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bookViews>
    <workbookView xWindow="3405" yWindow="840" windowWidth="16230" windowHeight="5760" tabRatio="748" activeTab="2"/>
  </bookViews>
  <sheets>
    <sheet name="Introduction" sheetId="37" r:id="rId1"/>
    <sheet name="Main Creation Page" sheetId="6" r:id="rId2"/>
    <sheet name="Character Sheet" sheetId="36" r:id="rId3"/>
    <sheet name="Experience" sheetId="33" r:id="rId4"/>
    <sheet name="Skills" sheetId="9" r:id="rId5"/>
    <sheet name="System Lookups" sheetId="12" state="hidden" r:id="rId6"/>
    <sheet name="Combat" sheetId="19" r:id="rId7"/>
    <sheet name="Funds" sheetId="17" r:id="rId8"/>
    <sheet name="SA&amp;DD" sheetId="11" r:id="rId9"/>
    <sheet name="Faith&amp;AOF" sheetId="29" r:id="rId10"/>
    <sheet name="Possessions" sheetId="42" state="hidden" r:id="rId11"/>
    <sheet name="Magick" sheetId="8" r:id="rId12"/>
    <sheet name="Master Spell List" sheetId="32" r:id="rId13"/>
    <sheet name="Familiar" sheetId="40" r:id="rId14"/>
    <sheet name="Mount" sheetId="39" state="hidden" r:id="rId15"/>
    <sheet name="Racial Lookups" sheetId="25" state="hidden" r:id="rId16"/>
    <sheet name="magestuff" sheetId="20" state="hidden" r:id="rId17"/>
    <sheet name="Status" sheetId="16" state="hidden" r:id="rId18"/>
  </sheets>
  <definedNames>
    <definedName name="_xlnm._FilterDatabase" localSheetId="12" hidden="1">'Master Spell List'!$A$2:$AA$1062</definedName>
    <definedName name="_xlnm._FilterDatabase" localSheetId="4" hidden="1">Skills!$A$4:$BD$778</definedName>
    <definedName name="Actual_Experience_Spent">Skills!$AI$983</definedName>
    <definedName name="AGIL">'Main Creation Page'!$E$9</definedName>
    <definedName name="APP">'Main Creation Page'!$E$10</definedName>
    <definedName name="Aptitude">Skills!$K$983</definedName>
    <definedName name="Archery">'System Lookups'!$M$13</definedName>
    <definedName name="Attribute_Bonus">Skills!$Y$983</definedName>
    <definedName name="Background">Skills!$I$983</definedName>
    <definedName name="Background_Skill">Skills!$AW$983</definedName>
    <definedName name="Base_DF">Skills!$U$983</definedName>
    <definedName name="Base_Exp._Cost_Per_Level">Skills!$AQ$983</definedName>
    <definedName name="BCS____Skilled">Skills!$AC$983</definedName>
    <definedName name="BCS____Unskilled">Skills!$AB$983</definedName>
    <definedName name="blank1">Skills!$Q$983</definedName>
    <definedName name="blank2">Skills!$R$983</definedName>
    <definedName name="blank3">Skills!$T$983</definedName>
    <definedName name="blank4">Skills!#REF!</definedName>
    <definedName name="blank5">Skills!$AT$983</definedName>
    <definedName name="blank6">Skills!$BG$983</definedName>
    <definedName name="Bought_Prof._Level">Skills!$X$983</definedName>
    <definedName name="BV">'Main Creation Page'!$E$11</definedName>
    <definedName name="C._H.">Skills!#REF!</definedName>
    <definedName name="Callig">'System Lookups'!$M$5</definedName>
    <definedName name="Chk">Skills!$AP$983</definedName>
    <definedName name="Chosen_Voc.">Skills!$N$983</definedName>
    <definedName name="Class">Skills!$J$983</definedName>
    <definedName name="Class_Chk">Skills!$AM$983</definedName>
    <definedName name="Combat_Type">Skills!$D$983</definedName>
    <definedName name="CON">'Main Creation Page'!$E$12</definedName>
    <definedName name="CORE_SKILL">Skills!$E$983</definedName>
    <definedName name="Crit_Die_Modifier">Skills!$AE$983</definedName>
    <definedName name="Current_DF">Skills!$V$983</definedName>
    <definedName name="CV">Skills!$AN$983</definedName>
    <definedName name="Dance">'System Lookups'!$M$4</definedName>
    <definedName name="DISC">'Main Creation Page'!$E$13</definedName>
    <definedName name="Effective_Level">Skills!$AU$983</definedName>
    <definedName name="Estimated_Experience">Skills!$AG$983</definedName>
    <definedName name="Focus">'System Lookups'!$M$15</definedName>
    <definedName name="Haute">'System Lookups'!$M$14</definedName>
    <definedName name="Horoscope_Bonus">Skills!$BB$983</definedName>
    <definedName name="INT">'Main Creation Page'!$E$14</definedName>
    <definedName name="Juggling">'System Lookups'!$M$6</definedName>
    <definedName name="KNOWLEDGE">Skills!$B$983</definedName>
    <definedName name="Lore_skill">Skills!$BE$983</definedName>
    <definedName name="LUCK">'Main Creation Page'!$E$18</definedName>
    <definedName name="Mage_Specialization">magestuff!$AH$213:$AI$274</definedName>
    <definedName name="Mastery">Skills!$H$983</definedName>
    <definedName name="MASTERY_Chk">Skills!$AL$983</definedName>
    <definedName name="Personal_Skill_Factor">Skills!$AA$983</definedName>
    <definedName name="Pine">'System Lookups'!$M$11</definedName>
    <definedName name="Primary">Skills!$P$983</definedName>
    <definedName name="Primary_Skill">Skills!$AX$983</definedName>
    <definedName name="_xlnm.Print_Area" localSheetId="2">'Character Sheet'!$A$1:$BK$567</definedName>
    <definedName name="_xlnm.Print_Area" localSheetId="13">Familiar!$A$1:$W$58</definedName>
    <definedName name="_xlnm.Print_Area" localSheetId="11">Magick!$A$1:$AC$124</definedName>
    <definedName name="_xlnm.Print_Area" localSheetId="1">'Main Creation Page'!$A$1:$BR$47</definedName>
    <definedName name="Psychic">'System Lookups'!$M$16</definedName>
    <definedName name="PTY">'Main Creation Page'!$E$15</definedName>
    <definedName name="Puppetry">'System Lookups'!$M$7</definedName>
    <definedName name="RACE">'Main Creation Page'!$C$3</definedName>
    <definedName name="Racial">Skills!$AJ$983</definedName>
    <definedName name="Racial__Specialist">Skills!$F$983</definedName>
    <definedName name="RESISTED">Skills!$C$983</definedName>
    <definedName name="Scholarly_Option___0">Skills!$M$983</definedName>
    <definedName name="Scholarship">Skills!$L$983</definedName>
    <definedName name="Sculpting">'System Lookups'!$M$8</definedName>
    <definedName name="Secondary">Skills!$S$983</definedName>
    <definedName name="Secondary_Skill">Skills!$AY$983</definedName>
    <definedName name="Selectable">Skills!$AR$983</definedName>
    <definedName name="Sight">'Main Creation Page'!$AG$42</definedName>
    <definedName name="Singing">'System Lookups'!$M$9</definedName>
    <definedName name="Skill_Bonuses">'System Lookups'!$L$3:$M$18</definedName>
    <definedName name="Skill_Categories">'System Lookups'!$B$218:$B$242</definedName>
    <definedName name="Skill_Category">Skills!$BF$983</definedName>
    <definedName name="Skill_Columns">Skills!$A$982:$BH$984</definedName>
    <definedName name="Skill_extension">Skills!$BD$983</definedName>
    <definedName name="Skill_Name">Skills!$BC$983</definedName>
    <definedName name="Skill_Names">Skills!$BC$5:$BC$909</definedName>
    <definedName name="Skill_Percentage">Skills!$Z$983</definedName>
    <definedName name="Skill_References">'System Lookups'!$C$524:$Z$624</definedName>
    <definedName name="Skill_Title">Skills!$A$983</definedName>
    <definedName name="Skill_Type">Skills!$AV$983</definedName>
    <definedName name="Skills_Table">Skills!$5:$907</definedName>
    <definedName name="Sleight">'System Lookups'!$M$10</definedName>
    <definedName name="Smell">'Main Creation Page'!$AG$44</definedName>
    <definedName name="Sound">'Main Creation Page'!$AG$43</definedName>
    <definedName name="Specialist">Skills!$AK$983</definedName>
    <definedName name="Specialist_Chk">Skills!$AK$983</definedName>
    <definedName name="Spell_Methods">magestuff!$Y$255:$Y$274</definedName>
    <definedName name="Spoken">'System Lookups'!$M$17</definedName>
    <definedName name="Starting__Prof.__Level">Skills!$W$983</definedName>
    <definedName name="Status_Bannerette">Status!$A$127:$M$142</definedName>
    <definedName name="Status_Baron">Status!$A$143:$M$149</definedName>
    <definedName name="Status_Class">Status!$O$2:$Q$11</definedName>
    <definedName name="Status_Freeman">Status!$A$16:$K$39</definedName>
    <definedName name="Status_Guildsman">Status!$A$67:$J$117</definedName>
    <definedName name="Status_Knight">Status!$A$120:$M$126</definedName>
    <definedName name="Status_Noble">Status!$A$150:$M$162</definedName>
    <definedName name="Status_Roll_Class">Status!$N$2:$Q$11</definedName>
    <definedName name="Status_Royalty">Status!$A$163:$M$167</definedName>
    <definedName name="Status_Serf">Status!$A$3:$I$12</definedName>
    <definedName name="Status_Townsman">Status!$A$42:$I$63</definedName>
    <definedName name="STR">'Main Creation Page'!$E$16</definedName>
    <definedName name="Swimming">'System Lookups'!$M$12</definedName>
    <definedName name="Targeted_XP">Skills!$BH$983</definedName>
    <definedName name="Taste">'Main Creation Page'!$AG$46</definedName>
    <definedName name="TEACHER___1">Skills!$G$983</definedName>
    <definedName name="Tertiary_Skill">Skills!$AZ$983</definedName>
    <definedName name="Total_Skill_Chance">Skills!$AD$983</definedName>
    <definedName name="Touch">'Main Creation Page'!$AG$45</definedName>
    <definedName name="Train">'System Lookups'!$M$3</definedName>
    <definedName name="Variance">Skills!$AS$983</definedName>
    <definedName name="Variant">Skills!$AH$983</definedName>
    <definedName name="WIS">'Main Creation Page'!$E$17</definedName>
    <definedName name="Written">'System Lookups'!$M$18</definedName>
  </definedNames>
  <calcPr calcId="124519"/>
</workbook>
</file>

<file path=xl/calcChain.xml><?xml version="1.0" encoding="utf-8"?>
<calcChain xmlns="http://schemas.openxmlformats.org/spreadsheetml/2006/main">
  <c r="BB885" i="9"/>
  <c r="BC907"/>
  <c r="BC904"/>
  <c r="BC898"/>
  <c r="BC896"/>
  <c r="BC885"/>
  <c r="BC877"/>
  <c r="BC876"/>
  <c r="BC856"/>
  <c r="BC847"/>
  <c r="BC836"/>
  <c r="BC835"/>
  <c r="BC832"/>
  <c r="BC830"/>
  <c r="BC810"/>
  <c r="BC807"/>
  <c r="BC800"/>
  <c r="BC796"/>
  <c r="BC795"/>
  <c r="BC794"/>
  <c r="BC789"/>
  <c r="BC780"/>
  <c r="BC779"/>
  <c r="BC778"/>
  <c r="BC771"/>
  <c r="BC767"/>
  <c r="BC766"/>
  <c r="BC765"/>
  <c r="BC764"/>
  <c r="BC761"/>
  <c r="BC760"/>
  <c r="BC759"/>
  <c r="BC747"/>
  <c r="BC745"/>
  <c r="BC742"/>
  <c r="BC741"/>
  <c r="BC721"/>
  <c r="BC712"/>
  <c r="BC692"/>
  <c r="BC686"/>
  <c r="BC681"/>
  <c r="BC671"/>
  <c r="BC669"/>
  <c r="BC668"/>
  <c r="BC664"/>
  <c r="BC663"/>
  <c r="BC662"/>
  <c r="BC593"/>
  <c r="BC586"/>
  <c r="BC557"/>
  <c r="BC552"/>
  <c r="BC486"/>
  <c r="BC482"/>
  <c r="BC478"/>
  <c r="BC474"/>
  <c r="BC471"/>
  <c r="BC469"/>
  <c r="BC441"/>
  <c r="BC438"/>
  <c r="BC426"/>
  <c r="BC392"/>
  <c r="BF392" s="1"/>
  <c r="BE392" s="1"/>
  <c r="BB392" s="1"/>
  <c r="BC391"/>
  <c r="BC362"/>
  <c r="BC347"/>
  <c r="BC346"/>
  <c r="BC335"/>
  <c r="BC298"/>
  <c r="BF298" s="1"/>
  <c r="BE298" s="1"/>
  <c r="BB298" s="1"/>
  <c r="BC296"/>
  <c r="BC293"/>
  <c r="BC265"/>
  <c r="BC253"/>
  <c r="BC250"/>
  <c r="BC245"/>
  <c r="BC234"/>
  <c r="BC227"/>
  <c r="BC212"/>
  <c r="BC206"/>
  <c r="BC204"/>
  <c r="BC203"/>
  <c r="BC192"/>
  <c r="BC189"/>
  <c r="BC149"/>
  <c r="BC145"/>
  <c r="BC144"/>
  <c r="BC140"/>
  <c r="BC129"/>
  <c r="BC128"/>
  <c r="BC125"/>
  <c r="BC124"/>
  <c r="BC120"/>
  <c r="BC119"/>
  <c r="BC110"/>
  <c r="BC105"/>
  <c r="BC100"/>
  <c r="BC98"/>
  <c r="BC97"/>
  <c r="BC94"/>
  <c r="BC92"/>
  <c r="BC82"/>
  <c r="BC79"/>
  <c r="BC75"/>
  <c r="BC69"/>
  <c r="BC64"/>
  <c r="BC60"/>
  <c r="BC57"/>
  <c r="BC56"/>
  <c r="BC55"/>
  <c r="BC54"/>
  <c r="BC53"/>
  <c r="BC51"/>
  <c r="BC50"/>
  <c r="BC49"/>
  <c r="BC47"/>
  <c r="BC41"/>
  <c r="BC35"/>
  <c r="BC29"/>
  <c r="BC18"/>
  <c r="BC16"/>
  <c r="BC14"/>
  <c r="AL906"/>
  <c r="AL905"/>
  <c r="AL903"/>
  <c r="AL902"/>
  <c r="AL901"/>
  <c r="AL900"/>
  <c r="AL899"/>
  <c r="AL895"/>
  <c r="AL894"/>
  <c r="AL893"/>
  <c r="AL892"/>
  <c r="AL891"/>
  <c r="AL890"/>
  <c r="AL889"/>
  <c r="AL888"/>
  <c r="AL887"/>
  <c r="AL884"/>
  <c r="AL883"/>
  <c r="AL882"/>
  <c r="AL881"/>
  <c r="AL880"/>
  <c r="AL879"/>
  <c r="AL875"/>
  <c r="AL874"/>
  <c r="AL873"/>
  <c r="AL872"/>
  <c r="AL871"/>
  <c r="AL870"/>
  <c r="AL869"/>
  <c r="AL868"/>
  <c r="AL867"/>
  <c r="AL866"/>
  <c r="AL865"/>
  <c r="AL864"/>
  <c r="AL863"/>
  <c r="AL862"/>
  <c r="AL861"/>
  <c r="AL860"/>
  <c r="AL859"/>
  <c r="AL858"/>
  <c r="AL855"/>
  <c r="AL854"/>
  <c r="AL853"/>
  <c r="AL852"/>
  <c r="AL851"/>
  <c r="AL850"/>
  <c r="AL849"/>
  <c r="AL846"/>
  <c r="AL845"/>
  <c r="AL844"/>
  <c r="AL843"/>
  <c r="AL842"/>
  <c r="AL841"/>
  <c r="AL840"/>
  <c r="AL839"/>
  <c r="AL838"/>
  <c r="AL834"/>
  <c r="AL833"/>
  <c r="AL831"/>
  <c r="AL829"/>
  <c r="AL828"/>
  <c r="AL827"/>
  <c r="AL826"/>
  <c r="AL825"/>
  <c r="AL824"/>
  <c r="AL823"/>
  <c r="AL822"/>
  <c r="AL821"/>
  <c r="AL820"/>
  <c r="AL819"/>
  <c r="AL818"/>
  <c r="AL817"/>
  <c r="AL816"/>
  <c r="AL815"/>
  <c r="AL814"/>
  <c r="AL813"/>
  <c r="AL812"/>
  <c r="AL811"/>
  <c r="AL809"/>
  <c r="AL806"/>
  <c r="AL805"/>
  <c r="AL804"/>
  <c r="AL803"/>
  <c r="AL802"/>
  <c r="AL799"/>
  <c r="AL798"/>
  <c r="AL797"/>
  <c r="AL793"/>
  <c r="AL792"/>
  <c r="AL791"/>
  <c r="AL788"/>
  <c r="AL787"/>
  <c r="AL786"/>
  <c r="AL785"/>
  <c r="AL784"/>
  <c r="AL783"/>
  <c r="AL782"/>
  <c r="AL777"/>
  <c r="AL776"/>
  <c r="AL775"/>
  <c r="AL774"/>
  <c r="AL773"/>
  <c r="AL772"/>
  <c r="AL770"/>
  <c r="AL769"/>
  <c r="AL768"/>
  <c r="AL763"/>
  <c r="AL762"/>
  <c r="AL758"/>
  <c r="AL757"/>
  <c r="AL756"/>
  <c r="AL755"/>
  <c r="AL754"/>
  <c r="AL753"/>
  <c r="AL752"/>
  <c r="AL751"/>
  <c r="AL750"/>
  <c r="AL749"/>
  <c r="AL748"/>
  <c r="AL746"/>
  <c r="AL744"/>
  <c r="AL740"/>
  <c r="AL739"/>
  <c r="AL738"/>
  <c r="AL737"/>
  <c r="AL736"/>
  <c r="AL735"/>
  <c r="AL734"/>
  <c r="AL733"/>
  <c r="AL732"/>
  <c r="AL731"/>
  <c r="AL730"/>
  <c r="AL729"/>
  <c r="AL728"/>
  <c r="AL727"/>
  <c r="AL726"/>
  <c r="AL725"/>
  <c r="AL724"/>
  <c r="AL723"/>
  <c r="AL722"/>
  <c r="AL720"/>
  <c r="AL719"/>
  <c r="AL718"/>
  <c r="AL717"/>
  <c r="AL716"/>
  <c r="AL715"/>
  <c r="AL714"/>
  <c r="AL713"/>
  <c r="AL711"/>
  <c r="AL710"/>
  <c r="AL709"/>
  <c r="AL708"/>
  <c r="AL707"/>
  <c r="AL706"/>
  <c r="AL705"/>
  <c r="AL704"/>
  <c r="AL703"/>
  <c r="AL702"/>
  <c r="AL701"/>
  <c r="AL700"/>
  <c r="AL699"/>
  <c r="AL698"/>
  <c r="AL697"/>
  <c r="AL696"/>
  <c r="AL695"/>
  <c r="AL694"/>
  <c r="AL693"/>
  <c r="AL691"/>
  <c r="AL690"/>
  <c r="AL689"/>
  <c r="AL688"/>
  <c r="AL687"/>
  <c r="AL685"/>
  <c r="AL684"/>
  <c r="AL683"/>
  <c r="AL682"/>
  <c r="AL680"/>
  <c r="AL679"/>
  <c r="AL678"/>
  <c r="AL677"/>
  <c r="AL676"/>
  <c r="AL675"/>
  <c r="AL674"/>
  <c r="AL673"/>
  <c r="AL672"/>
  <c r="AL670"/>
  <c r="AL667"/>
  <c r="AL666"/>
  <c r="AL665"/>
  <c r="AL661"/>
  <c r="AL660"/>
  <c r="AL659"/>
  <c r="AL658"/>
  <c r="AL657"/>
  <c r="AL656"/>
  <c r="AL655"/>
  <c r="AL654"/>
  <c r="AL653"/>
  <c r="AL652"/>
  <c r="AL651"/>
  <c r="AL650"/>
  <c r="AL649"/>
  <c r="AL648"/>
  <c r="AL647"/>
  <c r="AL646"/>
  <c r="AL645"/>
  <c r="AL644"/>
  <c r="AL643"/>
  <c r="AL642"/>
  <c r="AL641"/>
  <c r="AL640"/>
  <c r="AL639"/>
  <c r="AL638"/>
  <c r="AL637"/>
  <c r="AL636"/>
  <c r="AL635"/>
  <c r="AL634"/>
  <c r="AL633"/>
  <c r="AL632"/>
  <c r="AL631"/>
  <c r="AL630"/>
  <c r="AL629"/>
  <c r="AL628"/>
  <c r="AL627"/>
  <c r="AL626"/>
  <c r="AL625"/>
  <c r="AL624"/>
  <c r="AL623"/>
  <c r="AL622"/>
  <c r="AL621"/>
  <c r="AL620"/>
  <c r="AL619"/>
  <c r="AL618"/>
  <c r="AL617"/>
  <c r="AL616"/>
  <c r="AL615"/>
  <c r="AL614"/>
  <c r="AL613"/>
  <c r="AL612"/>
  <c r="AL611"/>
  <c r="AL610"/>
  <c r="AL609"/>
  <c r="AL608"/>
  <c r="AL607"/>
  <c r="AL606"/>
  <c r="AL605"/>
  <c r="AL604"/>
  <c r="AL603"/>
  <c r="AL602"/>
  <c r="AL601"/>
  <c r="AL600"/>
  <c r="AL599"/>
  <c r="AL598"/>
  <c r="AL597"/>
  <c r="AL596"/>
  <c r="AL595"/>
  <c r="AL594"/>
  <c r="AL592"/>
  <c r="AL591"/>
  <c r="AL590"/>
  <c r="AL589"/>
  <c r="AL588"/>
  <c r="AL585"/>
  <c r="AL584"/>
  <c r="AL583"/>
  <c r="AL582"/>
  <c r="AL581"/>
  <c r="AL580"/>
  <c r="AL579"/>
  <c r="AL578"/>
  <c r="AL577"/>
  <c r="AL576"/>
  <c r="AL575"/>
  <c r="AL574"/>
  <c r="AL573"/>
  <c r="AL572"/>
  <c r="AL571"/>
  <c r="AL570"/>
  <c r="AL569"/>
  <c r="AL568"/>
  <c r="AL567"/>
  <c r="AL566"/>
  <c r="AL565"/>
  <c r="AL564"/>
  <c r="AL563"/>
  <c r="AL562"/>
  <c r="AL561"/>
  <c r="AL560"/>
  <c r="AL559"/>
  <c r="AL558"/>
  <c r="AL556"/>
  <c r="AL555"/>
  <c r="AL554"/>
  <c r="AL551"/>
  <c r="AL550"/>
  <c r="AL549"/>
  <c r="AL548"/>
  <c r="AL547"/>
  <c r="AL546"/>
  <c r="AL545"/>
  <c r="AL544"/>
  <c r="AL543"/>
  <c r="AL542"/>
  <c r="AL541"/>
  <c r="AL540"/>
  <c r="AL539"/>
  <c r="AL538"/>
  <c r="AL537"/>
  <c r="AL536"/>
  <c r="AL535"/>
  <c r="AL534"/>
  <c r="AL533"/>
  <c r="AL532"/>
  <c r="AL531"/>
  <c r="AL530"/>
  <c r="AL529"/>
  <c r="AL528"/>
  <c r="AL527"/>
  <c r="AL526"/>
  <c r="AL525"/>
  <c r="AL524"/>
  <c r="AL523"/>
  <c r="AL522"/>
  <c r="AL521"/>
  <c r="AL520"/>
  <c r="AL519"/>
  <c r="AL518"/>
  <c r="AL517"/>
  <c r="AL516"/>
  <c r="AL515"/>
  <c r="AL514"/>
  <c r="AL513"/>
  <c r="AL512"/>
  <c r="AL511"/>
  <c r="AL510"/>
  <c r="AL509"/>
  <c r="AL508"/>
  <c r="AL507"/>
  <c r="AL506"/>
  <c r="AL505"/>
  <c r="AL504"/>
  <c r="AL503"/>
  <c r="AL502"/>
  <c r="AL501"/>
  <c r="AL500"/>
  <c r="AL499"/>
  <c r="AL498"/>
  <c r="AL497"/>
  <c r="AL496"/>
  <c r="AL495"/>
  <c r="AL494"/>
  <c r="AL493"/>
  <c r="AL492"/>
  <c r="AL491"/>
  <c r="AL490"/>
  <c r="AL489"/>
  <c r="AL488"/>
  <c r="AL487"/>
  <c r="AL485"/>
  <c r="AL484"/>
  <c r="AL483"/>
  <c r="AL481"/>
  <c r="AL480"/>
  <c r="AL479"/>
  <c r="AL477"/>
  <c r="AL476"/>
  <c r="AL475"/>
  <c r="AL473"/>
  <c r="AL470"/>
  <c r="AL468"/>
  <c r="AL467"/>
  <c r="AL466"/>
  <c r="AL465"/>
  <c r="AL464"/>
  <c r="AL463"/>
  <c r="AL462"/>
  <c r="AL461"/>
  <c r="AL460"/>
  <c r="AL459"/>
  <c r="AL458"/>
  <c r="AL457"/>
  <c r="AL456"/>
  <c r="AL455"/>
  <c r="AL454"/>
  <c r="AL453"/>
  <c r="AL452"/>
  <c r="AL451"/>
  <c r="AL450"/>
  <c r="AL449"/>
  <c r="AL448"/>
  <c r="AL447"/>
  <c r="AL446"/>
  <c r="AL445"/>
  <c r="AL444"/>
  <c r="AL443"/>
  <c r="AL442"/>
  <c r="AL440"/>
  <c r="AL439"/>
  <c r="AL437"/>
  <c r="AL436"/>
  <c r="AL435"/>
  <c r="AL434"/>
  <c r="AL433"/>
  <c r="AL432"/>
  <c r="AL431"/>
  <c r="AL430"/>
  <c r="AL429"/>
  <c r="AL428"/>
  <c r="AL427"/>
  <c r="AL425"/>
  <c r="AL424"/>
  <c r="AL423"/>
  <c r="AL422"/>
  <c r="AL421"/>
  <c r="AL420"/>
  <c r="AL419"/>
  <c r="AL418"/>
  <c r="AL417"/>
  <c r="AL416"/>
  <c r="AL415"/>
  <c r="AL414"/>
  <c r="AL413"/>
  <c r="AL412"/>
  <c r="AL411"/>
  <c r="AL410"/>
  <c r="AL409"/>
  <c r="AL408"/>
  <c r="AL407"/>
  <c r="AL406"/>
  <c r="AL405"/>
  <c r="AL404"/>
  <c r="AL403"/>
  <c r="AL402"/>
  <c r="AL401"/>
  <c r="AL400"/>
  <c r="AL399"/>
  <c r="AL398"/>
  <c r="AL397"/>
  <c r="AL396"/>
  <c r="AL395"/>
  <c r="AL394"/>
  <c r="AL393"/>
  <c r="AL390"/>
  <c r="AL389"/>
  <c r="AL388"/>
  <c r="AL387"/>
  <c r="AL386"/>
  <c r="AL385"/>
  <c r="AL384"/>
  <c r="AL383"/>
  <c r="AL382"/>
  <c r="AL381"/>
  <c r="AL380"/>
  <c r="AL379"/>
  <c r="AL378"/>
  <c r="AL377"/>
  <c r="AL376"/>
  <c r="AL375"/>
  <c r="AL374"/>
  <c r="AL373"/>
  <c r="AL372"/>
  <c r="AL371"/>
  <c r="AL370"/>
  <c r="AL369"/>
  <c r="AL368"/>
  <c r="AL367"/>
  <c r="AL366"/>
  <c r="AL365"/>
  <c r="AL364"/>
  <c r="AL363"/>
  <c r="AL361"/>
  <c r="AL360"/>
  <c r="AL359"/>
  <c r="AL358"/>
  <c r="AL357"/>
  <c r="AL356"/>
  <c r="AL355"/>
  <c r="AL354"/>
  <c r="AL353"/>
  <c r="AL352"/>
  <c r="AL351"/>
  <c r="AL350"/>
  <c r="AL349"/>
  <c r="AL348"/>
  <c r="AL345"/>
  <c r="AL344"/>
  <c r="AL343"/>
  <c r="AL342"/>
  <c r="AL341"/>
  <c r="AL340"/>
  <c r="AL339"/>
  <c r="AL338"/>
  <c r="AL337"/>
  <c r="AL336"/>
  <c r="AL334"/>
  <c r="AL333"/>
  <c r="AL332"/>
  <c r="AL331"/>
  <c r="AL330"/>
  <c r="AL329"/>
  <c r="AL328"/>
  <c r="AL327"/>
  <c r="AL326"/>
  <c r="AL325"/>
  <c r="AL324"/>
  <c r="AL323"/>
  <c r="AL322"/>
  <c r="AL321"/>
  <c r="AL320"/>
  <c r="AL319"/>
  <c r="AL318"/>
  <c r="AL317"/>
  <c r="AL316"/>
  <c r="AL315"/>
  <c r="AL314"/>
  <c r="AL313"/>
  <c r="AL312"/>
  <c r="AL311"/>
  <c r="AL310"/>
  <c r="AL309"/>
  <c r="AL308"/>
  <c r="AL307"/>
  <c r="AL306"/>
  <c r="AL305"/>
  <c r="AL304"/>
  <c r="AL303"/>
  <c r="AL302"/>
  <c r="AL301"/>
  <c r="AL300"/>
  <c r="AL299"/>
  <c r="AL295"/>
  <c r="AL294"/>
  <c r="AL292"/>
  <c r="AL291"/>
  <c r="AL290"/>
  <c r="AL289"/>
  <c r="AL288"/>
  <c r="AL287"/>
  <c r="AL286"/>
  <c r="AL285"/>
  <c r="AL284"/>
  <c r="AL283"/>
  <c r="AL282"/>
  <c r="AL281"/>
  <c r="AL280"/>
  <c r="AL279"/>
  <c r="AL278"/>
  <c r="AL277"/>
  <c r="AL276"/>
  <c r="AL275"/>
  <c r="AL274"/>
  <c r="AL273"/>
  <c r="AL272"/>
  <c r="AL271"/>
  <c r="AL270"/>
  <c r="AL269"/>
  <c r="AL268"/>
  <c r="AL267"/>
  <c r="AL266"/>
  <c r="AL264"/>
  <c r="AL263"/>
  <c r="AL262"/>
  <c r="AL261"/>
  <c r="AL260"/>
  <c r="AL259"/>
  <c r="AL258"/>
  <c r="AL257"/>
  <c r="AL256"/>
  <c r="AL255"/>
  <c r="AL254"/>
  <c r="AL252"/>
  <c r="AL251"/>
  <c r="AL249"/>
  <c r="AL248"/>
  <c r="AL247"/>
  <c r="AL246"/>
  <c r="AL244"/>
  <c r="AL243"/>
  <c r="AL242"/>
  <c r="AL241"/>
  <c r="AL240"/>
  <c r="AL239"/>
  <c r="AL238"/>
  <c r="AL237"/>
  <c r="AL236"/>
  <c r="AL233"/>
  <c r="AL232"/>
  <c r="AL231"/>
  <c r="AL230"/>
  <c r="AL229"/>
  <c r="AL228"/>
  <c r="AL226"/>
  <c r="AL225"/>
  <c r="AL224"/>
  <c r="AL223"/>
  <c r="AL222"/>
  <c r="AL221"/>
  <c r="AL220"/>
  <c r="AL219"/>
  <c r="AL218"/>
  <c r="AL217"/>
  <c r="AL216"/>
  <c r="AL215"/>
  <c r="AL214"/>
  <c r="AL211"/>
  <c r="AL210"/>
  <c r="AL209"/>
  <c r="AL208"/>
  <c r="AL207"/>
  <c r="AL205"/>
  <c r="AL202"/>
  <c r="AL201"/>
  <c r="AL200"/>
  <c r="AL199"/>
  <c r="AL198"/>
  <c r="AL197"/>
  <c r="AL196"/>
  <c r="AL195"/>
  <c r="AL194"/>
  <c r="AL193"/>
  <c r="AL191"/>
  <c r="AL190"/>
  <c r="AL188"/>
  <c r="AL187"/>
  <c r="AL186"/>
  <c r="AL185"/>
  <c r="AL184"/>
  <c r="AL183"/>
  <c r="AL182"/>
  <c r="AL181"/>
  <c r="AL180"/>
  <c r="AL179"/>
  <c r="AL178"/>
  <c r="AL177"/>
  <c r="AL176"/>
  <c r="AL175"/>
  <c r="AL174"/>
  <c r="AL173"/>
  <c r="AL172"/>
  <c r="AL171"/>
  <c r="AL170"/>
  <c r="AL169"/>
  <c r="AL168"/>
  <c r="AL167"/>
  <c r="AL166"/>
  <c r="AL165"/>
  <c r="AL164"/>
  <c r="AL163"/>
  <c r="AL162"/>
  <c r="AL161"/>
  <c r="AL160"/>
  <c r="AL159"/>
  <c r="AL158"/>
  <c r="AL157"/>
  <c r="AL156"/>
  <c r="AL155"/>
  <c r="AL154"/>
  <c r="AL153"/>
  <c r="AL152"/>
  <c r="AL151"/>
  <c r="AL148"/>
  <c r="AL147"/>
  <c r="AL146"/>
  <c r="AL143"/>
  <c r="AL142"/>
  <c r="AL141"/>
  <c r="AL140"/>
  <c r="AL139"/>
  <c r="AL138"/>
  <c r="AL137"/>
  <c r="AL136"/>
  <c r="AL135"/>
  <c r="AL134"/>
  <c r="AL133"/>
  <c r="AL132"/>
  <c r="AL131"/>
  <c r="AL127"/>
  <c r="AL126"/>
  <c r="AL123"/>
  <c r="AL122"/>
  <c r="AL121"/>
  <c r="AL118"/>
  <c r="AL117"/>
  <c r="AL116"/>
  <c r="AL115"/>
  <c r="AL114"/>
  <c r="AL113"/>
  <c r="AL112"/>
  <c r="AL111"/>
  <c r="AL109"/>
  <c r="AL108"/>
  <c r="AL107"/>
  <c r="AL104"/>
  <c r="AL103"/>
  <c r="AL102"/>
  <c r="AL101"/>
  <c r="AL99"/>
  <c r="AL96"/>
  <c r="AL95"/>
  <c r="AL93"/>
  <c r="AL91"/>
  <c r="AL90"/>
  <c r="AL89"/>
  <c r="AL88"/>
  <c r="AL87"/>
  <c r="AL86"/>
  <c r="AL85"/>
  <c r="AL84"/>
  <c r="AL83"/>
  <c r="AL81"/>
  <c r="AL80"/>
  <c r="AL78"/>
  <c r="AL77"/>
  <c r="AL76"/>
  <c r="AL74"/>
  <c r="AL73"/>
  <c r="AL72"/>
  <c r="AL71"/>
  <c r="AL70"/>
  <c r="AL68"/>
  <c r="AL67"/>
  <c r="AL66"/>
  <c r="AL65"/>
  <c r="AL63"/>
  <c r="AL62"/>
  <c r="AL61"/>
  <c r="AL59"/>
  <c r="AL52"/>
  <c r="AL48"/>
  <c r="AL46"/>
  <c r="AL45"/>
  <c r="AL44"/>
  <c r="AL43"/>
  <c r="AL42"/>
  <c r="AL40"/>
  <c r="AL39"/>
  <c r="AL38"/>
  <c r="AL37"/>
  <c r="AL36"/>
  <c r="AL34"/>
  <c r="AL33"/>
  <c r="AL32"/>
  <c r="AL31"/>
  <c r="AL30"/>
  <c r="AL28"/>
  <c r="AL27"/>
  <c r="AL26"/>
  <c r="AL25"/>
  <c r="AL24"/>
  <c r="AL23"/>
  <c r="AL22"/>
  <c r="AL21"/>
  <c r="AL20"/>
  <c r="AL19"/>
  <c r="AL18"/>
  <c r="AL17"/>
  <c r="AL13"/>
  <c r="AL12"/>
  <c r="AL11"/>
  <c r="AL10"/>
  <c r="AL9"/>
  <c r="AL8"/>
  <c r="AL7"/>
  <c r="AL6"/>
  <c r="AO906"/>
  <c r="AO905"/>
  <c r="AO903"/>
  <c r="AO902"/>
  <c r="AO901"/>
  <c r="AO900"/>
  <c r="AO899"/>
  <c r="AO895"/>
  <c r="AO894"/>
  <c r="AO893"/>
  <c r="AO892"/>
  <c r="AO891"/>
  <c r="AO890"/>
  <c r="AO889"/>
  <c r="AO888"/>
  <c r="AO887"/>
  <c r="AO884"/>
  <c r="AO883"/>
  <c r="AO882"/>
  <c r="AO881"/>
  <c r="AO880"/>
  <c r="AO879"/>
  <c r="AO875"/>
  <c r="AO874"/>
  <c r="AO873"/>
  <c r="AO872"/>
  <c r="AO871"/>
  <c r="AO870"/>
  <c r="AO869"/>
  <c r="AO868"/>
  <c r="AO867"/>
  <c r="AO866"/>
  <c r="AO865"/>
  <c r="AO864"/>
  <c r="AO863"/>
  <c r="AO862"/>
  <c r="AO861"/>
  <c r="AO860"/>
  <c r="AO859"/>
  <c r="AO858"/>
  <c r="AO855"/>
  <c r="AO854"/>
  <c r="AO853"/>
  <c r="AO852"/>
  <c r="AO851"/>
  <c r="AO850"/>
  <c r="AO849"/>
  <c r="AO846"/>
  <c r="AO845"/>
  <c r="AO844"/>
  <c r="AO843"/>
  <c r="AO842"/>
  <c r="AO841"/>
  <c r="AO840"/>
  <c r="AO839"/>
  <c r="AO838"/>
  <c r="AO834"/>
  <c r="AO833"/>
  <c r="AO831"/>
  <c r="AO829"/>
  <c r="AO828"/>
  <c r="AO827"/>
  <c r="AO826"/>
  <c r="AO825"/>
  <c r="AO824"/>
  <c r="AO823"/>
  <c r="AO822"/>
  <c r="AO821"/>
  <c r="AO820"/>
  <c r="AO819"/>
  <c r="AO818"/>
  <c r="AO817"/>
  <c r="AO816"/>
  <c r="AO815"/>
  <c r="AO814"/>
  <c r="AO813"/>
  <c r="AO812"/>
  <c r="AO811"/>
  <c r="AO809"/>
  <c r="AO806"/>
  <c r="AO805"/>
  <c r="AO804"/>
  <c r="AO803"/>
  <c r="AO802"/>
  <c r="AO799"/>
  <c r="AO798"/>
  <c r="AO797"/>
  <c r="AO793"/>
  <c r="AO792"/>
  <c r="AO791"/>
  <c r="AO788"/>
  <c r="AO787"/>
  <c r="AO786"/>
  <c r="AO785"/>
  <c r="AO784"/>
  <c r="AO783"/>
  <c r="AO782"/>
  <c r="AO777"/>
  <c r="AO776"/>
  <c r="AO775"/>
  <c r="AO774"/>
  <c r="AO773"/>
  <c r="AO772"/>
  <c r="AO770"/>
  <c r="AO769"/>
  <c r="AO768"/>
  <c r="AO763"/>
  <c r="AO762"/>
  <c r="AO758"/>
  <c r="AO757"/>
  <c r="AO756"/>
  <c r="AO755"/>
  <c r="AO754"/>
  <c r="AO753"/>
  <c r="AO752"/>
  <c r="AO751"/>
  <c r="AO750"/>
  <c r="AO749"/>
  <c r="AO748"/>
  <c r="AO746"/>
  <c r="AO744"/>
  <c r="AO740"/>
  <c r="AO739"/>
  <c r="AO738"/>
  <c r="AO737"/>
  <c r="AO736"/>
  <c r="AO735"/>
  <c r="AO734"/>
  <c r="AO733"/>
  <c r="AO732"/>
  <c r="AO731"/>
  <c r="AO730"/>
  <c r="AO729"/>
  <c r="AO728"/>
  <c r="AO727"/>
  <c r="AO726"/>
  <c r="AO725"/>
  <c r="AO724"/>
  <c r="AO723"/>
  <c r="AO722"/>
  <c r="AO720"/>
  <c r="AO719"/>
  <c r="AO718"/>
  <c r="AO717"/>
  <c r="AO716"/>
  <c r="AO715"/>
  <c r="AO714"/>
  <c r="AO713"/>
  <c r="AO711"/>
  <c r="AO710"/>
  <c r="AO709"/>
  <c r="AO708"/>
  <c r="AO707"/>
  <c r="AO706"/>
  <c r="AO705"/>
  <c r="AO704"/>
  <c r="AO703"/>
  <c r="AO702"/>
  <c r="AO701"/>
  <c r="AO700"/>
  <c r="AO699"/>
  <c r="AO698"/>
  <c r="AO697"/>
  <c r="AO696"/>
  <c r="AO695"/>
  <c r="AO694"/>
  <c r="AO693"/>
  <c r="AO691"/>
  <c r="AO690"/>
  <c r="AO689"/>
  <c r="AO688"/>
  <c r="AO687"/>
  <c r="AO685"/>
  <c r="AO684"/>
  <c r="AO683"/>
  <c r="AO682"/>
  <c r="AO680"/>
  <c r="AO679"/>
  <c r="AO678"/>
  <c r="AO677"/>
  <c r="AO676"/>
  <c r="AO675"/>
  <c r="AO674"/>
  <c r="AO673"/>
  <c r="AO672"/>
  <c r="AO670"/>
  <c r="AO667"/>
  <c r="AO666"/>
  <c r="AO665"/>
  <c r="AO661"/>
  <c r="AO660"/>
  <c r="AO659"/>
  <c r="AO658"/>
  <c r="AO657"/>
  <c r="AO656"/>
  <c r="AO655"/>
  <c r="AO654"/>
  <c r="AO653"/>
  <c r="AO652"/>
  <c r="AO651"/>
  <c r="AO650"/>
  <c r="AO649"/>
  <c r="AO648"/>
  <c r="AO647"/>
  <c r="AO646"/>
  <c r="AO645"/>
  <c r="AO644"/>
  <c r="AO643"/>
  <c r="AO642"/>
  <c r="AO641"/>
  <c r="AO640"/>
  <c r="AO639"/>
  <c r="AO638"/>
  <c r="AO637"/>
  <c r="AO636"/>
  <c r="AO635"/>
  <c r="AO634"/>
  <c r="AO633"/>
  <c r="AO632"/>
  <c r="AO631"/>
  <c r="AO630"/>
  <c r="AO629"/>
  <c r="AO628"/>
  <c r="AO627"/>
  <c r="AO626"/>
  <c r="AO625"/>
  <c r="AO624"/>
  <c r="AO623"/>
  <c r="AO622"/>
  <c r="AO621"/>
  <c r="AO620"/>
  <c r="AO619"/>
  <c r="AO618"/>
  <c r="AO617"/>
  <c r="AO616"/>
  <c r="AO615"/>
  <c r="AO614"/>
  <c r="AO613"/>
  <c r="AO612"/>
  <c r="AO611"/>
  <c r="AO610"/>
  <c r="AO609"/>
  <c r="AO608"/>
  <c r="AO607"/>
  <c r="AO606"/>
  <c r="AO605"/>
  <c r="AO604"/>
  <c r="AO603"/>
  <c r="AO602"/>
  <c r="AO601"/>
  <c r="AO600"/>
  <c r="AO599"/>
  <c r="AO598"/>
  <c r="AO597"/>
  <c r="AO596"/>
  <c r="AO595"/>
  <c r="AO594"/>
  <c r="AO592"/>
  <c r="AO591"/>
  <c r="AO590"/>
  <c r="AO589"/>
  <c r="AO588"/>
  <c r="AO585"/>
  <c r="AO584"/>
  <c r="AO583"/>
  <c r="AO582"/>
  <c r="AO581"/>
  <c r="AO580"/>
  <c r="AO579"/>
  <c r="AO578"/>
  <c r="AO577"/>
  <c r="AO576"/>
  <c r="AO575"/>
  <c r="AO574"/>
  <c r="AO573"/>
  <c r="AO572"/>
  <c r="AO571"/>
  <c r="AO570"/>
  <c r="AO569"/>
  <c r="AO568"/>
  <c r="AO567"/>
  <c r="AO566"/>
  <c r="AO565"/>
  <c r="AO564"/>
  <c r="AO563"/>
  <c r="AO562"/>
  <c r="AO561"/>
  <c r="AO560"/>
  <c r="AO559"/>
  <c r="AO558"/>
  <c r="AO556"/>
  <c r="AO555"/>
  <c r="AO554"/>
  <c r="AO551"/>
  <c r="AO550"/>
  <c r="AO549"/>
  <c r="AO548"/>
  <c r="AO547"/>
  <c r="AO546"/>
  <c r="AO545"/>
  <c r="AO544"/>
  <c r="AO543"/>
  <c r="AO542"/>
  <c r="AO541"/>
  <c r="AO540"/>
  <c r="AO539"/>
  <c r="AO538"/>
  <c r="AO537"/>
  <c r="AO536"/>
  <c r="AO535"/>
  <c r="AO534"/>
  <c r="AO533"/>
  <c r="AO532"/>
  <c r="AO531"/>
  <c r="AO530"/>
  <c r="AO529"/>
  <c r="AO528"/>
  <c r="AO527"/>
  <c r="AO526"/>
  <c r="AO525"/>
  <c r="AO524"/>
  <c r="AO523"/>
  <c r="AO522"/>
  <c r="AO521"/>
  <c r="AO520"/>
  <c r="AO519"/>
  <c r="AO518"/>
  <c r="AO517"/>
  <c r="AO516"/>
  <c r="AO515"/>
  <c r="AO514"/>
  <c r="AO513"/>
  <c r="AO512"/>
  <c r="AO511"/>
  <c r="AO510"/>
  <c r="AO509"/>
  <c r="AO508"/>
  <c r="AO507"/>
  <c r="AO506"/>
  <c r="AO505"/>
  <c r="AO504"/>
  <c r="AO503"/>
  <c r="AO502"/>
  <c r="AO501"/>
  <c r="AO500"/>
  <c r="AO499"/>
  <c r="AO498"/>
  <c r="AO497"/>
  <c r="AO496"/>
  <c r="AO495"/>
  <c r="AO494"/>
  <c r="AO493"/>
  <c r="AO492"/>
  <c r="AO491"/>
  <c r="AO490"/>
  <c r="AO489"/>
  <c r="AO488"/>
  <c r="AO487"/>
  <c r="AO485"/>
  <c r="AO484"/>
  <c r="AO483"/>
  <c r="AO481"/>
  <c r="AO480"/>
  <c r="AO479"/>
  <c r="AO477"/>
  <c r="AO476"/>
  <c r="AO475"/>
  <c r="AO473"/>
  <c r="AO470"/>
  <c r="AO468"/>
  <c r="AO467"/>
  <c r="AO466"/>
  <c r="AO465"/>
  <c r="AO464"/>
  <c r="AO463"/>
  <c r="AO462"/>
  <c r="AO461"/>
  <c r="AO460"/>
  <c r="AO459"/>
  <c r="AO458"/>
  <c r="AO457"/>
  <c r="AO456"/>
  <c r="AO455"/>
  <c r="AO454"/>
  <c r="AO453"/>
  <c r="AO452"/>
  <c r="AO451"/>
  <c r="AO450"/>
  <c r="AO449"/>
  <c r="AO448"/>
  <c r="AO447"/>
  <c r="AO446"/>
  <c r="AO445"/>
  <c r="AO444"/>
  <c r="AO443"/>
  <c r="AO442"/>
  <c r="AO440"/>
  <c r="AO439"/>
  <c r="AO437"/>
  <c r="AO436"/>
  <c r="AO435"/>
  <c r="AO434"/>
  <c r="AO433"/>
  <c r="AO432"/>
  <c r="AO431"/>
  <c r="AO430"/>
  <c r="AO429"/>
  <c r="AO428"/>
  <c r="AO427"/>
  <c r="AO425"/>
  <c r="AO424"/>
  <c r="AO423"/>
  <c r="AO422"/>
  <c r="AO421"/>
  <c r="AO420"/>
  <c r="AO419"/>
  <c r="AO418"/>
  <c r="AO417"/>
  <c r="AO416"/>
  <c r="AO415"/>
  <c r="AO414"/>
  <c r="AO413"/>
  <c r="AO412"/>
  <c r="AO411"/>
  <c r="AO410"/>
  <c r="AO409"/>
  <c r="AO408"/>
  <c r="AO407"/>
  <c r="AO406"/>
  <c r="AO405"/>
  <c r="AO404"/>
  <c r="AO403"/>
  <c r="AO402"/>
  <c r="AO401"/>
  <c r="AO400"/>
  <c r="AO399"/>
  <c r="AO398"/>
  <c r="AO397"/>
  <c r="AO396"/>
  <c r="AO395"/>
  <c r="AO394"/>
  <c r="AO393"/>
  <c r="AO390"/>
  <c r="AO389"/>
  <c r="AO388"/>
  <c r="AO387"/>
  <c r="AO386"/>
  <c r="AO385"/>
  <c r="AO384"/>
  <c r="AO383"/>
  <c r="AO382"/>
  <c r="AO381"/>
  <c r="AO380"/>
  <c r="AO379"/>
  <c r="AO378"/>
  <c r="AO377"/>
  <c r="AO376"/>
  <c r="AO375"/>
  <c r="AO374"/>
  <c r="AO373"/>
  <c r="AO372"/>
  <c r="AO371"/>
  <c r="AO370"/>
  <c r="AO369"/>
  <c r="AO368"/>
  <c r="AO367"/>
  <c r="AO366"/>
  <c r="AO365"/>
  <c r="AO364"/>
  <c r="AO363"/>
  <c r="AO361"/>
  <c r="AO360"/>
  <c r="AO359"/>
  <c r="AO358"/>
  <c r="AO357"/>
  <c r="AO356"/>
  <c r="AO355"/>
  <c r="AO354"/>
  <c r="AO353"/>
  <c r="AO352"/>
  <c r="AO351"/>
  <c r="AO350"/>
  <c r="AO349"/>
  <c r="AO348"/>
  <c r="AO345"/>
  <c r="AO344"/>
  <c r="AO343"/>
  <c r="AO342"/>
  <c r="AO341"/>
  <c r="AO340"/>
  <c r="AO339"/>
  <c r="AO338"/>
  <c r="AO337"/>
  <c r="AO336"/>
  <c r="AO334"/>
  <c r="AO333"/>
  <c r="AO332"/>
  <c r="AO331"/>
  <c r="AO330"/>
  <c r="AO329"/>
  <c r="AO328"/>
  <c r="AO327"/>
  <c r="AO326"/>
  <c r="AO325"/>
  <c r="AO324"/>
  <c r="AO323"/>
  <c r="AO322"/>
  <c r="AO321"/>
  <c r="AO320"/>
  <c r="AO319"/>
  <c r="AO318"/>
  <c r="AO317"/>
  <c r="AO316"/>
  <c r="AO315"/>
  <c r="AO314"/>
  <c r="AO313"/>
  <c r="AO312"/>
  <c r="AO311"/>
  <c r="AO310"/>
  <c r="AO309"/>
  <c r="AO308"/>
  <c r="AO307"/>
  <c r="AO306"/>
  <c r="AO305"/>
  <c r="AO304"/>
  <c r="AO303"/>
  <c r="AO302"/>
  <c r="AO301"/>
  <c r="AO300"/>
  <c r="AO299"/>
  <c r="AO295"/>
  <c r="AO294"/>
  <c r="AO292"/>
  <c r="AO291"/>
  <c r="AO290"/>
  <c r="AO289"/>
  <c r="AO288"/>
  <c r="AO287"/>
  <c r="AO286"/>
  <c r="AO285"/>
  <c r="AO284"/>
  <c r="AO283"/>
  <c r="AO282"/>
  <c r="AO281"/>
  <c r="AO280"/>
  <c r="AO279"/>
  <c r="AO278"/>
  <c r="AO277"/>
  <c r="AO276"/>
  <c r="AO275"/>
  <c r="AO274"/>
  <c r="AO273"/>
  <c r="AO272"/>
  <c r="AO271"/>
  <c r="AO270"/>
  <c r="AO269"/>
  <c r="AO268"/>
  <c r="AO267"/>
  <c r="AO266"/>
  <c r="AO264"/>
  <c r="AO263"/>
  <c r="AO262"/>
  <c r="AO261"/>
  <c r="AO260"/>
  <c r="AO259"/>
  <c r="AO258"/>
  <c r="AO257"/>
  <c r="AO256"/>
  <c r="AO255"/>
  <c r="AO254"/>
  <c r="AO252"/>
  <c r="AO251"/>
  <c r="AO249"/>
  <c r="AO248"/>
  <c r="AO247"/>
  <c r="AO246"/>
  <c r="AO244"/>
  <c r="AO243"/>
  <c r="AO242"/>
  <c r="AO241"/>
  <c r="AO240"/>
  <c r="AO239"/>
  <c r="AO238"/>
  <c r="AO237"/>
  <c r="AO236"/>
  <c r="AO233"/>
  <c r="AO232"/>
  <c r="AO231"/>
  <c r="AO230"/>
  <c r="AO229"/>
  <c r="AO228"/>
  <c r="AO226"/>
  <c r="AO225"/>
  <c r="AO224"/>
  <c r="AO223"/>
  <c r="AO222"/>
  <c r="AO221"/>
  <c r="AO220"/>
  <c r="AO219"/>
  <c r="AO218"/>
  <c r="AO217"/>
  <c r="AO216"/>
  <c r="AO215"/>
  <c r="AO214"/>
  <c r="AO211"/>
  <c r="AO210"/>
  <c r="AO209"/>
  <c r="AO208"/>
  <c r="AO207"/>
  <c r="AO205"/>
  <c r="AO202"/>
  <c r="AO201"/>
  <c r="AO200"/>
  <c r="AO199"/>
  <c r="AO198"/>
  <c r="AO197"/>
  <c r="AO196"/>
  <c r="AO195"/>
  <c r="AO194"/>
  <c r="AO193"/>
  <c r="AO191"/>
  <c r="AO190"/>
  <c r="AO188"/>
  <c r="AO187"/>
  <c r="AO186"/>
  <c r="AO185"/>
  <c r="AO184"/>
  <c r="AO183"/>
  <c r="AO182"/>
  <c r="AO181"/>
  <c r="AO180"/>
  <c r="AO179"/>
  <c r="AO178"/>
  <c r="AO177"/>
  <c r="AO176"/>
  <c r="AO175"/>
  <c r="AO174"/>
  <c r="AO173"/>
  <c r="AO172"/>
  <c r="AO171"/>
  <c r="AO170"/>
  <c r="AO169"/>
  <c r="AO168"/>
  <c r="AO167"/>
  <c r="AO166"/>
  <c r="AO165"/>
  <c r="AO164"/>
  <c r="AO163"/>
  <c r="AO162"/>
  <c r="AO161"/>
  <c r="AO160"/>
  <c r="AO159"/>
  <c r="AO158"/>
  <c r="AO157"/>
  <c r="AO156"/>
  <c r="AO155"/>
  <c r="AO154"/>
  <c r="AO153"/>
  <c r="AO152"/>
  <c r="AO151"/>
  <c r="AO148"/>
  <c r="AO147"/>
  <c r="AO146"/>
  <c r="AO143"/>
  <c r="AO142"/>
  <c r="AO141"/>
  <c r="AO140"/>
  <c r="AO139"/>
  <c r="AO138"/>
  <c r="AO137"/>
  <c r="AO136"/>
  <c r="AO135"/>
  <c r="AO134"/>
  <c r="AO133"/>
  <c r="AO132"/>
  <c r="AO131"/>
  <c r="AO127"/>
  <c r="AO126"/>
  <c r="AO123"/>
  <c r="AO122"/>
  <c r="AO121"/>
  <c r="AO118"/>
  <c r="AO117"/>
  <c r="AO116"/>
  <c r="AO115"/>
  <c r="AO114"/>
  <c r="AO113"/>
  <c r="AO112"/>
  <c r="AO111"/>
  <c r="AO109"/>
  <c r="AO108"/>
  <c r="AO107"/>
  <c r="AO104"/>
  <c r="AO103"/>
  <c r="AO102"/>
  <c r="AO101"/>
  <c r="AO99"/>
  <c r="AO96"/>
  <c r="AO95"/>
  <c r="AO93"/>
  <c r="AO91"/>
  <c r="AO90"/>
  <c r="AO89"/>
  <c r="AO88"/>
  <c r="AO87"/>
  <c r="AO86"/>
  <c r="AO85"/>
  <c r="AO84"/>
  <c r="AO83"/>
  <c r="AO81"/>
  <c r="AO80"/>
  <c r="AO78"/>
  <c r="AO77"/>
  <c r="AO76"/>
  <c r="AO74"/>
  <c r="AO73"/>
  <c r="AO72"/>
  <c r="AO71"/>
  <c r="AO70"/>
  <c r="AO68"/>
  <c r="AO67"/>
  <c r="AO66"/>
  <c r="AO65"/>
  <c r="AO63"/>
  <c r="AO62"/>
  <c r="AO61"/>
  <c r="AO59"/>
  <c r="AO52"/>
  <c r="AO48"/>
  <c r="AO46"/>
  <c r="AO45"/>
  <c r="AO44"/>
  <c r="AO43"/>
  <c r="AO42"/>
  <c r="AO40"/>
  <c r="AO39"/>
  <c r="AO38"/>
  <c r="AO37"/>
  <c r="AO36"/>
  <c r="AO34"/>
  <c r="AO33"/>
  <c r="AO32"/>
  <c r="AO31"/>
  <c r="AO30"/>
  <c r="AO28"/>
  <c r="AO27"/>
  <c r="AO26"/>
  <c r="AO25"/>
  <c r="AO24"/>
  <c r="AO23"/>
  <c r="AO22"/>
  <c r="AO21"/>
  <c r="AO20"/>
  <c r="AO19"/>
  <c r="AO18"/>
  <c r="AO17"/>
  <c r="AO13"/>
  <c r="AO12"/>
  <c r="AO11"/>
  <c r="AO10"/>
  <c r="AO9"/>
  <c r="AO8"/>
  <c r="AO7"/>
  <c r="AO6"/>
  <c r="AO983"/>
  <c r="AO984" s="1"/>
  <c r="AO912"/>
  <c r="AJ445"/>
  <c r="AK445"/>
  <c r="AM445"/>
  <c r="AN445"/>
  <c r="AG485"/>
  <c r="AS485" s="1"/>
  <c r="BA906"/>
  <c r="BA905"/>
  <c r="BA904"/>
  <c r="BA903"/>
  <c r="BA902"/>
  <c r="BA901"/>
  <c r="BA900"/>
  <c r="BA899"/>
  <c r="BA898"/>
  <c r="BA897"/>
  <c r="BA896"/>
  <c r="BA895"/>
  <c r="BA894"/>
  <c r="BA893"/>
  <c r="BA892"/>
  <c r="BA891"/>
  <c r="BA890"/>
  <c r="BA889"/>
  <c r="BA888"/>
  <c r="BA887"/>
  <c r="BA886"/>
  <c r="BA885"/>
  <c r="BA884"/>
  <c r="BA883"/>
  <c r="BA882"/>
  <c r="BA881"/>
  <c r="BA880"/>
  <c r="BA879"/>
  <c r="BA878"/>
  <c r="BA877"/>
  <c r="BA876"/>
  <c r="BA875"/>
  <c r="BA874"/>
  <c r="BA873"/>
  <c r="BA872"/>
  <c r="BA871"/>
  <c r="BA870"/>
  <c r="BA869"/>
  <c r="BA868"/>
  <c r="BA867"/>
  <c r="BA866"/>
  <c r="BA865"/>
  <c r="BA864"/>
  <c r="BA863"/>
  <c r="BA862"/>
  <c r="BA861"/>
  <c r="BA860"/>
  <c r="BA859"/>
  <c r="BA858"/>
  <c r="BA857"/>
  <c r="BA856"/>
  <c r="BA855"/>
  <c r="BA854"/>
  <c r="BA853"/>
  <c r="BA852"/>
  <c r="BA851"/>
  <c r="BA850"/>
  <c r="BA849"/>
  <c r="BA848"/>
  <c r="BA847"/>
  <c r="BA846"/>
  <c r="BA845"/>
  <c r="BA844"/>
  <c r="BA843"/>
  <c r="BA842"/>
  <c r="BA841"/>
  <c r="BA840"/>
  <c r="BA839"/>
  <c r="BA838"/>
  <c r="BA837"/>
  <c r="BA836"/>
  <c r="BA835"/>
  <c r="BA834"/>
  <c r="BA833"/>
  <c r="BA832"/>
  <c r="BA831"/>
  <c r="BA830"/>
  <c r="BA829"/>
  <c r="BA828"/>
  <c r="BA827"/>
  <c r="BA826"/>
  <c r="BA825"/>
  <c r="BA824"/>
  <c r="BA823"/>
  <c r="BA822"/>
  <c r="BA821"/>
  <c r="BA820"/>
  <c r="BA819"/>
  <c r="BA818"/>
  <c r="BA817"/>
  <c r="BA816"/>
  <c r="BA815"/>
  <c r="BA814"/>
  <c r="BA813"/>
  <c r="BA812"/>
  <c r="BA811"/>
  <c r="BA810"/>
  <c r="BA809"/>
  <c r="BA808"/>
  <c r="BA807"/>
  <c r="BA806"/>
  <c r="BA805"/>
  <c r="BA804"/>
  <c r="BA803"/>
  <c r="BA802"/>
  <c r="BA801"/>
  <c r="BA800"/>
  <c r="BA799"/>
  <c r="BA798"/>
  <c r="BA797"/>
  <c r="BA795"/>
  <c r="BA793"/>
  <c r="BA792"/>
  <c r="BA791"/>
  <c r="BA790"/>
  <c r="BA789"/>
  <c r="BA788"/>
  <c r="BA787"/>
  <c r="BA786"/>
  <c r="BA785"/>
  <c r="BA784"/>
  <c r="BA783"/>
  <c r="BA782"/>
  <c r="BA781"/>
  <c r="BA780"/>
  <c r="BA779"/>
  <c r="BA778"/>
  <c r="BA777"/>
  <c r="BA776"/>
  <c r="BA775"/>
  <c r="BA774"/>
  <c r="BA773"/>
  <c r="BA772"/>
  <c r="BA771"/>
  <c r="BA770"/>
  <c r="BA769"/>
  <c r="BA768"/>
  <c r="BA767"/>
  <c r="BA766"/>
  <c r="BA765"/>
  <c r="BA764"/>
  <c r="BA763"/>
  <c r="BA762"/>
  <c r="BA761"/>
  <c r="BA760"/>
  <c r="BA759"/>
  <c r="BA758"/>
  <c r="BA757"/>
  <c r="BA756"/>
  <c r="BA755"/>
  <c r="BA754"/>
  <c r="BA753"/>
  <c r="BA752"/>
  <c r="BA751"/>
  <c r="BA750"/>
  <c r="BA749"/>
  <c r="BA748"/>
  <c r="BA747"/>
  <c r="BA746"/>
  <c r="BA745"/>
  <c r="BA744"/>
  <c r="BA743"/>
  <c r="BA742"/>
  <c r="BA741"/>
  <c r="BA740"/>
  <c r="BA739"/>
  <c r="BA738"/>
  <c r="BA737"/>
  <c r="BA736"/>
  <c r="BA735"/>
  <c r="BA734"/>
  <c r="BA733"/>
  <c r="BA732"/>
  <c r="BA731"/>
  <c r="BA730"/>
  <c r="BA729"/>
  <c r="BA728"/>
  <c r="BA727"/>
  <c r="BA726"/>
  <c r="BA725"/>
  <c r="BA724"/>
  <c r="BA723"/>
  <c r="BA722"/>
  <c r="BA721"/>
  <c r="BA720"/>
  <c r="BA719"/>
  <c r="BA718"/>
  <c r="BA717"/>
  <c r="BA716"/>
  <c r="BA715"/>
  <c r="BA714"/>
  <c r="BA713"/>
  <c r="BA712"/>
  <c r="BA711"/>
  <c r="BA710"/>
  <c r="BA709"/>
  <c r="BA708"/>
  <c r="BA707"/>
  <c r="BA706"/>
  <c r="BA705"/>
  <c r="BA704"/>
  <c r="BA703"/>
  <c r="BA702"/>
  <c r="BA701"/>
  <c r="BA700"/>
  <c r="BA699"/>
  <c r="BA698"/>
  <c r="BA697"/>
  <c r="BA696"/>
  <c r="BA695"/>
  <c r="BA694"/>
  <c r="BA693"/>
  <c r="BA692"/>
  <c r="BA691"/>
  <c r="BA690"/>
  <c r="BA689"/>
  <c r="BA688"/>
  <c r="BA687"/>
  <c r="BA686"/>
  <c r="BA685"/>
  <c r="BA684"/>
  <c r="BA683"/>
  <c r="BA682"/>
  <c r="BA681"/>
  <c r="BA680"/>
  <c r="BA679"/>
  <c r="BA678"/>
  <c r="BA677"/>
  <c r="BA676"/>
  <c r="BA675"/>
  <c r="BA674"/>
  <c r="BA673"/>
  <c r="BA672"/>
  <c r="BA671"/>
  <c r="BA670"/>
  <c r="BA669"/>
  <c r="BA668"/>
  <c r="BA667"/>
  <c r="BA666"/>
  <c r="BA665"/>
  <c r="BA664"/>
  <c r="BA663"/>
  <c r="BA662"/>
  <c r="BA661"/>
  <c r="BA660"/>
  <c r="BA659"/>
  <c r="BA658"/>
  <c r="BA657"/>
  <c r="BA656"/>
  <c r="BA655"/>
  <c r="BA654"/>
  <c r="BA653"/>
  <c r="BA652"/>
  <c r="BA651"/>
  <c r="BA650"/>
  <c r="BA649"/>
  <c r="BA648"/>
  <c r="BA647"/>
  <c r="BA646"/>
  <c r="BA645"/>
  <c r="BA644"/>
  <c r="BA643"/>
  <c r="BA642"/>
  <c r="BA641"/>
  <c r="BA640"/>
  <c r="BA639"/>
  <c r="BA638"/>
  <c r="BA637"/>
  <c r="BA636"/>
  <c r="BA635"/>
  <c r="BA634"/>
  <c r="BA633"/>
  <c r="BA632"/>
  <c r="BA631"/>
  <c r="BA630"/>
  <c r="BA629"/>
  <c r="BA628"/>
  <c r="BA627"/>
  <c r="BA626"/>
  <c r="BA625"/>
  <c r="BA624"/>
  <c r="BA623"/>
  <c r="BA622"/>
  <c r="BA621"/>
  <c r="BA620"/>
  <c r="BA619"/>
  <c r="BA618"/>
  <c r="BA617"/>
  <c r="BA616"/>
  <c r="BA615"/>
  <c r="BA614"/>
  <c r="BA613"/>
  <c r="BA612"/>
  <c r="BA611"/>
  <c r="BA610"/>
  <c r="BA609"/>
  <c r="BA608"/>
  <c r="BA607"/>
  <c r="BA606"/>
  <c r="BA605"/>
  <c r="BA604"/>
  <c r="BA603"/>
  <c r="BA602"/>
  <c r="BA601"/>
  <c r="BA600"/>
  <c r="BA599"/>
  <c r="BA598"/>
  <c r="BA597"/>
  <c r="BA596"/>
  <c r="BA595"/>
  <c r="BA594"/>
  <c r="BA593"/>
  <c r="BA592"/>
  <c r="BA591"/>
  <c r="BA590"/>
  <c r="BA589"/>
  <c r="BA588"/>
  <c r="BA587"/>
  <c r="BA586"/>
  <c r="BA585"/>
  <c r="BA584"/>
  <c r="BA583"/>
  <c r="BA582"/>
  <c r="BA581"/>
  <c r="BA580"/>
  <c r="BA579"/>
  <c r="BA578"/>
  <c r="BA577"/>
  <c r="BA576"/>
  <c r="BA575"/>
  <c r="BA574"/>
  <c r="BA573"/>
  <c r="BA572"/>
  <c r="BA571"/>
  <c r="BA570"/>
  <c r="BA569"/>
  <c r="BA568"/>
  <c r="BA567"/>
  <c r="BA566"/>
  <c r="BA565"/>
  <c r="BA564"/>
  <c r="BA563"/>
  <c r="BA562"/>
  <c r="BA561"/>
  <c r="BA560"/>
  <c r="BA559"/>
  <c r="BA558"/>
  <c r="BA557"/>
  <c r="BA556"/>
  <c r="BA555"/>
  <c r="BA554"/>
  <c r="BA553"/>
  <c r="BA552"/>
  <c r="BA551"/>
  <c r="BA550"/>
  <c r="BA549"/>
  <c r="BA548"/>
  <c r="BA547"/>
  <c r="BA546"/>
  <c r="BA545"/>
  <c r="BA544"/>
  <c r="BA543"/>
  <c r="BA542"/>
  <c r="BA541"/>
  <c r="BA540"/>
  <c r="BA539"/>
  <c r="BA538"/>
  <c r="BA537"/>
  <c r="BA536"/>
  <c r="BA535"/>
  <c r="BA534"/>
  <c r="BA533"/>
  <c r="BA532"/>
  <c r="BA531"/>
  <c r="BA530"/>
  <c r="BA529"/>
  <c r="BA528"/>
  <c r="BA527"/>
  <c r="BA526"/>
  <c r="BA525"/>
  <c r="BA524"/>
  <c r="BA523"/>
  <c r="BA522"/>
  <c r="BA521"/>
  <c r="BA520"/>
  <c r="BA519"/>
  <c r="BA518"/>
  <c r="BA517"/>
  <c r="BA516"/>
  <c r="BA515"/>
  <c r="BA514"/>
  <c r="BA513"/>
  <c r="BA512"/>
  <c r="BA511"/>
  <c r="BA510"/>
  <c r="BA509"/>
  <c r="BA508"/>
  <c r="BA507"/>
  <c r="BA506"/>
  <c r="BA505"/>
  <c r="BA504"/>
  <c r="BA503"/>
  <c r="BA502"/>
  <c r="BA501"/>
  <c r="BA500"/>
  <c r="BA499"/>
  <c r="BA498"/>
  <c r="BA497"/>
  <c r="BA496"/>
  <c r="BA495"/>
  <c r="BA494"/>
  <c r="BA493"/>
  <c r="BA492"/>
  <c r="BA491"/>
  <c r="BA490"/>
  <c r="BA489"/>
  <c r="BA488"/>
  <c r="BA487"/>
  <c r="BA486"/>
  <c r="BA485"/>
  <c r="BA484"/>
  <c r="BA483"/>
  <c r="BA482"/>
  <c r="BA481"/>
  <c r="BA480"/>
  <c r="BA479"/>
  <c r="BA478"/>
  <c r="BA477"/>
  <c r="BA476"/>
  <c r="BA475"/>
  <c r="BA474"/>
  <c r="BA473"/>
  <c r="BA472"/>
  <c r="BA471"/>
  <c r="BA470"/>
  <c r="BA469"/>
  <c r="BA468"/>
  <c r="BA467"/>
  <c r="BA466"/>
  <c r="BA465"/>
  <c r="BA464"/>
  <c r="BA463"/>
  <c r="BA462"/>
  <c r="BA461"/>
  <c r="BA460"/>
  <c r="BA459"/>
  <c r="BA458"/>
  <c r="BA457"/>
  <c r="BA456"/>
  <c r="BA455"/>
  <c r="BA454"/>
  <c r="BA453"/>
  <c r="BA452"/>
  <c r="BA451"/>
  <c r="BA450"/>
  <c r="BA449"/>
  <c r="BA448"/>
  <c r="BA447"/>
  <c r="BA446"/>
  <c r="BA445"/>
  <c r="BA444"/>
  <c r="BA443"/>
  <c r="BA442"/>
  <c r="BA441"/>
  <c r="BA440"/>
  <c r="BA439"/>
  <c r="BA438"/>
  <c r="BA437"/>
  <c r="BA436"/>
  <c r="BA435"/>
  <c r="BA434"/>
  <c r="BA433"/>
  <c r="BA432"/>
  <c r="BA431"/>
  <c r="BA430"/>
  <c r="BA429"/>
  <c r="BA428"/>
  <c r="BA427"/>
  <c r="BA426"/>
  <c r="BA425"/>
  <c r="BA424"/>
  <c r="BA423"/>
  <c r="BA422"/>
  <c r="BA421"/>
  <c r="BA420"/>
  <c r="BA419"/>
  <c r="BA418"/>
  <c r="BA417"/>
  <c r="BA416"/>
  <c r="BA415"/>
  <c r="BA414"/>
  <c r="BA413"/>
  <c r="BA412"/>
  <c r="BA411"/>
  <c r="BA410"/>
  <c r="BA409"/>
  <c r="BA408"/>
  <c r="BA407"/>
  <c r="BA406"/>
  <c r="BA405"/>
  <c r="BA404"/>
  <c r="BA403"/>
  <c r="BA402"/>
  <c r="BA401"/>
  <c r="BA400"/>
  <c r="BA399"/>
  <c r="BA398"/>
  <c r="BA397"/>
  <c r="BA396"/>
  <c r="BA395"/>
  <c r="BA394"/>
  <c r="BA393"/>
  <c r="BA392"/>
  <c r="BA391"/>
  <c r="BA390"/>
  <c r="BA389"/>
  <c r="BA388"/>
  <c r="BA387"/>
  <c r="BA386"/>
  <c r="BA385"/>
  <c r="BA384"/>
  <c r="BA383"/>
  <c r="BA382"/>
  <c r="BA381"/>
  <c r="BA380"/>
  <c r="BA379"/>
  <c r="BA378"/>
  <c r="BA377"/>
  <c r="BA376"/>
  <c r="BA375"/>
  <c r="BA374"/>
  <c r="BA373"/>
  <c r="BA372"/>
  <c r="BA371"/>
  <c r="BA370"/>
  <c r="BA369"/>
  <c r="BA368"/>
  <c r="BA367"/>
  <c r="BA366"/>
  <c r="BA365"/>
  <c r="BA364"/>
  <c r="BA363"/>
  <c r="BA362"/>
  <c r="BA361"/>
  <c r="BA360"/>
  <c r="BA359"/>
  <c r="BA358"/>
  <c r="BA357"/>
  <c r="BA356"/>
  <c r="BA355"/>
  <c r="BA354"/>
  <c r="BA353"/>
  <c r="BA352"/>
  <c r="BA351"/>
  <c r="BA350"/>
  <c r="BA349"/>
  <c r="BA348"/>
  <c r="BA347"/>
  <c r="BA346"/>
  <c r="BA345"/>
  <c r="BA344"/>
  <c r="BA343"/>
  <c r="BA342"/>
  <c r="BA341"/>
  <c r="BA340"/>
  <c r="BA339"/>
  <c r="BA338"/>
  <c r="BA337"/>
  <c r="BA336"/>
  <c r="BA335"/>
  <c r="BA334"/>
  <c r="BA333"/>
  <c r="BA332"/>
  <c r="BA331"/>
  <c r="BA330"/>
  <c r="BA329"/>
  <c r="BA328"/>
  <c r="BA327"/>
  <c r="BA326"/>
  <c r="BA325"/>
  <c r="BA324"/>
  <c r="BA323"/>
  <c r="BA322"/>
  <c r="BA321"/>
  <c r="BA320"/>
  <c r="BA319"/>
  <c r="BA318"/>
  <c r="BA317"/>
  <c r="BA316"/>
  <c r="BA315"/>
  <c r="BA314"/>
  <c r="BA313"/>
  <c r="BA312"/>
  <c r="BA311"/>
  <c r="BA310"/>
  <c r="BA309"/>
  <c r="BA308"/>
  <c r="BA307"/>
  <c r="BA306"/>
  <c r="BA305"/>
  <c r="BA304"/>
  <c r="BA303"/>
  <c r="BA302"/>
  <c r="BA301"/>
  <c r="BA300"/>
  <c r="BA299"/>
  <c r="BA298"/>
  <c r="BA297"/>
  <c r="BA296"/>
  <c r="BA295"/>
  <c r="BA294"/>
  <c r="BA293"/>
  <c r="BA292"/>
  <c r="BA291"/>
  <c r="BA290"/>
  <c r="BA289"/>
  <c r="BA288"/>
  <c r="BA287"/>
  <c r="BA286"/>
  <c r="BA285"/>
  <c r="BA284"/>
  <c r="BA283"/>
  <c r="BA282"/>
  <c r="BA281"/>
  <c r="BA280"/>
  <c r="BA279"/>
  <c r="BA278"/>
  <c r="BA277"/>
  <c r="BA276"/>
  <c r="BA275"/>
  <c r="BA274"/>
  <c r="BA273"/>
  <c r="BA272"/>
  <c r="BA271"/>
  <c r="BA270"/>
  <c r="BA269"/>
  <c r="BA268"/>
  <c r="BA267"/>
  <c r="BA266"/>
  <c r="BA265"/>
  <c r="BA264"/>
  <c r="BA263"/>
  <c r="BA262"/>
  <c r="BA261"/>
  <c r="BA260"/>
  <c r="BA259"/>
  <c r="BA258"/>
  <c r="BA257"/>
  <c r="BA256"/>
  <c r="BA255"/>
  <c r="BA254"/>
  <c r="BA253"/>
  <c r="BA252"/>
  <c r="BA251"/>
  <c r="BA250"/>
  <c r="BA249"/>
  <c r="BA248"/>
  <c r="BA247"/>
  <c r="BA246"/>
  <c r="BA245"/>
  <c r="BA244"/>
  <c r="BA243"/>
  <c r="BA242"/>
  <c r="BA241"/>
  <c r="BA240"/>
  <c r="BA239"/>
  <c r="BA238"/>
  <c r="BA237"/>
  <c r="BA236"/>
  <c r="BA235"/>
  <c r="BA234"/>
  <c r="BA233"/>
  <c r="BA232"/>
  <c r="BA231"/>
  <c r="BA230"/>
  <c r="BA229"/>
  <c r="BA228"/>
  <c r="BA227"/>
  <c r="BA226"/>
  <c r="BA225"/>
  <c r="BA224"/>
  <c r="BA223"/>
  <c r="BA222"/>
  <c r="BA221"/>
  <c r="BA220"/>
  <c r="BA219"/>
  <c r="BA218"/>
  <c r="BA217"/>
  <c r="BA216"/>
  <c r="BA215"/>
  <c r="BA214"/>
  <c r="BA213"/>
  <c r="BA212"/>
  <c r="BA211"/>
  <c r="BA210"/>
  <c r="BA209"/>
  <c r="BA208"/>
  <c r="BA207"/>
  <c r="BA206"/>
  <c r="BA205"/>
  <c r="BA204"/>
  <c r="BA203"/>
  <c r="BA202"/>
  <c r="BA201"/>
  <c r="BA200"/>
  <c r="BA199"/>
  <c r="BA198"/>
  <c r="BA197"/>
  <c r="BA196"/>
  <c r="BA195"/>
  <c r="BA194"/>
  <c r="BA193"/>
  <c r="BA192"/>
  <c r="BA191"/>
  <c r="BA190"/>
  <c r="BA189"/>
  <c r="BA188"/>
  <c r="BA187"/>
  <c r="BA186"/>
  <c r="BA185"/>
  <c r="BA184"/>
  <c r="BA183"/>
  <c r="BA182"/>
  <c r="BA181"/>
  <c r="BA180"/>
  <c r="BA179"/>
  <c r="BA178"/>
  <c r="BA177"/>
  <c r="BA176"/>
  <c r="BA175"/>
  <c r="BA174"/>
  <c r="BA173"/>
  <c r="BA172"/>
  <c r="BA171"/>
  <c r="BA170"/>
  <c r="BA169"/>
  <c r="BA168"/>
  <c r="BA167"/>
  <c r="BA166"/>
  <c r="BA165"/>
  <c r="BA164"/>
  <c r="BA163"/>
  <c r="BA162"/>
  <c r="BA161"/>
  <c r="BA160"/>
  <c r="BA159"/>
  <c r="BA158"/>
  <c r="BA157"/>
  <c r="BA156"/>
  <c r="BA155"/>
  <c r="BA154"/>
  <c r="BA153"/>
  <c r="BA152"/>
  <c r="BA151"/>
  <c r="BA150"/>
  <c r="BA149"/>
  <c r="BA148"/>
  <c r="BA147"/>
  <c r="BA146"/>
  <c r="BA145"/>
  <c r="BA144"/>
  <c r="BA143"/>
  <c r="BA142"/>
  <c r="BA141"/>
  <c r="BA140"/>
  <c r="BA139"/>
  <c r="BA138"/>
  <c r="BA137"/>
  <c r="BA136"/>
  <c r="BA135"/>
  <c r="BA134"/>
  <c r="BA133"/>
  <c r="BA132"/>
  <c r="BA131"/>
  <c r="BA130"/>
  <c r="BA129"/>
  <c r="BA128"/>
  <c r="BA127"/>
  <c r="BA126"/>
  <c r="BA125"/>
  <c r="BA124"/>
  <c r="BA123"/>
  <c r="BA122"/>
  <c r="BA121"/>
  <c r="BA120"/>
  <c r="BA119"/>
  <c r="BA118"/>
  <c r="BA117"/>
  <c r="BA116"/>
  <c r="BA115"/>
  <c r="BA114"/>
  <c r="BA113"/>
  <c r="BA112"/>
  <c r="BA111"/>
  <c r="BA110"/>
  <c r="BA109"/>
  <c r="BA108"/>
  <c r="BA107"/>
  <c r="BA106"/>
  <c r="BA105"/>
  <c r="BA104"/>
  <c r="BA103"/>
  <c r="BA102"/>
  <c r="BA101"/>
  <c r="BA100"/>
  <c r="BA99"/>
  <c r="BA98"/>
  <c r="BA97"/>
  <c r="BA96"/>
  <c r="BA95"/>
  <c r="BA94"/>
  <c r="BA93"/>
  <c r="BA92"/>
  <c r="BA91"/>
  <c r="BA90"/>
  <c r="BA89"/>
  <c r="BA88"/>
  <c r="BA87"/>
  <c r="BA86"/>
  <c r="BA85"/>
  <c r="BA84"/>
  <c r="BA83"/>
  <c r="BA82"/>
  <c r="BA81"/>
  <c r="BA80"/>
  <c r="BA79"/>
  <c r="BA78"/>
  <c r="BA77"/>
  <c r="BA76"/>
  <c r="BA75"/>
  <c r="BA74"/>
  <c r="BA73"/>
  <c r="BA72"/>
  <c r="BA71"/>
  <c r="BA70"/>
  <c r="BA69"/>
  <c r="BA68"/>
  <c r="BA67"/>
  <c r="BA66"/>
  <c r="BA65"/>
  <c r="BA64"/>
  <c r="BA63"/>
  <c r="BA62"/>
  <c r="BA61"/>
  <c r="BA60"/>
  <c r="BA59"/>
  <c r="BA58"/>
  <c r="BA57"/>
  <c r="BA56"/>
  <c r="BA55"/>
  <c r="BA54"/>
  <c r="BA53"/>
  <c r="BA52"/>
  <c r="BA51"/>
  <c r="BA50"/>
  <c r="BA49"/>
  <c r="BA48"/>
  <c r="BA47"/>
  <c r="BA46"/>
  <c r="BA45"/>
  <c r="BA44"/>
  <c r="BA43"/>
  <c r="BA42"/>
  <c r="BA41"/>
  <c r="BA40"/>
  <c r="BA39"/>
  <c r="BA38"/>
  <c r="BA37"/>
  <c r="BA36"/>
  <c r="BA35"/>
  <c r="BA34"/>
  <c r="BA33"/>
  <c r="BA32"/>
  <c r="BA31"/>
  <c r="BA30"/>
  <c r="BA29"/>
  <c r="BA28"/>
  <c r="BA27"/>
  <c r="BA26"/>
  <c r="BA25"/>
  <c r="BA24"/>
  <c r="BA23"/>
  <c r="BA22"/>
  <c r="BA21"/>
  <c r="BA20"/>
  <c r="BA19"/>
  <c r="BA18"/>
  <c r="BA17"/>
  <c r="BA16"/>
  <c r="BA15"/>
  <c r="BA14"/>
  <c r="BA13"/>
  <c r="BA12"/>
  <c r="BA11"/>
  <c r="BA10"/>
  <c r="BA9"/>
  <c r="BA8"/>
  <c r="BA7"/>
  <c r="BA6"/>
  <c r="BE885"/>
  <c r="P12" i="33"/>
  <c r="BQ10" i="6"/>
  <c r="BQ9"/>
  <c r="BQ8"/>
  <c r="BQ7"/>
  <c r="BO10"/>
  <c r="BO9"/>
  <c r="BO7"/>
  <c r="BO8"/>
  <c r="F167" i="16"/>
  <c r="F166"/>
  <c r="F165"/>
  <c r="F164"/>
  <c r="F163"/>
  <c r="F162"/>
  <c r="F161"/>
  <c r="F160"/>
  <c r="F159"/>
  <c r="F158"/>
  <c r="F157"/>
  <c r="F156"/>
  <c r="F155"/>
  <c r="F154"/>
  <c r="F153"/>
  <c r="F152"/>
  <c r="F151"/>
  <c r="F150"/>
  <c r="F149"/>
  <c r="F148"/>
  <c r="F147"/>
  <c r="F146"/>
  <c r="F145"/>
  <c r="J198" i="12" s="1"/>
  <c r="F144" i="16"/>
  <c r="F143"/>
  <c r="F142"/>
  <c r="F141"/>
  <c r="F140"/>
  <c r="F139"/>
  <c r="F138"/>
  <c r="F137"/>
  <c r="F136"/>
  <c r="F135"/>
  <c r="F134"/>
  <c r="F133"/>
  <c r="F132"/>
  <c r="F131"/>
  <c r="F130"/>
  <c r="F129"/>
  <c r="F128"/>
  <c r="F127"/>
  <c r="G126"/>
  <c r="F126"/>
  <c r="G125"/>
  <c r="F125"/>
  <c r="G124"/>
  <c r="F124"/>
  <c r="G123"/>
  <c r="F123"/>
  <c r="F122"/>
  <c r="F121"/>
  <c r="F120"/>
  <c r="G39"/>
  <c r="F39" s="1"/>
  <c r="G38"/>
  <c r="F38" s="1"/>
  <c r="G37"/>
  <c r="F37" s="1"/>
  <c r="F30"/>
  <c r="F29"/>
  <c r="F28"/>
  <c r="F27"/>
  <c r="F26"/>
  <c r="F25"/>
  <c r="F24"/>
  <c r="F23"/>
  <c r="F22"/>
  <c r="F21"/>
  <c r="F20"/>
  <c r="F19"/>
  <c r="F18"/>
  <c r="F17"/>
  <c r="F16"/>
  <c r="G3"/>
  <c r="F3"/>
  <c r="CN376" i="20"/>
  <c r="CM376"/>
  <c r="CL376"/>
  <c r="CK376"/>
  <c r="CJ376"/>
  <c r="CI376"/>
  <c r="CH376"/>
  <c r="CG376"/>
  <c r="CF376"/>
  <c r="CE376"/>
  <c r="CD376"/>
  <c r="CC376"/>
  <c r="CB376"/>
  <c r="CA376"/>
  <c r="BZ376"/>
  <c r="BY376"/>
  <c r="BX376"/>
  <c r="BW376"/>
  <c r="BV376"/>
  <c r="BU376"/>
  <c r="BT376"/>
  <c r="BS376"/>
  <c r="BR376"/>
  <c r="BQ376"/>
  <c r="BP376"/>
  <c r="BO376"/>
  <c r="BN376"/>
  <c r="BM376"/>
  <c r="BL376"/>
  <c r="BK376"/>
  <c r="BJ376"/>
  <c r="BI376"/>
  <c r="BH376"/>
  <c r="BG376"/>
  <c r="BF376"/>
  <c r="BE376"/>
  <c r="BD376"/>
  <c r="BC376"/>
  <c r="BB376"/>
  <c r="BA376"/>
  <c r="AZ376"/>
  <c r="AY376"/>
  <c r="AX376"/>
  <c r="AW376"/>
  <c r="AV376"/>
  <c r="AT376"/>
  <c r="AS376"/>
  <c r="AR376"/>
  <c r="AQ376"/>
  <c r="AP376"/>
  <c r="AO376"/>
  <c r="AN376"/>
  <c r="AM376"/>
  <c r="AL376"/>
  <c r="AK376"/>
  <c r="AJ376"/>
  <c r="AI376"/>
  <c r="AH376"/>
  <c r="AG376"/>
  <c r="AF376"/>
  <c r="AE376"/>
  <c r="AD376"/>
  <c r="AC376"/>
  <c r="AB376"/>
  <c r="AA376"/>
  <c r="Z376"/>
  <c r="Y376"/>
  <c r="X376"/>
  <c r="W376"/>
  <c r="V376"/>
  <c r="U376"/>
  <c r="T376"/>
  <c r="S376"/>
  <c r="R376"/>
  <c r="Q376"/>
  <c r="P376"/>
  <c r="O376"/>
  <c r="N376"/>
  <c r="M376"/>
  <c r="L376"/>
  <c r="K376"/>
  <c r="J376"/>
  <c r="I376"/>
  <c r="H376"/>
  <c r="G376"/>
  <c r="F376"/>
  <c r="E376"/>
  <c r="D376"/>
  <c r="C376"/>
  <c r="B376"/>
  <c r="CN375"/>
  <c r="CM375"/>
  <c r="CL375"/>
  <c r="CK375"/>
  <c r="CJ375"/>
  <c r="CI375"/>
  <c r="CH375"/>
  <c r="CG375"/>
  <c r="CF375"/>
  <c r="CE375"/>
  <c r="CD375"/>
  <c r="CC375"/>
  <c r="CB375"/>
  <c r="CA375"/>
  <c r="BZ375"/>
  <c r="BY375"/>
  <c r="BX375"/>
  <c r="BW375"/>
  <c r="BV375"/>
  <c r="BU375"/>
  <c r="BT375"/>
  <c r="BS375"/>
  <c r="BR375"/>
  <c r="BQ375"/>
  <c r="BP375"/>
  <c r="BO375"/>
  <c r="BN375"/>
  <c r="BM375"/>
  <c r="BL375"/>
  <c r="BK375"/>
  <c r="BJ375"/>
  <c r="BI375"/>
  <c r="BH375"/>
  <c r="BG375"/>
  <c r="BF375"/>
  <c r="BE375"/>
  <c r="BD375"/>
  <c r="BC375"/>
  <c r="BB375"/>
  <c r="BA375"/>
  <c r="AZ375"/>
  <c r="AY375"/>
  <c r="AX375"/>
  <c r="AW375"/>
  <c r="AV375"/>
  <c r="AT375"/>
  <c r="AS375"/>
  <c r="AR375"/>
  <c r="AQ375"/>
  <c r="AP375"/>
  <c r="AO375"/>
  <c r="AN375"/>
  <c r="AM375"/>
  <c r="AL375"/>
  <c r="AK375"/>
  <c r="AJ375"/>
  <c r="AI375"/>
  <c r="AH375"/>
  <c r="AG375"/>
  <c r="AF375"/>
  <c r="AE375"/>
  <c r="AD375"/>
  <c r="AC375"/>
  <c r="AB375"/>
  <c r="AA375"/>
  <c r="Z375"/>
  <c r="Y375"/>
  <c r="X375"/>
  <c r="W375"/>
  <c r="V375"/>
  <c r="U375"/>
  <c r="T375"/>
  <c r="S375"/>
  <c r="R375"/>
  <c r="Q375"/>
  <c r="P375"/>
  <c r="O375"/>
  <c r="N375"/>
  <c r="M375"/>
  <c r="L375"/>
  <c r="K375"/>
  <c r="J375"/>
  <c r="I375"/>
  <c r="H375"/>
  <c r="G375"/>
  <c r="F375"/>
  <c r="E375"/>
  <c r="D375"/>
  <c r="C375"/>
  <c r="B375"/>
  <c r="B230"/>
  <c r="B231" s="1"/>
  <c r="B232" s="1"/>
  <c r="B233" s="1"/>
  <c r="B234" s="1"/>
  <c r="B235" s="1"/>
  <c r="B236" s="1"/>
  <c r="B237" s="1"/>
  <c r="B238" s="1"/>
  <c r="B239" s="1"/>
  <c r="B240" s="1"/>
  <c r="B241" s="1"/>
  <c r="B242" s="1"/>
  <c r="B243" s="1"/>
  <c r="B244" s="1"/>
  <c r="B245" s="1"/>
  <c r="B246" s="1"/>
  <c r="B247" s="1"/>
  <c r="B248" s="1"/>
  <c r="B249" s="1"/>
  <c r="B250" s="1"/>
  <c r="B251" s="1"/>
  <c r="B252" s="1"/>
  <c r="B229"/>
  <c r="B191"/>
  <c r="BG131"/>
  <c r="BF131"/>
  <c r="BE131"/>
  <c r="BD131"/>
  <c r="BC131"/>
  <c r="BB131"/>
  <c r="BA131"/>
  <c r="AZ131"/>
  <c r="AY131"/>
  <c r="AX131"/>
  <c r="AU131"/>
  <c r="AT131"/>
  <c r="AS131"/>
  <c r="AR131"/>
  <c r="AQ131"/>
  <c r="AP131"/>
  <c r="AO131"/>
  <c r="AN131"/>
  <c r="AM131"/>
  <c r="AL131"/>
  <c r="AI131"/>
  <c r="AH131"/>
  <c r="AG131"/>
  <c r="AF131"/>
  <c r="AE131"/>
  <c r="AD131"/>
  <c r="AC131"/>
  <c r="AB131"/>
  <c r="AA131"/>
  <c r="Z131"/>
  <c r="W131"/>
  <c r="V131"/>
  <c r="U131"/>
  <c r="T131"/>
  <c r="S131"/>
  <c r="R131"/>
  <c r="Q131"/>
  <c r="P131"/>
  <c r="O131"/>
  <c r="N131"/>
  <c r="K131"/>
  <c r="J131"/>
  <c r="I131"/>
  <c r="H131"/>
  <c r="G131"/>
  <c r="F131"/>
  <c r="E131"/>
  <c r="D131"/>
  <c r="C131"/>
  <c r="B131"/>
  <c r="BG130"/>
  <c r="BF130"/>
  <c r="BE130"/>
  <c r="BD130"/>
  <c r="BC130"/>
  <c r="BB130"/>
  <c r="BA130"/>
  <c r="AZ130"/>
  <c r="AY130"/>
  <c r="AX130"/>
  <c r="AU130"/>
  <c r="AT130"/>
  <c r="AS130"/>
  <c r="AR130"/>
  <c r="AQ130"/>
  <c r="AP130"/>
  <c r="AO130"/>
  <c r="AN130"/>
  <c r="AM130"/>
  <c r="AL130"/>
  <c r="AI130"/>
  <c r="AH130"/>
  <c r="AG130"/>
  <c r="AF130"/>
  <c r="AE130"/>
  <c r="AD130"/>
  <c r="AC130"/>
  <c r="AB130"/>
  <c r="AA130"/>
  <c r="Z130"/>
  <c r="W130"/>
  <c r="V130"/>
  <c r="U130"/>
  <c r="T130"/>
  <c r="S130"/>
  <c r="R130"/>
  <c r="Q130"/>
  <c r="P130"/>
  <c r="O130"/>
  <c r="N130"/>
  <c r="K130"/>
  <c r="J130"/>
  <c r="I130"/>
  <c r="H130"/>
  <c r="G130"/>
  <c r="F130"/>
  <c r="E130"/>
  <c r="D130"/>
  <c r="C130"/>
  <c r="B130"/>
  <c r="BG129"/>
  <c r="BF129"/>
  <c r="BE129"/>
  <c r="BD129"/>
  <c r="BC129"/>
  <c r="BB129"/>
  <c r="BA129"/>
  <c r="AZ129"/>
  <c r="AY129"/>
  <c r="AX129"/>
  <c r="AU129"/>
  <c r="AT129"/>
  <c r="AS129"/>
  <c r="AR129"/>
  <c r="AQ129"/>
  <c r="AP129"/>
  <c r="AO129"/>
  <c r="AN129"/>
  <c r="AM129"/>
  <c r="AL129"/>
  <c r="AI129"/>
  <c r="AH129"/>
  <c r="AG129"/>
  <c r="AF129"/>
  <c r="AE129"/>
  <c r="AD129"/>
  <c r="AC129"/>
  <c r="AB129"/>
  <c r="AA129"/>
  <c r="Z129"/>
  <c r="W129"/>
  <c r="V129"/>
  <c r="U129"/>
  <c r="T129"/>
  <c r="S129"/>
  <c r="R129"/>
  <c r="Q129"/>
  <c r="P129"/>
  <c r="O129"/>
  <c r="N129"/>
  <c r="K129"/>
  <c r="J129"/>
  <c r="I129"/>
  <c r="H129"/>
  <c r="G129"/>
  <c r="F129"/>
  <c r="E129"/>
  <c r="D129"/>
  <c r="C129"/>
  <c r="B129"/>
  <c r="BG128"/>
  <c r="BF128"/>
  <c r="BE128"/>
  <c r="BD128"/>
  <c r="BC128"/>
  <c r="BB128"/>
  <c r="BA128"/>
  <c r="AZ128"/>
  <c r="AY128"/>
  <c r="AX128"/>
  <c r="AU128"/>
  <c r="AT128"/>
  <c r="AS128"/>
  <c r="AR128"/>
  <c r="AQ128"/>
  <c r="AP128"/>
  <c r="AO128"/>
  <c r="AN128"/>
  <c r="AM128"/>
  <c r="AL128"/>
  <c r="AI128"/>
  <c r="AH128"/>
  <c r="AG128"/>
  <c r="AF128"/>
  <c r="AE128"/>
  <c r="AD128"/>
  <c r="AC128"/>
  <c r="AB128"/>
  <c r="AA128"/>
  <c r="Z128"/>
  <c r="W128"/>
  <c r="V128"/>
  <c r="U128"/>
  <c r="T128"/>
  <c r="S128"/>
  <c r="R128"/>
  <c r="Q128"/>
  <c r="P128"/>
  <c r="O128"/>
  <c r="N128"/>
  <c r="K128"/>
  <c r="J128"/>
  <c r="I128"/>
  <c r="H128"/>
  <c r="G128"/>
  <c r="F128"/>
  <c r="E128"/>
  <c r="D128"/>
  <c r="C128"/>
  <c r="B128"/>
  <c r="BG127"/>
  <c r="BF127"/>
  <c r="BE127"/>
  <c r="BD127"/>
  <c r="BC127"/>
  <c r="BB127"/>
  <c r="BA127"/>
  <c r="AZ127"/>
  <c r="AY127"/>
  <c r="AX127"/>
  <c r="AU127"/>
  <c r="AT127"/>
  <c r="AS127"/>
  <c r="AR127"/>
  <c r="AQ127"/>
  <c r="AP127"/>
  <c r="AO127"/>
  <c r="AN127"/>
  <c r="AM127"/>
  <c r="AL127"/>
  <c r="AI127"/>
  <c r="AH127"/>
  <c r="AG127"/>
  <c r="AF127"/>
  <c r="AE127"/>
  <c r="AD127"/>
  <c r="AC127"/>
  <c r="AB127"/>
  <c r="AA127"/>
  <c r="Z127"/>
  <c r="W127"/>
  <c r="V127"/>
  <c r="U127"/>
  <c r="T127"/>
  <c r="S127"/>
  <c r="R127"/>
  <c r="Q127"/>
  <c r="P127"/>
  <c r="O127"/>
  <c r="N127"/>
  <c r="K127"/>
  <c r="J127"/>
  <c r="I127"/>
  <c r="H127"/>
  <c r="G127"/>
  <c r="F127"/>
  <c r="E127"/>
  <c r="D127"/>
  <c r="C127"/>
  <c r="B127"/>
  <c r="BG126"/>
  <c r="BF126"/>
  <c r="BE126"/>
  <c r="BD126"/>
  <c r="BC126"/>
  <c r="BB126"/>
  <c r="BA126"/>
  <c r="AZ126"/>
  <c r="AY126"/>
  <c r="AX126"/>
  <c r="AU126"/>
  <c r="AT126"/>
  <c r="AS126"/>
  <c r="AR126"/>
  <c r="AQ126"/>
  <c r="AP126"/>
  <c r="AO126"/>
  <c r="AN126"/>
  <c r="AM126"/>
  <c r="AL126"/>
  <c r="AI126"/>
  <c r="AH126"/>
  <c r="AG126"/>
  <c r="AF126"/>
  <c r="AE126"/>
  <c r="AD126"/>
  <c r="AC126"/>
  <c r="AB126"/>
  <c r="AA126"/>
  <c r="Z126"/>
  <c r="W126"/>
  <c r="V126"/>
  <c r="U126"/>
  <c r="T126"/>
  <c r="S126"/>
  <c r="R126"/>
  <c r="Q126"/>
  <c r="P126"/>
  <c r="O126"/>
  <c r="N126"/>
  <c r="K126"/>
  <c r="J126"/>
  <c r="I126"/>
  <c r="H126"/>
  <c r="G126"/>
  <c r="F126"/>
  <c r="E126"/>
  <c r="D126"/>
  <c r="C126"/>
  <c r="B126"/>
  <c r="BG125"/>
  <c r="BF125"/>
  <c r="BE125"/>
  <c r="BD125"/>
  <c r="BC125"/>
  <c r="BB125"/>
  <c r="BA125"/>
  <c r="AZ125"/>
  <c r="AY125"/>
  <c r="AX125"/>
  <c r="AU125"/>
  <c r="AT125"/>
  <c r="AS125"/>
  <c r="AR125"/>
  <c r="AQ125"/>
  <c r="AP125"/>
  <c r="AO125"/>
  <c r="AN125"/>
  <c r="AM125"/>
  <c r="AL125"/>
  <c r="AI125"/>
  <c r="AH125"/>
  <c r="AG125"/>
  <c r="AF125"/>
  <c r="AE125"/>
  <c r="AD125"/>
  <c r="AC125"/>
  <c r="AB125"/>
  <c r="AA125"/>
  <c r="Z125"/>
  <c r="W125"/>
  <c r="V125"/>
  <c r="U125"/>
  <c r="T125"/>
  <c r="S125"/>
  <c r="R125"/>
  <c r="Q125"/>
  <c r="P125"/>
  <c r="O125"/>
  <c r="N125"/>
  <c r="K125"/>
  <c r="J125"/>
  <c r="I125"/>
  <c r="H125"/>
  <c r="G125"/>
  <c r="F125"/>
  <c r="E125"/>
  <c r="D125"/>
  <c r="C125"/>
  <c r="B125"/>
  <c r="BG124"/>
  <c r="BF124"/>
  <c r="BE124"/>
  <c r="BD124"/>
  <c r="BC124"/>
  <c r="BB124"/>
  <c r="BA124"/>
  <c r="AZ124"/>
  <c r="AY124"/>
  <c r="AX124"/>
  <c r="AU124"/>
  <c r="AT124"/>
  <c r="AS124"/>
  <c r="AR124"/>
  <c r="AQ124"/>
  <c r="AP124"/>
  <c r="AO124"/>
  <c r="AN124"/>
  <c r="AM124"/>
  <c r="AL124"/>
  <c r="AI124"/>
  <c r="AH124"/>
  <c r="AG124"/>
  <c r="AF124"/>
  <c r="AE124"/>
  <c r="AD124"/>
  <c r="AC124"/>
  <c r="AB124"/>
  <c r="AA124"/>
  <c r="Z124"/>
  <c r="W124"/>
  <c r="V124"/>
  <c r="U124"/>
  <c r="T124"/>
  <c r="S124"/>
  <c r="R124"/>
  <c r="Q124"/>
  <c r="P124"/>
  <c r="O124"/>
  <c r="N124"/>
  <c r="K124"/>
  <c r="J124"/>
  <c r="I124"/>
  <c r="H124"/>
  <c r="G124"/>
  <c r="F124"/>
  <c r="E124"/>
  <c r="D124"/>
  <c r="C124"/>
  <c r="B124"/>
  <c r="BG123"/>
  <c r="BF123"/>
  <c r="BE123"/>
  <c r="BD123"/>
  <c r="BC123"/>
  <c r="BB123"/>
  <c r="BA123"/>
  <c r="AZ123"/>
  <c r="AY123"/>
  <c r="AX123"/>
  <c r="AU123"/>
  <c r="AT123"/>
  <c r="AS123"/>
  <c r="AR123"/>
  <c r="AQ123"/>
  <c r="AP123"/>
  <c r="AO123"/>
  <c r="AN123"/>
  <c r="AM123"/>
  <c r="AL123"/>
  <c r="AI123"/>
  <c r="AH123"/>
  <c r="AG123"/>
  <c r="AF123"/>
  <c r="AE123"/>
  <c r="AD123"/>
  <c r="AC123"/>
  <c r="AB123"/>
  <c r="AA123"/>
  <c r="Z123"/>
  <c r="W123"/>
  <c r="V123"/>
  <c r="U123"/>
  <c r="T123"/>
  <c r="S123"/>
  <c r="R123"/>
  <c r="Q123"/>
  <c r="P123"/>
  <c r="O123"/>
  <c r="N123"/>
  <c r="K123"/>
  <c r="J123"/>
  <c r="I123"/>
  <c r="H123"/>
  <c r="G123"/>
  <c r="F123"/>
  <c r="E123"/>
  <c r="D123"/>
  <c r="C123"/>
  <c r="B123"/>
  <c r="BG122"/>
  <c r="BF122"/>
  <c r="BE122"/>
  <c r="BD122"/>
  <c r="BC122"/>
  <c r="BB122"/>
  <c r="BA122"/>
  <c r="AZ122"/>
  <c r="AY122"/>
  <c r="AX122"/>
  <c r="AU122"/>
  <c r="AT122"/>
  <c r="AS122"/>
  <c r="AR122"/>
  <c r="AQ122"/>
  <c r="AP122"/>
  <c r="AO122"/>
  <c r="AN122"/>
  <c r="AM122"/>
  <c r="AL122"/>
  <c r="AI122"/>
  <c r="AH122"/>
  <c r="AG122"/>
  <c r="AF122"/>
  <c r="AE122"/>
  <c r="AD122"/>
  <c r="AC122"/>
  <c r="AB122"/>
  <c r="AA122"/>
  <c r="Z122"/>
  <c r="W122"/>
  <c r="V122"/>
  <c r="U122"/>
  <c r="T122"/>
  <c r="S122"/>
  <c r="R122"/>
  <c r="Q122"/>
  <c r="P122"/>
  <c r="O122"/>
  <c r="N122"/>
  <c r="K122"/>
  <c r="J122"/>
  <c r="I122"/>
  <c r="H122"/>
  <c r="G122"/>
  <c r="F122"/>
  <c r="E122"/>
  <c r="D122"/>
  <c r="C122"/>
  <c r="B122"/>
  <c r="BG121"/>
  <c r="BF121"/>
  <c r="BE121"/>
  <c r="BD121"/>
  <c r="BC121"/>
  <c r="BB121"/>
  <c r="BA121"/>
  <c r="AZ121"/>
  <c r="AY121"/>
  <c r="AX121"/>
  <c r="AU121"/>
  <c r="AT121"/>
  <c r="AS121"/>
  <c r="AR121"/>
  <c r="AQ121"/>
  <c r="AP121"/>
  <c r="AO121"/>
  <c r="AN121"/>
  <c r="AM121"/>
  <c r="AL121"/>
  <c r="AI121"/>
  <c r="AH121"/>
  <c r="AG121"/>
  <c r="AF121"/>
  <c r="AE121"/>
  <c r="AD121"/>
  <c r="AC121"/>
  <c r="AB121"/>
  <c r="AA121"/>
  <c r="Z121"/>
  <c r="W121"/>
  <c r="V121"/>
  <c r="U121"/>
  <c r="T121"/>
  <c r="S121"/>
  <c r="R121"/>
  <c r="Q121"/>
  <c r="P121"/>
  <c r="O121"/>
  <c r="N121"/>
  <c r="K121"/>
  <c r="J121"/>
  <c r="I121"/>
  <c r="H121"/>
  <c r="G121"/>
  <c r="F121"/>
  <c r="E121"/>
  <c r="D121"/>
  <c r="C121"/>
  <c r="B121"/>
  <c r="BG120"/>
  <c r="BF120"/>
  <c r="BE120"/>
  <c r="BD120"/>
  <c r="BC120"/>
  <c r="BB120"/>
  <c r="BA120"/>
  <c r="AZ120"/>
  <c r="AY120"/>
  <c r="AX120"/>
  <c r="AU120"/>
  <c r="AT120"/>
  <c r="AS120"/>
  <c r="AR120"/>
  <c r="AQ120"/>
  <c r="AP120"/>
  <c r="AO120"/>
  <c r="AN120"/>
  <c r="AM120"/>
  <c r="AL120"/>
  <c r="AI120"/>
  <c r="AH120"/>
  <c r="AG120"/>
  <c r="AF120"/>
  <c r="AE120"/>
  <c r="AD120"/>
  <c r="AC120"/>
  <c r="AB120"/>
  <c r="AA120"/>
  <c r="Z120"/>
  <c r="W120"/>
  <c r="V120"/>
  <c r="U120"/>
  <c r="T120"/>
  <c r="S120"/>
  <c r="R120"/>
  <c r="Q120"/>
  <c r="P120"/>
  <c r="O120"/>
  <c r="N120"/>
  <c r="K120"/>
  <c r="J120"/>
  <c r="I120"/>
  <c r="H120"/>
  <c r="G120"/>
  <c r="F120"/>
  <c r="E120"/>
  <c r="D120"/>
  <c r="C120"/>
  <c r="B120"/>
  <c r="BG119"/>
  <c r="BF119"/>
  <c r="BE119"/>
  <c r="BD119"/>
  <c r="BC119"/>
  <c r="BB119"/>
  <c r="BA119"/>
  <c r="AZ119"/>
  <c r="AY119"/>
  <c r="AX119"/>
  <c r="AU119"/>
  <c r="AT119"/>
  <c r="AS119"/>
  <c r="AR119"/>
  <c r="AQ119"/>
  <c r="AP119"/>
  <c r="AO119"/>
  <c r="AN119"/>
  <c r="AM119"/>
  <c r="AL119"/>
  <c r="AI119"/>
  <c r="AH119"/>
  <c r="AG119"/>
  <c r="AF119"/>
  <c r="AE119"/>
  <c r="AD119"/>
  <c r="AC119"/>
  <c r="AB119"/>
  <c r="AA119"/>
  <c r="Z119"/>
  <c r="W119"/>
  <c r="V119"/>
  <c r="U119"/>
  <c r="T119"/>
  <c r="S119"/>
  <c r="R119"/>
  <c r="Q119"/>
  <c r="P119"/>
  <c r="O119"/>
  <c r="N119"/>
  <c r="K119"/>
  <c r="J119"/>
  <c r="I119"/>
  <c r="H119"/>
  <c r="G119"/>
  <c r="F119"/>
  <c r="E119"/>
  <c r="D119"/>
  <c r="C119"/>
  <c r="B119"/>
  <c r="BG118"/>
  <c r="BF118"/>
  <c r="BE118"/>
  <c r="BD118"/>
  <c r="BC118"/>
  <c r="BB118"/>
  <c r="BA118"/>
  <c r="AZ118"/>
  <c r="AY118"/>
  <c r="AX118"/>
  <c r="AU118"/>
  <c r="AT118"/>
  <c r="AS118"/>
  <c r="AR118"/>
  <c r="AQ118"/>
  <c r="AP118"/>
  <c r="AO118"/>
  <c r="AN118"/>
  <c r="AM118"/>
  <c r="AL118"/>
  <c r="AI118"/>
  <c r="AH118"/>
  <c r="AG118"/>
  <c r="AF118"/>
  <c r="AE118"/>
  <c r="AD118"/>
  <c r="AC118"/>
  <c r="AB118"/>
  <c r="AA118"/>
  <c r="Z118"/>
  <c r="W118"/>
  <c r="V118"/>
  <c r="U118"/>
  <c r="T118"/>
  <c r="S118"/>
  <c r="R118"/>
  <c r="Q118"/>
  <c r="P118"/>
  <c r="O118"/>
  <c r="N118"/>
  <c r="K118"/>
  <c r="J118"/>
  <c r="I118"/>
  <c r="H118"/>
  <c r="G118"/>
  <c r="F118"/>
  <c r="E118"/>
  <c r="D118"/>
  <c r="C118"/>
  <c r="B118"/>
  <c r="BG117"/>
  <c r="BF117"/>
  <c r="BE117"/>
  <c r="BD117"/>
  <c r="BC117"/>
  <c r="BB117"/>
  <c r="BA117"/>
  <c r="AZ117"/>
  <c r="AY117"/>
  <c r="AX117"/>
  <c r="AU117"/>
  <c r="AT117"/>
  <c r="AS117"/>
  <c r="AR117"/>
  <c r="AQ117"/>
  <c r="AP117"/>
  <c r="AO117"/>
  <c r="AN117"/>
  <c r="AM117"/>
  <c r="AL117"/>
  <c r="AI117"/>
  <c r="AH117"/>
  <c r="AG117"/>
  <c r="AF117"/>
  <c r="AE117"/>
  <c r="AD117"/>
  <c r="AC117"/>
  <c r="AB117"/>
  <c r="AA117"/>
  <c r="Z117"/>
  <c r="W117"/>
  <c r="V117"/>
  <c r="U117"/>
  <c r="T117"/>
  <c r="S117"/>
  <c r="R117"/>
  <c r="Q117"/>
  <c r="P117"/>
  <c r="O117"/>
  <c r="N117"/>
  <c r="K117"/>
  <c r="J117"/>
  <c r="I117"/>
  <c r="H117"/>
  <c r="G117"/>
  <c r="F117"/>
  <c r="E117"/>
  <c r="D117"/>
  <c r="C117"/>
  <c r="B117"/>
  <c r="BG116"/>
  <c r="BF116"/>
  <c r="BE116"/>
  <c r="BD116"/>
  <c r="BC116"/>
  <c r="BB116"/>
  <c r="BA116"/>
  <c r="AZ116"/>
  <c r="AY116"/>
  <c r="AX116"/>
  <c r="AU116"/>
  <c r="AT116"/>
  <c r="AS116"/>
  <c r="AR116"/>
  <c r="AQ116"/>
  <c r="AP116"/>
  <c r="AO116"/>
  <c r="AN116"/>
  <c r="AM116"/>
  <c r="AL116"/>
  <c r="AI116"/>
  <c r="AH116"/>
  <c r="AG116"/>
  <c r="AF116"/>
  <c r="AE116"/>
  <c r="AD116"/>
  <c r="AC116"/>
  <c r="AB116"/>
  <c r="AA116"/>
  <c r="Z116"/>
  <c r="W116"/>
  <c r="V116"/>
  <c r="U116"/>
  <c r="T116"/>
  <c r="S116"/>
  <c r="R116"/>
  <c r="Q116"/>
  <c r="P116"/>
  <c r="O116"/>
  <c r="N116"/>
  <c r="K116"/>
  <c r="J116"/>
  <c r="I116"/>
  <c r="H116"/>
  <c r="G116"/>
  <c r="F116"/>
  <c r="E116"/>
  <c r="D116"/>
  <c r="C116"/>
  <c r="B116"/>
  <c r="BG115"/>
  <c r="BF115"/>
  <c r="BE115"/>
  <c r="BD115"/>
  <c r="BC115"/>
  <c r="BB115"/>
  <c r="BA115"/>
  <c r="AZ115"/>
  <c r="AY115"/>
  <c r="AX115"/>
  <c r="AU115"/>
  <c r="AT115"/>
  <c r="AS115"/>
  <c r="AR115"/>
  <c r="AQ115"/>
  <c r="AP115"/>
  <c r="AO115"/>
  <c r="AN115"/>
  <c r="AM115"/>
  <c r="AL115"/>
  <c r="AI115"/>
  <c r="AH115"/>
  <c r="AG115"/>
  <c r="AF115"/>
  <c r="AE115"/>
  <c r="AD115"/>
  <c r="AC115"/>
  <c r="AB115"/>
  <c r="AA115"/>
  <c r="Z115"/>
  <c r="W115"/>
  <c r="V115"/>
  <c r="U115"/>
  <c r="T115"/>
  <c r="S115"/>
  <c r="R115"/>
  <c r="Q115"/>
  <c r="P115"/>
  <c r="O115"/>
  <c r="N115"/>
  <c r="K115"/>
  <c r="J115"/>
  <c r="I115"/>
  <c r="H115"/>
  <c r="G115"/>
  <c r="F115"/>
  <c r="E115"/>
  <c r="D115"/>
  <c r="C115"/>
  <c r="B115"/>
  <c r="BG114"/>
  <c r="BF114"/>
  <c r="BE114"/>
  <c r="BD114"/>
  <c r="BC114"/>
  <c r="BB114"/>
  <c r="BA114"/>
  <c r="AZ114"/>
  <c r="AY114"/>
  <c r="AX114"/>
  <c r="AU114"/>
  <c r="AT114"/>
  <c r="AS114"/>
  <c r="AR114"/>
  <c r="AQ114"/>
  <c r="AP114"/>
  <c r="AO114"/>
  <c r="AN114"/>
  <c r="AM114"/>
  <c r="AL114"/>
  <c r="AI114"/>
  <c r="AH114"/>
  <c r="AG114"/>
  <c r="AF114"/>
  <c r="AE114"/>
  <c r="AD114"/>
  <c r="AC114"/>
  <c r="AB114"/>
  <c r="AA114"/>
  <c r="Z114"/>
  <c r="W114"/>
  <c r="V114"/>
  <c r="U114"/>
  <c r="T114"/>
  <c r="S114"/>
  <c r="R114"/>
  <c r="Q114"/>
  <c r="P114"/>
  <c r="O114"/>
  <c r="N114"/>
  <c r="K114"/>
  <c r="J114"/>
  <c r="I114"/>
  <c r="H114"/>
  <c r="G114"/>
  <c r="F114"/>
  <c r="E114"/>
  <c r="D114"/>
  <c r="C114"/>
  <c r="B114"/>
  <c r="BG113"/>
  <c r="BF113"/>
  <c r="BE113"/>
  <c r="BD113"/>
  <c r="BC113"/>
  <c r="BB113"/>
  <c r="BA113"/>
  <c r="AZ113"/>
  <c r="AY113"/>
  <c r="AX113"/>
  <c r="AU113"/>
  <c r="AT113"/>
  <c r="AS113"/>
  <c r="AR113"/>
  <c r="AQ113"/>
  <c r="AP113"/>
  <c r="AO113"/>
  <c r="AN113"/>
  <c r="AM113"/>
  <c r="AL113"/>
  <c r="AI113"/>
  <c r="AH113"/>
  <c r="AG113"/>
  <c r="AF113"/>
  <c r="AE113"/>
  <c r="AD113"/>
  <c r="AC113"/>
  <c r="AB113"/>
  <c r="AA113"/>
  <c r="Z113"/>
  <c r="W113"/>
  <c r="V113"/>
  <c r="U113"/>
  <c r="T113"/>
  <c r="S113"/>
  <c r="R113"/>
  <c r="Q113"/>
  <c r="P113"/>
  <c r="O113"/>
  <c r="N113"/>
  <c r="K113"/>
  <c r="J113"/>
  <c r="I113"/>
  <c r="H113"/>
  <c r="G113"/>
  <c r="F113"/>
  <c r="E113"/>
  <c r="D113"/>
  <c r="C113"/>
  <c r="B113"/>
  <c r="CQ109"/>
  <c r="CP109"/>
  <c r="CO109"/>
  <c r="CN109"/>
  <c r="CM109"/>
  <c r="CL109"/>
  <c r="CK109"/>
  <c r="CJ109"/>
  <c r="CI109"/>
  <c r="CH109"/>
  <c r="CE109"/>
  <c r="CD109"/>
  <c r="CC109"/>
  <c r="CB109"/>
  <c r="CA109"/>
  <c r="BZ109"/>
  <c r="BY109"/>
  <c r="BX109"/>
  <c r="BW109"/>
  <c r="BV109"/>
  <c r="BS109"/>
  <c r="BR109"/>
  <c r="BQ109"/>
  <c r="BP109"/>
  <c r="BO109"/>
  <c r="BN109"/>
  <c r="BM109"/>
  <c r="BL109"/>
  <c r="BK109"/>
  <c r="BJ109"/>
  <c r="BG109"/>
  <c r="BF109"/>
  <c r="BE109"/>
  <c r="BD109"/>
  <c r="BC109"/>
  <c r="BB109"/>
  <c r="BA109"/>
  <c r="AZ109"/>
  <c r="AY109"/>
  <c r="AX109"/>
  <c r="AU109"/>
  <c r="AT109"/>
  <c r="AS109"/>
  <c r="AR109"/>
  <c r="AQ109"/>
  <c r="AP109"/>
  <c r="AO109"/>
  <c r="AN109"/>
  <c r="AM109"/>
  <c r="AL109"/>
  <c r="AI109"/>
  <c r="AH109"/>
  <c r="AG109"/>
  <c r="AF109"/>
  <c r="AE109"/>
  <c r="AD109"/>
  <c r="AC109"/>
  <c r="AB109"/>
  <c r="AA109"/>
  <c r="Z109"/>
  <c r="W109"/>
  <c r="V109"/>
  <c r="U109"/>
  <c r="T109"/>
  <c r="S109"/>
  <c r="R109"/>
  <c r="Q109"/>
  <c r="P109"/>
  <c r="O109"/>
  <c r="N109"/>
  <c r="K109"/>
  <c r="J109"/>
  <c r="I109"/>
  <c r="H109"/>
  <c r="G109"/>
  <c r="F109"/>
  <c r="E109"/>
  <c r="D109"/>
  <c r="C109"/>
  <c r="B109"/>
  <c r="CQ108"/>
  <c r="CP108"/>
  <c r="CO108"/>
  <c r="CN108"/>
  <c r="CM108"/>
  <c r="CL108"/>
  <c r="CK108"/>
  <c r="CJ108"/>
  <c r="CI108"/>
  <c r="CH108"/>
  <c r="CE108"/>
  <c r="CD108"/>
  <c r="CC108"/>
  <c r="CB108"/>
  <c r="CA108"/>
  <c r="BZ108"/>
  <c r="BY108"/>
  <c r="BX108"/>
  <c r="BW108"/>
  <c r="BV108"/>
  <c r="BS108"/>
  <c r="BR108"/>
  <c r="BQ108"/>
  <c r="BP108"/>
  <c r="BO108"/>
  <c r="BN108"/>
  <c r="BM108"/>
  <c r="BL108"/>
  <c r="BK108"/>
  <c r="BJ108"/>
  <c r="BG108"/>
  <c r="BF108"/>
  <c r="BE108"/>
  <c r="BD108"/>
  <c r="BC108"/>
  <c r="BB108"/>
  <c r="BA108"/>
  <c r="AZ108"/>
  <c r="AY108"/>
  <c r="AX108"/>
  <c r="AU108"/>
  <c r="AT108"/>
  <c r="AS108"/>
  <c r="AR108"/>
  <c r="AQ108"/>
  <c r="AP108"/>
  <c r="AO108"/>
  <c r="AN108"/>
  <c r="AM108"/>
  <c r="AL108"/>
  <c r="AI108"/>
  <c r="AH108"/>
  <c r="AG108"/>
  <c r="AF108"/>
  <c r="AE108"/>
  <c r="AD108"/>
  <c r="AC108"/>
  <c r="AB108"/>
  <c r="AA108"/>
  <c r="Z108"/>
  <c r="W108"/>
  <c r="V108"/>
  <c r="U108"/>
  <c r="T108"/>
  <c r="S108"/>
  <c r="R108"/>
  <c r="Q108"/>
  <c r="P108"/>
  <c r="O108"/>
  <c r="N108"/>
  <c r="K108"/>
  <c r="J108"/>
  <c r="I108"/>
  <c r="H108"/>
  <c r="G108"/>
  <c r="F108"/>
  <c r="E108"/>
  <c r="D108"/>
  <c r="C108"/>
  <c r="B108"/>
  <c r="CQ107"/>
  <c r="CP107"/>
  <c r="CO107"/>
  <c r="CN107"/>
  <c r="CM107"/>
  <c r="CL107"/>
  <c r="CK107"/>
  <c r="CJ107"/>
  <c r="CI107"/>
  <c r="CH107"/>
  <c r="CE107"/>
  <c r="CD107"/>
  <c r="CC107"/>
  <c r="CB107"/>
  <c r="CA107"/>
  <c r="BZ107"/>
  <c r="BY107"/>
  <c r="BX107"/>
  <c r="BW107"/>
  <c r="BV107"/>
  <c r="BS107"/>
  <c r="BR107"/>
  <c r="BQ107"/>
  <c r="BP107"/>
  <c r="BO107"/>
  <c r="BN107"/>
  <c r="BM107"/>
  <c r="BL107"/>
  <c r="BK107"/>
  <c r="BJ107"/>
  <c r="BG107"/>
  <c r="BF107"/>
  <c r="BE107"/>
  <c r="BD107"/>
  <c r="BC107"/>
  <c r="BB107"/>
  <c r="BA107"/>
  <c r="AZ107"/>
  <c r="AY107"/>
  <c r="AX107"/>
  <c r="AU107"/>
  <c r="AT107"/>
  <c r="AS107"/>
  <c r="AR107"/>
  <c r="AQ107"/>
  <c r="AP107"/>
  <c r="AO107"/>
  <c r="AN107"/>
  <c r="AM107"/>
  <c r="AL107"/>
  <c r="AI107"/>
  <c r="AH107"/>
  <c r="AG107"/>
  <c r="AF107"/>
  <c r="AE107"/>
  <c r="AD107"/>
  <c r="AC107"/>
  <c r="AB107"/>
  <c r="AA107"/>
  <c r="Z107"/>
  <c r="W107"/>
  <c r="V107"/>
  <c r="U107"/>
  <c r="T107"/>
  <c r="S107"/>
  <c r="R107"/>
  <c r="Q107"/>
  <c r="P107"/>
  <c r="O107"/>
  <c r="N107"/>
  <c r="K107"/>
  <c r="J107"/>
  <c r="I107"/>
  <c r="H107"/>
  <c r="G107"/>
  <c r="F107"/>
  <c r="E107"/>
  <c r="D107"/>
  <c r="C107"/>
  <c r="B107"/>
  <c r="CQ106"/>
  <c r="CP106"/>
  <c r="CO106"/>
  <c r="CN106"/>
  <c r="CM106"/>
  <c r="CL106"/>
  <c r="CK106"/>
  <c r="CJ106"/>
  <c r="CI106"/>
  <c r="CH106"/>
  <c r="CE106"/>
  <c r="CD106"/>
  <c r="CC106"/>
  <c r="CB106"/>
  <c r="CA106"/>
  <c r="BZ106"/>
  <c r="BY106"/>
  <c r="BX106"/>
  <c r="BW106"/>
  <c r="BV106"/>
  <c r="BS106"/>
  <c r="BR106"/>
  <c r="BQ106"/>
  <c r="BP106"/>
  <c r="BO106"/>
  <c r="BN106"/>
  <c r="BM106"/>
  <c r="BL106"/>
  <c r="BK106"/>
  <c r="BJ106"/>
  <c r="BG106"/>
  <c r="BF106"/>
  <c r="BE106"/>
  <c r="BD106"/>
  <c r="BC106"/>
  <c r="BB106"/>
  <c r="BA106"/>
  <c r="AZ106"/>
  <c r="AY106"/>
  <c r="AX106"/>
  <c r="AU106"/>
  <c r="AT106"/>
  <c r="AS106"/>
  <c r="AR106"/>
  <c r="AQ106"/>
  <c r="AP106"/>
  <c r="AO106"/>
  <c r="AN106"/>
  <c r="AM106"/>
  <c r="AL106"/>
  <c r="AI106"/>
  <c r="AH106"/>
  <c r="AG106"/>
  <c r="AF106"/>
  <c r="AE106"/>
  <c r="AD106"/>
  <c r="AC106"/>
  <c r="AB106"/>
  <c r="AA106"/>
  <c r="Z106"/>
  <c r="W106"/>
  <c r="V106"/>
  <c r="U106"/>
  <c r="T106"/>
  <c r="S106"/>
  <c r="R106"/>
  <c r="Q106"/>
  <c r="P106"/>
  <c r="O106"/>
  <c r="N106"/>
  <c r="K106"/>
  <c r="J106"/>
  <c r="I106"/>
  <c r="H106"/>
  <c r="G106"/>
  <c r="F106"/>
  <c r="E106"/>
  <c r="D106"/>
  <c r="C106"/>
  <c r="B106"/>
  <c r="CQ105"/>
  <c r="CP105"/>
  <c r="CO105"/>
  <c r="CN105"/>
  <c r="CM105"/>
  <c r="CL105"/>
  <c r="CK105"/>
  <c r="CJ105"/>
  <c r="CI105"/>
  <c r="CH105"/>
  <c r="CE105"/>
  <c r="CD105"/>
  <c r="CC105"/>
  <c r="CB105"/>
  <c r="CA105"/>
  <c r="BZ105"/>
  <c r="BY105"/>
  <c r="BX105"/>
  <c r="BW105"/>
  <c r="BV105"/>
  <c r="BS105"/>
  <c r="BR105"/>
  <c r="BQ105"/>
  <c r="BP105"/>
  <c r="BO105"/>
  <c r="BN105"/>
  <c r="BM105"/>
  <c r="BL105"/>
  <c r="BK105"/>
  <c r="BJ105"/>
  <c r="BG105"/>
  <c r="BF105"/>
  <c r="BE105"/>
  <c r="BD105"/>
  <c r="BC105"/>
  <c r="BB105"/>
  <c r="BA105"/>
  <c r="AZ105"/>
  <c r="AY105"/>
  <c r="AX105"/>
  <c r="AU105"/>
  <c r="AT105"/>
  <c r="AS105"/>
  <c r="AR105"/>
  <c r="AQ105"/>
  <c r="AP105"/>
  <c r="AO105"/>
  <c r="AN105"/>
  <c r="AM105"/>
  <c r="AL105"/>
  <c r="AI105"/>
  <c r="AH105"/>
  <c r="AG105"/>
  <c r="AF105"/>
  <c r="AE105"/>
  <c r="AD105"/>
  <c r="AC105"/>
  <c r="AB105"/>
  <c r="AA105"/>
  <c r="Z105"/>
  <c r="W105"/>
  <c r="V105"/>
  <c r="U105"/>
  <c r="T105"/>
  <c r="S105"/>
  <c r="R105"/>
  <c r="Q105"/>
  <c r="P105"/>
  <c r="O105"/>
  <c r="N105"/>
  <c r="K105"/>
  <c r="J105"/>
  <c r="I105"/>
  <c r="H105"/>
  <c r="G105"/>
  <c r="F105"/>
  <c r="E105"/>
  <c r="D105"/>
  <c r="C105"/>
  <c r="B105"/>
  <c r="CQ104"/>
  <c r="CP104"/>
  <c r="CO104"/>
  <c r="CN104"/>
  <c r="CM104"/>
  <c r="CL104"/>
  <c r="CK104"/>
  <c r="CJ104"/>
  <c r="CI104"/>
  <c r="CH104"/>
  <c r="CE104"/>
  <c r="CD104"/>
  <c r="CC104"/>
  <c r="CB104"/>
  <c r="CA104"/>
  <c r="BZ104"/>
  <c r="BY104"/>
  <c r="BX104"/>
  <c r="BW104"/>
  <c r="BV104"/>
  <c r="BS104"/>
  <c r="BR104"/>
  <c r="BQ104"/>
  <c r="BP104"/>
  <c r="BO104"/>
  <c r="BN104"/>
  <c r="BM104"/>
  <c r="BL104"/>
  <c r="BK104"/>
  <c r="BJ104"/>
  <c r="BG104"/>
  <c r="BF104"/>
  <c r="BE104"/>
  <c r="BD104"/>
  <c r="BC104"/>
  <c r="BB104"/>
  <c r="BA104"/>
  <c r="AZ104"/>
  <c r="AY104"/>
  <c r="AX104"/>
  <c r="AU104"/>
  <c r="AT104"/>
  <c r="AS104"/>
  <c r="AR104"/>
  <c r="AQ104"/>
  <c r="AP104"/>
  <c r="AO104"/>
  <c r="AN104"/>
  <c r="AM104"/>
  <c r="AL104"/>
  <c r="AI104"/>
  <c r="AH104"/>
  <c r="AG104"/>
  <c r="AF104"/>
  <c r="AE104"/>
  <c r="AD104"/>
  <c r="AC104"/>
  <c r="AB104"/>
  <c r="AA104"/>
  <c r="Z104"/>
  <c r="W104"/>
  <c r="V104"/>
  <c r="U104"/>
  <c r="T104"/>
  <c r="S104"/>
  <c r="R104"/>
  <c r="Q104"/>
  <c r="P104"/>
  <c r="O104"/>
  <c r="N104"/>
  <c r="K104"/>
  <c r="J104"/>
  <c r="I104"/>
  <c r="H104"/>
  <c r="G104"/>
  <c r="F104"/>
  <c r="E104"/>
  <c r="D104"/>
  <c r="C104"/>
  <c r="B104"/>
  <c r="CQ103"/>
  <c r="CP103"/>
  <c r="CO103"/>
  <c r="CN103"/>
  <c r="CM103"/>
  <c r="CL103"/>
  <c r="CK103"/>
  <c r="CJ103"/>
  <c r="CI103"/>
  <c r="CH103"/>
  <c r="CE103"/>
  <c r="CD103"/>
  <c r="CC103"/>
  <c r="CB103"/>
  <c r="CA103"/>
  <c r="BZ103"/>
  <c r="BY103"/>
  <c r="BX103"/>
  <c r="BW103"/>
  <c r="BV103"/>
  <c r="BS103"/>
  <c r="BR103"/>
  <c r="BQ103"/>
  <c r="BP103"/>
  <c r="BO103"/>
  <c r="BN103"/>
  <c r="BM103"/>
  <c r="BL103"/>
  <c r="BK103"/>
  <c r="BJ103"/>
  <c r="BG103"/>
  <c r="BF103"/>
  <c r="BE103"/>
  <c r="BD103"/>
  <c r="BC103"/>
  <c r="BB103"/>
  <c r="BA103"/>
  <c r="AZ103"/>
  <c r="AY103"/>
  <c r="AX103"/>
  <c r="AU103"/>
  <c r="AT103"/>
  <c r="AS103"/>
  <c r="AR103"/>
  <c r="AQ103"/>
  <c r="AP103"/>
  <c r="AO103"/>
  <c r="AN103"/>
  <c r="AM103"/>
  <c r="AL103"/>
  <c r="AI103"/>
  <c r="AH103"/>
  <c r="AG103"/>
  <c r="AF103"/>
  <c r="AE103"/>
  <c r="AD103"/>
  <c r="AC103"/>
  <c r="AB103"/>
  <c r="AA103"/>
  <c r="Z103"/>
  <c r="W103"/>
  <c r="V103"/>
  <c r="U103"/>
  <c r="T103"/>
  <c r="S103"/>
  <c r="R103"/>
  <c r="Q103"/>
  <c r="P103"/>
  <c r="O103"/>
  <c r="N103"/>
  <c r="K103"/>
  <c r="J103"/>
  <c r="I103"/>
  <c r="H103"/>
  <c r="G103"/>
  <c r="F103"/>
  <c r="E103"/>
  <c r="D103"/>
  <c r="C103"/>
  <c r="B103"/>
  <c r="CQ102"/>
  <c r="CP102"/>
  <c r="CO102"/>
  <c r="CN102"/>
  <c r="CM102"/>
  <c r="CL102"/>
  <c r="CK102"/>
  <c r="CJ102"/>
  <c r="CI102"/>
  <c r="CH102"/>
  <c r="CE102"/>
  <c r="CD102"/>
  <c r="CC102"/>
  <c r="CB102"/>
  <c r="CA102"/>
  <c r="BZ102"/>
  <c r="BY102"/>
  <c r="BX102"/>
  <c r="BW102"/>
  <c r="BV102"/>
  <c r="BS102"/>
  <c r="BR102"/>
  <c r="BQ102"/>
  <c r="BP102"/>
  <c r="BO102"/>
  <c r="BN102"/>
  <c r="BM102"/>
  <c r="BL102"/>
  <c r="BK102"/>
  <c r="BJ102"/>
  <c r="BG102"/>
  <c r="BF102"/>
  <c r="BE102"/>
  <c r="BD102"/>
  <c r="BC102"/>
  <c r="BB102"/>
  <c r="BA102"/>
  <c r="AZ102"/>
  <c r="AY102"/>
  <c r="AX102"/>
  <c r="AU102"/>
  <c r="AT102"/>
  <c r="AS102"/>
  <c r="AR102"/>
  <c r="AQ102"/>
  <c r="AP102"/>
  <c r="AO102"/>
  <c r="AN102"/>
  <c r="AM102"/>
  <c r="AL102"/>
  <c r="AI102"/>
  <c r="AH102"/>
  <c r="AG102"/>
  <c r="AF102"/>
  <c r="AE102"/>
  <c r="AD102"/>
  <c r="AC102"/>
  <c r="AB102"/>
  <c r="AA102"/>
  <c r="Z102"/>
  <c r="W102"/>
  <c r="V102"/>
  <c r="U102"/>
  <c r="T102"/>
  <c r="S102"/>
  <c r="R102"/>
  <c r="Q102"/>
  <c r="P102"/>
  <c r="O102"/>
  <c r="N102"/>
  <c r="K102"/>
  <c r="J102"/>
  <c r="I102"/>
  <c r="H102"/>
  <c r="G102"/>
  <c r="F102"/>
  <c r="E102"/>
  <c r="D102"/>
  <c r="C102"/>
  <c r="B102"/>
  <c r="CQ101"/>
  <c r="CP101"/>
  <c r="CO101"/>
  <c r="CN101"/>
  <c r="CM101"/>
  <c r="CL101"/>
  <c r="CK101"/>
  <c r="CJ101"/>
  <c r="CI101"/>
  <c r="CH101"/>
  <c r="CE101"/>
  <c r="CD101"/>
  <c r="CC101"/>
  <c r="CB101"/>
  <c r="CA101"/>
  <c r="BZ101"/>
  <c r="BY101"/>
  <c r="BX101"/>
  <c r="BW101"/>
  <c r="BV101"/>
  <c r="BS101"/>
  <c r="BR101"/>
  <c r="BQ101"/>
  <c r="BP101"/>
  <c r="BO101"/>
  <c r="BN101"/>
  <c r="BM101"/>
  <c r="BL101"/>
  <c r="BK101"/>
  <c r="BJ101"/>
  <c r="BG101"/>
  <c r="BF101"/>
  <c r="BE101"/>
  <c r="BD101"/>
  <c r="BC101"/>
  <c r="BB101"/>
  <c r="BA101"/>
  <c r="AZ101"/>
  <c r="AY101"/>
  <c r="AX101"/>
  <c r="AU101"/>
  <c r="AT101"/>
  <c r="AS101"/>
  <c r="AR101"/>
  <c r="AQ101"/>
  <c r="AP101"/>
  <c r="AO101"/>
  <c r="AN101"/>
  <c r="AM101"/>
  <c r="AL101"/>
  <c r="AI101"/>
  <c r="AH101"/>
  <c r="AG101"/>
  <c r="AF101"/>
  <c r="AE101"/>
  <c r="AD101"/>
  <c r="AC101"/>
  <c r="AB101"/>
  <c r="AA101"/>
  <c r="Z101"/>
  <c r="W101"/>
  <c r="V101"/>
  <c r="U101"/>
  <c r="T101"/>
  <c r="S101"/>
  <c r="R101"/>
  <c r="Q101"/>
  <c r="P101"/>
  <c r="O101"/>
  <c r="N101"/>
  <c r="K101"/>
  <c r="J101"/>
  <c r="I101"/>
  <c r="H101"/>
  <c r="G101"/>
  <c r="F101"/>
  <c r="E101"/>
  <c r="D101"/>
  <c r="C101"/>
  <c r="B101"/>
  <c r="CQ100"/>
  <c r="CP100"/>
  <c r="CO100"/>
  <c r="CN100"/>
  <c r="CM100"/>
  <c r="CL100"/>
  <c r="CK100"/>
  <c r="CJ100"/>
  <c r="CI100"/>
  <c r="CH100"/>
  <c r="CE100"/>
  <c r="CD100"/>
  <c r="CC100"/>
  <c r="CB100"/>
  <c r="CA100"/>
  <c r="BZ100"/>
  <c r="BY100"/>
  <c r="BX100"/>
  <c r="BW100"/>
  <c r="BV100"/>
  <c r="BS100"/>
  <c r="BR100"/>
  <c r="BQ100"/>
  <c r="BP100"/>
  <c r="BO100"/>
  <c r="BN100"/>
  <c r="BM100"/>
  <c r="BL100"/>
  <c r="BK100"/>
  <c r="BJ100"/>
  <c r="BG100"/>
  <c r="BF100"/>
  <c r="BE100"/>
  <c r="BD100"/>
  <c r="BC100"/>
  <c r="BB100"/>
  <c r="BA100"/>
  <c r="AZ100"/>
  <c r="AY100"/>
  <c r="AX100"/>
  <c r="AU100"/>
  <c r="AT100"/>
  <c r="AS100"/>
  <c r="AR100"/>
  <c r="AQ100"/>
  <c r="AP100"/>
  <c r="AO100"/>
  <c r="AN100"/>
  <c r="AM100"/>
  <c r="AL100"/>
  <c r="AI100"/>
  <c r="AH100"/>
  <c r="AG100"/>
  <c r="AF100"/>
  <c r="AE100"/>
  <c r="AD100"/>
  <c r="AC100"/>
  <c r="AB100"/>
  <c r="AA100"/>
  <c r="Z100"/>
  <c r="W100"/>
  <c r="V100"/>
  <c r="U100"/>
  <c r="T100"/>
  <c r="S100"/>
  <c r="R100"/>
  <c r="Q100"/>
  <c r="P100"/>
  <c r="O100"/>
  <c r="N100"/>
  <c r="K100"/>
  <c r="J100"/>
  <c r="I100"/>
  <c r="H100"/>
  <c r="G100"/>
  <c r="F100"/>
  <c r="E100"/>
  <c r="D100"/>
  <c r="C100"/>
  <c r="B100"/>
  <c r="CQ99"/>
  <c r="CP99"/>
  <c r="CO99"/>
  <c r="CN99"/>
  <c r="CM99"/>
  <c r="CL99"/>
  <c r="CK99"/>
  <c r="CJ99"/>
  <c r="CI99"/>
  <c r="CH99"/>
  <c r="CE99"/>
  <c r="CD99"/>
  <c r="CC99"/>
  <c r="CB99"/>
  <c r="CA99"/>
  <c r="BZ99"/>
  <c r="BY99"/>
  <c r="BX99"/>
  <c r="BW99"/>
  <c r="BV99"/>
  <c r="BS99"/>
  <c r="BR99"/>
  <c r="BQ99"/>
  <c r="BP99"/>
  <c r="BO99"/>
  <c r="BN99"/>
  <c r="BM99"/>
  <c r="BL99"/>
  <c r="BK99"/>
  <c r="BJ99"/>
  <c r="BG99"/>
  <c r="BF99"/>
  <c r="BE99"/>
  <c r="BD99"/>
  <c r="BC99"/>
  <c r="BB99"/>
  <c r="BA99"/>
  <c r="AZ99"/>
  <c r="AY99"/>
  <c r="AX99"/>
  <c r="AU99"/>
  <c r="AT99"/>
  <c r="AS99"/>
  <c r="AR99"/>
  <c r="AQ99"/>
  <c r="AP99"/>
  <c r="AO99"/>
  <c r="AN99"/>
  <c r="AM99"/>
  <c r="AL99"/>
  <c r="AI99"/>
  <c r="AH99"/>
  <c r="AG99"/>
  <c r="AF99"/>
  <c r="AE99"/>
  <c r="AD99"/>
  <c r="AC99"/>
  <c r="AB99"/>
  <c r="AA99"/>
  <c r="Z99"/>
  <c r="W99"/>
  <c r="V99"/>
  <c r="U99"/>
  <c r="T99"/>
  <c r="S99"/>
  <c r="R99"/>
  <c r="Q99"/>
  <c r="P99"/>
  <c r="O99"/>
  <c r="N99"/>
  <c r="K99"/>
  <c r="J99"/>
  <c r="I99"/>
  <c r="H99"/>
  <c r="G99"/>
  <c r="F99"/>
  <c r="E99"/>
  <c r="D99"/>
  <c r="C99"/>
  <c r="B99"/>
  <c r="CQ98"/>
  <c r="CP98"/>
  <c r="CO98"/>
  <c r="CN98"/>
  <c r="CM98"/>
  <c r="CL98"/>
  <c r="CK98"/>
  <c r="CJ98"/>
  <c r="CI98"/>
  <c r="CH98"/>
  <c r="CE98"/>
  <c r="CD98"/>
  <c r="CC98"/>
  <c r="CB98"/>
  <c r="CA98"/>
  <c r="BZ98"/>
  <c r="BY98"/>
  <c r="BX98"/>
  <c r="BW98"/>
  <c r="BV98"/>
  <c r="BS98"/>
  <c r="BR98"/>
  <c r="BQ98"/>
  <c r="BP98"/>
  <c r="BO98"/>
  <c r="BN98"/>
  <c r="BM98"/>
  <c r="BL98"/>
  <c r="BK98"/>
  <c r="BJ98"/>
  <c r="BG98"/>
  <c r="BF98"/>
  <c r="BE98"/>
  <c r="BD98"/>
  <c r="BC98"/>
  <c r="BB98"/>
  <c r="BA98"/>
  <c r="AZ98"/>
  <c r="AY98"/>
  <c r="AX98"/>
  <c r="AU98"/>
  <c r="AT98"/>
  <c r="AS98"/>
  <c r="AR98"/>
  <c r="AQ98"/>
  <c r="AP98"/>
  <c r="AO98"/>
  <c r="AN98"/>
  <c r="AM98"/>
  <c r="AL98"/>
  <c r="AI98"/>
  <c r="AH98"/>
  <c r="AG98"/>
  <c r="AF98"/>
  <c r="AE98"/>
  <c r="AD98"/>
  <c r="AC98"/>
  <c r="AB98"/>
  <c r="AA98"/>
  <c r="Z98"/>
  <c r="W98"/>
  <c r="V98"/>
  <c r="U98"/>
  <c r="T98"/>
  <c r="S98"/>
  <c r="R98"/>
  <c r="Q98"/>
  <c r="P98"/>
  <c r="O98"/>
  <c r="N98"/>
  <c r="K98"/>
  <c r="J98"/>
  <c r="I98"/>
  <c r="H98"/>
  <c r="G98"/>
  <c r="F98"/>
  <c r="E98"/>
  <c r="D98"/>
  <c r="C98"/>
  <c r="B98"/>
  <c r="CQ97"/>
  <c r="CP97"/>
  <c r="CO97"/>
  <c r="CN97"/>
  <c r="CM97"/>
  <c r="CL97"/>
  <c r="CK97"/>
  <c r="CJ97"/>
  <c r="CI97"/>
  <c r="CH97"/>
  <c r="CE97"/>
  <c r="CD97"/>
  <c r="CC97"/>
  <c r="CB97"/>
  <c r="CA97"/>
  <c r="BZ97"/>
  <c r="BY97"/>
  <c r="BX97"/>
  <c r="BW97"/>
  <c r="BV97"/>
  <c r="BS97"/>
  <c r="BR97"/>
  <c r="BQ97"/>
  <c r="BP97"/>
  <c r="BO97"/>
  <c r="BN97"/>
  <c r="BM97"/>
  <c r="BL97"/>
  <c r="BK97"/>
  <c r="BJ97"/>
  <c r="BG97"/>
  <c r="BF97"/>
  <c r="BE97"/>
  <c r="BD97"/>
  <c r="BC97"/>
  <c r="BB97"/>
  <c r="BA97"/>
  <c r="AZ97"/>
  <c r="AY97"/>
  <c r="AX97"/>
  <c r="AU97"/>
  <c r="AT97"/>
  <c r="AS97"/>
  <c r="AR97"/>
  <c r="AQ97"/>
  <c r="AP97"/>
  <c r="AO97"/>
  <c r="AN97"/>
  <c r="AM97"/>
  <c r="AL97"/>
  <c r="AI97"/>
  <c r="AH97"/>
  <c r="AG97"/>
  <c r="AF97"/>
  <c r="AE97"/>
  <c r="AD97"/>
  <c r="AC97"/>
  <c r="AB97"/>
  <c r="AA97"/>
  <c r="Z97"/>
  <c r="W97"/>
  <c r="V97"/>
  <c r="U97"/>
  <c r="T97"/>
  <c r="S97"/>
  <c r="R97"/>
  <c r="Q97"/>
  <c r="P97"/>
  <c r="O97"/>
  <c r="N97"/>
  <c r="K97"/>
  <c r="J97"/>
  <c r="I97"/>
  <c r="H97"/>
  <c r="G97"/>
  <c r="F97"/>
  <c r="E97"/>
  <c r="D97"/>
  <c r="C97"/>
  <c r="B97"/>
  <c r="CQ96"/>
  <c r="CP96"/>
  <c r="CO96"/>
  <c r="CN96"/>
  <c r="CM96"/>
  <c r="CL96"/>
  <c r="CK96"/>
  <c r="CJ96"/>
  <c r="CI96"/>
  <c r="CH96"/>
  <c r="CE96"/>
  <c r="CD96"/>
  <c r="CC96"/>
  <c r="CB96"/>
  <c r="CA96"/>
  <c r="BZ96"/>
  <c r="BY96"/>
  <c r="BX96"/>
  <c r="BW96"/>
  <c r="BV96"/>
  <c r="BS96"/>
  <c r="BR96"/>
  <c r="BQ96"/>
  <c r="BP96"/>
  <c r="BO96"/>
  <c r="BN96"/>
  <c r="BM96"/>
  <c r="BL96"/>
  <c r="BK96"/>
  <c r="BJ96"/>
  <c r="BG96"/>
  <c r="BF96"/>
  <c r="BE96"/>
  <c r="BD96"/>
  <c r="BC96"/>
  <c r="BB96"/>
  <c r="BA96"/>
  <c r="AZ96"/>
  <c r="AY96"/>
  <c r="AX96"/>
  <c r="AU96"/>
  <c r="AT96"/>
  <c r="AS96"/>
  <c r="AR96"/>
  <c r="AQ96"/>
  <c r="AP96"/>
  <c r="AO96"/>
  <c r="AN96"/>
  <c r="AM96"/>
  <c r="AL96"/>
  <c r="AI96"/>
  <c r="AH96"/>
  <c r="AG96"/>
  <c r="AF96"/>
  <c r="AE96"/>
  <c r="AD96"/>
  <c r="AC96"/>
  <c r="AB96"/>
  <c r="AA96"/>
  <c r="Z96"/>
  <c r="W96"/>
  <c r="V96"/>
  <c r="U96"/>
  <c r="T96"/>
  <c r="S96"/>
  <c r="R96"/>
  <c r="Q96"/>
  <c r="P96"/>
  <c r="O96"/>
  <c r="N96"/>
  <c r="K96"/>
  <c r="J96"/>
  <c r="I96"/>
  <c r="H96"/>
  <c r="G96"/>
  <c r="F96"/>
  <c r="E96"/>
  <c r="D96"/>
  <c r="C96"/>
  <c r="B96"/>
  <c r="CQ95"/>
  <c r="CP95"/>
  <c r="CO95"/>
  <c r="CN95"/>
  <c r="CM95"/>
  <c r="CL95"/>
  <c r="CK95"/>
  <c r="CJ95"/>
  <c r="CI95"/>
  <c r="CH95"/>
  <c r="CE95"/>
  <c r="CD95"/>
  <c r="CC95"/>
  <c r="CB95"/>
  <c r="CA95"/>
  <c r="BZ95"/>
  <c r="BY95"/>
  <c r="BX95"/>
  <c r="BW95"/>
  <c r="BV95"/>
  <c r="BS95"/>
  <c r="BR95"/>
  <c r="BQ95"/>
  <c r="BP95"/>
  <c r="BO95"/>
  <c r="BN95"/>
  <c r="BM95"/>
  <c r="BL95"/>
  <c r="BK95"/>
  <c r="BJ95"/>
  <c r="BG95"/>
  <c r="BF95"/>
  <c r="BE95"/>
  <c r="BD95"/>
  <c r="BC95"/>
  <c r="BB95"/>
  <c r="BA95"/>
  <c r="AZ95"/>
  <c r="AY95"/>
  <c r="AX95"/>
  <c r="AU95"/>
  <c r="AT95"/>
  <c r="AS95"/>
  <c r="AR95"/>
  <c r="AQ95"/>
  <c r="AP95"/>
  <c r="AO95"/>
  <c r="AN95"/>
  <c r="AM95"/>
  <c r="AL95"/>
  <c r="AI95"/>
  <c r="AH95"/>
  <c r="AG95"/>
  <c r="AF95"/>
  <c r="AE95"/>
  <c r="AD95"/>
  <c r="AC95"/>
  <c r="AB95"/>
  <c r="AA95"/>
  <c r="Z95"/>
  <c r="W95"/>
  <c r="V95"/>
  <c r="U95"/>
  <c r="T95"/>
  <c r="S95"/>
  <c r="R95"/>
  <c r="Q95"/>
  <c r="P95"/>
  <c r="O95"/>
  <c r="N95"/>
  <c r="K95"/>
  <c r="J95"/>
  <c r="I95"/>
  <c r="H95"/>
  <c r="G95"/>
  <c r="F95"/>
  <c r="E95"/>
  <c r="D95"/>
  <c r="C95"/>
  <c r="B95"/>
  <c r="CQ94"/>
  <c r="CP94"/>
  <c r="CO94"/>
  <c r="CN94"/>
  <c r="CM94"/>
  <c r="CL94"/>
  <c r="CK94"/>
  <c r="CJ94"/>
  <c r="CI94"/>
  <c r="CH94"/>
  <c r="CE94"/>
  <c r="CD94"/>
  <c r="CC94"/>
  <c r="CB94"/>
  <c r="CA94"/>
  <c r="BZ94"/>
  <c r="BY94"/>
  <c r="BX94"/>
  <c r="BW94"/>
  <c r="BV94"/>
  <c r="BS94"/>
  <c r="BR94"/>
  <c r="BQ94"/>
  <c r="BP94"/>
  <c r="BO94"/>
  <c r="BN94"/>
  <c r="BM94"/>
  <c r="BL94"/>
  <c r="BK94"/>
  <c r="BJ94"/>
  <c r="BG94"/>
  <c r="BF94"/>
  <c r="BE94"/>
  <c r="BD94"/>
  <c r="BC94"/>
  <c r="BB94"/>
  <c r="BA94"/>
  <c r="AZ94"/>
  <c r="AY94"/>
  <c r="AX94"/>
  <c r="AU94"/>
  <c r="AT94"/>
  <c r="AS94"/>
  <c r="AR94"/>
  <c r="AQ94"/>
  <c r="AP94"/>
  <c r="AO94"/>
  <c r="AN94"/>
  <c r="AM94"/>
  <c r="AL94"/>
  <c r="AI94"/>
  <c r="AH94"/>
  <c r="AG94"/>
  <c r="AF94"/>
  <c r="AE94"/>
  <c r="AD94"/>
  <c r="AC94"/>
  <c r="AB94"/>
  <c r="AA94"/>
  <c r="Z94"/>
  <c r="W94"/>
  <c r="V94"/>
  <c r="U94"/>
  <c r="T94"/>
  <c r="S94"/>
  <c r="R94"/>
  <c r="Q94"/>
  <c r="P94"/>
  <c r="O94"/>
  <c r="N94"/>
  <c r="K94"/>
  <c r="J94"/>
  <c r="I94"/>
  <c r="H94"/>
  <c r="G94"/>
  <c r="F94"/>
  <c r="E94"/>
  <c r="D94"/>
  <c r="C94"/>
  <c r="B94"/>
  <c r="CQ93"/>
  <c r="CP93"/>
  <c r="CO93"/>
  <c r="CN93"/>
  <c r="CM93"/>
  <c r="CL93"/>
  <c r="CK93"/>
  <c r="CJ93"/>
  <c r="CI93"/>
  <c r="CH93"/>
  <c r="CE93"/>
  <c r="CD93"/>
  <c r="CC93"/>
  <c r="CB93"/>
  <c r="CA93"/>
  <c r="BZ93"/>
  <c r="BY93"/>
  <c r="BX93"/>
  <c r="BW93"/>
  <c r="BV93"/>
  <c r="BS93"/>
  <c r="BR93"/>
  <c r="BQ93"/>
  <c r="BP93"/>
  <c r="BO93"/>
  <c r="BN93"/>
  <c r="BM93"/>
  <c r="BL93"/>
  <c r="BK93"/>
  <c r="BJ93"/>
  <c r="BG93"/>
  <c r="BF93"/>
  <c r="BE93"/>
  <c r="BD93"/>
  <c r="BC93"/>
  <c r="BB93"/>
  <c r="BA93"/>
  <c r="AZ93"/>
  <c r="AY93"/>
  <c r="AX93"/>
  <c r="AU93"/>
  <c r="AT93"/>
  <c r="AS93"/>
  <c r="AR93"/>
  <c r="AQ93"/>
  <c r="AP93"/>
  <c r="AO93"/>
  <c r="AN93"/>
  <c r="AM93"/>
  <c r="AL93"/>
  <c r="AI93"/>
  <c r="AH93"/>
  <c r="AG93"/>
  <c r="AF93"/>
  <c r="AE93"/>
  <c r="AD93"/>
  <c r="AC93"/>
  <c r="AB93"/>
  <c r="AA93"/>
  <c r="Z93"/>
  <c r="W93"/>
  <c r="V93"/>
  <c r="U93"/>
  <c r="T93"/>
  <c r="S93"/>
  <c r="R93"/>
  <c r="Q93"/>
  <c r="P93"/>
  <c r="O93"/>
  <c r="N93"/>
  <c r="K93"/>
  <c r="J93"/>
  <c r="I93"/>
  <c r="H93"/>
  <c r="G93"/>
  <c r="F93"/>
  <c r="E93"/>
  <c r="D93"/>
  <c r="C93"/>
  <c r="B93"/>
  <c r="CQ92"/>
  <c r="CP92"/>
  <c r="CO92"/>
  <c r="CN92"/>
  <c r="CM92"/>
  <c r="CL92"/>
  <c r="CK92"/>
  <c r="CJ92"/>
  <c r="CI92"/>
  <c r="CH92"/>
  <c r="CE92"/>
  <c r="CD92"/>
  <c r="CC92"/>
  <c r="CB92"/>
  <c r="CA92"/>
  <c r="BZ92"/>
  <c r="BY92"/>
  <c r="BX92"/>
  <c r="BW92"/>
  <c r="BV92"/>
  <c r="BS92"/>
  <c r="BR92"/>
  <c r="BQ92"/>
  <c r="BP92"/>
  <c r="BO92"/>
  <c r="BN92"/>
  <c r="BM92"/>
  <c r="BL92"/>
  <c r="BK92"/>
  <c r="BJ92"/>
  <c r="BG92"/>
  <c r="BF92"/>
  <c r="BE92"/>
  <c r="BD92"/>
  <c r="BC92"/>
  <c r="BB92"/>
  <c r="BA92"/>
  <c r="AZ92"/>
  <c r="AY92"/>
  <c r="AX92"/>
  <c r="AU92"/>
  <c r="AT92"/>
  <c r="AS92"/>
  <c r="AR92"/>
  <c r="AQ92"/>
  <c r="AP92"/>
  <c r="AO92"/>
  <c r="AN92"/>
  <c r="AM92"/>
  <c r="AL92"/>
  <c r="AI92"/>
  <c r="AH92"/>
  <c r="AG92"/>
  <c r="AF92"/>
  <c r="AE92"/>
  <c r="AD92"/>
  <c r="AC92"/>
  <c r="AB92"/>
  <c r="AA92"/>
  <c r="Z92"/>
  <c r="W92"/>
  <c r="V92"/>
  <c r="U92"/>
  <c r="T92"/>
  <c r="S92"/>
  <c r="R92"/>
  <c r="Q92"/>
  <c r="P92"/>
  <c r="O92"/>
  <c r="N92"/>
  <c r="K92"/>
  <c r="J92"/>
  <c r="I92"/>
  <c r="H92"/>
  <c r="G92"/>
  <c r="F92"/>
  <c r="E92"/>
  <c r="D92"/>
  <c r="C92"/>
  <c r="B92"/>
  <c r="CQ91"/>
  <c r="CP91"/>
  <c r="CO91"/>
  <c r="CN91"/>
  <c r="CM91"/>
  <c r="CL91"/>
  <c r="CK91"/>
  <c r="CJ91"/>
  <c r="CI91"/>
  <c r="CH91"/>
  <c r="CE91"/>
  <c r="CD91"/>
  <c r="CC91"/>
  <c r="CB91"/>
  <c r="CA91"/>
  <c r="BZ91"/>
  <c r="BY91"/>
  <c r="BX91"/>
  <c r="BW91"/>
  <c r="BV91"/>
  <c r="BS91"/>
  <c r="BR91"/>
  <c r="BQ91"/>
  <c r="BP91"/>
  <c r="BO91"/>
  <c r="BN91"/>
  <c r="BM91"/>
  <c r="BL91"/>
  <c r="BK91"/>
  <c r="BJ91"/>
  <c r="BG91"/>
  <c r="BF91"/>
  <c r="BE91"/>
  <c r="BD91"/>
  <c r="BC91"/>
  <c r="BB91"/>
  <c r="BA91"/>
  <c r="AZ91"/>
  <c r="AY91"/>
  <c r="AX91"/>
  <c r="AU91"/>
  <c r="AT91"/>
  <c r="AS91"/>
  <c r="AR91"/>
  <c r="AQ91"/>
  <c r="AP91"/>
  <c r="AO91"/>
  <c r="AN91"/>
  <c r="AM91"/>
  <c r="AL91"/>
  <c r="AI91"/>
  <c r="AH91"/>
  <c r="AG91"/>
  <c r="AF91"/>
  <c r="AE91"/>
  <c r="AD91"/>
  <c r="AC91"/>
  <c r="AB91"/>
  <c r="AA91"/>
  <c r="Z91"/>
  <c r="W91"/>
  <c r="V91"/>
  <c r="U91"/>
  <c r="T91"/>
  <c r="S91"/>
  <c r="R91"/>
  <c r="Q91"/>
  <c r="P91"/>
  <c r="O91"/>
  <c r="N91"/>
  <c r="K91"/>
  <c r="J91"/>
  <c r="I91"/>
  <c r="H91"/>
  <c r="G91"/>
  <c r="F91"/>
  <c r="E91"/>
  <c r="D91"/>
  <c r="C91"/>
  <c r="B91"/>
  <c r="CE87"/>
  <c r="CD87"/>
  <c r="CC87"/>
  <c r="CB87"/>
  <c r="CA87"/>
  <c r="BZ87"/>
  <c r="BY87"/>
  <c r="BX87"/>
  <c r="BW87"/>
  <c r="BV87"/>
  <c r="BS87"/>
  <c r="BR87"/>
  <c r="BQ87"/>
  <c r="BP87"/>
  <c r="BO87"/>
  <c r="BN87"/>
  <c r="BM87"/>
  <c r="BL87"/>
  <c r="BK87"/>
  <c r="BJ87"/>
  <c r="BG87"/>
  <c r="BF87"/>
  <c r="BE87"/>
  <c r="BD87"/>
  <c r="BC87"/>
  <c r="BB87"/>
  <c r="BA87"/>
  <c r="AZ87"/>
  <c r="AY87"/>
  <c r="AX87"/>
  <c r="AU87"/>
  <c r="AT87"/>
  <c r="AS87"/>
  <c r="AR87"/>
  <c r="AQ87"/>
  <c r="AP87"/>
  <c r="AO87"/>
  <c r="AN87"/>
  <c r="AM87"/>
  <c r="AL87"/>
  <c r="AI87"/>
  <c r="AH87"/>
  <c r="AG87"/>
  <c r="AF87"/>
  <c r="AE87"/>
  <c r="AD87"/>
  <c r="AC87"/>
  <c r="AB87"/>
  <c r="AA87"/>
  <c r="Z87"/>
  <c r="W87"/>
  <c r="V87"/>
  <c r="U87"/>
  <c r="T87"/>
  <c r="S87"/>
  <c r="R87"/>
  <c r="Q87"/>
  <c r="P87"/>
  <c r="O87"/>
  <c r="N87"/>
  <c r="K87"/>
  <c r="J87"/>
  <c r="I87"/>
  <c r="H87"/>
  <c r="G87"/>
  <c r="F87"/>
  <c r="E87"/>
  <c r="D87"/>
  <c r="C87"/>
  <c r="B87"/>
  <c r="CE86"/>
  <c r="CD86"/>
  <c r="CC86"/>
  <c r="CB86"/>
  <c r="CA86"/>
  <c r="BZ86"/>
  <c r="BY86"/>
  <c r="BX86"/>
  <c r="BW86"/>
  <c r="BV86"/>
  <c r="BS86"/>
  <c r="BR86"/>
  <c r="BQ86"/>
  <c r="BP86"/>
  <c r="BO86"/>
  <c r="BN86"/>
  <c r="BM86"/>
  <c r="BL86"/>
  <c r="BK86"/>
  <c r="BJ86"/>
  <c r="BG86"/>
  <c r="BF86"/>
  <c r="BE86"/>
  <c r="BD86"/>
  <c r="BC86"/>
  <c r="BB86"/>
  <c r="BA86"/>
  <c r="AZ86"/>
  <c r="AY86"/>
  <c r="AX86"/>
  <c r="AU86"/>
  <c r="AT86"/>
  <c r="AS86"/>
  <c r="AR86"/>
  <c r="AQ86"/>
  <c r="AP86"/>
  <c r="AO86"/>
  <c r="AN86"/>
  <c r="AM86"/>
  <c r="AL86"/>
  <c r="AI86"/>
  <c r="AH86"/>
  <c r="AG86"/>
  <c r="AF86"/>
  <c r="AE86"/>
  <c r="AD86"/>
  <c r="AC86"/>
  <c r="AB86"/>
  <c r="AA86"/>
  <c r="Z86"/>
  <c r="W86"/>
  <c r="V86"/>
  <c r="U86"/>
  <c r="T86"/>
  <c r="S86"/>
  <c r="R86"/>
  <c r="Q86"/>
  <c r="P86"/>
  <c r="O86"/>
  <c r="N86"/>
  <c r="K86"/>
  <c r="J86"/>
  <c r="I86"/>
  <c r="H86"/>
  <c r="G86"/>
  <c r="F86"/>
  <c r="E86"/>
  <c r="D86"/>
  <c r="C86"/>
  <c r="B86"/>
  <c r="CE85"/>
  <c r="CD85"/>
  <c r="CC85"/>
  <c r="CB85"/>
  <c r="CA85"/>
  <c r="BZ85"/>
  <c r="BY85"/>
  <c r="BX85"/>
  <c r="BW85"/>
  <c r="BV85"/>
  <c r="BS85"/>
  <c r="BR85"/>
  <c r="BQ85"/>
  <c r="BP85"/>
  <c r="BO85"/>
  <c r="BN85"/>
  <c r="BM85"/>
  <c r="BL85"/>
  <c r="BK85"/>
  <c r="BJ85"/>
  <c r="BG85"/>
  <c r="BF85"/>
  <c r="BE85"/>
  <c r="BD85"/>
  <c r="BC85"/>
  <c r="BB85"/>
  <c r="BA85"/>
  <c r="AZ85"/>
  <c r="AY85"/>
  <c r="AX85"/>
  <c r="AU85"/>
  <c r="AT85"/>
  <c r="AS85"/>
  <c r="AR85"/>
  <c r="AQ85"/>
  <c r="AP85"/>
  <c r="AO85"/>
  <c r="AN85"/>
  <c r="AM85"/>
  <c r="AL85"/>
  <c r="AI85"/>
  <c r="AH85"/>
  <c r="AG85"/>
  <c r="AF85"/>
  <c r="AE85"/>
  <c r="AD85"/>
  <c r="AC85"/>
  <c r="AB85"/>
  <c r="AA85"/>
  <c r="Z85"/>
  <c r="W85"/>
  <c r="V85"/>
  <c r="U85"/>
  <c r="T85"/>
  <c r="S85"/>
  <c r="R85"/>
  <c r="Q85"/>
  <c r="P85"/>
  <c r="O85"/>
  <c r="N85"/>
  <c r="K85"/>
  <c r="J85"/>
  <c r="I85"/>
  <c r="H85"/>
  <c r="G85"/>
  <c r="F85"/>
  <c r="E85"/>
  <c r="D85"/>
  <c r="C85"/>
  <c r="B85"/>
  <c r="CE84"/>
  <c r="CD84"/>
  <c r="CC84"/>
  <c r="CB84"/>
  <c r="CA84"/>
  <c r="BZ84"/>
  <c r="BY84"/>
  <c r="BX84"/>
  <c r="BW84"/>
  <c r="BV84"/>
  <c r="BS84"/>
  <c r="BR84"/>
  <c r="BQ84"/>
  <c r="BP84"/>
  <c r="BO84"/>
  <c r="BN84"/>
  <c r="BM84"/>
  <c r="BL84"/>
  <c r="BK84"/>
  <c r="BJ84"/>
  <c r="BG84"/>
  <c r="BF84"/>
  <c r="BE84"/>
  <c r="BD84"/>
  <c r="BC84"/>
  <c r="BB84"/>
  <c r="BA84"/>
  <c r="AZ84"/>
  <c r="AY84"/>
  <c r="AX84"/>
  <c r="AU84"/>
  <c r="AT84"/>
  <c r="AS84"/>
  <c r="AR84"/>
  <c r="AQ84"/>
  <c r="AP84"/>
  <c r="AO84"/>
  <c r="AN84"/>
  <c r="AM84"/>
  <c r="AL84"/>
  <c r="AI84"/>
  <c r="AH84"/>
  <c r="AG84"/>
  <c r="AF84"/>
  <c r="AE84"/>
  <c r="AD84"/>
  <c r="AC84"/>
  <c r="AB84"/>
  <c r="AA84"/>
  <c r="Z84"/>
  <c r="W84"/>
  <c r="V84"/>
  <c r="U84"/>
  <c r="T84"/>
  <c r="S84"/>
  <c r="R84"/>
  <c r="Q84"/>
  <c r="P84"/>
  <c r="O84"/>
  <c r="N84"/>
  <c r="K84"/>
  <c r="J84"/>
  <c r="I84"/>
  <c r="H84"/>
  <c r="G84"/>
  <c r="F84"/>
  <c r="E84"/>
  <c r="D84"/>
  <c r="C84"/>
  <c r="B84"/>
  <c r="CE83"/>
  <c r="CD83"/>
  <c r="CC83"/>
  <c r="CB83"/>
  <c r="CA83"/>
  <c r="BZ83"/>
  <c r="BY83"/>
  <c r="BX83"/>
  <c r="BW83"/>
  <c r="BV83"/>
  <c r="BS83"/>
  <c r="BR83"/>
  <c r="BQ83"/>
  <c r="BP83"/>
  <c r="BO83"/>
  <c r="BN83"/>
  <c r="BM83"/>
  <c r="BL83"/>
  <c r="BK83"/>
  <c r="BJ83"/>
  <c r="BG83"/>
  <c r="BF83"/>
  <c r="BE83"/>
  <c r="BD83"/>
  <c r="BC83"/>
  <c r="BB83"/>
  <c r="BA83"/>
  <c r="AZ83"/>
  <c r="AY83"/>
  <c r="AX83"/>
  <c r="AU83"/>
  <c r="AT83"/>
  <c r="AS83"/>
  <c r="AR83"/>
  <c r="AQ83"/>
  <c r="AP83"/>
  <c r="AO83"/>
  <c r="AN83"/>
  <c r="AM83"/>
  <c r="AL83"/>
  <c r="AI83"/>
  <c r="AH83"/>
  <c r="AG83"/>
  <c r="AF83"/>
  <c r="AE83"/>
  <c r="AD83"/>
  <c r="AC83"/>
  <c r="AB83"/>
  <c r="AA83"/>
  <c r="Z83"/>
  <c r="W83"/>
  <c r="V83"/>
  <c r="U83"/>
  <c r="T83"/>
  <c r="S83"/>
  <c r="R83"/>
  <c r="Q83"/>
  <c r="P83"/>
  <c r="O83"/>
  <c r="N83"/>
  <c r="K83"/>
  <c r="J83"/>
  <c r="I83"/>
  <c r="H83"/>
  <c r="G83"/>
  <c r="F83"/>
  <c r="E83"/>
  <c r="D83"/>
  <c r="C83"/>
  <c r="B83"/>
  <c r="CE82"/>
  <c r="CD82"/>
  <c r="CC82"/>
  <c r="CB82"/>
  <c r="CA82"/>
  <c r="BZ82"/>
  <c r="BY82"/>
  <c r="BX82"/>
  <c r="BW82"/>
  <c r="BV82"/>
  <c r="BS82"/>
  <c r="BR82"/>
  <c r="BQ82"/>
  <c r="BP82"/>
  <c r="BO82"/>
  <c r="BN82"/>
  <c r="BM82"/>
  <c r="BL82"/>
  <c r="BK82"/>
  <c r="BJ82"/>
  <c r="BG82"/>
  <c r="BF82"/>
  <c r="BE82"/>
  <c r="BD82"/>
  <c r="BC82"/>
  <c r="BB82"/>
  <c r="BA82"/>
  <c r="AZ82"/>
  <c r="AY82"/>
  <c r="AX82"/>
  <c r="AU82"/>
  <c r="AT82"/>
  <c r="AS82"/>
  <c r="AR82"/>
  <c r="AQ82"/>
  <c r="AP82"/>
  <c r="AO82"/>
  <c r="AN82"/>
  <c r="AM82"/>
  <c r="AL82"/>
  <c r="AI82"/>
  <c r="AH82"/>
  <c r="AG82"/>
  <c r="AF82"/>
  <c r="AE82"/>
  <c r="AD82"/>
  <c r="AC82"/>
  <c r="AB82"/>
  <c r="AA82"/>
  <c r="Z82"/>
  <c r="W82"/>
  <c r="V82"/>
  <c r="U82"/>
  <c r="T82"/>
  <c r="S82"/>
  <c r="R82"/>
  <c r="Q82"/>
  <c r="P82"/>
  <c r="O82"/>
  <c r="N82"/>
  <c r="K82"/>
  <c r="J82"/>
  <c r="I82"/>
  <c r="H82"/>
  <c r="G82"/>
  <c r="F82"/>
  <c r="E82"/>
  <c r="D82"/>
  <c r="C82"/>
  <c r="B82"/>
  <c r="CE81"/>
  <c r="CD81"/>
  <c r="CC81"/>
  <c r="CB81"/>
  <c r="CA81"/>
  <c r="BZ81"/>
  <c r="BY81"/>
  <c r="BX81"/>
  <c r="BW81"/>
  <c r="BV81"/>
  <c r="BS81"/>
  <c r="BR81"/>
  <c r="BQ81"/>
  <c r="BP81"/>
  <c r="BO81"/>
  <c r="BN81"/>
  <c r="BM81"/>
  <c r="BL81"/>
  <c r="BK81"/>
  <c r="BJ81"/>
  <c r="BG81"/>
  <c r="BF81"/>
  <c r="BE81"/>
  <c r="BD81"/>
  <c r="BC81"/>
  <c r="BB81"/>
  <c r="BA81"/>
  <c r="AZ81"/>
  <c r="AY81"/>
  <c r="AX81"/>
  <c r="AU81"/>
  <c r="AT81"/>
  <c r="AS81"/>
  <c r="AR81"/>
  <c r="AQ81"/>
  <c r="AP81"/>
  <c r="AO81"/>
  <c r="AN81"/>
  <c r="AM81"/>
  <c r="AL81"/>
  <c r="AI81"/>
  <c r="AH81"/>
  <c r="AG81"/>
  <c r="AF81"/>
  <c r="AE81"/>
  <c r="AD81"/>
  <c r="AC81"/>
  <c r="AB81"/>
  <c r="AA81"/>
  <c r="Z81"/>
  <c r="W81"/>
  <c r="V81"/>
  <c r="U81"/>
  <c r="T81"/>
  <c r="S81"/>
  <c r="R81"/>
  <c r="Q81"/>
  <c r="P81"/>
  <c r="O81"/>
  <c r="N81"/>
  <c r="K81"/>
  <c r="J81"/>
  <c r="I81"/>
  <c r="H81"/>
  <c r="G81"/>
  <c r="F81"/>
  <c r="E81"/>
  <c r="D81"/>
  <c r="C81"/>
  <c r="B81"/>
  <c r="CE80"/>
  <c r="CD80"/>
  <c r="CC80"/>
  <c r="CB80"/>
  <c r="CA80"/>
  <c r="BZ80"/>
  <c r="BY80"/>
  <c r="BX80"/>
  <c r="BW80"/>
  <c r="BV80"/>
  <c r="BS80"/>
  <c r="BR80"/>
  <c r="BQ80"/>
  <c r="BP80"/>
  <c r="BO80"/>
  <c r="BN80"/>
  <c r="BM80"/>
  <c r="BL80"/>
  <c r="BK80"/>
  <c r="BJ80"/>
  <c r="BG80"/>
  <c r="BF80"/>
  <c r="BE80"/>
  <c r="BD80"/>
  <c r="BC80"/>
  <c r="BB80"/>
  <c r="BA80"/>
  <c r="AZ80"/>
  <c r="AY80"/>
  <c r="AX80"/>
  <c r="AU80"/>
  <c r="AT80"/>
  <c r="AS80"/>
  <c r="AR80"/>
  <c r="AQ80"/>
  <c r="AP80"/>
  <c r="AO80"/>
  <c r="AN80"/>
  <c r="AM80"/>
  <c r="AL80"/>
  <c r="AI80"/>
  <c r="AH80"/>
  <c r="AG80"/>
  <c r="AF80"/>
  <c r="AE80"/>
  <c r="AD80"/>
  <c r="AC80"/>
  <c r="AB80"/>
  <c r="AA80"/>
  <c r="Z80"/>
  <c r="W80"/>
  <c r="V80"/>
  <c r="U80"/>
  <c r="T80"/>
  <c r="S80"/>
  <c r="R80"/>
  <c r="Q80"/>
  <c r="P80"/>
  <c r="O80"/>
  <c r="N80"/>
  <c r="K80"/>
  <c r="J80"/>
  <c r="I80"/>
  <c r="H80"/>
  <c r="G80"/>
  <c r="F80"/>
  <c r="E80"/>
  <c r="D80"/>
  <c r="C80"/>
  <c r="B80"/>
  <c r="CE79"/>
  <c r="CD79"/>
  <c r="CC79"/>
  <c r="CB79"/>
  <c r="CA79"/>
  <c r="BZ79"/>
  <c r="BY79"/>
  <c r="BX79"/>
  <c r="BW79"/>
  <c r="BV79"/>
  <c r="BS79"/>
  <c r="BR79"/>
  <c r="BQ79"/>
  <c r="BP79"/>
  <c r="BO79"/>
  <c r="BN79"/>
  <c r="BM79"/>
  <c r="BL79"/>
  <c r="BK79"/>
  <c r="BJ79"/>
  <c r="BG79"/>
  <c r="BF79"/>
  <c r="BE79"/>
  <c r="BD79"/>
  <c r="BC79"/>
  <c r="BB79"/>
  <c r="BA79"/>
  <c r="AZ79"/>
  <c r="AY79"/>
  <c r="AX79"/>
  <c r="AU79"/>
  <c r="AT79"/>
  <c r="AS79"/>
  <c r="AR79"/>
  <c r="AQ79"/>
  <c r="AP79"/>
  <c r="AO79"/>
  <c r="AN79"/>
  <c r="AM79"/>
  <c r="AL79"/>
  <c r="AI79"/>
  <c r="AH79"/>
  <c r="AG79"/>
  <c r="AF79"/>
  <c r="AE79"/>
  <c r="AD79"/>
  <c r="AC79"/>
  <c r="AB79"/>
  <c r="AA79"/>
  <c r="Z79"/>
  <c r="W79"/>
  <c r="V79"/>
  <c r="U79"/>
  <c r="T79"/>
  <c r="S79"/>
  <c r="R79"/>
  <c r="Q79"/>
  <c r="P79"/>
  <c r="O79"/>
  <c r="N79"/>
  <c r="K79"/>
  <c r="J79"/>
  <c r="I79"/>
  <c r="H79"/>
  <c r="G79"/>
  <c r="F79"/>
  <c r="E79"/>
  <c r="D79"/>
  <c r="C79"/>
  <c r="B79"/>
  <c r="CE78"/>
  <c r="CD78"/>
  <c r="CC78"/>
  <c r="CB78"/>
  <c r="CA78"/>
  <c r="BZ78"/>
  <c r="BY78"/>
  <c r="BX78"/>
  <c r="BW78"/>
  <c r="BV78"/>
  <c r="BS78"/>
  <c r="BR78"/>
  <c r="BQ78"/>
  <c r="BP78"/>
  <c r="BO78"/>
  <c r="BN78"/>
  <c r="BM78"/>
  <c r="BL78"/>
  <c r="BK78"/>
  <c r="BJ78"/>
  <c r="BG78"/>
  <c r="BF78"/>
  <c r="BE78"/>
  <c r="BD78"/>
  <c r="BC78"/>
  <c r="BB78"/>
  <c r="BA78"/>
  <c r="AZ78"/>
  <c r="AY78"/>
  <c r="AX78"/>
  <c r="AU78"/>
  <c r="AT78"/>
  <c r="AS78"/>
  <c r="AR78"/>
  <c r="AQ78"/>
  <c r="AP78"/>
  <c r="AO78"/>
  <c r="AN78"/>
  <c r="AM78"/>
  <c r="AL78"/>
  <c r="AI78"/>
  <c r="AH78"/>
  <c r="AG78"/>
  <c r="AF78"/>
  <c r="AE78"/>
  <c r="AD78"/>
  <c r="AC78"/>
  <c r="AB78"/>
  <c r="AA78"/>
  <c r="Z78"/>
  <c r="W78"/>
  <c r="V78"/>
  <c r="U78"/>
  <c r="T78"/>
  <c r="S78"/>
  <c r="R78"/>
  <c r="Q78"/>
  <c r="P78"/>
  <c r="O78"/>
  <c r="N78"/>
  <c r="K78"/>
  <c r="J78"/>
  <c r="I78"/>
  <c r="H78"/>
  <c r="G78"/>
  <c r="F78"/>
  <c r="E78"/>
  <c r="D78"/>
  <c r="C78"/>
  <c r="B78"/>
  <c r="CE77"/>
  <c r="CD77"/>
  <c r="CC77"/>
  <c r="CB77"/>
  <c r="CA77"/>
  <c r="BZ77"/>
  <c r="BY77"/>
  <c r="BX77"/>
  <c r="BW77"/>
  <c r="BV77"/>
  <c r="BS77"/>
  <c r="BR77"/>
  <c r="BQ77"/>
  <c r="BP77"/>
  <c r="BO77"/>
  <c r="BN77"/>
  <c r="BM77"/>
  <c r="BL77"/>
  <c r="BK77"/>
  <c r="BJ77"/>
  <c r="BG77"/>
  <c r="BF77"/>
  <c r="BE77"/>
  <c r="BD77"/>
  <c r="BC77"/>
  <c r="BB77"/>
  <c r="BA77"/>
  <c r="AZ77"/>
  <c r="AY77"/>
  <c r="AX77"/>
  <c r="AU77"/>
  <c r="AT77"/>
  <c r="AS77"/>
  <c r="AR77"/>
  <c r="AQ77"/>
  <c r="AP77"/>
  <c r="AO77"/>
  <c r="AN77"/>
  <c r="AM77"/>
  <c r="AL77"/>
  <c r="AI77"/>
  <c r="AH77"/>
  <c r="AG77"/>
  <c r="AF77"/>
  <c r="AE77"/>
  <c r="AD77"/>
  <c r="AC77"/>
  <c r="AB77"/>
  <c r="AA77"/>
  <c r="Z77"/>
  <c r="W77"/>
  <c r="V77"/>
  <c r="U77"/>
  <c r="T77"/>
  <c r="S77"/>
  <c r="R77"/>
  <c r="Q77"/>
  <c r="P77"/>
  <c r="O77"/>
  <c r="N77"/>
  <c r="K77"/>
  <c r="J77"/>
  <c r="I77"/>
  <c r="H77"/>
  <c r="G77"/>
  <c r="F77"/>
  <c r="E77"/>
  <c r="D77"/>
  <c r="C77"/>
  <c r="B77"/>
  <c r="CE76"/>
  <c r="CD76"/>
  <c r="CC76"/>
  <c r="CB76"/>
  <c r="CA76"/>
  <c r="BZ76"/>
  <c r="BY76"/>
  <c r="BX76"/>
  <c r="BW76"/>
  <c r="BV76"/>
  <c r="BS76"/>
  <c r="BR76"/>
  <c r="BQ76"/>
  <c r="BP76"/>
  <c r="BO76"/>
  <c r="BN76"/>
  <c r="BM76"/>
  <c r="BL76"/>
  <c r="BK76"/>
  <c r="BJ76"/>
  <c r="BG76"/>
  <c r="BF76"/>
  <c r="BE76"/>
  <c r="BD76"/>
  <c r="BC76"/>
  <c r="BB76"/>
  <c r="BA76"/>
  <c r="AZ76"/>
  <c r="AY76"/>
  <c r="AX76"/>
  <c r="AU76"/>
  <c r="AT76"/>
  <c r="AS76"/>
  <c r="AR76"/>
  <c r="AQ76"/>
  <c r="AP76"/>
  <c r="AO76"/>
  <c r="AN76"/>
  <c r="AM76"/>
  <c r="AL76"/>
  <c r="AI76"/>
  <c r="AH76"/>
  <c r="AG76"/>
  <c r="AF76"/>
  <c r="AE76"/>
  <c r="AD76"/>
  <c r="AC76"/>
  <c r="AB76"/>
  <c r="AA76"/>
  <c r="Z76"/>
  <c r="W76"/>
  <c r="V76"/>
  <c r="U76"/>
  <c r="T76"/>
  <c r="S76"/>
  <c r="R76"/>
  <c r="Q76"/>
  <c r="P76"/>
  <c r="O76"/>
  <c r="N76"/>
  <c r="K76"/>
  <c r="J76"/>
  <c r="I76"/>
  <c r="H76"/>
  <c r="G76"/>
  <c r="F76"/>
  <c r="E76"/>
  <c r="D76"/>
  <c r="C76"/>
  <c r="B76"/>
  <c r="CE75"/>
  <c r="CD75"/>
  <c r="CC75"/>
  <c r="CB75"/>
  <c r="CA75"/>
  <c r="BZ75"/>
  <c r="BY75"/>
  <c r="BX75"/>
  <c r="BW75"/>
  <c r="BV75"/>
  <c r="BS75"/>
  <c r="BR75"/>
  <c r="BQ75"/>
  <c r="BP75"/>
  <c r="BO75"/>
  <c r="BN75"/>
  <c r="BM75"/>
  <c r="BL75"/>
  <c r="BK75"/>
  <c r="BJ75"/>
  <c r="BG75"/>
  <c r="BF75"/>
  <c r="BE75"/>
  <c r="BD75"/>
  <c r="BC75"/>
  <c r="BB75"/>
  <c r="BA75"/>
  <c r="AZ75"/>
  <c r="AY75"/>
  <c r="AX75"/>
  <c r="AU75"/>
  <c r="AT75"/>
  <c r="AS75"/>
  <c r="AR75"/>
  <c r="AQ75"/>
  <c r="AP75"/>
  <c r="AO75"/>
  <c r="AN75"/>
  <c r="AM75"/>
  <c r="AL75"/>
  <c r="AI75"/>
  <c r="AH75"/>
  <c r="AG75"/>
  <c r="AF75"/>
  <c r="AE75"/>
  <c r="AD75"/>
  <c r="AC75"/>
  <c r="AB75"/>
  <c r="AA75"/>
  <c r="Z75"/>
  <c r="W75"/>
  <c r="V75"/>
  <c r="U75"/>
  <c r="T75"/>
  <c r="S75"/>
  <c r="R75"/>
  <c r="Q75"/>
  <c r="P75"/>
  <c r="O75"/>
  <c r="N75"/>
  <c r="K75"/>
  <c r="J75"/>
  <c r="I75"/>
  <c r="H75"/>
  <c r="G75"/>
  <c r="F75"/>
  <c r="E75"/>
  <c r="D75"/>
  <c r="C75"/>
  <c r="B75"/>
  <c r="CE74"/>
  <c r="CD74"/>
  <c r="CC74"/>
  <c r="CB74"/>
  <c r="CA74"/>
  <c r="BZ74"/>
  <c r="BY74"/>
  <c r="BX74"/>
  <c r="BW74"/>
  <c r="BV74"/>
  <c r="BS74"/>
  <c r="BR74"/>
  <c r="BQ74"/>
  <c r="BP74"/>
  <c r="BO74"/>
  <c r="BN74"/>
  <c r="BM74"/>
  <c r="BL74"/>
  <c r="BK74"/>
  <c r="BJ74"/>
  <c r="BG74"/>
  <c r="BF74"/>
  <c r="BE74"/>
  <c r="BD74"/>
  <c r="BC74"/>
  <c r="BB74"/>
  <c r="BA74"/>
  <c r="AZ74"/>
  <c r="AY74"/>
  <c r="AX74"/>
  <c r="AU74"/>
  <c r="AT74"/>
  <c r="AS74"/>
  <c r="AR74"/>
  <c r="AQ74"/>
  <c r="AP74"/>
  <c r="AO74"/>
  <c r="AN74"/>
  <c r="AM74"/>
  <c r="AL74"/>
  <c r="AI74"/>
  <c r="AH74"/>
  <c r="AG74"/>
  <c r="AF74"/>
  <c r="AE74"/>
  <c r="AD74"/>
  <c r="AC74"/>
  <c r="AB74"/>
  <c r="AA74"/>
  <c r="Z74"/>
  <c r="W74"/>
  <c r="V74"/>
  <c r="U74"/>
  <c r="T74"/>
  <c r="S74"/>
  <c r="R74"/>
  <c r="Q74"/>
  <c r="P74"/>
  <c r="O74"/>
  <c r="N74"/>
  <c r="K74"/>
  <c r="J74"/>
  <c r="I74"/>
  <c r="H74"/>
  <c r="G74"/>
  <c r="F74"/>
  <c r="E74"/>
  <c r="D74"/>
  <c r="C74"/>
  <c r="B74"/>
  <c r="CE73"/>
  <c r="CD73"/>
  <c r="CC73"/>
  <c r="CB73"/>
  <c r="CA73"/>
  <c r="BZ73"/>
  <c r="BY73"/>
  <c r="BX73"/>
  <c r="BW73"/>
  <c r="BV73"/>
  <c r="BS73"/>
  <c r="BR73"/>
  <c r="BQ73"/>
  <c r="BP73"/>
  <c r="BO73"/>
  <c r="BN73"/>
  <c r="BM73"/>
  <c r="BL73"/>
  <c r="BK73"/>
  <c r="BJ73"/>
  <c r="BG73"/>
  <c r="BF73"/>
  <c r="BE73"/>
  <c r="BD73"/>
  <c r="BC73"/>
  <c r="BB73"/>
  <c r="BA73"/>
  <c r="AZ73"/>
  <c r="AY73"/>
  <c r="AX73"/>
  <c r="AU73"/>
  <c r="AT73"/>
  <c r="AS73"/>
  <c r="AR73"/>
  <c r="AQ73"/>
  <c r="AP73"/>
  <c r="AO73"/>
  <c r="AN73"/>
  <c r="AM73"/>
  <c r="AL73"/>
  <c r="AI73"/>
  <c r="AH73"/>
  <c r="AG73"/>
  <c r="AF73"/>
  <c r="AE73"/>
  <c r="AD73"/>
  <c r="AC73"/>
  <c r="AB73"/>
  <c r="AA73"/>
  <c r="Z73"/>
  <c r="W73"/>
  <c r="V73"/>
  <c r="U73"/>
  <c r="T73"/>
  <c r="S73"/>
  <c r="R73"/>
  <c r="Q73"/>
  <c r="P73"/>
  <c r="O73"/>
  <c r="N73"/>
  <c r="K73"/>
  <c r="J73"/>
  <c r="I73"/>
  <c r="H73"/>
  <c r="G73"/>
  <c r="F73"/>
  <c r="E73"/>
  <c r="D73"/>
  <c r="C73"/>
  <c r="B73"/>
  <c r="CE72"/>
  <c r="CD72"/>
  <c r="CC72"/>
  <c r="CB72"/>
  <c r="CA72"/>
  <c r="BZ72"/>
  <c r="BY72"/>
  <c r="BX72"/>
  <c r="BW72"/>
  <c r="BV72"/>
  <c r="BS72"/>
  <c r="BR72"/>
  <c r="BQ72"/>
  <c r="BP72"/>
  <c r="BO72"/>
  <c r="BN72"/>
  <c r="BM72"/>
  <c r="BL72"/>
  <c r="BK72"/>
  <c r="BJ72"/>
  <c r="BG72"/>
  <c r="BF72"/>
  <c r="BE72"/>
  <c r="BD72"/>
  <c r="BC72"/>
  <c r="BB72"/>
  <c r="BA72"/>
  <c r="AZ72"/>
  <c r="AY72"/>
  <c r="AX72"/>
  <c r="AU72"/>
  <c r="AT72"/>
  <c r="AS72"/>
  <c r="AR72"/>
  <c r="AQ72"/>
  <c r="AP72"/>
  <c r="AO72"/>
  <c r="AN72"/>
  <c r="AM72"/>
  <c r="AL72"/>
  <c r="AI72"/>
  <c r="AH72"/>
  <c r="AG72"/>
  <c r="AF72"/>
  <c r="AE72"/>
  <c r="AD72"/>
  <c r="AC72"/>
  <c r="AB72"/>
  <c r="AA72"/>
  <c r="Z72"/>
  <c r="W72"/>
  <c r="V72"/>
  <c r="U72"/>
  <c r="T72"/>
  <c r="S72"/>
  <c r="R72"/>
  <c r="Q72"/>
  <c r="P72"/>
  <c r="O72"/>
  <c r="N72"/>
  <c r="K72"/>
  <c r="J72"/>
  <c r="I72"/>
  <c r="H72"/>
  <c r="G72"/>
  <c r="F72"/>
  <c r="E72"/>
  <c r="D72"/>
  <c r="C72"/>
  <c r="B72"/>
  <c r="CE71"/>
  <c r="CD71"/>
  <c r="CC71"/>
  <c r="CB71"/>
  <c r="CA71"/>
  <c r="BZ71"/>
  <c r="BY71"/>
  <c r="BX71"/>
  <c r="BW71"/>
  <c r="BV71"/>
  <c r="BS71"/>
  <c r="BR71"/>
  <c r="BQ71"/>
  <c r="BP71"/>
  <c r="BO71"/>
  <c r="BN71"/>
  <c r="BM71"/>
  <c r="BL71"/>
  <c r="BK71"/>
  <c r="BJ71"/>
  <c r="BG71"/>
  <c r="BF71"/>
  <c r="BE71"/>
  <c r="BD71"/>
  <c r="BC71"/>
  <c r="BB71"/>
  <c r="BA71"/>
  <c r="AZ71"/>
  <c r="AY71"/>
  <c r="AX71"/>
  <c r="AU71"/>
  <c r="AT71"/>
  <c r="AS71"/>
  <c r="AR71"/>
  <c r="AQ71"/>
  <c r="AP71"/>
  <c r="AO71"/>
  <c r="AN71"/>
  <c r="AM71"/>
  <c r="AL71"/>
  <c r="AI71"/>
  <c r="AH71"/>
  <c r="AG71"/>
  <c r="AF71"/>
  <c r="AE71"/>
  <c r="AD71"/>
  <c r="AC71"/>
  <c r="AB71"/>
  <c r="AA71"/>
  <c r="Z71"/>
  <c r="W71"/>
  <c r="V71"/>
  <c r="U71"/>
  <c r="T71"/>
  <c r="S71"/>
  <c r="R71"/>
  <c r="Q71"/>
  <c r="P71"/>
  <c r="O71"/>
  <c r="N71"/>
  <c r="K71"/>
  <c r="J71"/>
  <c r="I71"/>
  <c r="H71"/>
  <c r="G71"/>
  <c r="F71"/>
  <c r="E71"/>
  <c r="D71"/>
  <c r="C71"/>
  <c r="B71"/>
  <c r="CE70"/>
  <c r="CD70"/>
  <c r="CC70"/>
  <c r="CB70"/>
  <c r="CA70"/>
  <c r="BZ70"/>
  <c r="BY70"/>
  <c r="BX70"/>
  <c r="BW70"/>
  <c r="BV70"/>
  <c r="BS70"/>
  <c r="BR70"/>
  <c r="BQ70"/>
  <c r="BP70"/>
  <c r="BO70"/>
  <c r="BN70"/>
  <c r="BM70"/>
  <c r="BL70"/>
  <c r="BK70"/>
  <c r="BJ70"/>
  <c r="BG70"/>
  <c r="BF70"/>
  <c r="BE70"/>
  <c r="BD70"/>
  <c r="BC70"/>
  <c r="BB70"/>
  <c r="BA70"/>
  <c r="AZ70"/>
  <c r="AY70"/>
  <c r="AX70"/>
  <c r="AU70"/>
  <c r="AT70"/>
  <c r="AS70"/>
  <c r="AR70"/>
  <c r="AQ70"/>
  <c r="AP70"/>
  <c r="AO70"/>
  <c r="AN70"/>
  <c r="AM70"/>
  <c r="AL70"/>
  <c r="AI70"/>
  <c r="AH70"/>
  <c r="AG70"/>
  <c r="AF70"/>
  <c r="AE70"/>
  <c r="AD70"/>
  <c r="AC70"/>
  <c r="AB70"/>
  <c r="AA70"/>
  <c r="Z70"/>
  <c r="W70"/>
  <c r="V70"/>
  <c r="U70"/>
  <c r="T70"/>
  <c r="S70"/>
  <c r="R70"/>
  <c r="Q70"/>
  <c r="P70"/>
  <c r="O70"/>
  <c r="N70"/>
  <c r="K70"/>
  <c r="J70"/>
  <c r="I70"/>
  <c r="H70"/>
  <c r="G70"/>
  <c r="F70"/>
  <c r="E70"/>
  <c r="D70"/>
  <c r="C70"/>
  <c r="B70"/>
  <c r="CE69"/>
  <c r="CD69"/>
  <c r="CC69"/>
  <c r="CB69"/>
  <c r="CA69"/>
  <c r="BZ69"/>
  <c r="BY69"/>
  <c r="BX69"/>
  <c r="BW69"/>
  <c r="BV69"/>
  <c r="BS69"/>
  <c r="BR69"/>
  <c r="BQ69"/>
  <c r="BP69"/>
  <c r="BO69"/>
  <c r="BN69"/>
  <c r="BM69"/>
  <c r="BL69"/>
  <c r="BK69"/>
  <c r="BJ69"/>
  <c r="BG69"/>
  <c r="BF69"/>
  <c r="BE69"/>
  <c r="BD69"/>
  <c r="BC69"/>
  <c r="BB69"/>
  <c r="BA69"/>
  <c r="AZ69"/>
  <c r="AY69"/>
  <c r="AX69"/>
  <c r="AU69"/>
  <c r="AT69"/>
  <c r="AS69"/>
  <c r="AR69"/>
  <c r="AQ69"/>
  <c r="AP69"/>
  <c r="AO69"/>
  <c r="AN69"/>
  <c r="AM69"/>
  <c r="AL69"/>
  <c r="AI69"/>
  <c r="AH69"/>
  <c r="AG69"/>
  <c r="AF69"/>
  <c r="AE69"/>
  <c r="AD69"/>
  <c r="AC69"/>
  <c r="AB69"/>
  <c r="AA69"/>
  <c r="Z69"/>
  <c r="W69"/>
  <c r="V69"/>
  <c r="U69"/>
  <c r="T69"/>
  <c r="S69"/>
  <c r="R69"/>
  <c r="Q69"/>
  <c r="P69"/>
  <c r="O69"/>
  <c r="N69"/>
  <c r="K69"/>
  <c r="J69"/>
  <c r="I69"/>
  <c r="H69"/>
  <c r="G69"/>
  <c r="F69"/>
  <c r="E69"/>
  <c r="D69"/>
  <c r="C69"/>
  <c r="B69"/>
  <c r="CE65"/>
  <c r="CD65"/>
  <c r="CC65"/>
  <c r="CB65"/>
  <c r="CA65"/>
  <c r="BZ65"/>
  <c r="BY65"/>
  <c r="BX65"/>
  <c r="BW65"/>
  <c r="BV65"/>
  <c r="BS65"/>
  <c r="BR65"/>
  <c r="BQ65"/>
  <c r="BP65"/>
  <c r="BO65"/>
  <c r="BN65"/>
  <c r="BM65"/>
  <c r="BL65"/>
  <c r="BK65"/>
  <c r="BJ65"/>
  <c r="BG65"/>
  <c r="BF65"/>
  <c r="BE65"/>
  <c r="BD65"/>
  <c r="BC65"/>
  <c r="BB65"/>
  <c r="BA65"/>
  <c r="AZ65"/>
  <c r="AY65"/>
  <c r="AX65"/>
  <c r="AU65"/>
  <c r="AT65"/>
  <c r="AS65"/>
  <c r="AR65"/>
  <c r="AQ65"/>
  <c r="AP65"/>
  <c r="AO65"/>
  <c r="AN65"/>
  <c r="AM65"/>
  <c r="AL65"/>
  <c r="AI65"/>
  <c r="AH65"/>
  <c r="AG65"/>
  <c r="AF65"/>
  <c r="AE65"/>
  <c r="AD65"/>
  <c r="AC65"/>
  <c r="AB65"/>
  <c r="AA65"/>
  <c r="Z65"/>
  <c r="W65"/>
  <c r="V65"/>
  <c r="U65"/>
  <c r="T65"/>
  <c r="S65"/>
  <c r="R65"/>
  <c r="Q65"/>
  <c r="P65"/>
  <c r="O65"/>
  <c r="N65"/>
  <c r="K65"/>
  <c r="J65"/>
  <c r="I65"/>
  <c r="H65"/>
  <c r="G65"/>
  <c r="F65"/>
  <c r="E65"/>
  <c r="D65"/>
  <c r="C65"/>
  <c r="B65"/>
  <c r="CE64"/>
  <c r="CD64"/>
  <c r="CC64"/>
  <c r="CB64"/>
  <c r="CA64"/>
  <c r="BZ64"/>
  <c r="BY64"/>
  <c r="BX64"/>
  <c r="BW64"/>
  <c r="BV64"/>
  <c r="BS64"/>
  <c r="BR64"/>
  <c r="BQ64"/>
  <c r="BP64"/>
  <c r="BO64"/>
  <c r="BN64"/>
  <c r="BM64"/>
  <c r="BL64"/>
  <c r="BK64"/>
  <c r="BJ64"/>
  <c r="BG64"/>
  <c r="BF64"/>
  <c r="BE64"/>
  <c r="BD64"/>
  <c r="BC64"/>
  <c r="BB64"/>
  <c r="BA64"/>
  <c r="AZ64"/>
  <c r="AY64"/>
  <c r="AX64"/>
  <c r="AU64"/>
  <c r="AT64"/>
  <c r="AS64"/>
  <c r="AR64"/>
  <c r="AQ64"/>
  <c r="AP64"/>
  <c r="AO64"/>
  <c r="AN64"/>
  <c r="AM64"/>
  <c r="AL64"/>
  <c r="AI64"/>
  <c r="AH64"/>
  <c r="AG64"/>
  <c r="AF64"/>
  <c r="AE64"/>
  <c r="AD64"/>
  <c r="AC64"/>
  <c r="AB64"/>
  <c r="AA64"/>
  <c r="Z64"/>
  <c r="W64"/>
  <c r="V64"/>
  <c r="U64"/>
  <c r="T64"/>
  <c r="S64"/>
  <c r="R64"/>
  <c r="Q64"/>
  <c r="P64"/>
  <c r="O64"/>
  <c r="N64"/>
  <c r="K64"/>
  <c r="J64"/>
  <c r="I64"/>
  <c r="H64"/>
  <c r="G64"/>
  <c r="F64"/>
  <c r="E64"/>
  <c r="D64"/>
  <c r="C64"/>
  <c r="B64"/>
  <c r="CE63"/>
  <c r="CD63"/>
  <c r="CC63"/>
  <c r="CB63"/>
  <c r="CA63"/>
  <c r="BZ63"/>
  <c r="BY63"/>
  <c r="BX63"/>
  <c r="BW63"/>
  <c r="BV63"/>
  <c r="BS63"/>
  <c r="BR63"/>
  <c r="BQ63"/>
  <c r="BP63"/>
  <c r="BO63"/>
  <c r="BN63"/>
  <c r="BM63"/>
  <c r="BL63"/>
  <c r="BK63"/>
  <c r="BJ63"/>
  <c r="BG63"/>
  <c r="BF63"/>
  <c r="BE63"/>
  <c r="BD63"/>
  <c r="BC63"/>
  <c r="BB63"/>
  <c r="BA63"/>
  <c r="AZ63"/>
  <c r="AY63"/>
  <c r="AX63"/>
  <c r="AU63"/>
  <c r="AT63"/>
  <c r="AS63"/>
  <c r="AR63"/>
  <c r="AQ63"/>
  <c r="AP63"/>
  <c r="AO63"/>
  <c r="AN63"/>
  <c r="AM63"/>
  <c r="AL63"/>
  <c r="AI63"/>
  <c r="AH63"/>
  <c r="AG63"/>
  <c r="AF63"/>
  <c r="AE63"/>
  <c r="AD63"/>
  <c r="AC63"/>
  <c r="AB63"/>
  <c r="AA63"/>
  <c r="Z63"/>
  <c r="W63"/>
  <c r="V63"/>
  <c r="U63"/>
  <c r="T63"/>
  <c r="S63"/>
  <c r="R63"/>
  <c r="Q63"/>
  <c r="P63"/>
  <c r="O63"/>
  <c r="N63"/>
  <c r="K63"/>
  <c r="J63"/>
  <c r="I63"/>
  <c r="H63"/>
  <c r="G63"/>
  <c r="F63"/>
  <c r="E63"/>
  <c r="D63"/>
  <c r="C63"/>
  <c r="B63"/>
  <c r="CE62"/>
  <c r="CD62"/>
  <c r="CC62"/>
  <c r="CB62"/>
  <c r="CA62"/>
  <c r="BZ62"/>
  <c r="BY62"/>
  <c r="BX62"/>
  <c r="BW62"/>
  <c r="BV62"/>
  <c r="BS62"/>
  <c r="BR62"/>
  <c r="BQ62"/>
  <c r="BP62"/>
  <c r="BO62"/>
  <c r="BN62"/>
  <c r="BM62"/>
  <c r="BL62"/>
  <c r="BK62"/>
  <c r="BJ62"/>
  <c r="BG62"/>
  <c r="BF62"/>
  <c r="BE62"/>
  <c r="BD62"/>
  <c r="BC62"/>
  <c r="BB62"/>
  <c r="BA62"/>
  <c r="AZ62"/>
  <c r="AY62"/>
  <c r="AX62"/>
  <c r="AU62"/>
  <c r="AT62"/>
  <c r="AS62"/>
  <c r="AR62"/>
  <c r="AQ62"/>
  <c r="AP62"/>
  <c r="AO62"/>
  <c r="AN62"/>
  <c r="AM62"/>
  <c r="AL62"/>
  <c r="AI62"/>
  <c r="AH62"/>
  <c r="AG62"/>
  <c r="AF62"/>
  <c r="AE62"/>
  <c r="AD62"/>
  <c r="AC62"/>
  <c r="AB62"/>
  <c r="AA62"/>
  <c r="Z62"/>
  <c r="W62"/>
  <c r="V62"/>
  <c r="U62"/>
  <c r="T62"/>
  <c r="S62"/>
  <c r="R62"/>
  <c r="Q62"/>
  <c r="P62"/>
  <c r="O62"/>
  <c r="N62"/>
  <c r="K62"/>
  <c r="J62"/>
  <c r="I62"/>
  <c r="H62"/>
  <c r="G62"/>
  <c r="F62"/>
  <c r="E62"/>
  <c r="D62"/>
  <c r="C62"/>
  <c r="B62"/>
  <c r="CE61"/>
  <c r="CD61"/>
  <c r="CC61"/>
  <c r="CB61"/>
  <c r="CA61"/>
  <c r="BZ61"/>
  <c r="BY61"/>
  <c r="BX61"/>
  <c r="BW61"/>
  <c r="BV61"/>
  <c r="BS61"/>
  <c r="BR61"/>
  <c r="BQ61"/>
  <c r="BP61"/>
  <c r="BO61"/>
  <c r="BN61"/>
  <c r="BM61"/>
  <c r="BL61"/>
  <c r="BK61"/>
  <c r="BJ61"/>
  <c r="BG61"/>
  <c r="BF61"/>
  <c r="BE61"/>
  <c r="BD61"/>
  <c r="BC61"/>
  <c r="BB61"/>
  <c r="BA61"/>
  <c r="AZ61"/>
  <c r="AY61"/>
  <c r="AX61"/>
  <c r="AU61"/>
  <c r="AT61"/>
  <c r="AS61"/>
  <c r="AR61"/>
  <c r="AQ61"/>
  <c r="AP61"/>
  <c r="AO61"/>
  <c r="AN61"/>
  <c r="AM61"/>
  <c r="AL61"/>
  <c r="AI61"/>
  <c r="AH61"/>
  <c r="AG61"/>
  <c r="AF61"/>
  <c r="AE61"/>
  <c r="AD61"/>
  <c r="AC61"/>
  <c r="AB61"/>
  <c r="AA61"/>
  <c r="Z61"/>
  <c r="W61"/>
  <c r="V61"/>
  <c r="U61"/>
  <c r="T61"/>
  <c r="S61"/>
  <c r="R61"/>
  <c r="Q61"/>
  <c r="P61"/>
  <c r="O61"/>
  <c r="N61"/>
  <c r="K61"/>
  <c r="J61"/>
  <c r="I61"/>
  <c r="H61"/>
  <c r="G61"/>
  <c r="F61"/>
  <c r="E61"/>
  <c r="D61"/>
  <c r="C61"/>
  <c r="B61"/>
  <c r="CE60"/>
  <c r="CD60"/>
  <c r="CC60"/>
  <c r="CB60"/>
  <c r="CA60"/>
  <c r="BZ60"/>
  <c r="BY60"/>
  <c r="BX60"/>
  <c r="BW60"/>
  <c r="BV60"/>
  <c r="BS60"/>
  <c r="BR60"/>
  <c r="BQ60"/>
  <c r="BP60"/>
  <c r="BO60"/>
  <c r="BN60"/>
  <c r="BM60"/>
  <c r="BL60"/>
  <c r="BK60"/>
  <c r="BJ60"/>
  <c r="BG60"/>
  <c r="BF60"/>
  <c r="BE60"/>
  <c r="BD60"/>
  <c r="BC60"/>
  <c r="BB60"/>
  <c r="BA60"/>
  <c r="AZ60"/>
  <c r="AY60"/>
  <c r="AX60"/>
  <c r="AU60"/>
  <c r="AT60"/>
  <c r="AS60"/>
  <c r="AR60"/>
  <c r="AQ60"/>
  <c r="AP60"/>
  <c r="AO60"/>
  <c r="AN60"/>
  <c r="AM60"/>
  <c r="AL60"/>
  <c r="AI60"/>
  <c r="AH60"/>
  <c r="AG60"/>
  <c r="AF60"/>
  <c r="AE60"/>
  <c r="AD60"/>
  <c r="AC60"/>
  <c r="AB60"/>
  <c r="AA60"/>
  <c r="Z60"/>
  <c r="W60"/>
  <c r="V60"/>
  <c r="U60"/>
  <c r="T60"/>
  <c r="S60"/>
  <c r="R60"/>
  <c r="Q60"/>
  <c r="P60"/>
  <c r="O60"/>
  <c r="N60"/>
  <c r="K60"/>
  <c r="J60"/>
  <c r="I60"/>
  <c r="H60"/>
  <c r="G60"/>
  <c r="F60"/>
  <c r="E60"/>
  <c r="D60"/>
  <c r="C60"/>
  <c r="B60"/>
  <c r="CE59"/>
  <c r="CD59"/>
  <c r="CC59"/>
  <c r="CB59"/>
  <c r="CA59"/>
  <c r="BZ59"/>
  <c r="BY59"/>
  <c r="BX59"/>
  <c r="BW59"/>
  <c r="BV59"/>
  <c r="BS59"/>
  <c r="BR59"/>
  <c r="BQ59"/>
  <c r="BP59"/>
  <c r="BO59"/>
  <c r="BN59"/>
  <c r="BM59"/>
  <c r="BL59"/>
  <c r="BK59"/>
  <c r="BJ59"/>
  <c r="BG59"/>
  <c r="BF59"/>
  <c r="BE59"/>
  <c r="BD59"/>
  <c r="BC59"/>
  <c r="BB59"/>
  <c r="BA59"/>
  <c r="AZ59"/>
  <c r="AY59"/>
  <c r="AX59"/>
  <c r="AU59"/>
  <c r="AT59"/>
  <c r="AS59"/>
  <c r="AR59"/>
  <c r="AQ59"/>
  <c r="AP59"/>
  <c r="AO59"/>
  <c r="AN59"/>
  <c r="AM59"/>
  <c r="AL59"/>
  <c r="AI59"/>
  <c r="AH59"/>
  <c r="AG59"/>
  <c r="AF59"/>
  <c r="AE59"/>
  <c r="AD59"/>
  <c r="AC59"/>
  <c r="AB59"/>
  <c r="AA59"/>
  <c r="Z59"/>
  <c r="W59"/>
  <c r="V59"/>
  <c r="U59"/>
  <c r="T59"/>
  <c r="S59"/>
  <c r="R59"/>
  <c r="Q59"/>
  <c r="P59"/>
  <c r="O59"/>
  <c r="N59"/>
  <c r="K59"/>
  <c r="J59"/>
  <c r="I59"/>
  <c r="H59"/>
  <c r="G59"/>
  <c r="F59"/>
  <c r="E59"/>
  <c r="D59"/>
  <c r="C59"/>
  <c r="B59"/>
  <c r="CE58"/>
  <c r="CD58"/>
  <c r="CC58"/>
  <c r="CB58"/>
  <c r="CA58"/>
  <c r="BZ58"/>
  <c r="BY58"/>
  <c r="BX58"/>
  <c r="BW58"/>
  <c r="BV58"/>
  <c r="BS58"/>
  <c r="BR58"/>
  <c r="BQ58"/>
  <c r="BP58"/>
  <c r="BO58"/>
  <c r="BN58"/>
  <c r="BM58"/>
  <c r="BL58"/>
  <c r="BK58"/>
  <c r="BJ58"/>
  <c r="BG58"/>
  <c r="BF58"/>
  <c r="BE58"/>
  <c r="BD58"/>
  <c r="BC58"/>
  <c r="BB58"/>
  <c r="BA58"/>
  <c r="AZ58"/>
  <c r="AY58"/>
  <c r="AX58"/>
  <c r="AU58"/>
  <c r="AT58"/>
  <c r="AS58"/>
  <c r="AR58"/>
  <c r="AQ58"/>
  <c r="AP58"/>
  <c r="AO58"/>
  <c r="AN58"/>
  <c r="AM58"/>
  <c r="AL58"/>
  <c r="AI58"/>
  <c r="AH58"/>
  <c r="AG58"/>
  <c r="AF58"/>
  <c r="AE58"/>
  <c r="AD58"/>
  <c r="AC58"/>
  <c r="AB58"/>
  <c r="AA58"/>
  <c r="Z58"/>
  <c r="W58"/>
  <c r="V58"/>
  <c r="U58"/>
  <c r="T58"/>
  <c r="S58"/>
  <c r="R58"/>
  <c r="Q58"/>
  <c r="P58"/>
  <c r="O58"/>
  <c r="N58"/>
  <c r="K58"/>
  <c r="J58"/>
  <c r="I58"/>
  <c r="H58"/>
  <c r="G58"/>
  <c r="F58"/>
  <c r="E58"/>
  <c r="D58"/>
  <c r="C58"/>
  <c r="B58"/>
  <c r="CE57"/>
  <c r="CD57"/>
  <c r="CC57"/>
  <c r="CB57"/>
  <c r="CA57"/>
  <c r="BZ57"/>
  <c r="BY57"/>
  <c r="BX57"/>
  <c r="BW57"/>
  <c r="BV57"/>
  <c r="BS57"/>
  <c r="BR57"/>
  <c r="BQ57"/>
  <c r="BP57"/>
  <c r="BO57"/>
  <c r="BN57"/>
  <c r="BM57"/>
  <c r="BL57"/>
  <c r="BK57"/>
  <c r="BJ57"/>
  <c r="BG57"/>
  <c r="BF57"/>
  <c r="BE57"/>
  <c r="BD57"/>
  <c r="BC57"/>
  <c r="BB57"/>
  <c r="BA57"/>
  <c r="AZ57"/>
  <c r="AY57"/>
  <c r="AX57"/>
  <c r="AU57"/>
  <c r="AT57"/>
  <c r="AS57"/>
  <c r="AR57"/>
  <c r="AQ57"/>
  <c r="AP57"/>
  <c r="AO57"/>
  <c r="AN57"/>
  <c r="AM57"/>
  <c r="AL57"/>
  <c r="AI57"/>
  <c r="AH57"/>
  <c r="AG57"/>
  <c r="AF57"/>
  <c r="AE57"/>
  <c r="AD57"/>
  <c r="AC57"/>
  <c r="AB57"/>
  <c r="AA57"/>
  <c r="Z57"/>
  <c r="W57"/>
  <c r="V57"/>
  <c r="U57"/>
  <c r="T57"/>
  <c r="S57"/>
  <c r="R57"/>
  <c r="Q57"/>
  <c r="P57"/>
  <c r="O57"/>
  <c r="N57"/>
  <c r="K57"/>
  <c r="J57"/>
  <c r="I57"/>
  <c r="H57"/>
  <c r="G57"/>
  <c r="F57"/>
  <c r="E57"/>
  <c r="D57"/>
  <c r="C57"/>
  <c r="B57"/>
  <c r="CE56"/>
  <c r="CD56"/>
  <c r="CC56"/>
  <c r="CB56"/>
  <c r="CA56"/>
  <c r="BZ56"/>
  <c r="BY56"/>
  <c r="BX56"/>
  <c r="BW56"/>
  <c r="BV56"/>
  <c r="BS56"/>
  <c r="BR56"/>
  <c r="BQ56"/>
  <c r="BP56"/>
  <c r="BO56"/>
  <c r="BN56"/>
  <c r="BM56"/>
  <c r="BL56"/>
  <c r="BK56"/>
  <c r="BJ56"/>
  <c r="BG56"/>
  <c r="BF56"/>
  <c r="BE56"/>
  <c r="BD56"/>
  <c r="BC56"/>
  <c r="BB56"/>
  <c r="BA56"/>
  <c r="AZ56"/>
  <c r="AY56"/>
  <c r="AX56"/>
  <c r="AU56"/>
  <c r="AT56"/>
  <c r="AS56"/>
  <c r="AR56"/>
  <c r="AQ56"/>
  <c r="AP56"/>
  <c r="AO56"/>
  <c r="AN56"/>
  <c r="AM56"/>
  <c r="AL56"/>
  <c r="AI56"/>
  <c r="AH56"/>
  <c r="AG56"/>
  <c r="AF56"/>
  <c r="AE56"/>
  <c r="AD56"/>
  <c r="AC56"/>
  <c r="AB56"/>
  <c r="AA56"/>
  <c r="Z56"/>
  <c r="W56"/>
  <c r="V56"/>
  <c r="U56"/>
  <c r="T56"/>
  <c r="S56"/>
  <c r="R56"/>
  <c r="Q56"/>
  <c r="P56"/>
  <c r="O56"/>
  <c r="N56"/>
  <c r="K56"/>
  <c r="J56"/>
  <c r="I56"/>
  <c r="H56"/>
  <c r="G56"/>
  <c r="F56"/>
  <c r="E56"/>
  <c r="D56"/>
  <c r="C56"/>
  <c r="B56"/>
  <c r="CE55"/>
  <c r="CD55"/>
  <c r="CC55"/>
  <c r="CB55"/>
  <c r="CA55"/>
  <c r="BZ55"/>
  <c r="BY55"/>
  <c r="BX55"/>
  <c r="BW55"/>
  <c r="BV55"/>
  <c r="BS55"/>
  <c r="BR55"/>
  <c r="BQ55"/>
  <c r="BP55"/>
  <c r="BO55"/>
  <c r="BN55"/>
  <c r="BM55"/>
  <c r="BL55"/>
  <c r="BK55"/>
  <c r="BJ55"/>
  <c r="BG55"/>
  <c r="BF55"/>
  <c r="BE55"/>
  <c r="BD55"/>
  <c r="BC55"/>
  <c r="BB55"/>
  <c r="BA55"/>
  <c r="AZ55"/>
  <c r="AY55"/>
  <c r="AX55"/>
  <c r="AU55"/>
  <c r="AT55"/>
  <c r="AS55"/>
  <c r="AR55"/>
  <c r="AQ55"/>
  <c r="AP55"/>
  <c r="AO55"/>
  <c r="AN55"/>
  <c r="AM55"/>
  <c r="AL55"/>
  <c r="AI55"/>
  <c r="AH55"/>
  <c r="AG55"/>
  <c r="AF55"/>
  <c r="AE55"/>
  <c r="AD55"/>
  <c r="AC55"/>
  <c r="AB55"/>
  <c r="AA55"/>
  <c r="Z55"/>
  <c r="W55"/>
  <c r="V55"/>
  <c r="U55"/>
  <c r="T55"/>
  <c r="S55"/>
  <c r="R55"/>
  <c r="Q55"/>
  <c r="P55"/>
  <c r="O55"/>
  <c r="N55"/>
  <c r="K55"/>
  <c r="J55"/>
  <c r="I55"/>
  <c r="H55"/>
  <c r="G55"/>
  <c r="F55"/>
  <c r="E55"/>
  <c r="D55"/>
  <c r="C55"/>
  <c r="B55"/>
  <c r="CE54"/>
  <c r="CD54"/>
  <c r="CC54"/>
  <c r="CB54"/>
  <c r="CA54"/>
  <c r="BZ54"/>
  <c r="BY54"/>
  <c r="BX54"/>
  <c r="BW54"/>
  <c r="BV54"/>
  <c r="BS54"/>
  <c r="BR54"/>
  <c r="BQ54"/>
  <c r="BP54"/>
  <c r="BO54"/>
  <c r="BN54"/>
  <c r="BM54"/>
  <c r="BL54"/>
  <c r="BK54"/>
  <c r="BJ54"/>
  <c r="BG54"/>
  <c r="BF54"/>
  <c r="BE54"/>
  <c r="BD54"/>
  <c r="BC54"/>
  <c r="BB54"/>
  <c r="BA54"/>
  <c r="AZ54"/>
  <c r="AY54"/>
  <c r="AX54"/>
  <c r="AU54"/>
  <c r="AT54"/>
  <c r="AS54"/>
  <c r="AR54"/>
  <c r="AQ54"/>
  <c r="AP54"/>
  <c r="AO54"/>
  <c r="AN54"/>
  <c r="AM54"/>
  <c r="AL54"/>
  <c r="AI54"/>
  <c r="AH54"/>
  <c r="AG54"/>
  <c r="AF54"/>
  <c r="AE54"/>
  <c r="AD54"/>
  <c r="AC54"/>
  <c r="AB54"/>
  <c r="AA54"/>
  <c r="Z54"/>
  <c r="W54"/>
  <c r="V54"/>
  <c r="U54"/>
  <c r="T54"/>
  <c r="S54"/>
  <c r="R54"/>
  <c r="Q54"/>
  <c r="P54"/>
  <c r="O54"/>
  <c r="N54"/>
  <c r="K54"/>
  <c r="J54"/>
  <c r="I54"/>
  <c r="H54"/>
  <c r="G54"/>
  <c r="F54"/>
  <c r="E54"/>
  <c r="D54"/>
  <c r="C54"/>
  <c r="B54"/>
  <c r="CE53"/>
  <c r="CD53"/>
  <c r="CC53"/>
  <c r="CB53"/>
  <c r="CA53"/>
  <c r="BZ53"/>
  <c r="BY53"/>
  <c r="BX53"/>
  <c r="BW53"/>
  <c r="BV53"/>
  <c r="BS53"/>
  <c r="BR53"/>
  <c r="BQ53"/>
  <c r="BP53"/>
  <c r="BO53"/>
  <c r="BN53"/>
  <c r="BM53"/>
  <c r="BL53"/>
  <c r="BK53"/>
  <c r="BJ53"/>
  <c r="BG53"/>
  <c r="BF53"/>
  <c r="BE53"/>
  <c r="BD53"/>
  <c r="BC53"/>
  <c r="BB53"/>
  <c r="BA53"/>
  <c r="AZ53"/>
  <c r="AY53"/>
  <c r="AX53"/>
  <c r="AU53"/>
  <c r="AT53"/>
  <c r="AS53"/>
  <c r="AR53"/>
  <c r="AQ53"/>
  <c r="AP53"/>
  <c r="AO53"/>
  <c r="AN53"/>
  <c r="AM53"/>
  <c r="AL53"/>
  <c r="AI53"/>
  <c r="AH53"/>
  <c r="AG53"/>
  <c r="AF53"/>
  <c r="AE53"/>
  <c r="AD53"/>
  <c r="AC53"/>
  <c r="AB53"/>
  <c r="AA53"/>
  <c r="Z53"/>
  <c r="W53"/>
  <c r="V53"/>
  <c r="U53"/>
  <c r="T53"/>
  <c r="S53"/>
  <c r="R53"/>
  <c r="Q53"/>
  <c r="P53"/>
  <c r="O53"/>
  <c r="N53"/>
  <c r="K53"/>
  <c r="J53"/>
  <c r="I53"/>
  <c r="H53"/>
  <c r="G53"/>
  <c r="F53"/>
  <c r="E53"/>
  <c r="D53"/>
  <c r="C53"/>
  <c r="B53"/>
  <c r="CE52"/>
  <c r="CD52"/>
  <c r="CC52"/>
  <c r="CB52"/>
  <c r="CA52"/>
  <c r="BZ52"/>
  <c r="BY52"/>
  <c r="BX52"/>
  <c r="BW52"/>
  <c r="BV52"/>
  <c r="BS52"/>
  <c r="BR52"/>
  <c r="BQ52"/>
  <c r="BP52"/>
  <c r="BO52"/>
  <c r="BN52"/>
  <c r="BM52"/>
  <c r="BL52"/>
  <c r="BK52"/>
  <c r="BJ52"/>
  <c r="BG52"/>
  <c r="BF52"/>
  <c r="BE52"/>
  <c r="BD52"/>
  <c r="BC52"/>
  <c r="BB52"/>
  <c r="BA52"/>
  <c r="AZ52"/>
  <c r="AY52"/>
  <c r="AX52"/>
  <c r="AU52"/>
  <c r="AT52"/>
  <c r="AS52"/>
  <c r="AR52"/>
  <c r="AQ52"/>
  <c r="AP52"/>
  <c r="AO52"/>
  <c r="AN52"/>
  <c r="AM52"/>
  <c r="AL52"/>
  <c r="AI52"/>
  <c r="AH52"/>
  <c r="AG52"/>
  <c r="AF52"/>
  <c r="AE52"/>
  <c r="AD52"/>
  <c r="AC52"/>
  <c r="AB52"/>
  <c r="AA52"/>
  <c r="Z52"/>
  <c r="W52"/>
  <c r="V52"/>
  <c r="U52"/>
  <c r="T52"/>
  <c r="S52"/>
  <c r="R52"/>
  <c r="Q52"/>
  <c r="P52"/>
  <c r="O52"/>
  <c r="N52"/>
  <c r="K52"/>
  <c r="J52"/>
  <c r="I52"/>
  <c r="H52"/>
  <c r="G52"/>
  <c r="F52"/>
  <c r="E52"/>
  <c r="D52"/>
  <c r="C52"/>
  <c r="B52"/>
  <c r="CE51"/>
  <c r="CD51"/>
  <c r="CC51"/>
  <c r="CB51"/>
  <c r="CA51"/>
  <c r="BZ51"/>
  <c r="BY51"/>
  <c r="BX51"/>
  <c r="BW51"/>
  <c r="BV51"/>
  <c r="BS51"/>
  <c r="BR51"/>
  <c r="BQ51"/>
  <c r="BP51"/>
  <c r="BO51"/>
  <c r="BN51"/>
  <c r="BM51"/>
  <c r="BL51"/>
  <c r="BK51"/>
  <c r="BJ51"/>
  <c r="BG51"/>
  <c r="BF51"/>
  <c r="BE51"/>
  <c r="BD51"/>
  <c r="BC51"/>
  <c r="BB51"/>
  <c r="BA51"/>
  <c r="AZ51"/>
  <c r="AY51"/>
  <c r="AX51"/>
  <c r="AU51"/>
  <c r="AT51"/>
  <c r="AS51"/>
  <c r="AR51"/>
  <c r="AQ51"/>
  <c r="AP51"/>
  <c r="AO51"/>
  <c r="AN51"/>
  <c r="AM51"/>
  <c r="AL51"/>
  <c r="AI51"/>
  <c r="AH51"/>
  <c r="AG51"/>
  <c r="AF51"/>
  <c r="AE51"/>
  <c r="AD51"/>
  <c r="AC51"/>
  <c r="AB51"/>
  <c r="AA51"/>
  <c r="Z51"/>
  <c r="W51"/>
  <c r="V51"/>
  <c r="U51"/>
  <c r="T51"/>
  <c r="S51"/>
  <c r="R51"/>
  <c r="Q51"/>
  <c r="P51"/>
  <c r="O51"/>
  <c r="N51"/>
  <c r="K51"/>
  <c r="J51"/>
  <c r="I51"/>
  <c r="H51"/>
  <c r="G51"/>
  <c r="F51"/>
  <c r="E51"/>
  <c r="D51"/>
  <c r="C51"/>
  <c r="B51"/>
  <c r="CE50"/>
  <c r="CD50"/>
  <c r="CC50"/>
  <c r="CB50"/>
  <c r="CA50"/>
  <c r="BZ50"/>
  <c r="BY50"/>
  <c r="BX50"/>
  <c r="BW50"/>
  <c r="BV50"/>
  <c r="BS50"/>
  <c r="BR50"/>
  <c r="BQ50"/>
  <c r="BP50"/>
  <c r="BO50"/>
  <c r="BN50"/>
  <c r="BM50"/>
  <c r="BL50"/>
  <c r="BK50"/>
  <c r="BJ50"/>
  <c r="BG50"/>
  <c r="BF50"/>
  <c r="BE50"/>
  <c r="BD50"/>
  <c r="BC50"/>
  <c r="BB50"/>
  <c r="BA50"/>
  <c r="AZ50"/>
  <c r="AY50"/>
  <c r="AX50"/>
  <c r="AU50"/>
  <c r="AT50"/>
  <c r="AS50"/>
  <c r="AR50"/>
  <c r="AQ50"/>
  <c r="AP50"/>
  <c r="AO50"/>
  <c r="AN50"/>
  <c r="AM50"/>
  <c r="AL50"/>
  <c r="AI50"/>
  <c r="AH50"/>
  <c r="AG50"/>
  <c r="AF50"/>
  <c r="AE50"/>
  <c r="AD50"/>
  <c r="AC50"/>
  <c r="AB50"/>
  <c r="AA50"/>
  <c r="Z50"/>
  <c r="W50"/>
  <c r="V50"/>
  <c r="U50"/>
  <c r="T50"/>
  <c r="S50"/>
  <c r="R50"/>
  <c r="Q50"/>
  <c r="P50"/>
  <c r="O50"/>
  <c r="N50"/>
  <c r="K50"/>
  <c r="J50"/>
  <c r="I50"/>
  <c r="H50"/>
  <c r="G50"/>
  <c r="F50"/>
  <c r="E50"/>
  <c r="D50"/>
  <c r="C50"/>
  <c r="B50"/>
  <c r="CE49"/>
  <c r="CD49"/>
  <c r="CC49"/>
  <c r="CB49"/>
  <c r="CA49"/>
  <c r="BZ49"/>
  <c r="BY49"/>
  <c r="BX49"/>
  <c r="BW49"/>
  <c r="BV49"/>
  <c r="BS49"/>
  <c r="BR49"/>
  <c r="BQ49"/>
  <c r="BP49"/>
  <c r="BO49"/>
  <c r="BN49"/>
  <c r="BM49"/>
  <c r="BL49"/>
  <c r="BK49"/>
  <c r="BJ49"/>
  <c r="BG49"/>
  <c r="BF49"/>
  <c r="BE49"/>
  <c r="BD49"/>
  <c r="BC49"/>
  <c r="BB49"/>
  <c r="BA49"/>
  <c r="AZ49"/>
  <c r="AY49"/>
  <c r="AX49"/>
  <c r="AU49"/>
  <c r="AT49"/>
  <c r="AS49"/>
  <c r="AR49"/>
  <c r="AQ49"/>
  <c r="AP49"/>
  <c r="AO49"/>
  <c r="AN49"/>
  <c r="AM49"/>
  <c r="AL49"/>
  <c r="AI49"/>
  <c r="AH49"/>
  <c r="AG49"/>
  <c r="AF49"/>
  <c r="AE49"/>
  <c r="AD49"/>
  <c r="AC49"/>
  <c r="AB49"/>
  <c r="AA49"/>
  <c r="Z49"/>
  <c r="W49"/>
  <c r="V49"/>
  <c r="U49"/>
  <c r="T49"/>
  <c r="S49"/>
  <c r="R49"/>
  <c r="Q49"/>
  <c r="P49"/>
  <c r="O49"/>
  <c r="N49"/>
  <c r="K49"/>
  <c r="J49"/>
  <c r="I49"/>
  <c r="H49"/>
  <c r="G49"/>
  <c r="F49"/>
  <c r="E49"/>
  <c r="D49"/>
  <c r="C49"/>
  <c r="B49"/>
  <c r="CE48"/>
  <c r="CD48"/>
  <c r="CC48"/>
  <c r="CB48"/>
  <c r="CA48"/>
  <c r="BZ48"/>
  <c r="BY48"/>
  <c r="BX48"/>
  <c r="BW48"/>
  <c r="BV48"/>
  <c r="BS48"/>
  <c r="BR48"/>
  <c r="BQ48"/>
  <c r="BP48"/>
  <c r="BO48"/>
  <c r="BN48"/>
  <c r="BM48"/>
  <c r="BL48"/>
  <c r="BK48"/>
  <c r="BJ48"/>
  <c r="BG48"/>
  <c r="BF48"/>
  <c r="BE48"/>
  <c r="BD48"/>
  <c r="BC48"/>
  <c r="BB48"/>
  <c r="BA48"/>
  <c r="AZ48"/>
  <c r="AY48"/>
  <c r="AX48"/>
  <c r="AU48"/>
  <c r="AT48"/>
  <c r="AS48"/>
  <c r="AR48"/>
  <c r="AQ48"/>
  <c r="AP48"/>
  <c r="AO48"/>
  <c r="AN48"/>
  <c r="AM48"/>
  <c r="AL48"/>
  <c r="AI48"/>
  <c r="AH48"/>
  <c r="AG48"/>
  <c r="AF48"/>
  <c r="AE48"/>
  <c r="AD48"/>
  <c r="AC48"/>
  <c r="AB48"/>
  <c r="AA48"/>
  <c r="Z48"/>
  <c r="W48"/>
  <c r="V48"/>
  <c r="U48"/>
  <c r="T48"/>
  <c r="S48"/>
  <c r="R48"/>
  <c r="Q48"/>
  <c r="P48"/>
  <c r="O48"/>
  <c r="N48"/>
  <c r="K48"/>
  <c r="J48"/>
  <c r="I48"/>
  <c r="H48"/>
  <c r="G48"/>
  <c r="F48"/>
  <c r="E48"/>
  <c r="D48"/>
  <c r="C48"/>
  <c r="B48"/>
  <c r="CE47"/>
  <c r="CD47"/>
  <c r="CC47"/>
  <c r="CB47"/>
  <c r="CA47"/>
  <c r="BZ47"/>
  <c r="BY47"/>
  <c r="BX47"/>
  <c r="BW47"/>
  <c r="BV47"/>
  <c r="BS47"/>
  <c r="BR47"/>
  <c r="BQ47"/>
  <c r="BP47"/>
  <c r="BO47"/>
  <c r="BN47"/>
  <c r="BM47"/>
  <c r="BL47"/>
  <c r="BK47"/>
  <c r="BJ47"/>
  <c r="BG47"/>
  <c r="BF47"/>
  <c r="BE47"/>
  <c r="BD47"/>
  <c r="BC47"/>
  <c r="BB47"/>
  <c r="BA47"/>
  <c r="AZ47"/>
  <c r="AY47"/>
  <c r="AX47"/>
  <c r="AU47"/>
  <c r="AT47"/>
  <c r="AS47"/>
  <c r="AR47"/>
  <c r="AQ47"/>
  <c r="AP47"/>
  <c r="AO47"/>
  <c r="AN47"/>
  <c r="AM47"/>
  <c r="AL47"/>
  <c r="AI47"/>
  <c r="AH47"/>
  <c r="AG47"/>
  <c r="AF47"/>
  <c r="AE47"/>
  <c r="AD47"/>
  <c r="AC47"/>
  <c r="AB47"/>
  <c r="AA47"/>
  <c r="Z47"/>
  <c r="W47"/>
  <c r="V47"/>
  <c r="U47"/>
  <c r="T47"/>
  <c r="S47"/>
  <c r="R47"/>
  <c r="Q47"/>
  <c r="P47"/>
  <c r="O47"/>
  <c r="N47"/>
  <c r="K47"/>
  <c r="J47"/>
  <c r="I47"/>
  <c r="H47"/>
  <c r="G47"/>
  <c r="F47"/>
  <c r="E47"/>
  <c r="D47"/>
  <c r="C47"/>
  <c r="B47"/>
  <c r="DC43"/>
  <c r="DB43"/>
  <c r="DA43"/>
  <c r="CZ43"/>
  <c r="CY43"/>
  <c r="CX43"/>
  <c r="CW43"/>
  <c r="CV43"/>
  <c r="CU43"/>
  <c r="CT43"/>
  <c r="CQ43"/>
  <c r="CP43"/>
  <c r="CO43"/>
  <c r="CN43"/>
  <c r="CM43"/>
  <c r="CL43"/>
  <c r="CK43"/>
  <c r="CJ43"/>
  <c r="CI43"/>
  <c r="CH43"/>
  <c r="CE43"/>
  <c r="CD43"/>
  <c r="CC43"/>
  <c r="CB43"/>
  <c r="CA43"/>
  <c r="BZ43"/>
  <c r="BY43"/>
  <c r="BX43"/>
  <c r="BW43"/>
  <c r="BV43"/>
  <c r="BS43"/>
  <c r="BR43"/>
  <c r="BQ43"/>
  <c r="BP43"/>
  <c r="BO43"/>
  <c r="BN43"/>
  <c r="BM43"/>
  <c r="BL43"/>
  <c r="BK43"/>
  <c r="BJ43"/>
  <c r="BG43"/>
  <c r="BF43"/>
  <c r="BE43"/>
  <c r="BD43"/>
  <c r="BC43"/>
  <c r="BB43"/>
  <c r="BA43"/>
  <c r="AZ43"/>
  <c r="AY43"/>
  <c r="AX43"/>
  <c r="AU43"/>
  <c r="AT43"/>
  <c r="AS43"/>
  <c r="AR43"/>
  <c r="AQ43"/>
  <c r="AP43"/>
  <c r="AO43"/>
  <c r="AN43"/>
  <c r="AM43"/>
  <c r="AL43"/>
  <c r="AI43"/>
  <c r="AH43"/>
  <c r="AG43"/>
  <c r="AF43"/>
  <c r="AE43"/>
  <c r="AD43"/>
  <c r="AC43"/>
  <c r="AB43"/>
  <c r="AA43"/>
  <c r="Z43"/>
  <c r="W43"/>
  <c r="V43"/>
  <c r="U43"/>
  <c r="T43"/>
  <c r="S43"/>
  <c r="R43"/>
  <c r="Q43"/>
  <c r="P43"/>
  <c r="O43"/>
  <c r="N43"/>
  <c r="K43"/>
  <c r="J43"/>
  <c r="I43"/>
  <c r="H43"/>
  <c r="G43"/>
  <c r="F43"/>
  <c r="E43"/>
  <c r="D43"/>
  <c r="C43"/>
  <c r="B43"/>
  <c r="DC42"/>
  <c r="DB42"/>
  <c r="DA42"/>
  <c r="CZ42"/>
  <c r="CY42"/>
  <c r="CX42"/>
  <c r="CW42"/>
  <c r="CV42"/>
  <c r="CU42"/>
  <c r="CT42"/>
  <c r="CQ42"/>
  <c r="CP42"/>
  <c r="CO42"/>
  <c r="CN42"/>
  <c r="CM42"/>
  <c r="CL42"/>
  <c r="CK42"/>
  <c r="CJ42"/>
  <c r="CI42"/>
  <c r="CH42"/>
  <c r="CE42"/>
  <c r="CD42"/>
  <c r="CC42"/>
  <c r="CB42"/>
  <c r="CA42"/>
  <c r="BZ42"/>
  <c r="BY42"/>
  <c r="BX42"/>
  <c r="BW42"/>
  <c r="BV42"/>
  <c r="BS42"/>
  <c r="BR42"/>
  <c r="BQ42"/>
  <c r="BP42"/>
  <c r="BO42"/>
  <c r="BN42"/>
  <c r="BM42"/>
  <c r="BL42"/>
  <c r="BK42"/>
  <c r="BJ42"/>
  <c r="BG42"/>
  <c r="BF42"/>
  <c r="BE42"/>
  <c r="BD42"/>
  <c r="BC42"/>
  <c r="BB42"/>
  <c r="BA42"/>
  <c r="AZ42"/>
  <c r="AY42"/>
  <c r="AX42"/>
  <c r="AU42"/>
  <c r="AT42"/>
  <c r="AS42"/>
  <c r="AR42"/>
  <c r="AQ42"/>
  <c r="AP42"/>
  <c r="AO42"/>
  <c r="AN42"/>
  <c r="AM42"/>
  <c r="AL42"/>
  <c r="AI42"/>
  <c r="AH42"/>
  <c r="AG42"/>
  <c r="AF42"/>
  <c r="AE42"/>
  <c r="AD42"/>
  <c r="AC42"/>
  <c r="AB42"/>
  <c r="AA42"/>
  <c r="Z42"/>
  <c r="W42"/>
  <c r="V42"/>
  <c r="U42"/>
  <c r="T42"/>
  <c r="S42"/>
  <c r="R42"/>
  <c r="Q42"/>
  <c r="P42"/>
  <c r="O42"/>
  <c r="N42"/>
  <c r="K42"/>
  <c r="J42"/>
  <c r="I42"/>
  <c r="H42"/>
  <c r="G42"/>
  <c r="F42"/>
  <c r="E42"/>
  <c r="D42"/>
  <c r="C42"/>
  <c r="B42"/>
  <c r="DC41"/>
  <c r="DB41"/>
  <c r="DA41"/>
  <c r="CZ41"/>
  <c r="CY41"/>
  <c r="CX41"/>
  <c r="CW41"/>
  <c r="CV41"/>
  <c r="CU41"/>
  <c r="CT41"/>
  <c r="CQ41"/>
  <c r="CP41"/>
  <c r="CO41"/>
  <c r="CN41"/>
  <c r="CM41"/>
  <c r="CL41"/>
  <c r="CK41"/>
  <c r="CJ41"/>
  <c r="CI41"/>
  <c r="CH41"/>
  <c r="CE41"/>
  <c r="CD41"/>
  <c r="CC41"/>
  <c r="CB41"/>
  <c r="CA41"/>
  <c r="BZ41"/>
  <c r="BY41"/>
  <c r="BX41"/>
  <c r="BW41"/>
  <c r="BV41"/>
  <c r="BS41"/>
  <c r="BR41"/>
  <c r="BQ41"/>
  <c r="BP41"/>
  <c r="BO41"/>
  <c r="BN41"/>
  <c r="BM41"/>
  <c r="BL41"/>
  <c r="BK41"/>
  <c r="BJ41"/>
  <c r="BG41"/>
  <c r="BF41"/>
  <c r="BE41"/>
  <c r="BD41"/>
  <c r="BC41"/>
  <c r="BB41"/>
  <c r="BA41"/>
  <c r="AZ41"/>
  <c r="AY41"/>
  <c r="AX41"/>
  <c r="AU41"/>
  <c r="AT41"/>
  <c r="AS41"/>
  <c r="AR41"/>
  <c r="AQ41"/>
  <c r="AP41"/>
  <c r="AO41"/>
  <c r="AN41"/>
  <c r="AM41"/>
  <c r="AL41"/>
  <c r="AI41"/>
  <c r="AH41"/>
  <c r="AG41"/>
  <c r="AF41"/>
  <c r="AE41"/>
  <c r="AD41"/>
  <c r="AC41"/>
  <c r="AB41"/>
  <c r="AA41"/>
  <c r="Z41"/>
  <c r="W41"/>
  <c r="V41"/>
  <c r="U41"/>
  <c r="T41"/>
  <c r="S41"/>
  <c r="R41"/>
  <c r="Q41"/>
  <c r="P41"/>
  <c r="O41"/>
  <c r="N41"/>
  <c r="K41"/>
  <c r="J41"/>
  <c r="I41"/>
  <c r="H41"/>
  <c r="G41"/>
  <c r="F41"/>
  <c r="E41"/>
  <c r="D41"/>
  <c r="C41"/>
  <c r="B41"/>
  <c r="DC40"/>
  <c r="DB40"/>
  <c r="DA40"/>
  <c r="CZ40"/>
  <c r="CY40"/>
  <c r="CX40"/>
  <c r="CW40"/>
  <c r="CV40"/>
  <c r="CU40"/>
  <c r="CT40"/>
  <c r="CQ40"/>
  <c r="CP40"/>
  <c r="CO40"/>
  <c r="CN40"/>
  <c r="CM40"/>
  <c r="CL40"/>
  <c r="CK40"/>
  <c r="CJ40"/>
  <c r="CI40"/>
  <c r="CH40"/>
  <c r="CE40"/>
  <c r="CD40"/>
  <c r="CC40"/>
  <c r="CB40"/>
  <c r="CA40"/>
  <c r="BZ40"/>
  <c r="BY40"/>
  <c r="BX40"/>
  <c r="BW40"/>
  <c r="BV40"/>
  <c r="BS40"/>
  <c r="BR40"/>
  <c r="BQ40"/>
  <c r="BP40"/>
  <c r="BO40"/>
  <c r="BN40"/>
  <c r="BM40"/>
  <c r="BL40"/>
  <c r="BK40"/>
  <c r="BJ40"/>
  <c r="BG40"/>
  <c r="BF40"/>
  <c r="BE40"/>
  <c r="BD40"/>
  <c r="BC40"/>
  <c r="BB40"/>
  <c r="BA40"/>
  <c r="AZ40"/>
  <c r="AY40"/>
  <c r="AX40"/>
  <c r="AU40"/>
  <c r="AT40"/>
  <c r="AS40"/>
  <c r="AR40"/>
  <c r="AQ40"/>
  <c r="AP40"/>
  <c r="AO40"/>
  <c r="AN40"/>
  <c r="AM40"/>
  <c r="AL40"/>
  <c r="AI40"/>
  <c r="AH40"/>
  <c r="AG40"/>
  <c r="AF40"/>
  <c r="AE40"/>
  <c r="AD40"/>
  <c r="AC40"/>
  <c r="AB40"/>
  <c r="AA40"/>
  <c r="Z40"/>
  <c r="W40"/>
  <c r="V40"/>
  <c r="U40"/>
  <c r="T40"/>
  <c r="S40"/>
  <c r="R40"/>
  <c r="Q40"/>
  <c r="P40"/>
  <c r="O40"/>
  <c r="N40"/>
  <c r="K40"/>
  <c r="J40"/>
  <c r="I40"/>
  <c r="H40"/>
  <c r="G40"/>
  <c r="F40"/>
  <c r="E40"/>
  <c r="D40"/>
  <c r="C40"/>
  <c r="B40"/>
  <c r="DC39"/>
  <c r="DB39"/>
  <c r="DA39"/>
  <c r="CZ39"/>
  <c r="CY39"/>
  <c r="CX39"/>
  <c r="CW39"/>
  <c r="CV39"/>
  <c r="CU39"/>
  <c r="CT39"/>
  <c r="CQ39"/>
  <c r="CP39"/>
  <c r="CO39"/>
  <c r="CN39"/>
  <c r="CM39"/>
  <c r="CL39"/>
  <c r="CK39"/>
  <c r="CJ39"/>
  <c r="CI39"/>
  <c r="CH39"/>
  <c r="CE39"/>
  <c r="CD39"/>
  <c r="CC39"/>
  <c r="CB39"/>
  <c r="CA39"/>
  <c r="BZ39"/>
  <c r="BY39"/>
  <c r="BX39"/>
  <c r="BW39"/>
  <c r="BV39"/>
  <c r="BS39"/>
  <c r="BR39"/>
  <c r="BQ39"/>
  <c r="BP39"/>
  <c r="BO39"/>
  <c r="BN39"/>
  <c r="BM39"/>
  <c r="BL39"/>
  <c r="BK39"/>
  <c r="BJ39"/>
  <c r="BG39"/>
  <c r="BF39"/>
  <c r="BE39"/>
  <c r="BD39"/>
  <c r="BC39"/>
  <c r="BB39"/>
  <c r="BA39"/>
  <c r="AZ39"/>
  <c r="AY39"/>
  <c r="AX39"/>
  <c r="AU39"/>
  <c r="AT39"/>
  <c r="AS39"/>
  <c r="AR39"/>
  <c r="AQ39"/>
  <c r="AP39"/>
  <c r="AO39"/>
  <c r="AN39"/>
  <c r="AM39"/>
  <c r="AL39"/>
  <c r="AI39"/>
  <c r="AH39"/>
  <c r="AG39"/>
  <c r="AF39"/>
  <c r="AE39"/>
  <c r="AD39"/>
  <c r="AC39"/>
  <c r="AB39"/>
  <c r="AA39"/>
  <c r="Z39"/>
  <c r="W39"/>
  <c r="V39"/>
  <c r="U39"/>
  <c r="T39"/>
  <c r="S39"/>
  <c r="R39"/>
  <c r="Q39"/>
  <c r="P39"/>
  <c r="O39"/>
  <c r="N39"/>
  <c r="K39"/>
  <c r="J39"/>
  <c r="I39"/>
  <c r="H39"/>
  <c r="G39"/>
  <c r="F39"/>
  <c r="E39"/>
  <c r="D39"/>
  <c r="C39"/>
  <c r="B39"/>
  <c r="DC38"/>
  <c r="DB38"/>
  <c r="DA38"/>
  <c r="CZ38"/>
  <c r="CY38"/>
  <c r="CX38"/>
  <c r="CW38"/>
  <c r="CV38"/>
  <c r="CU38"/>
  <c r="CT38"/>
  <c r="CQ38"/>
  <c r="CP38"/>
  <c r="CO38"/>
  <c r="CN38"/>
  <c r="CM38"/>
  <c r="CL38"/>
  <c r="CK38"/>
  <c r="CJ38"/>
  <c r="CI38"/>
  <c r="CH38"/>
  <c r="CE38"/>
  <c r="CD38"/>
  <c r="CC38"/>
  <c r="CB38"/>
  <c r="CA38"/>
  <c r="BZ38"/>
  <c r="BY38"/>
  <c r="BX38"/>
  <c r="BW38"/>
  <c r="BV38"/>
  <c r="BS38"/>
  <c r="BR38"/>
  <c r="BQ38"/>
  <c r="BP38"/>
  <c r="BO38"/>
  <c r="BN38"/>
  <c r="BM38"/>
  <c r="BL38"/>
  <c r="BK38"/>
  <c r="BJ38"/>
  <c r="BG38"/>
  <c r="BF38"/>
  <c r="BE38"/>
  <c r="BD38"/>
  <c r="BC38"/>
  <c r="BB38"/>
  <c r="BA38"/>
  <c r="AZ38"/>
  <c r="AY38"/>
  <c r="AX38"/>
  <c r="AU38"/>
  <c r="AT38"/>
  <c r="AS38"/>
  <c r="AR38"/>
  <c r="AQ38"/>
  <c r="AP38"/>
  <c r="AO38"/>
  <c r="AN38"/>
  <c r="AM38"/>
  <c r="AL38"/>
  <c r="AI38"/>
  <c r="AH38"/>
  <c r="AG38"/>
  <c r="AF38"/>
  <c r="AE38"/>
  <c r="AD38"/>
  <c r="AC38"/>
  <c r="AB38"/>
  <c r="AA38"/>
  <c r="Z38"/>
  <c r="W38"/>
  <c r="V38"/>
  <c r="U38"/>
  <c r="T38"/>
  <c r="S38"/>
  <c r="R38"/>
  <c r="Q38"/>
  <c r="P38"/>
  <c r="O38"/>
  <c r="N38"/>
  <c r="K38"/>
  <c r="J38"/>
  <c r="I38"/>
  <c r="H38"/>
  <c r="G38"/>
  <c r="F38"/>
  <c r="E38"/>
  <c r="D38"/>
  <c r="C38"/>
  <c r="B38"/>
  <c r="DC37"/>
  <c r="DB37"/>
  <c r="DA37"/>
  <c r="CZ37"/>
  <c r="CY37"/>
  <c r="CX37"/>
  <c r="CW37"/>
  <c r="CV37"/>
  <c r="CU37"/>
  <c r="CT37"/>
  <c r="CQ37"/>
  <c r="CP37"/>
  <c r="CO37"/>
  <c r="CN37"/>
  <c r="CM37"/>
  <c r="CL37"/>
  <c r="CK37"/>
  <c r="CJ37"/>
  <c r="CI37"/>
  <c r="CH37"/>
  <c r="CE37"/>
  <c r="CD37"/>
  <c r="CC37"/>
  <c r="CB37"/>
  <c r="CA37"/>
  <c r="BZ37"/>
  <c r="BY37"/>
  <c r="BX37"/>
  <c r="BW37"/>
  <c r="BV37"/>
  <c r="BS37"/>
  <c r="BR37"/>
  <c r="BQ37"/>
  <c r="BP37"/>
  <c r="BO37"/>
  <c r="BN37"/>
  <c r="BM37"/>
  <c r="BL37"/>
  <c r="BK37"/>
  <c r="BJ37"/>
  <c r="BG37"/>
  <c r="BF37"/>
  <c r="BE37"/>
  <c r="BD37"/>
  <c r="BC37"/>
  <c r="BB37"/>
  <c r="BA37"/>
  <c r="AZ37"/>
  <c r="AY37"/>
  <c r="AX37"/>
  <c r="AU37"/>
  <c r="AT37"/>
  <c r="AS37"/>
  <c r="AR37"/>
  <c r="AQ37"/>
  <c r="AP37"/>
  <c r="AO37"/>
  <c r="AN37"/>
  <c r="AM37"/>
  <c r="AL37"/>
  <c r="AI37"/>
  <c r="AH37"/>
  <c r="AG37"/>
  <c r="AF37"/>
  <c r="AE37"/>
  <c r="AD37"/>
  <c r="AC37"/>
  <c r="AB37"/>
  <c r="AA37"/>
  <c r="Z37"/>
  <c r="W37"/>
  <c r="V37"/>
  <c r="U37"/>
  <c r="T37"/>
  <c r="S37"/>
  <c r="R37"/>
  <c r="Q37"/>
  <c r="P37"/>
  <c r="O37"/>
  <c r="N37"/>
  <c r="K37"/>
  <c r="J37"/>
  <c r="I37"/>
  <c r="H37"/>
  <c r="G37"/>
  <c r="F37"/>
  <c r="E37"/>
  <c r="D37"/>
  <c r="C37"/>
  <c r="B37"/>
  <c r="DC36"/>
  <c r="DB36"/>
  <c r="DA36"/>
  <c r="CZ36"/>
  <c r="CY36"/>
  <c r="CX36"/>
  <c r="CW36"/>
  <c r="CV36"/>
  <c r="CU36"/>
  <c r="CT36"/>
  <c r="CQ36"/>
  <c r="CP36"/>
  <c r="CO36"/>
  <c r="CN36"/>
  <c r="CM36"/>
  <c r="CL36"/>
  <c r="CK36"/>
  <c r="CJ36"/>
  <c r="CI36"/>
  <c r="CH36"/>
  <c r="CE36"/>
  <c r="CD36"/>
  <c r="CC36"/>
  <c r="CB36"/>
  <c r="CA36"/>
  <c r="BZ36"/>
  <c r="BY36"/>
  <c r="BX36"/>
  <c r="BW36"/>
  <c r="BV36"/>
  <c r="BS36"/>
  <c r="BR36"/>
  <c r="BQ36"/>
  <c r="BP36"/>
  <c r="BO36"/>
  <c r="BN36"/>
  <c r="BM36"/>
  <c r="BL36"/>
  <c r="BK36"/>
  <c r="BJ36"/>
  <c r="BG36"/>
  <c r="BF36"/>
  <c r="BE36"/>
  <c r="BD36"/>
  <c r="BC36"/>
  <c r="BB36"/>
  <c r="BA36"/>
  <c r="AZ36"/>
  <c r="AY36"/>
  <c r="AX36"/>
  <c r="AU36"/>
  <c r="AT36"/>
  <c r="AS36"/>
  <c r="AR36"/>
  <c r="AQ36"/>
  <c r="AP36"/>
  <c r="AO36"/>
  <c r="AN36"/>
  <c r="AM36"/>
  <c r="AL36"/>
  <c r="AI36"/>
  <c r="AH36"/>
  <c r="AG36"/>
  <c r="AF36"/>
  <c r="AE36"/>
  <c r="AD36"/>
  <c r="AC36"/>
  <c r="AB36"/>
  <c r="AA36"/>
  <c r="Z36"/>
  <c r="W36"/>
  <c r="V36"/>
  <c r="U36"/>
  <c r="T36"/>
  <c r="S36"/>
  <c r="R36"/>
  <c r="Q36"/>
  <c r="P36"/>
  <c r="O36"/>
  <c r="N36"/>
  <c r="K36"/>
  <c r="J36"/>
  <c r="I36"/>
  <c r="H36"/>
  <c r="G36"/>
  <c r="F36"/>
  <c r="E36"/>
  <c r="D36"/>
  <c r="C36"/>
  <c r="B36"/>
  <c r="DC35"/>
  <c r="DB35"/>
  <c r="DA35"/>
  <c r="CZ35"/>
  <c r="CY35"/>
  <c r="CX35"/>
  <c r="CW35"/>
  <c r="CV35"/>
  <c r="CU35"/>
  <c r="CT35"/>
  <c r="CQ35"/>
  <c r="CP35"/>
  <c r="CO35"/>
  <c r="CN35"/>
  <c r="CM35"/>
  <c r="CL35"/>
  <c r="CK35"/>
  <c r="CJ35"/>
  <c r="CI35"/>
  <c r="CH35"/>
  <c r="CE35"/>
  <c r="CD35"/>
  <c r="CC35"/>
  <c r="CB35"/>
  <c r="CA35"/>
  <c r="BZ35"/>
  <c r="BY35"/>
  <c r="BX35"/>
  <c r="BW35"/>
  <c r="BV35"/>
  <c r="BS35"/>
  <c r="BR35"/>
  <c r="BQ35"/>
  <c r="BP35"/>
  <c r="BO35"/>
  <c r="BN35"/>
  <c r="BM35"/>
  <c r="BL35"/>
  <c r="BK35"/>
  <c r="BJ35"/>
  <c r="BG35"/>
  <c r="BF35"/>
  <c r="BE35"/>
  <c r="BD35"/>
  <c r="BC35"/>
  <c r="BB35"/>
  <c r="BA35"/>
  <c r="AZ35"/>
  <c r="AY35"/>
  <c r="AX35"/>
  <c r="AU35"/>
  <c r="AT35"/>
  <c r="AS35"/>
  <c r="AR35"/>
  <c r="AQ35"/>
  <c r="AP35"/>
  <c r="AO35"/>
  <c r="AN35"/>
  <c r="AM35"/>
  <c r="AL35"/>
  <c r="AI35"/>
  <c r="AH35"/>
  <c r="AG35"/>
  <c r="AF35"/>
  <c r="AE35"/>
  <c r="AD35"/>
  <c r="AC35"/>
  <c r="AB35"/>
  <c r="AA35"/>
  <c r="Z35"/>
  <c r="W35"/>
  <c r="V35"/>
  <c r="U35"/>
  <c r="T35"/>
  <c r="S35"/>
  <c r="R35"/>
  <c r="Q35"/>
  <c r="P35"/>
  <c r="O35"/>
  <c r="N35"/>
  <c r="K35"/>
  <c r="J35"/>
  <c r="I35"/>
  <c r="H35"/>
  <c r="G35"/>
  <c r="F35"/>
  <c r="E35"/>
  <c r="D35"/>
  <c r="C35"/>
  <c r="B35"/>
  <c r="DC34"/>
  <c r="DB34"/>
  <c r="DA34"/>
  <c r="CZ34"/>
  <c r="CY34"/>
  <c r="CX34"/>
  <c r="CW34"/>
  <c r="CV34"/>
  <c r="CU34"/>
  <c r="CT34"/>
  <c r="CQ34"/>
  <c r="CP34"/>
  <c r="CO34"/>
  <c r="CN34"/>
  <c r="CM34"/>
  <c r="CL34"/>
  <c r="CK34"/>
  <c r="CJ34"/>
  <c r="CI34"/>
  <c r="CH34"/>
  <c r="CE34"/>
  <c r="CD34"/>
  <c r="CC34"/>
  <c r="CB34"/>
  <c r="CA34"/>
  <c r="BZ34"/>
  <c r="BY34"/>
  <c r="BX34"/>
  <c r="BW34"/>
  <c r="BV34"/>
  <c r="BS34"/>
  <c r="BR34"/>
  <c r="BQ34"/>
  <c r="BP34"/>
  <c r="BO34"/>
  <c r="BN34"/>
  <c r="BM34"/>
  <c r="BL34"/>
  <c r="BK34"/>
  <c r="BJ34"/>
  <c r="BG34"/>
  <c r="BF34"/>
  <c r="BE34"/>
  <c r="BD34"/>
  <c r="BC34"/>
  <c r="BB34"/>
  <c r="BA34"/>
  <c r="AZ34"/>
  <c r="AY34"/>
  <c r="AX34"/>
  <c r="AU34"/>
  <c r="AT34"/>
  <c r="AS34"/>
  <c r="AR34"/>
  <c r="AQ34"/>
  <c r="AP34"/>
  <c r="AO34"/>
  <c r="AN34"/>
  <c r="AM34"/>
  <c r="AL34"/>
  <c r="AI34"/>
  <c r="AH34"/>
  <c r="AG34"/>
  <c r="AF34"/>
  <c r="AE34"/>
  <c r="AD34"/>
  <c r="AC34"/>
  <c r="AB34"/>
  <c r="AA34"/>
  <c r="Z34"/>
  <c r="W34"/>
  <c r="V34"/>
  <c r="U34"/>
  <c r="T34"/>
  <c r="S34"/>
  <c r="R34"/>
  <c r="Q34"/>
  <c r="P34"/>
  <c r="O34"/>
  <c r="N34"/>
  <c r="K34"/>
  <c r="J34"/>
  <c r="I34"/>
  <c r="H34"/>
  <c r="G34"/>
  <c r="F34"/>
  <c r="E34"/>
  <c r="D34"/>
  <c r="C34"/>
  <c r="B34"/>
  <c r="DC33"/>
  <c r="DB33"/>
  <c r="DA33"/>
  <c r="CZ33"/>
  <c r="CY33"/>
  <c r="CX33"/>
  <c r="CW33"/>
  <c r="CV33"/>
  <c r="CU33"/>
  <c r="CT33"/>
  <c r="CQ33"/>
  <c r="CP33"/>
  <c r="CO33"/>
  <c r="CN33"/>
  <c r="CM33"/>
  <c r="CL33"/>
  <c r="CK33"/>
  <c r="CJ33"/>
  <c r="CI33"/>
  <c r="CH33"/>
  <c r="CE33"/>
  <c r="CD33"/>
  <c r="CC33"/>
  <c r="CB33"/>
  <c r="CA33"/>
  <c r="BZ33"/>
  <c r="BY33"/>
  <c r="BX33"/>
  <c r="BW33"/>
  <c r="BV33"/>
  <c r="BS33"/>
  <c r="BR33"/>
  <c r="BQ33"/>
  <c r="BP33"/>
  <c r="BO33"/>
  <c r="BN33"/>
  <c r="BM33"/>
  <c r="BL33"/>
  <c r="BK33"/>
  <c r="BJ33"/>
  <c r="BG33"/>
  <c r="BF33"/>
  <c r="BE33"/>
  <c r="BD33"/>
  <c r="BC33"/>
  <c r="BB33"/>
  <c r="BA33"/>
  <c r="AZ33"/>
  <c r="AY33"/>
  <c r="AX33"/>
  <c r="AU33"/>
  <c r="AT33"/>
  <c r="AS33"/>
  <c r="AR33"/>
  <c r="AQ33"/>
  <c r="AP33"/>
  <c r="AO33"/>
  <c r="AN33"/>
  <c r="AM33"/>
  <c r="AL33"/>
  <c r="AI33"/>
  <c r="AH33"/>
  <c r="AG33"/>
  <c r="AF33"/>
  <c r="AE33"/>
  <c r="AD33"/>
  <c r="AC33"/>
  <c r="AB33"/>
  <c r="AA33"/>
  <c r="Z33"/>
  <c r="W33"/>
  <c r="V33"/>
  <c r="U33"/>
  <c r="T33"/>
  <c r="S33"/>
  <c r="R33"/>
  <c r="Q33"/>
  <c r="P33"/>
  <c r="O33"/>
  <c r="N33"/>
  <c r="K33"/>
  <c r="J33"/>
  <c r="I33"/>
  <c r="H33"/>
  <c r="G33"/>
  <c r="F33"/>
  <c r="E33"/>
  <c r="D33"/>
  <c r="C33"/>
  <c r="B33"/>
  <c r="DC32"/>
  <c r="DB32"/>
  <c r="DA32"/>
  <c r="CZ32"/>
  <c r="CY32"/>
  <c r="CX32"/>
  <c r="CW32"/>
  <c r="CV32"/>
  <c r="CU32"/>
  <c r="CT32"/>
  <c r="CQ32"/>
  <c r="CP32"/>
  <c r="CO32"/>
  <c r="CN32"/>
  <c r="CM32"/>
  <c r="CL32"/>
  <c r="CK32"/>
  <c r="CJ32"/>
  <c r="CI32"/>
  <c r="CH32"/>
  <c r="CE32"/>
  <c r="CD32"/>
  <c r="CC32"/>
  <c r="CB32"/>
  <c r="CA32"/>
  <c r="BZ32"/>
  <c r="BY32"/>
  <c r="BX32"/>
  <c r="BW32"/>
  <c r="BV32"/>
  <c r="BS32"/>
  <c r="BR32"/>
  <c r="BQ32"/>
  <c r="BP32"/>
  <c r="BO32"/>
  <c r="BN32"/>
  <c r="BM32"/>
  <c r="BL32"/>
  <c r="BK32"/>
  <c r="BJ32"/>
  <c r="BG32"/>
  <c r="BF32"/>
  <c r="BE32"/>
  <c r="BD32"/>
  <c r="BC32"/>
  <c r="BB32"/>
  <c r="BA32"/>
  <c r="AZ32"/>
  <c r="AY32"/>
  <c r="AX32"/>
  <c r="AU32"/>
  <c r="AT32"/>
  <c r="AS32"/>
  <c r="AR32"/>
  <c r="AQ32"/>
  <c r="AP32"/>
  <c r="AO32"/>
  <c r="AN32"/>
  <c r="AM32"/>
  <c r="AL32"/>
  <c r="AI32"/>
  <c r="AH32"/>
  <c r="AG32"/>
  <c r="AF32"/>
  <c r="AE32"/>
  <c r="AD32"/>
  <c r="AC32"/>
  <c r="AB32"/>
  <c r="AA32"/>
  <c r="Z32"/>
  <c r="W32"/>
  <c r="V32"/>
  <c r="U32"/>
  <c r="T32"/>
  <c r="S32"/>
  <c r="R32"/>
  <c r="Q32"/>
  <c r="P32"/>
  <c r="O32"/>
  <c r="N32"/>
  <c r="K32"/>
  <c r="J32"/>
  <c r="I32"/>
  <c r="H32"/>
  <c r="G32"/>
  <c r="F32"/>
  <c r="E32"/>
  <c r="D32"/>
  <c r="C32"/>
  <c r="B32"/>
  <c r="DC31"/>
  <c r="DB31"/>
  <c r="DA31"/>
  <c r="CZ31"/>
  <c r="CY31"/>
  <c r="CX31"/>
  <c r="CW31"/>
  <c r="CV31"/>
  <c r="CU31"/>
  <c r="CT31"/>
  <c r="CQ31"/>
  <c r="CP31"/>
  <c r="CO31"/>
  <c r="CN31"/>
  <c r="CM31"/>
  <c r="CL31"/>
  <c r="CK31"/>
  <c r="CJ31"/>
  <c r="CI31"/>
  <c r="CH31"/>
  <c r="CE31"/>
  <c r="CD31"/>
  <c r="CC31"/>
  <c r="CB31"/>
  <c r="CA31"/>
  <c r="BZ31"/>
  <c r="BY31"/>
  <c r="BX31"/>
  <c r="BW31"/>
  <c r="BV31"/>
  <c r="BS31"/>
  <c r="BR31"/>
  <c r="BQ31"/>
  <c r="BP31"/>
  <c r="BO31"/>
  <c r="BN31"/>
  <c r="BM31"/>
  <c r="BL31"/>
  <c r="BK31"/>
  <c r="BJ31"/>
  <c r="BG31"/>
  <c r="BF31"/>
  <c r="BE31"/>
  <c r="BD31"/>
  <c r="BC31"/>
  <c r="BB31"/>
  <c r="BA31"/>
  <c r="AZ31"/>
  <c r="AY31"/>
  <c r="AX31"/>
  <c r="AU31"/>
  <c r="AT31"/>
  <c r="AS31"/>
  <c r="AR31"/>
  <c r="AQ31"/>
  <c r="AP31"/>
  <c r="AO31"/>
  <c r="AN31"/>
  <c r="AM31"/>
  <c r="AL31"/>
  <c r="AI31"/>
  <c r="AH31"/>
  <c r="AG31"/>
  <c r="AF31"/>
  <c r="AE31"/>
  <c r="AD31"/>
  <c r="AC31"/>
  <c r="AB31"/>
  <c r="AA31"/>
  <c r="Z31"/>
  <c r="W31"/>
  <c r="V31"/>
  <c r="U31"/>
  <c r="T31"/>
  <c r="S31"/>
  <c r="R31"/>
  <c r="Q31"/>
  <c r="P31"/>
  <c r="O31"/>
  <c r="N31"/>
  <c r="K31"/>
  <c r="J31"/>
  <c r="I31"/>
  <c r="H31"/>
  <c r="G31"/>
  <c r="F31"/>
  <c r="E31"/>
  <c r="D31"/>
  <c r="C31"/>
  <c r="B31"/>
  <c r="DC30"/>
  <c r="DB30"/>
  <c r="DA30"/>
  <c r="CZ30"/>
  <c r="CY30"/>
  <c r="CX30"/>
  <c r="CW30"/>
  <c r="CV30"/>
  <c r="CU30"/>
  <c r="CT30"/>
  <c r="CQ30"/>
  <c r="CP30"/>
  <c r="CO30"/>
  <c r="CN30"/>
  <c r="CM30"/>
  <c r="CL30"/>
  <c r="CK30"/>
  <c r="CJ30"/>
  <c r="CI30"/>
  <c r="CH30"/>
  <c r="CE30"/>
  <c r="CD30"/>
  <c r="CC30"/>
  <c r="CB30"/>
  <c r="CA30"/>
  <c r="BZ30"/>
  <c r="BY30"/>
  <c r="BX30"/>
  <c r="BW30"/>
  <c r="BV30"/>
  <c r="BS30"/>
  <c r="BR30"/>
  <c r="BQ30"/>
  <c r="BP30"/>
  <c r="BO30"/>
  <c r="BN30"/>
  <c r="BM30"/>
  <c r="BL30"/>
  <c r="BK30"/>
  <c r="BJ30"/>
  <c r="BG30"/>
  <c r="BF30"/>
  <c r="BE30"/>
  <c r="BD30"/>
  <c r="BC30"/>
  <c r="BB30"/>
  <c r="BA30"/>
  <c r="AZ30"/>
  <c r="AY30"/>
  <c r="AX30"/>
  <c r="AU30"/>
  <c r="AT30"/>
  <c r="AS30"/>
  <c r="AR30"/>
  <c r="AQ30"/>
  <c r="AP30"/>
  <c r="AO30"/>
  <c r="AN30"/>
  <c r="AM30"/>
  <c r="AL30"/>
  <c r="AI30"/>
  <c r="AH30"/>
  <c r="AG30"/>
  <c r="AF30"/>
  <c r="AE30"/>
  <c r="AD30"/>
  <c r="AC30"/>
  <c r="AB30"/>
  <c r="AA30"/>
  <c r="Z30"/>
  <c r="W30"/>
  <c r="V30"/>
  <c r="U30"/>
  <c r="T30"/>
  <c r="S30"/>
  <c r="R30"/>
  <c r="Q30"/>
  <c r="P30"/>
  <c r="O30"/>
  <c r="N30"/>
  <c r="K30"/>
  <c r="J30"/>
  <c r="I30"/>
  <c r="H30"/>
  <c r="G30"/>
  <c r="F30"/>
  <c r="E30"/>
  <c r="D30"/>
  <c r="C30"/>
  <c r="B30"/>
  <c r="DC29"/>
  <c r="DB29"/>
  <c r="DA29"/>
  <c r="CZ29"/>
  <c r="CY29"/>
  <c r="CX29"/>
  <c r="CW29"/>
  <c r="CV29"/>
  <c r="CU29"/>
  <c r="CT29"/>
  <c r="CQ29"/>
  <c r="CP29"/>
  <c r="CO29"/>
  <c r="CN29"/>
  <c r="CM29"/>
  <c r="CL29"/>
  <c r="CK29"/>
  <c r="CJ29"/>
  <c r="CI29"/>
  <c r="CH29"/>
  <c r="CE29"/>
  <c r="CD29"/>
  <c r="CC29"/>
  <c r="CB29"/>
  <c r="CA29"/>
  <c r="BZ29"/>
  <c r="BY29"/>
  <c r="BX29"/>
  <c r="BW29"/>
  <c r="BV29"/>
  <c r="BS29"/>
  <c r="BR29"/>
  <c r="BQ29"/>
  <c r="BP29"/>
  <c r="BO29"/>
  <c r="BN29"/>
  <c r="BM29"/>
  <c r="BL29"/>
  <c r="BK29"/>
  <c r="BJ29"/>
  <c r="BG29"/>
  <c r="BF29"/>
  <c r="BE29"/>
  <c r="BD29"/>
  <c r="BC29"/>
  <c r="BB29"/>
  <c r="BA29"/>
  <c r="AZ29"/>
  <c r="AY29"/>
  <c r="AX29"/>
  <c r="AU29"/>
  <c r="AT29"/>
  <c r="AS29"/>
  <c r="AR29"/>
  <c r="AQ29"/>
  <c r="AP29"/>
  <c r="AO29"/>
  <c r="AN29"/>
  <c r="AM29"/>
  <c r="AL29"/>
  <c r="AI29"/>
  <c r="AH29"/>
  <c r="AG29"/>
  <c r="AF29"/>
  <c r="AE29"/>
  <c r="AD29"/>
  <c r="AC29"/>
  <c r="AB29"/>
  <c r="AA29"/>
  <c r="Z29"/>
  <c r="W29"/>
  <c r="V29"/>
  <c r="U29"/>
  <c r="T29"/>
  <c r="S29"/>
  <c r="R29"/>
  <c r="Q29"/>
  <c r="P29"/>
  <c r="O29"/>
  <c r="N29"/>
  <c r="K29"/>
  <c r="J29"/>
  <c r="I29"/>
  <c r="H29"/>
  <c r="G29"/>
  <c r="F29"/>
  <c r="E29"/>
  <c r="D29"/>
  <c r="C29"/>
  <c r="B29"/>
  <c r="DC28"/>
  <c r="DB28"/>
  <c r="DA28"/>
  <c r="CZ28"/>
  <c r="CY28"/>
  <c r="CX28"/>
  <c r="CW28"/>
  <c r="CV28"/>
  <c r="CU28"/>
  <c r="CT28"/>
  <c r="CQ28"/>
  <c r="CP28"/>
  <c r="CO28"/>
  <c r="CN28"/>
  <c r="CM28"/>
  <c r="CL28"/>
  <c r="CK28"/>
  <c r="CJ28"/>
  <c r="CI28"/>
  <c r="CH28"/>
  <c r="CE28"/>
  <c r="CD28"/>
  <c r="CC28"/>
  <c r="CB28"/>
  <c r="CA28"/>
  <c r="BZ28"/>
  <c r="BY28"/>
  <c r="BX28"/>
  <c r="BW28"/>
  <c r="BV28"/>
  <c r="BS28"/>
  <c r="BR28"/>
  <c r="BQ28"/>
  <c r="BP28"/>
  <c r="BO28"/>
  <c r="BN28"/>
  <c r="BM28"/>
  <c r="BL28"/>
  <c r="BK28"/>
  <c r="BJ28"/>
  <c r="BG28"/>
  <c r="BF28"/>
  <c r="BE28"/>
  <c r="BD28"/>
  <c r="BC28"/>
  <c r="BB28"/>
  <c r="BA28"/>
  <c r="AZ28"/>
  <c r="AY28"/>
  <c r="AX28"/>
  <c r="AU28"/>
  <c r="AT28"/>
  <c r="AS28"/>
  <c r="AR28"/>
  <c r="AQ28"/>
  <c r="AP28"/>
  <c r="AO28"/>
  <c r="AN28"/>
  <c r="AM28"/>
  <c r="AL28"/>
  <c r="AI28"/>
  <c r="AH28"/>
  <c r="AG28"/>
  <c r="AF28"/>
  <c r="AE28"/>
  <c r="AD28"/>
  <c r="AC28"/>
  <c r="AB28"/>
  <c r="AA28"/>
  <c r="Z28"/>
  <c r="W28"/>
  <c r="V28"/>
  <c r="U28"/>
  <c r="T28"/>
  <c r="S28"/>
  <c r="R28"/>
  <c r="Q28"/>
  <c r="P28"/>
  <c r="O28"/>
  <c r="N28"/>
  <c r="K28"/>
  <c r="J28"/>
  <c r="I28"/>
  <c r="H28"/>
  <c r="G28"/>
  <c r="F28"/>
  <c r="E28"/>
  <c r="D28"/>
  <c r="C28"/>
  <c r="B28"/>
  <c r="DC27"/>
  <c r="DB27"/>
  <c r="DA27"/>
  <c r="CZ27"/>
  <c r="CY27"/>
  <c r="CX27"/>
  <c r="CW27"/>
  <c r="CV27"/>
  <c r="CU27"/>
  <c r="CT27"/>
  <c r="CQ27"/>
  <c r="CP27"/>
  <c r="CO27"/>
  <c r="CN27"/>
  <c r="CM27"/>
  <c r="CL27"/>
  <c r="CK27"/>
  <c r="CJ27"/>
  <c r="CI27"/>
  <c r="CH27"/>
  <c r="CE27"/>
  <c r="CD27"/>
  <c r="CC27"/>
  <c r="CB27"/>
  <c r="CA27"/>
  <c r="BZ27"/>
  <c r="BY27"/>
  <c r="BX27"/>
  <c r="BW27"/>
  <c r="BV27"/>
  <c r="BS27"/>
  <c r="BR27"/>
  <c r="BQ27"/>
  <c r="BP27"/>
  <c r="BO27"/>
  <c r="BN27"/>
  <c r="BM27"/>
  <c r="BL27"/>
  <c r="BK27"/>
  <c r="BJ27"/>
  <c r="BG27"/>
  <c r="BF27"/>
  <c r="BE27"/>
  <c r="BD27"/>
  <c r="BC27"/>
  <c r="BB27"/>
  <c r="BA27"/>
  <c r="AZ27"/>
  <c r="AY27"/>
  <c r="AX27"/>
  <c r="AU27"/>
  <c r="AT27"/>
  <c r="AS27"/>
  <c r="AR27"/>
  <c r="AQ27"/>
  <c r="AP27"/>
  <c r="AO27"/>
  <c r="AN27"/>
  <c r="AM27"/>
  <c r="AL27"/>
  <c r="AI27"/>
  <c r="AH27"/>
  <c r="AG27"/>
  <c r="AF27"/>
  <c r="AE27"/>
  <c r="AD27"/>
  <c r="AC27"/>
  <c r="AB27"/>
  <c r="AA27"/>
  <c r="Z27"/>
  <c r="W27"/>
  <c r="V27"/>
  <c r="U27"/>
  <c r="T27"/>
  <c r="S27"/>
  <c r="R27"/>
  <c r="Q27"/>
  <c r="P27"/>
  <c r="O27"/>
  <c r="N27"/>
  <c r="K27"/>
  <c r="J27"/>
  <c r="I27"/>
  <c r="H27"/>
  <c r="G27"/>
  <c r="F27"/>
  <c r="E27"/>
  <c r="D27"/>
  <c r="C27"/>
  <c r="B27"/>
  <c r="DC26"/>
  <c r="DB26"/>
  <c r="DA26"/>
  <c r="CZ26"/>
  <c r="CY26"/>
  <c r="CX26"/>
  <c r="CW26"/>
  <c r="CV26"/>
  <c r="CU26"/>
  <c r="CT26"/>
  <c r="CQ26"/>
  <c r="CP26"/>
  <c r="CO26"/>
  <c r="CN26"/>
  <c r="CM26"/>
  <c r="CL26"/>
  <c r="CK26"/>
  <c r="CJ26"/>
  <c r="CI26"/>
  <c r="CH26"/>
  <c r="CE26"/>
  <c r="CD26"/>
  <c r="CC26"/>
  <c r="CB26"/>
  <c r="CA26"/>
  <c r="BZ26"/>
  <c r="BY26"/>
  <c r="BX26"/>
  <c r="BW26"/>
  <c r="BV26"/>
  <c r="BS26"/>
  <c r="BR26"/>
  <c r="BQ26"/>
  <c r="BP26"/>
  <c r="BO26"/>
  <c r="BN26"/>
  <c r="BM26"/>
  <c r="BL26"/>
  <c r="BK26"/>
  <c r="BJ26"/>
  <c r="BG26"/>
  <c r="BF26"/>
  <c r="BE26"/>
  <c r="BD26"/>
  <c r="BC26"/>
  <c r="BB26"/>
  <c r="BA26"/>
  <c r="AZ26"/>
  <c r="AY26"/>
  <c r="AX26"/>
  <c r="AU26"/>
  <c r="AT26"/>
  <c r="AS26"/>
  <c r="AR26"/>
  <c r="AQ26"/>
  <c r="AP26"/>
  <c r="AO26"/>
  <c r="AN26"/>
  <c r="AM26"/>
  <c r="AL26"/>
  <c r="AI26"/>
  <c r="AH26"/>
  <c r="AG26"/>
  <c r="AF26"/>
  <c r="AE26"/>
  <c r="AD26"/>
  <c r="AC26"/>
  <c r="AB26"/>
  <c r="AA26"/>
  <c r="Z26"/>
  <c r="W26"/>
  <c r="V26"/>
  <c r="U26"/>
  <c r="T26"/>
  <c r="S26"/>
  <c r="R26"/>
  <c r="Q26"/>
  <c r="P26"/>
  <c r="O26"/>
  <c r="N26"/>
  <c r="K26"/>
  <c r="J26"/>
  <c r="I26"/>
  <c r="H26"/>
  <c r="G26"/>
  <c r="F26"/>
  <c r="E26"/>
  <c r="D26"/>
  <c r="C26"/>
  <c r="B26"/>
  <c r="DC25"/>
  <c r="DB25"/>
  <c r="DA25"/>
  <c r="CZ25"/>
  <c r="CY25"/>
  <c r="CX25"/>
  <c r="CW25"/>
  <c r="CV25"/>
  <c r="CU25"/>
  <c r="CT25"/>
  <c r="CQ25"/>
  <c r="CP25"/>
  <c r="CO25"/>
  <c r="CN25"/>
  <c r="CM25"/>
  <c r="CL25"/>
  <c r="CK25"/>
  <c r="CJ25"/>
  <c r="CI25"/>
  <c r="CH25"/>
  <c r="CE25"/>
  <c r="CD25"/>
  <c r="CC25"/>
  <c r="CB25"/>
  <c r="CA25"/>
  <c r="BZ25"/>
  <c r="BY25"/>
  <c r="BX25"/>
  <c r="BW25"/>
  <c r="BV25"/>
  <c r="BS25"/>
  <c r="BR25"/>
  <c r="BQ25"/>
  <c r="BP25"/>
  <c r="BO25"/>
  <c r="BN25"/>
  <c r="BM25"/>
  <c r="BL25"/>
  <c r="BK25"/>
  <c r="BJ25"/>
  <c r="BG25"/>
  <c r="BF25"/>
  <c r="BE25"/>
  <c r="BD25"/>
  <c r="BC25"/>
  <c r="BB25"/>
  <c r="BA25"/>
  <c r="AZ25"/>
  <c r="AY25"/>
  <c r="AX25"/>
  <c r="AU25"/>
  <c r="AT25"/>
  <c r="AS25"/>
  <c r="AR25"/>
  <c r="AQ25"/>
  <c r="AP25"/>
  <c r="AO25"/>
  <c r="AN25"/>
  <c r="AM25"/>
  <c r="AL25"/>
  <c r="AI25"/>
  <c r="AH25"/>
  <c r="AG25"/>
  <c r="AF25"/>
  <c r="AE25"/>
  <c r="AD25"/>
  <c r="AC25"/>
  <c r="AB25"/>
  <c r="AA25"/>
  <c r="Z25"/>
  <c r="W25"/>
  <c r="V25"/>
  <c r="U25"/>
  <c r="T25"/>
  <c r="S25"/>
  <c r="R25"/>
  <c r="Q25"/>
  <c r="P25"/>
  <c r="O25"/>
  <c r="N25"/>
  <c r="K25"/>
  <c r="J25"/>
  <c r="I25"/>
  <c r="H25"/>
  <c r="G25"/>
  <c r="F25"/>
  <c r="E25"/>
  <c r="D25"/>
  <c r="C25"/>
  <c r="B25"/>
  <c r="CQ21"/>
  <c r="CP21"/>
  <c r="CO21"/>
  <c r="CN21"/>
  <c r="CM21"/>
  <c r="CL21"/>
  <c r="CK21"/>
  <c r="CJ21"/>
  <c r="CI21"/>
  <c r="CH21"/>
  <c r="CE21"/>
  <c r="CD21"/>
  <c r="CC21"/>
  <c r="CB21"/>
  <c r="CA21"/>
  <c r="BZ21"/>
  <c r="BY21"/>
  <c r="BX21"/>
  <c r="BW21"/>
  <c r="BV21"/>
  <c r="BS21"/>
  <c r="BR21"/>
  <c r="BQ21"/>
  <c r="BP21"/>
  <c r="BO21"/>
  <c r="BN21"/>
  <c r="BM21"/>
  <c r="BL21"/>
  <c r="BK21"/>
  <c r="BJ21"/>
  <c r="BG21"/>
  <c r="BF21"/>
  <c r="BE21"/>
  <c r="BD21"/>
  <c r="BC21"/>
  <c r="BB21"/>
  <c r="BA21"/>
  <c r="AZ21"/>
  <c r="AY21"/>
  <c r="AX21"/>
  <c r="AU21"/>
  <c r="AT21"/>
  <c r="AS21"/>
  <c r="AR21"/>
  <c r="AQ21"/>
  <c r="AP21"/>
  <c r="AO21"/>
  <c r="AN21"/>
  <c r="AM21"/>
  <c r="AL21"/>
  <c r="AI21"/>
  <c r="AH21"/>
  <c r="AG21"/>
  <c r="AF21"/>
  <c r="AE21"/>
  <c r="AD21"/>
  <c r="AC21"/>
  <c r="AB21"/>
  <c r="AA21"/>
  <c r="Z21"/>
  <c r="W21"/>
  <c r="V21"/>
  <c r="U21"/>
  <c r="T21"/>
  <c r="S21"/>
  <c r="R21"/>
  <c r="Q21"/>
  <c r="P21"/>
  <c r="O21"/>
  <c r="N21"/>
  <c r="K21"/>
  <c r="J21"/>
  <c r="I21"/>
  <c r="H21"/>
  <c r="G21"/>
  <c r="F21"/>
  <c r="E21"/>
  <c r="D21"/>
  <c r="C21"/>
  <c r="B21"/>
  <c r="CQ20"/>
  <c r="CP20"/>
  <c r="CO20"/>
  <c r="CN20"/>
  <c r="CM20"/>
  <c r="CL20"/>
  <c r="CK20"/>
  <c r="CJ20"/>
  <c r="CI20"/>
  <c r="CH20"/>
  <c r="CE20"/>
  <c r="CD20"/>
  <c r="CC20"/>
  <c r="CB20"/>
  <c r="CA20"/>
  <c r="BZ20"/>
  <c r="BY20"/>
  <c r="BX20"/>
  <c r="BW20"/>
  <c r="BV20"/>
  <c r="BS20"/>
  <c r="BR20"/>
  <c r="BQ20"/>
  <c r="BP20"/>
  <c r="BO20"/>
  <c r="BN20"/>
  <c r="BM20"/>
  <c r="BL20"/>
  <c r="BK20"/>
  <c r="BJ20"/>
  <c r="BG20"/>
  <c r="BF20"/>
  <c r="BE20"/>
  <c r="BD20"/>
  <c r="BC20"/>
  <c r="BB20"/>
  <c r="BA20"/>
  <c r="AZ20"/>
  <c r="AY20"/>
  <c r="AX20"/>
  <c r="AU20"/>
  <c r="AT20"/>
  <c r="AS20"/>
  <c r="AR20"/>
  <c r="AQ20"/>
  <c r="AP20"/>
  <c r="AO20"/>
  <c r="AN20"/>
  <c r="AM20"/>
  <c r="AL20"/>
  <c r="AI20"/>
  <c r="AH20"/>
  <c r="AG20"/>
  <c r="AF20"/>
  <c r="AE20"/>
  <c r="AD20"/>
  <c r="AC20"/>
  <c r="AB20"/>
  <c r="AA20"/>
  <c r="Z20"/>
  <c r="W20"/>
  <c r="V20"/>
  <c r="U20"/>
  <c r="T20"/>
  <c r="S20"/>
  <c r="R20"/>
  <c r="Q20"/>
  <c r="P20"/>
  <c r="O20"/>
  <c r="N20"/>
  <c r="K20"/>
  <c r="J20"/>
  <c r="I20"/>
  <c r="H20"/>
  <c r="G20"/>
  <c r="F20"/>
  <c r="E20"/>
  <c r="D20"/>
  <c r="C20"/>
  <c r="B20"/>
  <c r="CQ19"/>
  <c r="CP19"/>
  <c r="CO19"/>
  <c r="CN19"/>
  <c r="CM19"/>
  <c r="CL19"/>
  <c r="CK19"/>
  <c r="CJ19"/>
  <c r="CI19"/>
  <c r="CH19"/>
  <c r="CE19"/>
  <c r="CD19"/>
  <c r="CC19"/>
  <c r="CB19"/>
  <c r="CA19"/>
  <c r="BZ19"/>
  <c r="BY19"/>
  <c r="BX19"/>
  <c r="BW19"/>
  <c r="BV19"/>
  <c r="BS19"/>
  <c r="BR19"/>
  <c r="BQ19"/>
  <c r="BP19"/>
  <c r="BO19"/>
  <c r="BN19"/>
  <c r="BM19"/>
  <c r="BL19"/>
  <c r="BK19"/>
  <c r="BJ19"/>
  <c r="BG19"/>
  <c r="BF19"/>
  <c r="BE19"/>
  <c r="BD19"/>
  <c r="BC19"/>
  <c r="BB19"/>
  <c r="BA19"/>
  <c r="AZ19"/>
  <c r="AY19"/>
  <c r="AX19"/>
  <c r="AU19"/>
  <c r="AT19"/>
  <c r="AS19"/>
  <c r="AR19"/>
  <c r="AQ19"/>
  <c r="AP19"/>
  <c r="AO19"/>
  <c r="AN19"/>
  <c r="AM19"/>
  <c r="AL19"/>
  <c r="AI19"/>
  <c r="AH19"/>
  <c r="AG19"/>
  <c r="AF19"/>
  <c r="AE19"/>
  <c r="AD19"/>
  <c r="AC19"/>
  <c r="AB19"/>
  <c r="AA19"/>
  <c r="Z19"/>
  <c r="W19"/>
  <c r="V19"/>
  <c r="U19"/>
  <c r="T19"/>
  <c r="S19"/>
  <c r="R19"/>
  <c r="Q19"/>
  <c r="P19"/>
  <c r="O19"/>
  <c r="N19"/>
  <c r="K19"/>
  <c r="J19"/>
  <c r="I19"/>
  <c r="H19"/>
  <c r="G19"/>
  <c r="F19"/>
  <c r="E19"/>
  <c r="D19"/>
  <c r="C19"/>
  <c r="B19"/>
  <c r="CQ18"/>
  <c r="CP18"/>
  <c r="CO18"/>
  <c r="CN18"/>
  <c r="CM18"/>
  <c r="CL18"/>
  <c r="CK18"/>
  <c r="CJ18"/>
  <c r="CI18"/>
  <c r="CH18"/>
  <c r="CE18"/>
  <c r="CD18"/>
  <c r="CC18"/>
  <c r="CB18"/>
  <c r="CA18"/>
  <c r="BZ18"/>
  <c r="BY18"/>
  <c r="BX18"/>
  <c r="BW18"/>
  <c r="BV18"/>
  <c r="BS18"/>
  <c r="BR18"/>
  <c r="BQ18"/>
  <c r="BP18"/>
  <c r="BO18"/>
  <c r="BN18"/>
  <c r="BM18"/>
  <c r="BL18"/>
  <c r="BK18"/>
  <c r="BJ18"/>
  <c r="BG18"/>
  <c r="BF18"/>
  <c r="BE18"/>
  <c r="BD18"/>
  <c r="BC18"/>
  <c r="BB18"/>
  <c r="BA18"/>
  <c r="AZ18"/>
  <c r="AY18"/>
  <c r="AX18"/>
  <c r="AU18"/>
  <c r="AT18"/>
  <c r="AS18"/>
  <c r="AR18"/>
  <c r="AQ18"/>
  <c r="AP18"/>
  <c r="AO18"/>
  <c r="AN18"/>
  <c r="AM18"/>
  <c r="AL18"/>
  <c r="AI18"/>
  <c r="AH18"/>
  <c r="AG18"/>
  <c r="AF18"/>
  <c r="AE18"/>
  <c r="AD18"/>
  <c r="AC18"/>
  <c r="AB18"/>
  <c r="AA18"/>
  <c r="Z18"/>
  <c r="W18"/>
  <c r="V18"/>
  <c r="U18"/>
  <c r="T18"/>
  <c r="S18"/>
  <c r="R18"/>
  <c r="Q18"/>
  <c r="P18"/>
  <c r="O18"/>
  <c r="N18"/>
  <c r="K18"/>
  <c r="J18"/>
  <c r="I18"/>
  <c r="H18"/>
  <c r="G18"/>
  <c r="F18"/>
  <c r="E18"/>
  <c r="D18"/>
  <c r="C18"/>
  <c r="B18"/>
  <c r="CQ17"/>
  <c r="CP17"/>
  <c r="CO17"/>
  <c r="CN17"/>
  <c r="CM17"/>
  <c r="CL17"/>
  <c r="CK17"/>
  <c r="CJ17"/>
  <c r="CI17"/>
  <c r="CH17"/>
  <c r="CE17"/>
  <c r="CD17"/>
  <c r="CC17"/>
  <c r="CB17"/>
  <c r="CA17"/>
  <c r="BZ17"/>
  <c r="BY17"/>
  <c r="BX17"/>
  <c r="BW17"/>
  <c r="BV17"/>
  <c r="BS17"/>
  <c r="BR17"/>
  <c r="BQ17"/>
  <c r="BP17"/>
  <c r="BO17"/>
  <c r="BN17"/>
  <c r="BM17"/>
  <c r="BL17"/>
  <c r="BK17"/>
  <c r="BJ17"/>
  <c r="BG17"/>
  <c r="BF17"/>
  <c r="BE17"/>
  <c r="BD17"/>
  <c r="BC17"/>
  <c r="BB17"/>
  <c r="BA17"/>
  <c r="AZ17"/>
  <c r="AY17"/>
  <c r="AX17"/>
  <c r="AU17"/>
  <c r="AT17"/>
  <c r="AS17"/>
  <c r="AR17"/>
  <c r="AQ17"/>
  <c r="AP17"/>
  <c r="AO17"/>
  <c r="AN17"/>
  <c r="AM17"/>
  <c r="AL17"/>
  <c r="AI17"/>
  <c r="AH17"/>
  <c r="AG17"/>
  <c r="AF17"/>
  <c r="AE17"/>
  <c r="AD17"/>
  <c r="AC17"/>
  <c r="AB17"/>
  <c r="AA17"/>
  <c r="Z17"/>
  <c r="W17"/>
  <c r="V17"/>
  <c r="U17"/>
  <c r="T17"/>
  <c r="S17"/>
  <c r="R17"/>
  <c r="Q17"/>
  <c r="P17"/>
  <c r="O17"/>
  <c r="N17"/>
  <c r="K17"/>
  <c r="J17"/>
  <c r="I17"/>
  <c r="H17"/>
  <c r="G17"/>
  <c r="F17"/>
  <c r="E17"/>
  <c r="D17"/>
  <c r="C17"/>
  <c r="B17"/>
  <c r="CQ16"/>
  <c r="CP16"/>
  <c r="CO16"/>
  <c r="CN16"/>
  <c r="CM16"/>
  <c r="CL16"/>
  <c r="CK16"/>
  <c r="CJ16"/>
  <c r="CI16"/>
  <c r="CH16"/>
  <c r="CE16"/>
  <c r="CD16"/>
  <c r="CC16"/>
  <c r="CB16"/>
  <c r="CA16"/>
  <c r="BZ16"/>
  <c r="BY16"/>
  <c r="BX16"/>
  <c r="BW16"/>
  <c r="BV16"/>
  <c r="BS16"/>
  <c r="BR16"/>
  <c r="BQ16"/>
  <c r="BP16"/>
  <c r="BO16"/>
  <c r="BN16"/>
  <c r="BM16"/>
  <c r="BL16"/>
  <c r="BK16"/>
  <c r="BJ16"/>
  <c r="BG16"/>
  <c r="BF16"/>
  <c r="BE16"/>
  <c r="BD16"/>
  <c r="BC16"/>
  <c r="BB16"/>
  <c r="BA16"/>
  <c r="AZ16"/>
  <c r="AY16"/>
  <c r="AX16"/>
  <c r="AU16"/>
  <c r="AT16"/>
  <c r="AS16"/>
  <c r="AR16"/>
  <c r="AQ16"/>
  <c r="AP16"/>
  <c r="AO16"/>
  <c r="AN16"/>
  <c r="AM16"/>
  <c r="AL16"/>
  <c r="AI16"/>
  <c r="AH16"/>
  <c r="AG16"/>
  <c r="AF16"/>
  <c r="AE16"/>
  <c r="AD16"/>
  <c r="AC16"/>
  <c r="AB16"/>
  <c r="AA16"/>
  <c r="Z16"/>
  <c r="W16"/>
  <c r="V16"/>
  <c r="U16"/>
  <c r="T16"/>
  <c r="S16"/>
  <c r="R16"/>
  <c r="Q16"/>
  <c r="P16"/>
  <c r="O16"/>
  <c r="N16"/>
  <c r="K16"/>
  <c r="J16"/>
  <c r="I16"/>
  <c r="H16"/>
  <c r="G16"/>
  <c r="F16"/>
  <c r="E16"/>
  <c r="D16"/>
  <c r="C16"/>
  <c r="B16"/>
  <c r="CQ15"/>
  <c r="CP15"/>
  <c r="CO15"/>
  <c r="CN15"/>
  <c r="CM15"/>
  <c r="CL15"/>
  <c r="CK15"/>
  <c r="CJ15"/>
  <c r="CI15"/>
  <c r="CH15"/>
  <c r="CE15"/>
  <c r="CD15"/>
  <c r="CC15"/>
  <c r="CB15"/>
  <c r="CA15"/>
  <c r="BZ15"/>
  <c r="BY15"/>
  <c r="BX15"/>
  <c r="BW15"/>
  <c r="BV15"/>
  <c r="BS15"/>
  <c r="BR15"/>
  <c r="BQ15"/>
  <c r="BP15"/>
  <c r="BO15"/>
  <c r="BN15"/>
  <c r="BM15"/>
  <c r="BL15"/>
  <c r="BK15"/>
  <c r="BJ15"/>
  <c r="BG15"/>
  <c r="BF15"/>
  <c r="BE15"/>
  <c r="BD15"/>
  <c r="BC15"/>
  <c r="BB15"/>
  <c r="BA15"/>
  <c r="AZ15"/>
  <c r="AY15"/>
  <c r="AX15"/>
  <c r="AU15"/>
  <c r="AT15"/>
  <c r="AS15"/>
  <c r="AR15"/>
  <c r="AQ15"/>
  <c r="AP15"/>
  <c r="AO15"/>
  <c r="AN15"/>
  <c r="AM15"/>
  <c r="AL15"/>
  <c r="AI15"/>
  <c r="AH15"/>
  <c r="AG15"/>
  <c r="AF15"/>
  <c r="AE15"/>
  <c r="AD15"/>
  <c r="AC15"/>
  <c r="AB15"/>
  <c r="AA15"/>
  <c r="Z15"/>
  <c r="W15"/>
  <c r="V15"/>
  <c r="U15"/>
  <c r="T15"/>
  <c r="S15"/>
  <c r="R15"/>
  <c r="Q15"/>
  <c r="P15"/>
  <c r="O15"/>
  <c r="N15"/>
  <c r="K15"/>
  <c r="J15"/>
  <c r="I15"/>
  <c r="H15"/>
  <c r="G15"/>
  <c r="F15"/>
  <c r="E15"/>
  <c r="D15"/>
  <c r="C15"/>
  <c r="B15"/>
  <c r="CQ14"/>
  <c r="CP14"/>
  <c r="CO14"/>
  <c r="CN14"/>
  <c r="CM14"/>
  <c r="CL14"/>
  <c r="CK14"/>
  <c r="CJ14"/>
  <c r="CI14"/>
  <c r="CH14"/>
  <c r="CE14"/>
  <c r="CD14"/>
  <c r="CC14"/>
  <c r="CB14"/>
  <c r="CA14"/>
  <c r="BZ14"/>
  <c r="BY14"/>
  <c r="BX14"/>
  <c r="BW14"/>
  <c r="BV14"/>
  <c r="BS14"/>
  <c r="BR14"/>
  <c r="BQ14"/>
  <c r="BP14"/>
  <c r="BO14"/>
  <c r="BN14"/>
  <c r="BM14"/>
  <c r="BL14"/>
  <c r="BK14"/>
  <c r="BJ14"/>
  <c r="BG14"/>
  <c r="BF14"/>
  <c r="BE14"/>
  <c r="BD14"/>
  <c r="BC14"/>
  <c r="BB14"/>
  <c r="BA14"/>
  <c r="AZ14"/>
  <c r="AY14"/>
  <c r="AX14"/>
  <c r="AU14"/>
  <c r="AT14"/>
  <c r="AS14"/>
  <c r="AR14"/>
  <c r="AQ14"/>
  <c r="AP14"/>
  <c r="AO14"/>
  <c r="AN14"/>
  <c r="AM14"/>
  <c r="AL14"/>
  <c r="AI14"/>
  <c r="AH14"/>
  <c r="AG14"/>
  <c r="AF14"/>
  <c r="AE14"/>
  <c r="AD14"/>
  <c r="AC14"/>
  <c r="AB14"/>
  <c r="AA14"/>
  <c r="Z14"/>
  <c r="W14"/>
  <c r="V14"/>
  <c r="U14"/>
  <c r="T14"/>
  <c r="S14"/>
  <c r="R14"/>
  <c r="Q14"/>
  <c r="P14"/>
  <c r="O14"/>
  <c r="N14"/>
  <c r="K14"/>
  <c r="J14"/>
  <c r="I14"/>
  <c r="H14"/>
  <c r="G14"/>
  <c r="F14"/>
  <c r="E14"/>
  <c r="D14"/>
  <c r="C14"/>
  <c r="B14"/>
  <c r="CQ13"/>
  <c r="CP13"/>
  <c r="CO13"/>
  <c r="CN13"/>
  <c r="CM13"/>
  <c r="CL13"/>
  <c r="CK13"/>
  <c r="CJ13"/>
  <c r="CI13"/>
  <c r="CH13"/>
  <c r="CE13"/>
  <c r="CD13"/>
  <c r="CC13"/>
  <c r="CB13"/>
  <c r="CA13"/>
  <c r="BZ13"/>
  <c r="BY13"/>
  <c r="BX13"/>
  <c r="BW13"/>
  <c r="BV13"/>
  <c r="BS13"/>
  <c r="BR13"/>
  <c r="BQ13"/>
  <c r="BP13"/>
  <c r="BO13"/>
  <c r="BN13"/>
  <c r="BM13"/>
  <c r="BL13"/>
  <c r="BK13"/>
  <c r="BJ13"/>
  <c r="BG13"/>
  <c r="BF13"/>
  <c r="BE13"/>
  <c r="BD13"/>
  <c r="BC13"/>
  <c r="BB13"/>
  <c r="BA13"/>
  <c r="AZ13"/>
  <c r="AY13"/>
  <c r="AX13"/>
  <c r="AU13"/>
  <c r="AT13"/>
  <c r="AS13"/>
  <c r="AR13"/>
  <c r="AQ13"/>
  <c r="AP13"/>
  <c r="AO13"/>
  <c r="AN13"/>
  <c r="AM13"/>
  <c r="AL13"/>
  <c r="AI13"/>
  <c r="AH13"/>
  <c r="AG13"/>
  <c r="AF13"/>
  <c r="AE13"/>
  <c r="AD13"/>
  <c r="AC13"/>
  <c r="AB13"/>
  <c r="AA13"/>
  <c r="Z13"/>
  <c r="W13"/>
  <c r="V13"/>
  <c r="U13"/>
  <c r="T13"/>
  <c r="S13"/>
  <c r="R13"/>
  <c r="Q13"/>
  <c r="P13"/>
  <c r="O13"/>
  <c r="N13"/>
  <c r="K13"/>
  <c r="J13"/>
  <c r="I13"/>
  <c r="H13"/>
  <c r="G13"/>
  <c r="F13"/>
  <c r="E13"/>
  <c r="D13"/>
  <c r="C13"/>
  <c r="B13"/>
  <c r="CQ12"/>
  <c r="CP12"/>
  <c r="CO12"/>
  <c r="CN12"/>
  <c r="CM12"/>
  <c r="CL12"/>
  <c r="CK12"/>
  <c r="CJ12"/>
  <c r="CI12"/>
  <c r="CH12"/>
  <c r="CE12"/>
  <c r="CD12"/>
  <c r="CC12"/>
  <c r="CB12"/>
  <c r="CA12"/>
  <c r="BZ12"/>
  <c r="BY12"/>
  <c r="BX12"/>
  <c r="BW12"/>
  <c r="BV12"/>
  <c r="BS12"/>
  <c r="BR12"/>
  <c r="BQ12"/>
  <c r="BP12"/>
  <c r="BO12"/>
  <c r="BN12"/>
  <c r="BM12"/>
  <c r="BL12"/>
  <c r="BK12"/>
  <c r="BJ12"/>
  <c r="BG12"/>
  <c r="BF12"/>
  <c r="BE12"/>
  <c r="BD12"/>
  <c r="BC12"/>
  <c r="BB12"/>
  <c r="BA12"/>
  <c r="AZ12"/>
  <c r="AY12"/>
  <c r="AX12"/>
  <c r="AU12"/>
  <c r="AT12"/>
  <c r="AS12"/>
  <c r="AR12"/>
  <c r="AQ12"/>
  <c r="AP12"/>
  <c r="AO12"/>
  <c r="AN12"/>
  <c r="AM12"/>
  <c r="AL12"/>
  <c r="AI12"/>
  <c r="AH12"/>
  <c r="AG12"/>
  <c r="AF12"/>
  <c r="AE12"/>
  <c r="AD12"/>
  <c r="AC12"/>
  <c r="AB12"/>
  <c r="AA12"/>
  <c r="Z12"/>
  <c r="W12"/>
  <c r="V12"/>
  <c r="U12"/>
  <c r="T12"/>
  <c r="S12"/>
  <c r="R12"/>
  <c r="Q12"/>
  <c r="P12"/>
  <c r="O12"/>
  <c r="N12"/>
  <c r="K12"/>
  <c r="J12"/>
  <c r="I12"/>
  <c r="H12"/>
  <c r="G12"/>
  <c r="F12"/>
  <c r="E12"/>
  <c r="D12"/>
  <c r="C12"/>
  <c r="B12"/>
  <c r="CQ11"/>
  <c r="CP11"/>
  <c r="CO11"/>
  <c r="CN11"/>
  <c r="CM11"/>
  <c r="CL11"/>
  <c r="CK11"/>
  <c r="CJ11"/>
  <c r="CI11"/>
  <c r="CH11"/>
  <c r="CE11"/>
  <c r="CD11"/>
  <c r="CC11"/>
  <c r="CB11"/>
  <c r="CA11"/>
  <c r="BZ11"/>
  <c r="BY11"/>
  <c r="BX11"/>
  <c r="BW11"/>
  <c r="BV11"/>
  <c r="BS11"/>
  <c r="BR11"/>
  <c r="BQ11"/>
  <c r="BP11"/>
  <c r="BO11"/>
  <c r="BN11"/>
  <c r="BM11"/>
  <c r="BL11"/>
  <c r="BK11"/>
  <c r="BJ11"/>
  <c r="BG11"/>
  <c r="BF11"/>
  <c r="BE11"/>
  <c r="BD11"/>
  <c r="BC11"/>
  <c r="BB11"/>
  <c r="BA11"/>
  <c r="AZ11"/>
  <c r="AY11"/>
  <c r="AX11"/>
  <c r="AU11"/>
  <c r="AT11"/>
  <c r="AS11"/>
  <c r="AR11"/>
  <c r="AQ11"/>
  <c r="AP11"/>
  <c r="AO11"/>
  <c r="AN11"/>
  <c r="AM11"/>
  <c r="AL11"/>
  <c r="AI11"/>
  <c r="AH11"/>
  <c r="AG11"/>
  <c r="AF11"/>
  <c r="AE11"/>
  <c r="AD11"/>
  <c r="AC11"/>
  <c r="AB11"/>
  <c r="AA11"/>
  <c r="Z11"/>
  <c r="W11"/>
  <c r="V11"/>
  <c r="U11"/>
  <c r="T11"/>
  <c r="S11"/>
  <c r="R11"/>
  <c r="Q11"/>
  <c r="P11"/>
  <c r="O11"/>
  <c r="N11"/>
  <c r="K11"/>
  <c r="J11"/>
  <c r="I11"/>
  <c r="H11"/>
  <c r="G11"/>
  <c r="F11"/>
  <c r="E11"/>
  <c r="D11"/>
  <c r="C11"/>
  <c r="B11"/>
  <c r="CQ10"/>
  <c r="CP10"/>
  <c r="CO10"/>
  <c r="CN10"/>
  <c r="CM10"/>
  <c r="CL10"/>
  <c r="CK10"/>
  <c r="CJ10"/>
  <c r="CI10"/>
  <c r="CH10"/>
  <c r="CE10"/>
  <c r="CD10"/>
  <c r="CC10"/>
  <c r="CB10"/>
  <c r="CA10"/>
  <c r="BZ10"/>
  <c r="BY10"/>
  <c r="BX10"/>
  <c r="BW10"/>
  <c r="BV10"/>
  <c r="BS10"/>
  <c r="BR10"/>
  <c r="BQ10"/>
  <c r="BP10"/>
  <c r="BO10"/>
  <c r="BN10"/>
  <c r="BM10"/>
  <c r="BL10"/>
  <c r="BK10"/>
  <c r="BJ10"/>
  <c r="BG10"/>
  <c r="BF10"/>
  <c r="BE10"/>
  <c r="BD10"/>
  <c r="BC10"/>
  <c r="BB10"/>
  <c r="BA10"/>
  <c r="AZ10"/>
  <c r="AY10"/>
  <c r="AX10"/>
  <c r="AU10"/>
  <c r="AT10"/>
  <c r="AS10"/>
  <c r="AR10"/>
  <c r="AQ10"/>
  <c r="AP10"/>
  <c r="AO10"/>
  <c r="AN10"/>
  <c r="AM10"/>
  <c r="AL10"/>
  <c r="AI10"/>
  <c r="AH10"/>
  <c r="AG10"/>
  <c r="AF10"/>
  <c r="AE10"/>
  <c r="AD10"/>
  <c r="AC10"/>
  <c r="AB10"/>
  <c r="AA10"/>
  <c r="Z10"/>
  <c r="W10"/>
  <c r="V10"/>
  <c r="U10"/>
  <c r="T10"/>
  <c r="S10"/>
  <c r="R10"/>
  <c r="Q10"/>
  <c r="P10"/>
  <c r="O10"/>
  <c r="N10"/>
  <c r="K10"/>
  <c r="J10"/>
  <c r="I10"/>
  <c r="H10"/>
  <c r="G10"/>
  <c r="F10"/>
  <c r="E10"/>
  <c r="D10"/>
  <c r="C10"/>
  <c r="B10"/>
  <c r="CQ9"/>
  <c r="CP9"/>
  <c r="CO9"/>
  <c r="CN9"/>
  <c r="CM9"/>
  <c r="CL9"/>
  <c r="CK9"/>
  <c r="CJ9"/>
  <c r="CI9"/>
  <c r="CH9"/>
  <c r="CE9"/>
  <c r="CD9"/>
  <c r="CC9"/>
  <c r="CB9"/>
  <c r="CA9"/>
  <c r="BZ9"/>
  <c r="BY9"/>
  <c r="BX9"/>
  <c r="BW9"/>
  <c r="BV9"/>
  <c r="BS9"/>
  <c r="BR9"/>
  <c r="BQ9"/>
  <c r="BP9"/>
  <c r="BO9"/>
  <c r="BN9"/>
  <c r="BM9"/>
  <c r="BL9"/>
  <c r="BK9"/>
  <c r="BJ9"/>
  <c r="BG9"/>
  <c r="BF9"/>
  <c r="BE9"/>
  <c r="BD9"/>
  <c r="BC9"/>
  <c r="BB9"/>
  <c r="BA9"/>
  <c r="AZ9"/>
  <c r="AY9"/>
  <c r="AX9"/>
  <c r="AU9"/>
  <c r="AT9"/>
  <c r="AS9"/>
  <c r="AR9"/>
  <c r="AQ9"/>
  <c r="AP9"/>
  <c r="AO9"/>
  <c r="AN9"/>
  <c r="AM9"/>
  <c r="AL9"/>
  <c r="AI9"/>
  <c r="AH9"/>
  <c r="AG9"/>
  <c r="AF9"/>
  <c r="AE9"/>
  <c r="AD9"/>
  <c r="AC9"/>
  <c r="AB9"/>
  <c r="AA9"/>
  <c r="Z9"/>
  <c r="W9"/>
  <c r="V9"/>
  <c r="U9"/>
  <c r="T9"/>
  <c r="S9"/>
  <c r="R9"/>
  <c r="Q9"/>
  <c r="P9"/>
  <c r="O9"/>
  <c r="N9"/>
  <c r="K9"/>
  <c r="J9"/>
  <c r="I9"/>
  <c r="H9"/>
  <c r="G9"/>
  <c r="F9"/>
  <c r="E9"/>
  <c r="D9"/>
  <c r="C9"/>
  <c r="B9"/>
  <c r="CQ8"/>
  <c r="CP8"/>
  <c r="CO8"/>
  <c r="CN8"/>
  <c r="CM8"/>
  <c r="CL8"/>
  <c r="CK8"/>
  <c r="CJ8"/>
  <c r="CI8"/>
  <c r="CH8"/>
  <c r="CE8"/>
  <c r="CD8"/>
  <c r="CC8"/>
  <c r="CB8"/>
  <c r="CA8"/>
  <c r="BZ8"/>
  <c r="BY8"/>
  <c r="BX8"/>
  <c r="BW8"/>
  <c r="BV8"/>
  <c r="BS8"/>
  <c r="BR8"/>
  <c r="BQ8"/>
  <c r="BP8"/>
  <c r="BO8"/>
  <c r="BN8"/>
  <c r="BM8"/>
  <c r="BL8"/>
  <c r="BK8"/>
  <c r="BJ8"/>
  <c r="BG8"/>
  <c r="BF8"/>
  <c r="BE8"/>
  <c r="BD8"/>
  <c r="BC8"/>
  <c r="BB8"/>
  <c r="BA8"/>
  <c r="AZ8"/>
  <c r="AY8"/>
  <c r="AX8"/>
  <c r="AU8"/>
  <c r="AT8"/>
  <c r="AS8"/>
  <c r="AR8"/>
  <c r="AQ8"/>
  <c r="AP8"/>
  <c r="AO8"/>
  <c r="AN8"/>
  <c r="AM8"/>
  <c r="AL8"/>
  <c r="AI8"/>
  <c r="AH8"/>
  <c r="AG8"/>
  <c r="AF8"/>
  <c r="AE8"/>
  <c r="AD8"/>
  <c r="AC8"/>
  <c r="AB8"/>
  <c r="AA8"/>
  <c r="Z8"/>
  <c r="W8"/>
  <c r="V8"/>
  <c r="U8"/>
  <c r="T8"/>
  <c r="S8"/>
  <c r="R8"/>
  <c r="Q8"/>
  <c r="P8"/>
  <c r="O8"/>
  <c r="N8"/>
  <c r="K8"/>
  <c r="J8"/>
  <c r="I8"/>
  <c r="H8"/>
  <c r="G8"/>
  <c r="F8"/>
  <c r="E8"/>
  <c r="D8"/>
  <c r="C8"/>
  <c r="B8"/>
  <c r="CQ7"/>
  <c r="CP7"/>
  <c r="CO7"/>
  <c r="CN7"/>
  <c r="CM7"/>
  <c r="CL7"/>
  <c r="CK7"/>
  <c r="CJ7"/>
  <c r="CI7"/>
  <c r="CH7"/>
  <c r="CE7"/>
  <c r="CD7"/>
  <c r="CC7"/>
  <c r="CB7"/>
  <c r="CA7"/>
  <c r="BZ7"/>
  <c r="BY7"/>
  <c r="BX7"/>
  <c r="BW7"/>
  <c r="BV7"/>
  <c r="BS7"/>
  <c r="BR7"/>
  <c r="BQ7"/>
  <c r="BP7"/>
  <c r="BO7"/>
  <c r="BN7"/>
  <c r="BM7"/>
  <c r="BL7"/>
  <c r="BK7"/>
  <c r="BJ7"/>
  <c r="BG7"/>
  <c r="BF7"/>
  <c r="BE7"/>
  <c r="BD7"/>
  <c r="BC7"/>
  <c r="BB7"/>
  <c r="BA7"/>
  <c r="AZ7"/>
  <c r="AY7"/>
  <c r="AX7"/>
  <c r="AU7"/>
  <c r="AT7"/>
  <c r="AS7"/>
  <c r="AR7"/>
  <c r="AQ7"/>
  <c r="AP7"/>
  <c r="AO7"/>
  <c r="AN7"/>
  <c r="AM7"/>
  <c r="AL7"/>
  <c r="AI7"/>
  <c r="AH7"/>
  <c r="AG7"/>
  <c r="AF7"/>
  <c r="AE7"/>
  <c r="AD7"/>
  <c r="AC7"/>
  <c r="AB7"/>
  <c r="AA7"/>
  <c r="Z7"/>
  <c r="W7"/>
  <c r="V7"/>
  <c r="U7"/>
  <c r="T7"/>
  <c r="S7"/>
  <c r="R7"/>
  <c r="Q7"/>
  <c r="P7"/>
  <c r="O7"/>
  <c r="N7"/>
  <c r="K7"/>
  <c r="J7"/>
  <c r="I7"/>
  <c r="H7"/>
  <c r="G7"/>
  <c r="F7"/>
  <c r="E7"/>
  <c r="D7"/>
  <c r="C7"/>
  <c r="B7"/>
  <c r="CQ6"/>
  <c r="CP6"/>
  <c r="CO6"/>
  <c r="CN6"/>
  <c r="CM6"/>
  <c r="CL6"/>
  <c r="CK6"/>
  <c r="CJ6"/>
  <c r="CI6"/>
  <c r="CH6"/>
  <c r="CE6"/>
  <c r="CD6"/>
  <c r="CC6"/>
  <c r="CB6"/>
  <c r="CA6"/>
  <c r="BZ6"/>
  <c r="BY6"/>
  <c r="BX6"/>
  <c r="BW6"/>
  <c r="BV6"/>
  <c r="BS6"/>
  <c r="BR6"/>
  <c r="BQ6"/>
  <c r="BP6"/>
  <c r="BO6"/>
  <c r="BN6"/>
  <c r="BM6"/>
  <c r="BL6"/>
  <c r="BK6"/>
  <c r="BJ6"/>
  <c r="BG6"/>
  <c r="BF6"/>
  <c r="BE6"/>
  <c r="BD6"/>
  <c r="BC6"/>
  <c r="BB6"/>
  <c r="BA6"/>
  <c r="AZ6"/>
  <c r="AY6"/>
  <c r="AX6"/>
  <c r="AU6"/>
  <c r="AT6"/>
  <c r="AS6"/>
  <c r="AR6"/>
  <c r="AQ6"/>
  <c r="AP6"/>
  <c r="AO6"/>
  <c r="AN6"/>
  <c r="AM6"/>
  <c r="AL6"/>
  <c r="AI6"/>
  <c r="AH6"/>
  <c r="AG6"/>
  <c r="AF6"/>
  <c r="AE6"/>
  <c r="AD6"/>
  <c r="AC6"/>
  <c r="AB6"/>
  <c r="AA6"/>
  <c r="Z6"/>
  <c r="W6"/>
  <c r="V6"/>
  <c r="U6"/>
  <c r="T6"/>
  <c r="S6"/>
  <c r="R6"/>
  <c r="Q6"/>
  <c r="P6"/>
  <c r="O6"/>
  <c r="N6"/>
  <c r="K6"/>
  <c r="J6"/>
  <c r="I6"/>
  <c r="H6"/>
  <c r="G6"/>
  <c r="F6"/>
  <c r="E6"/>
  <c r="D6"/>
  <c r="C6"/>
  <c r="B6"/>
  <c r="CQ5"/>
  <c r="CP5"/>
  <c r="CO5"/>
  <c r="CN5"/>
  <c r="CM5"/>
  <c r="CL5"/>
  <c r="CK5"/>
  <c r="CJ5"/>
  <c r="CI5"/>
  <c r="CH5"/>
  <c r="CE5"/>
  <c r="CD5"/>
  <c r="CC5"/>
  <c r="CB5"/>
  <c r="CA5"/>
  <c r="BZ5"/>
  <c r="BY5"/>
  <c r="BX5"/>
  <c r="BW5"/>
  <c r="BV5"/>
  <c r="BS5"/>
  <c r="BR5"/>
  <c r="BQ5"/>
  <c r="BP5"/>
  <c r="BO5"/>
  <c r="BN5"/>
  <c r="BM5"/>
  <c r="BL5"/>
  <c r="BK5"/>
  <c r="BJ5"/>
  <c r="BG5"/>
  <c r="BF5"/>
  <c r="BE5"/>
  <c r="BD5"/>
  <c r="BC5"/>
  <c r="BB5"/>
  <c r="BA5"/>
  <c r="AZ5"/>
  <c r="AY5"/>
  <c r="AX5"/>
  <c r="AU5"/>
  <c r="AT5"/>
  <c r="AS5"/>
  <c r="AR5"/>
  <c r="AQ5"/>
  <c r="AP5"/>
  <c r="AO5"/>
  <c r="AN5"/>
  <c r="AM5"/>
  <c r="AL5"/>
  <c r="AI5"/>
  <c r="AH5"/>
  <c r="AG5"/>
  <c r="AF5"/>
  <c r="AE5"/>
  <c r="AD5"/>
  <c r="AC5"/>
  <c r="AB5"/>
  <c r="AA5"/>
  <c r="Z5"/>
  <c r="W5"/>
  <c r="V5"/>
  <c r="U5"/>
  <c r="T5"/>
  <c r="S5"/>
  <c r="R5"/>
  <c r="Q5"/>
  <c r="P5"/>
  <c r="O5"/>
  <c r="N5"/>
  <c r="K5"/>
  <c r="J5"/>
  <c r="I5"/>
  <c r="H5"/>
  <c r="G5"/>
  <c r="F5"/>
  <c r="E5"/>
  <c r="D5"/>
  <c r="C5"/>
  <c r="B5"/>
  <c r="CQ4"/>
  <c r="CP4"/>
  <c r="CO4"/>
  <c r="CN4"/>
  <c r="CM4"/>
  <c r="CL4"/>
  <c r="CK4"/>
  <c r="CJ4"/>
  <c r="CI4"/>
  <c r="CH4"/>
  <c r="CE4"/>
  <c r="CD4"/>
  <c r="CC4"/>
  <c r="CB4"/>
  <c r="CA4"/>
  <c r="BZ4"/>
  <c r="BY4"/>
  <c r="BX4"/>
  <c r="BW4"/>
  <c r="BV4"/>
  <c r="BS4"/>
  <c r="BR4"/>
  <c r="BQ4"/>
  <c r="BP4"/>
  <c r="BO4"/>
  <c r="BN4"/>
  <c r="BM4"/>
  <c r="BL4"/>
  <c r="BK4"/>
  <c r="BJ4"/>
  <c r="BG4"/>
  <c r="BF4"/>
  <c r="BE4"/>
  <c r="BD4"/>
  <c r="BC4"/>
  <c r="BB4"/>
  <c r="BA4"/>
  <c r="AZ4"/>
  <c r="AY4"/>
  <c r="AX4"/>
  <c r="AU4"/>
  <c r="AT4"/>
  <c r="AS4"/>
  <c r="AR4"/>
  <c r="AQ4"/>
  <c r="AP4"/>
  <c r="AO4"/>
  <c r="AN4"/>
  <c r="AM4"/>
  <c r="AL4"/>
  <c r="AI4"/>
  <c r="AH4"/>
  <c r="AG4"/>
  <c r="AF4"/>
  <c r="AE4"/>
  <c r="AD4"/>
  <c r="AC4"/>
  <c r="AB4"/>
  <c r="AA4"/>
  <c r="Z4"/>
  <c r="W4"/>
  <c r="V4"/>
  <c r="U4"/>
  <c r="T4"/>
  <c r="S4"/>
  <c r="R4"/>
  <c r="Q4"/>
  <c r="P4"/>
  <c r="O4"/>
  <c r="N4"/>
  <c r="K4"/>
  <c r="J4"/>
  <c r="I4"/>
  <c r="H4"/>
  <c r="G4"/>
  <c r="F4"/>
  <c r="E4"/>
  <c r="D4"/>
  <c r="C4"/>
  <c r="B4"/>
  <c r="CQ3"/>
  <c r="CP3"/>
  <c r="CO3"/>
  <c r="CN3"/>
  <c r="CM3"/>
  <c r="CL3"/>
  <c r="CK3"/>
  <c r="CJ3"/>
  <c r="CI3"/>
  <c r="CH3"/>
  <c r="CE3"/>
  <c r="CD3"/>
  <c r="CC3"/>
  <c r="CB3"/>
  <c r="CA3"/>
  <c r="BZ3"/>
  <c r="BY3"/>
  <c r="BX3"/>
  <c r="BW3"/>
  <c r="BV3"/>
  <c r="BS3"/>
  <c r="BR3"/>
  <c r="BQ3"/>
  <c r="BP3"/>
  <c r="BO3"/>
  <c r="BN3"/>
  <c r="BM3"/>
  <c r="BL3"/>
  <c r="BK3"/>
  <c r="BJ3"/>
  <c r="BG3"/>
  <c r="BF3"/>
  <c r="BE3"/>
  <c r="BD3"/>
  <c r="BC3"/>
  <c r="BB3"/>
  <c r="BA3"/>
  <c r="AZ3"/>
  <c r="AY3"/>
  <c r="AX3"/>
  <c r="AU3"/>
  <c r="AT3"/>
  <c r="AS3"/>
  <c r="AR3"/>
  <c r="AQ3"/>
  <c r="AP3"/>
  <c r="AO3"/>
  <c r="AN3"/>
  <c r="AM3"/>
  <c r="AL3"/>
  <c r="AI3"/>
  <c r="AH3"/>
  <c r="AG3"/>
  <c r="AF3"/>
  <c r="AE3"/>
  <c r="AD3"/>
  <c r="AC3"/>
  <c r="AB3"/>
  <c r="AA3"/>
  <c r="Z3"/>
  <c r="W3"/>
  <c r="V3"/>
  <c r="U3"/>
  <c r="T3"/>
  <c r="S3"/>
  <c r="R3"/>
  <c r="Q3"/>
  <c r="P3"/>
  <c r="O3"/>
  <c r="N3"/>
  <c r="K3"/>
  <c r="J3"/>
  <c r="I3"/>
  <c r="H3"/>
  <c r="G3"/>
  <c r="F3"/>
  <c r="E3"/>
  <c r="D3"/>
  <c r="C3"/>
  <c r="B3"/>
  <c r="AC280" i="25"/>
  <c r="W247"/>
  <c r="V247"/>
  <c r="U247"/>
  <c r="T247"/>
  <c r="S247"/>
  <c r="R247"/>
  <c r="W246"/>
  <c r="V246"/>
  <c r="U246"/>
  <c r="T246"/>
  <c r="S246"/>
  <c r="R246"/>
  <c r="W245"/>
  <c r="V245"/>
  <c r="U245"/>
  <c r="T245"/>
  <c r="S245"/>
  <c r="R245"/>
  <c r="W244"/>
  <c r="V244"/>
  <c r="U244"/>
  <c r="T244"/>
  <c r="S244"/>
  <c r="R244"/>
  <c r="W243"/>
  <c r="V243"/>
  <c r="U243"/>
  <c r="T243"/>
  <c r="S243"/>
  <c r="R243"/>
  <c r="W242"/>
  <c r="V242"/>
  <c r="U242"/>
  <c r="T242"/>
  <c r="S242"/>
  <c r="R242"/>
  <c r="W241"/>
  <c r="V241"/>
  <c r="U241"/>
  <c r="T241"/>
  <c r="S241"/>
  <c r="R241"/>
  <c r="W240"/>
  <c r="V240"/>
  <c r="U240"/>
  <c r="T240"/>
  <c r="S240"/>
  <c r="R240"/>
  <c r="W239"/>
  <c r="V239"/>
  <c r="U239"/>
  <c r="T239"/>
  <c r="S239"/>
  <c r="R239"/>
  <c r="W238"/>
  <c r="V238"/>
  <c r="U238"/>
  <c r="T238"/>
  <c r="S238"/>
  <c r="R238"/>
  <c r="W237"/>
  <c r="V237"/>
  <c r="U237"/>
  <c r="T237"/>
  <c r="S237"/>
  <c r="R237"/>
  <c r="W236"/>
  <c r="V236"/>
  <c r="U236"/>
  <c r="T236"/>
  <c r="S236"/>
  <c r="R236"/>
  <c r="W235"/>
  <c r="V235"/>
  <c r="U235"/>
  <c r="T235"/>
  <c r="S235"/>
  <c r="R235"/>
  <c r="W234"/>
  <c r="V234"/>
  <c r="U234"/>
  <c r="T234"/>
  <c r="S234"/>
  <c r="R234"/>
  <c r="W233"/>
  <c r="V233"/>
  <c r="U233"/>
  <c r="T233"/>
  <c r="S233"/>
  <c r="R233"/>
  <c r="W232"/>
  <c r="V232"/>
  <c r="U232"/>
  <c r="T232"/>
  <c r="S232"/>
  <c r="R232"/>
  <c r="W231"/>
  <c r="V231"/>
  <c r="U231"/>
  <c r="T231"/>
  <c r="S231"/>
  <c r="R231"/>
  <c r="W230"/>
  <c r="V230"/>
  <c r="U230"/>
  <c r="T230"/>
  <c r="S230"/>
  <c r="R230"/>
  <c r="W229"/>
  <c r="V229"/>
  <c r="U229"/>
  <c r="T229"/>
  <c r="S229"/>
  <c r="R229"/>
  <c r="W228"/>
  <c r="V228"/>
  <c r="U228"/>
  <c r="T228"/>
  <c r="S228"/>
  <c r="R228"/>
  <c r="M221"/>
  <c r="L221"/>
  <c r="K221"/>
  <c r="J221"/>
  <c r="M220"/>
  <c r="L220"/>
  <c r="K220"/>
  <c r="J220"/>
  <c r="M219"/>
  <c r="L219"/>
  <c r="K219"/>
  <c r="J219"/>
  <c r="M218"/>
  <c r="L218"/>
  <c r="K218"/>
  <c r="J218"/>
  <c r="M217"/>
  <c r="L217"/>
  <c r="K217"/>
  <c r="J217"/>
  <c r="M216"/>
  <c r="L216"/>
  <c r="K216"/>
  <c r="J216"/>
  <c r="M215"/>
  <c r="L215"/>
  <c r="K215"/>
  <c r="J215"/>
  <c r="M214"/>
  <c r="L214"/>
  <c r="K214"/>
  <c r="J214"/>
  <c r="M213"/>
  <c r="L213"/>
  <c r="K213"/>
  <c r="J213"/>
  <c r="M212"/>
  <c r="L212"/>
  <c r="K212"/>
  <c r="J212"/>
  <c r="M211"/>
  <c r="L211"/>
  <c r="K211"/>
  <c r="J211"/>
  <c r="M210"/>
  <c r="L210"/>
  <c r="K210"/>
  <c r="J210"/>
  <c r="M209"/>
  <c r="L209"/>
  <c r="K209"/>
  <c r="J209"/>
  <c r="M208"/>
  <c r="L208"/>
  <c r="K208"/>
  <c r="J208"/>
  <c r="M207"/>
  <c r="L207"/>
  <c r="K207"/>
  <c r="J207"/>
  <c r="M206"/>
  <c r="L206"/>
  <c r="K206"/>
  <c r="J206"/>
  <c r="M205"/>
  <c r="L205"/>
  <c r="K205"/>
  <c r="J205"/>
  <c r="M204"/>
  <c r="L204"/>
  <c r="K204"/>
  <c r="J204"/>
  <c r="M203"/>
  <c r="L203"/>
  <c r="K203"/>
  <c r="J203"/>
  <c r="M202"/>
  <c r="L202"/>
  <c r="K202"/>
  <c r="J202"/>
  <c r="M194"/>
  <c r="L194"/>
  <c r="O195" s="1"/>
  <c r="K194"/>
  <c r="J194"/>
  <c r="M193"/>
  <c r="L193"/>
  <c r="K193"/>
  <c r="J193"/>
  <c r="J195" s="1"/>
  <c r="J196" s="1"/>
  <c r="J189"/>
  <c r="L188"/>
  <c r="M188" s="1"/>
  <c r="J188"/>
  <c r="M184"/>
  <c r="K184"/>
  <c r="M183"/>
  <c r="K183"/>
  <c r="K185" s="1"/>
  <c r="K186" s="1"/>
  <c r="K187" s="1"/>
  <c r="Q105"/>
  <c r="P105"/>
  <c r="O105"/>
  <c r="N105"/>
  <c r="Q104"/>
  <c r="P104"/>
  <c r="O104"/>
  <c r="N104"/>
  <c r="Q103"/>
  <c r="P103"/>
  <c r="O103"/>
  <c r="N103"/>
  <c r="Q102"/>
  <c r="P102"/>
  <c r="O102"/>
  <c r="N102"/>
  <c r="Q101"/>
  <c r="P101"/>
  <c r="O101"/>
  <c r="N101"/>
  <c r="Q100"/>
  <c r="P100"/>
  <c r="O100"/>
  <c r="N100"/>
  <c r="Q99"/>
  <c r="P99"/>
  <c r="O99"/>
  <c r="N99"/>
  <c r="Q98"/>
  <c r="P98"/>
  <c r="O98"/>
  <c r="N98"/>
  <c r="Q97"/>
  <c r="P97"/>
  <c r="O97"/>
  <c r="N97"/>
  <c r="Q96"/>
  <c r="P96"/>
  <c r="O96"/>
  <c r="N96"/>
  <c r="Q95"/>
  <c r="P95"/>
  <c r="O95"/>
  <c r="N95"/>
  <c r="Q94"/>
  <c r="P94"/>
  <c r="O94"/>
  <c r="N94"/>
  <c r="Q93"/>
  <c r="P93"/>
  <c r="O93"/>
  <c r="N93"/>
  <c r="Q92"/>
  <c r="P92"/>
  <c r="O92"/>
  <c r="N92"/>
  <c r="Q91"/>
  <c r="P91"/>
  <c r="O91"/>
  <c r="N91"/>
  <c r="Q90"/>
  <c r="P90"/>
  <c r="O90"/>
  <c r="N90"/>
  <c r="Q89"/>
  <c r="P89"/>
  <c r="O89"/>
  <c r="N89"/>
  <c r="Q88"/>
  <c r="P88"/>
  <c r="O88"/>
  <c r="N88"/>
  <c r="Q87"/>
  <c r="P87"/>
  <c r="O87"/>
  <c r="N87"/>
  <c r="Q86"/>
  <c r="P86"/>
  <c r="O86"/>
  <c r="N86"/>
  <c r="O27"/>
  <c r="S21"/>
  <c r="R21"/>
  <c r="Q21"/>
  <c r="P21"/>
  <c r="O21"/>
  <c r="N21"/>
  <c r="S20"/>
  <c r="R20"/>
  <c r="Q20"/>
  <c r="P20"/>
  <c r="O20"/>
  <c r="N20"/>
  <c r="S19"/>
  <c r="R19"/>
  <c r="Q19"/>
  <c r="P19"/>
  <c r="O19"/>
  <c r="N19"/>
  <c r="S18"/>
  <c r="R18"/>
  <c r="Q18"/>
  <c r="P18"/>
  <c r="O18"/>
  <c r="N18"/>
  <c r="S17"/>
  <c r="R17"/>
  <c r="Q17"/>
  <c r="P17"/>
  <c r="O17"/>
  <c r="N17"/>
  <c r="S16"/>
  <c r="R16"/>
  <c r="Q16"/>
  <c r="P16"/>
  <c r="O16"/>
  <c r="N16"/>
  <c r="S15"/>
  <c r="R15"/>
  <c r="Q15"/>
  <c r="P15"/>
  <c r="O15"/>
  <c r="N15"/>
  <c r="S14"/>
  <c r="R14"/>
  <c r="Q14"/>
  <c r="P14"/>
  <c r="O14"/>
  <c r="N14"/>
  <c r="S13"/>
  <c r="R13"/>
  <c r="Q13"/>
  <c r="P13"/>
  <c r="O13"/>
  <c r="N13"/>
  <c r="S12"/>
  <c r="R12"/>
  <c r="Q12"/>
  <c r="P12"/>
  <c r="O12"/>
  <c r="N12"/>
  <c r="S11"/>
  <c r="R11"/>
  <c r="Q11"/>
  <c r="P11"/>
  <c r="O11"/>
  <c r="N11"/>
  <c r="S10"/>
  <c r="R10"/>
  <c r="Q10"/>
  <c r="P10"/>
  <c r="O10"/>
  <c r="N10"/>
  <c r="S9"/>
  <c r="R9"/>
  <c r="Q9"/>
  <c r="P9"/>
  <c r="O9"/>
  <c r="N9"/>
  <c r="S8"/>
  <c r="R8"/>
  <c r="Q8"/>
  <c r="P8"/>
  <c r="O8"/>
  <c r="N8"/>
  <c r="S7"/>
  <c r="R7"/>
  <c r="Q7"/>
  <c r="P7"/>
  <c r="O7"/>
  <c r="N7"/>
  <c r="S6"/>
  <c r="R6"/>
  <c r="Q6"/>
  <c r="P6"/>
  <c r="O6"/>
  <c r="N6"/>
  <c r="S5"/>
  <c r="R5"/>
  <c r="Q5"/>
  <c r="P5"/>
  <c r="O5"/>
  <c r="N5"/>
  <c r="S4"/>
  <c r="R4"/>
  <c r="Q4"/>
  <c r="P4"/>
  <c r="O4"/>
  <c r="N4"/>
  <c r="S3"/>
  <c r="R3"/>
  <c r="Q3"/>
  <c r="P3"/>
  <c r="O3"/>
  <c r="N3"/>
  <c r="S2"/>
  <c r="R2"/>
  <c r="Q2"/>
  <c r="P2"/>
  <c r="O2"/>
  <c r="N2"/>
  <c r="V195" i="39"/>
  <c r="AB160"/>
  <c r="AA160"/>
  <c r="S160"/>
  <c r="Q160"/>
  <c r="O160"/>
  <c r="N160"/>
  <c r="J160"/>
  <c r="G160"/>
  <c r="F160"/>
  <c r="E160"/>
  <c r="D160"/>
  <c r="C160"/>
  <c r="B160"/>
  <c r="AB150"/>
  <c r="AA150"/>
  <c r="Z150"/>
  <c r="Y150"/>
  <c r="X150"/>
  <c r="W150"/>
  <c r="V150"/>
  <c r="U150"/>
  <c r="T150"/>
  <c r="S150"/>
  <c r="R150"/>
  <c r="Q150"/>
  <c r="P150"/>
  <c r="O150"/>
  <c r="N150"/>
  <c r="M150"/>
  <c r="L150"/>
  <c r="K150"/>
  <c r="J150"/>
  <c r="I150"/>
  <c r="H150"/>
  <c r="G150"/>
  <c r="F150"/>
  <c r="E150"/>
  <c r="D150"/>
  <c r="C150"/>
  <c r="B150"/>
  <c r="AB145"/>
  <c r="AA145"/>
  <c r="Z145"/>
  <c r="Y145"/>
  <c r="X145"/>
  <c r="W145"/>
  <c r="V145"/>
  <c r="U145"/>
  <c r="T145"/>
  <c r="S145"/>
  <c r="R145"/>
  <c r="Q145"/>
  <c r="P145"/>
  <c r="O145"/>
  <c r="N145"/>
  <c r="M145"/>
  <c r="L145"/>
  <c r="K145"/>
  <c r="J145"/>
  <c r="I145"/>
  <c r="H145"/>
  <c r="G145"/>
  <c r="F145"/>
  <c r="E145"/>
  <c r="D145"/>
  <c r="C145"/>
  <c r="B145"/>
  <c r="AB143"/>
  <c r="AA143"/>
  <c r="Z143"/>
  <c r="Y143"/>
  <c r="X143"/>
  <c r="W143"/>
  <c r="V143"/>
  <c r="U143"/>
  <c r="T143"/>
  <c r="S143"/>
  <c r="R143"/>
  <c r="Q143"/>
  <c r="P143"/>
  <c r="O143"/>
  <c r="N143"/>
  <c r="M143"/>
  <c r="L143"/>
  <c r="K143"/>
  <c r="J143"/>
  <c r="I143"/>
  <c r="H143"/>
  <c r="G143"/>
  <c r="F143"/>
  <c r="E143"/>
  <c r="D143"/>
  <c r="C143"/>
  <c r="B143"/>
  <c r="AB141"/>
  <c r="AA141"/>
  <c r="Z141"/>
  <c r="Y141"/>
  <c r="X141"/>
  <c r="W141"/>
  <c r="V141"/>
  <c r="U141"/>
  <c r="T141"/>
  <c r="S141"/>
  <c r="R141"/>
  <c r="Q141"/>
  <c r="P141"/>
  <c r="O141"/>
  <c r="N141"/>
  <c r="M141"/>
  <c r="L141"/>
  <c r="K141"/>
  <c r="J141"/>
  <c r="I141"/>
  <c r="H141"/>
  <c r="G141"/>
  <c r="F141"/>
  <c r="E141"/>
  <c r="D141"/>
  <c r="C141"/>
  <c r="B141"/>
  <c r="AB139"/>
  <c r="AA139"/>
  <c r="Z139"/>
  <c r="Y139"/>
  <c r="X139"/>
  <c r="W139"/>
  <c r="V139"/>
  <c r="U139"/>
  <c r="T139"/>
  <c r="S139"/>
  <c r="R139"/>
  <c r="Q139"/>
  <c r="P139"/>
  <c r="O139"/>
  <c r="N139"/>
  <c r="M139"/>
  <c r="L139"/>
  <c r="K139"/>
  <c r="J139"/>
  <c r="I139"/>
  <c r="H139"/>
  <c r="G139"/>
  <c r="F139"/>
  <c r="E139"/>
  <c r="D139"/>
  <c r="C139"/>
  <c r="B139"/>
  <c r="AB137"/>
  <c r="AA137"/>
  <c r="Z137"/>
  <c r="Y137"/>
  <c r="X137"/>
  <c r="W137"/>
  <c r="V137"/>
  <c r="U137"/>
  <c r="T137"/>
  <c r="S137"/>
  <c r="R137"/>
  <c r="Q137"/>
  <c r="P137"/>
  <c r="O137"/>
  <c r="N137"/>
  <c r="M137"/>
  <c r="L137"/>
  <c r="K137"/>
  <c r="J137"/>
  <c r="I137"/>
  <c r="H137"/>
  <c r="G137"/>
  <c r="F137"/>
  <c r="E137"/>
  <c r="D137"/>
  <c r="C137"/>
  <c r="B137"/>
  <c r="AB135"/>
  <c r="AA135"/>
  <c r="Z135"/>
  <c r="Y135"/>
  <c r="X135"/>
  <c r="W135"/>
  <c r="V135"/>
  <c r="U135"/>
  <c r="T135"/>
  <c r="S135"/>
  <c r="R135"/>
  <c r="Q135"/>
  <c r="P135"/>
  <c r="O135"/>
  <c r="N135"/>
  <c r="M135"/>
  <c r="L135"/>
  <c r="K135"/>
  <c r="J135"/>
  <c r="I135"/>
  <c r="H135"/>
  <c r="G135"/>
  <c r="F135"/>
  <c r="E135"/>
  <c r="D135"/>
  <c r="C135"/>
  <c r="B135"/>
  <c r="AB133"/>
  <c r="AA133"/>
  <c r="Z133"/>
  <c r="Y133"/>
  <c r="X133"/>
  <c r="W133"/>
  <c r="V133"/>
  <c r="U133"/>
  <c r="T133"/>
  <c r="S133"/>
  <c r="R133"/>
  <c r="Q133"/>
  <c r="P133"/>
  <c r="O133"/>
  <c r="N133"/>
  <c r="M133"/>
  <c r="L133"/>
  <c r="K133"/>
  <c r="J133"/>
  <c r="I133"/>
  <c r="H133"/>
  <c r="G133"/>
  <c r="F133"/>
  <c r="E133"/>
  <c r="D133"/>
  <c r="C133"/>
  <c r="B133"/>
  <c r="AB118"/>
  <c r="AA118"/>
  <c r="Z118"/>
  <c r="Y118"/>
  <c r="X118"/>
  <c r="W118"/>
  <c r="V118"/>
  <c r="U118"/>
  <c r="T118"/>
  <c r="S118"/>
  <c r="R118"/>
  <c r="Q118"/>
  <c r="P118"/>
  <c r="O118"/>
  <c r="N118"/>
  <c r="M118"/>
  <c r="L118"/>
  <c r="K118"/>
  <c r="J118"/>
  <c r="I118"/>
  <c r="H118"/>
  <c r="G118"/>
  <c r="F118"/>
  <c r="E118"/>
  <c r="D118"/>
  <c r="C118"/>
  <c r="B118"/>
  <c r="AB109"/>
  <c r="AA109"/>
  <c r="Z109"/>
  <c r="Y109"/>
  <c r="V109"/>
  <c r="U109"/>
  <c r="T109"/>
  <c r="S109"/>
  <c r="R109"/>
  <c r="Q109"/>
  <c r="P109"/>
  <c r="O109"/>
  <c r="N109"/>
  <c r="K109"/>
  <c r="J109"/>
  <c r="I109"/>
  <c r="E109"/>
  <c r="V90"/>
  <c r="J88"/>
  <c r="I88"/>
  <c r="H88"/>
  <c r="G88"/>
  <c r="J87"/>
  <c r="I87"/>
  <c r="H87"/>
  <c r="G87"/>
  <c r="J86"/>
  <c r="I86"/>
  <c r="H86"/>
  <c r="G86"/>
  <c r="AT63"/>
  <c r="AS63"/>
  <c r="AR63"/>
  <c r="AQ63"/>
  <c r="AP63"/>
  <c r="AO63"/>
  <c r="AN63"/>
  <c r="AM63"/>
  <c r="AL63"/>
  <c r="AK63"/>
  <c r="AJ63"/>
  <c r="AI63"/>
  <c r="AH63"/>
  <c r="AG63"/>
  <c r="AF63"/>
  <c r="AE63"/>
  <c r="AD63"/>
  <c r="AC63"/>
  <c r="AB63"/>
  <c r="AA63"/>
  <c r="Z63"/>
  <c r="Y63"/>
  <c r="X63"/>
  <c r="W63"/>
  <c r="V63"/>
  <c r="U63"/>
  <c r="T63"/>
  <c r="S63"/>
  <c r="R63"/>
  <c r="Q63"/>
  <c r="P63"/>
  <c r="O63"/>
  <c r="N63"/>
  <c r="M63"/>
  <c r="L63"/>
  <c r="K63"/>
  <c r="J63"/>
  <c r="I63"/>
  <c r="H63"/>
  <c r="G63"/>
  <c r="F63"/>
  <c r="E63"/>
  <c r="D63"/>
  <c r="C63"/>
  <c r="B63"/>
  <c r="AT53"/>
  <c r="AS53"/>
  <c r="AR53"/>
  <c r="AQ53"/>
  <c r="AP53"/>
  <c r="AO53"/>
  <c r="AN53"/>
  <c r="AM53"/>
  <c r="AL53"/>
  <c r="AK53"/>
  <c r="AJ53"/>
  <c r="AI53"/>
  <c r="AH53"/>
  <c r="AG53"/>
  <c r="AF53"/>
  <c r="AE53"/>
  <c r="AD53"/>
  <c r="AC53"/>
  <c r="AB53"/>
  <c r="AA53"/>
  <c r="Z53"/>
  <c r="Y53"/>
  <c r="X53"/>
  <c r="W53"/>
  <c r="V53"/>
  <c r="U53"/>
  <c r="T53"/>
  <c r="S53"/>
  <c r="R53"/>
  <c r="Q53"/>
  <c r="P53"/>
  <c r="O53"/>
  <c r="N53"/>
  <c r="M53"/>
  <c r="L53"/>
  <c r="K53"/>
  <c r="J53"/>
  <c r="I53"/>
  <c r="H53"/>
  <c r="G53"/>
  <c r="F53"/>
  <c r="E53"/>
  <c r="D53"/>
  <c r="C53"/>
  <c r="B53"/>
  <c r="AT48"/>
  <c r="AS48"/>
  <c r="AR48"/>
  <c r="AQ48"/>
  <c r="AP48"/>
  <c r="AO48"/>
  <c r="AN48"/>
  <c r="AM48"/>
  <c r="AL48"/>
  <c r="AK48"/>
  <c r="AJ48"/>
  <c r="AI48"/>
  <c r="AH48"/>
  <c r="AG48"/>
  <c r="AF48"/>
  <c r="AE48"/>
  <c r="AD48"/>
  <c r="AC48"/>
  <c r="AB48"/>
  <c r="AA48"/>
  <c r="Z48"/>
  <c r="Y48"/>
  <c r="X48"/>
  <c r="W48"/>
  <c r="V48"/>
  <c r="U48"/>
  <c r="T48"/>
  <c r="S48"/>
  <c r="R48"/>
  <c r="Q48"/>
  <c r="P48"/>
  <c r="O48"/>
  <c r="N48"/>
  <c r="M48"/>
  <c r="L48"/>
  <c r="K48"/>
  <c r="J48"/>
  <c r="I48"/>
  <c r="H48"/>
  <c r="G48"/>
  <c r="F48"/>
  <c r="E48"/>
  <c r="D48"/>
  <c r="C48"/>
  <c r="B48"/>
  <c r="AT46"/>
  <c r="AS46"/>
  <c r="AR46"/>
  <c r="AQ46"/>
  <c r="AP46"/>
  <c r="AO46"/>
  <c r="AN46"/>
  <c r="AM46"/>
  <c r="AL46"/>
  <c r="AK46"/>
  <c r="AJ46"/>
  <c r="AI46"/>
  <c r="AH46"/>
  <c r="AG46"/>
  <c r="AF46"/>
  <c r="AE46"/>
  <c r="AD46"/>
  <c r="AC46"/>
  <c r="AB46"/>
  <c r="AA46"/>
  <c r="Z46"/>
  <c r="Y46"/>
  <c r="X46"/>
  <c r="W46"/>
  <c r="V46"/>
  <c r="U46"/>
  <c r="T46"/>
  <c r="S46"/>
  <c r="R46"/>
  <c r="Q46"/>
  <c r="P46"/>
  <c r="O46"/>
  <c r="N46"/>
  <c r="M46"/>
  <c r="L46"/>
  <c r="K46"/>
  <c r="J46"/>
  <c r="I46"/>
  <c r="H46"/>
  <c r="G46"/>
  <c r="F46"/>
  <c r="E46"/>
  <c r="D46"/>
  <c r="C46"/>
  <c r="B46"/>
  <c r="AT44"/>
  <c r="AS44"/>
  <c r="AR44"/>
  <c r="AQ44"/>
  <c r="AP44"/>
  <c r="AO44"/>
  <c r="AN44"/>
  <c r="AM44"/>
  <c r="AL44"/>
  <c r="AK44"/>
  <c r="AJ44"/>
  <c r="AI44"/>
  <c r="AH44"/>
  <c r="AG44"/>
  <c r="AF44"/>
  <c r="AE44"/>
  <c r="AD44"/>
  <c r="AC44"/>
  <c r="AB44"/>
  <c r="AA44"/>
  <c r="Z44"/>
  <c r="Y44"/>
  <c r="X44"/>
  <c r="W44"/>
  <c r="V44"/>
  <c r="U44"/>
  <c r="T44"/>
  <c r="S44"/>
  <c r="R44"/>
  <c r="Q44"/>
  <c r="P44"/>
  <c r="O44"/>
  <c r="N44"/>
  <c r="M44"/>
  <c r="L44"/>
  <c r="K44"/>
  <c r="J44"/>
  <c r="I44"/>
  <c r="H44"/>
  <c r="G44"/>
  <c r="F44"/>
  <c r="E44"/>
  <c r="D44"/>
  <c r="C44"/>
  <c r="B44"/>
  <c r="AT42"/>
  <c r="AS42"/>
  <c r="AR42"/>
  <c r="AQ42"/>
  <c r="AP42"/>
  <c r="AO42"/>
  <c r="AN42"/>
  <c r="AM42"/>
  <c r="AL42"/>
  <c r="AK42"/>
  <c r="AJ42"/>
  <c r="AI42"/>
  <c r="AH42"/>
  <c r="AG42"/>
  <c r="AF42"/>
  <c r="AE42"/>
  <c r="AD42"/>
  <c r="AC42"/>
  <c r="AB42"/>
  <c r="AA42"/>
  <c r="Z42"/>
  <c r="Y42"/>
  <c r="X42"/>
  <c r="W42"/>
  <c r="V42"/>
  <c r="U42"/>
  <c r="T42"/>
  <c r="S42"/>
  <c r="R42"/>
  <c r="Q42"/>
  <c r="P42"/>
  <c r="O42"/>
  <c r="N42"/>
  <c r="M42"/>
  <c r="L42"/>
  <c r="K42"/>
  <c r="J42"/>
  <c r="I42"/>
  <c r="H42"/>
  <c r="G42"/>
  <c r="F42"/>
  <c r="E42"/>
  <c r="D42"/>
  <c r="C42"/>
  <c r="B42"/>
  <c r="AT40"/>
  <c r="AS40"/>
  <c r="AR40"/>
  <c r="AQ40"/>
  <c r="AP40"/>
  <c r="AO40"/>
  <c r="AN40"/>
  <c r="AM40"/>
  <c r="AL40"/>
  <c r="AK40"/>
  <c r="AJ40"/>
  <c r="AI40"/>
  <c r="AH40"/>
  <c r="AG40"/>
  <c r="AF40"/>
  <c r="AE40"/>
  <c r="AD40"/>
  <c r="AC40"/>
  <c r="AB40"/>
  <c r="AA40"/>
  <c r="Z40"/>
  <c r="Y40"/>
  <c r="X40"/>
  <c r="W40"/>
  <c r="V40"/>
  <c r="U40"/>
  <c r="T40"/>
  <c r="S40"/>
  <c r="R40"/>
  <c r="Q40"/>
  <c r="P40"/>
  <c r="O40"/>
  <c r="N40"/>
  <c r="M40"/>
  <c r="L40"/>
  <c r="K40"/>
  <c r="J40"/>
  <c r="I40"/>
  <c r="H40"/>
  <c r="G40"/>
  <c r="F40"/>
  <c r="E40"/>
  <c r="D40"/>
  <c r="C40"/>
  <c r="B40"/>
  <c r="AT38"/>
  <c r="AS38"/>
  <c r="AR38"/>
  <c r="AQ38"/>
  <c r="AP38"/>
  <c r="AO38"/>
  <c r="AN38"/>
  <c r="AM38"/>
  <c r="AL38"/>
  <c r="AK38"/>
  <c r="AJ38"/>
  <c r="AI38"/>
  <c r="AH38"/>
  <c r="AG38"/>
  <c r="AF38"/>
  <c r="AE38"/>
  <c r="AD38"/>
  <c r="AC38"/>
  <c r="AB38"/>
  <c r="AA38"/>
  <c r="Z38"/>
  <c r="Y38"/>
  <c r="X38"/>
  <c r="W38"/>
  <c r="V38"/>
  <c r="U38"/>
  <c r="T38"/>
  <c r="S38"/>
  <c r="R38"/>
  <c r="Q38"/>
  <c r="P38"/>
  <c r="O38"/>
  <c r="N38"/>
  <c r="M38"/>
  <c r="L38"/>
  <c r="K38"/>
  <c r="J38"/>
  <c r="I38"/>
  <c r="H38"/>
  <c r="G38"/>
  <c r="F38"/>
  <c r="E38"/>
  <c r="D38"/>
  <c r="C38"/>
  <c r="B38"/>
  <c r="AT36"/>
  <c r="AS36"/>
  <c r="AR36"/>
  <c r="AQ36"/>
  <c r="AP36"/>
  <c r="AO36"/>
  <c r="AN36"/>
  <c r="AM36"/>
  <c r="AL36"/>
  <c r="AK36"/>
  <c r="AJ36"/>
  <c r="AI36"/>
  <c r="AH36"/>
  <c r="AG36"/>
  <c r="AF36"/>
  <c r="AE36"/>
  <c r="AD36"/>
  <c r="AC36"/>
  <c r="AB36"/>
  <c r="AA36"/>
  <c r="Z36"/>
  <c r="Y36"/>
  <c r="X36"/>
  <c r="W36"/>
  <c r="V36"/>
  <c r="U36"/>
  <c r="T36"/>
  <c r="S36"/>
  <c r="R36"/>
  <c r="Q36"/>
  <c r="P36"/>
  <c r="O36"/>
  <c r="N36"/>
  <c r="M36"/>
  <c r="L36"/>
  <c r="K36"/>
  <c r="J36"/>
  <c r="I36"/>
  <c r="H36"/>
  <c r="G36"/>
  <c r="F36"/>
  <c r="E36"/>
  <c r="D36"/>
  <c r="C36"/>
  <c r="B36"/>
  <c r="AT22"/>
  <c r="AS22"/>
  <c r="AR22"/>
  <c r="AQ22"/>
  <c r="AP22"/>
  <c r="AO22"/>
  <c r="AN22"/>
  <c r="AM22"/>
  <c r="AL22"/>
  <c r="AK22"/>
  <c r="AJ22"/>
  <c r="AI22"/>
  <c r="AH22"/>
  <c r="AG22"/>
  <c r="AF22"/>
  <c r="AE22"/>
  <c r="AD22"/>
  <c r="AC22"/>
  <c r="AB22"/>
  <c r="AA22"/>
  <c r="Z22"/>
  <c r="Y22"/>
  <c r="X22"/>
  <c r="W22"/>
  <c r="V22"/>
  <c r="U22"/>
  <c r="T22"/>
  <c r="S22"/>
  <c r="R22"/>
  <c r="Q22"/>
  <c r="P22"/>
  <c r="O22"/>
  <c r="N22"/>
  <c r="M22"/>
  <c r="L22"/>
  <c r="K22"/>
  <c r="J22"/>
  <c r="I22"/>
  <c r="H22"/>
  <c r="G22"/>
  <c r="F22"/>
  <c r="E22"/>
  <c r="D22"/>
  <c r="C22"/>
  <c r="B22"/>
  <c r="AT21"/>
  <c r="AS21"/>
  <c r="AR21"/>
  <c r="AQ21"/>
  <c r="AP21"/>
  <c r="AO21"/>
  <c r="AN21"/>
  <c r="AM21"/>
  <c r="AL21"/>
  <c r="AK21"/>
  <c r="AJ21"/>
  <c r="AI21"/>
  <c r="AH21"/>
  <c r="AG21"/>
  <c r="AF21"/>
  <c r="AE21"/>
  <c r="AD21"/>
  <c r="AC21"/>
  <c r="AB21"/>
  <c r="AA21"/>
  <c r="Z21"/>
  <c r="Y21"/>
  <c r="X21"/>
  <c r="W21"/>
  <c r="V21"/>
  <c r="U21"/>
  <c r="T21"/>
  <c r="S21"/>
  <c r="R21"/>
  <c r="Q21"/>
  <c r="P21"/>
  <c r="O21"/>
  <c r="N21"/>
  <c r="M21"/>
  <c r="L21"/>
  <c r="K21"/>
  <c r="J21"/>
  <c r="I21"/>
  <c r="H21"/>
  <c r="G21"/>
  <c r="F21"/>
  <c r="E21"/>
  <c r="D21"/>
  <c r="C21"/>
  <c r="B21"/>
  <c r="AT20"/>
  <c r="AS20"/>
  <c r="AR20"/>
  <c r="AQ20"/>
  <c r="AP20"/>
  <c r="AO20"/>
  <c r="AN20"/>
  <c r="AM20"/>
  <c r="AL20"/>
  <c r="AK20"/>
  <c r="AJ20"/>
  <c r="AI20"/>
  <c r="AH20"/>
  <c r="AG20"/>
  <c r="AF20"/>
  <c r="AE20"/>
  <c r="AD20"/>
  <c r="AC20"/>
  <c r="AB20"/>
  <c r="AA20"/>
  <c r="Z20"/>
  <c r="Y20"/>
  <c r="X20"/>
  <c r="W20"/>
  <c r="V20"/>
  <c r="U20"/>
  <c r="T20"/>
  <c r="S20"/>
  <c r="R20"/>
  <c r="Q20"/>
  <c r="P20"/>
  <c r="O20"/>
  <c r="N20"/>
  <c r="M20"/>
  <c r="L20"/>
  <c r="K20"/>
  <c r="J20"/>
  <c r="I20"/>
  <c r="H20"/>
  <c r="G20"/>
  <c r="F20"/>
  <c r="E20"/>
  <c r="D20"/>
  <c r="C20"/>
  <c r="B20"/>
  <c r="AP11"/>
  <c r="AO11"/>
  <c r="AN11"/>
  <c r="AM11"/>
  <c r="AL11"/>
  <c r="AK11"/>
  <c r="AJ11"/>
  <c r="AI11"/>
  <c r="AH11"/>
  <c r="AG11"/>
  <c r="AF11"/>
  <c r="AE11"/>
  <c r="AD11"/>
  <c r="AC11"/>
  <c r="AB11"/>
  <c r="AA11"/>
  <c r="Z11"/>
  <c r="Y11"/>
  <c r="X11"/>
  <c r="W11"/>
  <c r="V11"/>
  <c r="U11"/>
  <c r="T11"/>
  <c r="S11"/>
  <c r="R11"/>
  <c r="Q11"/>
  <c r="P11"/>
  <c r="O11"/>
  <c r="N11"/>
  <c r="M11"/>
  <c r="L11"/>
  <c r="K11"/>
  <c r="J11"/>
  <c r="I11"/>
  <c r="H11"/>
  <c r="G11"/>
  <c r="F11"/>
  <c r="E11"/>
  <c r="D11"/>
  <c r="C11"/>
  <c r="B11"/>
  <c r="B1058" i="32"/>
  <c r="X1057"/>
  <c r="X1056"/>
  <c r="X1054"/>
  <c r="X1053"/>
  <c r="X1052"/>
  <c r="X1051"/>
  <c r="X1050"/>
  <c r="X1049"/>
  <c r="X1048"/>
  <c r="X1047"/>
  <c r="X1046"/>
  <c r="X1044"/>
  <c r="X1043"/>
  <c r="X1042"/>
  <c r="X1041"/>
  <c r="X1040"/>
  <c r="X1039"/>
  <c r="X1038"/>
  <c r="X1037"/>
  <c r="X1036"/>
  <c r="X1035"/>
  <c r="X1034"/>
  <c r="X1033"/>
  <c r="X1032"/>
  <c r="X1031"/>
  <c r="X1030"/>
  <c r="X1029"/>
  <c r="X1028"/>
  <c r="X1027"/>
  <c r="X1026"/>
  <c r="X1025"/>
  <c r="X1024"/>
  <c r="X1023"/>
  <c r="X1022"/>
  <c r="X1021"/>
  <c r="X1020"/>
  <c r="X1019"/>
  <c r="X1018"/>
  <c r="X1017"/>
  <c r="X1016"/>
  <c r="X1014"/>
  <c r="X1013"/>
  <c r="X1012"/>
  <c r="X1011"/>
  <c r="X1010"/>
  <c r="X1009"/>
  <c r="X1008"/>
  <c r="X1007"/>
  <c r="X1006"/>
  <c r="X1005"/>
  <c r="X1004"/>
  <c r="X1003"/>
  <c r="X1002"/>
  <c r="X1001"/>
  <c r="X1000"/>
  <c r="X999"/>
  <c r="X998"/>
  <c r="X997"/>
  <c r="X996"/>
  <c r="X995"/>
  <c r="X994"/>
  <c r="X993"/>
  <c r="X991"/>
  <c r="X990"/>
  <c r="X989"/>
  <c r="X988"/>
  <c r="X987"/>
  <c r="X986"/>
  <c r="X985"/>
  <c r="X984"/>
  <c r="X983"/>
  <c r="X982"/>
  <c r="X981"/>
  <c r="X980"/>
  <c r="X979"/>
  <c r="X978"/>
  <c r="X977"/>
  <c r="X976"/>
  <c r="X975"/>
  <c r="X974"/>
  <c r="X973"/>
  <c r="X972"/>
  <c r="X971"/>
  <c r="X970"/>
  <c r="X969"/>
  <c r="X968"/>
  <c r="X967"/>
  <c r="X966"/>
  <c r="X965"/>
  <c r="X964"/>
  <c r="X963"/>
  <c r="X962"/>
  <c r="X961"/>
  <c r="X960"/>
  <c r="X959"/>
  <c r="X958"/>
  <c r="X957"/>
  <c r="X956"/>
  <c r="X955"/>
  <c r="X954"/>
  <c r="X953"/>
  <c r="X952"/>
  <c r="X951"/>
  <c r="X950"/>
  <c r="X949"/>
  <c r="X948"/>
  <c r="X947"/>
  <c r="X946"/>
  <c r="X945"/>
  <c r="X943"/>
  <c r="X942"/>
  <c r="X941"/>
  <c r="X940"/>
  <c r="X939"/>
  <c r="X938"/>
  <c r="X937"/>
  <c r="X936"/>
  <c r="X935"/>
  <c r="X934"/>
  <c r="X933"/>
  <c r="X932"/>
  <c r="X931"/>
  <c r="X930"/>
  <c r="X929"/>
  <c r="X928"/>
  <c r="X927"/>
  <c r="X926"/>
  <c r="X925"/>
  <c r="X924"/>
  <c r="X923"/>
  <c r="X922"/>
  <c r="X921"/>
  <c r="X920"/>
  <c r="X919"/>
  <c r="X918"/>
  <c r="X917"/>
  <c r="X916"/>
  <c r="X915"/>
  <c r="X914"/>
  <c r="X913"/>
  <c r="X912"/>
  <c r="X911"/>
  <c r="X910"/>
  <c r="X909"/>
  <c r="X908"/>
  <c r="X907"/>
  <c r="X906"/>
  <c r="X905"/>
  <c r="X904"/>
  <c r="X903"/>
  <c r="X902"/>
  <c r="X901"/>
  <c r="X900"/>
  <c r="X899"/>
  <c r="X898"/>
  <c r="X897"/>
  <c r="X895"/>
  <c r="X894"/>
  <c r="X893"/>
  <c r="X892"/>
  <c r="X891"/>
  <c r="X890"/>
  <c r="X889"/>
  <c r="X888"/>
  <c r="X887"/>
  <c r="X886"/>
  <c r="X885"/>
  <c r="X884"/>
  <c r="X883"/>
  <c r="X882"/>
  <c r="X881"/>
  <c r="X880"/>
  <c r="X879"/>
  <c r="X878"/>
  <c r="X877"/>
  <c r="X876"/>
  <c r="X875"/>
  <c r="X874"/>
  <c r="X873"/>
  <c r="X872"/>
  <c r="X871"/>
  <c r="X870"/>
  <c r="X869"/>
  <c r="X868"/>
  <c r="X867"/>
  <c r="X866"/>
  <c r="X865"/>
  <c r="X864"/>
  <c r="X863"/>
  <c r="X862"/>
  <c r="X861"/>
  <c r="X860"/>
  <c r="X859"/>
  <c r="X858"/>
  <c r="X857"/>
  <c r="X856"/>
  <c r="X855"/>
  <c r="X854"/>
  <c r="X853"/>
  <c r="X852"/>
  <c r="X851"/>
  <c r="X849"/>
  <c r="X848"/>
  <c r="X847"/>
  <c r="X846"/>
  <c r="X845"/>
  <c r="X844"/>
  <c r="X843"/>
  <c r="X842"/>
  <c r="X841"/>
  <c r="X840"/>
  <c r="X839"/>
  <c r="X838"/>
  <c r="X837"/>
  <c r="X836"/>
  <c r="X835"/>
  <c r="X834"/>
  <c r="X833"/>
  <c r="X832"/>
  <c r="X831"/>
  <c r="X830"/>
  <c r="X829"/>
  <c r="X828"/>
  <c r="X827"/>
  <c r="X826"/>
  <c r="X825"/>
  <c r="X824"/>
  <c r="X823"/>
  <c r="X822"/>
  <c r="X821"/>
  <c r="X820"/>
  <c r="X819"/>
  <c r="X818"/>
  <c r="X817"/>
  <c r="X816"/>
  <c r="X815"/>
  <c r="X814"/>
  <c r="X813"/>
  <c r="X812"/>
  <c r="X811"/>
  <c r="X810"/>
  <c r="X809"/>
  <c r="X808"/>
  <c r="X807"/>
  <c r="X806"/>
  <c r="X805"/>
  <c r="X804"/>
  <c r="X803"/>
  <c r="X802"/>
  <c r="X801"/>
  <c r="X800"/>
  <c r="X799"/>
  <c r="X798"/>
  <c r="X797"/>
  <c r="X796"/>
  <c r="X795"/>
  <c r="X794"/>
  <c r="X793"/>
  <c r="X792"/>
  <c r="X791"/>
  <c r="X790"/>
  <c r="X788"/>
  <c r="X787"/>
  <c r="X786"/>
  <c r="X785"/>
  <c r="X784"/>
  <c r="X783"/>
  <c r="X782"/>
  <c r="X781"/>
  <c r="X780"/>
  <c r="X779"/>
  <c r="X778"/>
  <c r="X777"/>
  <c r="X776"/>
  <c r="X775"/>
  <c r="X774"/>
  <c r="X773"/>
  <c r="X772"/>
  <c r="X771"/>
  <c r="X770"/>
  <c r="X769"/>
  <c r="X768"/>
  <c r="X767"/>
  <c r="X766"/>
  <c r="X765"/>
  <c r="X764"/>
  <c r="X763"/>
  <c r="X762"/>
  <c r="X761"/>
  <c r="X760"/>
  <c r="X759"/>
  <c r="X758"/>
  <c r="X757"/>
  <c r="X756"/>
  <c r="X755"/>
  <c r="X754"/>
  <c r="X753"/>
  <c r="X752"/>
  <c r="X751"/>
  <c r="X750"/>
  <c r="X749"/>
  <c r="X748"/>
  <c r="X747"/>
  <c r="X746"/>
  <c r="X745"/>
  <c r="X744"/>
  <c r="X743"/>
  <c r="X742"/>
  <c r="X741"/>
  <c r="X740"/>
  <c r="X739"/>
  <c r="X738"/>
  <c r="X737"/>
  <c r="X736"/>
  <c r="X735"/>
  <c r="X734"/>
  <c r="X733"/>
  <c r="X732"/>
  <c r="X731"/>
  <c r="X730"/>
  <c r="X729"/>
  <c r="X728"/>
  <c r="X727"/>
  <c r="X726"/>
  <c r="X725"/>
  <c r="X724"/>
  <c r="X723"/>
  <c r="X722"/>
  <c r="X721"/>
  <c r="X720"/>
  <c r="X719"/>
  <c r="X718"/>
  <c r="X717"/>
  <c r="X716"/>
  <c r="X715"/>
  <c r="X714"/>
  <c r="X713"/>
  <c r="X712"/>
  <c r="X711"/>
  <c r="X710"/>
  <c r="X709"/>
  <c r="X708"/>
  <c r="X707"/>
  <c r="X706"/>
  <c r="X705"/>
  <c r="X704"/>
  <c r="X703"/>
  <c r="X702"/>
  <c r="X701"/>
  <c r="X700"/>
  <c r="X698"/>
  <c r="X697"/>
  <c r="X696"/>
  <c r="X695"/>
  <c r="X694"/>
  <c r="X693"/>
  <c r="X692"/>
  <c r="X691"/>
  <c r="X690"/>
  <c r="X689"/>
  <c r="X688"/>
  <c r="X687"/>
  <c r="X686"/>
  <c r="X685"/>
  <c r="X684"/>
  <c r="X683"/>
  <c r="X682"/>
  <c r="X681"/>
  <c r="X680"/>
  <c r="X679"/>
  <c r="X678"/>
  <c r="X677"/>
  <c r="X676"/>
  <c r="X675"/>
  <c r="X674"/>
  <c r="X673"/>
  <c r="X672"/>
  <c r="X671"/>
  <c r="X670"/>
  <c r="X669"/>
  <c r="X668"/>
  <c r="X667"/>
  <c r="X666"/>
  <c r="X665"/>
  <c r="X664"/>
  <c r="X663"/>
  <c r="X662"/>
  <c r="X661"/>
  <c r="X660"/>
  <c r="X659"/>
  <c r="X658"/>
  <c r="X657"/>
  <c r="X656"/>
  <c r="X655"/>
  <c r="X654"/>
  <c r="X653"/>
  <c r="X652"/>
  <c r="X651"/>
  <c r="X650"/>
  <c r="X649"/>
  <c r="X648"/>
  <c r="X647"/>
  <c r="X646"/>
  <c r="X645"/>
  <c r="X644"/>
  <c r="X643"/>
  <c r="X642"/>
  <c r="X641"/>
  <c r="X640"/>
  <c r="X639"/>
  <c r="X638"/>
  <c r="X637"/>
  <c r="X636"/>
  <c r="X635"/>
  <c r="X634"/>
  <c r="X633"/>
  <c r="X632"/>
  <c r="X631"/>
  <c r="X630"/>
  <c r="X629"/>
  <c r="X628"/>
  <c r="X627"/>
  <c r="X626"/>
  <c r="X625"/>
  <c r="X624"/>
  <c r="X623"/>
  <c r="X622"/>
  <c r="X621"/>
  <c r="X620"/>
  <c r="X619"/>
  <c r="X618"/>
  <c r="X617"/>
  <c r="X616"/>
  <c r="X615"/>
  <c r="X614"/>
  <c r="X613"/>
  <c r="X612"/>
  <c r="X611"/>
  <c r="X610"/>
  <c r="X609"/>
  <c r="X607"/>
  <c r="X606"/>
  <c r="X604"/>
  <c r="X603"/>
  <c r="X602"/>
  <c r="X599"/>
  <c r="X598"/>
  <c r="X597"/>
  <c r="X596"/>
  <c r="X595"/>
  <c r="X594"/>
  <c r="X590"/>
  <c r="X589"/>
  <c r="X587"/>
  <c r="X586"/>
  <c r="X585"/>
  <c r="X584"/>
  <c r="X583"/>
  <c r="X582"/>
  <c r="X577"/>
  <c r="X576"/>
  <c r="X575"/>
  <c r="X574"/>
  <c r="X573"/>
  <c r="X572"/>
  <c r="X571"/>
  <c r="X570"/>
  <c r="X569"/>
  <c r="X568"/>
  <c r="X562"/>
  <c r="X561"/>
  <c r="X560"/>
  <c r="X559"/>
  <c r="X558"/>
  <c r="X557"/>
  <c r="X556"/>
  <c r="X555"/>
  <c r="X554"/>
  <c r="X553"/>
  <c r="X552"/>
  <c r="X551"/>
  <c r="X550"/>
  <c r="X548"/>
  <c r="X547"/>
  <c r="X546"/>
  <c r="X545"/>
  <c r="X544"/>
  <c r="X543"/>
  <c r="X542"/>
  <c r="X541"/>
  <c r="X540"/>
  <c r="X539"/>
  <c r="X538"/>
  <c r="X537"/>
  <c r="X536"/>
  <c r="X535"/>
  <c r="X534"/>
  <c r="X533"/>
  <c r="X532"/>
  <c r="X531"/>
  <c r="X530"/>
  <c r="X529"/>
  <c r="X528"/>
  <c r="X527"/>
  <c r="X526"/>
  <c r="X525"/>
  <c r="X524"/>
  <c r="X523"/>
  <c r="X522"/>
  <c r="X521"/>
  <c r="X520"/>
  <c r="X519"/>
  <c r="X518"/>
  <c r="X517"/>
  <c r="X515"/>
  <c r="X514"/>
  <c r="X513"/>
  <c r="X512"/>
  <c r="X511"/>
  <c r="X510"/>
  <c r="X509"/>
  <c r="X508"/>
  <c r="X507"/>
  <c r="X506"/>
  <c r="X505"/>
  <c r="X504"/>
  <c r="X503"/>
  <c r="X502"/>
  <c r="X501"/>
  <c r="X500"/>
  <c r="X499"/>
  <c r="X498"/>
  <c r="X497"/>
  <c r="X496"/>
  <c r="X495"/>
  <c r="X494"/>
  <c r="X493"/>
  <c r="X492"/>
  <c r="X491"/>
  <c r="X490"/>
  <c r="X489"/>
  <c r="X488"/>
  <c r="X487"/>
  <c r="X486"/>
  <c r="X485"/>
  <c r="X484"/>
  <c r="X483"/>
  <c r="X482"/>
  <c r="X481"/>
  <c r="X480"/>
  <c r="X479"/>
  <c r="X478"/>
  <c r="X477"/>
  <c r="X476"/>
  <c r="X475"/>
  <c r="X474"/>
  <c r="X473"/>
  <c r="X472"/>
  <c r="X471"/>
  <c r="X470"/>
  <c r="X469"/>
  <c r="X468"/>
  <c r="X467"/>
  <c r="X466"/>
  <c r="X465"/>
  <c r="X464"/>
  <c r="X463"/>
  <c r="X462"/>
  <c r="X461"/>
  <c r="X460"/>
  <c r="X459"/>
  <c r="X458"/>
  <c r="X457"/>
  <c r="X456"/>
  <c r="X455"/>
  <c r="X454"/>
  <c r="X453"/>
  <c r="X452"/>
  <c r="X451"/>
  <c r="X450"/>
  <c r="X449"/>
  <c r="X448"/>
  <c r="X447"/>
  <c r="X446"/>
  <c r="X445"/>
  <c r="X444"/>
  <c r="X443"/>
  <c r="X442"/>
  <c r="X441"/>
  <c r="X440"/>
  <c r="X439"/>
  <c r="X438"/>
  <c r="X437"/>
  <c r="X436"/>
  <c r="X435"/>
  <c r="X434"/>
  <c r="X433"/>
  <c r="X432"/>
  <c r="X431"/>
  <c r="X430"/>
  <c r="X429"/>
  <c r="X428"/>
  <c r="X427"/>
  <c r="X426"/>
  <c r="X425"/>
  <c r="X424"/>
  <c r="X423"/>
  <c r="X422"/>
  <c r="X421"/>
  <c r="X420"/>
  <c r="X419"/>
  <c r="X418"/>
  <c r="X417"/>
  <c r="X416"/>
  <c r="X415"/>
  <c r="X414"/>
  <c r="X413"/>
  <c r="X412"/>
  <c r="X411"/>
  <c r="X410"/>
  <c r="X409"/>
  <c r="X408"/>
  <c r="X407"/>
  <c r="X405"/>
  <c r="X404"/>
  <c r="X403"/>
  <c r="X402"/>
  <c r="X401"/>
  <c r="X400"/>
  <c r="X399"/>
  <c r="X398"/>
  <c r="X397"/>
  <c r="X396"/>
  <c r="X395"/>
  <c r="X394"/>
  <c r="X393"/>
  <c r="X392"/>
  <c r="X391"/>
  <c r="X390"/>
  <c r="X389"/>
  <c r="X388"/>
  <c r="X387"/>
  <c r="X386"/>
  <c r="X385"/>
  <c r="X384"/>
  <c r="X383"/>
  <c r="X382"/>
  <c r="X381"/>
  <c r="X380"/>
  <c r="X379"/>
  <c r="X378"/>
  <c r="X377"/>
  <c r="X376"/>
  <c r="X375"/>
  <c r="X374"/>
  <c r="X373"/>
  <c r="X372"/>
  <c r="X371"/>
  <c r="X369"/>
  <c r="X368"/>
  <c r="X367"/>
  <c r="X366"/>
  <c r="X365"/>
  <c r="X364"/>
  <c r="X363"/>
  <c r="X362"/>
  <c r="X361"/>
  <c r="X360"/>
  <c r="X359"/>
  <c r="X358"/>
  <c r="X357"/>
  <c r="X356"/>
  <c r="X355"/>
  <c r="X354"/>
  <c r="X353"/>
  <c r="X352"/>
  <c r="X351"/>
  <c r="X350"/>
  <c r="X349"/>
  <c r="X348"/>
  <c r="X347"/>
  <c r="X346"/>
  <c r="X345"/>
  <c r="X344"/>
  <c r="X343"/>
  <c r="X342"/>
  <c r="X340"/>
  <c r="X339"/>
  <c r="X338"/>
  <c r="X337"/>
  <c r="X336"/>
  <c r="X335"/>
  <c r="X334"/>
  <c r="X333"/>
  <c r="X332"/>
  <c r="X331"/>
  <c r="X330"/>
  <c r="X329"/>
  <c r="X328"/>
  <c r="X327"/>
  <c r="X326"/>
  <c r="X325"/>
  <c r="X324"/>
  <c r="X323"/>
  <c r="X321"/>
  <c r="X320"/>
  <c r="X319"/>
  <c r="X318"/>
  <c r="X317"/>
  <c r="X316"/>
  <c r="X315"/>
  <c r="X314"/>
  <c r="X313"/>
  <c r="X312"/>
  <c r="X311"/>
  <c r="X310"/>
  <c r="X309"/>
  <c r="X308"/>
  <c r="X307"/>
  <c r="X306"/>
  <c r="X305"/>
  <c r="X304"/>
  <c r="X303"/>
  <c r="X302"/>
  <c r="X301"/>
  <c r="X300"/>
  <c r="X299"/>
  <c r="X298"/>
  <c r="X297"/>
  <c r="X296"/>
  <c r="X295"/>
  <c r="X294"/>
  <c r="X293"/>
  <c r="X292"/>
  <c r="X291"/>
  <c r="X290"/>
  <c r="X288"/>
  <c r="X287"/>
  <c r="X286"/>
  <c r="X285"/>
  <c r="X284"/>
  <c r="X283"/>
  <c r="X282"/>
  <c r="X281"/>
  <c r="X280"/>
  <c r="X279"/>
  <c r="X278"/>
  <c r="X277"/>
  <c r="X276"/>
  <c r="X275"/>
  <c r="X274"/>
  <c r="X273"/>
  <c r="X271"/>
  <c r="X270"/>
  <c r="X269"/>
  <c r="X268"/>
  <c r="X267"/>
  <c r="X266"/>
  <c r="X265"/>
  <c r="X264"/>
  <c r="X263"/>
  <c r="X262"/>
  <c r="X261"/>
  <c r="X260"/>
  <c r="X259"/>
  <c r="X258"/>
  <c r="X257"/>
  <c r="X256"/>
  <c r="X255"/>
  <c r="X254"/>
  <c r="X252"/>
  <c r="X251"/>
  <c r="X250"/>
  <c r="X249"/>
  <c r="X248"/>
  <c r="X247"/>
  <c r="X246"/>
  <c r="X245"/>
  <c r="X244"/>
  <c r="X243"/>
  <c r="X242"/>
  <c r="X241"/>
  <c r="X240"/>
  <c r="X239"/>
  <c r="X238"/>
  <c r="X237"/>
  <c r="X236"/>
  <c r="X235"/>
  <c r="X234"/>
  <c r="X233"/>
  <c r="X232"/>
  <c r="BN231"/>
  <c r="X231"/>
  <c r="X230"/>
  <c r="X229"/>
  <c r="X228"/>
  <c r="X227"/>
  <c r="X226"/>
  <c r="X225"/>
  <c r="X224"/>
  <c r="X223"/>
  <c r="X222"/>
  <c r="X221"/>
  <c r="X220"/>
  <c r="X219"/>
  <c r="X218"/>
  <c r="X217"/>
  <c r="X216"/>
  <c r="X215"/>
  <c r="X214"/>
  <c r="X213"/>
  <c r="X212"/>
  <c r="X211"/>
  <c r="X210"/>
  <c r="X209"/>
  <c r="X208"/>
  <c r="X207"/>
  <c r="X206"/>
  <c r="X205"/>
  <c r="X204"/>
  <c r="X203"/>
  <c r="X202"/>
  <c r="X201"/>
  <c r="X200"/>
  <c r="X199"/>
  <c r="X198"/>
  <c r="X197"/>
  <c r="X196"/>
  <c r="X195"/>
  <c r="X194"/>
  <c r="X193"/>
  <c r="X192"/>
  <c r="X191"/>
  <c r="X190"/>
  <c r="X189"/>
  <c r="X188"/>
  <c r="X187"/>
  <c r="X186"/>
  <c r="X185"/>
  <c r="X183"/>
  <c r="X182"/>
  <c r="X181"/>
  <c r="X180"/>
  <c r="X179"/>
  <c r="X178"/>
  <c r="X177"/>
  <c r="X176"/>
  <c r="X175"/>
  <c r="X174"/>
  <c r="X173"/>
  <c r="X172"/>
  <c r="X171"/>
  <c r="X170"/>
  <c r="X169"/>
  <c r="X168"/>
  <c r="X167"/>
  <c r="X166"/>
  <c r="X165"/>
  <c r="X164"/>
  <c r="X163"/>
  <c r="X162"/>
  <c r="X161"/>
  <c r="X160"/>
  <c r="X159"/>
  <c r="X158"/>
  <c r="X157"/>
  <c r="X156"/>
  <c r="X155"/>
  <c r="X154"/>
  <c r="X153"/>
  <c r="X152"/>
  <c r="X151"/>
  <c r="X150"/>
  <c r="X149"/>
  <c r="X148"/>
  <c r="X147"/>
  <c r="X146"/>
  <c r="X145"/>
  <c r="X144"/>
  <c r="X143"/>
  <c r="X142"/>
  <c r="X141"/>
  <c r="X140"/>
  <c r="X139"/>
  <c r="X138"/>
  <c r="X137"/>
  <c r="X136"/>
  <c r="X134"/>
  <c r="X133"/>
  <c r="X132"/>
  <c r="X131"/>
  <c r="X130"/>
  <c r="X129"/>
  <c r="X128"/>
  <c r="X127"/>
  <c r="X126"/>
  <c r="X125"/>
  <c r="X124"/>
  <c r="X123"/>
  <c r="X122"/>
  <c r="X121"/>
  <c r="X120"/>
  <c r="X119"/>
  <c r="X118"/>
  <c r="X117"/>
  <c r="X116"/>
  <c r="X115"/>
  <c r="X114"/>
  <c r="X113"/>
  <c r="X112"/>
  <c r="X111"/>
  <c r="X110"/>
  <c r="X109"/>
  <c r="X108"/>
  <c r="X107"/>
  <c r="X106"/>
  <c r="X105"/>
  <c r="X104"/>
  <c r="X103"/>
  <c r="X102"/>
  <c r="X101"/>
  <c r="X100"/>
  <c r="X99"/>
  <c r="X98"/>
  <c r="X97"/>
  <c r="X96"/>
  <c r="X95"/>
  <c r="X94"/>
  <c r="X93"/>
  <c r="X92"/>
  <c r="X91"/>
  <c r="X90"/>
  <c r="X89"/>
  <c r="X88"/>
  <c r="X87"/>
  <c r="X86"/>
  <c r="X85"/>
  <c r="X84"/>
  <c r="X83"/>
  <c r="X82"/>
  <c r="X81"/>
  <c r="X80"/>
  <c r="X79"/>
  <c r="X78"/>
  <c r="X77"/>
  <c r="X76"/>
  <c r="X75"/>
  <c r="X74"/>
  <c r="X73"/>
  <c r="X72"/>
  <c r="X71"/>
  <c r="X70"/>
  <c r="X69"/>
  <c r="X68"/>
  <c r="X67"/>
  <c r="X66"/>
  <c r="X65"/>
  <c r="X64"/>
  <c r="X63"/>
  <c r="X62"/>
  <c r="X61"/>
  <c r="X60"/>
  <c r="X59"/>
  <c r="X58"/>
  <c r="X57"/>
  <c r="X56"/>
  <c r="X55"/>
  <c r="X53"/>
  <c r="X52"/>
  <c r="X51"/>
  <c r="X50"/>
  <c r="X49"/>
  <c r="X48"/>
  <c r="X47"/>
  <c r="X46"/>
  <c r="X45"/>
  <c r="X44"/>
  <c r="X43"/>
  <c r="X42"/>
  <c r="X41"/>
  <c r="X40"/>
  <c r="X39"/>
  <c r="X38"/>
  <c r="X37"/>
  <c r="X36"/>
  <c r="X35"/>
  <c r="X34"/>
  <c r="X33"/>
  <c r="X32"/>
  <c r="X31"/>
  <c r="X30"/>
  <c r="X29"/>
  <c r="X28"/>
  <c r="X27"/>
  <c r="X26"/>
  <c r="X25"/>
  <c r="X24"/>
  <c r="X23"/>
  <c r="X21"/>
  <c r="C21"/>
  <c r="X20"/>
  <c r="C20"/>
  <c r="X19"/>
  <c r="C19"/>
  <c r="X18"/>
  <c r="C18"/>
  <c r="X17"/>
  <c r="C17"/>
  <c r="X16"/>
  <c r="C16"/>
  <c r="X15"/>
  <c r="C15"/>
  <c r="X14"/>
  <c r="C14"/>
  <c r="X13"/>
  <c r="C13"/>
  <c r="X12"/>
  <c r="C12"/>
  <c r="X11"/>
  <c r="C11"/>
  <c r="X10"/>
  <c r="C10"/>
  <c r="X9"/>
  <c r="C9"/>
  <c r="X8"/>
  <c r="C8"/>
  <c r="X7"/>
  <c r="C7"/>
  <c r="X6"/>
  <c r="C6"/>
  <c r="X5"/>
  <c r="C5"/>
  <c r="X4"/>
  <c r="C4"/>
  <c r="C3" s="1"/>
  <c r="A122" i="8"/>
  <c r="A121"/>
  <c r="A120"/>
  <c r="A119"/>
  <c r="A118"/>
  <c r="A117"/>
  <c r="A116"/>
  <c r="A115"/>
  <c r="A114"/>
  <c r="A113"/>
  <c r="A112"/>
  <c r="A111"/>
  <c r="A110"/>
  <c r="A109"/>
  <c r="A108"/>
  <c r="A107"/>
  <c r="A106"/>
  <c r="A105"/>
  <c r="A104"/>
  <c r="A103"/>
  <c r="A102"/>
  <c r="A101"/>
  <c r="A100"/>
  <c r="A99"/>
  <c r="A98"/>
  <c r="A97"/>
  <c r="A96"/>
  <c r="A95"/>
  <c r="A94"/>
  <c r="A93"/>
  <c r="A92"/>
  <c r="A91"/>
  <c r="A90"/>
  <c r="A89"/>
  <c r="A83"/>
  <c r="A82"/>
  <c r="A81"/>
  <c r="A80"/>
  <c r="A79"/>
  <c r="A78"/>
  <c r="A77"/>
  <c r="A76"/>
  <c r="A75"/>
  <c r="A74"/>
  <c r="A73"/>
  <c r="A72"/>
  <c r="A71"/>
  <c r="A70"/>
  <c r="A69"/>
  <c r="A68"/>
  <c r="A67"/>
  <c r="A66"/>
  <c r="A65"/>
  <c r="C59"/>
  <c r="C58"/>
  <c r="C57"/>
  <c r="AE50"/>
  <c r="AE49"/>
  <c r="AE48"/>
  <c r="AE47"/>
  <c r="AE46"/>
  <c r="A46"/>
  <c r="A45"/>
  <c r="AE44"/>
  <c r="A44"/>
  <c r="AE43"/>
  <c r="A43"/>
  <c r="AE42"/>
  <c r="A42"/>
  <c r="AE41"/>
  <c r="A41"/>
  <c r="X42" s="1"/>
  <c r="AE40"/>
  <c r="A40"/>
  <c r="AE39"/>
  <c r="A39"/>
  <c r="X39" s="1"/>
  <c r="AE38"/>
  <c r="A38"/>
  <c r="AE37"/>
  <c r="A37"/>
  <c r="AE36"/>
  <c r="A36"/>
  <c r="A35"/>
  <c r="X36" s="1"/>
  <c r="AE34"/>
  <c r="AE33"/>
  <c r="AE32"/>
  <c r="AE31"/>
  <c r="AE30"/>
  <c r="AE29"/>
  <c r="AE28"/>
  <c r="AE27"/>
  <c r="L27"/>
  <c r="K27"/>
  <c r="J27"/>
  <c r="I27"/>
  <c r="H27"/>
  <c r="G27"/>
  <c r="F27"/>
  <c r="E27"/>
  <c r="D27"/>
  <c r="C27"/>
  <c r="C28" s="1"/>
  <c r="D28" s="1"/>
  <c r="AE26"/>
  <c r="AE25"/>
  <c r="AE24"/>
  <c r="AE23"/>
  <c r="AE18"/>
  <c r="AE17"/>
  <c r="AE16"/>
  <c r="AE15"/>
  <c r="AE14"/>
  <c r="S14"/>
  <c r="AE12"/>
  <c r="BJ11"/>
  <c r="BL10" s="1"/>
  <c r="AE11"/>
  <c r="AE10"/>
  <c r="AE9"/>
  <c r="AE8"/>
  <c r="AE7"/>
  <c r="BK6"/>
  <c r="AE6"/>
  <c r="BK5"/>
  <c r="BJ9" s="1"/>
  <c r="BJ10" s="1"/>
  <c r="AE5"/>
  <c r="D4"/>
  <c r="C4"/>
  <c r="T415" i="42"/>
  <c r="T414"/>
  <c r="T413"/>
  <c r="T412"/>
  <c r="T411"/>
  <c r="T410"/>
  <c r="T409"/>
  <c r="T408"/>
  <c r="T407"/>
  <c r="T404"/>
  <c r="T403"/>
  <c r="T402"/>
  <c r="T401"/>
  <c r="T400"/>
  <c r="T399"/>
  <c r="T398"/>
  <c r="T397"/>
  <c r="T396"/>
  <c r="T395"/>
  <c r="T394"/>
  <c r="T391"/>
  <c r="T390"/>
  <c r="T389"/>
  <c r="T388"/>
  <c r="T387"/>
  <c r="T386"/>
  <c r="T385"/>
  <c r="T384"/>
  <c r="T383"/>
  <c r="T382"/>
  <c r="T381"/>
  <c r="T380"/>
  <c r="T379"/>
  <c r="T378"/>
  <c r="T377"/>
  <c r="T376"/>
  <c r="T375"/>
  <c r="T374"/>
  <c r="T373"/>
  <c r="T372"/>
  <c r="T371"/>
  <c r="T370"/>
  <c r="T369"/>
  <c r="T368"/>
  <c r="T367"/>
  <c r="T366"/>
  <c r="T365"/>
  <c r="T364"/>
  <c r="T363"/>
  <c r="T362"/>
  <c r="T361"/>
  <c r="T360"/>
  <c r="T357"/>
  <c r="T356"/>
  <c r="AC355"/>
  <c r="T355"/>
  <c r="AC354"/>
  <c r="T354"/>
  <c r="AC353"/>
  <c r="T353"/>
  <c r="AC352"/>
  <c r="T352"/>
  <c r="AC351"/>
  <c r="T351"/>
  <c r="AC350"/>
  <c r="T350"/>
  <c r="AC349"/>
  <c r="T349"/>
  <c r="AC348"/>
  <c r="T348"/>
  <c r="AC347"/>
  <c r="T347"/>
  <c r="AC346"/>
  <c r="T346"/>
  <c r="AC345"/>
  <c r="T345"/>
  <c r="AC344"/>
  <c r="T344"/>
  <c r="AC343"/>
  <c r="T343"/>
  <c r="AC342"/>
  <c r="T342"/>
  <c r="AC340"/>
  <c r="AC339"/>
  <c r="T339"/>
  <c r="AC338"/>
  <c r="T338"/>
  <c r="AC337"/>
  <c r="T337"/>
  <c r="T336"/>
  <c r="AC335"/>
  <c r="T335"/>
  <c r="AC334"/>
  <c r="T334"/>
  <c r="AC333"/>
  <c r="T333"/>
  <c r="AC332"/>
  <c r="T332"/>
  <c r="AC331"/>
  <c r="T331"/>
  <c r="AC330"/>
  <c r="T330"/>
  <c r="AC329"/>
  <c r="T329"/>
  <c r="AC328"/>
  <c r="T328"/>
  <c r="AC327"/>
  <c r="T327"/>
  <c r="T326"/>
  <c r="AC325"/>
  <c r="T325"/>
  <c r="AC324"/>
  <c r="T324"/>
  <c r="AC323"/>
  <c r="T323"/>
  <c r="AC322"/>
  <c r="T322"/>
  <c r="AC321"/>
  <c r="T321"/>
  <c r="AC320"/>
  <c r="T320"/>
  <c r="AC319"/>
  <c r="T319"/>
  <c r="AC318"/>
  <c r="T318"/>
  <c r="AC317"/>
  <c r="T317"/>
  <c r="T316"/>
  <c r="AC315"/>
  <c r="T315"/>
  <c r="AC314"/>
  <c r="T314"/>
  <c r="T312"/>
  <c r="T311"/>
  <c r="T310"/>
  <c r="T309"/>
  <c r="T308"/>
  <c r="AC307"/>
  <c r="V307"/>
  <c r="T307"/>
  <c r="AC306"/>
  <c r="V306"/>
  <c r="T306"/>
  <c r="AC305"/>
  <c r="V305"/>
  <c r="T305"/>
  <c r="AC304"/>
  <c r="V304"/>
  <c r="T304"/>
  <c r="AC303"/>
  <c r="V303"/>
  <c r="T303"/>
  <c r="V302"/>
  <c r="T302"/>
  <c r="AC301"/>
  <c r="V301"/>
  <c r="T301"/>
  <c r="AC300"/>
  <c r="V300"/>
  <c r="T300"/>
  <c r="AC299"/>
  <c r="V299"/>
  <c r="T299"/>
  <c r="AC298"/>
  <c r="V298"/>
  <c r="T298"/>
  <c r="AC297"/>
  <c r="V297"/>
  <c r="T297"/>
  <c r="AC296"/>
  <c r="V296"/>
  <c r="T296"/>
  <c r="AC295"/>
  <c r="U295"/>
  <c r="T295"/>
  <c r="AC294"/>
  <c r="U294"/>
  <c r="T294"/>
  <c r="AC293"/>
  <c r="U293"/>
  <c r="T293"/>
  <c r="AC292"/>
  <c r="U292"/>
  <c r="T292"/>
  <c r="AC291"/>
  <c r="U291"/>
  <c r="T291"/>
  <c r="AC290"/>
  <c r="U290"/>
  <c r="T290"/>
  <c r="AC289"/>
  <c r="U289"/>
  <c r="T289"/>
  <c r="AC288"/>
  <c r="U288"/>
  <c r="T288"/>
  <c r="AC287"/>
  <c r="U287"/>
  <c r="T287"/>
  <c r="AC286"/>
  <c r="T286"/>
  <c r="AC285"/>
  <c r="T285"/>
  <c r="AC284"/>
  <c r="T284"/>
  <c r="AC283"/>
  <c r="T283"/>
  <c r="AC282"/>
  <c r="T282"/>
  <c r="AC281"/>
  <c r="T281"/>
  <c r="T280"/>
  <c r="T279"/>
  <c r="AC278"/>
  <c r="T278"/>
  <c r="AC277"/>
  <c r="T277"/>
  <c r="AC276"/>
  <c r="T276"/>
  <c r="AC275"/>
  <c r="U275"/>
  <c r="T275"/>
  <c r="AC274"/>
  <c r="U274"/>
  <c r="T274"/>
  <c r="AC273"/>
  <c r="U273"/>
  <c r="T273"/>
  <c r="AC272"/>
  <c r="U272"/>
  <c r="T272"/>
  <c r="AC271"/>
  <c r="T271"/>
  <c r="AC270"/>
  <c r="T270"/>
  <c r="AC269"/>
  <c r="T269"/>
  <c r="AC268"/>
  <c r="T268"/>
  <c r="AC267"/>
  <c r="T267"/>
  <c r="AC266"/>
  <c r="T266"/>
  <c r="AC265"/>
  <c r="T265"/>
  <c r="AC264"/>
  <c r="AC263"/>
  <c r="T263"/>
  <c r="T262"/>
  <c r="T261"/>
  <c r="AC260"/>
  <c r="T260"/>
  <c r="AC259"/>
  <c r="T259"/>
  <c r="AC258"/>
  <c r="T258"/>
  <c r="AC257"/>
  <c r="T257"/>
  <c r="AC256"/>
  <c r="T256"/>
  <c r="AC255"/>
  <c r="T255"/>
  <c r="AC254"/>
  <c r="T254"/>
  <c r="AC253"/>
  <c r="T253"/>
  <c r="AC252"/>
  <c r="T252"/>
  <c r="AC251"/>
  <c r="T251"/>
  <c r="T250"/>
  <c r="AC249"/>
  <c r="T249"/>
  <c r="AC248"/>
  <c r="T248"/>
  <c r="AC247"/>
  <c r="T247"/>
  <c r="AC246"/>
  <c r="T246"/>
  <c r="AC245"/>
  <c r="T245"/>
  <c r="AC244"/>
  <c r="T244"/>
  <c r="AC243"/>
  <c r="T243"/>
  <c r="AC242"/>
  <c r="T242"/>
  <c r="AC241"/>
  <c r="T241"/>
  <c r="AC240"/>
  <c r="T240"/>
  <c r="AC239"/>
  <c r="T239"/>
  <c r="AC238"/>
  <c r="T238"/>
  <c r="AC237"/>
  <c r="T237"/>
  <c r="AC236"/>
  <c r="T236"/>
  <c r="T235"/>
  <c r="AC234"/>
  <c r="T234"/>
  <c r="AC233"/>
  <c r="T233"/>
  <c r="AC232"/>
  <c r="T232"/>
  <c r="AC231"/>
  <c r="T231"/>
  <c r="AC230"/>
  <c r="T230"/>
  <c r="AE229"/>
  <c r="AC229"/>
  <c r="T229"/>
  <c r="AC228"/>
  <c r="T228"/>
  <c r="AC227"/>
  <c r="T227"/>
  <c r="AC226"/>
  <c r="T226"/>
  <c r="AC225"/>
  <c r="T225"/>
  <c r="AC224"/>
  <c r="T224"/>
  <c r="AE223"/>
  <c r="AC223"/>
  <c r="T223"/>
  <c r="AC222"/>
  <c r="T222"/>
  <c r="AC221"/>
  <c r="T221"/>
  <c r="AC220"/>
  <c r="T220"/>
  <c r="AC219"/>
  <c r="T219"/>
  <c r="AC218"/>
  <c r="T218"/>
  <c r="AC217"/>
  <c r="T217"/>
  <c r="AC216"/>
  <c r="T216"/>
  <c r="AC215"/>
  <c r="T215"/>
  <c r="AC214"/>
  <c r="T214"/>
  <c r="AC213"/>
  <c r="T213"/>
  <c r="AC212"/>
  <c r="T212"/>
  <c r="AC211"/>
  <c r="T211"/>
  <c r="AC210"/>
  <c r="T210"/>
  <c r="AC209"/>
  <c r="AC208"/>
  <c r="AC207"/>
  <c r="AC204"/>
  <c r="AC203"/>
  <c r="T203"/>
  <c r="AC202"/>
  <c r="T202"/>
  <c r="AC201"/>
  <c r="T201"/>
  <c r="AC200"/>
  <c r="T200"/>
  <c r="AC199"/>
  <c r="T199"/>
  <c r="AC198"/>
  <c r="T198"/>
  <c r="AC197"/>
  <c r="T197"/>
  <c r="AC196"/>
  <c r="T196"/>
  <c r="AC195"/>
  <c r="T195"/>
  <c r="AC194"/>
  <c r="T194"/>
  <c r="AC193"/>
  <c r="T193"/>
  <c r="AC192"/>
  <c r="T192"/>
  <c r="AC191"/>
  <c r="T191"/>
  <c r="AC190"/>
  <c r="T190"/>
  <c r="AC189"/>
  <c r="T189"/>
  <c r="AC188"/>
  <c r="T188"/>
  <c r="AC187"/>
  <c r="T187"/>
  <c r="AC186"/>
  <c r="T186"/>
  <c r="AC185"/>
  <c r="T185"/>
  <c r="AC184"/>
  <c r="T184"/>
  <c r="AC183"/>
  <c r="T183"/>
  <c r="AC182"/>
  <c r="T182"/>
  <c r="AC181"/>
  <c r="T181"/>
  <c r="AC180"/>
  <c r="T180"/>
  <c r="AC179"/>
  <c r="T179"/>
  <c r="AC178"/>
  <c r="T178"/>
  <c r="AC177"/>
  <c r="T177"/>
  <c r="AC176"/>
  <c r="V173"/>
  <c r="S173"/>
  <c r="V172"/>
  <c r="S172"/>
  <c r="V171"/>
  <c r="S171"/>
  <c r="V170"/>
  <c r="S170"/>
  <c r="V169"/>
  <c r="S169"/>
  <c r="V168"/>
  <c r="S168"/>
  <c r="V167"/>
  <c r="S167"/>
  <c r="V166"/>
  <c r="S166"/>
  <c r="V165"/>
  <c r="S165"/>
  <c r="V164"/>
  <c r="S164"/>
  <c r="V163"/>
  <c r="S163"/>
  <c r="V160"/>
  <c r="S160"/>
  <c r="V159"/>
  <c r="S159"/>
  <c r="V158"/>
  <c r="S158"/>
  <c r="V157"/>
  <c r="S157"/>
  <c r="V156"/>
  <c r="S156"/>
  <c r="V155"/>
  <c r="S155"/>
  <c r="V154"/>
  <c r="S154"/>
  <c r="V153"/>
  <c r="S153"/>
  <c r="V152"/>
  <c r="S152"/>
  <c r="V151"/>
  <c r="S151"/>
  <c r="V148"/>
  <c r="S148"/>
  <c r="V147"/>
  <c r="S147"/>
  <c r="V146"/>
  <c r="S146"/>
  <c r="V145"/>
  <c r="S145"/>
  <c r="V144"/>
  <c r="S144"/>
  <c r="V143"/>
  <c r="S143"/>
  <c r="V142"/>
  <c r="S142"/>
  <c r="V141"/>
  <c r="S141"/>
  <c r="V140"/>
  <c r="S140"/>
  <c r="V139"/>
  <c r="S139"/>
  <c r="V138"/>
  <c r="S138"/>
  <c r="V137"/>
  <c r="S137"/>
  <c r="V136"/>
  <c r="S136"/>
  <c r="V135"/>
  <c r="S135"/>
  <c r="V134"/>
  <c r="S134"/>
  <c r="W131"/>
  <c r="V131"/>
  <c r="S131"/>
  <c r="W130"/>
  <c r="V130"/>
  <c r="S130"/>
  <c r="W129"/>
  <c r="V129"/>
  <c r="S129"/>
  <c r="W128"/>
  <c r="V128"/>
  <c r="S128"/>
  <c r="W127"/>
  <c r="V127"/>
  <c r="S127"/>
  <c r="W126"/>
  <c r="V126"/>
  <c r="S126"/>
  <c r="W123"/>
  <c r="V123"/>
  <c r="S123"/>
  <c r="W122"/>
  <c r="V122"/>
  <c r="S122"/>
  <c r="W121"/>
  <c r="V121"/>
  <c r="S121"/>
  <c r="W120"/>
  <c r="V120"/>
  <c r="S120"/>
  <c r="W119"/>
  <c r="V119"/>
  <c r="S119"/>
  <c r="W118"/>
  <c r="V118"/>
  <c r="S118"/>
  <c r="W117"/>
  <c r="V117"/>
  <c r="S117"/>
  <c r="W116"/>
  <c r="V116"/>
  <c r="S116"/>
  <c r="W113"/>
  <c r="V113"/>
  <c r="S113"/>
  <c r="W112"/>
  <c r="V112"/>
  <c r="S112"/>
  <c r="W111"/>
  <c r="V111"/>
  <c r="S111"/>
  <c r="W110"/>
  <c r="V110"/>
  <c r="S110"/>
  <c r="W109"/>
  <c r="V109"/>
  <c r="S109"/>
  <c r="W108"/>
  <c r="V108"/>
  <c r="S108"/>
  <c r="W107"/>
  <c r="V107"/>
  <c r="S107"/>
  <c r="W104"/>
  <c r="V104"/>
  <c r="S104"/>
  <c r="W103"/>
  <c r="V103"/>
  <c r="S103"/>
  <c r="W102"/>
  <c r="V102"/>
  <c r="S102"/>
  <c r="W101"/>
  <c r="V101"/>
  <c r="S101"/>
  <c r="W100"/>
  <c r="V100"/>
  <c r="S100"/>
  <c r="W99"/>
  <c r="V99"/>
  <c r="S99"/>
  <c r="W98"/>
  <c r="V98"/>
  <c r="S98"/>
  <c r="W97"/>
  <c r="V97"/>
  <c r="S97"/>
  <c r="W94"/>
  <c r="V94"/>
  <c r="S94"/>
  <c r="W93"/>
  <c r="V93"/>
  <c r="S93"/>
  <c r="W92"/>
  <c r="V92"/>
  <c r="S92"/>
  <c r="W91"/>
  <c r="V91"/>
  <c r="S91"/>
  <c r="W90"/>
  <c r="V90"/>
  <c r="S90"/>
  <c r="AF86"/>
  <c r="AE86"/>
  <c r="AB86"/>
  <c r="W86"/>
  <c r="V86"/>
  <c r="S86"/>
  <c r="AF85"/>
  <c r="AE85"/>
  <c r="AB85"/>
  <c r="W85"/>
  <c r="V85"/>
  <c r="S85"/>
  <c r="AF84"/>
  <c r="AE84"/>
  <c r="AB84"/>
  <c r="W84"/>
  <c r="V84"/>
  <c r="S84"/>
  <c r="AF83"/>
  <c r="AE83"/>
  <c r="AB83"/>
  <c r="W83"/>
  <c r="V83"/>
  <c r="S83"/>
  <c r="AF82"/>
  <c r="AE82"/>
  <c r="AB82"/>
  <c r="W82"/>
  <c r="V82"/>
  <c r="S82"/>
  <c r="AF81"/>
  <c r="AE81"/>
  <c r="AB81"/>
  <c r="W81"/>
  <c r="V81"/>
  <c r="S81"/>
  <c r="AF80"/>
  <c r="AE80"/>
  <c r="AB80"/>
  <c r="W80"/>
  <c r="V80"/>
  <c r="S80"/>
  <c r="AF79"/>
  <c r="AE79"/>
  <c r="AB79"/>
  <c r="W79"/>
  <c r="V79"/>
  <c r="S79"/>
  <c r="AF78"/>
  <c r="AE78"/>
  <c r="AB78"/>
  <c r="W78"/>
  <c r="V78"/>
  <c r="S78"/>
  <c r="AF77"/>
  <c r="AE77"/>
  <c r="AB77"/>
  <c r="W77"/>
  <c r="V77"/>
  <c r="S77"/>
  <c r="W76"/>
  <c r="V76"/>
  <c r="S76"/>
  <c r="AF75"/>
  <c r="AE75"/>
  <c r="AB75"/>
  <c r="W75"/>
  <c r="V75"/>
  <c r="S75"/>
  <c r="AF74"/>
  <c r="AE74"/>
  <c r="AB74"/>
  <c r="W74"/>
  <c r="V74"/>
  <c r="S74"/>
  <c r="AF73"/>
  <c r="AE73"/>
  <c r="AB73"/>
  <c r="W73"/>
  <c r="V73"/>
  <c r="S73"/>
  <c r="AF72"/>
  <c r="AE72"/>
  <c r="AB72"/>
  <c r="W72"/>
  <c r="V72"/>
  <c r="S72"/>
  <c r="AF71"/>
  <c r="AE71"/>
  <c r="AB71"/>
  <c r="W71"/>
  <c r="V71"/>
  <c r="S71"/>
  <c r="AF70"/>
  <c r="AE70"/>
  <c r="AB70"/>
  <c r="W70"/>
  <c r="V70"/>
  <c r="S70"/>
  <c r="AF69"/>
  <c r="AE69"/>
  <c r="AB69"/>
  <c r="W69"/>
  <c r="V69"/>
  <c r="S69"/>
  <c r="W66"/>
  <c r="V66"/>
  <c r="S66"/>
  <c r="W65"/>
  <c r="V65"/>
  <c r="S65"/>
  <c r="W64"/>
  <c r="V64"/>
  <c r="S64"/>
  <c r="W63"/>
  <c r="V63"/>
  <c r="S63"/>
  <c r="W62"/>
  <c r="V62"/>
  <c r="S62"/>
  <c r="AF61"/>
  <c r="AE61"/>
  <c r="AB61"/>
  <c r="W61"/>
  <c r="V61"/>
  <c r="S61"/>
  <c r="AF60"/>
  <c r="AE60"/>
  <c r="AB60"/>
  <c r="W60"/>
  <c r="V60"/>
  <c r="S60"/>
  <c r="AF59"/>
  <c r="AE59"/>
  <c r="AB59"/>
  <c r="W59"/>
  <c r="V59"/>
  <c r="S59"/>
  <c r="AF58"/>
  <c r="AE58"/>
  <c r="AB58"/>
  <c r="W58"/>
  <c r="V58"/>
  <c r="S58"/>
  <c r="AF57"/>
  <c r="AE57"/>
  <c r="AB57"/>
  <c r="W57"/>
  <c r="V57"/>
  <c r="S57"/>
  <c r="AF56"/>
  <c r="AE56"/>
  <c r="AB56"/>
  <c r="W56"/>
  <c r="V56"/>
  <c r="S56"/>
  <c r="AF55"/>
  <c r="AE55"/>
  <c r="AB55"/>
  <c r="W55"/>
  <c r="V55"/>
  <c r="S55"/>
  <c r="AF54"/>
  <c r="AE54"/>
  <c r="AB54"/>
  <c r="W54"/>
  <c r="V54"/>
  <c r="S54"/>
  <c r="AF53"/>
  <c r="AE53"/>
  <c r="AB53"/>
  <c r="W53"/>
  <c r="V53"/>
  <c r="S53"/>
  <c r="AF52"/>
  <c r="AE52"/>
  <c r="AB52"/>
  <c r="W52"/>
  <c r="V52"/>
  <c r="S52"/>
  <c r="AF51"/>
  <c r="AE51"/>
  <c r="AB51"/>
  <c r="W51"/>
  <c r="V51"/>
  <c r="S51"/>
  <c r="AF50"/>
  <c r="AE50"/>
  <c r="AB50"/>
  <c r="W50"/>
  <c r="V50"/>
  <c r="S50"/>
  <c r="AF49"/>
  <c r="AE49"/>
  <c r="AB49"/>
  <c r="W49"/>
  <c r="V49"/>
  <c r="S49"/>
  <c r="AF48"/>
  <c r="AE48"/>
  <c r="AB48"/>
  <c r="W48"/>
  <c r="V48"/>
  <c r="S48"/>
  <c r="AF47"/>
  <c r="AE47"/>
  <c r="AB47"/>
  <c r="W47"/>
  <c r="V47"/>
  <c r="S47"/>
  <c r="AF46"/>
  <c r="AE46"/>
  <c r="AB46"/>
  <c r="W46"/>
  <c r="V46"/>
  <c r="S46"/>
  <c r="AF45"/>
  <c r="AE45"/>
  <c r="AB45"/>
  <c r="W45"/>
  <c r="V45"/>
  <c r="S45"/>
  <c r="AF44"/>
  <c r="AE44"/>
  <c r="AB44"/>
  <c r="W44"/>
  <c r="V44"/>
  <c r="S44"/>
  <c r="AF43"/>
  <c r="AE43"/>
  <c r="AB43"/>
  <c r="W43"/>
  <c r="V43"/>
  <c r="S43"/>
  <c r="W40"/>
  <c r="V40"/>
  <c r="S40"/>
  <c r="W39"/>
  <c r="V39"/>
  <c r="S39"/>
  <c r="W38"/>
  <c r="V38"/>
  <c r="S38"/>
  <c r="W37"/>
  <c r="V37"/>
  <c r="S37"/>
  <c r="W36"/>
  <c r="V36"/>
  <c r="S36"/>
  <c r="W35"/>
  <c r="V35"/>
  <c r="S35"/>
  <c r="W34"/>
  <c r="V34"/>
  <c r="S34"/>
  <c r="W33"/>
  <c r="V33"/>
  <c r="S33"/>
  <c r="W32"/>
  <c r="V32"/>
  <c r="S32"/>
  <c r="W31"/>
  <c r="V31"/>
  <c r="S31"/>
  <c r="W30"/>
  <c r="V30"/>
  <c r="S30"/>
  <c r="W29"/>
  <c r="V29"/>
  <c r="S29"/>
  <c r="W28"/>
  <c r="V28"/>
  <c r="S28"/>
  <c r="W27"/>
  <c r="V27"/>
  <c r="S27"/>
  <c r="W26"/>
  <c r="V26"/>
  <c r="S26"/>
  <c r="W25"/>
  <c r="V25"/>
  <c r="S25"/>
  <c r="W21"/>
  <c r="V21"/>
  <c r="S21"/>
  <c r="W20"/>
  <c r="V20"/>
  <c r="S20"/>
  <c r="W19"/>
  <c r="V19"/>
  <c r="S19"/>
  <c r="W18"/>
  <c r="V18"/>
  <c r="S18"/>
  <c r="W17"/>
  <c r="V17"/>
  <c r="S17"/>
  <c r="W16"/>
  <c r="V16"/>
  <c r="S16"/>
  <c r="W15"/>
  <c r="V15"/>
  <c r="S15"/>
  <c r="W14"/>
  <c r="V14"/>
  <c r="S14"/>
  <c r="W13"/>
  <c r="V13"/>
  <c r="S13"/>
  <c r="W12"/>
  <c r="V12"/>
  <c r="S12"/>
  <c r="W11"/>
  <c r="V11"/>
  <c r="S11"/>
  <c r="W10"/>
  <c r="V10"/>
  <c r="S10"/>
  <c r="W9"/>
  <c r="V9"/>
  <c r="S9"/>
  <c r="W8"/>
  <c r="V8"/>
  <c r="S8"/>
  <c r="W7"/>
  <c r="V7"/>
  <c r="S7"/>
  <c r="W6"/>
  <c r="V6"/>
  <c r="S6"/>
  <c r="W5"/>
  <c r="V5"/>
  <c r="S5"/>
  <c r="W4"/>
  <c r="V4"/>
  <c r="S4"/>
  <c r="W3"/>
  <c r="V3"/>
  <c r="S3"/>
  <c r="V65" i="29"/>
  <c r="V64"/>
  <c r="I60"/>
  <c r="G58"/>
  <c r="I51"/>
  <c r="U60" s="1"/>
  <c r="S46"/>
  <c r="S45"/>
  <c r="S44"/>
  <c r="S43"/>
  <c r="S42"/>
  <c r="S41"/>
  <c r="S40"/>
  <c r="S39"/>
  <c r="S38"/>
  <c r="U34"/>
  <c r="U33"/>
  <c r="U32"/>
  <c r="U31"/>
  <c r="U30"/>
  <c r="U29"/>
  <c r="U28"/>
  <c r="U27"/>
  <c r="U26"/>
  <c r="C18"/>
  <c r="AB7" s="1"/>
  <c r="C11"/>
  <c r="A11"/>
  <c r="C10"/>
  <c r="A10"/>
  <c r="C9"/>
  <c r="A9"/>
  <c r="C8"/>
  <c r="A8"/>
  <c r="L7"/>
  <c r="U52" s="1"/>
  <c r="L6"/>
  <c r="I22" s="1"/>
  <c r="AC232" i="36" s="1"/>
  <c r="C4" i="29"/>
  <c r="C3"/>
  <c r="H26" i="11"/>
  <c r="H25"/>
  <c r="H24"/>
  <c r="H23"/>
  <c r="H22"/>
  <c r="H21"/>
  <c r="H20"/>
  <c r="H19"/>
  <c r="H18"/>
  <c r="H4"/>
  <c r="B43" i="17"/>
  <c r="A43"/>
  <c r="B42"/>
  <c r="A42"/>
  <c r="B41"/>
  <c r="A41"/>
  <c r="B40"/>
  <c r="A40"/>
  <c r="B39"/>
  <c r="A39"/>
  <c r="B38"/>
  <c r="A38"/>
  <c r="B37"/>
  <c r="A37"/>
  <c r="B36"/>
  <c r="A36"/>
  <c r="A35"/>
  <c r="C20"/>
  <c r="B20"/>
  <c r="F286" i="36" s="1"/>
  <c r="F14" i="17"/>
  <c r="G14" s="1"/>
  <c r="G13"/>
  <c r="M7"/>
  <c r="D1"/>
  <c r="I230" i="19"/>
  <c r="G230"/>
  <c r="I229"/>
  <c r="I228"/>
  <c r="G228"/>
  <c r="I227"/>
  <c r="G227"/>
  <c r="I226"/>
  <c r="G226"/>
  <c r="I222"/>
  <c r="I221"/>
  <c r="G221"/>
  <c r="I217"/>
  <c r="I216"/>
  <c r="G216"/>
  <c r="I215"/>
  <c r="I214"/>
  <c r="I210"/>
  <c r="G210"/>
  <c r="I209"/>
  <c r="G209"/>
  <c r="I208"/>
  <c r="I207"/>
  <c r="G207"/>
  <c r="I206"/>
  <c r="I205"/>
  <c r="I204"/>
  <c r="G204"/>
  <c r="I203"/>
  <c r="I199"/>
  <c r="G199"/>
  <c r="I198"/>
  <c r="I197"/>
  <c r="I196"/>
  <c r="G196"/>
  <c r="I195"/>
  <c r="G195"/>
  <c r="I194"/>
  <c r="G194"/>
  <c r="I193"/>
  <c r="G193"/>
  <c r="I189"/>
  <c r="G189"/>
  <c r="I188"/>
  <c r="G188"/>
  <c r="I187"/>
  <c r="G187"/>
  <c r="I186"/>
  <c r="G186"/>
  <c r="I185"/>
  <c r="G185"/>
  <c r="I184"/>
  <c r="G184"/>
  <c r="I183"/>
  <c r="G183"/>
  <c r="I182"/>
  <c r="G182"/>
  <c r="I181"/>
  <c r="G181"/>
  <c r="I180"/>
  <c r="G180"/>
  <c r="I179"/>
  <c r="G179"/>
  <c r="I178"/>
  <c r="G178"/>
  <c r="I177"/>
  <c r="G177"/>
  <c r="I176"/>
  <c r="G176"/>
  <c r="I175"/>
  <c r="G175"/>
  <c r="I174"/>
  <c r="G174"/>
  <c r="I170"/>
  <c r="G170"/>
  <c r="I169"/>
  <c r="G169"/>
  <c r="I168"/>
  <c r="G168"/>
  <c r="I167"/>
  <c r="G167"/>
  <c r="I166"/>
  <c r="G166"/>
  <c r="I165"/>
  <c r="G165"/>
  <c r="I164"/>
  <c r="G164"/>
  <c r="I163"/>
  <c r="G163"/>
  <c r="I162"/>
  <c r="G162"/>
  <c r="I161"/>
  <c r="G161"/>
  <c r="I160"/>
  <c r="G160"/>
  <c r="I159"/>
  <c r="G159"/>
  <c r="I158"/>
  <c r="G158"/>
  <c r="I152"/>
  <c r="G152"/>
  <c r="I151"/>
  <c r="G151"/>
  <c r="I150"/>
  <c r="G150"/>
  <c r="I149"/>
  <c r="G149"/>
  <c r="I148"/>
  <c r="G148"/>
  <c r="I147"/>
  <c r="G147"/>
  <c r="I145"/>
  <c r="G145"/>
  <c r="I142"/>
  <c r="G142"/>
  <c r="I141"/>
  <c r="G141"/>
  <c r="I140"/>
  <c r="G140"/>
  <c r="I139"/>
  <c r="G139"/>
  <c r="I138"/>
  <c r="G138"/>
  <c r="I137"/>
  <c r="G137"/>
  <c r="I136"/>
  <c r="G136"/>
  <c r="I135"/>
  <c r="G135"/>
  <c r="I134"/>
  <c r="G134"/>
  <c r="I133"/>
  <c r="G133"/>
  <c r="I132"/>
  <c r="G132"/>
  <c r="I131"/>
  <c r="G131"/>
  <c r="I130"/>
  <c r="G130"/>
  <c r="I129"/>
  <c r="G129"/>
  <c r="I128"/>
  <c r="G128"/>
  <c r="I127"/>
  <c r="G127"/>
  <c r="I126"/>
  <c r="G126"/>
  <c r="I125"/>
  <c r="G125"/>
  <c r="I121"/>
  <c r="G121"/>
  <c r="L120"/>
  <c r="I120"/>
  <c r="G120"/>
  <c r="L119"/>
  <c r="I119"/>
  <c r="G119"/>
  <c r="L118"/>
  <c r="I118"/>
  <c r="G118"/>
  <c r="I117"/>
  <c r="G117"/>
  <c r="L116"/>
  <c r="I116"/>
  <c r="G116"/>
  <c r="L115"/>
  <c r="I115"/>
  <c r="G115"/>
  <c r="L114"/>
  <c r="I114"/>
  <c r="G114"/>
  <c r="I113"/>
  <c r="G113"/>
  <c r="L112"/>
  <c r="I112"/>
  <c r="G112"/>
  <c r="L111"/>
  <c r="I111"/>
  <c r="G111"/>
  <c r="L110"/>
  <c r="I110"/>
  <c r="G110"/>
  <c r="I109"/>
  <c r="G109"/>
  <c r="I108"/>
  <c r="G108"/>
  <c r="I107"/>
  <c r="G107"/>
  <c r="I106"/>
  <c r="G106"/>
  <c r="I103"/>
  <c r="G103"/>
  <c r="I102"/>
  <c r="G102"/>
  <c r="I101"/>
  <c r="G101"/>
  <c r="I100"/>
  <c r="G100"/>
  <c r="I99"/>
  <c r="G99"/>
  <c r="I98"/>
  <c r="G98"/>
  <c r="I97"/>
  <c r="G97"/>
  <c r="I96"/>
  <c r="G96"/>
  <c r="I95"/>
  <c r="G95"/>
  <c r="I94"/>
  <c r="G94"/>
  <c r="I93"/>
  <c r="G93"/>
  <c r="I92"/>
  <c r="G92"/>
  <c r="I91"/>
  <c r="G91"/>
  <c r="I90"/>
  <c r="G90"/>
  <c r="I78"/>
  <c r="G78"/>
  <c r="I77"/>
  <c r="G77"/>
  <c r="I76"/>
  <c r="G76"/>
  <c r="I74"/>
  <c r="G74"/>
  <c r="I73"/>
  <c r="G73"/>
  <c r="I72"/>
  <c r="G72"/>
  <c r="I71"/>
  <c r="G71"/>
  <c r="I69"/>
  <c r="G69"/>
  <c r="I68"/>
  <c r="K294" i="36" s="1"/>
  <c r="G68" i="19"/>
  <c r="BS66"/>
  <c r="I66"/>
  <c r="G66"/>
  <c r="BS65"/>
  <c r="I65"/>
  <c r="G65"/>
  <c r="BS64"/>
  <c r="I64"/>
  <c r="G64"/>
  <c r="BS63"/>
  <c r="I63"/>
  <c r="G63"/>
  <c r="BS62"/>
  <c r="BS61"/>
  <c r="I61"/>
  <c r="G61"/>
  <c r="BS60"/>
  <c r="I60"/>
  <c r="G60"/>
  <c r="BS59"/>
  <c r="I59"/>
  <c r="G59"/>
  <c r="BS58"/>
  <c r="I58"/>
  <c r="G58"/>
  <c r="BS57"/>
  <c r="BS56"/>
  <c r="I56"/>
  <c r="G56"/>
  <c r="BS55"/>
  <c r="I55"/>
  <c r="G55"/>
  <c r="BS54"/>
  <c r="I54"/>
  <c r="G54"/>
  <c r="BS53"/>
  <c r="I53"/>
  <c r="G53"/>
  <c r="BS52"/>
  <c r="Q49" i="36" s="1"/>
  <c r="I52" i="19"/>
  <c r="G52"/>
  <c r="BS51"/>
  <c r="I51"/>
  <c r="G51"/>
  <c r="BS50"/>
  <c r="BS49"/>
  <c r="I49"/>
  <c r="G49"/>
  <c r="BS48"/>
  <c r="I48"/>
  <c r="G48"/>
  <c r="BS47"/>
  <c r="I47"/>
  <c r="G47"/>
  <c r="BS46"/>
  <c r="I46"/>
  <c r="G46"/>
  <c r="BS45"/>
  <c r="I45"/>
  <c r="G45"/>
  <c r="BS44"/>
  <c r="I44"/>
  <c r="G44"/>
  <c r="BS43"/>
  <c r="I43"/>
  <c r="G43"/>
  <c r="BS42"/>
  <c r="I42"/>
  <c r="G42"/>
  <c r="BS41"/>
  <c r="BS40"/>
  <c r="I40"/>
  <c r="G40"/>
  <c r="BS39"/>
  <c r="I39"/>
  <c r="G39"/>
  <c r="BS38"/>
  <c r="I38"/>
  <c r="G38"/>
  <c r="BS37"/>
  <c r="BS36"/>
  <c r="I36"/>
  <c r="G36"/>
  <c r="BS35"/>
  <c r="I35"/>
  <c r="G35"/>
  <c r="BS34"/>
  <c r="I34"/>
  <c r="G34"/>
  <c r="BS33"/>
  <c r="I33"/>
  <c r="G33"/>
  <c r="BS32"/>
  <c r="I32"/>
  <c r="G32"/>
  <c r="BS31"/>
  <c r="BS30"/>
  <c r="I30"/>
  <c r="G30"/>
  <c r="BS29"/>
  <c r="I29"/>
  <c r="G29"/>
  <c r="BS28"/>
  <c r="I28"/>
  <c r="G28"/>
  <c r="BS27"/>
  <c r="I27"/>
  <c r="G27"/>
  <c r="BS26"/>
  <c r="I26"/>
  <c r="G26"/>
  <c r="BS25"/>
  <c r="I25"/>
  <c r="G25"/>
  <c r="BS24"/>
  <c r="I24"/>
  <c r="G24"/>
  <c r="BS23"/>
  <c r="I23"/>
  <c r="G23"/>
  <c r="BS22"/>
  <c r="BS21"/>
  <c r="I21"/>
  <c r="G21"/>
  <c r="BS20"/>
  <c r="I20"/>
  <c r="G20"/>
  <c r="BS19"/>
  <c r="BS18"/>
  <c r="I18"/>
  <c r="G18"/>
  <c r="BS17"/>
  <c r="I17"/>
  <c r="G17"/>
  <c r="BS16"/>
  <c r="I16"/>
  <c r="G16"/>
  <c r="BS15"/>
  <c r="I15"/>
  <c r="G15"/>
  <c r="BS14"/>
  <c r="I14"/>
  <c r="G14"/>
  <c r="BS13"/>
  <c r="I13"/>
  <c r="G13"/>
  <c r="BS12"/>
  <c r="I12"/>
  <c r="G12"/>
  <c r="BS11"/>
  <c r="Z47" i="36" s="1"/>
  <c r="N479" s="1"/>
  <c r="I11" i="19"/>
  <c r="G11"/>
  <c r="BS10"/>
  <c r="I10"/>
  <c r="H79" s="1"/>
  <c r="G10"/>
  <c r="BS9"/>
  <c r="BS8"/>
  <c r="I8"/>
  <c r="G8"/>
  <c r="BS7"/>
  <c r="I7"/>
  <c r="G7"/>
  <c r="BS6"/>
  <c r="I6"/>
  <c r="G6"/>
  <c r="BS5"/>
  <c r="I5"/>
  <c r="G5"/>
  <c r="CP421" i="12"/>
  <c r="CO421"/>
  <c r="CN421"/>
  <c r="CM421"/>
  <c r="CL421"/>
  <c r="CK421"/>
  <c r="CJ421"/>
  <c r="CI421"/>
  <c r="CH421"/>
  <c r="CG421"/>
  <c r="CF421"/>
  <c r="CE421"/>
  <c r="CD421"/>
  <c r="CC421"/>
  <c r="CB421"/>
  <c r="CA421"/>
  <c r="BZ421"/>
  <c r="BY421"/>
  <c r="BX421"/>
  <c r="BW421"/>
  <c r="BV421"/>
  <c r="BU421"/>
  <c r="BT421"/>
  <c r="BS421"/>
  <c r="BR421"/>
  <c r="BQ421"/>
  <c r="BP421"/>
  <c r="BO421"/>
  <c r="BN421"/>
  <c r="BM421"/>
  <c r="BL421"/>
  <c r="BK421"/>
  <c r="BJ421"/>
  <c r="BI421"/>
  <c r="BH421"/>
  <c r="BG421"/>
  <c r="BF421"/>
  <c r="BE421"/>
  <c r="BD421"/>
  <c r="BC421"/>
  <c r="BB421"/>
  <c r="BA421"/>
  <c r="AZ421"/>
  <c r="AY421"/>
  <c r="AX421"/>
  <c r="AW421"/>
  <c r="AU421"/>
  <c r="AT421"/>
  <c r="AS421"/>
  <c r="AR421"/>
  <c r="AQ421"/>
  <c r="AP421"/>
  <c r="AO421"/>
  <c r="AN421"/>
  <c r="AM421"/>
  <c r="AL421"/>
  <c r="AK421"/>
  <c r="AJ421"/>
  <c r="AI421"/>
  <c r="AH421"/>
  <c r="AG421"/>
  <c r="AF421"/>
  <c r="AE421"/>
  <c r="AD421"/>
  <c r="AC421"/>
  <c r="AB421"/>
  <c r="AA421"/>
  <c r="Z421"/>
  <c r="Y421"/>
  <c r="X421"/>
  <c r="W421"/>
  <c r="V421"/>
  <c r="U421"/>
  <c r="T421"/>
  <c r="S421"/>
  <c r="R421"/>
  <c r="Q421"/>
  <c r="P421"/>
  <c r="O421"/>
  <c r="N421"/>
  <c r="M421"/>
  <c r="L421"/>
  <c r="K421"/>
  <c r="J421"/>
  <c r="I421"/>
  <c r="H421"/>
  <c r="G421"/>
  <c r="F421"/>
  <c r="E421"/>
  <c r="D421"/>
  <c r="C421"/>
  <c r="B421"/>
  <c r="CQ420"/>
  <c r="CP420"/>
  <c r="CO420"/>
  <c r="CN420"/>
  <c r="CM420"/>
  <c r="CL420"/>
  <c r="CK420"/>
  <c r="CJ420"/>
  <c r="CI420"/>
  <c r="CH420"/>
  <c r="CG420"/>
  <c r="CF420"/>
  <c r="CE420"/>
  <c r="CD420"/>
  <c r="CC420"/>
  <c r="CB420"/>
  <c r="CA420"/>
  <c r="BZ420"/>
  <c r="BY420"/>
  <c r="BX420"/>
  <c r="BW420"/>
  <c r="BV420"/>
  <c r="BU420"/>
  <c r="BT420"/>
  <c r="BS420"/>
  <c r="BR420"/>
  <c r="BQ420"/>
  <c r="BP420"/>
  <c r="BO420"/>
  <c r="BN420"/>
  <c r="BM420"/>
  <c r="BL420"/>
  <c r="BK420"/>
  <c r="BJ420"/>
  <c r="BI420"/>
  <c r="BH420"/>
  <c r="BG420"/>
  <c r="BF420"/>
  <c r="BE420"/>
  <c r="BD420"/>
  <c r="BC420"/>
  <c r="BB420"/>
  <c r="BA420"/>
  <c r="AZ420"/>
  <c r="AY420"/>
  <c r="AX420"/>
  <c r="AW420"/>
  <c r="AU420"/>
  <c r="AT420"/>
  <c r="AS420"/>
  <c r="AR420"/>
  <c r="AQ420"/>
  <c r="AP420"/>
  <c r="AO420"/>
  <c r="AN420"/>
  <c r="AM420"/>
  <c r="AL420"/>
  <c r="AK420"/>
  <c r="AJ420"/>
  <c r="AI420"/>
  <c r="AH420"/>
  <c r="AG420"/>
  <c r="AF420"/>
  <c r="AE420"/>
  <c r="AD420"/>
  <c r="AC420"/>
  <c r="AB420"/>
  <c r="AA420"/>
  <c r="Z420"/>
  <c r="Y420"/>
  <c r="X420"/>
  <c r="W420"/>
  <c r="V420"/>
  <c r="U420"/>
  <c r="T420"/>
  <c r="S420"/>
  <c r="R420"/>
  <c r="Q420"/>
  <c r="P420"/>
  <c r="O420"/>
  <c r="N420"/>
  <c r="M420"/>
  <c r="L420"/>
  <c r="K420"/>
  <c r="J420"/>
  <c r="I420"/>
  <c r="H420"/>
  <c r="G420"/>
  <c r="F420"/>
  <c r="E420"/>
  <c r="D420"/>
  <c r="C420"/>
  <c r="B420"/>
  <c r="K181"/>
  <c r="AJ111"/>
  <c r="AH111" s="1"/>
  <c r="AI111"/>
  <c r="AF111"/>
  <c r="AD111" s="1"/>
  <c r="AE111"/>
  <c r="AJ110"/>
  <c r="AI110"/>
  <c r="AF110"/>
  <c r="AE110"/>
  <c r="AJ109"/>
  <c r="AH109" s="1"/>
  <c r="AI109"/>
  <c r="AF109"/>
  <c r="AD109" s="1"/>
  <c r="AE109"/>
  <c r="AJ108"/>
  <c r="AH108" s="1"/>
  <c r="AI108"/>
  <c r="AF108"/>
  <c r="AE108"/>
  <c r="AJ107"/>
  <c r="AI107"/>
  <c r="AF107"/>
  <c r="AE107"/>
  <c r="AJ106"/>
  <c r="AH106" s="1"/>
  <c r="AI106"/>
  <c r="AF106"/>
  <c r="AE106"/>
  <c r="AJ105"/>
  <c r="AI105"/>
  <c r="AF105"/>
  <c r="AJ104"/>
  <c r="AI104"/>
  <c r="AF104"/>
  <c r="AE104"/>
  <c r="AJ103"/>
  <c r="AI103"/>
  <c r="AF103"/>
  <c r="AE103"/>
  <c r="AJ102"/>
  <c r="AI102"/>
  <c r="AF102"/>
  <c r="AE102"/>
  <c r="V102" i="36" s="1"/>
  <c r="AJ101" i="12"/>
  <c r="AI101"/>
  <c r="AF101"/>
  <c r="AE101"/>
  <c r="AJ100"/>
  <c r="AI100"/>
  <c r="AF100"/>
  <c r="AE100"/>
  <c r="AJ99"/>
  <c r="AI99"/>
  <c r="AF99"/>
  <c r="AE99"/>
  <c r="AJ98"/>
  <c r="AI98"/>
  <c r="AF98"/>
  <c r="AE98"/>
  <c r="V98" i="36" s="1"/>
  <c r="AJ97" i="12"/>
  <c r="AI97"/>
  <c r="AF97"/>
  <c r="AE97"/>
  <c r="AJ96"/>
  <c r="AI96"/>
  <c r="AF96"/>
  <c r="AE96"/>
  <c r="AJ95"/>
  <c r="AI95"/>
  <c r="AF95"/>
  <c r="AE95"/>
  <c r="AJ94"/>
  <c r="AI94"/>
  <c r="AF94"/>
  <c r="AE94"/>
  <c r="V94" i="36" s="1"/>
  <c r="AJ93" i="12"/>
  <c r="AI93"/>
  <c r="AF93"/>
  <c r="AE93"/>
  <c r="AJ92"/>
  <c r="AI92"/>
  <c r="AF92"/>
  <c r="AE92"/>
  <c r="AJ91"/>
  <c r="AI91"/>
  <c r="AF91"/>
  <c r="AE91"/>
  <c r="AJ90"/>
  <c r="AI90"/>
  <c r="AF90"/>
  <c r="AE90"/>
  <c r="AJ89"/>
  <c r="AI89"/>
  <c r="AF89"/>
  <c r="AE89"/>
  <c r="AJ88"/>
  <c r="AI88"/>
  <c r="AF88"/>
  <c r="AE88"/>
  <c r="AJ87"/>
  <c r="AI87"/>
  <c r="AF87"/>
  <c r="AE87"/>
  <c r="AJ86"/>
  <c r="AI86"/>
  <c r="AF86"/>
  <c r="AE86"/>
  <c r="AJ85"/>
  <c r="AI85"/>
  <c r="AF85"/>
  <c r="AE85"/>
  <c r="AJ84"/>
  <c r="AI84"/>
  <c r="AF84"/>
  <c r="AE84"/>
  <c r="AJ83"/>
  <c r="AI83"/>
  <c r="AF83"/>
  <c r="AE83"/>
  <c r="AJ82"/>
  <c r="AI82"/>
  <c r="AF82"/>
  <c r="AE82"/>
  <c r="AJ81"/>
  <c r="AI81"/>
  <c r="AF81"/>
  <c r="AE81"/>
  <c r="AJ80"/>
  <c r="AI80"/>
  <c r="AF80"/>
  <c r="AE80"/>
  <c r="AJ79"/>
  <c r="AI79"/>
  <c r="AF79"/>
  <c r="AE79"/>
  <c r="AJ78"/>
  <c r="AI78"/>
  <c r="AF78"/>
  <c r="AE78"/>
  <c r="AJ77"/>
  <c r="AI77"/>
  <c r="AF77"/>
  <c r="AE77"/>
  <c r="AJ76"/>
  <c r="AI76"/>
  <c r="AF76"/>
  <c r="AE76"/>
  <c r="AJ75"/>
  <c r="AI75"/>
  <c r="AF75"/>
  <c r="AE75"/>
  <c r="AJ74"/>
  <c r="AI74"/>
  <c r="AF74"/>
  <c r="AE74"/>
  <c r="AJ73"/>
  <c r="AI73"/>
  <c r="AF73"/>
  <c r="AE73"/>
  <c r="AJ72"/>
  <c r="AI72"/>
  <c r="AF72"/>
  <c r="AE72"/>
  <c r="AJ71"/>
  <c r="AI71"/>
  <c r="AF71"/>
  <c r="AE71"/>
  <c r="AJ70"/>
  <c r="AI70"/>
  <c r="AF70"/>
  <c r="AE70"/>
  <c r="AJ69"/>
  <c r="AI69"/>
  <c r="AF69"/>
  <c r="AE69"/>
  <c r="AJ68"/>
  <c r="AI68"/>
  <c r="AF68"/>
  <c r="AE68"/>
  <c r="AJ67"/>
  <c r="AI67"/>
  <c r="AF67"/>
  <c r="AE67"/>
  <c r="AJ66"/>
  <c r="AI66"/>
  <c r="AF66"/>
  <c r="AE66"/>
  <c r="AG912" i="9"/>
  <c r="AS912" s="1"/>
  <c r="B795"/>
  <c r="F777"/>
  <c r="AJ777" s="1"/>
  <c r="BC777" s="1"/>
  <c r="F776"/>
  <c r="AJ776" s="1"/>
  <c r="BC776" s="1"/>
  <c r="F775"/>
  <c r="AJ775" s="1"/>
  <c r="BC775" s="1"/>
  <c r="F774"/>
  <c r="AJ774" s="1"/>
  <c r="BC774" s="1"/>
  <c r="F773"/>
  <c r="AJ773" s="1"/>
  <c r="BC773" s="1"/>
  <c r="F772"/>
  <c r="AJ772" s="1"/>
  <c r="BC772" s="1"/>
  <c r="F770"/>
  <c r="AK770" s="1"/>
  <c r="F620"/>
  <c r="AK620" s="1"/>
  <c r="F619"/>
  <c r="AJ619" s="1"/>
  <c r="BC619" s="1"/>
  <c r="F618"/>
  <c r="AK618" s="1"/>
  <c r="F617"/>
  <c r="AJ617" s="1"/>
  <c r="BC617" s="1"/>
  <c r="F616"/>
  <c r="AK616" s="1"/>
  <c r="F615"/>
  <c r="AJ615" s="1"/>
  <c r="BC615" s="1"/>
  <c r="F614"/>
  <c r="AJ614" s="1"/>
  <c r="BC614" s="1"/>
  <c r="F613"/>
  <c r="AJ613" s="1"/>
  <c r="BC613" s="1"/>
  <c r="F612"/>
  <c r="AJ612" s="1"/>
  <c r="BC612" s="1"/>
  <c r="F611"/>
  <c r="AJ611" s="1"/>
  <c r="BC611" s="1"/>
  <c r="F610"/>
  <c r="AK610" s="1"/>
  <c r="F609"/>
  <c r="AJ609" s="1"/>
  <c r="BC609" s="1"/>
  <c r="F608"/>
  <c r="AJ608" s="1"/>
  <c r="BC608" s="1"/>
  <c r="F607"/>
  <c r="AJ607" s="1"/>
  <c r="BC607" s="1"/>
  <c r="F606"/>
  <c r="AJ606" s="1"/>
  <c r="BC606" s="1"/>
  <c r="F605"/>
  <c r="AJ605" s="1"/>
  <c r="BC605" s="1"/>
  <c r="F604"/>
  <c r="AK604" s="1"/>
  <c r="F603"/>
  <c r="AJ603" s="1"/>
  <c r="BC603" s="1"/>
  <c r="F602"/>
  <c r="AK602" s="1"/>
  <c r="F601"/>
  <c r="AJ601" s="1"/>
  <c r="BC601" s="1"/>
  <c r="F600"/>
  <c r="AK600" s="1"/>
  <c r="AS395"/>
  <c r="AS301"/>
  <c r="AS299"/>
  <c r="B79"/>
  <c r="P67" i="33"/>
  <c r="P66"/>
  <c r="P65"/>
  <c r="AD26"/>
  <c r="Z26"/>
  <c r="Z27" s="1"/>
  <c r="E19"/>
  <c r="R6"/>
  <c r="R523" i="36"/>
  <c r="R522"/>
  <c r="R521"/>
  <c r="E489"/>
  <c r="N484"/>
  <c r="N483"/>
  <c r="BW454"/>
  <c r="BR454"/>
  <c r="AQ454"/>
  <c r="AL454"/>
  <c r="K454"/>
  <c r="F454"/>
  <c r="BW453"/>
  <c r="BR453"/>
  <c r="AQ453"/>
  <c r="AL453"/>
  <c r="K453"/>
  <c r="F453"/>
  <c r="BW452"/>
  <c r="BR452"/>
  <c r="AQ452"/>
  <c r="AL452"/>
  <c r="K452"/>
  <c r="F452"/>
  <c r="AG448"/>
  <c r="F448"/>
  <c r="BK437"/>
  <c r="CF437" s="1"/>
  <c r="X437"/>
  <c r="T437"/>
  <c r="BK436"/>
  <c r="CF436" s="1"/>
  <c r="AE436"/>
  <c r="AE435"/>
  <c r="BR447" s="1"/>
  <c r="AE434"/>
  <c r="BM448" s="1"/>
  <c r="AE433"/>
  <c r="AG447" s="1"/>
  <c r="BS419"/>
  <c r="AM419"/>
  <c r="G419"/>
  <c r="BK406"/>
  <c r="AE405"/>
  <c r="CN430" s="1"/>
  <c r="AE404"/>
  <c r="F287"/>
  <c r="H257"/>
  <c r="P255"/>
  <c r="H255"/>
  <c r="P254"/>
  <c r="H254"/>
  <c r="P253"/>
  <c r="H253"/>
  <c r="H251"/>
  <c r="H250"/>
  <c r="H249"/>
  <c r="H248"/>
  <c r="H247"/>
  <c r="H246"/>
  <c r="H245"/>
  <c r="H244"/>
  <c r="H243"/>
  <c r="H242"/>
  <c r="P236"/>
  <c r="L236"/>
  <c r="H236"/>
  <c r="H235"/>
  <c r="AC227"/>
  <c r="AD226"/>
  <c r="CN169"/>
  <c r="CN164"/>
  <c r="CN163"/>
  <c r="CN54"/>
  <c r="AE52"/>
  <c r="N52"/>
  <c r="CN50"/>
  <c r="K35"/>
  <c r="E491" s="1"/>
  <c r="H35"/>
  <c r="J17"/>
  <c r="G17"/>
  <c r="J16"/>
  <c r="G16"/>
  <c r="J15"/>
  <c r="G15"/>
  <c r="J14"/>
  <c r="G14"/>
  <c r="G13"/>
  <c r="G12"/>
  <c r="G11"/>
  <c r="G10"/>
  <c r="G9"/>
  <c r="G7"/>
  <c r="G6"/>
  <c r="G5"/>
  <c r="G4"/>
  <c r="M3"/>
  <c r="AC2"/>
  <c r="D19" i="6"/>
  <c r="E18"/>
  <c r="D18"/>
  <c r="D17"/>
  <c r="D15"/>
  <c r="D14"/>
  <c r="D13"/>
  <c r="D12"/>
  <c r="D11"/>
  <c r="D10"/>
  <c r="E83" i="8"/>
  <c r="E82"/>
  <c r="E81"/>
  <c r="E80"/>
  <c r="E79"/>
  <c r="E78"/>
  <c r="E77"/>
  <c r="E76"/>
  <c r="E75"/>
  <c r="E74"/>
  <c r="E73"/>
  <c r="E72"/>
  <c r="E71"/>
  <c r="E70"/>
  <c r="E69"/>
  <c r="E68"/>
  <c r="E67"/>
  <c r="E66"/>
  <c r="E65"/>
  <c r="AW124" i="9"/>
  <c r="AX124"/>
  <c r="AY124"/>
  <c r="AZ124"/>
  <c r="Z4" i="32"/>
  <c r="Z5"/>
  <c r="Z6"/>
  <c r="Z7"/>
  <c r="Z8"/>
  <c r="Z9"/>
  <c r="Z10"/>
  <c r="Z11"/>
  <c r="Z12"/>
  <c r="Z13"/>
  <c r="Z14"/>
  <c r="Z15"/>
  <c r="Z16"/>
  <c r="Z17"/>
  <c r="Z18"/>
  <c r="Z19"/>
  <c r="Z20"/>
  <c r="Z21"/>
  <c r="J374" i="20"/>
  <c r="P184" i="36" s="1"/>
  <c r="L374" i="20"/>
  <c r="N186" i="36" s="1"/>
  <c r="Q374" i="20"/>
  <c r="R191" i="36" s="1"/>
  <c r="R374" i="20"/>
  <c r="T192" i="36" s="1"/>
  <c r="S374" i="20"/>
  <c r="W193" i="36" s="1"/>
  <c r="A453" i="9"/>
  <c r="A374"/>
  <c r="U103"/>
  <c r="AV103" s="1"/>
  <c r="M3"/>
  <c r="B124"/>
  <c r="AG136"/>
  <c r="AS136" s="1"/>
  <c r="AG142"/>
  <c r="AS142" s="1"/>
  <c r="AG143"/>
  <c r="AS143" s="1"/>
  <c r="AG131"/>
  <c r="AS131" s="1"/>
  <c r="AG132"/>
  <c r="AS132" s="1"/>
  <c r="AG133"/>
  <c r="AS133" s="1"/>
  <c r="AG134"/>
  <c r="AS134" s="1"/>
  <c r="AG135"/>
  <c r="AS135" s="1"/>
  <c r="AG137"/>
  <c r="AS137" s="1"/>
  <c r="AG138"/>
  <c r="AS138" s="1"/>
  <c r="AG139"/>
  <c r="AS139" s="1"/>
  <c r="AG140"/>
  <c r="AS140" s="1"/>
  <c r="AG141"/>
  <c r="AS141" s="1"/>
  <c r="AG146"/>
  <c r="AS146" s="1"/>
  <c r="AG147"/>
  <c r="AS147" s="1"/>
  <c r="AG148"/>
  <c r="AS148" s="1"/>
  <c r="AG567"/>
  <c r="AS567" s="1"/>
  <c r="AG582"/>
  <c r="AS582" s="1"/>
  <c r="AG583"/>
  <c r="AS583" s="1"/>
  <c r="AG554"/>
  <c r="AS554" s="1"/>
  <c r="AG555"/>
  <c r="AS555" s="1"/>
  <c r="AG556"/>
  <c r="AS556" s="1"/>
  <c r="AG558"/>
  <c r="AS558" s="1"/>
  <c r="AG559"/>
  <c r="AS559" s="1"/>
  <c r="AG560"/>
  <c r="AS560" s="1"/>
  <c r="AG561"/>
  <c r="AS561" s="1"/>
  <c r="AG562"/>
  <c r="AS562" s="1"/>
  <c r="AG563"/>
  <c r="AS563" s="1"/>
  <c r="AG564"/>
  <c r="AS564" s="1"/>
  <c r="AG565"/>
  <c r="AS565" s="1"/>
  <c r="AG566"/>
  <c r="AS566" s="1"/>
  <c r="AG568"/>
  <c r="AS568" s="1"/>
  <c r="AG569"/>
  <c r="AS569" s="1"/>
  <c r="AG570"/>
  <c r="AS570" s="1"/>
  <c r="AG571"/>
  <c r="AS571" s="1"/>
  <c r="AG572"/>
  <c r="AS572" s="1"/>
  <c r="AG573"/>
  <c r="AS573" s="1"/>
  <c r="AG574"/>
  <c r="AS574" s="1"/>
  <c r="AG575"/>
  <c r="AS575" s="1"/>
  <c r="AG576"/>
  <c r="AS576" s="1"/>
  <c r="AG577"/>
  <c r="AS577" s="1"/>
  <c r="AG578"/>
  <c r="AS578" s="1"/>
  <c r="AG579"/>
  <c r="AS579" s="1"/>
  <c r="AG580"/>
  <c r="AS580" s="1"/>
  <c r="AG581"/>
  <c r="AS581" s="1"/>
  <c r="AG584"/>
  <c r="AS584" s="1"/>
  <c r="AG585"/>
  <c r="AS585" s="1"/>
  <c r="AG881"/>
  <c r="AS881" s="1"/>
  <c r="AG879"/>
  <c r="AS879" s="1"/>
  <c r="AG880"/>
  <c r="AS880" s="1"/>
  <c r="AG882"/>
  <c r="AS882" s="1"/>
  <c r="AG883"/>
  <c r="AS883" s="1"/>
  <c r="AG884"/>
  <c r="AS884" s="1"/>
  <c r="AG7"/>
  <c r="AS7" s="1"/>
  <c r="AG8"/>
  <c r="AS8" s="1"/>
  <c r="AG9"/>
  <c r="AS9" s="1"/>
  <c r="AG10"/>
  <c r="AS10" s="1"/>
  <c r="AG11"/>
  <c r="AS11" s="1"/>
  <c r="AG12"/>
  <c r="AS12" s="1"/>
  <c r="AG13"/>
  <c r="AS13" s="1"/>
  <c r="AG19"/>
  <c r="AS19" s="1"/>
  <c r="AG20"/>
  <c r="AS20" s="1"/>
  <c r="AG21"/>
  <c r="AS21" s="1"/>
  <c r="AG22"/>
  <c r="AS22" s="1"/>
  <c r="AG23"/>
  <c r="AS23" s="1"/>
  <c r="AG24"/>
  <c r="AS24" s="1"/>
  <c r="AG25"/>
  <c r="AS25" s="1"/>
  <c r="AG26"/>
  <c r="AS26" s="1"/>
  <c r="AG27"/>
  <c r="AS27" s="1"/>
  <c r="AG28"/>
  <c r="AS28" s="1"/>
  <c r="AG30"/>
  <c r="AS30" s="1"/>
  <c r="AG31"/>
  <c r="AS31" s="1"/>
  <c r="AG32"/>
  <c r="AS32" s="1"/>
  <c r="AG33"/>
  <c r="AS33" s="1"/>
  <c r="AG34"/>
  <c r="AS34" s="1"/>
  <c r="AG36"/>
  <c r="AS36" s="1"/>
  <c r="AG37"/>
  <c r="AS37" s="1"/>
  <c r="AG38"/>
  <c r="AS38" s="1"/>
  <c r="AG39"/>
  <c r="AS39" s="1"/>
  <c r="AG40"/>
  <c r="AS40" s="1"/>
  <c r="AG42"/>
  <c r="AS42" s="1"/>
  <c r="AG43"/>
  <c r="AS43" s="1"/>
  <c r="AG44"/>
  <c r="AS44" s="1"/>
  <c r="AG45"/>
  <c r="AS45" s="1"/>
  <c r="AG46"/>
  <c r="AS46" s="1"/>
  <c r="AG48"/>
  <c r="AS48" s="1"/>
  <c r="AG52"/>
  <c r="AS52" s="1"/>
  <c r="AG61"/>
  <c r="AS61" s="1"/>
  <c r="AG62"/>
  <c r="AS62" s="1"/>
  <c r="AG63"/>
  <c r="AS63" s="1"/>
  <c r="AG65"/>
  <c r="AS65" s="1"/>
  <c r="AG66"/>
  <c r="AS66" s="1"/>
  <c r="AG67"/>
  <c r="AS67" s="1"/>
  <c r="AG68"/>
  <c r="AS68" s="1"/>
  <c r="AG70"/>
  <c r="AS70" s="1"/>
  <c r="AG71"/>
  <c r="AS71" s="1"/>
  <c r="AG72"/>
  <c r="AS72" s="1"/>
  <c r="AG73"/>
  <c r="AS73" s="1"/>
  <c r="AG74"/>
  <c r="AS74" s="1"/>
  <c r="AG76"/>
  <c r="AS76" s="1"/>
  <c r="AG77"/>
  <c r="AS77" s="1"/>
  <c r="AG78"/>
  <c r="AS78" s="1"/>
  <c r="AG80"/>
  <c r="AS80" s="1"/>
  <c r="AG81"/>
  <c r="AS81" s="1"/>
  <c r="AG83"/>
  <c r="AS83" s="1"/>
  <c r="AG84"/>
  <c r="AS84" s="1"/>
  <c r="AG85"/>
  <c r="AS85" s="1"/>
  <c r="AG86"/>
  <c r="AS86" s="1"/>
  <c r="AG87"/>
  <c r="AS87" s="1"/>
  <c r="AG88"/>
  <c r="AS88" s="1"/>
  <c r="AG89"/>
  <c r="AS89" s="1"/>
  <c r="AG90"/>
  <c r="AS90" s="1"/>
  <c r="AG91"/>
  <c r="AS91" s="1"/>
  <c r="AG93"/>
  <c r="AS93" s="1"/>
  <c r="AG95"/>
  <c r="AS95" s="1"/>
  <c r="AG96"/>
  <c r="AS96" s="1"/>
  <c r="AG99"/>
  <c r="AS99" s="1"/>
  <c r="AG101"/>
  <c r="AS101" s="1"/>
  <c r="AG102"/>
  <c r="AS102" s="1"/>
  <c r="AG103"/>
  <c r="AS103" s="1"/>
  <c r="AG104"/>
  <c r="AS104" s="1"/>
  <c r="AG107"/>
  <c r="AS107" s="1"/>
  <c r="AG108"/>
  <c r="AS108" s="1"/>
  <c r="AG109"/>
  <c r="AS109" s="1"/>
  <c r="AG111"/>
  <c r="AS111" s="1"/>
  <c r="AG112"/>
  <c r="AS112" s="1"/>
  <c r="AG113"/>
  <c r="AS113" s="1"/>
  <c r="AG114"/>
  <c r="AS114" s="1"/>
  <c r="AG115"/>
  <c r="AS115" s="1"/>
  <c r="AG116"/>
  <c r="AS116" s="1"/>
  <c r="AG117"/>
  <c r="AS117" s="1"/>
  <c r="AG118"/>
  <c r="AS118" s="1"/>
  <c r="AG121"/>
  <c r="AS121" s="1"/>
  <c r="AG122"/>
  <c r="AS122" s="1"/>
  <c r="AG123"/>
  <c r="AS123" s="1"/>
  <c r="AG126"/>
  <c r="AS126" s="1"/>
  <c r="AG127"/>
  <c r="AS127" s="1"/>
  <c r="AG151"/>
  <c r="AS151" s="1"/>
  <c r="AG152"/>
  <c r="AS152" s="1"/>
  <c r="AG153"/>
  <c r="AS153" s="1"/>
  <c r="AG154"/>
  <c r="AS154" s="1"/>
  <c r="AG155"/>
  <c r="AS155" s="1"/>
  <c r="AG156"/>
  <c r="AS156" s="1"/>
  <c r="AG157"/>
  <c r="AS157" s="1"/>
  <c r="AG158"/>
  <c r="AS158" s="1"/>
  <c r="AG159"/>
  <c r="AS159" s="1"/>
  <c r="AG160"/>
  <c r="AS160" s="1"/>
  <c r="AG161"/>
  <c r="AS161" s="1"/>
  <c r="AG162"/>
  <c r="AS162" s="1"/>
  <c r="AG163"/>
  <c r="AS163" s="1"/>
  <c r="AG164"/>
  <c r="AS164" s="1"/>
  <c r="AG165"/>
  <c r="AS165" s="1"/>
  <c r="AG166"/>
  <c r="AS166" s="1"/>
  <c r="AG167"/>
  <c r="AS167" s="1"/>
  <c r="AG168"/>
  <c r="AS168" s="1"/>
  <c r="AG169"/>
  <c r="AS169" s="1"/>
  <c r="AG170"/>
  <c r="AS170" s="1"/>
  <c r="AG171"/>
  <c r="AS171" s="1"/>
  <c r="AG172"/>
  <c r="AS172" s="1"/>
  <c r="AG173"/>
  <c r="AS173" s="1"/>
  <c r="AG174"/>
  <c r="AS174" s="1"/>
  <c r="AG175"/>
  <c r="AS175" s="1"/>
  <c r="AG176"/>
  <c r="AS176" s="1"/>
  <c r="AG177"/>
  <c r="AS177" s="1"/>
  <c r="AG178"/>
  <c r="AS178" s="1"/>
  <c r="AG179"/>
  <c r="AS179" s="1"/>
  <c r="AG180"/>
  <c r="AS180" s="1"/>
  <c r="AG181"/>
  <c r="AS181" s="1"/>
  <c r="AG182"/>
  <c r="AS182" s="1"/>
  <c r="AG183"/>
  <c r="AS183" s="1"/>
  <c r="AG184"/>
  <c r="AS184" s="1"/>
  <c r="AG185"/>
  <c r="AS185" s="1"/>
  <c r="AG186"/>
  <c r="AS186" s="1"/>
  <c r="AG187"/>
  <c r="AS187" s="1"/>
  <c r="AG188"/>
  <c r="AS188" s="1"/>
  <c r="AG190"/>
  <c r="AS190" s="1"/>
  <c r="AG191"/>
  <c r="AS191" s="1"/>
  <c r="AG193"/>
  <c r="AS193" s="1"/>
  <c r="AG194"/>
  <c r="AS194" s="1"/>
  <c r="AG195"/>
  <c r="AS195" s="1"/>
  <c r="AG196"/>
  <c r="AS196" s="1"/>
  <c r="AG197"/>
  <c r="AS197" s="1"/>
  <c r="AG198"/>
  <c r="AS198" s="1"/>
  <c r="AG199"/>
  <c r="AS199" s="1"/>
  <c r="AG200"/>
  <c r="AS200" s="1"/>
  <c r="AG201"/>
  <c r="AS201" s="1"/>
  <c r="AG202"/>
  <c r="AS202" s="1"/>
  <c r="AG205"/>
  <c r="AS205" s="1"/>
  <c r="AG207"/>
  <c r="AS207" s="1"/>
  <c r="AG208"/>
  <c r="AS208" s="1"/>
  <c r="AG209"/>
  <c r="AS209" s="1"/>
  <c r="AG210"/>
  <c r="AS210" s="1"/>
  <c r="AG211"/>
  <c r="AS211" s="1"/>
  <c r="AG214"/>
  <c r="AS214" s="1"/>
  <c r="AG215"/>
  <c r="AS215" s="1"/>
  <c r="AG216"/>
  <c r="AS216" s="1"/>
  <c r="AG217"/>
  <c r="AS217" s="1"/>
  <c r="AG218"/>
  <c r="AS218" s="1"/>
  <c r="AG219"/>
  <c r="AS219" s="1"/>
  <c r="AG220"/>
  <c r="AS220" s="1"/>
  <c r="AG221"/>
  <c r="AS221" s="1"/>
  <c r="AG222"/>
  <c r="AS222" s="1"/>
  <c r="AG223"/>
  <c r="AS223" s="1"/>
  <c r="AG224"/>
  <c r="AS224" s="1"/>
  <c r="AG225"/>
  <c r="AS225" s="1"/>
  <c r="AG226"/>
  <c r="AS226" s="1"/>
  <c r="AG228"/>
  <c r="AS228" s="1"/>
  <c r="AG229"/>
  <c r="AG230"/>
  <c r="AS230" s="1"/>
  <c r="AG231"/>
  <c r="AS231" s="1"/>
  <c r="AG232"/>
  <c r="AS232" s="1"/>
  <c r="AG233"/>
  <c r="AS233" s="1"/>
  <c r="AG236"/>
  <c r="AS236" s="1"/>
  <c r="AG237"/>
  <c r="AS237" s="1"/>
  <c r="AG238"/>
  <c r="AS238" s="1"/>
  <c r="AG239"/>
  <c r="AS239" s="1"/>
  <c r="AG240"/>
  <c r="AS240" s="1"/>
  <c r="AG241"/>
  <c r="AS241" s="1"/>
  <c r="AG242"/>
  <c r="AS242" s="1"/>
  <c r="AG243"/>
  <c r="AS243" s="1"/>
  <c r="AG244"/>
  <c r="AS244" s="1"/>
  <c r="AG246"/>
  <c r="AS246" s="1"/>
  <c r="AG247"/>
  <c r="AS247" s="1"/>
  <c r="AG248"/>
  <c r="AS248" s="1"/>
  <c r="AG249"/>
  <c r="AS249" s="1"/>
  <c r="AG251"/>
  <c r="AS251" s="1"/>
  <c r="AG252"/>
  <c r="AS252" s="1"/>
  <c r="AG254"/>
  <c r="AS254" s="1"/>
  <c r="AG255"/>
  <c r="AS255" s="1"/>
  <c r="AG256"/>
  <c r="AS256" s="1"/>
  <c r="AG257"/>
  <c r="AS257" s="1"/>
  <c r="AG258"/>
  <c r="AS258" s="1"/>
  <c r="AG259"/>
  <c r="AS259" s="1"/>
  <c r="AG260"/>
  <c r="AS260" s="1"/>
  <c r="AG261"/>
  <c r="AS261" s="1"/>
  <c r="AG262"/>
  <c r="AS262" s="1"/>
  <c r="AG263"/>
  <c r="AS263" s="1"/>
  <c r="AG264"/>
  <c r="AS264" s="1"/>
  <c r="AG266"/>
  <c r="AS266" s="1"/>
  <c r="AG267"/>
  <c r="AS267" s="1"/>
  <c r="AG268"/>
  <c r="AS268" s="1"/>
  <c r="AG269"/>
  <c r="AS269" s="1"/>
  <c r="AG270"/>
  <c r="AS270" s="1"/>
  <c r="AG271"/>
  <c r="AS271" s="1"/>
  <c r="AG272"/>
  <c r="AS272" s="1"/>
  <c r="AG273"/>
  <c r="AS273" s="1"/>
  <c r="AG274"/>
  <c r="AS274" s="1"/>
  <c r="AG275"/>
  <c r="AS275" s="1"/>
  <c r="AG276"/>
  <c r="AS276" s="1"/>
  <c r="AG277"/>
  <c r="AS277" s="1"/>
  <c r="AG278"/>
  <c r="AS278" s="1"/>
  <c r="AG279"/>
  <c r="AS279" s="1"/>
  <c r="AG280"/>
  <c r="AS280" s="1"/>
  <c r="AG281"/>
  <c r="AS281" s="1"/>
  <c r="AG282"/>
  <c r="AS282" s="1"/>
  <c r="AG283"/>
  <c r="AS283" s="1"/>
  <c r="AG284"/>
  <c r="AS284" s="1"/>
  <c r="AG285"/>
  <c r="AS285" s="1"/>
  <c r="AG286"/>
  <c r="AS286" s="1"/>
  <c r="AG287"/>
  <c r="AS287" s="1"/>
  <c r="AG288"/>
  <c r="AS288" s="1"/>
  <c r="AG289"/>
  <c r="AS289" s="1"/>
  <c r="AG290"/>
  <c r="AS290" s="1"/>
  <c r="AG291"/>
  <c r="AS291" s="1"/>
  <c r="AG292"/>
  <c r="AS292" s="1"/>
  <c r="AG294"/>
  <c r="AS294" s="1"/>
  <c r="AG295"/>
  <c r="AS295" s="1"/>
  <c r="AG299"/>
  <c r="AG300"/>
  <c r="AG301"/>
  <c r="AG302"/>
  <c r="AS302" s="1"/>
  <c r="AG303"/>
  <c r="AS303" s="1"/>
  <c r="AG304"/>
  <c r="AS304" s="1"/>
  <c r="AG305"/>
  <c r="AS305" s="1"/>
  <c r="AG306"/>
  <c r="AS306" s="1"/>
  <c r="AG307"/>
  <c r="AS307" s="1"/>
  <c r="AG308"/>
  <c r="AS308" s="1"/>
  <c r="AG309"/>
  <c r="AS309" s="1"/>
  <c r="AG310"/>
  <c r="AS310" s="1"/>
  <c r="AG311"/>
  <c r="AS311" s="1"/>
  <c r="AG312"/>
  <c r="AS312" s="1"/>
  <c r="AG313"/>
  <c r="AS313" s="1"/>
  <c r="AG314"/>
  <c r="AS314" s="1"/>
  <c r="AG315"/>
  <c r="AS315" s="1"/>
  <c r="AG316"/>
  <c r="AS316" s="1"/>
  <c r="AG317"/>
  <c r="AS317" s="1"/>
  <c r="AG318"/>
  <c r="AS318" s="1"/>
  <c r="AG319"/>
  <c r="AS319" s="1"/>
  <c r="AG320"/>
  <c r="AS320" s="1"/>
  <c r="AG321"/>
  <c r="AS321" s="1"/>
  <c r="AG322"/>
  <c r="AS322" s="1"/>
  <c r="AG323"/>
  <c r="AS323" s="1"/>
  <c r="AG324"/>
  <c r="AS324" s="1"/>
  <c r="AG325"/>
  <c r="AS325" s="1"/>
  <c r="AG326"/>
  <c r="AS326" s="1"/>
  <c r="AG327"/>
  <c r="AS327" s="1"/>
  <c r="AG328"/>
  <c r="AS328" s="1"/>
  <c r="AG329"/>
  <c r="AS329" s="1"/>
  <c r="AG330"/>
  <c r="AS330" s="1"/>
  <c r="AG331"/>
  <c r="AS331" s="1"/>
  <c r="AG332"/>
  <c r="AS332" s="1"/>
  <c r="AG333"/>
  <c r="AS333" s="1"/>
  <c r="AG334"/>
  <c r="AS334" s="1"/>
  <c r="AG336"/>
  <c r="AS336" s="1"/>
  <c r="AG337"/>
  <c r="AS337" s="1"/>
  <c r="AG338"/>
  <c r="AS338" s="1"/>
  <c r="AG339"/>
  <c r="AS339" s="1"/>
  <c r="AG340"/>
  <c r="AS340" s="1"/>
  <c r="AG341"/>
  <c r="AS341" s="1"/>
  <c r="AG342"/>
  <c r="AS342" s="1"/>
  <c r="AG343"/>
  <c r="AS343" s="1"/>
  <c r="AG344"/>
  <c r="AS344" s="1"/>
  <c r="AG345"/>
  <c r="AS345" s="1"/>
  <c r="AG348"/>
  <c r="AS348" s="1"/>
  <c r="AG349"/>
  <c r="AS349" s="1"/>
  <c r="AG350"/>
  <c r="AS350" s="1"/>
  <c r="AG351"/>
  <c r="AS351" s="1"/>
  <c r="AG352"/>
  <c r="AS352" s="1"/>
  <c r="AG353"/>
  <c r="AS353" s="1"/>
  <c r="AG354"/>
  <c r="AS354" s="1"/>
  <c r="AG355"/>
  <c r="AS355" s="1"/>
  <c r="AG356"/>
  <c r="AS356" s="1"/>
  <c r="AG357"/>
  <c r="AS357" s="1"/>
  <c r="AG358"/>
  <c r="AS358" s="1"/>
  <c r="AG359"/>
  <c r="AS359" s="1"/>
  <c r="AG360"/>
  <c r="AS360" s="1"/>
  <c r="AG361"/>
  <c r="AS361" s="1"/>
  <c r="AG363"/>
  <c r="AS363" s="1"/>
  <c r="AG364"/>
  <c r="AS364" s="1"/>
  <c r="AG365"/>
  <c r="AS365" s="1"/>
  <c r="AG366"/>
  <c r="AS366" s="1"/>
  <c r="AG367"/>
  <c r="AS367" s="1"/>
  <c r="AG368"/>
  <c r="AS368" s="1"/>
  <c r="AG369"/>
  <c r="AS369" s="1"/>
  <c r="AG370"/>
  <c r="AS370" s="1"/>
  <c r="AG371"/>
  <c r="AS371" s="1"/>
  <c r="AG372"/>
  <c r="AS372" s="1"/>
  <c r="AG373"/>
  <c r="AS373" s="1"/>
  <c r="AG374"/>
  <c r="AS374" s="1"/>
  <c r="AG375"/>
  <c r="AS375" s="1"/>
  <c r="AG376"/>
  <c r="AS376" s="1"/>
  <c r="AG377"/>
  <c r="AS377" s="1"/>
  <c r="AG378"/>
  <c r="AS378" s="1"/>
  <c r="AG379"/>
  <c r="AS379" s="1"/>
  <c r="AG380"/>
  <c r="AS380" s="1"/>
  <c r="AG381"/>
  <c r="AS381" s="1"/>
  <c r="AG382"/>
  <c r="AS382" s="1"/>
  <c r="AG383"/>
  <c r="AS383" s="1"/>
  <c r="AG384"/>
  <c r="AS384" s="1"/>
  <c r="AG385"/>
  <c r="AS385" s="1"/>
  <c r="AG386"/>
  <c r="AS386" s="1"/>
  <c r="AG387"/>
  <c r="AS387" s="1"/>
  <c r="AG388"/>
  <c r="AS393" s="1"/>
  <c r="AG389"/>
  <c r="AS389" s="1"/>
  <c r="AG390"/>
  <c r="AS394" s="1"/>
  <c r="AG393"/>
  <c r="AG394"/>
  <c r="AG395"/>
  <c r="AG396"/>
  <c r="AS396" s="1"/>
  <c r="AG397"/>
  <c r="AS397" s="1"/>
  <c r="AG398"/>
  <c r="AS398" s="1"/>
  <c r="AG399"/>
  <c r="AS399" s="1"/>
  <c r="AG400"/>
  <c r="AS400" s="1"/>
  <c r="AG401"/>
  <c r="AS401" s="1"/>
  <c r="AG402"/>
  <c r="AS402" s="1"/>
  <c r="AG403"/>
  <c r="AS403" s="1"/>
  <c r="AG404"/>
  <c r="AS404" s="1"/>
  <c r="AG405"/>
  <c r="AS405" s="1"/>
  <c r="AG406"/>
  <c r="AS406" s="1"/>
  <c r="AG407"/>
  <c r="AS407" s="1"/>
  <c r="AG408"/>
  <c r="AS408" s="1"/>
  <c r="AG409"/>
  <c r="AS409" s="1"/>
  <c r="AG410"/>
  <c r="AS410" s="1"/>
  <c r="AG411"/>
  <c r="AS411" s="1"/>
  <c r="AG412"/>
  <c r="AS412" s="1"/>
  <c r="AG413"/>
  <c r="AS413" s="1"/>
  <c r="AG414"/>
  <c r="AS414" s="1"/>
  <c r="AG415"/>
  <c r="AS415" s="1"/>
  <c r="AG416"/>
  <c r="AS416" s="1"/>
  <c r="AG417"/>
  <c r="AS417" s="1"/>
  <c r="AG418"/>
  <c r="AS418" s="1"/>
  <c r="AG419"/>
  <c r="AS419" s="1"/>
  <c r="AG420"/>
  <c r="AS420" s="1"/>
  <c r="AG421"/>
  <c r="AS421" s="1"/>
  <c r="AG422"/>
  <c r="AS422" s="1"/>
  <c r="AG423"/>
  <c r="AS423" s="1"/>
  <c r="AG424"/>
  <c r="AS424" s="1"/>
  <c r="AG425"/>
  <c r="AS425" s="1"/>
  <c r="AG427"/>
  <c r="AS427" s="1"/>
  <c r="AG428"/>
  <c r="AS428" s="1"/>
  <c r="AG429"/>
  <c r="AS429" s="1"/>
  <c r="AG430"/>
  <c r="AS430" s="1"/>
  <c r="AG431"/>
  <c r="AS431" s="1"/>
  <c r="AG432"/>
  <c r="AS432" s="1"/>
  <c r="AG433"/>
  <c r="AS433" s="1"/>
  <c r="AG434"/>
  <c r="AS434" s="1"/>
  <c r="AG435"/>
  <c r="AS435" s="1"/>
  <c r="AG436"/>
  <c r="AS436" s="1"/>
  <c r="AG437"/>
  <c r="AS437" s="1"/>
  <c r="AG439"/>
  <c r="AS439" s="1"/>
  <c r="AG440"/>
  <c r="AS440" s="1"/>
  <c r="AG442"/>
  <c r="AS442" s="1"/>
  <c r="AG443"/>
  <c r="AS443" s="1"/>
  <c r="AG444"/>
  <c r="AS444" s="1"/>
  <c r="AG445"/>
  <c r="AS445" s="1"/>
  <c r="AG446"/>
  <c r="AS446" s="1"/>
  <c r="AG447"/>
  <c r="AS447" s="1"/>
  <c r="AG448"/>
  <c r="AS448" s="1"/>
  <c r="AG449"/>
  <c r="AS449" s="1"/>
  <c r="AG450"/>
  <c r="AS450" s="1"/>
  <c r="AG451"/>
  <c r="AS451" s="1"/>
  <c r="AG452"/>
  <c r="AS452" s="1"/>
  <c r="AG453"/>
  <c r="AS453" s="1"/>
  <c r="AG454"/>
  <c r="AS454" s="1"/>
  <c r="AG455"/>
  <c r="AS455" s="1"/>
  <c r="AG456"/>
  <c r="AS456" s="1"/>
  <c r="AG457"/>
  <c r="AS457" s="1"/>
  <c r="AG458"/>
  <c r="AS458" s="1"/>
  <c r="AG459"/>
  <c r="AS459" s="1"/>
  <c r="AG460"/>
  <c r="AS460" s="1"/>
  <c r="AG461"/>
  <c r="AS461" s="1"/>
  <c r="AG462"/>
  <c r="AS462" s="1"/>
  <c r="AG463"/>
  <c r="AS463" s="1"/>
  <c r="AG464"/>
  <c r="AS464" s="1"/>
  <c r="AG465"/>
  <c r="AS465" s="1"/>
  <c r="AG466"/>
  <c r="AS466" s="1"/>
  <c r="AG467"/>
  <c r="AS467" s="1"/>
  <c r="AG468"/>
  <c r="AS468" s="1"/>
  <c r="AG470"/>
  <c r="AS470" s="1"/>
  <c r="AG475"/>
  <c r="AS475" s="1"/>
  <c r="AG476"/>
  <c r="AS476" s="1"/>
  <c r="AG477"/>
  <c r="AS477" s="1"/>
  <c r="AG479"/>
  <c r="AS479" s="1"/>
  <c r="AG480"/>
  <c r="AS480" s="1"/>
  <c r="AG481"/>
  <c r="AS481" s="1"/>
  <c r="AG483"/>
  <c r="AS483" s="1"/>
  <c r="AG484"/>
  <c r="AS484" s="1"/>
  <c r="AG487"/>
  <c r="AS487" s="1"/>
  <c r="AG488"/>
  <c r="AS488" s="1"/>
  <c r="AG489"/>
  <c r="AS489" s="1"/>
  <c r="AG490"/>
  <c r="AS490" s="1"/>
  <c r="AG491"/>
  <c r="AS491" s="1"/>
  <c r="AG492"/>
  <c r="AS492" s="1"/>
  <c r="AG493"/>
  <c r="AS493" s="1"/>
  <c r="AG494"/>
  <c r="AS494" s="1"/>
  <c r="AG495"/>
  <c r="AS495" s="1"/>
  <c r="AG496"/>
  <c r="AS496" s="1"/>
  <c r="AG497"/>
  <c r="AS497" s="1"/>
  <c r="AG498"/>
  <c r="AS498" s="1"/>
  <c r="AG499"/>
  <c r="AS499" s="1"/>
  <c r="AG500"/>
  <c r="AS500" s="1"/>
  <c r="AG501"/>
  <c r="AS501" s="1"/>
  <c r="AG502"/>
  <c r="AS502" s="1"/>
  <c r="AG503"/>
  <c r="AS503" s="1"/>
  <c r="AG504"/>
  <c r="AS504" s="1"/>
  <c r="AG505"/>
  <c r="AS505" s="1"/>
  <c r="AG506"/>
  <c r="AS506" s="1"/>
  <c r="AG507"/>
  <c r="AS507" s="1"/>
  <c r="AG508"/>
  <c r="AS508" s="1"/>
  <c r="AG509"/>
  <c r="AS509" s="1"/>
  <c r="AG510"/>
  <c r="AS510" s="1"/>
  <c r="AG511"/>
  <c r="AS511" s="1"/>
  <c r="AG512"/>
  <c r="AS512" s="1"/>
  <c r="AG513"/>
  <c r="AS513" s="1"/>
  <c r="AG514"/>
  <c r="AS514" s="1"/>
  <c r="AG515"/>
  <c r="AS515" s="1"/>
  <c r="AG516"/>
  <c r="AS516" s="1"/>
  <c r="AG517"/>
  <c r="AS517" s="1"/>
  <c r="AG518"/>
  <c r="AS518" s="1"/>
  <c r="AG519"/>
  <c r="AS519" s="1"/>
  <c r="AG520"/>
  <c r="AS520" s="1"/>
  <c r="AG521"/>
  <c r="AS521" s="1"/>
  <c r="AG522"/>
  <c r="AS522" s="1"/>
  <c r="AG523"/>
  <c r="AS523" s="1"/>
  <c r="AG524"/>
  <c r="AS524" s="1"/>
  <c r="AG525"/>
  <c r="AS525" s="1"/>
  <c r="AG526"/>
  <c r="AS526" s="1"/>
  <c r="AG527"/>
  <c r="AS527" s="1"/>
  <c r="AG528"/>
  <c r="AS528" s="1"/>
  <c r="AG529"/>
  <c r="AS529" s="1"/>
  <c r="AG530"/>
  <c r="AS530" s="1"/>
  <c r="AG531"/>
  <c r="AS531" s="1"/>
  <c r="AG532"/>
  <c r="AS532" s="1"/>
  <c r="AG533"/>
  <c r="AS533" s="1"/>
  <c r="AG534"/>
  <c r="AS534" s="1"/>
  <c r="AG535"/>
  <c r="AS535" s="1"/>
  <c r="AG536"/>
  <c r="AS536" s="1"/>
  <c r="AG537"/>
  <c r="AS537" s="1"/>
  <c r="AG538"/>
  <c r="AS538" s="1"/>
  <c r="AG539"/>
  <c r="AS539" s="1"/>
  <c r="AG540"/>
  <c r="AS540" s="1"/>
  <c r="AG541"/>
  <c r="AS541" s="1"/>
  <c r="AG542"/>
  <c r="AS542" s="1"/>
  <c r="AG543"/>
  <c r="AS543" s="1"/>
  <c r="AG544"/>
  <c r="AS544" s="1"/>
  <c r="AG545"/>
  <c r="AS545" s="1"/>
  <c r="AG546"/>
  <c r="AS546" s="1"/>
  <c r="AG547"/>
  <c r="AS547" s="1"/>
  <c r="AG548"/>
  <c r="AS548" s="1"/>
  <c r="AG549"/>
  <c r="AS549" s="1"/>
  <c r="AG550"/>
  <c r="AS550" s="1"/>
  <c r="AG551"/>
  <c r="AS551" s="1"/>
  <c r="AG588"/>
  <c r="AS588" s="1"/>
  <c r="AG589"/>
  <c r="AS589" s="1"/>
  <c r="AG590"/>
  <c r="AS590" s="1"/>
  <c r="AG591"/>
  <c r="AS591" s="1"/>
  <c r="AG592"/>
  <c r="AS592" s="1"/>
  <c r="AG594"/>
  <c r="AS594" s="1"/>
  <c r="AG595"/>
  <c r="AS595" s="1"/>
  <c r="AG596"/>
  <c r="AS596" s="1"/>
  <c r="AG597"/>
  <c r="AS597" s="1"/>
  <c r="AG598"/>
  <c r="AS598" s="1"/>
  <c r="AG599"/>
  <c r="AS599" s="1"/>
  <c r="AG600"/>
  <c r="AS600" s="1"/>
  <c r="AG601"/>
  <c r="AS601" s="1"/>
  <c r="AG602"/>
  <c r="AS602" s="1"/>
  <c r="AG603"/>
  <c r="AS603" s="1"/>
  <c r="AG604"/>
  <c r="AS604" s="1"/>
  <c r="AG605"/>
  <c r="AS605" s="1"/>
  <c r="AG606"/>
  <c r="AS606" s="1"/>
  <c r="AG607"/>
  <c r="AS607" s="1"/>
  <c r="AG608"/>
  <c r="AS608" s="1"/>
  <c r="AG609"/>
  <c r="AS609" s="1"/>
  <c r="AG610"/>
  <c r="AS610" s="1"/>
  <c r="AG611"/>
  <c r="AS611" s="1"/>
  <c r="AG612"/>
  <c r="AS612" s="1"/>
  <c r="AG613"/>
  <c r="AS613" s="1"/>
  <c r="AG614"/>
  <c r="AS614" s="1"/>
  <c r="AG615"/>
  <c r="AS615" s="1"/>
  <c r="AG616"/>
  <c r="AS616" s="1"/>
  <c r="AG617"/>
  <c r="AS617" s="1"/>
  <c r="AG618"/>
  <c r="AS618" s="1"/>
  <c r="AG619"/>
  <c r="AS619" s="1"/>
  <c r="AG620"/>
  <c r="AS620" s="1"/>
  <c r="AG621"/>
  <c r="AS621" s="1"/>
  <c r="AG622"/>
  <c r="AS622" s="1"/>
  <c r="AG623"/>
  <c r="AS623" s="1"/>
  <c r="AG624"/>
  <c r="AS624" s="1"/>
  <c r="AG625"/>
  <c r="AS625" s="1"/>
  <c r="AG626"/>
  <c r="AS626" s="1"/>
  <c r="AG627"/>
  <c r="AS627" s="1"/>
  <c r="AG628"/>
  <c r="AS628" s="1"/>
  <c r="AG629"/>
  <c r="AS629" s="1"/>
  <c r="AG630"/>
  <c r="AS630" s="1"/>
  <c r="AG631"/>
  <c r="AS631" s="1"/>
  <c r="AG632"/>
  <c r="AS632" s="1"/>
  <c r="AG633"/>
  <c r="AS633" s="1"/>
  <c r="AG634"/>
  <c r="AS634" s="1"/>
  <c r="AG635"/>
  <c r="AS635" s="1"/>
  <c r="AG636"/>
  <c r="AS636" s="1"/>
  <c r="AG637"/>
  <c r="AS637" s="1"/>
  <c r="AG638"/>
  <c r="AS638" s="1"/>
  <c r="AG639"/>
  <c r="AS639" s="1"/>
  <c r="AG640"/>
  <c r="AS640" s="1"/>
  <c r="AG641"/>
  <c r="AS641" s="1"/>
  <c r="AG642"/>
  <c r="AS642" s="1"/>
  <c r="AG643"/>
  <c r="AS643" s="1"/>
  <c r="AG644"/>
  <c r="AS644" s="1"/>
  <c r="AG645"/>
  <c r="AS645" s="1"/>
  <c r="AG646"/>
  <c r="AS646" s="1"/>
  <c r="AG647"/>
  <c r="AS647" s="1"/>
  <c r="AG648"/>
  <c r="AS648" s="1"/>
  <c r="AG649"/>
  <c r="AS649" s="1"/>
  <c r="AG650"/>
  <c r="AS650" s="1"/>
  <c r="AG651"/>
  <c r="AS651" s="1"/>
  <c r="AG652"/>
  <c r="AS652" s="1"/>
  <c r="AG653"/>
  <c r="AS653" s="1"/>
  <c r="AG654"/>
  <c r="AS654" s="1"/>
  <c r="AG655"/>
  <c r="AS655" s="1"/>
  <c r="AG656"/>
  <c r="AS656" s="1"/>
  <c r="AG657"/>
  <c r="AS657" s="1"/>
  <c r="AG658"/>
  <c r="AS658" s="1"/>
  <c r="AG659"/>
  <c r="AS659" s="1"/>
  <c r="AG660"/>
  <c r="AS660" s="1"/>
  <c r="AG661"/>
  <c r="AS661" s="1"/>
  <c r="AG665"/>
  <c r="AS665" s="1"/>
  <c r="AG666"/>
  <c r="AS666" s="1"/>
  <c r="AG667"/>
  <c r="AS667" s="1"/>
  <c r="AG670"/>
  <c r="AS670" s="1"/>
  <c r="AG672"/>
  <c r="AS672" s="1"/>
  <c r="AG673"/>
  <c r="AS673" s="1"/>
  <c r="AG674"/>
  <c r="AS674" s="1"/>
  <c r="AG675"/>
  <c r="AS675" s="1"/>
  <c r="AG676"/>
  <c r="AS676" s="1"/>
  <c r="AG677"/>
  <c r="AS677" s="1"/>
  <c r="AG678"/>
  <c r="AS678" s="1"/>
  <c r="AG679"/>
  <c r="AS679" s="1"/>
  <c r="AG680"/>
  <c r="AS680" s="1"/>
  <c r="AG682"/>
  <c r="AS682" s="1"/>
  <c r="AG683"/>
  <c r="AS683" s="1"/>
  <c r="AG684"/>
  <c r="AS684" s="1"/>
  <c r="AG685"/>
  <c r="AS685" s="1"/>
  <c r="AG687"/>
  <c r="AS687" s="1"/>
  <c r="AG688"/>
  <c r="AS688" s="1"/>
  <c r="AG689"/>
  <c r="AS689" s="1"/>
  <c r="AG690"/>
  <c r="AS690" s="1"/>
  <c r="AG691"/>
  <c r="AS691" s="1"/>
  <c r="AG693"/>
  <c r="AS693" s="1"/>
  <c r="AG694"/>
  <c r="AS694" s="1"/>
  <c r="AG695"/>
  <c r="AS695" s="1"/>
  <c r="AG696"/>
  <c r="AS696" s="1"/>
  <c r="AG697"/>
  <c r="AS697" s="1"/>
  <c r="AG698"/>
  <c r="AS698" s="1"/>
  <c r="AG699"/>
  <c r="AS699" s="1"/>
  <c r="AG700"/>
  <c r="AS700" s="1"/>
  <c r="AG701"/>
  <c r="AS701" s="1"/>
  <c r="AG702"/>
  <c r="AS702" s="1"/>
  <c r="AG703"/>
  <c r="AS703" s="1"/>
  <c r="AG704"/>
  <c r="AS704" s="1"/>
  <c r="AG705"/>
  <c r="AS705" s="1"/>
  <c r="AG706"/>
  <c r="AS706" s="1"/>
  <c r="AG707"/>
  <c r="AS707" s="1"/>
  <c r="AG708"/>
  <c r="AS708" s="1"/>
  <c r="AG709"/>
  <c r="AS709" s="1"/>
  <c r="AG710"/>
  <c r="AS710" s="1"/>
  <c r="AG711"/>
  <c r="AS711" s="1"/>
  <c r="AG713"/>
  <c r="AS713" s="1"/>
  <c r="AG714"/>
  <c r="AS714" s="1"/>
  <c r="AG715"/>
  <c r="AS715" s="1"/>
  <c r="AG716"/>
  <c r="AS716" s="1"/>
  <c r="AG717"/>
  <c r="AS717" s="1"/>
  <c r="AG718"/>
  <c r="AS718" s="1"/>
  <c r="AG719"/>
  <c r="AS719" s="1"/>
  <c r="AG720"/>
  <c r="AS720" s="1"/>
  <c r="AG722"/>
  <c r="AS722" s="1"/>
  <c r="AG723"/>
  <c r="AS723" s="1"/>
  <c r="AG724"/>
  <c r="AS724" s="1"/>
  <c r="AG725"/>
  <c r="AS725" s="1"/>
  <c r="AG726"/>
  <c r="AS726" s="1"/>
  <c r="AG727"/>
  <c r="AS727" s="1"/>
  <c r="AG728"/>
  <c r="AS728" s="1"/>
  <c r="AG729"/>
  <c r="AS729" s="1"/>
  <c r="AG730"/>
  <c r="AS730" s="1"/>
  <c r="AG731"/>
  <c r="AS731" s="1"/>
  <c r="AG732"/>
  <c r="AS732" s="1"/>
  <c r="AG733"/>
  <c r="AS733" s="1"/>
  <c r="AG734"/>
  <c r="AS734" s="1"/>
  <c r="AG735"/>
  <c r="AS735" s="1"/>
  <c r="AG736"/>
  <c r="AS736" s="1"/>
  <c r="AG737"/>
  <c r="AS737" s="1"/>
  <c r="AG738"/>
  <c r="AS738" s="1"/>
  <c r="AG739"/>
  <c r="AS739" s="1"/>
  <c r="AG740"/>
  <c r="AS740" s="1"/>
  <c r="AG748"/>
  <c r="AS748" s="1"/>
  <c r="AG749"/>
  <c r="AS749" s="1"/>
  <c r="AG750"/>
  <c r="AS750" s="1"/>
  <c r="AG751"/>
  <c r="AS751" s="1"/>
  <c r="AG752"/>
  <c r="AS752" s="1"/>
  <c r="AG753"/>
  <c r="AS753" s="1"/>
  <c r="AG754"/>
  <c r="AS754" s="1"/>
  <c r="AG755"/>
  <c r="AS755" s="1"/>
  <c r="AG756"/>
  <c r="AS756" s="1"/>
  <c r="AG757"/>
  <c r="AS757" s="1"/>
  <c r="AG758"/>
  <c r="AS758" s="1"/>
  <c r="AG762"/>
  <c r="AS762" s="1"/>
  <c r="AG763"/>
  <c r="AS763" s="1"/>
  <c r="AG768"/>
  <c r="AS768" s="1"/>
  <c r="AG769"/>
  <c r="AS769" s="1"/>
  <c r="AG770"/>
  <c r="AS770" s="1"/>
  <c r="AG772"/>
  <c r="AS772" s="1"/>
  <c r="AG773"/>
  <c r="AS773" s="1"/>
  <c r="AG774"/>
  <c r="AS774" s="1"/>
  <c r="AG775"/>
  <c r="AS775" s="1"/>
  <c r="AG776"/>
  <c r="AS776" s="1"/>
  <c r="AG777"/>
  <c r="AS777" s="1"/>
  <c r="AG782"/>
  <c r="AS782" s="1"/>
  <c r="AG783"/>
  <c r="AS783" s="1"/>
  <c r="AG784"/>
  <c r="AS784" s="1"/>
  <c r="AG785"/>
  <c r="AS785" s="1"/>
  <c r="AG786"/>
  <c r="AS786" s="1"/>
  <c r="AG787"/>
  <c r="AS787" s="1"/>
  <c r="AG788"/>
  <c r="AS788" s="1"/>
  <c r="AG791"/>
  <c r="AS791" s="1"/>
  <c r="AG792"/>
  <c r="AS792" s="1"/>
  <c r="AG793"/>
  <c r="AS793" s="1"/>
  <c r="AG797"/>
  <c r="AS797" s="1"/>
  <c r="AG798"/>
  <c r="AS798" s="1"/>
  <c r="AG799"/>
  <c r="AS799" s="1"/>
  <c r="AG802"/>
  <c r="AS802" s="1"/>
  <c r="AG803"/>
  <c r="AS803" s="1"/>
  <c r="AG804"/>
  <c r="AS804" s="1"/>
  <c r="AG805"/>
  <c r="AS805" s="1"/>
  <c r="AG806"/>
  <c r="AS806" s="1"/>
  <c r="AG809"/>
  <c r="AS809" s="1"/>
  <c r="AG811"/>
  <c r="AS811" s="1"/>
  <c r="AG812"/>
  <c r="AS812" s="1"/>
  <c r="AG813"/>
  <c r="AS813" s="1"/>
  <c r="AG814"/>
  <c r="AS814" s="1"/>
  <c r="AG815"/>
  <c r="AS815" s="1"/>
  <c r="AG816"/>
  <c r="AS816" s="1"/>
  <c r="AG817"/>
  <c r="AS817" s="1"/>
  <c r="AG818"/>
  <c r="AS818" s="1"/>
  <c r="AG819"/>
  <c r="AS819" s="1"/>
  <c r="AG820"/>
  <c r="AS820" s="1"/>
  <c r="AG821"/>
  <c r="AS821" s="1"/>
  <c r="AG822"/>
  <c r="AS822" s="1"/>
  <c r="AG823"/>
  <c r="AS823" s="1"/>
  <c r="AG824"/>
  <c r="AS824" s="1"/>
  <c r="AG825"/>
  <c r="AS825" s="1"/>
  <c r="AG826"/>
  <c r="AS826" s="1"/>
  <c r="AG827"/>
  <c r="AS827" s="1"/>
  <c r="AG828"/>
  <c r="AS828" s="1"/>
  <c r="AG829"/>
  <c r="AS829" s="1"/>
  <c r="AG831"/>
  <c r="AS831" s="1"/>
  <c r="AG833"/>
  <c r="AS833" s="1"/>
  <c r="AG834"/>
  <c r="AS834" s="1"/>
  <c r="AG838"/>
  <c r="AS838" s="1"/>
  <c r="AG839"/>
  <c r="AS839" s="1"/>
  <c r="AG840"/>
  <c r="AS840" s="1"/>
  <c r="AG841"/>
  <c r="AS841" s="1"/>
  <c r="AG842"/>
  <c r="AS842" s="1"/>
  <c r="AG843"/>
  <c r="AS843" s="1"/>
  <c r="AG844"/>
  <c r="AS844" s="1"/>
  <c r="AG845"/>
  <c r="AS845" s="1"/>
  <c r="AG846"/>
  <c r="AS846" s="1"/>
  <c r="AG849"/>
  <c r="AS849" s="1"/>
  <c r="AG850"/>
  <c r="AS850" s="1"/>
  <c r="AG851"/>
  <c r="AS851" s="1"/>
  <c r="AG852"/>
  <c r="AS852" s="1"/>
  <c r="AG853"/>
  <c r="AS853" s="1"/>
  <c r="AG854"/>
  <c r="AS854" s="1"/>
  <c r="AG855"/>
  <c r="AS855" s="1"/>
  <c r="AG858"/>
  <c r="AS858" s="1"/>
  <c r="AG859"/>
  <c r="AS859" s="1"/>
  <c r="AG860"/>
  <c r="AS860" s="1"/>
  <c r="AG861"/>
  <c r="AS861" s="1"/>
  <c r="AG862"/>
  <c r="AS862" s="1"/>
  <c r="AG863"/>
  <c r="AS863" s="1"/>
  <c r="AG864"/>
  <c r="AS864" s="1"/>
  <c r="AG865"/>
  <c r="AS865" s="1"/>
  <c r="AG866"/>
  <c r="AS866" s="1"/>
  <c r="AG867"/>
  <c r="AS867" s="1"/>
  <c r="AG868"/>
  <c r="AS868" s="1"/>
  <c r="AG869"/>
  <c r="AS869" s="1"/>
  <c r="AG870"/>
  <c r="AS870" s="1"/>
  <c r="AG871"/>
  <c r="AS871" s="1"/>
  <c r="AG872"/>
  <c r="AS872" s="1"/>
  <c r="AG873"/>
  <c r="AS873" s="1"/>
  <c r="AG874"/>
  <c r="AS874" s="1"/>
  <c r="AG875"/>
  <c r="AS875" s="1"/>
  <c r="AG887"/>
  <c r="AS887" s="1"/>
  <c r="AG888"/>
  <c r="AS888" s="1"/>
  <c r="AG889"/>
  <c r="AS889" s="1"/>
  <c r="AG890"/>
  <c r="AS890" s="1"/>
  <c r="AG891"/>
  <c r="AS891" s="1"/>
  <c r="AG892"/>
  <c r="AS892" s="1"/>
  <c r="AG893"/>
  <c r="AS893" s="1"/>
  <c r="AG894"/>
  <c r="AS894" s="1"/>
  <c r="AG895"/>
  <c r="AS895" s="1"/>
  <c r="AG899"/>
  <c r="AS899" s="1"/>
  <c r="AG900"/>
  <c r="AS900" s="1"/>
  <c r="AG901"/>
  <c r="AS901" s="1"/>
  <c r="AG902"/>
  <c r="AS902" s="1"/>
  <c r="AG903"/>
  <c r="AS903" s="1"/>
  <c r="AG905"/>
  <c r="AS905" s="1"/>
  <c r="AG906"/>
  <c r="AS906" s="1"/>
  <c r="AI5"/>
  <c r="BC5" s="1"/>
  <c r="AI15"/>
  <c r="BC15" s="1"/>
  <c r="AI58"/>
  <c r="BC58" s="1"/>
  <c r="AI106"/>
  <c r="BC106" s="1"/>
  <c r="AI130"/>
  <c r="BC130" s="1"/>
  <c r="AI150"/>
  <c r="BC150" s="1"/>
  <c r="AI213"/>
  <c r="BC213" s="1"/>
  <c r="AI235"/>
  <c r="BC235" s="1"/>
  <c r="AI297"/>
  <c r="BC297" s="1"/>
  <c r="AI472"/>
  <c r="BC472" s="1"/>
  <c r="AI553"/>
  <c r="BC553" s="1"/>
  <c r="AI587"/>
  <c r="BC587" s="1"/>
  <c r="AI743"/>
  <c r="BC743" s="1"/>
  <c r="AI781"/>
  <c r="BC781" s="1"/>
  <c r="AI790"/>
  <c r="BC790" s="1"/>
  <c r="AI801"/>
  <c r="BC801" s="1"/>
  <c r="AI808"/>
  <c r="BC808" s="1"/>
  <c r="AI837"/>
  <c r="BC837" s="1"/>
  <c r="AI848"/>
  <c r="BC848" s="1"/>
  <c r="AI857"/>
  <c r="BC857" s="1"/>
  <c r="AI878"/>
  <c r="BC878" s="1"/>
  <c r="AI886"/>
  <c r="BC886" s="1"/>
  <c r="AI897"/>
  <c r="BC897" s="1"/>
  <c r="N30" i="6"/>
  <c r="O30" s="1"/>
  <c r="F111" i="9"/>
  <c r="AJ111" s="1"/>
  <c r="BC111" s="1"/>
  <c r="F114"/>
  <c r="AJ114" s="1"/>
  <c r="BC114" s="1"/>
  <c r="AJ122"/>
  <c r="BC122" s="1"/>
  <c r="F136"/>
  <c r="AJ136" s="1"/>
  <c r="BC136" s="1"/>
  <c r="F142"/>
  <c r="AJ142" s="1"/>
  <c r="BC142" s="1"/>
  <c r="AJ161"/>
  <c r="BC161" s="1"/>
  <c r="F195"/>
  <c r="AJ195" s="1"/>
  <c r="BC195" s="1"/>
  <c r="F546"/>
  <c r="AJ546" s="1"/>
  <c r="BC546" s="1"/>
  <c r="AJ554"/>
  <c r="BC554" s="1"/>
  <c r="F597"/>
  <c r="AJ597" s="1"/>
  <c r="BC597" s="1"/>
  <c r="AJ804"/>
  <c r="BC804" s="1"/>
  <c r="F805"/>
  <c r="AJ805" s="1"/>
  <c r="BC805" s="1"/>
  <c r="AJ806"/>
  <c r="BC806" s="1"/>
  <c r="AJ881"/>
  <c r="BC881" s="1"/>
  <c r="AJ884"/>
  <c r="BC884" s="1"/>
  <c r="F288"/>
  <c r="AJ288" s="1"/>
  <c r="BC288" s="1"/>
  <c r="F529"/>
  <c r="AJ529" s="1"/>
  <c r="BC529" s="1"/>
  <c r="F530"/>
  <c r="AJ530" s="1"/>
  <c r="BC530" s="1"/>
  <c r="AB2" i="6"/>
  <c r="AC2" s="1"/>
  <c r="I212" i="12" s="1"/>
  <c r="I206" s="1"/>
  <c r="B7" i="17" s="1"/>
  <c r="AJ143" i="9"/>
  <c r="BC143" s="1"/>
  <c r="AJ567"/>
  <c r="BC567" s="1"/>
  <c r="AJ582"/>
  <c r="BC582" s="1"/>
  <c r="AJ583"/>
  <c r="BC583" s="1"/>
  <c r="AJ6"/>
  <c r="BC6" s="1"/>
  <c r="AJ7"/>
  <c r="BC7" s="1"/>
  <c r="AJ8"/>
  <c r="BC8" s="1"/>
  <c r="AJ9"/>
  <c r="BC9" s="1"/>
  <c r="AJ10"/>
  <c r="BC10" s="1"/>
  <c r="AJ11"/>
  <c r="BC11" s="1"/>
  <c r="AJ12"/>
  <c r="BC12" s="1"/>
  <c r="AJ13"/>
  <c r="BC13" s="1"/>
  <c r="AJ17"/>
  <c r="BC17" s="1"/>
  <c r="AJ18"/>
  <c r="AJ19"/>
  <c r="BC19" s="1"/>
  <c r="AJ20"/>
  <c r="BC20" s="1"/>
  <c r="AJ21"/>
  <c r="BC21" s="1"/>
  <c r="AJ22"/>
  <c r="BC22" s="1"/>
  <c r="AJ23"/>
  <c r="BC23" s="1"/>
  <c r="AJ24"/>
  <c r="BC24" s="1"/>
  <c r="AJ25"/>
  <c r="BC25" s="1"/>
  <c r="AJ26"/>
  <c r="BC26" s="1"/>
  <c r="AJ27"/>
  <c r="BC27" s="1"/>
  <c r="AJ28"/>
  <c r="BC28" s="1"/>
  <c r="AJ30"/>
  <c r="BC30" s="1"/>
  <c r="AJ31"/>
  <c r="BC31" s="1"/>
  <c r="AJ32"/>
  <c r="BC32" s="1"/>
  <c r="AJ33"/>
  <c r="BC33" s="1"/>
  <c r="AJ34"/>
  <c r="BC34" s="1"/>
  <c r="AJ36"/>
  <c r="BC36" s="1"/>
  <c r="AJ37"/>
  <c r="BC37" s="1"/>
  <c r="AJ38"/>
  <c r="BC38" s="1"/>
  <c r="AJ39"/>
  <c r="BC39" s="1"/>
  <c r="AJ40"/>
  <c r="BC40" s="1"/>
  <c r="AJ42"/>
  <c r="BC42" s="1"/>
  <c r="AJ43"/>
  <c r="BC43" s="1"/>
  <c r="AJ44"/>
  <c r="BC44" s="1"/>
  <c r="AJ45"/>
  <c r="BC45" s="1"/>
  <c r="AJ46"/>
  <c r="BC46" s="1"/>
  <c r="AJ48"/>
  <c r="BC48" s="1"/>
  <c r="AJ52"/>
  <c r="BC52" s="1"/>
  <c r="AJ59"/>
  <c r="BC59" s="1"/>
  <c r="AJ61"/>
  <c r="BC61" s="1"/>
  <c r="AJ62"/>
  <c r="BC62" s="1"/>
  <c r="AJ63"/>
  <c r="BC63" s="1"/>
  <c r="AJ65"/>
  <c r="BC65" s="1"/>
  <c r="AJ66"/>
  <c r="BC66" s="1"/>
  <c r="AJ67"/>
  <c r="BC67" s="1"/>
  <c r="AJ68"/>
  <c r="BC68" s="1"/>
  <c r="AJ70"/>
  <c r="BC70" s="1"/>
  <c r="AJ71"/>
  <c r="BC71" s="1"/>
  <c r="AJ72"/>
  <c r="BC72" s="1"/>
  <c r="AJ73"/>
  <c r="BC73" s="1"/>
  <c r="AJ74"/>
  <c r="BC74" s="1"/>
  <c r="AJ76"/>
  <c r="BC76" s="1"/>
  <c r="AJ77"/>
  <c r="BC77" s="1"/>
  <c r="AJ78"/>
  <c r="BC78" s="1"/>
  <c r="AJ80"/>
  <c r="BC80" s="1"/>
  <c r="AJ81"/>
  <c r="BC81" s="1"/>
  <c r="AJ83"/>
  <c r="BC83" s="1"/>
  <c r="AJ84"/>
  <c r="BC84" s="1"/>
  <c r="AJ85"/>
  <c r="BC85" s="1"/>
  <c r="AJ86"/>
  <c r="BC86" s="1"/>
  <c r="AJ87"/>
  <c r="BC87" s="1"/>
  <c r="AJ88"/>
  <c r="BC88" s="1"/>
  <c r="AJ89"/>
  <c r="BC89" s="1"/>
  <c r="AJ90"/>
  <c r="BC90" s="1"/>
  <c r="AJ91"/>
  <c r="BC91" s="1"/>
  <c r="AJ93"/>
  <c r="BC93" s="1"/>
  <c r="AJ95"/>
  <c r="BC95" s="1"/>
  <c r="AJ96"/>
  <c r="BC96" s="1"/>
  <c r="AJ99"/>
  <c r="BC99" s="1"/>
  <c r="AJ101"/>
  <c r="BC101" s="1"/>
  <c r="AJ102"/>
  <c r="BC102" s="1"/>
  <c r="AJ103"/>
  <c r="BC103" s="1"/>
  <c r="AJ104"/>
  <c r="BC104" s="1"/>
  <c r="AJ107"/>
  <c r="BC107" s="1"/>
  <c r="AJ108"/>
  <c r="BC108" s="1"/>
  <c r="AJ109"/>
  <c r="BC109" s="1"/>
  <c r="F112"/>
  <c r="AJ112" s="1"/>
  <c r="BC112" s="1"/>
  <c r="F113"/>
  <c r="AJ113" s="1"/>
  <c r="BC113" s="1"/>
  <c r="AJ115"/>
  <c r="BC115" s="1"/>
  <c r="AJ116"/>
  <c r="BC116" s="1"/>
  <c r="AJ117"/>
  <c r="BC117" s="1"/>
  <c r="AJ118"/>
  <c r="BC118" s="1"/>
  <c r="AJ121"/>
  <c r="BC121" s="1"/>
  <c r="AJ123"/>
  <c r="BC123" s="1"/>
  <c r="AJ126"/>
  <c r="BC126" s="1"/>
  <c r="AJ127"/>
  <c r="BC127" s="1"/>
  <c r="AJ131"/>
  <c r="BC131" s="1"/>
  <c r="AJ132"/>
  <c r="BC132" s="1"/>
  <c r="AJ133"/>
  <c r="BC133" s="1"/>
  <c r="AJ134"/>
  <c r="BC134" s="1"/>
  <c r="AJ135"/>
  <c r="BC135" s="1"/>
  <c r="AJ137"/>
  <c r="BC137" s="1"/>
  <c r="AJ138"/>
  <c r="BC138" s="1"/>
  <c r="AJ139"/>
  <c r="BC139" s="1"/>
  <c r="AJ140"/>
  <c r="AJ141"/>
  <c r="BC141" s="1"/>
  <c r="AJ146"/>
  <c r="BC146" s="1"/>
  <c r="AJ147"/>
  <c r="BC147" s="1"/>
  <c r="AJ148"/>
  <c r="BC148" s="1"/>
  <c r="F151"/>
  <c r="AJ151" s="1"/>
  <c r="BC151" s="1"/>
  <c r="AJ152"/>
  <c r="BC152" s="1"/>
  <c r="AJ153"/>
  <c r="BC153" s="1"/>
  <c r="F154"/>
  <c r="AJ154" s="1"/>
  <c r="BC154" s="1"/>
  <c r="AJ155"/>
  <c r="BC155" s="1"/>
  <c r="AJ156"/>
  <c r="BC156" s="1"/>
  <c r="AJ157"/>
  <c r="BC157" s="1"/>
  <c r="AJ158"/>
  <c r="BC158" s="1"/>
  <c r="AJ159"/>
  <c r="BC159" s="1"/>
  <c r="AJ160"/>
  <c r="BC160" s="1"/>
  <c r="AJ162"/>
  <c r="BC162" s="1"/>
  <c r="AJ163"/>
  <c r="BC163" s="1"/>
  <c r="F164"/>
  <c r="AJ164" s="1"/>
  <c r="BC164" s="1"/>
  <c r="AJ165"/>
  <c r="BC165" s="1"/>
  <c r="AJ166"/>
  <c r="BC166" s="1"/>
  <c r="AJ167"/>
  <c r="BC167" s="1"/>
  <c r="AJ168"/>
  <c r="BC168" s="1"/>
  <c r="AJ169"/>
  <c r="BC169" s="1"/>
  <c r="AJ170"/>
  <c r="BC170" s="1"/>
  <c r="AJ171"/>
  <c r="BC171" s="1"/>
  <c r="AJ172"/>
  <c r="BC172" s="1"/>
  <c r="AJ173"/>
  <c r="BC173" s="1"/>
  <c r="AJ174"/>
  <c r="BC174" s="1"/>
  <c r="AJ175"/>
  <c r="BC175" s="1"/>
  <c r="AJ176"/>
  <c r="BC176" s="1"/>
  <c r="AJ177"/>
  <c r="BC177" s="1"/>
  <c r="AJ178"/>
  <c r="BC178" s="1"/>
  <c r="AJ179"/>
  <c r="BC179" s="1"/>
  <c r="AJ180"/>
  <c r="BC180" s="1"/>
  <c r="AJ181"/>
  <c r="BC181" s="1"/>
  <c r="AJ182"/>
  <c r="BC182" s="1"/>
  <c r="AJ183"/>
  <c r="BC183" s="1"/>
  <c r="AJ184"/>
  <c r="BC184" s="1"/>
  <c r="AJ185"/>
  <c r="BC185" s="1"/>
  <c r="AJ186"/>
  <c r="BC186" s="1"/>
  <c r="AJ187"/>
  <c r="BC187" s="1"/>
  <c r="AJ188"/>
  <c r="BC188" s="1"/>
  <c r="AJ190"/>
  <c r="BC190" s="1"/>
  <c r="AJ191"/>
  <c r="BC191" s="1"/>
  <c r="AJ193"/>
  <c r="BC193" s="1"/>
  <c r="AJ194"/>
  <c r="BC194" s="1"/>
  <c r="F196"/>
  <c r="AJ196" s="1"/>
  <c r="BC196" s="1"/>
  <c r="AJ197"/>
  <c r="BC197" s="1"/>
  <c r="AJ198"/>
  <c r="BC198" s="1"/>
  <c r="AJ199"/>
  <c r="BC199" s="1"/>
  <c r="AJ200"/>
  <c r="BC200" s="1"/>
  <c r="AJ201"/>
  <c r="BC201" s="1"/>
  <c r="AJ202"/>
  <c r="BC202" s="1"/>
  <c r="AJ205"/>
  <c r="BC205" s="1"/>
  <c r="AJ207"/>
  <c r="BC207" s="1"/>
  <c r="AJ208"/>
  <c r="BC208" s="1"/>
  <c r="AJ209"/>
  <c r="BC209" s="1"/>
  <c r="AJ210"/>
  <c r="BC210" s="1"/>
  <c r="AJ211"/>
  <c r="BC211" s="1"/>
  <c r="AJ214"/>
  <c r="BC214" s="1"/>
  <c r="AJ215"/>
  <c r="BC215" s="1"/>
  <c r="AJ216"/>
  <c r="BC216" s="1"/>
  <c r="AJ217"/>
  <c r="BC217" s="1"/>
  <c r="AJ218"/>
  <c r="BC218" s="1"/>
  <c r="AJ219"/>
  <c r="BC219" s="1"/>
  <c r="AJ220"/>
  <c r="BC220" s="1"/>
  <c r="AJ221"/>
  <c r="BC221" s="1"/>
  <c r="AJ222"/>
  <c r="BC222" s="1"/>
  <c r="AJ223"/>
  <c r="BC223" s="1"/>
  <c r="AJ224"/>
  <c r="BC224" s="1"/>
  <c r="AJ225"/>
  <c r="BC225" s="1"/>
  <c r="AJ226"/>
  <c r="BC226" s="1"/>
  <c r="AJ228"/>
  <c r="BC228" s="1"/>
  <c r="AJ229"/>
  <c r="BC229" s="1"/>
  <c r="AJ230"/>
  <c r="BC230" s="1"/>
  <c r="AJ231"/>
  <c r="BC231" s="1"/>
  <c r="AJ232"/>
  <c r="BC232" s="1"/>
  <c r="AJ233"/>
  <c r="BC233" s="1"/>
  <c r="F236"/>
  <c r="AJ236" s="1"/>
  <c r="BC236" s="1"/>
  <c r="F237"/>
  <c r="AJ237" s="1"/>
  <c r="BC237" s="1"/>
  <c r="F238"/>
  <c r="AJ238" s="1"/>
  <c r="BC238" s="1"/>
  <c r="AJ239"/>
  <c r="BC239" s="1"/>
  <c r="AJ240"/>
  <c r="BC240" s="1"/>
  <c r="AJ241"/>
  <c r="BC241" s="1"/>
  <c r="F242"/>
  <c r="AJ242" s="1"/>
  <c r="BC242" s="1"/>
  <c r="F243"/>
  <c r="AJ243" s="1"/>
  <c r="BC243" s="1"/>
  <c r="AJ244"/>
  <c r="BC244" s="1"/>
  <c r="AJ246"/>
  <c r="BC246" s="1"/>
  <c r="F247"/>
  <c r="AJ247" s="1"/>
  <c r="BC247" s="1"/>
  <c r="AJ248"/>
  <c r="BC248" s="1"/>
  <c r="F249"/>
  <c r="AJ249" s="1"/>
  <c r="BC249" s="1"/>
  <c r="AJ251"/>
  <c r="BC251" s="1"/>
  <c r="AJ252"/>
  <c r="BC252" s="1"/>
  <c r="AJ254"/>
  <c r="BC254" s="1"/>
  <c r="AJ255"/>
  <c r="BC255" s="1"/>
  <c r="AJ256"/>
  <c r="BC256" s="1"/>
  <c r="AJ257"/>
  <c r="BC257" s="1"/>
  <c r="AJ258"/>
  <c r="BC258" s="1"/>
  <c r="AJ259"/>
  <c r="BC259" s="1"/>
  <c r="AJ260"/>
  <c r="BC260" s="1"/>
  <c r="AJ261"/>
  <c r="BC261" s="1"/>
  <c r="AJ262"/>
  <c r="BC262" s="1"/>
  <c r="AJ263"/>
  <c r="BC263" s="1"/>
  <c r="AJ264"/>
  <c r="BC264" s="1"/>
  <c r="F266"/>
  <c r="AJ266" s="1"/>
  <c r="BC266" s="1"/>
  <c r="AJ267"/>
  <c r="BC267" s="1"/>
  <c r="F268"/>
  <c r="AJ268" s="1"/>
  <c r="BC268" s="1"/>
  <c r="F269"/>
  <c r="AJ269" s="1"/>
  <c r="BC269" s="1"/>
  <c r="AJ270"/>
  <c r="BC270" s="1"/>
  <c r="AJ271"/>
  <c r="BC271" s="1"/>
  <c r="AJ272"/>
  <c r="BC272" s="1"/>
  <c r="AJ273"/>
  <c r="BC273" s="1"/>
  <c r="AJ274"/>
  <c r="BC274" s="1"/>
  <c r="F275"/>
  <c r="AJ275" s="1"/>
  <c r="BC275" s="1"/>
  <c r="F276"/>
  <c r="AJ276" s="1"/>
  <c r="BC276" s="1"/>
  <c r="F277"/>
  <c r="AJ277" s="1"/>
  <c r="BC277" s="1"/>
  <c r="AJ278"/>
  <c r="BC278" s="1"/>
  <c r="AJ279"/>
  <c r="BC279" s="1"/>
  <c r="AJ280"/>
  <c r="BC280" s="1"/>
  <c r="AJ281"/>
  <c r="BC281" s="1"/>
  <c r="AJ282"/>
  <c r="BC282" s="1"/>
  <c r="AJ283"/>
  <c r="BC283" s="1"/>
  <c r="AJ284"/>
  <c r="BC284" s="1"/>
  <c r="AJ285"/>
  <c r="BC285" s="1"/>
  <c r="AJ286"/>
  <c r="BC286" s="1"/>
  <c r="AJ287"/>
  <c r="BC287" s="1"/>
  <c r="AJ289"/>
  <c r="BC289" s="1"/>
  <c r="AJ290"/>
  <c r="BC290" s="1"/>
  <c r="AJ291"/>
  <c r="BC291" s="1"/>
  <c r="AJ292"/>
  <c r="BC292" s="1"/>
  <c r="F294"/>
  <c r="AJ294" s="1"/>
  <c r="BC294" s="1"/>
  <c r="F295"/>
  <c r="AJ295" s="1"/>
  <c r="BC295" s="1"/>
  <c r="AJ299"/>
  <c r="BC299" s="1"/>
  <c r="AJ300"/>
  <c r="BC300" s="1"/>
  <c r="F301"/>
  <c r="AJ301" s="1"/>
  <c r="A301"/>
  <c r="F302"/>
  <c r="AK302" s="1"/>
  <c r="A302"/>
  <c r="F303"/>
  <c r="AJ303" s="1"/>
  <c r="BC303" s="1"/>
  <c r="F304"/>
  <c r="AJ304" s="1"/>
  <c r="BC304" s="1"/>
  <c r="F305"/>
  <c r="AJ305" s="1"/>
  <c r="A305"/>
  <c r="A88" i="8" s="1"/>
  <c r="F306" i="9"/>
  <c r="AJ306" s="1"/>
  <c r="BC306" s="1"/>
  <c r="F307"/>
  <c r="AJ307" s="1"/>
  <c r="BC307" s="1"/>
  <c r="F308"/>
  <c r="AJ308" s="1"/>
  <c r="BC308" s="1"/>
  <c r="F309"/>
  <c r="AJ309" s="1"/>
  <c r="BC309" s="1"/>
  <c r="AJ310"/>
  <c r="A310"/>
  <c r="AJ311"/>
  <c r="BC311" s="1"/>
  <c r="F312"/>
  <c r="AJ312" s="1"/>
  <c r="BC312" s="1"/>
  <c r="AJ313"/>
  <c r="BC313" s="1"/>
  <c r="AJ314"/>
  <c r="A314"/>
  <c r="AJ315"/>
  <c r="A315"/>
  <c r="AJ316"/>
  <c r="A316"/>
  <c r="AJ317"/>
  <c r="A317"/>
  <c r="AJ318"/>
  <c r="A318"/>
  <c r="AJ319"/>
  <c r="A319"/>
  <c r="AJ320"/>
  <c r="BC320" s="1"/>
  <c r="AJ321"/>
  <c r="BC321" s="1"/>
  <c r="AJ322"/>
  <c r="A322"/>
  <c r="AJ323"/>
  <c r="A323"/>
  <c r="AJ324"/>
  <c r="BC324" s="1"/>
  <c r="AJ325"/>
  <c r="A325"/>
  <c r="AJ326"/>
  <c r="A326"/>
  <c r="AJ327"/>
  <c r="A327"/>
  <c r="AJ328"/>
  <c r="A328"/>
  <c r="AJ329"/>
  <c r="A329"/>
  <c r="AJ330"/>
  <c r="A330"/>
  <c r="AJ331"/>
  <c r="A331"/>
  <c r="AJ332"/>
  <c r="BC332" s="1"/>
  <c r="AJ333"/>
  <c r="A333"/>
  <c r="AJ334"/>
  <c r="BC334" s="1"/>
  <c r="AJ336"/>
  <c r="BC336" s="1"/>
  <c r="AJ337"/>
  <c r="A337"/>
  <c r="AJ338"/>
  <c r="A338"/>
  <c r="AJ339"/>
  <c r="A339"/>
  <c r="AJ340"/>
  <c r="A340"/>
  <c r="AJ341"/>
  <c r="A341"/>
  <c r="AJ342"/>
  <c r="A342"/>
  <c r="AJ343"/>
  <c r="A343"/>
  <c r="AJ344"/>
  <c r="A344"/>
  <c r="AJ345"/>
  <c r="A345"/>
  <c r="AJ348"/>
  <c r="BC348" s="1"/>
  <c r="AJ349"/>
  <c r="BC349" s="1"/>
  <c r="AJ350"/>
  <c r="BC350" s="1"/>
  <c r="AJ351"/>
  <c r="BC351" s="1"/>
  <c r="AJ352"/>
  <c r="BC352" s="1"/>
  <c r="AJ353"/>
  <c r="BC353" s="1"/>
  <c r="AJ354"/>
  <c r="BC354" s="1"/>
  <c r="AJ355"/>
  <c r="BC355" s="1"/>
  <c r="AJ356"/>
  <c r="BC356" s="1"/>
  <c r="AJ357"/>
  <c r="BC357" s="1"/>
  <c r="AJ358"/>
  <c r="BC358" s="1"/>
  <c r="AJ359"/>
  <c r="BC359" s="1"/>
  <c r="AJ360"/>
  <c r="BC360" s="1"/>
  <c r="AJ361"/>
  <c r="BC361" s="1"/>
  <c r="AJ363"/>
  <c r="BC363" s="1"/>
  <c r="AJ364"/>
  <c r="BC364" s="1"/>
  <c r="AJ365"/>
  <c r="A365"/>
  <c r="AJ366"/>
  <c r="BC366" s="1"/>
  <c r="AJ367"/>
  <c r="BC367" s="1"/>
  <c r="AJ368"/>
  <c r="BC368" s="1"/>
  <c r="AJ369"/>
  <c r="BC369" s="1"/>
  <c r="AJ370"/>
  <c r="BC370" s="1"/>
  <c r="AJ371"/>
  <c r="BC371" s="1"/>
  <c r="F372"/>
  <c r="AJ372" s="1"/>
  <c r="BC372" s="1"/>
  <c r="F373"/>
  <c r="AJ373" s="1"/>
  <c r="BC373" s="1"/>
  <c r="AJ374"/>
  <c r="AJ375"/>
  <c r="BC375" s="1"/>
  <c r="AJ376"/>
  <c r="BC376" s="1"/>
  <c r="AJ377"/>
  <c r="BC377" s="1"/>
  <c r="AJ378"/>
  <c r="BC378" s="1"/>
  <c r="F379"/>
  <c r="AJ379" s="1"/>
  <c r="BC379" s="1"/>
  <c r="F380"/>
  <c r="AJ380" s="1"/>
  <c r="BC380" s="1"/>
  <c r="AJ381"/>
  <c r="A381"/>
  <c r="AJ382"/>
  <c r="BC382" s="1"/>
  <c r="AJ383"/>
  <c r="BC383" s="1"/>
  <c r="AJ384"/>
  <c r="BC384" s="1"/>
  <c r="AJ385"/>
  <c r="BC385" s="1"/>
  <c r="AJ386"/>
  <c r="BC386" s="1"/>
  <c r="AJ387"/>
  <c r="BC387" s="1"/>
  <c r="AJ388"/>
  <c r="BC388" s="1"/>
  <c r="F389"/>
  <c r="AJ389" s="1"/>
  <c r="BC389" s="1"/>
  <c r="F390"/>
  <c r="AJ390" s="1"/>
  <c r="BC390" s="1"/>
  <c r="AJ393"/>
  <c r="BC393" s="1"/>
  <c r="AJ394"/>
  <c r="BC394" s="1"/>
  <c r="F395"/>
  <c r="AJ395" s="1"/>
  <c r="A395"/>
  <c r="F396"/>
  <c r="AJ396" s="1"/>
  <c r="A396"/>
  <c r="F397"/>
  <c r="AJ397" s="1"/>
  <c r="BC397" s="1"/>
  <c r="F398"/>
  <c r="AJ398" s="1"/>
  <c r="BC398" s="1"/>
  <c r="F399"/>
  <c r="AJ399" s="1"/>
  <c r="A399"/>
  <c r="F400"/>
  <c r="AJ400" s="1"/>
  <c r="BC400" s="1"/>
  <c r="F401"/>
  <c r="AJ401" s="1"/>
  <c r="BC401" s="1"/>
  <c r="F402"/>
  <c r="AJ402" s="1"/>
  <c r="BC402" s="1"/>
  <c r="F403"/>
  <c r="AJ403" s="1"/>
  <c r="BC403" s="1"/>
  <c r="AJ404"/>
  <c r="BC404" s="1"/>
  <c r="AJ405"/>
  <c r="A405"/>
  <c r="AJ406"/>
  <c r="A406"/>
  <c r="AJ407"/>
  <c r="A407"/>
  <c r="AJ408"/>
  <c r="A408"/>
  <c r="AJ409"/>
  <c r="BC409" s="1"/>
  <c r="AJ410"/>
  <c r="A410"/>
  <c r="AJ411"/>
  <c r="BC411" s="1"/>
  <c r="AJ412"/>
  <c r="BC412" s="1"/>
  <c r="AJ413"/>
  <c r="A413"/>
  <c r="AJ414"/>
  <c r="A414"/>
  <c r="AJ415"/>
  <c r="BC415" s="1"/>
  <c r="AJ416"/>
  <c r="BC416" s="1"/>
  <c r="AJ417"/>
  <c r="BC417" s="1"/>
  <c r="AJ418"/>
  <c r="BC418" s="1"/>
  <c r="AJ419"/>
  <c r="A419"/>
  <c r="AJ420"/>
  <c r="BC420" s="1"/>
  <c r="AJ421"/>
  <c r="BC421" s="1"/>
  <c r="AJ422"/>
  <c r="A422"/>
  <c r="AJ423"/>
  <c r="BC423" s="1"/>
  <c r="AJ424"/>
  <c r="A424"/>
  <c r="AJ425"/>
  <c r="BC425" s="1"/>
  <c r="AJ427"/>
  <c r="BC427" s="1"/>
  <c r="AJ428"/>
  <c r="A428"/>
  <c r="AJ429"/>
  <c r="A429"/>
  <c r="AJ430"/>
  <c r="A430"/>
  <c r="AJ431"/>
  <c r="A431"/>
  <c r="AJ432"/>
  <c r="A432"/>
  <c r="AJ433"/>
  <c r="A433"/>
  <c r="AJ434"/>
  <c r="A434"/>
  <c r="AJ435"/>
  <c r="A435"/>
  <c r="AJ436"/>
  <c r="A436"/>
  <c r="AJ437"/>
  <c r="A437"/>
  <c r="AJ439"/>
  <c r="A439"/>
  <c r="AJ440"/>
  <c r="BC440" s="1"/>
  <c r="AJ442"/>
  <c r="BC442" s="1"/>
  <c r="AJ443"/>
  <c r="BC443" s="1"/>
  <c r="AJ444"/>
  <c r="A444"/>
  <c r="AJ446"/>
  <c r="BC446" s="1"/>
  <c r="AJ447"/>
  <c r="BC447" s="1"/>
  <c r="AJ448"/>
  <c r="BC448" s="1"/>
  <c r="AJ449"/>
  <c r="BC449" s="1"/>
  <c r="AJ450"/>
  <c r="BC450" s="1"/>
  <c r="F451"/>
  <c r="AJ451" s="1"/>
  <c r="BC451" s="1"/>
  <c r="F452"/>
  <c r="AJ452" s="1"/>
  <c r="BC452" s="1"/>
  <c r="AJ453"/>
  <c r="AJ454"/>
  <c r="BC454" s="1"/>
  <c r="AJ455"/>
  <c r="BC455" s="1"/>
  <c r="AJ456"/>
  <c r="BC456" s="1"/>
  <c r="AJ457"/>
  <c r="BC457" s="1"/>
  <c r="F458"/>
  <c r="AJ458" s="1"/>
  <c r="BC458" s="1"/>
  <c r="F459"/>
  <c r="AJ459" s="1"/>
  <c r="BC459" s="1"/>
  <c r="AJ460"/>
  <c r="A460"/>
  <c r="AJ461"/>
  <c r="BC461" s="1"/>
  <c r="AJ462"/>
  <c r="BC462" s="1"/>
  <c r="AJ463"/>
  <c r="BC463" s="1"/>
  <c r="AJ464"/>
  <c r="BC464" s="1"/>
  <c r="AJ465"/>
  <c r="BC465" s="1"/>
  <c r="AJ466"/>
  <c r="BC466" s="1"/>
  <c r="AJ467"/>
  <c r="BC467" s="1"/>
  <c r="F468"/>
  <c r="AJ468" s="1"/>
  <c r="BC468" s="1"/>
  <c r="AJ470"/>
  <c r="BC470" s="1"/>
  <c r="AJ473"/>
  <c r="BC473" s="1"/>
  <c r="AJ475"/>
  <c r="BC475" s="1"/>
  <c r="AJ476"/>
  <c r="BC476" s="1"/>
  <c r="AJ477"/>
  <c r="BC477" s="1"/>
  <c r="AJ479"/>
  <c r="BC479" s="1"/>
  <c r="AJ480"/>
  <c r="BC480" s="1"/>
  <c r="AJ481"/>
  <c r="BC481" s="1"/>
  <c r="AJ483"/>
  <c r="BC483" s="1"/>
  <c r="AJ484"/>
  <c r="BC484" s="1"/>
  <c r="AJ485"/>
  <c r="BC485" s="1"/>
  <c r="AJ487"/>
  <c r="BC487" s="1"/>
  <c r="AJ488"/>
  <c r="BC488" s="1"/>
  <c r="AJ489"/>
  <c r="A489"/>
  <c r="AJ490"/>
  <c r="A490"/>
  <c r="AJ491"/>
  <c r="A491"/>
  <c r="AJ492"/>
  <c r="A492"/>
  <c r="AJ493"/>
  <c r="A493"/>
  <c r="AJ494"/>
  <c r="A494"/>
  <c r="AJ495"/>
  <c r="A495"/>
  <c r="AJ496"/>
  <c r="A496"/>
  <c r="AJ497"/>
  <c r="A497"/>
  <c r="AJ498"/>
  <c r="BC498" s="1"/>
  <c r="AJ499"/>
  <c r="BC499" s="1"/>
  <c r="AJ500"/>
  <c r="A500"/>
  <c r="AJ501"/>
  <c r="A501"/>
  <c r="AJ502"/>
  <c r="A502"/>
  <c r="AJ503"/>
  <c r="A503"/>
  <c r="AJ504"/>
  <c r="BC504" s="1"/>
  <c r="AJ505"/>
  <c r="A505"/>
  <c r="AJ506"/>
  <c r="BC506" s="1"/>
  <c r="AJ507"/>
  <c r="BC507" s="1"/>
  <c r="AJ508"/>
  <c r="A508"/>
  <c r="AJ509"/>
  <c r="A509"/>
  <c r="AJ510"/>
  <c r="BC510" s="1"/>
  <c r="AJ511"/>
  <c r="A511"/>
  <c r="AJ512"/>
  <c r="A512"/>
  <c r="AJ513"/>
  <c r="A513"/>
  <c r="AJ514"/>
  <c r="BC514" s="1"/>
  <c r="AJ515"/>
  <c r="A515"/>
  <c r="AJ516"/>
  <c r="BC516" s="1"/>
  <c r="AJ517"/>
  <c r="A517"/>
  <c r="AJ518"/>
  <c r="BC518" s="1"/>
  <c r="AJ519"/>
  <c r="A519"/>
  <c r="AJ520"/>
  <c r="BC520" s="1"/>
  <c r="F521"/>
  <c r="AJ521" s="1"/>
  <c r="BC521" s="1"/>
  <c r="F522"/>
  <c r="AJ522" s="1"/>
  <c r="BC522" s="1"/>
  <c r="F523"/>
  <c r="AJ523" s="1"/>
  <c r="BC523" s="1"/>
  <c r="F524"/>
  <c r="AJ524" s="1"/>
  <c r="A524"/>
  <c r="F525"/>
  <c r="AJ525" s="1"/>
  <c r="BC525" s="1"/>
  <c r="F526"/>
  <c r="AJ526" s="1"/>
  <c r="BC526" s="1"/>
  <c r="F527"/>
  <c r="AJ527" s="1"/>
  <c r="BC527" s="1"/>
  <c r="F528"/>
  <c r="AJ528" s="1"/>
  <c r="BC528" s="1"/>
  <c r="F531"/>
  <c r="AJ531" s="1"/>
  <c r="BC531" s="1"/>
  <c r="F532"/>
  <c r="AJ532" s="1"/>
  <c r="BC532" s="1"/>
  <c r="F533"/>
  <c r="AJ533" s="1"/>
  <c r="BC533" s="1"/>
  <c r="F534"/>
  <c r="AJ534" s="1"/>
  <c r="A534"/>
  <c r="F535"/>
  <c r="AJ535" s="1"/>
  <c r="BC535" s="1"/>
  <c r="F536"/>
  <c r="AJ536" s="1"/>
  <c r="BC536" s="1"/>
  <c r="F537"/>
  <c r="AJ537" s="1"/>
  <c r="BC537" s="1"/>
  <c r="F538"/>
  <c r="AJ538" s="1"/>
  <c r="BC538" s="1"/>
  <c r="F539"/>
  <c r="AJ539" s="1"/>
  <c r="BC539" s="1"/>
  <c r="F540"/>
  <c r="AJ540" s="1"/>
  <c r="BC540" s="1"/>
  <c r="F541"/>
  <c r="AJ541" s="1"/>
  <c r="A541"/>
  <c r="F542"/>
  <c r="AJ542" s="1"/>
  <c r="BC542" s="1"/>
  <c r="F543"/>
  <c r="AJ543" s="1"/>
  <c r="BC543" s="1"/>
  <c r="F544"/>
  <c r="AJ544" s="1"/>
  <c r="BC544" s="1"/>
  <c r="F545"/>
  <c r="AJ545" s="1"/>
  <c r="BC545" s="1"/>
  <c r="AJ547"/>
  <c r="BC547" s="1"/>
  <c r="F548"/>
  <c r="AJ548" s="1"/>
  <c r="BC548" s="1"/>
  <c r="F549"/>
  <c r="AJ549" s="1"/>
  <c r="BC549" s="1"/>
  <c r="F550"/>
  <c r="AJ550" s="1"/>
  <c r="BC550" s="1"/>
  <c r="F551"/>
  <c r="AJ551" s="1"/>
  <c r="BC551" s="1"/>
  <c r="AJ555"/>
  <c r="BC555" s="1"/>
  <c r="AJ556"/>
  <c r="BC556" s="1"/>
  <c r="F558"/>
  <c r="AJ558" s="1"/>
  <c r="BC558" s="1"/>
  <c r="AJ559"/>
  <c r="BC559" s="1"/>
  <c r="AJ560"/>
  <c r="BC560" s="1"/>
  <c r="AJ561"/>
  <c r="BC561" s="1"/>
  <c r="AJ562"/>
  <c r="BC562" s="1"/>
  <c r="AJ563"/>
  <c r="BC563" s="1"/>
  <c r="AJ564"/>
  <c r="BC564" s="1"/>
  <c r="AJ565"/>
  <c r="BC565" s="1"/>
  <c r="AJ566"/>
  <c r="BC566" s="1"/>
  <c r="AJ568"/>
  <c r="BC568" s="1"/>
  <c r="F569"/>
  <c r="AJ569" s="1"/>
  <c r="BC569" s="1"/>
  <c r="F570"/>
  <c r="AJ570" s="1"/>
  <c r="BC570" s="1"/>
  <c r="F571"/>
  <c r="AJ571" s="1"/>
  <c r="BC571" s="1"/>
  <c r="F572"/>
  <c r="AJ572" s="1"/>
  <c r="BC572" s="1"/>
  <c r="F573"/>
  <c r="AJ573" s="1"/>
  <c r="BC573" s="1"/>
  <c r="F574"/>
  <c r="AJ574" s="1"/>
  <c r="BC574" s="1"/>
  <c r="F575"/>
  <c r="AJ575" s="1"/>
  <c r="BC575" s="1"/>
  <c r="F576"/>
  <c r="AJ576" s="1"/>
  <c r="BC576" s="1"/>
  <c r="F577"/>
  <c r="AJ577" s="1"/>
  <c r="BC577" s="1"/>
  <c r="F578"/>
  <c r="AJ578" s="1"/>
  <c r="BC578" s="1"/>
  <c r="F579"/>
  <c r="AJ579" s="1"/>
  <c r="BC579" s="1"/>
  <c r="F580"/>
  <c r="AJ580" s="1"/>
  <c r="BC580" s="1"/>
  <c r="AJ581"/>
  <c r="BC581" s="1"/>
  <c r="AJ584"/>
  <c r="BC584" s="1"/>
  <c r="F585"/>
  <c r="AJ585" s="1"/>
  <c r="BC585" s="1"/>
  <c r="AJ588"/>
  <c r="BC588" s="1"/>
  <c r="AJ589"/>
  <c r="BC589" s="1"/>
  <c r="AJ590"/>
  <c r="BC590" s="1"/>
  <c r="AJ591"/>
  <c r="BC591" s="1"/>
  <c r="AJ592"/>
  <c r="BC592" s="1"/>
  <c r="AJ594"/>
  <c r="BC594" s="1"/>
  <c r="AJ595"/>
  <c r="BC595" s="1"/>
  <c r="AJ596"/>
  <c r="BC596" s="1"/>
  <c r="F598"/>
  <c r="AJ598" s="1"/>
  <c r="BC598" s="1"/>
  <c r="AJ599"/>
  <c r="BC599" s="1"/>
  <c r="AJ621"/>
  <c r="BC621" s="1"/>
  <c r="AJ622"/>
  <c r="BC622" s="1"/>
  <c r="AJ623"/>
  <c r="BC623" s="1"/>
  <c r="AJ624"/>
  <c r="BC624" s="1"/>
  <c r="AJ625"/>
  <c r="BC625" s="1"/>
  <c r="AJ626"/>
  <c r="BC626" s="1"/>
  <c r="AJ627"/>
  <c r="BC627" s="1"/>
  <c r="AJ628"/>
  <c r="BC628" s="1"/>
  <c r="AJ629"/>
  <c r="BC629" s="1"/>
  <c r="AJ630"/>
  <c r="BC630" s="1"/>
  <c r="AJ631"/>
  <c r="BC631" s="1"/>
  <c r="AJ632"/>
  <c r="BC632" s="1"/>
  <c r="AJ633"/>
  <c r="BC633" s="1"/>
  <c r="AJ634"/>
  <c r="BC634" s="1"/>
  <c r="AJ635"/>
  <c r="BC635" s="1"/>
  <c r="AJ636"/>
  <c r="BC636" s="1"/>
  <c r="AJ637"/>
  <c r="BC637" s="1"/>
  <c r="AJ638"/>
  <c r="BC638" s="1"/>
  <c r="AJ639"/>
  <c r="BC639" s="1"/>
  <c r="AJ640"/>
  <c r="BC640" s="1"/>
  <c r="AJ641"/>
  <c r="BC641" s="1"/>
  <c r="AJ642"/>
  <c r="BC642" s="1"/>
  <c r="AJ643"/>
  <c r="BC643" s="1"/>
  <c r="AJ644"/>
  <c r="BC644" s="1"/>
  <c r="AJ645"/>
  <c r="BC645" s="1"/>
  <c r="AJ646"/>
  <c r="BC646" s="1"/>
  <c r="AJ647"/>
  <c r="BC647" s="1"/>
  <c r="AJ648"/>
  <c r="BC648" s="1"/>
  <c r="AJ649"/>
  <c r="BC649" s="1"/>
  <c r="AJ650"/>
  <c r="BC650" s="1"/>
  <c r="AJ651"/>
  <c r="BC651" s="1"/>
  <c r="AJ652"/>
  <c r="BC652" s="1"/>
  <c r="AJ653"/>
  <c r="BC653" s="1"/>
  <c r="AJ654"/>
  <c r="BC654" s="1"/>
  <c r="AJ655"/>
  <c r="BC655" s="1"/>
  <c r="AJ656"/>
  <c r="BC656" s="1"/>
  <c r="AJ657"/>
  <c r="BC657" s="1"/>
  <c r="AJ658"/>
  <c r="BC658" s="1"/>
  <c r="AJ659"/>
  <c r="BC659" s="1"/>
  <c r="AJ660"/>
  <c r="BC660" s="1"/>
  <c r="AJ661"/>
  <c r="BC661" s="1"/>
  <c r="AJ665"/>
  <c r="BC665" s="1"/>
  <c r="AJ666"/>
  <c r="BC666" s="1"/>
  <c r="AJ667"/>
  <c r="BC667" s="1"/>
  <c r="AJ722"/>
  <c r="BC722" s="1"/>
  <c r="AJ723"/>
  <c r="BC723" s="1"/>
  <c r="AJ724"/>
  <c r="BC724" s="1"/>
  <c r="AJ725"/>
  <c r="BC725" s="1"/>
  <c r="AJ726"/>
  <c r="BC726" s="1"/>
  <c r="AJ727"/>
  <c r="BC727" s="1"/>
  <c r="AJ728"/>
  <c r="BC728" s="1"/>
  <c r="AJ729"/>
  <c r="BC729" s="1"/>
  <c r="AJ730"/>
  <c r="BC730" s="1"/>
  <c r="AJ731"/>
  <c r="BC731" s="1"/>
  <c r="AJ732"/>
  <c r="BC732" s="1"/>
  <c r="AJ733"/>
  <c r="BC733" s="1"/>
  <c r="AJ734"/>
  <c r="BC734" s="1"/>
  <c r="AJ735"/>
  <c r="BC735" s="1"/>
  <c r="AJ736"/>
  <c r="BC736" s="1"/>
  <c r="AJ737"/>
  <c r="BC737" s="1"/>
  <c r="AJ738"/>
  <c r="BC738" s="1"/>
  <c r="AJ739"/>
  <c r="BC739" s="1"/>
  <c r="AJ740"/>
  <c r="BC740" s="1"/>
  <c r="AJ744"/>
  <c r="BC744" s="1"/>
  <c r="AJ746"/>
  <c r="BC746" s="1"/>
  <c r="AJ748"/>
  <c r="BC748" s="1"/>
  <c r="AJ749"/>
  <c r="BC749" s="1"/>
  <c r="AJ750"/>
  <c r="BC750" s="1"/>
  <c r="AJ751"/>
  <c r="BC751" s="1"/>
  <c r="AJ752"/>
  <c r="BC752" s="1"/>
  <c r="AJ753"/>
  <c r="BC753" s="1"/>
  <c r="AJ754"/>
  <c r="BC754" s="1"/>
  <c r="AJ755"/>
  <c r="BC755" s="1"/>
  <c r="AJ756"/>
  <c r="BC756" s="1"/>
  <c r="AJ757"/>
  <c r="BC757" s="1"/>
  <c r="AJ758"/>
  <c r="BC758" s="1"/>
  <c r="AJ762"/>
  <c r="BC762" s="1"/>
  <c r="AJ763"/>
  <c r="BC763" s="1"/>
  <c r="AJ768"/>
  <c r="BC768" s="1"/>
  <c r="AJ769"/>
  <c r="BC769" s="1"/>
  <c r="AJ782"/>
  <c r="BC782" s="1"/>
  <c r="AJ783"/>
  <c r="BC783" s="1"/>
  <c r="AJ784"/>
  <c r="BC784" s="1"/>
  <c r="AJ785"/>
  <c r="BC785" s="1"/>
  <c r="AJ787"/>
  <c r="BC787" s="1"/>
  <c r="AJ788"/>
  <c r="BC788" s="1"/>
  <c r="AJ791"/>
  <c r="BC791" s="1"/>
  <c r="AJ792"/>
  <c r="BC792" s="1"/>
  <c r="F793"/>
  <c r="AJ793" s="1"/>
  <c r="BC793" s="1"/>
  <c r="AJ797"/>
  <c r="BC797" s="1"/>
  <c r="AJ798"/>
  <c r="BC798" s="1"/>
  <c r="AJ799"/>
  <c r="BC799" s="1"/>
  <c r="AJ802"/>
  <c r="BC802" s="1"/>
  <c r="AJ803"/>
  <c r="BC803" s="1"/>
  <c r="F809"/>
  <c r="AJ809" s="1"/>
  <c r="BC809" s="1"/>
  <c r="AJ811"/>
  <c r="BC811" s="1"/>
  <c r="AJ812"/>
  <c r="BC812" s="1"/>
  <c r="AJ813"/>
  <c r="BC813" s="1"/>
  <c r="AJ814"/>
  <c r="BC814" s="1"/>
  <c r="F815"/>
  <c r="AJ815" s="1"/>
  <c r="BC815" s="1"/>
  <c r="F816"/>
  <c r="AJ816" s="1"/>
  <c r="BC816" s="1"/>
  <c r="F817"/>
  <c r="AJ817" s="1"/>
  <c r="BC817" s="1"/>
  <c r="F818"/>
  <c r="AJ818" s="1"/>
  <c r="BC818" s="1"/>
  <c r="F819"/>
  <c r="AJ819" s="1"/>
  <c r="BC819" s="1"/>
  <c r="F820"/>
  <c r="AJ820" s="1"/>
  <c r="BC820" s="1"/>
  <c r="F821"/>
  <c r="AJ821" s="1"/>
  <c r="BC821" s="1"/>
  <c r="F822"/>
  <c r="AJ822" s="1"/>
  <c r="BC822" s="1"/>
  <c r="AJ823"/>
  <c r="BC823" s="1"/>
  <c r="AJ824"/>
  <c r="BC824" s="1"/>
  <c r="AJ825"/>
  <c r="BC825" s="1"/>
  <c r="AJ826"/>
  <c r="BC826" s="1"/>
  <c r="AJ827"/>
  <c r="BC827" s="1"/>
  <c r="AJ828"/>
  <c r="BC828" s="1"/>
  <c r="F829"/>
  <c r="AJ829" s="1"/>
  <c r="BC829" s="1"/>
  <c r="AJ831"/>
  <c r="BC831" s="1"/>
  <c r="AJ833"/>
  <c r="BC833" s="1"/>
  <c r="AJ834"/>
  <c r="BC834" s="1"/>
  <c r="AJ838"/>
  <c r="BC838" s="1"/>
  <c r="AJ839"/>
  <c r="BC839" s="1"/>
  <c r="AJ840"/>
  <c r="BC840" s="1"/>
  <c r="AJ841"/>
  <c r="BC841" s="1"/>
  <c r="AJ842"/>
  <c r="BC842" s="1"/>
  <c r="AJ843"/>
  <c r="BC843" s="1"/>
  <c r="AJ844"/>
  <c r="BC844" s="1"/>
  <c r="AJ845"/>
  <c r="BC845" s="1"/>
  <c r="AJ846"/>
  <c r="BC846" s="1"/>
  <c r="AJ849"/>
  <c r="BC849" s="1"/>
  <c r="AJ850"/>
  <c r="BC850" s="1"/>
  <c r="AJ851"/>
  <c r="BC851" s="1"/>
  <c r="AJ852"/>
  <c r="BC852" s="1"/>
  <c r="AJ853"/>
  <c r="BC853" s="1"/>
  <c r="AJ854"/>
  <c r="BC854" s="1"/>
  <c r="AJ855"/>
  <c r="BC855" s="1"/>
  <c r="AJ858"/>
  <c r="BC858" s="1"/>
  <c r="AJ859"/>
  <c r="BC859" s="1"/>
  <c r="AJ860"/>
  <c r="BC860" s="1"/>
  <c r="AJ861"/>
  <c r="BC861" s="1"/>
  <c r="AJ862"/>
  <c r="BC862" s="1"/>
  <c r="AJ863"/>
  <c r="BC863" s="1"/>
  <c r="AJ864"/>
  <c r="BC864" s="1"/>
  <c r="AJ865"/>
  <c r="BC865" s="1"/>
  <c r="AJ866"/>
  <c r="BC866" s="1"/>
  <c r="AJ867"/>
  <c r="BC867" s="1"/>
  <c r="AJ868"/>
  <c r="BC868" s="1"/>
  <c r="AJ869"/>
  <c r="BC869" s="1"/>
  <c r="AJ870"/>
  <c r="BC870" s="1"/>
  <c r="AJ871"/>
  <c r="BC871" s="1"/>
  <c r="AJ872"/>
  <c r="BC872" s="1"/>
  <c r="AJ873"/>
  <c r="BC873" s="1"/>
  <c r="AJ874"/>
  <c r="BC874" s="1"/>
  <c r="F875"/>
  <c r="AJ875" s="1"/>
  <c r="BC875" s="1"/>
  <c r="AJ879"/>
  <c r="BC879" s="1"/>
  <c r="AJ880"/>
  <c r="BC880" s="1"/>
  <c r="AJ882"/>
  <c r="BC882" s="1"/>
  <c r="AJ883"/>
  <c r="BC883" s="1"/>
  <c r="AJ887"/>
  <c r="BC887" s="1"/>
  <c r="AJ888"/>
  <c r="BC888" s="1"/>
  <c r="AJ889"/>
  <c r="BC889" s="1"/>
  <c r="AJ890"/>
  <c r="BC890" s="1"/>
  <c r="AJ891"/>
  <c r="BC891" s="1"/>
  <c r="AJ892"/>
  <c r="BC892" s="1"/>
  <c r="AJ893"/>
  <c r="BC893" s="1"/>
  <c r="AJ894"/>
  <c r="BC894" s="1"/>
  <c r="AJ895"/>
  <c r="BC895" s="1"/>
  <c r="AJ899"/>
  <c r="BC899" s="1"/>
  <c r="AJ900"/>
  <c r="BC900" s="1"/>
  <c r="AJ901"/>
  <c r="BC901" s="1"/>
  <c r="AJ902"/>
  <c r="BC902" s="1"/>
  <c r="AJ903"/>
  <c r="BC903" s="1"/>
  <c r="F905"/>
  <c r="AJ905" s="1"/>
  <c r="BC905" s="1"/>
  <c r="F906"/>
  <c r="AJ906" s="1"/>
  <c r="BC906" s="1"/>
  <c r="BC983"/>
  <c r="BC984" s="1"/>
  <c r="G983"/>
  <c r="G984" s="1"/>
  <c r="G982" s="1"/>
  <c r="M983"/>
  <c r="M984" s="1"/>
  <c r="M982" s="1"/>
  <c r="J982"/>
  <c r="AR983"/>
  <c r="AR984" s="1"/>
  <c r="BH983"/>
  <c r="BH984" s="1"/>
  <c r="BG983"/>
  <c r="BG984" s="1"/>
  <c r="BF983"/>
  <c r="BF984" s="1"/>
  <c r="BE983"/>
  <c r="BE984" s="1"/>
  <c r="BD983"/>
  <c r="BD984" s="1"/>
  <c r="BB983"/>
  <c r="BB984" s="1"/>
  <c r="AZ983"/>
  <c r="AZ984" s="1"/>
  <c r="AY983"/>
  <c r="AY984" s="1"/>
  <c r="AX983"/>
  <c r="AX984" s="1"/>
  <c r="AW983"/>
  <c r="AW984" s="1"/>
  <c r="AV983"/>
  <c r="AV984" s="1"/>
  <c r="AU983"/>
  <c r="AU984" s="1"/>
  <c r="AT983"/>
  <c r="AT984" s="1"/>
  <c r="AS983"/>
  <c r="AS984" s="1"/>
  <c r="AQ983"/>
  <c r="AQ984" s="1"/>
  <c r="AP983"/>
  <c r="AP984" s="1"/>
  <c r="AN983"/>
  <c r="AN984" s="1"/>
  <c r="AM983"/>
  <c r="AM984" s="1"/>
  <c r="AL983"/>
  <c r="AL984" s="1"/>
  <c r="AK983"/>
  <c r="AK984" s="1"/>
  <c r="AJ983"/>
  <c r="AJ984" s="1"/>
  <c r="AI983"/>
  <c r="AI984" s="1"/>
  <c r="AH983"/>
  <c r="AH984" s="1"/>
  <c r="AG983"/>
  <c r="AG984" s="1"/>
  <c r="AE983"/>
  <c r="AE984" s="1"/>
  <c r="AD983"/>
  <c r="AD984" s="1"/>
  <c r="AC983"/>
  <c r="AC984" s="1"/>
  <c r="AB983"/>
  <c r="AB984" s="1"/>
  <c r="AA983"/>
  <c r="AA984" s="1"/>
  <c r="Z983"/>
  <c r="Z984" s="1"/>
  <c r="Y983"/>
  <c r="Y984" s="1"/>
  <c r="X983"/>
  <c r="X984" s="1"/>
  <c r="W983"/>
  <c r="W984" s="1"/>
  <c r="V983"/>
  <c r="V984" s="1"/>
  <c r="U983"/>
  <c r="U984" s="1"/>
  <c r="T983"/>
  <c r="T984" s="1"/>
  <c r="S983"/>
  <c r="S984" s="1"/>
  <c r="R983"/>
  <c r="R984" s="1"/>
  <c r="Q983"/>
  <c r="Q984" s="1"/>
  <c r="P983"/>
  <c r="P984" s="1"/>
  <c r="O983"/>
  <c r="O984" s="1"/>
  <c r="N983"/>
  <c r="N984" s="1"/>
  <c r="L983"/>
  <c r="L984" s="1"/>
  <c r="K983"/>
  <c r="K984" s="1"/>
  <c r="J983"/>
  <c r="J984" s="1"/>
  <c r="I983"/>
  <c r="I984" s="1"/>
  <c r="H983"/>
  <c r="H984" s="1"/>
  <c r="F983"/>
  <c r="F984" s="1"/>
  <c r="E983"/>
  <c r="E984" s="1"/>
  <c r="D983"/>
  <c r="D984" s="1"/>
  <c r="C983"/>
  <c r="C984" s="1"/>
  <c r="A983"/>
  <c r="A984" s="1"/>
  <c r="B983"/>
  <c r="B984" s="1"/>
  <c r="H188" i="12"/>
  <c r="H186" s="1"/>
  <c r="E174"/>
  <c r="L191" s="1"/>
  <c r="AB4" i="33"/>
  <c r="U10" s="1"/>
  <c r="AW217" i="9"/>
  <c r="AZ906"/>
  <c r="AY906"/>
  <c r="AX906"/>
  <c r="AW906"/>
  <c r="AZ905"/>
  <c r="AY905"/>
  <c r="AX905"/>
  <c r="AW905"/>
  <c r="AZ904"/>
  <c r="AY904"/>
  <c r="AX904"/>
  <c r="AW904"/>
  <c r="AZ903"/>
  <c r="AY903"/>
  <c r="AX903"/>
  <c r="AW903"/>
  <c r="AZ902"/>
  <c r="AY902"/>
  <c r="AX902"/>
  <c r="AW902"/>
  <c r="AZ901"/>
  <c r="AY901"/>
  <c r="AX901"/>
  <c r="AW901"/>
  <c r="AZ900"/>
  <c r="AY900"/>
  <c r="AX900"/>
  <c r="AW900"/>
  <c r="AZ899"/>
  <c r="AY899"/>
  <c r="AX899"/>
  <c r="AW899"/>
  <c r="AZ898"/>
  <c r="AY898"/>
  <c r="AX898"/>
  <c r="AW898"/>
  <c r="AZ897"/>
  <c r="AY897"/>
  <c r="AX897"/>
  <c r="AW897"/>
  <c r="AZ896"/>
  <c r="AY896"/>
  <c r="AX896"/>
  <c r="AW896"/>
  <c r="AZ895"/>
  <c r="AY895"/>
  <c r="AX895"/>
  <c r="AW895"/>
  <c r="AZ894"/>
  <c r="AY894"/>
  <c r="AX894"/>
  <c r="AW894"/>
  <c r="AZ893"/>
  <c r="AY893"/>
  <c r="AX893"/>
  <c r="AW893"/>
  <c r="AZ892"/>
  <c r="AY892"/>
  <c r="AX892"/>
  <c r="AW892"/>
  <c r="AZ891"/>
  <c r="AY891"/>
  <c r="AX891"/>
  <c r="AW891"/>
  <c r="AZ890"/>
  <c r="AY890"/>
  <c r="AX890"/>
  <c r="AW890"/>
  <c r="AZ889"/>
  <c r="AY889"/>
  <c r="AX889"/>
  <c r="AW889"/>
  <c r="AZ888"/>
  <c r="AY888"/>
  <c r="AX888"/>
  <c r="AW888"/>
  <c r="AZ887"/>
  <c r="AY887"/>
  <c r="AX887"/>
  <c r="AW887"/>
  <c r="AZ886"/>
  <c r="AY886"/>
  <c r="AX886"/>
  <c r="AW886"/>
  <c r="AZ885"/>
  <c r="AY885"/>
  <c r="AX885"/>
  <c r="AW885"/>
  <c r="AZ884"/>
  <c r="AY884"/>
  <c r="AX884"/>
  <c r="AW884"/>
  <c r="AZ883"/>
  <c r="AY883"/>
  <c r="AX883"/>
  <c r="AW883"/>
  <c r="AZ882"/>
  <c r="AY882"/>
  <c r="AX882"/>
  <c r="AW882"/>
  <c r="AZ881"/>
  <c r="AY881"/>
  <c r="AX881"/>
  <c r="AW881"/>
  <c r="AZ880"/>
  <c r="AY880"/>
  <c r="AX880"/>
  <c r="AW880"/>
  <c r="AZ879"/>
  <c r="AY879"/>
  <c r="AX879"/>
  <c r="AW879"/>
  <c r="AZ878"/>
  <c r="AY878"/>
  <c r="AX878"/>
  <c r="AW878"/>
  <c r="AZ877"/>
  <c r="AY877"/>
  <c r="AX877"/>
  <c r="AW877"/>
  <c r="AZ876"/>
  <c r="AY876"/>
  <c r="AX876"/>
  <c r="AW876"/>
  <c r="AZ875"/>
  <c r="AY875"/>
  <c r="AX875"/>
  <c r="AW875"/>
  <c r="AZ874"/>
  <c r="AY874"/>
  <c r="AX874"/>
  <c r="AW874"/>
  <c r="AZ873"/>
  <c r="AY873"/>
  <c r="AX873"/>
  <c r="AW873"/>
  <c r="AZ872"/>
  <c r="AY872"/>
  <c r="AX872"/>
  <c r="AW872"/>
  <c r="AZ871"/>
  <c r="AY871"/>
  <c r="AX871"/>
  <c r="AW871"/>
  <c r="AZ870"/>
  <c r="AY870"/>
  <c r="AX870"/>
  <c r="AW870"/>
  <c r="AZ869"/>
  <c r="AY869"/>
  <c r="AX869"/>
  <c r="AW869"/>
  <c r="AZ868"/>
  <c r="AY868"/>
  <c r="AX868"/>
  <c r="AW868"/>
  <c r="AZ867"/>
  <c r="AY867"/>
  <c r="AX867"/>
  <c r="AW867"/>
  <c r="AZ866"/>
  <c r="AY866"/>
  <c r="AX866"/>
  <c r="AW866"/>
  <c r="AZ865"/>
  <c r="AY865"/>
  <c r="AX865"/>
  <c r="AW865"/>
  <c r="AZ864"/>
  <c r="AY864"/>
  <c r="AX864"/>
  <c r="AW864"/>
  <c r="AZ863"/>
  <c r="AY863"/>
  <c r="AX863"/>
  <c r="AW863"/>
  <c r="AZ862"/>
  <c r="AY862"/>
  <c r="AX862"/>
  <c r="AW862"/>
  <c r="AZ861"/>
  <c r="AY861"/>
  <c r="AX861"/>
  <c r="AW861"/>
  <c r="AZ860"/>
  <c r="AY860"/>
  <c r="AX860"/>
  <c r="AW860"/>
  <c r="AZ859"/>
  <c r="AY859"/>
  <c r="AX859"/>
  <c r="AW859"/>
  <c r="AZ858"/>
  <c r="AY858"/>
  <c r="AX858"/>
  <c r="AW858"/>
  <c r="AZ857"/>
  <c r="AY857"/>
  <c r="AX857"/>
  <c r="AW857"/>
  <c r="AZ856"/>
  <c r="AY856"/>
  <c r="AX856"/>
  <c r="AW856"/>
  <c r="AZ855"/>
  <c r="AY855"/>
  <c r="AX855"/>
  <c r="AW855"/>
  <c r="AZ854"/>
  <c r="AY854"/>
  <c r="AX854"/>
  <c r="AW854"/>
  <c r="AZ853"/>
  <c r="AY853"/>
  <c r="AX853"/>
  <c r="AW853"/>
  <c r="AZ852"/>
  <c r="AY852"/>
  <c r="AX852"/>
  <c r="AW852"/>
  <c r="AZ851"/>
  <c r="AY851"/>
  <c r="AX851"/>
  <c r="AW851"/>
  <c r="AZ850"/>
  <c r="AY850"/>
  <c r="AX850"/>
  <c r="AW850"/>
  <c r="AZ849"/>
  <c r="AY849"/>
  <c r="AX849"/>
  <c r="AW849"/>
  <c r="AZ848"/>
  <c r="AY848"/>
  <c r="AX848"/>
  <c r="AW848"/>
  <c r="AZ847"/>
  <c r="AY847"/>
  <c r="AX847"/>
  <c r="AW847"/>
  <c r="AZ846"/>
  <c r="AY846"/>
  <c r="AX846"/>
  <c r="AW846"/>
  <c r="AZ845"/>
  <c r="AY845"/>
  <c r="AX845"/>
  <c r="AW845"/>
  <c r="AZ844"/>
  <c r="AY844"/>
  <c r="AX844"/>
  <c r="AW844"/>
  <c r="AZ843"/>
  <c r="AY843"/>
  <c r="AX843"/>
  <c r="AW843"/>
  <c r="AZ842"/>
  <c r="AY842"/>
  <c r="AX842"/>
  <c r="AW842"/>
  <c r="AZ841"/>
  <c r="AY841"/>
  <c r="AX841"/>
  <c r="AW841"/>
  <c r="AZ840"/>
  <c r="AY840"/>
  <c r="AX840"/>
  <c r="AW840"/>
  <c r="AZ839"/>
  <c r="AY839"/>
  <c r="AX839"/>
  <c r="AW839"/>
  <c r="AZ838"/>
  <c r="AY838"/>
  <c r="AX838"/>
  <c r="AW838"/>
  <c r="AZ837"/>
  <c r="AY837"/>
  <c r="AX837"/>
  <c r="AW837"/>
  <c r="AZ836"/>
  <c r="AY836"/>
  <c r="AX836"/>
  <c r="AW836"/>
  <c r="AZ835"/>
  <c r="AY835"/>
  <c r="AX835"/>
  <c r="AW835"/>
  <c r="AZ834"/>
  <c r="AY834"/>
  <c r="AX834"/>
  <c r="AW834"/>
  <c r="AZ833"/>
  <c r="AY833"/>
  <c r="AX833"/>
  <c r="AW833"/>
  <c r="AZ832"/>
  <c r="AY832"/>
  <c r="AX832"/>
  <c r="AW832"/>
  <c r="AZ831"/>
  <c r="AY831"/>
  <c r="AX831"/>
  <c r="AW831"/>
  <c r="AZ830"/>
  <c r="AY830"/>
  <c r="AX830"/>
  <c r="AW830"/>
  <c r="AZ829"/>
  <c r="AY829"/>
  <c r="AX829"/>
  <c r="AW829"/>
  <c r="AZ828"/>
  <c r="AY828"/>
  <c r="AX828"/>
  <c r="AW828"/>
  <c r="AZ827"/>
  <c r="AY827"/>
  <c r="AX827"/>
  <c r="AW827"/>
  <c r="AZ826"/>
  <c r="AY826"/>
  <c r="AX826"/>
  <c r="AW826"/>
  <c r="AZ825"/>
  <c r="AY825"/>
  <c r="AX825"/>
  <c r="AW825"/>
  <c r="AZ824"/>
  <c r="AY824"/>
  <c r="AX824"/>
  <c r="AW824"/>
  <c r="AZ823"/>
  <c r="AY823"/>
  <c r="AX823"/>
  <c r="AW823"/>
  <c r="AZ822"/>
  <c r="AY822"/>
  <c r="AX822"/>
  <c r="AW822"/>
  <c r="AZ821"/>
  <c r="AY821"/>
  <c r="AX821"/>
  <c r="AW821"/>
  <c r="AZ820"/>
  <c r="AY820"/>
  <c r="AX820"/>
  <c r="AW820"/>
  <c r="AZ819"/>
  <c r="AY819"/>
  <c r="AX819"/>
  <c r="AW819"/>
  <c r="AZ818"/>
  <c r="AY818"/>
  <c r="AX818"/>
  <c r="AW818"/>
  <c r="AZ817"/>
  <c r="AY817"/>
  <c r="AX817"/>
  <c r="AW817"/>
  <c r="AZ816"/>
  <c r="AY816"/>
  <c r="AX816"/>
  <c r="AW816"/>
  <c r="AZ815"/>
  <c r="AY815"/>
  <c r="AX815"/>
  <c r="AW815"/>
  <c r="AZ814"/>
  <c r="AY814"/>
  <c r="AX814"/>
  <c r="AW814"/>
  <c r="AZ813"/>
  <c r="AY813"/>
  <c r="AX813"/>
  <c r="AW813"/>
  <c r="AZ812"/>
  <c r="AY812"/>
  <c r="AX812"/>
  <c r="AW812"/>
  <c r="AZ811"/>
  <c r="AY811"/>
  <c r="AX811"/>
  <c r="AW811"/>
  <c r="AZ810"/>
  <c r="AY810"/>
  <c r="AX810"/>
  <c r="AW810"/>
  <c r="AZ809"/>
  <c r="AY809"/>
  <c r="AX809"/>
  <c r="AW809"/>
  <c r="AZ808"/>
  <c r="AY808"/>
  <c r="AX808"/>
  <c r="AW808"/>
  <c r="AZ807"/>
  <c r="AY807"/>
  <c r="AX807"/>
  <c r="AW807"/>
  <c r="AZ806"/>
  <c r="AY806"/>
  <c r="AX806"/>
  <c r="AW806"/>
  <c r="AZ805"/>
  <c r="AY805"/>
  <c r="AX805"/>
  <c r="AW805"/>
  <c r="AZ804"/>
  <c r="AY804"/>
  <c r="AX804"/>
  <c r="AW804"/>
  <c r="AZ803"/>
  <c r="AY803"/>
  <c r="AX803"/>
  <c r="AW803"/>
  <c r="AZ802"/>
  <c r="AY802"/>
  <c r="AX802"/>
  <c r="AW802"/>
  <c r="AZ801"/>
  <c r="AY801"/>
  <c r="AX801"/>
  <c r="AW801"/>
  <c r="AZ800"/>
  <c r="AY800"/>
  <c r="AX800"/>
  <c r="AW800"/>
  <c r="AZ799"/>
  <c r="AY799"/>
  <c r="AX799"/>
  <c r="AW799"/>
  <c r="AZ798"/>
  <c r="AY798"/>
  <c r="AX798"/>
  <c r="AW798"/>
  <c r="AZ797"/>
  <c r="AY797"/>
  <c r="AX797"/>
  <c r="AW797"/>
  <c r="B796"/>
  <c r="N796" s="1"/>
  <c r="BA796" s="1"/>
  <c r="AW796"/>
  <c r="AZ795"/>
  <c r="AY795"/>
  <c r="AX795"/>
  <c r="AW795"/>
  <c r="AW794"/>
  <c r="AZ793"/>
  <c r="AY793"/>
  <c r="AX793"/>
  <c r="AW793"/>
  <c r="AZ792"/>
  <c r="AY792"/>
  <c r="AX792"/>
  <c r="AW792"/>
  <c r="AZ791"/>
  <c r="AY791"/>
  <c r="AX791"/>
  <c r="AW791"/>
  <c r="AZ790"/>
  <c r="AY790"/>
  <c r="AX790"/>
  <c r="AW790"/>
  <c r="AZ789"/>
  <c r="AY789"/>
  <c r="AX789"/>
  <c r="AW789"/>
  <c r="AZ788"/>
  <c r="AY788"/>
  <c r="AX788"/>
  <c r="AW788"/>
  <c r="AZ787"/>
  <c r="AY787"/>
  <c r="AX787"/>
  <c r="AW787"/>
  <c r="AZ786"/>
  <c r="AY786"/>
  <c r="AX786"/>
  <c r="AW786"/>
  <c r="AZ785"/>
  <c r="AY785"/>
  <c r="AX785"/>
  <c r="AW785"/>
  <c r="AZ784"/>
  <c r="AY784"/>
  <c r="AX784"/>
  <c r="AW784"/>
  <c r="AZ783"/>
  <c r="AY783"/>
  <c r="AX783"/>
  <c r="AW783"/>
  <c r="AZ782"/>
  <c r="AY782"/>
  <c r="AX782"/>
  <c r="AW782"/>
  <c r="AZ781"/>
  <c r="AY781"/>
  <c r="AX781"/>
  <c r="AW781"/>
  <c r="AZ780"/>
  <c r="AY780"/>
  <c r="AX780"/>
  <c r="AW780"/>
  <c r="AZ779"/>
  <c r="AY779"/>
  <c r="AX779"/>
  <c r="AW779"/>
  <c r="AZ778"/>
  <c r="AY778"/>
  <c r="AX778"/>
  <c r="AW778"/>
  <c r="AZ777"/>
  <c r="AY777"/>
  <c r="AX777"/>
  <c r="AW777"/>
  <c r="AZ776"/>
  <c r="AY776"/>
  <c r="AX776"/>
  <c r="AW776"/>
  <c r="AZ775"/>
  <c r="AY775"/>
  <c r="AX775"/>
  <c r="AW775"/>
  <c r="AZ774"/>
  <c r="AY774"/>
  <c r="AX774"/>
  <c r="AW774"/>
  <c r="AZ773"/>
  <c r="AY773"/>
  <c r="AX773"/>
  <c r="AW773"/>
  <c r="AZ772"/>
  <c r="AY772"/>
  <c r="AX772"/>
  <c r="AW772"/>
  <c r="AZ771"/>
  <c r="AY771"/>
  <c r="AX771"/>
  <c r="AW771"/>
  <c r="AZ770"/>
  <c r="AY770"/>
  <c r="AX770"/>
  <c r="AW770"/>
  <c r="AZ769"/>
  <c r="AY769"/>
  <c r="AX769"/>
  <c r="AW769"/>
  <c r="AZ768"/>
  <c r="AY768"/>
  <c r="AX768"/>
  <c r="AW768"/>
  <c r="AZ767"/>
  <c r="AY767"/>
  <c r="AX767"/>
  <c r="AW767"/>
  <c r="AZ766"/>
  <c r="AY766"/>
  <c r="AX766"/>
  <c r="AW766"/>
  <c r="AZ765"/>
  <c r="AY765"/>
  <c r="AX765"/>
  <c r="AW765"/>
  <c r="AZ764"/>
  <c r="AY764"/>
  <c r="AX764"/>
  <c r="AW764"/>
  <c r="AZ763"/>
  <c r="AY763"/>
  <c r="AX763"/>
  <c r="AW763"/>
  <c r="AZ762"/>
  <c r="AY762"/>
  <c r="AX762"/>
  <c r="AW762"/>
  <c r="AZ761"/>
  <c r="AY761"/>
  <c r="AX761"/>
  <c r="AW761"/>
  <c r="AZ760"/>
  <c r="AY760"/>
  <c r="AX760"/>
  <c r="AW760"/>
  <c r="AZ759"/>
  <c r="AY759"/>
  <c r="AX759"/>
  <c r="AW759"/>
  <c r="AZ758"/>
  <c r="AY758"/>
  <c r="AX758"/>
  <c r="AW758"/>
  <c r="AZ757"/>
  <c r="AY757"/>
  <c r="AX757"/>
  <c r="AW757"/>
  <c r="AZ756"/>
  <c r="AY756"/>
  <c r="AX756"/>
  <c r="AW756"/>
  <c r="AZ755"/>
  <c r="AY755"/>
  <c r="AX755"/>
  <c r="AW755"/>
  <c r="AZ754"/>
  <c r="AY754"/>
  <c r="AX754"/>
  <c r="AW754"/>
  <c r="AZ753"/>
  <c r="AY753"/>
  <c r="AX753"/>
  <c r="AW753"/>
  <c r="AZ752"/>
  <c r="AY752"/>
  <c r="AX752"/>
  <c r="AW752"/>
  <c r="AZ751"/>
  <c r="AY751"/>
  <c r="AX751"/>
  <c r="AW751"/>
  <c r="AZ750"/>
  <c r="AY750"/>
  <c r="AX750"/>
  <c r="AW750"/>
  <c r="AZ749"/>
  <c r="AY749"/>
  <c r="AX749"/>
  <c r="AW749"/>
  <c r="AZ748"/>
  <c r="AY748"/>
  <c r="AX748"/>
  <c r="AW748"/>
  <c r="AZ747"/>
  <c r="AY747"/>
  <c r="AX747"/>
  <c r="AW747"/>
  <c r="AZ746"/>
  <c r="AY746"/>
  <c r="AX746"/>
  <c r="AW746"/>
  <c r="AZ745"/>
  <c r="AY745"/>
  <c r="AX745"/>
  <c r="AW745"/>
  <c r="AZ744"/>
  <c r="AY744"/>
  <c r="AX744"/>
  <c r="AW744"/>
  <c r="AZ743"/>
  <c r="AY743"/>
  <c r="AX743"/>
  <c r="AW743"/>
  <c r="AZ742"/>
  <c r="AY742"/>
  <c r="AX742"/>
  <c r="AW742"/>
  <c r="AZ741"/>
  <c r="AY741"/>
  <c r="AX741"/>
  <c r="AW741"/>
  <c r="AZ740"/>
  <c r="AY740"/>
  <c r="AX740"/>
  <c r="AW740"/>
  <c r="AZ739"/>
  <c r="AY739"/>
  <c r="AX739"/>
  <c r="AW739"/>
  <c r="AZ738"/>
  <c r="AY738"/>
  <c r="AX738"/>
  <c r="AW738"/>
  <c r="AZ737"/>
  <c r="AY737"/>
  <c r="AX737"/>
  <c r="AW737"/>
  <c r="AZ736"/>
  <c r="AY736"/>
  <c r="AX736"/>
  <c r="AW736"/>
  <c r="AZ735"/>
  <c r="AY735"/>
  <c r="AX735"/>
  <c r="AW735"/>
  <c r="AZ734"/>
  <c r="AY734"/>
  <c r="AX734"/>
  <c r="AW734"/>
  <c r="AZ733"/>
  <c r="AY733"/>
  <c r="AX733"/>
  <c r="AW733"/>
  <c r="AZ732"/>
  <c r="AY732"/>
  <c r="AX732"/>
  <c r="AW732"/>
  <c r="AZ731"/>
  <c r="AY731"/>
  <c r="AX731"/>
  <c r="AW731"/>
  <c r="AZ730"/>
  <c r="AY730"/>
  <c r="AX730"/>
  <c r="AW730"/>
  <c r="AZ729"/>
  <c r="AY729"/>
  <c r="AX729"/>
  <c r="AW729"/>
  <c r="AZ728"/>
  <c r="AY728"/>
  <c r="AX728"/>
  <c r="AW728"/>
  <c r="AZ727"/>
  <c r="AY727"/>
  <c r="AX727"/>
  <c r="AW727"/>
  <c r="AZ726"/>
  <c r="AY726"/>
  <c r="AX726"/>
  <c r="AW726"/>
  <c r="AZ725"/>
  <c r="AY725"/>
  <c r="AX725"/>
  <c r="AW725"/>
  <c r="AZ724"/>
  <c r="AY724"/>
  <c r="AX724"/>
  <c r="AW724"/>
  <c r="AZ723"/>
  <c r="AY723"/>
  <c r="AX723"/>
  <c r="AW723"/>
  <c r="AZ722"/>
  <c r="AY722"/>
  <c r="AX722"/>
  <c r="AW722"/>
  <c r="AZ721"/>
  <c r="AY721"/>
  <c r="AX721"/>
  <c r="AW721"/>
  <c r="AZ720"/>
  <c r="AY720"/>
  <c r="AX720"/>
  <c r="AW720"/>
  <c r="AZ719"/>
  <c r="AY719"/>
  <c r="AX719"/>
  <c r="AW719"/>
  <c r="AZ718"/>
  <c r="AY718"/>
  <c r="AX718"/>
  <c r="AW718"/>
  <c r="AZ717"/>
  <c r="AY717"/>
  <c r="AX717"/>
  <c r="AW717"/>
  <c r="AZ716"/>
  <c r="AY716"/>
  <c r="AX716"/>
  <c r="AW716"/>
  <c r="AZ715"/>
  <c r="AY715"/>
  <c r="AX715"/>
  <c r="AW715"/>
  <c r="AZ714"/>
  <c r="AY714"/>
  <c r="AX714"/>
  <c r="AW714"/>
  <c r="AZ713"/>
  <c r="AY713"/>
  <c r="AX713"/>
  <c r="AW713"/>
  <c r="AZ712"/>
  <c r="AY712"/>
  <c r="AX712"/>
  <c r="AW712"/>
  <c r="AZ711"/>
  <c r="AY711"/>
  <c r="AX711"/>
  <c r="AW711"/>
  <c r="AZ710"/>
  <c r="AY710"/>
  <c r="AX710"/>
  <c r="AW710"/>
  <c r="AZ709"/>
  <c r="AY709"/>
  <c r="AX709"/>
  <c r="AW709"/>
  <c r="AZ708"/>
  <c r="AY708"/>
  <c r="AX708"/>
  <c r="AW708"/>
  <c r="AZ707"/>
  <c r="AY707"/>
  <c r="AX707"/>
  <c r="AW707"/>
  <c r="AZ706"/>
  <c r="AY706"/>
  <c r="AX706"/>
  <c r="AW706"/>
  <c r="AZ705"/>
  <c r="AY705"/>
  <c r="AX705"/>
  <c r="AW705"/>
  <c r="AZ704"/>
  <c r="AY704"/>
  <c r="AX704"/>
  <c r="AW704"/>
  <c r="AZ703"/>
  <c r="AY703"/>
  <c r="AX703"/>
  <c r="AW703"/>
  <c r="AZ702"/>
  <c r="AY702"/>
  <c r="AX702"/>
  <c r="AW702"/>
  <c r="AZ701"/>
  <c r="AY701"/>
  <c r="AX701"/>
  <c r="AW701"/>
  <c r="AZ700"/>
  <c r="AY700"/>
  <c r="AX700"/>
  <c r="AW700"/>
  <c r="AZ699"/>
  <c r="AY699"/>
  <c r="AX699"/>
  <c r="AW699"/>
  <c r="AZ698"/>
  <c r="AY698"/>
  <c r="AX698"/>
  <c r="AW698"/>
  <c r="AZ697"/>
  <c r="AY697"/>
  <c r="AX697"/>
  <c r="AW697"/>
  <c r="AZ696"/>
  <c r="AY696"/>
  <c r="AX696"/>
  <c r="AW696"/>
  <c r="AZ695"/>
  <c r="AY695"/>
  <c r="AX695"/>
  <c r="AW695"/>
  <c r="AZ694"/>
  <c r="AY694"/>
  <c r="AX694"/>
  <c r="AW694"/>
  <c r="AZ693"/>
  <c r="AY693"/>
  <c r="AX693"/>
  <c r="AW693"/>
  <c r="AZ692"/>
  <c r="AY692"/>
  <c r="AX692"/>
  <c r="AW692"/>
  <c r="AZ691"/>
  <c r="AY691"/>
  <c r="AX691"/>
  <c r="AW691"/>
  <c r="AZ690"/>
  <c r="AY690"/>
  <c r="AX690"/>
  <c r="AW690"/>
  <c r="AZ689"/>
  <c r="AY689"/>
  <c r="AX689"/>
  <c r="AW689"/>
  <c r="AZ688"/>
  <c r="AY688"/>
  <c r="AX688"/>
  <c r="AW688"/>
  <c r="AZ687"/>
  <c r="AY687"/>
  <c r="AX687"/>
  <c r="AW687"/>
  <c r="AZ686"/>
  <c r="AY686"/>
  <c r="AX686"/>
  <c r="AW686"/>
  <c r="AZ685"/>
  <c r="AY685"/>
  <c r="AX685"/>
  <c r="AW685"/>
  <c r="AZ684"/>
  <c r="AY684"/>
  <c r="AX684"/>
  <c r="AW684"/>
  <c r="AZ683"/>
  <c r="AY683"/>
  <c r="AX683"/>
  <c r="AW683"/>
  <c r="AZ682"/>
  <c r="AY682"/>
  <c r="AX682"/>
  <c r="AW682"/>
  <c r="AZ681"/>
  <c r="AY681"/>
  <c r="AX681"/>
  <c r="AW681"/>
  <c r="AZ680"/>
  <c r="AY680"/>
  <c r="AX680"/>
  <c r="AW680"/>
  <c r="AZ679"/>
  <c r="AY679"/>
  <c r="AX679"/>
  <c r="AW679"/>
  <c r="AZ678"/>
  <c r="AY678"/>
  <c r="AX678"/>
  <c r="AW678"/>
  <c r="AZ677"/>
  <c r="AY677"/>
  <c r="AX677"/>
  <c r="AW677"/>
  <c r="AZ676"/>
  <c r="AY676"/>
  <c r="AX676"/>
  <c r="AW676"/>
  <c r="AZ675"/>
  <c r="AY675"/>
  <c r="AX675"/>
  <c r="AW675"/>
  <c r="AZ674"/>
  <c r="AY674"/>
  <c r="AX674"/>
  <c r="AW674"/>
  <c r="AZ673"/>
  <c r="AY673"/>
  <c r="AX673"/>
  <c r="AW673"/>
  <c r="AZ672"/>
  <c r="AY672"/>
  <c r="AX672"/>
  <c r="AW672"/>
  <c r="AZ671"/>
  <c r="AY671"/>
  <c r="AX671"/>
  <c r="AW671"/>
  <c r="AZ670"/>
  <c r="AY670"/>
  <c r="AX670"/>
  <c r="AW670"/>
  <c r="AZ669"/>
  <c r="AY669"/>
  <c r="AX669"/>
  <c r="AW669"/>
  <c r="AZ668"/>
  <c r="AY668"/>
  <c r="AX668"/>
  <c r="AW668"/>
  <c r="AZ667"/>
  <c r="AY667"/>
  <c r="AX667"/>
  <c r="AW667"/>
  <c r="AZ666"/>
  <c r="AY666"/>
  <c r="AX666"/>
  <c r="AW666"/>
  <c r="AZ665"/>
  <c r="AY665"/>
  <c r="AX665"/>
  <c r="AW665"/>
  <c r="AZ664"/>
  <c r="AY664"/>
  <c r="AX664"/>
  <c r="AW664"/>
  <c r="AZ663"/>
  <c r="AY663"/>
  <c r="AX663"/>
  <c r="AW663"/>
  <c r="AZ662"/>
  <c r="AY662"/>
  <c r="AX662"/>
  <c r="AW662"/>
  <c r="AZ661"/>
  <c r="AY661"/>
  <c r="AX661"/>
  <c r="AW661"/>
  <c r="AZ660"/>
  <c r="AY660"/>
  <c r="AX660"/>
  <c r="AW660"/>
  <c r="AZ659"/>
  <c r="AY659"/>
  <c r="AX659"/>
  <c r="AW659"/>
  <c r="AZ658"/>
  <c r="AY658"/>
  <c r="AX658"/>
  <c r="AW658"/>
  <c r="AZ657"/>
  <c r="AY657"/>
  <c r="AX657"/>
  <c r="AW657"/>
  <c r="AZ656"/>
  <c r="AY656"/>
  <c r="AX656"/>
  <c r="AW656"/>
  <c r="AZ655"/>
  <c r="AY655"/>
  <c r="AX655"/>
  <c r="AW655"/>
  <c r="AZ654"/>
  <c r="AY654"/>
  <c r="AX654"/>
  <c r="AW654"/>
  <c r="AZ653"/>
  <c r="AY653"/>
  <c r="AX653"/>
  <c r="AW653"/>
  <c r="AZ652"/>
  <c r="AY652"/>
  <c r="AX652"/>
  <c r="AW652"/>
  <c r="AZ651"/>
  <c r="AY651"/>
  <c r="AX651"/>
  <c r="AW651"/>
  <c r="AZ650"/>
  <c r="AY650"/>
  <c r="AX650"/>
  <c r="AW650"/>
  <c r="AZ649"/>
  <c r="AY649"/>
  <c r="AX649"/>
  <c r="AW649"/>
  <c r="AZ648"/>
  <c r="AY648"/>
  <c r="AX648"/>
  <c r="AW648"/>
  <c r="AZ647"/>
  <c r="AY647"/>
  <c r="AX647"/>
  <c r="AW647"/>
  <c r="AZ646"/>
  <c r="AY646"/>
  <c r="AX646"/>
  <c r="AW646"/>
  <c r="AZ645"/>
  <c r="AY645"/>
  <c r="AX645"/>
  <c r="AW645"/>
  <c r="AZ644"/>
  <c r="AY644"/>
  <c r="AX644"/>
  <c r="AW644"/>
  <c r="AZ643"/>
  <c r="AY643"/>
  <c r="AX643"/>
  <c r="AW643"/>
  <c r="AZ642"/>
  <c r="AY642"/>
  <c r="AX642"/>
  <c r="AW642"/>
  <c r="AZ641"/>
  <c r="AY641"/>
  <c r="AX641"/>
  <c r="AW641"/>
  <c r="AZ640"/>
  <c r="AY640"/>
  <c r="AX640"/>
  <c r="AW640"/>
  <c r="AZ639"/>
  <c r="AY639"/>
  <c r="AX639"/>
  <c r="AW639"/>
  <c r="AZ638"/>
  <c r="AY638"/>
  <c r="AX638"/>
  <c r="AW638"/>
  <c r="AZ637"/>
  <c r="AY637"/>
  <c r="AX637"/>
  <c r="AW637"/>
  <c r="AZ636"/>
  <c r="AY636"/>
  <c r="AX636"/>
  <c r="AW636"/>
  <c r="AZ635"/>
  <c r="AY635"/>
  <c r="AX635"/>
  <c r="AW635"/>
  <c r="AZ634"/>
  <c r="AY634"/>
  <c r="AX634"/>
  <c r="AW634"/>
  <c r="AZ633"/>
  <c r="AY633"/>
  <c r="AX633"/>
  <c r="AW633"/>
  <c r="AZ632"/>
  <c r="AY632"/>
  <c r="AX632"/>
  <c r="AW632"/>
  <c r="AZ631"/>
  <c r="AY631"/>
  <c r="AX631"/>
  <c r="AW631"/>
  <c r="AZ630"/>
  <c r="AY630"/>
  <c r="AX630"/>
  <c r="AW630"/>
  <c r="AZ629"/>
  <c r="AY629"/>
  <c r="AX629"/>
  <c r="AW629"/>
  <c r="AZ628"/>
  <c r="AY628"/>
  <c r="AX628"/>
  <c r="AW628"/>
  <c r="AZ627"/>
  <c r="AY627"/>
  <c r="AX627"/>
  <c r="AW627"/>
  <c r="AZ626"/>
  <c r="AY626"/>
  <c r="AX626"/>
  <c r="AW626"/>
  <c r="AZ625"/>
  <c r="AY625"/>
  <c r="AX625"/>
  <c r="AW625"/>
  <c r="AZ624"/>
  <c r="AY624"/>
  <c r="AX624"/>
  <c r="AW624"/>
  <c r="AZ623"/>
  <c r="AY623"/>
  <c r="AX623"/>
  <c r="AW623"/>
  <c r="AZ622"/>
  <c r="AY622"/>
  <c r="AX622"/>
  <c r="AW622"/>
  <c r="AZ621"/>
  <c r="AY621"/>
  <c r="AX621"/>
  <c r="AW621"/>
  <c r="AZ620"/>
  <c r="AY620"/>
  <c r="AX620"/>
  <c r="AW620"/>
  <c r="AZ619"/>
  <c r="AY619"/>
  <c r="AX619"/>
  <c r="AW619"/>
  <c r="AZ618"/>
  <c r="AY618"/>
  <c r="AX618"/>
  <c r="AW618"/>
  <c r="AZ617"/>
  <c r="AY617"/>
  <c r="AX617"/>
  <c r="AW617"/>
  <c r="AZ616"/>
  <c r="AY616"/>
  <c r="AX616"/>
  <c r="AW616"/>
  <c r="AZ615"/>
  <c r="AY615"/>
  <c r="AX615"/>
  <c r="AW615"/>
  <c r="AZ614"/>
  <c r="AY614"/>
  <c r="AX614"/>
  <c r="AW614"/>
  <c r="AZ613"/>
  <c r="AY613"/>
  <c r="AX613"/>
  <c r="AW613"/>
  <c r="AZ612"/>
  <c r="AY612"/>
  <c r="AX612"/>
  <c r="AW612"/>
  <c r="AZ611"/>
  <c r="AY611"/>
  <c r="AX611"/>
  <c r="AW611"/>
  <c r="AZ610"/>
  <c r="AY610"/>
  <c r="AX610"/>
  <c r="AW610"/>
  <c r="AZ609"/>
  <c r="AY609"/>
  <c r="AX609"/>
  <c r="AW609"/>
  <c r="AZ608"/>
  <c r="AY608"/>
  <c r="AX608"/>
  <c r="AW608"/>
  <c r="AZ607"/>
  <c r="AY607"/>
  <c r="AX607"/>
  <c r="AW607"/>
  <c r="AZ606"/>
  <c r="AY606"/>
  <c r="AX606"/>
  <c r="AW606"/>
  <c r="AZ605"/>
  <c r="AY605"/>
  <c r="AX605"/>
  <c r="AW605"/>
  <c r="AZ604"/>
  <c r="AY604"/>
  <c r="AX604"/>
  <c r="AW604"/>
  <c r="AZ603"/>
  <c r="AY603"/>
  <c r="AX603"/>
  <c r="AW603"/>
  <c r="AZ602"/>
  <c r="AY602"/>
  <c r="AX602"/>
  <c r="AW602"/>
  <c r="AZ601"/>
  <c r="AY601"/>
  <c r="AX601"/>
  <c r="AW601"/>
  <c r="AZ600"/>
  <c r="AY600"/>
  <c r="AX600"/>
  <c r="AW600"/>
  <c r="AZ599"/>
  <c r="AY599"/>
  <c r="AX599"/>
  <c r="AW599"/>
  <c r="AZ598"/>
  <c r="AY598"/>
  <c r="AX598"/>
  <c r="AW598"/>
  <c r="AZ597"/>
  <c r="AY597"/>
  <c r="AX597"/>
  <c r="AW597"/>
  <c r="AZ596"/>
  <c r="AY596"/>
  <c r="AX596"/>
  <c r="AW596"/>
  <c r="AZ595"/>
  <c r="AY595"/>
  <c r="AX595"/>
  <c r="AW595"/>
  <c r="AZ594"/>
  <c r="AY594"/>
  <c r="AX594"/>
  <c r="AW594"/>
  <c r="AZ593"/>
  <c r="AY593"/>
  <c r="AX593"/>
  <c r="AW593"/>
  <c r="AZ592"/>
  <c r="AY592"/>
  <c r="AX592"/>
  <c r="AW592"/>
  <c r="AZ591"/>
  <c r="AY591"/>
  <c r="AX591"/>
  <c r="AW591"/>
  <c r="AZ590"/>
  <c r="AY590"/>
  <c r="AX590"/>
  <c r="AW590"/>
  <c r="AZ589"/>
  <c r="AY589"/>
  <c r="AX589"/>
  <c r="AW589"/>
  <c r="AZ588"/>
  <c r="AY588"/>
  <c r="AX588"/>
  <c r="AW588"/>
  <c r="AZ587"/>
  <c r="AY587"/>
  <c r="AX587"/>
  <c r="AW587"/>
  <c r="AZ586"/>
  <c r="AY586"/>
  <c r="AX586"/>
  <c r="AW586"/>
  <c r="AZ585"/>
  <c r="AY585"/>
  <c r="AX585"/>
  <c r="AW585"/>
  <c r="AZ584"/>
  <c r="AY584"/>
  <c r="AX584"/>
  <c r="AW584"/>
  <c r="AZ583"/>
  <c r="AY583"/>
  <c r="AX583"/>
  <c r="AW583"/>
  <c r="AZ582"/>
  <c r="AY582"/>
  <c r="AX582"/>
  <c r="AW582"/>
  <c r="AZ581"/>
  <c r="AY581"/>
  <c r="AX581"/>
  <c r="AW581"/>
  <c r="AZ580"/>
  <c r="AY580"/>
  <c r="AX580"/>
  <c r="AW580"/>
  <c r="AZ579"/>
  <c r="AY579"/>
  <c r="AX579"/>
  <c r="AW579"/>
  <c r="AZ578"/>
  <c r="AY578"/>
  <c r="AX578"/>
  <c r="AW578"/>
  <c r="AZ577"/>
  <c r="AY577"/>
  <c r="AX577"/>
  <c r="AW577"/>
  <c r="AZ576"/>
  <c r="AY576"/>
  <c r="AX576"/>
  <c r="AW576"/>
  <c r="AZ575"/>
  <c r="AY575"/>
  <c r="AX575"/>
  <c r="AW575"/>
  <c r="AZ574"/>
  <c r="AY574"/>
  <c r="AX574"/>
  <c r="AW574"/>
  <c r="AZ573"/>
  <c r="AY573"/>
  <c r="AX573"/>
  <c r="AW573"/>
  <c r="AZ572"/>
  <c r="AY572"/>
  <c r="AX572"/>
  <c r="AW572"/>
  <c r="AZ571"/>
  <c r="AY571"/>
  <c r="AX571"/>
  <c r="AW571"/>
  <c r="AZ570"/>
  <c r="AY570"/>
  <c r="AX570"/>
  <c r="AW570"/>
  <c r="AZ569"/>
  <c r="AY569"/>
  <c r="AX569"/>
  <c r="AW569"/>
  <c r="AZ568"/>
  <c r="AY568"/>
  <c r="AX568"/>
  <c r="AW568"/>
  <c r="AZ567"/>
  <c r="AY567"/>
  <c r="AX567"/>
  <c r="AW567"/>
  <c r="AZ566"/>
  <c r="AY566"/>
  <c r="AX566"/>
  <c r="AW566"/>
  <c r="AZ565"/>
  <c r="AY565"/>
  <c r="AX565"/>
  <c r="AW565"/>
  <c r="AZ564"/>
  <c r="AY564"/>
  <c r="AX564"/>
  <c r="AW564"/>
  <c r="AZ563"/>
  <c r="AY563"/>
  <c r="AX563"/>
  <c r="AW563"/>
  <c r="AZ562"/>
  <c r="AY562"/>
  <c r="AX562"/>
  <c r="AW562"/>
  <c r="AZ561"/>
  <c r="AY561"/>
  <c r="AX561"/>
  <c r="AW561"/>
  <c r="AZ560"/>
  <c r="AY560"/>
  <c r="AX560"/>
  <c r="AW560"/>
  <c r="AZ559"/>
  <c r="AY559"/>
  <c r="AX559"/>
  <c r="AW559"/>
  <c r="AZ558"/>
  <c r="AY558"/>
  <c r="AX558"/>
  <c r="AW558"/>
  <c r="AZ557"/>
  <c r="AY557"/>
  <c r="AX557"/>
  <c r="AW557"/>
  <c r="AZ556"/>
  <c r="AY556"/>
  <c r="AX556"/>
  <c r="AW556"/>
  <c r="AZ555"/>
  <c r="AY555"/>
  <c r="AX555"/>
  <c r="AW555"/>
  <c r="AZ554"/>
  <c r="AY554"/>
  <c r="AX554"/>
  <c r="AW554"/>
  <c r="AZ553"/>
  <c r="AY553"/>
  <c r="AX553"/>
  <c r="AW553"/>
  <c r="AZ552"/>
  <c r="AY552"/>
  <c r="AX552"/>
  <c r="AW552"/>
  <c r="AZ551"/>
  <c r="AY551"/>
  <c r="AX551"/>
  <c r="AW551"/>
  <c r="AZ550"/>
  <c r="AY550"/>
  <c r="AX550"/>
  <c r="AW550"/>
  <c r="AZ549"/>
  <c r="AY549"/>
  <c r="AX549"/>
  <c r="AW549"/>
  <c r="AZ548"/>
  <c r="AY548"/>
  <c r="AX548"/>
  <c r="AW548"/>
  <c r="AZ547"/>
  <c r="AY547"/>
  <c r="AX547"/>
  <c r="AW547"/>
  <c r="AZ546"/>
  <c r="AY546"/>
  <c r="AX546"/>
  <c r="AW546"/>
  <c r="AZ545"/>
  <c r="AY545"/>
  <c r="AX545"/>
  <c r="AW545"/>
  <c r="AZ544"/>
  <c r="AY544"/>
  <c r="AX544"/>
  <c r="AW544"/>
  <c r="AZ543"/>
  <c r="AY543"/>
  <c r="AX543"/>
  <c r="AW543"/>
  <c r="AZ542"/>
  <c r="AY542"/>
  <c r="AX542"/>
  <c r="AW542"/>
  <c r="AZ541"/>
  <c r="AY541"/>
  <c r="AX541"/>
  <c r="AW541"/>
  <c r="AZ540"/>
  <c r="AY540"/>
  <c r="AX540"/>
  <c r="AW540"/>
  <c r="AZ539"/>
  <c r="AY539"/>
  <c r="AX539"/>
  <c r="AW539"/>
  <c r="AZ538"/>
  <c r="AY538"/>
  <c r="AX538"/>
  <c r="AW538"/>
  <c r="AZ537"/>
  <c r="AY537"/>
  <c r="AX537"/>
  <c r="AW537"/>
  <c r="AZ536"/>
  <c r="AY536"/>
  <c r="AX536"/>
  <c r="AW536"/>
  <c r="AZ535"/>
  <c r="AY535"/>
  <c r="AX535"/>
  <c r="AW535"/>
  <c r="AZ534"/>
  <c r="AY534"/>
  <c r="AX534"/>
  <c r="AW534"/>
  <c r="AZ533"/>
  <c r="AY533"/>
  <c r="AX533"/>
  <c r="AW533"/>
  <c r="AZ532"/>
  <c r="AY532"/>
  <c r="AX532"/>
  <c r="AW532"/>
  <c r="AZ531"/>
  <c r="AY531"/>
  <c r="AX531"/>
  <c r="AW531"/>
  <c r="AZ530"/>
  <c r="AY530"/>
  <c r="AX530"/>
  <c r="AW530"/>
  <c r="AZ529"/>
  <c r="AY529"/>
  <c r="AX529"/>
  <c r="AW529"/>
  <c r="AZ528"/>
  <c r="AY528"/>
  <c r="AX528"/>
  <c r="AW528"/>
  <c r="AZ527"/>
  <c r="AY527"/>
  <c r="AX527"/>
  <c r="AW527"/>
  <c r="AZ526"/>
  <c r="AY526"/>
  <c r="AX526"/>
  <c r="AW526"/>
  <c r="AZ525"/>
  <c r="AY525"/>
  <c r="AX525"/>
  <c r="AW525"/>
  <c r="AZ524"/>
  <c r="AY524"/>
  <c r="AX524"/>
  <c r="AW524"/>
  <c r="AZ523"/>
  <c r="AY523"/>
  <c r="AX523"/>
  <c r="AW523"/>
  <c r="AZ522"/>
  <c r="AY522"/>
  <c r="AX522"/>
  <c r="AW522"/>
  <c r="AZ521"/>
  <c r="AY521"/>
  <c r="AX521"/>
  <c r="AW521"/>
  <c r="AZ520"/>
  <c r="AY520"/>
  <c r="AX520"/>
  <c r="AW520"/>
  <c r="AZ519"/>
  <c r="AY519"/>
  <c r="AX519"/>
  <c r="AW519"/>
  <c r="AZ518"/>
  <c r="AY518"/>
  <c r="AX518"/>
  <c r="AW518"/>
  <c r="AZ517"/>
  <c r="AY517"/>
  <c r="AX517"/>
  <c r="AW517"/>
  <c r="AZ516"/>
  <c r="AY516"/>
  <c r="AX516"/>
  <c r="AW516"/>
  <c r="AZ515"/>
  <c r="AY515"/>
  <c r="AX515"/>
  <c r="AW515"/>
  <c r="AZ514"/>
  <c r="AY514"/>
  <c r="AX514"/>
  <c r="AW514"/>
  <c r="AZ513"/>
  <c r="AY513"/>
  <c r="AX513"/>
  <c r="AW513"/>
  <c r="AZ512"/>
  <c r="AY512"/>
  <c r="AX512"/>
  <c r="AW512"/>
  <c r="AZ511"/>
  <c r="AY511"/>
  <c r="AX511"/>
  <c r="AW511"/>
  <c r="AZ510"/>
  <c r="AY510"/>
  <c r="AX510"/>
  <c r="AW510"/>
  <c r="AZ509"/>
  <c r="AY509"/>
  <c r="AX509"/>
  <c r="AW509"/>
  <c r="AZ508"/>
  <c r="AY508"/>
  <c r="AX508"/>
  <c r="AW508"/>
  <c r="AZ507"/>
  <c r="AY507"/>
  <c r="AX507"/>
  <c r="AW507"/>
  <c r="AZ506"/>
  <c r="AY506"/>
  <c r="AX506"/>
  <c r="AW506"/>
  <c r="AZ505"/>
  <c r="AY505"/>
  <c r="AX505"/>
  <c r="AW505"/>
  <c r="AZ504"/>
  <c r="AY504"/>
  <c r="AX504"/>
  <c r="AW504"/>
  <c r="AZ503"/>
  <c r="AY503"/>
  <c r="AX503"/>
  <c r="AW503"/>
  <c r="AZ502"/>
  <c r="AY502"/>
  <c r="AX502"/>
  <c r="AW502"/>
  <c r="AZ501"/>
  <c r="AY501"/>
  <c r="AX501"/>
  <c r="AW501"/>
  <c r="AZ500"/>
  <c r="AY500"/>
  <c r="AX500"/>
  <c r="AW500"/>
  <c r="AZ499"/>
  <c r="AY499"/>
  <c r="AX499"/>
  <c r="AW499"/>
  <c r="AZ498"/>
  <c r="AY498"/>
  <c r="AX498"/>
  <c r="AW498"/>
  <c r="AZ497"/>
  <c r="AY497"/>
  <c r="AX497"/>
  <c r="AW497"/>
  <c r="AZ496"/>
  <c r="AY496"/>
  <c r="AX496"/>
  <c r="AW496"/>
  <c r="AZ495"/>
  <c r="AY495"/>
  <c r="AX495"/>
  <c r="AW495"/>
  <c r="AZ494"/>
  <c r="AY494"/>
  <c r="AX494"/>
  <c r="AW494"/>
  <c r="AZ493"/>
  <c r="AY493"/>
  <c r="AX493"/>
  <c r="AW493"/>
  <c r="AZ492"/>
  <c r="AY492"/>
  <c r="AX492"/>
  <c r="AW492"/>
  <c r="AZ491"/>
  <c r="AY491"/>
  <c r="AX491"/>
  <c r="AW491"/>
  <c r="AZ490"/>
  <c r="AY490"/>
  <c r="AX490"/>
  <c r="AW490"/>
  <c r="AZ489"/>
  <c r="AY489"/>
  <c r="AX489"/>
  <c r="AW489"/>
  <c r="AZ488"/>
  <c r="AY488"/>
  <c r="AX488"/>
  <c r="AW488"/>
  <c r="AZ487"/>
  <c r="AY487"/>
  <c r="AX487"/>
  <c r="AW487"/>
  <c r="AZ486"/>
  <c r="AY486"/>
  <c r="AX486"/>
  <c r="AW486"/>
  <c r="AZ485"/>
  <c r="AY485"/>
  <c r="AX485"/>
  <c r="AW485"/>
  <c r="AZ484"/>
  <c r="AY484"/>
  <c r="AX484"/>
  <c r="AW484"/>
  <c r="AZ483"/>
  <c r="AY483"/>
  <c r="AX483"/>
  <c r="AW483"/>
  <c r="AZ482"/>
  <c r="AY482"/>
  <c r="AX482"/>
  <c r="AW482"/>
  <c r="AZ481"/>
  <c r="AY481"/>
  <c r="AX481"/>
  <c r="AW481"/>
  <c r="AZ480"/>
  <c r="AY480"/>
  <c r="AX480"/>
  <c r="AW480"/>
  <c r="AZ479"/>
  <c r="AY479"/>
  <c r="AX479"/>
  <c r="AW479"/>
  <c r="AZ478"/>
  <c r="AY478"/>
  <c r="AX478"/>
  <c r="AW478"/>
  <c r="AZ477"/>
  <c r="AY477"/>
  <c r="AX477"/>
  <c r="AW477"/>
  <c r="AZ476"/>
  <c r="AY476"/>
  <c r="AX476"/>
  <c r="AW476"/>
  <c r="AZ475"/>
  <c r="AY475"/>
  <c r="AX475"/>
  <c r="AW475"/>
  <c r="AZ474"/>
  <c r="AY474"/>
  <c r="AX474"/>
  <c r="AW474"/>
  <c r="AZ473"/>
  <c r="AY473"/>
  <c r="AX473"/>
  <c r="AW473"/>
  <c r="AZ472"/>
  <c r="AY472"/>
  <c r="AX472"/>
  <c r="AW472"/>
  <c r="AZ471"/>
  <c r="AY471"/>
  <c r="AX471"/>
  <c r="AW471"/>
  <c r="AZ470"/>
  <c r="AY470"/>
  <c r="AX470"/>
  <c r="AW470"/>
  <c r="AZ469"/>
  <c r="AY469"/>
  <c r="AX469"/>
  <c r="AW469"/>
  <c r="AZ468"/>
  <c r="AY468"/>
  <c r="AX468"/>
  <c r="AW468"/>
  <c r="AZ467"/>
  <c r="AY467"/>
  <c r="AX467"/>
  <c r="AW467"/>
  <c r="AZ466"/>
  <c r="AY466"/>
  <c r="AX466"/>
  <c r="AW466"/>
  <c r="AZ465"/>
  <c r="AY465"/>
  <c r="AX465"/>
  <c r="AW465"/>
  <c r="AZ464"/>
  <c r="AY464"/>
  <c r="AX464"/>
  <c r="AW464"/>
  <c r="AZ463"/>
  <c r="AY463"/>
  <c r="AX463"/>
  <c r="AW463"/>
  <c r="AZ462"/>
  <c r="AY462"/>
  <c r="AX462"/>
  <c r="AW462"/>
  <c r="AZ461"/>
  <c r="AY461"/>
  <c r="AX461"/>
  <c r="AW461"/>
  <c r="AZ460"/>
  <c r="AY460"/>
  <c r="AX460"/>
  <c r="AW460"/>
  <c r="AZ459"/>
  <c r="AY459"/>
  <c r="AX459"/>
  <c r="AW459"/>
  <c r="AZ458"/>
  <c r="AY458"/>
  <c r="AX458"/>
  <c r="AW458"/>
  <c r="AZ457"/>
  <c r="AY457"/>
  <c r="AX457"/>
  <c r="AW457"/>
  <c r="AZ456"/>
  <c r="AY456"/>
  <c r="AX456"/>
  <c r="AW456"/>
  <c r="AZ455"/>
  <c r="AY455"/>
  <c r="AX455"/>
  <c r="AW455"/>
  <c r="AZ454"/>
  <c r="AY454"/>
  <c r="AX454"/>
  <c r="AW454"/>
  <c r="AZ453"/>
  <c r="AY453"/>
  <c r="AX453"/>
  <c r="AW453"/>
  <c r="AZ452"/>
  <c r="AY452"/>
  <c r="AX452"/>
  <c r="AW452"/>
  <c r="AZ451"/>
  <c r="AY451"/>
  <c r="AX451"/>
  <c r="AW451"/>
  <c r="AZ450"/>
  <c r="AY450"/>
  <c r="AX450"/>
  <c r="AW450"/>
  <c r="AZ449"/>
  <c r="AY449"/>
  <c r="AX449"/>
  <c r="AW449"/>
  <c r="AZ448"/>
  <c r="AY448"/>
  <c r="AX448"/>
  <c r="AW448"/>
  <c r="AZ447"/>
  <c r="AY447"/>
  <c r="AX447"/>
  <c r="AW447"/>
  <c r="AZ446"/>
  <c r="AY446"/>
  <c r="AX446"/>
  <c r="AW446"/>
  <c r="AZ445"/>
  <c r="AY445"/>
  <c r="AX445"/>
  <c r="AW445"/>
  <c r="AZ444"/>
  <c r="AY444"/>
  <c r="AX444"/>
  <c r="AW444"/>
  <c r="AZ443"/>
  <c r="AY443"/>
  <c r="AX443"/>
  <c r="AW443"/>
  <c r="AZ442"/>
  <c r="AY442"/>
  <c r="AX442"/>
  <c r="AW442"/>
  <c r="AZ441"/>
  <c r="AY441"/>
  <c r="AX441"/>
  <c r="AW441"/>
  <c r="AZ440"/>
  <c r="AY440"/>
  <c r="AX440"/>
  <c r="AW440"/>
  <c r="AZ439"/>
  <c r="AY439"/>
  <c r="AX439"/>
  <c r="AW439"/>
  <c r="AZ438"/>
  <c r="AY438"/>
  <c r="AX438"/>
  <c r="AW438"/>
  <c r="AZ437"/>
  <c r="AY437"/>
  <c r="AX437"/>
  <c r="AW437"/>
  <c r="AZ436"/>
  <c r="AY436"/>
  <c r="AX436"/>
  <c r="AW436"/>
  <c r="AZ435"/>
  <c r="AY435"/>
  <c r="AX435"/>
  <c r="AW435"/>
  <c r="AZ434"/>
  <c r="AY434"/>
  <c r="AX434"/>
  <c r="AW434"/>
  <c r="AZ433"/>
  <c r="AY433"/>
  <c r="AX433"/>
  <c r="AW433"/>
  <c r="AZ432"/>
  <c r="AY432"/>
  <c r="AX432"/>
  <c r="AW432"/>
  <c r="AZ431"/>
  <c r="AY431"/>
  <c r="AX431"/>
  <c r="AW431"/>
  <c r="AZ430"/>
  <c r="AY430"/>
  <c r="AX430"/>
  <c r="AW430"/>
  <c r="AZ429"/>
  <c r="AY429"/>
  <c r="AX429"/>
  <c r="AW429"/>
  <c r="AZ428"/>
  <c r="AY428"/>
  <c r="AX428"/>
  <c r="AW428"/>
  <c r="AZ427"/>
  <c r="AY427"/>
  <c r="AX427"/>
  <c r="AW427"/>
  <c r="AZ426"/>
  <c r="AY426"/>
  <c r="AX426"/>
  <c r="AW426"/>
  <c r="AZ425"/>
  <c r="AY425"/>
  <c r="AX425"/>
  <c r="AW425"/>
  <c r="AZ424"/>
  <c r="AY424"/>
  <c r="AX424"/>
  <c r="AW424"/>
  <c r="AZ423"/>
  <c r="AY423"/>
  <c r="AX423"/>
  <c r="AW423"/>
  <c r="AZ422"/>
  <c r="AY422"/>
  <c r="AX422"/>
  <c r="AW422"/>
  <c r="AZ421"/>
  <c r="AY421"/>
  <c r="AX421"/>
  <c r="AW421"/>
  <c r="AZ420"/>
  <c r="AY420"/>
  <c r="AX420"/>
  <c r="AW420"/>
  <c r="AZ419"/>
  <c r="AY419"/>
  <c r="AX419"/>
  <c r="AW419"/>
  <c r="AZ418"/>
  <c r="AY418"/>
  <c r="AX418"/>
  <c r="AW418"/>
  <c r="AZ417"/>
  <c r="AY417"/>
  <c r="AX417"/>
  <c r="AW417"/>
  <c r="AZ416"/>
  <c r="AY416"/>
  <c r="AX416"/>
  <c r="AW416"/>
  <c r="AZ415"/>
  <c r="AY415"/>
  <c r="AX415"/>
  <c r="AW415"/>
  <c r="AZ414"/>
  <c r="AY414"/>
  <c r="AX414"/>
  <c r="AW414"/>
  <c r="AZ413"/>
  <c r="AY413"/>
  <c r="AX413"/>
  <c r="AW413"/>
  <c r="AZ412"/>
  <c r="AY412"/>
  <c r="AX412"/>
  <c r="AW412"/>
  <c r="AZ411"/>
  <c r="AY411"/>
  <c r="AX411"/>
  <c r="AW411"/>
  <c r="AZ410"/>
  <c r="AY410"/>
  <c r="AX410"/>
  <c r="AW410"/>
  <c r="AZ409"/>
  <c r="AY409"/>
  <c r="AX409"/>
  <c r="AW409"/>
  <c r="AZ408"/>
  <c r="AY408"/>
  <c r="AX408"/>
  <c r="AW408"/>
  <c r="AZ407"/>
  <c r="AY407"/>
  <c r="AX407"/>
  <c r="AW407"/>
  <c r="AZ406"/>
  <c r="AY406"/>
  <c r="AX406"/>
  <c r="AW406"/>
  <c r="AZ405"/>
  <c r="AY405"/>
  <c r="AX405"/>
  <c r="AW405"/>
  <c r="AZ404"/>
  <c r="AY404"/>
  <c r="AX404"/>
  <c r="AW404"/>
  <c r="AZ403"/>
  <c r="AY403"/>
  <c r="AX403"/>
  <c r="AW403"/>
  <c r="AZ402"/>
  <c r="AY402"/>
  <c r="AX402"/>
  <c r="AW402"/>
  <c r="AZ401"/>
  <c r="AY401"/>
  <c r="AX401"/>
  <c r="AW401"/>
  <c r="AZ400"/>
  <c r="AY400"/>
  <c r="AX400"/>
  <c r="AW400"/>
  <c r="AZ399"/>
  <c r="AY399"/>
  <c r="AX399"/>
  <c r="AW399"/>
  <c r="AZ398"/>
  <c r="AY398"/>
  <c r="AX398"/>
  <c r="AW398"/>
  <c r="AZ397"/>
  <c r="AY397"/>
  <c r="AX397"/>
  <c r="AW397"/>
  <c r="AZ396"/>
  <c r="AY396"/>
  <c r="AX396"/>
  <c r="AW396"/>
  <c r="AZ395"/>
  <c r="AY395"/>
  <c r="AX395"/>
  <c r="AW395"/>
  <c r="AZ394"/>
  <c r="AY394"/>
  <c r="AX394"/>
  <c r="AW394"/>
  <c r="AZ393"/>
  <c r="AY393"/>
  <c r="AX393"/>
  <c r="AW393"/>
  <c r="AZ392"/>
  <c r="AY392"/>
  <c r="AX392"/>
  <c r="AW392"/>
  <c r="AZ391"/>
  <c r="AY391"/>
  <c r="AX391"/>
  <c r="AW391"/>
  <c r="AZ390"/>
  <c r="AY390"/>
  <c r="AX390"/>
  <c r="AW390"/>
  <c r="AZ389"/>
  <c r="AY389"/>
  <c r="AX389"/>
  <c r="AW389"/>
  <c r="AZ388"/>
  <c r="AY388"/>
  <c r="AX388"/>
  <c r="AW388"/>
  <c r="AZ387"/>
  <c r="AY387"/>
  <c r="AX387"/>
  <c r="AW387"/>
  <c r="AZ386"/>
  <c r="AY386"/>
  <c r="AX386"/>
  <c r="AW386"/>
  <c r="AZ385"/>
  <c r="AY385"/>
  <c r="AX385"/>
  <c r="AW385"/>
  <c r="AZ384"/>
  <c r="AY384"/>
  <c r="AX384"/>
  <c r="AW384"/>
  <c r="AZ383"/>
  <c r="AY383"/>
  <c r="AX383"/>
  <c r="AW383"/>
  <c r="AZ382"/>
  <c r="AY382"/>
  <c r="AX382"/>
  <c r="AW382"/>
  <c r="AZ381"/>
  <c r="AY381"/>
  <c r="AX381"/>
  <c r="AW381"/>
  <c r="AZ380"/>
  <c r="AY380"/>
  <c r="AX380"/>
  <c r="AW380"/>
  <c r="AZ379"/>
  <c r="AY379"/>
  <c r="AX379"/>
  <c r="AW379"/>
  <c r="AZ378"/>
  <c r="AY378"/>
  <c r="AX378"/>
  <c r="AW378"/>
  <c r="AZ377"/>
  <c r="AY377"/>
  <c r="AX377"/>
  <c r="AW377"/>
  <c r="AZ376"/>
  <c r="AY376"/>
  <c r="AX376"/>
  <c r="AW376"/>
  <c r="AZ375"/>
  <c r="AY375"/>
  <c r="AX375"/>
  <c r="AW375"/>
  <c r="AZ374"/>
  <c r="AY374"/>
  <c r="AX374"/>
  <c r="AW374"/>
  <c r="AZ373"/>
  <c r="AY373"/>
  <c r="AX373"/>
  <c r="AW373"/>
  <c r="AZ372"/>
  <c r="AY372"/>
  <c r="AX372"/>
  <c r="AW372"/>
  <c r="AZ371"/>
  <c r="AY371"/>
  <c r="AX371"/>
  <c r="AW371"/>
  <c r="AZ370"/>
  <c r="AY370"/>
  <c r="AX370"/>
  <c r="AW370"/>
  <c r="AZ369"/>
  <c r="AY369"/>
  <c r="AX369"/>
  <c r="AW369"/>
  <c r="AZ368"/>
  <c r="AY368"/>
  <c r="AX368"/>
  <c r="AW368"/>
  <c r="AZ367"/>
  <c r="AY367"/>
  <c r="AX367"/>
  <c r="AW367"/>
  <c r="AZ366"/>
  <c r="AY366"/>
  <c r="AX366"/>
  <c r="AW366"/>
  <c r="AZ365"/>
  <c r="AY365"/>
  <c r="AX365"/>
  <c r="AW365"/>
  <c r="AZ364"/>
  <c r="AY364"/>
  <c r="AX364"/>
  <c r="AW364"/>
  <c r="AZ363"/>
  <c r="AY363"/>
  <c r="AX363"/>
  <c r="AW363"/>
  <c r="AZ362"/>
  <c r="AY362"/>
  <c r="AX362"/>
  <c r="AW362"/>
  <c r="AZ361"/>
  <c r="AY361"/>
  <c r="AX361"/>
  <c r="AW361"/>
  <c r="AZ360"/>
  <c r="AY360"/>
  <c r="AX360"/>
  <c r="AW360"/>
  <c r="AZ359"/>
  <c r="AY359"/>
  <c r="AX359"/>
  <c r="AW359"/>
  <c r="AZ358"/>
  <c r="AY358"/>
  <c r="AX358"/>
  <c r="AW358"/>
  <c r="AZ357"/>
  <c r="AY357"/>
  <c r="AX357"/>
  <c r="AW357"/>
  <c r="AZ356"/>
  <c r="AY356"/>
  <c r="AX356"/>
  <c r="AW356"/>
  <c r="AZ355"/>
  <c r="AY355"/>
  <c r="AX355"/>
  <c r="AW355"/>
  <c r="AZ354"/>
  <c r="AY354"/>
  <c r="AX354"/>
  <c r="AW354"/>
  <c r="AZ353"/>
  <c r="AY353"/>
  <c r="AX353"/>
  <c r="AW353"/>
  <c r="AZ352"/>
  <c r="AY352"/>
  <c r="AX352"/>
  <c r="AW352"/>
  <c r="AZ351"/>
  <c r="AY351"/>
  <c r="AX351"/>
  <c r="AW351"/>
  <c r="AZ350"/>
  <c r="AY350"/>
  <c r="AX350"/>
  <c r="AW350"/>
  <c r="AZ349"/>
  <c r="AY349"/>
  <c r="AX349"/>
  <c r="AW349"/>
  <c r="AZ348"/>
  <c r="AY348"/>
  <c r="AX348"/>
  <c r="AW348"/>
  <c r="AZ347"/>
  <c r="AY347"/>
  <c r="AX347"/>
  <c r="AW347"/>
  <c r="AZ346"/>
  <c r="AY346"/>
  <c r="AX346"/>
  <c r="AW346"/>
  <c r="AZ345"/>
  <c r="AY345"/>
  <c r="AX345"/>
  <c r="AW345"/>
  <c r="AZ344"/>
  <c r="AY344"/>
  <c r="AX344"/>
  <c r="AW344"/>
  <c r="AZ343"/>
  <c r="AY343"/>
  <c r="AX343"/>
  <c r="AW343"/>
  <c r="AZ342"/>
  <c r="AY342"/>
  <c r="AX342"/>
  <c r="AW342"/>
  <c r="AZ341"/>
  <c r="AY341"/>
  <c r="AX341"/>
  <c r="AW341"/>
  <c r="AZ340"/>
  <c r="AY340"/>
  <c r="AX340"/>
  <c r="AW340"/>
  <c r="AZ339"/>
  <c r="AY339"/>
  <c r="AX339"/>
  <c r="AW339"/>
  <c r="AZ338"/>
  <c r="AY338"/>
  <c r="AX338"/>
  <c r="AW338"/>
  <c r="AZ337"/>
  <c r="AY337"/>
  <c r="AX337"/>
  <c r="AW337"/>
  <c r="AZ336"/>
  <c r="AY336"/>
  <c r="AX336"/>
  <c r="AW336"/>
  <c r="AZ335"/>
  <c r="AY335"/>
  <c r="AX335"/>
  <c r="AW335"/>
  <c r="AZ334"/>
  <c r="AY334"/>
  <c r="AX334"/>
  <c r="AW334"/>
  <c r="AZ333"/>
  <c r="AY333"/>
  <c r="AX333"/>
  <c r="AW333"/>
  <c r="AZ332"/>
  <c r="AY332"/>
  <c r="AX332"/>
  <c r="AW332"/>
  <c r="AZ331"/>
  <c r="AY331"/>
  <c r="AX331"/>
  <c r="AW331"/>
  <c r="AZ330"/>
  <c r="AY330"/>
  <c r="AX330"/>
  <c r="AW330"/>
  <c r="AZ329"/>
  <c r="AY329"/>
  <c r="AX329"/>
  <c r="AW329"/>
  <c r="AZ328"/>
  <c r="AY328"/>
  <c r="AX328"/>
  <c r="AW328"/>
  <c r="AZ327"/>
  <c r="AY327"/>
  <c r="AX327"/>
  <c r="AW327"/>
  <c r="AZ326"/>
  <c r="AY326"/>
  <c r="AX326"/>
  <c r="AW326"/>
  <c r="AZ325"/>
  <c r="AY325"/>
  <c r="AX325"/>
  <c r="AW325"/>
  <c r="AZ324"/>
  <c r="AY324"/>
  <c r="AX324"/>
  <c r="AW324"/>
  <c r="AZ323"/>
  <c r="AY323"/>
  <c r="AX323"/>
  <c r="AW323"/>
  <c r="AZ322"/>
  <c r="AY322"/>
  <c r="AX322"/>
  <c r="AW322"/>
  <c r="AZ321"/>
  <c r="AY321"/>
  <c r="AX321"/>
  <c r="AW321"/>
  <c r="AZ320"/>
  <c r="AY320"/>
  <c r="AX320"/>
  <c r="AW320"/>
  <c r="AZ319"/>
  <c r="AY319"/>
  <c r="AX319"/>
  <c r="AW319"/>
  <c r="AZ318"/>
  <c r="AY318"/>
  <c r="AX318"/>
  <c r="AW318"/>
  <c r="AZ317"/>
  <c r="AY317"/>
  <c r="AX317"/>
  <c r="AW317"/>
  <c r="AZ316"/>
  <c r="AY316"/>
  <c r="AX316"/>
  <c r="AW316"/>
  <c r="AZ315"/>
  <c r="AY315"/>
  <c r="AX315"/>
  <c r="AW315"/>
  <c r="AZ314"/>
  <c r="AY314"/>
  <c r="AX314"/>
  <c r="AW314"/>
  <c r="AZ313"/>
  <c r="AY313"/>
  <c r="AX313"/>
  <c r="AW313"/>
  <c r="AZ312"/>
  <c r="AY312"/>
  <c r="AX312"/>
  <c r="AW312"/>
  <c r="AZ311"/>
  <c r="AY311"/>
  <c r="AX311"/>
  <c r="AW311"/>
  <c r="AZ310"/>
  <c r="AY310"/>
  <c r="AX310"/>
  <c r="AW310"/>
  <c r="AZ309"/>
  <c r="AY309"/>
  <c r="AX309"/>
  <c r="AW309"/>
  <c r="AZ308"/>
  <c r="AY308"/>
  <c r="AX308"/>
  <c r="AW308"/>
  <c r="AZ307"/>
  <c r="AY307"/>
  <c r="AX307"/>
  <c r="AW307"/>
  <c r="AZ306"/>
  <c r="AY306"/>
  <c r="AX306"/>
  <c r="AW306"/>
  <c r="AZ305"/>
  <c r="AY305"/>
  <c r="AX305"/>
  <c r="AW305"/>
  <c r="AZ304"/>
  <c r="AY304"/>
  <c r="AX304"/>
  <c r="AW304"/>
  <c r="AZ303"/>
  <c r="AY303"/>
  <c r="AX303"/>
  <c r="AW303"/>
  <c r="AZ302"/>
  <c r="AY302"/>
  <c r="AX302"/>
  <c r="AW302"/>
  <c r="AZ301"/>
  <c r="AY301"/>
  <c r="AX301"/>
  <c r="AW301"/>
  <c r="AZ300"/>
  <c r="AY300"/>
  <c r="AX300"/>
  <c r="AW300"/>
  <c r="AZ299"/>
  <c r="AY299"/>
  <c r="AX299"/>
  <c r="AW299"/>
  <c r="AZ298"/>
  <c r="AY298"/>
  <c r="AX298"/>
  <c r="AW298"/>
  <c r="AZ297"/>
  <c r="AY297"/>
  <c r="AX297"/>
  <c r="AW297"/>
  <c r="AZ296"/>
  <c r="AY296"/>
  <c r="AX296"/>
  <c r="AW296"/>
  <c r="AZ295"/>
  <c r="AY295"/>
  <c r="AX295"/>
  <c r="AW295"/>
  <c r="AZ294"/>
  <c r="AY294"/>
  <c r="AX294"/>
  <c r="AW294"/>
  <c r="AZ293"/>
  <c r="AY293"/>
  <c r="AX293"/>
  <c r="AW293"/>
  <c r="AZ292"/>
  <c r="AY292"/>
  <c r="AX292"/>
  <c r="AW292"/>
  <c r="AZ291"/>
  <c r="AY291"/>
  <c r="AX291"/>
  <c r="AW291"/>
  <c r="AZ290"/>
  <c r="AY290"/>
  <c r="AX290"/>
  <c r="AW290"/>
  <c r="AZ289"/>
  <c r="AY289"/>
  <c r="AX289"/>
  <c r="AW289"/>
  <c r="AZ288"/>
  <c r="AY288"/>
  <c r="AX288"/>
  <c r="AW288"/>
  <c r="AZ287"/>
  <c r="AY287"/>
  <c r="AX287"/>
  <c r="AW287"/>
  <c r="AZ286"/>
  <c r="AY286"/>
  <c r="AX286"/>
  <c r="AW286"/>
  <c r="AZ285"/>
  <c r="AY285"/>
  <c r="AX285"/>
  <c r="AW285"/>
  <c r="AZ284"/>
  <c r="AY284"/>
  <c r="AX284"/>
  <c r="AW284"/>
  <c r="AZ283"/>
  <c r="AY283"/>
  <c r="AX283"/>
  <c r="AW283"/>
  <c r="AZ282"/>
  <c r="AY282"/>
  <c r="AX282"/>
  <c r="AW282"/>
  <c r="AZ281"/>
  <c r="AY281"/>
  <c r="AX281"/>
  <c r="AW281"/>
  <c r="AZ280"/>
  <c r="AY280"/>
  <c r="AX280"/>
  <c r="AW280"/>
  <c r="AZ279"/>
  <c r="AY279"/>
  <c r="AX279"/>
  <c r="AW279"/>
  <c r="AZ278"/>
  <c r="AY278"/>
  <c r="AX278"/>
  <c r="AW278"/>
  <c r="AZ277"/>
  <c r="AY277"/>
  <c r="AX277"/>
  <c r="AW277"/>
  <c r="AZ276"/>
  <c r="AY276"/>
  <c r="AX276"/>
  <c r="AW276"/>
  <c r="AZ275"/>
  <c r="AY275"/>
  <c r="AX275"/>
  <c r="AW275"/>
  <c r="AZ274"/>
  <c r="AY274"/>
  <c r="AX274"/>
  <c r="AW274"/>
  <c r="AZ273"/>
  <c r="AY273"/>
  <c r="AX273"/>
  <c r="AW273"/>
  <c r="AZ272"/>
  <c r="AY272"/>
  <c r="AX272"/>
  <c r="AW272"/>
  <c r="AZ271"/>
  <c r="AY271"/>
  <c r="AX271"/>
  <c r="AW271"/>
  <c r="AZ270"/>
  <c r="AY270"/>
  <c r="AX270"/>
  <c r="AW270"/>
  <c r="AZ269"/>
  <c r="AY269"/>
  <c r="AX269"/>
  <c r="AW269"/>
  <c r="AZ268"/>
  <c r="AY268"/>
  <c r="AX268"/>
  <c r="AW268"/>
  <c r="AZ267"/>
  <c r="AY267"/>
  <c r="AX267"/>
  <c r="AW267"/>
  <c r="AZ266"/>
  <c r="AY266"/>
  <c r="AX266"/>
  <c r="AW266"/>
  <c r="AZ265"/>
  <c r="AY265"/>
  <c r="AX265"/>
  <c r="AW265"/>
  <c r="AZ264"/>
  <c r="AY264"/>
  <c r="AX264"/>
  <c r="AW264"/>
  <c r="AZ263"/>
  <c r="AY263"/>
  <c r="AX263"/>
  <c r="AW263"/>
  <c r="AZ262"/>
  <c r="AY262"/>
  <c r="AX262"/>
  <c r="AW262"/>
  <c r="AZ261"/>
  <c r="AY261"/>
  <c r="AX261"/>
  <c r="AW261"/>
  <c r="AZ260"/>
  <c r="AY260"/>
  <c r="AX260"/>
  <c r="AW260"/>
  <c r="AZ259"/>
  <c r="AY259"/>
  <c r="AX259"/>
  <c r="AW259"/>
  <c r="AZ258"/>
  <c r="AY258"/>
  <c r="AX258"/>
  <c r="AW258"/>
  <c r="AZ257"/>
  <c r="AY257"/>
  <c r="AX257"/>
  <c r="AW257"/>
  <c r="AZ256"/>
  <c r="AY256"/>
  <c r="AX256"/>
  <c r="AW256"/>
  <c r="AZ255"/>
  <c r="AY255"/>
  <c r="AX255"/>
  <c r="AW255"/>
  <c r="AZ254"/>
  <c r="AY254"/>
  <c r="AX254"/>
  <c r="AW254"/>
  <c r="AZ253"/>
  <c r="AY253"/>
  <c r="AX253"/>
  <c r="AW253"/>
  <c r="AZ252"/>
  <c r="AY252"/>
  <c r="AX252"/>
  <c r="AW252"/>
  <c r="AZ251"/>
  <c r="AY251"/>
  <c r="AX251"/>
  <c r="AW251"/>
  <c r="AZ250"/>
  <c r="AY250"/>
  <c r="AX250"/>
  <c r="AW250"/>
  <c r="AZ249"/>
  <c r="AY249"/>
  <c r="AX249"/>
  <c r="AW249"/>
  <c r="AZ248"/>
  <c r="AY248"/>
  <c r="AX248"/>
  <c r="AW248"/>
  <c r="AZ247"/>
  <c r="AY247"/>
  <c r="AX247"/>
  <c r="AW247"/>
  <c r="AZ246"/>
  <c r="AY246"/>
  <c r="AX246"/>
  <c r="AW246"/>
  <c r="AZ245"/>
  <c r="AY245"/>
  <c r="AX245"/>
  <c r="AW245"/>
  <c r="AZ244"/>
  <c r="AY244"/>
  <c r="AX244"/>
  <c r="AW244"/>
  <c r="AZ243"/>
  <c r="AY243"/>
  <c r="AX243"/>
  <c r="AW243"/>
  <c r="AZ242"/>
  <c r="AY242"/>
  <c r="AX242"/>
  <c r="AW242"/>
  <c r="AZ241"/>
  <c r="AY241"/>
  <c r="AX241"/>
  <c r="AW241"/>
  <c r="AZ240"/>
  <c r="AY240"/>
  <c r="AX240"/>
  <c r="AW240"/>
  <c r="AZ239"/>
  <c r="AY239"/>
  <c r="AX239"/>
  <c r="AW239"/>
  <c r="AZ238"/>
  <c r="AY238"/>
  <c r="AX238"/>
  <c r="AW238"/>
  <c r="AZ237"/>
  <c r="AY237"/>
  <c r="AX237"/>
  <c r="AW237"/>
  <c r="AZ236"/>
  <c r="AY236"/>
  <c r="AX236"/>
  <c r="AW236"/>
  <c r="AZ235"/>
  <c r="AY235"/>
  <c r="AX235"/>
  <c r="AW235"/>
  <c r="AZ234"/>
  <c r="AY234"/>
  <c r="AX234"/>
  <c r="AW234"/>
  <c r="AZ233"/>
  <c r="AY233"/>
  <c r="AX233"/>
  <c r="AW233"/>
  <c r="AZ232"/>
  <c r="AY232"/>
  <c r="AX232"/>
  <c r="AW232"/>
  <c r="AZ231"/>
  <c r="AY231"/>
  <c r="AX231"/>
  <c r="AW231"/>
  <c r="AZ230"/>
  <c r="AY230"/>
  <c r="AX230"/>
  <c r="AW230"/>
  <c r="AZ229"/>
  <c r="AY229"/>
  <c r="AX229"/>
  <c r="AW229"/>
  <c r="AZ228"/>
  <c r="AY228"/>
  <c r="AX228"/>
  <c r="AW228"/>
  <c r="AZ227"/>
  <c r="AY227"/>
  <c r="AX227"/>
  <c r="AW227"/>
  <c r="AZ226"/>
  <c r="AY226"/>
  <c r="AX226"/>
  <c r="AW226"/>
  <c r="AZ225"/>
  <c r="AY225"/>
  <c r="AX225"/>
  <c r="AW225"/>
  <c r="AZ224"/>
  <c r="AY224"/>
  <c r="AX224"/>
  <c r="AW224"/>
  <c r="AZ223"/>
  <c r="AY223"/>
  <c r="AX223"/>
  <c r="AW223"/>
  <c r="AZ222"/>
  <c r="AY222"/>
  <c r="AX222"/>
  <c r="AW222"/>
  <c r="AZ221"/>
  <c r="AY221"/>
  <c r="AX221"/>
  <c r="AW221"/>
  <c r="AZ220"/>
  <c r="AY220"/>
  <c r="AX220"/>
  <c r="AW220"/>
  <c r="AZ219"/>
  <c r="AY219"/>
  <c r="AX219"/>
  <c r="AW219"/>
  <c r="AZ218"/>
  <c r="AY218"/>
  <c r="AX218"/>
  <c r="AW218"/>
  <c r="AZ217"/>
  <c r="AY217"/>
  <c r="AX217"/>
  <c r="AZ216"/>
  <c r="AY216"/>
  <c r="AX216"/>
  <c r="AW216"/>
  <c r="AZ215"/>
  <c r="AY215"/>
  <c r="AX215"/>
  <c r="AW215"/>
  <c r="AZ214"/>
  <c r="AY214"/>
  <c r="AX214"/>
  <c r="AW214"/>
  <c r="AZ213"/>
  <c r="AY213"/>
  <c r="AX213"/>
  <c r="AW213"/>
  <c r="AZ212"/>
  <c r="AY212"/>
  <c r="AX212"/>
  <c r="AW212"/>
  <c r="AZ211"/>
  <c r="AY211"/>
  <c r="AX211"/>
  <c r="AW211"/>
  <c r="AZ210"/>
  <c r="AY210"/>
  <c r="AX210"/>
  <c r="AW210"/>
  <c r="AZ209"/>
  <c r="AY209"/>
  <c r="AX209"/>
  <c r="AW209"/>
  <c r="AZ208"/>
  <c r="AY208"/>
  <c r="AX208"/>
  <c r="AW208"/>
  <c r="AZ207"/>
  <c r="AY207"/>
  <c r="AX207"/>
  <c r="AW207"/>
  <c r="AZ206"/>
  <c r="AY206"/>
  <c r="AX206"/>
  <c r="AW206"/>
  <c r="AZ205"/>
  <c r="AY205"/>
  <c r="AX205"/>
  <c r="AW205"/>
  <c r="AZ204"/>
  <c r="AY204"/>
  <c r="AX204"/>
  <c r="AW204"/>
  <c r="AZ203"/>
  <c r="AY203"/>
  <c r="AX203"/>
  <c r="AW203"/>
  <c r="AZ202"/>
  <c r="AY202"/>
  <c r="AX202"/>
  <c r="AW202"/>
  <c r="AZ201"/>
  <c r="AY201"/>
  <c r="AX201"/>
  <c r="AW201"/>
  <c r="AZ200"/>
  <c r="AY200"/>
  <c r="AX200"/>
  <c r="AW200"/>
  <c r="AZ199"/>
  <c r="AY199"/>
  <c r="AX199"/>
  <c r="AW199"/>
  <c r="AZ198"/>
  <c r="AY198"/>
  <c r="AX198"/>
  <c r="AW198"/>
  <c r="AZ197"/>
  <c r="AY197"/>
  <c r="AX197"/>
  <c r="AW197"/>
  <c r="AZ196"/>
  <c r="AY196"/>
  <c r="AX196"/>
  <c r="AW196"/>
  <c r="AZ195"/>
  <c r="AY195"/>
  <c r="AX195"/>
  <c r="AW195"/>
  <c r="AZ194"/>
  <c r="AY194"/>
  <c r="AX194"/>
  <c r="AW194"/>
  <c r="AZ193"/>
  <c r="AY193"/>
  <c r="AX193"/>
  <c r="AW193"/>
  <c r="AZ192"/>
  <c r="AY192"/>
  <c r="AX192"/>
  <c r="AW192"/>
  <c r="AZ191"/>
  <c r="AY191"/>
  <c r="AX191"/>
  <c r="AW191"/>
  <c r="AZ190"/>
  <c r="AY190"/>
  <c r="AX190"/>
  <c r="AW190"/>
  <c r="AZ189"/>
  <c r="AY189"/>
  <c r="AX189"/>
  <c r="AW189"/>
  <c r="AZ188"/>
  <c r="AY188"/>
  <c r="AX188"/>
  <c r="AW188"/>
  <c r="AZ187"/>
  <c r="AY187"/>
  <c r="AX187"/>
  <c r="AW187"/>
  <c r="AZ186"/>
  <c r="AY186"/>
  <c r="AX186"/>
  <c r="AW186"/>
  <c r="AZ185"/>
  <c r="AY185"/>
  <c r="AX185"/>
  <c r="AW185"/>
  <c r="AZ184"/>
  <c r="AY184"/>
  <c r="AX184"/>
  <c r="AW184"/>
  <c r="AZ183"/>
  <c r="AY183"/>
  <c r="AX183"/>
  <c r="AW183"/>
  <c r="AZ182"/>
  <c r="AY182"/>
  <c r="AX182"/>
  <c r="AW182"/>
  <c r="AZ181"/>
  <c r="AY181"/>
  <c r="AX181"/>
  <c r="AW181"/>
  <c r="AZ180"/>
  <c r="AY180"/>
  <c r="AX180"/>
  <c r="AW180"/>
  <c r="AZ179"/>
  <c r="AY179"/>
  <c r="AX179"/>
  <c r="AW179"/>
  <c r="AZ178"/>
  <c r="AY178"/>
  <c r="AX178"/>
  <c r="AW178"/>
  <c r="AZ177"/>
  <c r="AY177"/>
  <c r="AX177"/>
  <c r="AW177"/>
  <c r="AZ176"/>
  <c r="AY176"/>
  <c r="AX176"/>
  <c r="AW176"/>
  <c r="AZ175"/>
  <c r="AY175"/>
  <c r="AX175"/>
  <c r="AW175"/>
  <c r="AZ174"/>
  <c r="AY174"/>
  <c r="AX174"/>
  <c r="AW174"/>
  <c r="AZ173"/>
  <c r="AY173"/>
  <c r="AX173"/>
  <c r="AW173"/>
  <c r="AZ172"/>
  <c r="AY172"/>
  <c r="AX172"/>
  <c r="AW172"/>
  <c r="AZ171"/>
  <c r="AY171"/>
  <c r="AX171"/>
  <c r="AW171"/>
  <c r="AZ170"/>
  <c r="AY170"/>
  <c r="AX170"/>
  <c r="AW170"/>
  <c r="AZ169"/>
  <c r="AY169"/>
  <c r="AX169"/>
  <c r="AW169"/>
  <c r="AZ168"/>
  <c r="AY168"/>
  <c r="AX168"/>
  <c r="AW168"/>
  <c r="AZ167"/>
  <c r="AY167"/>
  <c r="AX167"/>
  <c r="AW167"/>
  <c r="AZ166"/>
  <c r="AY166"/>
  <c r="AX166"/>
  <c r="AW166"/>
  <c r="AZ165"/>
  <c r="AY165"/>
  <c r="AX165"/>
  <c r="AW165"/>
  <c r="AZ164"/>
  <c r="AY164"/>
  <c r="AX164"/>
  <c r="AW164"/>
  <c r="AZ163"/>
  <c r="AY163"/>
  <c r="AX163"/>
  <c r="AW163"/>
  <c r="AZ162"/>
  <c r="AY162"/>
  <c r="AX162"/>
  <c r="AW162"/>
  <c r="AZ161"/>
  <c r="AY161"/>
  <c r="AX161"/>
  <c r="AW161"/>
  <c r="AZ160"/>
  <c r="AY160"/>
  <c r="AX160"/>
  <c r="AW160"/>
  <c r="AZ159"/>
  <c r="AY159"/>
  <c r="AX159"/>
  <c r="AW159"/>
  <c r="AZ158"/>
  <c r="AY158"/>
  <c r="AX158"/>
  <c r="AW158"/>
  <c r="AZ157"/>
  <c r="AY157"/>
  <c r="AX157"/>
  <c r="AW157"/>
  <c r="AZ156"/>
  <c r="AY156"/>
  <c r="AX156"/>
  <c r="AW156"/>
  <c r="AZ155"/>
  <c r="AY155"/>
  <c r="AX155"/>
  <c r="AW155"/>
  <c r="AZ154"/>
  <c r="AY154"/>
  <c r="AX154"/>
  <c r="AW154"/>
  <c r="AZ153"/>
  <c r="AY153"/>
  <c r="AX153"/>
  <c r="AW153"/>
  <c r="AZ152"/>
  <c r="AY152"/>
  <c r="AX152"/>
  <c r="AW152"/>
  <c r="AZ151"/>
  <c r="AY151"/>
  <c r="AX151"/>
  <c r="AW151"/>
  <c r="AZ150"/>
  <c r="AY150"/>
  <c r="AX150"/>
  <c r="AW150"/>
  <c r="AZ149"/>
  <c r="AY149"/>
  <c r="AX149"/>
  <c r="AW149"/>
  <c r="AZ148"/>
  <c r="AY148"/>
  <c r="AX148"/>
  <c r="AW148"/>
  <c r="AZ147"/>
  <c r="AY147"/>
  <c r="AX147"/>
  <c r="AW147"/>
  <c r="AZ146"/>
  <c r="AY146"/>
  <c r="AX146"/>
  <c r="AW146"/>
  <c r="AZ145"/>
  <c r="AY145"/>
  <c r="AX145"/>
  <c r="AW145"/>
  <c r="AZ144"/>
  <c r="AY144"/>
  <c r="AX144"/>
  <c r="AW144"/>
  <c r="AZ143"/>
  <c r="AY143"/>
  <c r="AX143"/>
  <c r="AW143"/>
  <c r="AZ142"/>
  <c r="AY142"/>
  <c r="AX142"/>
  <c r="AW142"/>
  <c r="AZ141"/>
  <c r="AY141"/>
  <c r="AX141"/>
  <c r="AW141"/>
  <c r="AZ140"/>
  <c r="AY140"/>
  <c r="AX140"/>
  <c r="AW140"/>
  <c r="AZ139"/>
  <c r="AY139"/>
  <c r="AX139"/>
  <c r="AW139"/>
  <c r="AZ138"/>
  <c r="AY138"/>
  <c r="AX138"/>
  <c r="AW138"/>
  <c r="AZ137"/>
  <c r="AY137"/>
  <c r="AX137"/>
  <c r="AW137"/>
  <c r="AZ136"/>
  <c r="AY136"/>
  <c r="AX136"/>
  <c r="AW136"/>
  <c r="AZ135"/>
  <c r="AY135"/>
  <c r="AX135"/>
  <c r="AW135"/>
  <c r="AZ134"/>
  <c r="AY134"/>
  <c r="AX134"/>
  <c r="AW134"/>
  <c r="AZ133"/>
  <c r="AY133"/>
  <c r="AX133"/>
  <c r="AW133"/>
  <c r="AZ132"/>
  <c r="AY132"/>
  <c r="AX132"/>
  <c r="AW132"/>
  <c r="AZ131"/>
  <c r="AY131"/>
  <c r="AX131"/>
  <c r="AW131"/>
  <c r="AZ130"/>
  <c r="AY130"/>
  <c r="AX130"/>
  <c r="AW130"/>
  <c r="AZ129"/>
  <c r="AY129"/>
  <c r="AX129"/>
  <c r="AW129"/>
  <c r="AZ128"/>
  <c r="AY128"/>
  <c r="AX128"/>
  <c r="AW128"/>
  <c r="AZ127"/>
  <c r="AY127"/>
  <c r="AX127"/>
  <c r="AW127"/>
  <c r="AZ126"/>
  <c r="AY126"/>
  <c r="AX126"/>
  <c r="AW126"/>
  <c r="AZ125"/>
  <c r="AY125"/>
  <c r="AX125"/>
  <c r="AW125"/>
  <c r="AZ123"/>
  <c r="AY123"/>
  <c r="AX123"/>
  <c r="AW123"/>
  <c r="AZ122"/>
  <c r="AY122"/>
  <c r="AX122"/>
  <c r="AW122"/>
  <c r="AZ121"/>
  <c r="AY121"/>
  <c r="AX121"/>
  <c r="AW121"/>
  <c r="AZ120"/>
  <c r="AY120"/>
  <c r="AX120"/>
  <c r="AW120"/>
  <c r="AZ119"/>
  <c r="AY119"/>
  <c r="AX119"/>
  <c r="AW119"/>
  <c r="AZ118"/>
  <c r="AY118"/>
  <c r="AX118"/>
  <c r="AW118"/>
  <c r="AZ117"/>
  <c r="AY117"/>
  <c r="AX117"/>
  <c r="AW117"/>
  <c r="AZ116"/>
  <c r="AY116"/>
  <c r="AX116"/>
  <c r="AW116"/>
  <c r="AZ115"/>
  <c r="AY115"/>
  <c r="AX115"/>
  <c r="AW115"/>
  <c r="AZ114"/>
  <c r="AY114"/>
  <c r="AX114"/>
  <c r="AW114"/>
  <c r="AZ113"/>
  <c r="AY113"/>
  <c r="AX113"/>
  <c r="AW113"/>
  <c r="AZ112"/>
  <c r="AY112"/>
  <c r="AX112"/>
  <c r="AW112"/>
  <c r="AZ111"/>
  <c r="AY111"/>
  <c r="AX111"/>
  <c r="AW111"/>
  <c r="AZ110"/>
  <c r="AY110"/>
  <c r="AX110"/>
  <c r="AW110"/>
  <c r="AZ109"/>
  <c r="AY109"/>
  <c r="AX109"/>
  <c r="AW109"/>
  <c r="AZ108"/>
  <c r="AY108"/>
  <c r="AX108"/>
  <c r="AW108"/>
  <c r="AZ107"/>
  <c r="AY107"/>
  <c r="AX107"/>
  <c r="AW107"/>
  <c r="AZ106"/>
  <c r="AY106"/>
  <c r="AX106"/>
  <c r="AW106"/>
  <c r="AZ105"/>
  <c r="AY105"/>
  <c r="AX105"/>
  <c r="AW105"/>
  <c r="AZ104"/>
  <c r="AY104"/>
  <c r="AX104"/>
  <c r="AW104"/>
  <c r="AZ103"/>
  <c r="AY103"/>
  <c r="AX103"/>
  <c r="AW103"/>
  <c r="AZ102"/>
  <c r="AY102"/>
  <c r="AX102"/>
  <c r="AW102"/>
  <c r="AZ101"/>
  <c r="AY101"/>
  <c r="AX101"/>
  <c r="AW101"/>
  <c r="AZ100"/>
  <c r="AY100"/>
  <c r="AX100"/>
  <c r="AW100"/>
  <c r="AZ99"/>
  <c r="AY99"/>
  <c r="AX99"/>
  <c r="AW99"/>
  <c r="AZ98"/>
  <c r="AY98"/>
  <c r="AX98"/>
  <c r="AW98"/>
  <c r="AZ97"/>
  <c r="AY97"/>
  <c r="AX97"/>
  <c r="AW97"/>
  <c r="AZ96"/>
  <c r="AY96"/>
  <c r="AX96"/>
  <c r="AW96"/>
  <c r="AZ95"/>
  <c r="AY95"/>
  <c r="AX95"/>
  <c r="AW95"/>
  <c r="AZ94"/>
  <c r="AY94"/>
  <c r="AX94"/>
  <c r="AW94"/>
  <c r="AZ93"/>
  <c r="AY93"/>
  <c r="AX93"/>
  <c r="AW93"/>
  <c r="AZ92"/>
  <c r="AY92"/>
  <c r="AX92"/>
  <c r="AW92"/>
  <c r="AZ91"/>
  <c r="AY91"/>
  <c r="AX91"/>
  <c r="AW91"/>
  <c r="AZ90"/>
  <c r="AY90"/>
  <c r="AX90"/>
  <c r="AW90"/>
  <c r="AZ89"/>
  <c r="AY89"/>
  <c r="AX89"/>
  <c r="AW89"/>
  <c r="AZ88"/>
  <c r="AY88"/>
  <c r="AX88"/>
  <c r="AW88"/>
  <c r="AZ87"/>
  <c r="AY87"/>
  <c r="AX87"/>
  <c r="AW87"/>
  <c r="AZ86"/>
  <c r="AY86"/>
  <c r="AX86"/>
  <c r="AW86"/>
  <c r="AZ85"/>
  <c r="AY85"/>
  <c r="AX85"/>
  <c r="AW85"/>
  <c r="AZ84"/>
  <c r="AY84"/>
  <c r="AX84"/>
  <c r="AW84"/>
  <c r="AZ83"/>
  <c r="AY83"/>
  <c r="AX83"/>
  <c r="AW83"/>
  <c r="AZ82"/>
  <c r="AY82"/>
  <c r="AX82"/>
  <c r="AW82"/>
  <c r="AZ81"/>
  <c r="AY81"/>
  <c r="AX81"/>
  <c r="AW81"/>
  <c r="AZ80"/>
  <c r="AY80"/>
  <c r="AX80"/>
  <c r="AW80"/>
  <c r="AZ79"/>
  <c r="AY79"/>
  <c r="AX79"/>
  <c r="AW79"/>
  <c r="AZ78"/>
  <c r="AY78"/>
  <c r="AX78"/>
  <c r="AW78"/>
  <c r="AZ77"/>
  <c r="AY77"/>
  <c r="AX77"/>
  <c r="AW77"/>
  <c r="AZ76"/>
  <c r="AY76"/>
  <c r="AX76"/>
  <c r="AW76"/>
  <c r="AZ75"/>
  <c r="AY75"/>
  <c r="AX75"/>
  <c r="AW75"/>
  <c r="AZ74"/>
  <c r="AY74"/>
  <c r="AX74"/>
  <c r="AW74"/>
  <c r="AZ73"/>
  <c r="AY73"/>
  <c r="AX73"/>
  <c r="AW73"/>
  <c r="AZ72"/>
  <c r="AY72"/>
  <c r="AX72"/>
  <c r="AW72"/>
  <c r="AZ71"/>
  <c r="AY71"/>
  <c r="AX71"/>
  <c r="AW71"/>
  <c r="AZ70"/>
  <c r="AY70"/>
  <c r="AX70"/>
  <c r="AW70"/>
  <c r="AZ69"/>
  <c r="AY69"/>
  <c r="AX69"/>
  <c r="AW69"/>
  <c r="AZ68"/>
  <c r="AY68"/>
  <c r="AX68"/>
  <c r="AW68"/>
  <c r="AZ67"/>
  <c r="AY67"/>
  <c r="AX67"/>
  <c r="AW67"/>
  <c r="AZ66"/>
  <c r="AY66"/>
  <c r="AX66"/>
  <c r="AW66"/>
  <c r="AZ65"/>
  <c r="AY65"/>
  <c r="AX65"/>
  <c r="AW65"/>
  <c r="AZ64"/>
  <c r="AY64"/>
  <c r="AX64"/>
  <c r="AW64"/>
  <c r="AZ63"/>
  <c r="AY63"/>
  <c r="AX63"/>
  <c r="AW63"/>
  <c r="AZ62"/>
  <c r="AY62"/>
  <c r="AX62"/>
  <c r="AW62"/>
  <c r="AZ61"/>
  <c r="AY61"/>
  <c r="AX61"/>
  <c r="AW61"/>
  <c r="AZ60"/>
  <c r="AY60"/>
  <c r="AX60"/>
  <c r="AW60"/>
  <c r="AZ59"/>
  <c r="AY59"/>
  <c r="AX59"/>
  <c r="AW59"/>
  <c r="AZ58"/>
  <c r="AY58"/>
  <c r="AX58"/>
  <c r="AW58"/>
  <c r="AZ57"/>
  <c r="AY57"/>
  <c r="AX57"/>
  <c r="AW57"/>
  <c r="AZ56"/>
  <c r="AY56"/>
  <c r="AX56"/>
  <c r="AW56"/>
  <c r="AZ55"/>
  <c r="AY55"/>
  <c r="AX55"/>
  <c r="AW55"/>
  <c r="AZ54"/>
  <c r="AY54"/>
  <c r="AX54"/>
  <c r="AW54"/>
  <c r="AZ53"/>
  <c r="AY53"/>
  <c r="AX53"/>
  <c r="AW53"/>
  <c r="AZ52"/>
  <c r="AY52"/>
  <c r="AX52"/>
  <c r="AW52"/>
  <c r="AZ51"/>
  <c r="AY51"/>
  <c r="AX51"/>
  <c r="AW51"/>
  <c r="AZ50"/>
  <c r="AY50"/>
  <c r="AX50"/>
  <c r="AW50"/>
  <c r="AZ49"/>
  <c r="AY49"/>
  <c r="AX49"/>
  <c r="AW49"/>
  <c r="AZ48"/>
  <c r="AY48"/>
  <c r="AX48"/>
  <c r="AW48"/>
  <c r="AZ47"/>
  <c r="AY47"/>
  <c r="AX47"/>
  <c r="AW47"/>
  <c r="AZ46"/>
  <c r="AY46"/>
  <c r="AX46"/>
  <c r="AW46"/>
  <c r="AZ45"/>
  <c r="AY45"/>
  <c r="AX45"/>
  <c r="AW45"/>
  <c r="AZ44"/>
  <c r="AY44"/>
  <c r="AX44"/>
  <c r="AW44"/>
  <c r="AZ43"/>
  <c r="AY43"/>
  <c r="AX43"/>
  <c r="AW43"/>
  <c r="AZ42"/>
  <c r="AY42"/>
  <c r="AX42"/>
  <c r="AW42"/>
  <c r="AZ41"/>
  <c r="AY41"/>
  <c r="AX41"/>
  <c r="AW41"/>
  <c r="AZ40"/>
  <c r="AY40"/>
  <c r="AX40"/>
  <c r="AW40"/>
  <c r="AZ39"/>
  <c r="AY39"/>
  <c r="AX39"/>
  <c r="AW39"/>
  <c r="AZ38"/>
  <c r="AY38"/>
  <c r="AX38"/>
  <c r="AW38"/>
  <c r="AZ37"/>
  <c r="AY37"/>
  <c r="AX37"/>
  <c r="AW37"/>
  <c r="AZ36"/>
  <c r="AY36"/>
  <c r="AX36"/>
  <c r="AW36"/>
  <c r="AZ35"/>
  <c r="AY35"/>
  <c r="AX35"/>
  <c r="AW35"/>
  <c r="AZ34"/>
  <c r="AY34"/>
  <c r="AX34"/>
  <c r="AW34"/>
  <c r="AZ33"/>
  <c r="AY33"/>
  <c r="AX33"/>
  <c r="AW33"/>
  <c r="AZ32"/>
  <c r="AY32"/>
  <c r="AX32"/>
  <c r="AW32"/>
  <c r="AZ31"/>
  <c r="AY31"/>
  <c r="AX31"/>
  <c r="AW31"/>
  <c r="AZ30"/>
  <c r="AY30"/>
  <c r="AX30"/>
  <c r="AW30"/>
  <c r="AZ29"/>
  <c r="AY29"/>
  <c r="AX29"/>
  <c r="AW29"/>
  <c r="AZ28"/>
  <c r="AY28"/>
  <c r="AX28"/>
  <c r="AW28"/>
  <c r="AZ27"/>
  <c r="AY27"/>
  <c r="AX27"/>
  <c r="AW27"/>
  <c r="AZ26"/>
  <c r="AY26"/>
  <c r="AX26"/>
  <c r="AW26"/>
  <c r="AZ25"/>
  <c r="AY25"/>
  <c r="AX25"/>
  <c r="AW25"/>
  <c r="AZ24"/>
  <c r="AY24"/>
  <c r="AX24"/>
  <c r="AW24"/>
  <c r="AZ23"/>
  <c r="AY23"/>
  <c r="AX23"/>
  <c r="AW23"/>
  <c r="AZ22"/>
  <c r="AY22"/>
  <c r="AX22"/>
  <c r="AW22"/>
  <c r="AZ21"/>
  <c r="AY21"/>
  <c r="AX21"/>
  <c r="AW21"/>
  <c r="AZ20"/>
  <c r="AY20"/>
  <c r="AX20"/>
  <c r="AW20"/>
  <c r="AZ19"/>
  <c r="AY19"/>
  <c r="AX19"/>
  <c r="AW19"/>
  <c r="AZ18"/>
  <c r="AY18"/>
  <c r="AX18"/>
  <c r="AW18"/>
  <c r="AZ17"/>
  <c r="AY17"/>
  <c r="AX17"/>
  <c r="AW17"/>
  <c r="AZ16"/>
  <c r="AY16"/>
  <c r="AX16"/>
  <c r="AW16"/>
  <c r="AZ15"/>
  <c r="AY15"/>
  <c r="AX15"/>
  <c r="AW15"/>
  <c r="AZ14"/>
  <c r="AY14"/>
  <c r="AX14"/>
  <c r="AW14"/>
  <c r="AZ13"/>
  <c r="AY13"/>
  <c r="AX13"/>
  <c r="AW13"/>
  <c r="AZ12"/>
  <c r="AY12"/>
  <c r="AX12"/>
  <c r="AW12"/>
  <c r="AZ11"/>
  <c r="AY11"/>
  <c r="AX11"/>
  <c r="AW11"/>
  <c r="AZ10"/>
  <c r="AY10"/>
  <c r="AX10"/>
  <c r="AW10"/>
  <c r="AZ9"/>
  <c r="AY9"/>
  <c r="AX9"/>
  <c r="AW9"/>
  <c r="AZ8"/>
  <c r="AY8"/>
  <c r="AX8"/>
  <c r="AW8"/>
  <c r="AZ7"/>
  <c r="AY7"/>
  <c r="AX7"/>
  <c r="AW7"/>
  <c r="AW6"/>
  <c r="AZ6"/>
  <c r="AY6"/>
  <c r="AX6"/>
  <c r="AV906"/>
  <c r="AV905"/>
  <c r="AV904"/>
  <c r="AV903"/>
  <c r="AV902"/>
  <c r="AV901"/>
  <c r="AV900"/>
  <c r="AV899"/>
  <c r="AV898"/>
  <c r="AV897"/>
  <c r="AV896"/>
  <c r="AV895"/>
  <c r="AV894"/>
  <c r="AV893"/>
  <c r="AV892"/>
  <c r="AV891"/>
  <c r="AV890"/>
  <c r="AV889"/>
  <c r="AV888"/>
  <c r="AV887"/>
  <c r="AV886"/>
  <c r="AV885"/>
  <c r="AV884"/>
  <c r="AV883"/>
  <c r="D22" i="33"/>
  <c r="D25" s="1"/>
  <c r="W912" i="9" s="1"/>
  <c r="AD912" s="1"/>
  <c r="AV879"/>
  <c r="AV878"/>
  <c r="AV877"/>
  <c r="AV876"/>
  <c r="AV875"/>
  <c r="AV874"/>
  <c r="AV873"/>
  <c r="AV872"/>
  <c r="AV871"/>
  <c r="AV870"/>
  <c r="AV869"/>
  <c r="AV868"/>
  <c r="AV867"/>
  <c r="AV866"/>
  <c r="AV865"/>
  <c r="AV864"/>
  <c r="AV863"/>
  <c r="AV862"/>
  <c r="AV861"/>
  <c r="AV860"/>
  <c r="AV859"/>
  <c r="AV858"/>
  <c r="AV857"/>
  <c r="AV856"/>
  <c r="U855"/>
  <c r="AV855" s="1"/>
  <c r="AV854"/>
  <c r="AV853"/>
  <c r="AV852"/>
  <c r="AV851"/>
  <c r="AV850"/>
  <c r="AV849"/>
  <c r="AV848"/>
  <c r="AV847"/>
  <c r="AV846"/>
  <c r="AV845"/>
  <c r="AV844"/>
  <c r="AV843"/>
  <c r="AV842"/>
  <c r="H24" i="36" s="1"/>
  <c r="AV841" i="9"/>
  <c r="H23" i="36" s="1"/>
  <c r="AV840" i="9"/>
  <c r="H21" i="36" s="1"/>
  <c r="AV839" i="9"/>
  <c r="H22" i="36" s="1"/>
  <c r="AV838" i="9"/>
  <c r="H20" i="36" s="1"/>
  <c r="AV837" i="9"/>
  <c r="AV836"/>
  <c r="AV835"/>
  <c r="AV834"/>
  <c r="AV833"/>
  <c r="AV832"/>
  <c r="AV831"/>
  <c r="AV830"/>
  <c r="AV829"/>
  <c r="AV828"/>
  <c r="AV827"/>
  <c r="AV826"/>
  <c r="AV825"/>
  <c r="AV824"/>
  <c r="AV823"/>
  <c r="AV822"/>
  <c r="AV821"/>
  <c r="AV820"/>
  <c r="AV819"/>
  <c r="AV818"/>
  <c r="AV817"/>
  <c r="AV816"/>
  <c r="AV815"/>
  <c r="AV814"/>
  <c r="AV813"/>
  <c r="AV812"/>
  <c r="AV811"/>
  <c r="AV810"/>
  <c r="AV809"/>
  <c r="AV808"/>
  <c r="AV807"/>
  <c r="U806"/>
  <c r="AV806" s="1"/>
  <c r="E805"/>
  <c r="U805"/>
  <c r="U804"/>
  <c r="AV804" s="1"/>
  <c r="AV803"/>
  <c r="U802"/>
  <c r="AV802" s="1"/>
  <c r="AV801"/>
  <c r="AV800"/>
  <c r="AV799"/>
  <c r="H29" i="36" s="1"/>
  <c r="AV798" i="9"/>
  <c r="AV797"/>
  <c r="AV796"/>
  <c r="AV795"/>
  <c r="AV794"/>
  <c r="AV793"/>
  <c r="AV792"/>
  <c r="AV791"/>
  <c r="AV790"/>
  <c r="AV789"/>
  <c r="AV788"/>
  <c r="AV787"/>
  <c r="AV786"/>
  <c r="E785"/>
  <c r="AV785" s="1"/>
  <c r="E784"/>
  <c r="AV783"/>
  <c r="AV782"/>
  <c r="AV781"/>
  <c r="AV780"/>
  <c r="AV779"/>
  <c r="AV778"/>
  <c r="AV777"/>
  <c r="AV776"/>
  <c r="AV775"/>
  <c r="AV774"/>
  <c r="AV773"/>
  <c r="AV772"/>
  <c r="AV771"/>
  <c r="AV770"/>
  <c r="AV769"/>
  <c r="AV768"/>
  <c r="AV767"/>
  <c r="AV766"/>
  <c r="AV765"/>
  <c r="AV764"/>
  <c r="AV763"/>
  <c r="AV762"/>
  <c r="AV761"/>
  <c r="AV760"/>
  <c r="AV759"/>
  <c r="AV758"/>
  <c r="AV757"/>
  <c r="AV756"/>
  <c r="AV755"/>
  <c r="AV754"/>
  <c r="AV753"/>
  <c r="AV752"/>
  <c r="AV751"/>
  <c r="AV750"/>
  <c r="AV749"/>
  <c r="AV748"/>
  <c r="AV747"/>
  <c r="AV746"/>
  <c r="AV745"/>
  <c r="AV744"/>
  <c r="AV743"/>
  <c r="AV742"/>
  <c r="AV741"/>
  <c r="AV740"/>
  <c r="AV739"/>
  <c r="AV738"/>
  <c r="AV737"/>
  <c r="AV736"/>
  <c r="AV735"/>
  <c r="AV734"/>
  <c r="AV733"/>
  <c r="AV732"/>
  <c r="AV731"/>
  <c r="AV730"/>
  <c r="AV729"/>
  <c r="AV728"/>
  <c r="AV727"/>
  <c r="AV726"/>
  <c r="AV725"/>
  <c r="AV724"/>
  <c r="AV723"/>
  <c r="AV722"/>
  <c r="AV721"/>
  <c r="AV720"/>
  <c r="AV719"/>
  <c r="AV718"/>
  <c r="AV717"/>
  <c r="AV716"/>
  <c r="AV715"/>
  <c r="AV714"/>
  <c r="AV713"/>
  <c r="AV712"/>
  <c r="AV711"/>
  <c r="AV710"/>
  <c r="AV709"/>
  <c r="AV708"/>
  <c r="AV707"/>
  <c r="AV706"/>
  <c r="AV705"/>
  <c r="AV704"/>
  <c r="AV703"/>
  <c r="AV702"/>
  <c r="AV701"/>
  <c r="AV700"/>
  <c r="AV699"/>
  <c r="AV698"/>
  <c r="AV697"/>
  <c r="AV696"/>
  <c r="AV695"/>
  <c r="AV694"/>
  <c r="AV693"/>
  <c r="AV692"/>
  <c r="AV691"/>
  <c r="AV690"/>
  <c r="AV689"/>
  <c r="AV688"/>
  <c r="AV687"/>
  <c r="AV686"/>
  <c r="AV685"/>
  <c r="AV684"/>
  <c r="AV683"/>
  <c r="AV682"/>
  <c r="AV681"/>
  <c r="AV680"/>
  <c r="AV679"/>
  <c r="AV678"/>
  <c r="AV677"/>
  <c r="AV676"/>
  <c r="AV675"/>
  <c r="AV674"/>
  <c r="AV673"/>
  <c r="AV672"/>
  <c r="AV671"/>
  <c r="AV670"/>
  <c r="AV669"/>
  <c r="AV668"/>
  <c r="AV667"/>
  <c r="AV666"/>
  <c r="AV665"/>
  <c r="AV664"/>
  <c r="AV663"/>
  <c r="AV662"/>
  <c r="AV661"/>
  <c r="AV660"/>
  <c r="AV659"/>
  <c r="AV658"/>
  <c r="AV657"/>
  <c r="AV656"/>
  <c r="AV655"/>
  <c r="AV654"/>
  <c r="AV653"/>
  <c r="AV652"/>
  <c r="AV651"/>
  <c r="AV650"/>
  <c r="AV649"/>
  <c r="AV648"/>
  <c r="AV647"/>
  <c r="AV646"/>
  <c r="AV645"/>
  <c r="AV644"/>
  <c r="AV643"/>
  <c r="AV642"/>
  <c r="AV641"/>
  <c r="AV640"/>
  <c r="AV639"/>
  <c r="AV638"/>
  <c r="AV637"/>
  <c r="AV636"/>
  <c r="AV635"/>
  <c r="AV634"/>
  <c r="AV633"/>
  <c r="AV632"/>
  <c r="AV631"/>
  <c r="AV630"/>
  <c r="AV629"/>
  <c r="AV628"/>
  <c r="AV627"/>
  <c r="AV626"/>
  <c r="AV625"/>
  <c r="AV624"/>
  <c r="AV623"/>
  <c r="AV622"/>
  <c r="AV621"/>
  <c r="AV620"/>
  <c r="AV619"/>
  <c r="AV618"/>
  <c r="AV617"/>
  <c r="AV616"/>
  <c r="AV615"/>
  <c r="AV614"/>
  <c r="AV613"/>
  <c r="AV612"/>
  <c r="AV611"/>
  <c r="AV610"/>
  <c r="AV609"/>
  <c r="AV608"/>
  <c r="AV607"/>
  <c r="AV606"/>
  <c r="AV605"/>
  <c r="AV604"/>
  <c r="AV603"/>
  <c r="AV602"/>
  <c r="AV601"/>
  <c r="AV600"/>
  <c r="AV599"/>
  <c r="AV598"/>
  <c r="AV597"/>
  <c r="AV596"/>
  <c r="AV595"/>
  <c r="AV594"/>
  <c r="AV593"/>
  <c r="AV592"/>
  <c r="AV591"/>
  <c r="AV590"/>
  <c r="AV589"/>
  <c r="AV588"/>
  <c r="AV587"/>
  <c r="AV586"/>
  <c r="U585"/>
  <c r="AV585" s="1"/>
  <c r="M18" i="12"/>
  <c r="E393" i="9"/>
  <c r="AV393" s="1"/>
  <c r="AK393"/>
  <c r="AM393"/>
  <c r="AN393"/>
  <c r="G11" i="33"/>
  <c r="I11"/>
  <c r="AV581" i="9"/>
  <c r="AV580"/>
  <c r="AV579"/>
  <c r="AV578"/>
  <c r="AV577"/>
  <c r="AV576"/>
  <c r="AV575"/>
  <c r="AV574"/>
  <c r="AV573"/>
  <c r="AV572"/>
  <c r="AV571"/>
  <c r="AV570"/>
  <c r="U569"/>
  <c r="AV569" s="1"/>
  <c r="U568"/>
  <c r="AV568" s="1"/>
  <c r="AV566"/>
  <c r="AV565"/>
  <c r="AV564"/>
  <c r="AV563"/>
  <c r="AV562"/>
  <c r="AV561"/>
  <c r="AV560"/>
  <c r="AV559"/>
  <c r="AV558"/>
  <c r="AV557"/>
  <c r="U556"/>
  <c r="AV556" s="1"/>
  <c r="AV555"/>
  <c r="E554"/>
  <c r="AV553"/>
  <c r="AV552"/>
  <c r="AV551"/>
  <c r="AV550"/>
  <c r="AV549"/>
  <c r="AV548"/>
  <c r="AV547"/>
  <c r="AV546"/>
  <c r="AV545"/>
  <c r="AV544"/>
  <c r="AV543"/>
  <c r="AV542"/>
  <c r="AV541"/>
  <c r="AV540"/>
  <c r="AV539"/>
  <c r="AV538"/>
  <c r="AV537"/>
  <c r="AV536"/>
  <c r="AV535"/>
  <c r="AV534"/>
  <c r="AV533"/>
  <c r="AV532"/>
  <c r="AV531"/>
  <c r="AV530"/>
  <c r="AV529"/>
  <c r="AV528"/>
  <c r="AV527"/>
  <c r="AV526"/>
  <c r="AV525"/>
  <c r="AV524"/>
  <c r="AV523"/>
  <c r="AV522"/>
  <c r="AV521"/>
  <c r="AV520"/>
  <c r="AV519"/>
  <c r="AV518"/>
  <c r="AV517"/>
  <c r="AV516"/>
  <c r="AV515"/>
  <c r="AV514"/>
  <c r="AV513"/>
  <c r="AV512"/>
  <c r="AV511"/>
  <c r="AV510"/>
  <c r="AV509"/>
  <c r="AV508"/>
  <c r="AV507"/>
  <c r="AV506"/>
  <c r="AV505"/>
  <c r="AV504"/>
  <c r="AV503"/>
  <c r="AV502"/>
  <c r="AV501"/>
  <c r="AV500"/>
  <c r="AV499"/>
  <c r="AV498"/>
  <c r="AV497"/>
  <c r="AV496"/>
  <c r="AV495"/>
  <c r="AV494"/>
  <c r="AV493"/>
  <c r="AV492"/>
  <c r="AV491"/>
  <c r="AV490"/>
  <c r="AV489"/>
  <c r="AV488"/>
  <c r="AV487"/>
  <c r="H32" i="36" s="1"/>
  <c r="AV486" i="9"/>
  <c r="AV485"/>
  <c r="AV484"/>
  <c r="AV483"/>
  <c r="AV482"/>
  <c r="AV481"/>
  <c r="AV480"/>
  <c r="AV479"/>
  <c r="AV478"/>
  <c r="AV477"/>
  <c r="AV476"/>
  <c r="AV475"/>
  <c r="H31" i="36" s="1"/>
  <c r="AV474" i="9"/>
  <c r="AV473"/>
  <c r="AV472"/>
  <c r="AV471"/>
  <c r="AV470"/>
  <c r="AV469"/>
  <c r="AV468"/>
  <c r="AV467"/>
  <c r="AV466"/>
  <c r="U465"/>
  <c r="AV465" s="1"/>
  <c r="U464"/>
  <c r="AV464" s="1"/>
  <c r="U463"/>
  <c r="AV463" s="1"/>
  <c r="U462"/>
  <c r="AV462" s="1"/>
  <c r="U461"/>
  <c r="AV461" s="1"/>
  <c r="U460"/>
  <c r="AV460" s="1"/>
  <c r="AV458"/>
  <c r="AV457"/>
  <c r="AV456"/>
  <c r="AV455"/>
  <c r="AV454"/>
  <c r="U453"/>
  <c r="AV453" s="1"/>
  <c r="AV452"/>
  <c r="AV451"/>
  <c r="AV450"/>
  <c r="AV449"/>
  <c r="AV448"/>
  <c r="AV447"/>
  <c r="AV446"/>
  <c r="AV445"/>
  <c r="AV444"/>
  <c r="U443"/>
  <c r="AV443" s="1"/>
  <c r="AV442"/>
  <c r="AV441"/>
  <c r="AV440"/>
  <c r="AV439"/>
  <c r="AV438"/>
  <c r="U437"/>
  <c r="AV437" s="1"/>
  <c r="U436"/>
  <c r="AV436" s="1"/>
  <c r="U435"/>
  <c r="AV435" s="1"/>
  <c r="U434"/>
  <c r="AV434" s="1"/>
  <c r="U433"/>
  <c r="AV433" s="1"/>
  <c r="U432"/>
  <c r="AV432" s="1"/>
  <c r="U431"/>
  <c r="AV431" s="1"/>
  <c r="U430"/>
  <c r="AV430" s="1"/>
  <c r="U429"/>
  <c r="AV429" s="1"/>
  <c r="U428"/>
  <c r="AV428" s="1"/>
  <c r="AV427"/>
  <c r="AV426"/>
  <c r="U425"/>
  <c r="AV425" s="1"/>
  <c r="U424"/>
  <c r="AV424" s="1"/>
  <c r="U423"/>
  <c r="AV423" s="1"/>
  <c r="U422"/>
  <c r="AV422" s="1"/>
  <c r="U421"/>
  <c r="AV421" s="1"/>
  <c r="U420"/>
  <c r="AV420" s="1"/>
  <c r="U419"/>
  <c r="AV419" s="1"/>
  <c r="U418"/>
  <c r="AV418" s="1"/>
  <c r="U417"/>
  <c r="AV417" s="1"/>
  <c r="U416"/>
  <c r="AV416" s="1"/>
  <c r="U415"/>
  <c r="AV415" s="1"/>
  <c r="U414"/>
  <c r="AV414" s="1"/>
  <c r="U413"/>
  <c r="AV413" s="1"/>
  <c r="U412"/>
  <c r="AV412" s="1"/>
  <c r="U411"/>
  <c r="AV411" s="1"/>
  <c r="U410"/>
  <c r="AV410" s="1"/>
  <c r="U409"/>
  <c r="AV409" s="1"/>
  <c r="U408"/>
  <c r="AV408" s="1"/>
  <c r="U407"/>
  <c r="AV407" s="1"/>
  <c r="U406"/>
  <c r="AV406" s="1"/>
  <c r="U405"/>
  <c r="AV405" s="1"/>
  <c r="AV404"/>
  <c r="U402"/>
  <c r="AV402" s="1"/>
  <c r="AV394"/>
  <c r="AV392"/>
  <c r="AV391"/>
  <c r="AV390"/>
  <c r="AV389"/>
  <c r="AV388"/>
  <c r="AV387"/>
  <c r="AV386"/>
  <c r="AV385"/>
  <c r="AV384"/>
  <c r="AV383"/>
  <c r="AV382"/>
  <c r="AV381"/>
  <c r="AV380"/>
  <c r="AV378"/>
  <c r="AV377"/>
  <c r="AV376"/>
  <c r="U375"/>
  <c r="AV375" s="1"/>
  <c r="U374"/>
  <c r="AV374" s="1"/>
  <c r="AV371"/>
  <c r="AV370"/>
  <c r="AV369"/>
  <c r="AV368"/>
  <c r="AV367"/>
  <c r="AV366"/>
  <c r="AV365"/>
  <c r="AV364"/>
  <c r="AV363"/>
  <c r="AV362"/>
  <c r="AV361"/>
  <c r="AV360"/>
  <c r="AV359"/>
  <c r="AV358"/>
  <c r="AV357"/>
  <c r="AV356"/>
  <c r="AV355"/>
  <c r="AV354"/>
  <c r="AV353"/>
  <c r="AV352"/>
  <c r="AV351"/>
  <c r="AV350"/>
  <c r="AV349"/>
  <c r="AV348"/>
  <c r="AV347"/>
  <c r="AV346"/>
  <c r="U345"/>
  <c r="AV345" s="1"/>
  <c r="U344"/>
  <c r="AV344" s="1"/>
  <c r="U343"/>
  <c r="AV343" s="1"/>
  <c r="U342"/>
  <c r="AV342" s="1"/>
  <c r="U341"/>
  <c r="AV341" s="1"/>
  <c r="U340"/>
  <c r="AV340" s="1"/>
  <c r="U339"/>
  <c r="AV339" s="1"/>
  <c r="U338"/>
  <c r="AV338" s="1"/>
  <c r="U337"/>
  <c r="AV337" s="1"/>
  <c r="U336"/>
  <c r="AV336" s="1"/>
  <c r="AV335"/>
  <c r="U334"/>
  <c r="AV334" s="1"/>
  <c r="U333"/>
  <c r="AV333" s="1"/>
  <c r="U332"/>
  <c r="AV332" s="1"/>
  <c r="U331"/>
  <c r="AV331" s="1"/>
  <c r="U330"/>
  <c r="AV330" s="1"/>
  <c r="U329"/>
  <c r="AV329" s="1"/>
  <c r="U328"/>
  <c r="AV328" s="1"/>
  <c r="U327"/>
  <c r="AV327" s="1"/>
  <c r="U326"/>
  <c r="AV326" s="1"/>
  <c r="U325"/>
  <c r="AV325" s="1"/>
  <c r="U324"/>
  <c r="AV324" s="1"/>
  <c r="U323"/>
  <c r="AV323" s="1"/>
  <c r="U322"/>
  <c r="AV322" s="1"/>
  <c r="U321"/>
  <c r="AV321" s="1"/>
  <c r="U320"/>
  <c r="AV320" s="1"/>
  <c r="U319"/>
  <c r="AV319" s="1"/>
  <c r="U318"/>
  <c r="AV318" s="1"/>
  <c r="U317"/>
  <c r="AV317" s="1"/>
  <c r="U316"/>
  <c r="AV316" s="1"/>
  <c r="U315"/>
  <c r="AV315" s="1"/>
  <c r="U314"/>
  <c r="AV314" s="1"/>
  <c r="U313"/>
  <c r="AV313" s="1"/>
  <c r="AV312"/>
  <c r="AV311"/>
  <c r="AV310"/>
  <c r="E301"/>
  <c r="AV301" s="1"/>
  <c r="AV300"/>
  <c r="AV299"/>
  <c r="H33" i="36" s="1"/>
  <c r="AV298" i="9"/>
  <c r="AV297"/>
  <c r="AV296"/>
  <c r="AV295"/>
  <c r="AV294"/>
  <c r="AV293"/>
  <c r="AV292"/>
  <c r="AV291"/>
  <c r="AV290"/>
  <c r="AV289"/>
  <c r="U288"/>
  <c r="AV288" s="1"/>
  <c r="AV287"/>
  <c r="AV286"/>
  <c r="AV285"/>
  <c r="AV284"/>
  <c r="AV283"/>
  <c r="AV282"/>
  <c r="AV281"/>
  <c r="AV280"/>
  <c r="AV279"/>
  <c r="AV278"/>
  <c r="AV277"/>
  <c r="AV276"/>
  <c r="AV275"/>
  <c r="AV274"/>
  <c r="AV273"/>
  <c r="AV272"/>
  <c r="AV271"/>
  <c r="AV270"/>
  <c r="AV269"/>
  <c r="AV268"/>
  <c r="AV267"/>
  <c r="AV266"/>
  <c r="AV265"/>
  <c r="AV264"/>
  <c r="AV263"/>
  <c r="AV262"/>
  <c r="AV261"/>
  <c r="AV260"/>
  <c r="AV259"/>
  <c r="U258"/>
  <c r="AV258" s="1"/>
  <c r="AV257"/>
  <c r="AV256"/>
  <c r="E255"/>
  <c r="AV255" s="1"/>
  <c r="AV254"/>
  <c r="AV253"/>
  <c r="E252"/>
  <c r="AV252" s="1"/>
  <c r="AV251"/>
  <c r="AV250"/>
  <c r="AV249"/>
  <c r="AV248"/>
  <c r="AV247"/>
  <c r="U246"/>
  <c r="AV246" s="1"/>
  <c r="AV245"/>
  <c r="AV244"/>
  <c r="AV243"/>
  <c r="AV242"/>
  <c r="AV241"/>
  <c r="AV240"/>
  <c r="AV239"/>
  <c r="AV238"/>
  <c r="AV237"/>
  <c r="AV236"/>
  <c r="AV235"/>
  <c r="AV234"/>
  <c r="AV233"/>
  <c r="AV232"/>
  <c r="AV231"/>
  <c r="AV230"/>
  <c r="AV229"/>
  <c r="AV228"/>
  <c r="AV227"/>
  <c r="AV226"/>
  <c r="AV225"/>
  <c r="AV224"/>
  <c r="AV223"/>
  <c r="AV222"/>
  <c r="AV221"/>
  <c r="AV220"/>
  <c r="AV219"/>
  <c r="AV218"/>
  <c r="E217"/>
  <c r="AV216"/>
  <c r="AV215"/>
  <c r="AV214"/>
  <c r="AV213"/>
  <c r="AV212"/>
  <c r="AV211"/>
  <c r="AV210"/>
  <c r="AV209"/>
  <c r="AV208"/>
  <c r="AV207"/>
  <c r="AV206"/>
  <c r="AV205"/>
  <c r="AV204"/>
  <c r="AV203"/>
  <c r="U202"/>
  <c r="AV202" s="1"/>
  <c r="AV201"/>
  <c r="AV200"/>
  <c r="AV199"/>
  <c r="AV198"/>
  <c r="AV197"/>
  <c r="AV196"/>
  <c r="AV195"/>
  <c r="AV194"/>
  <c r="AV193"/>
  <c r="AV192"/>
  <c r="AV191"/>
  <c r="AV190"/>
  <c r="AV189"/>
  <c r="AV188"/>
  <c r="AV187"/>
  <c r="AV186"/>
  <c r="AV185"/>
  <c r="AV184"/>
  <c r="AV183"/>
  <c r="AV182"/>
  <c r="AV181"/>
  <c r="AV180"/>
  <c r="AV179"/>
  <c r="AV178"/>
  <c r="AV177"/>
  <c r="AV176"/>
  <c r="AV175"/>
  <c r="AV174"/>
  <c r="AV173"/>
  <c r="AV172"/>
  <c r="AV171"/>
  <c r="AV170"/>
  <c r="AV169"/>
  <c r="H27" i="36" s="1"/>
  <c r="AV168" i="9"/>
  <c r="AV167"/>
  <c r="AV166"/>
  <c r="E165"/>
  <c r="AV165" s="1"/>
  <c r="H26" i="36" s="1"/>
  <c r="AV164" i="9"/>
  <c r="AV163"/>
  <c r="AV162"/>
  <c r="U161"/>
  <c r="AV161" s="1"/>
  <c r="AV160"/>
  <c r="AV159"/>
  <c r="AV158"/>
  <c r="AV157"/>
  <c r="U151"/>
  <c r="AV150"/>
  <c r="AV149"/>
  <c r="AV148"/>
  <c r="AV147"/>
  <c r="AV146"/>
  <c r="AV145"/>
  <c r="AV144"/>
  <c r="AV141"/>
  <c r="AV140"/>
  <c r="AV139"/>
  <c r="AV138"/>
  <c r="AV137"/>
  <c r="AV135"/>
  <c r="AV134"/>
  <c r="AV133"/>
  <c r="AV132"/>
  <c r="AV131"/>
  <c r="AV130"/>
  <c r="AV129"/>
  <c r="AV128"/>
  <c r="AV127"/>
  <c r="AV126"/>
  <c r="AV125"/>
  <c r="AV124"/>
  <c r="AV123"/>
  <c r="AV121"/>
  <c r="AV120"/>
  <c r="AV119"/>
  <c r="AV118"/>
  <c r="AV117"/>
  <c r="AV116"/>
  <c r="AV115"/>
  <c r="D18" i="33"/>
  <c r="AV113" i="9"/>
  <c r="AV112"/>
  <c r="AV110"/>
  <c r="AV109"/>
  <c r="AV108"/>
  <c r="AV107"/>
  <c r="AV106"/>
  <c r="AV105"/>
  <c r="AV104"/>
  <c r="AV102"/>
  <c r="AV101"/>
  <c r="AV100"/>
  <c r="AV99"/>
  <c r="AV98"/>
  <c r="AV97"/>
  <c r="AV96"/>
  <c r="AV95"/>
  <c r="AV94"/>
  <c r="AV92"/>
  <c r="AV91"/>
  <c r="AV90"/>
  <c r="AV89"/>
  <c r="AV88"/>
  <c r="AV87"/>
  <c r="AV86"/>
  <c r="AV85"/>
  <c r="AV84"/>
  <c r="AV83"/>
  <c r="AV82"/>
  <c r="AV81"/>
  <c r="AV80"/>
  <c r="AV79"/>
  <c r="AV78"/>
  <c r="AV77"/>
  <c r="AV76"/>
  <c r="AV75"/>
  <c r="AV74"/>
  <c r="AV73"/>
  <c r="AV72"/>
  <c r="AV71"/>
  <c r="AV70"/>
  <c r="AV69"/>
  <c r="AV68"/>
  <c r="AV67"/>
  <c r="AV66"/>
  <c r="AV65"/>
  <c r="AV64"/>
  <c r="AV63"/>
  <c r="AV62"/>
  <c r="AV61"/>
  <c r="AV60"/>
  <c r="AV59"/>
  <c r="AV58"/>
  <c r="AV57"/>
  <c r="AV56"/>
  <c r="AV55"/>
  <c r="AV54"/>
  <c r="AV53"/>
  <c r="AV52"/>
  <c r="AV51"/>
  <c r="AV50"/>
  <c r="AV49"/>
  <c r="AV48"/>
  <c r="AV47"/>
  <c r="AV46"/>
  <c r="AV45"/>
  <c r="AV44"/>
  <c r="AV43"/>
  <c r="AV42"/>
  <c r="AV41"/>
  <c r="AV40"/>
  <c r="AV39"/>
  <c r="AV38"/>
  <c r="AV37"/>
  <c r="AV36"/>
  <c r="AV35"/>
  <c r="AV34"/>
  <c r="AV33"/>
  <c r="AV32"/>
  <c r="AV31"/>
  <c r="AV30"/>
  <c r="AV29"/>
  <c r="AV28"/>
  <c r="AV27"/>
  <c r="AV26"/>
  <c r="AV25"/>
  <c r="AV24"/>
  <c r="AV23"/>
  <c r="AV22"/>
  <c r="AV21"/>
  <c r="AV20"/>
  <c r="AV19"/>
  <c r="AV18"/>
  <c r="AV17"/>
  <c r="AV16"/>
  <c r="AV15"/>
  <c r="AV14"/>
  <c r="AV13"/>
  <c r="AV12"/>
  <c r="AV11"/>
  <c r="AV10"/>
  <c r="AV9"/>
  <c r="AV8"/>
  <c r="AV7"/>
  <c r="AV6"/>
  <c r="AU904"/>
  <c r="AU898"/>
  <c r="AU897"/>
  <c r="AU896"/>
  <c r="AU886"/>
  <c r="AU885"/>
  <c r="AU878"/>
  <c r="AU877"/>
  <c r="AU876"/>
  <c r="AU857"/>
  <c r="AU856"/>
  <c r="AU848"/>
  <c r="AU847"/>
  <c r="AU837"/>
  <c r="AU836"/>
  <c r="AU835"/>
  <c r="AU832"/>
  <c r="AU830"/>
  <c r="AU808"/>
  <c r="AU807"/>
  <c r="AU801"/>
  <c r="AU800"/>
  <c r="AU796"/>
  <c r="AU795"/>
  <c r="AU794"/>
  <c r="AU790"/>
  <c r="AU789"/>
  <c r="AU781"/>
  <c r="AU780"/>
  <c r="AU779"/>
  <c r="AU778"/>
  <c r="AU771"/>
  <c r="AU767"/>
  <c r="AU766"/>
  <c r="AU765"/>
  <c r="AU764"/>
  <c r="AU761"/>
  <c r="AU760"/>
  <c r="AU759"/>
  <c r="AU747"/>
  <c r="AU745"/>
  <c r="AU743"/>
  <c r="AU742"/>
  <c r="AU741"/>
  <c r="AU721"/>
  <c r="AU712"/>
  <c r="AU692"/>
  <c r="AU686"/>
  <c r="AU681"/>
  <c r="AU671"/>
  <c r="AU669"/>
  <c r="AU668"/>
  <c r="AU664"/>
  <c r="AU663"/>
  <c r="AU662"/>
  <c r="AU593"/>
  <c r="AU587"/>
  <c r="AU586"/>
  <c r="AU557"/>
  <c r="AU553"/>
  <c r="AU552"/>
  <c r="AU486"/>
  <c r="AU482"/>
  <c r="AU478"/>
  <c r="AU474"/>
  <c r="AU472"/>
  <c r="AU471"/>
  <c r="AU469"/>
  <c r="AU441"/>
  <c r="AU438"/>
  <c r="AU426"/>
  <c r="AU392"/>
  <c r="AU391"/>
  <c r="AU362"/>
  <c r="AU347"/>
  <c r="AU346"/>
  <c r="AU335"/>
  <c r="AU298"/>
  <c r="AU297"/>
  <c r="AU296"/>
  <c r="AU293"/>
  <c r="AU265"/>
  <c r="AU253"/>
  <c r="AU250"/>
  <c r="AU245"/>
  <c r="AU235"/>
  <c r="AU234"/>
  <c r="AU227"/>
  <c r="AU213"/>
  <c r="AU212"/>
  <c r="AU204"/>
  <c r="AU203"/>
  <c r="AU192"/>
  <c r="AU189"/>
  <c r="AU149"/>
  <c r="AU145"/>
  <c r="AU144"/>
  <c r="AU129"/>
  <c r="AU128"/>
  <c r="AU125"/>
  <c r="AU124"/>
  <c r="AU120"/>
  <c r="AU119"/>
  <c r="AU110"/>
  <c r="AU105"/>
  <c r="AU98"/>
  <c r="AU97"/>
  <c r="AU94"/>
  <c r="AU92"/>
  <c r="AU82"/>
  <c r="AU79"/>
  <c r="AU75"/>
  <c r="AU69"/>
  <c r="AU64"/>
  <c r="AU60"/>
  <c r="AU57"/>
  <c r="AU56"/>
  <c r="AU55"/>
  <c r="AU54"/>
  <c r="AU53"/>
  <c r="AU51"/>
  <c r="AU50"/>
  <c r="AU49"/>
  <c r="AU47"/>
  <c r="AU41"/>
  <c r="AU35"/>
  <c r="AU29"/>
  <c r="AU16"/>
  <c r="AU14"/>
  <c r="F912"/>
  <c r="AJ912" s="1"/>
  <c r="AG746"/>
  <c r="AS746" s="1"/>
  <c r="AG744"/>
  <c r="AS744" s="1"/>
  <c r="AG473"/>
  <c r="AS473" s="1"/>
  <c r="AG59"/>
  <c r="AS59" s="1"/>
  <c r="AG18"/>
  <c r="AS18" s="1"/>
  <c r="AG17"/>
  <c r="AS17" s="1"/>
  <c r="AG6"/>
  <c r="AS6" s="1"/>
  <c r="M17" i="12"/>
  <c r="AK6" i="9"/>
  <c r="AM6"/>
  <c r="AN6"/>
  <c r="AK7"/>
  <c r="AM7"/>
  <c r="AN7"/>
  <c r="AK8"/>
  <c r="AM8"/>
  <c r="AN8"/>
  <c r="AK9"/>
  <c r="AM9"/>
  <c r="AN9"/>
  <c r="AK10"/>
  <c r="AM10"/>
  <c r="AN10"/>
  <c r="AK11"/>
  <c r="AM11"/>
  <c r="AN11"/>
  <c r="AK12"/>
  <c r="AM12"/>
  <c r="AN12"/>
  <c r="AK13"/>
  <c r="AM13"/>
  <c r="AN13"/>
  <c r="AK17"/>
  <c r="AM17"/>
  <c r="AN17"/>
  <c r="AK18"/>
  <c r="AM18"/>
  <c r="AN18"/>
  <c r="AK19"/>
  <c r="AM19"/>
  <c r="AN19"/>
  <c r="AK20"/>
  <c r="AM20"/>
  <c r="AN20"/>
  <c r="AK21"/>
  <c r="AM21"/>
  <c r="AN21"/>
  <c r="AK22"/>
  <c r="AM22"/>
  <c r="AN22"/>
  <c r="AK23"/>
  <c r="AM23"/>
  <c r="AN23"/>
  <c r="AK24"/>
  <c r="AM24"/>
  <c r="AN24"/>
  <c r="AK25"/>
  <c r="AM25"/>
  <c r="AN25"/>
  <c r="AK26"/>
  <c r="AM26"/>
  <c r="AN26"/>
  <c r="AK27"/>
  <c r="AM27"/>
  <c r="AN27"/>
  <c r="AK28"/>
  <c r="AM28"/>
  <c r="AN28"/>
  <c r="AK30"/>
  <c r="AM30"/>
  <c r="AN30"/>
  <c r="AK31"/>
  <c r="AM31"/>
  <c r="AN31"/>
  <c r="AK32"/>
  <c r="AM32"/>
  <c r="AN32"/>
  <c r="AK33"/>
  <c r="AM33"/>
  <c r="AN33"/>
  <c r="AK34"/>
  <c r="AM34"/>
  <c r="AN34"/>
  <c r="AK36"/>
  <c r="AM36"/>
  <c r="AN36"/>
  <c r="AK37"/>
  <c r="AM37"/>
  <c r="AN37"/>
  <c r="AK38"/>
  <c r="AM38"/>
  <c r="AN38"/>
  <c r="AK39"/>
  <c r="AM39"/>
  <c r="AN39"/>
  <c r="AK40"/>
  <c r="AM40"/>
  <c r="AN40"/>
  <c r="AK42"/>
  <c r="AM42"/>
  <c r="AN42"/>
  <c r="AK43"/>
  <c r="AM43"/>
  <c r="AN43"/>
  <c r="AK44"/>
  <c r="AM44"/>
  <c r="AN44"/>
  <c r="AK45"/>
  <c r="AM45"/>
  <c r="AN45"/>
  <c r="AK46"/>
  <c r="AM46"/>
  <c r="AN46"/>
  <c r="AK48"/>
  <c r="AM48"/>
  <c r="AN48"/>
  <c r="AK52"/>
  <c r="AM52"/>
  <c r="AN52"/>
  <c r="AK59"/>
  <c r="AM59"/>
  <c r="AN59"/>
  <c r="AK61"/>
  <c r="AM61"/>
  <c r="AN61"/>
  <c r="AK62"/>
  <c r="AM62"/>
  <c r="AN62"/>
  <c r="AK63"/>
  <c r="AM63"/>
  <c r="AN63"/>
  <c r="AK65"/>
  <c r="AM65"/>
  <c r="AN65"/>
  <c r="AK66"/>
  <c r="AM66"/>
  <c r="AN66"/>
  <c r="AK67"/>
  <c r="AM67"/>
  <c r="AN67"/>
  <c r="AK68"/>
  <c r="AM68"/>
  <c r="AN68"/>
  <c r="AK70"/>
  <c r="AM70"/>
  <c r="AN70"/>
  <c r="AK71"/>
  <c r="AM71"/>
  <c r="AN71"/>
  <c r="AK72"/>
  <c r="AM72"/>
  <c r="AN72"/>
  <c r="AK73"/>
  <c r="AM73"/>
  <c r="AN73"/>
  <c r="AK74"/>
  <c r="AM74"/>
  <c r="AN74"/>
  <c r="AK76"/>
  <c r="AM76"/>
  <c r="AN76"/>
  <c r="AK77"/>
  <c r="AM77"/>
  <c r="AN77"/>
  <c r="AK78"/>
  <c r="AM78"/>
  <c r="AN78"/>
  <c r="AK80"/>
  <c r="AM80"/>
  <c r="AN80"/>
  <c r="AK81"/>
  <c r="AM81"/>
  <c r="AN81"/>
  <c r="AK83"/>
  <c r="AM83"/>
  <c r="AN83"/>
  <c r="AK84"/>
  <c r="AM84"/>
  <c r="AN84"/>
  <c r="AK85"/>
  <c r="AM85"/>
  <c r="AN85"/>
  <c r="AK86"/>
  <c r="AM86"/>
  <c r="AN86"/>
  <c r="AK87"/>
  <c r="AM87"/>
  <c r="AN87"/>
  <c r="AK88"/>
  <c r="AM88"/>
  <c r="AN88"/>
  <c r="AK89"/>
  <c r="AM89"/>
  <c r="AN89"/>
  <c r="AK90"/>
  <c r="AM90"/>
  <c r="AN90"/>
  <c r="AK91"/>
  <c r="AM91"/>
  <c r="AN91"/>
  <c r="AK93"/>
  <c r="AM93"/>
  <c r="AN93"/>
  <c r="AK95"/>
  <c r="AM95"/>
  <c r="AN95"/>
  <c r="AK96"/>
  <c r="AM96"/>
  <c r="AN96"/>
  <c r="AK99"/>
  <c r="AM99"/>
  <c r="AN99"/>
  <c r="AK101"/>
  <c r="AM101"/>
  <c r="AN101"/>
  <c r="AK102"/>
  <c r="AM102"/>
  <c r="AN102"/>
  <c r="AK103"/>
  <c r="AM103"/>
  <c r="AN103"/>
  <c r="AK104"/>
  <c r="AM104"/>
  <c r="AN104"/>
  <c r="AK107"/>
  <c r="AM107"/>
  <c r="AN107"/>
  <c r="AK108"/>
  <c r="AM108"/>
  <c r="AN108"/>
  <c r="AK109"/>
  <c r="AM109"/>
  <c r="AN109"/>
  <c r="AM111"/>
  <c r="AN111"/>
  <c r="AM112"/>
  <c r="AN112"/>
  <c r="AM113"/>
  <c r="AN113"/>
  <c r="AM114"/>
  <c r="AN114"/>
  <c r="AK115"/>
  <c r="AM115"/>
  <c r="AN115"/>
  <c r="AK116"/>
  <c r="AM116"/>
  <c r="AN116"/>
  <c r="AK117"/>
  <c r="AM117"/>
  <c r="AN117"/>
  <c r="AK118"/>
  <c r="AM118"/>
  <c r="AN118"/>
  <c r="AK121"/>
  <c r="AM121"/>
  <c r="AN121"/>
  <c r="AK122"/>
  <c r="AM122"/>
  <c r="AN122"/>
  <c r="AK123"/>
  <c r="AM123"/>
  <c r="AN123"/>
  <c r="AK126"/>
  <c r="AM126"/>
  <c r="AN126"/>
  <c r="AK127"/>
  <c r="AM127"/>
  <c r="AN127"/>
  <c r="AK131"/>
  <c r="AM131"/>
  <c r="AN131"/>
  <c r="AK132"/>
  <c r="AM132"/>
  <c r="AN132"/>
  <c r="AK133"/>
  <c r="AM133"/>
  <c r="AN133"/>
  <c r="AK134"/>
  <c r="AM134"/>
  <c r="AN134"/>
  <c r="AK135"/>
  <c r="AM135"/>
  <c r="AN135"/>
  <c r="AM136"/>
  <c r="AN136"/>
  <c r="AK137"/>
  <c r="AM137"/>
  <c r="AN137"/>
  <c r="AK138"/>
  <c r="AM138"/>
  <c r="AN138"/>
  <c r="AK139"/>
  <c r="AM139"/>
  <c r="AN139"/>
  <c r="AK140"/>
  <c r="AM140"/>
  <c r="AN140"/>
  <c r="AK141"/>
  <c r="AM141"/>
  <c r="AN141"/>
  <c r="AM142"/>
  <c r="AN142"/>
  <c r="AK143"/>
  <c r="AM143"/>
  <c r="AN143"/>
  <c r="AK146"/>
  <c r="AM146"/>
  <c r="AN146"/>
  <c r="AK147"/>
  <c r="AM147"/>
  <c r="AN147"/>
  <c r="AK148"/>
  <c r="AM148"/>
  <c r="AN148"/>
  <c r="AM151"/>
  <c r="AN151"/>
  <c r="AK157"/>
  <c r="AM157"/>
  <c r="AN157"/>
  <c r="AK158"/>
  <c r="AM158"/>
  <c r="AN158"/>
  <c r="AK159"/>
  <c r="AM159"/>
  <c r="AN159"/>
  <c r="AK160"/>
  <c r="AM160"/>
  <c r="AN160"/>
  <c r="AK161"/>
  <c r="AM161"/>
  <c r="AN161"/>
  <c r="AK162"/>
  <c r="AM162"/>
  <c r="AN162"/>
  <c r="AK163"/>
  <c r="AM163"/>
  <c r="AN163"/>
  <c r="AM164"/>
  <c r="AN164"/>
  <c r="AK165"/>
  <c r="AM165"/>
  <c r="AN165"/>
  <c r="AK166"/>
  <c r="AM166"/>
  <c r="AN166"/>
  <c r="AK167"/>
  <c r="AM167"/>
  <c r="AN167"/>
  <c r="AK168"/>
  <c r="AM168"/>
  <c r="AN168"/>
  <c r="AK169"/>
  <c r="AM169"/>
  <c r="AN169"/>
  <c r="AK170"/>
  <c r="AM170"/>
  <c r="AN170"/>
  <c r="AK171"/>
  <c r="AM171"/>
  <c r="AN171"/>
  <c r="AK172"/>
  <c r="AM172"/>
  <c r="AN172"/>
  <c r="AK173"/>
  <c r="AM173"/>
  <c r="AN173"/>
  <c r="AK174"/>
  <c r="AM174"/>
  <c r="AN174"/>
  <c r="AK175"/>
  <c r="AM175"/>
  <c r="AN175"/>
  <c r="AK176"/>
  <c r="AM176"/>
  <c r="AN176"/>
  <c r="AK177"/>
  <c r="AM177"/>
  <c r="AN177"/>
  <c r="AK178"/>
  <c r="AM178"/>
  <c r="AN178"/>
  <c r="AK179"/>
  <c r="AM179"/>
  <c r="AN179"/>
  <c r="AK180"/>
  <c r="AM180"/>
  <c r="AN180"/>
  <c r="AK181"/>
  <c r="AM181"/>
  <c r="AN181"/>
  <c r="AK182"/>
  <c r="AM182"/>
  <c r="AN182"/>
  <c r="AK183"/>
  <c r="AM183"/>
  <c r="AN183"/>
  <c r="AK184"/>
  <c r="AM184"/>
  <c r="AN184"/>
  <c r="AK185"/>
  <c r="AM185"/>
  <c r="AN185"/>
  <c r="AK186"/>
  <c r="AM186"/>
  <c r="AN186"/>
  <c r="AK187"/>
  <c r="AM187"/>
  <c r="AN187"/>
  <c r="AK188"/>
  <c r="AM188"/>
  <c r="AN188"/>
  <c r="AK190"/>
  <c r="AM190"/>
  <c r="AN190"/>
  <c r="AK191"/>
  <c r="AM191"/>
  <c r="AN191"/>
  <c r="AK193"/>
  <c r="AM193"/>
  <c r="AN193"/>
  <c r="AK194"/>
  <c r="AM194"/>
  <c r="AN194"/>
  <c r="AM195"/>
  <c r="AN195"/>
  <c r="AM196"/>
  <c r="AN196"/>
  <c r="AK197"/>
  <c r="AM197"/>
  <c r="AN197"/>
  <c r="AK198"/>
  <c r="AM198"/>
  <c r="AN198"/>
  <c r="AK199"/>
  <c r="AM199"/>
  <c r="AN199"/>
  <c r="AK200"/>
  <c r="AM200"/>
  <c r="AN200"/>
  <c r="AK201"/>
  <c r="AM201"/>
  <c r="AN201"/>
  <c r="AK202"/>
  <c r="AM202"/>
  <c r="AN202"/>
  <c r="AK205"/>
  <c r="AM205"/>
  <c r="AN205"/>
  <c r="AK207"/>
  <c r="AM207"/>
  <c r="AN207"/>
  <c r="AK208"/>
  <c r="AM208"/>
  <c r="AN208"/>
  <c r="AK209"/>
  <c r="AM209"/>
  <c r="AN209"/>
  <c r="AK210"/>
  <c r="AM210"/>
  <c r="AN210"/>
  <c r="AK211"/>
  <c r="AM211"/>
  <c r="AN211"/>
  <c r="AK214"/>
  <c r="AM214"/>
  <c r="AN214"/>
  <c r="AK215"/>
  <c r="AM215"/>
  <c r="AN215"/>
  <c r="AK216"/>
  <c r="AM216"/>
  <c r="AN216"/>
  <c r="AK217"/>
  <c r="AM217"/>
  <c r="AN217"/>
  <c r="AK233"/>
  <c r="AM233"/>
  <c r="AN233"/>
  <c r="AM236"/>
  <c r="AN236"/>
  <c r="AM237"/>
  <c r="AN237"/>
  <c r="AM238"/>
  <c r="AN238"/>
  <c r="AK239"/>
  <c r="AM239"/>
  <c r="AN239"/>
  <c r="AK240"/>
  <c r="AM240"/>
  <c r="AN240"/>
  <c r="AK241"/>
  <c r="AM241"/>
  <c r="AN241"/>
  <c r="AM242"/>
  <c r="AN242"/>
  <c r="AM243"/>
  <c r="AN243"/>
  <c r="AK244"/>
  <c r="AM244"/>
  <c r="AN244"/>
  <c r="AK246"/>
  <c r="AM246"/>
  <c r="AN246"/>
  <c r="AM247"/>
  <c r="AN247"/>
  <c r="AK248"/>
  <c r="AM248"/>
  <c r="AN248"/>
  <c r="AM249"/>
  <c r="AN249"/>
  <c r="AK251"/>
  <c r="AM251"/>
  <c r="AN251"/>
  <c r="AK252"/>
  <c r="AM252"/>
  <c r="AN252"/>
  <c r="AK254"/>
  <c r="AM254"/>
  <c r="AN254"/>
  <c r="AK255"/>
  <c r="AM255"/>
  <c r="AN255"/>
  <c r="AK256"/>
  <c r="AM256"/>
  <c r="AN256"/>
  <c r="AK257"/>
  <c r="AM257"/>
  <c r="AN257"/>
  <c r="AK258"/>
  <c r="AM258"/>
  <c r="AN258"/>
  <c r="AK259"/>
  <c r="AM259"/>
  <c r="AN259"/>
  <c r="AK260"/>
  <c r="AM260"/>
  <c r="AN260"/>
  <c r="AK261"/>
  <c r="AM261"/>
  <c r="AN261"/>
  <c r="AK262"/>
  <c r="AM262"/>
  <c r="AN262"/>
  <c r="AK263"/>
  <c r="AM263"/>
  <c r="AN263"/>
  <c r="AK264"/>
  <c r="AM264"/>
  <c r="AN264"/>
  <c r="AM266"/>
  <c r="AN266"/>
  <c r="AK267"/>
  <c r="AM267"/>
  <c r="AN267"/>
  <c r="AM268"/>
  <c r="AN268"/>
  <c r="AM269"/>
  <c r="AN269"/>
  <c r="AK270"/>
  <c r="AM270"/>
  <c r="AN270"/>
  <c r="AK271"/>
  <c r="AM271"/>
  <c r="AN271"/>
  <c r="AK272"/>
  <c r="AM272"/>
  <c r="AN272"/>
  <c r="AK273"/>
  <c r="AM273"/>
  <c r="AN273"/>
  <c r="AK274"/>
  <c r="AM274"/>
  <c r="AN274"/>
  <c r="AM275"/>
  <c r="AN275"/>
  <c r="AM276"/>
  <c r="AN276"/>
  <c r="AM277"/>
  <c r="AN277"/>
  <c r="AK278"/>
  <c r="AM278"/>
  <c r="AN278"/>
  <c r="AK279"/>
  <c r="AM279"/>
  <c r="AN279"/>
  <c r="AK280"/>
  <c r="AM280"/>
  <c r="AN280"/>
  <c r="AK281"/>
  <c r="AM281"/>
  <c r="AN281"/>
  <c r="AK282"/>
  <c r="AM282"/>
  <c r="AN282"/>
  <c r="AK283"/>
  <c r="AM283"/>
  <c r="AN283"/>
  <c r="AK284"/>
  <c r="AM284"/>
  <c r="AN284"/>
  <c r="AK285"/>
  <c r="AM285"/>
  <c r="AN285"/>
  <c r="AK286"/>
  <c r="AM286"/>
  <c r="AN286"/>
  <c r="AK287"/>
  <c r="AM287"/>
  <c r="AN287"/>
  <c r="AM288"/>
  <c r="AN288"/>
  <c r="AK289"/>
  <c r="AM289"/>
  <c r="AN289"/>
  <c r="AK290"/>
  <c r="AM290"/>
  <c r="AN290"/>
  <c r="AK291"/>
  <c r="AM291"/>
  <c r="AN291"/>
  <c r="AK292"/>
  <c r="AM292"/>
  <c r="AN292"/>
  <c r="AM294"/>
  <c r="AN294"/>
  <c r="AM295"/>
  <c r="AN295"/>
  <c r="AK299"/>
  <c r="AM299"/>
  <c r="AN299"/>
  <c r="AK300"/>
  <c r="AM300"/>
  <c r="AN300"/>
  <c r="AK301"/>
  <c r="AM301"/>
  <c r="AN301"/>
  <c r="AM302"/>
  <c r="AN302"/>
  <c r="AK303"/>
  <c r="AM303"/>
  <c r="AN303"/>
  <c r="AM304"/>
  <c r="AN304"/>
  <c r="AM305"/>
  <c r="AN305"/>
  <c r="AM306"/>
  <c r="AN306"/>
  <c r="AM307"/>
  <c r="AN307"/>
  <c r="AM308"/>
  <c r="AN308"/>
  <c r="AM309"/>
  <c r="AN309"/>
  <c r="AK310"/>
  <c r="AM310"/>
  <c r="AN310"/>
  <c r="AK311"/>
  <c r="AM311"/>
  <c r="AN311"/>
  <c r="AM312"/>
  <c r="AN312"/>
  <c r="AK313"/>
  <c r="AM313"/>
  <c r="AN313"/>
  <c r="AK314"/>
  <c r="AM314"/>
  <c r="AN314"/>
  <c r="AK315"/>
  <c r="AM315"/>
  <c r="AN315"/>
  <c r="AK316"/>
  <c r="AM316"/>
  <c r="AN316"/>
  <c r="AK317"/>
  <c r="AM317"/>
  <c r="AN317"/>
  <c r="AK318"/>
  <c r="AM318"/>
  <c r="AN318"/>
  <c r="AK319"/>
  <c r="AM319"/>
  <c r="AN319"/>
  <c r="AK320"/>
  <c r="AM320"/>
  <c r="AN320"/>
  <c r="AK321"/>
  <c r="AM321"/>
  <c r="AN321"/>
  <c r="AK322"/>
  <c r="AM322"/>
  <c r="AN322"/>
  <c r="AK323"/>
  <c r="AM323"/>
  <c r="AN323"/>
  <c r="AK324"/>
  <c r="AM324"/>
  <c r="AN324"/>
  <c r="AK325"/>
  <c r="AM325"/>
  <c r="AN325"/>
  <c r="AK326"/>
  <c r="AM326"/>
  <c r="AN326"/>
  <c r="AK327"/>
  <c r="AM327"/>
  <c r="AN327"/>
  <c r="AK328"/>
  <c r="AM328"/>
  <c r="AN328"/>
  <c r="AK329"/>
  <c r="AM329"/>
  <c r="AN329"/>
  <c r="AK330"/>
  <c r="AM330"/>
  <c r="AN330"/>
  <c r="AK331"/>
  <c r="AM331"/>
  <c r="AN331"/>
  <c r="AK332"/>
  <c r="AM332"/>
  <c r="AN332"/>
  <c r="AK333"/>
  <c r="AM333"/>
  <c r="AN333"/>
  <c r="AK334"/>
  <c r="AM334"/>
  <c r="AN334"/>
  <c r="AK336"/>
  <c r="AM336"/>
  <c r="AN336"/>
  <c r="AK337"/>
  <c r="AM337"/>
  <c r="AN337"/>
  <c r="AK338"/>
  <c r="AM338"/>
  <c r="AN338"/>
  <c r="AK339"/>
  <c r="AM339"/>
  <c r="AN339"/>
  <c r="AK340"/>
  <c r="AM340"/>
  <c r="AN340"/>
  <c r="AK341"/>
  <c r="AM341"/>
  <c r="AN341"/>
  <c r="AK342"/>
  <c r="AM342"/>
  <c r="AN342"/>
  <c r="AK343"/>
  <c r="AM343"/>
  <c r="AN343"/>
  <c r="AK344"/>
  <c r="AM344"/>
  <c r="AN344"/>
  <c r="AK345"/>
  <c r="AM345"/>
  <c r="AN345"/>
  <c r="AK348"/>
  <c r="AM348"/>
  <c r="AN348"/>
  <c r="AK349"/>
  <c r="AM349"/>
  <c r="AN349"/>
  <c r="AK350"/>
  <c r="AM350"/>
  <c r="AN350"/>
  <c r="AK351"/>
  <c r="AM351"/>
  <c r="AN351"/>
  <c r="AK352"/>
  <c r="AM352"/>
  <c r="AN352"/>
  <c r="AK353"/>
  <c r="AM353"/>
  <c r="AN353"/>
  <c r="AK354"/>
  <c r="AM354"/>
  <c r="AN354"/>
  <c r="AK355"/>
  <c r="AM355"/>
  <c r="AN355"/>
  <c r="AK356"/>
  <c r="AM356"/>
  <c r="AN356"/>
  <c r="AK357"/>
  <c r="AM357"/>
  <c r="AN357"/>
  <c r="AK358"/>
  <c r="AM358"/>
  <c r="AN358"/>
  <c r="AK359"/>
  <c r="AM359"/>
  <c r="AN359"/>
  <c r="AK360"/>
  <c r="AM360"/>
  <c r="AN360"/>
  <c r="AK361"/>
  <c r="AM361"/>
  <c r="AN361"/>
  <c r="AK363"/>
  <c r="AM363"/>
  <c r="AN363"/>
  <c r="AK364"/>
  <c r="AM364"/>
  <c r="AN364"/>
  <c r="AK365"/>
  <c r="AM365"/>
  <c r="AN365"/>
  <c r="AK366"/>
  <c r="AM366"/>
  <c r="AN366"/>
  <c r="AK367"/>
  <c r="AM367"/>
  <c r="AN367"/>
  <c r="AK368"/>
  <c r="AM368"/>
  <c r="AN368"/>
  <c r="AK369"/>
  <c r="AM369"/>
  <c r="AN369"/>
  <c r="AK370"/>
  <c r="AM370"/>
  <c r="AN370"/>
  <c r="AK371"/>
  <c r="AM371"/>
  <c r="AN371"/>
  <c r="AM372"/>
  <c r="AN372"/>
  <c r="AM373"/>
  <c r="AN373"/>
  <c r="AK374"/>
  <c r="AM374"/>
  <c r="AN374"/>
  <c r="AK375"/>
  <c r="AM375"/>
  <c r="AN375"/>
  <c r="AK376"/>
  <c r="AM376"/>
  <c r="AN376"/>
  <c r="AK377"/>
  <c r="AM377"/>
  <c r="AN377"/>
  <c r="AK378"/>
  <c r="AM378"/>
  <c r="AN378"/>
  <c r="AM379"/>
  <c r="AN379"/>
  <c r="AM380"/>
  <c r="AN380"/>
  <c r="AK381"/>
  <c r="AM381"/>
  <c r="AN381"/>
  <c r="AK382"/>
  <c r="AM382"/>
  <c r="AN382"/>
  <c r="AK383"/>
  <c r="AM383"/>
  <c r="AN383"/>
  <c r="AK384"/>
  <c r="AM384"/>
  <c r="AN384"/>
  <c r="AK385"/>
  <c r="AM385"/>
  <c r="AN385"/>
  <c r="AK386"/>
  <c r="AM386"/>
  <c r="AN386"/>
  <c r="AK387"/>
  <c r="AM387"/>
  <c r="AN387"/>
  <c r="AK388"/>
  <c r="AM388"/>
  <c r="AN388"/>
  <c r="AM389"/>
  <c r="AN389"/>
  <c r="AM390"/>
  <c r="AN390"/>
  <c r="AK394"/>
  <c r="AM394"/>
  <c r="AN394"/>
  <c r="AM395"/>
  <c r="AN395"/>
  <c r="AM396"/>
  <c r="AN396"/>
  <c r="AM397"/>
  <c r="AN397"/>
  <c r="AM398"/>
  <c r="AN398"/>
  <c r="AM399"/>
  <c r="AN399"/>
  <c r="AM400"/>
  <c r="AN400"/>
  <c r="AM401"/>
  <c r="AN401"/>
  <c r="AM402"/>
  <c r="AN402"/>
  <c r="AM403"/>
  <c r="AN403"/>
  <c r="AK404"/>
  <c r="AM404"/>
  <c r="AN404"/>
  <c r="AK405"/>
  <c r="AM405"/>
  <c r="AN405"/>
  <c r="AK406"/>
  <c r="AM406"/>
  <c r="AN406"/>
  <c r="AK407"/>
  <c r="AM407"/>
  <c r="AN407"/>
  <c r="AK408"/>
  <c r="AM408"/>
  <c r="AN408"/>
  <c r="AK409"/>
  <c r="AM409"/>
  <c r="AN409"/>
  <c r="AK410"/>
  <c r="AM410"/>
  <c r="AN410"/>
  <c r="AK411"/>
  <c r="AM411"/>
  <c r="AN411"/>
  <c r="AK412"/>
  <c r="AM412"/>
  <c r="AN412"/>
  <c r="AK413"/>
  <c r="AM413"/>
  <c r="AN413"/>
  <c r="AK414"/>
  <c r="AM414"/>
  <c r="AN414"/>
  <c r="AK415"/>
  <c r="AM415"/>
  <c r="AN415"/>
  <c r="AK416"/>
  <c r="AM416"/>
  <c r="AN416"/>
  <c r="AK417"/>
  <c r="AM417"/>
  <c r="AN417"/>
  <c r="AK418"/>
  <c r="AM418"/>
  <c r="AN418"/>
  <c r="AK419"/>
  <c r="AM419"/>
  <c r="AN419"/>
  <c r="AK420"/>
  <c r="AM420"/>
  <c r="AN420"/>
  <c r="AK421"/>
  <c r="AM421"/>
  <c r="AN421"/>
  <c r="AK422"/>
  <c r="AM422"/>
  <c r="AN422"/>
  <c r="AK423"/>
  <c r="AM423"/>
  <c r="AN423"/>
  <c r="AK424"/>
  <c r="AM424"/>
  <c r="AN424"/>
  <c r="AK425"/>
  <c r="AM425"/>
  <c r="AN425"/>
  <c r="AK427"/>
  <c r="AM427"/>
  <c r="AN427"/>
  <c r="AK428"/>
  <c r="AM428"/>
  <c r="AN428"/>
  <c r="AK429"/>
  <c r="AM429"/>
  <c r="AN429"/>
  <c r="AK430"/>
  <c r="AM430"/>
  <c r="AN430"/>
  <c r="AK431"/>
  <c r="AM431"/>
  <c r="AN431"/>
  <c r="AK432"/>
  <c r="AM432"/>
  <c r="AN432"/>
  <c r="AK433"/>
  <c r="AM433"/>
  <c r="AN433"/>
  <c r="AK434"/>
  <c r="AM434"/>
  <c r="AN434"/>
  <c r="AK435"/>
  <c r="AM435"/>
  <c r="AN435"/>
  <c r="AK436"/>
  <c r="AM436"/>
  <c r="AN436"/>
  <c r="AK437"/>
  <c r="AM437"/>
  <c r="AN437"/>
  <c r="AK439"/>
  <c r="AM439"/>
  <c r="AN439"/>
  <c r="AK440"/>
  <c r="AM440"/>
  <c r="AN440"/>
  <c r="AK442"/>
  <c r="AM442"/>
  <c r="AN442"/>
  <c r="AK443"/>
  <c r="AM443"/>
  <c r="AN443"/>
  <c r="AK444"/>
  <c r="AM444"/>
  <c r="AN444"/>
  <c r="AK446"/>
  <c r="AM446"/>
  <c r="AN446"/>
  <c r="AK447"/>
  <c r="AM447"/>
  <c r="AN447"/>
  <c r="AK448"/>
  <c r="AM448"/>
  <c r="AN448"/>
  <c r="AK449"/>
  <c r="AM449"/>
  <c r="AN449"/>
  <c r="AK450"/>
  <c r="AM450"/>
  <c r="AN450"/>
  <c r="AM451"/>
  <c r="AN451"/>
  <c r="AM452"/>
  <c r="AN452"/>
  <c r="AK453"/>
  <c r="AM453"/>
  <c r="AN453"/>
  <c r="AK454"/>
  <c r="AM454"/>
  <c r="AN454"/>
  <c r="AK455"/>
  <c r="AM455"/>
  <c r="AN455"/>
  <c r="AK456"/>
  <c r="AM456"/>
  <c r="AN456"/>
  <c r="AK457"/>
  <c r="AM457"/>
  <c r="AN457"/>
  <c r="AM458"/>
  <c r="AN458"/>
  <c r="AM459"/>
  <c r="AN459"/>
  <c r="AK460"/>
  <c r="AM460"/>
  <c r="AN460"/>
  <c r="AK461"/>
  <c r="AM461"/>
  <c r="AN461"/>
  <c r="AK462"/>
  <c r="AM462"/>
  <c r="AN462"/>
  <c r="AK463"/>
  <c r="AM463"/>
  <c r="AN463"/>
  <c r="AK464"/>
  <c r="AM464"/>
  <c r="AN464"/>
  <c r="AK465"/>
  <c r="AM465"/>
  <c r="AN465"/>
  <c r="AK466"/>
  <c r="AM466"/>
  <c r="AN466"/>
  <c r="AK467"/>
  <c r="AM467"/>
  <c r="AN467"/>
  <c r="AM468"/>
  <c r="AN468"/>
  <c r="AK470"/>
  <c r="AM470"/>
  <c r="AN470"/>
  <c r="AK473"/>
  <c r="AM473"/>
  <c r="AN473"/>
  <c r="AK475"/>
  <c r="AM475"/>
  <c r="AN475"/>
  <c r="AK476"/>
  <c r="AM476"/>
  <c r="AN476"/>
  <c r="AK477"/>
  <c r="AM477"/>
  <c r="AN477"/>
  <c r="AK479"/>
  <c r="AM479"/>
  <c r="AN479"/>
  <c r="AK480"/>
  <c r="AM480"/>
  <c r="AN480"/>
  <c r="AK481"/>
  <c r="AM481"/>
  <c r="AN481"/>
  <c r="AK483"/>
  <c r="AM483"/>
  <c r="AN483"/>
  <c r="AK484"/>
  <c r="AM484"/>
  <c r="AN484"/>
  <c r="AK485"/>
  <c r="AM485"/>
  <c r="AN485"/>
  <c r="AK487"/>
  <c r="AM487"/>
  <c r="AN487"/>
  <c r="AK488"/>
  <c r="AM488"/>
  <c r="AN488"/>
  <c r="AK489"/>
  <c r="AM489"/>
  <c r="AN489"/>
  <c r="AK490"/>
  <c r="AM490"/>
  <c r="AN490"/>
  <c r="AK491"/>
  <c r="AM491"/>
  <c r="AN491"/>
  <c r="AK492"/>
  <c r="AM492"/>
  <c r="AN492"/>
  <c r="AK493"/>
  <c r="AM493"/>
  <c r="AN493"/>
  <c r="AK494"/>
  <c r="AM494"/>
  <c r="AN494"/>
  <c r="AK495"/>
  <c r="AM495"/>
  <c r="AN495"/>
  <c r="AK496"/>
  <c r="AM496"/>
  <c r="AN496"/>
  <c r="AK497"/>
  <c r="AM497"/>
  <c r="AN497"/>
  <c r="AK498"/>
  <c r="AM498"/>
  <c r="AN498"/>
  <c r="AK499"/>
  <c r="AM499"/>
  <c r="AN499"/>
  <c r="AK500"/>
  <c r="AM500"/>
  <c r="AN500"/>
  <c r="AK501"/>
  <c r="AM501"/>
  <c r="AN501"/>
  <c r="AK502"/>
  <c r="AM502"/>
  <c r="AN502"/>
  <c r="AK503"/>
  <c r="AM503"/>
  <c r="AN503"/>
  <c r="AK504"/>
  <c r="AM504"/>
  <c r="AN504"/>
  <c r="AK505"/>
  <c r="AM505"/>
  <c r="AN505"/>
  <c r="AK506"/>
  <c r="AM506"/>
  <c r="AN506"/>
  <c r="AK507"/>
  <c r="AM507"/>
  <c r="AN507"/>
  <c r="AK508"/>
  <c r="AM508"/>
  <c r="AN508"/>
  <c r="AK509"/>
  <c r="AM509"/>
  <c r="AN509"/>
  <c r="AK510"/>
  <c r="AM510"/>
  <c r="AN510"/>
  <c r="AK511"/>
  <c r="AM511"/>
  <c r="AN511"/>
  <c r="AK512"/>
  <c r="AM512"/>
  <c r="AN512"/>
  <c r="AK513"/>
  <c r="AM513"/>
  <c r="AN513"/>
  <c r="AK514"/>
  <c r="AM514"/>
  <c r="AN514"/>
  <c r="AK515"/>
  <c r="AM515"/>
  <c r="AN515"/>
  <c r="AK516"/>
  <c r="AM516"/>
  <c r="AN516"/>
  <c r="AK517"/>
  <c r="AM517"/>
  <c r="AN517"/>
  <c r="AK518"/>
  <c r="AM518"/>
  <c r="AN518"/>
  <c r="AK519"/>
  <c r="AM519"/>
  <c r="AN519"/>
  <c r="AK520"/>
  <c r="AM520"/>
  <c r="AN520"/>
  <c r="AM521"/>
  <c r="AN521"/>
  <c r="AM522"/>
  <c r="AN522"/>
  <c r="AK523"/>
  <c r="AM523"/>
  <c r="AN523"/>
  <c r="AM524"/>
  <c r="AN524"/>
  <c r="AM525"/>
  <c r="AN525"/>
  <c r="AM526"/>
  <c r="AN526"/>
  <c r="AM527"/>
  <c r="AN527"/>
  <c r="AM528"/>
  <c r="AN528"/>
  <c r="AM529"/>
  <c r="AN529"/>
  <c r="AM530"/>
  <c r="AN530"/>
  <c r="AM531"/>
  <c r="AN531"/>
  <c r="AM532"/>
  <c r="AN532"/>
  <c r="AM533"/>
  <c r="AN533"/>
  <c r="AM534"/>
  <c r="AN534"/>
  <c r="AM535"/>
  <c r="AN535"/>
  <c r="AM536"/>
  <c r="AN536"/>
  <c r="AM537"/>
  <c r="AN537"/>
  <c r="AM538"/>
  <c r="AN538"/>
  <c r="AM539"/>
  <c r="AN539"/>
  <c r="AM540"/>
  <c r="AN540"/>
  <c r="AM541"/>
  <c r="AN541"/>
  <c r="AM542"/>
  <c r="AN542"/>
  <c r="AM543"/>
  <c r="AN543"/>
  <c r="AM544"/>
  <c r="AN544"/>
  <c r="AM545"/>
  <c r="AN545"/>
  <c r="AM546"/>
  <c r="AN546"/>
  <c r="AK547"/>
  <c r="AM547"/>
  <c r="AN547"/>
  <c r="AM548"/>
  <c r="AN548"/>
  <c r="AM549"/>
  <c r="AN549"/>
  <c r="AM550"/>
  <c r="AN550"/>
  <c r="AM551"/>
  <c r="AN551"/>
  <c r="AK554"/>
  <c r="AM554"/>
  <c r="AN554"/>
  <c r="AK555"/>
  <c r="AM555"/>
  <c r="AN555"/>
  <c r="AK556"/>
  <c r="AM556"/>
  <c r="AN556"/>
  <c r="AM558"/>
  <c r="AN558"/>
  <c r="AK559"/>
  <c r="AM559"/>
  <c r="AN559"/>
  <c r="AK560"/>
  <c r="AM560"/>
  <c r="AN560"/>
  <c r="AK561"/>
  <c r="AM561"/>
  <c r="AN561"/>
  <c r="AK562"/>
  <c r="AM562"/>
  <c r="AN562"/>
  <c r="AK563"/>
  <c r="AM563"/>
  <c r="AN563"/>
  <c r="AK879"/>
  <c r="AM879"/>
  <c r="AN879"/>
  <c r="AK564"/>
  <c r="AM564"/>
  <c r="AN564"/>
  <c r="AK565"/>
  <c r="AM565"/>
  <c r="AN565"/>
  <c r="AK566"/>
  <c r="AM566"/>
  <c r="AN566"/>
  <c r="AK567"/>
  <c r="AM567"/>
  <c r="AN567"/>
  <c r="AK880"/>
  <c r="AM880"/>
  <c r="AN880"/>
  <c r="AK568"/>
  <c r="AM568"/>
  <c r="AN568"/>
  <c r="AM569"/>
  <c r="AN569"/>
  <c r="AM570"/>
  <c r="AN570"/>
  <c r="AM571"/>
  <c r="AN571"/>
  <c r="AM572"/>
  <c r="AN572"/>
  <c r="AM573"/>
  <c r="AN573"/>
  <c r="AM574"/>
  <c r="AN574"/>
  <c r="AM575"/>
  <c r="AN575"/>
  <c r="AM576"/>
  <c r="AN576"/>
  <c r="AM577"/>
  <c r="AN577"/>
  <c r="AK578"/>
  <c r="AM578"/>
  <c r="AN578"/>
  <c r="AM579"/>
  <c r="AN579"/>
  <c r="AM580"/>
  <c r="AN580"/>
  <c r="AK581"/>
  <c r="AM581"/>
  <c r="AN581"/>
  <c r="AK881"/>
  <c r="AM881"/>
  <c r="AN881"/>
  <c r="AK582"/>
  <c r="AM582"/>
  <c r="AN582"/>
  <c r="AK883"/>
  <c r="AM883"/>
  <c r="AN883"/>
  <c r="AK882"/>
  <c r="AM882"/>
  <c r="AN882"/>
  <c r="AK583"/>
  <c r="AM583"/>
  <c r="AN583"/>
  <c r="AM585"/>
  <c r="AN585"/>
  <c r="AK588"/>
  <c r="AM588"/>
  <c r="AN588"/>
  <c r="AK589"/>
  <c r="AM589"/>
  <c r="AN589"/>
  <c r="AK590"/>
  <c r="AM590"/>
  <c r="AN590"/>
  <c r="AK591"/>
  <c r="AM591"/>
  <c r="AN591"/>
  <c r="AK592"/>
  <c r="AM592"/>
  <c r="AN592"/>
  <c r="AK594"/>
  <c r="AM594"/>
  <c r="AN594"/>
  <c r="AK595"/>
  <c r="AM595"/>
  <c r="AN595"/>
  <c r="AK596"/>
  <c r="AM596"/>
  <c r="AN596"/>
  <c r="AM597"/>
  <c r="AN597"/>
  <c r="AM598"/>
  <c r="AN598"/>
  <c r="AK599"/>
  <c r="AM599"/>
  <c r="AN599"/>
  <c r="AK621"/>
  <c r="AM621"/>
  <c r="AN621"/>
  <c r="AK651"/>
  <c r="AM651"/>
  <c r="AN651"/>
  <c r="AK652"/>
  <c r="AM652"/>
  <c r="AN652"/>
  <c r="AK653"/>
  <c r="AM653"/>
  <c r="AN653"/>
  <c r="AK654"/>
  <c r="AM654"/>
  <c r="AN654"/>
  <c r="AK655"/>
  <c r="AM655"/>
  <c r="AN655"/>
  <c r="AK656"/>
  <c r="AM656"/>
  <c r="AN656"/>
  <c r="AK657"/>
  <c r="AM657"/>
  <c r="AN657"/>
  <c r="AK658"/>
  <c r="AM658"/>
  <c r="AN658"/>
  <c r="AK659"/>
  <c r="AM659"/>
  <c r="AN659"/>
  <c r="AK660"/>
  <c r="AM660"/>
  <c r="AN660"/>
  <c r="AK661"/>
  <c r="AM661"/>
  <c r="AN661"/>
  <c r="AK665"/>
  <c r="AM665"/>
  <c r="AN665"/>
  <c r="AK666"/>
  <c r="AM666"/>
  <c r="AN666"/>
  <c r="AK667"/>
  <c r="AM667"/>
  <c r="AN667"/>
  <c r="AM670"/>
  <c r="AN670"/>
  <c r="AM672"/>
  <c r="AN672"/>
  <c r="AM673"/>
  <c r="AN673"/>
  <c r="AM674"/>
  <c r="AN674"/>
  <c r="AM675"/>
  <c r="AN675"/>
  <c r="AM676"/>
  <c r="AN676"/>
  <c r="AM677"/>
  <c r="AN677"/>
  <c r="AM678"/>
  <c r="AN678"/>
  <c r="AM679"/>
  <c r="AN679"/>
  <c r="AM680"/>
  <c r="AN680"/>
  <c r="AM682"/>
  <c r="AN682"/>
  <c r="AM683"/>
  <c r="AN683"/>
  <c r="AM684"/>
  <c r="AN684"/>
  <c r="AM685"/>
  <c r="AN685"/>
  <c r="AM687"/>
  <c r="AN687"/>
  <c r="AM688"/>
  <c r="AN688"/>
  <c r="AM689"/>
  <c r="AN689"/>
  <c r="AM690"/>
  <c r="AN690"/>
  <c r="AM691"/>
  <c r="AN691"/>
  <c r="AM693"/>
  <c r="AN693"/>
  <c r="AM694"/>
  <c r="AN694"/>
  <c r="AM695"/>
  <c r="AN695"/>
  <c r="AM696"/>
  <c r="AN696"/>
  <c r="AM697"/>
  <c r="AN697"/>
  <c r="AM698"/>
  <c r="AN698"/>
  <c r="AM699"/>
  <c r="AN699"/>
  <c r="AM700"/>
  <c r="AN700"/>
  <c r="AM701"/>
  <c r="AN701"/>
  <c r="AM702"/>
  <c r="AN702"/>
  <c r="AM703"/>
  <c r="AN703"/>
  <c r="AM704"/>
  <c r="AN704"/>
  <c r="AM705"/>
  <c r="AN705"/>
  <c r="AM706"/>
  <c r="AN706"/>
  <c r="AM707"/>
  <c r="AN707"/>
  <c r="AM708"/>
  <c r="AN708"/>
  <c r="AM709"/>
  <c r="AN709"/>
  <c r="AM710"/>
  <c r="AN710"/>
  <c r="AM711"/>
  <c r="AN711"/>
  <c r="AM713"/>
  <c r="AN713"/>
  <c r="AM714"/>
  <c r="AN714"/>
  <c r="AM715"/>
  <c r="AN715"/>
  <c r="AM716"/>
  <c r="AN716"/>
  <c r="AM717"/>
  <c r="AN717"/>
  <c r="AM718"/>
  <c r="AN718"/>
  <c r="AM719"/>
  <c r="AN719"/>
  <c r="AM720"/>
  <c r="AN720"/>
  <c r="AK722"/>
  <c r="AM722"/>
  <c r="AN722"/>
  <c r="AK723"/>
  <c r="AM723"/>
  <c r="AN723"/>
  <c r="AK724"/>
  <c r="AM724"/>
  <c r="AN724"/>
  <c r="AK725"/>
  <c r="AM725"/>
  <c r="AN725"/>
  <c r="AK726"/>
  <c r="AM726"/>
  <c r="AN726"/>
  <c r="AK727"/>
  <c r="AM727"/>
  <c r="AN727"/>
  <c r="AK728"/>
  <c r="AM728"/>
  <c r="AN728"/>
  <c r="AK729"/>
  <c r="AM729"/>
  <c r="AN729"/>
  <c r="AK730"/>
  <c r="AM730"/>
  <c r="AN730"/>
  <c r="AK731"/>
  <c r="AM731"/>
  <c r="AN731"/>
  <c r="AK732"/>
  <c r="AM732"/>
  <c r="AN732"/>
  <c r="AK733"/>
  <c r="AM733"/>
  <c r="AN733"/>
  <c r="AK734"/>
  <c r="AM734"/>
  <c r="AN734"/>
  <c r="AK735"/>
  <c r="AM735"/>
  <c r="AN735"/>
  <c r="AK736"/>
  <c r="AM736"/>
  <c r="AN736"/>
  <c r="AK737"/>
  <c r="AM737"/>
  <c r="AN737"/>
  <c r="AK738"/>
  <c r="AM738"/>
  <c r="AN738"/>
  <c r="AK739"/>
  <c r="AM739"/>
  <c r="AN739"/>
  <c r="AK740"/>
  <c r="AM740"/>
  <c r="AN740"/>
  <c r="AK744"/>
  <c r="AM744"/>
  <c r="AN744"/>
  <c r="AK746"/>
  <c r="AM746"/>
  <c r="AN746"/>
  <c r="AK748"/>
  <c r="AM748"/>
  <c r="AN748"/>
  <c r="AK749"/>
  <c r="AM749"/>
  <c r="AN749"/>
  <c r="AK750"/>
  <c r="AM750"/>
  <c r="AN750"/>
  <c r="AK751"/>
  <c r="AM751"/>
  <c r="AN751"/>
  <c r="AK752"/>
  <c r="AM752"/>
  <c r="AN752"/>
  <c r="AK753"/>
  <c r="AM753"/>
  <c r="AN753"/>
  <c r="AK754"/>
  <c r="AM754"/>
  <c r="AN754"/>
  <c r="AK755"/>
  <c r="AM755"/>
  <c r="AN755"/>
  <c r="AK756"/>
  <c r="AM756"/>
  <c r="AN756"/>
  <c r="AK757"/>
  <c r="AM757"/>
  <c r="AN757"/>
  <c r="AK758"/>
  <c r="AM758"/>
  <c r="AN758"/>
  <c r="AK762"/>
  <c r="AM762"/>
  <c r="AN762"/>
  <c r="AK763"/>
  <c r="AM763"/>
  <c r="AN763"/>
  <c r="AK768"/>
  <c r="AM768"/>
  <c r="AN768"/>
  <c r="AK769"/>
  <c r="AM769"/>
  <c r="AN769"/>
  <c r="AM770"/>
  <c r="AN770"/>
  <c r="AM772"/>
  <c r="AN772"/>
  <c r="AM773"/>
  <c r="AN773"/>
  <c r="AK774"/>
  <c r="AM774"/>
  <c r="AN774"/>
  <c r="AM775"/>
  <c r="AN775"/>
  <c r="AM776"/>
  <c r="AN776"/>
  <c r="AM777"/>
  <c r="AN777"/>
  <c r="AK782"/>
  <c r="AM782"/>
  <c r="AN782"/>
  <c r="AK783"/>
  <c r="AM783"/>
  <c r="AN783"/>
  <c r="AK784"/>
  <c r="AM784"/>
  <c r="AN784"/>
  <c r="AK785"/>
  <c r="AM785"/>
  <c r="AN785"/>
  <c r="AM786"/>
  <c r="AN786"/>
  <c r="AK787"/>
  <c r="AM787"/>
  <c r="AN787"/>
  <c r="AK788"/>
  <c r="AM788"/>
  <c r="AN788"/>
  <c r="AK791"/>
  <c r="AM791"/>
  <c r="AN791"/>
  <c r="AK792"/>
  <c r="AM792"/>
  <c r="AN792"/>
  <c r="AM793"/>
  <c r="AN793"/>
  <c r="AK797"/>
  <c r="AM797"/>
  <c r="AN797"/>
  <c r="AK798"/>
  <c r="AM798"/>
  <c r="AN798"/>
  <c r="AK799"/>
  <c r="AM799"/>
  <c r="AN799"/>
  <c r="AK802"/>
  <c r="AM802"/>
  <c r="AN802"/>
  <c r="AK803"/>
  <c r="AM803"/>
  <c r="AN803"/>
  <c r="AK804"/>
  <c r="AM804"/>
  <c r="AN804"/>
  <c r="AM805"/>
  <c r="AN805"/>
  <c r="AK806"/>
  <c r="AM806"/>
  <c r="AN806"/>
  <c r="AM809"/>
  <c r="AN809"/>
  <c r="AK811"/>
  <c r="AM811"/>
  <c r="AN811"/>
  <c r="AK812"/>
  <c r="AM812"/>
  <c r="AN812"/>
  <c r="AK813"/>
  <c r="AM813"/>
  <c r="AN813"/>
  <c r="AK814"/>
  <c r="AM814"/>
  <c r="AN814"/>
  <c r="AM815"/>
  <c r="AN815"/>
  <c r="AM816"/>
  <c r="AN816"/>
  <c r="AM817"/>
  <c r="AN817"/>
  <c r="AM818"/>
  <c r="AN818"/>
  <c r="AM819"/>
  <c r="AN819"/>
  <c r="AM820"/>
  <c r="AN820"/>
  <c r="AK821"/>
  <c r="AM821"/>
  <c r="AN821"/>
  <c r="AM822"/>
  <c r="AN822"/>
  <c r="AK823"/>
  <c r="AM823"/>
  <c r="AN823"/>
  <c r="AK824"/>
  <c r="AM824"/>
  <c r="AN824"/>
  <c r="AK825"/>
  <c r="AM825"/>
  <c r="AN825"/>
  <c r="AK826"/>
  <c r="AM826"/>
  <c r="AN826"/>
  <c r="AK827"/>
  <c r="AM827"/>
  <c r="AN827"/>
  <c r="AK828"/>
  <c r="AM828"/>
  <c r="AN828"/>
  <c r="AM829"/>
  <c r="AN829"/>
  <c r="AK831"/>
  <c r="AM831"/>
  <c r="AN831"/>
  <c r="AK833"/>
  <c r="AM833"/>
  <c r="AN833"/>
  <c r="AK834"/>
  <c r="AM834"/>
  <c r="AN834"/>
  <c r="AK838"/>
  <c r="AM838"/>
  <c r="AN838"/>
  <c r="AK839"/>
  <c r="AM839"/>
  <c r="AN839"/>
  <c r="AK840"/>
  <c r="AM840"/>
  <c r="AN840"/>
  <c r="AK841"/>
  <c r="AM841"/>
  <c r="AN841"/>
  <c r="AK842"/>
  <c r="AM842"/>
  <c r="AN842"/>
  <c r="AK843"/>
  <c r="AM843"/>
  <c r="AN843"/>
  <c r="AK844"/>
  <c r="AM844"/>
  <c r="AN844"/>
  <c r="AK845"/>
  <c r="AM845"/>
  <c r="AN845"/>
  <c r="AK846"/>
  <c r="AM846"/>
  <c r="AN846"/>
  <c r="AK849"/>
  <c r="AM849"/>
  <c r="AN849"/>
  <c r="AK850"/>
  <c r="AM850"/>
  <c r="AN850"/>
  <c r="AK851"/>
  <c r="AM851"/>
  <c r="AN851"/>
  <c r="AK852"/>
  <c r="AM852"/>
  <c r="AN852"/>
  <c r="AK853"/>
  <c r="AM853"/>
  <c r="AN853"/>
  <c r="AK854"/>
  <c r="AM854"/>
  <c r="AN854"/>
  <c r="AK855"/>
  <c r="AM855"/>
  <c r="AN855"/>
  <c r="AK858"/>
  <c r="AM858"/>
  <c r="AN858"/>
  <c r="AK859"/>
  <c r="AM859"/>
  <c r="AN859"/>
  <c r="AK860"/>
  <c r="AM860"/>
  <c r="AN860"/>
  <c r="AK861"/>
  <c r="AM861"/>
  <c r="AN861"/>
  <c r="AK862"/>
  <c r="AM862"/>
  <c r="AN862"/>
  <c r="AK863"/>
  <c r="AM863"/>
  <c r="AN863"/>
  <c r="AK864"/>
  <c r="AM864"/>
  <c r="AN864"/>
  <c r="AK865"/>
  <c r="AM865"/>
  <c r="AN865"/>
  <c r="AK866"/>
  <c r="AM866"/>
  <c r="AN866"/>
  <c r="AK867"/>
  <c r="AM867"/>
  <c r="AN867"/>
  <c r="AK868"/>
  <c r="AM868"/>
  <c r="AN868"/>
  <c r="AK869"/>
  <c r="AM869"/>
  <c r="AN869"/>
  <c r="AK870"/>
  <c r="AM870"/>
  <c r="AN870"/>
  <c r="AK871"/>
  <c r="AM871"/>
  <c r="AN871"/>
  <c r="AK872"/>
  <c r="AM872"/>
  <c r="AN872"/>
  <c r="AK873"/>
  <c r="AM873"/>
  <c r="AN873"/>
  <c r="AK874"/>
  <c r="AM874"/>
  <c r="AN874"/>
  <c r="AM875"/>
  <c r="AN875"/>
  <c r="AK887"/>
  <c r="AM887"/>
  <c r="AN887"/>
  <c r="AK888"/>
  <c r="AM888"/>
  <c r="AN888"/>
  <c r="AK889"/>
  <c r="AM889"/>
  <c r="AN889"/>
  <c r="AK890"/>
  <c r="AM890"/>
  <c r="AN890"/>
  <c r="AK891"/>
  <c r="AM891"/>
  <c r="AN891"/>
  <c r="AK892"/>
  <c r="AM892"/>
  <c r="AN892"/>
  <c r="AK893"/>
  <c r="AM893"/>
  <c r="AN893"/>
  <c r="AK894"/>
  <c r="AM894"/>
  <c r="AN894"/>
  <c r="AK895"/>
  <c r="AM895"/>
  <c r="AN895"/>
  <c r="AK899"/>
  <c r="AM899"/>
  <c r="AN899"/>
  <c r="AK900"/>
  <c r="AM900"/>
  <c r="AN900"/>
  <c r="AK901"/>
  <c r="AM901"/>
  <c r="AN901"/>
  <c r="AK902"/>
  <c r="AM902"/>
  <c r="AN902"/>
  <c r="AK903"/>
  <c r="AM903"/>
  <c r="AN903"/>
  <c r="AM905"/>
  <c r="AN905"/>
  <c r="AM906"/>
  <c r="AN906"/>
  <c r="BJ111" i="36"/>
  <c r="BG111"/>
  <c r="BE111"/>
  <c r="BB111"/>
  <c r="AZ111"/>
  <c r="AW111"/>
  <c r="AU111"/>
  <c r="AS111"/>
  <c r="BJ110"/>
  <c r="BG110"/>
  <c r="BB110"/>
  <c r="AW110"/>
  <c r="AS110"/>
  <c r="BJ109"/>
  <c r="BG109"/>
  <c r="BE109"/>
  <c r="BB109"/>
  <c r="AZ109"/>
  <c r="AW109"/>
  <c r="AU109"/>
  <c r="AS109"/>
  <c r="BJ108"/>
  <c r="BG108"/>
  <c r="BB108"/>
  <c r="AW108"/>
  <c r="AS108"/>
  <c r="BJ107"/>
  <c r="BG107"/>
  <c r="BE107"/>
  <c r="BB107"/>
  <c r="AZ107"/>
  <c r="AW107"/>
  <c r="AU107"/>
  <c r="AS107"/>
  <c r="BJ106"/>
  <c r="BG106"/>
  <c r="BB106"/>
  <c r="AW106"/>
  <c r="AS106"/>
  <c r="BJ105"/>
  <c r="BG105"/>
  <c r="BE105"/>
  <c r="BB105"/>
  <c r="AZ105"/>
  <c r="AW105"/>
  <c r="AU105"/>
  <c r="AS105"/>
  <c r="BG104"/>
  <c r="AW104"/>
  <c r="BJ103"/>
  <c r="BE103"/>
  <c r="AZ103"/>
  <c r="AU103"/>
  <c r="BJ102"/>
  <c r="BB102"/>
  <c r="AS102"/>
  <c r="BG101"/>
  <c r="BB101"/>
  <c r="AW101"/>
  <c r="AS101"/>
  <c r="BG100"/>
  <c r="AW100"/>
  <c r="BJ99"/>
  <c r="BE99"/>
  <c r="AZ99"/>
  <c r="AU99"/>
  <c r="BJ98"/>
  <c r="BB98"/>
  <c r="AS98"/>
  <c r="BG97"/>
  <c r="BB97"/>
  <c r="AW97"/>
  <c r="AS97"/>
  <c r="BG96"/>
  <c r="AW96"/>
  <c r="BJ95"/>
  <c r="BE95"/>
  <c r="AZ95"/>
  <c r="AU95"/>
  <c r="BJ94"/>
  <c r="BB94"/>
  <c r="AS94"/>
  <c r="BG93"/>
  <c r="BB93"/>
  <c r="AW93"/>
  <c r="AS93"/>
  <c r="BG92"/>
  <c r="AW92"/>
  <c r="BJ91"/>
  <c r="BE91"/>
  <c r="AZ91"/>
  <c r="AU91"/>
  <c r="BJ90"/>
  <c r="BB90"/>
  <c r="AS90"/>
  <c r="BG89"/>
  <c r="BB89"/>
  <c r="AW89"/>
  <c r="AS89"/>
  <c r="BG88"/>
  <c r="AW88"/>
  <c r="BJ87"/>
  <c r="BE87"/>
  <c r="AZ87"/>
  <c r="AU87"/>
  <c r="BJ86"/>
  <c r="BB86"/>
  <c r="AS86"/>
  <c r="BG85"/>
  <c r="BB85"/>
  <c r="AW85"/>
  <c r="AS85"/>
  <c r="BG84"/>
  <c r="AW84"/>
  <c r="BJ83"/>
  <c r="BE83"/>
  <c r="AZ83"/>
  <c r="AU83"/>
  <c r="BJ82"/>
  <c r="BB82"/>
  <c r="AS82"/>
  <c r="BG81"/>
  <c r="BB81"/>
  <c r="AW81"/>
  <c r="AS81"/>
  <c r="BG80"/>
  <c r="AW80"/>
  <c r="BJ79"/>
  <c r="BE79"/>
  <c r="AZ79"/>
  <c r="AU79"/>
  <c r="BJ78"/>
  <c r="BB78"/>
  <c r="AS78"/>
  <c r="BG77"/>
  <c r="BB77"/>
  <c r="AW77"/>
  <c r="AS77"/>
  <c r="BG76"/>
  <c r="AW76"/>
  <c r="BJ75"/>
  <c r="BE75"/>
  <c r="AZ75"/>
  <c r="AU75"/>
  <c r="BJ74"/>
  <c r="BB74"/>
  <c r="AS74"/>
  <c r="BG73"/>
  <c r="BB73"/>
  <c r="AW73"/>
  <c r="AS73"/>
  <c r="BG72"/>
  <c r="AW72"/>
  <c r="BJ71"/>
  <c r="BE71"/>
  <c r="AZ71"/>
  <c r="AU71"/>
  <c r="BJ70"/>
  <c r="BB70"/>
  <c r="AS70"/>
  <c r="BG69"/>
  <c r="BB69"/>
  <c r="AW69"/>
  <c r="AS69"/>
  <c r="BG68"/>
  <c r="AW68"/>
  <c r="AH67" i="12"/>
  <c r="BG67" i="36"/>
  <c r="BB67"/>
  <c r="AW67"/>
  <c r="AS67"/>
  <c r="AH66" i="12"/>
  <c r="BB66" i="36"/>
  <c r="AS66"/>
  <c r="M111"/>
  <c r="M110"/>
  <c r="M109"/>
  <c r="M108"/>
  <c r="M107"/>
  <c r="M106"/>
  <c r="M105"/>
  <c r="M104"/>
  <c r="M102"/>
  <c r="M100"/>
  <c r="M98"/>
  <c r="M96"/>
  <c r="M94"/>
  <c r="M90"/>
  <c r="M88"/>
  <c r="M86"/>
  <c r="M84"/>
  <c r="M82"/>
  <c r="M80"/>
  <c r="M78"/>
  <c r="M76"/>
  <c r="M74"/>
  <c r="M72"/>
  <c r="M70"/>
  <c r="AD111"/>
  <c r="AA111"/>
  <c r="Y111"/>
  <c r="V111"/>
  <c r="T111"/>
  <c r="Q111"/>
  <c r="O111"/>
  <c r="AD110"/>
  <c r="AA110"/>
  <c r="Y110"/>
  <c r="V110"/>
  <c r="T110"/>
  <c r="Q110"/>
  <c r="O110"/>
  <c r="AH105" i="12"/>
  <c r="AH107"/>
  <c r="AD109" i="36"/>
  <c r="AA109"/>
  <c r="Y109"/>
  <c r="V109"/>
  <c r="T109"/>
  <c r="Q109"/>
  <c r="O109"/>
  <c r="V104"/>
  <c r="AD103"/>
  <c r="T103"/>
  <c r="AA102"/>
  <c r="Q102"/>
  <c r="Y101"/>
  <c r="O101"/>
  <c r="V100"/>
  <c r="AD99"/>
  <c r="T99"/>
  <c r="AA98"/>
  <c r="Q98"/>
  <c r="Y97"/>
  <c r="O97"/>
  <c r="V96"/>
  <c r="AD95"/>
  <c r="T95"/>
  <c r="AA94"/>
  <c r="Q94"/>
  <c r="V91"/>
  <c r="AD90"/>
  <c r="T90"/>
  <c r="AA89"/>
  <c r="Q89"/>
  <c r="Y88"/>
  <c r="O88"/>
  <c r="V87"/>
  <c r="AD86"/>
  <c r="T86"/>
  <c r="AA85"/>
  <c r="Q85"/>
  <c r="Y84"/>
  <c r="O84"/>
  <c r="V83"/>
  <c r="AD82"/>
  <c r="T82"/>
  <c r="AA81"/>
  <c r="Q81"/>
  <c r="Y80"/>
  <c r="O80"/>
  <c r="V79"/>
  <c r="AD78"/>
  <c r="T78"/>
  <c r="AA75"/>
  <c r="Q75"/>
  <c r="Y74"/>
  <c r="O74"/>
  <c r="V73"/>
  <c r="AD72"/>
  <c r="T72"/>
  <c r="AA71"/>
  <c r="Q71"/>
  <c r="Y70"/>
  <c r="O70"/>
  <c r="V69"/>
  <c r="AD76"/>
  <c r="T76"/>
  <c r="AA77"/>
  <c r="Q77"/>
  <c r="AH110" i="12"/>
  <c r="AH104"/>
  <c r="AH102"/>
  <c r="AH100"/>
  <c r="AH98"/>
  <c r="AH96"/>
  <c r="AH94"/>
  <c r="AH92"/>
  <c r="AH90"/>
  <c r="AH88"/>
  <c r="AH86"/>
  <c r="AH84"/>
  <c r="AH82"/>
  <c r="AH80"/>
  <c r="AH78"/>
  <c r="AH76"/>
  <c r="AH74"/>
  <c r="AH72"/>
  <c r="AH70"/>
  <c r="AH68"/>
  <c r="AD110"/>
  <c r="AD104"/>
  <c r="AD102"/>
  <c r="AD100"/>
  <c r="AD98"/>
  <c r="AD96"/>
  <c r="AD94"/>
  <c r="AD90"/>
  <c r="AD88"/>
  <c r="AD86"/>
  <c r="AD84"/>
  <c r="AD82"/>
  <c r="AD80"/>
  <c r="AD76"/>
  <c r="AD74"/>
  <c r="AD72"/>
  <c r="AD70"/>
  <c r="CQ421"/>
  <c r="E6" i="6"/>
  <c r="B176" i="12"/>
  <c r="G25" i="33"/>
  <c r="D27"/>
  <c r="D26"/>
  <c r="M15" i="12"/>
  <c r="M12"/>
  <c r="M11"/>
  <c r="M10"/>
  <c r="M9"/>
  <c r="M8"/>
  <c r="M7"/>
  <c r="M6"/>
  <c r="M5"/>
  <c r="M4"/>
  <c r="Z51" i="36"/>
  <c r="Q51"/>
  <c r="A51"/>
  <c r="I207" i="12"/>
  <c r="Y499" i="20"/>
  <c r="Y500"/>
  <c r="Y501" s="1"/>
  <c r="Y502" s="1"/>
  <c r="Y503" s="1"/>
  <c r="Y504" s="1"/>
  <c r="Y505" s="1"/>
  <c r="Y506" s="1"/>
  <c r="Y507" s="1"/>
  <c r="Y508" s="1"/>
  <c r="Y509" s="1"/>
  <c r="Y510" s="1"/>
  <c r="Y511" s="1"/>
  <c r="Y512" s="1"/>
  <c r="Y513" s="1"/>
  <c r="Y514" s="1"/>
  <c r="Y515" s="1"/>
  <c r="Y516" s="1"/>
  <c r="Y517" s="1"/>
  <c r="Y518" s="1"/>
  <c r="Y519" s="1"/>
  <c r="Y520" s="1"/>
  <c r="Y521" s="1"/>
  <c r="Y522" s="1"/>
  <c r="Y523" s="1"/>
  <c r="Y524" s="1"/>
  <c r="Y525" s="1"/>
  <c r="Y526" s="1"/>
  <c r="Y527" s="1"/>
  <c r="Y528" s="1"/>
  <c r="Y529" s="1"/>
  <c r="Y530" s="1"/>
  <c r="Y531" s="1"/>
  <c r="Y532" s="1"/>
  <c r="Y533" s="1"/>
  <c r="Y534" s="1"/>
  <c r="Y535" s="1"/>
  <c r="Y536" s="1"/>
  <c r="Y537" s="1"/>
  <c r="Y538" s="1"/>
  <c r="Y539" s="1"/>
  <c r="Y540" s="1"/>
  <c r="Y541" s="1"/>
  <c r="Y542" s="1"/>
  <c r="Y543" s="1"/>
  <c r="Y544" s="1"/>
  <c r="Y545" s="1"/>
  <c r="Y546" s="1"/>
  <c r="Y547" s="1"/>
  <c r="Y548" s="1"/>
  <c r="Y549" s="1"/>
  <c r="Y550" s="1"/>
  <c r="Y551" s="1"/>
  <c r="Y552" s="1"/>
  <c r="Y553" s="1"/>
  <c r="Y554" s="1"/>
  <c r="Y555" s="1"/>
  <c r="Y556" s="1"/>
  <c r="Y557" s="1"/>
  <c r="Y558" s="1"/>
  <c r="Y559" s="1"/>
  <c r="Y560" s="1"/>
  <c r="Y561" s="1"/>
  <c r="Y562" s="1"/>
  <c r="Y563" s="1"/>
  <c r="Y564" s="1"/>
  <c r="Y565" s="1"/>
  <c r="Y566" s="1"/>
  <c r="Y567" s="1"/>
  <c r="Y568" s="1"/>
  <c r="Y569" s="1"/>
  <c r="Y570" s="1"/>
  <c r="Y571" s="1"/>
  <c r="Y572" s="1"/>
  <c r="Y573" s="1"/>
  <c r="Y574" s="1"/>
  <c r="Y575" s="1"/>
  <c r="Y576" s="1"/>
  <c r="Y577" s="1"/>
  <c r="Y578" s="1"/>
  <c r="Y579" s="1"/>
  <c r="Y580" s="1"/>
  <c r="Y581" s="1"/>
  <c r="Y582" s="1"/>
  <c r="Y583" s="1"/>
  <c r="Y584" s="1"/>
  <c r="Y585" s="1"/>
  <c r="Y586" s="1"/>
  <c r="Y587" s="1"/>
  <c r="Y588" s="1"/>
  <c r="Y589" s="1"/>
  <c r="Y590" s="1"/>
  <c r="Y591" s="1"/>
  <c r="Y592" s="1"/>
  <c r="Y593" s="1"/>
  <c r="Y594" s="1"/>
  <c r="Y595" s="1"/>
  <c r="Y596" s="1"/>
  <c r="Y597" s="1"/>
  <c r="Y598" s="1"/>
  <c r="Y599" s="1"/>
  <c r="Y600" s="1"/>
  <c r="Y601" s="1"/>
  <c r="Y602" s="1"/>
  <c r="Y603" s="1"/>
  <c r="Y604" s="1"/>
  <c r="Y605" s="1"/>
  <c r="Y606" s="1"/>
  <c r="Y607" s="1"/>
  <c r="Y608" s="1"/>
  <c r="Y609" s="1"/>
  <c r="Y610" s="1"/>
  <c r="Y611" s="1"/>
  <c r="Y612" s="1"/>
  <c r="Y613" s="1"/>
  <c r="Y614" s="1"/>
  <c r="Y615" s="1"/>
  <c r="X499"/>
  <c r="X500" s="1"/>
  <c r="X501" s="1"/>
  <c r="X502" s="1"/>
  <c r="X503" s="1"/>
  <c r="X504" s="1"/>
  <c r="X505" s="1"/>
  <c r="X506" s="1"/>
  <c r="X507" s="1"/>
  <c r="X508" s="1"/>
  <c r="X509" s="1"/>
  <c r="X510" s="1"/>
  <c r="X511" s="1"/>
  <c r="X512" s="1"/>
  <c r="X513" s="1"/>
  <c r="X514" s="1"/>
  <c r="X515" s="1"/>
  <c r="X516" s="1"/>
  <c r="X517" s="1"/>
  <c r="X518" s="1"/>
  <c r="X519" s="1"/>
  <c r="X520" s="1"/>
  <c r="X521" s="1"/>
  <c r="X522" s="1"/>
  <c r="X523" s="1"/>
  <c r="X524" s="1"/>
  <c r="X525" s="1"/>
  <c r="X526" s="1"/>
  <c r="X527" s="1"/>
  <c r="X528" s="1"/>
  <c r="X529" s="1"/>
  <c r="X530" s="1"/>
  <c r="X531" s="1"/>
  <c r="X532" s="1"/>
  <c r="X533" s="1"/>
  <c r="X534" s="1"/>
  <c r="X535" s="1"/>
  <c r="X536" s="1"/>
  <c r="X537" s="1"/>
  <c r="X538" s="1"/>
  <c r="X539" s="1"/>
  <c r="X540" s="1"/>
  <c r="X541" s="1"/>
  <c r="X542" s="1"/>
  <c r="X543" s="1"/>
  <c r="X544" s="1"/>
  <c r="X545" s="1"/>
  <c r="X546" s="1"/>
  <c r="X547" s="1"/>
  <c r="X548" s="1"/>
  <c r="X549" s="1"/>
  <c r="X550" s="1"/>
  <c r="X551" s="1"/>
  <c r="X552" s="1"/>
  <c r="X553" s="1"/>
  <c r="X554" s="1"/>
  <c r="X555" s="1"/>
  <c r="X556" s="1"/>
  <c r="X557" s="1"/>
  <c r="X558" s="1"/>
  <c r="X559" s="1"/>
  <c r="X560" s="1"/>
  <c r="X561" s="1"/>
  <c r="X562" s="1"/>
  <c r="X563" s="1"/>
  <c r="X564" s="1"/>
  <c r="X565" s="1"/>
  <c r="X566" s="1"/>
  <c r="X567" s="1"/>
  <c r="X568" s="1"/>
  <c r="X569" s="1"/>
  <c r="X570" s="1"/>
  <c r="X571" s="1"/>
  <c r="X572" s="1"/>
  <c r="X573" s="1"/>
  <c r="X574" s="1"/>
  <c r="X575" s="1"/>
  <c r="X576" s="1"/>
  <c r="X577" s="1"/>
  <c r="X578" s="1"/>
  <c r="X579" s="1"/>
  <c r="X580" s="1"/>
  <c r="X581" s="1"/>
  <c r="X582" s="1"/>
  <c r="X583" s="1"/>
  <c r="X584" s="1"/>
  <c r="X585" s="1"/>
  <c r="X586" s="1"/>
  <c r="X587" s="1"/>
  <c r="X588" s="1"/>
  <c r="X589" s="1"/>
  <c r="X590" s="1"/>
  <c r="X591" s="1"/>
  <c r="X592" s="1"/>
  <c r="X593" s="1"/>
  <c r="X594" s="1"/>
  <c r="X595" s="1"/>
  <c r="X596" s="1"/>
  <c r="X597" s="1"/>
  <c r="X598" s="1"/>
  <c r="X599" s="1"/>
  <c r="X600" s="1"/>
  <c r="X601" s="1"/>
  <c r="X602" s="1"/>
  <c r="X603" s="1"/>
  <c r="X604" s="1"/>
  <c r="X605" s="1"/>
  <c r="X606" s="1"/>
  <c r="X607" s="1"/>
  <c r="X608" s="1"/>
  <c r="X609" s="1"/>
  <c r="X610" s="1"/>
  <c r="X611" s="1"/>
  <c r="X612" s="1"/>
  <c r="X613" s="1"/>
  <c r="X614" s="1"/>
  <c r="X615" s="1"/>
  <c r="Z1054" i="32"/>
  <c r="Z1053"/>
  <c r="Z1052"/>
  <c r="Z1051"/>
  <c r="Z1050"/>
  <c r="Z1049"/>
  <c r="Z1048"/>
  <c r="Z1047"/>
  <c r="Z1046"/>
  <c r="Z1045"/>
  <c r="Z1044"/>
  <c r="Z1043"/>
  <c r="Z1042"/>
  <c r="Z1041"/>
  <c r="Z1040"/>
  <c r="Z1039"/>
  <c r="Z1038"/>
  <c r="Z1037"/>
  <c r="Z1036"/>
  <c r="Z1035"/>
  <c r="Z1034"/>
  <c r="Z1033"/>
  <c r="Z1032"/>
  <c r="Z1031"/>
  <c r="Z1030"/>
  <c r="Z1029"/>
  <c r="Z1028"/>
  <c r="Z1027"/>
  <c r="Z1026"/>
  <c r="Z1025"/>
  <c r="Z1024"/>
  <c r="Z1023"/>
  <c r="Z1022"/>
  <c r="Z1021"/>
  <c r="Z1020"/>
  <c r="Z1019"/>
  <c r="Z1018"/>
  <c r="Z1017"/>
  <c r="Z1016"/>
  <c r="Z1015"/>
  <c r="Z1014"/>
  <c r="Z1013"/>
  <c r="Z1012"/>
  <c r="Z1011"/>
  <c r="Z1010"/>
  <c r="Z1009"/>
  <c r="Z1008"/>
  <c r="Z1007"/>
  <c r="Z1006"/>
  <c r="Z1005"/>
  <c r="Z1004"/>
  <c r="Z1003"/>
  <c r="Z1002"/>
  <c r="Z1001"/>
  <c r="Z1000"/>
  <c r="Z999"/>
  <c r="Z998"/>
  <c r="Z997"/>
  <c r="Z996"/>
  <c r="Z995"/>
  <c r="Z994"/>
  <c r="Z993"/>
  <c r="Z992"/>
  <c r="Z991"/>
  <c r="Z990"/>
  <c r="Z989"/>
  <c r="Z988"/>
  <c r="Z987"/>
  <c r="AA987" s="1"/>
  <c r="Z986"/>
  <c r="AA986" s="1"/>
  <c r="Z985"/>
  <c r="Z984"/>
  <c r="Z983"/>
  <c r="Z982"/>
  <c r="Z981"/>
  <c r="Z980"/>
  <c r="Z979"/>
  <c r="Z978"/>
  <c r="Z977"/>
  <c r="Z976"/>
  <c r="Z975"/>
  <c r="Z974"/>
  <c r="Z973"/>
  <c r="Z972"/>
  <c r="Z971"/>
  <c r="Z970"/>
  <c r="Z969"/>
  <c r="Z968"/>
  <c r="Z967"/>
  <c r="Z966"/>
  <c r="Z965"/>
  <c r="Z964"/>
  <c r="Z963"/>
  <c r="Z962"/>
  <c r="Z961"/>
  <c r="Z960"/>
  <c r="Z959"/>
  <c r="Z958"/>
  <c r="Z957"/>
  <c r="Z956"/>
  <c r="Z955"/>
  <c r="Z954"/>
  <c r="Z953"/>
  <c r="Z952"/>
  <c r="Z951"/>
  <c r="Z950"/>
  <c r="Z949"/>
  <c r="Z948"/>
  <c r="Z947"/>
  <c r="Z946"/>
  <c r="Z945"/>
  <c r="AA945" s="1"/>
  <c r="Z944"/>
  <c r="AA944" s="1"/>
  <c r="Z943"/>
  <c r="Z942"/>
  <c r="Z941"/>
  <c r="Z940"/>
  <c r="Z939"/>
  <c r="Z938"/>
  <c r="Z937"/>
  <c r="Z936"/>
  <c r="Z935"/>
  <c r="Z934"/>
  <c r="Z933"/>
  <c r="Z932"/>
  <c r="Z931"/>
  <c r="Z930"/>
  <c r="Z929"/>
  <c r="Z928"/>
  <c r="Z927"/>
  <c r="Z926"/>
  <c r="Z925"/>
  <c r="Z924"/>
  <c r="Z923"/>
  <c r="Z922"/>
  <c r="Z921"/>
  <c r="Z920"/>
  <c r="Z919"/>
  <c r="Z918"/>
  <c r="Z917"/>
  <c r="Z916"/>
  <c r="Z915"/>
  <c r="Z914"/>
  <c r="Z913"/>
  <c r="Z912"/>
  <c r="Z911"/>
  <c r="Z910"/>
  <c r="Z909"/>
  <c r="Z908"/>
  <c r="Z907"/>
  <c r="Z906"/>
  <c r="Z905"/>
  <c r="Z904"/>
  <c r="Z903"/>
  <c r="Z902"/>
  <c r="Z901"/>
  <c r="Z900"/>
  <c r="Z899"/>
  <c r="Z898"/>
  <c r="Z897"/>
  <c r="Z896"/>
  <c r="Z895"/>
  <c r="Z894"/>
  <c r="Z893"/>
  <c r="Z892"/>
  <c r="Z891"/>
  <c r="Z890"/>
  <c r="Z889"/>
  <c r="Z888"/>
  <c r="Z887"/>
  <c r="Z886"/>
  <c r="Z885"/>
  <c r="Z884"/>
  <c r="Z883"/>
  <c r="Z882"/>
  <c r="Z881"/>
  <c r="Z880"/>
  <c r="Z879"/>
  <c r="Z878"/>
  <c r="Z877"/>
  <c r="Z876"/>
  <c r="Z875"/>
  <c r="Z874"/>
  <c r="Z873"/>
  <c r="Z872"/>
  <c r="Z871"/>
  <c r="Z870"/>
  <c r="Z869"/>
  <c r="Z868"/>
  <c r="Z867"/>
  <c r="Z866"/>
  <c r="Z865"/>
  <c r="Z864"/>
  <c r="Z863"/>
  <c r="Z862"/>
  <c r="Z861"/>
  <c r="Z860"/>
  <c r="Z859"/>
  <c r="Z858"/>
  <c r="Z857"/>
  <c r="Z856"/>
  <c r="Z855"/>
  <c r="Z854"/>
  <c r="Z853"/>
  <c r="Z852"/>
  <c r="Z851"/>
  <c r="AA851" s="1"/>
  <c r="Z850"/>
  <c r="AA850" s="1"/>
  <c r="Z849"/>
  <c r="Z848"/>
  <c r="Z847"/>
  <c r="Z846"/>
  <c r="Z845"/>
  <c r="Z844"/>
  <c r="Z843"/>
  <c r="Z842"/>
  <c r="Z841"/>
  <c r="Z840"/>
  <c r="Z839"/>
  <c r="Z838"/>
  <c r="Z837"/>
  <c r="Z836"/>
  <c r="Z835"/>
  <c r="Z834"/>
  <c r="Z833"/>
  <c r="Z832"/>
  <c r="Z831"/>
  <c r="Z830"/>
  <c r="Z829"/>
  <c r="Z828"/>
  <c r="Z827"/>
  <c r="Z826"/>
  <c r="Z825"/>
  <c r="Z824"/>
  <c r="Z823"/>
  <c r="Z822"/>
  <c r="Z821"/>
  <c r="Z820"/>
  <c r="Z819"/>
  <c r="Z818"/>
  <c r="Z817"/>
  <c r="Z816"/>
  <c r="Z815"/>
  <c r="Z814"/>
  <c r="Z813"/>
  <c r="Z812"/>
  <c r="Z811"/>
  <c r="Z810"/>
  <c r="Z809"/>
  <c r="Z808"/>
  <c r="Z807"/>
  <c r="Z806"/>
  <c r="Z805"/>
  <c r="Z804"/>
  <c r="Z803"/>
  <c r="Z802"/>
  <c r="Z801"/>
  <c r="Z800"/>
  <c r="Z799"/>
  <c r="Z798"/>
  <c r="Z797"/>
  <c r="Z796"/>
  <c r="Z795"/>
  <c r="Z794"/>
  <c r="Z793"/>
  <c r="Z792"/>
  <c r="Z791"/>
  <c r="Z790"/>
  <c r="Z789"/>
  <c r="AA789" s="1"/>
  <c r="Z788"/>
  <c r="Z787"/>
  <c r="Z786"/>
  <c r="Z785"/>
  <c r="Z784"/>
  <c r="Z783"/>
  <c r="Z782"/>
  <c r="Z781"/>
  <c r="Z780"/>
  <c r="Z779"/>
  <c r="Z778"/>
  <c r="Z777"/>
  <c r="Z776"/>
  <c r="Z775"/>
  <c r="Z774"/>
  <c r="Z773"/>
  <c r="Z772"/>
  <c r="Z771"/>
  <c r="Z770"/>
  <c r="Z769"/>
  <c r="Z768"/>
  <c r="Z767"/>
  <c r="Z766"/>
  <c r="Z765"/>
  <c r="Z764"/>
  <c r="Z763"/>
  <c r="Z762"/>
  <c r="Z761"/>
  <c r="Z760"/>
  <c r="Z759"/>
  <c r="Z758"/>
  <c r="Z757"/>
  <c r="Z756"/>
  <c r="Z755"/>
  <c r="Z754"/>
  <c r="Z753"/>
  <c r="Z752"/>
  <c r="Z751"/>
  <c r="Z750"/>
  <c r="Z749"/>
  <c r="Z748"/>
  <c r="Z747"/>
  <c r="Z746"/>
  <c r="Z745"/>
  <c r="Z744"/>
  <c r="Z743"/>
  <c r="Z742"/>
  <c r="Z741"/>
  <c r="Z740"/>
  <c r="Z739"/>
  <c r="Z738"/>
  <c r="Z737"/>
  <c r="Z736"/>
  <c r="Z735"/>
  <c r="Z734"/>
  <c r="Z733"/>
  <c r="Z732"/>
  <c r="Z731"/>
  <c r="Z730"/>
  <c r="Z729"/>
  <c r="Z728"/>
  <c r="Z727"/>
  <c r="Z726"/>
  <c r="Z725"/>
  <c r="Z724"/>
  <c r="Z723"/>
  <c r="Z722"/>
  <c r="Z721"/>
  <c r="Z720"/>
  <c r="Z719"/>
  <c r="Z718"/>
  <c r="Z717"/>
  <c r="Z716"/>
  <c r="Z715"/>
  <c r="Z714"/>
  <c r="Z713"/>
  <c r="Z712"/>
  <c r="Z711"/>
  <c r="Z710"/>
  <c r="Z709"/>
  <c r="Z708"/>
  <c r="Z707"/>
  <c r="Z706"/>
  <c r="Z705"/>
  <c r="Z704"/>
  <c r="Z703"/>
  <c r="Z702"/>
  <c r="Z701"/>
  <c r="Z700"/>
  <c r="Z699"/>
  <c r="AA699" s="1"/>
  <c r="Z698"/>
  <c r="Z697"/>
  <c r="Z696"/>
  <c r="Z695"/>
  <c r="Z694"/>
  <c r="Z693"/>
  <c r="Z692"/>
  <c r="Z691"/>
  <c r="Z690"/>
  <c r="Z689"/>
  <c r="Z688"/>
  <c r="Z687"/>
  <c r="Z686"/>
  <c r="Z685"/>
  <c r="Z684"/>
  <c r="Z683"/>
  <c r="Z682"/>
  <c r="Z681"/>
  <c r="Z680"/>
  <c r="Z679"/>
  <c r="Z678"/>
  <c r="Z677"/>
  <c r="Z676"/>
  <c r="Z675"/>
  <c r="Z674"/>
  <c r="Z673"/>
  <c r="Z672"/>
  <c r="Z671"/>
  <c r="Z670"/>
  <c r="Z669"/>
  <c r="Z668"/>
  <c r="Z667"/>
  <c r="Z666"/>
  <c r="Z665"/>
  <c r="Z664"/>
  <c r="Z663"/>
  <c r="Z662"/>
  <c r="Z661"/>
  <c r="Z660"/>
  <c r="Z659"/>
  <c r="Z658"/>
  <c r="Z657"/>
  <c r="Z656"/>
  <c r="Z655"/>
  <c r="Z654"/>
  <c r="Z653"/>
  <c r="Z652"/>
  <c r="Z651"/>
  <c r="Z650"/>
  <c r="Z649"/>
  <c r="Z648"/>
  <c r="Z647"/>
  <c r="Z646"/>
  <c r="Z645"/>
  <c r="Z644"/>
  <c r="Z643"/>
  <c r="Z642"/>
  <c r="Z641"/>
  <c r="Z640"/>
  <c r="Z639"/>
  <c r="Z638"/>
  <c r="Z637"/>
  <c r="Z636"/>
  <c r="Z635"/>
  <c r="Z634"/>
  <c r="Z633"/>
  <c r="Z632"/>
  <c r="Z631"/>
  <c r="Z630"/>
  <c r="Z629"/>
  <c r="Z628"/>
  <c r="Z627"/>
  <c r="Z626"/>
  <c r="Z625"/>
  <c r="Z624"/>
  <c r="Z623"/>
  <c r="Z622"/>
  <c r="Z621"/>
  <c r="Z620"/>
  <c r="Z619"/>
  <c r="Z618"/>
  <c r="Z617"/>
  <c r="Z616"/>
  <c r="Z615"/>
  <c r="Z614"/>
  <c r="Z613"/>
  <c r="Z612"/>
  <c r="Z611"/>
  <c r="Z610"/>
  <c r="Z609"/>
  <c r="AA609" s="1"/>
  <c r="Z608"/>
  <c r="AA608" s="1"/>
  <c r="Z607"/>
  <c r="Z606"/>
  <c r="Z605"/>
  <c r="Z604"/>
  <c r="Z603"/>
  <c r="Z602"/>
  <c r="Z601"/>
  <c r="Z600"/>
  <c r="Z599"/>
  <c r="Z598"/>
  <c r="Z597"/>
  <c r="Z596"/>
  <c r="Z595"/>
  <c r="Z594"/>
  <c r="Z593"/>
  <c r="Z592"/>
  <c r="Z591"/>
  <c r="Z590"/>
  <c r="Z589"/>
  <c r="Z588"/>
  <c r="Z587"/>
  <c r="Z586"/>
  <c r="Z585"/>
  <c r="Z584"/>
  <c r="Z583"/>
  <c r="Z582"/>
  <c r="Z581"/>
  <c r="Z580"/>
  <c r="Z579"/>
  <c r="Z578"/>
  <c r="Z577"/>
  <c r="Z576"/>
  <c r="Z575"/>
  <c r="Z574"/>
  <c r="Z573"/>
  <c r="Z572"/>
  <c r="Z571"/>
  <c r="Z570"/>
  <c r="Z569"/>
  <c r="Z568"/>
  <c r="Z567"/>
  <c r="Z566"/>
  <c r="Z565"/>
  <c r="Z564"/>
  <c r="Z563"/>
  <c r="Z562"/>
  <c r="Z561"/>
  <c r="Z560"/>
  <c r="Z559"/>
  <c r="Z558"/>
  <c r="Z557"/>
  <c r="Z556"/>
  <c r="Z555"/>
  <c r="Z554"/>
  <c r="Z553"/>
  <c r="Z552"/>
  <c r="Z551"/>
  <c r="Z550"/>
  <c r="Z549"/>
  <c r="Z548"/>
  <c r="Z547"/>
  <c r="Z546"/>
  <c r="Z545"/>
  <c r="Z544"/>
  <c r="Z543"/>
  <c r="Z542"/>
  <c r="Z541"/>
  <c r="Z540"/>
  <c r="Z539"/>
  <c r="Z538"/>
  <c r="Z537"/>
  <c r="Z536"/>
  <c r="Z535"/>
  <c r="Z534"/>
  <c r="Z533"/>
  <c r="Z532"/>
  <c r="Z531"/>
  <c r="Z530"/>
  <c r="Z529"/>
  <c r="Z528"/>
  <c r="Z527"/>
  <c r="Z526"/>
  <c r="Z525"/>
  <c r="Z524"/>
  <c r="Z523"/>
  <c r="Z522"/>
  <c r="Z521"/>
  <c r="Z520"/>
  <c r="Z519"/>
  <c r="Z518"/>
  <c r="Z517"/>
  <c r="AA517" s="1"/>
  <c r="Z516"/>
  <c r="AA516" s="1"/>
  <c r="Z515"/>
  <c r="Z514"/>
  <c r="Z513"/>
  <c r="Z512"/>
  <c r="Z511"/>
  <c r="Z510"/>
  <c r="Z509"/>
  <c r="Z508"/>
  <c r="Z507"/>
  <c r="Z506"/>
  <c r="Z505"/>
  <c r="Z504"/>
  <c r="Z503"/>
  <c r="Z502"/>
  <c r="Z501"/>
  <c r="Z500"/>
  <c r="Z499"/>
  <c r="Z498"/>
  <c r="Z497"/>
  <c r="Z496"/>
  <c r="Z495"/>
  <c r="Z494"/>
  <c r="Z493"/>
  <c r="Z492"/>
  <c r="Z491"/>
  <c r="Z490"/>
  <c r="Z489"/>
  <c r="Z488"/>
  <c r="Z487"/>
  <c r="Z486"/>
  <c r="Z485"/>
  <c r="Z484"/>
  <c r="Z483"/>
  <c r="Z482"/>
  <c r="Z481"/>
  <c r="Z480"/>
  <c r="Z479"/>
  <c r="Z478"/>
  <c r="Z477"/>
  <c r="Z476"/>
  <c r="Z475"/>
  <c r="Z474"/>
  <c r="Z473"/>
  <c r="Z472"/>
  <c r="Z471"/>
  <c r="Z470"/>
  <c r="Z469"/>
  <c r="Z468"/>
  <c r="Z467"/>
  <c r="Z466"/>
  <c r="Z465"/>
  <c r="Z464"/>
  <c r="Z463"/>
  <c r="Z462"/>
  <c r="Z461"/>
  <c r="Z460"/>
  <c r="Z459"/>
  <c r="Z458"/>
  <c r="Z457"/>
  <c r="Z456"/>
  <c r="Z455"/>
  <c r="Z454"/>
  <c r="Z453"/>
  <c r="Z452"/>
  <c r="Z451"/>
  <c r="Z450"/>
  <c r="Z449"/>
  <c r="Z448"/>
  <c r="Z447"/>
  <c r="Z446"/>
  <c r="Z445"/>
  <c r="Z444"/>
  <c r="Z443"/>
  <c r="Z442"/>
  <c r="Z441"/>
  <c r="Z440"/>
  <c r="Z439"/>
  <c r="Z438"/>
  <c r="Z437"/>
  <c r="Z436"/>
  <c r="Z435"/>
  <c r="Z434"/>
  <c r="Z433"/>
  <c r="Z432"/>
  <c r="Z431"/>
  <c r="Z430"/>
  <c r="Z429"/>
  <c r="Z428"/>
  <c r="Z427"/>
  <c r="Z426"/>
  <c r="Z425"/>
  <c r="Z424"/>
  <c r="Z423"/>
  <c r="Z422"/>
  <c r="Z421"/>
  <c r="Z420"/>
  <c r="Z419"/>
  <c r="Z418"/>
  <c r="Z417"/>
  <c r="Z416"/>
  <c r="Z415"/>
  <c r="Z414"/>
  <c r="Z413"/>
  <c r="Z412"/>
  <c r="Z411"/>
  <c r="Z410"/>
  <c r="Z409"/>
  <c r="Z408"/>
  <c r="Z407"/>
  <c r="AA407" s="1"/>
  <c r="Z406"/>
  <c r="AA406" s="1"/>
  <c r="Z405"/>
  <c r="Z404"/>
  <c r="Z403"/>
  <c r="Z402"/>
  <c r="Z401"/>
  <c r="Z400"/>
  <c r="Z399"/>
  <c r="Z398"/>
  <c r="Z397"/>
  <c r="Z396"/>
  <c r="Z395"/>
  <c r="Z394"/>
  <c r="Z393"/>
  <c r="Z392"/>
  <c r="Z391"/>
  <c r="Z390"/>
  <c r="Z389"/>
  <c r="Z388"/>
  <c r="Z387"/>
  <c r="Z386"/>
  <c r="Z385"/>
  <c r="Z384"/>
  <c r="Z383"/>
  <c r="Z382"/>
  <c r="Z381"/>
  <c r="Z380"/>
  <c r="Z379"/>
  <c r="Z378"/>
  <c r="Z377"/>
  <c r="Z376"/>
  <c r="Z375"/>
  <c r="Z374"/>
  <c r="Z373"/>
  <c r="Z372"/>
  <c r="Z371"/>
  <c r="Z370"/>
  <c r="Z369"/>
  <c r="Z368"/>
  <c r="Z367"/>
  <c r="Z366"/>
  <c r="Z365"/>
  <c r="Z364"/>
  <c r="Z363"/>
  <c r="Z362"/>
  <c r="Z361"/>
  <c r="Z360"/>
  <c r="Z359"/>
  <c r="Z358"/>
  <c r="Z357"/>
  <c r="Z356"/>
  <c r="Z355"/>
  <c r="Z354"/>
  <c r="Z353"/>
  <c r="Z352"/>
  <c r="Z351"/>
  <c r="Z350"/>
  <c r="Z349"/>
  <c r="Z348"/>
  <c r="Z347"/>
  <c r="Z346"/>
  <c r="Z345"/>
  <c r="Z344"/>
  <c r="Z343"/>
  <c r="Z342"/>
  <c r="Z341"/>
  <c r="Z340"/>
  <c r="Z339"/>
  <c r="Z338"/>
  <c r="Z337"/>
  <c r="Z336"/>
  <c r="Z335"/>
  <c r="Z334"/>
  <c r="Z333"/>
  <c r="Z332"/>
  <c r="Z331"/>
  <c r="Z330"/>
  <c r="Z329"/>
  <c r="Z328"/>
  <c r="Z327"/>
  <c r="Z326"/>
  <c r="Z325"/>
  <c r="Z324"/>
  <c r="Z323"/>
  <c r="Z322"/>
  <c r="Z321"/>
  <c r="Z320"/>
  <c r="Z319"/>
  <c r="Z318"/>
  <c r="Z317"/>
  <c r="Z316"/>
  <c r="Z315"/>
  <c r="Z314"/>
  <c r="Z313"/>
  <c r="Z312"/>
  <c r="Z311"/>
  <c r="Z310"/>
  <c r="Z309"/>
  <c r="Z308"/>
  <c r="Z307"/>
  <c r="Z306"/>
  <c r="Z305"/>
  <c r="Z304"/>
  <c r="Z303"/>
  <c r="Z302"/>
  <c r="Z301"/>
  <c r="Z300"/>
  <c r="Z299"/>
  <c r="Z298"/>
  <c r="Z297"/>
  <c r="Z296"/>
  <c r="Z295"/>
  <c r="Z294"/>
  <c r="Z293"/>
  <c r="Z292"/>
  <c r="Z291"/>
  <c r="Z290"/>
  <c r="Z289"/>
  <c r="Z288"/>
  <c r="Z287"/>
  <c r="Z286"/>
  <c r="Z285"/>
  <c r="Z284"/>
  <c r="Z283"/>
  <c r="Z282"/>
  <c r="Z281"/>
  <c r="Z280"/>
  <c r="Z279"/>
  <c r="Z278"/>
  <c r="Z277"/>
  <c r="Z276"/>
  <c r="Z275"/>
  <c r="Z274"/>
  <c r="Z273"/>
  <c r="Z272"/>
  <c r="Z271"/>
  <c r="Z270"/>
  <c r="Z269"/>
  <c r="Z268"/>
  <c r="Z267"/>
  <c r="Z266"/>
  <c r="Z265"/>
  <c r="Z264"/>
  <c r="Z263"/>
  <c r="Z262"/>
  <c r="Z261"/>
  <c r="Z260"/>
  <c r="Z259"/>
  <c r="Z258"/>
  <c r="Z257"/>
  <c r="Z256"/>
  <c r="Z255"/>
  <c r="Z254"/>
  <c r="Z253"/>
  <c r="Z252"/>
  <c r="Z251"/>
  <c r="Z250"/>
  <c r="Z249"/>
  <c r="Z248"/>
  <c r="Z247"/>
  <c r="Z246"/>
  <c r="Z245"/>
  <c r="Z244"/>
  <c r="Z243"/>
  <c r="Z242"/>
  <c r="Z241"/>
  <c r="Z240"/>
  <c r="Z239"/>
  <c r="Z238"/>
  <c r="Z237"/>
  <c r="Z236"/>
  <c r="Z235"/>
  <c r="Z234"/>
  <c r="Z233"/>
  <c r="Z232"/>
  <c r="Z231"/>
  <c r="Z230"/>
  <c r="Z229"/>
  <c r="Z228"/>
  <c r="Z227"/>
  <c r="Z226"/>
  <c r="Z225"/>
  <c r="Z224"/>
  <c r="Z223"/>
  <c r="Z222"/>
  <c r="Z221"/>
  <c r="Z220"/>
  <c r="Z219"/>
  <c r="Z218"/>
  <c r="Z217"/>
  <c r="Z216"/>
  <c r="Z215"/>
  <c r="Z214"/>
  <c r="Z213"/>
  <c r="Z212"/>
  <c r="Z211"/>
  <c r="Z210"/>
  <c r="Z209"/>
  <c r="Z208"/>
  <c r="Z207"/>
  <c r="Z206"/>
  <c r="Z205"/>
  <c r="Z204"/>
  <c r="Z203"/>
  <c r="Z202"/>
  <c r="Z201"/>
  <c r="Z200"/>
  <c r="Z199"/>
  <c r="Z198"/>
  <c r="Z197"/>
  <c r="Z196"/>
  <c r="Z195"/>
  <c r="Z194"/>
  <c r="Z193"/>
  <c r="Z192"/>
  <c r="Z191"/>
  <c r="Z190"/>
  <c r="Z189"/>
  <c r="Z188"/>
  <c r="Z187"/>
  <c r="Z186"/>
  <c r="Z185"/>
  <c r="Z184"/>
  <c r="Z183"/>
  <c r="Z182"/>
  <c r="Z181"/>
  <c r="Z180"/>
  <c r="Z179"/>
  <c r="Z178"/>
  <c r="Z177"/>
  <c r="Z176"/>
  <c r="Z175"/>
  <c r="Z174"/>
  <c r="Z173"/>
  <c r="Z172"/>
  <c r="Z171"/>
  <c r="Z170"/>
  <c r="Z169"/>
  <c r="Z168"/>
  <c r="Z167"/>
  <c r="Z166"/>
  <c r="Z165"/>
  <c r="Z164"/>
  <c r="Z163"/>
  <c r="Z162"/>
  <c r="Z161"/>
  <c r="Z160"/>
  <c r="Z159"/>
  <c r="Z158"/>
  <c r="Z157"/>
  <c r="Z156"/>
  <c r="Z155"/>
  <c r="Z154"/>
  <c r="Z153"/>
  <c r="Z152"/>
  <c r="Z151"/>
  <c r="Z150"/>
  <c r="Z149"/>
  <c r="Z148"/>
  <c r="Z147"/>
  <c r="Z146"/>
  <c r="Z145"/>
  <c r="Z144"/>
  <c r="Z143"/>
  <c r="Z142"/>
  <c r="Z141"/>
  <c r="Z140"/>
  <c r="Z139"/>
  <c r="Z138"/>
  <c r="Z137"/>
  <c r="Z136"/>
  <c r="Z135"/>
  <c r="Z134"/>
  <c r="Z133"/>
  <c r="Z132"/>
  <c r="Z131"/>
  <c r="Z130"/>
  <c r="Z129"/>
  <c r="Z128"/>
  <c r="Z127"/>
  <c r="Z126"/>
  <c r="Z125"/>
  <c r="Z124"/>
  <c r="Z123"/>
  <c r="Z122"/>
  <c r="Z121"/>
  <c r="Z120"/>
  <c r="Z119"/>
  <c r="Z118"/>
  <c r="Z117"/>
  <c r="Z116"/>
  <c r="Z115"/>
  <c r="Z114"/>
  <c r="Z113"/>
  <c r="Z112"/>
  <c r="Z111"/>
  <c r="Z110"/>
  <c r="Z109"/>
  <c r="Z108"/>
  <c r="Z107"/>
  <c r="Z106"/>
  <c r="Z105"/>
  <c r="Z104"/>
  <c r="Z103"/>
  <c r="Z102"/>
  <c r="Z101"/>
  <c r="Z100"/>
  <c r="Z99"/>
  <c r="Z98"/>
  <c r="Z97"/>
  <c r="Z96"/>
  <c r="Z95"/>
  <c r="Z94"/>
  <c r="Z93"/>
  <c r="Z92"/>
  <c r="Z91"/>
  <c r="Z90"/>
  <c r="Z89"/>
  <c r="Z88"/>
  <c r="Z87"/>
  <c r="Z86"/>
  <c r="Z85"/>
  <c r="Z84"/>
  <c r="Z83"/>
  <c r="Z82"/>
  <c r="Z81"/>
  <c r="Z80"/>
  <c r="Z79"/>
  <c r="Z78"/>
  <c r="Z77"/>
  <c r="Z76"/>
  <c r="Z75"/>
  <c r="Z74"/>
  <c r="Z73"/>
  <c r="Z72"/>
  <c r="Z71"/>
  <c r="Z70"/>
  <c r="Z69"/>
  <c r="Z68"/>
  <c r="Z67"/>
  <c r="Z66"/>
  <c r="Z65"/>
  <c r="Z64"/>
  <c r="Z63"/>
  <c r="Z62"/>
  <c r="Z61"/>
  <c r="Z60"/>
  <c r="Z59"/>
  <c r="Z58"/>
  <c r="Z57"/>
  <c r="Z56"/>
  <c r="Z55"/>
  <c r="Z54"/>
  <c r="Z53"/>
  <c r="Z52"/>
  <c r="Z51"/>
  <c r="Z50"/>
  <c r="Z49"/>
  <c r="Z48"/>
  <c r="Z47"/>
  <c r="Z46"/>
  <c r="Z45"/>
  <c r="Z44"/>
  <c r="Z43"/>
  <c r="Z42"/>
  <c r="Z41"/>
  <c r="Z40"/>
  <c r="Z39"/>
  <c r="Z38"/>
  <c r="Z37"/>
  <c r="Z36"/>
  <c r="Z35"/>
  <c r="Z34"/>
  <c r="Z33"/>
  <c r="Z32"/>
  <c r="Z31"/>
  <c r="Z30"/>
  <c r="Z29"/>
  <c r="Z28"/>
  <c r="Z27"/>
  <c r="Z26"/>
  <c r="Z25"/>
  <c r="Z24"/>
  <c r="Z23"/>
  <c r="Z22"/>
  <c r="Z3"/>
  <c r="Z1055"/>
  <c r="O34" i="6"/>
  <c r="AC4" i="36" s="1"/>
  <c r="X11"/>
  <c r="AA13"/>
  <c r="AA17"/>
  <c r="AC17"/>
  <c r="AC16"/>
  <c r="AA16"/>
  <c r="AA15"/>
  <c r="AA14"/>
  <c r="U122" i="32"/>
  <c r="R122"/>
  <c r="L122"/>
  <c r="I122"/>
  <c r="D122"/>
  <c r="U108"/>
  <c r="R108"/>
  <c r="L108"/>
  <c r="I108"/>
  <c r="D108"/>
  <c r="U119"/>
  <c r="R119"/>
  <c r="L119"/>
  <c r="I119"/>
  <c r="D119"/>
  <c r="U127"/>
  <c r="R127"/>
  <c r="L127"/>
  <c r="I127"/>
  <c r="D127"/>
  <c r="U83"/>
  <c r="R83"/>
  <c r="L83"/>
  <c r="I83"/>
  <c r="D83"/>
  <c r="U70"/>
  <c r="R70"/>
  <c r="L70"/>
  <c r="I70"/>
  <c r="D70"/>
  <c r="U69"/>
  <c r="R69"/>
  <c r="L69"/>
  <c r="I69"/>
  <c r="D69"/>
  <c r="U78"/>
  <c r="R78"/>
  <c r="L78"/>
  <c r="I78"/>
  <c r="D78"/>
  <c r="U77"/>
  <c r="R77"/>
  <c r="L77"/>
  <c r="I77"/>
  <c r="D77"/>
  <c r="U129"/>
  <c r="R129"/>
  <c r="L129"/>
  <c r="I129"/>
  <c r="D129"/>
  <c r="U128"/>
  <c r="R128"/>
  <c r="L128"/>
  <c r="I128"/>
  <c r="D128"/>
  <c r="U97"/>
  <c r="R97"/>
  <c r="L97"/>
  <c r="I97"/>
  <c r="D97"/>
  <c r="U96"/>
  <c r="R96"/>
  <c r="L96"/>
  <c r="I96"/>
  <c r="D96"/>
  <c r="U84"/>
  <c r="R84"/>
  <c r="L84"/>
  <c r="I84"/>
  <c r="D84"/>
  <c r="U90"/>
  <c r="R90"/>
  <c r="L90"/>
  <c r="I90"/>
  <c r="D90"/>
  <c r="U76"/>
  <c r="R76"/>
  <c r="L76"/>
  <c r="I76"/>
  <c r="D76"/>
  <c r="U75"/>
  <c r="R75"/>
  <c r="L75"/>
  <c r="I75"/>
  <c r="D75"/>
  <c r="U68"/>
  <c r="R68"/>
  <c r="L68"/>
  <c r="I68"/>
  <c r="D68"/>
  <c r="U67"/>
  <c r="R67"/>
  <c r="L67"/>
  <c r="I67"/>
  <c r="D67"/>
  <c r="U134"/>
  <c r="R134"/>
  <c r="L134"/>
  <c r="I134"/>
  <c r="D134"/>
  <c r="U133"/>
  <c r="R133"/>
  <c r="L133"/>
  <c r="I133"/>
  <c r="D133"/>
  <c r="U131"/>
  <c r="R131"/>
  <c r="L131"/>
  <c r="I131"/>
  <c r="D131"/>
  <c r="U126"/>
  <c r="R126"/>
  <c r="L126"/>
  <c r="I126"/>
  <c r="D126"/>
  <c r="U121"/>
  <c r="R121"/>
  <c r="L121"/>
  <c r="I121"/>
  <c r="D121"/>
  <c r="U132"/>
  <c r="R132"/>
  <c r="L132"/>
  <c r="I132"/>
  <c r="D132"/>
  <c r="U130"/>
  <c r="R130"/>
  <c r="L130"/>
  <c r="I130"/>
  <c r="D130"/>
  <c r="U125"/>
  <c r="R125"/>
  <c r="L125"/>
  <c r="I125"/>
  <c r="D125"/>
  <c r="U120"/>
  <c r="R120"/>
  <c r="L120"/>
  <c r="I120"/>
  <c r="D120"/>
  <c r="U109"/>
  <c r="R109"/>
  <c r="L109"/>
  <c r="I109"/>
  <c r="D109"/>
  <c r="U74"/>
  <c r="R74"/>
  <c r="L74"/>
  <c r="I74"/>
  <c r="D74"/>
  <c r="U89"/>
  <c r="R89"/>
  <c r="L89"/>
  <c r="I89"/>
  <c r="D89"/>
  <c r="U124"/>
  <c r="R124"/>
  <c r="L124"/>
  <c r="I124"/>
  <c r="D124"/>
  <c r="U115"/>
  <c r="R115"/>
  <c r="L115"/>
  <c r="I115"/>
  <c r="D115"/>
  <c r="U107"/>
  <c r="R107"/>
  <c r="L107"/>
  <c r="I107"/>
  <c r="D107"/>
  <c r="U53"/>
  <c r="L53"/>
  <c r="I53"/>
  <c r="D53"/>
  <c r="U52"/>
  <c r="L52"/>
  <c r="I52"/>
  <c r="D52"/>
  <c r="U48"/>
  <c r="L48"/>
  <c r="I48"/>
  <c r="D48"/>
  <c r="U51"/>
  <c r="L51"/>
  <c r="I51"/>
  <c r="D51"/>
  <c r="D49"/>
  <c r="I49"/>
  <c r="L49"/>
  <c r="U49"/>
  <c r="D50"/>
  <c r="I50"/>
  <c r="L50"/>
  <c r="U50"/>
  <c r="U45"/>
  <c r="L45"/>
  <c r="I45"/>
  <c r="D45"/>
  <c r="U20"/>
  <c r="R20"/>
  <c r="L20"/>
  <c r="I20"/>
  <c r="D20"/>
  <c r="CN162" i="36"/>
  <c r="Z29"/>
  <c r="Z28"/>
  <c r="Z27"/>
  <c r="Z26"/>
  <c r="U386" i="32"/>
  <c r="R386"/>
  <c r="L386"/>
  <c r="I386"/>
  <c r="D386"/>
  <c r="U366"/>
  <c r="R366"/>
  <c r="L366"/>
  <c r="I366"/>
  <c r="D366"/>
  <c r="U329"/>
  <c r="R329"/>
  <c r="L329"/>
  <c r="I329"/>
  <c r="D329"/>
  <c r="U404"/>
  <c r="R404"/>
  <c r="L404"/>
  <c r="I404"/>
  <c r="D404"/>
  <c r="U388"/>
  <c r="R388"/>
  <c r="L388"/>
  <c r="I388"/>
  <c r="D388"/>
  <c r="U352"/>
  <c r="L352"/>
  <c r="I352"/>
  <c r="D352"/>
  <c r="U328"/>
  <c r="L328"/>
  <c r="I328"/>
  <c r="D328"/>
  <c r="U293"/>
  <c r="L293"/>
  <c r="I293"/>
  <c r="D293"/>
  <c r="U403"/>
  <c r="R403"/>
  <c r="L403"/>
  <c r="I403"/>
  <c r="D403"/>
  <c r="U399"/>
  <c r="R399"/>
  <c r="L399"/>
  <c r="I399"/>
  <c r="D399"/>
  <c r="U387"/>
  <c r="R387"/>
  <c r="L387"/>
  <c r="I387"/>
  <c r="D387"/>
  <c r="U376"/>
  <c r="R376"/>
  <c r="L376"/>
  <c r="I376"/>
  <c r="D376"/>
  <c r="U374"/>
  <c r="L374"/>
  <c r="I374"/>
  <c r="D374"/>
  <c r="Z25" i="36"/>
  <c r="I58" i="17"/>
  <c r="H58"/>
  <c r="G58"/>
  <c r="F58"/>
  <c r="E58"/>
  <c r="D58"/>
  <c r="R13" i="33"/>
  <c r="AF38" i="6"/>
  <c r="AE38"/>
  <c r="AN912" i="9"/>
  <c r="AM912"/>
  <c r="AL912"/>
  <c r="B178" i="12"/>
  <c r="K185"/>
  <c r="J185"/>
  <c r="L201"/>
  <c r="AB280" i="25"/>
  <c r="AB287" s="1"/>
  <c r="U306" i="32"/>
  <c r="L306"/>
  <c r="I306"/>
  <c r="D306"/>
  <c r="U398"/>
  <c r="R398"/>
  <c r="L398"/>
  <c r="I398"/>
  <c r="D398"/>
  <c r="U397"/>
  <c r="R397"/>
  <c r="L397"/>
  <c r="I397"/>
  <c r="D397"/>
  <c r="U389"/>
  <c r="R389"/>
  <c r="L389"/>
  <c r="I389"/>
  <c r="D389"/>
  <c r="U380"/>
  <c r="R380"/>
  <c r="L380"/>
  <c r="I380"/>
  <c r="D380"/>
  <c r="U371"/>
  <c r="R371"/>
  <c r="L371"/>
  <c r="I371"/>
  <c r="D371"/>
  <c r="U344"/>
  <c r="R344"/>
  <c r="L344"/>
  <c r="I344"/>
  <c r="D344"/>
  <c r="U363"/>
  <c r="R363"/>
  <c r="L363"/>
  <c r="I363"/>
  <c r="D363"/>
  <c r="U343"/>
  <c r="L343"/>
  <c r="I343"/>
  <c r="D343"/>
  <c r="U323"/>
  <c r="L323"/>
  <c r="I323"/>
  <c r="D323"/>
  <c r="U308"/>
  <c r="L308"/>
  <c r="I308"/>
  <c r="D308"/>
  <c r="U273"/>
  <c r="L273"/>
  <c r="I273"/>
  <c r="D273"/>
  <c r="U257"/>
  <c r="L257"/>
  <c r="I257"/>
  <c r="D257"/>
  <c r="U405"/>
  <c r="L405"/>
  <c r="I405"/>
  <c r="D405"/>
  <c r="U400"/>
  <c r="L400"/>
  <c r="I400"/>
  <c r="D400"/>
  <c r="U395"/>
  <c r="L395"/>
  <c r="I395"/>
  <c r="D395"/>
  <c r="U382"/>
  <c r="L382"/>
  <c r="I382"/>
  <c r="D382"/>
  <c r="U358"/>
  <c r="L358"/>
  <c r="I358"/>
  <c r="D358"/>
  <c r="U402"/>
  <c r="R402"/>
  <c r="L402"/>
  <c r="I402"/>
  <c r="D402"/>
  <c r="U396"/>
  <c r="R396"/>
  <c r="L396"/>
  <c r="I396"/>
  <c r="D396"/>
  <c r="U385"/>
  <c r="R385"/>
  <c r="L385"/>
  <c r="I385"/>
  <c r="D385"/>
  <c r="U372"/>
  <c r="L372"/>
  <c r="I372"/>
  <c r="D372"/>
  <c r="U345"/>
  <c r="L345"/>
  <c r="I345"/>
  <c r="D345"/>
  <c r="Q591"/>
  <c r="Q563"/>
  <c r="Q564"/>
  <c r="Q565"/>
  <c r="Q579"/>
  <c r="R579" s="1"/>
  <c r="Q549"/>
  <c r="Q566"/>
  <c r="Q580"/>
  <c r="Q567"/>
  <c r="Q581"/>
  <c r="Q605"/>
  <c r="R605" s="1"/>
  <c r="K605"/>
  <c r="K601"/>
  <c r="K593"/>
  <c r="K581"/>
  <c r="K567"/>
  <c r="K600"/>
  <c r="K592"/>
  <c r="K580"/>
  <c r="K566"/>
  <c r="K549"/>
  <c r="K588"/>
  <c r="K579"/>
  <c r="K565"/>
  <c r="K564"/>
  <c r="K563"/>
  <c r="K591"/>
  <c r="K578"/>
  <c r="K550"/>
  <c r="K562"/>
  <c r="K547"/>
  <c r="K561"/>
  <c r="K546"/>
  <c r="K531"/>
  <c r="K545"/>
  <c r="K530"/>
  <c r="K544"/>
  <c r="K543"/>
  <c r="K529"/>
  <c r="K542"/>
  <c r="K528"/>
  <c r="K573"/>
  <c r="K527"/>
  <c r="K526"/>
  <c r="K541"/>
  <c r="K540"/>
  <c r="K560"/>
  <c r="K571"/>
  <c r="K559"/>
  <c r="K558"/>
  <c r="K539"/>
  <c r="K557"/>
  <c r="K538"/>
  <c r="K556"/>
  <c r="Q578"/>
  <c r="R1054"/>
  <c r="R1053"/>
  <c r="R1044"/>
  <c r="R1043"/>
  <c r="R1042"/>
  <c r="R1041"/>
  <c r="R1040"/>
  <c r="R1039"/>
  <c r="R1037"/>
  <c r="R1036"/>
  <c r="R1031"/>
  <c r="R1030"/>
  <c r="R1029"/>
  <c r="R1028"/>
  <c r="R1026"/>
  <c r="R1025"/>
  <c r="R1024"/>
  <c r="R1018"/>
  <c r="R991"/>
  <c r="R943"/>
  <c r="R941"/>
  <c r="R939"/>
  <c r="R938"/>
  <c r="R882"/>
  <c r="R842"/>
  <c r="R836"/>
  <c r="R835"/>
  <c r="R830"/>
  <c r="R826"/>
  <c r="R819"/>
  <c r="R813"/>
  <c r="R812"/>
  <c r="R811"/>
  <c r="R810"/>
  <c r="R805"/>
  <c r="R804"/>
  <c r="R799"/>
  <c r="R797"/>
  <c r="R793"/>
  <c r="R790"/>
  <c r="R787"/>
  <c r="R783"/>
  <c r="R782"/>
  <c r="R781"/>
  <c r="R780"/>
  <c r="R779"/>
  <c r="R776"/>
  <c r="R775"/>
  <c r="R773"/>
  <c r="R770"/>
  <c r="R766"/>
  <c r="R763"/>
  <c r="R762"/>
  <c r="R761"/>
  <c r="R760"/>
  <c r="R758"/>
  <c r="R751"/>
  <c r="R731"/>
  <c r="R720"/>
  <c r="R719"/>
  <c r="R717"/>
  <c r="R716"/>
  <c r="R714"/>
  <c r="R707"/>
  <c r="R700"/>
  <c r="R697"/>
  <c r="R696"/>
  <c r="R694"/>
  <c r="R692"/>
  <c r="R690"/>
  <c r="R685"/>
  <c r="R684"/>
  <c r="R682"/>
  <c r="R640"/>
  <c r="R632"/>
  <c r="R631"/>
  <c r="R603"/>
  <c r="R598"/>
  <c r="R606"/>
  <c r="R607"/>
  <c r="R576"/>
  <c r="R533"/>
  <c r="R586"/>
  <c r="R555"/>
  <c r="R595"/>
  <c r="R585"/>
  <c r="R521"/>
  <c r="R553"/>
  <c r="R574"/>
  <c r="R583"/>
  <c r="R594"/>
  <c r="R589"/>
  <c r="R551"/>
  <c r="R568"/>
  <c r="R602"/>
  <c r="R578"/>
  <c r="R548"/>
  <c r="R547"/>
  <c r="R531"/>
  <c r="R530"/>
  <c r="R543"/>
  <c r="R542"/>
  <c r="R539"/>
  <c r="R599"/>
  <c r="R512"/>
  <c r="R510"/>
  <c r="R507"/>
  <c r="R505"/>
  <c r="R504"/>
  <c r="R498"/>
  <c r="R497"/>
  <c r="R487"/>
  <c r="R486"/>
  <c r="R482"/>
  <c r="R479"/>
  <c r="R476"/>
  <c r="R475"/>
  <c r="R473"/>
  <c r="R472"/>
  <c r="R469"/>
  <c r="R468"/>
  <c r="R464"/>
  <c r="R444"/>
  <c r="R437"/>
  <c r="R436"/>
  <c r="R393"/>
  <c r="R383"/>
  <c r="R379"/>
  <c r="R377"/>
  <c r="R373"/>
  <c r="R350"/>
  <c r="R337"/>
  <c r="R325"/>
  <c r="R315"/>
  <c r="R314"/>
  <c r="R291"/>
  <c r="R250"/>
  <c r="R207"/>
  <c r="R185"/>
  <c r="R123"/>
  <c r="R118"/>
  <c r="R117"/>
  <c r="R116"/>
  <c r="R111"/>
  <c r="R110"/>
  <c r="R106"/>
  <c r="R105"/>
  <c r="R104"/>
  <c r="R103"/>
  <c r="R100"/>
  <c r="R95"/>
  <c r="R92"/>
  <c r="R79"/>
  <c r="R59"/>
  <c r="R56"/>
  <c r="R18"/>
  <c r="R17"/>
  <c r="R15"/>
  <c r="R13"/>
  <c r="R11"/>
  <c r="R7"/>
  <c r="Q601"/>
  <c r="R601"/>
  <c r="Q593"/>
  <c r="R593"/>
  <c r="Q600"/>
  <c r="R600"/>
  <c r="Q592"/>
  <c r="R592"/>
  <c r="Q588"/>
  <c r="R588"/>
  <c r="L605"/>
  <c r="L601"/>
  <c r="L593"/>
  <c r="L581"/>
  <c r="L567"/>
  <c r="L600"/>
  <c r="L592"/>
  <c r="L580"/>
  <c r="L566"/>
  <c r="L549"/>
  <c r="L588"/>
  <c r="L579"/>
  <c r="L565"/>
  <c r="L564"/>
  <c r="L563"/>
  <c r="L591"/>
  <c r="L578"/>
  <c r="I605"/>
  <c r="I601"/>
  <c r="I593"/>
  <c r="I581"/>
  <c r="I567"/>
  <c r="I600"/>
  <c r="I592"/>
  <c r="I580"/>
  <c r="I566"/>
  <c r="I549"/>
  <c r="I588"/>
  <c r="I579"/>
  <c r="I565"/>
  <c r="I564"/>
  <c r="I563"/>
  <c r="I591"/>
  <c r="I578"/>
  <c r="D605"/>
  <c r="D601"/>
  <c r="D593"/>
  <c r="D581"/>
  <c r="D567"/>
  <c r="D600"/>
  <c r="D592"/>
  <c r="D580"/>
  <c r="D566"/>
  <c r="D549"/>
  <c r="D588"/>
  <c r="D579"/>
  <c r="D565"/>
  <c r="D564"/>
  <c r="D563"/>
  <c r="D591"/>
  <c r="B605"/>
  <c r="B601"/>
  <c r="B593"/>
  <c r="B581"/>
  <c r="B567"/>
  <c r="B600"/>
  <c r="B592"/>
  <c r="B580"/>
  <c r="B566"/>
  <c r="B549"/>
  <c r="B588"/>
  <c r="B579"/>
  <c r="B565"/>
  <c r="B564"/>
  <c r="B591"/>
  <c r="B550"/>
  <c r="B563"/>
  <c r="B578"/>
  <c r="B562"/>
  <c r="B547"/>
  <c r="B561"/>
  <c r="B546"/>
  <c r="B531"/>
  <c r="B545"/>
  <c r="B530"/>
  <c r="B544"/>
  <c r="B543"/>
  <c r="B529"/>
  <c r="B542"/>
  <c r="B518"/>
  <c r="B528"/>
  <c r="B573"/>
  <c r="B527"/>
  <c r="B517"/>
  <c r="B516" s="1"/>
  <c r="B526"/>
  <c r="B541"/>
  <c r="B540"/>
  <c r="B572"/>
  <c r="B560"/>
  <c r="B571"/>
  <c r="B559"/>
  <c r="B558"/>
  <c r="B539"/>
  <c r="B557"/>
  <c r="B538"/>
  <c r="B556"/>
  <c r="D578"/>
  <c r="E11" i="33"/>
  <c r="N29" i="6"/>
  <c r="O29" s="1"/>
  <c r="N28"/>
  <c r="O28" s="1"/>
  <c r="P15" i="16"/>
  <c r="J188" i="12"/>
  <c r="I188"/>
  <c r="H187"/>
  <c r="I187" s="1"/>
  <c r="J116" i="16"/>
  <c r="J115"/>
  <c r="J114"/>
  <c r="J113"/>
  <c r="J112"/>
  <c r="J111"/>
  <c r="J110"/>
  <c r="J109"/>
  <c r="J108"/>
  <c r="J107"/>
  <c r="J106"/>
  <c r="J105"/>
  <c r="J104"/>
  <c r="J103"/>
  <c r="J102"/>
  <c r="J101"/>
  <c r="J100"/>
  <c r="J99"/>
  <c r="J98"/>
  <c r="J97"/>
  <c r="J96"/>
  <c r="J95"/>
  <c r="J94"/>
  <c r="J93"/>
  <c r="J92"/>
  <c r="J91"/>
  <c r="J90"/>
  <c r="J89"/>
  <c r="J88"/>
  <c r="J87"/>
  <c r="J86"/>
  <c r="J85"/>
  <c r="J84"/>
  <c r="J83"/>
  <c r="J82"/>
  <c r="J81"/>
  <c r="J80"/>
  <c r="J79"/>
  <c r="J78"/>
  <c r="J77"/>
  <c r="J76"/>
  <c r="J75"/>
  <c r="J74"/>
  <c r="J73"/>
  <c r="J72"/>
  <c r="J71"/>
  <c r="J70"/>
  <c r="J69"/>
  <c r="J68"/>
  <c r="J67"/>
  <c r="J39"/>
  <c r="J38"/>
  <c r="J37"/>
  <c r="J36"/>
  <c r="J35"/>
  <c r="J34"/>
  <c r="J33"/>
  <c r="J32"/>
  <c r="J31"/>
  <c r="J30"/>
  <c r="J28"/>
  <c r="J27"/>
  <c r="J26"/>
  <c r="J25"/>
  <c r="J24"/>
  <c r="J23"/>
  <c r="J22"/>
  <c r="J21"/>
  <c r="J20"/>
  <c r="J19"/>
  <c r="J18"/>
  <c r="J17"/>
  <c r="J16"/>
  <c r="J29"/>
  <c r="K201" i="12"/>
  <c r="J201"/>
  <c r="I201"/>
  <c r="J167" i="16"/>
  <c r="J166"/>
  <c r="J165"/>
  <c r="J164"/>
  <c r="J163"/>
  <c r="J162"/>
  <c r="J161"/>
  <c r="J160"/>
  <c r="J159"/>
  <c r="J158"/>
  <c r="J157"/>
  <c r="J156"/>
  <c r="J155"/>
  <c r="J154"/>
  <c r="J153"/>
  <c r="J152"/>
  <c r="J151"/>
  <c r="J150"/>
  <c r="J149"/>
  <c r="J148"/>
  <c r="J147"/>
  <c r="J146"/>
  <c r="J145"/>
  <c r="J144"/>
  <c r="J143"/>
  <c r="J142"/>
  <c r="J141"/>
  <c r="J140"/>
  <c r="J139"/>
  <c r="J138"/>
  <c r="J137"/>
  <c r="J136"/>
  <c r="J135"/>
  <c r="J134"/>
  <c r="J133"/>
  <c r="J132"/>
  <c r="J131"/>
  <c r="J130"/>
  <c r="J129"/>
  <c r="J128"/>
  <c r="J127"/>
  <c r="J126"/>
  <c r="J125"/>
  <c r="J124"/>
  <c r="J123"/>
  <c r="J122"/>
  <c r="J121"/>
  <c r="J120"/>
  <c r="AN231" i="9"/>
  <c r="AM231"/>
  <c r="AK231"/>
  <c r="H180" i="12"/>
  <c r="AF31" i="6"/>
  <c r="AF30"/>
  <c r="AH30"/>
  <c r="D11" i="29"/>
  <c r="D10"/>
  <c r="D9"/>
  <c r="D8"/>
  <c r="A298" i="36"/>
  <c r="E125" i="9"/>
  <c r="B125"/>
  <c r="B110"/>
  <c r="AG45" i="6"/>
  <c r="AG42"/>
  <c r="AG43"/>
  <c r="T250" i="25"/>
  <c r="D515" i="32"/>
  <c r="D514"/>
  <c r="D513"/>
  <c r="D512"/>
  <c r="D511"/>
  <c r="D510"/>
  <c r="D509"/>
  <c r="D508"/>
  <c r="D507"/>
  <c r="D506"/>
  <c r="D505"/>
  <c r="D504"/>
  <c r="D503"/>
  <c r="D502"/>
  <c r="D501"/>
  <c r="D500"/>
  <c r="D499"/>
  <c r="D498"/>
  <c r="D497"/>
  <c r="D496"/>
  <c r="D495"/>
  <c r="D494"/>
  <c r="D493"/>
  <c r="D492"/>
  <c r="D491"/>
  <c r="D490"/>
  <c r="D489"/>
  <c r="D488"/>
  <c r="D487"/>
  <c r="D486"/>
  <c r="D485"/>
  <c r="D484"/>
  <c r="D483"/>
  <c r="D482"/>
  <c r="D481"/>
  <c r="D480"/>
  <c r="D479"/>
  <c r="D478"/>
  <c r="D477"/>
  <c r="D476"/>
  <c r="D475"/>
  <c r="D474"/>
  <c r="D473"/>
  <c r="D472"/>
  <c r="D471"/>
  <c r="D470"/>
  <c r="D469"/>
  <c r="D468"/>
  <c r="D467"/>
  <c r="D466"/>
  <c r="D465"/>
  <c r="D464"/>
  <c r="D463"/>
  <c r="D462"/>
  <c r="D461"/>
  <c r="D460"/>
  <c r="D459"/>
  <c r="D458"/>
  <c r="D457"/>
  <c r="D456"/>
  <c r="D455"/>
  <c r="D454"/>
  <c r="D453"/>
  <c r="D452"/>
  <c r="D451"/>
  <c r="D450"/>
  <c r="D449"/>
  <c r="D448"/>
  <c r="D447"/>
  <c r="D446"/>
  <c r="D445"/>
  <c r="D444"/>
  <c r="D443"/>
  <c r="D442"/>
  <c r="D441"/>
  <c r="D440"/>
  <c r="D439"/>
  <c r="D438"/>
  <c r="D437"/>
  <c r="D436"/>
  <c r="D435"/>
  <c r="D434"/>
  <c r="D433"/>
  <c r="D432"/>
  <c r="D431"/>
  <c r="D430"/>
  <c r="D429"/>
  <c r="D428"/>
  <c r="D427"/>
  <c r="D426"/>
  <c r="D425"/>
  <c r="D424"/>
  <c r="D423"/>
  <c r="D422"/>
  <c r="D421"/>
  <c r="D420"/>
  <c r="D419"/>
  <c r="D418"/>
  <c r="D417"/>
  <c r="D416"/>
  <c r="D415"/>
  <c r="D414"/>
  <c r="D413"/>
  <c r="D412"/>
  <c r="D411"/>
  <c r="D410"/>
  <c r="D409"/>
  <c r="D408"/>
  <c r="D407"/>
  <c r="D401"/>
  <c r="D394"/>
  <c r="D393"/>
  <c r="D392"/>
  <c r="D391"/>
  <c r="D390"/>
  <c r="D384"/>
  <c r="D383"/>
  <c r="D381"/>
  <c r="D379"/>
  <c r="D378"/>
  <c r="D377"/>
  <c r="D375"/>
  <c r="D373"/>
  <c r="D370"/>
  <c r="D369"/>
  <c r="D368"/>
  <c r="D367"/>
  <c r="D365"/>
  <c r="D364"/>
  <c r="D362"/>
  <c r="D361"/>
  <c r="D360"/>
  <c r="D359"/>
  <c r="D357"/>
  <c r="D356"/>
  <c r="D355"/>
  <c r="D354"/>
  <c r="D353"/>
  <c r="D351"/>
  <c r="D350"/>
  <c r="D349"/>
  <c r="D348"/>
  <c r="D347"/>
  <c r="D346"/>
  <c r="D342"/>
  <c r="D341"/>
  <c r="D340"/>
  <c r="D339"/>
  <c r="D338"/>
  <c r="D337"/>
  <c r="D336"/>
  <c r="D335"/>
  <c r="D334"/>
  <c r="D333"/>
  <c r="D332"/>
  <c r="D331"/>
  <c r="D330"/>
  <c r="D327"/>
  <c r="D326"/>
  <c r="D325"/>
  <c r="D324"/>
  <c r="D322"/>
  <c r="D321"/>
  <c r="D320"/>
  <c r="D319"/>
  <c r="D318"/>
  <c r="D317"/>
  <c r="D316"/>
  <c r="D315"/>
  <c r="D314"/>
  <c r="D313"/>
  <c r="D312"/>
  <c r="D311"/>
  <c r="D310"/>
  <c r="D309"/>
  <c r="D307"/>
  <c r="D305"/>
  <c r="D304"/>
  <c r="D303"/>
  <c r="D302"/>
  <c r="D301"/>
  <c r="D300"/>
  <c r="D299"/>
  <c r="D298"/>
  <c r="D297"/>
  <c r="D296"/>
  <c r="D295"/>
  <c r="D294"/>
  <c r="D292"/>
  <c r="D291"/>
  <c r="D290"/>
  <c r="D289"/>
  <c r="D288"/>
  <c r="D287"/>
  <c r="D286"/>
  <c r="D285"/>
  <c r="D284"/>
  <c r="D283"/>
  <c r="D282"/>
  <c r="D281"/>
  <c r="D280"/>
  <c r="D279"/>
  <c r="D278"/>
  <c r="D277"/>
  <c r="D276"/>
  <c r="D275"/>
  <c r="D274"/>
  <c r="D272"/>
  <c r="D271"/>
  <c r="D270"/>
  <c r="D269"/>
  <c r="D268"/>
  <c r="D267"/>
  <c r="D266"/>
  <c r="D265"/>
  <c r="D264"/>
  <c r="D263"/>
  <c r="D262"/>
  <c r="D261"/>
  <c r="D260"/>
  <c r="D259"/>
  <c r="D258"/>
  <c r="D256"/>
  <c r="D255"/>
  <c r="D254"/>
  <c r="D183"/>
  <c r="D182"/>
  <c r="D181"/>
  <c r="D180"/>
  <c r="D179"/>
  <c r="D178"/>
  <c r="D177"/>
  <c r="D176"/>
  <c r="D175"/>
  <c r="D174"/>
  <c r="D173"/>
  <c r="D172"/>
  <c r="D171"/>
  <c r="D170"/>
  <c r="D169"/>
  <c r="D168"/>
  <c r="D167"/>
  <c r="D166"/>
  <c r="D165"/>
  <c r="D164"/>
  <c r="D163"/>
  <c r="D162"/>
  <c r="D161"/>
  <c r="D160"/>
  <c r="D159"/>
  <c r="D158"/>
  <c r="D157"/>
  <c r="D156"/>
  <c r="D155"/>
  <c r="D154"/>
  <c r="D153"/>
  <c r="D152"/>
  <c r="D151"/>
  <c r="D150"/>
  <c r="D149"/>
  <c r="D148"/>
  <c r="D147"/>
  <c r="D146"/>
  <c r="D145"/>
  <c r="D144"/>
  <c r="D143"/>
  <c r="D142"/>
  <c r="D141"/>
  <c r="D140"/>
  <c r="D139"/>
  <c r="D138"/>
  <c r="D137"/>
  <c r="D136"/>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55"/>
  <c r="U56"/>
  <c r="U57"/>
  <c r="U58"/>
  <c r="U59"/>
  <c r="U60"/>
  <c r="U61"/>
  <c r="U62"/>
  <c r="U63"/>
  <c r="U64"/>
  <c r="U65"/>
  <c r="U66"/>
  <c r="U71"/>
  <c r="U72"/>
  <c r="U73"/>
  <c r="U79"/>
  <c r="U80"/>
  <c r="U81"/>
  <c r="U82"/>
  <c r="U85"/>
  <c r="U86"/>
  <c r="U87"/>
  <c r="U88"/>
  <c r="U91"/>
  <c r="U92"/>
  <c r="U93"/>
  <c r="U94"/>
  <c r="U95"/>
  <c r="U98"/>
  <c r="U99"/>
  <c r="U100"/>
  <c r="U101"/>
  <c r="U102"/>
  <c r="U103"/>
  <c r="U104"/>
  <c r="U105"/>
  <c r="U106"/>
  <c r="U110"/>
  <c r="U111"/>
  <c r="U112"/>
  <c r="U113"/>
  <c r="U114"/>
  <c r="U116"/>
  <c r="U117"/>
  <c r="U118"/>
  <c r="U123"/>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4"/>
  <c r="U255"/>
  <c r="U256"/>
  <c r="U258"/>
  <c r="U259"/>
  <c r="U260"/>
  <c r="U261"/>
  <c r="U262"/>
  <c r="U263"/>
  <c r="U264"/>
  <c r="U265"/>
  <c r="U266"/>
  <c r="U267"/>
  <c r="U268"/>
  <c r="U269"/>
  <c r="U270"/>
  <c r="U271"/>
  <c r="U272"/>
  <c r="U274"/>
  <c r="U275"/>
  <c r="U276"/>
  <c r="U277"/>
  <c r="U278"/>
  <c r="U279"/>
  <c r="U280"/>
  <c r="U281"/>
  <c r="U282"/>
  <c r="U283"/>
  <c r="U284"/>
  <c r="U285"/>
  <c r="U286"/>
  <c r="U287"/>
  <c r="U288"/>
  <c r="U289"/>
  <c r="U290"/>
  <c r="U291"/>
  <c r="U292"/>
  <c r="U294"/>
  <c r="U295"/>
  <c r="U296"/>
  <c r="U297"/>
  <c r="U298"/>
  <c r="U299"/>
  <c r="U300"/>
  <c r="U301"/>
  <c r="U302"/>
  <c r="U303"/>
  <c r="U304"/>
  <c r="U305"/>
  <c r="U307"/>
  <c r="U309"/>
  <c r="U310"/>
  <c r="U311"/>
  <c r="U312"/>
  <c r="U313"/>
  <c r="U314"/>
  <c r="U315"/>
  <c r="U316"/>
  <c r="U317"/>
  <c r="U318"/>
  <c r="U319"/>
  <c r="U320"/>
  <c r="U321"/>
  <c r="U322"/>
  <c r="U324"/>
  <c r="U325"/>
  <c r="U326"/>
  <c r="U327"/>
  <c r="U330"/>
  <c r="U331"/>
  <c r="U332"/>
  <c r="U333"/>
  <c r="U334"/>
  <c r="U335"/>
  <c r="U336"/>
  <c r="U337"/>
  <c r="U338"/>
  <c r="U339"/>
  <c r="U340"/>
  <c r="U341"/>
  <c r="U342"/>
  <c r="U346"/>
  <c r="U347"/>
  <c r="U348"/>
  <c r="U349"/>
  <c r="U350"/>
  <c r="U351"/>
  <c r="U353"/>
  <c r="U354"/>
  <c r="U355"/>
  <c r="U356"/>
  <c r="U357"/>
  <c r="U359"/>
  <c r="U360"/>
  <c r="U361"/>
  <c r="U362"/>
  <c r="U364"/>
  <c r="U365"/>
  <c r="U367"/>
  <c r="U368"/>
  <c r="U369"/>
  <c r="U370"/>
  <c r="U373"/>
  <c r="U375"/>
  <c r="U377"/>
  <c r="U378"/>
  <c r="U379"/>
  <c r="U381"/>
  <c r="U383"/>
  <c r="U384"/>
  <c r="U390"/>
  <c r="U391"/>
  <c r="U392"/>
  <c r="U393"/>
  <c r="U394"/>
  <c r="U401"/>
  <c r="U517"/>
  <c r="U518"/>
  <c r="U519"/>
  <c r="U520"/>
  <c r="U521"/>
  <c r="U522"/>
  <c r="U523"/>
  <c r="U524"/>
  <c r="U525"/>
  <c r="U526"/>
  <c r="U527"/>
  <c r="U528"/>
  <c r="U529"/>
  <c r="U530"/>
  <c r="U531"/>
  <c r="U532"/>
  <c r="U533"/>
  <c r="U534"/>
  <c r="U535"/>
  <c r="U536"/>
  <c r="U537"/>
  <c r="U538"/>
  <c r="U539"/>
  <c r="U540"/>
  <c r="U541"/>
  <c r="U542"/>
  <c r="U543"/>
  <c r="U544"/>
  <c r="U545"/>
  <c r="U546"/>
  <c r="U547"/>
  <c r="U548"/>
  <c r="U550"/>
  <c r="U551"/>
  <c r="U552"/>
  <c r="U553"/>
  <c r="U554"/>
  <c r="U555"/>
  <c r="U556"/>
  <c r="U557"/>
  <c r="U558"/>
  <c r="U559"/>
  <c r="U560"/>
  <c r="U561"/>
  <c r="U562"/>
  <c r="U568"/>
  <c r="U569"/>
  <c r="U570"/>
  <c r="U571"/>
  <c r="U572"/>
  <c r="U573"/>
  <c r="U574"/>
  <c r="U575"/>
  <c r="U576"/>
  <c r="U577"/>
  <c r="U582"/>
  <c r="U583"/>
  <c r="U584"/>
  <c r="U585"/>
  <c r="U586"/>
  <c r="U587"/>
  <c r="U589"/>
  <c r="U590"/>
  <c r="U594"/>
  <c r="U595"/>
  <c r="U596"/>
  <c r="U597"/>
  <c r="U598"/>
  <c r="U599"/>
  <c r="U602"/>
  <c r="U603"/>
  <c r="U604"/>
  <c r="U606"/>
  <c r="U607"/>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1046"/>
  <c r="U1047"/>
  <c r="U1048"/>
  <c r="U1049"/>
  <c r="U1050"/>
  <c r="U1051"/>
  <c r="U1052"/>
  <c r="U1053"/>
  <c r="U1054"/>
  <c r="U1016"/>
  <c r="U1017"/>
  <c r="U1018"/>
  <c r="U1019"/>
  <c r="U1020"/>
  <c r="U1021"/>
  <c r="U1022"/>
  <c r="U1023"/>
  <c r="U1024"/>
  <c r="U1025"/>
  <c r="U1026"/>
  <c r="U1027"/>
  <c r="U1028"/>
  <c r="U1029"/>
  <c r="U1030"/>
  <c r="U1031"/>
  <c r="U1032"/>
  <c r="U1033"/>
  <c r="U1034"/>
  <c r="U1035"/>
  <c r="U1036"/>
  <c r="U1037"/>
  <c r="U1038"/>
  <c r="U1039"/>
  <c r="U1040"/>
  <c r="U1041"/>
  <c r="U1042"/>
  <c r="U1043"/>
  <c r="U1044"/>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3"/>
  <c r="U994"/>
  <c r="U995"/>
  <c r="U996"/>
  <c r="U997"/>
  <c r="U998"/>
  <c r="U999"/>
  <c r="U1000"/>
  <c r="U1001"/>
  <c r="U1002"/>
  <c r="U1003"/>
  <c r="U1004"/>
  <c r="U1005"/>
  <c r="U1006"/>
  <c r="U1007"/>
  <c r="U1008"/>
  <c r="U1009"/>
  <c r="U1010"/>
  <c r="U1011"/>
  <c r="U1012"/>
  <c r="U1013"/>
  <c r="U1014"/>
  <c r="U23"/>
  <c r="U24"/>
  <c r="U25"/>
  <c r="U26"/>
  <c r="U27"/>
  <c r="U28"/>
  <c r="U29"/>
  <c r="U30"/>
  <c r="U31"/>
  <c r="U32"/>
  <c r="U33"/>
  <c r="U34"/>
  <c r="U35"/>
  <c r="U36"/>
  <c r="U37"/>
  <c r="U38"/>
  <c r="U39"/>
  <c r="U40"/>
  <c r="U41"/>
  <c r="U42"/>
  <c r="U43"/>
  <c r="U44"/>
  <c r="U46"/>
  <c r="U47"/>
  <c r="AK26" i="8"/>
  <c r="T56" i="33"/>
  <c r="U56" s="1"/>
  <c r="T55"/>
  <c r="U55" s="1"/>
  <c r="T54"/>
  <c r="U54" s="1"/>
  <c r="T53"/>
  <c r="U53" s="1"/>
  <c r="T52"/>
  <c r="U52" s="1"/>
  <c r="T51"/>
  <c r="U51" s="1"/>
  <c r="T50"/>
  <c r="U50" s="1"/>
  <c r="T49"/>
  <c r="U49" s="1"/>
  <c r="T48"/>
  <c r="U48" s="1"/>
  <c r="T47"/>
  <c r="U47" s="1"/>
  <c r="CK426" i="20"/>
  <c r="Q415"/>
  <c r="AF32" i="6"/>
  <c r="F58" i="29"/>
  <c r="F18"/>
  <c r="W17"/>
  <c r="W16"/>
  <c r="W15"/>
  <c r="W14"/>
  <c r="W13"/>
  <c r="W12"/>
  <c r="W11"/>
  <c r="W10"/>
  <c r="W9"/>
  <c r="W8"/>
  <c r="W7"/>
  <c r="W6"/>
  <c r="W5"/>
  <c r="W4"/>
  <c r="W34"/>
  <c r="W33"/>
  <c r="W32"/>
  <c r="W31"/>
  <c r="W30"/>
  <c r="W29"/>
  <c r="W28"/>
  <c r="W27"/>
  <c r="W26"/>
  <c r="W25"/>
  <c r="W24"/>
  <c r="H35"/>
  <c r="H34"/>
  <c r="H33"/>
  <c r="H32"/>
  <c r="H31"/>
  <c r="H30"/>
  <c r="H29"/>
  <c r="H28"/>
  <c r="H27"/>
  <c r="H26"/>
  <c r="O34"/>
  <c r="O33"/>
  <c r="O32"/>
  <c r="O31"/>
  <c r="O30"/>
  <c r="O29"/>
  <c r="O28"/>
  <c r="O27"/>
  <c r="O26"/>
  <c r="C52" i="8"/>
  <c r="C53"/>
  <c r="C51"/>
  <c r="AN28"/>
  <c r="AN40"/>
  <c r="C191" i="20"/>
  <c r="A114" i="36"/>
  <c r="P169" s="1"/>
  <c r="AE22" i="8"/>
  <c r="AE21"/>
  <c r="AE20"/>
  <c r="AE19"/>
  <c r="BP179" i="20"/>
  <c r="BQ179"/>
  <c r="BO179"/>
  <c r="BN179"/>
  <c r="BQ176"/>
  <c r="BP176"/>
  <c r="BO176"/>
  <c r="BN176"/>
  <c r="AN49" i="8"/>
  <c r="AN43"/>
  <c r="AN45"/>
  <c r="AN44"/>
  <c r="AN41"/>
  <c r="AN39"/>
  <c r="AN37"/>
  <c r="AN23"/>
  <c r="AN13"/>
  <c r="AN8"/>
  <c r="AN7"/>
  <c r="AN9"/>
  <c r="BU188" i="20"/>
  <c r="BT188"/>
  <c r="BS188"/>
  <c r="BR188"/>
  <c r="BQ188"/>
  <c r="BP188"/>
  <c r="BO188"/>
  <c r="BN188"/>
  <c r="BU184"/>
  <c r="BT184"/>
  <c r="BS184"/>
  <c r="BR184"/>
  <c r="BQ184"/>
  <c r="BP184"/>
  <c r="BO184"/>
  <c r="BN184"/>
  <c r="BU183"/>
  <c r="BT183"/>
  <c r="BS183"/>
  <c r="BR183"/>
  <c r="BQ183"/>
  <c r="BP183"/>
  <c r="BO183"/>
  <c r="BN183"/>
  <c r="BU182"/>
  <c r="BT182"/>
  <c r="BS182"/>
  <c r="BR182"/>
  <c r="BQ182"/>
  <c r="BP182"/>
  <c r="BO182"/>
  <c r="BN182"/>
  <c r="BU179"/>
  <c r="BT179"/>
  <c r="BS179"/>
  <c r="BR179"/>
  <c r="BU176"/>
  <c r="BT176"/>
  <c r="BS176"/>
  <c r="BR176"/>
  <c r="Y154"/>
  <c r="Y157"/>
  <c r="Y166"/>
  <c r="W166"/>
  <c r="Y162"/>
  <c r="Y161"/>
  <c r="Y160"/>
  <c r="W162"/>
  <c r="W161"/>
  <c r="W160"/>
  <c r="V166"/>
  <c r="V162"/>
  <c r="V161"/>
  <c r="V160"/>
  <c r="X166"/>
  <c r="X157"/>
  <c r="X154"/>
  <c r="X162"/>
  <c r="X161"/>
  <c r="X160"/>
  <c r="G41" i="17"/>
  <c r="H41" s="1"/>
  <c r="G40"/>
  <c r="H40" s="1"/>
  <c r="G39"/>
  <c r="H39" s="1"/>
  <c r="G38"/>
  <c r="H38" s="1"/>
  <c r="G37"/>
  <c r="H37" s="1"/>
  <c r="G36"/>
  <c r="H36" s="1"/>
  <c r="G43"/>
  <c r="G42"/>
  <c r="G35"/>
  <c r="F31" i="6"/>
  <c r="H31"/>
  <c r="G31"/>
  <c r="E31"/>
  <c r="D34"/>
  <c r="E34"/>
  <c r="Z288" i="25" s="1"/>
  <c r="F34" i="6"/>
  <c r="Z289" i="25"/>
  <c r="J53" i="8"/>
  <c r="L53"/>
  <c r="J52"/>
  <c r="L52"/>
  <c r="J51"/>
  <c r="L51"/>
  <c r="C188" i="20"/>
  <c r="C179"/>
  <c r="C176"/>
  <c r="U4" i="32"/>
  <c r="U5"/>
  <c r="U6"/>
  <c r="U7"/>
  <c r="U8"/>
  <c r="U9"/>
  <c r="U10"/>
  <c r="U11"/>
  <c r="U12"/>
  <c r="U13"/>
  <c r="U14"/>
  <c r="U15"/>
  <c r="U16"/>
  <c r="U17"/>
  <c r="U18"/>
  <c r="U19"/>
  <c r="U21"/>
  <c r="U698"/>
  <c r="D18"/>
  <c r="D17"/>
  <c r="D16"/>
  <c r="D15"/>
  <c r="D14"/>
  <c r="D13"/>
  <c r="D12"/>
  <c r="D11"/>
  <c r="D9"/>
  <c r="D7"/>
  <c r="D6"/>
  <c r="D4"/>
  <c r="D3" s="1"/>
  <c r="D1058" s="1"/>
  <c r="D5"/>
  <c r="D8"/>
  <c r="D10"/>
  <c r="D19"/>
  <c r="D21"/>
  <c r="D1046"/>
  <c r="D1047"/>
  <c r="D1048"/>
  <c r="D1049"/>
  <c r="D1050"/>
  <c r="D1051"/>
  <c r="D1052"/>
  <c r="D1053"/>
  <c r="D1054"/>
  <c r="D1016"/>
  <c r="D1017"/>
  <c r="D1018"/>
  <c r="D1019"/>
  <c r="D1020"/>
  <c r="D1021"/>
  <c r="D1022"/>
  <c r="D1023"/>
  <c r="D1024"/>
  <c r="D1025"/>
  <c r="D1026"/>
  <c r="D1027"/>
  <c r="D1028"/>
  <c r="D1029"/>
  <c r="D1030"/>
  <c r="D1031"/>
  <c r="D1032"/>
  <c r="D1033"/>
  <c r="D1034"/>
  <c r="D1035"/>
  <c r="D1036"/>
  <c r="D1037"/>
  <c r="D1038"/>
  <c r="D1039"/>
  <c r="D1040"/>
  <c r="D1041"/>
  <c r="D1042"/>
  <c r="D1043"/>
  <c r="D1044"/>
  <c r="D993"/>
  <c r="D994"/>
  <c r="D995"/>
  <c r="D996"/>
  <c r="D997"/>
  <c r="D998"/>
  <c r="D999"/>
  <c r="D1000"/>
  <c r="D1001"/>
  <c r="D1002"/>
  <c r="D1003"/>
  <c r="D1004"/>
  <c r="D1005"/>
  <c r="D1006"/>
  <c r="D1007"/>
  <c r="D1008"/>
  <c r="D1009"/>
  <c r="D1010"/>
  <c r="D1011"/>
  <c r="D1012"/>
  <c r="D1013"/>
  <c r="D101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517"/>
  <c r="D518"/>
  <c r="D519"/>
  <c r="D520"/>
  <c r="D521"/>
  <c r="D522"/>
  <c r="D523"/>
  <c r="D524"/>
  <c r="D525"/>
  <c r="D526"/>
  <c r="D527"/>
  <c r="D528"/>
  <c r="D529"/>
  <c r="D530"/>
  <c r="D531"/>
  <c r="D532"/>
  <c r="D533"/>
  <c r="D534"/>
  <c r="D535"/>
  <c r="D536"/>
  <c r="D537"/>
  <c r="D538"/>
  <c r="D539"/>
  <c r="D540"/>
  <c r="D541"/>
  <c r="D542"/>
  <c r="D543"/>
  <c r="D544"/>
  <c r="D545"/>
  <c r="D546"/>
  <c r="D547"/>
  <c r="D548"/>
  <c r="D550"/>
  <c r="D551"/>
  <c r="D552"/>
  <c r="D553"/>
  <c r="D554"/>
  <c r="D555"/>
  <c r="D556"/>
  <c r="D557"/>
  <c r="D558"/>
  <c r="D559"/>
  <c r="D560"/>
  <c r="D561"/>
  <c r="D562"/>
  <c r="D568"/>
  <c r="D569"/>
  <c r="D570"/>
  <c r="D571"/>
  <c r="D572"/>
  <c r="D573"/>
  <c r="D574"/>
  <c r="D575"/>
  <c r="D576"/>
  <c r="D577"/>
  <c r="D582"/>
  <c r="D583"/>
  <c r="D584"/>
  <c r="D585"/>
  <c r="D586"/>
  <c r="D587"/>
  <c r="D589"/>
  <c r="D590"/>
  <c r="D594"/>
  <c r="D595"/>
  <c r="D596"/>
  <c r="D597"/>
  <c r="D598"/>
  <c r="D599"/>
  <c r="D602"/>
  <c r="D603"/>
  <c r="D604"/>
  <c r="D606"/>
  <c r="D607"/>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55"/>
  <c r="D56"/>
  <c r="D57"/>
  <c r="D58"/>
  <c r="D59"/>
  <c r="D60"/>
  <c r="D61"/>
  <c r="D62"/>
  <c r="D63"/>
  <c r="D64"/>
  <c r="D65"/>
  <c r="D66"/>
  <c r="D71"/>
  <c r="D72"/>
  <c r="D73"/>
  <c r="D79"/>
  <c r="D80"/>
  <c r="D81"/>
  <c r="D82"/>
  <c r="D85"/>
  <c r="D86"/>
  <c r="D87"/>
  <c r="D88"/>
  <c r="D91"/>
  <c r="D92"/>
  <c r="D93"/>
  <c r="D94"/>
  <c r="D95"/>
  <c r="D98"/>
  <c r="D99"/>
  <c r="D100"/>
  <c r="D101"/>
  <c r="D102"/>
  <c r="D103"/>
  <c r="D104"/>
  <c r="D105"/>
  <c r="D106"/>
  <c r="D110"/>
  <c r="D111"/>
  <c r="D112"/>
  <c r="D113"/>
  <c r="D114"/>
  <c r="D116"/>
  <c r="D117"/>
  <c r="D118"/>
  <c r="D123"/>
  <c r="D23"/>
  <c r="D24"/>
  <c r="D25"/>
  <c r="D26"/>
  <c r="D27"/>
  <c r="D28"/>
  <c r="D29"/>
  <c r="D30"/>
  <c r="D31"/>
  <c r="D32"/>
  <c r="D33"/>
  <c r="D34"/>
  <c r="D35"/>
  <c r="D36"/>
  <c r="D37"/>
  <c r="D38"/>
  <c r="D39"/>
  <c r="D40"/>
  <c r="D41"/>
  <c r="D42"/>
  <c r="D43"/>
  <c r="D44"/>
  <c r="D46"/>
  <c r="D47"/>
  <c r="D698"/>
  <c r="AE32" i="6"/>
  <c r="AF33"/>
  <c r="R9" i="33"/>
  <c r="AE108" i="36" s="1"/>
  <c r="BS478" i="20"/>
  <c r="F31" i="33"/>
  <c r="F32"/>
  <c r="F33"/>
  <c r="F34"/>
  <c r="G37"/>
  <c r="G40"/>
  <c r="R37"/>
  <c r="R40"/>
  <c r="AD37"/>
  <c r="B395" i="20"/>
  <c r="C420"/>
  <c r="D449"/>
  <c r="E424"/>
  <c r="F428"/>
  <c r="G432"/>
  <c r="H379"/>
  <c r="J391"/>
  <c r="M422"/>
  <c r="N429"/>
  <c r="O379"/>
  <c r="P476"/>
  <c r="R464"/>
  <c r="S394"/>
  <c r="T471"/>
  <c r="U454"/>
  <c r="V473"/>
  <c r="W476"/>
  <c r="X393"/>
  <c r="AA387"/>
  <c r="AB494"/>
  <c r="AC461"/>
  <c r="AE420"/>
  <c r="AF386"/>
  <c r="AG381"/>
  <c r="AH485"/>
  <c r="AJ460"/>
  <c r="AK400"/>
  <c r="AN488"/>
  <c r="AO429"/>
  <c r="AP478"/>
  <c r="AQ456"/>
  <c r="AR451"/>
  <c r="AS399"/>
  <c r="AV493"/>
  <c r="AW451"/>
  <c r="AX481"/>
  <c r="AY454"/>
  <c r="BA420"/>
  <c r="BC464"/>
  <c r="BD397"/>
  <c r="BE479"/>
  <c r="BF449"/>
  <c r="BG389"/>
  <c r="BI482"/>
  <c r="BJ448"/>
  <c r="BK434"/>
  <c r="BL412"/>
  <c r="BM442"/>
  <c r="BN439"/>
  <c r="BP389"/>
  <c r="BQ400"/>
  <c r="BR439"/>
  <c r="BU380"/>
  <c r="BV391"/>
  <c r="BX464"/>
  <c r="BY409"/>
  <c r="BZ447"/>
  <c r="CB464"/>
  <c r="CC445"/>
  <c r="CD407"/>
  <c r="CE492"/>
  <c r="CF420"/>
  <c r="CH422"/>
  <c r="CI493"/>
  <c r="CJ448"/>
  <c r="CM426"/>
  <c r="CN474"/>
  <c r="G56" i="33"/>
  <c r="G55"/>
  <c r="G54"/>
  <c r="G53"/>
  <c r="G52"/>
  <c r="G51"/>
  <c r="G50"/>
  <c r="G49"/>
  <c r="G48"/>
  <c r="H58" i="11"/>
  <c r="H59"/>
  <c r="AG46" i="6"/>
  <c r="I61" i="33"/>
  <c r="N121" i="19"/>
  <c r="G13" i="6"/>
  <c r="AC4"/>
  <c r="AC5" s="1"/>
  <c r="F56" i="33"/>
  <c r="E56"/>
  <c r="J56"/>
  <c r="L56"/>
  <c r="K56"/>
  <c r="I56"/>
  <c r="H56"/>
  <c r="B160" i="12"/>
  <c r="H17" i="6" s="1"/>
  <c r="C160" i="12"/>
  <c r="D56" i="33"/>
  <c r="F55"/>
  <c r="E55"/>
  <c r="J55"/>
  <c r="L55"/>
  <c r="K55"/>
  <c r="I55"/>
  <c r="H55"/>
  <c r="B158" i="12"/>
  <c r="C158"/>
  <c r="D55" i="33"/>
  <c r="F54"/>
  <c r="E54"/>
  <c r="J54"/>
  <c r="L54"/>
  <c r="K54"/>
  <c r="I54"/>
  <c r="H54"/>
  <c r="B159" i="12"/>
  <c r="C159"/>
  <c r="D159"/>
  <c r="D54" i="33"/>
  <c r="F53"/>
  <c r="E53"/>
  <c r="J53"/>
  <c r="L53"/>
  <c r="K53"/>
  <c r="I53"/>
  <c r="H53"/>
  <c r="B157" i="12"/>
  <c r="C157"/>
  <c r="D53" i="33"/>
  <c r="F52"/>
  <c r="E52"/>
  <c r="J52"/>
  <c r="L52"/>
  <c r="K52"/>
  <c r="I52"/>
  <c r="H52"/>
  <c r="B155" i="12"/>
  <c r="C155"/>
  <c r="D155"/>
  <c r="D52" i="33"/>
  <c r="F51"/>
  <c r="E51"/>
  <c r="J51"/>
  <c r="L51"/>
  <c r="K51"/>
  <c r="I51"/>
  <c r="H51"/>
  <c r="B156" i="12"/>
  <c r="C156"/>
  <c r="D156"/>
  <c r="D51" i="33"/>
  <c r="F50"/>
  <c r="E50"/>
  <c r="J50"/>
  <c r="L50"/>
  <c r="K50"/>
  <c r="I50"/>
  <c r="H50"/>
  <c r="B154" i="12"/>
  <c r="C154"/>
  <c r="D154"/>
  <c r="D50" i="33"/>
  <c r="F49"/>
  <c r="E49"/>
  <c r="J49"/>
  <c r="L49"/>
  <c r="K49"/>
  <c r="I49"/>
  <c r="H49"/>
  <c r="B153" i="12"/>
  <c r="C153"/>
  <c r="D153"/>
  <c r="D49" i="33"/>
  <c r="F48"/>
  <c r="E48"/>
  <c r="J48"/>
  <c r="L48"/>
  <c r="K48"/>
  <c r="I48"/>
  <c r="H48"/>
  <c r="B152" i="12"/>
  <c r="C152"/>
  <c r="D152"/>
  <c r="D48" i="33"/>
  <c r="AD5" i="6"/>
  <c r="AA9" i="36" s="1"/>
  <c r="K236" i="19"/>
  <c r="AD14" i="6"/>
  <c r="AC5" i="36" s="1"/>
  <c r="O44" i="6"/>
  <c r="AF35"/>
  <c r="D174" i="12" s="1"/>
  <c r="D48" i="16"/>
  <c r="D49"/>
  <c r="D58"/>
  <c r="D60"/>
  <c r="D59"/>
  <c r="Z79" i="39"/>
  <c r="AI437" i="36"/>
  <c r="BW450"/>
  <c r="BW451"/>
  <c r="AQ450"/>
  <c r="AQ451"/>
  <c r="X76" i="39"/>
  <c r="V196"/>
  <c r="K450" i="36"/>
  <c r="K451"/>
  <c r="G27" i="33"/>
  <c r="G26"/>
  <c r="H28" i="6"/>
  <c r="B35" s="1"/>
  <c r="BF61" i="8"/>
  <c r="BF60"/>
  <c r="BF59"/>
  <c r="BF58"/>
  <c r="BF57"/>
  <c r="BF56"/>
  <c r="BF55"/>
  <c r="BF54"/>
  <c r="BW54" s="1"/>
  <c r="BF53"/>
  <c r="BF52"/>
  <c r="BF51"/>
  <c r="BF50"/>
  <c r="BF49"/>
  <c r="BF48"/>
  <c r="BW48" s="1"/>
  <c r="BF47"/>
  <c r="BW47" s="1"/>
  <c r="BF46"/>
  <c r="BF45"/>
  <c r="BF44"/>
  <c r="BF43"/>
  <c r="BW43" s="1"/>
  <c r="BF42"/>
  <c r="BF41"/>
  <c r="BF40"/>
  <c r="BF39"/>
  <c r="BF38"/>
  <c r="BW38" s="1"/>
  <c r="BF37"/>
  <c r="BF36"/>
  <c r="BF35"/>
  <c r="BF34"/>
  <c r="BF33"/>
  <c r="BW33" s="1"/>
  <c r="H148" i="36"/>
  <c r="Q560" i="32"/>
  <c r="R560" s="1"/>
  <c r="Q546"/>
  <c r="R546" s="1"/>
  <c r="Q541"/>
  <c r="R541" s="1"/>
  <c r="Q529"/>
  <c r="R529" s="1"/>
  <c r="Q527"/>
  <c r="R527" s="1"/>
  <c r="D51" i="8"/>
  <c r="D53"/>
  <c r="D52"/>
  <c r="L123" i="32"/>
  <c r="I123"/>
  <c r="L116"/>
  <c r="I116"/>
  <c r="L106"/>
  <c r="I106"/>
  <c r="L117"/>
  <c r="I117"/>
  <c r="L103"/>
  <c r="I103"/>
  <c r="L95"/>
  <c r="I95"/>
  <c r="L118"/>
  <c r="I118"/>
  <c r="L104"/>
  <c r="I104"/>
  <c r="L100"/>
  <c r="I100"/>
  <c r="L105"/>
  <c r="I105"/>
  <c r="L92"/>
  <c r="I92"/>
  <c r="L86"/>
  <c r="I86"/>
  <c r="D8" i="8"/>
  <c r="M16" i="12" s="1"/>
  <c r="L780" i="32"/>
  <c r="I780"/>
  <c r="L771"/>
  <c r="I771"/>
  <c r="L753"/>
  <c r="I753"/>
  <c r="L746"/>
  <c r="I746"/>
  <c r="L727"/>
  <c r="I727"/>
  <c r="L768"/>
  <c r="I768"/>
  <c r="L756"/>
  <c r="I756"/>
  <c r="L742"/>
  <c r="I742"/>
  <c r="L728"/>
  <c r="I728"/>
  <c r="L711"/>
  <c r="I711"/>
  <c r="L773"/>
  <c r="I773"/>
  <c r="L765"/>
  <c r="I765"/>
  <c r="L754"/>
  <c r="I754"/>
  <c r="L729"/>
  <c r="I729"/>
  <c r="L712"/>
  <c r="I712"/>
  <c r="L767"/>
  <c r="I767"/>
  <c r="L755"/>
  <c r="I755"/>
  <c r="L741"/>
  <c r="I741"/>
  <c r="L713"/>
  <c r="I713"/>
  <c r="L701"/>
  <c r="I701"/>
  <c r="L370"/>
  <c r="I370"/>
  <c r="L341"/>
  <c r="I341"/>
  <c r="L322"/>
  <c r="I322"/>
  <c r="L289"/>
  <c r="I289"/>
  <c r="L272"/>
  <c r="I272"/>
  <c r="N5" i="37"/>
  <c r="G1" i="36"/>
  <c r="S1"/>
  <c r="G3"/>
  <c r="M4"/>
  <c r="O47" i="6"/>
  <c r="AC6" i="36" s="1"/>
  <c r="P38" i="6"/>
  <c r="P39"/>
  <c r="P40"/>
  <c r="G9"/>
  <c r="J9" i="36" s="1"/>
  <c r="H38" i="11"/>
  <c r="AD4" i="6"/>
  <c r="W9" i="36" s="1"/>
  <c r="G16" i="6"/>
  <c r="J10" i="36" s="1"/>
  <c r="E488" s="1"/>
  <c r="AJ10"/>
  <c r="G12" i="6"/>
  <c r="J11" i="36" s="1"/>
  <c r="E487" s="1"/>
  <c r="AN29" i="8"/>
  <c r="AN50"/>
  <c r="AN48"/>
  <c r="AN47"/>
  <c r="AN46"/>
  <c r="AN5"/>
  <c r="AJ11" i="36"/>
  <c r="G14" i="6"/>
  <c r="J12" i="36" s="1"/>
  <c r="AJ12"/>
  <c r="G17" i="6"/>
  <c r="J13" i="36" s="1"/>
  <c r="AJ13"/>
  <c r="AJ14"/>
  <c r="G11" i="6"/>
  <c r="E28"/>
  <c r="S15" i="36" s="1"/>
  <c r="G10" i="6"/>
  <c r="S16" i="36"/>
  <c r="G15" i="6"/>
  <c r="O42"/>
  <c r="S17" i="36" s="1"/>
  <c r="A41"/>
  <c r="I41"/>
  <c r="H521" s="1"/>
  <c r="A539" s="1"/>
  <c r="K41"/>
  <c r="J521" s="1"/>
  <c r="C539" s="1"/>
  <c r="M41"/>
  <c r="L521" s="1"/>
  <c r="E539" s="1"/>
  <c r="O41"/>
  <c r="N521" s="1"/>
  <c r="G539" s="1"/>
  <c r="Q41"/>
  <c r="P521" s="1"/>
  <c r="I539" s="1"/>
  <c r="S41"/>
  <c r="V41"/>
  <c r="T521" s="1"/>
  <c r="W41"/>
  <c r="V521" s="1"/>
  <c r="X41"/>
  <c r="A42"/>
  <c r="I42"/>
  <c r="H522" s="1"/>
  <c r="A548" s="1"/>
  <c r="K42"/>
  <c r="J522" s="1"/>
  <c r="C548" s="1"/>
  <c r="M42"/>
  <c r="L522" s="1"/>
  <c r="E548" s="1"/>
  <c r="O42"/>
  <c r="N522" s="1"/>
  <c r="G548" s="1"/>
  <c r="Q42"/>
  <c r="P522" s="1"/>
  <c r="I548" s="1"/>
  <c r="S42"/>
  <c r="V42"/>
  <c r="T522" s="1"/>
  <c r="W42"/>
  <c r="V522" s="1"/>
  <c r="X42"/>
  <c r="A43"/>
  <c r="AD522" s="1"/>
  <c r="I43"/>
  <c r="H523" s="1"/>
  <c r="U548" s="1"/>
  <c r="K43"/>
  <c r="J523" s="1"/>
  <c r="V548" s="1"/>
  <c r="M43"/>
  <c r="L523" s="1"/>
  <c r="W548" s="1"/>
  <c r="O43"/>
  <c r="N523" s="1"/>
  <c r="X548" s="1"/>
  <c r="Q43"/>
  <c r="P523" s="1"/>
  <c r="Y548" s="1"/>
  <c r="S43"/>
  <c r="W43"/>
  <c r="V523" s="1"/>
  <c r="A47"/>
  <c r="A48"/>
  <c r="A49"/>
  <c r="A50"/>
  <c r="E52"/>
  <c r="E51" i="8"/>
  <c r="E53"/>
  <c r="E52"/>
  <c r="F52"/>
  <c r="F53"/>
  <c r="G52"/>
  <c r="G53"/>
  <c r="H52"/>
  <c r="H53"/>
  <c r="L6"/>
  <c r="B176" i="20"/>
  <c r="B179"/>
  <c r="B188"/>
  <c r="H139" i="36"/>
  <c r="H138"/>
  <c r="H140"/>
  <c r="H142"/>
  <c r="H143"/>
  <c r="H141"/>
  <c r="H144"/>
  <c r="H145"/>
  <c r="H146"/>
  <c r="H147"/>
  <c r="H149"/>
  <c r="H151"/>
  <c r="H152"/>
  <c r="H153"/>
  <c r="H154"/>
  <c r="Q517" i="32"/>
  <c r="L920"/>
  <c r="A225" i="36"/>
  <c r="G3" i="29"/>
  <c r="Q225" i="36" s="1"/>
  <c r="A232"/>
  <c r="J232"/>
  <c r="O232"/>
  <c r="G51" i="29"/>
  <c r="Q232" i="36" s="1"/>
  <c r="H51" i="29"/>
  <c r="AA4"/>
  <c r="W243" i="36"/>
  <c r="Z249"/>
  <c r="W251"/>
  <c r="H303"/>
  <c r="Z2" i="17"/>
  <c r="Z3"/>
  <c r="Z12" s="1"/>
  <c r="Z4"/>
  <c r="Z5"/>
  <c r="Z6"/>
  <c r="Z7"/>
  <c r="Z8"/>
  <c r="Z9"/>
  <c r="Z10"/>
  <c r="Z11"/>
  <c r="Z15"/>
  <c r="Z16"/>
  <c r="Z37" s="1"/>
  <c r="Z17"/>
  <c r="Z18"/>
  <c r="Z19"/>
  <c r="Z20"/>
  <c r="Z21"/>
  <c r="Z22"/>
  <c r="Z23"/>
  <c r="Z24"/>
  <c r="Z25"/>
  <c r="Z26"/>
  <c r="Z27"/>
  <c r="Z28"/>
  <c r="Z29"/>
  <c r="Z30"/>
  <c r="Z31"/>
  <c r="Z32"/>
  <c r="Z33"/>
  <c r="Z34"/>
  <c r="Z35"/>
  <c r="Z36"/>
  <c r="H306" i="36"/>
  <c r="H307"/>
  <c r="H308"/>
  <c r="H309"/>
  <c r="H310"/>
  <c r="H311"/>
  <c r="H312"/>
  <c r="H313"/>
  <c r="H314"/>
  <c r="H315"/>
  <c r="H316"/>
  <c r="S36" i="17"/>
  <c r="S54" s="1"/>
  <c r="S37"/>
  <c r="S38"/>
  <c r="S39"/>
  <c r="S40"/>
  <c r="S53" s="1"/>
  <c r="S41"/>
  <c r="S42"/>
  <c r="S33"/>
  <c r="S34"/>
  <c r="S52" s="1"/>
  <c r="S35"/>
  <c r="S293" i="36"/>
  <c r="S294"/>
  <c r="S295"/>
  <c r="S296"/>
  <c r="S297"/>
  <c r="S298"/>
  <c r="S299"/>
  <c r="S300"/>
  <c r="S301"/>
  <c r="S302"/>
  <c r="S303"/>
  <c r="S304"/>
  <c r="S305"/>
  <c r="S306"/>
  <c r="S307"/>
  <c r="S308"/>
  <c r="S309"/>
  <c r="S310"/>
  <c r="S311"/>
  <c r="S312"/>
  <c r="S313"/>
  <c r="S314"/>
  <c r="S315"/>
  <c r="AB307"/>
  <c r="AB308"/>
  <c r="AB309"/>
  <c r="AB310"/>
  <c r="AB311"/>
  <c r="AB312"/>
  <c r="AB313"/>
  <c r="AB314"/>
  <c r="AB315"/>
  <c r="C2" i="42"/>
  <c r="Z292" i="36"/>
  <c r="AC292" s="1"/>
  <c r="D2" i="42"/>
  <c r="N32" i="17" s="1"/>
  <c r="A293" i="36"/>
  <c r="N293"/>
  <c r="V293"/>
  <c r="C3" i="42"/>
  <c r="Z293" i="36" s="1"/>
  <c r="D3" i="42"/>
  <c r="N33" i="17"/>
  <c r="A294" i="36"/>
  <c r="N294"/>
  <c r="V294"/>
  <c r="C4" i="42"/>
  <c r="Z294" i="36"/>
  <c r="AC294" s="1"/>
  <c r="D4" i="42"/>
  <c r="N34" i="17" s="1"/>
  <c r="AD294" i="36" s="1"/>
  <c r="A295"/>
  <c r="N295"/>
  <c r="V295"/>
  <c r="C9" i="42"/>
  <c r="Z295" i="36" s="1"/>
  <c r="D9" i="42"/>
  <c r="N35" i="17"/>
  <c r="A296" i="36"/>
  <c r="N296"/>
  <c r="V296"/>
  <c r="C11" i="42"/>
  <c r="Z296" i="36" s="1"/>
  <c r="D11" i="42"/>
  <c r="N36" i="17"/>
  <c r="A297" i="36"/>
  <c r="N297"/>
  <c r="V297"/>
  <c r="C13" i="42"/>
  <c r="Z297" i="36" s="1"/>
  <c r="D13" i="42"/>
  <c r="N37" i="17"/>
  <c r="N298" i="36"/>
  <c r="V298"/>
  <c r="C19" i="42"/>
  <c r="Z298" i="36"/>
  <c r="AC298" s="1"/>
  <c r="D19" i="42"/>
  <c r="N38" i="17" s="1"/>
  <c r="AD298" i="36" s="1"/>
  <c r="N299"/>
  <c r="V299"/>
  <c r="C23" i="42"/>
  <c r="Z299" i="36" s="1"/>
  <c r="D23" i="42"/>
  <c r="N39" i="17"/>
  <c r="N300" i="36"/>
  <c r="V300"/>
  <c r="C27" i="42"/>
  <c r="Z300" i="36" s="1"/>
  <c r="D27" i="42"/>
  <c r="N40" i="17"/>
  <c r="N301" i="36"/>
  <c r="V301"/>
  <c r="C31" i="42"/>
  <c r="Z301" i="36" s="1"/>
  <c r="D31" i="42"/>
  <c r="N41" i="17"/>
  <c r="N302" i="36"/>
  <c r="V302"/>
  <c r="C17" i="42"/>
  <c r="Z302" i="36" s="1"/>
  <c r="D17" i="42"/>
  <c r="N42" i="17"/>
  <c r="A303" i="36"/>
  <c r="K303"/>
  <c r="N303"/>
  <c r="V303"/>
  <c r="Z303"/>
  <c r="AC303"/>
  <c r="AA2" i="17"/>
  <c r="AA3"/>
  <c r="AA4"/>
  <c r="AA12" s="1"/>
  <c r="AA5"/>
  <c r="AA6"/>
  <c r="AA7"/>
  <c r="AA8"/>
  <c r="AA9"/>
  <c r="AA10"/>
  <c r="AA11"/>
  <c r="N304" i="36"/>
  <c r="V304"/>
  <c r="Z304"/>
  <c r="AC304"/>
  <c r="AA15" i="17"/>
  <c r="AA16"/>
  <c r="AA17"/>
  <c r="AA18"/>
  <c r="AA19"/>
  <c r="AA20"/>
  <c r="AA21"/>
  <c r="AA22"/>
  <c r="AA23"/>
  <c r="AA24"/>
  <c r="AA25"/>
  <c r="AA26"/>
  <c r="AA27"/>
  <c r="AA28"/>
  <c r="AA31"/>
  <c r="AA32"/>
  <c r="AA33"/>
  <c r="AA34"/>
  <c r="AA35"/>
  <c r="AA36"/>
  <c r="N305" i="36"/>
  <c r="V305"/>
  <c r="Z305"/>
  <c r="AC305"/>
  <c r="A306"/>
  <c r="K306"/>
  <c r="N306"/>
  <c r="V306"/>
  <c r="Z306"/>
  <c r="AC306"/>
  <c r="A307"/>
  <c r="K307"/>
  <c r="N307"/>
  <c r="V307"/>
  <c r="Z307"/>
  <c r="AD307"/>
  <c r="A308"/>
  <c r="K308"/>
  <c r="N308"/>
  <c r="V308"/>
  <c r="Z308"/>
  <c r="AD308"/>
  <c r="A309"/>
  <c r="K309"/>
  <c r="N309"/>
  <c r="V309"/>
  <c r="Z309"/>
  <c r="AD309"/>
  <c r="A310"/>
  <c r="K310"/>
  <c r="N310"/>
  <c r="V310"/>
  <c r="Z310"/>
  <c r="AD310"/>
  <c r="A311"/>
  <c r="K311"/>
  <c r="N311"/>
  <c r="V311"/>
  <c r="Z311"/>
  <c r="AD311"/>
  <c r="A312"/>
  <c r="K312"/>
  <c r="N312"/>
  <c r="V312"/>
  <c r="Z312"/>
  <c r="AD312"/>
  <c r="A313"/>
  <c r="K313"/>
  <c r="N313"/>
  <c r="V313"/>
  <c r="Z313"/>
  <c r="AD313"/>
  <c r="A314"/>
  <c r="K314"/>
  <c r="N314"/>
  <c r="V314"/>
  <c r="Z314"/>
  <c r="AD314"/>
  <c r="A315"/>
  <c r="K315"/>
  <c r="N315"/>
  <c r="V315"/>
  <c r="Z315"/>
  <c r="AD315"/>
  <c r="A316"/>
  <c r="K316"/>
  <c r="T36" i="17"/>
  <c r="T37"/>
  <c r="T38"/>
  <c r="T39"/>
  <c r="T40"/>
  <c r="T41"/>
  <c r="T42"/>
  <c r="AR401" i="36"/>
  <c r="BF401"/>
  <c r="BX401"/>
  <c r="CL401"/>
  <c r="X79" i="39"/>
  <c r="BY405" i="36"/>
  <c r="T407"/>
  <c r="AZ407"/>
  <c r="CF407"/>
  <c r="BR408"/>
  <c r="BS409"/>
  <c r="N4" i="39"/>
  <c r="Z4"/>
  <c r="N14"/>
  <c r="Z14"/>
  <c r="N6"/>
  <c r="Z6"/>
  <c r="N10"/>
  <c r="Z10"/>
  <c r="N8"/>
  <c r="Z8"/>
  <c r="N16"/>
  <c r="Z16"/>
  <c r="J419" i="36"/>
  <c r="AP419"/>
  <c r="BV419"/>
  <c r="AB421"/>
  <c r="BH421"/>
  <c r="CN421"/>
  <c r="AB422"/>
  <c r="BH422"/>
  <c r="CN422"/>
  <c r="AB427"/>
  <c r="BH427"/>
  <c r="CN427"/>
  <c r="F449"/>
  <c r="AL449"/>
  <c r="BR449"/>
  <c r="F450"/>
  <c r="AL450"/>
  <c r="BR450"/>
  <c r="F451"/>
  <c r="AL451"/>
  <c r="BR451"/>
  <c r="AD473"/>
  <c r="A479"/>
  <c r="A480"/>
  <c r="A481"/>
  <c r="A482"/>
  <c r="T489"/>
  <c r="T490"/>
  <c r="Z504"/>
  <c r="Z505"/>
  <c r="N506"/>
  <c r="C521"/>
  <c r="C522"/>
  <c r="C523"/>
  <c r="L4" i="6"/>
  <c r="B5"/>
  <c r="D5"/>
  <c r="G5"/>
  <c r="L5"/>
  <c r="I9"/>
  <c r="J9"/>
  <c r="I10"/>
  <c r="J10"/>
  <c r="I11"/>
  <c r="J11"/>
  <c r="O41"/>
  <c r="D19" i="33"/>
  <c r="I12" i="6"/>
  <c r="J12"/>
  <c r="I13"/>
  <c r="J13"/>
  <c r="I14"/>
  <c r="J14"/>
  <c r="I15"/>
  <c r="J15"/>
  <c r="I16"/>
  <c r="J16"/>
  <c r="D250" i="25"/>
  <c r="D251"/>
  <c r="E250"/>
  <c r="E251"/>
  <c r="F250"/>
  <c r="F251"/>
  <c r="I17" i="6"/>
  <c r="J17"/>
  <c r="H179" i="12"/>
  <c r="H182" s="1"/>
  <c r="H181"/>
  <c r="B179"/>
  <c r="H26" i="6"/>
  <c r="I179" i="12"/>
  <c r="I182" s="1"/>
  <c r="D38" i="6"/>
  <c r="J179" i="12"/>
  <c r="J181"/>
  <c r="K179"/>
  <c r="K180"/>
  <c r="F47" i="11"/>
  <c r="F58"/>
  <c r="F59"/>
  <c r="F7"/>
  <c r="F38"/>
  <c r="F46"/>
  <c r="F44"/>
  <c r="F19"/>
  <c r="F20"/>
  <c r="F21"/>
  <c r="F22"/>
  <c r="F23"/>
  <c r="F24"/>
  <c r="F25"/>
  <c r="F26"/>
  <c r="F27"/>
  <c r="F28"/>
  <c r="F31"/>
  <c r="F37"/>
  <c r="F39"/>
  <c r="F40"/>
  <c r="F41"/>
  <c r="F42"/>
  <c r="F45"/>
  <c r="F48"/>
  <c r="F49"/>
  <c r="F50"/>
  <c r="F51"/>
  <c r="F52"/>
  <c r="F53"/>
  <c r="F54"/>
  <c r="F55"/>
  <c r="F56"/>
  <c r="F57"/>
  <c r="F60"/>
  <c r="F61"/>
  <c r="F62"/>
  <c r="F63"/>
  <c r="F64"/>
  <c r="F66"/>
  <c r="F67"/>
  <c r="F69"/>
  <c r="N51"/>
  <c r="N31"/>
  <c r="N43"/>
  <c r="V33"/>
  <c r="X33"/>
  <c r="X37"/>
  <c r="W33"/>
  <c r="AD22" i="6"/>
  <c r="AF22"/>
  <c r="AE34"/>
  <c r="AF34"/>
  <c r="AE25"/>
  <c r="AE26"/>
  <c r="AE27"/>
  <c r="AE28"/>
  <c r="F3" i="11"/>
  <c r="K3"/>
  <c r="N3" s="1"/>
  <c r="N7"/>
  <c r="V7"/>
  <c r="W7"/>
  <c r="X7"/>
  <c r="F8"/>
  <c r="N8"/>
  <c r="V8"/>
  <c r="W8"/>
  <c r="X8"/>
  <c r="N9"/>
  <c r="V9"/>
  <c r="W9"/>
  <c r="X9"/>
  <c r="G10"/>
  <c r="N10"/>
  <c r="V10"/>
  <c r="W10"/>
  <c r="X10"/>
  <c r="C11"/>
  <c r="F11"/>
  <c r="N11"/>
  <c r="V11"/>
  <c r="W11"/>
  <c r="X11"/>
  <c r="C12"/>
  <c r="F12"/>
  <c r="N12"/>
  <c r="V12"/>
  <c r="W12"/>
  <c r="X12"/>
  <c r="C13"/>
  <c r="F13"/>
  <c r="K13"/>
  <c r="N13"/>
  <c r="V13"/>
  <c r="W13"/>
  <c r="X13"/>
  <c r="C14"/>
  <c r="F14"/>
  <c r="N14"/>
  <c r="V14"/>
  <c r="W14"/>
  <c r="X14"/>
  <c r="C15"/>
  <c r="F15"/>
  <c r="N15"/>
  <c r="V15"/>
  <c r="W15"/>
  <c r="X15"/>
  <c r="F16"/>
  <c r="N16"/>
  <c r="V16"/>
  <c r="W16"/>
  <c r="X16"/>
  <c r="K17"/>
  <c r="N17"/>
  <c r="V17"/>
  <c r="W17"/>
  <c r="X17"/>
  <c r="F18"/>
  <c r="N18"/>
  <c r="V18"/>
  <c r="W18"/>
  <c r="X18"/>
  <c r="N19"/>
  <c r="V19"/>
  <c r="W19"/>
  <c r="X19"/>
  <c r="N20"/>
  <c r="V20"/>
  <c r="W20"/>
  <c r="X20"/>
  <c r="N21"/>
  <c r="V21"/>
  <c r="W21"/>
  <c r="X21"/>
  <c r="N22"/>
  <c r="V22"/>
  <c r="W22"/>
  <c r="X22"/>
  <c r="AD22"/>
  <c r="V48"/>
  <c r="V50"/>
  <c r="N23"/>
  <c r="V23"/>
  <c r="W23"/>
  <c r="X23"/>
  <c r="AD23"/>
  <c r="W50"/>
  <c r="N24"/>
  <c r="V24"/>
  <c r="W24"/>
  <c r="X24"/>
  <c r="AD24"/>
  <c r="N25"/>
  <c r="V25"/>
  <c r="W25"/>
  <c r="X25"/>
  <c r="N26"/>
  <c r="V26"/>
  <c r="W26"/>
  <c r="X26"/>
  <c r="N27"/>
  <c r="V27"/>
  <c r="W27"/>
  <c r="X27"/>
  <c r="G28"/>
  <c r="N28"/>
  <c r="V28"/>
  <c r="W28"/>
  <c r="X28"/>
  <c r="G29"/>
  <c r="N29"/>
  <c r="V29"/>
  <c r="W29"/>
  <c r="X29"/>
  <c r="V30"/>
  <c r="W30"/>
  <c r="X30"/>
  <c r="V31"/>
  <c r="W31"/>
  <c r="X31"/>
  <c r="N32"/>
  <c r="V32"/>
  <c r="W32"/>
  <c r="X32"/>
  <c r="N34"/>
  <c r="V34"/>
  <c r="W34"/>
  <c r="X34"/>
  <c r="N35"/>
  <c r="V35"/>
  <c r="W35"/>
  <c r="X35"/>
  <c r="K36"/>
  <c r="V36"/>
  <c r="W36"/>
  <c r="X36"/>
  <c r="C37"/>
  <c r="N37"/>
  <c r="V37"/>
  <c r="W37"/>
  <c r="K38"/>
  <c r="N38"/>
  <c r="V38"/>
  <c r="W38"/>
  <c r="X38"/>
  <c r="K39"/>
  <c r="N39"/>
  <c r="V39"/>
  <c r="W39"/>
  <c r="X39"/>
  <c r="K40"/>
  <c r="N40"/>
  <c r="V40"/>
  <c r="W40"/>
  <c r="X40"/>
  <c r="AD40"/>
  <c r="AF40"/>
  <c r="K41"/>
  <c r="N41"/>
  <c r="V41"/>
  <c r="W41"/>
  <c r="X41"/>
  <c r="AD41"/>
  <c r="AF41" s="1"/>
  <c r="K42"/>
  <c r="N42"/>
  <c r="N44"/>
  <c r="N45"/>
  <c r="N46"/>
  <c r="V46"/>
  <c r="W46"/>
  <c r="X46"/>
  <c r="N47"/>
  <c r="V47"/>
  <c r="W47"/>
  <c r="X47"/>
  <c r="N48"/>
  <c r="W48"/>
  <c r="X48"/>
  <c r="N49"/>
  <c r="V49"/>
  <c r="W49"/>
  <c r="X49"/>
  <c r="G50"/>
  <c r="N50"/>
  <c r="X50"/>
  <c r="V51"/>
  <c r="W51"/>
  <c r="X51"/>
  <c r="G52"/>
  <c r="N52"/>
  <c r="G53"/>
  <c r="N53"/>
  <c r="G54"/>
  <c r="G55"/>
  <c r="G56"/>
  <c r="H57"/>
  <c r="D2" i="33"/>
  <c r="AB47"/>
  <c r="C3"/>
  <c r="AB48"/>
  <c r="G4"/>
  <c r="B557" i="9"/>
  <c r="AM600"/>
  <c r="AM601"/>
  <c r="AM602"/>
  <c r="AM603"/>
  <c r="AM604"/>
  <c r="AM605"/>
  <c r="AM606"/>
  <c r="AM607"/>
  <c r="AM608"/>
  <c r="AM609"/>
  <c r="AM610"/>
  <c r="AM611"/>
  <c r="AM612"/>
  <c r="AM613"/>
  <c r="AM614"/>
  <c r="AM615"/>
  <c r="AM616"/>
  <c r="AM617"/>
  <c r="AM618"/>
  <c r="AM619"/>
  <c r="AM620"/>
  <c r="AM622"/>
  <c r="AM623"/>
  <c r="AM624"/>
  <c r="AM625"/>
  <c r="AM626"/>
  <c r="AM627"/>
  <c r="AM628"/>
  <c r="AM629"/>
  <c r="AM630"/>
  <c r="AM631"/>
  <c r="AM632"/>
  <c r="AM633"/>
  <c r="AM634"/>
  <c r="AM635"/>
  <c r="AM636"/>
  <c r="AM637"/>
  <c r="AM638"/>
  <c r="AM639"/>
  <c r="AM640"/>
  <c r="AM641"/>
  <c r="AM642"/>
  <c r="AM643"/>
  <c r="AM644"/>
  <c r="AM645"/>
  <c r="AM646"/>
  <c r="AM647"/>
  <c r="AM648"/>
  <c r="AM649"/>
  <c r="AM650"/>
  <c r="AM152"/>
  <c r="AM153"/>
  <c r="AM154"/>
  <c r="AM155"/>
  <c r="AM156"/>
  <c r="AM218"/>
  <c r="AM219"/>
  <c r="AM220"/>
  <c r="AM221"/>
  <c r="AM222"/>
  <c r="AM225"/>
  <c r="AM223"/>
  <c r="AM224"/>
  <c r="AM228"/>
  <c r="AM229"/>
  <c r="AM230"/>
  <c r="AM232"/>
  <c r="AM226"/>
  <c r="AM884"/>
  <c r="AM584"/>
  <c r="E13" i="33"/>
  <c r="G13"/>
  <c r="E15"/>
  <c r="G15"/>
  <c r="I15"/>
  <c r="D17"/>
  <c r="F17" s="1"/>
  <c r="E17"/>
  <c r="D20"/>
  <c r="D21"/>
  <c r="A2" i="9"/>
  <c r="AF62"/>
  <c r="AF63"/>
  <c r="AF67"/>
  <c r="AF70"/>
  <c r="AF71"/>
  <c r="AF72"/>
  <c r="AF73"/>
  <c r="AF74"/>
  <c r="AF81"/>
  <c r="B92"/>
  <c r="B94"/>
  <c r="B97"/>
  <c r="B98"/>
  <c r="AF99"/>
  <c r="AF101"/>
  <c r="AK152"/>
  <c r="AN152"/>
  <c r="AK153"/>
  <c r="AN153"/>
  <c r="AN154"/>
  <c r="AK155"/>
  <c r="AN155"/>
  <c r="AK156"/>
  <c r="AN156"/>
  <c r="B203"/>
  <c r="B204"/>
  <c r="AK218"/>
  <c r="AN218"/>
  <c r="AK219"/>
  <c r="AN219"/>
  <c r="AK220"/>
  <c r="AN220"/>
  <c r="AK221"/>
  <c r="AN221"/>
  <c r="AK222"/>
  <c r="AN222"/>
  <c r="AK225"/>
  <c r="AN225"/>
  <c r="AK223"/>
  <c r="AN223"/>
  <c r="AK224"/>
  <c r="AN224"/>
  <c r="AK228"/>
  <c r="AN228"/>
  <c r="AK229"/>
  <c r="AN229"/>
  <c r="AK230"/>
  <c r="AN230"/>
  <c r="AK232"/>
  <c r="AN232"/>
  <c r="AK226"/>
  <c r="AN226"/>
  <c r="AF477"/>
  <c r="AF481"/>
  <c r="AF485"/>
  <c r="AF547"/>
  <c r="AK884"/>
  <c r="AN884"/>
  <c r="AK584"/>
  <c r="AN584"/>
  <c r="AN600"/>
  <c r="AN601"/>
  <c r="AN602"/>
  <c r="AN603"/>
  <c r="AN604"/>
  <c r="AN605"/>
  <c r="AN606"/>
  <c r="AN607"/>
  <c r="AN608"/>
  <c r="AN609"/>
  <c r="AN610"/>
  <c r="AN611"/>
  <c r="AN612"/>
  <c r="AN613"/>
  <c r="AN614"/>
  <c r="AN615"/>
  <c r="AN616"/>
  <c r="AN617"/>
  <c r="AN618"/>
  <c r="AN619"/>
  <c r="AN620"/>
  <c r="AK622"/>
  <c r="AN622"/>
  <c r="AK623"/>
  <c r="AN623"/>
  <c r="AK624"/>
  <c r="AN624"/>
  <c r="AK625"/>
  <c r="AN625"/>
  <c r="AK626"/>
  <c r="AN626"/>
  <c r="AK627"/>
  <c r="AN627"/>
  <c r="AK628"/>
  <c r="AN628"/>
  <c r="AK629"/>
  <c r="AN629"/>
  <c r="AK630"/>
  <c r="AN630"/>
  <c r="AK631"/>
  <c r="AN631"/>
  <c r="AK632"/>
  <c r="AN632"/>
  <c r="AK633"/>
  <c r="AN633"/>
  <c r="AK634"/>
  <c r="AN634"/>
  <c r="AK635"/>
  <c r="AN635"/>
  <c r="AK636"/>
  <c r="AN636"/>
  <c r="AK637"/>
  <c r="AN637"/>
  <c r="AK638"/>
  <c r="AN638"/>
  <c r="AK639"/>
  <c r="AN639"/>
  <c r="AK640"/>
  <c r="AN640"/>
  <c r="AK641"/>
  <c r="AN641"/>
  <c r="AK642"/>
  <c r="AN642"/>
  <c r="AK643"/>
  <c r="AN643"/>
  <c r="AK644"/>
  <c r="AN644"/>
  <c r="AK645"/>
  <c r="AN645"/>
  <c r="AK646"/>
  <c r="AN646"/>
  <c r="AK647"/>
  <c r="AN647"/>
  <c r="AK648"/>
  <c r="AN648"/>
  <c r="AK649"/>
  <c r="AN649"/>
  <c r="AK650"/>
  <c r="AN650"/>
  <c r="B771"/>
  <c r="B832"/>
  <c r="B1" i="12"/>
  <c r="O16"/>
  <c r="D157"/>
  <c r="D158"/>
  <c r="D160"/>
  <c r="C178"/>
  <c r="D178"/>
  <c r="I185"/>
  <c r="E35" i="19"/>
  <c r="E36"/>
  <c r="E42"/>
  <c r="E43"/>
  <c r="D49"/>
  <c r="E54"/>
  <c r="E55"/>
  <c r="E56"/>
  <c r="E58"/>
  <c r="E59"/>
  <c r="E60"/>
  <c r="E61"/>
  <c r="E63"/>
  <c r="E68"/>
  <c r="E69"/>
  <c r="AP90"/>
  <c r="AT90"/>
  <c r="E91"/>
  <c r="AP91"/>
  <c r="AT91"/>
  <c r="E92"/>
  <c r="AP92"/>
  <c r="AT92"/>
  <c r="E93"/>
  <c r="AP93"/>
  <c r="AT93"/>
  <c r="AP94"/>
  <c r="AT94"/>
  <c r="AP95"/>
  <c r="AT95"/>
  <c r="AP96"/>
  <c r="AT96"/>
  <c r="AP97"/>
  <c r="AT97"/>
  <c r="AP99"/>
  <c r="AT99"/>
  <c r="AP100"/>
  <c r="AT100"/>
  <c r="AP101"/>
  <c r="AT101"/>
  <c r="AP102"/>
  <c r="AP103"/>
  <c r="AT103"/>
  <c r="AP106"/>
  <c r="AT106"/>
  <c r="AP107"/>
  <c r="AT107"/>
  <c r="AP108"/>
  <c r="AT108"/>
  <c r="E109"/>
  <c r="AP110"/>
  <c r="AT110"/>
  <c r="AP111"/>
  <c r="AT111"/>
  <c r="AP112"/>
  <c r="AT112"/>
  <c r="E113"/>
  <c r="AP114"/>
  <c r="AT114"/>
  <c r="AP115"/>
  <c r="AT115"/>
  <c r="AP116"/>
  <c r="U59" i="36" s="1"/>
  <c r="AT116" i="19"/>
  <c r="E117"/>
  <c r="AP118"/>
  <c r="AT118"/>
  <c r="AP119"/>
  <c r="AT119"/>
  <c r="AP120"/>
  <c r="AT120"/>
  <c r="E121"/>
  <c r="E150"/>
  <c r="H297" i="36"/>
  <c r="K297"/>
  <c r="E176" i="19"/>
  <c r="J176"/>
  <c r="E177"/>
  <c r="J177"/>
  <c r="H179"/>
  <c r="H178" s="1"/>
  <c r="H232" s="1"/>
  <c r="J178"/>
  <c r="J179"/>
  <c r="J180"/>
  <c r="J181"/>
  <c r="J182"/>
  <c r="J183"/>
  <c r="J184"/>
  <c r="J185"/>
  <c r="J186"/>
  <c r="J187"/>
  <c r="J188"/>
  <c r="J189"/>
  <c r="J196"/>
  <c r="J197"/>
  <c r="J198"/>
  <c r="J199"/>
  <c r="J203"/>
  <c r="J204"/>
  <c r="K204"/>
  <c r="J205"/>
  <c r="J206"/>
  <c r="J207"/>
  <c r="J208"/>
  <c r="J209"/>
  <c r="J210"/>
  <c r="E214"/>
  <c r="E217"/>
  <c r="J214"/>
  <c r="J215"/>
  <c r="J216"/>
  <c r="J217"/>
  <c r="J221"/>
  <c r="J222"/>
  <c r="J226"/>
  <c r="J227"/>
  <c r="J228"/>
  <c r="J229"/>
  <c r="J230"/>
  <c r="N16" i="17"/>
  <c r="N17"/>
  <c r="N18"/>
  <c r="N19"/>
  <c r="N20"/>
  <c r="N21"/>
  <c r="N22"/>
  <c r="N23"/>
  <c r="N24"/>
  <c r="N25"/>
  <c r="N26"/>
  <c r="N27"/>
  <c r="N28"/>
  <c r="N29"/>
  <c r="T3"/>
  <c r="U42" s="1"/>
  <c r="T4"/>
  <c r="T5"/>
  <c r="T6"/>
  <c r="T7"/>
  <c r="T8"/>
  <c r="T9"/>
  <c r="T10"/>
  <c r="T11"/>
  <c r="T12"/>
  <c r="T13"/>
  <c r="T14"/>
  <c r="T15"/>
  <c r="T16"/>
  <c r="T17"/>
  <c r="T18"/>
  <c r="T19"/>
  <c r="T20"/>
  <c r="T21"/>
  <c r="T22"/>
  <c r="T23"/>
  <c r="T24"/>
  <c r="T25"/>
  <c r="T26"/>
  <c r="T27"/>
  <c r="T28"/>
  <c r="T29"/>
  <c r="T30"/>
  <c r="T31"/>
  <c r="T32"/>
  <c r="T33"/>
  <c r="T52" s="1"/>
  <c r="T34"/>
  <c r="T35"/>
  <c r="G21" i="29"/>
  <c r="N48" i="17"/>
  <c r="N49"/>
  <c r="N50"/>
  <c r="N51"/>
  <c r="AB2"/>
  <c r="AB3"/>
  <c r="AB4"/>
  <c r="AB5"/>
  <c r="AB6"/>
  <c r="AB7"/>
  <c r="AB8"/>
  <c r="AB9"/>
  <c r="AB10"/>
  <c r="AB11"/>
  <c r="M16"/>
  <c r="M17"/>
  <c r="O26" s="1"/>
  <c r="M3" s="1"/>
  <c r="M18"/>
  <c r="M19"/>
  <c r="M20"/>
  <c r="M21"/>
  <c r="M22"/>
  <c r="M23"/>
  <c r="M24"/>
  <c r="M25"/>
  <c r="M26"/>
  <c r="M27"/>
  <c r="M28"/>
  <c r="M29"/>
  <c r="S3"/>
  <c r="S4"/>
  <c r="S5"/>
  <c r="S6"/>
  <c r="S7"/>
  <c r="S8"/>
  <c r="S9"/>
  <c r="S10"/>
  <c r="S11"/>
  <c r="S12"/>
  <c r="S13"/>
  <c r="S14"/>
  <c r="S15"/>
  <c r="S16"/>
  <c r="S17"/>
  <c r="S18"/>
  <c r="S19"/>
  <c r="S20"/>
  <c r="S21"/>
  <c r="S22"/>
  <c r="S23"/>
  <c r="S24"/>
  <c r="S25"/>
  <c r="S26"/>
  <c r="S27"/>
  <c r="S28"/>
  <c r="S29"/>
  <c r="S30"/>
  <c r="S31"/>
  <c r="S32"/>
  <c r="F21" i="29"/>
  <c r="N43" i="17"/>
  <c r="N44"/>
  <c r="N45"/>
  <c r="N46"/>
  <c r="AB15"/>
  <c r="AB37" s="1"/>
  <c r="AB16"/>
  <c r="AB17"/>
  <c r="AB18"/>
  <c r="AB19"/>
  <c r="AB20"/>
  <c r="AB21"/>
  <c r="AB22"/>
  <c r="AB23"/>
  <c r="AB24"/>
  <c r="AB25"/>
  <c r="AB26"/>
  <c r="AB27"/>
  <c r="AB28"/>
  <c r="AB29"/>
  <c r="AB30"/>
  <c r="AB31"/>
  <c r="AB32"/>
  <c r="AB33"/>
  <c r="AB34"/>
  <c r="AB35"/>
  <c r="AB36"/>
  <c r="F22"/>
  <c r="F23"/>
  <c r="E2" i="42"/>
  <c r="N2"/>
  <c r="E3"/>
  <c r="N3"/>
  <c r="E4"/>
  <c r="N4"/>
  <c r="C5"/>
  <c r="D5"/>
  <c r="E5"/>
  <c r="N5"/>
  <c r="C6"/>
  <c r="D6"/>
  <c r="E6"/>
  <c r="N6"/>
  <c r="C7"/>
  <c r="D7"/>
  <c r="E7"/>
  <c r="N7"/>
  <c r="C8"/>
  <c r="D8"/>
  <c r="E8"/>
  <c r="N8"/>
  <c r="E9"/>
  <c r="N9"/>
  <c r="C10"/>
  <c r="D10"/>
  <c r="E10"/>
  <c r="N10"/>
  <c r="E11"/>
  <c r="N11"/>
  <c r="C12"/>
  <c r="D12"/>
  <c r="E12"/>
  <c r="N12"/>
  <c r="E13"/>
  <c r="N13"/>
  <c r="C14"/>
  <c r="D14"/>
  <c r="E14"/>
  <c r="N14"/>
  <c r="C15"/>
  <c r="D15"/>
  <c r="E15"/>
  <c r="N15"/>
  <c r="C16"/>
  <c r="D16"/>
  <c r="E16"/>
  <c r="N16"/>
  <c r="E17"/>
  <c r="N17"/>
  <c r="C18"/>
  <c r="D18"/>
  <c r="E18"/>
  <c r="N18"/>
  <c r="E19"/>
  <c r="N19"/>
  <c r="C20"/>
  <c r="D20"/>
  <c r="E20"/>
  <c r="N20"/>
  <c r="C21"/>
  <c r="D21"/>
  <c r="E21"/>
  <c r="C22"/>
  <c r="D22"/>
  <c r="E22"/>
  <c r="E23"/>
  <c r="C24"/>
  <c r="D24"/>
  <c r="E24"/>
  <c r="C25"/>
  <c r="D25"/>
  <c r="E25"/>
  <c r="C26"/>
  <c r="D26"/>
  <c r="E26"/>
  <c r="E27"/>
  <c r="C28"/>
  <c r="D28"/>
  <c r="E28"/>
  <c r="C29"/>
  <c r="D29"/>
  <c r="E29"/>
  <c r="C30"/>
  <c r="D30"/>
  <c r="E30"/>
  <c r="E31"/>
  <c r="C32"/>
  <c r="D32"/>
  <c r="E32"/>
  <c r="C33"/>
  <c r="D33"/>
  <c r="E33"/>
  <c r="C34"/>
  <c r="D34"/>
  <c r="E34"/>
  <c r="C35"/>
  <c r="D35"/>
  <c r="E35"/>
  <c r="C37"/>
  <c r="C38"/>
  <c r="C39"/>
  <c r="C40"/>
  <c r="C41"/>
  <c r="C42"/>
  <c r="C43"/>
  <c r="C44"/>
  <c r="C45"/>
  <c r="C46"/>
  <c r="C47"/>
  <c r="C48"/>
  <c r="AA48"/>
  <c r="C49"/>
  <c r="AA49"/>
  <c r="C50"/>
  <c r="C51"/>
  <c r="C52"/>
  <c r="C53"/>
  <c r="C54"/>
  <c r="C55"/>
  <c r="C56"/>
  <c r="C57"/>
  <c r="C58"/>
  <c r="C59"/>
  <c r="C60"/>
  <c r="C61"/>
  <c r="C62"/>
  <c r="C63"/>
  <c r="C64"/>
  <c r="C65"/>
  <c r="C66"/>
  <c r="C67"/>
  <c r="C68"/>
  <c r="C69"/>
  <c r="AA69"/>
  <c r="C70"/>
  <c r="AA70"/>
  <c r="AA71"/>
  <c r="AA72"/>
  <c r="AA73"/>
  <c r="AA74"/>
  <c r="AA77"/>
  <c r="AC77"/>
  <c r="T126"/>
  <c r="T127"/>
  <c r="T128"/>
  <c r="AA29" i="17" s="1"/>
  <c r="T129" i="42"/>
  <c r="AA30" i="17" s="1"/>
  <c r="T130" i="42"/>
  <c r="T131"/>
  <c r="AF176"/>
  <c r="W177"/>
  <c r="AF177"/>
  <c r="W178"/>
  <c r="AF178"/>
  <c r="W179"/>
  <c r="AF179"/>
  <c r="W180"/>
  <c r="AF180"/>
  <c r="W181"/>
  <c r="AF181"/>
  <c r="W182"/>
  <c r="AF182"/>
  <c r="W183"/>
  <c r="AF183"/>
  <c r="W184"/>
  <c r="AF184"/>
  <c r="W185"/>
  <c r="AF185"/>
  <c r="W186"/>
  <c r="AF186"/>
  <c r="W187"/>
  <c r="AF187"/>
  <c r="W188"/>
  <c r="AF188"/>
  <c r="W189"/>
  <c r="AF189"/>
  <c r="W190"/>
  <c r="AF190"/>
  <c r="W191"/>
  <c r="AF191"/>
  <c r="W192"/>
  <c r="AF192"/>
  <c r="W193"/>
  <c r="AF193"/>
  <c r="W194"/>
  <c r="AF194"/>
  <c r="W195"/>
  <c r="AF195"/>
  <c r="W196"/>
  <c r="AF196"/>
  <c r="W197"/>
  <c r="AF197"/>
  <c r="W198"/>
  <c r="AF198"/>
  <c r="W199"/>
  <c r="AF199"/>
  <c r="W200"/>
  <c r="AF200"/>
  <c r="W201"/>
  <c r="AF201"/>
  <c r="W202"/>
  <c r="AF202"/>
  <c r="W203"/>
  <c r="AF203"/>
  <c r="W204"/>
  <c r="AF204"/>
  <c r="W205"/>
  <c r="W206"/>
  <c r="W207"/>
  <c r="AF207"/>
  <c r="AF208"/>
  <c r="AF209"/>
  <c r="W210"/>
  <c r="AF210"/>
  <c r="W211"/>
  <c r="AF211"/>
  <c r="W212"/>
  <c r="AF212"/>
  <c r="W213"/>
  <c r="AF213"/>
  <c r="W214"/>
  <c r="AF214"/>
  <c r="W215"/>
  <c r="AF215"/>
  <c r="U216"/>
  <c r="W216" s="1"/>
  <c r="AF216"/>
  <c r="U217"/>
  <c r="W217"/>
  <c r="AF217"/>
  <c r="U218"/>
  <c r="W218" s="1"/>
  <c r="AF218"/>
  <c r="U219"/>
  <c r="W219"/>
  <c r="AF219"/>
  <c r="U220"/>
  <c r="W220" s="1"/>
  <c r="AF220"/>
  <c r="U221"/>
  <c r="W221"/>
  <c r="AF221"/>
  <c r="U222"/>
  <c r="W222" s="1"/>
  <c r="AF222"/>
  <c r="U223"/>
  <c r="W223"/>
  <c r="AF223"/>
  <c r="U224"/>
  <c r="W224"/>
  <c r="AF224"/>
  <c r="W225"/>
  <c r="AF225"/>
  <c r="W226"/>
  <c r="AF226"/>
  <c r="W227"/>
  <c r="AF227"/>
  <c r="U228"/>
  <c r="W228" s="1"/>
  <c r="AF228"/>
  <c r="U229"/>
  <c r="W229"/>
  <c r="AF229"/>
  <c r="U230"/>
  <c r="W230"/>
  <c r="AF230"/>
  <c r="U231"/>
  <c r="W231" s="1"/>
  <c r="AF231"/>
  <c r="U232"/>
  <c r="W232"/>
  <c r="AF232"/>
  <c r="U233"/>
  <c r="W233" s="1"/>
  <c r="AF233"/>
  <c r="U234"/>
  <c r="W234"/>
  <c r="AF234"/>
  <c r="U235"/>
  <c r="W235" s="1"/>
  <c r="U236"/>
  <c r="W236"/>
  <c r="AF236"/>
  <c r="W237"/>
  <c r="AF237"/>
  <c r="U238"/>
  <c r="W238" s="1"/>
  <c r="AF238"/>
  <c r="U239"/>
  <c r="W239"/>
  <c r="AF239"/>
  <c r="U240"/>
  <c r="W240" s="1"/>
  <c r="AF240"/>
  <c r="U241"/>
  <c r="W241"/>
  <c r="AF241"/>
  <c r="U242"/>
  <c r="W242" s="1"/>
  <c r="AF242"/>
  <c r="U243"/>
  <c r="W243"/>
  <c r="AF243"/>
  <c r="U244"/>
  <c r="W244" s="1"/>
  <c r="AF244"/>
  <c r="U245"/>
  <c r="W245"/>
  <c r="AF245"/>
  <c r="W246"/>
  <c r="AF246"/>
  <c r="W247"/>
  <c r="AF247"/>
  <c r="U248"/>
  <c r="W248" s="1"/>
  <c r="AF248"/>
  <c r="U249"/>
  <c r="W249"/>
  <c r="AF249"/>
  <c r="U250"/>
  <c r="W250" s="1"/>
  <c r="U251"/>
  <c r="W251"/>
  <c r="AF251"/>
  <c r="U252"/>
  <c r="W252" s="1"/>
  <c r="AB252"/>
  <c r="AF252"/>
  <c r="U253"/>
  <c r="W253" s="1"/>
  <c r="AF253"/>
  <c r="U254"/>
  <c r="W254"/>
  <c r="AF254"/>
  <c r="U255"/>
  <c r="W255" s="1"/>
  <c r="AF255"/>
  <c r="U256"/>
  <c r="W256"/>
  <c r="AF256"/>
  <c r="U257"/>
  <c r="W257" s="1"/>
  <c r="AF257"/>
  <c r="W258"/>
  <c r="AF258"/>
  <c r="W259"/>
  <c r="AF259"/>
  <c r="U260"/>
  <c r="W260"/>
  <c r="AF260"/>
  <c r="U261"/>
  <c r="W261" s="1"/>
  <c r="U262"/>
  <c r="W262"/>
  <c r="U263"/>
  <c r="W263" s="1"/>
  <c r="AF263"/>
  <c r="AF264"/>
  <c r="W265"/>
  <c r="AF265"/>
  <c r="W266"/>
  <c r="AF266"/>
  <c r="W267"/>
  <c r="AF267"/>
  <c r="W268"/>
  <c r="AF268"/>
  <c r="W269"/>
  <c r="AF269"/>
  <c r="W270"/>
  <c r="AF270"/>
  <c r="W271"/>
  <c r="AF271"/>
  <c r="W272"/>
  <c r="AF272"/>
  <c r="W273"/>
  <c r="AF273"/>
  <c r="W274"/>
  <c r="AF274"/>
  <c r="W275"/>
  <c r="AF275"/>
  <c r="W276"/>
  <c r="AF276"/>
  <c r="W277"/>
  <c r="AF277"/>
  <c r="W278"/>
  <c r="AF278"/>
  <c r="W279"/>
  <c r="W280"/>
  <c r="W281"/>
  <c r="AF281"/>
  <c r="W282"/>
  <c r="AF282"/>
  <c r="W283"/>
  <c r="AF283"/>
  <c r="W284"/>
  <c r="AF284"/>
  <c r="W285"/>
  <c r="AF285"/>
  <c r="W286"/>
  <c r="AF286"/>
  <c r="W287"/>
  <c r="AF287"/>
  <c r="W288"/>
  <c r="AF288"/>
  <c r="W289"/>
  <c r="AF289"/>
  <c r="W290"/>
  <c r="AF290"/>
  <c r="W291"/>
  <c r="AF291"/>
  <c r="W292"/>
  <c r="AF292"/>
  <c r="W293"/>
  <c r="AF293"/>
  <c r="W294"/>
  <c r="AF294"/>
  <c r="W295"/>
  <c r="AF295"/>
  <c r="W296"/>
  <c r="AF296"/>
  <c r="W297"/>
  <c r="AF297"/>
  <c r="W298"/>
  <c r="AF298"/>
  <c r="W299"/>
  <c r="AF299"/>
  <c r="W300"/>
  <c r="AF300"/>
  <c r="W301"/>
  <c r="AF301"/>
  <c r="W302"/>
  <c r="W303"/>
  <c r="AF303"/>
  <c r="W304"/>
  <c r="AF304"/>
  <c r="W305"/>
  <c r="AF305"/>
  <c r="W306"/>
  <c r="AF306"/>
  <c r="W307"/>
  <c r="AF307"/>
  <c r="W308"/>
  <c r="W309"/>
  <c r="W310"/>
  <c r="W311"/>
  <c r="W312"/>
  <c r="W314"/>
  <c r="AF314"/>
  <c r="W315"/>
  <c r="AF315"/>
  <c r="W316"/>
  <c r="W317"/>
  <c r="AF317"/>
  <c r="W318"/>
  <c r="AF318"/>
  <c r="W319"/>
  <c r="AF319"/>
  <c r="W320"/>
  <c r="AF320"/>
  <c r="W321"/>
  <c r="AF321"/>
  <c r="W322"/>
  <c r="AF322"/>
  <c r="W323"/>
  <c r="AF323"/>
  <c r="W324"/>
  <c r="AF324"/>
  <c r="W325"/>
  <c r="AF325"/>
  <c r="W326"/>
  <c r="W327"/>
  <c r="AF327"/>
  <c r="W328"/>
  <c r="AF328"/>
  <c r="W329"/>
  <c r="AF329"/>
  <c r="W330"/>
  <c r="AF330"/>
  <c r="W331"/>
  <c r="AF331"/>
  <c r="W332"/>
  <c r="AF332"/>
  <c r="W333"/>
  <c r="AF333"/>
  <c r="W334"/>
  <c r="AF334"/>
  <c r="W335"/>
  <c r="AF335"/>
  <c r="W336"/>
  <c r="W337"/>
  <c r="AF337"/>
  <c r="W338"/>
  <c r="AF338"/>
  <c r="W339"/>
  <c r="AF339"/>
  <c r="AF340"/>
  <c r="W342"/>
  <c r="AF342"/>
  <c r="W343"/>
  <c r="AF343"/>
  <c r="W344"/>
  <c r="AF344"/>
  <c r="W345"/>
  <c r="AF345"/>
  <c r="W346"/>
  <c r="AF346"/>
  <c r="W347"/>
  <c r="AF347"/>
  <c r="W348"/>
  <c r="AF348"/>
  <c r="W349"/>
  <c r="AF349"/>
  <c r="W350"/>
  <c r="AF350"/>
  <c r="W351"/>
  <c r="AF351"/>
  <c r="W352"/>
  <c r="AF352"/>
  <c r="W353"/>
  <c r="AF353"/>
  <c r="W354"/>
  <c r="AF354"/>
  <c r="W355"/>
  <c r="AF355"/>
  <c r="W356"/>
  <c r="W357"/>
  <c r="W360"/>
  <c r="W361"/>
  <c r="W362"/>
  <c r="W363"/>
  <c r="W364"/>
  <c r="W365"/>
  <c r="W366"/>
  <c r="W367"/>
  <c r="W368"/>
  <c r="W369"/>
  <c r="W370"/>
  <c r="W371"/>
  <c r="W372"/>
  <c r="W373"/>
  <c r="W374"/>
  <c r="W375"/>
  <c r="W376"/>
  <c r="W377"/>
  <c r="W378"/>
  <c r="W379"/>
  <c r="W380"/>
  <c r="W381"/>
  <c r="W382"/>
  <c r="W383"/>
  <c r="W384"/>
  <c r="W385"/>
  <c r="W386"/>
  <c r="W387"/>
  <c r="W388"/>
  <c r="W389"/>
  <c r="W390"/>
  <c r="W391"/>
  <c r="W394"/>
  <c r="W395"/>
  <c r="W396"/>
  <c r="W397"/>
  <c r="W398"/>
  <c r="W399"/>
  <c r="W400"/>
  <c r="W401"/>
  <c r="W402"/>
  <c r="W403"/>
  <c r="W404"/>
  <c r="W406"/>
  <c r="W407"/>
  <c r="W408"/>
  <c r="W409"/>
  <c r="W410"/>
  <c r="W411"/>
  <c r="W412"/>
  <c r="W413"/>
  <c r="W414"/>
  <c r="W415"/>
  <c r="D4" i="29"/>
  <c r="AB4"/>
  <c r="F5"/>
  <c r="AA5"/>
  <c r="AB5"/>
  <c r="E6"/>
  <c r="V18"/>
  <c r="AB25"/>
  <c r="H39"/>
  <c r="H40"/>
  <c r="H41"/>
  <c r="V51"/>
  <c r="G52"/>
  <c r="I52" s="1"/>
  <c r="H52"/>
  <c r="V52"/>
  <c r="E53"/>
  <c r="F53"/>
  <c r="V53"/>
  <c r="E54"/>
  <c r="V54"/>
  <c r="E55"/>
  <c r="V55"/>
  <c r="V56"/>
  <c r="V57"/>
  <c r="V58"/>
  <c r="V59"/>
  <c r="V60"/>
  <c r="C62"/>
  <c r="U64"/>
  <c r="U65"/>
  <c r="U66"/>
  <c r="Y4" i="8"/>
  <c r="AN6"/>
  <c r="E8"/>
  <c r="F8" s="1"/>
  <c r="T9"/>
  <c r="AN10"/>
  <c r="AN11"/>
  <c r="T11"/>
  <c r="AN12"/>
  <c r="S12"/>
  <c r="AN14"/>
  <c r="C13"/>
  <c r="D13"/>
  <c r="AN15"/>
  <c r="AN16"/>
  <c r="AN17"/>
  <c r="AN18"/>
  <c r="C17"/>
  <c r="AN19"/>
  <c r="AN20"/>
  <c r="AN21"/>
  <c r="AN22"/>
  <c r="AN24"/>
  <c r="AN25"/>
  <c r="AN26"/>
  <c r="AN27"/>
  <c r="AN30"/>
  <c r="AN31"/>
  <c r="AN32"/>
  <c r="AN33"/>
  <c r="AN34"/>
  <c r="AN35"/>
  <c r="AN36"/>
  <c r="AR36"/>
  <c r="AS36"/>
  <c r="AN38"/>
  <c r="AN42"/>
  <c r="BK7"/>
  <c r="AR176" i="20"/>
  <c r="BL12" i="8"/>
  <c r="AR179" i="20"/>
  <c r="AR182"/>
  <c r="B182"/>
  <c r="AR183"/>
  <c r="B183"/>
  <c r="AR184"/>
  <c r="B184"/>
  <c r="AR188"/>
  <c r="BG33" i="8"/>
  <c r="BG34"/>
  <c r="BG35"/>
  <c r="BG36"/>
  <c r="BG37"/>
  <c r="BG38"/>
  <c r="BG39"/>
  <c r="BG40"/>
  <c r="BG41"/>
  <c r="BG42"/>
  <c r="BG43"/>
  <c r="BG44"/>
  <c r="BG45"/>
  <c r="BG46"/>
  <c r="BG47"/>
  <c r="BG48"/>
  <c r="BG49"/>
  <c r="BG50"/>
  <c r="BG51"/>
  <c r="BG52"/>
  <c r="BG53"/>
  <c r="BG54"/>
  <c r="BG55"/>
  <c r="BG56"/>
  <c r="BG57"/>
  <c r="BG58"/>
  <c r="BG59"/>
  <c r="BG60"/>
  <c r="BG61"/>
  <c r="L178"/>
  <c r="L180"/>
  <c r="B3" i="32"/>
  <c r="I4"/>
  <c r="L4"/>
  <c r="I5"/>
  <c r="L5"/>
  <c r="I6"/>
  <c r="L6"/>
  <c r="I7"/>
  <c r="L7"/>
  <c r="I8"/>
  <c r="L8"/>
  <c r="I9"/>
  <c r="L9"/>
  <c r="I10"/>
  <c r="L10"/>
  <c r="I11"/>
  <c r="L11"/>
  <c r="I12"/>
  <c r="L12"/>
  <c r="I13"/>
  <c r="L13"/>
  <c r="I14"/>
  <c r="L14"/>
  <c r="I15"/>
  <c r="L15"/>
  <c r="I16"/>
  <c r="L16"/>
  <c r="I17"/>
  <c r="L17"/>
  <c r="I18"/>
  <c r="L18"/>
  <c r="I19"/>
  <c r="L19"/>
  <c r="Q19"/>
  <c r="I21"/>
  <c r="L21"/>
  <c r="B22"/>
  <c r="I23"/>
  <c r="L23"/>
  <c r="I24"/>
  <c r="L24"/>
  <c r="Q24"/>
  <c r="R24" s="1"/>
  <c r="I25"/>
  <c r="L25"/>
  <c r="I26"/>
  <c r="L26"/>
  <c r="I27"/>
  <c r="L27"/>
  <c r="I28"/>
  <c r="L28"/>
  <c r="I29"/>
  <c r="L29"/>
  <c r="I30"/>
  <c r="L30"/>
  <c r="I31"/>
  <c r="L31"/>
  <c r="I32"/>
  <c r="L32"/>
  <c r="I33"/>
  <c r="L33"/>
  <c r="I34"/>
  <c r="L34"/>
  <c r="I35"/>
  <c r="L35"/>
  <c r="I36"/>
  <c r="L36"/>
  <c r="I37"/>
  <c r="L37"/>
  <c r="I38"/>
  <c r="L38"/>
  <c r="I39"/>
  <c r="L39"/>
  <c r="I40"/>
  <c r="L40"/>
  <c r="I41"/>
  <c r="L41"/>
  <c r="I42"/>
  <c r="L42"/>
  <c r="Q42"/>
  <c r="I43"/>
  <c r="L43"/>
  <c r="I44"/>
  <c r="L44"/>
  <c r="I46"/>
  <c r="L46"/>
  <c r="I47"/>
  <c r="L47"/>
  <c r="B54"/>
  <c r="I55"/>
  <c r="L55"/>
  <c r="I56"/>
  <c r="L56"/>
  <c r="I57"/>
  <c r="L57"/>
  <c r="I58"/>
  <c r="L58"/>
  <c r="I59"/>
  <c r="L59"/>
  <c r="I60"/>
  <c r="L60"/>
  <c r="I61"/>
  <c r="L61"/>
  <c r="I62"/>
  <c r="L62"/>
  <c r="I63"/>
  <c r="L63"/>
  <c r="I64"/>
  <c r="L64"/>
  <c r="I65"/>
  <c r="L65"/>
  <c r="I66"/>
  <c r="L66"/>
  <c r="I71"/>
  <c r="L71"/>
  <c r="I72"/>
  <c r="L72"/>
  <c r="I73"/>
  <c r="L73"/>
  <c r="I79"/>
  <c r="L79"/>
  <c r="I80"/>
  <c r="L80"/>
  <c r="I81"/>
  <c r="L81"/>
  <c r="I82"/>
  <c r="L82"/>
  <c r="I85"/>
  <c r="L85"/>
  <c r="I87"/>
  <c r="L87"/>
  <c r="I88"/>
  <c r="L88"/>
  <c r="I91"/>
  <c r="L91"/>
  <c r="I93"/>
  <c r="L93"/>
  <c r="I94"/>
  <c r="L94"/>
  <c r="I98"/>
  <c r="L98"/>
  <c r="I99"/>
  <c r="L99"/>
  <c r="I101"/>
  <c r="L101"/>
  <c r="I102"/>
  <c r="L102"/>
  <c r="I110"/>
  <c r="L110"/>
  <c r="I111"/>
  <c r="L111"/>
  <c r="I112"/>
  <c r="L112"/>
  <c r="I113"/>
  <c r="L113"/>
  <c r="I114"/>
  <c r="L114"/>
  <c r="B135"/>
  <c r="I136"/>
  <c r="L136"/>
  <c r="I137"/>
  <c r="L137"/>
  <c r="I138"/>
  <c r="L138"/>
  <c r="I139"/>
  <c r="L139"/>
  <c r="I140"/>
  <c r="L140"/>
  <c r="I141"/>
  <c r="L141"/>
  <c r="I142"/>
  <c r="L142"/>
  <c r="I143"/>
  <c r="L143"/>
  <c r="I144"/>
  <c r="L144"/>
  <c r="I145"/>
  <c r="L145"/>
  <c r="I146"/>
  <c r="L146"/>
  <c r="I147"/>
  <c r="L147"/>
  <c r="I148"/>
  <c r="L148"/>
  <c r="I149"/>
  <c r="L149"/>
  <c r="I150"/>
  <c r="L150"/>
  <c r="I151"/>
  <c r="L151"/>
  <c r="I152"/>
  <c r="L152"/>
  <c r="I153"/>
  <c r="L153"/>
  <c r="I154"/>
  <c r="L154"/>
  <c r="I155"/>
  <c r="L155"/>
  <c r="I156"/>
  <c r="L156"/>
  <c r="I157"/>
  <c r="L157"/>
  <c r="I158"/>
  <c r="L158"/>
  <c r="I159"/>
  <c r="L159"/>
  <c r="I160"/>
  <c r="L160"/>
  <c r="I161"/>
  <c r="L161"/>
  <c r="I162"/>
  <c r="L162"/>
  <c r="I163"/>
  <c r="L163"/>
  <c r="I164"/>
  <c r="L164"/>
  <c r="I165"/>
  <c r="L165"/>
  <c r="I166"/>
  <c r="L166"/>
  <c r="I167"/>
  <c r="L167"/>
  <c r="I168"/>
  <c r="L168"/>
  <c r="I169"/>
  <c r="L169"/>
  <c r="I170"/>
  <c r="L170"/>
  <c r="I171"/>
  <c r="L171"/>
  <c r="I172"/>
  <c r="L172"/>
  <c r="I173"/>
  <c r="L173"/>
  <c r="I174"/>
  <c r="L174"/>
  <c r="I175"/>
  <c r="L175"/>
  <c r="I176"/>
  <c r="L176"/>
  <c r="I177"/>
  <c r="L177"/>
  <c r="I178"/>
  <c r="L178"/>
  <c r="I179"/>
  <c r="L179"/>
  <c r="I180"/>
  <c r="L180"/>
  <c r="I181"/>
  <c r="L181"/>
  <c r="I182"/>
  <c r="L182"/>
  <c r="I183"/>
  <c r="L183"/>
  <c r="B184"/>
  <c r="I185"/>
  <c r="L185"/>
  <c r="I186"/>
  <c r="L186"/>
  <c r="I187"/>
  <c r="L187"/>
  <c r="I188"/>
  <c r="L188"/>
  <c r="I189"/>
  <c r="L189"/>
  <c r="I190"/>
  <c r="L190"/>
  <c r="I191"/>
  <c r="L191"/>
  <c r="I192"/>
  <c r="L192"/>
  <c r="I193"/>
  <c r="L193"/>
  <c r="I194"/>
  <c r="L194"/>
  <c r="I195"/>
  <c r="L195"/>
  <c r="I196"/>
  <c r="L196"/>
  <c r="I197"/>
  <c r="L197"/>
  <c r="I198"/>
  <c r="L198"/>
  <c r="I199"/>
  <c r="L199"/>
  <c r="I200"/>
  <c r="L200"/>
  <c r="I201"/>
  <c r="L201"/>
  <c r="I202"/>
  <c r="L202"/>
  <c r="I203"/>
  <c r="L203"/>
  <c r="I204"/>
  <c r="L204"/>
  <c r="I205"/>
  <c r="L205"/>
  <c r="I206"/>
  <c r="L206"/>
  <c r="I207"/>
  <c r="L207"/>
  <c r="I208"/>
  <c r="L208"/>
  <c r="I209"/>
  <c r="L209"/>
  <c r="I210"/>
  <c r="L210"/>
  <c r="I211"/>
  <c r="L211"/>
  <c r="I212"/>
  <c r="L212"/>
  <c r="I213"/>
  <c r="L213"/>
  <c r="I214"/>
  <c r="L214"/>
  <c r="I215"/>
  <c r="L215"/>
  <c r="I216"/>
  <c r="L216"/>
  <c r="I217"/>
  <c r="L217"/>
  <c r="I218"/>
  <c r="L218"/>
  <c r="I219"/>
  <c r="L219"/>
  <c r="I220"/>
  <c r="L220"/>
  <c r="I221"/>
  <c r="L221"/>
  <c r="I222"/>
  <c r="L222"/>
  <c r="I223"/>
  <c r="L223"/>
  <c r="I224"/>
  <c r="L224"/>
  <c r="I225"/>
  <c r="L225"/>
  <c r="I226"/>
  <c r="L226"/>
  <c r="I227"/>
  <c r="L227"/>
  <c r="I228"/>
  <c r="L228"/>
  <c r="I229"/>
  <c r="L229"/>
  <c r="I230"/>
  <c r="L230"/>
  <c r="I231"/>
  <c r="L231"/>
  <c r="I232"/>
  <c r="L232"/>
  <c r="I233"/>
  <c r="L233"/>
  <c r="I234"/>
  <c r="L234"/>
  <c r="I235"/>
  <c r="L235"/>
  <c r="I236"/>
  <c r="L236"/>
  <c r="I237"/>
  <c r="L237"/>
  <c r="I238"/>
  <c r="L238"/>
  <c r="I239"/>
  <c r="L239"/>
  <c r="I240"/>
  <c r="L240"/>
  <c r="I241"/>
  <c r="L241"/>
  <c r="I242"/>
  <c r="L242"/>
  <c r="I243"/>
  <c r="L243"/>
  <c r="I244"/>
  <c r="L244"/>
  <c r="I245"/>
  <c r="L245"/>
  <c r="I246"/>
  <c r="L246"/>
  <c r="I247"/>
  <c r="L247"/>
  <c r="I248"/>
  <c r="L248"/>
  <c r="I249"/>
  <c r="L249"/>
  <c r="I250"/>
  <c r="L250"/>
  <c r="I251"/>
  <c r="L251"/>
  <c r="I252"/>
  <c r="L252"/>
  <c r="B253"/>
  <c r="I254"/>
  <c r="L254"/>
  <c r="I255"/>
  <c r="L255"/>
  <c r="I256"/>
  <c r="L256"/>
  <c r="I258"/>
  <c r="L258"/>
  <c r="I259"/>
  <c r="L259"/>
  <c r="I260"/>
  <c r="L260"/>
  <c r="I261"/>
  <c r="L261"/>
  <c r="I262"/>
  <c r="L262"/>
  <c r="I263"/>
  <c r="L263"/>
  <c r="I264"/>
  <c r="L264"/>
  <c r="I265"/>
  <c r="L265"/>
  <c r="I266"/>
  <c r="L266"/>
  <c r="I267"/>
  <c r="L267"/>
  <c r="I268"/>
  <c r="L268"/>
  <c r="I269"/>
  <c r="L269"/>
  <c r="I270"/>
  <c r="L270"/>
  <c r="I271"/>
  <c r="L271"/>
  <c r="I274"/>
  <c r="L274"/>
  <c r="I275"/>
  <c r="L275"/>
  <c r="I276"/>
  <c r="L276"/>
  <c r="I277"/>
  <c r="L277"/>
  <c r="I278"/>
  <c r="L278"/>
  <c r="I279"/>
  <c r="L279"/>
  <c r="I280"/>
  <c r="L280"/>
  <c r="I281"/>
  <c r="L281"/>
  <c r="I282"/>
  <c r="L282"/>
  <c r="I283"/>
  <c r="L283"/>
  <c r="I284"/>
  <c r="L284"/>
  <c r="I285"/>
  <c r="L285"/>
  <c r="I286"/>
  <c r="L286"/>
  <c r="I287"/>
  <c r="L287"/>
  <c r="I288"/>
  <c r="L288"/>
  <c r="I290"/>
  <c r="L290"/>
  <c r="I291"/>
  <c r="L291"/>
  <c r="I292"/>
  <c r="L292"/>
  <c r="I294"/>
  <c r="L294"/>
  <c r="I295"/>
  <c r="L295"/>
  <c r="I296"/>
  <c r="L296"/>
  <c r="I297"/>
  <c r="L297"/>
  <c r="I298"/>
  <c r="L298"/>
  <c r="I299"/>
  <c r="L299"/>
  <c r="I300"/>
  <c r="L300"/>
  <c r="I301"/>
  <c r="L301"/>
  <c r="I302"/>
  <c r="L302"/>
  <c r="I303"/>
  <c r="L303"/>
  <c r="I304"/>
  <c r="L304"/>
  <c r="I305"/>
  <c r="L305"/>
  <c r="I307"/>
  <c r="L307"/>
  <c r="I309"/>
  <c r="L309"/>
  <c r="I310"/>
  <c r="L310"/>
  <c r="I311"/>
  <c r="L311"/>
  <c r="I312"/>
  <c r="L312"/>
  <c r="I313"/>
  <c r="L313"/>
  <c r="I314"/>
  <c r="L314"/>
  <c r="I315"/>
  <c r="L315"/>
  <c r="I316"/>
  <c r="L316"/>
  <c r="I317"/>
  <c r="L317"/>
  <c r="I318"/>
  <c r="L318"/>
  <c r="I319"/>
  <c r="L319"/>
  <c r="I320"/>
  <c r="L320"/>
  <c r="I321"/>
  <c r="L321"/>
  <c r="I324"/>
  <c r="L324"/>
  <c r="I325"/>
  <c r="L325"/>
  <c r="I326"/>
  <c r="L326"/>
  <c r="I327"/>
  <c r="L327"/>
  <c r="I330"/>
  <c r="L330"/>
  <c r="I331"/>
  <c r="L331"/>
  <c r="I332"/>
  <c r="L332"/>
  <c r="I333"/>
  <c r="L333"/>
  <c r="I334"/>
  <c r="L334"/>
  <c r="I335"/>
  <c r="L335"/>
  <c r="I336"/>
  <c r="L336"/>
  <c r="I337"/>
  <c r="L337"/>
  <c r="I338"/>
  <c r="L338"/>
  <c r="I339"/>
  <c r="L339"/>
  <c r="I340"/>
  <c r="L340"/>
  <c r="I342"/>
  <c r="L342"/>
  <c r="I346"/>
  <c r="L346"/>
  <c r="I347"/>
  <c r="L347"/>
  <c r="I348"/>
  <c r="L348"/>
  <c r="I349"/>
  <c r="L349"/>
  <c r="I350"/>
  <c r="L350"/>
  <c r="I351"/>
  <c r="L351"/>
  <c r="I353"/>
  <c r="L353"/>
  <c r="I354"/>
  <c r="L354"/>
  <c r="I355"/>
  <c r="L355"/>
  <c r="I356"/>
  <c r="L356"/>
  <c r="I357"/>
  <c r="L357"/>
  <c r="I359"/>
  <c r="L359"/>
  <c r="I360"/>
  <c r="L360"/>
  <c r="I361"/>
  <c r="L361"/>
  <c r="I362"/>
  <c r="L362"/>
  <c r="I364"/>
  <c r="L364"/>
  <c r="I365"/>
  <c r="L365"/>
  <c r="I367"/>
  <c r="L367"/>
  <c r="I368"/>
  <c r="L368"/>
  <c r="I369"/>
  <c r="L369"/>
  <c r="I373"/>
  <c r="L373"/>
  <c r="I375"/>
  <c r="L375"/>
  <c r="I377"/>
  <c r="L377"/>
  <c r="I378"/>
  <c r="L378"/>
  <c r="I379"/>
  <c r="L379"/>
  <c r="I381"/>
  <c r="L381"/>
  <c r="I383"/>
  <c r="L383"/>
  <c r="I384"/>
  <c r="L384"/>
  <c r="I390"/>
  <c r="L390"/>
  <c r="I391"/>
  <c r="L391"/>
  <c r="I392"/>
  <c r="L392"/>
  <c r="I393"/>
  <c r="L393"/>
  <c r="I394"/>
  <c r="L394"/>
  <c r="I401"/>
  <c r="L401"/>
  <c r="B461"/>
  <c r="B406" s="1"/>
  <c r="B474"/>
  <c r="B502"/>
  <c r="B508"/>
  <c r="B514"/>
  <c r="B515"/>
  <c r="I407"/>
  <c r="L407"/>
  <c r="I408"/>
  <c r="L408"/>
  <c r="I409"/>
  <c r="L409"/>
  <c r="I410"/>
  <c r="L410"/>
  <c r="I411"/>
  <c r="L411"/>
  <c r="I412"/>
  <c r="L412"/>
  <c r="I413"/>
  <c r="L413"/>
  <c r="I414"/>
  <c r="L414"/>
  <c r="I415"/>
  <c r="L415"/>
  <c r="I416"/>
  <c r="L416"/>
  <c r="I417"/>
  <c r="L417"/>
  <c r="I418"/>
  <c r="L418"/>
  <c r="I419"/>
  <c r="L419"/>
  <c r="I420"/>
  <c r="L420"/>
  <c r="I421"/>
  <c r="L421"/>
  <c r="I422"/>
  <c r="L422"/>
  <c r="I423"/>
  <c r="L423"/>
  <c r="I424"/>
  <c r="L424"/>
  <c r="I425"/>
  <c r="L425"/>
  <c r="I426"/>
  <c r="L426"/>
  <c r="I427"/>
  <c r="L427"/>
  <c r="I428"/>
  <c r="L428"/>
  <c r="I429"/>
  <c r="L429"/>
  <c r="I430"/>
  <c r="L430"/>
  <c r="I431"/>
  <c r="L431"/>
  <c r="I432"/>
  <c r="L432"/>
  <c r="I433"/>
  <c r="L433"/>
  <c r="I434"/>
  <c r="L434"/>
  <c r="I435"/>
  <c r="L435"/>
  <c r="I436"/>
  <c r="L436"/>
  <c r="I437"/>
  <c r="L437"/>
  <c r="I438"/>
  <c r="L438"/>
  <c r="I439"/>
  <c r="L439"/>
  <c r="I440"/>
  <c r="L440"/>
  <c r="I441"/>
  <c r="L441"/>
  <c r="I442"/>
  <c r="L442"/>
  <c r="I443"/>
  <c r="L443"/>
  <c r="I444"/>
  <c r="L444"/>
  <c r="I445"/>
  <c r="L445"/>
  <c r="I446"/>
  <c r="L446"/>
  <c r="I447"/>
  <c r="L447"/>
  <c r="I448"/>
  <c r="L448"/>
  <c r="I449"/>
  <c r="L449"/>
  <c r="I450"/>
  <c r="L450"/>
  <c r="I451"/>
  <c r="L451"/>
  <c r="I452"/>
  <c r="L452"/>
  <c r="I453"/>
  <c r="L453"/>
  <c r="I454"/>
  <c r="L454"/>
  <c r="I455"/>
  <c r="L455"/>
  <c r="I456"/>
  <c r="L456"/>
  <c r="I457"/>
  <c r="L457"/>
  <c r="I458"/>
  <c r="L458"/>
  <c r="I459"/>
  <c r="L459"/>
  <c r="I460"/>
  <c r="L460"/>
  <c r="I461"/>
  <c r="L461"/>
  <c r="Q461"/>
  <c r="I462"/>
  <c r="L462"/>
  <c r="I463"/>
  <c r="L463"/>
  <c r="I464"/>
  <c r="L464"/>
  <c r="I465"/>
  <c r="L465"/>
  <c r="I466"/>
  <c r="L466"/>
  <c r="I467"/>
  <c r="L467"/>
  <c r="I468"/>
  <c r="L468"/>
  <c r="I469"/>
  <c r="L469"/>
  <c r="I470"/>
  <c r="L470"/>
  <c r="I471"/>
  <c r="L471"/>
  <c r="I472"/>
  <c r="L472"/>
  <c r="I473"/>
  <c r="L473"/>
  <c r="I474"/>
  <c r="L474"/>
  <c r="Q474"/>
  <c r="I475"/>
  <c r="L475"/>
  <c r="I476"/>
  <c r="L476"/>
  <c r="I477"/>
  <c r="L477"/>
  <c r="I478"/>
  <c r="L478"/>
  <c r="I479"/>
  <c r="L479"/>
  <c r="I480"/>
  <c r="L480"/>
  <c r="I481"/>
  <c r="L481"/>
  <c r="I482"/>
  <c r="L482"/>
  <c r="I483"/>
  <c r="L483"/>
  <c r="I484"/>
  <c r="L484"/>
  <c r="I485"/>
  <c r="L485"/>
  <c r="I486"/>
  <c r="L486"/>
  <c r="I487"/>
  <c r="L487"/>
  <c r="I488"/>
  <c r="L488"/>
  <c r="I489"/>
  <c r="L489"/>
  <c r="I490"/>
  <c r="L490"/>
  <c r="I491"/>
  <c r="L491"/>
  <c r="I492"/>
  <c r="L492"/>
  <c r="I493"/>
  <c r="L493"/>
  <c r="I494"/>
  <c r="L494"/>
  <c r="I495"/>
  <c r="L495"/>
  <c r="I496"/>
  <c r="L496"/>
  <c r="I497"/>
  <c r="L497"/>
  <c r="I498"/>
  <c r="L498"/>
  <c r="I499"/>
  <c r="L499"/>
  <c r="I500"/>
  <c r="L500"/>
  <c r="I501"/>
  <c r="L501"/>
  <c r="I502"/>
  <c r="L502"/>
  <c r="Q502"/>
  <c r="R502" s="1"/>
  <c r="I503"/>
  <c r="L503"/>
  <c r="I504"/>
  <c r="L504"/>
  <c r="I505"/>
  <c r="L505"/>
  <c r="I506"/>
  <c r="L506"/>
  <c r="I507"/>
  <c r="L507"/>
  <c r="I508"/>
  <c r="L508"/>
  <c r="Q508"/>
  <c r="R508" s="1"/>
  <c r="I509"/>
  <c r="L509"/>
  <c r="I510"/>
  <c r="L510"/>
  <c r="I511"/>
  <c r="L511"/>
  <c r="I512"/>
  <c r="L512"/>
  <c r="I513"/>
  <c r="L513"/>
  <c r="I514"/>
  <c r="L514"/>
  <c r="Q514"/>
  <c r="R514" s="1"/>
  <c r="I515"/>
  <c r="L515"/>
  <c r="Q515"/>
  <c r="R515" s="1"/>
  <c r="I517"/>
  <c r="L517"/>
  <c r="I518"/>
  <c r="L518"/>
  <c r="I519"/>
  <c r="L519"/>
  <c r="I520"/>
  <c r="L520"/>
  <c r="I521"/>
  <c r="L521"/>
  <c r="I522"/>
  <c r="L522"/>
  <c r="I523"/>
  <c r="L523"/>
  <c r="I524"/>
  <c r="L524"/>
  <c r="I525"/>
  <c r="L525"/>
  <c r="I526"/>
  <c r="L526"/>
  <c r="Q526"/>
  <c r="I527"/>
  <c r="L527"/>
  <c r="I528"/>
  <c r="L528"/>
  <c r="I529"/>
  <c r="L529"/>
  <c r="I530"/>
  <c r="L530"/>
  <c r="I531"/>
  <c r="L531"/>
  <c r="I532"/>
  <c r="L532"/>
  <c r="I533"/>
  <c r="L533"/>
  <c r="I534"/>
  <c r="L534"/>
  <c r="I535"/>
  <c r="L535"/>
  <c r="I536"/>
  <c r="L536"/>
  <c r="I537"/>
  <c r="L537"/>
  <c r="I538"/>
  <c r="L538"/>
  <c r="Q538"/>
  <c r="I539"/>
  <c r="L539"/>
  <c r="I540"/>
  <c r="L540"/>
  <c r="Q540"/>
  <c r="R540" s="1"/>
  <c r="I541"/>
  <c r="L541"/>
  <c r="I542"/>
  <c r="L542"/>
  <c r="I543"/>
  <c r="L543"/>
  <c r="I544"/>
  <c r="L544"/>
  <c r="Q544"/>
  <c r="I545"/>
  <c r="L545"/>
  <c r="Q545"/>
  <c r="R545" s="1"/>
  <c r="I546"/>
  <c r="L546"/>
  <c r="I547"/>
  <c r="L547"/>
  <c r="I548"/>
  <c r="K548"/>
  <c r="L548"/>
  <c r="I550"/>
  <c r="L550"/>
  <c r="Q550"/>
  <c r="R550"/>
  <c r="I551"/>
  <c r="L551"/>
  <c r="I552"/>
  <c r="L552"/>
  <c r="I553"/>
  <c r="L553"/>
  <c r="I554"/>
  <c r="L554"/>
  <c r="I555"/>
  <c r="L555"/>
  <c r="I556"/>
  <c r="L556"/>
  <c r="Q556"/>
  <c r="R556"/>
  <c r="I557"/>
  <c r="L557"/>
  <c r="Q557"/>
  <c r="R557"/>
  <c r="I558"/>
  <c r="L558"/>
  <c r="Q558"/>
  <c r="R558"/>
  <c r="I559"/>
  <c r="L559"/>
  <c r="Q559"/>
  <c r="R559"/>
  <c r="I560"/>
  <c r="L560"/>
  <c r="I561"/>
  <c r="L561"/>
  <c r="Q561"/>
  <c r="R561"/>
  <c r="I562"/>
  <c r="L562"/>
  <c r="I568"/>
  <c r="L568"/>
  <c r="I569"/>
  <c r="L569"/>
  <c r="I570"/>
  <c r="L570"/>
  <c r="I571"/>
  <c r="L571"/>
  <c r="Q571"/>
  <c r="R571"/>
  <c r="I572"/>
  <c r="L572"/>
  <c r="I573"/>
  <c r="L573"/>
  <c r="Q573"/>
  <c r="R573"/>
  <c r="I574"/>
  <c r="L574"/>
  <c r="I575"/>
  <c r="L575"/>
  <c r="I576"/>
  <c r="L576"/>
  <c r="I577"/>
  <c r="K577"/>
  <c r="L577"/>
  <c r="I582"/>
  <c r="L582"/>
  <c r="I583"/>
  <c r="L583"/>
  <c r="I584"/>
  <c r="L584"/>
  <c r="I585"/>
  <c r="L585"/>
  <c r="I586"/>
  <c r="L586"/>
  <c r="I587"/>
  <c r="L587"/>
  <c r="I589"/>
  <c r="L589"/>
  <c r="I590"/>
  <c r="L590"/>
  <c r="I594"/>
  <c r="L594"/>
  <c r="I595"/>
  <c r="K595"/>
  <c r="L595"/>
  <c r="I596"/>
  <c r="L596"/>
  <c r="I597"/>
  <c r="L597"/>
  <c r="I598"/>
  <c r="L598"/>
  <c r="I599"/>
  <c r="L599"/>
  <c r="I602"/>
  <c r="L602"/>
  <c r="I603"/>
  <c r="L603"/>
  <c r="I604"/>
  <c r="L604"/>
  <c r="I606"/>
  <c r="L606"/>
  <c r="I607"/>
  <c r="L607"/>
  <c r="B608"/>
  <c r="I609"/>
  <c r="L609"/>
  <c r="I610"/>
  <c r="L610"/>
  <c r="I611"/>
  <c r="L611"/>
  <c r="I612"/>
  <c r="L612"/>
  <c r="I613"/>
  <c r="L613"/>
  <c r="I614"/>
  <c r="L614"/>
  <c r="I615"/>
  <c r="L615"/>
  <c r="I616"/>
  <c r="L616"/>
  <c r="I617"/>
  <c r="L617"/>
  <c r="I618"/>
  <c r="L618"/>
  <c r="I619"/>
  <c r="L619"/>
  <c r="I620"/>
  <c r="L620"/>
  <c r="I621"/>
  <c r="L621"/>
  <c r="I622"/>
  <c r="L622"/>
  <c r="I623"/>
  <c r="L623"/>
  <c r="I624"/>
  <c r="L624"/>
  <c r="I625"/>
  <c r="L625"/>
  <c r="I626"/>
  <c r="L626"/>
  <c r="I627"/>
  <c r="L627"/>
  <c r="I628"/>
  <c r="L628"/>
  <c r="I629"/>
  <c r="L629"/>
  <c r="I630"/>
  <c r="L630"/>
  <c r="I631"/>
  <c r="L631"/>
  <c r="I632"/>
  <c r="L632"/>
  <c r="I633"/>
  <c r="L633"/>
  <c r="I634"/>
  <c r="L634"/>
  <c r="I635"/>
  <c r="L635"/>
  <c r="I636"/>
  <c r="L636"/>
  <c r="I637"/>
  <c r="L637"/>
  <c r="I638"/>
  <c r="L638"/>
  <c r="I639"/>
  <c r="L639"/>
  <c r="I640"/>
  <c r="L640"/>
  <c r="I641"/>
  <c r="L641"/>
  <c r="I642"/>
  <c r="L642"/>
  <c r="I643"/>
  <c r="L643"/>
  <c r="I644"/>
  <c r="L644"/>
  <c r="I645"/>
  <c r="L645"/>
  <c r="I646"/>
  <c r="L646"/>
  <c r="I647"/>
  <c r="L647"/>
  <c r="I648"/>
  <c r="L648"/>
  <c r="I649"/>
  <c r="L649"/>
  <c r="I650"/>
  <c r="L650"/>
  <c r="I651"/>
  <c r="L651"/>
  <c r="I652"/>
  <c r="L652"/>
  <c r="I653"/>
  <c r="L653"/>
  <c r="I654"/>
  <c r="L654"/>
  <c r="I655"/>
  <c r="L655"/>
  <c r="I656"/>
  <c r="L656"/>
  <c r="I657"/>
  <c r="L657"/>
  <c r="I658"/>
  <c r="L658"/>
  <c r="I659"/>
  <c r="L659"/>
  <c r="I660"/>
  <c r="L660"/>
  <c r="I661"/>
  <c r="L661"/>
  <c r="I662"/>
  <c r="L662"/>
  <c r="I663"/>
  <c r="L663"/>
  <c r="I664"/>
  <c r="L664"/>
  <c r="I665"/>
  <c r="L665"/>
  <c r="I666"/>
  <c r="L666"/>
  <c r="I667"/>
  <c r="L667"/>
  <c r="I668"/>
  <c r="L668"/>
  <c r="I669"/>
  <c r="L669"/>
  <c r="I670"/>
  <c r="L670"/>
  <c r="I671"/>
  <c r="L671"/>
  <c r="I672"/>
  <c r="L672"/>
  <c r="I673"/>
  <c r="L673"/>
  <c r="I674"/>
  <c r="L674"/>
  <c r="I675"/>
  <c r="L675"/>
  <c r="I676"/>
  <c r="L676"/>
  <c r="I677"/>
  <c r="L677"/>
  <c r="I678"/>
  <c r="L678"/>
  <c r="I679"/>
  <c r="L679"/>
  <c r="I680"/>
  <c r="L680"/>
  <c r="I681"/>
  <c r="L681"/>
  <c r="I682"/>
  <c r="L682"/>
  <c r="I683"/>
  <c r="L683"/>
  <c r="I684"/>
  <c r="L684"/>
  <c r="I685"/>
  <c r="L685"/>
  <c r="I686"/>
  <c r="L686"/>
  <c r="I687"/>
  <c r="L687"/>
  <c r="I688"/>
  <c r="L688"/>
  <c r="I689"/>
  <c r="L689"/>
  <c r="I690"/>
  <c r="L690"/>
  <c r="I691"/>
  <c r="L691"/>
  <c r="I692"/>
  <c r="L692"/>
  <c r="I693"/>
  <c r="L693"/>
  <c r="I694"/>
  <c r="L694"/>
  <c r="I695"/>
  <c r="L695"/>
  <c r="I696"/>
  <c r="L696"/>
  <c r="I697"/>
  <c r="L697"/>
  <c r="I698"/>
  <c r="L698"/>
  <c r="B699"/>
  <c r="I700"/>
  <c r="L700"/>
  <c r="I702"/>
  <c r="L702"/>
  <c r="I703"/>
  <c r="L703"/>
  <c r="I704"/>
  <c r="L704"/>
  <c r="I705"/>
  <c r="L705"/>
  <c r="I706"/>
  <c r="L706"/>
  <c r="I707"/>
  <c r="L707"/>
  <c r="I708"/>
  <c r="L708"/>
  <c r="I709"/>
  <c r="L709"/>
  <c r="I710"/>
  <c r="L710"/>
  <c r="I714"/>
  <c r="L714"/>
  <c r="I715"/>
  <c r="L715"/>
  <c r="I716"/>
  <c r="L716"/>
  <c r="I717"/>
  <c r="L717"/>
  <c r="I718"/>
  <c r="L718"/>
  <c r="I719"/>
  <c r="K719"/>
  <c r="L719"/>
  <c r="I720"/>
  <c r="L720"/>
  <c r="I721"/>
  <c r="L721"/>
  <c r="I722"/>
  <c r="L722"/>
  <c r="I723"/>
  <c r="L723"/>
  <c r="I724"/>
  <c r="L724"/>
  <c r="I725"/>
  <c r="L725"/>
  <c r="I726"/>
  <c r="L726"/>
  <c r="I730"/>
  <c r="L730"/>
  <c r="I731"/>
  <c r="L731"/>
  <c r="I732"/>
  <c r="L732"/>
  <c r="I733"/>
  <c r="L733"/>
  <c r="I734"/>
  <c r="L734"/>
  <c r="I735"/>
  <c r="L735"/>
  <c r="I736"/>
  <c r="L736"/>
  <c r="I737"/>
  <c r="L737"/>
  <c r="I738"/>
  <c r="L738"/>
  <c r="I739"/>
  <c r="L739"/>
  <c r="I740"/>
  <c r="L740"/>
  <c r="I743"/>
  <c r="L743"/>
  <c r="I744"/>
  <c r="L744"/>
  <c r="I745"/>
  <c r="L745"/>
  <c r="I747"/>
  <c r="L747"/>
  <c r="I748"/>
  <c r="L748"/>
  <c r="I749"/>
  <c r="L749"/>
  <c r="I750"/>
  <c r="L750"/>
  <c r="I751"/>
  <c r="K751"/>
  <c r="L751"/>
  <c r="I752"/>
  <c r="L752"/>
  <c r="I757"/>
  <c r="L757"/>
  <c r="I758"/>
  <c r="L758"/>
  <c r="I759"/>
  <c r="L759"/>
  <c r="I760"/>
  <c r="L760"/>
  <c r="I761"/>
  <c r="L761"/>
  <c r="I762"/>
  <c r="L762"/>
  <c r="I763"/>
  <c r="L763"/>
  <c r="I764"/>
  <c r="L764"/>
  <c r="I766"/>
  <c r="L766"/>
  <c r="I769"/>
  <c r="L769"/>
  <c r="I770"/>
  <c r="K770"/>
  <c r="L770"/>
  <c r="I772"/>
  <c r="L772"/>
  <c r="I774"/>
  <c r="L774"/>
  <c r="I775"/>
  <c r="L775"/>
  <c r="I776"/>
  <c r="L776"/>
  <c r="I777"/>
  <c r="L777"/>
  <c r="I778"/>
  <c r="L778"/>
  <c r="I779"/>
  <c r="K779"/>
  <c r="L779"/>
  <c r="I781"/>
  <c r="L781"/>
  <c r="I782"/>
  <c r="L782"/>
  <c r="I783"/>
  <c r="L783"/>
  <c r="I784"/>
  <c r="L784"/>
  <c r="I785"/>
  <c r="L785"/>
  <c r="I786"/>
  <c r="L786"/>
  <c r="I787"/>
  <c r="L787"/>
  <c r="I788"/>
  <c r="L788"/>
  <c r="B805"/>
  <c r="B813"/>
  <c r="B826"/>
  <c r="B830"/>
  <c r="B842"/>
  <c r="I790"/>
  <c r="L790"/>
  <c r="I791"/>
  <c r="L791"/>
  <c r="I792"/>
  <c r="L792"/>
  <c r="I793"/>
  <c r="L793"/>
  <c r="I794"/>
  <c r="L794"/>
  <c r="I795"/>
  <c r="L795"/>
  <c r="I796"/>
  <c r="L796"/>
  <c r="I797"/>
  <c r="L797"/>
  <c r="I798"/>
  <c r="L798"/>
  <c r="I799"/>
  <c r="L799"/>
  <c r="I800"/>
  <c r="L800"/>
  <c r="I801"/>
  <c r="L801"/>
  <c r="I802"/>
  <c r="L802"/>
  <c r="I803"/>
  <c r="L803"/>
  <c r="I804"/>
  <c r="L804"/>
  <c r="I805"/>
  <c r="K805"/>
  <c r="L805"/>
  <c r="I806"/>
  <c r="L806"/>
  <c r="I807"/>
  <c r="L807"/>
  <c r="I808"/>
  <c r="L808"/>
  <c r="I809"/>
  <c r="L809"/>
  <c r="I810"/>
  <c r="L810"/>
  <c r="I811"/>
  <c r="L811"/>
  <c r="I812"/>
  <c r="L812"/>
  <c r="I813"/>
  <c r="K813"/>
  <c r="L813"/>
  <c r="I814"/>
  <c r="L814"/>
  <c r="I815"/>
  <c r="L815"/>
  <c r="I816"/>
  <c r="L816"/>
  <c r="I817"/>
  <c r="L817"/>
  <c r="I818"/>
  <c r="L818"/>
  <c r="I819"/>
  <c r="L819"/>
  <c r="I820"/>
  <c r="L820"/>
  <c r="I821"/>
  <c r="L821"/>
  <c r="I822"/>
  <c r="L822"/>
  <c r="I823"/>
  <c r="L823"/>
  <c r="I824"/>
  <c r="L824"/>
  <c r="I825"/>
  <c r="L825"/>
  <c r="I826"/>
  <c r="K826"/>
  <c r="L826"/>
  <c r="I827"/>
  <c r="L827"/>
  <c r="I828"/>
  <c r="L828"/>
  <c r="I829"/>
  <c r="L829"/>
  <c r="I830"/>
  <c r="K830"/>
  <c r="L830"/>
  <c r="I831"/>
  <c r="L831"/>
  <c r="I832"/>
  <c r="L832"/>
  <c r="I833"/>
  <c r="L833"/>
  <c r="I834"/>
  <c r="L834"/>
  <c r="I835"/>
  <c r="L835"/>
  <c r="I836"/>
  <c r="L836"/>
  <c r="I837"/>
  <c r="L837"/>
  <c r="I838"/>
  <c r="L838"/>
  <c r="I839"/>
  <c r="L839"/>
  <c r="I840"/>
  <c r="L840"/>
  <c r="I841"/>
  <c r="L841"/>
  <c r="I842"/>
  <c r="K842"/>
  <c r="L842"/>
  <c r="I843"/>
  <c r="L843"/>
  <c r="I844"/>
  <c r="L844"/>
  <c r="I845"/>
  <c r="L845"/>
  <c r="I846"/>
  <c r="L846"/>
  <c r="I847"/>
  <c r="L847"/>
  <c r="I848"/>
  <c r="L848"/>
  <c r="I849"/>
  <c r="L849"/>
  <c r="B850"/>
  <c r="I851"/>
  <c r="L851"/>
  <c r="I852"/>
  <c r="L852"/>
  <c r="I853"/>
  <c r="L853"/>
  <c r="I854"/>
  <c r="L854"/>
  <c r="I855"/>
  <c r="L855"/>
  <c r="I856"/>
  <c r="L856"/>
  <c r="I857"/>
  <c r="L857"/>
  <c r="I858"/>
  <c r="L858"/>
  <c r="I859"/>
  <c r="L859"/>
  <c r="I860"/>
  <c r="L860"/>
  <c r="I861"/>
  <c r="L861"/>
  <c r="I862"/>
  <c r="L862"/>
  <c r="I863"/>
  <c r="L863"/>
  <c r="I864"/>
  <c r="L864"/>
  <c r="I865"/>
  <c r="L865"/>
  <c r="I866"/>
  <c r="L866"/>
  <c r="I867"/>
  <c r="L867"/>
  <c r="I868"/>
  <c r="L868"/>
  <c r="I869"/>
  <c r="L869"/>
  <c r="I870"/>
  <c r="L870"/>
  <c r="I871"/>
  <c r="L871"/>
  <c r="I872"/>
  <c r="L872"/>
  <c r="I873"/>
  <c r="L873"/>
  <c r="I874"/>
  <c r="L874"/>
  <c r="I875"/>
  <c r="L875"/>
  <c r="I876"/>
  <c r="L876"/>
  <c r="I877"/>
  <c r="L877"/>
  <c r="I878"/>
  <c r="L878"/>
  <c r="I879"/>
  <c r="L879"/>
  <c r="I880"/>
  <c r="L880"/>
  <c r="I881"/>
  <c r="L881"/>
  <c r="I882"/>
  <c r="L882"/>
  <c r="I883"/>
  <c r="L883"/>
  <c r="I884"/>
  <c r="L884"/>
  <c r="I885"/>
  <c r="L885"/>
  <c r="I886"/>
  <c r="L886"/>
  <c r="I887"/>
  <c r="L887"/>
  <c r="I888"/>
  <c r="L888"/>
  <c r="I889"/>
  <c r="L889"/>
  <c r="I890"/>
  <c r="L890"/>
  <c r="I891"/>
  <c r="L891"/>
  <c r="I892"/>
  <c r="L892"/>
  <c r="I893"/>
  <c r="L893"/>
  <c r="I894"/>
  <c r="L894"/>
  <c r="I895"/>
  <c r="L895"/>
  <c r="B896"/>
  <c r="I897"/>
  <c r="L897"/>
  <c r="I898"/>
  <c r="L898"/>
  <c r="I899"/>
  <c r="L899"/>
  <c r="I900"/>
  <c r="L900"/>
  <c r="I901"/>
  <c r="L901"/>
  <c r="I902"/>
  <c r="L902"/>
  <c r="I903"/>
  <c r="L903"/>
  <c r="I904"/>
  <c r="L904"/>
  <c r="I905"/>
  <c r="L905"/>
  <c r="I906"/>
  <c r="L906"/>
  <c r="I907"/>
  <c r="L907"/>
  <c r="I908"/>
  <c r="L908"/>
  <c r="I909"/>
  <c r="L909"/>
  <c r="I910"/>
  <c r="L910"/>
  <c r="I911"/>
  <c r="L911"/>
  <c r="I912"/>
  <c r="L912"/>
  <c r="I913"/>
  <c r="L913"/>
  <c r="I914"/>
  <c r="L914"/>
  <c r="I915"/>
  <c r="L915"/>
  <c r="I916"/>
  <c r="L916"/>
  <c r="I917"/>
  <c r="L917"/>
  <c r="I918"/>
  <c r="L918"/>
  <c r="I919"/>
  <c r="L919"/>
  <c r="AW231"/>
  <c r="BA231"/>
  <c r="BD231"/>
  <c r="BJ231"/>
  <c r="I920"/>
  <c r="I921"/>
  <c r="L921"/>
  <c r="I922"/>
  <c r="L922"/>
  <c r="I923"/>
  <c r="L923"/>
  <c r="I924"/>
  <c r="L924"/>
  <c r="I925"/>
  <c r="L925"/>
  <c r="I926"/>
  <c r="L926"/>
  <c r="I927"/>
  <c r="L927"/>
  <c r="I928"/>
  <c r="L928"/>
  <c r="I929"/>
  <c r="L929"/>
  <c r="I930"/>
  <c r="L930"/>
  <c r="I931"/>
  <c r="L931"/>
  <c r="I932"/>
  <c r="L932"/>
  <c r="I933"/>
  <c r="L933"/>
  <c r="I934"/>
  <c r="L934"/>
  <c r="I935"/>
  <c r="L935"/>
  <c r="I936"/>
  <c r="L936"/>
  <c r="I937"/>
  <c r="L937"/>
  <c r="I938"/>
  <c r="L938"/>
  <c r="I939"/>
  <c r="L939"/>
  <c r="I940"/>
  <c r="L940"/>
  <c r="I941"/>
  <c r="L941"/>
  <c r="I942"/>
  <c r="L942"/>
  <c r="I943"/>
  <c r="L943"/>
  <c r="B944"/>
  <c r="I945"/>
  <c r="L945"/>
  <c r="I946"/>
  <c r="L946"/>
  <c r="I947"/>
  <c r="L947"/>
  <c r="I948"/>
  <c r="L948"/>
  <c r="I949"/>
  <c r="L949"/>
  <c r="I950"/>
  <c r="L950"/>
  <c r="I951"/>
  <c r="L951"/>
  <c r="I952"/>
  <c r="L952"/>
  <c r="I953"/>
  <c r="L953"/>
  <c r="I954"/>
  <c r="L954"/>
  <c r="I955"/>
  <c r="L955"/>
  <c r="I956"/>
  <c r="L956"/>
  <c r="I957"/>
  <c r="L957"/>
  <c r="I958"/>
  <c r="L958"/>
  <c r="I959"/>
  <c r="L959"/>
  <c r="I960"/>
  <c r="L960"/>
  <c r="I961"/>
  <c r="L961"/>
  <c r="I962"/>
  <c r="L962"/>
  <c r="I963"/>
  <c r="L963"/>
  <c r="I964"/>
  <c r="L964"/>
  <c r="I965"/>
  <c r="L965"/>
  <c r="I966"/>
  <c r="L966"/>
  <c r="I967"/>
  <c r="L967"/>
  <c r="I968"/>
  <c r="L968"/>
  <c r="I969"/>
  <c r="L969"/>
  <c r="I970"/>
  <c r="L970"/>
  <c r="I971"/>
  <c r="L971"/>
  <c r="I972"/>
  <c r="L972"/>
  <c r="I973"/>
  <c r="L973"/>
  <c r="I974"/>
  <c r="L974"/>
  <c r="I975"/>
  <c r="L975"/>
  <c r="I976"/>
  <c r="L976"/>
  <c r="I977"/>
  <c r="L977"/>
  <c r="I978"/>
  <c r="L978"/>
  <c r="I979"/>
  <c r="L979"/>
  <c r="I980"/>
  <c r="L980"/>
  <c r="I981"/>
  <c r="L981"/>
  <c r="I982"/>
  <c r="L982"/>
  <c r="I983"/>
  <c r="L983"/>
  <c r="I984"/>
  <c r="L984"/>
  <c r="I985"/>
  <c r="L985"/>
  <c r="I986"/>
  <c r="L986"/>
  <c r="I987"/>
  <c r="L987"/>
  <c r="I988"/>
  <c r="L988"/>
  <c r="I989"/>
  <c r="L989"/>
  <c r="I990"/>
  <c r="L990"/>
  <c r="I991"/>
  <c r="L991"/>
  <c r="B992"/>
  <c r="AS176" i="20"/>
  <c r="I993" i="32"/>
  <c r="L993"/>
  <c r="I994"/>
  <c r="L994"/>
  <c r="I995"/>
  <c r="L995"/>
  <c r="I996"/>
  <c r="L996"/>
  <c r="I997"/>
  <c r="L997"/>
  <c r="I998"/>
  <c r="L998"/>
  <c r="I999"/>
  <c r="L999"/>
  <c r="I1000"/>
  <c r="L1000"/>
  <c r="I1001"/>
  <c r="L1001"/>
  <c r="I1002"/>
  <c r="L1002"/>
  <c r="I1003"/>
  <c r="L1003"/>
  <c r="I1004"/>
  <c r="L1004"/>
  <c r="I1005"/>
  <c r="L1005"/>
  <c r="I1006"/>
  <c r="L1006"/>
  <c r="I1007"/>
  <c r="L1007"/>
  <c r="I1008"/>
  <c r="L1008"/>
  <c r="I1009"/>
  <c r="L1009"/>
  <c r="I1010"/>
  <c r="L1010"/>
  <c r="I1011"/>
  <c r="L1011"/>
  <c r="I1012"/>
  <c r="L1012"/>
  <c r="I1013"/>
  <c r="L1013"/>
  <c r="I1014"/>
  <c r="L1014"/>
  <c r="B1015"/>
  <c r="AS179" i="20"/>
  <c r="I1016" i="32"/>
  <c r="L1016"/>
  <c r="I1017"/>
  <c r="L1017"/>
  <c r="I1018"/>
  <c r="L1018"/>
  <c r="I1019"/>
  <c r="L1019"/>
  <c r="I1020"/>
  <c r="L1020"/>
  <c r="I1021"/>
  <c r="L1021"/>
  <c r="I1022"/>
  <c r="L1022"/>
  <c r="I1023"/>
  <c r="L1023"/>
  <c r="I1024"/>
  <c r="L1024"/>
  <c r="I1025"/>
  <c r="L1025"/>
  <c r="I1026"/>
  <c r="L1026"/>
  <c r="I1027"/>
  <c r="L1027"/>
  <c r="I1028"/>
  <c r="L1028"/>
  <c r="I1029"/>
  <c r="L1029"/>
  <c r="I1030"/>
  <c r="L1030"/>
  <c r="I1031"/>
  <c r="L1031"/>
  <c r="I1032"/>
  <c r="L1032"/>
  <c r="I1033"/>
  <c r="L1033"/>
  <c r="I1034"/>
  <c r="L1034"/>
  <c r="I1035"/>
  <c r="L1035"/>
  <c r="I1036"/>
  <c r="L1036"/>
  <c r="I1037"/>
  <c r="L1037"/>
  <c r="I1038"/>
  <c r="L1038"/>
  <c r="I1039"/>
  <c r="L1039"/>
  <c r="I1040"/>
  <c r="L1040"/>
  <c r="I1041"/>
  <c r="L1041"/>
  <c r="I1042"/>
  <c r="L1042"/>
  <c r="I1043"/>
  <c r="L1043"/>
  <c r="I1044"/>
  <c r="L1044"/>
  <c r="B1045"/>
  <c r="AS188" i="20"/>
  <c r="I1046" i="32"/>
  <c r="L1046"/>
  <c r="I1047"/>
  <c r="L1047"/>
  <c r="I1048"/>
  <c r="L1048"/>
  <c r="I1049"/>
  <c r="L1049"/>
  <c r="I1050"/>
  <c r="L1050"/>
  <c r="I1051"/>
  <c r="L1051"/>
  <c r="I1052"/>
  <c r="L1052"/>
  <c r="I1053"/>
  <c r="L1053"/>
  <c r="I1054"/>
  <c r="L1054"/>
  <c r="I2" i="40"/>
  <c r="I3"/>
  <c r="D16"/>
  <c r="G16"/>
  <c r="A28"/>
  <c r="N28"/>
  <c r="P28"/>
  <c r="R28"/>
  <c r="F30"/>
  <c r="A32"/>
  <c r="I32"/>
  <c r="A33"/>
  <c r="I33"/>
  <c r="A34"/>
  <c r="I34"/>
  <c r="A35"/>
  <c r="I35"/>
  <c r="B4" i="39"/>
  <c r="C4"/>
  <c r="D4"/>
  <c r="E4"/>
  <c r="F4"/>
  <c r="G4"/>
  <c r="H4"/>
  <c r="I4"/>
  <c r="J4"/>
  <c r="K4"/>
  <c r="L4"/>
  <c r="M4"/>
  <c r="O4"/>
  <c r="P4"/>
  <c r="Q4"/>
  <c r="R4"/>
  <c r="S4"/>
  <c r="T4"/>
  <c r="U4"/>
  <c r="V4"/>
  <c r="W4"/>
  <c r="X4"/>
  <c r="Y4"/>
  <c r="AA4"/>
  <c r="AB4"/>
  <c r="AC4"/>
  <c r="AD4"/>
  <c r="AE4"/>
  <c r="AF4"/>
  <c r="AG4"/>
  <c r="AH4"/>
  <c r="AI4"/>
  <c r="AJ4"/>
  <c r="AK4"/>
  <c r="AL4"/>
  <c r="AM4"/>
  <c r="AN4"/>
  <c r="AO4"/>
  <c r="AP4"/>
  <c r="AQ4"/>
  <c r="AR4"/>
  <c r="AS4"/>
  <c r="AT4"/>
  <c r="B6"/>
  <c r="C6"/>
  <c r="D6"/>
  <c r="E6"/>
  <c r="F6"/>
  <c r="G6"/>
  <c r="H6"/>
  <c r="I6"/>
  <c r="J6"/>
  <c r="K6"/>
  <c r="L6"/>
  <c r="M6"/>
  <c r="O6"/>
  <c r="P6"/>
  <c r="Q6"/>
  <c r="R6"/>
  <c r="S6"/>
  <c r="T6"/>
  <c r="U6"/>
  <c r="V6"/>
  <c r="W6"/>
  <c r="X6"/>
  <c r="Y6"/>
  <c r="AA6"/>
  <c r="AB6"/>
  <c r="AC6"/>
  <c r="AD6"/>
  <c r="AE6"/>
  <c r="AF6"/>
  <c r="AG6"/>
  <c r="AH6"/>
  <c r="AI6"/>
  <c r="AJ6"/>
  <c r="AK6"/>
  <c r="AL6"/>
  <c r="AM6"/>
  <c r="AN6"/>
  <c r="AO6"/>
  <c r="AP6"/>
  <c r="AQ6"/>
  <c r="AR6"/>
  <c r="AS6"/>
  <c r="AT6"/>
  <c r="B8"/>
  <c r="C8"/>
  <c r="D8"/>
  <c r="E8"/>
  <c r="F8"/>
  <c r="G8"/>
  <c r="H8"/>
  <c r="I8"/>
  <c r="J8"/>
  <c r="K8"/>
  <c r="L8"/>
  <c r="M8"/>
  <c r="O8"/>
  <c r="P8"/>
  <c r="Q8"/>
  <c r="R8"/>
  <c r="S8"/>
  <c r="T8"/>
  <c r="U8"/>
  <c r="V8"/>
  <c r="W8"/>
  <c r="X8"/>
  <c r="Y8"/>
  <c r="AA8"/>
  <c r="AB8"/>
  <c r="AC8"/>
  <c r="AD8"/>
  <c r="AE8"/>
  <c r="AF8"/>
  <c r="AG8"/>
  <c r="AH8"/>
  <c r="AI8"/>
  <c r="AJ8"/>
  <c r="AK8"/>
  <c r="AL8"/>
  <c r="AM8"/>
  <c r="AN8"/>
  <c r="AO8"/>
  <c r="AP8"/>
  <c r="AQ8"/>
  <c r="AR8"/>
  <c r="AS8"/>
  <c r="AT8"/>
  <c r="B10"/>
  <c r="C10"/>
  <c r="D10"/>
  <c r="E10"/>
  <c r="F10"/>
  <c r="G10"/>
  <c r="H10"/>
  <c r="I10"/>
  <c r="J10"/>
  <c r="K10"/>
  <c r="L10"/>
  <c r="M10"/>
  <c r="O10"/>
  <c r="P10"/>
  <c r="Q10"/>
  <c r="R10"/>
  <c r="S10"/>
  <c r="T10"/>
  <c r="U10"/>
  <c r="V10"/>
  <c r="W10"/>
  <c r="X10"/>
  <c r="Y10"/>
  <c r="AA10"/>
  <c r="AB10"/>
  <c r="AC10"/>
  <c r="AD10"/>
  <c r="AE10"/>
  <c r="AF10"/>
  <c r="AG10"/>
  <c r="AH10"/>
  <c r="AI10"/>
  <c r="AJ10"/>
  <c r="AK10"/>
  <c r="AL10"/>
  <c r="AM10"/>
  <c r="AN10"/>
  <c r="AO10"/>
  <c r="AP10"/>
  <c r="AQ10"/>
  <c r="AR10"/>
  <c r="AS10"/>
  <c r="AT10"/>
  <c r="B12"/>
  <c r="C12"/>
  <c r="E12"/>
  <c r="G12"/>
  <c r="I12"/>
  <c r="K12"/>
  <c r="M12"/>
  <c r="N12"/>
  <c r="O12"/>
  <c r="P12"/>
  <c r="Q12"/>
  <c r="R12"/>
  <c r="S12"/>
  <c r="T12"/>
  <c r="U12"/>
  <c r="V12"/>
  <c r="W12"/>
  <c r="X12"/>
  <c r="Y12"/>
  <c r="Z12"/>
  <c r="AA12"/>
  <c r="AB12"/>
  <c r="AD12"/>
  <c r="AE12"/>
  <c r="AF12"/>
  <c r="AG12"/>
  <c r="AH12"/>
  <c r="AI12"/>
  <c r="AJ12"/>
  <c r="AK12"/>
  <c r="AL12"/>
  <c r="AM12"/>
  <c r="AN12"/>
  <c r="AO12"/>
  <c r="AP12"/>
  <c r="D12"/>
  <c r="F12"/>
  <c r="H12"/>
  <c r="J12"/>
  <c r="L12"/>
  <c r="AC12"/>
  <c r="AQ12"/>
  <c r="AR12"/>
  <c r="AS12"/>
  <c r="AT12"/>
  <c r="B14"/>
  <c r="C14"/>
  <c r="D14"/>
  <c r="E14"/>
  <c r="F14"/>
  <c r="G14"/>
  <c r="H14"/>
  <c r="I14"/>
  <c r="J14"/>
  <c r="K14"/>
  <c r="L14"/>
  <c r="M14"/>
  <c r="O14"/>
  <c r="P14"/>
  <c r="Q14"/>
  <c r="R14"/>
  <c r="S14"/>
  <c r="T14"/>
  <c r="U14"/>
  <c r="V14"/>
  <c r="W14"/>
  <c r="X14"/>
  <c r="Y14"/>
  <c r="AA14"/>
  <c r="AB14"/>
  <c r="AC14"/>
  <c r="AD14"/>
  <c r="AE14"/>
  <c r="AF14"/>
  <c r="AG14"/>
  <c r="AH14"/>
  <c r="AI14"/>
  <c r="AJ14"/>
  <c r="AK14"/>
  <c r="AL14"/>
  <c r="AM14"/>
  <c r="AN14"/>
  <c r="AO14"/>
  <c r="AP14"/>
  <c r="AQ14"/>
  <c r="AR14"/>
  <c r="AS14"/>
  <c r="AT14"/>
  <c r="B16"/>
  <c r="C16"/>
  <c r="D16"/>
  <c r="E16"/>
  <c r="F16"/>
  <c r="G16"/>
  <c r="H16"/>
  <c r="I16"/>
  <c r="J16"/>
  <c r="K16"/>
  <c r="L16"/>
  <c r="M16"/>
  <c r="O16"/>
  <c r="P16"/>
  <c r="Q16"/>
  <c r="R16"/>
  <c r="S16"/>
  <c r="T16"/>
  <c r="U16"/>
  <c r="V16"/>
  <c r="W16"/>
  <c r="X16"/>
  <c r="Y16"/>
  <c r="AA16"/>
  <c r="AB16"/>
  <c r="AC16"/>
  <c r="AD16"/>
  <c r="AE16"/>
  <c r="AF16"/>
  <c r="AG16"/>
  <c r="AH16"/>
  <c r="AI16"/>
  <c r="AJ16"/>
  <c r="AK16"/>
  <c r="AL16"/>
  <c r="AM16"/>
  <c r="AN16"/>
  <c r="AO16"/>
  <c r="AP16"/>
  <c r="AQ16"/>
  <c r="AR16"/>
  <c r="AS16"/>
  <c r="AT16"/>
  <c r="B49"/>
  <c r="C49"/>
  <c r="D49"/>
  <c r="E49"/>
  <c r="F49"/>
  <c r="G49"/>
  <c r="H49"/>
  <c r="I49"/>
  <c r="J49"/>
  <c r="K49"/>
  <c r="L49"/>
  <c r="M49"/>
  <c r="N49"/>
  <c r="O49"/>
  <c r="P49"/>
  <c r="Q49"/>
  <c r="R49"/>
  <c r="S49"/>
  <c r="T49"/>
  <c r="U49"/>
  <c r="V49"/>
  <c r="W49"/>
  <c r="X49"/>
  <c r="Z49"/>
  <c r="AA49"/>
  <c r="AB49"/>
  <c r="AD49"/>
  <c r="AE49"/>
  <c r="AG49"/>
  <c r="AH49"/>
  <c r="AI49"/>
  <c r="AJ49"/>
  <c r="AK49"/>
  <c r="AL49"/>
  <c r="AM49"/>
  <c r="AN49"/>
  <c r="AO49"/>
  <c r="AP49"/>
  <c r="AR49"/>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X73"/>
  <c r="Z73"/>
  <c r="X74"/>
  <c r="Z74"/>
  <c r="X75"/>
  <c r="Z75"/>
  <c r="Z76"/>
  <c r="X77"/>
  <c r="Z77"/>
  <c r="X78"/>
  <c r="Z78"/>
  <c r="X85"/>
  <c r="Z85"/>
  <c r="X86"/>
  <c r="Z86"/>
  <c r="X87"/>
  <c r="Z87"/>
  <c r="K101"/>
  <c r="Q101"/>
  <c r="Q102" s="1"/>
  <c r="T101"/>
  <c r="T102" s="1"/>
  <c r="B102"/>
  <c r="C102"/>
  <c r="D102"/>
  <c r="E102"/>
  <c r="F102"/>
  <c r="G102"/>
  <c r="H102"/>
  <c r="I102"/>
  <c r="J102"/>
  <c r="K102"/>
  <c r="L102"/>
  <c r="M102"/>
  <c r="N102"/>
  <c r="O102"/>
  <c r="P102"/>
  <c r="R102"/>
  <c r="S102"/>
  <c r="U102"/>
  <c r="V102"/>
  <c r="W102"/>
  <c r="X102"/>
  <c r="Y102"/>
  <c r="Z102"/>
  <c r="AA102"/>
  <c r="AB102"/>
  <c r="K103"/>
  <c r="K104"/>
  <c r="Q103"/>
  <c r="Q104"/>
  <c r="T103"/>
  <c r="T104"/>
  <c r="Z103"/>
  <c r="Z104"/>
  <c r="B104"/>
  <c r="C104"/>
  <c r="D104"/>
  <c r="E104"/>
  <c r="F104"/>
  <c r="G104"/>
  <c r="H104"/>
  <c r="I104"/>
  <c r="J104"/>
  <c r="L104"/>
  <c r="M104"/>
  <c r="N104"/>
  <c r="O104"/>
  <c r="P104"/>
  <c r="R104"/>
  <c r="S104"/>
  <c r="U104"/>
  <c r="V104"/>
  <c r="W104"/>
  <c r="X104"/>
  <c r="Y104"/>
  <c r="AA104"/>
  <c r="AB104"/>
  <c r="M105"/>
  <c r="M106" s="1"/>
  <c r="T105"/>
  <c r="T106" s="1"/>
  <c r="Z105"/>
  <c r="Z106" s="1"/>
  <c r="B106"/>
  <c r="C106"/>
  <c r="D106"/>
  <c r="E106"/>
  <c r="F106"/>
  <c r="G106"/>
  <c r="H106"/>
  <c r="I106"/>
  <c r="J106"/>
  <c r="K106"/>
  <c r="L106"/>
  <c r="N106"/>
  <c r="O106"/>
  <c r="P106"/>
  <c r="Q106"/>
  <c r="R106"/>
  <c r="S106"/>
  <c r="U106"/>
  <c r="V106"/>
  <c r="W106"/>
  <c r="X106"/>
  <c r="Y106"/>
  <c r="AA106"/>
  <c r="AB106"/>
  <c r="H107"/>
  <c r="H108" s="1"/>
  <c r="K107"/>
  <c r="K110" s="1"/>
  <c r="M107"/>
  <c r="M108"/>
  <c r="B108"/>
  <c r="C108"/>
  <c r="D108"/>
  <c r="E108"/>
  <c r="F108"/>
  <c r="G108"/>
  <c r="I108"/>
  <c r="J108"/>
  <c r="L108"/>
  <c r="N108"/>
  <c r="O108"/>
  <c r="P108"/>
  <c r="Q108"/>
  <c r="R108"/>
  <c r="S108"/>
  <c r="T108"/>
  <c r="U108"/>
  <c r="V108"/>
  <c r="W108"/>
  <c r="X108"/>
  <c r="Y108"/>
  <c r="Z108"/>
  <c r="AA108"/>
  <c r="AB108"/>
  <c r="E110"/>
  <c r="I110"/>
  <c r="J110"/>
  <c r="N110"/>
  <c r="O110"/>
  <c r="P110"/>
  <c r="Q110"/>
  <c r="R110"/>
  <c r="S110"/>
  <c r="T110"/>
  <c r="U110"/>
  <c r="V110"/>
  <c r="Y110"/>
  <c r="AA110"/>
  <c r="AB110"/>
  <c r="B110"/>
  <c r="C110"/>
  <c r="D110"/>
  <c r="F110"/>
  <c r="G110"/>
  <c r="H110"/>
  <c r="L110"/>
  <c r="W110"/>
  <c r="X110"/>
  <c r="Z111"/>
  <c r="Z110"/>
  <c r="K111"/>
  <c r="K112"/>
  <c r="T111"/>
  <c r="T112"/>
  <c r="B112"/>
  <c r="C112"/>
  <c r="D112"/>
  <c r="E112"/>
  <c r="F112"/>
  <c r="G112"/>
  <c r="H112"/>
  <c r="I112"/>
  <c r="J112"/>
  <c r="L112"/>
  <c r="M112"/>
  <c r="N112"/>
  <c r="O112"/>
  <c r="P112"/>
  <c r="Q112"/>
  <c r="R112"/>
  <c r="S112"/>
  <c r="U112"/>
  <c r="V112"/>
  <c r="W112"/>
  <c r="X112"/>
  <c r="Y112"/>
  <c r="AA112"/>
  <c r="AB112"/>
  <c r="K113"/>
  <c r="K114"/>
  <c r="B114"/>
  <c r="C114"/>
  <c r="D114"/>
  <c r="E114"/>
  <c r="F114"/>
  <c r="G114"/>
  <c r="H114"/>
  <c r="I114"/>
  <c r="J114"/>
  <c r="L114"/>
  <c r="M114"/>
  <c r="N114"/>
  <c r="O114"/>
  <c r="P114"/>
  <c r="Q114"/>
  <c r="R114"/>
  <c r="S114"/>
  <c r="T114"/>
  <c r="U114"/>
  <c r="V114"/>
  <c r="W114"/>
  <c r="X114"/>
  <c r="Y114"/>
  <c r="Z114"/>
  <c r="AA114"/>
  <c r="AB114"/>
  <c r="H115"/>
  <c r="K115"/>
  <c r="K116"/>
  <c r="N116"/>
  <c r="K117"/>
  <c r="Z117"/>
  <c r="H122"/>
  <c r="K122"/>
  <c r="M122"/>
  <c r="N122"/>
  <c r="O122"/>
  <c r="S122"/>
  <c r="K124"/>
  <c r="K126"/>
  <c r="K127"/>
  <c r="K128"/>
  <c r="H132"/>
  <c r="T132"/>
  <c r="Z132"/>
  <c r="K134"/>
  <c r="M134"/>
  <c r="T134"/>
  <c r="Z134"/>
  <c r="K136"/>
  <c r="T136"/>
  <c r="Z136"/>
  <c r="Z138"/>
  <c r="Z140"/>
  <c r="K144"/>
  <c r="M144"/>
  <c r="T144"/>
  <c r="Z144"/>
  <c r="M146"/>
  <c r="Z146"/>
  <c r="K149"/>
  <c r="Z149"/>
  <c r="Z151"/>
  <c r="C20" i="25"/>
  <c r="D20"/>
  <c r="E20"/>
  <c r="C21"/>
  <c r="D21"/>
  <c r="E21"/>
  <c r="E23"/>
  <c r="F23"/>
  <c r="G23"/>
  <c r="E24"/>
  <c r="F24"/>
  <c r="G24"/>
  <c r="E25"/>
  <c r="F25"/>
  <c r="G25"/>
  <c r="E26"/>
  <c r="F26"/>
  <c r="G26"/>
  <c r="C95"/>
  <c r="C96"/>
  <c r="C97"/>
  <c r="C98"/>
  <c r="C99"/>
  <c r="D103"/>
  <c r="E103"/>
  <c r="F103"/>
  <c r="D104"/>
  <c r="E104"/>
  <c r="F104"/>
  <c r="E106"/>
  <c r="F106"/>
  <c r="G106"/>
  <c r="E107"/>
  <c r="F107"/>
  <c r="G107"/>
  <c r="K188"/>
  <c r="L195"/>
  <c r="L196" s="1"/>
  <c r="O194" s="1"/>
  <c r="K195"/>
  <c r="K196" s="1"/>
  <c r="M195"/>
  <c r="M196" s="1"/>
  <c r="E200"/>
  <c r="D245"/>
  <c r="E245"/>
  <c r="F245"/>
  <c r="D246"/>
  <c r="E246"/>
  <c r="F246"/>
  <c r="D247"/>
  <c r="E247"/>
  <c r="F247"/>
  <c r="D248"/>
  <c r="E248"/>
  <c r="F248"/>
  <c r="D249"/>
  <c r="E249"/>
  <c r="F249"/>
  <c r="D252"/>
  <c r="E252"/>
  <c r="F252"/>
  <c r="D253"/>
  <c r="E253"/>
  <c r="F253"/>
  <c r="F257"/>
  <c r="G257"/>
  <c r="H257"/>
  <c r="F258"/>
  <c r="G258"/>
  <c r="H258"/>
  <c r="F259"/>
  <c r="G259"/>
  <c r="H259"/>
  <c r="F260"/>
  <c r="G260"/>
  <c r="H260"/>
  <c r="C154" i="20"/>
  <c r="E154"/>
  <c r="G154"/>
  <c r="I154"/>
  <c r="M154"/>
  <c r="C157"/>
  <c r="E157"/>
  <c r="G157"/>
  <c r="I157"/>
  <c r="M157"/>
  <c r="C160"/>
  <c r="E160"/>
  <c r="G160"/>
  <c r="I160"/>
  <c r="M160"/>
  <c r="C161"/>
  <c r="E161"/>
  <c r="G161"/>
  <c r="I161"/>
  <c r="M161"/>
  <c r="C162"/>
  <c r="E162"/>
  <c r="G162"/>
  <c r="I162"/>
  <c r="M162"/>
  <c r="C166"/>
  <c r="E166"/>
  <c r="G166"/>
  <c r="I166"/>
  <c r="M166"/>
  <c r="E176"/>
  <c r="G176"/>
  <c r="I176"/>
  <c r="K176"/>
  <c r="M176"/>
  <c r="Q176"/>
  <c r="E179"/>
  <c r="K179"/>
  <c r="M179"/>
  <c r="Q179"/>
  <c r="C182"/>
  <c r="E182"/>
  <c r="G182"/>
  <c r="I182"/>
  <c r="K182"/>
  <c r="M182"/>
  <c r="Q182"/>
  <c r="C183"/>
  <c r="E183"/>
  <c r="G183"/>
  <c r="I183"/>
  <c r="K183"/>
  <c r="M183"/>
  <c r="Q183"/>
  <c r="C184"/>
  <c r="E184"/>
  <c r="G184"/>
  <c r="I184"/>
  <c r="K184"/>
  <c r="M184"/>
  <c r="Q184"/>
  <c r="E188"/>
  <c r="G188"/>
  <c r="I188"/>
  <c r="K188"/>
  <c r="M188"/>
  <c r="Q188"/>
  <c r="AC171"/>
  <c r="AC173"/>
  <c r="AC174"/>
  <c r="S175"/>
  <c r="W175"/>
  <c r="AC175"/>
  <c r="U176"/>
  <c r="AA176"/>
  <c r="AE176"/>
  <c r="AC176"/>
  <c r="S177"/>
  <c r="W177"/>
  <c r="Y177"/>
  <c r="AC177"/>
  <c r="AC178"/>
  <c r="U179"/>
  <c r="AA179"/>
  <c r="AE179"/>
  <c r="AC179"/>
  <c r="S180"/>
  <c r="W180"/>
  <c r="Y180"/>
  <c r="AC180"/>
  <c r="S181"/>
  <c r="W181"/>
  <c r="Y181"/>
  <c r="S182"/>
  <c r="U182"/>
  <c r="W182"/>
  <c r="Y182"/>
  <c r="AA182"/>
  <c r="AE182"/>
  <c r="AC182"/>
  <c r="S183"/>
  <c r="U183"/>
  <c r="W183"/>
  <c r="Y183"/>
  <c r="AA183"/>
  <c r="AE183"/>
  <c r="AC183"/>
  <c r="S184"/>
  <c r="U184"/>
  <c r="W184"/>
  <c r="Y184"/>
  <c r="AA184"/>
  <c r="AE184"/>
  <c r="AC184"/>
  <c r="S185"/>
  <c r="W185"/>
  <c r="Y185"/>
  <c r="AC185"/>
  <c r="S186"/>
  <c r="W186"/>
  <c r="Y186"/>
  <c r="AC186"/>
  <c r="S187"/>
  <c r="W187"/>
  <c r="Y187"/>
  <c r="AC187"/>
  <c r="S188"/>
  <c r="U188"/>
  <c r="W188"/>
  <c r="Y188"/>
  <c r="AA188"/>
  <c r="AE188"/>
  <c r="AC188"/>
  <c r="AU175"/>
  <c r="AO176"/>
  <c r="AQ176"/>
  <c r="AW176"/>
  <c r="AY176"/>
  <c r="BA176"/>
  <c r="AU177"/>
  <c r="AO179"/>
  <c r="AQ179"/>
  <c r="AW179"/>
  <c r="AY179"/>
  <c r="BA179"/>
  <c r="AU180"/>
  <c r="AU181"/>
  <c r="AO182"/>
  <c r="AQ182"/>
  <c r="AS182"/>
  <c r="AU182"/>
  <c r="AW182"/>
  <c r="AY182"/>
  <c r="BA182"/>
  <c r="AO183"/>
  <c r="AQ183"/>
  <c r="AS183"/>
  <c r="AU183"/>
  <c r="AW183"/>
  <c r="AY183"/>
  <c r="BA183"/>
  <c r="AO184"/>
  <c r="AQ184"/>
  <c r="AS184"/>
  <c r="AU184"/>
  <c r="AW184"/>
  <c r="AY184"/>
  <c r="BA184"/>
  <c r="AU185"/>
  <c r="AU186"/>
  <c r="AU187"/>
  <c r="AO188"/>
  <c r="AQ188"/>
  <c r="AU188"/>
  <c r="AW188"/>
  <c r="AY188"/>
  <c r="BA188"/>
  <c r="AG176"/>
  <c r="AI176"/>
  <c r="AK176"/>
  <c r="AM176"/>
  <c r="BC176"/>
  <c r="BG176"/>
  <c r="BI176"/>
  <c r="AG179"/>
  <c r="AI179"/>
  <c r="AK179"/>
  <c r="AM179"/>
  <c r="BC179"/>
  <c r="BG179"/>
  <c r="BI179"/>
  <c r="AG182"/>
  <c r="AI182"/>
  <c r="AK182"/>
  <c r="AM182"/>
  <c r="BC182"/>
  <c r="BG182"/>
  <c r="BI182"/>
  <c r="AG183"/>
  <c r="AI183"/>
  <c r="AK183"/>
  <c r="AM183"/>
  <c r="BC183"/>
  <c r="BG183"/>
  <c r="BI183"/>
  <c r="AG184"/>
  <c r="AI184"/>
  <c r="AK184"/>
  <c r="AM184"/>
  <c r="BC184"/>
  <c r="BG184"/>
  <c r="BI184"/>
  <c r="AG188"/>
  <c r="AI188"/>
  <c r="AK188"/>
  <c r="AM188"/>
  <c r="BC188"/>
  <c r="BG188"/>
  <c r="BI188"/>
  <c r="AC189"/>
  <c r="BK176"/>
  <c r="BK179"/>
  <c r="BK182"/>
  <c r="BK183"/>
  <c r="BK184"/>
  <c r="BK188"/>
  <c r="B154"/>
  <c r="D154"/>
  <c r="F154"/>
  <c r="H154"/>
  <c r="J154"/>
  <c r="K154"/>
  <c r="L154"/>
  <c r="N154"/>
  <c r="O154"/>
  <c r="P154"/>
  <c r="Q154"/>
  <c r="R154"/>
  <c r="S154"/>
  <c r="T154"/>
  <c r="U154"/>
  <c r="B157"/>
  <c r="D157"/>
  <c r="F157"/>
  <c r="H157"/>
  <c r="J157"/>
  <c r="K157"/>
  <c r="L157"/>
  <c r="N157"/>
  <c r="O157"/>
  <c r="P157"/>
  <c r="Q157"/>
  <c r="R157"/>
  <c r="S157"/>
  <c r="T157"/>
  <c r="U157"/>
  <c r="B160"/>
  <c r="D160"/>
  <c r="F160"/>
  <c r="H160"/>
  <c r="J160"/>
  <c r="K160"/>
  <c r="L160"/>
  <c r="N160"/>
  <c r="O160"/>
  <c r="P160"/>
  <c r="Q160"/>
  <c r="R160"/>
  <c r="S160"/>
  <c r="T160"/>
  <c r="U160"/>
  <c r="B161"/>
  <c r="D161"/>
  <c r="F161"/>
  <c r="H161"/>
  <c r="J161"/>
  <c r="K161"/>
  <c r="L161"/>
  <c r="N161"/>
  <c r="O161"/>
  <c r="P161"/>
  <c r="Q161"/>
  <c r="R161"/>
  <c r="S161"/>
  <c r="T161"/>
  <c r="U161"/>
  <c r="B162"/>
  <c r="D162"/>
  <c r="F162"/>
  <c r="H162"/>
  <c r="J162"/>
  <c r="K162"/>
  <c r="L162"/>
  <c r="N162"/>
  <c r="O162"/>
  <c r="P162"/>
  <c r="Q162"/>
  <c r="R162"/>
  <c r="S162"/>
  <c r="T162"/>
  <c r="U162"/>
  <c r="B166"/>
  <c r="D166"/>
  <c r="F166"/>
  <c r="H166"/>
  <c r="J166"/>
  <c r="K166"/>
  <c r="L166"/>
  <c r="N166"/>
  <c r="O166"/>
  <c r="P166"/>
  <c r="Q166"/>
  <c r="AB171"/>
  <c r="AB173"/>
  <c r="AB174"/>
  <c r="R175"/>
  <c r="V175"/>
  <c r="AB175"/>
  <c r="AT175"/>
  <c r="D176"/>
  <c r="F176"/>
  <c r="H176"/>
  <c r="J176"/>
  <c r="L176"/>
  <c r="N176"/>
  <c r="O176"/>
  <c r="P176"/>
  <c r="T176"/>
  <c r="Z176"/>
  <c r="AB176"/>
  <c r="AD176"/>
  <c r="AF176"/>
  <c r="AH176"/>
  <c r="AJ176"/>
  <c r="AL176"/>
  <c r="AN176"/>
  <c r="AP176"/>
  <c r="AV176"/>
  <c r="AX176"/>
  <c r="AZ176"/>
  <c r="BB176"/>
  <c r="BD176"/>
  <c r="BE176"/>
  <c r="BF176"/>
  <c r="BH176"/>
  <c r="BJ176"/>
  <c r="BL176"/>
  <c r="BM176"/>
  <c r="R177"/>
  <c r="V177"/>
  <c r="X177"/>
  <c r="AB177"/>
  <c r="AT177"/>
  <c r="AB178"/>
  <c r="D179"/>
  <c r="L179"/>
  <c r="N179"/>
  <c r="O179"/>
  <c r="P179"/>
  <c r="T179"/>
  <c r="Z179"/>
  <c r="AB179"/>
  <c r="AD179"/>
  <c r="AF179"/>
  <c r="AH179"/>
  <c r="AJ179"/>
  <c r="AL179"/>
  <c r="AN179"/>
  <c r="AP179"/>
  <c r="AV179"/>
  <c r="AX179"/>
  <c r="AZ179"/>
  <c r="BB179"/>
  <c r="BD179"/>
  <c r="BE179"/>
  <c r="BF179"/>
  <c r="BH179"/>
  <c r="BJ179"/>
  <c r="BL179"/>
  <c r="BM179"/>
  <c r="R180"/>
  <c r="V180"/>
  <c r="X180"/>
  <c r="AB180"/>
  <c r="AT180"/>
  <c r="R181"/>
  <c r="V181"/>
  <c r="X181"/>
  <c r="AT181"/>
  <c r="D182"/>
  <c r="F182"/>
  <c r="H182"/>
  <c r="J182"/>
  <c r="L182"/>
  <c r="N182"/>
  <c r="O182"/>
  <c r="P182"/>
  <c r="R182"/>
  <c r="T182"/>
  <c r="V182"/>
  <c r="X182"/>
  <c r="Z182"/>
  <c r="AB182"/>
  <c r="AD182"/>
  <c r="AF182"/>
  <c r="AH182"/>
  <c r="AJ182"/>
  <c r="AL182"/>
  <c r="AN182"/>
  <c r="AP182"/>
  <c r="AT182"/>
  <c r="AV182"/>
  <c r="AX182"/>
  <c r="AZ182"/>
  <c r="BB182"/>
  <c r="BD182"/>
  <c r="BE182"/>
  <c r="BF182"/>
  <c r="BH182"/>
  <c r="BJ182"/>
  <c r="BL182"/>
  <c r="BM182"/>
  <c r="D183"/>
  <c r="F183"/>
  <c r="H183"/>
  <c r="J183"/>
  <c r="L183"/>
  <c r="N183"/>
  <c r="O183"/>
  <c r="P183"/>
  <c r="R183"/>
  <c r="T183"/>
  <c r="V183"/>
  <c r="X183"/>
  <c r="Z183"/>
  <c r="AB183"/>
  <c r="AD183"/>
  <c r="AF183"/>
  <c r="AH183"/>
  <c r="AJ183"/>
  <c r="AL183"/>
  <c r="AN183"/>
  <c r="AP183"/>
  <c r="AT183"/>
  <c r="AV183"/>
  <c r="AX183"/>
  <c r="AZ183"/>
  <c r="BB183"/>
  <c r="BD183"/>
  <c r="BE183"/>
  <c r="BF183"/>
  <c r="BH183"/>
  <c r="BJ183"/>
  <c r="BL183"/>
  <c r="BM183"/>
  <c r="D184"/>
  <c r="F184"/>
  <c r="H184"/>
  <c r="J184"/>
  <c r="L184"/>
  <c r="N184"/>
  <c r="O184"/>
  <c r="P184"/>
  <c r="R184"/>
  <c r="T184"/>
  <c r="V184"/>
  <c r="X184"/>
  <c r="Z184"/>
  <c r="AB184"/>
  <c r="AD184"/>
  <c r="AF184"/>
  <c r="AH184"/>
  <c r="AJ184"/>
  <c r="AL184"/>
  <c r="AN184"/>
  <c r="AP184"/>
  <c r="AT184"/>
  <c r="AV184"/>
  <c r="AX184"/>
  <c r="AZ184"/>
  <c r="BB184"/>
  <c r="BD184"/>
  <c r="BE184"/>
  <c r="BF184"/>
  <c r="BH184"/>
  <c r="BJ184"/>
  <c r="BL184"/>
  <c r="BM184"/>
  <c r="R185"/>
  <c r="V185"/>
  <c r="X185"/>
  <c r="AB185"/>
  <c r="AT185"/>
  <c r="R186"/>
  <c r="V186"/>
  <c r="X186"/>
  <c r="AB186"/>
  <c r="AT186"/>
  <c r="R187"/>
  <c r="V187"/>
  <c r="X187"/>
  <c r="AB187"/>
  <c r="AT187"/>
  <c r="D188"/>
  <c r="F188"/>
  <c r="H188"/>
  <c r="J188"/>
  <c r="L188"/>
  <c r="N188"/>
  <c r="O188"/>
  <c r="P188"/>
  <c r="R188"/>
  <c r="T188"/>
  <c r="V188"/>
  <c r="X188"/>
  <c r="Z188"/>
  <c r="AB188"/>
  <c r="AD188"/>
  <c r="AF188"/>
  <c r="AH188"/>
  <c r="AJ188"/>
  <c r="AL188"/>
  <c r="AN188"/>
  <c r="AP188"/>
  <c r="AT188"/>
  <c r="AV188"/>
  <c r="AX188"/>
  <c r="AZ188"/>
  <c r="BB188"/>
  <c r="BD188"/>
  <c r="BE188"/>
  <c r="BF188"/>
  <c r="BH188"/>
  <c r="BJ188"/>
  <c r="BL188"/>
  <c r="BM188"/>
  <c r="AB189"/>
  <c r="D3" i="16"/>
  <c r="D42"/>
  <c r="M120"/>
  <c r="D4"/>
  <c r="D43"/>
  <c r="M121"/>
  <c r="D5"/>
  <c r="D44"/>
  <c r="M122"/>
  <c r="D6"/>
  <c r="D45"/>
  <c r="M123"/>
  <c r="D7"/>
  <c r="D46"/>
  <c r="M124"/>
  <c r="D8"/>
  <c r="F8"/>
  <c r="D47"/>
  <c r="M125"/>
  <c r="D9"/>
  <c r="M126"/>
  <c r="D10"/>
  <c r="M127"/>
  <c r="D11"/>
  <c r="D50"/>
  <c r="M128"/>
  <c r="D12"/>
  <c r="D51"/>
  <c r="M129"/>
  <c r="D52"/>
  <c r="M130"/>
  <c r="D53"/>
  <c r="M131"/>
  <c r="D54"/>
  <c r="M132"/>
  <c r="D16"/>
  <c r="D55"/>
  <c r="M133"/>
  <c r="D17"/>
  <c r="D56"/>
  <c r="M134"/>
  <c r="D18"/>
  <c r="D57"/>
  <c r="M135"/>
  <c r="D19"/>
  <c r="M136"/>
  <c r="D20"/>
  <c r="M137"/>
  <c r="D21"/>
  <c r="M138"/>
  <c r="D22"/>
  <c r="D61"/>
  <c r="M139"/>
  <c r="D23"/>
  <c r="D62"/>
  <c r="M140"/>
  <c r="D24"/>
  <c r="D63"/>
  <c r="M141"/>
  <c r="D25"/>
  <c r="M142"/>
  <c r="D26"/>
  <c r="M143"/>
  <c r="D27"/>
  <c r="M144"/>
  <c r="D28"/>
  <c r="D67"/>
  <c r="M145"/>
  <c r="D29"/>
  <c r="D68"/>
  <c r="M146"/>
  <c r="D30"/>
  <c r="D69"/>
  <c r="M147"/>
  <c r="D31"/>
  <c r="D70"/>
  <c r="M148"/>
  <c r="D32"/>
  <c r="D71"/>
  <c r="M149"/>
  <c r="D33"/>
  <c r="D72"/>
  <c r="D34"/>
  <c r="D73"/>
  <c r="D35"/>
  <c r="D74"/>
  <c r="D36"/>
  <c r="D75"/>
  <c r="D37"/>
  <c r="D76"/>
  <c r="D38"/>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E117"/>
  <c r="J117"/>
  <c r="BL11" i="8"/>
  <c r="S11"/>
  <c r="S9"/>
  <c r="U379" i="20"/>
  <c r="G379"/>
  <c r="D473"/>
  <c r="BP472"/>
  <c r="BD445"/>
  <c r="D445"/>
  <c r="BY483"/>
  <c r="AR459"/>
  <c r="BU425"/>
  <c r="BU483"/>
  <c r="BP458"/>
  <c r="BD422"/>
  <c r="G494"/>
  <c r="AJ479"/>
  <c r="BD467"/>
  <c r="BP453"/>
  <c r="BD435"/>
  <c r="BD409"/>
  <c r="BU488"/>
  <c r="R479"/>
  <c r="BP466"/>
  <c r="BD452"/>
  <c r="AR435"/>
  <c r="BD407"/>
  <c r="BP490"/>
  <c r="BP486"/>
  <c r="BD481"/>
  <c r="BU476"/>
  <c r="R471"/>
  <c r="BD463"/>
  <c r="AR456"/>
  <c r="BP448"/>
  <c r="BP440"/>
  <c r="BU430"/>
  <c r="BP417"/>
  <c r="BD394"/>
  <c r="BP492"/>
  <c r="BU494"/>
  <c r="BD486"/>
  <c r="AN481"/>
  <c r="BD476"/>
  <c r="BU470"/>
  <c r="AJ463"/>
  <c r="AC456"/>
  <c r="AC448"/>
  <c r="BD440"/>
  <c r="BD430"/>
  <c r="BP414"/>
  <c r="BY393"/>
  <c r="AR494"/>
  <c r="BP487"/>
  <c r="AF485"/>
  <c r="BP482"/>
  <c r="AR480"/>
  <c r="U478"/>
  <c r="BP475"/>
  <c r="AC472"/>
  <c r="BU469"/>
  <c r="BU464"/>
  <c r="U462"/>
  <c r="BD457"/>
  <c r="AJ455"/>
  <c r="AJ452"/>
  <c r="AJ447"/>
  <c r="G444"/>
  <c r="BP437"/>
  <c r="BU433"/>
  <c r="BD427"/>
  <c r="BD420"/>
  <c r="BU412"/>
  <c r="BU399"/>
  <c r="BP384"/>
  <c r="AC494"/>
  <c r="BD487"/>
  <c r="BU484"/>
  <c r="BD482"/>
  <c r="AC480"/>
  <c r="D478"/>
  <c r="BD475"/>
  <c r="BU471"/>
  <c r="AC469"/>
  <c r="BD464"/>
  <c r="BP460"/>
  <c r="D457"/>
  <c r="D454"/>
  <c r="BU450"/>
  <c r="R447"/>
  <c r="BU442"/>
  <c r="BD437"/>
  <c r="BP432"/>
  <c r="O427"/>
  <c r="BD419"/>
  <c r="BP412"/>
  <c r="BD398"/>
  <c r="BP383"/>
  <c r="J455"/>
  <c r="J450"/>
  <c r="BP494"/>
  <c r="U494"/>
  <c r="BD488"/>
  <c r="AC487"/>
  <c r="U486"/>
  <c r="BD484"/>
  <c r="BP483"/>
  <c r="AJ482"/>
  <c r="D481"/>
  <c r="R480"/>
  <c r="BP478"/>
  <c r="BU477"/>
  <c r="AJ476"/>
  <c r="AR475"/>
  <c r="BD472"/>
  <c r="BD471"/>
  <c r="U470"/>
  <c r="BU468"/>
  <c r="BD466"/>
  <c r="AC464"/>
  <c r="R463"/>
  <c r="BD460"/>
  <c r="BD458"/>
  <c r="BU456"/>
  <c r="R456"/>
  <c r="BP454"/>
  <c r="AC453"/>
  <c r="BY451"/>
  <c r="BU449"/>
  <c r="R448"/>
  <c r="D446"/>
  <c r="BD444"/>
  <c r="BY441"/>
  <c r="BD439"/>
  <c r="BP436"/>
  <c r="BU434"/>
  <c r="O432"/>
  <c r="BU429"/>
  <c r="G427"/>
  <c r="AR422"/>
  <c r="BU418"/>
  <c r="BP413"/>
  <c r="BD412"/>
  <c r="BP403"/>
  <c r="BU397"/>
  <c r="BD392"/>
  <c r="BU381"/>
  <c r="BD494"/>
  <c r="O494"/>
  <c r="U487"/>
  <c r="BD485"/>
  <c r="U484"/>
  <c r="AJ483"/>
  <c r="R482"/>
  <c r="BP480"/>
  <c r="BU479"/>
  <c r="BD478"/>
  <c r="AC477"/>
  <c r="BY475"/>
  <c r="BU474"/>
  <c r="AR472"/>
  <c r="AJ471"/>
  <c r="D470"/>
  <c r="AJ468"/>
  <c r="BD465"/>
  <c r="BU462"/>
  <c r="BU459"/>
  <c r="BP457"/>
  <c r="BD456"/>
  <c r="BD455"/>
  <c r="BP452"/>
  <c r="BD447"/>
  <c r="BU445"/>
  <c r="O444"/>
  <c r="BP441"/>
  <c r="BP438"/>
  <c r="BD436"/>
  <c r="BD434"/>
  <c r="BU427"/>
  <c r="BP426"/>
  <c r="BU421"/>
  <c r="BD418"/>
  <c r="BD413"/>
  <c r="BD402"/>
  <c r="J397"/>
  <c r="CD390"/>
  <c r="CH468"/>
  <c r="X467"/>
  <c r="AW462"/>
  <c r="BA444"/>
  <c r="CD434"/>
  <c r="BE491"/>
  <c r="CH385"/>
  <c r="BA484"/>
  <c r="CH482"/>
  <c r="CD480"/>
  <c r="BQ478"/>
  <c r="J478"/>
  <c r="X477"/>
  <c r="J476"/>
  <c r="CD465"/>
  <c r="X443"/>
  <c r="AF383"/>
  <c r="BI491"/>
  <c r="BA488"/>
  <c r="AW486"/>
  <c r="CH483"/>
  <c r="BA483"/>
  <c r="AF471"/>
  <c r="BQ463"/>
  <c r="BQ446"/>
  <c r="AW445"/>
  <c r="AW440"/>
  <c r="CH420"/>
  <c r="AG44" i="6"/>
  <c r="X491" i="20"/>
  <c r="CD494"/>
  <c r="BA494"/>
  <c r="CH487"/>
  <c r="CM483"/>
  <c r="AF483"/>
  <c r="AW482"/>
  <c r="CH481"/>
  <c r="J480"/>
  <c r="BA479"/>
  <c r="CM478"/>
  <c r="BA470"/>
  <c r="AF466"/>
  <c r="CM458"/>
  <c r="CD457"/>
  <c r="X450"/>
  <c r="J449"/>
  <c r="AW443"/>
  <c r="X434"/>
  <c r="BA432"/>
  <c r="CM427"/>
  <c r="AW427"/>
  <c r="X426"/>
  <c r="CD422"/>
  <c r="AW421"/>
  <c r="CM405"/>
  <c r="BA401"/>
  <c r="CM391"/>
  <c r="J388"/>
  <c r="X489"/>
  <c r="AF491"/>
  <c r="X488"/>
  <c r="AF487"/>
  <c r="CD485"/>
  <c r="J482"/>
  <c r="AF481"/>
  <c r="AW480"/>
  <c r="BI479"/>
  <c r="CH474"/>
  <c r="CH464"/>
  <c r="CH462"/>
  <c r="CM460"/>
  <c r="AW458"/>
  <c r="BA457"/>
  <c r="BA454"/>
  <c r="AW449"/>
  <c r="CD445"/>
  <c r="BE445"/>
  <c r="CH444"/>
  <c r="CD441"/>
  <c r="CM438"/>
  <c r="X437"/>
  <c r="BA435"/>
  <c r="CM431"/>
  <c r="CM428"/>
  <c r="AF423"/>
  <c r="AF420"/>
  <c r="J415"/>
  <c r="AF413"/>
  <c r="BA411"/>
  <c r="CD406"/>
  <c r="BQ394"/>
  <c r="AF388"/>
  <c r="J490"/>
  <c r="CD488"/>
  <c r="J487"/>
  <c r="J485"/>
  <c r="AF484"/>
  <c r="AW483"/>
  <c r="X480"/>
  <c r="BQ479"/>
  <c r="AF479"/>
  <c r="CD475"/>
  <c r="BA464"/>
  <c r="BE463"/>
  <c r="J463"/>
  <c r="BQ456"/>
  <c r="CH453"/>
  <c r="CM450"/>
  <c r="AW447"/>
  <c r="BI445"/>
  <c r="CM440"/>
  <c r="CM432"/>
  <c r="BQ427"/>
  <c r="X424"/>
  <c r="CM418"/>
  <c r="CM416"/>
  <c r="CD402"/>
  <c r="CM394"/>
  <c r="BQ392"/>
  <c r="AW385"/>
  <c r="X382"/>
  <c r="J379"/>
  <c r="BU374"/>
  <c r="BC201" i="36" s="1"/>
  <c r="CL465" i="20"/>
  <c r="CL479"/>
  <c r="CL467"/>
  <c r="CL472"/>
  <c r="CL486"/>
  <c r="CG390"/>
  <c r="CG470"/>
  <c r="CG455"/>
  <c r="CC441"/>
  <c r="CC450"/>
  <c r="CC452"/>
  <c r="CC475"/>
  <c r="CC419"/>
  <c r="CC408"/>
  <c r="CC429"/>
  <c r="BL450"/>
  <c r="BL441"/>
  <c r="BL461"/>
  <c r="BL464"/>
  <c r="BL466"/>
  <c r="BL398"/>
  <c r="BL425"/>
  <c r="BL459"/>
  <c r="BL437"/>
  <c r="BL440"/>
  <c r="BL452"/>
  <c r="BL458"/>
  <c r="BL482"/>
  <c r="BL449"/>
  <c r="BL403"/>
  <c r="BH408"/>
  <c r="BH392"/>
  <c r="BH454"/>
  <c r="BH474"/>
  <c r="BH477"/>
  <c r="BH436"/>
  <c r="BH419"/>
  <c r="BH456"/>
  <c r="BH472"/>
  <c r="BH422"/>
  <c r="BH435"/>
  <c r="BH460"/>
  <c r="BH494"/>
  <c r="BH479"/>
  <c r="BH434"/>
  <c r="BH432"/>
  <c r="BH491"/>
  <c r="AZ395"/>
  <c r="AZ406"/>
  <c r="AZ436"/>
  <c r="AZ445"/>
  <c r="AZ470"/>
  <c r="AZ474"/>
  <c r="AV392"/>
  <c r="AV463"/>
  <c r="AV469"/>
  <c r="AV490"/>
  <c r="AV445"/>
  <c r="AV420"/>
  <c r="AV436"/>
  <c r="AV481"/>
  <c r="AV409"/>
  <c r="AV468"/>
  <c r="AE428"/>
  <c r="AE490"/>
  <c r="AE449"/>
  <c r="AE432"/>
  <c r="AE457"/>
  <c r="AE438"/>
  <c r="AE465"/>
  <c r="Z449"/>
  <c r="Z430"/>
  <c r="Z389"/>
  <c r="Z475"/>
  <c r="Z479"/>
  <c r="Z409"/>
  <c r="Z454"/>
  <c r="Z424"/>
  <c r="Z456"/>
  <c r="Z493"/>
  <c r="L469"/>
  <c r="L467"/>
  <c r="L492"/>
  <c r="L488"/>
  <c r="L431"/>
  <c r="BN11" i="8"/>
  <c r="B382" i="20"/>
  <c r="CG485"/>
  <c r="AZ477"/>
  <c r="AZ468"/>
  <c r="BH463"/>
  <c r="Z453"/>
  <c r="L441"/>
  <c r="L390"/>
  <c r="BL385"/>
  <c r="BH492"/>
  <c r="BH484"/>
  <c r="CC478"/>
  <c r="AE433"/>
  <c r="CC418"/>
  <c r="BH490"/>
  <c r="CC482"/>
  <c r="CG477"/>
  <c r="AZ475"/>
  <c r="BL473"/>
  <c r="BH470"/>
  <c r="AZ467"/>
  <c r="CL460"/>
  <c r="CC458"/>
  <c r="CL454"/>
  <c r="CC453"/>
  <c r="Z450"/>
  <c r="BH433"/>
  <c r="CG422"/>
  <c r="BH420"/>
  <c r="CC381"/>
  <c r="BH471"/>
  <c r="Z452"/>
  <c r="BL410"/>
  <c r="BH493"/>
  <c r="AV494"/>
  <c r="BL488"/>
  <c r="BH487"/>
  <c r="BH486"/>
  <c r="BL476"/>
  <c r="CC473"/>
  <c r="BH457"/>
  <c r="BH445"/>
  <c r="BH411"/>
  <c r="C55" i="11"/>
  <c r="BR473" i="20"/>
  <c r="AF489"/>
  <c r="CM494"/>
  <c r="BQ488"/>
  <c r="J488"/>
  <c r="BA486"/>
  <c r="CD483"/>
  <c r="BE482"/>
  <c r="CM481"/>
  <c r="J481"/>
  <c r="CM477"/>
  <c r="CM476"/>
  <c r="J475"/>
  <c r="BQ473"/>
  <c r="CD467"/>
  <c r="CH460"/>
  <c r="BA459"/>
  <c r="BA458"/>
  <c r="BQ454"/>
  <c r="X451"/>
  <c r="CH449"/>
  <c r="CH448"/>
  <c r="CH442"/>
  <c r="X439"/>
  <c r="BA426"/>
  <c r="X419"/>
  <c r="AF416"/>
  <c r="J407"/>
  <c r="J403"/>
  <c r="CM386"/>
  <c r="CH382"/>
  <c r="BA493"/>
  <c r="AF493"/>
  <c r="X494"/>
  <c r="CM486"/>
  <c r="X486"/>
  <c r="X485"/>
  <c r="AW484"/>
  <c r="CM482"/>
  <c r="BA482"/>
  <c r="CD481"/>
  <c r="CH480"/>
  <c r="CD477"/>
  <c r="BA473"/>
  <c r="AF472"/>
  <c r="AF459"/>
  <c r="AF458"/>
  <c r="J456"/>
  <c r="AW452"/>
  <c r="CM446"/>
  <c r="CM441"/>
  <c r="BQ440"/>
  <c r="BQ438"/>
  <c r="CD414"/>
  <c r="AW409"/>
  <c r="CD392"/>
  <c r="CH493"/>
  <c r="CD486"/>
  <c r="CM485"/>
  <c r="CM484"/>
  <c r="BI483"/>
  <c r="CD482"/>
  <c r="AW481"/>
  <c r="BQ480"/>
  <c r="AW478"/>
  <c r="BA476"/>
  <c r="BA475"/>
  <c r="X472"/>
  <c r="BQ469"/>
  <c r="AW468"/>
  <c r="AF464"/>
  <c r="AW461"/>
  <c r="BA460"/>
  <c r="J453"/>
  <c r="J448"/>
  <c r="BA446"/>
  <c r="CD432"/>
  <c r="CH431"/>
  <c r="CD428"/>
  <c r="CH424"/>
  <c r="CM413"/>
  <c r="CM411"/>
  <c r="X405"/>
  <c r="J400"/>
  <c r="BQ395"/>
  <c r="CD490"/>
  <c r="AF488"/>
  <c r="BA487"/>
  <c r="CH485"/>
  <c r="CD484"/>
  <c r="J484"/>
  <c r="BE483"/>
  <c r="AF482"/>
  <c r="X479"/>
  <c r="CD473"/>
  <c r="BQ472"/>
  <c r="BQ470"/>
  <c r="AW469"/>
  <c r="CH466"/>
  <c r="AF465"/>
  <c r="J461"/>
  <c r="X460"/>
  <c r="CM452"/>
  <c r="CH451"/>
  <c r="CH447"/>
  <c r="BQ437"/>
  <c r="AF428"/>
  <c r="J427"/>
  <c r="CH417"/>
  <c r="CH404"/>
  <c r="CM399"/>
  <c r="BQ388"/>
  <c r="CD383"/>
  <c r="AO405"/>
  <c r="AA385"/>
  <c r="M430"/>
  <c r="BV420"/>
  <c r="BA456"/>
  <c r="CD455"/>
  <c r="CD452"/>
  <c r="X452"/>
  <c r="CD448"/>
  <c r="BI447"/>
  <c r="AF446"/>
  <c r="AW444"/>
  <c r="CD442"/>
  <c r="X435"/>
  <c r="J434"/>
  <c r="BQ431"/>
  <c r="AF427"/>
  <c r="CM425"/>
  <c r="CM423"/>
  <c r="CM419"/>
  <c r="CH416"/>
  <c r="BA414"/>
  <c r="CM410"/>
  <c r="BA404"/>
  <c r="AF402"/>
  <c r="BA399"/>
  <c r="CH396"/>
  <c r="BA394"/>
  <c r="CM389"/>
  <c r="CD387"/>
  <c r="X493"/>
  <c r="CD492"/>
  <c r="CH491"/>
  <c r="CH494"/>
  <c r="AX494"/>
  <c r="J494"/>
  <c r="CM487"/>
  <c r="AW487"/>
  <c r="CH486"/>
  <c r="AF486"/>
  <c r="BQ485"/>
  <c r="CH484"/>
  <c r="AP484"/>
  <c r="BQ482"/>
  <c r="BQ481"/>
  <c r="X481"/>
  <c r="BA480"/>
  <c r="CM479"/>
  <c r="J479"/>
  <c r="BA478"/>
  <c r="CD476"/>
  <c r="CM475"/>
  <c r="AX475"/>
  <c r="BA474"/>
  <c r="BJ472"/>
  <c r="CM471"/>
  <c r="CM470"/>
  <c r="X470"/>
  <c r="AF469"/>
  <c r="AF467"/>
  <c r="BA466"/>
  <c r="J465"/>
  <c r="AW463"/>
  <c r="AF462"/>
  <c r="CM459"/>
  <c r="CH458"/>
  <c r="J458"/>
  <c r="X457"/>
  <c r="BI455"/>
  <c r="BQ453"/>
  <c r="J452"/>
  <c r="AW438"/>
  <c r="AF437"/>
  <c r="AW436"/>
  <c r="CH434"/>
  <c r="CH433"/>
  <c r="X431"/>
  <c r="J428"/>
  <c r="CD423"/>
  <c r="BA422"/>
  <c r="BQ420"/>
  <c r="CH419"/>
  <c r="BQ418"/>
  <c r="BQ416"/>
  <c r="X414"/>
  <c r="CH410"/>
  <c r="X406"/>
  <c r="CM403"/>
  <c r="BQ401"/>
  <c r="X399"/>
  <c r="CM395"/>
  <c r="CD393"/>
  <c r="CH389"/>
  <c r="J387"/>
  <c r="J492"/>
  <c r="CH490"/>
  <c r="CM488"/>
  <c r="AW488"/>
  <c r="CD487"/>
  <c r="BQ486"/>
  <c r="BA485"/>
  <c r="X484"/>
  <c r="BQ483"/>
  <c r="X483"/>
  <c r="X482"/>
  <c r="BA481"/>
  <c r="CH479"/>
  <c r="AW479"/>
  <c r="CH478"/>
  <c r="AF478"/>
  <c r="BQ476"/>
  <c r="AF474"/>
  <c r="AF473"/>
  <c r="BQ471"/>
  <c r="CD470"/>
  <c r="X468"/>
  <c r="CM465"/>
  <c r="J464"/>
  <c r="J462"/>
  <c r="BQ460"/>
  <c r="BQ459"/>
  <c r="BQ457"/>
  <c r="CH456"/>
  <c r="AW453"/>
  <c r="AW450"/>
  <c r="BA448"/>
  <c r="CD443"/>
  <c r="BA442"/>
  <c r="AF441"/>
  <c r="CM437"/>
  <c r="CM436"/>
  <c r="AF436"/>
  <c r="CM430"/>
  <c r="BA429"/>
  <c r="CD427"/>
  <c r="BA425"/>
  <c r="J423"/>
  <c r="X422"/>
  <c r="AF418"/>
  <c r="CH415"/>
  <c r="CD413"/>
  <c r="AF412"/>
  <c r="J410"/>
  <c r="CH407"/>
  <c r="CD405"/>
  <c r="CH400"/>
  <c r="BA393"/>
  <c r="CD391"/>
  <c r="BA389"/>
  <c r="BA386"/>
  <c r="BQ383"/>
  <c r="J381"/>
  <c r="BR442"/>
  <c r="BA491"/>
  <c r="CH492"/>
  <c r="BQ494"/>
  <c r="AF494"/>
  <c r="CH488"/>
  <c r="BQ487"/>
  <c r="X487"/>
  <c r="J486"/>
  <c r="AW485"/>
  <c r="BQ484"/>
  <c r="J483"/>
  <c r="CM480"/>
  <c r="AF480"/>
  <c r="CD479"/>
  <c r="CD478"/>
  <c r="X478"/>
  <c r="X475"/>
  <c r="J474"/>
  <c r="X473"/>
  <c r="BA472"/>
  <c r="CH469"/>
  <c r="J469"/>
  <c r="CM467"/>
  <c r="J467"/>
  <c r="BQ464"/>
  <c r="CH463"/>
  <c r="CD461"/>
  <c r="X456"/>
  <c r="AF455"/>
  <c r="X454"/>
  <c r="BQ443"/>
  <c r="J442"/>
  <c r="BA439"/>
  <c r="CH437"/>
  <c r="CD436"/>
  <c r="BQ434"/>
  <c r="AF433"/>
  <c r="CH430"/>
  <c r="J429"/>
  <c r="X425"/>
  <c r="CD421"/>
  <c r="X418"/>
  <c r="CD415"/>
  <c r="X412"/>
  <c r="BQ405"/>
  <c r="AF403"/>
  <c r="J398"/>
  <c r="J395"/>
  <c r="AA456"/>
  <c r="AS449"/>
  <c r="S440"/>
  <c r="AS455"/>
  <c r="CB488"/>
  <c r="AG485"/>
  <c r="S483"/>
  <c r="AK475"/>
  <c r="CK470"/>
  <c r="BV435"/>
  <c r="AO456"/>
  <c r="CK494"/>
  <c r="BV484"/>
  <c r="B478"/>
  <c r="AA477"/>
  <c r="AO473"/>
  <c r="BZ461"/>
  <c r="AO452"/>
  <c r="AO423"/>
  <c r="AO406"/>
  <c r="AS494"/>
  <c r="BV474"/>
  <c r="AS454"/>
  <c r="BZ452"/>
  <c r="AO487"/>
  <c r="AK486"/>
  <c r="BV476"/>
  <c r="AO472"/>
  <c r="AK458"/>
  <c r="BZ405"/>
  <c r="BV478"/>
  <c r="BZ469"/>
  <c r="S468"/>
  <c r="M462"/>
  <c r="CM383"/>
  <c r="CM385"/>
  <c r="CM393"/>
  <c r="CM398"/>
  <c r="CM407"/>
  <c r="CM421"/>
  <c r="CM434"/>
  <c r="CM442"/>
  <c r="CM448"/>
  <c r="CM401"/>
  <c r="CM443"/>
  <c r="CM445"/>
  <c r="CM455"/>
  <c r="CM457"/>
  <c r="CM461"/>
  <c r="CM473"/>
  <c r="CM387"/>
  <c r="CM406"/>
  <c r="CM414"/>
  <c r="CM444"/>
  <c r="CM453"/>
  <c r="CM454"/>
  <c r="CM456"/>
  <c r="CM464"/>
  <c r="CM466"/>
  <c r="CM469"/>
  <c r="CM472"/>
  <c r="CM402"/>
  <c r="CM412"/>
  <c r="CM417"/>
  <c r="CM422"/>
  <c r="CM433"/>
  <c r="CM447"/>
  <c r="CM449"/>
  <c r="CM451"/>
  <c r="CM462"/>
  <c r="CM463"/>
  <c r="CM468"/>
  <c r="CM474"/>
  <c r="CH379"/>
  <c r="CH388"/>
  <c r="CH392"/>
  <c r="CH401"/>
  <c r="CH443"/>
  <c r="CH445"/>
  <c r="CH455"/>
  <c r="CH457"/>
  <c r="CH461"/>
  <c r="CH470"/>
  <c r="CH473"/>
  <c r="CH425"/>
  <c r="CH438"/>
  <c r="CH440"/>
  <c r="CH446"/>
  <c r="CH450"/>
  <c r="CH454"/>
  <c r="CH459"/>
  <c r="CH471"/>
  <c r="CH472"/>
  <c r="CH477"/>
  <c r="CH395"/>
  <c r="CH413"/>
  <c r="CH423"/>
  <c r="CH432"/>
  <c r="CH436"/>
  <c r="CH476"/>
  <c r="CH381"/>
  <c r="CH394"/>
  <c r="CH405"/>
  <c r="CH418"/>
  <c r="CH427"/>
  <c r="CH428"/>
  <c r="CH441"/>
  <c r="CH452"/>
  <c r="CH465"/>
  <c r="CH467"/>
  <c r="CH475"/>
  <c r="CD438"/>
  <c r="CD440"/>
  <c r="CD446"/>
  <c r="CD450"/>
  <c r="CD454"/>
  <c r="CD459"/>
  <c r="CD471"/>
  <c r="CD472"/>
  <c r="CD382"/>
  <c r="CD420"/>
  <c r="CD424"/>
  <c r="CD426"/>
  <c r="CD444"/>
  <c r="CD453"/>
  <c r="CD456"/>
  <c r="CD464"/>
  <c r="CD466"/>
  <c r="CD469"/>
  <c r="CD397"/>
  <c r="CD400"/>
  <c r="CD433"/>
  <c r="CD447"/>
  <c r="CD449"/>
  <c r="CD451"/>
  <c r="CD460"/>
  <c r="CD462"/>
  <c r="CD463"/>
  <c r="CD468"/>
  <c r="CD474"/>
  <c r="CD386"/>
  <c r="CD404"/>
  <c r="CD410"/>
  <c r="CD416"/>
  <c r="CD419"/>
  <c r="CD430"/>
  <c r="CD431"/>
  <c r="CD437"/>
  <c r="CD458"/>
  <c r="BQ424"/>
  <c r="BQ426"/>
  <c r="BQ466"/>
  <c r="BQ474"/>
  <c r="BQ387"/>
  <c r="BQ413"/>
  <c r="BQ414"/>
  <c r="BQ422"/>
  <c r="BQ432"/>
  <c r="BQ433"/>
  <c r="BQ436"/>
  <c r="BQ441"/>
  <c r="BQ451"/>
  <c r="BQ452"/>
  <c r="BQ462"/>
  <c r="BQ468"/>
  <c r="BQ475"/>
  <c r="BQ417"/>
  <c r="BQ419"/>
  <c r="BQ428"/>
  <c r="BQ429"/>
  <c r="BQ430"/>
  <c r="BQ442"/>
  <c r="BQ458"/>
  <c r="BQ465"/>
  <c r="BQ467"/>
  <c r="BQ393"/>
  <c r="BQ421"/>
  <c r="BQ448"/>
  <c r="BQ450"/>
  <c r="BQ455"/>
  <c r="BQ461"/>
  <c r="BQ477"/>
  <c r="BI463"/>
  <c r="BI471"/>
  <c r="BE447"/>
  <c r="BE455"/>
  <c r="BE471"/>
  <c r="BA382"/>
  <c r="BA418"/>
  <c r="BA427"/>
  <c r="BA449"/>
  <c r="BA451"/>
  <c r="BA462"/>
  <c r="BA468"/>
  <c r="BA400"/>
  <c r="BA405"/>
  <c r="BA408"/>
  <c r="BA417"/>
  <c r="BA423"/>
  <c r="BA430"/>
  <c r="BA455"/>
  <c r="BA465"/>
  <c r="BA467"/>
  <c r="BA471"/>
  <c r="BA392"/>
  <c r="BA416"/>
  <c r="BA440"/>
  <c r="BA450"/>
  <c r="BA461"/>
  <c r="BA477"/>
  <c r="BA385"/>
  <c r="BA415"/>
  <c r="BA438"/>
  <c r="BA443"/>
  <c r="BA452"/>
  <c r="BA453"/>
  <c r="BA463"/>
  <c r="BA469"/>
  <c r="AW400"/>
  <c r="AW412"/>
  <c r="AW437"/>
  <c r="AW465"/>
  <c r="AW471"/>
  <c r="AW434"/>
  <c r="AW448"/>
  <c r="AW457"/>
  <c r="AW472"/>
  <c r="AW473"/>
  <c r="AW386"/>
  <c r="AW454"/>
  <c r="AW456"/>
  <c r="AW464"/>
  <c r="AW466"/>
  <c r="AW476"/>
  <c r="AW422"/>
  <c r="AW426"/>
  <c r="AW435"/>
  <c r="AW439"/>
  <c r="AW446"/>
  <c r="AF395"/>
  <c r="AF397"/>
  <c r="AF417"/>
  <c r="AF419"/>
  <c r="AF430"/>
  <c r="AF434"/>
  <c r="AF456"/>
  <c r="AF457"/>
  <c r="AF470"/>
  <c r="AF384"/>
  <c r="AF392"/>
  <c r="AF394"/>
  <c r="AF411"/>
  <c r="AF429"/>
  <c r="AF440"/>
  <c r="AF442"/>
  <c r="AF450"/>
  <c r="AF452"/>
  <c r="AF454"/>
  <c r="AF461"/>
  <c r="AF463"/>
  <c r="AF475"/>
  <c r="AF476"/>
  <c r="AF477"/>
  <c r="AF389"/>
  <c r="AF393"/>
  <c r="AF399"/>
  <c r="AF404"/>
  <c r="AF410"/>
  <c r="AF422"/>
  <c r="AF431"/>
  <c r="AF435"/>
  <c r="AF438"/>
  <c r="AF443"/>
  <c r="AF453"/>
  <c r="AF468"/>
  <c r="AF391"/>
  <c r="AF396"/>
  <c r="AF409"/>
  <c r="AF425"/>
  <c r="AF432"/>
  <c r="AF445"/>
  <c r="AF447"/>
  <c r="AF451"/>
  <c r="AF460"/>
  <c r="X387"/>
  <c r="X411"/>
  <c r="X420"/>
  <c r="X428"/>
  <c r="X429"/>
  <c r="X442"/>
  <c r="X453"/>
  <c r="X461"/>
  <c r="X463"/>
  <c r="X464"/>
  <c r="X469"/>
  <c r="X476"/>
  <c r="X386"/>
  <c r="X390"/>
  <c r="X416"/>
  <c r="X438"/>
  <c r="X459"/>
  <c r="X466"/>
  <c r="X432"/>
  <c r="X446"/>
  <c r="X449"/>
  <c r="X458"/>
  <c r="X474"/>
  <c r="X388"/>
  <c r="X398"/>
  <c r="X401"/>
  <c r="X441"/>
  <c r="X444"/>
  <c r="X455"/>
  <c r="X462"/>
  <c r="X465"/>
  <c r="X471"/>
  <c r="J392"/>
  <c r="J416"/>
  <c r="J431"/>
  <c r="J438"/>
  <c r="J459"/>
  <c r="J466"/>
  <c r="J468"/>
  <c r="J389"/>
  <c r="J393"/>
  <c r="J399"/>
  <c r="J422"/>
  <c r="J432"/>
  <c r="J435"/>
  <c r="J443"/>
  <c r="J383"/>
  <c r="J421"/>
  <c r="J425"/>
  <c r="J426"/>
  <c r="J439"/>
  <c r="J441"/>
  <c r="J444"/>
  <c r="J447"/>
  <c r="J451"/>
  <c r="J460"/>
  <c r="J471"/>
  <c r="J472"/>
  <c r="J412"/>
  <c r="J414"/>
  <c r="J424"/>
  <c r="J433"/>
  <c r="J437"/>
  <c r="J454"/>
  <c r="J457"/>
  <c r="J470"/>
  <c r="J473"/>
  <c r="J477"/>
  <c r="V429"/>
  <c r="BA374"/>
  <c r="AT181" i="36" s="1"/>
  <c r="V397" i="20"/>
  <c r="S494"/>
  <c r="AA488"/>
  <c r="BV487"/>
  <c r="AK487"/>
  <c r="M479"/>
  <c r="S477"/>
  <c r="AK466"/>
  <c r="BZ454"/>
  <c r="AA454"/>
  <c r="AG447"/>
  <c r="BV443"/>
  <c r="AK494"/>
  <c r="BV486"/>
  <c r="AG486"/>
  <c r="AG483"/>
  <c r="AG479"/>
  <c r="CK478"/>
  <c r="AK472"/>
  <c r="AO459"/>
  <c r="BV452"/>
  <c r="S427"/>
  <c r="AO414"/>
  <c r="B488"/>
  <c r="BV485"/>
  <c r="S485"/>
  <c r="S484"/>
  <c r="BV480"/>
  <c r="AG474"/>
  <c r="AO465"/>
  <c r="S458"/>
  <c r="S454"/>
  <c r="BZ453"/>
  <c r="AO438"/>
  <c r="S387"/>
  <c r="AA384"/>
  <c r="M487"/>
  <c r="M484"/>
  <c r="AG482"/>
  <c r="AA481"/>
  <c r="BZ476"/>
  <c r="AS476"/>
  <c r="M461"/>
  <c r="M454"/>
  <c r="BV396"/>
  <c r="V405"/>
  <c r="V422"/>
  <c r="BN494"/>
  <c r="AO494"/>
  <c r="AK488"/>
  <c r="S487"/>
  <c r="BZ484"/>
  <c r="AS484"/>
  <c r="BZ482"/>
  <c r="AA480"/>
  <c r="BZ475"/>
  <c r="AS474"/>
  <c r="AA473"/>
  <c r="S470"/>
  <c r="AS465"/>
  <c r="AG463"/>
  <c r="AG459"/>
  <c r="BN456"/>
  <c r="AO454"/>
  <c r="M453"/>
  <c r="Q451"/>
  <c r="M448"/>
  <c r="S444"/>
  <c r="BM439"/>
  <c r="BV426"/>
  <c r="AG420"/>
  <c r="BV419"/>
  <c r="AK415"/>
  <c r="B392"/>
  <c r="V466"/>
  <c r="Q486"/>
  <c r="B494"/>
  <c r="S486"/>
  <c r="AA484"/>
  <c r="BZ481"/>
  <c r="AS481"/>
  <c r="AA479"/>
  <c r="AS471"/>
  <c r="AS470"/>
  <c r="AA467"/>
  <c r="BZ465"/>
  <c r="S463"/>
  <c r="AO460"/>
  <c r="S455"/>
  <c r="BV444"/>
  <c r="BZ432"/>
  <c r="S432"/>
  <c r="AK431"/>
  <c r="AG409"/>
  <c r="BV401"/>
  <c r="AK397"/>
  <c r="BS451"/>
  <c r="Q476"/>
  <c r="AQ460"/>
  <c r="P490"/>
  <c r="BS490"/>
  <c r="E484"/>
  <c r="AA494"/>
  <c r="BV481"/>
  <c r="AO481"/>
  <c r="AO480"/>
  <c r="B480"/>
  <c r="AG478"/>
  <c r="AS477"/>
  <c r="B473"/>
  <c r="AO470"/>
  <c r="AK469"/>
  <c r="S466"/>
  <c r="AA461"/>
  <c r="BZ460"/>
  <c r="B459"/>
  <c r="B452"/>
  <c r="AO448"/>
  <c r="AA437"/>
  <c r="AK433"/>
  <c r="AK410"/>
  <c r="B403"/>
  <c r="S391"/>
  <c r="AO380"/>
  <c r="V493"/>
  <c r="AY488"/>
  <c r="AA487"/>
  <c r="B486"/>
  <c r="CK484"/>
  <c r="BV483"/>
  <c r="AS483"/>
  <c r="S482"/>
  <c r="AG480"/>
  <c r="M475"/>
  <c r="AA472"/>
  <c r="AA468"/>
  <c r="BV467"/>
  <c r="S467"/>
  <c r="M466"/>
  <c r="M463"/>
  <c r="BZ456"/>
  <c r="AA453"/>
  <c r="AO451"/>
  <c r="AK448"/>
  <c r="M447"/>
  <c r="AK446"/>
  <c r="AO445"/>
  <c r="AS440"/>
  <c r="AS438"/>
  <c r="AK411"/>
  <c r="B394"/>
  <c r="AS392"/>
  <c r="M382"/>
  <c r="E491"/>
  <c r="V398"/>
  <c r="BS422"/>
  <c r="BS459"/>
  <c r="BN475"/>
  <c r="BN472"/>
  <c r="F465"/>
  <c r="Q458"/>
  <c r="BV490"/>
  <c r="V490"/>
  <c r="BS401"/>
  <c r="V425"/>
  <c r="V462"/>
  <c r="Q481"/>
  <c r="AS486"/>
  <c r="AA485"/>
  <c r="AA483"/>
  <c r="AA482"/>
  <c r="M481"/>
  <c r="AA478"/>
  <c r="S476"/>
  <c r="AK474"/>
  <c r="AG473"/>
  <c r="S471"/>
  <c r="M470"/>
  <c r="AG465"/>
  <c r="B465"/>
  <c r="AA464"/>
  <c r="BV463"/>
  <c r="P463"/>
  <c r="S462"/>
  <c r="S461"/>
  <c r="BV460"/>
  <c r="AK460"/>
  <c r="BV459"/>
  <c r="AK459"/>
  <c r="Q455"/>
  <c r="BV454"/>
  <c r="AK454"/>
  <c r="B451"/>
  <c r="AO449"/>
  <c r="BV447"/>
  <c r="AS442"/>
  <c r="M437"/>
  <c r="B434"/>
  <c r="AS431"/>
  <c r="BZ420"/>
  <c r="AS408"/>
  <c r="M404"/>
  <c r="M400"/>
  <c r="CK394"/>
  <c r="M391"/>
  <c r="AK386"/>
  <c r="B381"/>
  <c r="V386"/>
  <c r="BS466"/>
  <c r="AQ476"/>
  <c r="Q385"/>
  <c r="BZ490"/>
  <c r="AB493"/>
  <c r="BS386"/>
  <c r="BS415"/>
  <c r="V437"/>
  <c r="BS474"/>
  <c r="Q483"/>
  <c r="AG494"/>
  <c r="M494"/>
  <c r="BZ488"/>
  <c r="S488"/>
  <c r="AG487"/>
  <c r="AS485"/>
  <c r="M485"/>
  <c r="AO483"/>
  <c r="M483"/>
  <c r="BV482"/>
  <c r="B481"/>
  <c r="BV479"/>
  <c r="AS479"/>
  <c r="M478"/>
  <c r="BZ477"/>
  <c r="AK477"/>
  <c r="M477"/>
  <c r="AO476"/>
  <c r="M476"/>
  <c r="AO471"/>
  <c r="M471"/>
  <c r="BV470"/>
  <c r="AK470"/>
  <c r="B470"/>
  <c r="AA465"/>
  <c r="AS464"/>
  <c r="AS462"/>
  <c r="AS461"/>
  <c r="Q460"/>
  <c r="AA459"/>
  <c r="BV458"/>
  <c r="AG458"/>
  <c r="AS457"/>
  <c r="BZ455"/>
  <c r="AS453"/>
  <c r="BZ451"/>
  <c r="AA451"/>
  <c r="AG450"/>
  <c r="AG445"/>
  <c r="CN443"/>
  <c r="AS443"/>
  <c r="BV442"/>
  <c r="AK440"/>
  <c r="AS439"/>
  <c r="M438"/>
  <c r="AK434"/>
  <c r="B433"/>
  <c r="B432"/>
  <c r="AS428"/>
  <c r="AK424"/>
  <c r="BZ423"/>
  <c r="AG422"/>
  <c r="AG419"/>
  <c r="AS416"/>
  <c r="M413"/>
  <c r="AA412"/>
  <c r="M402"/>
  <c r="BZ399"/>
  <c r="B387"/>
  <c r="M386"/>
  <c r="BV384"/>
  <c r="M380"/>
  <c r="V409"/>
  <c r="AQ484"/>
  <c r="BZ492"/>
  <c r="V390"/>
  <c r="T416"/>
  <c r="V441"/>
  <c r="V477"/>
  <c r="Q485"/>
  <c r="BV488"/>
  <c r="AS488"/>
  <c r="B487"/>
  <c r="AA486"/>
  <c r="AO485"/>
  <c r="AK484"/>
  <c r="B484"/>
  <c r="AK483"/>
  <c r="AO482"/>
  <c r="AK481"/>
  <c r="AS480"/>
  <c r="AO479"/>
  <c r="S479"/>
  <c r="AS478"/>
  <c r="BV477"/>
  <c r="AG477"/>
  <c r="AK476"/>
  <c r="BV475"/>
  <c r="AS475"/>
  <c r="B475"/>
  <c r="M473"/>
  <c r="BV472"/>
  <c r="S472"/>
  <c r="AK471"/>
  <c r="AS467"/>
  <c r="B466"/>
  <c r="BV464"/>
  <c r="AO464"/>
  <c r="B464"/>
  <c r="AA463"/>
  <c r="CK462"/>
  <c r="AG462"/>
  <c r="AG461"/>
  <c r="BZ457"/>
  <c r="AO457"/>
  <c r="BV455"/>
  <c r="AG455"/>
  <c r="CK454"/>
  <c r="AG453"/>
  <c r="B453"/>
  <c r="B448"/>
  <c r="M446"/>
  <c r="AK443"/>
  <c r="AK441"/>
  <c r="BZ434"/>
  <c r="AG434"/>
  <c r="AO428"/>
  <c r="M427"/>
  <c r="BV423"/>
  <c r="AK417"/>
  <c r="BV400"/>
  <c r="AO398"/>
  <c r="AS395"/>
  <c r="BM391"/>
  <c r="BV390"/>
  <c r="AS389"/>
  <c r="V430"/>
  <c r="Q490"/>
  <c r="Q477"/>
  <c r="Q471"/>
  <c r="V393"/>
  <c r="V418"/>
  <c r="BS444"/>
  <c r="V478"/>
  <c r="Q487"/>
  <c r="BV494"/>
  <c r="AO488"/>
  <c r="AK485"/>
  <c r="CN483"/>
  <c r="B483"/>
  <c r="B482"/>
  <c r="AK479"/>
  <c r="BZ478"/>
  <c r="AO478"/>
  <c r="B477"/>
  <c r="B476"/>
  <c r="B474"/>
  <c r="M472"/>
  <c r="B471"/>
  <c r="AS469"/>
  <c r="AK467"/>
  <c r="AO466"/>
  <c r="S465"/>
  <c r="AG464"/>
  <c r="AS459"/>
  <c r="AG457"/>
  <c r="S451"/>
  <c r="BV450"/>
  <c r="AA444"/>
  <c r="AA440"/>
  <c r="S439"/>
  <c r="BZ436"/>
  <c r="AO436"/>
  <c r="AG435"/>
  <c r="BV434"/>
  <c r="M412"/>
  <c r="M411"/>
  <c r="B410"/>
  <c r="BV404"/>
  <c r="AS391"/>
  <c r="AA390"/>
  <c r="BZ381"/>
  <c r="T409"/>
  <c r="T445"/>
  <c r="T467"/>
  <c r="CB485"/>
  <c r="CB454"/>
  <c r="BG491"/>
  <c r="C478"/>
  <c r="CJ470"/>
  <c r="AB491"/>
  <c r="BG493"/>
  <c r="T394"/>
  <c r="T430"/>
  <c r="T452"/>
  <c r="T475"/>
  <c r="AB444"/>
  <c r="BC420"/>
  <c r="AA450"/>
  <c r="BZ449"/>
  <c r="AG449"/>
  <c r="S447"/>
  <c r="BV446"/>
  <c r="BZ445"/>
  <c r="BZ444"/>
  <c r="AG443"/>
  <c r="AK442"/>
  <c r="AA441"/>
  <c r="AG436"/>
  <c r="AO435"/>
  <c r="AS434"/>
  <c r="AS433"/>
  <c r="AG431"/>
  <c r="BV427"/>
  <c r="BM423"/>
  <c r="AO422"/>
  <c r="AG418"/>
  <c r="AS417"/>
  <c r="BV413"/>
  <c r="AO404"/>
  <c r="B400"/>
  <c r="M399"/>
  <c r="Q398"/>
  <c r="S385"/>
  <c r="B379"/>
  <c r="AY489"/>
  <c r="T380"/>
  <c r="N492"/>
  <c r="C484"/>
  <c r="CB465"/>
  <c r="T437"/>
  <c r="T460"/>
  <c r="BK487"/>
  <c r="CJ461"/>
  <c r="N490"/>
  <c r="AY491"/>
  <c r="T402"/>
  <c r="BK472"/>
  <c r="T387"/>
  <c r="T423"/>
  <c r="AA474"/>
  <c r="BV473"/>
  <c r="AG472"/>
  <c r="AA471"/>
  <c r="AA470"/>
  <c r="C469"/>
  <c r="S464"/>
  <c r="AO463"/>
  <c r="Q463"/>
  <c r="BV462"/>
  <c r="AA462"/>
  <c r="AO461"/>
  <c r="B461"/>
  <c r="AS458"/>
  <c r="B458"/>
  <c r="AG456"/>
  <c r="B456"/>
  <c r="AK453"/>
  <c r="AG452"/>
  <c r="AG451"/>
  <c r="S450"/>
  <c r="BV448"/>
  <c r="AG448"/>
  <c r="AS447"/>
  <c r="B446"/>
  <c r="M444"/>
  <c r="S443"/>
  <c r="M442"/>
  <c r="B440"/>
  <c r="AO439"/>
  <c r="AK438"/>
  <c r="AS437"/>
  <c r="B437"/>
  <c r="BZ433"/>
  <c r="BZ431"/>
  <c r="S431"/>
  <c r="M428"/>
  <c r="BV424"/>
  <c r="AG423"/>
  <c r="S417"/>
  <c r="BV409"/>
  <c r="BZ408"/>
  <c r="AG407"/>
  <c r="S406"/>
  <c r="BV398"/>
  <c r="BV397"/>
  <c r="AS396"/>
  <c r="AS394"/>
  <c r="BZ388"/>
  <c r="AK387"/>
  <c r="AG382"/>
  <c r="S449"/>
  <c r="AK447"/>
  <c r="AS446"/>
  <c r="M443"/>
  <c r="B441"/>
  <c r="BV439"/>
  <c r="AG439"/>
  <c r="BV438"/>
  <c r="BZ437"/>
  <c r="AK437"/>
  <c r="S435"/>
  <c r="BV433"/>
  <c r="S433"/>
  <c r="M432"/>
  <c r="BV431"/>
  <c r="AS429"/>
  <c r="BZ428"/>
  <c r="AA426"/>
  <c r="AO425"/>
  <c r="S422"/>
  <c r="AA421"/>
  <c r="AK413"/>
  <c r="M407"/>
  <c r="BZ403"/>
  <c r="AS393"/>
  <c r="AG387"/>
  <c r="AS384"/>
  <c r="AK383"/>
  <c r="AA382"/>
  <c r="AS381"/>
  <c r="AO450"/>
  <c r="M449"/>
  <c r="AA448"/>
  <c r="CK446"/>
  <c r="AO446"/>
  <c r="AO444"/>
  <c r="AS441"/>
  <c r="AA439"/>
  <c r="BV437"/>
  <c r="AG437"/>
  <c r="M434"/>
  <c r="AK425"/>
  <c r="AS424"/>
  <c r="CJ416"/>
  <c r="S416"/>
  <c r="AG412"/>
  <c r="AK402"/>
  <c r="AS401"/>
  <c r="AG384"/>
  <c r="AG383"/>
  <c r="AI385"/>
  <c r="AI432"/>
  <c r="AI437"/>
  <c r="AI395"/>
  <c r="AI406"/>
  <c r="AI441"/>
  <c r="AI390"/>
  <c r="AI426"/>
  <c r="AI433"/>
  <c r="AI444"/>
  <c r="AI461"/>
  <c r="AI427"/>
  <c r="AI460"/>
  <c r="AI379"/>
  <c r="AI394"/>
  <c r="AI456"/>
  <c r="AI458"/>
  <c r="AI421"/>
  <c r="AI462"/>
  <c r="AI465"/>
  <c r="AI404"/>
  <c r="AI405"/>
  <c r="AI469"/>
  <c r="AI482"/>
  <c r="AI483"/>
  <c r="AI475"/>
  <c r="AI450"/>
  <c r="AI473"/>
  <c r="AI479"/>
  <c r="AI484"/>
  <c r="AI451"/>
  <c r="AI476"/>
  <c r="AI442"/>
  <c r="AI487"/>
  <c r="AI478"/>
  <c r="AI480"/>
  <c r="AI488"/>
  <c r="AI435"/>
  <c r="AI457"/>
  <c r="AI471"/>
  <c r="AI472"/>
  <c r="I435"/>
  <c r="I437"/>
  <c r="I440"/>
  <c r="I391"/>
  <c r="I401"/>
  <c r="I418"/>
  <c r="I397"/>
  <c r="I398"/>
  <c r="I442"/>
  <c r="I394"/>
  <c r="I422"/>
  <c r="I433"/>
  <c r="I407"/>
  <c r="I414"/>
  <c r="I416"/>
  <c r="I463"/>
  <c r="I464"/>
  <c r="I410"/>
  <c r="I458"/>
  <c r="I460"/>
  <c r="I451"/>
  <c r="I450"/>
  <c r="I452"/>
  <c r="I456"/>
  <c r="I457"/>
  <c r="I461"/>
  <c r="I389"/>
  <c r="I462"/>
  <c r="I476"/>
  <c r="I477"/>
  <c r="I478"/>
  <c r="I472"/>
  <c r="I480"/>
  <c r="I481"/>
  <c r="I395"/>
  <c r="I408"/>
  <c r="I488"/>
  <c r="I483"/>
  <c r="I494"/>
  <c r="I475"/>
  <c r="I484"/>
  <c r="I482"/>
  <c r="I459"/>
  <c r="I486"/>
  <c r="I487"/>
  <c r="W475"/>
  <c r="I474"/>
  <c r="CF397"/>
  <c r="CF411"/>
  <c r="CF413"/>
  <c r="CF423"/>
  <c r="CF426"/>
  <c r="CF384"/>
  <c r="CF402"/>
  <c r="CF406"/>
  <c r="CF425"/>
  <c r="CF427"/>
  <c r="CF431"/>
  <c r="CF436"/>
  <c r="CF395"/>
  <c r="CF409"/>
  <c r="CF410"/>
  <c r="CF429"/>
  <c r="CF387"/>
  <c r="CF405"/>
  <c r="CF415"/>
  <c r="CF434"/>
  <c r="CF439"/>
  <c r="CF391"/>
  <c r="CF435"/>
  <c r="CF452"/>
  <c r="CF389"/>
  <c r="CF394"/>
  <c r="CF404"/>
  <c r="CF454"/>
  <c r="CF457"/>
  <c r="CF416"/>
  <c r="CF421"/>
  <c r="CF424"/>
  <c r="CF461"/>
  <c r="CF393"/>
  <c r="CF399"/>
  <c r="CF414"/>
  <c r="CF428"/>
  <c r="CF442"/>
  <c r="CF445"/>
  <c r="CF455"/>
  <c r="CF459"/>
  <c r="CF460"/>
  <c r="CF444"/>
  <c r="CF451"/>
  <c r="CF464"/>
  <c r="CF468"/>
  <c r="CF469"/>
  <c r="CF474"/>
  <c r="CF476"/>
  <c r="CF481"/>
  <c r="CF483"/>
  <c r="CF485"/>
  <c r="CF437"/>
  <c r="CF440"/>
  <c r="CF475"/>
  <c r="CF479"/>
  <c r="CF480"/>
  <c r="CF417"/>
  <c r="CF453"/>
  <c r="CF456"/>
  <c r="CF447"/>
  <c r="CF448"/>
  <c r="CF458"/>
  <c r="CF470"/>
  <c r="CF471"/>
  <c r="CF403"/>
  <c r="CF418"/>
  <c r="CF441"/>
  <c r="CF462"/>
  <c r="CF467"/>
  <c r="CF401"/>
  <c r="CF465"/>
  <c r="CF466"/>
  <c r="CF473"/>
  <c r="CF477"/>
  <c r="CF488"/>
  <c r="CF430"/>
  <c r="CF478"/>
  <c r="CF484"/>
  <c r="CF398"/>
  <c r="CF449"/>
  <c r="CF486"/>
  <c r="BO450"/>
  <c r="BO466"/>
  <c r="BO474"/>
  <c r="BO485"/>
  <c r="BO458"/>
  <c r="AY393"/>
  <c r="AY413"/>
  <c r="AY416"/>
  <c r="AY426"/>
  <c r="AY427"/>
  <c r="AY401"/>
  <c r="AY409"/>
  <c r="AY407"/>
  <c r="AY458"/>
  <c r="AY462"/>
  <c r="AY451"/>
  <c r="AY388"/>
  <c r="AY436"/>
  <c r="AY440"/>
  <c r="AY464"/>
  <c r="AY437"/>
  <c r="AY469"/>
  <c r="AY475"/>
  <c r="AY483"/>
  <c r="AY422"/>
  <c r="AY455"/>
  <c r="AY473"/>
  <c r="AY479"/>
  <c r="AY484"/>
  <c r="AY466"/>
  <c r="AY468"/>
  <c r="AY428"/>
  <c r="AY481"/>
  <c r="AY494"/>
  <c r="AY438"/>
  <c r="AY445"/>
  <c r="AY465"/>
  <c r="AY472"/>
  <c r="AY482"/>
  <c r="AY487"/>
  <c r="AB389"/>
  <c r="AB412"/>
  <c r="AB429"/>
  <c r="AB395"/>
  <c r="AB407"/>
  <c r="AB408"/>
  <c r="AB410"/>
  <c r="AB422"/>
  <c r="AB430"/>
  <c r="AB433"/>
  <c r="AB442"/>
  <c r="AB406"/>
  <c r="AB439"/>
  <c r="AB380"/>
  <c r="AB383"/>
  <c r="AB414"/>
  <c r="AB427"/>
  <c r="AB382"/>
  <c r="AB453"/>
  <c r="AB455"/>
  <c r="AB462"/>
  <c r="AB398"/>
  <c r="AB415"/>
  <c r="AB451"/>
  <c r="AB457"/>
  <c r="AB403"/>
  <c r="AB419"/>
  <c r="AB421"/>
  <c r="AB423"/>
  <c r="AB447"/>
  <c r="AB449"/>
  <c r="AB452"/>
  <c r="AB459"/>
  <c r="AB463"/>
  <c r="AB466"/>
  <c r="AB454"/>
  <c r="AB484"/>
  <c r="AB458"/>
  <c r="AB460"/>
  <c r="AB470"/>
  <c r="AB476"/>
  <c r="AB478"/>
  <c r="AB417"/>
  <c r="AB424"/>
  <c r="AB464"/>
  <c r="AB477"/>
  <c r="AB480"/>
  <c r="AB481"/>
  <c r="AB387"/>
  <c r="AB426"/>
  <c r="AB465"/>
  <c r="AB468"/>
  <c r="AB472"/>
  <c r="AB474"/>
  <c r="AB485"/>
  <c r="AB487"/>
  <c r="AB488"/>
  <c r="AB475"/>
  <c r="AB483"/>
  <c r="AB490"/>
  <c r="AB392"/>
  <c r="AB436"/>
  <c r="AB456"/>
  <c r="AB461"/>
  <c r="AB471"/>
  <c r="AB482"/>
  <c r="AB445"/>
  <c r="AB401"/>
  <c r="AB440"/>
  <c r="AB467"/>
  <c r="AB473"/>
  <c r="AB486"/>
  <c r="AB469"/>
  <c r="C415"/>
  <c r="C418"/>
  <c r="C421"/>
  <c r="C425"/>
  <c r="C436"/>
  <c r="C442"/>
  <c r="C386"/>
  <c r="C397"/>
  <c r="C404"/>
  <c r="C413"/>
  <c r="C417"/>
  <c r="C433"/>
  <c r="C439"/>
  <c r="C444"/>
  <c r="C381"/>
  <c r="C394"/>
  <c r="C409"/>
  <c r="C422"/>
  <c r="C423"/>
  <c r="C429"/>
  <c r="C385"/>
  <c r="C389"/>
  <c r="C395"/>
  <c r="C399"/>
  <c r="C410"/>
  <c r="C445"/>
  <c r="C446"/>
  <c r="C457"/>
  <c r="C460"/>
  <c r="C440"/>
  <c r="C447"/>
  <c r="C451"/>
  <c r="C454"/>
  <c r="C456"/>
  <c r="C461"/>
  <c r="C426"/>
  <c r="C430"/>
  <c r="C448"/>
  <c r="C452"/>
  <c r="C401"/>
  <c r="C459"/>
  <c r="C463"/>
  <c r="C382"/>
  <c r="C400"/>
  <c r="C414"/>
  <c r="C453"/>
  <c r="C408"/>
  <c r="C464"/>
  <c r="C468"/>
  <c r="C471"/>
  <c r="C474"/>
  <c r="C391"/>
  <c r="C467"/>
  <c r="C479"/>
  <c r="C483"/>
  <c r="C462"/>
  <c r="C476"/>
  <c r="C477"/>
  <c r="C480"/>
  <c r="C489"/>
  <c r="C405"/>
  <c r="C475"/>
  <c r="C486"/>
  <c r="C492"/>
  <c r="C465"/>
  <c r="C473"/>
  <c r="C487"/>
  <c r="C490"/>
  <c r="C416"/>
  <c r="C455"/>
  <c r="T397"/>
  <c r="T418"/>
  <c r="T440"/>
  <c r="T455"/>
  <c r="T486"/>
  <c r="CF487"/>
  <c r="N468"/>
  <c r="BK433"/>
  <c r="CF386"/>
  <c r="BO382"/>
  <c r="BW449"/>
  <c r="BW473"/>
  <c r="BW412"/>
  <c r="BW465"/>
  <c r="BW457"/>
  <c r="BW468"/>
  <c r="BW476"/>
  <c r="BW493"/>
  <c r="BJ386"/>
  <c r="BJ382"/>
  <c r="BJ456"/>
  <c r="BJ480"/>
  <c r="BJ464"/>
  <c r="AX381"/>
  <c r="AX382"/>
  <c r="AX392"/>
  <c r="AX398"/>
  <c r="AX415"/>
  <c r="AX421"/>
  <c r="AX424"/>
  <c r="AX439"/>
  <c r="AX442"/>
  <c r="AX391"/>
  <c r="AX409"/>
  <c r="AX423"/>
  <c r="AX433"/>
  <c r="AX403"/>
  <c r="AX419"/>
  <c r="AX396"/>
  <c r="AX412"/>
  <c r="AX450"/>
  <c r="AX451"/>
  <c r="AX388"/>
  <c r="AX435"/>
  <c r="AX436"/>
  <c r="AX448"/>
  <c r="AX449"/>
  <c r="AX452"/>
  <c r="AX453"/>
  <c r="AX457"/>
  <c r="AX464"/>
  <c r="AX406"/>
  <c r="AX441"/>
  <c r="AX447"/>
  <c r="AX418"/>
  <c r="AX456"/>
  <c r="AX458"/>
  <c r="AX470"/>
  <c r="AX473"/>
  <c r="AX444"/>
  <c r="AX479"/>
  <c r="AX484"/>
  <c r="AX463"/>
  <c r="AX466"/>
  <c r="AX467"/>
  <c r="AX476"/>
  <c r="AX478"/>
  <c r="AX399"/>
  <c r="AX432"/>
  <c r="AX434"/>
  <c r="AX461"/>
  <c r="AX465"/>
  <c r="AX477"/>
  <c r="AX438"/>
  <c r="AX445"/>
  <c r="AX472"/>
  <c r="AX480"/>
  <c r="AX482"/>
  <c r="AX483"/>
  <c r="AX487"/>
  <c r="AX492"/>
  <c r="AX490"/>
  <c r="AX488"/>
  <c r="AX474"/>
  <c r="AX493"/>
  <c r="AX469"/>
  <c r="AX491"/>
  <c r="AL433"/>
  <c r="AL469"/>
  <c r="AL374"/>
  <c r="W212" i="36" s="1"/>
  <c r="AL487" i="20"/>
  <c r="BS404"/>
  <c r="BS425"/>
  <c r="BS447"/>
  <c r="BS462"/>
  <c r="BS486"/>
  <c r="BK494"/>
  <c r="AH486"/>
  <c r="W478"/>
  <c r="BX457"/>
  <c r="BG407"/>
  <c r="BS383"/>
  <c r="BS390"/>
  <c r="T398"/>
  <c r="T405"/>
  <c r="T412"/>
  <c r="BS418"/>
  <c r="T426"/>
  <c r="BS433"/>
  <c r="T441"/>
  <c r="T448"/>
  <c r="T456"/>
  <c r="T463"/>
  <c r="C488"/>
  <c r="BJ494"/>
  <c r="C494"/>
  <c r="N488"/>
  <c r="CJ486"/>
  <c r="AQ482"/>
  <c r="BX480"/>
  <c r="I468"/>
  <c r="AH466"/>
  <c r="CF463"/>
  <c r="CF433"/>
  <c r="AX428"/>
  <c r="BK410"/>
  <c r="BT441"/>
  <c r="BT483"/>
  <c r="BT485"/>
  <c r="AM436"/>
  <c r="AM396"/>
  <c r="AM403"/>
  <c r="AM419"/>
  <c r="AM438"/>
  <c r="AM440"/>
  <c r="AM408"/>
  <c r="AM443"/>
  <c r="AM412"/>
  <c r="AM432"/>
  <c r="AM447"/>
  <c r="AM454"/>
  <c r="AM388"/>
  <c r="AM426"/>
  <c r="AM434"/>
  <c r="AM441"/>
  <c r="AM444"/>
  <c r="AM445"/>
  <c r="AM446"/>
  <c r="AM461"/>
  <c r="AM391"/>
  <c r="AM395"/>
  <c r="AM477"/>
  <c r="AM485"/>
  <c r="AM416"/>
  <c r="AM462"/>
  <c r="AM474"/>
  <c r="AM449"/>
  <c r="AM482"/>
  <c r="AM450"/>
  <c r="AM473"/>
  <c r="AM475"/>
  <c r="AM483"/>
  <c r="AM470"/>
  <c r="AM484"/>
  <c r="AM393"/>
  <c r="AM464"/>
  <c r="AM481"/>
  <c r="AM486"/>
  <c r="AM479"/>
  <c r="AM453"/>
  <c r="AM494"/>
  <c r="AM455"/>
  <c r="AM478"/>
  <c r="AM480"/>
  <c r="AM401"/>
  <c r="AM487"/>
  <c r="F443"/>
  <c r="F415"/>
  <c r="F434"/>
  <c r="F436"/>
  <c r="F438"/>
  <c r="F442"/>
  <c r="F390"/>
  <c r="F433"/>
  <c r="F444"/>
  <c r="F381"/>
  <c r="F439"/>
  <c r="F424"/>
  <c r="F458"/>
  <c r="F399"/>
  <c r="F455"/>
  <c r="F440"/>
  <c r="F445"/>
  <c r="F447"/>
  <c r="F449"/>
  <c r="F450"/>
  <c r="F456"/>
  <c r="F385"/>
  <c r="F448"/>
  <c r="F454"/>
  <c r="F466"/>
  <c r="F463"/>
  <c r="F481"/>
  <c r="F395"/>
  <c r="F453"/>
  <c r="F474"/>
  <c r="F485"/>
  <c r="F473"/>
  <c r="F476"/>
  <c r="F477"/>
  <c r="F484"/>
  <c r="F486"/>
  <c r="F487"/>
  <c r="F488"/>
  <c r="F467"/>
  <c r="BS380"/>
  <c r="BC383"/>
  <c r="BC390"/>
  <c r="BC434"/>
  <c r="BC441"/>
  <c r="BC424"/>
  <c r="BC431"/>
  <c r="BC433"/>
  <c r="BC403"/>
  <c r="BC419"/>
  <c r="BC460"/>
  <c r="BC461"/>
  <c r="BC458"/>
  <c r="BC465"/>
  <c r="BC384"/>
  <c r="BC454"/>
  <c r="BC472"/>
  <c r="BC452"/>
  <c r="BC453"/>
  <c r="BC440"/>
  <c r="BC447"/>
  <c r="BC475"/>
  <c r="BC457"/>
  <c r="BC486"/>
  <c r="BC446"/>
  <c r="BC478"/>
  <c r="BC479"/>
  <c r="BC467"/>
  <c r="BC471"/>
  <c r="BC494"/>
  <c r="T379"/>
  <c r="T485"/>
  <c r="T483"/>
  <c r="T487"/>
  <c r="T494"/>
  <c r="T477"/>
  <c r="T469"/>
  <c r="T462"/>
  <c r="T458"/>
  <c r="T443"/>
  <c r="T432"/>
  <c r="T425"/>
  <c r="T421"/>
  <c r="T400"/>
  <c r="T393"/>
  <c r="T389"/>
  <c r="T493"/>
  <c r="T374"/>
  <c r="R194" i="36" s="1"/>
  <c r="T480" i="20"/>
  <c r="T473"/>
  <c r="T465"/>
  <c r="T454"/>
  <c r="T450"/>
  <c r="T439"/>
  <c r="T435"/>
  <c r="T428"/>
  <c r="T414"/>
  <c r="T407"/>
  <c r="T403"/>
  <c r="T396"/>
  <c r="T382"/>
  <c r="T491"/>
  <c r="T481"/>
  <c r="T476"/>
  <c r="T468"/>
  <c r="T461"/>
  <c r="T453"/>
  <c r="T446"/>
  <c r="T442"/>
  <c r="T431"/>
  <c r="T424"/>
  <c r="T420"/>
  <c r="T417"/>
  <c r="T410"/>
  <c r="T399"/>
  <c r="T392"/>
  <c r="T388"/>
  <c r="T385"/>
  <c r="T489"/>
  <c r="T484"/>
  <c r="T479"/>
  <c r="T472"/>
  <c r="T464"/>
  <c r="T457"/>
  <c r="T449"/>
  <c r="T438"/>
  <c r="T427"/>
  <c r="T413"/>
  <c r="T406"/>
  <c r="T395"/>
  <c r="T381"/>
  <c r="T492"/>
  <c r="BS382"/>
  <c r="N486"/>
  <c r="CB481"/>
  <c r="AI474"/>
  <c r="C466"/>
  <c r="CJ433"/>
  <c r="BK407"/>
  <c r="CA403"/>
  <c r="CA435"/>
  <c r="CA486"/>
  <c r="CA493"/>
  <c r="AT397"/>
  <c r="AT443"/>
  <c r="AT473"/>
  <c r="K395"/>
  <c r="K379"/>
  <c r="K444"/>
  <c r="K494"/>
  <c r="BS411"/>
  <c r="T433"/>
  <c r="BS455"/>
  <c r="T478"/>
  <c r="F494"/>
  <c r="AH474"/>
  <c r="CF472"/>
  <c r="AM439"/>
  <c r="AY432"/>
  <c r="AY406"/>
  <c r="AB397"/>
  <c r="T490"/>
  <c r="T384"/>
  <c r="T391"/>
  <c r="BS412"/>
  <c r="T419"/>
  <c r="BS426"/>
  <c r="T434"/>
  <c r="BS448"/>
  <c r="BS456"/>
  <c r="BS463"/>
  <c r="BS471"/>
  <c r="T488"/>
  <c r="CB494"/>
  <c r="AQ487"/>
  <c r="AY486"/>
  <c r="BG474"/>
  <c r="AQ473"/>
  <c r="I473"/>
  <c r="CJ471"/>
  <c r="C470"/>
  <c r="AI468"/>
  <c r="N467"/>
  <c r="AM458"/>
  <c r="C458"/>
  <c r="BK452"/>
  <c r="AI440"/>
  <c r="AX414"/>
  <c r="CF412"/>
  <c r="BS379"/>
  <c r="BS483"/>
  <c r="BS481"/>
  <c r="BS480"/>
  <c r="BS465"/>
  <c r="BS454"/>
  <c r="BS446"/>
  <c r="BS439"/>
  <c r="BS435"/>
  <c r="BS428"/>
  <c r="BS417"/>
  <c r="BS410"/>
  <c r="BS407"/>
  <c r="BS403"/>
  <c r="BS396"/>
  <c r="BS385"/>
  <c r="BS476"/>
  <c r="BS468"/>
  <c r="BS457"/>
  <c r="BS442"/>
  <c r="BS431"/>
  <c r="BS424"/>
  <c r="BS420"/>
  <c r="BS399"/>
  <c r="BS392"/>
  <c r="BS388"/>
  <c r="BS487"/>
  <c r="BS484"/>
  <c r="BS479"/>
  <c r="BS472"/>
  <c r="BS464"/>
  <c r="BS449"/>
  <c r="BS438"/>
  <c r="BS434"/>
  <c r="BS427"/>
  <c r="BS406"/>
  <c r="BS402"/>
  <c r="BS395"/>
  <c r="BS488"/>
  <c r="BS475"/>
  <c r="BS467"/>
  <c r="BS460"/>
  <c r="BS452"/>
  <c r="BS441"/>
  <c r="BS430"/>
  <c r="BS423"/>
  <c r="BS419"/>
  <c r="BS416"/>
  <c r="BS409"/>
  <c r="BS398"/>
  <c r="BS391"/>
  <c r="BS387"/>
  <c r="BS384"/>
  <c r="BS491"/>
  <c r="BS492"/>
  <c r="BS394"/>
  <c r="CB409"/>
  <c r="CB410"/>
  <c r="CB425"/>
  <c r="CB429"/>
  <c r="CB387"/>
  <c r="CB388"/>
  <c r="CB405"/>
  <c r="CB407"/>
  <c r="CB434"/>
  <c r="CB441"/>
  <c r="CB442"/>
  <c r="CB444"/>
  <c r="CB400"/>
  <c r="CB430"/>
  <c r="CB433"/>
  <c r="CB437"/>
  <c r="CB439"/>
  <c r="CB383"/>
  <c r="CB390"/>
  <c r="CB414"/>
  <c r="CB416"/>
  <c r="CB394"/>
  <c r="CB421"/>
  <c r="CB445"/>
  <c r="CB380"/>
  <c r="CB393"/>
  <c r="CB396"/>
  <c r="CB427"/>
  <c r="CB428"/>
  <c r="CB450"/>
  <c r="CB455"/>
  <c r="CB459"/>
  <c r="CB460"/>
  <c r="CB423"/>
  <c r="CB436"/>
  <c r="CB448"/>
  <c r="CB451"/>
  <c r="CB453"/>
  <c r="CB456"/>
  <c r="CB408"/>
  <c r="CB413"/>
  <c r="CB418"/>
  <c r="CB440"/>
  <c r="CB447"/>
  <c r="CB458"/>
  <c r="CB417"/>
  <c r="CB470"/>
  <c r="CB471"/>
  <c r="CB461"/>
  <c r="CB462"/>
  <c r="CB473"/>
  <c r="CB412"/>
  <c r="CB452"/>
  <c r="CB467"/>
  <c r="CB478"/>
  <c r="CB482"/>
  <c r="CB484"/>
  <c r="CB487"/>
  <c r="CB457"/>
  <c r="CB469"/>
  <c r="CB411"/>
  <c r="CB431"/>
  <c r="CB449"/>
  <c r="CB468"/>
  <c r="CB475"/>
  <c r="CB479"/>
  <c r="CB486"/>
  <c r="CB435"/>
  <c r="CB463"/>
  <c r="CB472"/>
  <c r="CB474"/>
  <c r="CB476"/>
  <c r="CB483"/>
  <c r="BK395"/>
  <c r="BK432"/>
  <c r="BK435"/>
  <c r="BK399"/>
  <c r="BK438"/>
  <c r="BK443"/>
  <c r="BK391"/>
  <c r="BK413"/>
  <c r="BK441"/>
  <c r="BK426"/>
  <c r="BK427"/>
  <c r="BK431"/>
  <c r="BK436"/>
  <c r="BK437"/>
  <c r="BK384"/>
  <c r="BK444"/>
  <c r="BK457"/>
  <c r="BK446"/>
  <c r="BK422"/>
  <c r="BK430"/>
  <c r="BK439"/>
  <c r="BK461"/>
  <c r="BK379"/>
  <c r="BK409"/>
  <c r="BK411"/>
  <c r="BK464"/>
  <c r="BK485"/>
  <c r="BK425"/>
  <c r="BK449"/>
  <c r="BK479"/>
  <c r="BK481"/>
  <c r="BK451"/>
  <c r="BK469"/>
  <c r="BK480"/>
  <c r="BK402"/>
  <c r="BK460"/>
  <c r="BK448"/>
  <c r="BK488"/>
  <c r="BK476"/>
  <c r="BK465"/>
  <c r="BK486"/>
  <c r="BK455"/>
  <c r="BK456"/>
  <c r="BK466"/>
  <c r="BK475"/>
  <c r="BK478"/>
  <c r="BK483"/>
  <c r="BK484"/>
  <c r="N405"/>
  <c r="N424"/>
  <c r="N393"/>
  <c r="N402"/>
  <c r="N416"/>
  <c r="N440"/>
  <c r="N379"/>
  <c r="N399"/>
  <c r="N400"/>
  <c r="N401"/>
  <c r="N417"/>
  <c r="N418"/>
  <c r="N419"/>
  <c r="N421"/>
  <c r="N425"/>
  <c r="N432"/>
  <c r="N436"/>
  <c r="N415"/>
  <c r="N384"/>
  <c r="N453"/>
  <c r="N396"/>
  <c r="N414"/>
  <c r="N442"/>
  <c r="N444"/>
  <c r="N462"/>
  <c r="N464"/>
  <c r="N465"/>
  <c r="N407"/>
  <c r="N433"/>
  <c r="N445"/>
  <c r="N446"/>
  <c r="N455"/>
  <c r="N458"/>
  <c r="N460"/>
  <c r="N463"/>
  <c r="N406"/>
  <c r="N426"/>
  <c r="N439"/>
  <c r="N457"/>
  <c r="N461"/>
  <c r="N469"/>
  <c r="N482"/>
  <c r="N447"/>
  <c r="N454"/>
  <c r="N456"/>
  <c r="N459"/>
  <c r="N388"/>
  <c r="N448"/>
  <c r="N449"/>
  <c r="N470"/>
  <c r="N473"/>
  <c r="N475"/>
  <c r="N484"/>
  <c r="N385"/>
  <c r="N397"/>
  <c r="N476"/>
  <c r="N477"/>
  <c r="N478"/>
  <c r="N480"/>
  <c r="N487"/>
  <c r="N452"/>
  <c r="N474"/>
  <c r="N430"/>
  <c r="N466"/>
  <c r="N479"/>
  <c r="N481"/>
  <c r="N483"/>
  <c r="N427"/>
  <c r="N472"/>
  <c r="N485"/>
  <c r="N451"/>
  <c r="N471"/>
  <c r="C491"/>
  <c r="T404"/>
  <c r="BS432"/>
  <c r="T447"/>
  <c r="T470"/>
  <c r="AI486"/>
  <c r="C485"/>
  <c r="BX421"/>
  <c r="BK380"/>
  <c r="BR428"/>
  <c r="BR449"/>
  <c r="BR457"/>
  <c r="BR465"/>
  <c r="AP436"/>
  <c r="AP420"/>
  <c r="AP445"/>
  <c r="AP462"/>
  <c r="Y456"/>
  <c r="Y461"/>
  <c r="Y464"/>
  <c r="Y477"/>
  <c r="Y480"/>
  <c r="Y472"/>
  <c r="Y453"/>
  <c r="Y469"/>
  <c r="Y494"/>
  <c r="Y487"/>
  <c r="C493"/>
  <c r="T383"/>
  <c r="BS440"/>
  <c r="BS470"/>
  <c r="CF494"/>
  <c r="CB480"/>
  <c r="C472"/>
  <c r="AM468"/>
  <c r="CB466"/>
  <c r="C424"/>
  <c r="BT409"/>
  <c r="AB492"/>
  <c r="T386"/>
  <c r="BS400"/>
  <c r="T408"/>
  <c r="BS414"/>
  <c r="T422"/>
  <c r="T429"/>
  <c r="T436"/>
  <c r="BS443"/>
  <c r="BS450"/>
  <c r="BS458"/>
  <c r="T466"/>
  <c r="BS473"/>
  <c r="T482"/>
  <c r="AM488"/>
  <c r="AX486"/>
  <c r="AX485"/>
  <c r="W484"/>
  <c r="C481"/>
  <c r="CB477"/>
  <c r="W477"/>
  <c r="BK468"/>
  <c r="AY460"/>
  <c r="BK453"/>
  <c r="CF450"/>
  <c r="BX407"/>
  <c r="BX437"/>
  <c r="BX430"/>
  <c r="BX439"/>
  <c r="BX386"/>
  <c r="BX414"/>
  <c r="BX435"/>
  <c r="BX410"/>
  <c r="BX429"/>
  <c r="BX441"/>
  <c r="BX450"/>
  <c r="BX456"/>
  <c r="BX459"/>
  <c r="BX443"/>
  <c r="BX448"/>
  <c r="BX418"/>
  <c r="BX440"/>
  <c r="BX458"/>
  <c r="BX461"/>
  <c r="BX470"/>
  <c r="BX471"/>
  <c r="BX462"/>
  <c r="BX473"/>
  <c r="BX482"/>
  <c r="BX446"/>
  <c r="BX467"/>
  <c r="BX411"/>
  <c r="BX463"/>
  <c r="BX466"/>
  <c r="BX472"/>
  <c r="BX475"/>
  <c r="BX477"/>
  <c r="BX394"/>
  <c r="BX451"/>
  <c r="BX468"/>
  <c r="BX486"/>
  <c r="BX485"/>
  <c r="BX425"/>
  <c r="BX479"/>
  <c r="BX483"/>
  <c r="BX487"/>
  <c r="BX474"/>
  <c r="BX494"/>
  <c r="BX454"/>
  <c r="AQ435"/>
  <c r="AQ397"/>
  <c r="AQ411"/>
  <c r="AQ430"/>
  <c r="AQ387"/>
  <c r="AQ448"/>
  <c r="AQ442"/>
  <c r="AQ382"/>
  <c r="AQ402"/>
  <c r="AQ427"/>
  <c r="AQ437"/>
  <c r="AQ454"/>
  <c r="AQ463"/>
  <c r="AQ433"/>
  <c r="AQ446"/>
  <c r="AQ464"/>
  <c r="AQ465"/>
  <c r="AQ466"/>
  <c r="AQ467"/>
  <c r="AQ468"/>
  <c r="AQ413"/>
  <c r="AQ457"/>
  <c r="AQ477"/>
  <c r="AQ480"/>
  <c r="AQ481"/>
  <c r="AQ472"/>
  <c r="AQ474"/>
  <c r="AQ469"/>
  <c r="AQ410"/>
  <c r="AQ412"/>
  <c r="AQ488"/>
  <c r="AQ470"/>
  <c r="AQ486"/>
  <c r="AQ455"/>
  <c r="AQ451"/>
  <c r="AQ453"/>
  <c r="AQ475"/>
  <c r="AQ383"/>
  <c r="W384"/>
  <c r="W395"/>
  <c r="W433"/>
  <c r="W414"/>
  <c r="W426"/>
  <c r="W382"/>
  <c r="W383"/>
  <c r="W405"/>
  <c r="W424"/>
  <c r="W415"/>
  <c r="W452"/>
  <c r="W456"/>
  <c r="W459"/>
  <c r="W463"/>
  <c r="W461"/>
  <c r="W432"/>
  <c r="W447"/>
  <c r="W448"/>
  <c r="W436"/>
  <c r="W453"/>
  <c r="W437"/>
  <c r="W474"/>
  <c r="W455"/>
  <c r="W442"/>
  <c r="W457"/>
  <c r="W466"/>
  <c r="W469"/>
  <c r="W471"/>
  <c r="W483"/>
  <c r="W479"/>
  <c r="W460"/>
  <c r="W473"/>
  <c r="W488"/>
  <c r="W401"/>
  <c r="W445"/>
  <c r="W446"/>
  <c r="W434"/>
  <c r="W487"/>
  <c r="W396"/>
  <c r="W480"/>
  <c r="W470"/>
  <c r="W481"/>
  <c r="W397"/>
  <c r="W441"/>
  <c r="BT374"/>
  <c r="AX200" i="36" s="1"/>
  <c r="CJ379" i="20"/>
  <c r="CJ380"/>
  <c r="CJ396"/>
  <c r="CJ421"/>
  <c r="CJ428"/>
  <c r="CJ397"/>
  <c r="CJ408"/>
  <c r="CJ411"/>
  <c r="CJ426"/>
  <c r="CJ440"/>
  <c r="CJ384"/>
  <c r="CJ402"/>
  <c r="CJ406"/>
  <c r="CJ413"/>
  <c r="CJ423"/>
  <c r="CJ409"/>
  <c r="CJ425"/>
  <c r="CJ427"/>
  <c r="CJ429"/>
  <c r="CJ431"/>
  <c r="CJ412"/>
  <c r="CJ430"/>
  <c r="CJ437"/>
  <c r="CJ449"/>
  <c r="CJ458"/>
  <c r="CJ391"/>
  <c r="CJ400"/>
  <c r="CJ435"/>
  <c r="CJ452"/>
  <c r="CJ404"/>
  <c r="CJ407"/>
  <c r="CJ454"/>
  <c r="CJ462"/>
  <c r="CJ463"/>
  <c r="CJ464"/>
  <c r="CJ439"/>
  <c r="CJ450"/>
  <c r="CJ465"/>
  <c r="CJ472"/>
  <c r="CJ478"/>
  <c r="CJ482"/>
  <c r="CJ392"/>
  <c r="CJ424"/>
  <c r="CJ442"/>
  <c r="CJ445"/>
  <c r="CJ457"/>
  <c r="CJ466"/>
  <c r="CJ382"/>
  <c r="CJ390"/>
  <c r="CJ444"/>
  <c r="CJ451"/>
  <c r="CJ460"/>
  <c r="CJ468"/>
  <c r="CJ474"/>
  <c r="CJ477"/>
  <c r="CJ483"/>
  <c r="CJ385"/>
  <c r="CJ393"/>
  <c r="CJ414"/>
  <c r="CJ415"/>
  <c r="CJ436"/>
  <c r="CJ459"/>
  <c r="CJ469"/>
  <c r="CJ475"/>
  <c r="CJ476"/>
  <c r="CJ479"/>
  <c r="CJ481"/>
  <c r="CJ485"/>
  <c r="CJ420"/>
  <c r="CJ487"/>
  <c r="CJ455"/>
  <c r="CJ494"/>
  <c r="CJ441"/>
  <c r="CJ447"/>
  <c r="CJ467"/>
  <c r="CJ480"/>
  <c r="CJ434"/>
  <c r="CJ484"/>
  <c r="CJ456"/>
  <c r="CJ473"/>
  <c r="CJ488"/>
  <c r="BG412"/>
  <c r="BG438"/>
  <c r="BG440"/>
  <c r="BG381"/>
  <c r="BG404"/>
  <c r="BG436"/>
  <c r="BG441"/>
  <c r="BG422"/>
  <c r="BG426"/>
  <c r="BG434"/>
  <c r="BG437"/>
  <c r="BG442"/>
  <c r="BG425"/>
  <c r="BG433"/>
  <c r="BG439"/>
  <c r="BG446"/>
  <c r="BG454"/>
  <c r="BG461"/>
  <c r="BG385"/>
  <c r="BG450"/>
  <c r="BG460"/>
  <c r="BG462"/>
  <c r="BG445"/>
  <c r="BG455"/>
  <c r="BG459"/>
  <c r="BG395"/>
  <c r="BG443"/>
  <c r="BG449"/>
  <c r="BG480"/>
  <c r="BG451"/>
  <c r="BG471"/>
  <c r="BG453"/>
  <c r="BG458"/>
  <c r="BG470"/>
  <c r="BG472"/>
  <c r="BG473"/>
  <c r="BG482"/>
  <c r="BG483"/>
  <c r="BG464"/>
  <c r="BG485"/>
  <c r="BG400"/>
  <c r="BG447"/>
  <c r="BG452"/>
  <c r="BG468"/>
  <c r="BG487"/>
  <c r="BG477"/>
  <c r="BG457"/>
  <c r="BG475"/>
  <c r="BG486"/>
  <c r="BG467"/>
  <c r="BG476"/>
  <c r="BG479"/>
  <c r="T390"/>
  <c r="T411"/>
  <c r="BK471"/>
  <c r="BG463"/>
  <c r="AI463"/>
  <c r="AM452"/>
  <c r="BK389"/>
  <c r="AB489"/>
  <c r="AX489"/>
  <c r="BS393"/>
  <c r="T401"/>
  <c r="BS408"/>
  <c r="T415"/>
  <c r="BS436"/>
  <c r="T444"/>
  <c r="T451"/>
  <c r="T459"/>
  <c r="T474"/>
  <c r="BS482"/>
  <c r="N494"/>
  <c r="BO487"/>
  <c r="CF482"/>
  <c r="AI481"/>
  <c r="AB479"/>
  <c r="F479"/>
  <c r="AL477"/>
  <c r="W472"/>
  <c r="I469"/>
  <c r="AM467"/>
  <c r="I465"/>
  <c r="AY461"/>
  <c r="AX460"/>
  <c r="CJ453"/>
  <c r="BC443"/>
  <c r="W443"/>
  <c r="N420"/>
  <c r="AI414"/>
  <c r="BG396"/>
  <c r="CN451"/>
  <c r="CN431"/>
  <c r="CN442"/>
  <c r="CI436"/>
  <c r="CI400"/>
  <c r="CI435"/>
  <c r="CI387"/>
  <c r="CI457"/>
  <c r="CI466"/>
  <c r="CI459"/>
  <c r="CI469"/>
  <c r="CI476"/>
  <c r="CI481"/>
  <c r="CI480"/>
  <c r="CE409"/>
  <c r="CE461"/>
  <c r="CE437"/>
  <c r="CE448"/>
  <c r="CE432"/>
  <c r="BN390"/>
  <c r="BN438"/>
  <c r="BN382"/>
  <c r="BN407"/>
  <c r="BN468"/>
  <c r="BN442"/>
  <c r="BN479"/>
  <c r="BF428"/>
  <c r="BF421"/>
  <c r="BF437"/>
  <c r="BF425"/>
  <c r="BB472"/>
  <c r="BB444"/>
  <c r="BB486"/>
  <c r="AD434"/>
  <c r="AD442"/>
  <c r="AD393"/>
  <c r="AD453"/>
  <c r="AD456"/>
  <c r="AD463"/>
  <c r="P388"/>
  <c r="P413"/>
  <c r="P419"/>
  <c r="P437"/>
  <c r="P448"/>
  <c r="P449"/>
  <c r="H404"/>
  <c r="H434"/>
  <c r="H435"/>
  <c r="H447"/>
  <c r="H472"/>
  <c r="H480"/>
  <c r="H468"/>
  <c r="H471"/>
  <c r="Q482"/>
  <c r="Q387"/>
  <c r="Q407"/>
  <c r="Q408"/>
  <c r="Q410"/>
  <c r="Q414"/>
  <c r="Q426"/>
  <c r="Q428"/>
  <c r="Q382"/>
  <c r="Q383"/>
  <c r="Q388"/>
  <c r="Q405"/>
  <c r="Q424"/>
  <c r="Q427"/>
  <c r="Q444"/>
  <c r="Q380"/>
  <c r="Q393"/>
  <c r="Q402"/>
  <c r="Q416"/>
  <c r="Q431"/>
  <c r="Q435"/>
  <c r="Q440"/>
  <c r="Q379"/>
  <c r="Q386"/>
  <c r="Q392"/>
  <c r="Q399"/>
  <c r="Q400"/>
  <c r="Q401"/>
  <c r="Q409"/>
  <c r="Q417"/>
  <c r="Q418"/>
  <c r="Q421"/>
  <c r="Q425"/>
  <c r="Q436"/>
  <c r="Q391"/>
  <c r="Q419"/>
  <c r="Q429"/>
  <c r="Q432"/>
  <c r="Q448"/>
  <c r="Q389"/>
  <c r="Q395"/>
  <c r="Q403"/>
  <c r="Q412"/>
  <c r="Q423"/>
  <c r="Q384"/>
  <c r="Q404"/>
  <c r="Q443"/>
  <c r="Q453"/>
  <c r="Q396"/>
  <c r="Q413"/>
  <c r="Q434"/>
  <c r="Q437"/>
  <c r="Q441"/>
  <c r="Q442"/>
  <c r="Q462"/>
  <c r="Q464"/>
  <c r="Q465"/>
  <c r="Q433"/>
  <c r="Q452"/>
  <c r="Q466"/>
  <c r="Q467"/>
  <c r="Q479"/>
  <c r="Q381"/>
  <c r="Q406"/>
  <c r="Q422"/>
  <c r="Q439"/>
  <c r="Q457"/>
  <c r="Q461"/>
  <c r="Q469"/>
  <c r="Q447"/>
  <c r="Q454"/>
  <c r="Q456"/>
  <c r="Q459"/>
  <c r="Q450"/>
  <c r="Q470"/>
  <c r="Q473"/>
  <c r="Q475"/>
  <c r="AD489"/>
  <c r="CE491"/>
  <c r="V402"/>
  <c r="V434"/>
  <c r="V445"/>
  <c r="Q489"/>
  <c r="Q494"/>
  <c r="Q478"/>
  <c r="Q472"/>
  <c r="CE468"/>
  <c r="Q449"/>
  <c r="Q411"/>
  <c r="Q397"/>
  <c r="Q390"/>
  <c r="V381"/>
  <c r="V413"/>
  <c r="V457"/>
  <c r="Q491"/>
  <c r="BF480"/>
  <c r="Q480"/>
  <c r="BF476"/>
  <c r="Q430"/>
  <c r="AD425"/>
  <c r="AD491"/>
  <c r="V385"/>
  <c r="V410"/>
  <c r="V417"/>
  <c r="V446"/>
  <c r="V461"/>
  <c r="Q493"/>
  <c r="Q474"/>
  <c r="P452"/>
  <c r="AD431"/>
  <c r="Q394"/>
  <c r="E391"/>
  <c r="E401"/>
  <c r="E439"/>
  <c r="E429"/>
  <c r="E437"/>
  <c r="E455"/>
  <c r="E457"/>
  <c r="E461"/>
  <c r="E464"/>
  <c r="H490"/>
  <c r="V382"/>
  <c r="V414"/>
  <c r="V450"/>
  <c r="E486"/>
  <c r="CE488"/>
  <c r="H478"/>
  <c r="BN471"/>
  <c r="Q468"/>
  <c r="Q446"/>
  <c r="Q445"/>
  <c r="Q438"/>
  <c r="Q420"/>
  <c r="K293" i="36"/>
  <c r="E39" i="29"/>
  <c r="H10" i="6"/>
  <c r="H16"/>
  <c r="K37" i="17"/>
  <c r="Z283" i="25"/>
  <c r="K36" i="17"/>
  <c r="Z282" i="25"/>
  <c r="K39" i="17"/>
  <c r="Z285" i="25"/>
  <c r="K38" i="17"/>
  <c r="Z284" i="25"/>
  <c r="K40" i="17"/>
  <c r="Z286" i="25"/>
  <c r="A324" i="36"/>
  <c r="K41" i="17"/>
  <c r="Z287" i="25"/>
  <c r="E201"/>
  <c r="B200" s="1"/>
  <c r="K43" i="17"/>
  <c r="BN13" i="8"/>
  <c r="BY459" i="20"/>
  <c r="BY467"/>
  <c r="BW396"/>
  <c r="BW428"/>
  <c r="BW452"/>
  <c r="BW460"/>
  <c r="BU409"/>
  <c r="BU415"/>
  <c r="BU431"/>
  <c r="BU451"/>
  <c r="BU457"/>
  <c r="BP423"/>
  <c r="BP439"/>
  <c r="BP455"/>
  <c r="BP461"/>
  <c r="BP463"/>
  <c r="BP465"/>
  <c r="BP467"/>
  <c r="BD399"/>
  <c r="BD405"/>
  <c r="BD411"/>
  <c r="BD424"/>
  <c r="BD425"/>
  <c r="BD429"/>
  <c r="BD448"/>
  <c r="BD449"/>
  <c r="BD450"/>
  <c r="BD451"/>
  <c r="BD454"/>
  <c r="BD468"/>
  <c r="BD469"/>
  <c r="AX383"/>
  <c r="AX395"/>
  <c r="AX397"/>
  <c r="AX402"/>
  <c r="AX416"/>
  <c r="AX417"/>
  <c r="AX426"/>
  <c r="AX431"/>
  <c r="AX437"/>
  <c r="AX443"/>
  <c r="AX446"/>
  <c r="AX454"/>
  <c r="AX455"/>
  <c r="AX459"/>
  <c r="AX462"/>
  <c r="AX468"/>
  <c r="AX471"/>
  <c r="AT429"/>
  <c r="AT449"/>
  <c r="AT457"/>
  <c r="AT465"/>
  <c r="AR406"/>
  <c r="AR419"/>
  <c r="AR438"/>
  <c r="AR448"/>
  <c r="AR464"/>
  <c r="AR467"/>
  <c r="AP404"/>
  <c r="AP446"/>
  <c r="AP454"/>
  <c r="AP470"/>
  <c r="AL453"/>
  <c r="AL461"/>
  <c r="AH432"/>
  <c r="AH450"/>
  <c r="AH458"/>
  <c r="Y386"/>
  <c r="Y448"/>
  <c r="U433"/>
  <c r="U444"/>
  <c r="U446"/>
  <c r="R455"/>
  <c r="R472"/>
  <c r="D433"/>
  <c r="D462"/>
  <c r="D465"/>
  <c r="BZ380"/>
  <c r="BZ385"/>
  <c r="BZ392"/>
  <c r="BZ427"/>
  <c r="BZ435"/>
  <c r="BZ438"/>
  <c r="BZ440"/>
  <c r="BZ441"/>
  <c r="BZ442"/>
  <c r="BZ462"/>
  <c r="BZ463"/>
  <c r="BZ466"/>
  <c r="BZ468"/>
  <c r="BZ470"/>
  <c r="BX382"/>
  <c r="BX383"/>
  <c r="BX406"/>
  <c r="BX434"/>
  <c r="BX444"/>
  <c r="BX445"/>
  <c r="BX449"/>
  <c r="BX453"/>
  <c r="BX465"/>
  <c r="BV416"/>
  <c r="BV422"/>
  <c r="BV432"/>
  <c r="BV436"/>
  <c r="BV469"/>
  <c r="BV471"/>
  <c r="AS407"/>
  <c r="AS423"/>
  <c r="AS436"/>
  <c r="AS445"/>
  <c r="AS460"/>
  <c r="AS466"/>
  <c r="AQ432"/>
  <c r="AQ440"/>
  <c r="AQ441"/>
  <c r="AQ444"/>
  <c r="AQ450"/>
  <c r="AQ452"/>
  <c r="AQ458"/>
  <c r="AO390"/>
  <c r="AO394"/>
  <c r="AO399"/>
  <c r="AO424"/>
  <c r="AO433"/>
  <c r="AO434"/>
  <c r="AO437"/>
  <c r="AO443"/>
  <c r="AO447"/>
  <c r="AO462"/>
  <c r="AO468"/>
  <c r="AO469"/>
  <c r="AM379"/>
  <c r="AM392"/>
  <c r="AM409"/>
  <c r="AM418"/>
  <c r="AM421"/>
  <c r="AM442"/>
  <c r="AM459"/>
  <c r="AM463"/>
  <c r="AM471"/>
  <c r="AK428"/>
  <c r="AK429"/>
  <c r="AK435"/>
  <c r="AK439"/>
  <c r="AK449"/>
  <c r="AK451"/>
  <c r="AK455"/>
  <c r="AK456"/>
  <c r="AK457"/>
  <c r="AK465"/>
  <c r="AI380"/>
  <c r="AI388"/>
  <c r="AI389"/>
  <c r="AI398"/>
  <c r="AI403"/>
  <c r="AI430"/>
  <c r="AI436"/>
  <c r="AI445"/>
  <c r="AI447"/>
  <c r="AI448"/>
  <c r="AI452"/>
  <c r="AI464"/>
  <c r="AI466"/>
  <c r="AI467"/>
  <c r="AG400"/>
  <c r="AG415"/>
  <c r="AG425"/>
  <c r="AG438"/>
  <c r="AG444"/>
  <c r="AG446"/>
  <c r="AG454"/>
  <c r="AG468"/>
  <c r="AG470"/>
  <c r="AG471"/>
  <c r="AA408"/>
  <c r="AA435"/>
  <c r="AA436"/>
  <c r="AA445"/>
  <c r="AA447"/>
  <c r="AA449"/>
  <c r="AA458"/>
  <c r="AA466"/>
  <c r="W381"/>
  <c r="W390"/>
  <c r="W409"/>
  <c r="W428"/>
  <c r="W430"/>
  <c r="W438"/>
  <c r="W462"/>
  <c r="W464"/>
  <c r="W465"/>
  <c r="S412"/>
  <c r="S418"/>
  <c r="S421"/>
  <c r="S425"/>
  <c r="S434"/>
  <c r="S437"/>
  <c r="S441"/>
  <c r="S442"/>
  <c r="S456"/>
  <c r="M405"/>
  <c r="M416"/>
  <c r="M433"/>
  <c r="M435"/>
  <c r="M436"/>
  <c r="M439"/>
  <c r="M445"/>
  <c r="M450"/>
  <c r="M456"/>
  <c r="M460"/>
  <c r="M465"/>
  <c r="M467"/>
  <c r="I412"/>
  <c r="I421"/>
  <c r="I428"/>
  <c r="I438"/>
  <c r="I441"/>
  <c r="I444"/>
  <c r="I447"/>
  <c r="I448"/>
  <c r="I453"/>
  <c r="I454"/>
  <c r="I455"/>
  <c r="I466"/>
  <c r="I471"/>
  <c r="F406"/>
  <c r="F417"/>
  <c r="F425"/>
  <c r="F446"/>
  <c r="F459"/>
  <c r="F461"/>
  <c r="F470"/>
  <c r="B380"/>
  <c r="B386"/>
  <c r="B389"/>
  <c r="B391"/>
  <c r="B396"/>
  <c r="B401"/>
  <c r="B408"/>
  <c r="B411"/>
  <c r="B413"/>
  <c r="B414"/>
  <c r="B426"/>
  <c r="B435"/>
  <c r="B442"/>
  <c r="B443"/>
  <c r="B444"/>
  <c r="B445"/>
  <c r="B447"/>
  <c r="B450"/>
  <c r="B455"/>
  <c r="B460"/>
  <c r="B463"/>
  <c r="B468"/>
  <c r="B469"/>
  <c r="B472"/>
  <c r="H11" i="6"/>
  <c r="D1045" i="32"/>
  <c r="T416" i="42"/>
  <c r="BL9" i="8"/>
  <c r="BL13"/>
  <c r="BN12"/>
  <c r="X52" i="11"/>
  <c r="AE24"/>
  <c r="AF24" s="1"/>
  <c r="T251" i="25"/>
  <c r="R253" s="1"/>
  <c r="S253" s="1"/>
  <c r="O35" i="6" s="1"/>
  <c r="I165" i="12" s="1"/>
  <c r="AQ374" i="20"/>
  <c r="W217" i="36"/>
  <c r="AK374" i="20"/>
  <c r="T211" i="36"/>
  <c r="AI374" i="20"/>
  <c r="W209" i="36"/>
  <c r="M374" i="20"/>
  <c r="CN382"/>
  <c r="CN401"/>
  <c r="CN434"/>
  <c r="CN435"/>
  <c r="CN461"/>
  <c r="CN462"/>
  <c r="CN468"/>
  <c r="CN488"/>
  <c r="CN419"/>
  <c r="CN427"/>
  <c r="CN429"/>
  <c r="CN430"/>
  <c r="CN433"/>
  <c r="CN456"/>
  <c r="CN463"/>
  <c r="CN470"/>
  <c r="CN471"/>
  <c r="CN484"/>
  <c r="CN395"/>
  <c r="CN408"/>
  <c r="CN426"/>
  <c r="CN457"/>
  <c r="CN459"/>
  <c r="CN466"/>
  <c r="CN469"/>
  <c r="CN476"/>
  <c r="CN480"/>
  <c r="CN481"/>
  <c r="CN494"/>
  <c r="CL421"/>
  <c r="CL422"/>
  <c r="CL450"/>
  <c r="CL452"/>
  <c r="CL453"/>
  <c r="CL458"/>
  <c r="CL473"/>
  <c r="CL475"/>
  <c r="CL482"/>
  <c r="CL386"/>
  <c r="CL397"/>
  <c r="CL403"/>
  <c r="CL404"/>
  <c r="CL415"/>
  <c r="CL420"/>
  <c r="CL423"/>
  <c r="CL428"/>
  <c r="CL438"/>
  <c r="CL464"/>
  <c r="CL487"/>
  <c r="CL374"/>
  <c r="AV218" i="36"/>
  <c r="CL409" i="20"/>
  <c r="CL416"/>
  <c r="CL418"/>
  <c r="CL424"/>
  <c r="CL432"/>
  <c r="CL455"/>
  <c r="CL477"/>
  <c r="CL478"/>
  <c r="CL485"/>
  <c r="CI405"/>
  <c r="CI427"/>
  <c r="CI443"/>
  <c r="CI446"/>
  <c r="CI456"/>
  <c r="CI462"/>
  <c r="CI463"/>
  <c r="CI471"/>
  <c r="CI439"/>
  <c r="CI451"/>
  <c r="CI454"/>
  <c r="CI474"/>
  <c r="CI483"/>
  <c r="CI484"/>
  <c r="CI399"/>
  <c r="CI419"/>
  <c r="CI426"/>
  <c r="CI429"/>
  <c r="CI437"/>
  <c r="CI461"/>
  <c r="CI468"/>
  <c r="CI488"/>
  <c r="CG411"/>
  <c r="CG423"/>
  <c r="CG428"/>
  <c r="CG429"/>
  <c r="CG464"/>
  <c r="CG487"/>
  <c r="CG494"/>
  <c r="CG381"/>
  <c r="CG396"/>
  <c r="CG413"/>
  <c r="CG414"/>
  <c r="CG432"/>
  <c r="CG460"/>
  <c r="CG465"/>
  <c r="CG467"/>
  <c r="CG472"/>
  <c r="CG479"/>
  <c r="CG486"/>
  <c r="CG384"/>
  <c r="CG417"/>
  <c r="CG435"/>
  <c r="CG438"/>
  <c r="CG445"/>
  <c r="CG450"/>
  <c r="CG452"/>
  <c r="CG453"/>
  <c r="CG458"/>
  <c r="CG473"/>
  <c r="CG475"/>
  <c r="CG478"/>
  <c r="CG482"/>
  <c r="CE401"/>
  <c r="CE438"/>
  <c r="CE451"/>
  <c r="CE454"/>
  <c r="CE474"/>
  <c r="CE483"/>
  <c r="CE484"/>
  <c r="CE392"/>
  <c r="CE408"/>
  <c r="CE436"/>
  <c r="CE449"/>
  <c r="CE457"/>
  <c r="CE459"/>
  <c r="CE466"/>
  <c r="CE469"/>
  <c r="CE476"/>
  <c r="CE480"/>
  <c r="CE481"/>
  <c r="CE388"/>
  <c r="CE395"/>
  <c r="CE398"/>
  <c r="CE422"/>
  <c r="CE439"/>
  <c r="CE440"/>
  <c r="CE456"/>
  <c r="CE462"/>
  <c r="CE463"/>
  <c r="CE471"/>
  <c r="CC413"/>
  <c r="CC424"/>
  <c r="CC439"/>
  <c r="CC447"/>
  <c r="CC460"/>
  <c r="CC465"/>
  <c r="CC467"/>
  <c r="CC472"/>
  <c r="CC479"/>
  <c r="CC486"/>
  <c r="CC380"/>
  <c r="CC397"/>
  <c r="CC435"/>
  <c r="CC455"/>
  <c r="CC470"/>
  <c r="CC477"/>
  <c r="CC485"/>
  <c r="CC403"/>
  <c r="CC407"/>
  <c r="CC443"/>
  <c r="CC444"/>
  <c r="CC446"/>
  <c r="CC464"/>
  <c r="CC487"/>
  <c r="CC494"/>
  <c r="BN396"/>
  <c r="BN397"/>
  <c r="BN400"/>
  <c r="BN409"/>
  <c r="BN411"/>
  <c r="BN414"/>
  <c r="BN432"/>
  <c r="BN444"/>
  <c r="BN447"/>
  <c r="BN451"/>
  <c r="BN453"/>
  <c r="BN454"/>
  <c r="BN465"/>
  <c r="BN469"/>
  <c r="BN470"/>
  <c r="BN474"/>
  <c r="BN477"/>
  <c r="BN478"/>
  <c r="BN480"/>
  <c r="BN481"/>
  <c r="BN485"/>
  <c r="BN380"/>
  <c r="BN386"/>
  <c r="BN398"/>
  <c r="BN402"/>
  <c r="BN410"/>
  <c r="BN419"/>
  <c r="BN420"/>
  <c r="BN425"/>
  <c r="BN426"/>
  <c r="BN449"/>
  <c r="BN450"/>
  <c r="BN452"/>
  <c r="BN458"/>
  <c r="BN459"/>
  <c r="BN461"/>
  <c r="BN464"/>
  <c r="BN466"/>
  <c r="BN473"/>
  <c r="BN476"/>
  <c r="BN482"/>
  <c r="BN488"/>
  <c r="BN388"/>
  <c r="BN391"/>
  <c r="BN393"/>
  <c r="BN404"/>
  <c r="BN405"/>
  <c r="BN415"/>
  <c r="BN418"/>
  <c r="BN422"/>
  <c r="BN423"/>
  <c r="BN424"/>
  <c r="BN429"/>
  <c r="BN430"/>
  <c r="BN435"/>
  <c r="BN443"/>
  <c r="BN445"/>
  <c r="BN446"/>
  <c r="BN455"/>
  <c r="BN457"/>
  <c r="BN460"/>
  <c r="BN462"/>
  <c r="BN463"/>
  <c r="BN467"/>
  <c r="BN483"/>
  <c r="BN484"/>
  <c r="BN486"/>
  <c r="BN487"/>
  <c r="BL383"/>
  <c r="BL388"/>
  <c r="BL404"/>
  <c r="BL405"/>
  <c r="BL415"/>
  <c r="BL417"/>
  <c r="BL418"/>
  <c r="BL421"/>
  <c r="BL422"/>
  <c r="BL428"/>
  <c r="BL429"/>
  <c r="BL430"/>
  <c r="BL433"/>
  <c r="BL434"/>
  <c r="BL435"/>
  <c r="BL436"/>
  <c r="BL442"/>
  <c r="BL445"/>
  <c r="BL455"/>
  <c r="BL457"/>
  <c r="BL460"/>
  <c r="BL462"/>
  <c r="BL463"/>
  <c r="BL467"/>
  <c r="BL483"/>
  <c r="BL484"/>
  <c r="BL486"/>
  <c r="BL487"/>
  <c r="BL379"/>
  <c r="BL381"/>
  <c r="BL389"/>
  <c r="BL391"/>
  <c r="BL392"/>
  <c r="BL395"/>
  <c r="BL406"/>
  <c r="BL408"/>
  <c r="BL413"/>
  <c r="BL427"/>
  <c r="BL431"/>
  <c r="BL444"/>
  <c r="BL447"/>
  <c r="BL448"/>
  <c r="BL451"/>
  <c r="BL453"/>
  <c r="BL454"/>
  <c r="BL465"/>
  <c r="BL469"/>
  <c r="BL470"/>
  <c r="BL474"/>
  <c r="BL477"/>
  <c r="BL478"/>
  <c r="BL480"/>
  <c r="BL481"/>
  <c r="BL485"/>
  <c r="BL390"/>
  <c r="BL399"/>
  <c r="BL401"/>
  <c r="BL407"/>
  <c r="BL416"/>
  <c r="BL456"/>
  <c r="BL468"/>
  <c r="BL471"/>
  <c r="BL472"/>
  <c r="BL475"/>
  <c r="BL479"/>
  <c r="BL494"/>
  <c r="BH390"/>
  <c r="BH393"/>
  <c r="BH394"/>
  <c r="BH401"/>
  <c r="BH410"/>
  <c r="BH416"/>
  <c r="BH424"/>
  <c r="BH425"/>
  <c r="BH437"/>
  <c r="BH438"/>
  <c r="BH441"/>
  <c r="BH449"/>
  <c r="BH452"/>
  <c r="BH461"/>
  <c r="BH466"/>
  <c r="BH476"/>
  <c r="BH480"/>
  <c r="BH482"/>
  <c r="BH488"/>
  <c r="BH383"/>
  <c r="BH400"/>
  <c r="BH404"/>
  <c r="BH405"/>
  <c r="BH407"/>
  <c r="BH414"/>
  <c r="BH415"/>
  <c r="BH417"/>
  <c r="BH421"/>
  <c r="BH423"/>
  <c r="BH428"/>
  <c r="BH439"/>
  <c r="BH442"/>
  <c r="BH443"/>
  <c r="BH446"/>
  <c r="BH462"/>
  <c r="BH464"/>
  <c r="BH467"/>
  <c r="BH468"/>
  <c r="BH475"/>
  <c r="BH385"/>
  <c r="BH387"/>
  <c r="BH389"/>
  <c r="BH391"/>
  <c r="BH395"/>
  <c r="BH426"/>
  <c r="BH431"/>
  <c r="BH440"/>
  <c r="BH444"/>
  <c r="BH447"/>
  <c r="BH450"/>
  <c r="BH451"/>
  <c r="BH453"/>
  <c r="BH455"/>
  <c r="BH458"/>
  <c r="BH459"/>
  <c r="BH465"/>
  <c r="BH469"/>
  <c r="BH473"/>
  <c r="BH478"/>
  <c r="BH481"/>
  <c r="BH483"/>
  <c r="BH485"/>
  <c r="BF412"/>
  <c r="BF422"/>
  <c r="BF436"/>
  <c r="BF444"/>
  <c r="BF463"/>
  <c r="BF469"/>
  <c r="BF470"/>
  <c r="BF471"/>
  <c r="BF474"/>
  <c r="BF477"/>
  <c r="BF481"/>
  <c r="BF487"/>
  <c r="BF395"/>
  <c r="BF397"/>
  <c r="BF399"/>
  <c r="BF401"/>
  <c r="BF416"/>
  <c r="BF451"/>
  <c r="BF459"/>
  <c r="BF466"/>
  <c r="BF473"/>
  <c r="BF485"/>
  <c r="BF488"/>
  <c r="BF380"/>
  <c r="BF398"/>
  <c r="BF407"/>
  <c r="BF427"/>
  <c r="BF435"/>
  <c r="BF442"/>
  <c r="BF456"/>
  <c r="BF462"/>
  <c r="BF468"/>
  <c r="BF484"/>
  <c r="BB419"/>
  <c r="BB435"/>
  <c r="BB448"/>
  <c r="BB456"/>
  <c r="BB464"/>
  <c r="BB494"/>
  <c r="BB408"/>
  <c r="BB424"/>
  <c r="BB440"/>
  <c r="BB480"/>
  <c r="AZ387"/>
  <c r="AZ403"/>
  <c r="AZ404"/>
  <c r="AZ430"/>
  <c r="AZ444"/>
  <c r="AZ447"/>
  <c r="AZ451"/>
  <c r="AZ455"/>
  <c r="AZ458"/>
  <c r="AZ461"/>
  <c r="AZ472"/>
  <c r="AZ485"/>
  <c r="AZ486"/>
  <c r="AZ388"/>
  <c r="AZ408"/>
  <c r="AZ410"/>
  <c r="AZ411"/>
  <c r="AZ425"/>
  <c r="AZ433"/>
  <c r="AZ440"/>
  <c r="AZ442"/>
  <c r="AZ443"/>
  <c r="AZ446"/>
  <c r="AZ449"/>
  <c r="AZ452"/>
  <c r="AZ462"/>
  <c r="AZ476"/>
  <c r="AZ480"/>
  <c r="AZ482"/>
  <c r="AZ379"/>
  <c r="AZ414"/>
  <c r="AZ421"/>
  <c r="AZ422"/>
  <c r="AZ423"/>
  <c r="AZ428"/>
  <c r="AZ429"/>
  <c r="AZ435"/>
  <c r="AZ438"/>
  <c r="AZ441"/>
  <c r="AZ450"/>
  <c r="AZ453"/>
  <c r="AZ454"/>
  <c r="AZ456"/>
  <c r="AZ457"/>
  <c r="AZ459"/>
  <c r="AZ460"/>
  <c r="AZ464"/>
  <c r="AZ473"/>
  <c r="AZ479"/>
  <c r="AZ483"/>
  <c r="AZ487"/>
  <c r="AZ494"/>
  <c r="AV401"/>
  <c r="AV405"/>
  <c r="AV412"/>
  <c r="AV415"/>
  <c r="AV429"/>
  <c r="AV451"/>
  <c r="AV470"/>
  <c r="AV472"/>
  <c r="AV474"/>
  <c r="AV476"/>
  <c r="AV477"/>
  <c r="AV480"/>
  <c r="AV387"/>
  <c r="AV423"/>
  <c r="AV430"/>
  <c r="AV441"/>
  <c r="AV448"/>
  <c r="AV459"/>
  <c r="AV462"/>
  <c r="AV482"/>
  <c r="AV484"/>
  <c r="AV437"/>
  <c r="AV442"/>
  <c r="AV447"/>
  <c r="AV455"/>
  <c r="AV466"/>
  <c r="AV473"/>
  <c r="AV483"/>
  <c r="AV485"/>
  <c r="AV487"/>
  <c r="AV488"/>
  <c r="AE390"/>
  <c r="AE424"/>
  <c r="AE439"/>
  <c r="AE444"/>
  <c r="AE458"/>
  <c r="AE475"/>
  <c r="AE478"/>
  <c r="AE486"/>
  <c r="AE453"/>
  <c r="AE456"/>
  <c r="AE460"/>
  <c r="AE414"/>
  <c r="AE437"/>
  <c r="AE452"/>
  <c r="AE454"/>
  <c r="AE461"/>
  <c r="AE464"/>
  <c r="AE467"/>
  <c r="AE471"/>
  <c r="AE479"/>
  <c r="AD391"/>
  <c r="AD407"/>
  <c r="AD414"/>
  <c r="AD421"/>
  <c r="AD446"/>
  <c r="AD452"/>
  <c r="AD467"/>
  <c r="AD471"/>
  <c r="AD476"/>
  <c r="AD477"/>
  <c r="AD390"/>
  <c r="AD412"/>
  <c r="AD435"/>
  <c r="AD439"/>
  <c r="AD459"/>
  <c r="AD470"/>
  <c r="AD474"/>
  <c r="AD478"/>
  <c r="AD480"/>
  <c r="AD415"/>
  <c r="AD420"/>
  <c r="AD426"/>
  <c r="AD428"/>
  <c r="AD443"/>
  <c r="AD449"/>
  <c r="AD457"/>
  <c r="AD485"/>
  <c r="Z399"/>
  <c r="Z413"/>
  <c r="Z436"/>
  <c r="Z439"/>
  <c r="Z445"/>
  <c r="Z477"/>
  <c r="Z478"/>
  <c r="Z384"/>
  <c r="Z411"/>
  <c r="Z437"/>
  <c r="Z441"/>
  <c r="Z457"/>
  <c r="Z465"/>
  <c r="Z480"/>
  <c r="Z388"/>
  <c r="Z400"/>
  <c r="Z432"/>
  <c r="Z438"/>
  <c r="Z444"/>
  <c r="Z458"/>
  <c r="Z460"/>
  <c r="Z467"/>
  <c r="Z471"/>
  <c r="Z486"/>
  <c r="V379"/>
  <c r="V483"/>
  <c r="V488"/>
  <c r="V482"/>
  <c r="V474"/>
  <c r="V469"/>
  <c r="V454"/>
  <c r="V449"/>
  <c r="V442"/>
  <c r="V481"/>
  <c r="V470"/>
  <c r="V465"/>
  <c r="V458"/>
  <c r="V453"/>
  <c r="V438"/>
  <c r="V433"/>
  <c r="V426"/>
  <c r="V421"/>
  <c r="V406"/>
  <c r="V401"/>
  <c r="V394"/>
  <c r="V389"/>
  <c r="V492"/>
  <c r="P379"/>
  <c r="P389"/>
  <c r="P411"/>
  <c r="P433"/>
  <c r="P439"/>
  <c r="P442"/>
  <c r="P461"/>
  <c r="P462"/>
  <c r="P469"/>
  <c r="P386"/>
  <c r="P426"/>
  <c r="P455"/>
  <c r="P456"/>
  <c r="P457"/>
  <c r="P464"/>
  <c r="P470"/>
  <c r="P481"/>
  <c r="P485"/>
  <c r="P401"/>
  <c r="P408"/>
  <c r="P416"/>
  <c r="P428"/>
  <c r="P438"/>
  <c r="P459"/>
  <c r="P467"/>
  <c r="P474"/>
  <c r="P483"/>
  <c r="L423"/>
  <c r="L434"/>
  <c r="L452"/>
  <c r="L458"/>
  <c r="L465"/>
  <c r="L470"/>
  <c r="L475"/>
  <c r="L477"/>
  <c r="L485"/>
  <c r="L486"/>
  <c r="L389"/>
  <c r="L396"/>
  <c r="L399"/>
  <c r="L409"/>
  <c r="L443"/>
  <c r="L449"/>
  <c r="L460"/>
  <c r="L463"/>
  <c r="L379"/>
  <c r="L402"/>
  <c r="L417"/>
  <c r="L420"/>
  <c r="L424"/>
  <c r="L435"/>
  <c r="L439"/>
  <c r="L440"/>
  <c r="L450"/>
  <c r="L457"/>
  <c r="L464"/>
  <c r="L471"/>
  <c r="L472"/>
  <c r="L478"/>
  <c r="H419"/>
  <c r="H431"/>
  <c r="H451"/>
  <c r="H460"/>
  <c r="H473"/>
  <c r="H380"/>
  <c r="H406"/>
  <c r="H433"/>
  <c r="H436"/>
  <c r="H442"/>
  <c r="H445"/>
  <c r="H466"/>
  <c r="H482"/>
  <c r="H487"/>
  <c r="H488"/>
  <c r="H386"/>
  <c r="H428"/>
  <c r="H430"/>
  <c r="H443"/>
  <c r="H446"/>
  <c r="H448"/>
  <c r="H453"/>
  <c r="H454"/>
  <c r="H458"/>
  <c r="H465"/>
  <c r="H475"/>
  <c r="H477"/>
  <c r="H479"/>
  <c r="H484"/>
  <c r="H486"/>
  <c r="E390"/>
  <c r="E413"/>
  <c r="E438"/>
  <c r="E449"/>
  <c r="E459"/>
  <c r="E474"/>
  <c r="E476"/>
  <c r="E483"/>
  <c r="E384"/>
  <c r="E419"/>
  <c r="E422"/>
  <c r="E425"/>
  <c r="E441"/>
  <c r="E462"/>
  <c r="E463"/>
  <c r="E467"/>
  <c r="E469"/>
  <c r="E407"/>
  <c r="E450"/>
  <c r="E452"/>
  <c r="E456"/>
  <c r="E470"/>
  <c r="E481"/>
  <c r="E485"/>
  <c r="E489"/>
  <c r="CM374"/>
  <c r="AZ219" i="36" s="1"/>
  <c r="BY387" i="20"/>
  <c r="BY425"/>
  <c r="BY430"/>
  <c r="BT387"/>
  <c r="BT425"/>
  <c r="BR407"/>
  <c r="BR396"/>
  <c r="BR423"/>
  <c r="BJ395"/>
  <c r="BJ411"/>
  <c r="BJ427"/>
  <c r="BB383"/>
  <c r="BB392"/>
  <c r="BB403"/>
  <c r="AL384"/>
  <c r="AL401"/>
  <c r="AL417"/>
  <c r="U417"/>
  <c r="U432"/>
  <c r="O386"/>
  <c r="O411"/>
  <c r="K400"/>
  <c r="K411"/>
  <c r="K427"/>
  <c r="K432"/>
  <c r="G411"/>
  <c r="G395"/>
  <c r="D401"/>
  <c r="D380"/>
  <c r="D417"/>
  <c r="BZ386"/>
  <c r="BZ387"/>
  <c r="BZ412"/>
  <c r="BZ414"/>
  <c r="BZ421"/>
  <c r="BZ429"/>
  <c r="BZ390"/>
  <c r="BZ407"/>
  <c r="BZ411"/>
  <c r="BZ418"/>
  <c r="BX379"/>
  <c r="BX388"/>
  <c r="BX393"/>
  <c r="BX397"/>
  <c r="BX400"/>
  <c r="BX401"/>
  <c r="BX409"/>
  <c r="BX415"/>
  <c r="BX417"/>
  <c r="BX423"/>
  <c r="BX426"/>
  <c r="BX427"/>
  <c r="BX431"/>
  <c r="BX432"/>
  <c r="BX381"/>
  <c r="BX384"/>
  <c r="BX385"/>
  <c r="BX391"/>
  <c r="BX398"/>
  <c r="BX402"/>
  <c r="BX404"/>
  <c r="BX405"/>
  <c r="BX408"/>
  <c r="BX413"/>
  <c r="BX416"/>
  <c r="BX419"/>
  <c r="BX420"/>
  <c r="BX422"/>
  <c r="BX424"/>
  <c r="BX428"/>
  <c r="BV380"/>
  <c r="BV383"/>
  <c r="BV394"/>
  <c r="BV399"/>
  <c r="BV403"/>
  <c r="BV407"/>
  <c r="BV410"/>
  <c r="BV418"/>
  <c r="BV425"/>
  <c r="BV428"/>
  <c r="BV430"/>
  <c r="BV382"/>
  <c r="BV389"/>
  <c r="BV392"/>
  <c r="BV395"/>
  <c r="BV406"/>
  <c r="BV412"/>
  <c r="BV414"/>
  <c r="BV421"/>
  <c r="BV429"/>
  <c r="BK383"/>
  <c r="BK387"/>
  <c r="BK393"/>
  <c r="BK397"/>
  <c r="BK401"/>
  <c r="BK415"/>
  <c r="BK417"/>
  <c r="BK428"/>
  <c r="BK390"/>
  <c r="BK394"/>
  <c r="BK396"/>
  <c r="BK398"/>
  <c r="BK405"/>
  <c r="BK412"/>
  <c r="BK414"/>
  <c r="BK416"/>
  <c r="BK419"/>
  <c r="BK420"/>
  <c r="BK421"/>
  <c r="BK423"/>
  <c r="BK424"/>
  <c r="BG380"/>
  <c r="BG386"/>
  <c r="BG394"/>
  <c r="BG405"/>
  <c r="BG406"/>
  <c r="BG411"/>
  <c r="BG413"/>
  <c r="BG414"/>
  <c r="BG416"/>
  <c r="BG419"/>
  <c r="BG420"/>
  <c r="BG421"/>
  <c r="BG423"/>
  <c r="BG424"/>
  <c r="BG429"/>
  <c r="BG382"/>
  <c r="BG387"/>
  <c r="BG393"/>
  <c r="BG401"/>
  <c r="BG402"/>
  <c r="BG408"/>
  <c r="BG409"/>
  <c r="BG418"/>
  <c r="BG428"/>
  <c r="BG430"/>
  <c r="BD379"/>
  <c r="BD389"/>
  <c r="BD390"/>
  <c r="BD396"/>
  <c r="BD401"/>
  <c r="BD403"/>
  <c r="BD426"/>
  <c r="BD428"/>
  <c r="BD431"/>
  <c r="BD432"/>
  <c r="BD381"/>
  <c r="BD383"/>
  <c r="BD384"/>
  <c r="BD385"/>
  <c r="BD388"/>
  <c r="BD400"/>
  <c r="BD410"/>
  <c r="BD415"/>
  <c r="BD416"/>
  <c r="BD417"/>
  <c r="BD421"/>
  <c r="AZ382"/>
  <c r="AZ385"/>
  <c r="AZ393"/>
  <c r="AZ397"/>
  <c r="AZ400"/>
  <c r="AZ402"/>
  <c r="AZ407"/>
  <c r="AZ409"/>
  <c r="AZ415"/>
  <c r="AZ416"/>
  <c r="AZ417"/>
  <c r="AZ419"/>
  <c r="AZ424"/>
  <c r="AZ380"/>
  <c r="AZ386"/>
  <c r="AZ389"/>
  <c r="AZ391"/>
  <c r="AZ392"/>
  <c r="AZ398"/>
  <c r="AZ401"/>
  <c r="AZ413"/>
  <c r="AZ426"/>
  <c r="AZ431"/>
  <c r="AZ432"/>
  <c r="AW381"/>
  <c r="AW384"/>
  <c r="AW387"/>
  <c r="AW391"/>
  <c r="AW394"/>
  <c r="AW398"/>
  <c r="AW399"/>
  <c r="AW405"/>
  <c r="AW406"/>
  <c r="AW420"/>
  <c r="AW425"/>
  <c r="AW428"/>
  <c r="AW429"/>
  <c r="AW431"/>
  <c r="AW379"/>
  <c r="AW382"/>
  <c r="AW388"/>
  <c r="AW390"/>
  <c r="AW393"/>
  <c r="AW397"/>
  <c r="AW404"/>
  <c r="AW407"/>
  <c r="AW408"/>
  <c r="AW415"/>
  <c r="AW417"/>
  <c r="AW418"/>
  <c r="AW424"/>
  <c r="AW430"/>
  <c r="AS386"/>
  <c r="AS397"/>
  <c r="AS410"/>
  <c r="AS411"/>
  <c r="AS413"/>
  <c r="AS415"/>
  <c r="AS422"/>
  <c r="AS430"/>
  <c r="AS383"/>
  <c r="AS387"/>
  <c r="AS400"/>
  <c r="AS402"/>
  <c r="AS419"/>
  <c r="AS421"/>
  <c r="AS426"/>
  <c r="AS427"/>
  <c r="AS432"/>
  <c r="AQ379"/>
  <c r="AQ380"/>
  <c r="AQ388"/>
  <c r="AQ389"/>
  <c r="AQ390"/>
  <c r="AQ395"/>
  <c r="AQ396"/>
  <c r="AQ416"/>
  <c r="AQ417"/>
  <c r="AQ423"/>
  <c r="AQ424"/>
  <c r="AQ429"/>
  <c r="AQ384"/>
  <c r="AQ385"/>
  <c r="AQ391"/>
  <c r="AQ392"/>
  <c r="AQ394"/>
  <c r="AQ398"/>
  <c r="AQ399"/>
  <c r="AQ401"/>
  <c r="AQ403"/>
  <c r="AQ405"/>
  <c r="AQ406"/>
  <c r="AQ414"/>
  <c r="AQ420"/>
  <c r="AQ422"/>
  <c r="AQ425"/>
  <c r="AQ428"/>
  <c r="AQ431"/>
  <c r="AO382"/>
  <c r="AO383"/>
  <c r="AO387"/>
  <c r="AO393"/>
  <c r="AO407"/>
  <c r="AO408"/>
  <c r="AO418"/>
  <c r="AO419"/>
  <c r="AO420"/>
  <c r="AO421"/>
  <c r="AO426"/>
  <c r="AO427"/>
  <c r="AO432"/>
  <c r="AO381"/>
  <c r="AO409"/>
  <c r="AO410"/>
  <c r="AO411"/>
  <c r="AO412"/>
  <c r="AO415"/>
  <c r="AO430"/>
  <c r="AM385"/>
  <c r="AM400"/>
  <c r="AM402"/>
  <c r="AM405"/>
  <c r="AM422"/>
  <c r="AM425"/>
  <c r="AM428"/>
  <c r="AM431"/>
  <c r="AM380"/>
  <c r="AM386"/>
  <c r="AM390"/>
  <c r="AM397"/>
  <c r="AM404"/>
  <c r="AM413"/>
  <c r="AM423"/>
  <c r="AM424"/>
  <c r="AM429"/>
  <c r="AK381"/>
  <c r="AK384"/>
  <c r="AK391"/>
  <c r="AK392"/>
  <c r="AK394"/>
  <c r="AK398"/>
  <c r="AK399"/>
  <c r="AK403"/>
  <c r="AK406"/>
  <c r="AK414"/>
  <c r="AK430"/>
  <c r="AK379"/>
  <c r="AK388"/>
  <c r="AK389"/>
  <c r="AK393"/>
  <c r="AK395"/>
  <c r="AK396"/>
  <c r="AK407"/>
  <c r="AK408"/>
  <c r="AK416"/>
  <c r="AK419"/>
  <c r="AK421"/>
  <c r="AK426"/>
  <c r="AK427"/>
  <c r="AK432"/>
  <c r="AI386"/>
  <c r="AI397"/>
  <c r="AI409"/>
  <c r="AI410"/>
  <c r="AI411"/>
  <c r="AI412"/>
  <c r="AI413"/>
  <c r="AI415"/>
  <c r="AI417"/>
  <c r="AI423"/>
  <c r="AI424"/>
  <c r="AI429"/>
  <c r="AI382"/>
  <c r="AI383"/>
  <c r="AI387"/>
  <c r="AI400"/>
  <c r="AI402"/>
  <c r="AI418"/>
  <c r="AI420"/>
  <c r="AI422"/>
  <c r="AI425"/>
  <c r="AI428"/>
  <c r="AI431"/>
  <c r="AG380"/>
  <c r="AG389"/>
  <c r="AG390"/>
  <c r="AG404"/>
  <c r="AG416"/>
  <c r="AG421"/>
  <c r="AG426"/>
  <c r="AG427"/>
  <c r="AG385"/>
  <c r="AG394"/>
  <c r="AG398"/>
  <c r="AG399"/>
  <c r="AG401"/>
  <c r="AG405"/>
  <c r="AG406"/>
  <c r="AG414"/>
  <c r="AG430"/>
  <c r="AA379"/>
  <c r="AA394"/>
  <c r="AA398"/>
  <c r="AA399"/>
  <c r="AA400"/>
  <c r="AA406"/>
  <c r="AA415"/>
  <c r="AA423"/>
  <c r="AA424"/>
  <c r="AA429"/>
  <c r="AA432"/>
  <c r="AA381"/>
  <c r="AA383"/>
  <c r="AA386"/>
  <c r="AA393"/>
  <c r="AA395"/>
  <c r="AA404"/>
  <c r="AA407"/>
  <c r="AA413"/>
  <c r="AA416"/>
  <c r="AA419"/>
  <c r="AA422"/>
  <c r="AA425"/>
  <c r="AA431"/>
  <c r="W385"/>
  <c r="W386"/>
  <c r="W389"/>
  <c r="W391"/>
  <c r="W392"/>
  <c r="W393"/>
  <c r="W402"/>
  <c r="W403"/>
  <c r="W410"/>
  <c r="W416"/>
  <c r="W419"/>
  <c r="W420"/>
  <c r="W421"/>
  <c r="W422"/>
  <c r="W425"/>
  <c r="W427"/>
  <c r="W431"/>
  <c r="W380"/>
  <c r="W406"/>
  <c r="W408"/>
  <c r="W429"/>
  <c r="S381"/>
  <c r="S383"/>
  <c r="S388"/>
  <c r="S395"/>
  <c r="S397"/>
  <c r="S399"/>
  <c r="S407"/>
  <c r="S413"/>
  <c r="S424"/>
  <c r="S430"/>
  <c r="S379"/>
  <c r="S390"/>
  <c r="S398"/>
  <c r="S400"/>
  <c r="S405"/>
  <c r="S409"/>
  <c r="S415"/>
  <c r="S423"/>
  <c r="S426"/>
  <c r="S428"/>
  <c r="M384"/>
  <c r="M385"/>
  <c r="M388"/>
  <c r="M390"/>
  <c r="M393"/>
  <c r="M396"/>
  <c r="M409"/>
  <c r="M417"/>
  <c r="M423"/>
  <c r="M425"/>
  <c r="M381"/>
  <c r="M383"/>
  <c r="M392"/>
  <c r="M395"/>
  <c r="M403"/>
  <c r="M406"/>
  <c r="M418"/>
  <c r="M426"/>
  <c r="M429"/>
  <c r="I381"/>
  <c r="I392"/>
  <c r="I400"/>
  <c r="I403"/>
  <c r="I419"/>
  <c r="I420"/>
  <c r="I426"/>
  <c r="I427"/>
  <c r="I429"/>
  <c r="I430"/>
  <c r="I432"/>
  <c r="I382"/>
  <c r="I386"/>
  <c r="I387"/>
  <c r="I390"/>
  <c r="I393"/>
  <c r="I396"/>
  <c r="I399"/>
  <c r="I404"/>
  <c r="I417"/>
  <c r="I424"/>
  <c r="I425"/>
  <c r="I431"/>
  <c r="F383"/>
  <c r="F404"/>
  <c r="F412"/>
  <c r="F413"/>
  <c r="F416"/>
  <c r="F418"/>
  <c r="F423"/>
  <c r="F431"/>
  <c r="F379"/>
  <c r="F384"/>
  <c r="F388"/>
  <c r="F391"/>
  <c r="F397"/>
  <c r="F401"/>
  <c r="F405"/>
  <c r="F407"/>
  <c r="F409"/>
  <c r="F422"/>
  <c r="F427"/>
  <c r="F430"/>
  <c r="F432"/>
  <c r="B393"/>
  <c r="B397"/>
  <c r="B407"/>
  <c r="B429"/>
  <c r="B430"/>
  <c r="B398"/>
  <c r="B402"/>
  <c r="B406"/>
  <c r="B417"/>
  <c r="B420"/>
  <c r="B423"/>
  <c r="B424"/>
  <c r="B425"/>
  <c r="B428"/>
  <c r="BZ374"/>
  <c r="AV206" i="36"/>
  <c r="BG489" i="20"/>
  <c r="BV492"/>
  <c r="BS489"/>
  <c r="BS493"/>
  <c r="BS381"/>
  <c r="BS389"/>
  <c r="BS397"/>
  <c r="BS405"/>
  <c r="BS413"/>
  <c r="BS421"/>
  <c r="BS429"/>
  <c r="BS437"/>
  <c r="BS445"/>
  <c r="BS453"/>
  <c r="BS461"/>
  <c r="BS469"/>
  <c r="BS477"/>
  <c r="W374"/>
  <c r="P197" i="36" s="1"/>
  <c r="AO374" i="20"/>
  <c r="R215" i="36" s="1"/>
  <c r="BZ494" i="20"/>
  <c r="BS494"/>
  <c r="BG494"/>
  <c r="AW494"/>
  <c r="AQ494"/>
  <c r="AI494"/>
  <c r="W494"/>
  <c r="BX488"/>
  <c r="BG488"/>
  <c r="AZ488"/>
  <c r="AG488"/>
  <c r="M488"/>
  <c r="BZ487"/>
  <c r="AS487"/>
  <c r="BZ486"/>
  <c r="AO486"/>
  <c r="W486"/>
  <c r="M486"/>
  <c r="BZ485"/>
  <c r="BS485"/>
  <c r="AQ485"/>
  <c r="AI485"/>
  <c r="W485"/>
  <c r="I485"/>
  <c r="B485"/>
  <c r="BX484"/>
  <c r="BG484"/>
  <c r="AZ484"/>
  <c r="AO484"/>
  <c r="AG484"/>
  <c r="BZ483"/>
  <c r="BD483"/>
  <c r="AQ483"/>
  <c r="F483"/>
  <c r="BK482"/>
  <c r="AS482"/>
  <c r="AK482"/>
  <c r="W482"/>
  <c r="M482"/>
  <c r="F482"/>
  <c r="BX481"/>
  <c r="BG481"/>
  <c r="AZ481"/>
  <c r="AG481"/>
  <c r="S481"/>
  <c r="BZ480"/>
  <c r="BD480"/>
  <c r="AK480"/>
  <c r="S480"/>
  <c r="M480"/>
  <c r="F480"/>
  <c r="BZ479"/>
  <c r="BD479"/>
  <c r="AQ479"/>
  <c r="I479"/>
  <c r="B479"/>
  <c r="BX478"/>
  <c r="BG478"/>
  <c r="AZ478"/>
  <c r="AQ478"/>
  <c r="AK478"/>
  <c r="S478"/>
  <c r="F478"/>
  <c r="BK477"/>
  <c r="BD477"/>
  <c r="AW477"/>
  <c r="AO477"/>
  <c r="AI477"/>
  <c r="BX476"/>
  <c r="AM476"/>
  <c r="AG476"/>
  <c r="AA476"/>
  <c r="AW475"/>
  <c r="AO475"/>
  <c r="AG475"/>
  <c r="AA475"/>
  <c r="S475"/>
  <c r="F475"/>
  <c r="BZ474"/>
  <c r="BK474"/>
  <c r="BD474"/>
  <c r="AW474"/>
  <c r="AO474"/>
  <c r="S474"/>
  <c r="M474"/>
  <c r="BZ473"/>
  <c r="BK473"/>
  <c r="BD473"/>
  <c r="AS473"/>
  <c r="AK473"/>
  <c r="S473"/>
  <c r="BZ472"/>
  <c r="AS472"/>
  <c r="AM472"/>
  <c r="F472"/>
  <c r="BZ471"/>
  <c r="AZ471"/>
  <c r="AQ471"/>
  <c r="F471"/>
  <c r="BK470"/>
  <c r="BD470"/>
  <c r="AW470"/>
  <c r="AI470"/>
  <c r="I470"/>
  <c r="BX469"/>
  <c r="BG469"/>
  <c r="AZ469"/>
  <c r="AM469"/>
  <c r="AG469"/>
  <c r="AA469"/>
  <c r="S469"/>
  <c r="M469"/>
  <c r="F469"/>
  <c r="BV468"/>
  <c r="AS468"/>
  <c r="AK468"/>
  <c r="W468"/>
  <c r="M468"/>
  <c r="F468"/>
  <c r="BZ467"/>
  <c r="BK467"/>
  <c r="AW467"/>
  <c r="AO467"/>
  <c r="AG467"/>
  <c r="W467"/>
  <c r="I467"/>
  <c r="B467"/>
  <c r="BV466"/>
  <c r="BG466"/>
  <c r="AZ466"/>
  <c r="AM466"/>
  <c r="AG466"/>
  <c r="BV465"/>
  <c r="BG465"/>
  <c r="AZ465"/>
  <c r="AM465"/>
  <c r="BZ464"/>
  <c r="AK464"/>
  <c r="M464"/>
  <c r="F464"/>
  <c r="BK463"/>
  <c r="AZ463"/>
  <c r="AS463"/>
  <c r="AK463"/>
  <c r="BK462"/>
  <c r="BD462"/>
  <c r="AQ462"/>
  <c r="AK462"/>
  <c r="F462"/>
  <c r="B462"/>
  <c r="BV461"/>
  <c r="BD461"/>
  <c r="AQ461"/>
  <c r="AK461"/>
  <c r="BX460"/>
  <c r="AW460"/>
  <c r="AM460"/>
  <c r="AG460"/>
  <c r="AA460"/>
  <c r="S460"/>
  <c r="F460"/>
  <c r="BZ459"/>
  <c r="BK459"/>
  <c r="BD459"/>
  <c r="AW459"/>
  <c r="AQ459"/>
  <c r="AI459"/>
  <c r="S459"/>
  <c r="M459"/>
  <c r="BZ458"/>
  <c r="BK458"/>
  <c r="AO458"/>
  <c r="W458"/>
  <c r="M458"/>
  <c r="BV457"/>
  <c r="AM457"/>
  <c r="AA457"/>
  <c r="S457"/>
  <c r="M457"/>
  <c r="F457"/>
  <c r="B457"/>
  <c r="BV456"/>
  <c r="BG456"/>
  <c r="AS456"/>
  <c r="AM456"/>
  <c r="BX455"/>
  <c r="AW455"/>
  <c r="AO455"/>
  <c r="AI455"/>
  <c r="AA455"/>
  <c r="M455"/>
  <c r="BK454"/>
  <c r="AI454"/>
  <c r="W454"/>
  <c r="B454"/>
  <c r="BV453"/>
  <c r="BD453"/>
  <c r="AO453"/>
  <c r="AI453"/>
  <c r="S453"/>
  <c r="BX452"/>
  <c r="AS452"/>
  <c r="AK452"/>
  <c r="AA452"/>
  <c r="S452"/>
  <c r="M452"/>
  <c r="F452"/>
  <c r="BV451"/>
  <c r="AS451"/>
  <c r="AM451"/>
  <c r="W451"/>
  <c r="M451"/>
  <c r="F451"/>
  <c r="BZ450"/>
  <c r="BK450"/>
  <c r="AS450"/>
  <c r="AK450"/>
  <c r="W450"/>
  <c r="BV449"/>
  <c r="AQ449"/>
  <c r="AI449"/>
  <c r="W449"/>
  <c r="I449"/>
  <c r="B449"/>
  <c r="BZ448"/>
  <c r="BG448"/>
  <c r="AZ448"/>
  <c r="AS448"/>
  <c r="AM448"/>
  <c r="S448"/>
  <c r="BX447"/>
  <c r="BK447"/>
  <c r="AQ447"/>
  <c r="BZ446"/>
  <c r="BD446"/>
  <c r="AI446"/>
  <c r="AA446"/>
  <c r="S446"/>
  <c r="I446"/>
  <c r="BV445"/>
  <c r="BK445"/>
  <c r="AQ445"/>
  <c r="AK445"/>
  <c r="S445"/>
  <c r="I445"/>
  <c r="BG444"/>
  <c r="AS444"/>
  <c r="AK444"/>
  <c r="W444"/>
  <c r="BZ443"/>
  <c r="BD443"/>
  <c r="AQ443"/>
  <c r="AI443"/>
  <c r="AA443"/>
  <c r="I443"/>
  <c r="BX442"/>
  <c r="BK442"/>
  <c r="BD442"/>
  <c r="AW442"/>
  <c r="AO442"/>
  <c r="AG442"/>
  <c r="AA442"/>
  <c r="BV441"/>
  <c r="BD441"/>
  <c r="AW441"/>
  <c r="AO441"/>
  <c r="AG441"/>
  <c r="M441"/>
  <c r="F441"/>
  <c r="BV440"/>
  <c r="BK440"/>
  <c r="AO440"/>
  <c r="AG440"/>
  <c r="W440"/>
  <c r="M440"/>
  <c r="BZ439"/>
  <c r="AZ439"/>
  <c r="AQ439"/>
  <c r="AI439"/>
  <c r="W439"/>
  <c r="I439"/>
  <c r="B439"/>
  <c r="BX438"/>
  <c r="BD438"/>
  <c r="AQ438"/>
  <c r="AI438"/>
  <c r="AA438"/>
  <c r="S438"/>
  <c r="B438"/>
  <c r="AZ437"/>
  <c r="AM437"/>
  <c r="F437"/>
  <c r="BX436"/>
  <c r="AQ436"/>
  <c r="AK436"/>
  <c r="S436"/>
  <c r="I436"/>
  <c r="B436"/>
  <c r="BG435"/>
  <c r="AS435"/>
  <c r="AM435"/>
  <c r="W435"/>
  <c r="F435"/>
  <c r="AZ434"/>
  <c r="AQ434"/>
  <c r="AI434"/>
  <c r="AA434"/>
  <c r="I434"/>
  <c r="BX433"/>
  <c r="BD433"/>
  <c r="AW433"/>
  <c r="AM433"/>
  <c r="AG433"/>
  <c r="AA433"/>
  <c r="BG432"/>
  <c r="AW432"/>
  <c r="AG432"/>
  <c r="BG431"/>
  <c r="AO431"/>
  <c r="M431"/>
  <c r="B431"/>
  <c r="BZ430"/>
  <c r="AM430"/>
  <c r="AA430"/>
  <c r="BK429"/>
  <c r="AG429"/>
  <c r="S429"/>
  <c r="F429"/>
  <c r="AG428"/>
  <c r="AA428"/>
  <c r="BG427"/>
  <c r="AZ427"/>
  <c r="AM427"/>
  <c r="AA427"/>
  <c r="B427"/>
  <c r="BZ426"/>
  <c r="AQ426"/>
  <c r="F426"/>
  <c r="BZ425"/>
  <c r="AS425"/>
  <c r="BZ424"/>
  <c r="AG424"/>
  <c r="M424"/>
  <c r="BD423"/>
  <c r="AW423"/>
  <c r="AK423"/>
  <c r="W423"/>
  <c r="I423"/>
  <c r="BZ422"/>
  <c r="AK422"/>
  <c r="B422"/>
  <c r="AQ421"/>
  <c r="B421"/>
  <c r="AK420"/>
  <c r="BZ419"/>
  <c r="B419"/>
  <c r="BK418"/>
  <c r="AQ418"/>
  <c r="AA418"/>
  <c r="BZ417"/>
  <c r="AO417"/>
  <c r="AA417"/>
  <c r="AI416"/>
  <c r="BZ415"/>
  <c r="AQ415"/>
  <c r="M415"/>
  <c r="B415"/>
  <c r="BD414"/>
  <c r="AS414"/>
  <c r="AG411"/>
  <c r="W411"/>
  <c r="I411"/>
  <c r="BG410"/>
  <c r="AG410"/>
  <c r="AQ409"/>
  <c r="AA409"/>
  <c r="BV408"/>
  <c r="AG408"/>
  <c r="AM407"/>
  <c r="W407"/>
  <c r="I406"/>
  <c r="AZ405"/>
  <c r="AA405"/>
  <c r="BZ404"/>
  <c r="AS404"/>
  <c r="S404"/>
  <c r="BK403"/>
  <c r="AS403"/>
  <c r="BV402"/>
  <c r="I402"/>
  <c r="AK401"/>
  <c r="BZ400"/>
  <c r="AQ400"/>
  <c r="F400"/>
  <c r="AI399"/>
  <c r="W399"/>
  <c r="B399"/>
  <c r="BZ398"/>
  <c r="BG398"/>
  <c r="AS398"/>
  <c r="BG397"/>
  <c r="M397"/>
  <c r="BZ396"/>
  <c r="AZ396"/>
  <c r="AI396"/>
  <c r="BX395"/>
  <c r="AZ394"/>
  <c r="BV393"/>
  <c r="AG393"/>
  <c r="S393"/>
  <c r="F393"/>
  <c r="BK392"/>
  <c r="AI392"/>
  <c r="BG391"/>
  <c r="AI391"/>
  <c r="AS390"/>
  <c r="B390"/>
  <c r="BX389"/>
  <c r="AO389"/>
  <c r="BV388"/>
  <c r="BG388"/>
  <c r="AS388"/>
  <c r="AA388"/>
  <c r="BV387"/>
  <c r="AQ386"/>
  <c r="S386"/>
  <c r="AO385"/>
  <c r="AM384"/>
  <c r="I384"/>
  <c r="AW383"/>
  <c r="AM382"/>
  <c r="F382"/>
  <c r="AM381"/>
  <c r="AW380"/>
  <c r="S380"/>
  <c r="F380"/>
  <c r="BV379"/>
  <c r="AS379"/>
  <c r="M379"/>
  <c r="I379"/>
  <c r="T54" i="17"/>
  <c r="AS374" i="20"/>
  <c r="P219" i="36"/>
  <c r="AM374" i="20"/>
  <c r="T213" i="36"/>
  <c r="AG374" i="20"/>
  <c r="R207" i="36"/>
  <c r="AA374" i="20"/>
  <c r="T201" i="36"/>
  <c r="I374" i="20"/>
  <c r="W183" i="36"/>
  <c r="B374" i="20"/>
  <c r="R176" i="36"/>
  <c r="BS374" i="20"/>
  <c r="BC199" i="36"/>
  <c r="D184" i="32"/>
  <c r="CN492" i="20"/>
  <c r="CN383"/>
  <c r="CN391"/>
  <c r="CN398"/>
  <c r="CN399"/>
  <c r="CN402"/>
  <c r="CN404"/>
  <c r="CN406"/>
  <c r="CN394"/>
  <c r="CN400"/>
  <c r="CN413"/>
  <c r="CN416"/>
  <c r="CN423"/>
  <c r="CN428"/>
  <c r="CN441"/>
  <c r="CN444"/>
  <c r="CN445"/>
  <c r="CN446"/>
  <c r="CN447"/>
  <c r="CL379"/>
  <c r="CL384"/>
  <c r="CL396"/>
  <c r="CL405"/>
  <c r="CL407"/>
  <c r="CL408"/>
  <c r="CL411"/>
  <c r="CL426"/>
  <c r="CL427"/>
  <c r="CL430"/>
  <c r="CL431"/>
  <c r="CL433"/>
  <c r="CL434"/>
  <c r="CL436"/>
  <c r="CL437"/>
  <c r="CL440"/>
  <c r="CL442"/>
  <c r="CL448"/>
  <c r="CL449"/>
  <c r="CI382"/>
  <c r="CI389"/>
  <c r="CI395"/>
  <c r="CI401"/>
  <c r="CI404"/>
  <c r="CI412"/>
  <c r="CI391"/>
  <c r="CI392"/>
  <c r="CI402"/>
  <c r="CI406"/>
  <c r="CI409"/>
  <c r="CI413"/>
  <c r="CI416"/>
  <c r="CI423"/>
  <c r="CI425"/>
  <c r="CI428"/>
  <c r="CI441"/>
  <c r="CI444"/>
  <c r="CI445"/>
  <c r="CI447"/>
  <c r="CG397"/>
  <c r="CG405"/>
  <c r="CG410"/>
  <c r="CG386"/>
  <c r="CG393"/>
  <c r="CG394"/>
  <c r="CG404"/>
  <c r="CG407"/>
  <c r="CG415"/>
  <c r="CG420"/>
  <c r="CG424"/>
  <c r="CG427"/>
  <c r="CG430"/>
  <c r="CG431"/>
  <c r="CG433"/>
  <c r="CG434"/>
  <c r="CG436"/>
  <c r="CG437"/>
  <c r="CG440"/>
  <c r="CG442"/>
  <c r="CG448"/>
  <c r="CG449"/>
  <c r="CE383"/>
  <c r="CE387"/>
  <c r="CE404"/>
  <c r="CE382"/>
  <c r="CE400"/>
  <c r="CE405"/>
  <c r="CE410"/>
  <c r="CE413"/>
  <c r="CE416"/>
  <c r="CE423"/>
  <c r="CE428"/>
  <c r="CE441"/>
  <c r="CE444"/>
  <c r="CE445"/>
  <c r="CE447"/>
  <c r="CC390"/>
  <c r="CC393"/>
  <c r="CC405"/>
  <c r="CC410"/>
  <c r="CC411"/>
  <c r="CC409"/>
  <c r="CC414"/>
  <c r="CC421"/>
  <c r="CC427"/>
  <c r="CC430"/>
  <c r="CC431"/>
  <c r="CC433"/>
  <c r="CC434"/>
  <c r="CC436"/>
  <c r="CC437"/>
  <c r="CC440"/>
  <c r="CC442"/>
  <c r="CC448"/>
  <c r="CC449"/>
  <c r="BU395"/>
  <c r="BU398"/>
  <c r="BU401"/>
  <c r="BU405"/>
  <c r="BU411"/>
  <c r="BU382"/>
  <c r="BU404"/>
  <c r="BU419"/>
  <c r="BU420"/>
  <c r="BU422"/>
  <c r="BU424"/>
  <c r="BU426"/>
  <c r="BU428"/>
  <c r="BU432"/>
  <c r="BU438"/>
  <c r="BU441"/>
  <c r="BU443"/>
  <c r="BU446"/>
  <c r="BP379"/>
  <c r="BP385"/>
  <c r="BP388"/>
  <c r="BP400"/>
  <c r="BP392"/>
  <c r="BP393"/>
  <c r="BP418"/>
  <c r="BP429"/>
  <c r="BP430"/>
  <c r="BP442"/>
  <c r="BF387"/>
  <c r="BF394"/>
  <c r="BF408"/>
  <c r="BF417"/>
  <c r="BF419"/>
  <c r="BF420"/>
  <c r="BF423"/>
  <c r="BF424"/>
  <c r="BF426"/>
  <c r="BF432"/>
  <c r="BF438"/>
  <c r="BF439"/>
  <c r="BF443"/>
  <c r="BF445"/>
  <c r="BF446"/>
  <c r="BF447"/>
  <c r="BF450"/>
  <c r="BC389"/>
  <c r="BC393"/>
  <c r="BC410"/>
  <c r="BC400"/>
  <c r="BC406"/>
  <c r="BC411"/>
  <c r="BC412"/>
  <c r="BC415"/>
  <c r="BC418"/>
  <c r="BC427"/>
  <c r="BC429"/>
  <c r="BC430"/>
  <c r="BC448"/>
  <c r="AY399"/>
  <c r="AY404"/>
  <c r="AY382"/>
  <c r="AY383"/>
  <c r="AY389"/>
  <c r="AY414"/>
  <c r="AY423"/>
  <c r="AY442"/>
  <c r="AY448"/>
  <c r="AY449"/>
  <c r="AV383"/>
  <c r="AV396"/>
  <c r="AV397"/>
  <c r="AV402"/>
  <c r="AV394"/>
  <c r="AV395"/>
  <c r="AV398"/>
  <c r="AV399"/>
  <c r="AV408"/>
  <c r="AV418"/>
  <c r="AV419"/>
  <c r="AV421"/>
  <c r="AV426"/>
  <c r="AV432"/>
  <c r="AV435"/>
  <c r="AV438"/>
  <c r="AV439"/>
  <c r="AV443"/>
  <c r="AV444"/>
  <c r="AV446"/>
  <c r="AV450"/>
  <c r="AE383"/>
  <c r="AE384"/>
  <c r="AE389"/>
  <c r="AE393"/>
  <c r="AE407"/>
  <c r="AE409"/>
  <c r="AE410"/>
  <c r="AE382"/>
  <c r="AE399"/>
  <c r="AE406"/>
  <c r="AE411"/>
  <c r="AE423"/>
  <c r="AE429"/>
  <c r="AE442"/>
  <c r="AD384"/>
  <c r="AD386"/>
  <c r="AD397"/>
  <c r="AD413"/>
  <c r="AD379"/>
  <c r="AD388"/>
  <c r="AD389"/>
  <c r="AD417"/>
  <c r="AD419"/>
  <c r="AD422"/>
  <c r="AD427"/>
  <c r="AD430"/>
  <c r="AD433"/>
  <c r="AD436"/>
  <c r="AD440"/>
  <c r="AD445"/>
  <c r="AD447"/>
  <c r="Z382"/>
  <c r="Z392"/>
  <c r="Z393"/>
  <c r="Z403"/>
  <c r="Z405"/>
  <c r="Z406"/>
  <c r="Z407"/>
  <c r="Z383"/>
  <c r="Z390"/>
  <c r="Z410"/>
  <c r="Z414"/>
  <c r="Z429"/>
  <c r="Z442"/>
  <c r="P391"/>
  <c r="P412"/>
  <c r="P397"/>
  <c r="P407"/>
  <c r="P414"/>
  <c r="P415"/>
  <c r="P417"/>
  <c r="P421"/>
  <c r="P427"/>
  <c r="P430"/>
  <c r="P432"/>
  <c r="P436"/>
  <c r="P440"/>
  <c r="P445"/>
  <c r="P446"/>
  <c r="L383"/>
  <c r="L384"/>
  <c r="L393"/>
  <c r="L407"/>
  <c r="L386"/>
  <c r="L392"/>
  <c r="L403"/>
  <c r="L405"/>
  <c r="L410"/>
  <c r="L427"/>
  <c r="L429"/>
  <c r="L432"/>
  <c r="L433"/>
  <c r="L442"/>
  <c r="L447"/>
  <c r="L448"/>
  <c r="H381"/>
  <c r="H382"/>
  <c r="H399"/>
  <c r="H409"/>
  <c r="H413"/>
  <c r="H387"/>
  <c r="H412"/>
  <c r="H415"/>
  <c r="H416"/>
  <c r="H421"/>
  <c r="H422"/>
  <c r="H426"/>
  <c r="H427"/>
  <c r="H432"/>
  <c r="H439"/>
  <c r="H449"/>
  <c r="E388"/>
  <c r="E389"/>
  <c r="E393"/>
  <c r="E397"/>
  <c r="E404"/>
  <c r="E408"/>
  <c r="E410"/>
  <c r="E411"/>
  <c r="E417"/>
  <c r="E418"/>
  <c r="E430"/>
  <c r="E436"/>
  <c r="E440"/>
  <c r="E445"/>
  <c r="E446"/>
  <c r="CM380"/>
  <c r="CM381"/>
  <c r="CM388"/>
  <c r="CM392"/>
  <c r="CM397"/>
  <c r="CM400"/>
  <c r="CM408"/>
  <c r="CM409"/>
  <c r="CM384"/>
  <c r="CM390"/>
  <c r="CM396"/>
  <c r="CM404"/>
  <c r="CM415"/>
  <c r="CM420"/>
  <c r="CM424"/>
  <c r="CM429"/>
  <c r="CM435"/>
  <c r="CM439"/>
  <c r="CJ383"/>
  <c r="CJ386"/>
  <c r="CJ387"/>
  <c r="CJ394"/>
  <c r="CJ403"/>
  <c r="CJ381"/>
  <c r="CJ388"/>
  <c r="CJ389"/>
  <c r="CJ395"/>
  <c r="CJ398"/>
  <c r="CJ399"/>
  <c r="CJ401"/>
  <c r="CJ405"/>
  <c r="CJ410"/>
  <c r="CJ417"/>
  <c r="CJ418"/>
  <c r="CJ419"/>
  <c r="CJ422"/>
  <c r="CJ432"/>
  <c r="CJ438"/>
  <c r="CJ443"/>
  <c r="CJ446"/>
  <c r="CH390"/>
  <c r="CH391"/>
  <c r="CH393"/>
  <c r="CH398"/>
  <c r="CH399"/>
  <c r="CH402"/>
  <c r="CH406"/>
  <c r="CH408"/>
  <c r="CH409"/>
  <c r="CH411"/>
  <c r="CH380"/>
  <c r="CH383"/>
  <c r="CH387"/>
  <c r="CH397"/>
  <c r="CH403"/>
  <c r="CH412"/>
  <c r="CH414"/>
  <c r="CH421"/>
  <c r="CH426"/>
  <c r="CH429"/>
  <c r="CH435"/>
  <c r="CH439"/>
  <c r="CF383"/>
  <c r="CF388"/>
  <c r="CF392"/>
  <c r="CF396"/>
  <c r="CF400"/>
  <c r="CF407"/>
  <c r="CF379"/>
  <c r="CF385"/>
  <c r="CF390"/>
  <c r="CF408"/>
  <c r="CF419"/>
  <c r="CF422"/>
  <c r="CF432"/>
  <c r="CF438"/>
  <c r="CF443"/>
  <c r="CF446"/>
  <c r="CD491"/>
  <c r="CD379"/>
  <c r="CD380"/>
  <c r="CD381"/>
  <c r="CD384"/>
  <c r="CD385"/>
  <c r="CD389"/>
  <c r="CD394"/>
  <c r="CD395"/>
  <c r="CD401"/>
  <c r="CD403"/>
  <c r="CD408"/>
  <c r="CD409"/>
  <c r="CD412"/>
  <c r="CD388"/>
  <c r="CD396"/>
  <c r="CD398"/>
  <c r="CD399"/>
  <c r="CD411"/>
  <c r="CD417"/>
  <c r="CD418"/>
  <c r="CD425"/>
  <c r="CD429"/>
  <c r="CD435"/>
  <c r="CD439"/>
  <c r="CB382"/>
  <c r="CB386"/>
  <c r="CB391"/>
  <c r="CB397"/>
  <c r="CB398"/>
  <c r="CB399"/>
  <c r="CB402"/>
  <c r="CB406"/>
  <c r="CB381"/>
  <c r="CB384"/>
  <c r="CB389"/>
  <c r="CB392"/>
  <c r="CB395"/>
  <c r="CB401"/>
  <c r="CB403"/>
  <c r="CB404"/>
  <c r="CB415"/>
  <c r="CB419"/>
  <c r="CB420"/>
  <c r="CB422"/>
  <c r="CB424"/>
  <c r="CB426"/>
  <c r="CB432"/>
  <c r="CB438"/>
  <c r="CB443"/>
  <c r="CB446"/>
  <c r="BQ382"/>
  <c r="BQ384"/>
  <c r="BQ386"/>
  <c r="BQ389"/>
  <c r="BQ390"/>
  <c r="BQ391"/>
  <c r="BQ396"/>
  <c r="BQ397"/>
  <c r="BQ399"/>
  <c r="BQ402"/>
  <c r="BQ404"/>
  <c r="BQ406"/>
  <c r="BQ409"/>
  <c r="BQ410"/>
  <c r="BQ398"/>
  <c r="BQ403"/>
  <c r="BQ407"/>
  <c r="BQ408"/>
  <c r="BQ411"/>
  <c r="BQ412"/>
  <c r="BQ415"/>
  <c r="BQ423"/>
  <c r="BQ425"/>
  <c r="BQ435"/>
  <c r="BQ439"/>
  <c r="BQ444"/>
  <c r="BQ445"/>
  <c r="BQ447"/>
  <c r="BQ449"/>
  <c r="BN387"/>
  <c r="BN392"/>
  <c r="BN403"/>
  <c r="BN408"/>
  <c r="BN412"/>
  <c r="BN379"/>
  <c r="BN381"/>
  <c r="BN384"/>
  <c r="BN385"/>
  <c r="BN389"/>
  <c r="BN394"/>
  <c r="BN395"/>
  <c r="BN399"/>
  <c r="BN401"/>
  <c r="BN406"/>
  <c r="BN413"/>
  <c r="BN416"/>
  <c r="BN417"/>
  <c r="BN421"/>
  <c r="BN427"/>
  <c r="BN428"/>
  <c r="BN431"/>
  <c r="BN433"/>
  <c r="BN434"/>
  <c r="BN436"/>
  <c r="BN437"/>
  <c r="BN440"/>
  <c r="BN441"/>
  <c r="BN448"/>
  <c r="BL393"/>
  <c r="BL394"/>
  <c r="BL411"/>
  <c r="BL380"/>
  <c r="BL396"/>
  <c r="BL397"/>
  <c r="BL400"/>
  <c r="BL402"/>
  <c r="BL409"/>
  <c r="BL414"/>
  <c r="BL419"/>
  <c r="BL420"/>
  <c r="BL423"/>
  <c r="BL424"/>
  <c r="BL426"/>
  <c r="BL432"/>
  <c r="BL438"/>
  <c r="BL439"/>
  <c r="BL443"/>
  <c r="BL446"/>
  <c r="BH379"/>
  <c r="BH382"/>
  <c r="BH384"/>
  <c r="BH396"/>
  <c r="BH397"/>
  <c r="BH399"/>
  <c r="BH402"/>
  <c r="BH406"/>
  <c r="BH409"/>
  <c r="BH413"/>
  <c r="BH386"/>
  <c r="BH388"/>
  <c r="BH398"/>
  <c r="BH403"/>
  <c r="BH412"/>
  <c r="BH418"/>
  <c r="BH427"/>
  <c r="BH429"/>
  <c r="BH430"/>
  <c r="BH448"/>
  <c r="BA387"/>
  <c r="BA390"/>
  <c r="BA391"/>
  <c r="BA395"/>
  <c r="BA396"/>
  <c r="BA397"/>
  <c r="BA402"/>
  <c r="BA406"/>
  <c r="BA407"/>
  <c r="BA409"/>
  <c r="BA412"/>
  <c r="BA413"/>
  <c r="BA379"/>
  <c r="BA384"/>
  <c r="BA388"/>
  <c r="BA398"/>
  <c r="BA403"/>
  <c r="BA410"/>
  <c r="BA419"/>
  <c r="BA421"/>
  <c r="BA424"/>
  <c r="BA428"/>
  <c r="BA431"/>
  <c r="BA433"/>
  <c r="BA434"/>
  <c r="BA436"/>
  <c r="BA437"/>
  <c r="BA441"/>
  <c r="BA445"/>
  <c r="BA447"/>
  <c r="AX379"/>
  <c r="AX380"/>
  <c r="AX385"/>
  <c r="AX386"/>
  <c r="AX389"/>
  <c r="AX393"/>
  <c r="AX394"/>
  <c r="AX401"/>
  <c r="AX405"/>
  <c r="AX408"/>
  <c r="AX410"/>
  <c r="AX390"/>
  <c r="AX400"/>
  <c r="AX404"/>
  <c r="AX407"/>
  <c r="AX411"/>
  <c r="AX413"/>
  <c r="AX420"/>
  <c r="AX422"/>
  <c r="AX425"/>
  <c r="AX427"/>
  <c r="AX429"/>
  <c r="AX430"/>
  <c r="AX440"/>
  <c r="AF398"/>
  <c r="AF401"/>
  <c r="AF405"/>
  <c r="AF406"/>
  <c r="AF408"/>
  <c r="AF387"/>
  <c r="AF390"/>
  <c r="AF400"/>
  <c r="AF407"/>
  <c r="AF414"/>
  <c r="AF415"/>
  <c r="AF421"/>
  <c r="AF424"/>
  <c r="AF426"/>
  <c r="AF439"/>
  <c r="AF444"/>
  <c r="AF448"/>
  <c r="AF449"/>
  <c r="AB386"/>
  <c r="AB379"/>
  <c r="AB385"/>
  <c r="AB388"/>
  <c r="AB390"/>
  <c r="AB396"/>
  <c r="AB399"/>
  <c r="AB400"/>
  <c r="AB402"/>
  <c r="AB404"/>
  <c r="AB411"/>
  <c r="AB381"/>
  <c r="AB384"/>
  <c r="AB391"/>
  <c r="AB393"/>
  <c r="AB394"/>
  <c r="AB405"/>
  <c r="AB409"/>
  <c r="AB413"/>
  <c r="AB416"/>
  <c r="AB418"/>
  <c r="AB420"/>
  <c r="AB425"/>
  <c r="AB428"/>
  <c r="AB431"/>
  <c r="AB432"/>
  <c r="AB434"/>
  <c r="AB435"/>
  <c r="AB437"/>
  <c r="AB438"/>
  <c r="AB441"/>
  <c r="AB443"/>
  <c r="AB446"/>
  <c r="AB448"/>
  <c r="AB450"/>
  <c r="X380"/>
  <c r="X381"/>
  <c r="X383"/>
  <c r="X389"/>
  <c r="X391"/>
  <c r="X394"/>
  <c r="X395"/>
  <c r="X408"/>
  <c r="X409"/>
  <c r="X410"/>
  <c r="X413"/>
  <c r="X392"/>
  <c r="X396"/>
  <c r="X397"/>
  <c r="X400"/>
  <c r="X402"/>
  <c r="X403"/>
  <c r="X404"/>
  <c r="X407"/>
  <c r="X415"/>
  <c r="X417"/>
  <c r="X421"/>
  <c r="X423"/>
  <c r="X427"/>
  <c r="X430"/>
  <c r="X433"/>
  <c r="X436"/>
  <c r="X440"/>
  <c r="X445"/>
  <c r="X447"/>
  <c r="X448"/>
  <c r="N386"/>
  <c r="N380"/>
  <c r="N381"/>
  <c r="N382"/>
  <c r="N383"/>
  <c r="N387"/>
  <c r="N389"/>
  <c r="N390"/>
  <c r="N392"/>
  <c r="N395"/>
  <c r="N403"/>
  <c r="N408"/>
  <c r="N409"/>
  <c r="N410"/>
  <c r="N413"/>
  <c r="N391"/>
  <c r="N394"/>
  <c r="N398"/>
  <c r="N404"/>
  <c r="N411"/>
  <c r="N412"/>
  <c r="N422"/>
  <c r="N423"/>
  <c r="N428"/>
  <c r="N431"/>
  <c r="N434"/>
  <c r="N435"/>
  <c r="N437"/>
  <c r="N438"/>
  <c r="N441"/>
  <c r="N443"/>
  <c r="N450"/>
  <c r="J394"/>
  <c r="J396"/>
  <c r="J401"/>
  <c r="J402"/>
  <c r="J404"/>
  <c r="J405"/>
  <c r="J406"/>
  <c r="J380"/>
  <c r="J385"/>
  <c r="J390"/>
  <c r="J408"/>
  <c r="J409"/>
  <c r="J411"/>
  <c r="J413"/>
  <c r="J417"/>
  <c r="J418"/>
  <c r="J419"/>
  <c r="J420"/>
  <c r="J430"/>
  <c r="J436"/>
  <c r="J440"/>
  <c r="J445"/>
  <c r="J446"/>
  <c r="C387"/>
  <c r="C406"/>
  <c r="C411"/>
  <c r="C412"/>
  <c r="C380"/>
  <c r="C383"/>
  <c r="C388"/>
  <c r="C390"/>
  <c r="C392"/>
  <c r="C393"/>
  <c r="C396"/>
  <c r="C398"/>
  <c r="C402"/>
  <c r="C403"/>
  <c r="C407"/>
  <c r="C419"/>
  <c r="C427"/>
  <c r="C428"/>
  <c r="C431"/>
  <c r="C432"/>
  <c r="C434"/>
  <c r="C435"/>
  <c r="C437"/>
  <c r="C438"/>
  <c r="C441"/>
  <c r="C443"/>
  <c r="C449"/>
  <c r="C450"/>
  <c r="CK385"/>
  <c r="CK410"/>
  <c r="T53" i="17"/>
  <c r="Z491" i="20"/>
  <c r="AE374"/>
  <c r="T205" i="36" s="1"/>
  <c r="BU493" i="20"/>
  <c r="CI491"/>
  <c r="L490"/>
  <c r="AD492"/>
  <c r="AV491"/>
  <c r="CE490"/>
  <c r="E492"/>
  <c r="V491"/>
  <c r="V383"/>
  <c r="V387"/>
  <c r="V391"/>
  <c r="V395"/>
  <c r="V399"/>
  <c r="V403"/>
  <c r="V407"/>
  <c r="V411"/>
  <c r="V415"/>
  <c r="V419"/>
  <c r="V423"/>
  <c r="V427"/>
  <c r="V431"/>
  <c r="V435"/>
  <c r="V439"/>
  <c r="V443"/>
  <c r="V447"/>
  <c r="V451"/>
  <c r="V455"/>
  <c r="V459"/>
  <c r="V463"/>
  <c r="V467"/>
  <c r="V471"/>
  <c r="V475"/>
  <c r="V479"/>
  <c r="V486"/>
  <c r="CL494"/>
  <c r="BF494"/>
  <c r="AD494"/>
  <c r="Z494"/>
  <c r="V494"/>
  <c r="P494"/>
  <c r="L494"/>
  <c r="H494"/>
  <c r="CL488"/>
  <c r="CG488"/>
  <c r="CC488"/>
  <c r="AD488"/>
  <c r="CN487"/>
  <c r="CI487"/>
  <c r="CE487"/>
  <c r="AD487"/>
  <c r="Z487"/>
  <c r="V487"/>
  <c r="P487"/>
  <c r="E487"/>
  <c r="AV486"/>
  <c r="CN485"/>
  <c r="CI485"/>
  <c r="CE485"/>
  <c r="BC485"/>
  <c r="AE485"/>
  <c r="Z485"/>
  <c r="H485"/>
  <c r="CG484"/>
  <c r="CC484"/>
  <c r="AD484"/>
  <c r="P484"/>
  <c r="BF483"/>
  <c r="AD483"/>
  <c r="L483"/>
  <c r="CN482"/>
  <c r="CI482"/>
  <c r="CE482"/>
  <c r="BF482"/>
  <c r="AD482"/>
  <c r="P482"/>
  <c r="BU481"/>
  <c r="AD481"/>
  <c r="L481"/>
  <c r="BU480"/>
  <c r="AE480"/>
  <c r="P480"/>
  <c r="E480"/>
  <c r="BP479"/>
  <c r="AV479"/>
  <c r="P479"/>
  <c r="E479"/>
  <c r="CI478"/>
  <c r="CE478"/>
  <c r="AY478"/>
  <c r="BP477"/>
  <c r="BC477"/>
  <c r="AE477"/>
  <c r="CL476"/>
  <c r="CG476"/>
  <c r="CC476"/>
  <c r="BP476"/>
  <c r="BC476"/>
  <c r="AE476"/>
  <c r="Z476"/>
  <c r="L476"/>
  <c r="CN475"/>
  <c r="CI475"/>
  <c r="CE475"/>
  <c r="BU475"/>
  <c r="BF475"/>
  <c r="AV475"/>
  <c r="CL474"/>
  <c r="CG474"/>
  <c r="CC474"/>
  <c r="BC474"/>
  <c r="AE474"/>
  <c r="Z474"/>
  <c r="L474"/>
  <c r="CN473"/>
  <c r="CI473"/>
  <c r="CE473"/>
  <c r="BU473"/>
  <c r="AD473"/>
  <c r="P473"/>
  <c r="E473"/>
  <c r="CN472"/>
  <c r="CI472"/>
  <c r="CE472"/>
  <c r="BF472"/>
  <c r="AD472"/>
  <c r="Z472"/>
  <c r="CL471"/>
  <c r="CG471"/>
  <c r="CC471"/>
  <c r="AY471"/>
  <c r="CL470"/>
  <c r="BP470"/>
  <c r="BC470"/>
  <c r="AE470"/>
  <c r="Z470"/>
  <c r="H470"/>
  <c r="CL469"/>
  <c r="CG469"/>
  <c r="CC469"/>
  <c r="AD469"/>
  <c r="Z469"/>
  <c r="H469"/>
  <c r="AD468"/>
  <c r="P468"/>
  <c r="E468"/>
  <c r="AY467"/>
  <c r="H467"/>
  <c r="BU466"/>
  <c r="AD466"/>
  <c r="P466"/>
  <c r="E466"/>
  <c r="BF465"/>
  <c r="AV465"/>
  <c r="BP464"/>
  <c r="AV464"/>
  <c r="H464"/>
  <c r="BU463"/>
  <c r="BC463"/>
  <c r="AE463"/>
  <c r="Z463"/>
  <c r="H463"/>
  <c r="CG462"/>
  <c r="CC462"/>
  <c r="AD462"/>
  <c r="L462"/>
  <c r="BU461"/>
  <c r="BF461"/>
  <c r="AV461"/>
  <c r="L461"/>
  <c r="CN460"/>
  <c r="CI460"/>
  <c r="CE460"/>
  <c r="BU460"/>
  <c r="BF460"/>
  <c r="AV460"/>
  <c r="CL459"/>
  <c r="CG459"/>
  <c r="CC459"/>
  <c r="BP459"/>
  <c r="BC459"/>
  <c r="AE459"/>
  <c r="Z459"/>
  <c r="L459"/>
  <c r="CN458"/>
  <c r="CI458"/>
  <c r="CE458"/>
  <c r="BF458"/>
  <c r="AV458"/>
  <c r="CL457"/>
  <c r="CG457"/>
  <c r="CC457"/>
  <c r="AY457"/>
  <c r="H457"/>
  <c r="CL456"/>
  <c r="CG456"/>
  <c r="CC456"/>
  <c r="BC456"/>
  <c r="AY456"/>
  <c r="L456"/>
  <c r="CN455"/>
  <c r="CI455"/>
  <c r="CE455"/>
  <c r="BF455"/>
  <c r="AD455"/>
  <c r="L455"/>
  <c r="CN454"/>
  <c r="BU454"/>
  <c r="BF454"/>
  <c r="AV454"/>
  <c r="P454"/>
  <c r="E454"/>
  <c r="CN453"/>
  <c r="CI453"/>
  <c r="CE453"/>
  <c r="AY453"/>
  <c r="P453"/>
  <c r="E453"/>
  <c r="AY452"/>
  <c r="H452"/>
  <c r="AD451"/>
  <c r="P451"/>
  <c r="E451"/>
  <c r="BP450"/>
  <c r="BC450"/>
  <c r="AD450"/>
  <c r="H450"/>
  <c r="CN449"/>
  <c r="AV449"/>
  <c r="CN448"/>
  <c r="BU448"/>
  <c r="AD448"/>
  <c r="E448"/>
  <c r="CL447"/>
  <c r="BP447"/>
  <c r="AE447"/>
  <c r="P447"/>
  <c r="CE446"/>
  <c r="AY446"/>
  <c r="AE446"/>
  <c r="BC445"/>
  <c r="L445"/>
  <c r="CL444"/>
  <c r="BP444"/>
  <c r="BC444"/>
  <c r="AY444"/>
  <c r="P444"/>
  <c r="L444"/>
  <c r="H444"/>
  <c r="CL443"/>
  <c r="CE443"/>
  <c r="AY443"/>
  <c r="AE443"/>
  <c r="P443"/>
  <c r="CI442"/>
  <c r="BC442"/>
  <c r="E442"/>
  <c r="CL441"/>
  <c r="AD441"/>
  <c r="H441"/>
  <c r="CN440"/>
  <c r="BU440"/>
  <c r="AE440"/>
  <c r="CL439"/>
  <c r="BC439"/>
  <c r="CN438"/>
  <c r="CC438"/>
  <c r="L438"/>
  <c r="BC437"/>
  <c r="L437"/>
  <c r="BC436"/>
  <c r="L436"/>
  <c r="CE435"/>
  <c r="BP435"/>
  <c r="BC435"/>
  <c r="AY435"/>
  <c r="AE435"/>
  <c r="P435"/>
  <c r="CI434"/>
  <c r="BF434"/>
  <c r="AY434"/>
  <c r="AE434"/>
  <c r="P434"/>
  <c r="CI433"/>
  <c r="BF433"/>
  <c r="AY433"/>
  <c r="Z433"/>
  <c r="E433"/>
  <c r="CN432"/>
  <c r="CC432"/>
  <c r="CI431"/>
  <c r="BF431"/>
  <c r="AY431"/>
  <c r="AE431"/>
  <c r="P431"/>
  <c r="CI430"/>
  <c r="BF430"/>
  <c r="AY430"/>
  <c r="L430"/>
  <c r="CE429"/>
  <c r="BF429"/>
  <c r="AY429"/>
  <c r="AD429"/>
  <c r="H429"/>
  <c r="CC428"/>
  <c r="BP428"/>
  <c r="AV428"/>
  <c r="Z428"/>
  <c r="E428"/>
  <c r="CE427"/>
  <c r="BP427"/>
  <c r="AE427"/>
  <c r="AE426"/>
  <c r="Z426"/>
  <c r="L426"/>
  <c r="E426"/>
  <c r="CE425"/>
  <c r="BP425"/>
  <c r="BC425"/>
  <c r="AV425"/>
  <c r="H425"/>
  <c r="AY424"/>
  <c r="CC423"/>
  <c r="Z423"/>
  <c r="H423"/>
  <c r="CN422"/>
  <c r="CC422"/>
  <c r="AV422"/>
  <c r="P422"/>
  <c r="BP421"/>
  <c r="BP420"/>
  <c r="CL419"/>
  <c r="CE419"/>
  <c r="AY419"/>
  <c r="BF418"/>
  <c r="P418"/>
  <c r="H418"/>
  <c r="CL417"/>
  <c r="CC417"/>
  <c r="BU417"/>
  <c r="AV417"/>
  <c r="AE417"/>
  <c r="CG416"/>
  <c r="L416"/>
  <c r="E416"/>
  <c r="BF415"/>
  <c r="L414"/>
  <c r="AE413"/>
  <c r="CN412"/>
  <c r="CE412"/>
  <c r="AY411"/>
  <c r="AD411"/>
  <c r="L411"/>
  <c r="CI410"/>
  <c r="CN409"/>
  <c r="CG408"/>
  <c r="AD408"/>
  <c r="BP407"/>
  <c r="BC407"/>
  <c r="AV407"/>
  <c r="H407"/>
  <c r="BP406"/>
  <c r="AV406"/>
  <c r="CN405"/>
  <c r="AY403"/>
  <c r="AE403"/>
  <c r="CE402"/>
  <c r="BU402"/>
  <c r="BF402"/>
  <c r="Z402"/>
  <c r="CI398"/>
  <c r="H398"/>
  <c r="BF396"/>
  <c r="Z396"/>
  <c r="P393"/>
  <c r="AE392"/>
  <c r="CE391"/>
  <c r="BU391"/>
  <c r="CL390"/>
  <c r="P390"/>
  <c r="CI388"/>
  <c r="BC388"/>
  <c r="L388"/>
  <c r="CC385"/>
  <c r="BF381"/>
  <c r="CG380"/>
  <c r="CC379"/>
  <c r="H492"/>
  <c r="P492"/>
  <c r="Z489"/>
  <c r="AE492"/>
  <c r="AY493"/>
  <c r="BU491"/>
  <c r="AD490"/>
  <c r="AD493"/>
  <c r="AV489"/>
  <c r="AV492"/>
  <c r="BP374"/>
  <c r="AX196" i="36" s="1"/>
  <c r="CE489" i="20"/>
  <c r="CE493"/>
  <c r="E490"/>
  <c r="E493"/>
  <c r="V489"/>
  <c r="V380"/>
  <c r="V384"/>
  <c r="V388"/>
  <c r="V392"/>
  <c r="V396"/>
  <c r="V400"/>
  <c r="V404"/>
  <c r="V408"/>
  <c r="V412"/>
  <c r="V416"/>
  <c r="V420"/>
  <c r="V424"/>
  <c r="V428"/>
  <c r="V432"/>
  <c r="V436"/>
  <c r="V440"/>
  <c r="V444"/>
  <c r="V448"/>
  <c r="V452"/>
  <c r="V456"/>
  <c r="V460"/>
  <c r="V464"/>
  <c r="V468"/>
  <c r="V472"/>
  <c r="V476"/>
  <c r="V480"/>
  <c r="V484"/>
  <c r="E488"/>
  <c r="CI494"/>
  <c r="CE494"/>
  <c r="AE494"/>
  <c r="E494"/>
  <c r="BP488"/>
  <c r="BC488"/>
  <c r="AE488"/>
  <c r="Z488"/>
  <c r="P488"/>
  <c r="BU487"/>
  <c r="BC487"/>
  <c r="AE487"/>
  <c r="L487"/>
  <c r="CN486"/>
  <c r="CI486"/>
  <c r="CE486"/>
  <c r="BU486"/>
  <c r="BF486"/>
  <c r="AD486"/>
  <c r="P486"/>
  <c r="BU485"/>
  <c r="BP485"/>
  <c r="AY485"/>
  <c r="V485"/>
  <c r="CL484"/>
  <c r="BP484"/>
  <c r="BC484"/>
  <c r="AE484"/>
  <c r="Z484"/>
  <c r="L484"/>
  <c r="CL483"/>
  <c r="CG483"/>
  <c r="CC483"/>
  <c r="BC483"/>
  <c r="AE483"/>
  <c r="Z483"/>
  <c r="H483"/>
  <c r="BU482"/>
  <c r="BC482"/>
  <c r="AE482"/>
  <c r="Z482"/>
  <c r="L482"/>
  <c r="CL481"/>
  <c r="CG481"/>
  <c r="CC481"/>
  <c r="BP481"/>
  <c r="BC481"/>
  <c r="AE481"/>
  <c r="Z481"/>
  <c r="H481"/>
  <c r="CL480"/>
  <c r="CG480"/>
  <c r="CC480"/>
  <c r="BC480"/>
  <c r="AY480"/>
  <c r="L480"/>
  <c r="CN479"/>
  <c r="CI479"/>
  <c r="CE479"/>
  <c r="BF479"/>
  <c r="AD479"/>
  <c r="L479"/>
  <c r="CN478"/>
  <c r="BU478"/>
  <c r="BF478"/>
  <c r="AV478"/>
  <c r="P478"/>
  <c r="E478"/>
  <c r="CN477"/>
  <c r="CI477"/>
  <c r="CE477"/>
  <c r="AY477"/>
  <c r="P477"/>
  <c r="E477"/>
  <c r="AY476"/>
  <c r="H476"/>
  <c r="AD475"/>
  <c r="P475"/>
  <c r="E475"/>
  <c r="BP474"/>
  <c r="AY474"/>
  <c r="H474"/>
  <c r="BP473"/>
  <c r="BC473"/>
  <c r="AE473"/>
  <c r="Z473"/>
  <c r="L473"/>
  <c r="BU472"/>
  <c r="AE472"/>
  <c r="P472"/>
  <c r="E472"/>
  <c r="BP471"/>
  <c r="AV471"/>
  <c r="P471"/>
  <c r="E471"/>
  <c r="CI470"/>
  <c r="CE470"/>
  <c r="AY470"/>
  <c r="BP469"/>
  <c r="BC469"/>
  <c r="AE469"/>
  <c r="CL468"/>
  <c r="CG468"/>
  <c r="CC468"/>
  <c r="BP468"/>
  <c r="BC468"/>
  <c r="AE468"/>
  <c r="Z468"/>
  <c r="L468"/>
  <c r="CN467"/>
  <c r="CI467"/>
  <c r="CE467"/>
  <c r="BU467"/>
  <c r="BF467"/>
  <c r="AV467"/>
  <c r="CL466"/>
  <c r="CG466"/>
  <c r="CC466"/>
  <c r="BC466"/>
  <c r="AE466"/>
  <c r="Z466"/>
  <c r="L466"/>
  <c r="CN465"/>
  <c r="CI465"/>
  <c r="CE465"/>
  <c r="BU465"/>
  <c r="AD465"/>
  <c r="P465"/>
  <c r="E465"/>
  <c r="CN464"/>
  <c r="CI464"/>
  <c r="CE464"/>
  <c r="BF464"/>
  <c r="AD464"/>
  <c r="Z464"/>
  <c r="CL463"/>
  <c r="CG463"/>
  <c r="CC463"/>
  <c r="AY463"/>
  <c r="CL462"/>
  <c r="BP462"/>
  <c r="BC462"/>
  <c r="AE462"/>
  <c r="Z462"/>
  <c r="H462"/>
  <c r="CL461"/>
  <c r="CG461"/>
  <c r="CC461"/>
  <c r="AD461"/>
  <c r="Z461"/>
  <c r="H461"/>
  <c r="AD460"/>
  <c r="P460"/>
  <c r="E460"/>
  <c r="AY459"/>
  <c r="H459"/>
  <c r="BU458"/>
  <c r="AD458"/>
  <c r="P458"/>
  <c r="E458"/>
  <c r="BF457"/>
  <c r="AV457"/>
  <c r="BP456"/>
  <c r="AV456"/>
  <c r="H456"/>
  <c r="BU455"/>
  <c r="BC455"/>
  <c r="AE455"/>
  <c r="Z455"/>
  <c r="H455"/>
  <c r="CG454"/>
  <c r="CC454"/>
  <c r="AD454"/>
  <c r="L454"/>
  <c r="BU453"/>
  <c r="BF453"/>
  <c r="AV453"/>
  <c r="L453"/>
  <c r="CN452"/>
  <c r="CI452"/>
  <c r="CE452"/>
  <c r="BU452"/>
  <c r="BF452"/>
  <c r="AV452"/>
  <c r="CL451"/>
  <c r="CG451"/>
  <c r="CC451"/>
  <c r="BP451"/>
  <c r="BC451"/>
  <c r="AE451"/>
  <c r="Z451"/>
  <c r="L451"/>
  <c r="CN450"/>
  <c r="CI450"/>
  <c r="CE450"/>
  <c r="AY450"/>
  <c r="AE450"/>
  <c r="P450"/>
  <c r="CI449"/>
  <c r="BP449"/>
  <c r="BC449"/>
  <c r="CI448"/>
  <c r="BF448"/>
  <c r="AE448"/>
  <c r="Z448"/>
  <c r="CG447"/>
  <c r="BU447"/>
  <c r="AY447"/>
  <c r="Z447"/>
  <c r="E447"/>
  <c r="CL446"/>
  <c r="CG446"/>
  <c r="BP446"/>
  <c r="Z446"/>
  <c r="L446"/>
  <c r="CL445"/>
  <c r="BP445"/>
  <c r="AE445"/>
  <c r="CG444"/>
  <c r="BU444"/>
  <c r="AD444"/>
  <c r="E444"/>
  <c r="CG443"/>
  <c r="BP443"/>
  <c r="Z443"/>
  <c r="E443"/>
  <c r="CE442"/>
  <c r="CG441"/>
  <c r="BF441"/>
  <c r="AY441"/>
  <c r="AE441"/>
  <c r="P441"/>
  <c r="CI440"/>
  <c r="BF440"/>
  <c r="AV440"/>
  <c r="Z440"/>
  <c r="H440"/>
  <c r="CN439"/>
  <c r="CG439"/>
  <c r="BU439"/>
  <c r="AY439"/>
  <c r="CI438"/>
  <c r="BC438"/>
  <c r="AD438"/>
  <c r="H438"/>
  <c r="CN437"/>
  <c r="BU437"/>
  <c r="AD437"/>
  <c r="H437"/>
  <c r="CN436"/>
  <c r="BU436"/>
  <c r="AE436"/>
  <c r="CL435"/>
  <c r="BU435"/>
  <c r="Z435"/>
  <c r="E435"/>
  <c r="CE434"/>
  <c r="BP434"/>
  <c r="AV434"/>
  <c r="Z434"/>
  <c r="E434"/>
  <c r="CE433"/>
  <c r="BP433"/>
  <c r="AV433"/>
  <c r="CI432"/>
  <c r="BC432"/>
  <c r="AD432"/>
  <c r="E432"/>
  <c r="CE431"/>
  <c r="BP431"/>
  <c r="AV431"/>
  <c r="Z431"/>
  <c r="E431"/>
  <c r="CE430"/>
  <c r="AE430"/>
  <c r="CL429"/>
  <c r="P429"/>
  <c r="BC428"/>
  <c r="L428"/>
  <c r="AV427"/>
  <c r="Z427"/>
  <c r="E427"/>
  <c r="CE426"/>
  <c r="BC426"/>
  <c r="CN425"/>
  <c r="P425"/>
  <c r="BP424"/>
  <c r="AD424"/>
  <c r="P424"/>
  <c r="CI422"/>
  <c r="CG421"/>
  <c r="BC421"/>
  <c r="E421"/>
  <c r="CC420"/>
  <c r="Z420"/>
  <c r="P420"/>
  <c r="E420"/>
  <c r="CG419"/>
  <c r="BP419"/>
  <c r="CG418"/>
  <c r="AD418"/>
  <c r="BC417"/>
  <c r="Z417"/>
  <c r="H417"/>
  <c r="CC416"/>
  <c r="BU416"/>
  <c r="AV416"/>
  <c r="AD416"/>
  <c r="CC415"/>
  <c r="BP415"/>
  <c r="E415"/>
  <c r="CL414"/>
  <c r="BC414"/>
  <c r="E414"/>
  <c r="CL413"/>
  <c r="BC413"/>
  <c r="L413"/>
  <c r="E412"/>
  <c r="BP411"/>
  <c r="H411"/>
  <c r="CL410"/>
  <c r="BP410"/>
  <c r="AY410"/>
  <c r="AD410"/>
  <c r="P410"/>
  <c r="CG409"/>
  <c r="BF409"/>
  <c r="CI408"/>
  <c r="BU408"/>
  <c r="H408"/>
  <c r="BU407"/>
  <c r="CE406"/>
  <c r="BU406"/>
  <c r="BF406"/>
  <c r="L406"/>
  <c r="BF405"/>
  <c r="AY405"/>
  <c r="AE405"/>
  <c r="H405"/>
  <c r="CC404"/>
  <c r="BF404"/>
  <c r="AV404"/>
  <c r="AD404"/>
  <c r="P404"/>
  <c r="CG403"/>
  <c r="H403"/>
  <c r="AY402"/>
  <c r="AE402"/>
  <c r="H402"/>
  <c r="AY400"/>
  <c r="AE400"/>
  <c r="CE399"/>
  <c r="CC396"/>
  <c r="AY396"/>
  <c r="AE396"/>
  <c r="H396"/>
  <c r="CC394"/>
  <c r="BU394"/>
  <c r="H394"/>
  <c r="CL393"/>
  <c r="CN392"/>
  <c r="BC392"/>
  <c r="AY392"/>
  <c r="H392"/>
  <c r="BC391"/>
  <c r="BP390"/>
  <c r="CN389"/>
  <c r="CE389"/>
  <c r="CN388"/>
  <c r="AE388"/>
  <c r="CN387"/>
  <c r="BU386"/>
  <c r="BC386"/>
  <c r="AD385"/>
  <c r="E385"/>
  <c r="CI383"/>
  <c r="H383"/>
  <c r="BC382"/>
  <c r="L382"/>
  <c r="BM390"/>
  <c r="BM407"/>
  <c r="AT382"/>
  <c r="AT413"/>
  <c r="AR390"/>
  <c r="AR403"/>
  <c r="U400"/>
  <c r="U401"/>
  <c r="G386"/>
  <c r="G400"/>
  <c r="AK612" i="9"/>
  <c r="AK606"/>
  <c r="AK614"/>
  <c r="CP518" i="12"/>
  <c r="CP502"/>
  <c r="CP498"/>
  <c r="CP482"/>
  <c r="CP466"/>
  <c r="CP458"/>
  <c r="CP450"/>
  <c r="CP442"/>
  <c r="CP434"/>
  <c r="CP426"/>
  <c r="CP517"/>
  <c r="CP508"/>
  <c r="CP499"/>
  <c r="CP485"/>
  <c r="CP476"/>
  <c r="CP467"/>
  <c r="CP519"/>
  <c r="CP493"/>
  <c r="CP484"/>
  <c r="CP475"/>
  <c r="CP513"/>
  <c r="CP501"/>
  <c r="CP489"/>
  <c r="CP480"/>
  <c r="CP503"/>
  <c r="CP465"/>
  <c r="CP451"/>
  <c r="CP437"/>
  <c r="CP428"/>
  <c r="CP495"/>
  <c r="CP440"/>
  <c r="CP521"/>
  <c r="CP488"/>
  <c r="CP473"/>
  <c r="CP452"/>
  <c r="CP443"/>
  <c r="CP429"/>
  <c r="CP472"/>
  <c r="CP449"/>
  <c r="CP433"/>
  <c r="CP481"/>
  <c r="CP461"/>
  <c r="CP455"/>
  <c r="CP441"/>
  <c r="CP432"/>
  <c r="CP423"/>
  <c r="CO519"/>
  <c r="CO515"/>
  <c r="CO511"/>
  <c r="CO507"/>
  <c r="CO503"/>
  <c r="CO521"/>
  <c r="CO514"/>
  <c r="CO512"/>
  <c r="CO505"/>
  <c r="CO499"/>
  <c r="CO495"/>
  <c r="CO491"/>
  <c r="CO487"/>
  <c r="CO483"/>
  <c r="CO479"/>
  <c r="CO475"/>
  <c r="CO471"/>
  <c r="CO467"/>
  <c r="CO463"/>
  <c r="CO459"/>
  <c r="CO455"/>
  <c r="CO451"/>
  <c r="CO447"/>
  <c r="CO443"/>
  <c r="CO439"/>
  <c r="CO435"/>
  <c r="CO431"/>
  <c r="CO427"/>
  <c r="CO423"/>
  <c r="CO502"/>
  <c r="CO497"/>
  <c r="CO490"/>
  <c r="CO488"/>
  <c r="CO481"/>
  <c r="CO474"/>
  <c r="CO472"/>
  <c r="CO465"/>
  <c r="CO516"/>
  <c r="CO513"/>
  <c r="CO510"/>
  <c r="CO504"/>
  <c r="CO501"/>
  <c r="CO498"/>
  <c r="CO496"/>
  <c r="CO489"/>
  <c r="CO482"/>
  <c r="CO480"/>
  <c r="CO473"/>
  <c r="CO520"/>
  <c r="CO517"/>
  <c r="CO508"/>
  <c r="CO494"/>
  <c r="CO492"/>
  <c r="CO485"/>
  <c r="CO478"/>
  <c r="CO476"/>
  <c r="CO493"/>
  <c r="CO484"/>
  <c r="CO462"/>
  <c r="CO458"/>
  <c r="CO456"/>
  <c r="CO449"/>
  <c r="CO442"/>
  <c r="CO440"/>
  <c r="CO433"/>
  <c r="CO426"/>
  <c r="CO424"/>
  <c r="CO468"/>
  <c r="CO466"/>
  <c r="CO460"/>
  <c r="CO445"/>
  <c r="CO438"/>
  <c r="CO436"/>
  <c r="CO509"/>
  <c r="CO469"/>
  <c r="CO464"/>
  <c r="CO461"/>
  <c r="CO457"/>
  <c r="CO450"/>
  <c r="CO448"/>
  <c r="CO441"/>
  <c r="CO434"/>
  <c r="CO432"/>
  <c r="CO425"/>
  <c r="CO486"/>
  <c r="CO477"/>
  <c r="CO454"/>
  <c r="CO452"/>
  <c r="CO429"/>
  <c r="CO518"/>
  <c r="CO506"/>
  <c r="CO500"/>
  <c r="CO470"/>
  <c r="CO453"/>
  <c r="CO446"/>
  <c r="CO444"/>
  <c r="CO437"/>
  <c r="CO430"/>
  <c r="CO428"/>
  <c r="CN520"/>
  <c r="CN512"/>
  <c r="CN504"/>
  <c r="CN517"/>
  <c r="CN503"/>
  <c r="CN500"/>
  <c r="CN492"/>
  <c r="CN484"/>
  <c r="CN476"/>
  <c r="CN468"/>
  <c r="CN460"/>
  <c r="CN452"/>
  <c r="CN444"/>
  <c r="CN436"/>
  <c r="CN428"/>
  <c r="CN521"/>
  <c r="CN515"/>
  <c r="CN506"/>
  <c r="CN493"/>
  <c r="CN479"/>
  <c r="CN470"/>
  <c r="CN461"/>
  <c r="CN494"/>
  <c r="CN485"/>
  <c r="CN471"/>
  <c r="CN514"/>
  <c r="CN505"/>
  <c r="CN499"/>
  <c r="CN490"/>
  <c r="CN481"/>
  <c r="CN467"/>
  <c r="CN454"/>
  <c r="CN445"/>
  <c r="CN431"/>
  <c r="CN457"/>
  <c r="CN443"/>
  <c r="CN427"/>
  <c r="CN498"/>
  <c r="CN474"/>
  <c r="CN453"/>
  <c r="CN439"/>
  <c r="CN430"/>
  <c r="CN473"/>
  <c r="CN434"/>
  <c r="CN491"/>
  <c r="CN465"/>
  <c r="CN458"/>
  <c r="CN449"/>
  <c r="CN435"/>
  <c r="CN426"/>
  <c r="CM521"/>
  <c r="CM517"/>
  <c r="CM513"/>
  <c r="CM509"/>
  <c r="CM505"/>
  <c r="CM501"/>
  <c r="CM515"/>
  <c r="CM508"/>
  <c r="CM506"/>
  <c r="CM497"/>
  <c r="CM493"/>
  <c r="CM489"/>
  <c r="CM485"/>
  <c r="CM481"/>
  <c r="CM477"/>
  <c r="CM473"/>
  <c r="CM469"/>
  <c r="CM465"/>
  <c r="CM461"/>
  <c r="CM457"/>
  <c r="CM453"/>
  <c r="CM449"/>
  <c r="CM445"/>
  <c r="CM441"/>
  <c r="CM437"/>
  <c r="CM433"/>
  <c r="CM429"/>
  <c r="CM425"/>
  <c r="CM512"/>
  <c r="CM503"/>
  <c r="CM500"/>
  <c r="CM498"/>
  <c r="CM491"/>
  <c r="CM484"/>
  <c r="CM482"/>
  <c r="CM475"/>
  <c r="CM468"/>
  <c r="CM466"/>
  <c r="CM520"/>
  <c r="CM514"/>
  <c r="CM511"/>
  <c r="CM502"/>
  <c r="CM499"/>
  <c r="CM492"/>
  <c r="CM490"/>
  <c r="CM483"/>
  <c r="CM476"/>
  <c r="CM474"/>
  <c r="CM467"/>
  <c r="CM518"/>
  <c r="CM495"/>
  <c r="CM488"/>
  <c r="CM486"/>
  <c r="CM479"/>
  <c r="CM510"/>
  <c r="CM494"/>
  <c r="CM472"/>
  <c r="CM463"/>
  <c r="CM460"/>
  <c r="CM459"/>
  <c r="CM452"/>
  <c r="CM450"/>
  <c r="CM443"/>
  <c r="CM436"/>
  <c r="CM434"/>
  <c r="CM427"/>
  <c r="CM519"/>
  <c r="CM507"/>
  <c r="CM496"/>
  <c r="CM446"/>
  <c r="CM439"/>
  <c r="CM432"/>
  <c r="CM430"/>
  <c r="CM423"/>
  <c r="CM516"/>
  <c r="CM504"/>
  <c r="CM480"/>
  <c r="CM470"/>
  <c r="CM462"/>
  <c r="CM458"/>
  <c r="CM451"/>
  <c r="CM444"/>
  <c r="CM442"/>
  <c r="CM435"/>
  <c r="CM428"/>
  <c r="CM426"/>
  <c r="CM487"/>
  <c r="CM478"/>
  <c r="CM464"/>
  <c r="CM455"/>
  <c r="CM448"/>
  <c r="CM471"/>
  <c r="CM456"/>
  <c r="CM454"/>
  <c r="CM447"/>
  <c r="CM440"/>
  <c r="CM438"/>
  <c r="CM431"/>
  <c r="CM424"/>
  <c r="CL518"/>
  <c r="CL510"/>
  <c r="CL502"/>
  <c r="CL513"/>
  <c r="CL504"/>
  <c r="CL494"/>
  <c r="CL486"/>
  <c r="CL478"/>
  <c r="CL470"/>
  <c r="CL462"/>
  <c r="CL454"/>
  <c r="CL446"/>
  <c r="CL438"/>
  <c r="CL430"/>
  <c r="CL519"/>
  <c r="CL507"/>
  <c r="CL489"/>
  <c r="CL480"/>
  <c r="CL471"/>
  <c r="CL517"/>
  <c r="CL505"/>
  <c r="CL495"/>
  <c r="CL481"/>
  <c r="CL472"/>
  <c r="CL515"/>
  <c r="CL509"/>
  <c r="CL500"/>
  <c r="CL491"/>
  <c r="CL477"/>
  <c r="CL485"/>
  <c r="CL468"/>
  <c r="CL455"/>
  <c r="CL441"/>
  <c r="CL432"/>
  <c r="CL423"/>
  <c r="CL461"/>
  <c r="CL444"/>
  <c r="CL499"/>
  <c r="CL456"/>
  <c r="CL447"/>
  <c r="CL433"/>
  <c r="CL424"/>
  <c r="CL437"/>
  <c r="CL501"/>
  <c r="CL483"/>
  <c r="CL463"/>
  <c r="CL459"/>
  <c r="CL445"/>
  <c r="CL436"/>
  <c r="CL427"/>
  <c r="CK519"/>
  <c r="CK515"/>
  <c r="CK511"/>
  <c r="CK507"/>
  <c r="CK503"/>
  <c r="CK518"/>
  <c r="CK516"/>
  <c r="CK509"/>
  <c r="CK502"/>
  <c r="CK499"/>
  <c r="CK495"/>
  <c r="CK491"/>
  <c r="CK487"/>
  <c r="CK483"/>
  <c r="CK479"/>
  <c r="CK475"/>
  <c r="CK471"/>
  <c r="CK467"/>
  <c r="CK463"/>
  <c r="CK459"/>
  <c r="CK455"/>
  <c r="CK451"/>
  <c r="CK447"/>
  <c r="CK443"/>
  <c r="CK439"/>
  <c r="CK435"/>
  <c r="CK431"/>
  <c r="CK427"/>
  <c r="CK423"/>
  <c r="CK513"/>
  <c r="CK510"/>
  <c r="CK504"/>
  <c r="CK501"/>
  <c r="CK494"/>
  <c r="CK492"/>
  <c r="CK485"/>
  <c r="CK478"/>
  <c r="CK476"/>
  <c r="CK469"/>
  <c r="CK462"/>
  <c r="CK460"/>
  <c r="CK521"/>
  <c r="CK512"/>
  <c r="CK500"/>
  <c r="CK493"/>
  <c r="CK486"/>
  <c r="CK484"/>
  <c r="CK477"/>
  <c r="CK470"/>
  <c r="CK468"/>
  <c r="CK506"/>
  <c r="CK498"/>
  <c r="CK496"/>
  <c r="CK489"/>
  <c r="CK482"/>
  <c r="CK480"/>
  <c r="CK517"/>
  <c r="CK505"/>
  <c r="CK473"/>
  <c r="CK464"/>
  <c r="CK461"/>
  <c r="CK453"/>
  <c r="CK446"/>
  <c r="CK444"/>
  <c r="CK437"/>
  <c r="CK430"/>
  <c r="CK428"/>
  <c r="CK497"/>
  <c r="CK458"/>
  <c r="CK449"/>
  <c r="CK442"/>
  <c r="CK433"/>
  <c r="CK426"/>
  <c r="CK424"/>
  <c r="CK490"/>
  <c r="CK481"/>
  <c r="CK454"/>
  <c r="CK452"/>
  <c r="CK445"/>
  <c r="CK438"/>
  <c r="CK436"/>
  <c r="CK429"/>
  <c r="CK514"/>
  <c r="CK488"/>
  <c r="CK474"/>
  <c r="CK465"/>
  <c r="CK456"/>
  <c r="CK440"/>
  <c r="CK520"/>
  <c r="CK508"/>
  <c r="CK472"/>
  <c r="CK466"/>
  <c r="CK457"/>
  <c r="CK450"/>
  <c r="CK448"/>
  <c r="CK441"/>
  <c r="CK434"/>
  <c r="CK432"/>
  <c r="CK425"/>
  <c r="BD519"/>
  <c r="BD511"/>
  <c r="BD503"/>
  <c r="BD516"/>
  <c r="BD502"/>
  <c r="BD495"/>
  <c r="BD487"/>
  <c r="BD479"/>
  <c r="BD471"/>
  <c r="BD463"/>
  <c r="BD455"/>
  <c r="BD447"/>
  <c r="BD439"/>
  <c r="BD431"/>
  <c r="BD423"/>
  <c r="BD512"/>
  <c r="BD494"/>
  <c r="BD485"/>
  <c r="BD476"/>
  <c r="BD462"/>
  <c r="BD510"/>
  <c r="BD500"/>
  <c r="BD486"/>
  <c r="BD477"/>
  <c r="BD468"/>
  <c r="BD517"/>
  <c r="BD508"/>
  <c r="BD498"/>
  <c r="BD489"/>
  <c r="BD480"/>
  <c r="BD481"/>
  <c r="BD460"/>
  <c r="BD446"/>
  <c r="BD437"/>
  <c r="BD428"/>
  <c r="BD458"/>
  <c r="BD442"/>
  <c r="BD433"/>
  <c r="BD424"/>
  <c r="BD464"/>
  <c r="BD454"/>
  <c r="BD445"/>
  <c r="BD436"/>
  <c r="BD466"/>
  <c r="BD497"/>
  <c r="BD472"/>
  <c r="BD457"/>
  <c r="BD448"/>
  <c r="BD434"/>
  <c r="BD425"/>
  <c r="BC520"/>
  <c r="BC516"/>
  <c r="BC512"/>
  <c r="BC508"/>
  <c r="BC504"/>
  <c r="BC521"/>
  <c r="BC514"/>
  <c r="BC507"/>
  <c r="BC505"/>
  <c r="BC500"/>
  <c r="BC496"/>
  <c r="BC492"/>
  <c r="BC488"/>
  <c r="BC484"/>
  <c r="BC480"/>
  <c r="BC476"/>
  <c r="BC472"/>
  <c r="BC468"/>
  <c r="BC464"/>
  <c r="BC460"/>
  <c r="BC456"/>
  <c r="BC452"/>
  <c r="BC448"/>
  <c r="BC444"/>
  <c r="BC440"/>
  <c r="BC436"/>
  <c r="BC432"/>
  <c r="BC428"/>
  <c r="BC424"/>
  <c r="BC518"/>
  <c r="BC515"/>
  <c r="BC509"/>
  <c r="BC506"/>
  <c r="BC503"/>
  <c r="BC499"/>
  <c r="BC497"/>
  <c r="BC490"/>
  <c r="BC483"/>
  <c r="BC481"/>
  <c r="BC474"/>
  <c r="BC467"/>
  <c r="BC465"/>
  <c r="BC517"/>
  <c r="BC498"/>
  <c r="BC491"/>
  <c r="BC489"/>
  <c r="BC482"/>
  <c r="BC475"/>
  <c r="BC473"/>
  <c r="BC511"/>
  <c r="BC502"/>
  <c r="BC501"/>
  <c r="BC494"/>
  <c r="BC487"/>
  <c r="BC485"/>
  <c r="BC478"/>
  <c r="BC519"/>
  <c r="BC469"/>
  <c r="BC466"/>
  <c r="BC463"/>
  <c r="BC458"/>
  <c r="BC451"/>
  <c r="BC449"/>
  <c r="BC442"/>
  <c r="BC435"/>
  <c r="BC433"/>
  <c r="BC426"/>
  <c r="BC447"/>
  <c r="BC431"/>
  <c r="BC429"/>
  <c r="BC513"/>
  <c r="BC495"/>
  <c r="BC486"/>
  <c r="BC477"/>
  <c r="BC471"/>
  <c r="BC459"/>
  <c r="BC457"/>
  <c r="BC450"/>
  <c r="BC443"/>
  <c r="BC441"/>
  <c r="BC434"/>
  <c r="BC427"/>
  <c r="BC425"/>
  <c r="BC493"/>
  <c r="BC470"/>
  <c r="BC461"/>
  <c r="BC454"/>
  <c r="BC445"/>
  <c r="BC438"/>
  <c r="BC510"/>
  <c r="BC479"/>
  <c r="BC462"/>
  <c r="BC455"/>
  <c r="BC453"/>
  <c r="BC446"/>
  <c r="BC439"/>
  <c r="BC437"/>
  <c r="BC430"/>
  <c r="BC423"/>
  <c r="BZ379" i="20"/>
  <c r="BZ382"/>
  <c r="BZ383"/>
  <c r="BZ384"/>
  <c r="BZ389"/>
  <c r="BZ391"/>
  <c r="BZ393"/>
  <c r="BZ394"/>
  <c r="BZ395"/>
  <c r="BZ397"/>
  <c r="BZ401"/>
  <c r="BZ402"/>
  <c r="BZ406"/>
  <c r="BZ409"/>
  <c r="BZ410"/>
  <c r="BZ413"/>
  <c r="BZ416"/>
  <c r="BX380"/>
  <c r="BX387"/>
  <c r="BX390"/>
  <c r="BX392"/>
  <c r="BX396"/>
  <c r="BX399"/>
  <c r="BX403"/>
  <c r="BX412"/>
  <c r="BV489"/>
  <c r="BV381"/>
  <c r="BV385"/>
  <c r="BV386"/>
  <c r="BV405"/>
  <c r="BV411"/>
  <c r="BV415"/>
  <c r="BV417"/>
  <c r="BK493"/>
  <c r="BK381"/>
  <c r="BK382"/>
  <c r="BK385"/>
  <c r="BK386"/>
  <c r="BK388"/>
  <c r="BK400"/>
  <c r="BK404"/>
  <c r="BK406"/>
  <c r="BK408"/>
  <c r="BG492"/>
  <c r="BG379"/>
  <c r="BG383"/>
  <c r="BG384"/>
  <c r="BG390"/>
  <c r="BG392"/>
  <c r="BG399"/>
  <c r="BG403"/>
  <c r="BG415"/>
  <c r="BG417"/>
  <c r="BD380"/>
  <c r="BD382"/>
  <c r="BD386"/>
  <c r="BD387"/>
  <c r="BD391"/>
  <c r="BD393"/>
  <c r="BD395"/>
  <c r="BD404"/>
  <c r="BD406"/>
  <c r="BD408"/>
  <c r="AZ493"/>
  <c r="AZ381"/>
  <c r="AZ383"/>
  <c r="AZ384"/>
  <c r="AZ390"/>
  <c r="AZ399"/>
  <c r="AZ412"/>
  <c r="AZ418"/>
  <c r="AZ420"/>
  <c r="AW492"/>
  <c r="AW389"/>
  <c r="AW392"/>
  <c r="AW395"/>
  <c r="AW396"/>
  <c r="AW401"/>
  <c r="AW402"/>
  <c r="AW403"/>
  <c r="AW410"/>
  <c r="AW411"/>
  <c r="AW413"/>
  <c r="AW414"/>
  <c r="AW416"/>
  <c r="AW419"/>
  <c r="AS380"/>
  <c r="AS382"/>
  <c r="AS385"/>
  <c r="AS405"/>
  <c r="AS406"/>
  <c r="AS409"/>
  <c r="AS412"/>
  <c r="AS418"/>
  <c r="AS420"/>
  <c r="AQ492"/>
  <c r="AQ381"/>
  <c r="AQ393"/>
  <c r="AQ404"/>
  <c r="AQ407"/>
  <c r="AQ408"/>
  <c r="AQ419"/>
  <c r="AO493"/>
  <c r="AO379"/>
  <c r="AO384"/>
  <c r="AO386"/>
  <c r="AO388"/>
  <c r="AO391"/>
  <c r="AO392"/>
  <c r="AO395"/>
  <c r="AO396"/>
  <c r="AO397"/>
  <c r="AO400"/>
  <c r="AO401"/>
  <c r="AO402"/>
  <c r="AO403"/>
  <c r="AO413"/>
  <c r="AO416"/>
  <c r="AM492"/>
  <c r="AM383"/>
  <c r="AM387"/>
  <c r="AM389"/>
  <c r="AM394"/>
  <c r="AM398"/>
  <c r="AM399"/>
  <c r="AM406"/>
  <c r="AM410"/>
  <c r="AM411"/>
  <c r="AM414"/>
  <c r="AM415"/>
  <c r="AM417"/>
  <c r="AM420"/>
  <c r="AK380"/>
  <c r="AK382"/>
  <c r="AK385"/>
  <c r="AK390"/>
  <c r="AK404"/>
  <c r="AK405"/>
  <c r="AK409"/>
  <c r="AK412"/>
  <c r="AK418"/>
  <c r="AI492"/>
  <c r="AI381"/>
  <c r="AI384"/>
  <c r="AI393"/>
  <c r="AI401"/>
  <c r="AI407"/>
  <c r="AI408"/>
  <c r="AI419"/>
  <c r="AG492"/>
  <c r="AG379"/>
  <c r="AG386"/>
  <c r="AG388"/>
  <c r="AG391"/>
  <c r="AG392"/>
  <c r="AG395"/>
  <c r="AG396"/>
  <c r="AG397"/>
  <c r="AG402"/>
  <c r="AG403"/>
  <c r="AG413"/>
  <c r="AG417"/>
  <c r="AA493"/>
  <c r="AA380"/>
  <c r="AA389"/>
  <c r="AA391"/>
  <c r="AA392"/>
  <c r="AA396"/>
  <c r="AA397"/>
  <c r="AA401"/>
  <c r="AA402"/>
  <c r="AA403"/>
  <c r="AA410"/>
  <c r="AA411"/>
  <c r="AA414"/>
  <c r="AA420"/>
  <c r="W379"/>
  <c r="W387"/>
  <c r="W388"/>
  <c r="W394"/>
  <c r="W398"/>
  <c r="W400"/>
  <c r="W404"/>
  <c r="W412"/>
  <c r="W413"/>
  <c r="W417"/>
  <c r="W418"/>
  <c r="S493"/>
  <c r="S382"/>
  <c r="S384"/>
  <c r="S389"/>
  <c r="S392"/>
  <c r="S396"/>
  <c r="S401"/>
  <c r="S402"/>
  <c r="S403"/>
  <c r="S408"/>
  <c r="S410"/>
  <c r="S411"/>
  <c r="S414"/>
  <c r="S419"/>
  <c r="S420"/>
  <c r="M493"/>
  <c r="M387"/>
  <c r="M389"/>
  <c r="M394"/>
  <c r="M398"/>
  <c r="M401"/>
  <c r="M408"/>
  <c r="M410"/>
  <c r="M414"/>
  <c r="M419"/>
  <c r="M420"/>
  <c r="M421"/>
  <c r="I489"/>
  <c r="I380"/>
  <c r="I383"/>
  <c r="I385"/>
  <c r="I388"/>
  <c r="I405"/>
  <c r="I409"/>
  <c r="I413"/>
  <c r="I415"/>
  <c r="F489"/>
  <c r="F386"/>
  <c r="F387"/>
  <c r="F389"/>
  <c r="F392"/>
  <c r="F394"/>
  <c r="F396"/>
  <c r="F398"/>
  <c r="F402"/>
  <c r="F403"/>
  <c r="F408"/>
  <c r="F410"/>
  <c r="F411"/>
  <c r="F414"/>
  <c r="F419"/>
  <c r="F420"/>
  <c r="F421"/>
  <c r="B383"/>
  <c r="B384"/>
  <c r="B385"/>
  <c r="B388"/>
  <c r="B404"/>
  <c r="B405"/>
  <c r="B409"/>
  <c r="B412"/>
  <c r="B416"/>
  <c r="B418"/>
  <c r="BV419" i="12"/>
  <c r="BV517"/>
  <c r="BV509"/>
  <c r="BV515"/>
  <c r="BV506"/>
  <c r="BV497"/>
  <c r="BV489"/>
  <c r="BV481"/>
  <c r="BV473"/>
  <c r="BV465"/>
  <c r="BV457"/>
  <c r="BV449"/>
  <c r="BV441"/>
  <c r="BV433"/>
  <c r="BV425"/>
  <c r="BV516"/>
  <c r="BV507"/>
  <c r="BV500"/>
  <c r="BV491"/>
  <c r="BV482"/>
  <c r="BV468"/>
  <c r="BV518"/>
  <c r="BV492"/>
  <c r="BV483"/>
  <c r="BV474"/>
  <c r="BV512"/>
  <c r="BV495"/>
  <c r="BV486"/>
  <c r="BV511"/>
  <c r="BV464"/>
  <c r="BV452"/>
  <c r="BV443"/>
  <c r="BV434"/>
  <c r="BV462"/>
  <c r="BV448"/>
  <c r="BV423"/>
  <c r="BV487"/>
  <c r="BV472"/>
  <c r="BV451"/>
  <c r="BV442"/>
  <c r="BV428"/>
  <c r="BV520"/>
  <c r="BV471"/>
  <c r="BV439"/>
  <c r="BV514"/>
  <c r="BV480"/>
  <c r="BV460"/>
  <c r="BV454"/>
  <c r="BV440"/>
  <c r="BV431"/>
  <c r="AU520"/>
  <c r="AU512"/>
  <c r="AU504"/>
  <c r="AU496"/>
  <c r="AU514"/>
  <c r="AU509"/>
  <c r="AU491"/>
  <c r="AU483"/>
  <c r="AU475"/>
  <c r="AU467"/>
  <c r="AU519"/>
  <c r="AU506"/>
  <c r="AU501"/>
  <c r="AU490"/>
  <c r="AU482"/>
  <c r="AU474"/>
  <c r="AU466"/>
  <c r="AU460"/>
  <c r="AU456"/>
  <c r="AU452"/>
  <c r="AU521"/>
  <c r="AU517"/>
  <c r="AU486"/>
  <c r="AU470"/>
  <c r="AU445"/>
  <c r="AU511"/>
  <c r="AU484"/>
  <c r="AU455"/>
  <c r="AU439"/>
  <c r="AU431"/>
  <c r="AU502"/>
  <c r="AU479"/>
  <c r="AU463"/>
  <c r="AU449"/>
  <c r="AU435"/>
  <c r="AU497"/>
  <c r="AU471"/>
  <c r="AU451"/>
  <c r="AU441"/>
  <c r="AU434"/>
  <c r="AU426"/>
  <c r="AU476"/>
  <c r="AU448"/>
  <c r="AU433"/>
  <c r="AU494"/>
  <c r="AU424"/>
  <c r="AU444"/>
  <c r="AU430"/>
  <c r="AU516"/>
  <c r="AU425"/>
  <c r="AT520"/>
  <c r="AT518"/>
  <c r="AT516"/>
  <c r="AT514"/>
  <c r="AT512"/>
  <c r="AT510"/>
  <c r="AT508"/>
  <c r="AT506"/>
  <c r="AT504"/>
  <c r="AT502"/>
  <c r="AT500"/>
  <c r="AT498"/>
  <c r="AT496"/>
  <c r="AT517"/>
  <c r="AT509"/>
  <c r="AT501"/>
  <c r="AT494"/>
  <c r="AT492"/>
  <c r="AT490"/>
  <c r="AT488"/>
  <c r="AT486"/>
  <c r="AT484"/>
  <c r="AT482"/>
  <c r="AT480"/>
  <c r="AT478"/>
  <c r="AT476"/>
  <c r="AT474"/>
  <c r="AT472"/>
  <c r="AT470"/>
  <c r="AT468"/>
  <c r="AT466"/>
  <c r="AT464"/>
  <c r="AT519"/>
  <c r="AT505"/>
  <c r="AT493"/>
  <c r="AT485"/>
  <c r="AT477"/>
  <c r="AT469"/>
  <c r="AT462"/>
  <c r="AT460"/>
  <c r="AT458"/>
  <c r="AT456"/>
  <c r="AT454"/>
  <c r="AT452"/>
  <c r="AT450"/>
  <c r="AT448"/>
  <c r="AT446"/>
  <c r="AT444"/>
  <c r="AT442"/>
  <c r="AT440"/>
  <c r="AT438"/>
  <c r="AT436"/>
  <c r="AT434"/>
  <c r="AT432"/>
  <c r="AT430"/>
  <c r="AT428"/>
  <c r="AT426"/>
  <c r="AT424"/>
  <c r="AT515"/>
  <c r="AT511"/>
  <c r="AT497"/>
  <c r="AT495"/>
  <c r="AT487"/>
  <c r="AT479"/>
  <c r="AT471"/>
  <c r="AT513"/>
  <c r="AT499"/>
  <c r="AT491"/>
  <c r="AT475"/>
  <c r="AT461"/>
  <c r="AT457"/>
  <c r="AT453"/>
  <c r="AT447"/>
  <c r="AT483"/>
  <c r="AT465"/>
  <c r="AT459"/>
  <c r="AT443"/>
  <c r="AT433"/>
  <c r="AT521"/>
  <c r="AT503"/>
  <c r="AT489"/>
  <c r="AT451"/>
  <c r="AT445"/>
  <c r="AT441"/>
  <c r="AT437"/>
  <c r="AT507"/>
  <c r="AT481"/>
  <c r="AT473"/>
  <c r="AT455"/>
  <c r="AT439"/>
  <c r="AT431"/>
  <c r="AT463"/>
  <c r="AT449"/>
  <c r="AT429"/>
  <c r="AT425"/>
  <c r="AT435"/>
  <c r="AT423"/>
  <c r="AT467"/>
  <c r="AT427"/>
  <c r="AS519"/>
  <c r="AS511"/>
  <c r="AS503"/>
  <c r="AS515"/>
  <c r="AS501"/>
  <c r="AS496"/>
  <c r="AS490"/>
  <c r="AS482"/>
  <c r="AS474"/>
  <c r="AS466"/>
  <c r="AS520"/>
  <c r="AS507"/>
  <c r="AS492"/>
  <c r="AS484"/>
  <c r="AS476"/>
  <c r="AS468"/>
  <c r="AS463"/>
  <c r="AS459"/>
  <c r="AS455"/>
  <c r="AS451"/>
  <c r="AS504"/>
  <c r="AS509"/>
  <c r="AS485"/>
  <c r="AS469"/>
  <c r="AS449"/>
  <c r="AS441"/>
  <c r="AS512"/>
  <c r="AS493"/>
  <c r="AS467"/>
  <c r="AS448"/>
  <c r="AS435"/>
  <c r="AS488"/>
  <c r="AS462"/>
  <c r="AS446"/>
  <c r="AS434"/>
  <c r="AS508"/>
  <c r="AS491"/>
  <c r="AS472"/>
  <c r="AS450"/>
  <c r="AS443"/>
  <c r="AS436"/>
  <c r="AS428"/>
  <c r="AS427"/>
  <c r="AS517"/>
  <c r="AS458"/>
  <c r="AS437"/>
  <c r="AS423"/>
  <c r="AS429"/>
  <c r="AS486"/>
  <c r="AS424"/>
  <c r="AR521"/>
  <c r="AR520"/>
  <c r="AR519"/>
  <c r="AR518"/>
  <c r="AR517"/>
  <c r="AR516"/>
  <c r="AR515"/>
  <c r="AR514"/>
  <c r="AR513"/>
  <c r="AR512"/>
  <c r="AR511"/>
  <c r="AR510"/>
  <c r="AR509"/>
  <c r="AR508"/>
  <c r="AR507"/>
  <c r="AR506"/>
  <c r="AR505"/>
  <c r="AR504"/>
  <c r="AR503"/>
  <c r="AR502"/>
  <c r="AR501"/>
  <c r="AR500"/>
  <c r="AR499"/>
  <c r="AR498"/>
  <c r="AR497"/>
  <c r="AR496"/>
  <c r="AR495"/>
  <c r="AR494"/>
  <c r="AR493"/>
  <c r="AR492"/>
  <c r="AR491"/>
  <c r="AR490"/>
  <c r="AR489"/>
  <c r="AR488"/>
  <c r="AR487"/>
  <c r="AR486"/>
  <c r="AR485"/>
  <c r="AR484"/>
  <c r="AR483"/>
  <c r="AR482"/>
  <c r="AR481"/>
  <c r="AR480"/>
  <c r="AR479"/>
  <c r="AR478"/>
  <c r="AR477"/>
  <c r="AR476"/>
  <c r="AR475"/>
  <c r="AR474"/>
  <c r="AR473"/>
  <c r="AR472"/>
  <c r="AR471"/>
  <c r="AR470"/>
  <c r="AR469"/>
  <c r="AR468"/>
  <c r="AR467"/>
  <c r="AR466"/>
  <c r="AR465"/>
  <c r="AR464"/>
  <c r="AR463"/>
  <c r="AR462"/>
  <c r="AR461"/>
  <c r="AR460"/>
  <c r="AR459"/>
  <c r="AR458"/>
  <c r="AR457"/>
  <c r="AR456"/>
  <c r="AR455"/>
  <c r="AR454"/>
  <c r="AR453"/>
  <c r="AR452"/>
  <c r="AR451"/>
  <c r="AR450"/>
  <c r="AR449"/>
  <c r="AR448"/>
  <c r="AR447"/>
  <c r="AR446"/>
  <c r="AR445"/>
  <c r="AR444"/>
  <c r="AR443"/>
  <c r="AR442"/>
  <c r="AR441"/>
  <c r="AR440"/>
  <c r="AR439"/>
  <c r="AR438"/>
  <c r="AR437"/>
  <c r="AR436"/>
  <c r="AR435"/>
  <c r="AR434"/>
  <c r="AR433"/>
  <c r="AR432"/>
  <c r="AR431"/>
  <c r="AR430"/>
  <c r="AR429"/>
  <c r="AR428"/>
  <c r="AR427"/>
  <c r="AR426"/>
  <c r="AR425"/>
  <c r="AR424"/>
  <c r="AR423"/>
  <c r="AQ521"/>
  <c r="AQ517"/>
  <c r="AQ513"/>
  <c r="AQ509"/>
  <c r="AQ505"/>
  <c r="AQ501"/>
  <c r="AQ497"/>
  <c r="AQ508"/>
  <c r="AQ495"/>
  <c r="AQ491"/>
  <c r="AQ487"/>
  <c r="AQ483"/>
  <c r="AQ479"/>
  <c r="AQ475"/>
  <c r="AQ471"/>
  <c r="AQ467"/>
  <c r="AQ520"/>
  <c r="AQ502"/>
  <c r="AQ484"/>
  <c r="AQ468"/>
  <c r="AQ461"/>
  <c r="AQ457"/>
  <c r="AQ453"/>
  <c r="AQ449"/>
  <c r="AQ445"/>
  <c r="AQ441"/>
  <c r="AQ437"/>
  <c r="AQ433"/>
  <c r="AQ429"/>
  <c r="AQ425"/>
  <c r="AQ512"/>
  <c r="AQ494"/>
  <c r="AQ478"/>
  <c r="AQ514"/>
  <c r="AQ490"/>
  <c r="AQ460"/>
  <c r="AQ452"/>
  <c r="AQ496"/>
  <c r="AQ458"/>
  <c r="AQ440"/>
  <c r="AQ504"/>
  <c r="AQ472"/>
  <c r="AQ442"/>
  <c r="AQ482"/>
  <c r="AQ454"/>
  <c r="AQ438"/>
  <c r="AQ428"/>
  <c r="AQ518"/>
  <c r="AQ434"/>
  <c r="AQ488"/>
  <c r="CJ516"/>
  <c r="CJ508"/>
  <c r="CJ521"/>
  <c r="CJ507"/>
  <c r="CJ500"/>
  <c r="CJ492"/>
  <c r="CJ484"/>
  <c r="CJ476"/>
  <c r="CJ468"/>
  <c r="CJ460"/>
  <c r="CJ452"/>
  <c r="CJ444"/>
  <c r="CJ436"/>
  <c r="CJ428"/>
  <c r="CJ517"/>
  <c r="CJ497"/>
  <c r="CJ483"/>
  <c r="CJ474"/>
  <c r="CJ465"/>
  <c r="CJ515"/>
  <c r="CJ506"/>
  <c r="CJ498"/>
  <c r="CJ489"/>
  <c r="CJ475"/>
  <c r="CJ519"/>
  <c r="CJ510"/>
  <c r="CJ494"/>
  <c r="CJ485"/>
  <c r="CJ495"/>
  <c r="CJ477"/>
  <c r="CJ458"/>
  <c r="CJ449"/>
  <c r="CJ435"/>
  <c r="CJ426"/>
  <c r="CJ462"/>
  <c r="CJ447"/>
  <c r="CJ429"/>
  <c r="CJ471"/>
  <c r="CJ463"/>
  <c r="CJ457"/>
  <c r="CJ443"/>
  <c r="CJ434"/>
  <c r="CJ425"/>
  <c r="CJ479"/>
  <c r="CJ438"/>
  <c r="CJ461"/>
  <c r="CJ453"/>
  <c r="CJ439"/>
  <c r="CJ430"/>
  <c r="CI521"/>
  <c r="CI517"/>
  <c r="CI513"/>
  <c r="CI509"/>
  <c r="CI505"/>
  <c r="CI519"/>
  <c r="CI512"/>
  <c r="CI510"/>
  <c r="CI503"/>
  <c r="CI501"/>
  <c r="CI497"/>
  <c r="CI493"/>
  <c r="CI489"/>
  <c r="CI485"/>
  <c r="CI481"/>
  <c r="CI477"/>
  <c r="CI473"/>
  <c r="CI469"/>
  <c r="CI465"/>
  <c r="CI461"/>
  <c r="CI457"/>
  <c r="CI453"/>
  <c r="CI449"/>
  <c r="CI445"/>
  <c r="CI441"/>
  <c r="CI437"/>
  <c r="CI433"/>
  <c r="CI429"/>
  <c r="CI425"/>
  <c r="CI520"/>
  <c r="CI514"/>
  <c r="CI511"/>
  <c r="CI508"/>
  <c r="CI502"/>
  <c r="CI495"/>
  <c r="CI488"/>
  <c r="CI486"/>
  <c r="CI479"/>
  <c r="CI472"/>
  <c r="CI470"/>
  <c r="CI463"/>
  <c r="CI496"/>
  <c r="CI494"/>
  <c r="CI487"/>
  <c r="CI480"/>
  <c r="CI478"/>
  <c r="CI471"/>
  <c r="CI516"/>
  <c r="CI507"/>
  <c r="CI504"/>
  <c r="CI499"/>
  <c r="CI492"/>
  <c r="CI490"/>
  <c r="CI483"/>
  <c r="CI476"/>
  <c r="CI474"/>
  <c r="CI462"/>
  <c r="CI456"/>
  <c r="CI454"/>
  <c r="CI447"/>
  <c r="CI440"/>
  <c r="CI438"/>
  <c r="CI431"/>
  <c r="CI424"/>
  <c r="CI459"/>
  <c r="CI452"/>
  <c r="CI434"/>
  <c r="CI518"/>
  <c r="CI506"/>
  <c r="CI500"/>
  <c r="CI491"/>
  <c r="CI482"/>
  <c r="CI467"/>
  <c r="CI460"/>
  <c r="CI455"/>
  <c r="CI448"/>
  <c r="CI446"/>
  <c r="CI439"/>
  <c r="CI432"/>
  <c r="CI430"/>
  <c r="CI423"/>
  <c r="CI498"/>
  <c r="CI466"/>
  <c r="CI450"/>
  <c r="CI443"/>
  <c r="CI436"/>
  <c r="CI427"/>
  <c r="CI515"/>
  <c r="CI484"/>
  <c r="CI475"/>
  <c r="CI468"/>
  <c r="CI464"/>
  <c r="CI458"/>
  <c r="CI451"/>
  <c r="CI444"/>
  <c r="CI442"/>
  <c r="CI435"/>
  <c r="CI428"/>
  <c r="CI426"/>
  <c r="CG519"/>
  <c r="CG515"/>
  <c r="CG511"/>
  <c r="CG507"/>
  <c r="CG503"/>
  <c r="CG520"/>
  <c r="CG513"/>
  <c r="CG506"/>
  <c r="CG504"/>
  <c r="CG499"/>
  <c r="CG495"/>
  <c r="CG491"/>
  <c r="CG487"/>
  <c r="CG483"/>
  <c r="CG479"/>
  <c r="CG475"/>
  <c r="CG471"/>
  <c r="CG467"/>
  <c r="CG463"/>
  <c r="CG459"/>
  <c r="CG455"/>
  <c r="CG451"/>
  <c r="CG447"/>
  <c r="CG443"/>
  <c r="CG439"/>
  <c r="CG435"/>
  <c r="CG431"/>
  <c r="CG427"/>
  <c r="CG423"/>
  <c r="CG521"/>
  <c r="CG518"/>
  <c r="CG512"/>
  <c r="CG509"/>
  <c r="CG498"/>
  <c r="CG496"/>
  <c r="CG489"/>
  <c r="CG482"/>
  <c r="CG480"/>
  <c r="CG473"/>
  <c r="CG466"/>
  <c r="CG464"/>
  <c r="CG510"/>
  <c r="CG497"/>
  <c r="CG490"/>
  <c r="CG488"/>
  <c r="CG481"/>
  <c r="CG474"/>
  <c r="CG472"/>
  <c r="CG517"/>
  <c r="CG514"/>
  <c r="CG508"/>
  <c r="CG505"/>
  <c r="CG502"/>
  <c r="CG500"/>
  <c r="CG493"/>
  <c r="CG486"/>
  <c r="CG484"/>
  <c r="CG477"/>
  <c r="CG478"/>
  <c r="CG470"/>
  <c r="CG460"/>
  <c r="CG457"/>
  <c r="CG450"/>
  <c r="CG448"/>
  <c r="CG441"/>
  <c r="CG434"/>
  <c r="CG432"/>
  <c r="CG425"/>
  <c r="CG516"/>
  <c r="CG453"/>
  <c r="CG437"/>
  <c r="CG501"/>
  <c r="CG492"/>
  <c r="CG468"/>
  <c r="CG461"/>
  <c r="CG458"/>
  <c r="CG456"/>
  <c r="CG449"/>
  <c r="CG442"/>
  <c r="CG440"/>
  <c r="CG433"/>
  <c r="CG426"/>
  <c r="CG424"/>
  <c r="CG446"/>
  <c r="CG444"/>
  <c r="CG430"/>
  <c r="CG428"/>
  <c r="CG494"/>
  <c r="CG485"/>
  <c r="CG476"/>
  <c r="CG469"/>
  <c r="CG465"/>
  <c r="CG462"/>
  <c r="CG454"/>
  <c r="CG452"/>
  <c r="CG445"/>
  <c r="CG438"/>
  <c r="CG436"/>
  <c r="CG429"/>
  <c r="CE520"/>
  <c r="CE516"/>
  <c r="CE512"/>
  <c r="CE508"/>
  <c r="CE504"/>
  <c r="CE518"/>
  <c r="CE511"/>
  <c r="CE509"/>
  <c r="CE502"/>
  <c r="CE500"/>
  <c r="CE496"/>
  <c r="CE492"/>
  <c r="CE488"/>
  <c r="CE484"/>
  <c r="CE480"/>
  <c r="CE476"/>
  <c r="CE472"/>
  <c r="CE468"/>
  <c r="CE464"/>
  <c r="CE460"/>
  <c r="CE456"/>
  <c r="CE452"/>
  <c r="CE448"/>
  <c r="CE444"/>
  <c r="CE440"/>
  <c r="CE436"/>
  <c r="CE432"/>
  <c r="CE428"/>
  <c r="CE424"/>
  <c r="CE515"/>
  <c r="CE506"/>
  <c r="CE503"/>
  <c r="CE501"/>
  <c r="CE494"/>
  <c r="CE487"/>
  <c r="CE485"/>
  <c r="CE478"/>
  <c r="CE471"/>
  <c r="CE469"/>
  <c r="CE462"/>
  <c r="CE517"/>
  <c r="CE514"/>
  <c r="CE505"/>
  <c r="CE495"/>
  <c r="CE493"/>
  <c r="CE486"/>
  <c r="CE479"/>
  <c r="CE477"/>
  <c r="CE470"/>
  <c r="CE521"/>
  <c r="CE498"/>
  <c r="CE491"/>
  <c r="CE489"/>
  <c r="CE482"/>
  <c r="CE475"/>
  <c r="CE519"/>
  <c r="CE507"/>
  <c r="CE497"/>
  <c r="CE466"/>
  <c r="CE463"/>
  <c r="CE455"/>
  <c r="CE453"/>
  <c r="CE446"/>
  <c r="CE439"/>
  <c r="CE437"/>
  <c r="CE430"/>
  <c r="CE423"/>
  <c r="CE490"/>
  <c r="CE467"/>
  <c r="CE435"/>
  <c r="CE426"/>
  <c r="CE513"/>
  <c r="CE483"/>
  <c r="CE473"/>
  <c r="CE465"/>
  <c r="CE454"/>
  <c r="CE447"/>
  <c r="CE445"/>
  <c r="CE438"/>
  <c r="CE431"/>
  <c r="CE429"/>
  <c r="CE499"/>
  <c r="CE481"/>
  <c r="CE461"/>
  <c r="CE458"/>
  <c r="CE451"/>
  <c r="CE449"/>
  <c r="CE442"/>
  <c r="CE433"/>
  <c r="CE510"/>
  <c r="CE474"/>
  <c r="CE459"/>
  <c r="CE457"/>
  <c r="CE450"/>
  <c r="CE443"/>
  <c r="CE441"/>
  <c r="CE434"/>
  <c r="CE427"/>
  <c r="CE425"/>
  <c r="CD517"/>
  <c r="CD509"/>
  <c r="CD516"/>
  <c r="CD507"/>
  <c r="CD497"/>
  <c r="CD489"/>
  <c r="CD481"/>
  <c r="CD473"/>
  <c r="CD465"/>
  <c r="CD457"/>
  <c r="CD449"/>
  <c r="CD441"/>
  <c r="CD433"/>
  <c r="CD425"/>
  <c r="CD510"/>
  <c r="CD492"/>
  <c r="CD483"/>
  <c r="CD474"/>
  <c r="CD460"/>
  <c r="CD511"/>
  <c r="CD502"/>
  <c r="CD498"/>
  <c r="CD484"/>
  <c r="CD475"/>
  <c r="CD518"/>
  <c r="CD512"/>
  <c r="CD503"/>
  <c r="CD494"/>
  <c r="CD480"/>
  <c r="CD488"/>
  <c r="CD471"/>
  <c r="CD451"/>
  <c r="CD442"/>
  <c r="CD428"/>
  <c r="CD504"/>
  <c r="CD464"/>
  <c r="CD440"/>
  <c r="CD424"/>
  <c r="CD459"/>
  <c r="CD450"/>
  <c r="CD436"/>
  <c r="CD427"/>
  <c r="CD447"/>
  <c r="CD495"/>
  <c r="CD470"/>
  <c r="CD463"/>
  <c r="CD448"/>
  <c r="CD439"/>
  <c r="CD430"/>
  <c r="CC518"/>
  <c r="CC514"/>
  <c r="CC510"/>
  <c r="CC506"/>
  <c r="CC502"/>
  <c r="CC521"/>
  <c r="CC519"/>
  <c r="CC512"/>
  <c r="CC505"/>
  <c r="CC503"/>
  <c r="CC498"/>
  <c r="CC494"/>
  <c r="CC490"/>
  <c r="CC486"/>
  <c r="CC482"/>
  <c r="CC478"/>
  <c r="CC474"/>
  <c r="CC470"/>
  <c r="CC466"/>
  <c r="CC462"/>
  <c r="CC458"/>
  <c r="CC454"/>
  <c r="CC450"/>
  <c r="CC446"/>
  <c r="CC442"/>
  <c r="CC438"/>
  <c r="CC434"/>
  <c r="CC430"/>
  <c r="CC426"/>
  <c r="CC516"/>
  <c r="CC513"/>
  <c r="CC507"/>
  <c r="CC504"/>
  <c r="CC497"/>
  <c r="CC495"/>
  <c r="CC488"/>
  <c r="CC481"/>
  <c r="CC479"/>
  <c r="CC472"/>
  <c r="CC465"/>
  <c r="CC463"/>
  <c r="CC515"/>
  <c r="CC496"/>
  <c r="CC489"/>
  <c r="CC487"/>
  <c r="CC480"/>
  <c r="CC473"/>
  <c r="CC471"/>
  <c r="CC509"/>
  <c r="CC501"/>
  <c r="CC499"/>
  <c r="CC492"/>
  <c r="CC485"/>
  <c r="CC483"/>
  <c r="CC476"/>
  <c r="CC467"/>
  <c r="CC464"/>
  <c r="CC461"/>
  <c r="CC456"/>
  <c r="CC449"/>
  <c r="CC447"/>
  <c r="CC440"/>
  <c r="CC433"/>
  <c r="CC431"/>
  <c r="CC424"/>
  <c r="CC511"/>
  <c r="CC491"/>
  <c r="CC459"/>
  <c r="CC445"/>
  <c r="CC443"/>
  <c r="CC436"/>
  <c r="CC427"/>
  <c r="CC520"/>
  <c r="CC508"/>
  <c r="CC493"/>
  <c r="CC484"/>
  <c r="CC475"/>
  <c r="CC469"/>
  <c r="CC457"/>
  <c r="CC455"/>
  <c r="CC448"/>
  <c r="CC441"/>
  <c r="CC439"/>
  <c r="CC432"/>
  <c r="CC425"/>
  <c r="CC423"/>
  <c r="CC500"/>
  <c r="CC468"/>
  <c r="CC452"/>
  <c r="CC429"/>
  <c r="CC517"/>
  <c r="CC477"/>
  <c r="CC460"/>
  <c r="CC453"/>
  <c r="CC451"/>
  <c r="CC444"/>
  <c r="CC437"/>
  <c r="CC435"/>
  <c r="CC428"/>
  <c r="BF521"/>
  <c r="BF513"/>
  <c r="BF505"/>
  <c r="BF508"/>
  <c r="BF501"/>
  <c r="BF493"/>
  <c r="BF485"/>
  <c r="BF477"/>
  <c r="BF469"/>
  <c r="BF461"/>
  <c r="BF453"/>
  <c r="BF445"/>
  <c r="BF437"/>
  <c r="BF429"/>
  <c r="BF520"/>
  <c r="BF511"/>
  <c r="BF500"/>
  <c r="BF491"/>
  <c r="BF482"/>
  <c r="BF468"/>
  <c r="BF466"/>
  <c r="BF512"/>
  <c r="BF503"/>
  <c r="BF499"/>
  <c r="BF492"/>
  <c r="BF490"/>
  <c r="BF483"/>
  <c r="BF476"/>
  <c r="BF474"/>
  <c r="BF519"/>
  <c r="BF516"/>
  <c r="BF510"/>
  <c r="BF507"/>
  <c r="BF504"/>
  <c r="BF495"/>
  <c r="BF488"/>
  <c r="BF486"/>
  <c r="BF479"/>
  <c r="BF480"/>
  <c r="BF472"/>
  <c r="BF462"/>
  <c r="BF459"/>
  <c r="BF452"/>
  <c r="BF450"/>
  <c r="BF443"/>
  <c r="BF436"/>
  <c r="BF434"/>
  <c r="BF427"/>
  <c r="BF448"/>
  <c r="BF446"/>
  <c r="BF439"/>
  <c r="BF423"/>
  <c r="BF518"/>
  <c r="BF494"/>
  <c r="BF470"/>
  <c r="BF463"/>
  <c r="BF460"/>
  <c r="BF458"/>
  <c r="BF451"/>
  <c r="BF444"/>
  <c r="BF442"/>
  <c r="BF435"/>
  <c r="BF428"/>
  <c r="BF426"/>
  <c r="BF455"/>
  <c r="BF432"/>
  <c r="BF430"/>
  <c r="BF496"/>
  <c r="BF487"/>
  <c r="BF478"/>
  <c r="BF471"/>
  <c r="BF467"/>
  <c r="BF464"/>
  <c r="BF456"/>
  <c r="BF454"/>
  <c r="BF447"/>
  <c r="BF440"/>
  <c r="BF438"/>
  <c r="BF431"/>
  <c r="BF424"/>
  <c r="CA392" i="20"/>
  <c r="CA419"/>
  <c r="BY450"/>
  <c r="BY398"/>
  <c r="BY414"/>
  <c r="BT382"/>
  <c r="BT393"/>
  <c r="BR382"/>
  <c r="BR391"/>
  <c r="BR412"/>
  <c r="AH400"/>
  <c r="AH416"/>
  <c r="U388"/>
  <c r="U416"/>
  <c r="O395"/>
  <c r="O400"/>
  <c r="O416"/>
  <c r="K386"/>
  <c r="K416"/>
  <c r="G385"/>
  <c r="G416"/>
  <c r="D404"/>
  <c r="D382"/>
  <c r="BK520" i="12"/>
  <c r="BK516"/>
  <c r="BK512"/>
  <c r="BK508"/>
  <c r="BK504"/>
  <c r="BK515"/>
  <c r="BK513"/>
  <c r="BK506"/>
  <c r="BK500"/>
  <c r="BK496"/>
  <c r="BK492"/>
  <c r="BK488"/>
  <c r="BK484"/>
  <c r="BK480"/>
  <c r="BK476"/>
  <c r="BK472"/>
  <c r="BK468"/>
  <c r="BK464"/>
  <c r="BK460"/>
  <c r="BK456"/>
  <c r="BK452"/>
  <c r="BK448"/>
  <c r="BK444"/>
  <c r="BK440"/>
  <c r="BK436"/>
  <c r="BK432"/>
  <c r="BK428"/>
  <c r="BK424"/>
  <c r="BK521"/>
  <c r="BK518"/>
  <c r="BK509"/>
  <c r="BK498"/>
  <c r="BK491"/>
  <c r="BK489"/>
  <c r="BK482"/>
  <c r="BK475"/>
  <c r="BK473"/>
  <c r="BK466"/>
  <c r="BK519"/>
  <c r="BK510"/>
  <c r="BK507"/>
  <c r="BK499"/>
  <c r="BK497"/>
  <c r="BK490"/>
  <c r="BK483"/>
  <c r="BK481"/>
  <c r="BK474"/>
  <c r="BK467"/>
  <c r="BK517"/>
  <c r="BK514"/>
  <c r="BK511"/>
  <c r="BK505"/>
  <c r="BK502"/>
  <c r="BK495"/>
  <c r="BK493"/>
  <c r="BK486"/>
  <c r="BK479"/>
  <c r="BK477"/>
  <c r="BK503"/>
  <c r="BK487"/>
  <c r="BK478"/>
  <c r="BK470"/>
  <c r="BK459"/>
  <c r="BK457"/>
  <c r="BK450"/>
  <c r="BK443"/>
  <c r="BK441"/>
  <c r="BK434"/>
  <c r="BK427"/>
  <c r="BK425"/>
  <c r="BK471"/>
  <c r="BK455"/>
  <c r="BK453"/>
  <c r="BK437"/>
  <c r="BK430"/>
  <c r="BK423"/>
  <c r="BK501"/>
  <c r="BK461"/>
  <c r="BK458"/>
  <c r="BK451"/>
  <c r="BK449"/>
  <c r="BK442"/>
  <c r="BK435"/>
  <c r="BK433"/>
  <c r="BK426"/>
  <c r="BK463"/>
  <c r="BK446"/>
  <c r="BK439"/>
  <c r="BK494"/>
  <c r="BK485"/>
  <c r="BK469"/>
  <c r="BK465"/>
  <c r="BK462"/>
  <c r="BK454"/>
  <c r="BK447"/>
  <c r="BK445"/>
  <c r="BK438"/>
  <c r="BK431"/>
  <c r="BK429"/>
  <c r="BJ521"/>
  <c r="BJ517"/>
  <c r="BJ513"/>
  <c r="BJ509"/>
  <c r="BJ505"/>
  <c r="BJ520"/>
  <c r="BJ518"/>
  <c r="BJ511"/>
  <c r="BJ504"/>
  <c r="BJ502"/>
  <c r="BJ501"/>
  <c r="BJ497"/>
  <c r="BJ493"/>
  <c r="BJ489"/>
  <c r="BJ485"/>
  <c r="BJ481"/>
  <c r="BJ477"/>
  <c r="BJ473"/>
  <c r="BJ469"/>
  <c r="BJ465"/>
  <c r="BJ461"/>
  <c r="BJ457"/>
  <c r="BJ453"/>
  <c r="BJ449"/>
  <c r="BJ445"/>
  <c r="BJ441"/>
  <c r="BJ437"/>
  <c r="BJ433"/>
  <c r="BJ429"/>
  <c r="BJ425"/>
  <c r="BJ515"/>
  <c r="BJ512"/>
  <c r="BJ506"/>
  <c r="BJ503"/>
  <c r="BJ496"/>
  <c r="BJ494"/>
  <c r="BJ487"/>
  <c r="BJ480"/>
  <c r="BJ478"/>
  <c r="BJ471"/>
  <c r="BJ464"/>
  <c r="BJ462"/>
  <c r="BJ514"/>
  <c r="BJ495"/>
  <c r="BJ488"/>
  <c r="BJ486"/>
  <c r="BJ479"/>
  <c r="BJ472"/>
  <c r="BJ470"/>
  <c r="BJ508"/>
  <c r="BJ500"/>
  <c r="BJ498"/>
  <c r="BJ491"/>
  <c r="BJ484"/>
  <c r="BJ482"/>
  <c r="BJ510"/>
  <c r="BJ475"/>
  <c r="BJ466"/>
  <c r="BJ463"/>
  <c r="BJ460"/>
  <c r="BJ455"/>
  <c r="BJ448"/>
  <c r="BJ446"/>
  <c r="BJ439"/>
  <c r="BJ432"/>
  <c r="BJ430"/>
  <c r="BJ423"/>
  <c r="BJ507"/>
  <c r="BJ499"/>
  <c r="BJ467"/>
  <c r="BJ435"/>
  <c r="BJ426"/>
  <c r="BJ516"/>
  <c r="BJ492"/>
  <c r="BJ483"/>
  <c r="BJ468"/>
  <c r="BJ456"/>
  <c r="BJ454"/>
  <c r="BJ447"/>
  <c r="BJ440"/>
  <c r="BJ438"/>
  <c r="BJ431"/>
  <c r="BJ424"/>
  <c r="BJ519"/>
  <c r="BJ490"/>
  <c r="BJ458"/>
  <c r="BJ451"/>
  <c r="BJ444"/>
  <c r="BJ442"/>
  <c r="BJ428"/>
  <c r="BJ476"/>
  <c r="BJ474"/>
  <c r="BJ459"/>
  <c r="BJ452"/>
  <c r="BJ450"/>
  <c r="BJ443"/>
  <c r="BJ436"/>
  <c r="BJ434"/>
  <c r="BJ427"/>
  <c r="BI518"/>
  <c r="BI514"/>
  <c r="BI510"/>
  <c r="BI506"/>
  <c r="BI502"/>
  <c r="BI516"/>
  <c r="BI509"/>
  <c r="BI507"/>
  <c r="BI498"/>
  <c r="BI494"/>
  <c r="BI490"/>
  <c r="BI486"/>
  <c r="BI482"/>
  <c r="BI478"/>
  <c r="BI474"/>
  <c r="BI470"/>
  <c r="BI466"/>
  <c r="BI462"/>
  <c r="BI458"/>
  <c r="BI454"/>
  <c r="BI450"/>
  <c r="BI446"/>
  <c r="BI442"/>
  <c r="BI438"/>
  <c r="BI434"/>
  <c r="BI430"/>
  <c r="BI426"/>
  <c r="BI519"/>
  <c r="BI501"/>
  <c r="BI499"/>
  <c r="BI492"/>
  <c r="BI485"/>
  <c r="BI483"/>
  <c r="BI476"/>
  <c r="BI469"/>
  <c r="BI467"/>
  <c r="BI460"/>
  <c r="BI520"/>
  <c r="BI517"/>
  <c r="BI511"/>
  <c r="BI508"/>
  <c r="BI505"/>
  <c r="BI500"/>
  <c r="BI493"/>
  <c r="BI491"/>
  <c r="BI484"/>
  <c r="BI477"/>
  <c r="BI475"/>
  <c r="BI468"/>
  <c r="BI521"/>
  <c r="BI515"/>
  <c r="BI512"/>
  <c r="BI503"/>
  <c r="BI496"/>
  <c r="BI489"/>
  <c r="BI487"/>
  <c r="BI480"/>
  <c r="BI497"/>
  <c r="BI488"/>
  <c r="BI479"/>
  <c r="BI471"/>
  <c r="BI453"/>
  <c r="BI451"/>
  <c r="BI444"/>
  <c r="BI437"/>
  <c r="BI435"/>
  <c r="BI428"/>
  <c r="BI481"/>
  <c r="BI472"/>
  <c r="BI461"/>
  <c r="BI456"/>
  <c r="BI424"/>
  <c r="BI504"/>
  <c r="BI473"/>
  <c r="BI465"/>
  <c r="BI459"/>
  <c r="BI452"/>
  <c r="BI445"/>
  <c r="BI443"/>
  <c r="BI436"/>
  <c r="BI429"/>
  <c r="BI427"/>
  <c r="BI464"/>
  <c r="BI449"/>
  <c r="BI447"/>
  <c r="BI440"/>
  <c r="BI433"/>
  <c r="BI431"/>
  <c r="BI513"/>
  <c r="BI495"/>
  <c r="BI463"/>
  <c r="BI457"/>
  <c r="BI455"/>
  <c r="BI448"/>
  <c r="BI441"/>
  <c r="BI439"/>
  <c r="BI432"/>
  <c r="BI425"/>
  <c r="BI423"/>
  <c r="BH519"/>
  <c r="BH515"/>
  <c r="BH511"/>
  <c r="BH507"/>
  <c r="BH503"/>
  <c r="BH521"/>
  <c r="BH514"/>
  <c r="BH512"/>
  <c r="BH505"/>
  <c r="BH499"/>
  <c r="BH495"/>
  <c r="BH491"/>
  <c r="BH487"/>
  <c r="BH483"/>
  <c r="BH479"/>
  <c r="BH475"/>
  <c r="BH471"/>
  <c r="BH467"/>
  <c r="BH463"/>
  <c r="BH459"/>
  <c r="BH455"/>
  <c r="BH451"/>
  <c r="BH447"/>
  <c r="BH443"/>
  <c r="BH439"/>
  <c r="BH435"/>
  <c r="BH431"/>
  <c r="BH427"/>
  <c r="BH423"/>
  <c r="BH516"/>
  <c r="BH513"/>
  <c r="BH510"/>
  <c r="BH504"/>
  <c r="BH497"/>
  <c r="BH490"/>
  <c r="BH488"/>
  <c r="BH481"/>
  <c r="BH474"/>
  <c r="BH472"/>
  <c r="BH465"/>
  <c r="BH502"/>
  <c r="BH498"/>
  <c r="BH496"/>
  <c r="BH489"/>
  <c r="BH482"/>
  <c r="BH480"/>
  <c r="BH473"/>
  <c r="BH518"/>
  <c r="BH509"/>
  <c r="BH506"/>
  <c r="BH501"/>
  <c r="BH494"/>
  <c r="BH492"/>
  <c r="BH485"/>
  <c r="BH478"/>
  <c r="BH476"/>
  <c r="BH517"/>
  <c r="BH464"/>
  <c r="BH461"/>
  <c r="BH458"/>
  <c r="BH456"/>
  <c r="BH449"/>
  <c r="BH442"/>
  <c r="BH440"/>
  <c r="BH433"/>
  <c r="BH426"/>
  <c r="BH424"/>
  <c r="BH500"/>
  <c r="BH468"/>
  <c r="BH454"/>
  <c r="BH445"/>
  <c r="BH438"/>
  <c r="BH436"/>
  <c r="BH493"/>
  <c r="BH484"/>
  <c r="BH469"/>
  <c r="BH462"/>
  <c r="BH457"/>
  <c r="BH450"/>
  <c r="BH448"/>
  <c r="BH441"/>
  <c r="BH434"/>
  <c r="BH432"/>
  <c r="BH425"/>
  <c r="BH452"/>
  <c r="BH429"/>
  <c r="BH520"/>
  <c r="BH508"/>
  <c r="BH486"/>
  <c r="BH477"/>
  <c r="BH470"/>
  <c r="BH466"/>
  <c r="BH460"/>
  <c r="BH453"/>
  <c r="BH446"/>
  <c r="BH444"/>
  <c r="BH437"/>
  <c r="BH430"/>
  <c r="BH428"/>
  <c r="BE518"/>
  <c r="BE514"/>
  <c r="BE510"/>
  <c r="BE506"/>
  <c r="BE502"/>
  <c r="BE520"/>
  <c r="BE513"/>
  <c r="BE511"/>
  <c r="BE504"/>
  <c r="BE498"/>
  <c r="BE494"/>
  <c r="BE490"/>
  <c r="BE486"/>
  <c r="BE482"/>
  <c r="BE478"/>
  <c r="BE474"/>
  <c r="BE470"/>
  <c r="BE466"/>
  <c r="BE462"/>
  <c r="BE458"/>
  <c r="BE454"/>
  <c r="BE450"/>
  <c r="BE446"/>
  <c r="BE442"/>
  <c r="BE438"/>
  <c r="BE434"/>
  <c r="BE430"/>
  <c r="BE426"/>
  <c r="BE517"/>
  <c r="BE508"/>
  <c r="BE505"/>
  <c r="BE496"/>
  <c r="BE489"/>
  <c r="BE487"/>
  <c r="BE480"/>
  <c r="BE473"/>
  <c r="BE471"/>
  <c r="BE464"/>
  <c r="BE519"/>
  <c r="BE516"/>
  <c r="BE507"/>
  <c r="BE497"/>
  <c r="BE495"/>
  <c r="BE488"/>
  <c r="BE481"/>
  <c r="BE479"/>
  <c r="BE472"/>
  <c r="BE500"/>
  <c r="BE493"/>
  <c r="BE491"/>
  <c r="BE484"/>
  <c r="BE477"/>
  <c r="BE512"/>
  <c r="BE499"/>
  <c r="BE468"/>
  <c r="BE465"/>
  <c r="BE457"/>
  <c r="BE455"/>
  <c r="BE448"/>
  <c r="BE441"/>
  <c r="BE439"/>
  <c r="BE432"/>
  <c r="BE425"/>
  <c r="BE423"/>
  <c r="BE509"/>
  <c r="BE501"/>
  <c r="BE483"/>
  <c r="BE463"/>
  <c r="BE451"/>
  <c r="BE444"/>
  <c r="BE428"/>
  <c r="BE485"/>
  <c r="BE476"/>
  <c r="BE475"/>
  <c r="BE467"/>
  <c r="BE456"/>
  <c r="BE449"/>
  <c r="BE447"/>
  <c r="BE440"/>
  <c r="BE433"/>
  <c r="BE431"/>
  <c r="BE424"/>
  <c r="BE521"/>
  <c r="BE492"/>
  <c r="BE469"/>
  <c r="BE460"/>
  <c r="BE453"/>
  <c r="BE437"/>
  <c r="BE435"/>
  <c r="BE515"/>
  <c r="BE503"/>
  <c r="BE461"/>
  <c r="BE459"/>
  <c r="BE452"/>
  <c r="BE445"/>
  <c r="BE443"/>
  <c r="BE436"/>
  <c r="BE429"/>
  <c r="BE427"/>
  <c r="BA419"/>
  <c r="BA518"/>
  <c r="BA514"/>
  <c r="BA510"/>
  <c r="BA506"/>
  <c r="BA502"/>
  <c r="BA517"/>
  <c r="BA515"/>
  <c r="BA508"/>
  <c r="BA498"/>
  <c r="BA494"/>
  <c r="BA490"/>
  <c r="BA486"/>
  <c r="BA482"/>
  <c r="BA478"/>
  <c r="BA474"/>
  <c r="BA470"/>
  <c r="BA466"/>
  <c r="BA462"/>
  <c r="BA458"/>
  <c r="BA454"/>
  <c r="BA450"/>
  <c r="BA446"/>
  <c r="BA442"/>
  <c r="BA438"/>
  <c r="BA434"/>
  <c r="BA430"/>
  <c r="BA426"/>
  <c r="BA519"/>
  <c r="BA516"/>
  <c r="BA513"/>
  <c r="BA507"/>
  <c r="BA504"/>
  <c r="BA500"/>
  <c r="BA493"/>
  <c r="BA491"/>
  <c r="BA484"/>
  <c r="BA477"/>
  <c r="BA475"/>
  <c r="BA468"/>
  <c r="BA461"/>
  <c r="BA505"/>
  <c r="BA501"/>
  <c r="BA499"/>
  <c r="BA492"/>
  <c r="BA485"/>
  <c r="BA483"/>
  <c r="BA476"/>
  <c r="BA469"/>
  <c r="BA521"/>
  <c r="BA512"/>
  <c r="BA509"/>
  <c r="BA503"/>
  <c r="BA497"/>
  <c r="BA495"/>
  <c r="BA488"/>
  <c r="BA481"/>
  <c r="BA479"/>
  <c r="BA467"/>
  <c r="BA464"/>
  <c r="BA459"/>
  <c r="BA452"/>
  <c r="BA445"/>
  <c r="BA443"/>
  <c r="BA436"/>
  <c r="BA429"/>
  <c r="BA427"/>
  <c r="BA455"/>
  <c r="BA448"/>
  <c r="BA432"/>
  <c r="BA425"/>
  <c r="BA423"/>
  <c r="BA520"/>
  <c r="BA496"/>
  <c r="BA487"/>
  <c r="BA472"/>
  <c r="BA465"/>
  <c r="BA460"/>
  <c r="BA453"/>
  <c r="BA451"/>
  <c r="BA444"/>
  <c r="BA437"/>
  <c r="BA435"/>
  <c r="BA428"/>
  <c r="BA511"/>
  <c r="BA471"/>
  <c r="BA457"/>
  <c r="BA441"/>
  <c r="BA439"/>
  <c r="BA489"/>
  <c r="BA480"/>
  <c r="BA473"/>
  <c r="BA463"/>
  <c r="BA456"/>
  <c r="BA449"/>
  <c r="BA447"/>
  <c r="BA440"/>
  <c r="BA433"/>
  <c r="BA431"/>
  <c r="BA424"/>
  <c r="CH518"/>
  <c r="CH514"/>
  <c r="CH510"/>
  <c r="CH506"/>
  <c r="CH502"/>
  <c r="CH517"/>
  <c r="CH515"/>
  <c r="CH508"/>
  <c r="CH498"/>
  <c r="CH494"/>
  <c r="CH490"/>
  <c r="CH486"/>
  <c r="CH482"/>
  <c r="CH478"/>
  <c r="CH474"/>
  <c r="CH470"/>
  <c r="CH466"/>
  <c r="CH462"/>
  <c r="CH458"/>
  <c r="CH454"/>
  <c r="CH450"/>
  <c r="CH446"/>
  <c r="CH442"/>
  <c r="CH438"/>
  <c r="CH434"/>
  <c r="CH430"/>
  <c r="CH426"/>
  <c r="CH505"/>
  <c r="CH500"/>
  <c r="CH493"/>
  <c r="CH491"/>
  <c r="CH484"/>
  <c r="CH477"/>
  <c r="CH475"/>
  <c r="CH468"/>
  <c r="CH461"/>
  <c r="CH519"/>
  <c r="CH516"/>
  <c r="CH513"/>
  <c r="CH507"/>
  <c r="CH504"/>
  <c r="CH501"/>
  <c r="CH499"/>
  <c r="CH492"/>
  <c r="CH485"/>
  <c r="CH483"/>
  <c r="CH476"/>
  <c r="CH469"/>
  <c r="CH467"/>
  <c r="CH520"/>
  <c r="CH511"/>
  <c r="CH497"/>
  <c r="CH495"/>
  <c r="CH488"/>
  <c r="CH481"/>
  <c r="CH479"/>
  <c r="CH512"/>
  <c r="CH496"/>
  <c r="CH487"/>
  <c r="CH465"/>
  <c r="CH459"/>
  <c r="CH452"/>
  <c r="CH445"/>
  <c r="CH443"/>
  <c r="CH436"/>
  <c r="CH429"/>
  <c r="CH427"/>
  <c r="CH521"/>
  <c r="CH471"/>
  <c r="CH463"/>
  <c r="CH455"/>
  <c r="CH448"/>
  <c r="CH425"/>
  <c r="CH423"/>
  <c r="CH472"/>
  <c r="CH464"/>
  <c r="CH453"/>
  <c r="CH451"/>
  <c r="CH444"/>
  <c r="CH437"/>
  <c r="CH435"/>
  <c r="CH428"/>
  <c r="CH509"/>
  <c r="CH489"/>
  <c r="CH480"/>
  <c r="CH460"/>
  <c r="CH457"/>
  <c r="CH441"/>
  <c r="CH439"/>
  <c r="CH432"/>
  <c r="CH503"/>
  <c r="CH473"/>
  <c r="CH456"/>
  <c r="CH449"/>
  <c r="CH447"/>
  <c r="CH440"/>
  <c r="CH433"/>
  <c r="CH431"/>
  <c r="CH424"/>
  <c r="P521"/>
  <c r="P520"/>
  <c r="P519"/>
  <c r="P518"/>
  <c r="P517"/>
  <c r="P516"/>
  <c r="P515"/>
  <c r="P514"/>
  <c r="P513"/>
  <c r="P512"/>
  <c r="P511"/>
  <c r="P510"/>
  <c r="P509"/>
  <c r="P508"/>
  <c r="P507"/>
  <c r="P506"/>
  <c r="P505"/>
  <c r="P504"/>
  <c r="P503"/>
  <c r="P502"/>
  <c r="P501"/>
  <c r="P500"/>
  <c r="P499"/>
  <c r="P498"/>
  <c r="P497"/>
  <c r="P496"/>
  <c r="P495"/>
  <c r="P494"/>
  <c r="P493"/>
  <c r="P492"/>
  <c r="P491"/>
  <c r="P490"/>
  <c r="P489"/>
  <c r="P488"/>
  <c r="P487"/>
  <c r="P486"/>
  <c r="P485"/>
  <c r="P484"/>
  <c r="P483"/>
  <c r="P482"/>
  <c r="P481"/>
  <c r="P480"/>
  <c r="P479"/>
  <c r="P478"/>
  <c r="P477"/>
  <c r="P476"/>
  <c r="P475"/>
  <c r="P474"/>
  <c r="P473"/>
  <c r="P472"/>
  <c r="P471"/>
  <c r="P470"/>
  <c r="P469"/>
  <c r="P468"/>
  <c r="P467"/>
  <c r="P466"/>
  <c r="P465"/>
  <c r="P464"/>
  <c r="P463"/>
  <c r="P462"/>
  <c r="P461"/>
  <c r="P460"/>
  <c r="P459"/>
  <c r="P458"/>
  <c r="P457"/>
  <c r="P456"/>
  <c r="P455"/>
  <c r="P454"/>
  <c r="P453"/>
  <c r="P452"/>
  <c r="P451"/>
  <c r="P450"/>
  <c r="P449"/>
  <c r="P448"/>
  <c r="P447"/>
  <c r="P446"/>
  <c r="P445"/>
  <c r="P444"/>
  <c r="P443"/>
  <c r="P442"/>
  <c r="P441"/>
  <c r="P440"/>
  <c r="P439"/>
  <c r="P438"/>
  <c r="P437"/>
  <c r="P436"/>
  <c r="P435"/>
  <c r="P434"/>
  <c r="P433"/>
  <c r="P432"/>
  <c r="P431"/>
  <c r="P430"/>
  <c r="P429"/>
  <c r="P428"/>
  <c r="P427"/>
  <c r="P426"/>
  <c r="P425"/>
  <c r="P424"/>
  <c r="P423"/>
  <c r="BG419"/>
  <c r="BG520"/>
  <c r="BG516"/>
  <c r="BG512"/>
  <c r="BG508"/>
  <c r="BG504"/>
  <c r="BG519"/>
  <c r="BG517"/>
  <c r="BG510"/>
  <c r="BG503"/>
  <c r="BG500"/>
  <c r="BG496"/>
  <c r="BG492"/>
  <c r="BG488"/>
  <c r="BG484"/>
  <c r="BG480"/>
  <c r="BG476"/>
  <c r="BG472"/>
  <c r="BG468"/>
  <c r="BG464"/>
  <c r="BG460"/>
  <c r="BG456"/>
  <c r="BG452"/>
  <c r="BG448"/>
  <c r="BG444"/>
  <c r="BG440"/>
  <c r="BG436"/>
  <c r="BG432"/>
  <c r="BG428"/>
  <c r="BG424"/>
  <c r="BG507"/>
  <c r="BG495"/>
  <c r="BG493"/>
  <c r="BG486"/>
  <c r="BG479"/>
  <c r="BG477"/>
  <c r="BG470"/>
  <c r="BG463"/>
  <c r="BG461"/>
  <c r="BG521"/>
  <c r="BG518"/>
  <c r="BG515"/>
  <c r="BG509"/>
  <c r="BG506"/>
  <c r="BG501"/>
  <c r="BG494"/>
  <c r="BG487"/>
  <c r="BG485"/>
  <c r="BG478"/>
  <c r="BG471"/>
  <c r="BG469"/>
  <c r="BG513"/>
  <c r="BG499"/>
  <c r="BG497"/>
  <c r="BG490"/>
  <c r="BG483"/>
  <c r="BG481"/>
  <c r="BG505"/>
  <c r="BG498"/>
  <c r="BG489"/>
  <c r="BG467"/>
  <c r="BG454"/>
  <c r="BG447"/>
  <c r="BG445"/>
  <c r="BG438"/>
  <c r="BG431"/>
  <c r="BG429"/>
  <c r="BG514"/>
  <c r="BG502"/>
  <c r="BG482"/>
  <c r="BG473"/>
  <c r="BG462"/>
  <c r="BG457"/>
  <c r="BG443"/>
  <c r="BG441"/>
  <c r="BG427"/>
  <c r="BG425"/>
  <c r="BG511"/>
  <c r="BG474"/>
  <c r="BG466"/>
  <c r="BG455"/>
  <c r="BG453"/>
  <c r="BG446"/>
  <c r="BG439"/>
  <c r="BG437"/>
  <c r="BG430"/>
  <c r="BG423"/>
  <c r="BG491"/>
  <c r="BG465"/>
  <c r="BG459"/>
  <c r="BG450"/>
  <c r="BG434"/>
  <c r="BG475"/>
  <c r="BG458"/>
  <c r="BG451"/>
  <c r="BG449"/>
  <c r="BG442"/>
  <c r="BG435"/>
  <c r="BG433"/>
  <c r="BG426"/>
  <c r="BB419"/>
  <c r="BB521"/>
  <c r="BB517"/>
  <c r="BB513"/>
  <c r="BB509"/>
  <c r="BB505"/>
  <c r="BB519"/>
  <c r="BB512"/>
  <c r="BB510"/>
  <c r="BB503"/>
  <c r="BB501"/>
  <c r="BB497"/>
  <c r="BB493"/>
  <c r="BB489"/>
  <c r="BB485"/>
  <c r="BB481"/>
  <c r="BB477"/>
  <c r="BB473"/>
  <c r="BB469"/>
  <c r="BB465"/>
  <c r="BB461"/>
  <c r="BB457"/>
  <c r="BB453"/>
  <c r="BB449"/>
  <c r="BB445"/>
  <c r="BB441"/>
  <c r="BB437"/>
  <c r="BB433"/>
  <c r="BB429"/>
  <c r="BB425"/>
  <c r="BB495"/>
  <c r="BB488"/>
  <c r="BB486"/>
  <c r="BB479"/>
  <c r="BB472"/>
  <c r="BB470"/>
  <c r="BB463"/>
  <c r="BB520"/>
  <c r="BB514"/>
  <c r="BB511"/>
  <c r="BB508"/>
  <c r="BB502"/>
  <c r="BB496"/>
  <c r="BB494"/>
  <c r="BB487"/>
  <c r="BB480"/>
  <c r="BB478"/>
  <c r="BB471"/>
  <c r="BB518"/>
  <c r="BB515"/>
  <c r="BB506"/>
  <c r="BB499"/>
  <c r="BB492"/>
  <c r="BB490"/>
  <c r="BB483"/>
  <c r="BB476"/>
  <c r="BB507"/>
  <c r="BB500"/>
  <c r="BB491"/>
  <c r="BB482"/>
  <c r="BB474"/>
  <c r="BB456"/>
  <c r="BB454"/>
  <c r="BB447"/>
  <c r="BB440"/>
  <c r="BB438"/>
  <c r="BB431"/>
  <c r="BB424"/>
  <c r="BB475"/>
  <c r="BB464"/>
  <c r="BB459"/>
  <c r="BB452"/>
  <c r="BB450"/>
  <c r="BB434"/>
  <c r="BB427"/>
  <c r="BB462"/>
  <c r="BB455"/>
  <c r="BB448"/>
  <c r="BB446"/>
  <c r="BB439"/>
  <c r="BB432"/>
  <c r="BB430"/>
  <c r="BB423"/>
  <c r="BB516"/>
  <c r="BB504"/>
  <c r="BB484"/>
  <c r="BB467"/>
  <c r="BB443"/>
  <c r="BB436"/>
  <c r="BB498"/>
  <c r="BB468"/>
  <c r="BB466"/>
  <c r="BB460"/>
  <c r="BB458"/>
  <c r="BB451"/>
  <c r="BB444"/>
  <c r="BB442"/>
  <c r="BB435"/>
  <c r="BB428"/>
  <c r="BB426"/>
  <c r="AZ519"/>
  <c r="AZ515"/>
  <c r="AZ511"/>
  <c r="AZ507"/>
  <c r="AZ503"/>
  <c r="AZ520"/>
  <c r="AZ513"/>
  <c r="AZ506"/>
  <c r="AZ504"/>
  <c r="AZ499"/>
  <c r="AZ495"/>
  <c r="AZ491"/>
  <c r="AZ487"/>
  <c r="AZ483"/>
  <c r="AZ479"/>
  <c r="AZ475"/>
  <c r="AZ471"/>
  <c r="AZ467"/>
  <c r="AZ463"/>
  <c r="AZ459"/>
  <c r="AZ455"/>
  <c r="AZ451"/>
  <c r="AZ447"/>
  <c r="AZ443"/>
  <c r="AZ439"/>
  <c r="AZ435"/>
  <c r="AZ431"/>
  <c r="AZ427"/>
  <c r="AZ423"/>
  <c r="AZ510"/>
  <c r="AZ498"/>
  <c r="AZ496"/>
  <c r="AZ489"/>
  <c r="AZ482"/>
  <c r="AZ480"/>
  <c r="AZ473"/>
  <c r="AZ466"/>
  <c r="AZ464"/>
  <c r="AZ521"/>
  <c r="AZ518"/>
  <c r="AZ512"/>
  <c r="AZ509"/>
  <c r="AZ497"/>
  <c r="AZ490"/>
  <c r="AZ488"/>
  <c r="AZ481"/>
  <c r="AZ474"/>
  <c r="AZ472"/>
  <c r="AZ516"/>
  <c r="AZ500"/>
  <c r="AZ493"/>
  <c r="AZ486"/>
  <c r="AZ484"/>
  <c r="AZ477"/>
  <c r="AZ514"/>
  <c r="AZ502"/>
  <c r="AZ501"/>
  <c r="AZ492"/>
  <c r="AZ470"/>
  <c r="AZ461"/>
  <c r="AZ457"/>
  <c r="AZ450"/>
  <c r="AZ448"/>
  <c r="AZ441"/>
  <c r="AZ434"/>
  <c r="AZ432"/>
  <c r="AZ425"/>
  <c r="AZ465"/>
  <c r="AZ460"/>
  <c r="AZ453"/>
  <c r="AZ430"/>
  <c r="AZ508"/>
  <c r="AZ478"/>
  <c r="AZ468"/>
  <c r="AZ458"/>
  <c r="AZ456"/>
  <c r="AZ449"/>
  <c r="AZ442"/>
  <c r="AZ440"/>
  <c r="AZ433"/>
  <c r="AZ426"/>
  <c r="AZ424"/>
  <c r="AZ494"/>
  <c r="AZ485"/>
  <c r="AZ476"/>
  <c r="AZ462"/>
  <c r="AZ446"/>
  <c r="AZ444"/>
  <c r="AZ437"/>
  <c r="AZ428"/>
  <c r="AZ517"/>
  <c r="AZ505"/>
  <c r="AZ469"/>
  <c r="AZ454"/>
  <c r="AZ452"/>
  <c r="AZ445"/>
  <c r="AZ438"/>
  <c r="AZ436"/>
  <c r="AZ429"/>
  <c r="AY419"/>
  <c r="AY520"/>
  <c r="AY516"/>
  <c r="AY512"/>
  <c r="AY508"/>
  <c r="AY504"/>
  <c r="AY518"/>
  <c r="AY511"/>
  <c r="AY509"/>
  <c r="AY502"/>
  <c r="AY500"/>
  <c r="AY496"/>
  <c r="AY492"/>
  <c r="AY488"/>
  <c r="AY484"/>
  <c r="AY480"/>
  <c r="AY476"/>
  <c r="AY472"/>
  <c r="AY468"/>
  <c r="AY464"/>
  <c r="AY460"/>
  <c r="AY456"/>
  <c r="AY452"/>
  <c r="AY448"/>
  <c r="AY444"/>
  <c r="AY440"/>
  <c r="AY436"/>
  <c r="AY432"/>
  <c r="AY428"/>
  <c r="AY424"/>
  <c r="AY517"/>
  <c r="AY514"/>
  <c r="AY505"/>
  <c r="AY501"/>
  <c r="AY494"/>
  <c r="AY487"/>
  <c r="AY485"/>
  <c r="AY478"/>
  <c r="AY471"/>
  <c r="AY469"/>
  <c r="AY462"/>
  <c r="AY515"/>
  <c r="AY506"/>
  <c r="AY503"/>
  <c r="AY495"/>
  <c r="AY493"/>
  <c r="AY486"/>
  <c r="AY479"/>
  <c r="AY477"/>
  <c r="AY470"/>
  <c r="AY519"/>
  <c r="AY513"/>
  <c r="AY510"/>
  <c r="AY507"/>
  <c r="AY498"/>
  <c r="AY491"/>
  <c r="AY489"/>
  <c r="AY482"/>
  <c r="AY521"/>
  <c r="AY483"/>
  <c r="AY475"/>
  <c r="AY465"/>
  <c r="AY455"/>
  <c r="AY453"/>
  <c r="AY446"/>
  <c r="AY439"/>
  <c r="AY437"/>
  <c r="AY430"/>
  <c r="AY423"/>
  <c r="AY435"/>
  <c r="AY426"/>
  <c r="AY497"/>
  <c r="AY473"/>
  <c r="AY466"/>
  <c r="AY463"/>
  <c r="AY454"/>
  <c r="AY447"/>
  <c r="AY445"/>
  <c r="AY438"/>
  <c r="AY431"/>
  <c r="AY429"/>
  <c r="AY458"/>
  <c r="AY451"/>
  <c r="AY449"/>
  <c r="AY442"/>
  <c r="AY433"/>
  <c r="AY499"/>
  <c r="AY490"/>
  <c r="AY481"/>
  <c r="AY474"/>
  <c r="AY467"/>
  <c r="AY461"/>
  <c r="AY459"/>
  <c r="AY457"/>
  <c r="AY450"/>
  <c r="AY443"/>
  <c r="AY441"/>
  <c r="AY434"/>
  <c r="AY427"/>
  <c r="AY425"/>
  <c r="AW518"/>
  <c r="AW514"/>
  <c r="AW510"/>
  <c r="AW506"/>
  <c r="AW502"/>
  <c r="AW521"/>
  <c r="AW519"/>
  <c r="AW512"/>
  <c r="AW505"/>
  <c r="AW503"/>
  <c r="AW498"/>
  <c r="AW494"/>
  <c r="AW490"/>
  <c r="AW486"/>
  <c r="AW482"/>
  <c r="AW478"/>
  <c r="AW474"/>
  <c r="AW470"/>
  <c r="AW466"/>
  <c r="AW462"/>
  <c r="AW458"/>
  <c r="AW454"/>
  <c r="AW450"/>
  <c r="AW446"/>
  <c r="AW442"/>
  <c r="AW438"/>
  <c r="AW434"/>
  <c r="AW430"/>
  <c r="AW426"/>
  <c r="AW515"/>
  <c r="AW497"/>
  <c r="AW495"/>
  <c r="AW488"/>
  <c r="AW481"/>
  <c r="AW479"/>
  <c r="AW472"/>
  <c r="AW465"/>
  <c r="AW463"/>
  <c r="AW516"/>
  <c r="AW513"/>
  <c r="AW507"/>
  <c r="AW504"/>
  <c r="AW496"/>
  <c r="AW489"/>
  <c r="AW487"/>
  <c r="AW480"/>
  <c r="AW473"/>
  <c r="AW471"/>
  <c r="AW520"/>
  <c r="AW517"/>
  <c r="AW511"/>
  <c r="AW508"/>
  <c r="AW501"/>
  <c r="AW499"/>
  <c r="AW492"/>
  <c r="AW485"/>
  <c r="AW483"/>
  <c r="AW476"/>
  <c r="AW509"/>
  <c r="AW493"/>
  <c r="AW484"/>
  <c r="AW456"/>
  <c r="AW449"/>
  <c r="AW447"/>
  <c r="AW440"/>
  <c r="AW433"/>
  <c r="AW431"/>
  <c r="AW424"/>
  <c r="AW436"/>
  <c r="AW427"/>
  <c r="AW469"/>
  <c r="AW467"/>
  <c r="AW464"/>
  <c r="AW461"/>
  <c r="AW457"/>
  <c r="AW455"/>
  <c r="AW448"/>
  <c r="AW441"/>
  <c r="AW439"/>
  <c r="AW432"/>
  <c r="AW425"/>
  <c r="AW423"/>
  <c r="AW477"/>
  <c r="AW468"/>
  <c r="AW459"/>
  <c r="AW452"/>
  <c r="AW445"/>
  <c r="AW443"/>
  <c r="AW429"/>
  <c r="AW500"/>
  <c r="AW491"/>
  <c r="AW475"/>
  <c r="AW460"/>
  <c r="AW453"/>
  <c r="AW451"/>
  <c r="AW444"/>
  <c r="AW437"/>
  <c r="AW435"/>
  <c r="AW428"/>
  <c r="CF521"/>
  <c r="CF520"/>
  <c r="CF519"/>
  <c r="CF518"/>
  <c r="CF517"/>
  <c r="CF516"/>
  <c r="CF515"/>
  <c r="CF514"/>
  <c r="CF513"/>
  <c r="CF512"/>
  <c r="CF511"/>
  <c r="CF510"/>
  <c r="CF509"/>
  <c r="CF508"/>
  <c r="CF507"/>
  <c r="CF506"/>
  <c r="CF505"/>
  <c r="CF504"/>
  <c r="CF503"/>
  <c r="CF502"/>
  <c r="CF501"/>
  <c r="CF500"/>
  <c r="CF499"/>
  <c r="CF498"/>
  <c r="CF497"/>
  <c r="CF496"/>
  <c r="CF495"/>
  <c r="CF494"/>
  <c r="CF493"/>
  <c r="CF492"/>
  <c r="CF491"/>
  <c r="CF490"/>
  <c r="CF489"/>
  <c r="CF488"/>
  <c r="CF487"/>
  <c r="CF486"/>
  <c r="CF485"/>
  <c r="CF484"/>
  <c r="CF483"/>
  <c r="CF482"/>
  <c r="CF481"/>
  <c r="CF480"/>
  <c r="CF479"/>
  <c r="CF478"/>
  <c r="CF477"/>
  <c r="CF476"/>
  <c r="CF475"/>
  <c r="CF474"/>
  <c r="CF473"/>
  <c r="CF472"/>
  <c r="CF471"/>
  <c r="CF470"/>
  <c r="CF469"/>
  <c r="CF468"/>
  <c r="CF467"/>
  <c r="CF466"/>
  <c r="CF465"/>
  <c r="CF464"/>
  <c r="CF463"/>
  <c r="CF462"/>
  <c r="CF461"/>
  <c r="CF460"/>
  <c r="CF459"/>
  <c r="CF458"/>
  <c r="CF457"/>
  <c r="CF456"/>
  <c r="CF455"/>
  <c r="CF454"/>
  <c r="CF453"/>
  <c r="CF452"/>
  <c r="CF451"/>
  <c r="CF450"/>
  <c r="CF449"/>
  <c r="CF448"/>
  <c r="CF447"/>
  <c r="CF446"/>
  <c r="CF445"/>
  <c r="CF444"/>
  <c r="CF443"/>
  <c r="CF442"/>
  <c r="CF441"/>
  <c r="CF440"/>
  <c r="CF439"/>
  <c r="CF438"/>
  <c r="CF437"/>
  <c r="CF436"/>
  <c r="CF435"/>
  <c r="CF434"/>
  <c r="CF433"/>
  <c r="CF432"/>
  <c r="CF431"/>
  <c r="CF430"/>
  <c r="CF429"/>
  <c r="CF428"/>
  <c r="CF427"/>
  <c r="CF426"/>
  <c r="CF425"/>
  <c r="CF424"/>
  <c r="CF423"/>
  <c r="D23" i="33"/>
  <c r="AQ419" i="12"/>
  <c r="CI419"/>
  <c r="CF419"/>
  <c r="CE419"/>
  <c r="CD419"/>
  <c r="CC419"/>
  <c r="BH419"/>
  <c r="BC419"/>
  <c r="CH419"/>
  <c r="CP419"/>
  <c r="AU419"/>
  <c r="CO419"/>
  <c r="AT419"/>
  <c r="CN419"/>
  <c r="AS419"/>
  <c r="CM419"/>
  <c r="AR419"/>
  <c r="CL419"/>
  <c r="CK419"/>
  <c r="CJ419"/>
  <c r="CG419"/>
  <c r="BK419"/>
  <c r="P419"/>
  <c r="BJ419"/>
  <c r="BI419"/>
  <c r="BE419"/>
  <c r="BD419"/>
  <c r="AZ419"/>
  <c r="AW419"/>
  <c r="BV374" i="20"/>
  <c r="AV202" i="36" s="1"/>
  <c r="C437"/>
  <c r="CN428"/>
  <c r="CM493" i="20"/>
  <c r="CM379"/>
  <c r="CM382"/>
  <c r="CH489"/>
  <c r="CH384"/>
  <c r="CH386"/>
  <c r="CF492"/>
  <c r="CF380"/>
  <c r="CF381"/>
  <c r="CF382"/>
  <c r="CB379"/>
  <c r="CB385"/>
  <c r="BQ379"/>
  <c r="BQ380"/>
  <c r="BQ381"/>
  <c r="BQ385"/>
  <c r="BN492"/>
  <c r="BN383"/>
  <c r="BL489"/>
  <c r="BL382"/>
  <c r="BL384"/>
  <c r="BL386"/>
  <c r="BL387"/>
  <c r="BH489"/>
  <c r="BH380"/>
  <c r="BH381"/>
  <c r="BA489"/>
  <c r="BA380"/>
  <c r="BA381"/>
  <c r="BA383"/>
  <c r="AX384"/>
  <c r="AX387"/>
  <c r="AF492"/>
  <c r="AF379"/>
  <c r="AF380"/>
  <c r="AF381"/>
  <c r="AF382"/>
  <c r="AF385"/>
  <c r="X379"/>
  <c r="X384"/>
  <c r="X385"/>
  <c r="J493"/>
  <c r="J382"/>
  <c r="J384"/>
  <c r="J386"/>
  <c r="C482"/>
  <c r="C379"/>
  <c r="C384"/>
  <c r="CL380"/>
  <c r="CL381"/>
  <c r="CL385"/>
  <c r="CG379"/>
  <c r="CG385"/>
  <c r="CC384"/>
  <c r="CC386"/>
  <c r="BU489"/>
  <c r="BU387"/>
  <c r="BC379"/>
  <c r="BC385"/>
  <c r="AV380"/>
  <c r="AV381"/>
  <c r="P384"/>
  <c r="P385"/>
  <c r="AX374"/>
  <c r="BC178" i="36"/>
  <c r="AF374" i="20"/>
  <c r="N206" i="36"/>
  <c r="AB428"/>
  <c r="M405"/>
  <c r="AB431"/>
  <c r="CN493" i="20"/>
  <c r="CN380"/>
  <c r="CN381"/>
  <c r="CN385"/>
  <c r="CN386"/>
  <c r="CN393"/>
  <c r="CN397"/>
  <c r="CN403"/>
  <c r="CN407"/>
  <c r="CN410"/>
  <c r="CN411"/>
  <c r="CN414"/>
  <c r="CN415"/>
  <c r="CN417"/>
  <c r="CN418"/>
  <c r="CN420"/>
  <c r="CN421"/>
  <c r="CN424"/>
  <c r="CN491"/>
  <c r="CN489"/>
  <c r="CN379"/>
  <c r="CN384"/>
  <c r="CN390"/>
  <c r="CN396"/>
  <c r="CL383"/>
  <c r="CL387"/>
  <c r="CL388"/>
  <c r="CL389"/>
  <c r="CL392"/>
  <c r="CL400"/>
  <c r="CL406"/>
  <c r="CL412"/>
  <c r="CL425"/>
  <c r="CL382"/>
  <c r="CL391"/>
  <c r="CL394"/>
  <c r="CL395"/>
  <c r="CL398"/>
  <c r="CL399"/>
  <c r="CL401"/>
  <c r="CL402"/>
  <c r="CL490"/>
  <c r="CL489"/>
  <c r="CI380"/>
  <c r="CI381"/>
  <c r="CI386"/>
  <c r="CI393"/>
  <c r="CI394"/>
  <c r="CI397"/>
  <c r="CI403"/>
  <c r="CI407"/>
  <c r="CI411"/>
  <c r="CI414"/>
  <c r="CI415"/>
  <c r="CI417"/>
  <c r="CI418"/>
  <c r="CI420"/>
  <c r="CI421"/>
  <c r="CI424"/>
  <c r="CI379"/>
  <c r="CI384"/>
  <c r="CI385"/>
  <c r="CI390"/>
  <c r="CI396"/>
  <c r="CG383"/>
  <c r="CG387"/>
  <c r="CG388"/>
  <c r="CG389"/>
  <c r="CG392"/>
  <c r="CG400"/>
  <c r="CG406"/>
  <c r="CG412"/>
  <c r="CG425"/>
  <c r="CG426"/>
  <c r="CG493"/>
  <c r="CG382"/>
  <c r="CG391"/>
  <c r="CG395"/>
  <c r="CG398"/>
  <c r="CG399"/>
  <c r="CG401"/>
  <c r="CG402"/>
  <c r="CE380"/>
  <c r="CE381"/>
  <c r="CE386"/>
  <c r="CE393"/>
  <c r="CE394"/>
  <c r="CE397"/>
  <c r="CE403"/>
  <c r="CE407"/>
  <c r="CE411"/>
  <c r="CE414"/>
  <c r="CE415"/>
  <c r="CE417"/>
  <c r="CE418"/>
  <c r="CE420"/>
  <c r="CE421"/>
  <c r="CE424"/>
  <c r="CE379"/>
  <c r="CE384"/>
  <c r="CE385"/>
  <c r="CE390"/>
  <c r="CE396"/>
  <c r="CC493"/>
  <c r="CC383"/>
  <c r="CC387"/>
  <c r="CC388"/>
  <c r="CC389"/>
  <c r="CC392"/>
  <c r="CC400"/>
  <c r="CC406"/>
  <c r="CC412"/>
  <c r="CC425"/>
  <c r="CC426"/>
  <c r="CC382"/>
  <c r="CC391"/>
  <c r="CC395"/>
  <c r="CC398"/>
  <c r="CC399"/>
  <c r="CC401"/>
  <c r="CC402"/>
  <c r="BU492"/>
  <c r="BU379"/>
  <c r="BU384"/>
  <c r="BU385"/>
  <c r="BU390"/>
  <c r="BU393"/>
  <c r="BU403"/>
  <c r="BU410"/>
  <c r="BU413"/>
  <c r="BU414"/>
  <c r="BU423"/>
  <c r="BU383"/>
  <c r="BU388"/>
  <c r="BU389"/>
  <c r="BU392"/>
  <c r="BU396"/>
  <c r="BU400"/>
  <c r="BP395"/>
  <c r="BP396"/>
  <c r="BP399"/>
  <c r="BP401"/>
  <c r="BP402"/>
  <c r="BP404"/>
  <c r="BP405"/>
  <c r="BP408"/>
  <c r="BP409"/>
  <c r="BP416"/>
  <c r="BP422"/>
  <c r="BP380"/>
  <c r="BP381"/>
  <c r="BP382"/>
  <c r="BP386"/>
  <c r="BP387"/>
  <c r="BP391"/>
  <c r="BP394"/>
  <c r="BP397"/>
  <c r="BP398"/>
  <c r="BF493"/>
  <c r="BF490"/>
  <c r="BF489"/>
  <c r="BF379"/>
  <c r="BF384"/>
  <c r="BF385"/>
  <c r="BF386"/>
  <c r="BF390"/>
  <c r="BF391"/>
  <c r="BF403"/>
  <c r="BF410"/>
  <c r="BF411"/>
  <c r="BF413"/>
  <c r="BF414"/>
  <c r="BF382"/>
  <c r="BF383"/>
  <c r="BF388"/>
  <c r="BF389"/>
  <c r="BF392"/>
  <c r="BF393"/>
  <c r="BF400"/>
  <c r="BC492"/>
  <c r="BC396"/>
  <c r="BC399"/>
  <c r="BC401"/>
  <c r="BC402"/>
  <c r="BC404"/>
  <c r="BC405"/>
  <c r="BC408"/>
  <c r="BC409"/>
  <c r="BC416"/>
  <c r="BC422"/>
  <c r="BC423"/>
  <c r="BC380"/>
  <c r="BC381"/>
  <c r="BC387"/>
  <c r="BC394"/>
  <c r="BC395"/>
  <c r="BC397"/>
  <c r="BC398"/>
  <c r="BC491"/>
  <c r="AY380"/>
  <c r="AY381"/>
  <c r="AY387"/>
  <c r="AY394"/>
  <c r="AY395"/>
  <c r="AY397"/>
  <c r="AY398"/>
  <c r="AY408"/>
  <c r="AY412"/>
  <c r="AY415"/>
  <c r="AY417"/>
  <c r="AY418"/>
  <c r="AY420"/>
  <c r="AY421"/>
  <c r="AY425"/>
  <c r="AY379"/>
  <c r="AY384"/>
  <c r="AY385"/>
  <c r="AY386"/>
  <c r="AY390"/>
  <c r="AY391"/>
  <c r="AV379"/>
  <c r="AV384"/>
  <c r="AV385"/>
  <c r="AV386"/>
  <c r="AV390"/>
  <c r="AV391"/>
  <c r="AV410"/>
  <c r="AV411"/>
  <c r="AV413"/>
  <c r="AV414"/>
  <c r="AV424"/>
  <c r="AV382"/>
  <c r="AV388"/>
  <c r="AV389"/>
  <c r="AV393"/>
  <c r="AV400"/>
  <c r="AV403"/>
  <c r="AE380"/>
  <c r="AE381"/>
  <c r="AE387"/>
  <c r="AE394"/>
  <c r="AE395"/>
  <c r="AE398"/>
  <c r="AE401"/>
  <c r="AE404"/>
  <c r="AE408"/>
  <c r="AE412"/>
  <c r="AE415"/>
  <c r="AE416"/>
  <c r="AE418"/>
  <c r="AE419"/>
  <c r="AE421"/>
  <c r="AE422"/>
  <c r="AE425"/>
  <c r="AE379"/>
  <c r="AE385"/>
  <c r="AE386"/>
  <c r="AE391"/>
  <c r="AE397"/>
  <c r="AD382"/>
  <c r="AD383"/>
  <c r="AD392"/>
  <c r="AD396"/>
  <c r="AD399"/>
  <c r="AD400"/>
  <c r="AD402"/>
  <c r="AD403"/>
  <c r="AD405"/>
  <c r="AD406"/>
  <c r="AD409"/>
  <c r="AD423"/>
  <c r="AD380"/>
  <c r="AD381"/>
  <c r="AD387"/>
  <c r="AD394"/>
  <c r="AD395"/>
  <c r="AD398"/>
  <c r="AD401"/>
  <c r="Z380"/>
  <c r="Z381"/>
  <c r="Z387"/>
  <c r="Z394"/>
  <c r="Z395"/>
  <c r="Z398"/>
  <c r="Z401"/>
  <c r="Z404"/>
  <c r="Z408"/>
  <c r="Z412"/>
  <c r="Z415"/>
  <c r="Z416"/>
  <c r="Z418"/>
  <c r="Z419"/>
  <c r="Z421"/>
  <c r="Z422"/>
  <c r="Z425"/>
  <c r="Z379"/>
  <c r="Z385"/>
  <c r="Z386"/>
  <c r="Z391"/>
  <c r="Z397"/>
  <c r="P493"/>
  <c r="P382"/>
  <c r="P383"/>
  <c r="P392"/>
  <c r="P396"/>
  <c r="P399"/>
  <c r="P402"/>
  <c r="P403"/>
  <c r="P405"/>
  <c r="P406"/>
  <c r="P409"/>
  <c r="P423"/>
  <c r="P380"/>
  <c r="P381"/>
  <c r="P387"/>
  <c r="P394"/>
  <c r="P395"/>
  <c r="P398"/>
  <c r="P400"/>
  <c r="L380"/>
  <c r="L381"/>
  <c r="L387"/>
  <c r="L394"/>
  <c r="L398"/>
  <c r="L404"/>
  <c r="L408"/>
  <c r="L412"/>
  <c r="L415"/>
  <c r="L418"/>
  <c r="L419"/>
  <c r="L421"/>
  <c r="L422"/>
  <c r="L425"/>
  <c r="L385"/>
  <c r="L391"/>
  <c r="L395"/>
  <c r="L397"/>
  <c r="L400"/>
  <c r="L401"/>
  <c r="L493"/>
  <c r="H385"/>
  <c r="H391"/>
  <c r="H397"/>
  <c r="H401"/>
  <c r="H410"/>
  <c r="H414"/>
  <c r="H420"/>
  <c r="H424"/>
  <c r="H384"/>
  <c r="H388"/>
  <c r="H389"/>
  <c r="H390"/>
  <c r="H393"/>
  <c r="H395"/>
  <c r="H400"/>
  <c r="E482"/>
  <c r="E382"/>
  <c r="E383"/>
  <c r="E392"/>
  <c r="E395"/>
  <c r="E396"/>
  <c r="E399"/>
  <c r="E400"/>
  <c r="E402"/>
  <c r="E403"/>
  <c r="E405"/>
  <c r="E406"/>
  <c r="E409"/>
  <c r="E423"/>
  <c r="E380"/>
  <c r="E381"/>
  <c r="E386"/>
  <c r="E387"/>
  <c r="E394"/>
  <c r="E398"/>
  <c r="E379"/>
  <c r="B789" i="32"/>
  <c r="BU490" i="20"/>
  <c r="U850" i="32"/>
  <c r="U789"/>
  <c r="U54"/>
  <c r="W35" i="6"/>
  <c r="W36"/>
  <c r="CN374" i="20"/>
  <c r="AZ220" i="36"/>
  <c r="BF374" i="20"/>
  <c r="AZ186" i="36"/>
  <c r="V374" i="20"/>
  <c r="N196" i="36"/>
  <c r="D54" i="32"/>
  <c r="D516"/>
  <c r="D608"/>
  <c r="D699"/>
  <c r="AB12" i="17"/>
  <c r="D22" i="32"/>
  <c r="AD305" i="36"/>
  <c r="AF5" i="33"/>
  <c r="AF10"/>
  <c r="AF8"/>
  <c r="AF9"/>
  <c r="AF3"/>
  <c r="AF7"/>
  <c r="AF4"/>
  <c r="AD306" i="36"/>
  <c r="H12" i="6"/>
  <c r="H15"/>
  <c r="P108" i="25"/>
  <c r="H14" i="6"/>
  <c r="H9"/>
  <c r="H13"/>
  <c r="BW380" i="20"/>
  <c r="BW384"/>
  <c r="BW388"/>
  <c r="BW387"/>
  <c r="BW389"/>
  <c r="BW393"/>
  <c r="BW397"/>
  <c r="BW401"/>
  <c r="BW405"/>
  <c r="BW409"/>
  <c r="BW413"/>
  <c r="BW417"/>
  <c r="BW421"/>
  <c r="BW425"/>
  <c r="BW429"/>
  <c r="BW433"/>
  <c r="BW437"/>
  <c r="BW441"/>
  <c r="BW383"/>
  <c r="BW385"/>
  <c r="BW390"/>
  <c r="BW394"/>
  <c r="BW398"/>
  <c r="BW402"/>
  <c r="BW406"/>
  <c r="BW410"/>
  <c r="BW414"/>
  <c r="BW418"/>
  <c r="BW422"/>
  <c r="BW426"/>
  <c r="BW430"/>
  <c r="BW434"/>
  <c r="BW438"/>
  <c r="BW381"/>
  <c r="BW386"/>
  <c r="BW392"/>
  <c r="BW395"/>
  <c r="BW400"/>
  <c r="BW403"/>
  <c r="BW408"/>
  <c r="BW411"/>
  <c r="BW416"/>
  <c r="BW419"/>
  <c r="BW424"/>
  <c r="BW427"/>
  <c r="BW432"/>
  <c r="BW435"/>
  <c r="BW440"/>
  <c r="BW447"/>
  <c r="BW451"/>
  <c r="BW455"/>
  <c r="BW459"/>
  <c r="BW463"/>
  <c r="BW467"/>
  <c r="BW471"/>
  <c r="BW475"/>
  <c r="BW479"/>
  <c r="BW481"/>
  <c r="BW482"/>
  <c r="BW494"/>
  <c r="BW374"/>
  <c r="AX203" i="36" s="1"/>
  <c r="BW492" i="20"/>
  <c r="BW379"/>
  <c r="BW443"/>
  <c r="BW446"/>
  <c r="BW450"/>
  <c r="BW454"/>
  <c r="BW458"/>
  <c r="BW462"/>
  <c r="BW466"/>
  <c r="BW470"/>
  <c r="BW474"/>
  <c r="BW478"/>
  <c r="BW483"/>
  <c r="BW484"/>
  <c r="BT489"/>
  <c r="BT381"/>
  <c r="BT385"/>
  <c r="BT383"/>
  <c r="BT388"/>
  <c r="BT390"/>
  <c r="BT394"/>
  <c r="BT398"/>
  <c r="BT402"/>
  <c r="BT406"/>
  <c r="BT410"/>
  <c r="BT414"/>
  <c r="BT418"/>
  <c r="BT422"/>
  <c r="BT426"/>
  <c r="BT430"/>
  <c r="BT434"/>
  <c r="BT438"/>
  <c r="BT442"/>
  <c r="BT379"/>
  <c r="BT384"/>
  <c r="BT386"/>
  <c r="BT391"/>
  <c r="BT395"/>
  <c r="BT399"/>
  <c r="BT403"/>
  <c r="BT407"/>
  <c r="BT411"/>
  <c r="BT415"/>
  <c r="BT419"/>
  <c r="BT423"/>
  <c r="BT427"/>
  <c r="BT431"/>
  <c r="BT435"/>
  <c r="BT439"/>
  <c r="BT444"/>
  <c r="BT448"/>
  <c r="BT452"/>
  <c r="BT456"/>
  <c r="BT460"/>
  <c r="BT464"/>
  <c r="BT468"/>
  <c r="BT472"/>
  <c r="BT476"/>
  <c r="BT480"/>
  <c r="BT487"/>
  <c r="BT488"/>
  <c r="BT490"/>
  <c r="BT389"/>
  <c r="BT392"/>
  <c r="BT397"/>
  <c r="BT400"/>
  <c r="BT405"/>
  <c r="BT408"/>
  <c r="BT413"/>
  <c r="BT416"/>
  <c r="BT421"/>
  <c r="BT424"/>
  <c r="BT429"/>
  <c r="BT432"/>
  <c r="BT437"/>
  <c r="BT440"/>
  <c r="BT447"/>
  <c r="BT451"/>
  <c r="BT455"/>
  <c r="BT459"/>
  <c r="BT463"/>
  <c r="BT467"/>
  <c r="BT471"/>
  <c r="BT475"/>
  <c r="BT479"/>
  <c r="BT481"/>
  <c r="BT482"/>
  <c r="BO492"/>
  <c r="BO381"/>
  <c r="BO385"/>
  <c r="BO383"/>
  <c r="BO384"/>
  <c r="BO390"/>
  <c r="BO394"/>
  <c r="BO398"/>
  <c r="BO402"/>
  <c r="BO406"/>
  <c r="BO410"/>
  <c r="BO414"/>
  <c r="BO418"/>
  <c r="BO422"/>
  <c r="BO426"/>
  <c r="BO430"/>
  <c r="BO434"/>
  <c r="BO438"/>
  <c r="BO442"/>
  <c r="BO379"/>
  <c r="BO380"/>
  <c r="BO386"/>
  <c r="BO391"/>
  <c r="BO395"/>
  <c r="BO399"/>
  <c r="BO403"/>
  <c r="BO407"/>
  <c r="BO411"/>
  <c r="BO415"/>
  <c r="BO419"/>
  <c r="BO423"/>
  <c r="BO427"/>
  <c r="BO431"/>
  <c r="BO435"/>
  <c r="BO439"/>
  <c r="BO393"/>
  <c r="BO401"/>
  <c r="BO409"/>
  <c r="BO417"/>
  <c r="BO425"/>
  <c r="BO433"/>
  <c r="BO441"/>
  <c r="BO444"/>
  <c r="BO445"/>
  <c r="BO448"/>
  <c r="BO452"/>
  <c r="BO456"/>
  <c r="BO460"/>
  <c r="BO464"/>
  <c r="BO468"/>
  <c r="BO472"/>
  <c r="BO476"/>
  <c r="BO480"/>
  <c r="BO481"/>
  <c r="BO488"/>
  <c r="BO494"/>
  <c r="BO491"/>
  <c r="BO392"/>
  <c r="BO400"/>
  <c r="BO408"/>
  <c r="BO416"/>
  <c r="BO424"/>
  <c r="BO432"/>
  <c r="BO440"/>
  <c r="BO447"/>
  <c r="BO451"/>
  <c r="BO455"/>
  <c r="BO459"/>
  <c r="BO463"/>
  <c r="BO467"/>
  <c r="BO471"/>
  <c r="BO475"/>
  <c r="BO479"/>
  <c r="BO482"/>
  <c r="BO483"/>
  <c r="BJ491"/>
  <c r="BJ380"/>
  <c r="BJ384"/>
  <c r="BJ388"/>
  <c r="BJ381"/>
  <c r="BJ383"/>
  <c r="BJ389"/>
  <c r="BJ393"/>
  <c r="BJ397"/>
  <c r="BJ401"/>
  <c r="BJ405"/>
  <c r="BJ409"/>
  <c r="BJ413"/>
  <c r="BJ417"/>
  <c r="BJ421"/>
  <c r="BJ425"/>
  <c r="BJ429"/>
  <c r="BJ433"/>
  <c r="BJ437"/>
  <c r="BJ441"/>
  <c r="BJ445"/>
  <c r="BJ379"/>
  <c r="BJ390"/>
  <c r="BJ394"/>
  <c r="BJ398"/>
  <c r="BJ402"/>
  <c r="BJ406"/>
  <c r="BJ410"/>
  <c r="BJ414"/>
  <c r="BJ418"/>
  <c r="BJ422"/>
  <c r="BJ426"/>
  <c r="BJ430"/>
  <c r="BJ434"/>
  <c r="BJ438"/>
  <c r="BJ391"/>
  <c r="BJ399"/>
  <c r="BJ407"/>
  <c r="BJ415"/>
  <c r="BJ423"/>
  <c r="BJ431"/>
  <c r="BJ439"/>
  <c r="BJ442"/>
  <c r="BJ444"/>
  <c r="BJ447"/>
  <c r="BJ451"/>
  <c r="BJ455"/>
  <c r="BJ459"/>
  <c r="BJ463"/>
  <c r="BJ467"/>
  <c r="BJ471"/>
  <c r="BJ475"/>
  <c r="BJ479"/>
  <c r="BJ482"/>
  <c r="BJ483"/>
  <c r="BJ490"/>
  <c r="BJ392"/>
  <c r="BJ400"/>
  <c r="BJ408"/>
  <c r="BJ416"/>
  <c r="BJ424"/>
  <c r="BJ432"/>
  <c r="BJ440"/>
  <c r="BJ443"/>
  <c r="BJ446"/>
  <c r="BJ450"/>
  <c r="BJ454"/>
  <c r="BJ458"/>
  <c r="BJ462"/>
  <c r="BJ466"/>
  <c r="BJ470"/>
  <c r="BJ474"/>
  <c r="BJ478"/>
  <c r="BJ484"/>
  <c r="BJ485"/>
  <c r="BI379"/>
  <c r="BI383"/>
  <c r="BI387"/>
  <c r="BI382"/>
  <c r="BI385"/>
  <c r="BI388"/>
  <c r="BI392"/>
  <c r="BI396"/>
  <c r="BI400"/>
  <c r="BI404"/>
  <c r="BI408"/>
  <c r="BI412"/>
  <c r="BI416"/>
  <c r="BI420"/>
  <c r="BI424"/>
  <c r="BI428"/>
  <c r="BI432"/>
  <c r="BI436"/>
  <c r="BI440"/>
  <c r="BI444"/>
  <c r="BI381"/>
  <c r="BI384"/>
  <c r="BI389"/>
  <c r="BI393"/>
  <c r="BI397"/>
  <c r="BI401"/>
  <c r="BI405"/>
  <c r="BI409"/>
  <c r="BI413"/>
  <c r="BI417"/>
  <c r="BI421"/>
  <c r="BI425"/>
  <c r="BI429"/>
  <c r="BI433"/>
  <c r="BI437"/>
  <c r="BI441"/>
  <c r="BI390"/>
  <c r="BI398"/>
  <c r="BI406"/>
  <c r="BI414"/>
  <c r="BI422"/>
  <c r="BI430"/>
  <c r="BI438"/>
  <c r="BI443"/>
  <c r="BI446"/>
  <c r="BI450"/>
  <c r="BI454"/>
  <c r="BI458"/>
  <c r="BI462"/>
  <c r="BI466"/>
  <c r="BI470"/>
  <c r="BI474"/>
  <c r="BI478"/>
  <c r="BI484"/>
  <c r="BI485"/>
  <c r="BI492"/>
  <c r="BI386"/>
  <c r="BI395"/>
  <c r="BI403"/>
  <c r="BI411"/>
  <c r="BI419"/>
  <c r="BI427"/>
  <c r="BI435"/>
  <c r="BI449"/>
  <c r="BI453"/>
  <c r="BI457"/>
  <c r="BI461"/>
  <c r="BI465"/>
  <c r="BI469"/>
  <c r="BI473"/>
  <c r="BI477"/>
  <c r="BI486"/>
  <c r="BI487"/>
  <c r="BE490"/>
  <c r="BE379"/>
  <c r="BE383"/>
  <c r="BE387"/>
  <c r="BE382"/>
  <c r="BE385"/>
  <c r="BE388"/>
  <c r="BE392"/>
  <c r="BE396"/>
  <c r="BE400"/>
  <c r="BE404"/>
  <c r="BE408"/>
  <c r="BE412"/>
  <c r="BE416"/>
  <c r="BE420"/>
  <c r="BE424"/>
  <c r="BE428"/>
  <c r="BE432"/>
  <c r="BE436"/>
  <c r="BE440"/>
  <c r="BE444"/>
  <c r="BE381"/>
  <c r="BE384"/>
  <c r="BE389"/>
  <c r="BE393"/>
  <c r="BE397"/>
  <c r="BE401"/>
  <c r="BE405"/>
  <c r="BE409"/>
  <c r="BE413"/>
  <c r="BE417"/>
  <c r="BE421"/>
  <c r="BE425"/>
  <c r="BE429"/>
  <c r="BE433"/>
  <c r="BE437"/>
  <c r="BE441"/>
  <c r="BE390"/>
  <c r="BE398"/>
  <c r="BE406"/>
  <c r="BE414"/>
  <c r="BE422"/>
  <c r="BE430"/>
  <c r="BE438"/>
  <c r="BE443"/>
  <c r="BE446"/>
  <c r="BE450"/>
  <c r="BE454"/>
  <c r="BE458"/>
  <c r="BE462"/>
  <c r="BE466"/>
  <c r="BE470"/>
  <c r="BE474"/>
  <c r="BE478"/>
  <c r="BE484"/>
  <c r="BE485"/>
  <c r="BE386"/>
  <c r="BE395"/>
  <c r="BE403"/>
  <c r="BE411"/>
  <c r="BE419"/>
  <c r="BE427"/>
  <c r="BE435"/>
  <c r="BE449"/>
  <c r="BE453"/>
  <c r="BE457"/>
  <c r="BE461"/>
  <c r="BE465"/>
  <c r="BE469"/>
  <c r="BE473"/>
  <c r="BE477"/>
  <c r="BE486"/>
  <c r="BE487"/>
  <c r="BB380"/>
  <c r="BB384"/>
  <c r="BB388"/>
  <c r="BB381"/>
  <c r="BB389"/>
  <c r="BB393"/>
  <c r="BB397"/>
  <c r="BB401"/>
  <c r="BB405"/>
  <c r="BB409"/>
  <c r="BB413"/>
  <c r="BB417"/>
  <c r="BB421"/>
  <c r="BB425"/>
  <c r="BB429"/>
  <c r="BB433"/>
  <c r="BB437"/>
  <c r="BB441"/>
  <c r="BB445"/>
  <c r="BB387"/>
  <c r="BB390"/>
  <c r="BB394"/>
  <c r="BB398"/>
  <c r="BB402"/>
  <c r="BB406"/>
  <c r="BB410"/>
  <c r="BB414"/>
  <c r="BB418"/>
  <c r="BB422"/>
  <c r="BB426"/>
  <c r="BB430"/>
  <c r="BB434"/>
  <c r="BB438"/>
  <c r="BB391"/>
  <c r="BB399"/>
  <c r="BB407"/>
  <c r="BB415"/>
  <c r="BB423"/>
  <c r="BB431"/>
  <c r="BB439"/>
  <c r="BB442"/>
  <c r="BB447"/>
  <c r="BB451"/>
  <c r="BB455"/>
  <c r="BB459"/>
  <c r="BB463"/>
  <c r="BB467"/>
  <c r="BB471"/>
  <c r="BB475"/>
  <c r="BB479"/>
  <c r="BB482"/>
  <c r="BB483"/>
  <c r="BB382"/>
  <c r="BB385"/>
  <c r="BB396"/>
  <c r="BB404"/>
  <c r="BB412"/>
  <c r="BB420"/>
  <c r="BB428"/>
  <c r="BB436"/>
  <c r="BB443"/>
  <c r="BB446"/>
  <c r="BB450"/>
  <c r="BB454"/>
  <c r="BB458"/>
  <c r="BB462"/>
  <c r="BB466"/>
  <c r="BB470"/>
  <c r="BB474"/>
  <c r="BB478"/>
  <c r="BB484"/>
  <c r="BB485"/>
  <c r="AT492"/>
  <c r="AT381"/>
  <c r="AT385"/>
  <c r="AT387"/>
  <c r="AT390"/>
  <c r="AT394"/>
  <c r="AT398"/>
  <c r="AT402"/>
  <c r="AT406"/>
  <c r="AT410"/>
  <c r="AT414"/>
  <c r="AT418"/>
  <c r="AT422"/>
  <c r="AT426"/>
  <c r="AT430"/>
  <c r="AT434"/>
  <c r="AT438"/>
  <c r="AT442"/>
  <c r="AT383"/>
  <c r="AT386"/>
  <c r="AT388"/>
  <c r="AT391"/>
  <c r="AT395"/>
  <c r="AT399"/>
  <c r="AT403"/>
  <c r="AT407"/>
  <c r="AT411"/>
  <c r="AT415"/>
  <c r="AT419"/>
  <c r="AT423"/>
  <c r="AT427"/>
  <c r="AT431"/>
  <c r="AT435"/>
  <c r="AT439"/>
  <c r="AT379"/>
  <c r="AT384"/>
  <c r="AT392"/>
  <c r="AT400"/>
  <c r="AT408"/>
  <c r="AT416"/>
  <c r="AT424"/>
  <c r="AT432"/>
  <c r="AT440"/>
  <c r="AT448"/>
  <c r="AT452"/>
  <c r="AT456"/>
  <c r="AT460"/>
  <c r="AT464"/>
  <c r="AT468"/>
  <c r="AT472"/>
  <c r="AT476"/>
  <c r="AT480"/>
  <c r="AT481"/>
  <c r="AT488"/>
  <c r="AT494"/>
  <c r="AT393"/>
  <c r="AT401"/>
  <c r="AT409"/>
  <c r="AT417"/>
  <c r="AT425"/>
  <c r="AT433"/>
  <c r="AT441"/>
  <c r="AT447"/>
  <c r="AT451"/>
  <c r="AT455"/>
  <c r="AT459"/>
  <c r="AT463"/>
  <c r="AT467"/>
  <c r="AT471"/>
  <c r="AT475"/>
  <c r="AT479"/>
  <c r="AT482"/>
  <c r="AT483"/>
  <c r="AR491"/>
  <c r="AR379"/>
  <c r="AR383"/>
  <c r="AR387"/>
  <c r="AR381"/>
  <c r="AR382"/>
  <c r="AR384"/>
  <c r="AR392"/>
  <c r="AR396"/>
  <c r="AR400"/>
  <c r="AR404"/>
  <c r="AR408"/>
  <c r="AR412"/>
  <c r="AR416"/>
  <c r="AR420"/>
  <c r="AR424"/>
  <c r="AR428"/>
  <c r="AR432"/>
  <c r="AR436"/>
  <c r="AR440"/>
  <c r="AR444"/>
  <c r="AR380"/>
  <c r="AR389"/>
  <c r="AR393"/>
  <c r="AR397"/>
  <c r="AR401"/>
  <c r="AR405"/>
  <c r="AR409"/>
  <c r="AR413"/>
  <c r="AR417"/>
  <c r="AR421"/>
  <c r="AR425"/>
  <c r="AR429"/>
  <c r="AR433"/>
  <c r="AR437"/>
  <c r="AR441"/>
  <c r="AR391"/>
  <c r="AR394"/>
  <c r="AR399"/>
  <c r="AR402"/>
  <c r="AR407"/>
  <c r="AR410"/>
  <c r="AR415"/>
  <c r="AR418"/>
  <c r="AR423"/>
  <c r="AR426"/>
  <c r="AR431"/>
  <c r="AR434"/>
  <c r="AR439"/>
  <c r="AR442"/>
  <c r="AR443"/>
  <c r="AR445"/>
  <c r="AR446"/>
  <c r="AR450"/>
  <c r="AR454"/>
  <c r="AR458"/>
  <c r="AR462"/>
  <c r="AR466"/>
  <c r="AR470"/>
  <c r="AR474"/>
  <c r="AR478"/>
  <c r="AR484"/>
  <c r="AR485"/>
  <c r="AR374"/>
  <c r="N218" i="36" s="1"/>
  <c r="AR385" i="20"/>
  <c r="AR449"/>
  <c r="AR453"/>
  <c r="AR457"/>
  <c r="AR461"/>
  <c r="AR465"/>
  <c r="AR469"/>
  <c r="AR473"/>
  <c r="AR477"/>
  <c r="AR486"/>
  <c r="AR487"/>
  <c r="AP492"/>
  <c r="AP490"/>
  <c r="AP381"/>
  <c r="AP385"/>
  <c r="AP383"/>
  <c r="AP390"/>
  <c r="AP394"/>
  <c r="AP398"/>
  <c r="AP402"/>
  <c r="AP406"/>
  <c r="AP410"/>
  <c r="AP414"/>
  <c r="AP418"/>
  <c r="AP422"/>
  <c r="AP426"/>
  <c r="AP430"/>
  <c r="AP434"/>
  <c r="AP438"/>
  <c r="AP442"/>
  <c r="AP379"/>
  <c r="AP386"/>
  <c r="AP388"/>
  <c r="AP391"/>
  <c r="AP395"/>
  <c r="AP399"/>
  <c r="AP403"/>
  <c r="AP407"/>
  <c r="AP411"/>
  <c r="AP415"/>
  <c r="AP419"/>
  <c r="AP423"/>
  <c r="AP427"/>
  <c r="AP431"/>
  <c r="AP435"/>
  <c r="AP439"/>
  <c r="AP389"/>
  <c r="AP397"/>
  <c r="AP405"/>
  <c r="AP413"/>
  <c r="AP421"/>
  <c r="AP429"/>
  <c r="AP437"/>
  <c r="AP444"/>
  <c r="AP448"/>
  <c r="AP452"/>
  <c r="AP456"/>
  <c r="AP460"/>
  <c r="AP464"/>
  <c r="AP468"/>
  <c r="AP472"/>
  <c r="AP476"/>
  <c r="AP480"/>
  <c r="AP481"/>
  <c r="AP488"/>
  <c r="AP494"/>
  <c r="AP384"/>
  <c r="AP387"/>
  <c r="AP392"/>
  <c r="AP400"/>
  <c r="AP408"/>
  <c r="AP416"/>
  <c r="AP424"/>
  <c r="AP432"/>
  <c r="AP440"/>
  <c r="AP447"/>
  <c r="AP451"/>
  <c r="AP455"/>
  <c r="AP459"/>
  <c r="AP463"/>
  <c r="AP467"/>
  <c r="AP471"/>
  <c r="AP475"/>
  <c r="AP479"/>
  <c r="AP482"/>
  <c r="AP483"/>
  <c r="AN379"/>
  <c r="AN383"/>
  <c r="AN387"/>
  <c r="AN382"/>
  <c r="AN384"/>
  <c r="AN392"/>
  <c r="AN396"/>
  <c r="AN400"/>
  <c r="AN404"/>
  <c r="AN408"/>
  <c r="AN412"/>
  <c r="AN416"/>
  <c r="AN420"/>
  <c r="AN424"/>
  <c r="AN428"/>
  <c r="AN432"/>
  <c r="AN436"/>
  <c r="AN440"/>
  <c r="AN444"/>
  <c r="AN380"/>
  <c r="AN389"/>
  <c r="AN393"/>
  <c r="AN397"/>
  <c r="AN401"/>
  <c r="AN405"/>
  <c r="AN409"/>
  <c r="AN413"/>
  <c r="AN417"/>
  <c r="AN421"/>
  <c r="AN425"/>
  <c r="AN429"/>
  <c r="AN433"/>
  <c r="AN437"/>
  <c r="AN441"/>
  <c r="AN388"/>
  <c r="AN443"/>
  <c r="AN445"/>
  <c r="AN446"/>
  <c r="AN450"/>
  <c r="AN454"/>
  <c r="AN458"/>
  <c r="AN462"/>
  <c r="AN466"/>
  <c r="AN470"/>
  <c r="AN474"/>
  <c r="AN478"/>
  <c r="AN484"/>
  <c r="AN485"/>
  <c r="AN374"/>
  <c r="T214" i="36" s="1"/>
  <c r="AN391" i="20"/>
  <c r="AN394"/>
  <c r="AN399"/>
  <c r="AN402"/>
  <c r="AN407"/>
  <c r="AN410"/>
  <c r="AN415"/>
  <c r="AN418"/>
  <c r="AN423"/>
  <c r="AN426"/>
  <c r="AN431"/>
  <c r="AN434"/>
  <c r="AN439"/>
  <c r="AN442"/>
  <c r="AN449"/>
  <c r="AN453"/>
  <c r="AN457"/>
  <c r="AN461"/>
  <c r="AN465"/>
  <c r="AN469"/>
  <c r="AN473"/>
  <c r="AN477"/>
  <c r="AN486"/>
  <c r="AN487"/>
  <c r="AL381"/>
  <c r="AL385"/>
  <c r="AL379"/>
  <c r="AL390"/>
  <c r="AL394"/>
  <c r="AL398"/>
  <c r="AL402"/>
  <c r="AL406"/>
  <c r="AL410"/>
  <c r="AL414"/>
  <c r="AL418"/>
  <c r="AL422"/>
  <c r="AL426"/>
  <c r="AL430"/>
  <c r="AL434"/>
  <c r="AL438"/>
  <c r="AL442"/>
  <c r="AL386"/>
  <c r="AL388"/>
  <c r="AL391"/>
  <c r="AL395"/>
  <c r="AL399"/>
  <c r="AL403"/>
  <c r="AL407"/>
  <c r="AL411"/>
  <c r="AL415"/>
  <c r="AL419"/>
  <c r="AL423"/>
  <c r="AL427"/>
  <c r="AL431"/>
  <c r="AL435"/>
  <c r="AL439"/>
  <c r="AL380"/>
  <c r="AL382"/>
  <c r="AL383"/>
  <c r="AL396"/>
  <c r="AL404"/>
  <c r="AL412"/>
  <c r="AL420"/>
  <c r="AL428"/>
  <c r="AL436"/>
  <c r="AL448"/>
  <c r="AL452"/>
  <c r="AL456"/>
  <c r="AL460"/>
  <c r="AL464"/>
  <c r="AL468"/>
  <c r="AL472"/>
  <c r="AL476"/>
  <c r="AL480"/>
  <c r="AL481"/>
  <c r="AL488"/>
  <c r="AL494"/>
  <c r="AL389"/>
  <c r="AL397"/>
  <c r="AL405"/>
  <c r="AL413"/>
  <c r="AL421"/>
  <c r="AL429"/>
  <c r="AL437"/>
  <c r="AL444"/>
  <c r="AL447"/>
  <c r="AL451"/>
  <c r="AL455"/>
  <c r="AL459"/>
  <c r="AL463"/>
  <c r="AL467"/>
  <c r="AL471"/>
  <c r="AL475"/>
  <c r="AL479"/>
  <c r="AL482"/>
  <c r="AL483"/>
  <c r="AJ491"/>
  <c r="AJ379"/>
  <c r="AJ383"/>
  <c r="AJ387"/>
  <c r="AJ382"/>
  <c r="AJ384"/>
  <c r="AJ392"/>
  <c r="AJ396"/>
  <c r="AJ400"/>
  <c r="AJ404"/>
  <c r="AJ408"/>
  <c r="AJ412"/>
  <c r="AJ416"/>
  <c r="AJ420"/>
  <c r="AJ424"/>
  <c r="AJ428"/>
  <c r="AJ432"/>
  <c r="AJ436"/>
  <c r="AJ440"/>
  <c r="AJ444"/>
  <c r="AJ380"/>
  <c r="AJ385"/>
  <c r="AJ389"/>
  <c r="AJ393"/>
  <c r="AJ397"/>
  <c r="AJ401"/>
  <c r="AJ405"/>
  <c r="AJ409"/>
  <c r="AJ413"/>
  <c r="AJ417"/>
  <c r="AJ421"/>
  <c r="AJ425"/>
  <c r="AJ429"/>
  <c r="AJ433"/>
  <c r="AJ437"/>
  <c r="AJ441"/>
  <c r="AJ386"/>
  <c r="AJ390"/>
  <c r="AJ395"/>
  <c r="AJ398"/>
  <c r="AJ403"/>
  <c r="AJ406"/>
  <c r="AJ411"/>
  <c r="AJ414"/>
  <c r="AJ419"/>
  <c r="AJ422"/>
  <c r="AJ427"/>
  <c r="AJ430"/>
  <c r="AJ435"/>
  <c r="AJ438"/>
  <c r="AJ443"/>
  <c r="AJ445"/>
  <c r="AJ446"/>
  <c r="AJ450"/>
  <c r="AJ454"/>
  <c r="AJ458"/>
  <c r="AJ462"/>
  <c r="AJ466"/>
  <c r="AJ470"/>
  <c r="AJ474"/>
  <c r="AJ478"/>
  <c r="AJ484"/>
  <c r="AJ485"/>
  <c r="AJ374"/>
  <c r="R210" i="36" s="1"/>
  <c r="AJ388" i="20"/>
  <c r="AJ449"/>
  <c r="AJ453"/>
  <c r="AJ457"/>
  <c r="AJ461"/>
  <c r="AJ465"/>
  <c r="AJ469"/>
  <c r="AJ473"/>
  <c r="AJ477"/>
  <c r="AJ486"/>
  <c r="AJ487"/>
  <c r="AH490"/>
  <c r="AH381"/>
  <c r="AH385"/>
  <c r="AH390"/>
  <c r="AH394"/>
  <c r="AH398"/>
  <c r="AH402"/>
  <c r="AH406"/>
  <c r="AH410"/>
  <c r="AH414"/>
  <c r="AH418"/>
  <c r="AH422"/>
  <c r="AH426"/>
  <c r="AH430"/>
  <c r="AH434"/>
  <c r="AH438"/>
  <c r="AH442"/>
  <c r="AH386"/>
  <c r="AH387"/>
  <c r="AH388"/>
  <c r="AH391"/>
  <c r="AH395"/>
  <c r="AH399"/>
  <c r="AH403"/>
  <c r="AH407"/>
  <c r="AH411"/>
  <c r="AH415"/>
  <c r="AH419"/>
  <c r="AH423"/>
  <c r="AH427"/>
  <c r="AH431"/>
  <c r="AH435"/>
  <c r="AH439"/>
  <c r="AH393"/>
  <c r="AH401"/>
  <c r="AH409"/>
  <c r="AH417"/>
  <c r="AH425"/>
  <c r="AH433"/>
  <c r="AH441"/>
  <c r="AH448"/>
  <c r="AH452"/>
  <c r="AH456"/>
  <c r="AH460"/>
  <c r="AH464"/>
  <c r="AH468"/>
  <c r="AH472"/>
  <c r="AH476"/>
  <c r="AH480"/>
  <c r="AH481"/>
  <c r="AH488"/>
  <c r="AH494"/>
  <c r="AH379"/>
  <c r="AH380"/>
  <c r="AH382"/>
  <c r="AH383"/>
  <c r="AH396"/>
  <c r="AH404"/>
  <c r="AH412"/>
  <c r="AH420"/>
  <c r="AH428"/>
  <c r="AH436"/>
  <c r="AH447"/>
  <c r="AH451"/>
  <c r="AH455"/>
  <c r="AH459"/>
  <c r="AH463"/>
  <c r="AH467"/>
  <c r="AH471"/>
  <c r="AH475"/>
  <c r="AH479"/>
  <c r="AH482"/>
  <c r="AH483"/>
  <c r="AC490"/>
  <c r="AC380"/>
  <c r="AC384"/>
  <c r="AC388"/>
  <c r="AC379"/>
  <c r="AC381"/>
  <c r="AC389"/>
  <c r="AC393"/>
  <c r="AC397"/>
  <c r="AC401"/>
  <c r="AC405"/>
  <c r="AC409"/>
  <c r="AC413"/>
  <c r="AC417"/>
  <c r="AC421"/>
  <c r="AC425"/>
  <c r="AC429"/>
  <c r="AC433"/>
  <c r="AC437"/>
  <c r="AC441"/>
  <c r="AC445"/>
  <c r="AC390"/>
  <c r="AC394"/>
  <c r="AC398"/>
  <c r="AC402"/>
  <c r="AC406"/>
  <c r="AC410"/>
  <c r="AC414"/>
  <c r="AC418"/>
  <c r="AC422"/>
  <c r="AC426"/>
  <c r="AC430"/>
  <c r="AC434"/>
  <c r="AC438"/>
  <c r="AC442"/>
  <c r="AC382"/>
  <c r="AC383"/>
  <c r="AC391"/>
  <c r="AC396"/>
  <c r="AC399"/>
  <c r="AC404"/>
  <c r="AC407"/>
  <c r="AC412"/>
  <c r="AC415"/>
  <c r="AC420"/>
  <c r="AC423"/>
  <c r="AC428"/>
  <c r="AC431"/>
  <c r="AC436"/>
  <c r="AC439"/>
  <c r="AC447"/>
  <c r="AC451"/>
  <c r="AC455"/>
  <c r="AC459"/>
  <c r="AC463"/>
  <c r="AC467"/>
  <c r="AC471"/>
  <c r="AC475"/>
  <c r="AC479"/>
  <c r="AC482"/>
  <c r="AC483"/>
  <c r="AC443"/>
  <c r="AC444"/>
  <c r="AC446"/>
  <c r="AC450"/>
  <c r="AC454"/>
  <c r="AC458"/>
  <c r="AC462"/>
  <c r="AC466"/>
  <c r="AC470"/>
  <c r="AC474"/>
  <c r="AC478"/>
  <c r="AC484"/>
  <c r="AC485"/>
  <c r="R492"/>
  <c r="R379"/>
  <c r="R383"/>
  <c r="R387"/>
  <c r="R381"/>
  <c r="R382"/>
  <c r="R392"/>
  <c r="R396"/>
  <c r="R400"/>
  <c r="R404"/>
  <c r="R408"/>
  <c r="R412"/>
  <c r="R416"/>
  <c r="R420"/>
  <c r="R424"/>
  <c r="R428"/>
  <c r="R432"/>
  <c r="R436"/>
  <c r="R440"/>
  <c r="R444"/>
  <c r="R388"/>
  <c r="R389"/>
  <c r="R393"/>
  <c r="R397"/>
  <c r="R401"/>
  <c r="R405"/>
  <c r="R409"/>
  <c r="R413"/>
  <c r="R417"/>
  <c r="R421"/>
  <c r="R425"/>
  <c r="R429"/>
  <c r="R433"/>
  <c r="R437"/>
  <c r="R441"/>
  <c r="R384"/>
  <c r="R390"/>
  <c r="R391"/>
  <c r="R398"/>
  <c r="R399"/>
  <c r="R406"/>
  <c r="R407"/>
  <c r="R414"/>
  <c r="R415"/>
  <c r="R422"/>
  <c r="R423"/>
  <c r="R430"/>
  <c r="R431"/>
  <c r="R438"/>
  <c r="R439"/>
  <c r="R443"/>
  <c r="R446"/>
  <c r="R450"/>
  <c r="R454"/>
  <c r="R458"/>
  <c r="R462"/>
  <c r="R466"/>
  <c r="R470"/>
  <c r="R474"/>
  <c r="R478"/>
  <c r="R481"/>
  <c r="R484"/>
  <c r="R494"/>
  <c r="R449"/>
  <c r="R453"/>
  <c r="R457"/>
  <c r="R461"/>
  <c r="R465"/>
  <c r="R469"/>
  <c r="R473"/>
  <c r="R477"/>
  <c r="R483"/>
  <c r="R486"/>
  <c r="O493"/>
  <c r="O380"/>
  <c r="O384"/>
  <c r="O388"/>
  <c r="O389"/>
  <c r="O393"/>
  <c r="O397"/>
  <c r="O401"/>
  <c r="O405"/>
  <c r="O409"/>
  <c r="O413"/>
  <c r="O417"/>
  <c r="O421"/>
  <c r="O425"/>
  <c r="O429"/>
  <c r="O433"/>
  <c r="O437"/>
  <c r="O441"/>
  <c r="O445"/>
  <c r="O387"/>
  <c r="O390"/>
  <c r="O394"/>
  <c r="O398"/>
  <c r="O402"/>
  <c r="O406"/>
  <c r="O410"/>
  <c r="O414"/>
  <c r="O418"/>
  <c r="O422"/>
  <c r="O426"/>
  <c r="O430"/>
  <c r="O434"/>
  <c r="O438"/>
  <c r="O442"/>
  <c r="O447"/>
  <c r="O451"/>
  <c r="O455"/>
  <c r="O459"/>
  <c r="O463"/>
  <c r="O467"/>
  <c r="O471"/>
  <c r="O475"/>
  <c r="O479"/>
  <c r="O485"/>
  <c r="O488"/>
  <c r="O381"/>
  <c r="O382"/>
  <c r="O383"/>
  <c r="O391"/>
  <c r="O396"/>
  <c r="O399"/>
  <c r="O404"/>
  <c r="O407"/>
  <c r="O412"/>
  <c r="O415"/>
  <c r="O420"/>
  <c r="O423"/>
  <c r="O428"/>
  <c r="O431"/>
  <c r="O436"/>
  <c r="O439"/>
  <c r="O443"/>
  <c r="O446"/>
  <c r="O450"/>
  <c r="O454"/>
  <c r="O458"/>
  <c r="O462"/>
  <c r="O466"/>
  <c r="O470"/>
  <c r="O474"/>
  <c r="O478"/>
  <c r="O482"/>
  <c r="O487"/>
  <c r="K493"/>
  <c r="K380"/>
  <c r="K384"/>
  <c r="K388"/>
  <c r="K389"/>
  <c r="K393"/>
  <c r="K397"/>
  <c r="K401"/>
  <c r="K405"/>
  <c r="K409"/>
  <c r="K413"/>
  <c r="K417"/>
  <c r="K421"/>
  <c r="K425"/>
  <c r="K429"/>
  <c r="K433"/>
  <c r="K437"/>
  <c r="K441"/>
  <c r="K445"/>
  <c r="K387"/>
  <c r="K390"/>
  <c r="K394"/>
  <c r="K398"/>
  <c r="K402"/>
  <c r="K406"/>
  <c r="K410"/>
  <c r="K414"/>
  <c r="K418"/>
  <c r="K422"/>
  <c r="K426"/>
  <c r="K430"/>
  <c r="K434"/>
  <c r="K438"/>
  <c r="K442"/>
  <c r="K447"/>
  <c r="K451"/>
  <c r="K455"/>
  <c r="K459"/>
  <c r="K463"/>
  <c r="K467"/>
  <c r="K471"/>
  <c r="K475"/>
  <c r="K479"/>
  <c r="K485"/>
  <c r="K488"/>
  <c r="K381"/>
  <c r="K382"/>
  <c r="K383"/>
  <c r="K391"/>
  <c r="K396"/>
  <c r="K399"/>
  <c r="K404"/>
  <c r="K407"/>
  <c r="K412"/>
  <c r="K415"/>
  <c r="K420"/>
  <c r="K423"/>
  <c r="K428"/>
  <c r="K431"/>
  <c r="K436"/>
  <c r="K439"/>
  <c r="K443"/>
  <c r="K446"/>
  <c r="K450"/>
  <c r="K454"/>
  <c r="K458"/>
  <c r="K462"/>
  <c r="K466"/>
  <c r="K470"/>
  <c r="K474"/>
  <c r="K478"/>
  <c r="K482"/>
  <c r="K487"/>
  <c r="CK491"/>
  <c r="CK490"/>
  <c r="CK489"/>
  <c r="CK493"/>
  <c r="CK382"/>
  <c r="CK386"/>
  <c r="CK379"/>
  <c r="CK381"/>
  <c r="CK391"/>
  <c r="CK395"/>
  <c r="CK399"/>
  <c r="CK403"/>
  <c r="CK407"/>
  <c r="CK411"/>
  <c r="CK415"/>
  <c r="CK419"/>
  <c r="CK423"/>
  <c r="CK427"/>
  <c r="CK431"/>
  <c r="CK435"/>
  <c r="CK439"/>
  <c r="CK443"/>
  <c r="CK388"/>
  <c r="CK392"/>
  <c r="CK396"/>
  <c r="CK400"/>
  <c r="CK404"/>
  <c r="CK408"/>
  <c r="CK412"/>
  <c r="CK416"/>
  <c r="CK420"/>
  <c r="CK424"/>
  <c r="CK428"/>
  <c r="CK432"/>
  <c r="CK436"/>
  <c r="CK440"/>
  <c r="CK383"/>
  <c r="CK389"/>
  <c r="CK397"/>
  <c r="CK405"/>
  <c r="CK413"/>
  <c r="CK421"/>
  <c r="CK429"/>
  <c r="CK437"/>
  <c r="CK442"/>
  <c r="CK445"/>
  <c r="CK449"/>
  <c r="CK453"/>
  <c r="CK457"/>
  <c r="CK461"/>
  <c r="CK465"/>
  <c r="CK469"/>
  <c r="CK473"/>
  <c r="CK477"/>
  <c r="CK485"/>
  <c r="CK486"/>
  <c r="CK380"/>
  <c r="CK387"/>
  <c r="CK390"/>
  <c r="CK398"/>
  <c r="CK406"/>
  <c r="CK414"/>
  <c r="CK422"/>
  <c r="CK430"/>
  <c r="CK438"/>
  <c r="CK444"/>
  <c r="CK448"/>
  <c r="CK452"/>
  <c r="CK456"/>
  <c r="CK460"/>
  <c r="CK464"/>
  <c r="CK468"/>
  <c r="CK472"/>
  <c r="CK476"/>
  <c r="CK480"/>
  <c r="D789" i="32"/>
  <c r="D1015"/>
  <c r="BJ374" i="20"/>
  <c r="AX190" i="36" s="1"/>
  <c r="BW491" i="20"/>
  <c r="BI490"/>
  <c r="BT492"/>
  <c r="CA491"/>
  <c r="BY494"/>
  <c r="BT494"/>
  <c r="CA488"/>
  <c r="BW488"/>
  <c r="AJ488"/>
  <c r="CK487"/>
  <c r="BY487"/>
  <c r="R487"/>
  <c r="BR486"/>
  <c r="O483"/>
  <c r="CK482"/>
  <c r="O480"/>
  <c r="K480"/>
  <c r="G480"/>
  <c r="BT478"/>
  <c r="AL478"/>
  <c r="AH477"/>
  <c r="O477"/>
  <c r="BM476"/>
  <c r="BE476"/>
  <c r="BM475"/>
  <c r="AN475"/>
  <c r="CK471"/>
  <c r="BY470"/>
  <c r="BT470"/>
  <c r="AL470"/>
  <c r="CA469"/>
  <c r="BB469"/>
  <c r="U469"/>
  <c r="BM468"/>
  <c r="BE468"/>
  <c r="BM467"/>
  <c r="BT465"/>
  <c r="BO465"/>
  <c r="BJ465"/>
  <c r="AP465"/>
  <c r="CA464"/>
  <c r="O464"/>
  <c r="K464"/>
  <c r="G464"/>
  <c r="CK463"/>
  <c r="AH461"/>
  <c r="O461"/>
  <c r="K461"/>
  <c r="G461"/>
  <c r="BR460"/>
  <c r="BI460"/>
  <c r="AT458"/>
  <c r="BO457"/>
  <c r="BJ457"/>
  <c r="AP457"/>
  <c r="CA456"/>
  <c r="O456"/>
  <c r="K456"/>
  <c r="G456"/>
  <c r="CK455"/>
  <c r="BY454"/>
  <c r="BT454"/>
  <c r="BB453"/>
  <c r="AH453"/>
  <c r="O453"/>
  <c r="BR452"/>
  <c r="BI452"/>
  <c r="BE452"/>
  <c r="BM451"/>
  <c r="AN448"/>
  <c r="CK447"/>
  <c r="BY446"/>
  <c r="BT446"/>
  <c r="AL446"/>
  <c r="CA445"/>
  <c r="AL445"/>
  <c r="CA444"/>
  <c r="D444"/>
  <c r="AP443"/>
  <c r="D443"/>
  <c r="AP441"/>
  <c r="AL440"/>
  <c r="BI439"/>
  <c r="BE439"/>
  <c r="AN438"/>
  <c r="AN435"/>
  <c r="R434"/>
  <c r="CK433"/>
  <c r="BW431"/>
  <c r="AJ431"/>
  <c r="AH429"/>
  <c r="BT428"/>
  <c r="BJ428"/>
  <c r="AT428"/>
  <c r="D428"/>
  <c r="AP425"/>
  <c r="AC424"/>
  <c r="Y424"/>
  <c r="BI423"/>
  <c r="AN419"/>
  <c r="AJ418"/>
  <c r="CA416"/>
  <c r="AH413"/>
  <c r="AT412"/>
  <c r="AC408"/>
  <c r="Y408"/>
  <c r="BI407"/>
  <c r="BO405"/>
  <c r="AN403"/>
  <c r="AJ402"/>
  <c r="BW399"/>
  <c r="AJ399"/>
  <c r="BM398"/>
  <c r="BO396"/>
  <c r="AT396"/>
  <c r="BI394"/>
  <c r="AL392"/>
  <c r="BI391"/>
  <c r="BE391"/>
  <c r="BO389"/>
  <c r="BO387"/>
  <c r="BJ387"/>
  <c r="AL387"/>
  <c r="BJ385"/>
  <c r="AP382"/>
  <c r="BT380"/>
  <c r="BM380"/>
  <c r="BR379"/>
  <c r="BE493"/>
  <c r="BI493"/>
  <c r="BT491"/>
  <c r="C57" i="36"/>
  <c r="C499" s="1"/>
  <c r="AH374" i="20"/>
  <c r="W208" i="36" s="1"/>
  <c r="BR494" i="20"/>
  <c r="BM494"/>
  <c r="BI494"/>
  <c r="BE494"/>
  <c r="CK488"/>
  <c r="BY488"/>
  <c r="BJ488"/>
  <c r="BB488"/>
  <c r="AR488"/>
  <c r="AC488"/>
  <c r="Y488"/>
  <c r="R488"/>
  <c r="CA487"/>
  <c r="BW487"/>
  <c r="BR487"/>
  <c r="BJ487"/>
  <c r="AP487"/>
  <c r="D487"/>
  <c r="AL486"/>
  <c r="AC486"/>
  <c r="Y486"/>
  <c r="BW485"/>
  <c r="AL485"/>
  <c r="R485"/>
  <c r="AT484"/>
  <c r="CK483"/>
  <c r="BM483"/>
  <c r="AN483"/>
  <c r="BM482"/>
  <c r="AN482"/>
  <c r="D482"/>
  <c r="BY481"/>
  <c r="BJ481"/>
  <c r="BB481"/>
  <c r="AR481"/>
  <c r="AC481"/>
  <c r="Y481"/>
  <c r="U481"/>
  <c r="O481"/>
  <c r="K481"/>
  <c r="G481"/>
  <c r="BR480"/>
  <c r="BM480"/>
  <c r="BI480"/>
  <c r="BE480"/>
  <c r="BM479"/>
  <c r="AN479"/>
  <c r="AT478"/>
  <c r="BT477"/>
  <c r="BO477"/>
  <c r="BJ477"/>
  <c r="AP477"/>
  <c r="CA476"/>
  <c r="AN476"/>
  <c r="O476"/>
  <c r="K476"/>
  <c r="G476"/>
  <c r="CK475"/>
  <c r="BY474"/>
  <c r="BT474"/>
  <c r="AL474"/>
  <c r="CA473"/>
  <c r="BB473"/>
  <c r="AH473"/>
  <c r="U473"/>
  <c r="O473"/>
  <c r="K473"/>
  <c r="G473"/>
  <c r="BR472"/>
  <c r="BM472"/>
  <c r="BI472"/>
  <c r="BE472"/>
  <c r="BM471"/>
  <c r="AN471"/>
  <c r="AT470"/>
  <c r="BT469"/>
  <c r="BO469"/>
  <c r="BJ469"/>
  <c r="AP469"/>
  <c r="CA468"/>
  <c r="AN468"/>
  <c r="O468"/>
  <c r="K468"/>
  <c r="G468"/>
  <c r="CK467"/>
  <c r="BY466"/>
  <c r="BT466"/>
  <c r="AL466"/>
  <c r="CA465"/>
  <c r="BB465"/>
  <c r="AH465"/>
  <c r="U465"/>
  <c r="O465"/>
  <c r="K465"/>
  <c r="G465"/>
  <c r="BR464"/>
  <c r="BM464"/>
  <c r="BI464"/>
  <c r="BE464"/>
  <c r="BM463"/>
  <c r="AN463"/>
  <c r="AT462"/>
  <c r="BT461"/>
  <c r="BO461"/>
  <c r="BJ461"/>
  <c r="AP461"/>
  <c r="CA460"/>
  <c r="AN460"/>
  <c r="O460"/>
  <c r="K460"/>
  <c r="G460"/>
  <c r="CK459"/>
  <c r="BY458"/>
  <c r="BT458"/>
  <c r="AL458"/>
  <c r="CA457"/>
  <c r="BB457"/>
  <c r="AH457"/>
  <c r="U457"/>
  <c r="O457"/>
  <c r="K457"/>
  <c r="G457"/>
  <c r="BR456"/>
  <c r="BM456"/>
  <c r="BI456"/>
  <c r="BE456"/>
  <c r="BM455"/>
  <c r="AN455"/>
  <c r="AT454"/>
  <c r="BT453"/>
  <c r="BO453"/>
  <c r="BJ453"/>
  <c r="AP453"/>
  <c r="CA452"/>
  <c r="AN452"/>
  <c r="O452"/>
  <c r="K452"/>
  <c r="G452"/>
  <c r="CK451"/>
  <c r="BT450"/>
  <c r="AL450"/>
  <c r="CA449"/>
  <c r="BB449"/>
  <c r="AH449"/>
  <c r="U449"/>
  <c r="O449"/>
  <c r="K449"/>
  <c r="G449"/>
  <c r="BR448"/>
  <c r="BM448"/>
  <c r="BI448"/>
  <c r="BE448"/>
  <c r="BM447"/>
  <c r="AN447"/>
  <c r="AT446"/>
  <c r="BT445"/>
  <c r="BM445"/>
  <c r="AT445"/>
  <c r="R445"/>
  <c r="BR444"/>
  <c r="BO443"/>
  <c r="AH443"/>
  <c r="BW442"/>
  <c r="AJ442"/>
  <c r="R442"/>
  <c r="CK441"/>
  <c r="CA440"/>
  <c r="BW439"/>
  <c r="AJ439"/>
  <c r="BM438"/>
  <c r="AH437"/>
  <c r="BT436"/>
  <c r="BO436"/>
  <c r="BJ436"/>
  <c r="AT436"/>
  <c r="D436"/>
  <c r="BI434"/>
  <c r="BE434"/>
  <c r="AP433"/>
  <c r="AL432"/>
  <c r="AC432"/>
  <c r="Y432"/>
  <c r="BI431"/>
  <c r="BE431"/>
  <c r="AN430"/>
  <c r="BO429"/>
  <c r="AN427"/>
  <c r="AC427"/>
  <c r="Y427"/>
  <c r="R427"/>
  <c r="AJ426"/>
  <c r="R426"/>
  <c r="CK425"/>
  <c r="CA424"/>
  <c r="BW423"/>
  <c r="AJ423"/>
  <c r="BM422"/>
  <c r="AH421"/>
  <c r="BT420"/>
  <c r="BO420"/>
  <c r="BJ420"/>
  <c r="AT420"/>
  <c r="D420"/>
  <c r="BI418"/>
  <c r="BE418"/>
  <c r="AP417"/>
  <c r="AL416"/>
  <c r="AC416"/>
  <c r="Y416"/>
  <c r="BI415"/>
  <c r="BE415"/>
  <c r="AN414"/>
  <c r="BO413"/>
  <c r="AN411"/>
  <c r="AC411"/>
  <c r="Y411"/>
  <c r="R411"/>
  <c r="AJ410"/>
  <c r="R410"/>
  <c r="CK409"/>
  <c r="CA408"/>
  <c r="BW407"/>
  <c r="AJ407"/>
  <c r="BM406"/>
  <c r="AH405"/>
  <c r="BT404"/>
  <c r="BO404"/>
  <c r="BJ404"/>
  <c r="AT404"/>
  <c r="BI402"/>
  <c r="BE402"/>
  <c r="AP401"/>
  <c r="AL400"/>
  <c r="AC400"/>
  <c r="Y400"/>
  <c r="BI399"/>
  <c r="BE399"/>
  <c r="AN398"/>
  <c r="BO397"/>
  <c r="AN395"/>
  <c r="AC395"/>
  <c r="Y395"/>
  <c r="R395"/>
  <c r="AJ394"/>
  <c r="R394"/>
  <c r="CK393"/>
  <c r="BW391"/>
  <c r="AJ391"/>
  <c r="AH389"/>
  <c r="AN386"/>
  <c r="AC386"/>
  <c r="R386"/>
  <c r="O385"/>
  <c r="K385"/>
  <c r="CK384"/>
  <c r="BW382"/>
  <c r="R380"/>
  <c r="CK492"/>
  <c r="CA492"/>
  <c r="CA380"/>
  <c r="CA384"/>
  <c r="CA388"/>
  <c r="CA382"/>
  <c r="CA387"/>
  <c r="CA389"/>
  <c r="CA393"/>
  <c r="CA397"/>
  <c r="CA401"/>
  <c r="CA405"/>
  <c r="CA409"/>
  <c r="CA413"/>
  <c r="CA417"/>
  <c r="CA421"/>
  <c r="CA425"/>
  <c r="CA429"/>
  <c r="CA433"/>
  <c r="CA437"/>
  <c r="CA441"/>
  <c r="CA383"/>
  <c r="CA385"/>
  <c r="CA390"/>
  <c r="CA394"/>
  <c r="CA398"/>
  <c r="CA402"/>
  <c r="CA406"/>
  <c r="CA410"/>
  <c r="CA414"/>
  <c r="CA418"/>
  <c r="CA422"/>
  <c r="CA426"/>
  <c r="CA430"/>
  <c r="CA434"/>
  <c r="CA438"/>
  <c r="CA379"/>
  <c r="CA443"/>
  <c r="CA447"/>
  <c r="CA451"/>
  <c r="CA455"/>
  <c r="CA459"/>
  <c r="CA463"/>
  <c r="CA467"/>
  <c r="CA471"/>
  <c r="CA475"/>
  <c r="CA479"/>
  <c r="CA481"/>
  <c r="CA482"/>
  <c r="CA494"/>
  <c r="CA374"/>
  <c r="AX207" i="36" s="1"/>
  <c r="CA391" i="20"/>
  <c r="CA396"/>
  <c r="CA399"/>
  <c r="CA404"/>
  <c r="CA407"/>
  <c r="CA412"/>
  <c r="CA415"/>
  <c r="CA420"/>
  <c r="CA423"/>
  <c r="CA428"/>
  <c r="CA431"/>
  <c r="CA436"/>
  <c r="CA439"/>
  <c r="CA446"/>
  <c r="CA450"/>
  <c r="CA454"/>
  <c r="CA458"/>
  <c r="CA462"/>
  <c r="CA466"/>
  <c r="CA470"/>
  <c r="CA474"/>
  <c r="CA478"/>
  <c r="CA483"/>
  <c r="CA484"/>
  <c r="BY382"/>
  <c r="BY386"/>
  <c r="BY379"/>
  <c r="BY381"/>
  <c r="BY388"/>
  <c r="BY391"/>
  <c r="BY395"/>
  <c r="BY399"/>
  <c r="BY403"/>
  <c r="BY407"/>
  <c r="BY411"/>
  <c r="BY415"/>
  <c r="BY419"/>
  <c r="BY423"/>
  <c r="BY427"/>
  <c r="BY431"/>
  <c r="BY435"/>
  <c r="BY439"/>
  <c r="BY443"/>
  <c r="BY384"/>
  <c r="BY392"/>
  <c r="BY396"/>
  <c r="BY400"/>
  <c r="BY404"/>
  <c r="BY408"/>
  <c r="BY412"/>
  <c r="BY416"/>
  <c r="BY420"/>
  <c r="BY424"/>
  <c r="BY428"/>
  <c r="BY432"/>
  <c r="BY436"/>
  <c r="BY440"/>
  <c r="BY385"/>
  <c r="BY394"/>
  <c r="BY402"/>
  <c r="BY410"/>
  <c r="BY418"/>
  <c r="BY426"/>
  <c r="BY434"/>
  <c r="BY442"/>
  <c r="BY445"/>
  <c r="BY449"/>
  <c r="BY453"/>
  <c r="BY457"/>
  <c r="BY461"/>
  <c r="BY465"/>
  <c r="BY469"/>
  <c r="BY473"/>
  <c r="BY477"/>
  <c r="BY485"/>
  <c r="BY486"/>
  <c r="BY383"/>
  <c r="BY389"/>
  <c r="BY397"/>
  <c r="BY405"/>
  <c r="BY413"/>
  <c r="BY421"/>
  <c r="BY429"/>
  <c r="BY437"/>
  <c r="BY444"/>
  <c r="BY448"/>
  <c r="BY452"/>
  <c r="BY456"/>
  <c r="BY460"/>
  <c r="BY464"/>
  <c r="BY468"/>
  <c r="BY472"/>
  <c r="BY476"/>
  <c r="BY480"/>
  <c r="BR380"/>
  <c r="BR384"/>
  <c r="BR388"/>
  <c r="BR385"/>
  <c r="BR387"/>
  <c r="BR389"/>
  <c r="BR393"/>
  <c r="BR397"/>
  <c r="BR401"/>
  <c r="BR405"/>
  <c r="BR409"/>
  <c r="BR413"/>
  <c r="BR417"/>
  <c r="BR421"/>
  <c r="BR425"/>
  <c r="BR429"/>
  <c r="BR433"/>
  <c r="BR437"/>
  <c r="BR441"/>
  <c r="BR445"/>
  <c r="BR381"/>
  <c r="BR383"/>
  <c r="BR390"/>
  <c r="BR394"/>
  <c r="BR398"/>
  <c r="BR402"/>
  <c r="BR406"/>
  <c r="BR410"/>
  <c r="BR414"/>
  <c r="BR418"/>
  <c r="BR422"/>
  <c r="BR426"/>
  <c r="BR430"/>
  <c r="BR434"/>
  <c r="BR438"/>
  <c r="BR392"/>
  <c r="BR400"/>
  <c r="BR408"/>
  <c r="BR416"/>
  <c r="BR424"/>
  <c r="BR432"/>
  <c r="BR440"/>
  <c r="BR447"/>
  <c r="BR451"/>
  <c r="BR455"/>
  <c r="BR459"/>
  <c r="BR463"/>
  <c r="BR467"/>
  <c r="BR471"/>
  <c r="BR475"/>
  <c r="BR479"/>
  <c r="BR482"/>
  <c r="BR483"/>
  <c r="BR386"/>
  <c r="BR395"/>
  <c r="BR403"/>
  <c r="BR411"/>
  <c r="BR419"/>
  <c r="BR427"/>
  <c r="BR435"/>
  <c r="BR443"/>
  <c r="BR446"/>
  <c r="BR450"/>
  <c r="BR454"/>
  <c r="BR458"/>
  <c r="BR462"/>
  <c r="BR466"/>
  <c r="BR470"/>
  <c r="BR474"/>
  <c r="BR478"/>
  <c r="BR484"/>
  <c r="BR485"/>
  <c r="BM379"/>
  <c r="BM383"/>
  <c r="BM387"/>
  <c r="BM382"/>
  <c r="BM385"/>
  <c r="BM392"/>
  <c r="BM396"/>
  <c r="BM400"/>
  <c r="BM404"/>
  <c r="BM408"/>
  <c r="BM412"/>
  <c r="BM416"/>
  <c r="BM420"/>
  <c r="BM424"/>
  <c r="BM428"/>
  <c r="BM432"/>
  <c r="BM436"/>
  <c r="BM440"/>
  <c r="BM444"/>
  <c r="BM381"/>
  <c r="BM388"/>
  <c r="BM389"/>
  <c r="BM393"/>
  <c r="BM397"/>
  <c r="BM401"/>
  <c r="BM405"/>
  <c r="BM409"/>
  <c r="BM413"/>
  <c r="BM417"/>
  <c r="BM421"/>
  <c r="BM425"/>
  <c r="BM429"/>
  <c r="BM433"/>
  <c r="BM437"/>
  <c r="BM441"/>
  <c r="BM443"/>
  <c r="BM446"/>
  <c r="BM450"/>
  <c r="BM454"/>
  <c r="BM458"/>
  <c r="BM462"/>
  <c r="BM466"/>
  <c r="BM470"/>
  <c r="BM474"/>
  <c r="BM478"/>
  <c r="BM484"/>
  <c r="BM485"/>
  <c r="BM386"/>
  <c r="BM394"/>
  <c r="BM395"/>
  <c r="BM402"/>
  <c r="BM403"/>
  <c r="BM410"/>
  <c r="BM411"/>
  <c r="BM418"/>
  <c r="BM419"/>
  <c r="BM426"/>
  <c r="BM427"/>
  <c r="BM434"/>
  <c r="BM435"/>
  <c r="BM449"/>
  <c r="BM453"/>
  <c r="BM457"/>
  <c r="BM461"/>
  <c r="BM465"/>
  <c r="BM469"/>
  <c r="BM473"/>
  <c r="BM477"/>
  <c r="BM486"/>
  <c r="Y491"/>
  <c r="Y380"/>
  <c r="Y384"/>
  <c r="Y388"/>
  <c r="Y379"/>
  <c r="Y381"/>
  <c r="Y389"/>
  <c r="Y393"/>
  <c r="Y397"/>
  <c r="Y401"/>
  <c r="Y405"/>
  <c r="Y409"/>
  <c r="Y413"/>
  <c r="Y417"/>
  <c r="Y421"/>
  <c r="Y425"/>
  <c r="Y429"/>
  <c r="Y433"/>
  <c r="Y437"/>
  <c r="Y441"/>
  <c r="Y445"/>
  <c r="Y390"/>
  <c r="Y394"/>
  <c r="Y398"/>
  <c r="Y402"/>
  <c r="Y406"/>
  <c r="Y410"/>
  <c r="Y414"/>
  <c r="Y418"/>
  <c r="Y422"/>
  <c r="Y426"/>
  <c r="Y430"/>
  <c r="Y434"/>
  <c r="Y438"/>
  <c r="Y442"/>
  <c r="Y382"/>
  <c r="Y383"/>
  <c r="Y391"/>
  <c r="Y396"/>
  <c r="Y399"/>
  <c r="Y404"/>
  <c r="Y407"/>
  <c r="Y412"/>
  <c r="Y415"/>
  <c r="Y420"/>
  <c r="Y423"/>
  <c r="Y428"/>
  <c r="Y431"/>
  <c r="Y436"/>
  <c r="Y439"/>
  <c r="Y447"/>
  <c r="Y451"/>
  <c r="Y455"/>
  <c r="Y459"/>
  <c r="Y463"/>
  <c r="Y467"/>
  <c r="Y471"/>
  <c r="Y475"/>
  <c r="Y479"/>
  <c r="Y482"/>
  <c r="Y483"/>
  <c r="Y443"/>
  <c r="Y444"/>
  <c r="Y446"/>
  <c r="Y450"/>
  <c r="Y454"/>
  <c r="Y458"/>
  <c r="Y462"/>
  <c r="Y466"/>
  <c r="Y470"/>
  <c r="Y474"/>
  <c r="Y478"/>
  <c r="Y484"/>
  <c r="Y485"/>
  <c r="U490"/>
  <c r="U492"/>
  <c r="U381"/>
  <c r="U385"/>
  <c r="U384"/>
  <c r="U390"/>
  <c r="U394"/>
  <c r="U398"/>
  <c r="U402"/>
  <c r="U406"/>
  <c r="U410"/>
  <c r="U414"/>
  <c r="U418"/>
  <c r="U422"/>
  <c r="U426"/>
  <c r="U430"/>
  <c r="U434"/>
  <c r="U438"/>
  <c r="U442"/>
  <c r="U380"/>
  <c r="U386"/>
  <c r="U387"/>
  <c r="U391"/>
  <c r="U395"/>
  <c r="U399"/>
  <c r="U403"/>
  <c r="U407"/>
  <c r="U411"/>
  <c r="U415"/>
  <c r="U419"/>
  <c r="U423"/>
  <c r="U427"/>
  <c r="U431"/>
  <c r="U435"/>
  <c r="U439"/>
  <c r="U389"/>
  <c r="U397"/>
  <c r="U405"/>
  <c r="U413"/>
  <c r="U421"/>
  <c r="U429"/>
  <c r="U437"/>
  <c r="U445"/>
  <c r="U448"/>
  <c r="U452"/>
  <c r="U456"/>
  <c r="U460"/>
  <c r="U464"/>
  <c r="U468"/>
  <c r="U472"/>
  <c r="U476"/>
  <c r="U480"/>
  <c r="U483"/>
  <c r="U488"/>
  <c r="U382"/>
  <c r="U383"/>
  <c r="U396"/>
  <c r="U404"/>
  <c r="U412"/>
  <c r="U420"/>
  <c r="U428"/>
  <c r="U436"/>
  <c r="U447"/>
  <c r="U451"/>
  <c r="U455"/>
  <c r="U459"/>
  <c r="U463"/>
  <c r="U467"/>
  <c r="U471"/>
  <c r="U475"/>
  <c r="U479"/>
  <c r="U482"/>
  <c r="U485"/>
  <c r="G493"/>
  <c r="G490"/>
  <c r="G380"/>
  <c r="G384"/>
  <c r="G388"/>
  <c r="G389"/>
  <c r="G393"/>
  <c r="G397"/>
  <c r="G401"/>
  <c r="G405"/>
  <c r="G409"/>
  <c r="G413"/>
  <c r="G417"/>
  <c r="G421"/>
  <c r="G425"/>
  <c r="G429"/>
  <c r="G433"/>
  <c r="G437"/>
  <c r="G441"/>
  <c r="G445"/>
  <c r="G387"/>
  <c r="G390"/>
  <c r="G394"/>
  <c r="G398"/>
  <c r="G402"/>
  <c r="G406"/>
  <c r="G410"/>
  <c r="G414"/>
  <c r="G418"/>
  <c r="G422"/>
  <c r="G426"/>
  <c r="G430"/>
  <c r="G434"/>
  <c r="G438"/>
  <c r="G442"/>
  <c r="G447"/>
  <c r="G451"/>
  <c r="G455"/>
  <c r="G459"/>
  <c r="G463"/>
  <c r="G467"/>
  <c r="G471"/>
  <c r="G475"/>
  <c r="G479"/>
  <c r="G485"/>
  <c r="G488"/>
  <c r="G381"/>
  <c r="G382"/>
  <c r="G383"/>
  <c r="G391"/>
  <c r="G396"/>
  <c r="G399"/>
  <c r="G404"/>
  <c r="G407"/>
  <c r="G412"/>
  <c r="G415"/>
  <c r="G420"/>
  <c r="G423"/>
  <c r="G428"/>
  <c r="G431"/>
  <c r="G436"/>
  <c r="G439"/>
  <c r="G443"/>
  <c r="G446"/>
  <c r="G450"/>
  <c r="G454"/>
  <c r="G458"/>
  <c r="G462"/>
  <c r="G466"/>
  <c r="G470"/>
  <c r="G474"/>
  <c r="G478"/>
  <c r="G482"/>
  <c r="G487"/>
  <c r="D492"/>
  <c r="D381"/>
  <c r="D385"/>
  <c r="D387"/>
  <c r="D388"/>
  <c r="D390"/>
  <c r="D394"/>
  <c r="D398"/>
  <c r="D402"/>
  <c r="D406"/>
  <c r="D410"/>
  <c r="D414"/>
  <c r="D418"/>
  <c r="D422"/>
  <c r="D426"/>
  <c r="D430"/>
  <c r="D434"/>
  <c r="D438"/>
  <c r="D442"/>
  <c r="D383"/>
  <c r="D384"/>
  <c r="D386"/>
  <c r="D391"/>
  <c r="D395"/>
  <c r="D399"/>
  <c r="D403"/>
  <c r="D407"/>
  <c r="D411"/>
  <c r="D415"/>
  <c r="D419"/>
  <c r="D423"/>
  <c r="D427"/>
  <c r="D431"/>
  <c r="D435"/>
  <c r="D439"/>
  <c r="D379"/>
  <c r="D389"/>
  <c r="D392"/>
  <c r="D397"/>
  <c r="D400"/>
  <c r="D405"/>
  <c r="D408"/>
  <c r="D413"/>
  <c r="D416"/>
  <c r="D421"/>
  <c r="D424"/>
  <c r="D429"/>
  <c r="D432"/>
  <c r="D437"/>
  <c r="D440"/>
  <c r="D448"/>
  <c r="D452"/>
  <c r="D456"/>
  <c r="D460"/>
  <c r="D464"/>
  <c r="D468"/>
  <c r="D472"/>
  <c r="D476"/>
  <c r="D480"/>
  <c r="D483"/>
  <c r="D484"/>
  <c r="D447"/>
  <c r="D451"/>
  <c r="D455"/>
  <c r="D459"/>
  <c r="D463"/>
  <c r="D467"/>
  <c r="D471"/>
  <c r="D475"/>
  <c r="D479"/>
  <c r="D485"/>
  <c r="D486"/>
  <c r="P24" i="25"/>
  <c r="P25"/>
  <c r="N27" s="1"/>
  <c r="C174" i="12"/>
  <c r="N21" i="42"/>
  <c r="U253" i="32"/>
  <c r="CK374" i="20"/>
  <c r="BC217" i="36" s="1"/>
  <c r="AP374" i="20"/>
  <c r="L216" i="36" s="1"/>
  <c r="AN494" i="20"/>
  <c r="D494"/>
  <c r="BB487"/>
  <c r="AH487"/>
  <c r="BW486"/>
  <c r="AT486"/>
  <c r="O486"/>
  <c r="K486"/>
  <c r="G486"/>
  <c r="AT485"/>
  <c r="BY484"/>
  <c r="BT484"/>
  <c r="AL484"/>
  <c r="O484"/>
  <c r="K484"/>
  <c r="G484"/>
  <c r="K483"/>
  <c r="G483"/>
  <c r="AJ481"/>
  <c r="CA480"/>
  <c r="AN480"/>
  <c r="CK479"/>
  <c r="BY478"/>
  <c r="CA477"/>
  <c r="BB477"/>
  <c r="U477"/>
  <c r="K477"/>
  <c r="G477"/>
  <c r="BR476"/>
  <c r="BI476"/>
  <c r="AT474"/>
  <c r="BT473"/>
  <c r="BO473"/>
  <c r="BJ473"/>
  <c r="AP473"/>
  <c r="CA472"/>
  <c r="AN472"/>
  <c r="O472"/>
  <c r="K472"/>
  <c r="G472"/>
  <c r="AH469"/>
  <c r="O469"/>
  <c r="K469"/>
  <c r="G469"/>
  <c r="BR468"/>
  <c r="BI468"/>
  <c r="AN467"/>
  <c r="AT466"/>
  <c r="AN464"/>
  <c r="BY462"/>
  <c r="BT462"/>
  <c r="AL462"/>
  <c r="CA461"/>
  <c r="BB461"/>
  <c r="U461"/>
  <c r="BM460"/>
  <c r="BE460"/>
  <c r="BM459"/>
  <c r="AN459"/>
  <c r="BT457"/>
  <c r="AN456"/>
  <c r="AL454"/>
  <c r="CA453"/>
  <c r="U453"/>
  <c r="K453"/>
  <c r="G453"/>
  <c r="BM452"/>
  <c r="AN451"/>
  <c r="AT450"/>
  <c r="BT449"/>
  <c r="BO449"/>
  <c r="BJ449"/>
  <c r="AP449"/>
  <c r="CA448"/>
  <c r="O448"/>
  <c r="K448"/>
  <c r="G448"/>
  <c r="AT444"/>
  <c r="U443"/>
  <c r="BI442"/>
  <c r="BE442"/>
  <c r="AC440"/>
  <c r="Y440"/>
  <c r="BO437"/>
  <c r="AC435"/>
  <c r="Y435"/>
  <c r="R435"/>
  <c r="AJ434"/>
  <c r="CA432"/>
  <c r="BM430"/>
  <c r="BO428"/>
  <c r="BI426"/>
  <c r="BE426"/>
  <c r="AL424"/>
  <c r="BE423"/>
  <c r="AN422"/>
  <c r="BO421"/>
  <c r="AC419"/>
  <c r="Y419"/>
  <c r="R419"/>
  <c r="R418"/>
  <c r="CK417"/>
  <c r="BW415"/>
  <c r="AJ415"/>
  <c r="BM414"/>
  <c r="BT412"/>
  <c r="BO412"/>
  <c r="BJ412"/>
  <c r="D412"/>
  <c r="BI410"/>
  <c r="BE410"/>
  <c r="AP409"/>
  <c r="AL408"/>
  <c r="BE407"/>
  <c r="AN406"/>
  <c r="AC403"/>
  <c r="Y403"/>
  <c r="R403"/>
  <c r="R402"/>
  <c r="CK401"/>
  <c r="CA400"/>
  <c r="AH397"/>
  <c r="BT396"/>
  <c r="BJ396"/>
  <c r="D396"/>
  <c r="BE394"/>
  <c r="AP393"/>
  <c r="AC392"/>
  <c r="Y392"/>
  <c r="AN390"/>
  <c r="AH384"/>
  <c r="CA381"/>
  <c r="AN381"/>
  <c r="BY380"/>
  <c r="AT380"/>
  <c r="BJ492"/>
  <c r="BI489"/>
  <c r="BT493"/>
  <c r="CA489"/>
  <c r="AT374"/>
  <c r="R220" i="36" s="1"/>
  <c r="AJ494" i="20"/>
  <c r="BR488"/>
  <c r="BM488"/>
  <c r="BI488"/>
  <c r="BE488"/>
  <c r="D488"/>
  <c r="BM487"/>
  <c r="AT487"/>
  <c r="BT486"/>
  <c r="BO486"/>
  <c r="BJ486"/>
  <c r="AP486"/>
  <c r="CA485"/>
  <c r="AP485"/>
  <c r="BO484"/>
  <c r="AH484"/>
  <c r="AR483"/>
  <c r="BY482"/>
  <c r="AR482"/>
  <c r="CK481"/>
  <c r="BR481"/>
  <c r="BM481"/>
  <c r="BI481"/>
  <c r="BE481"/>
  <c r="BW480"/>
  <c r="AJ480"/>
  <c r="BY479"/>
  <c r="AR479"/>
  <c r="BO478"/>
  <c r="AH478"/>
  <c r="BW477"/>
  <c r="BR477"/>
  <c r="AT477"/>
  <c r="D477"/>
  <c r="BJ476"/>
  <c r="BB476"/>
  <c r="AR476"/>
  <c r="AC476"/>
  <c r="Y476"/>
  <c r="R476"/>
  <c r="BI475"/>
  <c r="BE475"/>
  <c r="AJ475"/>
  <c r="R475"/>
  <c r="CK474"/>
  <c r="AP474"/>
  <c r="U474"/>
  <c r="D474"/>
  <c r="AL473"/>
  <c r="AC473"/>
  <c r="Y473"/>
  <c r="BW472"/>
  <c r="AJ472"/>
  <c r="BY471"/>
  <c r="AR471"/>
  <c r="BO470"/>
  <c r="AH470"/>
  <c r="BW469"/>
  <c r="BR469"/>
  <c r="AT469"/>
  <c r="D469"/>
  <c r="BJ468"/>
  <c r="BB468"/>
  <c r="AR468"/>
  <c r="AC468"/>
  <c r="Y468"/>
  <c r="R468"/>
  <c r="BI467"/>
  <c r="BE467"/>
  <c r="AJ467"/>
  <c r="R467"/>
  <c r="CK466"/>
  <c r="AP466"/>
  <c r="U466"/>
  <c r="D466"/>
  <c r="AL465"/>
  <c r="AC465"/>
  <c r="Y465"/>
  <c r="BW464"/>
  <c r="AJ464"/>
  <c r="BY463"/>
  <c r="AR463"/>
  <c r="BO462"/>
  <c r="AH462"/>
  <c r="BW461"/>
  <c r="BR461"/>
  <c r="AT461"/>
  <c r="D461"/>
  <c r="BJ460"/>
  <c r="BB460"/>
  <c r="AR460"/>
  <c r="AC460"/>
  <c r="Y460"/>
  <c r="R460"/>
  <c r="BI459"/>
  <c r="BE459"/>
  <c r="AJ459"/>
  <c r="R459"/>
  <c r="CK458"/>
  <c r="AP458"/>
  <c r="U458"/>
  <c r="D458"/>
  <c r="AL457"/>
  <c r="AC457"/>
  <c r="Y457"/>
  <c r="BW456"/>
  <c r="AJ456"/>
  <c r="BY455"/>
  <c r="AR455"/>
  <c r="BO454"/>
  <c r="AH454"/>
  <c r="BW453"/>
  <c r="BR453"/>
  <c r="AT453"/>
  <c r="D453"/>
  <c r="BJ452"/>
  <c r="BB452"/>
  <c r="AR452"/>
  <c r="AC452"/>
  <c r="Y452"/>
  <c r="R452"/>
  <c r="BI451"/>
  <c r="BE451"/>
  <c r="AJ451"/>
  <c r="R451"/>
  <c r="CK450"/>
  <c r="AP450"/>
  <c r="U450"/>
  <c r="D450"/>
  <c r="AL449"/>
  <c r="AC449"/>
  <c r="Y449"/>
  <c r="BW448"/>
  <c r="AJ448"/>
  <c r="BY447"/>
  <c r="AR447"/>
  <c r="BO446"/>
  <c r="AH446"/>
  <c r="BW445"/>
  <c r="AH445"/>
  <c r="BW444"/>
  <c r="AH444"/>
  <c r="BT443"/>
  <c r="AL443"/>
  <c r="CA442"/>
  <c r="AL441"/>
  <c r="U441"/>
  <c r="D441"/>
  <c r="AH440"/>
  <c r="U440"/>
  <c r="O440"/>
  <c r="K440"/>
  <c r="G440"/>
  <c r="BY438"/>
  <c r="AT437"/>
  <c r="BW436"/>
  <c r="BR436"/>
  <c r="BJ435"/>
  <c r="O435"/>
  <c r="K435"/>
  <c r="G435"/>
  <c r="CK434"/>
  <c r="BY433"/>
  <c r="BT433"/>
  <c r="BB432"/>
  <c r="BR431"/>
  <c r="BM431"/>
  <c r="AR430"/>
  <c r="AP428"/>
  <c r="CA427"/>
  <c r="BB427"/>
  <c r="AR427"/>
  <c r="AL425"/>
  <c r="U425"/>
  <c r="D425"/>
  <c r="AH424"/>
  <c r="U424"/>
  <c r="O424"/>
  <c r="K424"/>
  <c r="G424"/>
  <c r="BY422"/>
  <c r="AT421"/>
  <c r="BW420"/>
  <c r="BR420"/>
  <c r="BJ419"/>
  <c r="O419"/>
  <c r="K419"/>
  <c r="G419"/>
  <c r="CK418"/>
  <c r="BY417"/>
  <c r="BT417"/>
  <c r="BB416"/>
  <c r="BR415"/>
  <c r="BM415"/>
  <c r="AR414"/>
  <c r="AP412"/>
  <c r="CA411"/>
  <c r="BB411"/>
  <c r="AR411"/>
  <c r="AL409"/>
  <c r="U409"/>
  <c r="D409"/>
  <c r="AH408"/>
  <c r="U408"/>
  <c r="O408"/>
  <c r="K408"/>
  <c r="G408"/>
  <c r="BY406"/>
  <c r="AT405"/>
  <c r="BW404"/>
  <c r="BR404"/>
  <c r="BJ403"/>
  <c r="O403"/>
  <c r="K403"/>
  <c r="G403"/>
  <c r="CK402"/>
  <c r="BY401"/>
  <c r="BT401"/>
  <c r="BB400"/>
  <c r="BR399"/>
  <c r="BM399"/>
  <c r="AR398"/>
  <c r="AP396"/>
  <c r="CA395"/>
  <c r="BB395"/>
  <c r="AR395"/>
  <c r="AL393"/>
  <c r="U393"/>
  <c r="D393"/>
  <c r="AH392"/>
  <c r="U392"/>
  <c r="O392"/>
  <c r="K392"/>
  <c r="G392"/>
  <c r="BY390"/>
  <c r="AT389"/>
  <c r="BO388"/>
  <c r="AR388"/>
  <c r="AC387"/>
  <c r="Y387"/>
  <c r="CA386"/>
  <c r="BB386"/>
  <c r="AR386"/>
  <c r="AN385"/>
  <c r="AC385"/>
  <c r="Y385"/>
  <c r="R385"/>
  <c r="BM384"/>
  <c r="AJ381"/>
  <c r="BI380"/>
  <c r="BE380"/>
  <c r="AP380"/>
  <c r="BB379"/>
  <c r="D406" i="32"/>
  <c r="CL492" i="20"/>
  <c r="CL491"/>
  <c r="CI490"/>
  <c r="CI492"/>
  <c r="CG491"/>
  <c r="CG492"/>
  <c r="CG490"/>
  <c r="CG489"/>
  <c r="BP489"/>
  <c r="BP493"/>
  <c r="AY490"/>
  <c r="AY492"/>
  <c r="AE493"/>
  <c r="AE491"/>
  <c r="AE489"/>
  <c r="Z492"/>
  <c r="Z490"/>
  <c r="L491"/>
  <c r="L489"/>
  <c r="H489"/>
  <c r="H491"/>
  <c r="L191" i="36"/>
  <c r="AK619" i="9"/>
  <c r="AK611"/>
  <c r="X37" i="8"/>
  <c r="X44"/>
  <c r="AK608" i="9"/>
  <c r="AK613"/>
  <c r="AK605"/>
  <c r="U57" i="36"/>
  <c r="L60"/>
  <c r="L502" s="1"/>
  <c r="C59"/>
  <c r="C60"/>
  <c r="C502" s="1"/>
  <c r="A506"/>
  <c r="S501"/>
  <c r="G301"/>
  <c r="F79" i="19"/>
  <c r="L58" i="36"/>
  <c r="L500" s="1"/>
  <c r="C56"/>
  <c r="C498" s="1"/>
  <c r="C58"/>
  <c r="C500" s="1"/>
  <c r="L57"/>
  <c r="L499" s="1"/>
  <c r="U60"/>
  <c r="U502" s="1"/>
  <c r="L59"/>
  <c r="L501" s="1"/>
  <c r="J494"/>
  <c r="U56"/>
  <c r="U498" s="1"/>
  <c r="U58"/>
  <c r="U500" s="1"/>
  <c r="G302"/>
  <c r="G300"/>
  <c r="K42" i="17"/>
  <c r="BN493" i="20"/>
  <c r="CJ493"/>
  <c r="CJ490"/>
  <c r="CB493"/>
  <c r="CB490"/>
  <c r="BQ493"/>
  <c r="BQ490"/>
  <c r="X492"/>
  <c r="X490"/>
  <c r="N489"/>
  <c r="N493"/>
  <c r="N491"/>
  <c r="AB429" i="36"/>
  <c r="S489" i="20"/>
  <c r="D253" i="32"/>
  <c r="BB491" i="20"/>
  <c r="BB489"/>
  <c r="BB493"/>
  <c r="AN491"/>
  <c r="AN489"/>
  <c r="AN493"/>
  <c r="AL490"/>
  <c r="AL492"/>
  <c r="AZ490"/>
  <c r="AZ492"/>
  <c r="BZ493"/>
  <c r="BZ491"/>
  <c r="BZ489"/>
  <c r="BV491"/>
  <c r="BV493"/>
  <c r="BO489"/>
  <c r="BO493"/>
  <c r="BO490"/>
  <c r="BD489"/>
  <c r="BD492"/>
  <c r="AS493"/>
  <c r="AS490"/>
  <c r="AR493"/>
  <c r="AR489"/>
  <c r="AJ490"/>
  <c r="AJ493"/>
  <c r="AJ492"/>
  <c r="AJ489"/>
  <c r="Y493"/>
  <c r="Y492"/>
  <c r="Y490"/>
  <c r="Y489"/>
  <c r="I493"/>
  <c r="I492"/>
  <c r="D489"/>
  <c r="D493"/>
  <c r="D491"/>
  <c r="D490"/>
  <c r="C436" i="36"/>
  <c r="BY493" i="20"/>
  <c r="BY489"/>
  <c r="BX492"/>
  <c r="BX491"/>
  <c r="BW489"/>
  <c r="BW490"/>
  <c r="BK492"/>
  <c r="BK491"/>
  <c r="BJ493"/>
  <c r="BJ489"/>
  <c r="BE492"/>
  <c r="BE489"/>
  <c r="BB492"/>
  <c r="BB490"/>
  <c r="AT493"/>
  <c r="AT491"/>
  <c r="AT490"/>
  <c r="AT489"/>
  <c r="AR492"/>
  <c r="AR490"/>
  <c r="AP493"/>
  <c r="AP491"/>
  <c r="AP489"/>
  <c r="AN492"/>
  <c r="AN490"/>
  <c r="AL493"/>
  <c r="AL491"/>
  <c r="AL489"/>
  <c r="AK493"/>
  <c r="AK492"/>
  <c r="AH493"/>
  <c r="AH492"/>
  <c r="AH491"/>
  <c r="AH489"/>
  <c r="AG493"/>
  <c r="AG490"/>
  <c r="AC493"/>
  <c r="AC492"/>
  <c r="AC491"/>
  <c r="AC489"/>
  <c r="W490"/>
  <c r="W493"/>
  <c r="W492"/>
  <c r="W491"/>
  <c r="W489"/>
  <c r="S491"/>
  <c r="S490"/>
  <c r="M490"/>
  <c r="M492"/>
  <c r="M491"/>
  <c r="G492"/>
  <c r="G491"/>
  <c r="G489"/>
  <c r="F491"/>
  <c r="F493"/>
  <c r="F490"/>
  <c r="B489"/>
  <c r="B492"/>
  <c r="B491"/>
  <c r="D135" i="32"/>
  <c r="C23" i="11"/>
  <c r="G32" i="33"/>
  <c r="AD17" i="11"/>
  <c r="AF17" s="1"/>
  <c r="AK29" i="8"/>
  <c r="C10" i="11"/>
  <c r="AK31" i="8"/>
  <c r="AD31" i="11"/>
  <c r="AF31" s="1"/>
  <c r="AD30"/>
  <c r="AF30" s="1"/>
  <c r="AD29"/>
  <c r="AF29" s="1"/>
  <c r="C27"/>
  <c r="AD15"/>
  <c r="AF15"/>
  <c r="AK48" i="8"/>
  <c r="C19" i="11"/>
  <c r="AK34" i="8"/>
  <c r="AK8"/>
  <c r="AD14" i="11"/>
  <c r="AF14"/>
  <c r="AD37"/>
  <c r="AF37"/>
  <c r="AK17" i="8"/>
  <c r="C60" i="11"/>
  <c r="C41"/>
  <c r="C28"/>
  <c r="AK47" i="8"/>
  <c r="C48" i="11"/>
  <c r="AK37" i="8"/>
  <c r="AK24"/>
  <c r="AD27" i="11"/>
  <c r="AF27" s="1"/>
  <c r="AK10" i="8"/>
  <c r="AK33"/>
  <c r="AB430" i="36"/>
  <c r="CI489" i="20"/>
  <c r="BX489"/>
  <c r="BC489"/>
  <c r="M489"/>
  <c r="CN490"/>
  <c r="BK490"/>
  <c r="BC490"/>
  <c r="AO490"/>
  <c r="AA490"/>
  <c r="I490"/>
  <c r="B490"/>
  <c r="BP491"/>
  <c r="BF491"/>
  <c r="AA491"/>
  <c r="P491"/>
  <c r="I491"/>
  <c r="BF492"/>
  <c r="AS492"/>
  <c r="S492"/>
  <c r="F492"/>
  <c r="CL493"/>
  <c r="BX493"/>
  <c r="BC493"/>
  <c r="H493"/>
  <c r="B493"/>
  <c r="AA489"/>
  <c r="P489"/>
  <c r="BX490"/>
  <c r="BD490"/>
  <c r="AK490"/>
  <c r="AO492"/>
  <c r="AA492"/>
  <c r="CJ489"/>
  <c r="CF489"/>
  <c r="BQ489"/>
  <c r="J489"/>
  <c r="CM490"/>
  <c r="BA490"/>
  <c r="CB492"/>
  <c r="BQ492"/>
  <c r="BA492"/>
  <c r="CF493"/>
  <c r="CN431" i="36"/>
  <c r="CB489" i="20"/>
  <c r="BN489"/>
  <c r="CF490"/>
  <c r="AF490"/>
  <c r="CM491"/>
  <c r="CF491"/>
  <c r="J491"/>
  <c r="CM492"/>
  <c r="BH432" i="36"/>
  <c r="CM489" i="20"/>
  <c r="CD489"/>
  <c r="BN490"/>
  <c r="CJ492"/>
  <c r="CD493"/>
  <c r="O51" i="17"/>
  <c r="AD303" i="36"/>
  <c r="C58" i="29"/>
  <c r="D58" s="1"/>
  <c r="E58" s="1"/>
  <c r="E41"/>
  <c r="E40"/>
  <c r="O178" i="25"/>
  <c r="O176"/>
  <c r="X42" i="11"/>
  <c r="L33" s="1"/>
  <c r="V42"/>
  <c r="L36"/>
  <c r="N36" s="1"/>
  <c r="K302" i="36"/>
  <c r="K301"/>
  <c r="K300"/>
  <c r="H301"/>
  <c r="V52" i="11"/>
  <c r="AE22" s="1"/>
  <c r="AF22" s="1"/>
  <c r="W52"/>
  <c r="AE23" s="1"/>
  <c r="AF23" s="1"/>
  <c r="W42"/>
  <c r="L30"/>
  <c r="H302" i="36"/>
  <c r="H300"/>
  <c r="U3" i="32"/>
  <c r="U1045"/>
  <c r="X43" i="8"/>
  <c r="AK154" i="9"/>
  <c r="K108" i="39"/>
  <c r="CJ491" i="20"/>
  <c r="CB491"/>
  <c r="BQ491"/>
  <c r="BN491"/>
  <c r="Q484"/>
  <c r="U1015" i="32"/>
  <c r="M109" i="39"/>
  <c r="M110"/>
  <c r="U608" i="32"/>
  <c r="Z112" i="39"/>
  <c r="CB374" i="20"/>
  <c r="BH374"/>
  <c r="AZ188" i="36" s="1"/>
  <c r="X374" i="20"/>
  <c r="R198" i="36" s="1"/>
  <c r="H374" i="20"/>
  <c r="L182" i="36"/>
  <c r="BO436"/>
  <c r="BK374" i="20"/>
  <c r="BO437" i="36"/>
  <c r="AD374" i="20"/>
  <c r="L56" i="36"/>
  <c r="L498" s="1"/>
  <c r="U374" i="20"/>
  <c r="CJ374"/>
  <c r="AR216" i="36"/>
  <c r="CF374" i="20"/>
  <c r="CD374"/>
  <c r="CH374"/>
  <c r="BR374"/>
  <c r="BC198" i="36" s="1"/>
  <c r="BM374" i="20"/>
  <c r="G374"/>
  <c r="V91" i="39"/>
  <c r="BL374" i="20"/>
  <c r="AX192" i="36" s="1"/>
  <c r="BI374" i="20"/>
  <c r="BE374"/>
  <c r="BC185" i="36" s="1"/>
  <c r="BB374" i="20"/>
  <c r="CC489"/>
  <c r="BK489"/>
  <c r="AS489"/>
  <c r="AO489"/>
  <c r="AK489"/>
  <c r="AG489"/>
  <c r="R489"/>
  <c r="CA490"/>
  <c r="BG490"/>
  <c r="K490"/>
  <c r="BR491"/>
  <c r="AS491"/>
  <c r="AO491"/>
  <c r="AK491"/>
  <c r="AG491"/>
  <c r="R491"/>
  <c r="K492"/>
  <c r="BR493"/>
  <c r="R493"/>
  <c r="E374"/>
  <c r="P179" i="36" s="1"/>
  <c r="U699" i="32"/>
  <c r="U992"/>
  <c r="M185" i="25"/>
  <c r="M186" s="1"/>
  <c r="M187" s="1"/>
  <c r="CN429" i="36"/>
  <c r="AD304"/>
  <c r="L232"/>
  <c r="BM489" i="20"/>
  <c r="AW489"/>
  <c r="AQ489"/>
  <c r="AM489"/>
  <c r="AI489"/>
  <c r="U489"/>
  <c r="O489"/>
  <c r="K489"/>
  <c r="CC490"/>
  <c r="BL490"/>
  <c r="O490"/>
  <c r="CC491"/>
  <c r="BL491"/>
  <c r="BD491"/>
  <c r="AW491"/>
  <c r="AQ491"/>
  <c r="AM491"/>
  <c r="AI491"/>
  <c r="U491"/>
  <c r="O491"/>
  <c r="K491"/>
  <c r="CC492"/>
  <c r="BL492"/>
  <c r="O492"/>
  <c r="BL493"/>
  <c r="BD493"/>
  <c r="AW493"/>
  <c r="AQ493"/>
  <c r="AM493"/>
  <c r="AI493"/>
  <c r="U493"/>
  <c r="CC374"/>
  <c r="BO374"/>
  <c r="AX195" i="36" s="1"/>
  <c r="BG374" i="20"/>
  <c r="AZ374"/>
  <c r="AZ180" i="36" s="1"/>
  <c r="O374" i="20"/>
  <c r="K374"/>
  <c r="P185" i="36" s="1"/>
  <c r="F374" i="20"/>
  <c r="Q492"/>
  <c r="BR489"/>
  <c r="AZ489"/>
  <c r="BY490"/>
  <c r="BR490"/>
  <c r="BM490"/>
  <c r="AW490"/>
  <c r="AQ490"/>
  <c r="AM490"/>
  <c r="AI490"/>
  <c r="R490"/>
  <c r="BY491"/>
  <c r="BM491"/>
  <c r="AZ491"/>
  <c r="BY492"/>
  <c r="BR492"/>
  <c r="BM492"/>
  <c r="BM493"/>
  <c r="CG374"/>
  <c r="BC213" i="36" s="1"/>
  <c r="BQ374" i="20"/>
  <c r="BN374"/>
  <c r="AV194" i="36" s="1"/>
  <c r="BC374" i="20"/>
  <c r="AY374"/>
  <c r="BC179" i="36" s="1"/>
  <c r="AV374" i="20"/>
  <c r="AC374"/>
  <c r="T203" i="36" s="1"/>
  <c r="Y374" i="20"/>
  <c r="N374"/>
  <c r="W188" i="36" s="1"/>
  <c r="D374" i="20"/>
  <c r="AK43" i="8"/>
  <c r="AK9"/>
  <c r="AK5"/>
  <c r="BN6" i="6"/>
  <c r="AD9" i="11"/>
  <c r="AF9" s="1"/>
  <c r="AD16"/>
  <c r="AF16" s="1"/>
  <c r="C21"/>
  <c r="C26"/>
  <c r="AD34"/>
  <c r="AF34" s="1"/>
  <c r="AD39"/>
  <c r="AF39" s="1"/>
  <c r="C52"/>
  <c r="C61"/>
  <c r="AK12" i="8"/>
  <c r="AK19"/>
  <c r="AK40"/>
  <c r="AK23"/>
  <c r="AK7"/>
  <c r="AK46"/>
  <c r="AD7" i="11"/>
  <c r="AF7"/>
  <c r="C16"/>
  <c r="AD19"/>
  <c r="AF19" s="1"/>
  <c r="C24"/>
  <c r="AD32"/>
  <c r="AF32"/>
  <c r="AD38"/>
  <c r="AF38"/>
  <c r="C49"/>
  <c r="C56"/>
  <c r="AK11" i="8"/>
  <c r="AK18"/>
  <c r="AK35"/>
  <c r="AK32"/>
  <c r="C50" i="11"/>
  <c r="AD36"/>
  <c r="AF36" s="1"/>
  <c r="C25"/>
  <c r="AD20"/>
  <c r="AF20"/>
  <c r="AD18"/>
  <c r="AF18"/>
  <c r="AD13"/>
  <c r="AF13"/>
  <c r="AD12"/>
  <c r="AF12"/>
  <c r="AD8"/>
  <c r="AF8"/>
  <c r="AK39" i="8"/>
  <c r="AK44"/>
  <c r="AK41"/>
  <c r="AK13"/>
  <c r="AK50"/>
  <c r="AD46" i="6"/>
  <c r="AK25" i="8"/>
  <c r="AD11" i="11"/>
  <c r="AF11"/>
  <c r="C18"/>
  <c r="AD21"/>
  <c r="AF21" s="1"/>
  <c r="AD26"/>
  <c r="AF26" s="1"/>
  <c r="AD35"/>
  <c r="AF35" s="1"/>
  <c r="C42"/>
  <c r="C54"/>
  <c r="C63"/>
  <c r="AK6" i="8"/>
  <c r="AK15"/>
  <c r="AK30"/>
  <c r="AK42"/>
  <c r="AK21"/>
  <c r="AK20"/>
  <c r="AK14"/>
  <c r="C62" i="11"/>
  <c r="C53"/>
  <c r="C43"/>
  <c r="AD33"/>
  <c r="AF33"/>
  <c r="AD25"/>
  <c r="AF25"/>
  <c r="C22"/>
  <c r="C20"/>
  <c r="AK22" i="8"/>
  <c r="AK45"/>
  <c r="AK49"/>
  <c r="AK28"/>
  <c r="AK38"/>
  <c r="AK36"/>
  <c r="AK16"/>
  <c r="AK27"/>
  <c r="C64" i="11"/>
  <c r="C35"/>
  <c r="AD28"/>
  <c r="AF28"/>
  <c r="H17"/>
  <c r="AD10"/>
  <c r="AF10" s="1"/>
  <c r="U406" i="32"/>
  <c r="H295" i="36"/>
  <c r="Z49"/>
  <c r="N481" s="1"/>
  <c r="Q48"/>
  <c r="Z48"/>
  <c r="N480" s="1"/>
  <c r="H294"/>
  <c r="U39" i="17"/>
  <c r="Z50" i="36"/>
  <c r="N482" s="1"/>
  <c r="Q50"/>
  <c r="H296"/>
  <c r="K296"/>
  <c r="O29" i="17"/>
  <c r="B22" s="1"/>
  <c r="CI374" i="20"/>
  <c r="AX215" i="36" s="1"/>
  <c r="CE374" i="20"/>
  <c r="BY374"/>
  <c r="AT205" i="36" s="1"/>
  <c r="BX374" i="20"/>
  <c r="BD374"/>
  <c r="AX184" i="36" s="1"/>
  <c r="AW374" i="20"/>
  <c r="AB374"/>
  <c r="W202" i="36" s="1"/>
  <c r="Z374" i="20"/>
  <c r="P374"/>
  <c r="T190" i="36" s="1"/>
  <c r="C374" i="20"/>
  <c r="D896" i="32"/>
  <c r="D992"/>
  <c r="U944"/>
  <c r="U184"/>
  <c r="D850"/>
  <c r="D944"/>
  <c r="U22"/>
  <c r="U896"/>
  <c r="U516"/>
  <c r="U135"/>
  <c r="Q488" i="20"/>
  <c r="E6" i="40"/>
  <c r="D8"/>
  <c r="G9"/>
  <c r="D11"/>
  <c r="D13"/>
  <c r="G14"/>
  <c r="M18"/>
  <c r="J22"/>
  <c r="J24"/>
  <c r="J26"/>
  <c r="H28"/>
  <c r="U28"/>
  <c r="N3"/>
  <c r="O172" i="12" s="1"/>
  <c r="N4" i="40"/>
  <c r="J6"/>
  <c r="D9"/>
  <c r="G10"/>
  <c r="G12"/>
  <c r="D14"/>
  <c r="M16"/>
  <c r="J21"/>
  <c r="J23"/>
  <c r="J25"/>
  <c r="F28"/>
  <c r="N5"/>
  <c r="L7"/>
  <c r="L8"/>
  <c r="D10"/>
  <c r="D12"/>
  <c r="M13"/>
  <c r="M15"/>
  <c r="G21"/>
  <c r="G23"/>
  <c r="G25"/>
  <c r="D28"/>
  <c r="L28"/>
  <c r="B37"/>
  <c r="N2"/>
  <c r="B6"/>
  <c r="G8"/>
  <c r="L9"/>
  <c r="G11"/>
  <c r="G13"/>
  <c r="M14"/>
  <c r="M17"/>
  <c r="G22"/>
  <c r="G24"/>
  <c r="G26"/>
  <c r="J28"/>
  <c r="AZ201" i="36"/>
  <c r="P109" i="25"/>
  <c r="AT201" i="36"/>
  <c r="AX201"/>
  <c r="AR201"/>
  <c r="AV201"/>
  <c r="AX181"/>
  <c r="BC181"/>
  <c r="AV181"/>
  <c r="AR181"/>
  <c r="AZ181"/>
  <c r="AV219"/>
  <c r="P212"/>
  <c r="N212"/>
  <c r="L212"/>
  <c r="R212"/>
  <c r="BC206"/>
  <c r="T212"/>
  <c r="BC200"/>
  <c r="AV200"/>
  <c r="P194"/>
  <c r="T194"/>
  <c r="AR200"/>
  <c r="AZ200"/>
  <c r="W194"/>
  <c r="AT200"/>
  <c r="N187"/>
  <c r="L194"/>
  <c r="N194"/>
  <c r="AR219"/>
  <c r="W187"/>
  <c r="B202" i="25"/>
  <c r="F35" i="17"/>
  <c r="K31" i="6" s="1"/>
  <c r="BC219" i="36"/>
  <c r="R201"/>
  <c r="P187"/>
  <c r="T219"/>
  <c r="R219"/>
  <c r="L205"/>
  <c r="P183"/>
  <c r="AZ202"/>
  <c r="L217"/>
  <c r="N183"/>
  <c r="T217"/>
  <c r="N219"/>
  <c r="P217"/>
  <c r="W205"/>
  <c r="T183"/>
  <c r="N217"/>
  <c r="R205"/>
  <c r="AR196"/>
  <c r="P209"/>
  <c r="AR199"/>
  <c r="T209"/>
  <c r="L209"/>
  <c r="R209"/>
  <c r="N209"/>
  <c r="AX220"/>
  <c r="W213"/>
  <c r="L197"/>
  <c r="AZ199"/>
  <c r="AT218"/>
  <c r="W215"/>
  <c r="W207"/>
  <c r="AZ196"/>
  <c r="AV196"/>
  <c r="L207"/>
  <c r="R197"/>
  <c r="AT199"/>
  <c r="P215"/>
  <c r="P207"/>
  <c r="AT219"/>
  <c r="AT206"/>
  <c r="AV220"/>
  <c r="P201"/>
  <c r="AZ206"/>
  <c r="R250" i="25"/>
  <c r="R183" i="36"/>
  <c r="AZ218"/>
  <c r="W219"/>
  <c r="R217"/>
  <c r="P211"/>
  <c r="P205"/>
  <c r="BC218"/>
  <c r="R211"/>
  <c r="L183"/>
  <c r="L219"/>
  <c r="AT202"/>
  <c r="N205"/>
  <c r="AR218"/>
  <c r="L201"/>
  <c r="N30" i="11"/>
  <c r="AX219" i="36"/>
  <c r="AX206"/>
  <c r="AR206"/>
  <c r="BC220"/>
  <c r="AX218"/>
  <c r="W211"/>
  <c r="W201"/>
  <c r="R187"/>
  <c r="T187"/>
  <c r="L187"/>
  <c r="L211"/>
  <c r="AV178"/>
  <c r="W196"/>
  <c r="AT220"/>
  <c r="N211"/>
  <c r="N201"/>
  <c r="T206"/>
  <c r="T220"/>
  <c r="R214"/>
  <c r="P206"/>
  <c r="N214"/>
  <c r="T210"/>
  <c r="L214"/>
  <c r="P210"/>
  <c r="W220"/>
  <c r="N191"/>
  <c r="AR178"/>
  <c r="N197"/>
  <c r="AX178"/>
  <c r="R196"/>
  <c r="R213"/>
  <c r="L215"/>
  <c r="W191"/>
  <c r="W214"/>
  <c r="N210"/>
  <c r="R206"/>
  <c r="W197"/>
  <c r="AZ178"/>
  <c r="P196"/>
  <c r="L196"/>
  <c r="AX199"/>
  <c r="N215"/>
  <c r="T215"/>
  <c r="P213"/>
  <c r="N207"/>
  <c r="T207"/>
  <c r="AT196"/>
  <c r="T197"/>
  <c r="L206"/>
  <c r="AR190"/>
  <c r="L213"/>
  <c r="P191"/>
  <c r="P214"/>
  <c r="W210"/>
  <c r="W206"/>
  <c r="AT178"/>
  <c r="T196"/>
  <c r="AV199"/>
  <c r="N213"/>
  <c r="BC196"/>
  <c r="L210"/>
  <c r="BC190"/>
  <c r="BC202"/>
  <c r="AT190"/>
  <c r="AZ190"/>
  <c r="AR186"/>
  <c r="AX202"/>
  <c r="AV190"/>
  <c r="AR202"/>
  <c r="AV186"/>
  <c r="Y8" i="6"/>
  <c r="K182" i="12" s="1"/>
  <c r="J197"/>
  <c r="J199"/>
  <c r="J200"/>
  <c r="T191" i="36"/>
  <c r="BC186"/>
  <c r="AX186"/>
  <c r="AT186"/>
  <c r="J191" i="12"/>
  <c r="I186"/>
  <c r="J192"/>
  <c r="J194" s="1"/>
  <c r="J195" s="1"/>
  <c r="J196" s="1"/>
  <c r="AT203" i="36"/>
  <c r="T218"/>
  <c r="L218"/>
  <c r="AZ207"/>
  <c r="R216"/>
  <c r="W218"/>
  <c r="AR203"/>
  <c r="R218"/>
  <c r="AV203"/>
  <c r="BC203"/>
  <c r="P218"/>
  <c r="AZ203"/>
  <c r="AT217"/>
  <c r="N208"/>
  <c r="L220"/>
  <c r="P220"/>
  <c r="N216"/>
  <c r="N24" i="25"/>
  <c r="C175" i="12"/>
  <c r="J205"/>
  <c r="T208" i="36"/>
  <c r="AZ217"/>
  <c r="AV207"/>
  <c r="BC207"/>
  <c r="L208"/>
  <c r="N220"/>
  <c r="P216"/>
  <c r="W216"/>
  <c r="R208"/>
  <c r="AX217"/>
  <c r="AT207"/>
  <c r="AR217"/>
  <c r="AR207"/>
  <c r="T216"/>
  <c r="P208"/>
  <c r="AV217"/>
  <c r="S502"/>
  <c r="J502"/>
  <c r="S498"/>
  <c r="A498"/>
  <c r="J499"/>
  <c r="A502"/>
  <c r="S500"/>
  <c r="J501"/>
  <c r="J498"/>
  <c r="J500"/>
  <c r="K506"/>
  <c r="S499"/>
  <c r="A500"/>
  <c r="A499"/>
  <c r="A501"/>
  <c r="T177"/>
  <c r="P177"/>
  <c r="W177"/>
  <c r="R177"/>
  <c r="N177"/>
  <c r="W192"/>
  <c r="R192"/>
  <c r="N192"/>
  <c r="P192"/>
  <c r="N202"/>
  <c r="AV184"/>
  <c r="BC205"/>
  <c r="AV205"/>
  <c r="AZ215"/>
  <c r="W184"/>
  <c r="R184"/>
  <c r="N184"/>
  <c r="T184"/>
  <c r="T199"/>
  <c r="W199"/>
  <c r="N199"/>
  <c r="AV176"/>
  <c r="AX176"/>
  <c r="BC183"/>
  <c r="AT183"/>
  <c r="AV183"/>
  <c r="AX197"/>
  <c r="AZ197"/>
  <c r="W180"/>
  <c r="R180"/>
  <c r="T180"/>
  <c r="T189"/>
  <c r="W189"/>
  <c r="N189"/>
  <c r="AX187"/>
  <c r="AZ187"/>
  <c r="BC209"/>
  <c r="AT209"/>
  <c r="AV209"/>
  <c r="T179"/>
  <c r="W179"/>
  <c r="N179"/>
  <c r="AT185"/>
  <c r="AV192"/>
  <c r="W186"/>
  <c r="R186"/>
  <c r="T186"/>
  <c r="P186"/>
  <c r="AZ198"/>
  <c r="AT198"/>
  <c r="T193"/>
  <c r="P193"/>
  <c r="R193"/>
  <c r="N193"/>
  <c r="AZ216"/>
  <c r="AV216"/>
  <c r="BC216"/>
  <c r="AX216"/>
  <c r="AT216"/>
  <c r="W182"/>
  <c r="R182"/>
  <c r="N182"/>
  <c r="T182"/>
  <c r="P182"/>
  <c r="T198"/>
  <c r="BC188"/>
  <c r="R190"/>
  <c r="W200"/>
  <c r="R200"/>
  <c r="N200"/>
  <c r="T200"/>
  <c r="P200"/>
  <c r="BC177"/>
  <c r="AX177"/>
  <c r="AT177"/>
  <c r="AZ177"/>
  <c r="AV177"/>
  <c r="AZ204"/>
  <c r="AV204"/>
  <c r="BC204"/>
  <c r="AX204"/>
  <c r="AT204"/>
  <c r="BC211"/>
  <c r="AX211"/>
  <c r="AT211"/>
  <c r="AZ211"/>
  <c r="AV211"/>
  <c r="W178"/>
  <c r="N178"/>
  <c r="P178"/>
  <c r="R188"/>
  <c r="T188"/>
  <c r="L203"/>
  <c r="P203"/>
  <c r="R203"/>
  <c r="AR179"/>
  <c r="AX179"/>
  <c r="AZ179"/>
  <c r="AZ194"/>
  <c r="BC194"/>
  <c r="AT194"/>
  <c r="AX213"/>
  <c r="AZ213"/>
  <c r="T185"/>
  <c r="W185"/>
  <c r="N185"/>
  <c r="AV180"/>
  <c r="AX180"/>
  <c r="BC195"/>
  <c r="AT195"/>
  <c r="AV195"/>
  <c r="AZ182"/>
  <c r="AV182"/>
  <c r="BC182"/>
  <c r="AX182"/>
  <c r="AT182"/>
  <c r="BC189"/>
  <c r="AX189"/>
  <c r="AT189"/>
  <c r="AZ189"/>
  <c r="AV189"/>
  <c r="P181"/>
  <c r="R181"/>
  <c r="BC193"/>
  <c r="AX193"/>
  <c r="AT193"/>
  <c r="AZ193"/>
  <c r="AV193"/>
  <c r="AZ214"/>
  <c r="AV214"/>
  <c r="BC214"/>
  <c r="AX214"/>
  <c r="AT214"/>
  <c r="AZ210"/>
  <c r="BC210"/>
  <c r="AT210"/>
  <c r="AZ212"/>
  <c r="AV212"/>
  <c r="BC212"/>
  <c r="AX212"/>
  <c r="AT212"/>
  <c r="T195"/>
  <c r="W195"/>
  <c r="N195"/>
  <c r="R204"/>
  <c r="T204"/>
  <c r="BC191"/>
  <c r="AT191"/>
  <c r="AV191"/>
  <c r="AV208"/>
  <c r="AX208"/>
  <c r="L200"/>
  <c r="L192"/>
  <c r="AR195"/>
  <c r="L178"/>
  <c r="L185"/>
  <c r="AR177"/>
  <c r="AR212"/>
  <c r="L204"/>
  <c r="AR198"/>
  <c r="AR182"/>
  <c r="AR193"/>
  <c r="L193"/>
  <c r="L186"/>
  <c r="AR189"/>
  <c r="AR214"/>
  <c r="L184"/>
  <c r="AR176"/>
  <c r="L189"/>
  <c r="AR194"/>
  <c r="L199"/>
  <c r="AR187"/>
  <c r="L179"/>
  <c r="AR180"/>
  <c r="V5" i="40"/>
  <c r="T7"/>
  <c r="T8"/>
  <c r="U5"/>
  <c r="P7"/>
  <c r="W7"/>
  <c r="O8"/>
  <c r="D38"/>
  <c r="G37"/>
  <c r="D25"/>
  <c r="D23"/>
  <c r="D21"/>
  <c r="D17"/>
  <c r="D26"/>
  <c r="D24"/>
  <c r="D22"/>
  <c r="D18"/>
  <c r="G18"/>
  <c r="L177" i="36"/>
  <c r="AR184"/>
  <c r="AR204"/>
  <c r="AR211"/>
  <c r="N176"/>
  <c r="T176"/>
  <c r="W176"/>
  <c r="P176"/>
  <c r="N9" i="6"/>
  <c r="O9" s="1"/>
  <c r="Q34" i="36" s="1"/>
  <c r="I158" i="12"/>
  <c r="K298" i="36"/>
  <c r="G51" i="8"/>
  <c r="F51"/>
  <c r="H51"/>
  <c r="AR220" i="36"/>
  <c r="L176"/>
  <c r="N10" i="6"/>
  <c r="O10" s="1"/>
  <c r="D203" i="19"/>
  <c r="G203" s="1"/>
  <c r="I168" i="12"/>
  <c r="I156"/>
  <c r="I167"/>
  <c r="D198" i="19"/>
  <c r="G198" s="1"/>
  <c r="I166" i="12"/>
  <c r="I157"/>
  <c r="D204" i="19"/>
  <c r="O38" i="6"/>
  <c r="O39" s="1"/>
  <c r="D209" i="19"/>
  <c r="D214"/>
  <c r="G214" s="1"/>
  <c r="I153" i="12"/>
  <c r="I163"/>
  <c r="D227" i="19"/>
  <c r="I155" i="12"/>
  <c r="D228" i="19"/>
  <c r="I172" i="12"/>
  <c r="R44" i="6"/>
  <c r="D205" i="19"/>
  <c r="G205" s="1"/>
  <c r="Q44" i="6"/>
  <c r="D215" i="19"/>
  <c r="G215" s="1"/>
  <c r="J82" i="12"/>
  <c r="S44" i="6"/>
  <c r="I159" i="12"/>
  <c r="I154"/>
  <c r="D216" i="19"/>
  <c r="D229"/>
  <c r="G229" s="1"/>
  <c r="I162" i="12"/>
  <c r="I174"/>
  <c r="D230" i="19"/>
  <c r="D208"/>
  <c r="G208" s="1"/>
  <c r="I171" i="12"/>
  <c r="D222" i="19"/>
  <c r="G222" s="1"/>
  <c r="D196"/>
  <c r="I173" i="12"/>
  <c r="D226" i="19"/>
  <c r="D217"/>
  <c r="G217" s="1"/>
  <c r="I161" i="12"/>
  <c r="I151"/>
  <c r="D221" i="19"/>
  <c r="I160" i="12"/>
  <c r="I170"/>
  <c r="I169"/>
  <c r="D199" i="19"/>
  <c r="I164" i="12"/>
  <c r="D210" i="19"/>
  <c r="O46" i="6"/>
  <c r="AD6" i="36" s="1"/>
  <c r="D207" i="19"/>
  <c r="D197"/>
  <c r="G197" s="1"/>
  <c r="I152" i="12"/>
  <c r="D206" i="19"/>
  <c r="G206" s="1"/>
  <c r="G3" i="9"/>
  <c r="E5" i="29"/>
  <c r="E7"/>
  <c r="H298" i="36"/>
  <c r="H150"/>
  <c r="N11" i="6"/>
  <c r="O11" s="1"/>
  <c r="AX419" i="12"/>
  <c r="L423"/>
  <c r="AX423"/>
  <c r="AP423"/>
  <c r="AO423"/>
  <c r="BU423"/>
  <c r="BT423"/>
  <c r="BS423"/>
  <c r="BR423"/>
  <c r="BQ423"/>
  <c r="BP423"/>
  <c r="BO423"/>
  <c r="BN423"/>
  <c r="BM423"/>
  <c r="BL423"/>
  <c r="AA423"/>
  <c r="Z423"/>
  <c r="Y423"/>
  <c r="X423"/>
  <c r="W423"/>
  <c r="CB423"/>
  <c r="CA423"/>
  <c r="BZ423"/>
  <c r="BY419"/>
  <c r="BY423"/>
  <c r="BX423"/>
  <c r="BW423"/>
  <c r="AN423"/>
  <c r="AK423"/>
  <c r="AJ423"/>
  <c r="AI423"/>
  <c r="AH423"/>
  <c r="AG423"/>
  <c r="AF423"/>
  <c r="K423"/>
  <c r="J423"/>
  <c r="I423"/>
  <c r="H423"/>
  <c r="AM423"/>
  <c r="AL423"/>
  <c r="AE423"/>
  <c r="AD423"/>
  <c r="V423"/>
  <c r="U423"/>
  <c r="T423"/>
  <c r="S423"/>
  <c r="R423"/>
  <c r="Q423"/>
  <c r="O423"/>
  <c r="G423"/>
  <c r="F423"/>
  <c r="E423"/>
  <c r="L424"/>
  <c r="AX424"/>
  <c r="AP424"/>
  <c r="AO424"/>
  <c r="BU424"/>
  <c r="BT424"/>
  <c r="BS424"/>
  <c r="BR424"/>
  <c r="BQ424"/>
  <c r="BP424"/>
  <c r="BO424"/>
  <c r="BN424"/>
  <c r="BM424"/>
  <c r="BL424"/>
  <c r="AA424"/>
  <c r="Z424"/>
  <c r="Y424"/>
  <c r="X424"/>
  <c r="W424"/>
  <c r="CB424"/>
  <c r="CA424"/>
  <c r="BZ419"/>
  <c r="BZ424"/>
  <c r="BY424"/>
  <c r="BX424"/>
  <c r="BW424"/>
  <c r="AN424"/>
  <c r="AK424"/>
  <c r="AJ424"/>
  <c r="AI424"/>
  <c r="AH424"/>
  <c r="AG424"/>
  <c r="AF424"/>
  <c r="K424"/>
  <c r="J424"/>
  <c r="I424"/>
  <c r="H424"/>
  <c r="AM424"/>
  <c r="AL424"/>
  <c r="AE424"/>
  <c r="AD424"/>
  <c r="V424"/>
  <c r="U424"/>
  <c r="T424"/>
  <c r="S424"/>
  <c r="R424"/>
  <c r="Q424"/>
  <c r="O424"/>
  <c r="G424"/>
  <c r="F424"/>
  <c r="E424"/>
  <c r="L425"/>
  <c r="AX425"/>
  <c r="AP419"/>
  <c r="AP425"/>
  <c r="AO425"/>
  <c r="BU425"/>
  <c r="BT425"/>
  <c r="BS425"/>
  <c r="BR425"/>
  <c r="BQ425"/>
  <c r="BP425"/>
  <c r="BO425"/>
  <c r="BN425"/>
  <c r="BM425"/>
  <c r="BL425"/>
  <c r="AA425"/>
  <c r="Z425"/>
  <c r="Y425"/>
  <c r="X425"/>
  <c r="W425"/>
  <c r="CB425"/>
  <c r="CA425"/>
  <c r="BZ425"/>
  <c r="BY425"/>
  <c r="BX425"/>
  <c r="BW425"/>
  <c r="AN425"/>
  <c r="AK425"/>
  <c r="AJ425"/>
  <c r="AI425"/>
  <c r="AH425"/>
  <c r="AG425"/>
  <c r="AF425"/>
  <c r="K425"/>
  <c r="J425"/>
  <c r="I425"/>
  <c r="H425"/>
  <c r="AM425"/>
  <c r="AL425"/>
  <c r="AE425"/>
  <c r="AD425"/>
  <c r="V425"/>
  <c r="U425"/>
  <c r="T425"/>
  <c r="S425"/>
  <c r="R425"/>
  <c r="Q425"/>
  <c r="O425"/>
  <c r="G425"/>
  <c r="F425"/>
  <c r="E425"/>
  <c r="L426"/>
  <c r="T419"/>
  <c r="AX426"/>
  <c r="AP426"/>
  <c r="AO426"/>
  <c r="BU426"/>
  <c r="BT426"/>
  <c r="BS426"/>
  <c r="BR426"/>
  <c r="BQ426"/>
  <c r="BP426"/>
  <c r="BO426"/>
  <c r="BN426"/>
  <c r="BM426"/>
  <c r="BL426"/>
  <c r="AA426"/>
  <c r="Z426"/>
  <c r="Y426"/>
  <c r="X426"/>
  <c r="W426"/>
  <c r="CB426"/>
  <c r="CA426"/>
  <c r="BZ426"/>
  <c r="BY426"/>
  <c r="BX426"/>
  <c r="BW419"/>
  <c r="BW426"/>
  <c r="AN426"/>
  <c r="AK419"/>
  <c r="AK426"/>
  <c r="AJ426"/>
  <c r="AI426"/>
  <c r="AH426"/>
  <c r="AG426"/>
  <c r="AF426"/>
  <c r="K426"/>
  <c r="J426"/>
  <c r="I426"/>
  <c r="H426"/>
  <c r="AM426"/>
  <c r="AL426"/>
  <c r="AE426"/>
  <c r="AD426"/>
  <c r="V426"/>
  <c r="U426"/>
  <c r="T426"/>
  <c r="S426"/>
  <c r="R426"/>
  <c r="Q426"/>
  <c r="O426"/>
  <c r="G426"/>
  <c r="F426"/>
  <c r="E426"/>
  <c r="L427"/>
  <c r="AX427"/>
  <c r="AP427"/>
  <c r="AO427"/>
  <c r="BU427"/>
  <c r="BT427"/>
  <c r="BS427"/>
  <c r="BR427"/>
  <c r="BQ427"/>
  <c r="BP427"/>
  <c r="BO427"/>
  <c r="BN427"/>
  <c r="BM427"/>
  <c r="BL427"/>
  <c r="AA427"/>
  <c r="Z427"/>
  <c r="Y427"/>
  <c r="X427"/>
  <c r="W427"/>
  <c r="CB427"/>
  <c r="CA427"/>
  <c r="BZ427"/>
  <c r="BY427"/>
  <c r="BX427"/>
  <c r="BW427"/>
  <c r="AN427"/>
  <c r="AK427"/>
  <c r="AJ427"/>
  <c r="AI427"/>
  <c r="AH427"/>
  <c r="AG427"/>
  <c r="AF427"/>
  <c r="K427"/>
  <c r="J427"/>
  <c r="I427"/>
  <c r="H427"/>
  <c r="AM427"/>
  <c r="AL427"/>
  <c r="AE427"/>
  <c r="AD427"/>
  <c r="V427"/>
  <c r="U427"/>
  <c r="T427"/>
  <c r="S427"/>
  <c r="R427"/>
  <c r="Q427"/>
  <c r="O419"/>
  <c r="O427"/>
  <c r="G427"/>
  <c r="F427"/>
  <c r="E427"/>
  <c r="L428"/>
  <c r="AP428"/>
  <c r="AX428"/>
  <c r="AO428"/>
  <c r="BU428"/>
  <c r="BT428"/>
  <c r="BS428"/>
  <c r="BR428"/>
  <c r="BQ428"/>
  <c r="BP428"/>
  <c r="BO428"/>
  <c r="BN428"/>
  <c r="BM428"/>
  <c r="BL428"/>
  <c r="AA428"/>
  <c r="Z428"/>
  <c r="Y428"/>
  <c r="X428"/>
  <c r="W428"/>
  <c r="CB428"/>
  <c r="CA428"/>
  <c r="BZ428"/>
  <c r="BY428"/>
  <c r="BX419"/>
  <c r="BX428"/>
  <c r="BW428"/>
  <c r="AN428"/>
  <c r="AK428"/>
  <c r="AJ428"/>
  <c r="AI428"/>
  <c r="AH428"/>
  <c r="AG428"/>
  <c r="AF428"/>
  <c r="K428"/>
  <c r="J428"/>
  <c r="I428"/>
  <c r="H428"/>
  <c r="AM428"/>
  <c r="AL428"/>
  <c r="AE428"/>
  <c r="AD428"/>
  <c r="V428"/>
  <c r="U428"/>
  <c r="T428"/>
  <c r="S428"/>
  <c r="R428"/>
  <c r="Q428"/>
  <c r="O428"/>
  <c r="G428"/>
  <c r="F428"/>
  <c r="E428"/>
  <c r="L429"/>
  <c r="AP429"/>
  <c r="AX429"/>
  <c r="AO429"/>
  <c r="BU429"/>
  <c r="BT429"/>
  <c r="BS429"/>
  <c r="BR429"/>
  <c r="BQ429"/>
  <c r="BP429"/>
  <c r="BO429"/>
  <c r="BN429"/>
  <c r="BM429"/>
  <c r="BL429"/>
  <c r="AA429"/>
  <c r="Z429"/>
  <c r="Y429"/>
  <c r="X429"/>
  <c r="W429"/>
  <c r="CB429"/>
  <c r="CA419"/>
  <c r="CA429"/>
  <c r="BZ429"/>
  <c r="BY429"/>
  <c r="BX429"/>
  <c r="BW429"/>
  <c r="AN429"/>
  <c r="AK429"/>
  <c r="AJ429"/>
  <c r="AI429"/>
  <c r="AH429"/>
  <c r="AG429"/>
  <c r="AF429"/>
  <c r="K429"/>
  <c r="J429"/>
  <c r="I429"/>
  <c r="H429"/>
  <c r="AM429"/>
  <c r="AL429"/>
  <c r="AE429"/>
  <c r="AD429"/>
  <c r="V429"/>
  <c r="U429"/>
  <c r="T429"/>
  <c r="S429"/>
  <c r="R429"/>
  <c r="Q429"/>
  <c r="O429"/>
  <c r="G429"/>
  <c r="F429"/>
  <c r="E429"/>
  <c r="L430"/>
  <c r="AP430"/>
  <c r="AX430"/>
  <c r="AX432"/>
  <c r="AO430"/>
  <c r="BU430"/>
  <c r="BT430"/>
  <c r="BS430"/>
  <c r="BR430"/>
  <c r="BQ430"/>
  <c r="BP430"/>
  <c r="BO430"/>
  <c r="BN430"/>
  <c r="BM430"/>
  <c r="BL430"/>
  <c r="AA430"/>
  <c r="Z430"/>
  <c r="Y430"/>
  <c r="X430"/>
  <c r="W430"/>
  <c r="CB419"/>
  <c r="CB430"/>
  <c r="CA430"/>
  <c r="BZ430"/>
  <c r="BY430"/>
  <c r="BX430"/>
  <c r="BW430"/>
  <c r="AN430"/>
  <c r="AK430"/>
  <c r="AJ430"/>
  <c r="Q419"/>
  <c r="AI430"/>
  <c r="AH430"/>
  <c r="AG430"/>
  <c r="AF430"/>
  <c r="K430"/>
  <c r="J430"/>
  <c r="I430"/>
  <c r="H430"/>
  <c r="AM430"/>
  <c r="AL430"/>
  <c r="AE430"/>
  <c r="AD430"/>
  <c r="V430"/>
  <c r="U430"/>
  <c r="T430"/>
  <c r="S430"/>
  <c r="R430"/>
  <c r="Q430"/>
  <c r="O430"/>
  <c r="G430"/>
  <c r="F430"/>
  <c r="E430"/>
  <c r="L431"/>
  <c r="AP431"/>
  <c r="E431"/>
  <c r="AX431"/>
  <c r="AX433"/>
  <c r="AO431"/>
  <c r="BU431"/>
  <c r="BT431"/>
  <c r="BS431"/>
  <c r="BR431"/>
  <c r="BQ431"/>
  <c r="BP431"/>
  <c r="BO431"/>
  <c r="BN431"/>
  <c r="BM431"/>
  <c r="BL431"/>
  <c r="AA431"/>
  <c r="Z431"/>
  <c r="Y431"/>
  <c r="X431"/>
  <c r="W431"/>
  <c r="CB431"/>
  <c r="CA431"/>
  <c r="BZ431"/>
  <c r="BY431"/>
  <c r="BX431"/>
  <c r="BW431"/>
  <c r="AN431"/>
  <c r="AK431"/>
  <c r="AJ431"/>
  <c r="AI431"/>
  <c r="AH431"/>
  <c r="AG431"/>
  <c r="AF431"/>
  <c r="K431"/>
  <c r="J431"/>
  <c r="I431"/>
  <c r="H431"/>
  <c r="AM431"/>
  <c r="AL431"/>
  <c r="AE431"/>
  <c r="AD431"/>
  <c r="V431"/>
  <c r="U431"/>
  <c r="T431"/>
  <c r="S431"/>
  <c r="R431"/>
  <c r="Q431"/>
  <c r="O431"/>
  <c r="G431"/>
  <c r="F431"/>
  <c r="L432"/>
  <c r="AP432"/>
  <c r="E432"/>
  <c r="AX434"/>
  <c r="AO432"/>
  <c r="BU432"/>
  <c r="BT432"/>
  <c r="BS432"/>
  <c r="BR432"/>
  <c r="BQ432"/>
  <c r="BP432"/>
  <c r="BO432"/>
  <c r="BN432"/>
  <c r="BM432"/>
  <c r="BL432"/>
  <c r="AA432"/>
  <c r="Z432"/>
  <c r="Y432"/>
  <c r="X432"/>
  <c r="W432"/>
  <c r="CB432"/>
  <c r="CA432"/>
  <c r="BZ432"/>
  <c r="BY432"/>
  <c r="BX432"/>
  <c r="BW432"/>
  <c r="AN432"/>
  <c r="AK432"/>
  <c r="AJ432"/>
  <c r="AI432"/>
  <c r="AH419"/>
  <c r="AH432"/>
  <c r="AG432"/>
  <c r="AF432"/>
  <c r="K432"/>
  <c r="J432"/>
  <c r="I432"/>
  <c r="H432"/>
  <c r="AM432"/>
  <c r="AL432"/>
  <c r="AE432"/>
  <c r="AD432"/>
  <c r="V432"/>
  <c r="U432"/>
  <c r="T432"/>
  <c r="S432"/>
  <c r="R432"/>
  <c r="Q432"/>
  <c r="O432"/>
  <c r="G432"/>
  <c r="F432"/>
  <c r="L433"/>
  <c r="AP433"/>
  <c r="E433"/>
  <c r="AX435"/>
  <c r="AO433"/>
  <c r="BU433"/>
  <c r="BT433"/>
  <c r="BS433"/>
  <c r="BR433"/>
  <c r="BQ433"/>
  <c r="BP433"/>
  <c r="BO433"/>
  <c r="BN433"/>
  <c r="BM433"/>
  <c r="BL433"/>
  <c r="AA433"/>
  <c r="Z433"/>
  <c r="Y433"/>
  <c r="X433"/>
  <c r="W433"/>
  <c r="CB433"/>
  <c r="CA433"/>
  <c r="BZ433"/>
  <c r="BY433"/>
  <c r="BX433"/>
  <c r="BW433"/>
  <c r="AN433"/>
  <c r="AK433"/>
  <c r="AJ433"/>
  <c r="AI419"/>
  <c r="AI433"/>
  <c r="AH433"/>
  <c r="AG433"/>
  <c r="AF433"/>
  <c r="K433"/>
  <c r="J433"/>
  <c r="I433"/>
  <c r="H433"/>
  <c r="AM433"/>
  <c r="AL433"/>
  <c r="AE433"/>
  <c r="AD433"/>
  <c r="V433"/>
  <c r="U433"/>
  <c r="T433"/>
  <c r="S433"/>
  <c r="R433"/>
  <c r="Q433"/>
  <c r="O433"/>
  <c r="G433"/>
  <c r="F433"/>
  <c r="AX436"/>
  <c r="L434"/>
  <c r="AP434"/>
  <c r="E434"/>
  <c r="AO434"/>
  <c r="BU434"/>
  <c r="BT434"/>
  <c r="BS434"/>
  <c r="BR434"/>
  <c r="BQ434"/>
  <c r="BP434"/>
  <c r="BO434"/>
  <c r="BN434"/>
  <c r="BM434"/>
  <c r="BL434"/>
  <c r="AA434"/>
  <c r="Z434"/>
  <c r="Y434"/>
  <c r="X434"/>
  <c r="W434"/>
  <c r="CB434"/>
  <c r="CA434"/>
  <c r="BZ434"/>
  <c r="BY434"/>
  <c r="BX434"/>
  <c r="BW434"/>
  <c r="AN434"/>
  <c r="AL419"/>
  <c r="AK434"/>
  <c r="AJ419"/>
  <c r="AJ434"/>
  <c r="AI434"/>
  <c r="AH434"/>
  <c r="AG434"/>
  <c r="AF434"/>
  <c r="K434"/>
  <c r="J434"/>
  <c r="I434"/>
  <c r="H434"/>
  <c r="AM434"/>
  <c r="AL434"/>
  <c r="AE434"/>
  <c r="AD434"/>
  <c r="V434"/>
  <c r="U434"/>
  <c r="T434"/>
  <c r="S434"/>
  <c r="R434"/>
  <c r="Q434"/>
  <c r="O434"/>
  <c r="G434"/>
  <c r="F434"/>
  <c r="AX437"/>
  <c r="L435"/>
  <c r="AP435"/>
  <c r="E435"/>
  <c r="AO435"/>
  <c r="BU435"/>
  <c r="BT435"/>
  <c r="BS435"/>
  <c r="BR435"/>
  <c r="BQ435"/>
  <c r="BP435"/>
  <c r="BO435"/>
  <c r="BN435"/>
  <c r="BM419"/>
  <c r="BM435"/>
  <c r="BL435"/>
  <c r="AA435"/>
  <c r="Z435"/>
  <c r="Y435"/>
  <c r="X435"/>
  <c r="W435"/>
  <c r="CB435"/>
  <c r="CA435"/>
  <c r="BZ435"/>
  <c r="BY435"/>
  <c r="BX435"/>
  <c r="BW435"/>
  <c r="AN435"/>
  <c r="AK435"/>
  <c r="AJ435"/>
  <c r="AI435"/>
  <c r="AH435"/>
  <c r="AG435"/>
  <c r="AF435"/>
  <c r="K435"/>
  <c r="J435"/>
  <c r="I435"/>
  <c r="H435"/>
  <c r="F419"/>
  <c r="AM435"/>
  <c r="AL435"/>
  <c r="AE435"/>
  <c r="AD435"/>
  <c r="V435"/>
  <c r="U435"/>
  <c r="T435"/>
  <c r="S435"/>
  <c r="R435"/>
  <c r="Q435"/>
  <c r="O435"/>
  <c r="G435"/>
  <c r="F435"/>
  <c r="AX438"/>
  <c r="L436"/>
  <c r="AP436"/>
  <c r="E436"/>
  <c r="AM419"/>
  <c r="AO436"/>
  <c r="BU436"/>
  <c r="BT436"/>
  <c r="BS436"/>
  <c r="BR436"/>
  <c r="BQ436"/>
  <c r="BP436"/>
  <c r="BO436"/>
  <c r="BN436"/>
  <c r="BM436"/>
  <c r="BL436"/>
  <c r="AA436"/>
  <c r="Z436"/>
  <c r="Y436"/>
  <c r="X436"/>
  <c r="W436"/>
  <c r="CB436"/>
  <c r="CA436"/>
  <c r="BZ436"/>
  <c r="BY436"/>
  <c r="BX436"/>
  <c r="BW436"/>
  <c r="AN436"/>
  <c r="AK436"/>
  <c r="AJ436"/>
  <c r="AI436"/>
  <c r="AH436"/>
  <c r="AG436"/>
  <c r="AF436"/>
  <c r="K436"/>
  <c r="J436"/>
  <c r="I436"/>
  <c r="H436"/>
  <c r="AM436"/>
  <c r="AL436"/>
  <c r="AE436"/>
  <c r="AD436"/>
  <c r="V436"/>
  <c r="U436"/>
  <c r="T436"/>
  <c r="S436"/>
  <c r="R436"/>
  <c r="Q436"/>
  <c r="O436"/>
  <c r="G436"/>
  <c r="F436"/>
  <c r="AX439"/>
  <c r="L437"/>
  <c r="AP437"/>
  <c r="E437"/>
  <c r="AO437"/>
  <c r="BU437"/>
  <c r="BT437"/>
  <c r="BS437"/>
  <c r="BR437"/>
  <c r="BQ437"/>
  <c r="BP437"/>
  <c r="BO419"/>
  <c r="BO437"/>
  <c r="BN437"/>
  <c r="BL419"/>
  <c r="BM437"/>
  <c r="BL437"/>
  <c r="AA437"/>
  <c r="Z437"/>
  <c r="Y437"/>
  <c r="X437"/>
  <c r="W437"/>
  <c r="CB437"/>
  <c r="CA437"/>
  <c r="BZ437"/>
  <c r="BY437"/>
  <c r="BX437"/>
  <c r="BW437"/>
  <c r="AN437"/>
  <c r="AK437"/>
  <c r="AJ437"/>
  <c r="AI437"/>
  <c r="AH437"/>
  <c r="AG437"/>
  <c r="AF437"/>
  <c r="K437"/>
  <c r="J437"/>
  <c r="I437"/>
  <c r="H437"/>
  <c r="AM437"/>
  <c r="AL437"/>
  <c r="AE437"/>
  <c r="AD437"/>
  <c r="V437"/>
  <c r="U437"/>
  <c r="T437"/>
  <c r="S419"/>
  <c r="S437"/>
  <c r="R437"/>
  <c r="Q437"/>
  <c r="O437"/>
  <c r="G437"/>
  <c r="F437"/>
  <c r="AX440"/>
  <c r="L438"/>
  <c r="AP438"/>
  <c r="E438"/>
  <c r="BX439"/>
  <c r="AO438"/>
  <c r="AN419"/>
  <c r="BU438"/>
  <c r="BT438"/>
  <c r="BS438"/>
  <c r="BR438"/>
  <c r="BQ438"/>
  <c r="BP438"/>
  <c r="BO438"/>
  <c r="BN438"/>
  <c r="BM438"/>
  <c r="BL438"/>
  <c r="AA438"/>
  <c r="Z438"/>
  <c r="Y438"/>
  <c r="X438"/>
  <c r="W438"/>
  <c r="CB438"/>
  <c r="CA438"/>
  <c r="BZ438"/>
  <c r="BY438"/>
  <c r="BX438"/>
  <c r="BW438"/>
  <c r="BW439"/>
  <c r="AN438"/>
  <c r="AK439"/>
  <c r="AK438"/>
  <c r="AJ438"/>
  <c r="AI438"/>
  <c r="AH438"/>
  <c r="AG438"/>
  <c r="AF438"/>
  <c r="K438"/>
  <c r="J438"/>
  <c r="I438"/>
  <c r="H438"/>
  <c r="AM438"/>
  <c r="AL438"/>
  <c r="AD438"/>
  <c r="AE438"/>
  <c r="V438"/>
  <c r="U438"/>
  <c r="T438"/>
  <c r="S438"/>
  <c r="R438"/>
  <c r="Q438"/>
  <c r="O438"/>
  <c r="G438"/>
  <c r="F438"/>
  <c r="AX441"/>
  <c r="AJ439"/>
  <c r="AI439"/>
  <c r="L439"/>
  <c r="AP439"/>
  <c r="E439"/>
  <c r="BX440"/>
  <c r="AO439"/>
  <c r="AN439"/>
  <c r="BU439"/>
  <c r="BT439"/>
  <c r="BS439"/>
  <c r="BR439"/>
  <c r="BQ439"/>
  <c r="BP439"/>
  <c r="BN419"/>
  <c r="BO439"/>
  <c r="BN439"/>
  <c r="BM439"/>
  <c r="BL439"/>
  <c r="AA439"/>
  <c r="Z439"/>
  <c r="Y439"/>
  <c r="X439"/>
  <c r="W439"/>
  <c r="CB439"/>
  <c r="CA439"/>
  <c r="BZ439"/>
  <c r="BY439"/>
  <c r="BW440"/>
  <c r="AK440"/>
  <c r="AH439"/>
  <c r="AG439"/>
  <c r="AF439"/>
  <c r="AD439"/>
  <c r="K439"/>
  <c r="J439"/>
  <c r="I439"/>
  <c r="H439"/>
  <c r="AM439"/>
  <c r="AL439"/>
  <c r="AE439"/>
  <c r="V439"/>
  <c r="U439"/>
  <c r="T439"/>
  <c r="S439"/>
  <c r="R439"/>
  <c r="Q439"/>
  <c r="O439"/>
  <c r="G439"/>
  <c r="F439"/>
  <c r="AX442"/>
  <c r="AJ440"/>
  <c r="AI440"/>
  <c r="L440"/>
  <c r="AP440"/>
  <c r="E440"/>
  <c r="BX441"/>
  <c r="AO440"/>
  <c r="AN440"/>
  <c r="I419"/>
  <c r="BU440"/>
  <c r="BT440"/>
  <c r="BS440"/>
  <c r="BR440"/>
  <c r="BQ440"/>
  <c r="BP440"/>
  <c r="BO440"/>
  <c r="BN440"/>
  <c r="BM440"/>
  <c r="BL440"/>
  <c r="AA440"/>
  <c r="Z440"/>
  <c r="Y440"/>
  <c r="X440"/>
  <c r="W440"/>
  <c r="CB440"/>
  <c r="CA440"/>
  <c r="BZ440"/>
  <c r="BY440"/>
  <c r="BW441"/>
  <c r="AK441"/>
  <c r="AH440"/>
  <c r="AG440"/>
  <c r="AF440"/>
  <c r="AD440"/>
  <c r="K440"/>
  <c r="J440"/>
  <c r="I440"/>
  <c r="H440"/>
  <c r="AM440"/>
  <c r="AL440"/>
  <c r="AE440"/>
  <c r="V440"/>
  <c r="U440"/>
  <c r="T440"/>
  <c r="S440"/>
  <c r="R419"/>
  <c r="R440"/>
  <c r="Q440"/>
  <c r="O440"/>
  <c r="G440"/>
  <c r="F440"/>
  <c r="AX443"/>
  <c r="AJ441"/>
  <c r="AI441"/>
  <c r="L441"/>
  <c r="AP441"/>
  <c r="E441"/>
  <c r="AI442"/>
  <c r="BX442"/>
  <c r="AO441"/>
  <c r="AN441"/>
  <c r="BU441"/>
  <c r="BT441"/>
  <c r="BS441"/>
  <c r="BR441"/>
  <c r="BQ441"/>
  <c r="BP441"/>
  <c r="BO441"/>
  <c r="BN441"/>
  <c r="BM441"/>
  <c r="BL441"/>
  <c r="AA441"/>
  <c r="Z441"/>
  <c r="Y441"/>
  <c r="X441"/>
  <c r="W441"/>
  <c r="CB441"/>
  <c r="CA441"/>
  <c r="BZ441"/>
  <c r="BY441"/>
  <c r="BW442"/>
  <c r="AK442"/>
  <c r="AH441"/>
  <c r="AG441"/>
  <c r="AF441"/>
  <c r="AD441"/>
  <c r="K441"/>
  <c r="J441"/>
  <c r="I441"/>
  <c r="H419"/>
  <c r="H441"/>
  <c r="AM441"/>
  <c r="AL441"/>
  <c r="AE441"/>
  <c r="V441"/>
  <c r="U441"/>
  <c r="T441"/>
  <c r="S441"/>
  <c r="R441"/>
  <c r="Q441"/>
  <c r="O441"/>
  <c r="G441"/>
  <c r="F441"/>
  <c r="AX444"/>
  <c r="AJ442"/>
  <c r="L442"/>
  <c r="AP442"/>
  <c r="E442"/>
  <c r="AO442"/>
  <c r="AN442"/>
  <c r="BU442"/>
  <c r="BT442"/>
  <c r="BS442"/>
  <c r="BR442"/>
  <c r="BQ442"/>
  <c r="BP442"/>
  <c r="BO442"/>
  <c r="BN442"/>
  <c r="BM442"/>
  <c r="BL442"/>
  <c r="AA442"/>
  <c r="Z442"/>
  <c r="Y442"/>
  <c r="X442"/>
  <c r="W442"/>
  <c r="CB442"/>
  <c r="CA442"/>
  <c r="BZ442"/>
  <c r="BY442"/>
  <c r="AH442"/>
  <c r="AG442"/>
  <c r="AF419"/>
  <c r="AF442"/>
  <c r="AD442"/>
  <c r="K442"/>
  <c r="J442"/>
  <c r="I442"/>
  <c r="H442"/>
  <c r="AM442"/>
  <c r="AL442"/>
  <c r="AE442"/>
  <c r="V442"/>
  <c r="U442"/>
  <c r="T442"/>
  <c r="S442"/>
  <c r="R442"/>
  <c r="Q442"/>
  <c r="O442"/>
  <c r="G442"/>
  <c r="F442"/>
  <c r="BX444"/>
  <c r="AX445"/>
  <c r="L443"/>
  <c r="AP443"/>
  <c r="E443"/>
  <c r="AO443"/>
  <c r="BU443"/>
  <c r="BT443"/>
  <c r="BS443"/>
  <c r="BR443"/>
  <c r="BQ443"/>
  <c r="BP443"/>
  <c r="BO443"/>
  <c r="BN443"/>
  <c r="BM443"/>
  <c r="BL443"/>
  <c r="AA443"/>
  <c r="Z443"/>
  <c r="Y443"/>
  <c r="X443"/>
  <c r="W443"/>
  <c r="CB443"/>
  <c r="CA443"/>
  <c r="BZ443"/>
  <c r="BY443"/>
  <c r="BW443"/>
  <c r="BX443"/>
  <c r="BW444"/>
  <c r="AK443"/>
  <c r="AN443"/>
  <c r="AK444"/>
  <c r="AI443"/>
  <c r="AJ443"/>
  <c r="AI444"/>
  <c r="AJ444"/>
  <c r="AH443"/>
  <c r="AG443"/>
  <c r="AF443"/>
  <c r="AD443"/>
  <c r="K443"/>
  <c r="J443"/>
  <c r="I443"/>
  <c r="H443"/>
  <c r="AM443"/>
  <c r="AL443"/>
  <c r="AE443"/>
  <c r="V443"/>
  <c r="U443"/>
  <c r="T443"/>
  <c r="S443"/>
  <c r="R443"/>
  <c r="Q443"/>
  <c r="O443"/>
  <c r="G443"/>
  <c r="F443"/>
  <c r="AX446"/>
  <c r="L444"/>
  <c r="AP444"/>
  <c r="E444"/>
  <c r="AO444"/>
  <c r="AN444"/>
  <c r="BU444"/>
  <c r="BT444"/>
  <c r="BS444"/>
  <c r="BR444"/>
  <c r="BQ444"/>
  <c r="BP444"/>
  <c r="BO444"/>
  <c r="BN444"/>
  <c r="BM444"/>
  <c r="BL444"/>
  <c r="AA444"/>
  <c r="Z444"/>
  <c r="Y444"/>
  <c r="X444"/>
  <c r="W444"/>
  <c r="CB444"/>
  <c r="CA444"/>
  <c r="BZ444"/>
  <c r="BY444"/>
  <c r="BW445"/>
  <c r="BX445"/>
  <c r="AK445"/>
  <c r="AI445"/>
  <c r="AJ445"/>
  <c r="AH444"/>
  <c r="AG444"/>
  <c r="AF444"/>
  <c r="AD444"/>
  <c r="K444"/>
  <c r="J444"/>
  <c r="I444"/>
  <c r="H444"/>
  <c r="AM444"/>
  <c r="AL444"/>
  <c r="AE444"/>
  <c r="V444"/>
  <c r="U444"/>
  <c r="T444"/>
  <c r="S444"/>
  <c r="R444"/>
  <c r="Q444"/>
  <c r="O444"/>
  <c r="G444"/>
  <c r="F444"/>
  <c r="BX446"/>
  <c r="AX447"/>
  <c r="L445"/>
  <c r="AP445"/>
  <c r="E445"/>
  <c r="AO445"/>
  <c r="AN445"/>
  <c r="BU445"/>
  <c r="BT445"/>
  <c r="BS445"/>
  <c r="BR445"/>
  <c r="BQ445"/>
  <c r="BP445"/>
  <c r="BO445"/>
  <c r="BN445"/>
  <c r="BM445"/>
  <c r="BL445"/>
  <c r="AA445"/>
  <c r="Z445"/>
  <c r="Y445"/>
  <c r="X445"/>
  <c r="W445"/>
  <c r="CB445"/>
  <c r="CA445"/>
  <c r="BZ445"/>
  <c r="BY445"/>
  <c r="BW446"/>
  <c r="AK446"/>
  <c r="AI446"/>
  <c r="AJ446"/>
  <c r="AH445"/>
  <c r="AG445"/>
  <c r="AF445"/>
  <c r="AD445"/>
  <c r="K445"/>
  <c r="J445"/>
  <c r="I445"/>
  <c r="H445"/>
  <c r="AM445"/>
  <c r="AL445"/>
  <c r="AE445"/>
  <c r="V445"/>
  <c r="U445"/>
  <c r="T445"/>
  <c r="S445"/>
  <c r="R445"/>
  <c r="Q445"/>
  <c r="O445"/>
  <c r="G445"/>
  <c r="F445"/>
  <c r="AX448"/>
  <c r="BX447"/>
  <c r="L446"/>
  <c r="H446"/>
  <c r="AP446"/>
  <c r="E446"/>
  <c r="AO446"/>
  <c r="AN446"/>
  <c r="BU446"/>
  <c r="BT446"/>
  <c r="BS446"/>
  <c r="BR446"/>
  <c r="BQ446"/>
  <c r="BP446"/>
  <c r="BO446"/>
  <c r="BN446"/>
  <c r="BM446"/>
  <c r="BL446"/>
  <c r="AA446"/>
  <c r="Z446"/>
  <c r="Y446"/>
  <c r="X446"/>
  <c r="W446"/>
  <c r="CB446"/>
  <c r="CA446"/>
  <c r="BZ446"/>
  <c r="BY446"/>
  <c r="BW447"/>
  <c r="AK447"/>
  <c r="AI447"/>
  <c r="AJ447"/>
  <c r="AH446"/>
  <c r="AG446"/>
  <c r="AF446"/>
  <c r="AD446"/>
  <c r="K446"/>
  <c r="J446"/>
  <c r="I446"/>
  <c r="AM446"/>
  <c r="AL446"/>
  <c r="AE446"/>
  <c r="V446"/>
  <c r="U446"/>
  <c r="T446"/>
  <c r="R446"/>
  <c r="S446"/>
  <c r="Q446"/>
  <c r="O446"/>
  <c r="G446"/>
  <c r="F446"/>
  <c r="BX448"/>
  <c r="AX449"/>
  <c r="L447"/>
  <c r="H447"/>
  <c r="U419"/>
  <c r="S447"/>
  <c r="AP447"/>
  <c r="E447"/>
  <c r="AN448"/>
  <c r="AO447"/>
  <c r="AN447"/>
  <c r="BU447"/>
  <c r="BT447"/>
  <c r="BS447"/>
  <c r="BR447"/>
  <c r="BQ447"/>
  <c r="BP447"/>
  <c r="BO447"/>
  <c r="BN447"/>
  <c r="BM447"/>
  <c r="BL447"/>
  <c r="AA447"/>
  <c r="Z447"/>
  <c r="Y447"/>
  <c r="X447"/>
  <c r="W447"/>
  <c r="V447"/>
  <c r="CB447"/>
  <c r="CA447"/>
  <c r="BZ447"/>
  <c r="BY447"/>
  <c r="BW448"/>
  <c r="AK448"/>
  <c r="AI448"/>
  <c r="AJ448"/>
  <c r="R447"/>
  <c r="AH447"/>
  <c r="AG447"/>
  <c r="AF447"/>
  <c r="AD447"/>
  <c r="K447"/>
  <c r="J447"/>
  <c r="I447"/>
  <c r="G447"/>
  <c r="AM447"/>
  <c r="AL447"/>
  <c r="AE447"/>
  <c r="U447"/>
  <c r="T447"/>
  <c r="Q447"/>
  <c r="O447"/>
  <c r="F447"/>
  <c r="AX450"/>
  <c r="L448"/>
  <c r="H448"/>
  <c r="V419"/>
  <c r="S448"/>
  <c r="AP448"/>
  <c r="E448"/>
  <c r="AO448"/>
  <c r="BU448"/>
  <c r="BT448"/>
  <c r="BS448"/>
  <c r="BR448"/>
  <c r="BQ448"/>
  <c r="BP448"/>
  <c r="BO448"/>
  <c r="BN448"/>
  <c r="BM448"/>
  <c r="BL448"/>
  <c r="AA448"/>
  <c r="Z448"/>
  <c r="Y448"/>
  <c r="X448"/>
  <c r="W448"/>
  <c r="V448"/>
  <c r="CB448"/>
  <c r="CA448"/>
  <c r="BZ448"/>
  <c r="BY448"/>
  <c r="BW449"/>
  <c r="BX449"/>
  <c r="AK449"/>
  <c r="AN449"/>
  <c r="AI449"/>
  <c r="AJ449"/>
  <c r="R448"/>
  <c r="AH448"/>
  <c r="AG448"/>
  <c r="AF448"/>
  <c r="AD448"/>
  <c r="K448"/>
  <c r="J448"/>
  <c r="I448"/>
  <c r="G448"/>
  <c r="AM448"/>
  <c r="AL448"/>
  <c r="AE448"/>
  <c r="U448"/>
  <c r="T448"/>
  <c r="Q448"/>
  <c r="O448"/>
  <c r="F448"/>
  <c r="BX450"/>
  <c r="AX451"/>
  <c r="L449"/>
  <c r="H449"/>
  <c r="S449"/>
  <c r="AP449"/>
  <c r="E449"/>
  <c r="AO449"/>
  <c r="BU449"/>
  <c r="BT449"/>
  <c r="BS449"/>
  <c r="BR449"/>
  <c r="BQ449"/>
  <c r="BP449"/>
  <c r="BO449"/>
  <c r="BN449"/>
  <c r="BM449"/>
  <c r="BL449"/>
  <c r="AA449"/>
  <c r="Z449"/>
  <c r="Y449"/>
  <c r="X449"/>
  <c r="W449"/>
  <c r="V449"/>
  <c r="CB449"/>
  <c r="CA449"/>
  <c r="BZ449"/>
  <c r="BY449"/>
  <c r="AN450"/>
  <c r="BW450"/>
  <c r="AK450"/>
  <c r="AI450"/>
  <c r="AJ450"/>
  <c r="R449"/>
  <c r="AH449"/>
  <c r="AG449"/>
  <c r="AF449"/>
  <c r="AE449"/>
  <c r="AD449"/>
  <c r="K449"/>
  <c r="J449"/>
  <c r="I449"/>
  <c r="G449"/>
  <c r="AM449"/>
  <c r="AL449"/>
  <c r="U449"/>
  <c r="T449"/>
  <c r="Q449"/>
  <c r="O449"/>
  <c r="F449"/>
  <c r="AX452"/>
  <c r="L450"/>
  <c r="H450"/>
  <c r="S450"/>
  <c r="AP450"/>
  <c r="E450"/>
  <c r="AO450"/>
  <c r="BU450"/>
  <c r="BT450"/>
  <c r="BS450"/>
  <c r="BR450"/>
  <c r="BQ450"/>
  <c r="BP450"/>
  <c r="BO450"/>
  <c r="BN450"/>
  <c r="BM450"/>
  <c r="BL450"/>
  <c r="AA450"/>
  <c r="Z450"/>
  <c r="Y450"/>
  <c r="X450"/>
  <c r="W450"/>
  <c r="V450"/>
  <c r="CB450"/>
  <c r="CA450"/>
  <c r="BZ450"/>
  <c r="BY450"/>
  <c r="BW451"/>
  <c r="BX451"/>
  <c r="AK451"/>
  <c r="AN451"/>
  <c r="AI451"/>
  <c r="AJ451"/>
  <c r="R450"/>
  <c r="AH450"/>
  <c r="AG450"/>
  <c r="AF450"/>
  <c r="AE450"/>
  <c r="AD450"/>
  <c r="K450"/>
  <c r="J450"/>
  <c r="I450"/>
  <c r="G450"/>
  <c r="AM450"/>
  <c r="AL450"/>
  <c r="U450"/>
  <c r="T450"/>
  <c r="Q450"/>
  <c r="O450"/>
  <c r="F450"/>
  <c r="BX452"/>
  <c r="AX453"/>
  <c r="L451"/>
  <c r="H451"/>
  <c r="S451"/>
  <c r="AP451"/>
  <c r="E451"/>
  <c r="AO451"/>
  <c r="BU451"/>
  <c r="BT451"/>
  <c r="BS451"/>
  <c r="BR451"/>
  <c r="BQ451"/>
  <c r="BP451"/>
  <c r="BO451"/>
  <c r="BN451"/>
  <c r="BM451"/>
  <c r="BL451"/>
  <c r="AA451"/>
  <c r="Z451"/>
  <c r="Y451"/>
  <c r="X451"/>
  <c r="W451"/>
  <c r="V451"/>
  <c r="CB451"/>
  <c r="CA451"/>
  <c r="BZ451"/>
  <c r="BY451"/>
  <c r="AN452"/>
  <c r="BW452"/>
  <c r="AK452"/>
  <c r="AI452"/>
  <c r="AJ452"/>
  <c r="R451"/>
  <c r="AH451"/>
  <c r="AG451"/>
  <c r="AF451"/>
  <c r="AE451"/>
  <c r="AD451"/>
  <c r="K451"/>
  <c r="J451"/>
  <c r="I451"/>
  <c r="G451"/>
  <c r="AM451"/>
  <c r="AL451"/>
  <c r="U451"/>
  <c r="T451"/>
  <c r="Q451"/>
  <c r="O451"/>
  <c r="F451"/>
  <c r="AX454"/>
  <c r="L452"/>
  <c r="H452"/>
  <c r="S452"/>
  <c r="AP452"/>
  <c r="E452"/>
  <c r="AO452"/>
  <c r="K452"/>
  <c r="BU452"/>
  <c r="BT452"/>
  <c r="BS452"/>
  <c r="BR452"/>
  <c r="BQ452"/>
  <c r="BP452"/>
  <c r="BO452"/>
  <c r="BN452"/>
  <c r="BM452"/>
  <c r="BL452"/>
  <c r="AA452"/>
  <c r="Z452"/>
  <c r="Y452"/>
  <c r="X452"/>
  <c r="W452"/>
  <c r="V452"/>
  <c r="CB452"/>
  <c r="CA452"/>
  <c r="BZ452"/>
  <c r="BY452"/>
  <c r="BW453"/>
  <c r="BX453"/>
  <c r="AK453"/>
  <c r="AN453"/>
  <c r="AI453"/>
  <c r="AJ453"/>
  <c r="R452"/>
  <c r="AH452"/>
  <c r="AG452"/>
  <c r="AF452"/>
  <c r="AE452"/>
  <c r="AD452"/>
  <c r="J452"/>
  <c r="I452"/>
  <c r="G452"/>
  <c r="AM452"/>
  <c r="AL452"/>
  <c r="U452"/>
  <c r="T452"/>
  <c r="Q452"/>
  <c r="O452"/>
  <c r="F452"/>
  <c r="BX454"/>
  <c r="AX455"/>
  <c r="L453"/>
  <c r="H453"/>
  <c r="S453"/>
  <c r="AP453"/>
  <c r="E453"/>
  <c r="AO453"/>
  <c r="K453"/>
  <c r="BU453"/>
  <c r="BT453"/>
  <c r="BS453"/>
  <c r="BR453"/>
  <c r="BQ453"/>
  <c r="BP453"/>
  <c r="BO453"/>
  <c r="BN453"/>
  <c r="BM453"/>
  <c r="BL453"/>
  <c r="AA453"/>
  <c r="Z453"/>
  <c r="Y453"/>
  <c r="X453"/>
  <c r="W453"/>
  <c r="V453"/>
  <c r="CB453"/>
  <c r="CA453"/>
  <c r="BZ453"/>
  <c r="BY453"/>
  <c r="AN454"/>
  <c r="BW454"/>
  <c r="AK454"/>
  <c r="AI454"/>
  <c r="AJ454"/>
  <c r="R453"/>
  <c r="AH453"/>
  <c r="AG453"/>
  <c r="AF453"/>
  <c r="AE453"/>
  <c r="AD453"/>
  <c r="J453"/>
  <c r="I453"/>
  <c r="G453"/>
  <c r="AM453"/>
  <c r="AL453"/>
  <c r="U453"/>
  <c r="T453"/>
  <c r="Q453"/>
  <c r="O453"/>
  <c r="F453"/>
  <c r="AX456"/>
  <c r="BX455"/>
  <c r="L454"/>
  <c r="H454"/>
  <c r="S454"/>
  <c r="AP454"/>
  <c r="E454"/>
  <c r="AO454"/>
  <c r="K454"/>
  <c r="BU454"/>
  <c r="BT454"/>
  <c r="BS454"/>
  <c r="BR454"/>
  <c r="BQ454"/>
  <c r="BP454"/>
  <c r="BO454"/>
  <c r="BN454"/>
  <c r="BM454"/>
  <c r="BL454"/>
  <c r="AA454"/>
  <c r="Z454"/>
  <c r="Y454"/>
  <c r="X454"/>
  <c r="W454"/>
  <c r="V454"/>
  <c r="CB454"/>
  <c r="CA454"/>
  <c r="BZ454"/>
  <c r="BY454"/>
  <c r="AN455"/>
  <c r="BW455"/>
  <c r="AK455"/>
  <c r="AI455"/>
  <c r="AJ455"/>
  <c r="R454"/>
  <c r="AH454"/>
  <c r="AG454"/>
  <c r="AF454"/>
  <c r="AE454"/>
  <c r="AD454"/>
  <c r="J454"/>
  <c r="I454"/>
  <c r="G454"/>
  <c r="AM454"/>
  <c r="AL454"/>
  <c r="U454"/>
  <c r="T454"/>
  <c r="Q454"/>
  <c r="O454"/>
  <c r="F454"/>
  <c r="BX456"/>
  <c r="AX457"/>
  <c r="L455"/>
  <c r="H455"/>
  <c r="S455"/>
  <c r="AP455"/>
  <c r="E455"/>
  <c r="AO455"/>
  <c r="K455"/>
  <c r="BU455"/>
  <c r="BT455"/>
  <c r="BS455"/>
  <c r="BR455"/>
  <c r="BQ455"/>
  <c r="BP455"/>
  <c r="BO455"/>
  <c r="BN455"/>
  <c r="BM455"/>
  <c r="BL455"/>
  <c r="AA455"/>
  <c r="Z455"/>
  <c r="Y455"/>
  <c r="X455"/>
  <c r="W455"/>
  <c r="V455"/>
  <c r="CB455"/>
  <c r="CA455"/>
  <c r="BZ455"/>
  <c r="BY455"/>
  <c r="AN456"/>
  <c r="BW456"/>
  <c r="AK456"/>
  <c r="AI456"/>
  <c r="AJ456"/>
  <c r="R455"/>
  <c r="AH455"/>
  <c r="AG419"/>
  <c r="AG455"/>
  <c r="AF455"/>
  <c r="AE455"/>
  <c r="AD455"/>
  <c r="J455"/>
  <c r="I455"/>
  <c r="G455"/>
  <c r="AM455"/>
  <c r="AL455"/>
  <c r="U455"/>
  <c r="T455"/>
  <c r="Q455"/>
  <c r="O455"/>
  <c r="F455"/>
  <c r="AX458"/>
  <c r="L456"/>
  <c r="H456"/>
  <c r="S456"/>
  <c r="AP456"/>
  <c r="E456"/>
  <c r="AO456"/>
  <c r="K456"/>
  <c r="BU456"/>
  <c r="BT456"/>
  <c r="BS456"/>
  <c r="BR456"/>
  <c r="BQ419"/>
  <c r="BQ456"/>
  <c r="BP456"/>
  <c r="BO456"/>
  <c r="BN456"/>
  <c r="BM456"/>
  <c r="BL456"/>
  <c r="AA456"/>
  <c r="Z456"/>
  <c r="Y456"/>
  <c r="X456"/>
  <c r="W456"/>
  <c r="V456"/>
  <c r="CB456"/>
  <c r="CA456"/>
  <c r="BZ456"/>
  <c r="BY456"/>
  <c r="BW457"/>
  <c r="BX457"/>
  <c r="AK457"/>
  <c r="AN457"/>
  <c r="AI457"/>
  <c r="AJ457"/>
  <c r="R456"/>
  <c r="AH456"/>
  <c r="AG456"/>
  <c r="AF456"/>
  <c r="AE456"/>
  <c r="AD456"/>
  <c r="J456"/>
  <c r="I456"/>
  <c r="G456"/>
  <c r="AM456"/>
  <c r="AL456"/>
  <c r="U456"/>
  <c r="T456"/>
  <c r="Q456"/>
  <c r="O456"/>
  <c r="F456"/>
  <c r="BX458"/>
  <c r="AX459"/>
  <c r="L457"/>
  <c r="H457"/>
  <c r="S457"/>
  <c r="AP457"/>
  <c r="E457"/>
  <c r="AO457"/>
  <c r="K457"/>
  <c r="BU457"/>
  <c r="BT457"/>
  <c r="BS419"/>
  <c r="BS457"/>
  <c r="BR457"/>
  <c r="BQ457"/>
  <c r="BP457"/>
  <c r="BO457"/>
  <c r="BN457"/>
  <c r="BM457"/>
  <c r="BL457"/>
  <c r="AA457"/>
  <c r="Z457"/>
  <c r="Y457"/>
  <c r="X457"/>
  <c r="W457"/>
  <c r="V457"/>
  <c r="CB457"/>
  <c r="CA457"/>
  <c r="BZ457"/>
  <c r="BY457"/>
  <c r="AN458"/>
  <c r="BW458"/>
  <c r="AK458"/>
  <c r="AI458"/>
  <c r="AJ458"/>
  <c r="R457"/>
  <c r="AH457"/>
  <c r="AG457"/>
  <c r="AF457"/>
  <c r="AE457"/>
  <c r="AD457"/>
  <c r="J457"/>
  <c r="I457"/>
  <c r="G457"/>
  <c r="AM457"/>
  <c r="AL457"/>
  <c r="U457"/>
  <c r="T457"/>
  <c r="Q457"/>
  <c r="O457"/>
  <c r="F457"/>
  <c r="AX460"/>
  <c r="L419"/>
  <c r="L458"/>
  <c r="H458"/>
  <c r="S458"/>
  <c r="AP458"/>
  <c r="E458"/>
  <c r="AO458"/>
  <c r="AM458"/>
  <c r="K458"/>
  <c r="BU458"/>
  <c r="BT458"/>
  <c r="BS458"/>
  <c r="BR458"/>
  <c r="BQ458"/>
  <c r="BP419"/>
  <c r="BP458"/>
  <c r="BO458"/>
  <c r="BN458"/>
  <c r="BM458"/>
  <c r="BL458"/>
  <c r="AA458"/>
  <c r="Z458"/>
  <c r="Y458"/>
  <c r="X458"/>
  <c r="W458"/>
  <c r="V458"/>
  <c r="CB458"/>
  <c r="CA458"/>
  <c r="BZ458"/>
  <c r="BY458"/>
  <c r="BW459"/>
  <c r="BX459"/>
  <c r="AK459"/>
  <c r="AN459"/>
  <c r="AL458"/>
  <c r="AI459"/>
  <c r="AJ459"/>
  <c r="R458"/>
  <c r="AH458"/>
  <c r="AG458"/>
  <c r="AF458"/>
  <c r="AE458"/>
  <c r="AD458"/>
  <c r="J458"/>
  <c r="I458"/>
  <c r="G458"/>
  <c r="U458"/>
  <c r="T458"/>
  <c r="Q458"/>
  <c r="O458"/>
  <c r="F458"/>
  <c r="BX460"/>
  <c r="AX461"/>
  <c r="L459"/>
  <c r="H459"/>
  <c r="S459"/>
  <c r="AP459"/>
  <c r="E459"/>
  <c r="AO459"/>
  <c r="AM459"/>
  <c r="K459"/>
  <c r="BU459"/>
  <c r="BT459"/>
  <c r="BR419"/>
  <c r="BS459"/>
  <c r="BR459"/>
  <c r="BQ459"/>
  <c r="BP459"/>
  <c r="BO459"/>
  <c r="BN459"/>
  <c r="BM459"/>
  <c r="BL459"/>
  <c r="AA459"/>
  <c r="Z459"/>
  <c r="Y459"/>
  <c r="X459"/>
  <c r="W459"/>
  <c r="V459"/>
  <c r="CB459"/>
  <c r="CA459"/>
  <c r="BZ459"/>
  <c r="BY459"/>
  <c r="AN460"/>
  <c r="BW460"/>
  <c r="AL459"/>
  <c r="AK460"/>
  <c r="AI460"/>
  <c r="AJ460"/>
  <c r="R459"/>
  <c r="AH459"/>
  <c r="AG459"/>
  <c r="AF459"/>
  <c r="AE459"/>
  <c r="AD459"/>
  <c r="J459"/>
  <c r="I459"/>
  <c r="G459"/>
  <c r="U459"/>
  <c r="T459"/>
  <c r="Q459"/>
  <c r="O459"/>
  <c r="F459"/>
  <c r="AX462"/>
  <c r="L460"/>
  <c r="H460"/>
  <c r="S460"/>
  <c r="AP460"/>
  <c r="E460"/>
  <c r="AO460"/>
  <c r="K460"/>
  <c r="BU460"/>
  <c r="BT460"/>
  <c r="BS460"/>
  <c r="BR460"/>
  <c r="BQ460"/>
  <c r="BP460"/>
  <c r="BO460"/>
  <c r="BN460"/>
  <c r="BM460"/>
  <c r="BL460"/>
  <c r="AA460"/>
  <c r="Z460"/>
  <c r="Y460"/>
  <c r="X460"/>
  <c r="W460"/>
  <c r="V460"/>
  <c r="CB460"/>
  <c r="CA460"/>
  <c r="BZ460"/>
  <c r="BY460"/>
  <c r="BW461"/>
  <c r="BX461"/>
  <c r="AK461"/>
  <c r="AN461"/>
  <c r="AI461"/>
  <c r="AJ461"/>
  <c r="R460"/>
  <c r="AH460"/>
  <c r="AG460"/>
  <c r="AF460"/>
  <c r="AE460"/>
  <c r="AD460"/>
  <c r="J460"/>
  <c r="I460"/>
  <c r="G460"/>
  <c r="F460"/>
  <c r="AL460"/>
  <c r="AM460"/>
  <c r="U460"/>
  <c r="T460"/>
  <c r="Q460"/>
  <c r="O460"/>
  <c r="BX462"/>
  <c r="AX463"/>
  <c r="L461"/>
  <c r="H461"/>
  <c r="S461"/>
  <c r="AP461"/>
  <c r="E461"/>
  <c r="AO461"/>
  <c r="AM461"/>
  <c r="K461"/>
  <c r="BU461"/>
  <c r="BT461"/>
  <c r="BS461"/>
  <c r="BR461"/>
  <c r="BQ461"/>
  <c r="BP461"/>
  <c r="BO461"/>
  <c r="BN461"/>
  <c r="BM461"/>
  <c r="BL461"/>
  <c r="AA461"/>
  <c r="Z461"/>
  <c r="Y461"/>
  <c r="X461"/>
  <c r="W461"/>
  <c r="V461"/>
  <c r="CB461"/>
  <c r="CA461"/>
  <c r="BZ461"/>
  <c r="BY461"/>
  <c r="AN462"/>
  <c r="BW462"/>
  <c r="AL461"/>
  <c r="AK462"/>
  <c r="AI462"/>
  <c r="AJ462"/>
  <c r="R461"/>
  <c r="AH461"/>
  <c r="AG461"/>
  <c r="AF461"/>
  <c r="AE461"/>
  <c r="AD461"/>
  <c r="J461"/>
  <c r="I461"/>
  <c r="G461"/>
  <c r="F461"/>
  <c r="U461"/>
  <c r="T461"/>
  <c r="Q461"/>
  <c r="O461"/>
  <c r="AX464"/>
  <c r="BX463"/>
  <c r="L462"/>
  <c r="H462"/>
  <c r="AE419"/>
  <c r="S462"/>
  <c r="AP462"/>
  <c r="AP463"/>
  <c r="E462"/>
  <c r="AO462"/>
  <c r="AM462"/>
  <c r="K462"/>
  <c r="BU462"/>
  <c r="BT462"/>
  <c r="BS462"/>
  <c r="BR462"/>
  <c r="BQ462"/>
  <c r="BP462"/>
  <c r="BO462"/>
  <c r="BN462"/>
  <c r="BM462"/>
  <c r="BL462"/>
  <c r="AA462"/>
  <c r="Z462"/>
  <c r="Y462"/>
  <c r="X462"/>
  <c r="W462"/>
  <c r="V462"/>
  <c r="CB462"/>
  <c r="CA462"/>
  <c r="BZ462"/>
  <c r="BY462"/>
  <c r="AN463"/>
  <c r="BW463"/>
  <c r="AK463"/>
  <c r="AL462"/>
  <c r="AI463"/>
  <c r="AJ463"/>
  <c r="R462"/>
  <c r="AH462"/>
  <c r="AG462"/>
  <c r="AF462"/>
  <c r="AE462"/>
  <c r="AD462"/>
  <c r="J462"/>
  <c r="I462"/>
  <c r="G462"/>
  <c r="U462"/>
  <c r="F462"/>
  <c r="T462"/>
  <c r="Q462"/>
  <c r="O462"/>
  <c r="BX464"/>
  <c r="AX465"/>
  <c r="AP464"/>
  <c r="L463"/>
  <c r="H463"/>
  <c r="S463"/>
  <c r="E463"/>
  <c r="AO463"/>
  <c r="AM463"/>
  <c r="K463"/>
  <c r="BU463"/>
  <c r="BT463"/>
  <c r="BS463"/>
  <c r="BR463"/>
  <c r="BQ463"/>
  <c r="BP463"/>
  <c r="BO463"/>
  <c r="BN463"/>
  <c r="BM463"/>
  <c r="BL463"/>
  <c r="AA463"/>
  <c r="Z463"/>
  <c r="Y463"/>
  <c r="X463"/>
  <c r="W463"/>
  <c r="V463"/>
  <c r="CB463"/>
  <c r="CA463"/>
  <c r="BZ463"/>
  <c r="BY463"/>
  <c r="AN464"/>
  <c r="BW464"/>
  <c r="AL463"/>
  <c r="AK464"/>
  <c r="AI464"/>
  <c r="AJ464"/>
  <c r="R463"/>
  <c r="AH463"/>
  <c r="AG463"/>
  <c r="AF463"/>
  <c r="AE463"/>
  <c r="AD463"/>
  <c r="J463"/>
  <c r="I463"/>
  <c r="G419"/>
  <c r="G463"/>
  <c r="F463"/>
  <c r="U463"/>
  <c r="T463"/>
  <c r="Q463"/>
  <c r="O463"/>
  <c r="AP465"/>
  <c r="AX466"/>
  <c r="L464"/>
  <c r="H464"/>
  <c r="W419"/>
  <c r="S464"/>
  <c r="E464"/>
  <c r="AO464"/>
  <c r="AM464"/>
  <c r="K464"/>
  <c r="BU464"/>
  <c r="BT464"/>
  <c r="BS464"/>
  <c r="BR464"/>
  <c r="BQ464"/>
  <c r="BP464"/>
  <c r="BO464"/>
  <c r="BN464"/>
  <c r="BM464"/>
  <c r="BL464"/>
  <c r="AA464"/>
  <c r="Z464"/>
  <c r="Y464"/>
  <c r="X464"/>
  <c r="W464"/>
  <c r="V464"/>
  <c r="CB464"/>
  <c r="CA464"/>
  <c r="BZ464"/>
  <c r="BY464"/>
  <c r="BW465"/>
  <c r="BX465"/>
  <c r="AK465"/>
  <c r="AN465"/>
  <c r="AL464"/>
  <c r="AI465"/>
  <c r="AJ465"/>
  <c r="R464"/>
  <c r="AH464"/>
  <c r="AG464"/>
  <c r="AF464"/>
  <c r="AE464"/>
  <c r="AD464"/>
  <c r="J464"/>
  <c r="I464"/>
  <c r="G464"/>
  <c r="F464"/>
  <c r="U464"/>
  <c r="T464"/>
  <c r="Q464"/>
  <c r="O464"/>
  <c r="BX466"/>
  <c r="AX467"/>
  <c r="AP466"/>
  <c r="L465"/>
  <c r="H465"/>
  <c r="S465"/>
  <c r="E465"/>
  <c r="AO465"/>
  <c r="AM465"/>
  <c r="K465"/>
  <c r="BU465"/>
  <c r="BT465"/>
  <c r="BS465"/>
  <c r="BR465"/>
  <c r="BQ465"/>
  <c r="BP465"/>
  <c r="BO465"/>
  <c r="BN465"/>
  <c r="BM465"/>
  <c r="BL465"/>
  <c r="AA465"/>
  <c r="Z465"/>
  <c r="Y465"/>
  <c r="X465"/>
  <c r="W465"/>
  <c r="V465"/>
  <c r="CB465"/>
  <c r="CA465"/>
  <c r="BZ465"/>
  <c r="BY465"/>
  <c r="AN466"/>
  <c r="BW466"/>
  <c r="AL465"/>
  <c r="AK466"/>
  <c r="AI466"/>
  <c r="AJ466"/>
  <c r="R465"/>
  <c r="AH465"/>
  <c r="AG465"/>
  <c r="AF465"/>
  <c r="AE465"/>
  <c r="AD465"/>
  <c r="J465"/>
  <c r="I465"/>
  <c r="G465"/>
  <c r="F465"/>
  <c r="U465"/>
  <c r="T465"/>
  <c r="Q465"/>
  <c r="O465"/>
  <c r="AP467"/>
  <c r="AX468"/>
  <c r="BX467"/>
  <c r="L466"/>
  <c r="H466"/>
  <c r="S466"/>
  <c r="E466"/>
  <c r="AO466"/>
  <c r="AM466"/>
  <c r="K466"/>
  <c r="BU466"/>
  <c r="BT466"/>
  <c r="BS466"/>
  <c r="BR466"/>
  <c r="BQ466"/>
  <c r="BP466"/>
  <c r="BO466"/>
  <c r="BN466"/>
  <c r="BM466"/>
  <c r="BL466"/>
  <c r="AA466"/>
  <c r="Z466"/>
  <c r="Y466"/>
  <c r="X466"/>
  <c r="W466"/>
  <c r="V466"/>
  <c r="CB466"/>
  <c r="CA466"/>
  <c r="BZ466"/>
  <c r="BY466"/>
  <c r="AN467"/>
  <c r="BW467"/>
  <c r="AK467"/>
  <c r="AL466"/>
  <c r="AI467"/>
  <c r="AJ467"/>
  <c r="R466"/>
  <c r="AH466"/>
  <c r="AG466"/>
  <c r="AF466"/>
  <c r="AE466"/>
  <c r="AD466"/>
  <c r="J466"/>
  <c r="I466"/>
  <c r="G466"/>
  <c r="F466"/>
  <c r="U466"/>
  <c r="T466"/>
  <c r="Q466"/>
  <c r="O466"/>
  <c r="BX468"/>
  <c r="AX469"/>
  <c r="AP468"/>
  <c r="L467"/>
  <c r="H467"/>
  <c r="S467"/>
  <c r="E467"/>
  <c r="AO467"/>
  <c r="AM467"/>
  <c r="K467"/>
  <c r="BU467"/>
  <c r="BT467"/>
  <c r="BS467"/>
  <c r="BR467"/>
  <c r="BQ467"/>
  <c r="BP467"/>
  <c r="BO467"/>
  <c r="BN467"/>
  <c r="BM467"/>
  <c r="BL467"/>
  <c r="AA467"/>
  <c r="Z467"/>
  <c r="Y467"/>
  <c r="X467"/>
  <c r="W467"/>
  <c r="V467"/>
  <c r="CB467"/>
  <c r="CA467"/>
  <c r="BZ467"/>
  <c r="BY467"/>
  <c r="AN468"/>
  <c r="BW468"/>
  <c r="AL467"/>
  <c r="AK468"/>
  <c r="AI468"/>
  <c r="AJ468"/>
  <c r="R467"/>
  <c r="AH467"/>
  <c r="AG467"/>
  <c r="AF467"/>
  <c r="AE467"/>
  <c r="AD467"/>
  <c r="J467"/>
  <c r="I467"/>
  <c r="G467"/>
  <c r="F467"/>
  <c r="U467"/>
  <c r="T467"/>
  <c r="Q467"/>
  <c r="O467"/>
  <c r="AP469"/>
  <c r="AX470"/>
  <c r="L468"/>
  <c r="H468"/>
  <c r="Y419"/>
  <c r="S468"/>
  <c r="E468"/>
  <c r="AO468"/>
  <c r="AM468"/>
  <c r="K468"/>
  <c r="BU468"/>
  <c r="BT468"/>
  <c r="BS468"/>
  <c r="BR468"/>
  <c r="BQ468"/>
  <c r="BP468"/>
  <c r="BO468"/>
  <c r="BN468"/>
  <c r="BM468"/>
  <c r="BL468"/>
  <c r="AA468"/>
  <c r="Z468"/>
  <c r="Y468"/>
  <c r="X468"/>
  <c r="W468"/>
  <c r="V468"/>
  <c r="CB468"/>
  <c r="CA468"/>
  <c r="BZ468"/>
  <c r="BY468"/>
  <c r="BW469"/>
  <c r="BX469"/>
  <c r="AK469"/>
  <c r="AN469"/>
  <c r="AL468"/>
  <c r="AI469"/>
  <c r="AJ469"/>
  <c r="R468"/>
  <c r="AH468"/>
  <c r="AG468"/>
  <c r="AF468"/>
  <c r="AE468"/>
  <c r="AD468"/>
  <c r="J468"/>
  <c r="I468"/>
  <c r="G468"/>
  <c r="F468"/>
  <c r="U468"/>
  <c r="T468"/>
  <c r="Q468"/>
  <c r="O468"/>
  <c r="BX470"/>
  <c r="AX471"/>
  <c r="AP470"/>
  <c r="X419"/>
  <c r="L469"/>
  <c r="H469"/>
  <c r="S469"/>
  <c r="E469"/>
  <c r="AO469"/>
  <c r="AM469"/>
  <c r="K469"/>
  <c r="BU469"/>
  <c r="BT469"/>
  <c r="BS469"/>
  <c r="BR469"/>
  <c r="BQ469"/>
  <c r="BP469"/>
  <c r="BO469"/>
  <c r="BN469"/>
  <c r="BM469"/>
  <c r="BL469"/>
  <c r="AA469"/>
  <c r="Z469"/>
  <c r="Y469"/>
  <c r="X469"/>
  <c r="W469"/>
  <c r="V469"/>
  <c r="CB469"/>
  <c r="CA469"/>
  <c r="BZ469"/>
  <c r="BY469"/>
  <c r="AN470"/>
  <c r="BW470"/>
  <c r="AL469"/>
  <c r="AK470"/>
  <c r="AI470"/>
  <c r="AJ470"/>
  <c r="R469"/>
  <c r="AH469"/>
  <c r="AG469"/>
  <c r="AF469"/>
  <c r="AE469"/>
  <c r="AD469"/>
  <c r="J469"/>
  <c r="I469"/>
  <c r="G469"/>
  <c r="F469"/>
  <c r="U469"/>
  <c r="T469"/>
  <c r="Q469"/>
  <c r="O469"/>
  <c r="AP471"/>
  <c r="AX472"/>
  <c r="L470"/>
  <c r="H470"/>
  <c r="S470"/>
  <c r="E470"/>
  <c r="AO419"/>
  <c r="AO470"/>
  <c r="AM470"/>
  <c r="K470"/>
  <c r="BU470"/>
  <c r="BT470"/>
  <c r="BS470"/>
  <c r="BR470"/>
  <c r="BQ470"/>
  <c r="BP470"/>
  <c r="BO470"/>
  <c r="BN470"/>
  <c r="BM470"/>
  <c r="BL470"/>
  <c r="AA470"/>
  <c r="Z470"/>
  <c r="Y470"/>
  <c r="X470"/>
  <c r="W470"/>
  <c r="V470"/>
  <c r="CB470"/>
  <c r="CA470"/>
  <c r="BZ470"/>
  <c r="BY470"/>
  <c r="BW471"/>
  <c r="BX471"/>
  <c r="AK471"/>
  <c r="AN471"/>
  <c r="AL470"/>
  <c r="AI471"/>
  <c r="AJ471"/>
  <c r="R470"/>
  <c r="AH470"/>
  <c r="AG470"/>
  <c r="AF470"/>
  <c r="AE470"/>
  <c r="AD470"/>
  <c r="J470"/>
  <c r="I470"/>
  <c r="G470"/>
  <c r="F470"/>
  <c r="U470"/>
  <c r="T470"/>
  <c r="Q470"/>
  <c r="O470"/>
  <c r="BX472"/>
  <c r="AX473"/>
  <c r="AP472"/>
  <c r="L471"/>
  <c r="H471"/>
  <c r="S471"/>
  <c r="E471"/>
  <c r="AO471"/>
  <c r="AM471"/>
  <c r="K471"/>
  <c r="BU471"/>
  <c r="BT471"/>
  <c r="BS471"/>
  <c r="BR471"/>
  <c r="BQ471"/>
  <c r="BP471"/>
  <c r="BO471"/>
  <c r="BN471"/>
  <c r="BM471"/>
  <c r="BL471"/>
  <c r="AA471"/>
  <c r="Z471"/>
  <c r="Y471"/>
  <c r="X471"/>
  <c r="W471"/>
  <c r="V471"/>
  <c r="CB471"/>
  <c r="CA471"/>
  <c r="BZ471"/>
  <c r="BY471"/>
  <c r="AN472"/>
  <c r="BW472"/>
  <c r="AL471"/>
  <c r="AK472"/>
  <c r="AI472"/>
  <c r="AJ472"/>
  <c r="R471"/>
  <c r="AH471"/>
  <c r="AG471"/>
  <c r="AF471"/>
  <c r="AE471"/>
  <c r="AD471"/>
  <c r="J471"/>
  <c r="I471"/>
  <c r="G471"/>
  <c r="F471"/>
  <c r="U471"/>
  <c r="T471"/>
  <c r="Q471"/>
  <c r="O471"/>
  <c r="AP473"/>
  <c r="AX474"/>
  <c r="L472"/>
  <c r="H472"/>
  <c r="S472"/>
  <c r="E472"/>
  <c r="AO472"/>
  <c r="AM472"/>
  <c r="K472"/>
  <c r="BU472"/>
  <c r="BT472"/>
  <c r="BS472"/>
  <c r="BR472"/>
  <c r="BQ472"/>
  <c r="BP472"/>
  <c r="BO472"/>
  <c r="BN472"/>
  <c r="BM472"/>
  <c r="BL472"/>
  <c r="AA472"/>
  <c r="Z472"/>
  <c r="Y472"/>
  <c r="X472"/>
  <c r="W472"/>
  <c r="V472"/>
  <c r="CB472"/>
  <c r="CA472"/>
  <c r="BZ472"/>
  <c r="BY472"/>
  <c r="BW473"/>
  <c r="BX473"/>
  <c r="AK473"/>
  <c r="AN473"/>
  <c r="AL472"/>
  <c r="AI473"/>
  <c r="AJ473"/>
  <c r="R472"/>
  <c r="AH472"/>
  <c r="AG472"/>
  <c r="AF472"/>
  <c r="AE472"/>
  <c r="AD472"/>
  <c r="J472"/>
  <c r="I472"/>
  <c r="G472"/>
  <c r="F472"/>
  <c r="U472"/>
  <c r="T472"/>
  <c r="Q472"/>
  <c r="O472"/>
  <c r="BX474"/>
  <c r="AX475"/>
  <c r="AP474"/>
  <c r="Z419"/>
  <c r="L473"/>
  <c r="H473"/>
  <c r="AA419"/>
  <c r="S473"/>
  <c r="E473"/>
  <c r="AO473"/>
  <c r="AM473"/>
  <c r="K473"/>
  <c r="BU473"/>
  <c r="BT473"/>
  <c r="BS473"/>
  <c r="BR473"/>
  <c r="BQ473"/>
  <c r="BP473"/>
  <c r="BO473"/>
  <c r="BN473"/>
  <c r="BM473"/>
  <c r="BL473"/>
  <c r="AA473"/>
  <c r="Z473"/>
  <c r="Y473"/>
  <c r="X473"/>
  <c r="W473"/>
  <c r="V473"/>
  <c r="CB473"/>
  <c r="CA473"/>
  <c r="BZ473"/>
  <c r="BY473"/>
  <c r="AN474"/>
  <c r="BW474"/>
  <c r="AL473"/>
  <c r="AK474"/>
  <c r="AI474"/>
  <c r="AJ474"/>
  <c r="R473"/>
  <c r="AH473"/>
  <c r="AG473"/>
  <c r="AF473"/>
  <c r="AE473"/>
  <c r="AD419"/>
  <c r="AD473"/>
  <c r="J419"/>
  <c r="J473"/>
  <c r="I473"/>
  <c r="G473"/>
  <c r="F473"/>
  <c r="U473"/>
  <c r="T473"/>
  <c r="Q473"/>
  <c r="O473"/>
  <c r="AP475"/>
  <c r="AX476"/>
  <c r="L474"/>
  <c r="H474"/>
  <c r="S474"/>
  <c r="E474"/>
  <c r="AO474"/>
  <c r="AM474"/>
  <c r="K474"/>
  <c r="BU474"/>
  <c r="BT474"/>
  <c r="BS474"/>
  <c r="BR474"/>
  <c r="BQ474"/>
  <c r="BP474"/>
  <c r="BO474"/>
  <c r="BN474"/>
  <c r="BM474"/>
  <c r="BL474"/>
  <c r="AA474"/>
  <c r="Z474"/>
  <c r="Y474"/>
  <c r="X474"/>
  <c r="W474"/>
  <c r="V474"/>
  <c r="CB474"/>
  <c r="CA474"/>
  <c r="BZ474"/>
  <c r="BY474"/>
  <c r="BW475"/>
  <c r="BX475"/>
  <c r="AK475"/>
  <c r="AN475"/>
  <c r="AL474"/>
  <c r="AI475"/>
  <c r="AJ475"/>
  <c r="R474"/>
  <c r="AH474"/>
  <c r="AG474"/>
  <c r="AF474"/>
  <c r="AE474"/>
  <c r="AD474"/>
  <c r="J474"/>
  <c r="I474"/>
  <c r="G474"/>
  <c r="F474"/>
  <c r="U474"/>
  <c r="T474"/>
  <c r="Q474"/>
  <c r="O474"/>
  <c r="BX476"/>
  <c r="AX477"/>
  <c r="AP476"/>
  <c r="L475"/>
  <c r="H475"/>
  <c r="S475"/>
  <c r="E475"/>
  <c r="AO475"/>
  <c r="AM475"/>
  <c r="K475"/>
  <c r="BU475"/>
  <c r="BT475"/>
  <c r="BS475"/>
  <c r="BR475"/>
  <c r="BQ475"/>
  <c r="BP475"/>
  <c r="BO475"/>
  <c r="BN475"/>
  <c r="BM475"/>
  <c r="BL475"/>
  <c r="AA475"/>
  <c r="Z475"/>
  <c r="Y475"/>
  <c r="X475"/>
  <c r="W475"/>
  <c r="V475"/>
  <c r="CB475"/>
  <c r="CA475"/>
  <c r="BZ475"/>
  <c r="BY475"/>
  <c r="AN476"/>
  <c r="BW476"/>
  <c r="AL475"/>
  <c r="AK476"/>
  <c r="AI476"/>
  <c r="AJ476"/>
  <c r="R475"/>
  <c r="AH475"/>
  <c r="AG475"/>
  <c r="AF475"/>
  <c r="AE475"/>
  <c r="AD475"/>
  <c r="J475"/>
  <c r="I475"/>
  <c r="G475"/>
  <c r="F475"/>
  <c r="U475"/>
  <c r="T475"/>
  <c r="Q475"/>
  <c r="O475"/>
  <c r="AP477"/>
  <c r="AX478"/>
  <c r="L476"/>
  <c r="H476"/>
  <c r="S476"/>
  <c r="E476"/>
  <c r="S477"/>
  <c r="AO476"/>
  <c r="AM476"/>
  <c r="K476"/>
  <c r="BU476"/>
  <c r="BT476"/>
  <c r="BS476"/>
  <c r="BR476"/>
  <c r="BQ476"/>
  <c r="BP476"/>
  <c r="BO476"/>
  <c r="BN476"/>
  <c r="BM476"/>
  <c r="BL476"/>
  <c r="AA476"/>
  <c r="Z476"/>
  <c r="Y476"/>
  <c r="X476"/>
  <c r="W476"/>
  <c r="V476"/>
  <c r="CB476"/>
  <c r="CA476"/>
  <c r="BZ476"/>
  <c r="BY476"/>
  <c r="BW477"/>
  <c r="BX477"/>
  <c r="AK477"/>
  <c r="AN477"/>
  <c r="AL476"/>
  <c r="AI477"/>
  <c r="AJ477"/>
  <c r="R476"/>
  <c r="AH476"/>
  <c r="AG476"/>
  <c r="AF476"/>
  <c r="AE476"/>
  <c r="AD476"/>
  <c r="J476"/>
  <c r="I476"/>
  <c r="G476"/>
  <c r="F476"/>
  <c r="U476"/>
  <c r="T476"/>
  <c r="Q476"/>
  <c r="O476"/>
  <c r="BX478"/>
  <c r="AX479"/>
  <c r="AP478"/>
  <c r="AH478"/>
  <c r="L477"/>
  <c r="K477"/>
  <c r="H477"/>
  <c r="E477"/>
  <c r="E478"/>
  <c r="AO477"/>
  <c r="AM477"/>
  <c r="BU477"/>
  <c r="BT477"/>
  <c r="BS477"/>
  <c r="BR477"/>
  <c r="BQ477"/>
  <c r="BP477"/>
  <c r="BO477"/>
  <c r="BN477"/>
  <c r="BM477"/>
  <c r="BL477"/>
  <c r="AA477"/>
  <c r="Z477"/>
  <c r="Y477"/>
  <c r="X477"/>
  <c r="W477"/>
  <c r="V477"/>
  <c r="CB477"/>
  <c r="CA477"/>
  <c r="BZ477"/>
  <c r="BY477"/>
  <c r="AN478"/>
  <c r="BW478"/>
  <c r="AL477"/>
  <c r="AK478"/>
  <c r="AI478"/>
  <c r="AJ478"/>
  <c r="R477"/>
  <c r="AG477"/>
  <c r="AH477"/>
  <c r="J477"/>
  <c r="AF477"/>
  <c r="AE477"/>
  <c r="AD477"/>
  <c r="Q477"/>
  <c r="I477"/>
  <c r="G477"/>
  <c r="F477"/>
  <c r="AD478"/>
  <c r="AE478"/>
  <c r="U477"/>
  <c r="T477"/>
  <c r="S478"/>
  <c r="O477"/>
  <c r="G478"/>
  <c r="F478"/>
  <c r="AH479"/>
  <c r="AP479"/>
  <c r="AX480"/>
  <c r="BX479"/>
  <c r="AG478"/>
  <c r="AF478"/>
  <c r="L478"/>
  <c r="K478"/>
  <c r="J478"/>
  <c r="I478"/>
  <c r="H478"/>
  <c r="E480"/>
  <c r="E479"/>
  <c r="O478"/>
  <c r="AO478"/>
  <c r="AM478"/>
  <c r="BU478"/>
  <c r="BT478"/>
  <c r="BS478"/>
  <c r="BR478"/>
  <c r="BQ478"/>
  <c r="BP478"/>
  <c r="BO478"/>
  <c r="BN478"/>
  <c r="BM478"/>
  <c r="BL478"/>
  <c r="AA478"/>
  <c r="Z478"/>
  <c r="Y478"/>
  <c r="X478"/>
  <c r="W478"/>
  <c r="V478"/>
  <c r="CB478"/>
  <c r="CA478"/>
  <c r="BZ478"/>
  <c r="BY478"/>
  <c r="AN479"/>
  <c r="BW479"/>
  <c r="AL478"/>
  <c r="AJ479"/>
  <c r="AK479"/>
  <c r="R478"/>
  <c r="Q478"/>
  <c r="AI479"/>
  <c r="AD479"/>
  <c r="AE479"/>
  <c r="U478"/>
  <c r="T478"/>
  <c r="S479"/>
  <c r="G479"/>
  <c r="F479"/>
  <c r="BX480"/>
  <c r="AX481"/>
  <c r="AP480"/>
  <c r="AH480"/>
  <c r="AG479"/>
  <c r="AF479"/>
  <c r="L479"/>
  <c r="K479"/>
  <c r="J479"/>
  <c r="I479"/>
  <c r="H479"/>
  <c r="E481"/>
  <c r="O479"/>
  <c r="AO479"/>
  <c r="O480"/>
  <c r="AO480"/>
  <c r="AM479"/>
  <c r="BU479"/>
  <c r="BT479"/>
  <c r="BS479"/>
  <c r="BR479"/>
  <c r="BQ479"/>
  <c r="BP479"/>
  <c r="BO479"/>
  <c r="BN479"/>
  <c r="BM479"/>
  <c r="BL479"/>
  <c r="AA479"/>
  <c r="Z479"/>
  <c r="Y479"/>
  <c r="X479"/>
  <c r="W479"/>
  <c r="V479"/>
  <c r="CB479"/>
  <c r="CA479"/>
  <c r="BZ479"/>
  <c r="BY479"/>
  <c r="AN480"/>
  <c r="BW480"/>
  <c r="AK480"/>
  <c r="AL479"/>
  <c r="AI480"/>
  <c r="AJ480"/>
  <c r="R479"/>
  <c r="Q479"/>
  <c r="AM480"/>
  <c r="AD480"/>
  <c r="AE480"/>
  <c r="U479"/>
  <c r="T479"/>
  <c r="S480"/>
  <c r="G480"/>
  <c r="F480"/>
  <c r="AH481"/>
  <c r="AP481"/>
  <c r="AX482"/>
  <c r="BX481"/>
  <c r="AG480"/>
  <c r="AF480"/>
  <c r="L480"/>
  <c r="K480"/>
  <c r="J480"/>
  <c r="I480"/>
  <c r="H480"/>
  <c r="O481"/>
  <c r="AO481"/>
  <c r="BU480"/>
  <c r="BT480"/>
  <c r="BS480"/>
  <c r="BR480"/>
  <c r="BQ480"/>
  <c r="BP480"/>
  <c r="BO480"/>
  <c r="BN480"/>
  <c r="BM480"/>
  <c r="BL480"/>
  <c r="AA480"/>
  <c r="Z480"/>
  <c r="Y480"/>
  <c r="X480"/>
  <c r="W480"/>
  <c r="V480"/>
  <c r="CB480"/>
  <c r="CA480"/>
  <c r="BZ480"/>
  <c r="BY480"/>
  <c r="AN481"/>
  <c r="BW481"/>
  <c r="AL480"/>
  <c r="AJ481"/>
  <c r="AK481"/>
  <c r="R480"/>
  <c r="Q480"/>
  <c r="AI481"/>
  <c r="AM481"/>
  <c r="AD481"/>
  <c r="AE481"/>
  <c r="U480"/>
  <c r="T480"/>
  <c r="S481"/>
  <c r="F481"/>
  <c r="G481"/>
  <c r="BX482"/>
  <c r="E482"/>
  <c r="AX483"/>
  <c r="AP482"/>
  <c r="AH482"/>
  <c r="AG481"/>
  <c r="AF481"/>
  <c r="L481"/>
  <c r="K481"/>
  <c r="J481"/>
  <c r="I481"/>
  <c r="H481"/>
  <c r="O482"/>
  <c r="AO482"/>
  <c r="BU481"/>
  <c r="BT481"/>
  <c r="BS481"/>
  <c r="BR481"/>
  <c r="BQ481"/>
  <c r="BP481"/>
  <c r="BO481"/>
  <c r="BN481"/>
  <c r="BM481"/>
  <c r="BL481"/>
  <c r="AA481"/>
  <c r="Z481"/>
  <c r="Y481"/>
  <c r="X481"/>
  <c r="W481"/>
  <c r="V481"/>
  <c r="CB481"/>
  <c r="CA481"/>
  <c r="BZ481"/>
  <c r="BY481"/>
  <c r="AN482"/>
  <c r="BW482"/>
  <c r="AL481"/>
  <c r="AK482"/>
  <c r="AI482"/>
  <c r="AJ482"/>
  <c r="R481"/>
  <c r="Q481"/>
  <c r="AM482"/>
  <c r="AD482"/>
  <c r="AE482"/>
  <c r="U481"/>
  <c r="T481"/>
  <c r="S482"/>
  <c r="G482"/>
  <c r="F482"/>
  <c r="AH483"/>
  <c r="AP483"/>
  <c r="E483"/>
  <c r="AX484"/>
  <c r="BX483"/>
  <c r="AG482"/>
  <c r="AF482"/>
  <c r="L482"/>
  <c r="K482"/>
  <c r="J482"/>
  <c r="I482"/>
  <c r="H482"/>
  <c r="O483"/>
  <c r="AO483"/>
  <c r="BU482"/>
  <c r="BT482"/>
  <c r="BS482"/>
  <c r="BR482"/>
  <c r="BQ482"/>
  <c r="BP482"/>
  <c r="BO482"/>
  <c r="BN482"/>
  <c r="BM482"/>
  <c r="BL482"/>
  <c r="AA482"/>
  <c r="Z482"/>
  <c r="Y482"/>
  <c r="X482"/>
  <c r="W482"/>
  <c r="V482"/>
  <c r="CB482"/>
  <c r="CA482"/>
  <c r="BZ482"/>
  <c r="BY482"/>
  <c r="AN483"/>
  <c r="BW483"/>
  <c r="AL482"/>
  <c r="AJ483"/>
  <c r="AK483"/>
  <c r="R482"/>
  <c r="Q482"/>
  <c r="AI483"/>
  <c r="AM483"/>
  <c r="AD483"/>
  <c r="AE483"/>
  <c r="U482"/>
  <c r="T482"/>
  <c r="S483"/>
  <c r="G483"/>
  <c r="F483"/>
  <c r="BX484"/>
  <c r="E484"/>
  <c r="AX485"/>
  <c r="AP484"/>
  <c r="AH484"/>
  <c r="AG483"/>
  <c r="AF483"/>
  <c r="L483"/>
  <c r="K483"/>
  <c r="J483"/>
  <c r="I483"/>
  <c r="H483"/>
  <c r="O484"/>
  <c r="AO484"/>
  <c r="BU483"/>
  <c r="BT483"/>
  <c r="BS483"/>
  <c r="BR483"/>
  <c r="BQ483"/>
  <c r="BP483"/>
  <c r="BO483"/>
  <c r="BN483"/>
  <c r="BM483"/>
  <c r="BL483"/>
  <c r="AA483"/>
  <c r="Z483"/>
  <c r="Y483"/>
  <c r="X483"/>
  <c r="W483"/>
  <c r="V483"/>
  <c r="CB483"/>
  <c r="CA483"/>
  <c r="BZ483"/>
  <c r="BY483"/>
  <c r="AN484"/>
  <c r="BW484"/>
  <c r="AL483"/>
  <c r="AK484"/>
  <c r="AI484"/>
  <c r="AJ484"/>
  <c r="R483"/>
  <c r="Q483"/>
  <c r="AM484"/>
  <c r="AD484"/>
  <c r="AE484"/>
  <c r="U483"/>
  <c r="T483"/>
  <c r="S484"/>
  <c r="G484"/>
  <c r="F484"/>
  <c r="AH485"/>
  <c r="AP485"/>
  <c r="E485"/>
  <c r="AX486"/>
  <c r="BX485"/>
  <c r="AG484"/>
  <c r="AF484"/>
  <c r="L484"/>
  <c r="K484"/>
  <c r="J484"/>
  <c r="I484"/>
  <c r="H484"/>
  <c r="O485"/>
  <c r="AO485"/>
  <c r="BU419"/>
  <c r="BU484"/>
  <c r="BT484"/>
  <c r="BS484"/>
  <c r="BR484"/>
  <c r="BQ484"/>
  <c r="BP484"/>
  <c r="BO484"/>
  <c r="BN484"/>
  <c r="BM484"/>
  <c r="BL484"/>
  <c r="AA484"/>
  <c r="Z484"/>
  <c r="Y484"/>
  <c r="X484"/>
  <c r="W484"/>
  <c r="V484"/>
  <c r="CB484"/>
  <c r="CA484"/>
  <c r="BZ484"/>
  <c r="BY484"/>
  <c r="AN485"/>
  <c r="BW485"/>
  <c r="AL484"/>
  <c r="AJ485"/>
  <c r="AK485"/>
  <c r="R484"/>
  <c r="Q484"/>
  <c r="AI485"/>
  <c r="AM485"/>
  <c r="AD485"/>
  <c r="AE485"/>
  <c r="U484"/>
  <c r="T484"/>
  <c r="S485"/>
  <c r="F485"/>
  <c r="G485"/>
  <c r="BX486"/>
  <c r="E486"/>
  <c r="AX487"/>
  <c r="AP486"/>
  <c r="AH486"/>
  <c r="AG485"/>
  <c r="AF485"/>
  <c r="L485"/>
  <c r="K485"/>
  <c r="J485"/>
  <c r="I485"/>
  <c r="H485"/>
  <c r="O486"/>
  <c r="AO486"/>
  <c r="BU485"/>
  <c r="BT485"/>
  <c r="BS485"/>
  <c r="BR485"/>
  <c r="BQ485"/>
  <c r="BP485"/>
  <c r="BO485"/>
  <c r="BN485"/>
  <c r="BM485"/>
  <c r="BL485"/>
  <c r="AA485"/>
  <c r="Z485"/>
  <c r="Y485"/>
  <c r="X485"/>
  <c r="W485"/>
  <c r="V485"/>
  <c r="CB485"/>
  <c r="CA485"/>
  <c r="BZ485"/>
  <c r="BY485"/>
  <c r="AN486"/>
  <c r="BW486"/>
  <c r="AL485"/>
  <c r="AK486"/>
  <c r="AI486"/>
  <c r="AJ486"/>
  <c r="R485"/>
  <c r="Q485"/>
  <c r="AM486"/>
  <c r="AD486"/>
  <c r="AE486"/>
  <c r="U485"/>
  <c r="T485"/>
  <c r="S486"/>
  <c r="G486"/>
  <c r="F486"/>
  <c r="AH487"/>
  <c r="AP487"/>
  <c r="E487"/>
  <c r="AX488"/>
  <c r="BX487"/>
  <c r="AG486"/>
  <c r="AF486"/>
  <c r="L486"/>
  <c r="K486"/>
  <c r="J486"/>
  <c r="I486"/>
  <c r="H486"/>
  <c r="O487"/>
  <c r="AO487"/>
  <c r="BU486"/>
  <c r="BT486"/>
  <c r="BS486"/>
  <c r="BR486"/>
  <c r="BQ486"/>
  <c r="BP486"/>
  <c r="BO486"/>
  <c r="BN486"/>
  <c r="BM486"/>
  <c r="BL486"/>
  <c r="AA486"/>
  <c r="Z486"/>
  <c r="Y486"/>
  <c r="X486"/>
  <c r="W486"/>
  <c r="V486"/>
  <c r="CB486"/>
  <c r="CA486"/>
  <c r="BZ486"/>
  <c r="BY486"/>
  <c r="AN487"/>
  <c r="BW487"/>
  <c r="AL486"/>
  <c r="AJ487"/>
  <c r="AK487"/>
  <c r="R486"/>
  <c r="Q486"/>
  <c r="AI487"/>
  <c r="AM487"/>
  <c r="AD487"/>
  <c r="AE487"/>
  <c r="F487"/>
  <c r="U486"/>
  <c r="T486"/>
  <c r="S487"/>
  <c r="G487"/>
  <c r="BX488"/>
  <c r="E488"/>
  <c r="AX489"/>
  <c r="AP488"/>
  <c r="AH488"/>
  <c r="AG487"/>
  <c r="AF487"/>
  <c r="L487"/>
  <c r="K487"/>
  <c r="J487"/>
  <c r="I487"/>
  <c r="H487"/>
  <c r="O488"/>
  <c r="AO488"/>
  <c r="BU487"/>
  <c r="BT487"/>
  <c r="BS487"/>
  <c r="BR487"/>
  <c r="BQ487"/>
  <c r="BP487"/>
  <c r="BO487"/>
  <c r="BN487"/>
  <c r="BM487"/>
  <c r="BL487"/>
  <c r="AA487"/>
  <c r="Z487"/>
  <c r="Y487"/>
  <c r="X487"/>
  <c r="W487"/>
  <c r="V487"/>
  <c r="CB487"/>
  <c r="CA487"/>
  <c r="BZ487"/>
  <c r="BY487"/>
  <c r="AN488"/>
  <c r="BW488"/>
  <c r="AL487"/>
  <c r="AK488"/>
  <c r="AI488"/>
  <c r="AJ488"/>
  <c r="R487"/>
  <c r="Q487"/>
  <c r="AM488"/>
  <c r="AD488"/>
  <c r="AE488"/>
  <c r="U487"/>
  <c r="T487"/>
  <c r="S488"/>
  <c r="G488"/>
  <c r="F488"/>
  <c r="AH489"/>
  <c r="AP489"/>
  <c r="E489"/>
  <c r="AX490"/>
  <c r="BX489"/>
  <c r="AG488"/>
  <c r="AF488"/>
  <c r="L488"/>
  <c r="K488"/>
  <c r="J488"/>
  <c r="I488"/>
  <c r="H488"/>
  <c r="O489"/>
  <c r="AO489"/>
  <c r="BU488"/>
  <c r="BT488"/>
  <c r="BS488"/>
  <c r="BR488"/>
  <c r="BQ488"/>
  <c r="BP488"/>
  <c r="BO488"/>
  <c r="BN488"/>
  <c r="BM488"/>
  <c r="BL488"/>
  <c r="AA488"/>
  <c r="Z488"/>
  <c r="Y488"/>
  <c r="X488"/>
  <c r="W488"/>
  <c r="V488"/>
  <c r="CB488"/>
  <c r="CA488"/>
  <c r="BZ488"/>
  <c r="BY488"/>
  <c r="AN489"/>
  <c r="BW489"/>
  <c r="AL488"/>
  <c r="AJ489"/>
  <c r="AK489"/>
  <c r="R488"/>
  <c r="Q488"/>
  <c r="AI489"/>
  <c r="AM489"/>
  <c r="AD489"/>
  <c r="AE489"/>
  <c r="U488"/>
  <c r="T488"/>
  <c r="S489"/>
  <c r="F489"/>
  <c r="G489"/>
  <c r="BX490"/>
  <c r="E490"/>
  <c r="AX491"/>
  <c r="AP490"/>
  <c r="AH490"/>
  <c r="AG489"/>
  <c r="AF489"/>
  <c r="L489"/>
  <c r="K489"/>
  <c r="J489"/>
  <c r="I489"/>
  <c r="H489"/>
  <c r="O490"/>
  <c r="AO490"/>
  <c r="BU489"/>
  <c r="BT489"/>
  <c r="BS489"/>
  <c r="BR489"/>
  <c r="BQ489"/>
  <c r="BP489"/>
  <c r="BO489"/>
  <c r="BN489"/>
  <c r="BM489"/>
  <c r="BL489"/>
  <c r="AA489"/>
  <c r="Z489"/>
  <c r="Y489"/>
  <c r="X489"/>
  <c r="W489"/>
  <c r="V489"/>
  <c r="CB489"/>
  <c r="CA489"/>
  <c r="BZ489"/>
  <c r="BY489"/>
  <c r="AN490"/>
  <c r="BW490"/>
  <c r="AL489"/>
  <c r="AK490"/>
  <c r="AI490"/>
  <c r="AJ490"/>
  <c r="R489"/>
  <c r="Q489"/>
  <c r="AM490"/>
  <c r="AD490"/>
  <c r="AE490"/>
  <c r="U489"/>
  <c r="T489"/>
  <c r="S490"/>
  <c r="G490"/>
  <c r="F490"/>
  <c r="AH491"/>
  <c r="AP491"/>
  <c r="E491"/>
  <c r="AX492"/>
  <c r="BX491"/>
  <c r="AG490"/>
  <c r="AF490"/>
  <c r="L490"/>
  <c r="K490"/>
  <c r="J490"/>
  <c r="I490"/>
  <c r="H490"/>
  <c r="O491"/>
  <c r="AO491"/>
  <c r="BU490"/>
  <c r="BT490"/>
  <c r="BS490"/>
  <c r="BR490"/>
  <c r="BQ490"/>
  <c r="BP490"/>
  <c r="BO490"/>
  <c r="BN490"/>
  <c r="BM490"/>
  <c r="BL490"/>
  <c r="AA490"/>
  <c r="Z490"/>
  <c r="Y490"/>
  <c r="X490"/>
  <c r="W490"/>
  <c r="V490"/>
  <c r="CB490"/>
  <c r="CA490"/>
  <c r="BZ490"/>
  <c r="BY490"/>
  <c r="AN491"/>
  <c r="BW491"/>
  <c r="AL490"/>
  <c r="AJ491"/>
  <c r="AK491"/>
  <c r="R490"/>
  <c r="Q490"/>
  <c r="AI491"/>
  <c r="AM491"/>
  <c r="AD491"/>
  <c r="AE491"/>
  <c r="U490"/>
  <c r="T490"/>
  <c r="S491"/>
  <c r="G491"/>
  <c r="F491"/>
  <c r="BX492"/>
  <c r="E492"/>
  <c r="AX493"/>
  <c r="AP492"/>
  <c r="AH492"/>
  <c r="AG491"/>
  <c r="AF491"/>
  <c r="L491"/>
  <c r="K491"/>
  <c r="J491"/>
  <c r="I491"/>
  <c r="H491"/>
  <c r="O492"/>
  <c r="AO492"/>
  <c r="BU491"/>
  <c r="BT491"/>
  <c r="BS491"/>
  <c r="BR491"/>
  <c r="BQ491"/>
  <c r="BP491"/>
  <c r="BO491"/>
  <c r="BN491"/>
  <c r="BM491"/>
  <c r="BL491"/>
  <c r="AA491"/>
  <c r="Z491"/>
  <c r="Y491"/>
  <c r="X491"/>
  <c r="W491"/>
  <c r="V491"/>
  <c r="CB491"/>
  <c r="CA491"/>
  <c r="BZ491"/>
  <c r="BY491"/>
  <c r="AN492"/>
  <c r="BW492"/>
  <c r="AL491"/>
  <c r="AK492"/>
  <c r="AI492"/>
  <c r="AJ492"/>
  <c r="R491"/>
  <c r="Q491"/>
  <c r="AM492"/>
  <c r="AD492"/>
  <c r="AE492"/>
  <c r="U491"/>
  <c r="T491"/>
  <c r="S492"/>
  <c r="G492"/>
  <c r="F492"/>
  <c r="AH493"/>
  <c r="AP493"/>
  <c r="E493"/>
  <c r="AX494"/>
  <c r="BX493"/>
  <c r="AG492"/>
  <c r="AF492"/>
  <c r="L492"/>
  <c r="K492"/>
  <c r="J492"/>
  <c r="I492"/>
  <c r="H492"/>
  <c r="O493"/>
  <c r="AO493"/>
  <c r="BU492"/>
  <c r="BT492"/>
  <c r="BS492"/>
  <c r="BR492"/>
  <c r="BQ492"/>
  <c r="BP492"/>
  <c r="BO492"/>
  <c r="BN492"/>
  <c r="BM492"/>
  <c r="BL492"/>
  <c r="AA492"/>
  <c r="Z492"/>
  <c r="Y492"/>
  <c r="X492"/>
  <c r="W492"/>
  <c r="V492"/>
  <c r="CB492"/>
  <c r="CA492"/>
  <c r="BZ492"/>
  <c r="BY492"/>
  <c r="AN493"/>
  <c r="BW493"/>
  <c r="AL492"/>
  <c r="AJ493"/>
  <c r="AK493"/>
  <c r="R492"/>
  <c r="Q492"/>
  <c r="AI493"/>
  <c r="AM493"/>
  <c r="AD493"/>
  <c r="AE493"/>
  <c r="U492"/>
  <c r="T492"/>
  <c r="S493"/>
  <c r="G493"/>
  <c r="F493"/>
  <c r="BX494"/>
  <c r="E494"/>
  <c r="AX495"/>
  <c r="AP494"/>
  <c r="AH494"/>
  <c r="AG493"/>
  <c r="AF493"/>
  <c r="L493"/>
  <c r="K493"/>
  <c r="J493"/>
  <c r="I493"/>
  <c r="H493"/>
  <c r="O494"/>
  <c r="AO494"/>
  <c r="BU493"/>
  <c r="BT493"/>
  <c r="BS493"/>
  <c r="BR493"/>
  <c r="BQ493"/>
  <c r="BP493"/>
  <c r="BO493"/>
  <c r="BN493"/>
  <c r="BM493"/>
  <c r="BL493"/>
  <c r="AA493"/>
  <c r="Z493"/>
  <c r="Y493"/>
  <c r="X493"/>
  <c r="W493"/>
  <c r="V493"/>
  <c r="CB493"/>
  <c r="CA493"/>
  <c r="BZ493"/>
  <c r="BY493"/>
  <c r="AN494"/>
  <c r="BW494"/>
  <c r="AL493"/>
  <c r="AK494"/>
  <c r="AI494"/>
  <c r="AJ494"/>
  <c r="R493"/>
  <c r="Q493"/>
  <c r="AM494"/>
  <c r="AD494"/>
  <c r="AE494"/>
  <c r="U493"/>
  <c r="T493"/>
  <c r="S494"/>
  <c r="G494"/>
  <c r="F494"/>
  <c r="AH495"/>
  <c r="AP495"/>
  <c r="E495"/>
  <c r="AX496"/>
  <c r="AG494"/>
  <c r="AF494"/>
  <c r="L494"/>
  <c r="K494"/>
  <c r="J494"/>
  <c r="I494"/>
  <c r="H494"/>
  <c r="O495"/>
  <c r="AO495"/>
  <c r="BU494"/>
  <c r="BT494"/>
  <c r="BS494"/>
  <c r="BR494"/>
  <c r="BQ494"/>
  <c r="BP494"/>
  <c r="BO494"/>
  <c r="BN494"/>
  <c r="BM494"/>
  <c r="BL494"/>
  <c r="AA494"/>
  <c r="Z494"/>
  <c r="Y494"/>
  <c r="X494"/>
  <c r="W494"/>
  <c r="V494"/>
  <c r="CB494"/>
  <c r="CA494"/>
  <c r="BZ494"/>
  <c r="BY494"/>
  <c r="BW495"/>
  <c r="BX495"/>
  <c r="AK495"/>
  <c r="AN495"/>
  <c r="AL494"/>
  <c r="AI495"/>
  <c r="AJ495"/>
  <c r="R494"/>
  <c r="Q494"/>
  <c r="AM495"/>
  <c r="AD495"/>
  <c r="AE495"/>
  <c r="U494"/>
  <c r="T494"/>
  <c r="F495"/>
  <c r="S495"/>
  <c r="G495"/>
  <c r="BX496"/>
  <c r="E496"/>
  <c r="AX497"/>
  <c r="AP496"/>
  <c r="AH496"/>
  <c r="AG495"/>
  <c r="AF495"/>
  <c r="L495"/>
  <c r="K495"/>
  <c r="J495"/>
  <c r="I495"/>
  <c r="H495"/>
  <c r="O496"/>
  <c r="AO496"/>
  <c r="BU495"/>
  <c r="BT495"/>
  <c r="BS495"/>
  <c r="BR495"/>
  <c r="BQ495"/>
  <c r="BP495"/>
  <c r="BO495"/>
  <c r="BN495"/>
  <c r="BM495"/>
  <c r="BL495"/>
  <c r="AA495"/>
  <c r="Z495"/>
  <c r="Y495"/>
  <c r="X495"/>
  <c r="W495"/>
  <c r="V495"/>
  <c r="CB495"/>
  <c r="CA496"/>
  <c r="CB496"/>
  <c r="CA495"/>
  <c r="BZ495"/>
  <c r="BY496"/>
  <c r="BZ496"/>
  <c r="BY495"/>
  <c r="AN496"/>
  <c r="BW496"/>
  <c r="AL495"/>
  <c r="AK496"/>
  <c r="AI496"/>
  <c r="AJ496"/>
  <c r="R495"/>
  <c r="Q495"/>
  <c r="AM496"/>
  <c r="AD496"/>
  <c r="AE496"/>
  <c r="U495"/>
  <c r="T496"/>
  <c r="U496"/>
  <c r="T495"/>
  <c r="S496"/>
  <c r="G496"/>
  <c r="F496"/>
  <c r="AH497"/>
  <c r="AP497"/>
  <c r="E497"/>
  <c r="AX498"/>
  <c r="BX497"/>
  <c r="AG496"/>
  <c r="AF496"/>
  <c r="L496"/>
  <c r="K496"/>
  <c r="J496"/>
  <c r="I496"/>
  <c r="H496"/>
  <c r="AF497"/>
  <c r="O497"/>
  <c r="AO497"/>
  <c r="BU496"/>
  <c r="BT496"/>
  <c r="BS496"/>
  <c r="BR496"/>
  <c r="BQ496"/>
  <c r="BP496"/>
  <c r="BO496"/>
  <c r="BN496"/>
  <c r="BM496"/>
  <c r="BL496"/>
  <c r="AA496"/>
  <c r="Z496"/>
  <c r="Y496"/>
  <c r="X496"/>
  <c r="W496"/>
  <c r="V496"/>
  <c r="CA497"/>
  <c r="CB497"/>
  <c r="BY497"/>
  <c r="BZ497"/>
  <c r="AN497"/>
  <c r="BW497"/>
  <c r="AL496"/>
  <c r="AJ497"/>
  <c r="AK497"/>
  <c r="R496"/>
  <c r="Q496"/>
  <c r="AI497"/>
  <c r="BU497"/>
  <c r="AM497"/>
  <c r="AD497"/>
  <c r="AE497"/>
  <c r="T497"/>
  <c r="U497"/>
  <c r="S497"/>
  <c r="G497"/>
  <c r="F497"/>
  <c r="BU498"/>
  <c r="BX498"/>
  <c r="E498"/>
  <c r="AX499"/>
  <c r="AP498"/>
  <c r="AH498"/>
  <c r="AG497"/>
  <c r="L497"/>
  <c r="K419"/>
  <c r="K497"/>
  <c r="J497"/>
  <c r="I497"/>
  <c r="H497"/>
  <c r="O498"/>
  <c r="AO498"/>
  <c r="BT419"/>
  <c r="BT497"/>
  <c r="BQ497"/>
  <c r="BS497"/>
  <c r="BQ498"/>
  <c r="BS498"/>
  <c r="BR497"/>
  <c r="BP497"/>
  <c r="BM498"/>
  <c r="BO498"/>
  <c r="BM497"/>
  <c r="BO497"/>
  <c r="BN497"/>
  <c r="BL497"/>
  <c r="Y497"/>
  <c r="AA497"/>
  <c r="Y498"/>
  <c r="AA498"/>
  <c r="Z497"/>
  <c r="X497"/>
  <c r="W498"/>
  <c r="W497"/>
  <c r="V497"/>
  <c r="CA498"/>
  <c r="CB498"/>
  <c r="BY498"/>
  <c r="BZ498"/>
  <c r="AN498"/>
  <c r="BW498"/>
  <c r="AL497"/>
  <c r="AK498"/>
  <c r="AI498"/>
  <c r="AJ498"/>
  <c r="R497"/>
  <c r="Q497"/>
  <c r="AF498"/>
  <c r="AG498"/>
  <c r="AM498"/>
  <c r="AD498"/>
  <c r="AE498"/>
  <c r="T498"/>
  <c r="U498"/>
  <c r="R498"/>
  <c r="S498"/>
  <c r="G498"/>
  <c r="F498"/>
  <c r="AH499"/>
  <c r="AP499"/>
  <c r="E499"/>
  <c r="AX500"/>
  <c r="BX499"/>
  <c r="BU499"/>
  <c r="L498"/>
  <c r="K498"/>
  <c r="J498"/>
  <c r="I498"/>
  <c r="H498"/>
  <c r="O499"/>
  <c r="AO499"/>
  <c r="BT498"/>
  <c r="BQ499"/>
  <c r="BS499"/>
  <c r="BR498"/>
  <c r="BP498"/>
  <c r="BM499"/>
  <c r="BO499"/>
  <c r="BN498"/>
  <c r="BL498"/>
  <c r="Y499"/>
  <c r="AA499"/>
  <c r="Z498"/>
  <c r="X498"/>
  <c r="W499"/>
  <c r="V498"/>
  <c r="AN499"/>
  <c r="BW499"/>
  <c r="AL498"/>
  <c r="AJ499"/>
  <c r="AK499"/>
  <c r="Q498"/>
  <c r="AI499"/>
  <c r="AF499"/>
  <c r="AG499"/>
  <c r="AM499"/>
  <c r="AD499"/>
  <c r="AE499"/>
  <c r="R499"/>
  <c r="S499"/>
  <c r="G499"/>
  <c r="F499"/>
  <c r="CB499"/>
  <c r="BU500"/>
  <c r="BX500"/>
  <c r="E500"/>
  <c r="AX501"/>
  <c r="AP500"/>
  <c r="AH500"/>
  <c r="L499"/>
  <c r="K499"/>
  <c r="J499"/>
  <c r="I499"/>
  <c r="H499"/>
  <c r="O500"/>
  <c r="AO500"/>
  <c r="BT499"/>
  <c r="BQ500"/>
  <c r="BS500"/>
  <c r="BR499"/>
  <c r="BP499"/>
  <c r="BM500"/>
  <c r="BO500"/>
  <c r="BN499"/>
  <c r="BL499"/>
  <c r="Y500"/>
  <c r="AA500"/>
  <c r="Z499"/>
  <c r="X499"/>
  <c r="W500"/>
  <c r="V499"/>
  <c r="CA500"/>
  <c r="CB500"/>
  <c r="BZ499"/>
  <c r="CA499"/>
  <c r="BY500"/>
  <c r="BZ500"/>
  <c r="U499"/>
  <c r="BY499"/>
  <c r="AN500"/>
  <c r="BW500"/>
  <c r="AL499"/>
  <c r="AK500"/>
  <c r="AI500"/>
  <c r="AJ500"/>
  <c r="Q499"/>
  <c r="AF500"/>
  <c r="AG500"/>
  <c r="AM500"/>
  <c r="AD500"/>
  <c r="AE500"/>
  <c r="T500"/>
  <c r="U500"/>
  <c r="T499"/>
  <c r="R500"/>
  <c r="S500"/>
  <c r="G500"/>
  <c r="F500"/>
  <c r="AH501"/>
  <c r="AP501"/>
  <c r="E501"/>
  <c r="AX502"/>
  <c r="BX501"/>
  <c r="BU501"/>
  <c r="L500"/>
  <c r="K500"/>
  <c r="J500"/>
  <c r="I500"/>
  <c r="H500"/>
  <c r="O501"/>
  <c r="AO501"/>
  <c r="BT500"/>
  <c r="BQ501"/>
  <c r="BS501"/>
  <c r="BR500"/>
  <c r="BP500"/>
  <c r="BM501"/>
  <c r="BO501"/>
  <c r="BN500"/>
  <c r="BL500"/>
  <c r="Y501"/>
  <c r="AA501"/>
  <c r="Z500"/>
  <c r="X500"/>
  <c r="W501"/>
  <c r="V500"/>
  <c r="CA501"/>
  <c r="CB501"/>
  <c r="BY501"/>
  <c r="BZ501"/>
  <c r="AN501"/>
  <c r="BW501"/>
  <c r="AL500"/>
  <c r="AJ501"/>
  <c r="AK501"/>
  <c r="Q500"/>
  <c r="AI501"/>
  <c r="AF501"/>
  <c r="AG501"/>
  <c r="AM501"/>
  <c r="AD501"/>
  <c r="AE501"/>
  <c r="T501"/>
  <c r="U501"/>
  <c r="R501"/>
  <c r="S501"/>
  <c r="G501"/>
  <c r="F501"/>
  <c r="BU502"/>
  <c r="BX502"/>
  <c r="E502"/>
  <c r="AX503"/>
  <c r="AP502"/>
  <c r="AH502"/>
  <c r="L501"/>
  <c r="K501"/>
  <c r="J501"/>
  <c r="I501"/>
  <c r="H501"/>
  <c r="O502"/>
  <c r="AO502"/>
  <c r="BT501"/>
  <c r="BQ502"/>
  <c r="BS502"/>
  <c r="BR501"/>
  <c r="BP501"/>
  <c r="BM502"/>
  <c r="BO502"/>
  <c r="BN501"/>
  <c r="BL501"/>
  <c r="Y502"/>
  <c r="AA502"/>
  <c r="Z501"/>
  <c r="X501"/>
  <c r="W502"/>
  <c r="V501"/>
  <c r="CA502"/>
  <c r="CB502"/>
  <c r="BY502"/>
  <c r="BZ502"/>
  <c r="AN502"/>
  <c r="BW502"/>
  <c r="AL501"/>
  <c r="AK502"/>
  <c r="AI502"/>
  <c r="AJ502"/>
  <c r="Q501"/>
  <c r="AF502"/>
  <c r="AG502"/>
  <c r="AM502"/>
  <c r="AD502"/>
  <c r="AE502"/>
  <c r="T502"/>
  <c r="U502"/>
  <c r="R502"/>
  <c r="S502"/>
  <c r="G502"/>
  <c r="F502"/>
  <c r="AH503"/>
  <c r="AP503"/>
  <c r="E503"/>
  <c r="AX504"/>
  <c r="BX503"/>
  <c r="BU503"/>
  <c r="L502"/>
  <c r="K502"/>
  <c r="J502"/>
  <c r="I502"/>
  <c r="H502"/>
  <c r="O503"/>
  <c r="AO503"/>
  <c r="BT502"/>
  <c r="BQ503"/>
  <c r="BS503"/>
  <c r="BR502"/>
  <c r="BP502"/>
  <c r="BM503"/>
  <c r="BO503"/>
  <c r="BN502"/>
  <c r="BL502"/>
  <c r="Y503"/>
  <c r="AA503"/>
  <c r="Z502"/>
  <c r="X502"/>
  <c r="W503"/>
  <c r="V502"/>
  <c r="CA503"/>
  <c r="CB503"/>
  <c r="BY503"/>
  <c r="BZ503"/>
  <c r="AN503"/>
  <c r="BW503"/>
  <c r="AL502"/>
  <c r="AJ503"/>
  <c r="AK503"/>
  <c r="Q502"/>
  <c r="AI503"/>
  <c r="AF503"/>
  <c r="AG503"/>
  <c r="AM503"/>
  <c r="AD503"/>
  <c r="AE503"/>
  <c r="T503"/>
  <c r="U503"/>
  <c r="R503"/>
  <c r="S503"/>
  <c r="G503"/>
  <c r="F503"/>
  <c r="BU504"/>
  <c r="BX504"/>
  <c r="E504"/>
  <c r="AX505"/>
  <c r="AP504"/>
  <c r="AH504"/>
  <c r="L503"/>
  <c r="K503"/>
  <c r="J503"/>
  <c r="I503"/>
  <c r="H503"/>
  <c r="O504"/>
  <c r="AO504"/>
  <c r="BT503"/>
  <c r="BQ504"/>
  <c r="BS504"/>
  <c r="BR503"/>
  <c r="BP503"/>
  <c r="BM504"/>
  <c r="BO504"/>
  <c r="BN503"/>
  <c r="BL503"/>
  <c r="Y504"/>
  <c r="AA504"/>
  <c r="Z503"/>
  <c r="X503"/>
  <c r="W504"/>
  <c r="V503"/>
  <c r="CA504"/>
  <c r="CB504"/>
  <c r="BY504"/>
  <c r="BZ504"/>
  <c r="AN504"/>
  <c r="BW504"/>
  <c r="AL503"/>
  <c r="AK504"/>
  <c r="AI504"/>
  <c r="AJ504"/>
  <c r="Q503"/>
  <c r="AF504"/>
  <c r="AG504"/>
  <c r="AM504"/>
  <c r="AD504"/>
  <c r="AE504"/>
  <c r="T504"/>
  <c r="U504"/>
  <c r="R504"/>
  <c r="S504"/>
  <c r="G504"/>
  <c r="F504"/>
  <c r="AH505"/>
  <c r="AP505"/>
  <c r="E505"/>
  <c r="AX506"/>
  <c r="BX505"/>
  <c r="BU505"/>
  <c r="L504"/>
  <c r="K504"/>
  <c r="J504"/>
  <c r="I504"/>
  <c r="H504"/>
  <c r="O505"/>
  <c r="AO505"/>
  <c r="BT504"/>
  <c r="BQ505"/>
  <c r="BS505"/>
  <c r="BR504"/>
  <c r="BP504"/>
  <c r="BM505"/>
  <c r="BO505"/>
  <c r="BN504"/>
  <c r="BL504"/>
  <c r="Y505"/>
  <c r="AA505"/>
  <c r="Z504"/>
  <c r="X504"/>
  <c r="W505"/>
  <c r="V504"/>
  <c r="CA505"/>
  <c r="CB505"/>
  <c r="BY505"/>
  <c r="BZ505"/>
  <c r="AN505"/>
  <c r="BW505"/>
  <c r="AL504"/>
  <c r="AJ505"/>
  <c r="AK505"/>
  <c r="Q504"/>
  <c r="AI505"/>
  <c r="AF505"/>
  <c r="AG505"/>
  <c r="AM505"/>
  <c r="AD505"/>
  <c r="AE505"/>
  <c r="T505"/>
  <c r="U505"/>
  <c r="R505"/>
  <c r="S505"/>
  <c r="F505"/>
  <c r="G505"/>
  <c r="BU506"/>
  <c r="BX506"/>
  <c r="E506"/>
  <c r="AX507"/>
  <c r="AP506"/>
  <c r="AH506"/>
  <c r="L505"/>
  <c r="K505"/>
  <c r="J505"/>
  <c r="I505"/>
  <c r="H505"/>
  <c r="O506"/>
  <c r="AO506"/>
  <c r="BT505"/>
  <c r="BQ506"/>
  <c r="BS506"/>
  <c r="BR505"/>
  <c r="BP505"/>
  <c r="BM506"/>
  <c r="BO506"/>
  <c r="BN505"/>
  <c r="BL505"/>
  <c r="Y506"/>
  <c r="AA506"/>
  <c r="Z505"/>
  <c r="X505"/>
  <c r="W506"/>
  <c r="V505"/>
  <c r="CA506"/>
  <c r="CB506"/>
  <c r="BY506"/>
  <c r="BZ506"/>
  <c r="AN506"/>
  <c r="BW506"/>
  <c r="AL505"/>
  <c r="AK506"/>
  <c r="AI506"/>
  <c r="AJ506"/>
  <c r="Q505"/>
  <c r="AF506"/>
  <c r="AG506"/>
  <c r="AM506"/>
  <c r="AD506"/>
  <c r="AE506"/>
  <c r="T506"/>
  <c r="U506"/>
  <c r="R506"/>
  <c r="S506"/>
  <c r="G506"/>
  <c r="F506"/>
  <c r="AH507"/>
  <c r="AP507"/>
  <c r="E507"/>
  <c r="AX508"/>
  <c r="BX507"/>
  <c r="BU507"/>
  <c r="L506"/>
  <c r="K506"/>
  <c r="J506"/>
  <c r="I506"/>
  <c r="H506"/>
  <c r="O507"/>
  <c r="AO507"/>
  <c r="BT506"/>
  <c r="BQ507"/>
  <c r="BS507"/>
  <c r="BR506"/>
  <c r="BP506"/>
  <c r="BM507"/>
  <c r="BO507"/>
  <c r="BN506"/>
  <c r="BL506"/>
  <c r="Y507"/>
  <c r="AA507"/>
  <c r="Z506"/>
  <c r="X506"/>
  <c r="W507"/>
  <c r="V506"/>
  <c r="CA507"/>
  <c r="CB507"/>
  <c r="BY507"/>
  <c r="BZ507"/>
  <c r="AN507"/>
  <c r="BW507"/>
  <c r="AL506"/>
  <c r="AJ507"/>
  <c r="AK507"/>
  <c r="Q506"/>
  <c r="AI507"/>
  <c r="AF507"/>
  <c r="AG507"/>
  <c r="AM507"/>
  <c r="AD507"/>
  <c r="AE507"/>
  <c r="T507"/>
  <c r="U507"/>
  <c r="R507"/>
  <c r="S507"/>
  <c r="G507"/>
  <c r="F507"/>
  <c r="BU508"/>
  <c r="BX508"/>
  <c r="E508"/>
  <c r="AX509"/>
  <c r="AP508"/>
  <c r="AH508"/>
  <c r="L507"/>
  <c r="K507"/>
  <c r="J507"/>
  <c r="I507"/>
  <c r="H507"/>
  <c r="O508"/>
  <c r="AO508"/>
  <c r="BT507"/>
  <c r="BQ508"/>
  <c r="BS508"/>
  <c r="BR507"/>
  <c r="BP507"/>
  <c r="BM508"/>
  <c r="BO508"/>
  <c r="BN507"/>
  <c r="BL507"/>
  <c r="Y508"/>
  <c r="AA508"/>
  <c r="Z507"/>
  <c r="X507"/>
  <c r="W508"/>
  <c r="V507"/>
  <c r="CA508"/>
  <c r="CB508"/>
  <c r="BY508"/>
  <c r="BZ508"/>
  <c r="AN508"/>
  <c r="BW508"/>
  <c r="AL507"/>
  <c r="AK508"/>
  <c r="AI508"/>
  <c r="AJ508"/>
  <c r="Q507"/>
  <c r="AF508"/>
  <c r="AG508"/>
  <c r="AM508"/>
  <c r="AD508"/>
  <c r="AE508"/>
  <c r="T508"/>
  <c r="U508"/>
  <c r="R508"/>
  <c r="S508"/>
  <c r="G508"/>
  <c r="F508"/>
  <c r="AH509"/>
  <c r="AP509"/>
  <c r="E509"/>
  <c r="AX510"/>
  <c r="BX509"/>
  <c r="BU509"/>
  <c r="L508"/>
  <c r="K508"/>
  <c r="J508"/>
  <c r="I508"/>
  <c r="H508"/>
  <c r="O509"/>
  <c r="AO509"/>
  <c r="BT508"/>
  <c r="BQ509"/>
  <c r="BS509"/>
  <c r="BR508"/>
  <c r="BP508"/>
  <c r="BM509"/>
  <c r="BO509"/>
  <c r="BN508"/>
  <c r="BL508"/>
  <c r="Y509"/>
  <c r="AA509"/>
  <c r="Z508"/>
  <c r="X508"/>
  <c r="W509"/>
  <c r="V508"/>
  <c r="CA509"/>
  <c r="CB509"/>
  <c r="BY509"/>
  <c r="BZ509"/>
  <c r="AN509"/>
  <c r="BW509"/>
  <c r="AL508"/>
  <c r="AJ509"/>
  <c r="AK509"/>
  <c r="Q508"/>
  <c r="AI509"/>
  <c r="AF509"/>
  <c r="AG509"/>
  <c r="AM509"/>
  <c r="AD509"/>
  <c r="AE509"/>
  <c r="T509"/>
  <c r="U509"/>
  <c r="R509"/>
  <c r="S509"/>
  <c r="F509"/>
  <c r="G509"/>
  <c r="BU510"/>
  <c r="BX510"/>
  <c r="E510"/>
  <c r="AX511"/>
  <c r="AP510"/>
  <c r="AH510"/>
  <c r="L509"/>
  <c r="K509"/>
  <c r="J509"/>
  <c r="I509"/>
  <c r="H509"/>
  <c r="O510"/>
  <c r="AO510"/>
  <c r="BT509"/>
  <c r="BQ510"/>
  <c r="BS510"/>
  <c r="BR509"/>
  <c r="BP509"/>
  <c r="BM510"/>
  <c r="BO510"/>
  <c r="BN509"/>
  <c r="BL509"/>
  <c r="Y510"/>
  <c r="AA510"/>
  <c r="Z509"/>
  <c r="X509"/>
  <c r="W510"/>
  <c r="V509"/>
  <c r="CA510"/>
  <c r="CB510"/>
  <c r="BY510"/>
  <c r="BZ510"/>
  <c r="AN510"/>
  <c r="BW510"/>
  <c r="AL509"/>
  <c r="AK510"/>
  <c r="AI510"/>
  <c r="AJ510"/>
  <c r="Q509"/>
  <c r="AF510"/>
  <c r="AG510"/>
  <c r="AM510"/>
  <c r="AD510"/>
  <c r="AE510"/>
  <c r="T510"/>
  <c r="U510"/>
  <c r="R510"/>
  <c r="S510"/>
  <c r="G510"/>
  <c r="F510"/>
  <c r="AH511"/>
  <c r="AP511"/>
  <c r="E511"/>
  <c r="AX512"/>
  <c r="BX511"/>
  <c r="BU511"/>
  <c r="H510"/>
  <c r="L510"/>
  <c r="H511"/>
  <c r="L511"/>
  <c r="K510"/>
  <c r="J510"/>
  <c r="I510"/>
  <c r="O511"/>
  <c r="AO511"/>
  <c r="K511"/>
  <c r="BR511"/>
  <c r="BT511"/>
  <c r="BR510"/>
  <c r="BT510"/>
  <c r="BQ511"/>
  <c r="BS511"/>
  <c r="BN511"/>
  <c r="BP511"/>
  <c r="BN510"/>
  <c r="BP510"/>
  <c r="BM511"/>
  <c r="BO511"/>
  <c r="Z511"/>
  <c r="BL511"/>
  <c r="Z510"/>
  <c r="BL510"/>
  <c r="Y511"/>
  <c r="AA511"/>
  <c r="X511"/>
  <c r="V511"/>
  <c r="X510"/>
  <c r="W511"/>
  <c r="V510"/>
  <c r="CA511"/>
  <c r="CB511"/>
  <c r="BY511"/>
  <c r="BZ511"/>
  <c r="AN511"/>
  <c r="BW511"/>
  <c r="AL510"/>
  <c r="AJ511"/>
  <c r="AK511"/>
  <c r="Q510"/>
  <c r="Q511"/>
  <c r="AI511"/>
  <c r="AF511"/>
  <c r="AG511"/>
  <c r="I511"/>
  <c r="J511"/>
  <c r="AL511"/>
  <c r="AM511"/>
  <c r="AD511"/>
  <c r="AE511"/>
  <c r="T511"/>
  <c r="U511"/>
  <c r="R511"/>
  <c r="S511"/>
  <c r="G511"/>
  <c r="F511"/>
  <c r="BU512"/>
  <c r="BX512"/>
  <c r="E512"/>
  <c r="AX513"/>
  <c r="AP512"/>
  <c r="AH512"/>
  <c r="L513"/>
  <c r="H512"/>
  <c r="L512"/>
  <c r="O512"/>
  <c r="AO512"/>
  <c r="K512"/>
  <c r="BR512"/>
  <c r="BT512"/>
  <c r="BQ512"/>
  <c r="BS512"/>
  <c r="BN512"/>
  <c r="BP512"/>
  <c r="BM512"/>
  <c r="BO512"/>
  <c r="Z512"/>
  <c r="BL512"/>
  <c r="Y512"/>
  <c r="AA512"/>
  <c r="X512"/>
  <c r="W512"/>
  <c r="V512"/>
  <c r="CA512"/>
  <c r="CB512"/>
  <c r="BY512"/>
  <c r="BZ512"/>
  <c r="AN512"/>
  <c r="BW512"/>
  <c r="AK512"/>
  <c r="AI512"/>
  <c r="AJ512"/>
  <c r="AF512"/>
  <c r="AG512"/>
  <c r="I512"/>
  <c r="J512"/>
  <c r="AL512"/>
  <c r="AM512"/>
  <c r="AD512"/>
  <c r="AE512"/>
  <c r="T512"/>
  <c r="U512"/>
  <c r="R512"/>
  <c r="S512"/>
  <c r="Q512"/>
  <c r="G512"/>
  <c r="F512"/>
  <c r="AH513"/>
  <c r="AP513"/>
  <c r="E513"/>
  <c r="AX514"/>
  <c r="BX513"/>
  <c r="H513"/>
  <c r="BU513"/>
  <c r="L514"/>
  <c r="K513"/>
  <c r="O513"/>
  <c r="AO513"/>
  <c r="BR513"/>
  <c r="BT513"/>
  <c r="BQ513"/>
  <c r="BS513"/>
  <c r="BN513"/>
  <c r="BP513"/>
  <c r="BM513"/>
  <c r="BO513"/>
  <c r="Z513"/>
  <c r="BL513"/>
  <c r="Y513"/>
  <c r="AA513"/>
  <c r="X513"/>
  <c r="V513"/>
  <c r="W513"/>
  <c r="CA513"/>
  <c r="CB513"/>
  <c r="BY513"/>
  <c r="BZ513"/>
  <c r="AN513"/>
  <c r="BW513"/>
  <c r="AJ513"/>
  <c r="AK513"/>
  <c r="Q513"/>
  <c r="AI513"/>
  <c r="AF513"/>
  <c r="AG513"/>
  <c r="I513"/>
  <c r="J513"/>
  <c r="AL513"/>
  <c r="AM513"/>
  <c r="AD513"/>
  <c r="AE513"/>
  <c r="T513"/>
  <c r="U513"/>
  <c r="R513"/>
  <c r="S513"/>
  <c r="G513"/>
  <c r="F513"/>
  <c r="BU514"/>
  <c r="H514"/>
  <c r="BX514"/>
  <c r="E514"/>
  <c r="AX515"/>
  <c r="AP514"/>
  <c r="AH514"/>
  <c r="L515"/>
  <c r="O514"/>
  <c r="AO514"/>
  <c r="K514"/>
  <c r="BR514"/>
  <c r="BT514"/>
  <c r="BQ514"/>
  <c r="BS514"/>
  <c r="BN514"/>
  <c r="BP514"/>
  <c r="BM514"/>
  <c r="BO514"/>
  <c r="Z514"/>
  <c r="BL514"/>
  <c r="Y514"/>
  <c r="AA514"/>
  <c r="X514"/>
  <c r="W514"/>
  <c r="V514"/>
  <c r="CA514"/>
  <c r="CB514"/>
  <c r="BY514"/>
  <c r="BZ514"/>
  <c r="AN514"/>
  <c r="BW514"/>
  <c r="AK514"/>
  <c r="AI514"/>
  <c r="AJ514"/>
  <c r="AF514"/>
  <c r="AG514"/>
  <c r="I514"/>
  <c r="J514"/>
  <c r="AL514"/>
  <c r="AM514"/>
  <c r="AD514"/>
  <c r="AE514"/>
  <c r="T514"/>
  <c r="U514"/>
  <c r="R514"/>
  <c r="S514"/>
  <c r="Q514"/>
  <c r="G514"/>
  <c r="F514"/>
  <c r="AH515"/>
  <c r="AP515"/>
  <c r="E515"/>
  <c r="AX516"/>
  <c r="BX515"/>
  <c r="H515"/>
  <c r="BU515"/>
  <c r="L516"/>
  <c r="O515"/>
  <c r="AO515"/>
  <c r="K515"/>
  <c r="BR515"/>
  <c r="BT515"/>
  <c r="BQ515"/>
  <c r="BS515"/>
  <c r="BN515"/>
  <c r="BP515"/>
  <c r="BM515"/>
  <c r="BO515"/>
  <c r="Z515"/>
  <c r="BL515"/>
  <c r="Y515"/>
  <c r="AA515"/>
  <c r="X515"/>
  <c r="V515"/>
  <c r="W515"/>
  <c r="CA515"/>
  <c r="CB515"/>
  <c r="BY515"/>
  <c r="BZ515"/>
  <c r="AN515"/>
  <c r="BW515"/>
  <c r="AJ515"/>
  <c r="AK515"/>
  <c r="Q515"/>
  <c r="AI515"/>
  <c r="AF515"/>
  <c r="AG515"/>
  <c r="I515"/>
  <c r="J515"/>
  <c r="AL515"/>
  <c r="AM515"/>
  <c r="AD515"/>
  <c r="AE515"/>
  <c r="T515"/>
  <c r="U515"/>
  <c r="R515"/>
  <c r="S515"/>
  <c r="G515"/>
  <c r="F515"/>
  <c r="BU516"/>
  <c r="H516"/>
  <c r="BX516"/>
  <c r="E516"/>
  <c r="AX517"/>
  <c r="AP516"/>
  <c r="AH516"/>
  <c r="L517"/>
  <c r="O516"/>
  <c r="AO516"/>
  <c r="K516"/>
  <c r="BR516"/>
  <c r="BT516"/>
  <c r="BQ516"/>
  <c r="BS516"/>
  <c r="BN516"/>
  <c r="BP516"/>
  <c r="BM516"/>
  <c r="BO516"/>
  <c r="Z516"/>
  <c r="BL516"/>
  <c r="Y516"/>
  <c r="AA516"/>
  <c r="X516"/>
  <c r="W516"/>
  <c r="V516"/>
  <c r="CA516"/>
  <c r="CB516"/>
  <c r="BY516"/>
  <c r="BZ516"/>
  <c r="AN516"/>
  <c r="BW516"/>
  <c r="AK516"/>
  <c r="AI516"/>
  <c r="AJ516"/>
  <c r="AF516"/>
  <c r="AG516"/>
  <c r="I516"/>
  <c r="J516"/>
  <c r="AL516"/>
  <c r="AM516"/>
  <c r="AD516"/>
  <c r="AE516"/>
  <c r="T516"/>
  <c r="U516"/>
  <c r="R516"/>
  <c r="S516"/>
  <c r="Q516"/>
  <c r="G516"/>
  <c r="F516"/>
  <c r="AH517"/>
  <c r="AP517"/>
  <c r="E517"/>
  <c r="AX518"/>
  <c r="BX517"/>
  <c r="H517"/>
  <c r="BU517"/>
  <c r="L518"/>
  <c r="O517"/>
  <c r="AO517"/>
  <c r="K517"/>
  <c r="BR517"/>
  <c r="BT517"/>
  <c r="BQ517"/>
  <c r="BS517"/>
  <c r="BN517"/>
  <c r="BP517"/>
  <c r="BM517"/>
  <c r="BO517"/>
  <c r="Z517"/>
  <c r="BL517"/>
  <c r="Y517"/>
  <c r="AA517"/>
  <c r="X517"/>
  <c r="V517"/>
  <c r="W517"/>
  <c r="CA517"/>
  <c r="CB517"/>
  <c r="BY517"/>
  <c r="BZ517"/>
  <c r="AN517"/>
  <c r="BW517"/>
  <c r="AJ517"/>
  <c r="AK517"/>
  <c r="Q517"/>
  <c r="AI517"/>
  <c r="AF517"/>
  <c r="AG517"/>
  <c r="I517"/>
  <c r="J517"/>
  <c r="AL517"/>
  <c r="AM517"/>
  <c r="AD517"/>
  <c r="AE517"/>
  <c r="T517"/>
  <c r="U517"/>
  <c r="R517"/>
  <c r="S517"/>
  <c r="G517"/>
  <c r="F517"/>
  <c r="BU518"/>
  <c r="H518"/>
  <c r="BX518"/>
  <c r="E518"/>
  <c r="AX519"/>
  <c r="AP518"/>
  <c r="AH518"/>
  <c r="L519"/>
  <c r="O518"/>
  <c r="AO518"/>
  <c r="K518"/>
  <c r="BR518"/>
  <c r="BT518"/>
  <c r="BQ518"/>
  <c r="BS518"/>
  <c r="BN518"/>
  <c r="BP518"/>
  <c r="BM518"/>
  <c r="BO518"/>
  <c r="Z518"/>
  <c r="BL518"/>
  <c r="Y518"/>
  <c r="AA518"/>
  <c r="X518"/>
  <c r="W518"/>
  <c r="V518"/>
  <c r="CA518"/>
  <c r="CB518"/>
  <c r="BY518"/>
  <c r="BZ518"/>
  <c r="AN518"/>
  <c r="BW518"/>
  <c r="AK518"/>
  <c r="AI518"/>
  <c r="AJ518"/>
  <c r="AF518"/>
  <c r="AG518"/>
  <c r="I518"/>
  <c r="J518"/>
  <c r="AL518"/>
  <c r="AM518"/>
  <c r="AD518"/>
  <c r="AE518"/>
  <c r="T518"/>
  <c r="U518"/>
  <c r="R518"/>
  <c r="S518"/>
  <c r="Q518"/>
  <c r="G518"/>
  <c r="F518"/>
  <c r="AH519"/>
  <c r="AP519"/>
  <c r="E519"/>
  <c r="AX520"/>
  <c r="BX519"/>
  <c r="H519"/>
  <c r="BU519"/>
  <c r="L520"/>
  <c r="O519"/>
  <c r="AO519"/>
  <c r="K519"/>
  <c r="BR519"/>
  <c r="BT519"/>
  <c r="BQ519"/>
  <c r="BS519"/>
  <c r="BN519"/>
  <c r="BP519"/>
  <c r="BM519"/>
  <c r="BO519"/>
  <c r="Z519"/>
  <c r="BL519"/>
  <c r="Y519"/>
  <c r="AA519"/>
  <c r="X519"/>
  <c r="V519"/>
  <c r="W519"/>
  <c r="CA519"/>
  <c r="CB519"/>
  <c r="BY519"/>
  <c r="BZ519"/>
  <c r="AN519"/>
  <c r="BW519"/>
  <c r="AJ519"/>
  <c r="AK519"/>
  <c r="Q519"/>
  <c r="AI519"/>
  <c r="AF519"/>
  <c r="AG519"/>
  <c r="I519"/>
  <c r="J519"/>
  <c r="AL519"/>
  <c r="AM519"/>
  <c r="AD519"/>
  <c r="AE519"/>
  <c r="T519"/>
  <c r="U519"/>
  <c r="R519"/>
  <c r="S519"/>
  <c r="G519"/>
  <c r="F519"/>
  <c r="BU520"/>
  <c r="H520"/>
  <c r="BX520"/>
  <c r="E520"/>
  <c r="AP520"/>
  <c r="AH520"/>
  <c r="AH521"/>
  <c r="U521"/>
  <c r="BX521"/>
  <c r="H521"/>
  <c r="BU521"/>
  <c r="L521"/>
  <c r="AP521"/>
  <c r="E521"/>
  <c r="O520"/>
  <c r="AO520"/>
  <c r="K521"/>
  <c r="O521"/>
  <c r="K520"/>
  <c r="BR520"/>
  <c r="BT520"/>
  <c r="BR521"/>
  <c r="BT521"/>
  <c r="BQ520"/>
  <c r="BS520"/>
  <c r="BQ521"/>
  <c r="BS521"/>
  <c r="BN521"/>
  <c r="BP521"/>
  <c r="BN520"/>
  <c r="BP520"/>
  <c r="BM521"/>
  <c r="BO521"/>
  <c r="BM520"/>
  <c r="BO520"/>
  <c r="Z520"/>
  <c r="BL520"/>
  <c r="BL521"/>
  <c r="Y520"/>
  <c r="AA520"/>
  <c r="X520"/>
  <c r="W520"/>
  <c r="V520"/>
  <c r="CA521"/>
  <c r="CB521"/>
  <c r="CA520"/>
  <c r="CB520"/>
  <c r="BY520"/>
  <c r="BZ520"/>
  <c r="BY521"/>
  <c r="BZ521"/>
  <c r="AN520"/>
  <c r="BW520"/>
  <c r="AN521"/>
  <c r="BW521"/>
  <c r="AK520"/>
  <c r="AK521"/>
  <c r="AI520"/>
  <c r="AJ520"/>
  <c r="AI521"/>
  <c r="AJ521"/>
  <c r="AF521"/>
  <c r="AF520"/>
  <c r="AG520"/>
  <c r="I521"/>
  <c r="J521"/>
  <c r="I520"/>
  <c r="J520"/>
  <c r="AL521"/>
  <c r="AM521"/>
  <c r="AL520"/>
  <c r="AM520"/>
  <c r="AD520"/>
  <c r="AE520"/>
  <c r="T520"/>
  <c r="U520"/>
  <c r="R520"/>
  <c r="S520"/>
  <c r="R521"/>
  <c r="Q520"/>
  <c r="Q521"/>
  <c r="G520"/>
  <c r="G521"/>
  <c r="F520"/>
  <c r="F521"/>
  <c r="AG521"/>
  <c r="X521"/>
  <c r="AA521"/>
  <c r="Y521"/>
  <c r="Z521"/>
  <c r="V521"/>
  <c r="W521"/>
  <c r="AD521"/>
  <c r="AE521"/>
  <c r="S521"/>
  <c r="T521"/>
  <c r="AO521"/>
  <c r="AX521"/>
  <c r="E419"/>
  <c r="AD108" i="36"/>
  <c r="AA108"/>
  <c r="Y108"/>
  <c r="V108"/>
  <c r="T108"/>
  <c r="Q108"/>
  <c r="O108"/>
  <c r="AD108" i="12"/>
  <c r="AD107" i="36"/>
  <c r="AA107"/>
  <c r="Y107"/>
  <c r="V107"/>
  <c r="T107"/>
  <c r="Q107"/>
  <c r="O107"/>
  <c r="AD107" i="12"/>
  <c r="AD106" i="36"/>
  <c r="AA106"/>
  <c r="Y106"/>
  <c r="V106"/>
  <c r="T106"/>
  <c r="Q106"/>
  <c r="O106"/>
  <c r="AD106" i="12"/>
  <c r="AD105"/>
  <c r="AD105" i="36"/>
  <c r="AA105"/>
  <c r="Y105"/>
  <c r="V105"/>
  <c r="T105"/>
  <c r="Q105"/>
  <c r="O105"/>
  <c r="N14" i="6"/>
  <c r="AK817" i="9" l="1"/>
  <c r="AK558"/>
  <c r="AK548"/>
  <c r="BC492"/>
  <c r="BC432"/>
  <c r="BC342"/>
  <c r="BC322"/>
  <c r="BC316"/>
  <c r="BC517"/>
  <c r="BC513"/>
  <c r="BC511"/>
  <c r="BC503"/>
  <c r="BC502"/>
  <c r="BC501"/>
  <c r="BC497"/>
  <c r="BC496"/>
  <c r="BC495"/>
  <c r="BC493"/>
  <c r="BC491"/>
  <c r="BC489"/>
  <c r="BC439"/>
  <c r="BC437"/>
  <c r="BC436"/>
  <c r="BC435"/>
  <c r="BC433"/>
  <c r="BC431"/>
  <c r="BC429"/>
  <c r="BC428"/>
  <c r="BC424"/>
  <c r="BC407"/>
  <c r="BC406"/>
  <c r="BC405"/>
  <c r="BC399"/>
  <c r="BC395"/>
  <c r="BC365"/>
  <c r="BC345"/>
  <c r="BC343"/>
  <c r="BC341"/>
  <c r="BC339"/>
  <c r="BC338"/>
  <c r="BC337"/>
  <c r="BC333"/>
  <c r="BC323"/>
  <c r="BC319"/>
  <c r="BC317"/>
  <c r="BC315"/>
  <c r="BC541"/>
  <c r="BC534"/>
  <c r="BC524"/>
  <c r="BC519"/>
  <c r="BC515"/>
  <c r="BC512"/>
  <c r="BC509"/>
  <c r="BC508"/>
  <c r="BC505"/>
  <c r="BC500"/>
  <c r="BC494"/>
  <c r="BC490"/>
  <c r="BC460"/>
  <c r="BC444"/>
  <c r="BC434"/>
  <c r="BC430"/>
  <c r="BC422"/>
  <c r="BC419"/>
  <c r="BC414"/>
  <c r="BC413"/>
  <c r="BC410"/>
  <c r="BC408"/>
  <c r="BC396"/>
  <c r="BC381"/>
  <c r="BC344"/>
  <c r="BC340"/>
  <c r="BC331"/>
  <c r="BC330"/>
  <c r="BC329"/>
  <c r="BC328"/>
  <c r="BC327"/>
  <c r="BC326"/>
  <c r="BC325"/>
  <c r="BC318"/>
  <c r="BC314"/>
  <c r="BC310"/>
  <c r="BC374"/>
  <c r="AP445"/>
  <c r="V445" s="1"/>
  <c r="BC445"/>
  <c r="BC305"/>
  <c r="BC301"/>
  <c r="BC453"/>
  <c r="AK570"/>
  <c r="AP570" s="1"/>
  <c r="V570" s="1"/>
  <c r="AK451"/>
  <c r="U307"/>
  <c r="AV307" s="1"/>
  <c r="T6" i="33"/>
  <c r="T10" s="1"/>
  <c r="H3" i="9" s="1"/>
  <c r="AK601"/>
  <c r="AK609"/>
  <c r="AP609" s="1"/>
  <c r="V609" s="1"/>
  <c r="AK617"/>
  <c r="AK607"/>
  <c r="AP607" s="1"/>
  <c r="V607" s="1"/>
  <c r="AK603"/>
  <c r="AK615"/>
  <c r="AP615" s="1"/>
  <c r="V615" s="1"/>
  <c r="C4" i="11"/>
  <c r="Y13" i="6" s="1"/>
  <c r="E21"/>
  <c r="H38" i="36" s="1"/>
  <c r="B128" i="9"/>
  <c r="V66" i="29"/>
  <c r="AD6" i="6"/>
  <c r="O43"/>
  <c r="U17" i="36" s="1"/>
  <c r="X41" i="8"/>
  <c r="X35"/>
  <c r="E20" i="6"/>
  <c r="H36" i="36" s="1"/>
  <c r="J180" i="12"/>
  <c r="J182" s="1"/>
  <c r="Q32" i="32"/>
  <c r="Q5"/>
  <c r="D13" i="29"/>
  <c r="D12" s="1"/>
  <c r="H260" i="36" s="1"/>
  <c r="Q45" i="32"/>
  <c r="R45" s="1"/>
  <c r="X38" i="8"/>
  <c r="X40"/>
  <c r="P276" i="36"/>
  <c r="Q36" i="32"/>
  <c r="Q28"/>
  <c r="Q10"/>
  <c r="Q52"/>
  <c r="R52" s="1"/>
  <c r="A263" i="36"/>
  <c r="Q39" i="32"/>
  <c r="Q34"/>
  <c r="Q30"/>
  <c r="Q26"/>
  <c r="Q14"/>
  <c r="Q8"/>
  <c r="Q49"/>
  <c r="Q53"/>
  <c r="R53" s="1"/>
  <c r="AC226" i="36"/>
  <c r="K206" i="12"/>
  <c r="P263" i="36"/>
  <c r="A279"/>
  <c r="Q43" i="32"/>
  <c r="Q40"/>
  <c r="Q38"/>
  <c r="Q35"/>
  <c r="Q33"/>
  <c r="Q31"/>
  <c r="Q29"/>
  <c r="Q27"/>
  <c r="Q25"/>
  <c r="Q23"/>
  <c r="Q21"/>
  <c r="Q16"/>
  <c r="Q12"/>
  <c r="Q9"/>
  <c r="R9" s="1"/>
  <c r="CN167" i="36" s="1"/>
  <c r="Q6" i="32"/>
  <c r="Q4"/>
  <c r="B6" i="17"/>
  <c r="Q50" i="32"/>
  <c r="R50" s="1"/>
  <c r="Q51"/>
  <c r="R51" s="1"/>
  <c r="Q48"/>
  <c r="R48" s="1"/>
  <c r="U114" i="9"/>
  <c r="AV114" s="1"/>
  <c r="U122"/>
  <c r="AV122" s="1"/>
  <c r="H28" i="36" s="1"/>
  <c r="AC225"/>
  <c r="X45" i="8"/>
  <c r="AK906" i="9"/>
  <c r="AP906" s="1"/>
  <c r="V906" s="1"/>
  <c r="AC445"/>
  <c r="AQ445"/>
  <c r="AK574"/>
  <c r="AK539"/>
  <c r="AP539" s="1"/>
  <c r="V539" s="1"/>
  <c r="AC539" s="1"/>
  <c r="AK307"/>
  <c r="AK295"/>
  <c r="AP295" s="1"/>
  <c r="V295" s="1"/>
  <c r="AK268"/>
  <c r="AP268" s="1"/>
  <c r="V268" s="1"/>
  <c r="AK266"/>
  <c r="AK238"/>
  <c r="AK776"/>
  <c r="AK772"/>
  <c r="AP772" s="1"/>
  <c r="V772" s="1"/>
  <c r="AK550"/>
  <c r="AK819"/>
  <c r="AP819" s="1"/>
  <c r="V819" s="1"/>
  <c r="AK815"/>
  <c r="AP815" s="1"/>
  <c r="V815" s="1"/>
  <c r="AK777"/>
  <c r="AP777" s="1"/>
  <c r="V777" s="1"/>
  <c r="AK775"/>
  <c r="AP775" s="1"/>
  <c r="V775" s="1"/>
  <c r="AK773"/>
  <c r="AP773" s="1"/>
  <c r="V773" s="1"/>
  <c r="AK580"/>
  <c r="AP580" s="1"/>
  <c r="V580" s="1"/>
  <c r="AK576"/>
  <c r="AP576" s="1"/>
  <c r="V576" s="1"/>
  <c r="AK572"/>
  <c r="AK529"/>
  <c r="AP529" s="1"/>
  <c r="V529" s="1"/>
  <c r="AK397"/>
  <c r="AP397" s="1"/>
  <c r="AK113"/>
  <c r="AP113" s="1"/>
  <c r="V113" s="1"/>
  <c r="AP232"/>
  <c r="V232" s="1"/>
  <c r="U372"/>
  <c r="AV372" s="1"/>
  <c r="U396"/>
  <c r="AV396" s="1"/>
  <c r="AP462"/>
  <c r="V462" s="1"/>
  <c r="AB462" s="1"/>
  <c r="AP619"/>
  <c r="V619" s="1"/>
  <c r="AP625"/>
  <c r="V625" s="1"/>
  <c r="AP623"/>
  <c r="V623" s="1"/>
  <c r="AK822"/>
  <c r="AP822" s="1"/>
  <c r="V822" s="1"/>
  <c r="AK820"/>
  <c r="AP820" s="1"/>
  <c r="V820" s="1"/>
  <c r="AK818"/>
  <c r="AP818" s="1"/>
  <c r="V818" s="1"/>
  <c r="AK816"/>
  <c r="AP816" s="1"/>
  <c r="V816" s="1"/>
  <c r="AK793"/>
  <c r="AP793" s="1"/>
  <c r="V793" s="1"/>
  <c r="B98" i="8" s="1"/>
  <c r="AK585" i="9"/>
  <c r="AP585" s="1"/>
  <c r="V585" s="1"/>
  <c r="AK579"/>
  <c r="AP579" s="1"/>
  <c r="V579" s="1"/>
  <c r="AK577"/>
  <c r="AP577" s="1"/>
  <c r="V577" s="1"/>
  <c r="AK575"/>
  <c r="AP575" s="1"/>
  <c r="V575" s="1"/>
  <c r="AK573"/>
  <c r="AP573" s="1"/>
  <c r="V573" s="1"/>
  <c r="AK571"/>
  <c r="AP571" s="1"/>
  <c r="V571" s="1"/>
  <c r="AK569"/>
  <c r="AP569" s="1"/>
  <c r="V569" s="1"/>
  <c r="AK551"/>
  <c r="AP551" s="1"/>
  <c r="V551" s="1"/>
  <c r="AK549"/>
  <c r="AP549" s="1"/>
  <c r="V549" s="1"/>
  <c r="AK401"/>
  <c r="AP401" s="1"/>
  <c r="AJ618"/>
  <c r="BC618" s="1"/>
  <c r="AC462"/>
  <c r="AP425"/>
  <c r="V425" s="1"/>
  <c r="AC425" s="1"/>
  <c r="AP228"/>
  <c r="V228" s="1"/>
  <c r="AK805"/>
  <c r="AP805" s="1"/>
  <c r="V805" s="1"/>
  <c r="AK598"/>
  <c r="AP598" s="1"/>
  <c r="V598" s="1"/>
  <c r="AK541"/>
  <c r="AP541" s="1"/>
  <c r="V541" s="1"/>
  <c r="AK537"/>
  <c r="AP537" s="1"/>
  <c r="V537" s="1"/>
  <c r="AC537" s="1"/>
  <c r="AK532"/>
  <c r="AP532" s="1"/>
  <c r="V532" s="1"/>
  <c r="AB532" s="1"/>
  <c r="AK521"/>
  <c r="AP521" s="1"/>
  <c r="V521" s="1"/>
  <c r="AP448"/>
  <c r="V448" s="1"/>
  <c r="AB448" s="1"/>
  <c r="AK403"/>
  <c r="AP403" s="1"/>
  <c r="AK390"/>
  <c r="AP390" s="1"/>
  <c r="V390" s="1"/>
  <c r="U303"/>
  <c r="AV303" s="1"/>
  <c r="AC448"/>
  <c r="AP799"/>
  <c r="V799" s="1"/>
  <c r="AC799" s="1"/>
  <c r="L29" i="36" s="1"/>
  <c r="AP167" i="9"/>
  <c r="V167" s="1"/>
  <c r="AQ167" s="1"/>
  <c r="Z912"/>
  <c r="AK543"/>
  <c r="AP543" s="1"/>
  <c r="V543" s="1"/>
  <c r="AB543" s="1"/>
  <c r="AK527"/>
  <c r="AP527" s="1"/>
  <c r="V527" s="1"/>
  <c r="AK468"/>
  <c r="AP468" s="1"/>
  <c r="V468" s="1"/>
  <c r="AP455"/>
  <c r="V455" s="1"/>
  <c r="AK402"/>
  <c r="AP402" s="1"/>
  <c r="V402" s="1"/>
  <c r="AQ402" s="1"/>
  <c r="AK400"/>
  <c r="AP400" s="1"/>
  <c r="AK399"/>
  <c r="AP399" s="1"/>
  <c r="AK395"/>
  <c r="AK372"/>
  <c r="AP372" s="1"/>
  <c r="AK312"/>
  <c r="AP312" s="1"/>
  <c r="V312" s="1"/>
  <c r="AK309"/>
  <c r="AP309" s="1"/>
  <c r="AK236"/>
  <c r="AP236" s="1"/>
  <c r="V236" s="1"/>
  <c r="AK111"/>
  <c r="AP111" s="1"/>
  <c r="U309"/>
  <c r="AV309" s="1"/>
  <c r="U397"/>
  <c r="AV397" s="1"/>
  <c r="AJ602"/>
  <c r="BC602" s="1"/>
  <c r="AP503"/>
  <c r="V503" s="1"/>
  <c r="AC503" s="1"/>
  <c r="AP641"/>
  <c r="V641" s="1"/>
  <c r="AP639"/>
  <c r="V639" s="1"/>
  <c r="AK545"/>
  <c r="AP545" s="1"/>
  <c r="V545" s="1"/>
  <c r="AB545" s="1"/>
  <c r="AK536"/>
  <c r="AP536" s="1"/>
  <c r="V536" s="1"/>
  <c r="AK533"/>
  <c r="AP533" s="1"/>
  <c r="V533" s="1"/>
  <c r="AK525"/>
  <c r="AP525" s="1"/>
  <c r="V525" s="1"/>
  <c r="AK458"/>
  <c r="AP458" s="1"/>
  <c r="V458" s="1"/>
  <c r="AP354"/>
  <c r="V354" s="1"/>
  <c r="AC354" s="1"/>
  <c r="AK294"/>
  <c r="AP294" s="1"/>
  <c r="V294" s="1"/>
  <c r="AK269"/>
  <c r="AP269" s="1"/>
  <c r="V269" s="1"/>
  <c r="AC269" s="1"/>
  <c r="AK249"/>
  <c r="AP249" s="1"/>
  <c r="V249" s="1"/>
  <c r="AK247"/>
  <c r="AP247" s="1"/>
  <c r="V247" s="1"/>
  <c r="AK164"/>
  <c r="AP164" s="1"/>
  <c r="V164" s="1"/>
  <c r="AK151"/>
  <c r="AP151" s="1"/>
  <c r="V151" s="1"/>
  <c r="AQ151" s="1"/>
  <c r="AK114"/>
  <c r="AP114" s="1"/>
  <c r="AK112"/>
  <c r="AP112" s="1"/>
  <c r="V112" s="1"/>
  <c r="U398"/>
  <c r="AV398" s="1"/>
  <c r="U403"/>
  <c r="AV403" s="1"/>
  <c r="AP867"/>
  <c r="V867" s="1"/>
  <c r="AC867" s="1"/>
  <c r="AP881"/>
  <c r="AP487"/>
  <c r="V487" s="1"/>
  <c r="AQ487" s="1"/>
  <c r="AP336"/>
  <c r="V336" s="1"/>
  <c r="AC336" s="1"/>
  <c r="AP183"/>
  <c r="V183" s="1"/>
  <c r="AB183" s="1"/>
  <c r="AP605"/>
  <c r="V605" s="1"/>
  <c r="AP613"/>
  <c r="V613" s="1"/>
  <c r="AP744"/>
  <c r="V744" s="1"/>
  <c r="AQ744" s="1"/>
  <c r="AP519"/>
  <c r="V519" s="1"/>
  <c r="AC519" s="1"/>
  <c r="AP409"/>
  <c r="V409" s="1"/>
  <c r="AB409" s="1"/>
  <c r="AP107"/>
  <c r="V107" s="1"/>
  <c r="AQ107" s="1"/>
  <c r="U305"/>
  <c r="AV305" s="1"/>
  <c r="U373"/>
  <c r="AV373" s="1"/>
  <c r="U379"/>
  <c r="AV379" s="1"/>
  <c r="AJ610"/>
  <c r="BC610" s="1"/>
  <c r="AP648"/>
  <c r="V648" s="1"/>
  <c r="AP645"/>
  <c r="V645" s="1"/>
  <c r="AP637"/>
  <c r="V637" s="1"/>
  <c r="AP635"/>
  <c r="V635" s="1"/>
  <c r="AP629"/>
  <c r="V629" s="1"/>
  <c r="AP628"/>
  <c r="V628" s="1"/>
  <c r="AP627"/>
  <c r="V627" s="1"/>
  <c r="AP624"/>
  <c r="V624" s="1"/>
  <c r="AP221"/>
  <c r="V221" s="1"/>
  <c r="AP754"/>
  <c r="V754" s="1"/>
  <c r="AC754" s="1"/>
  <c r="AP495"/>
  <c r="V495" s="1"/>
  <c r="AQ495" s="1"/>
  <c r="AP417"/>
  <c r="V417" s="1"/>
  <c r="AB417" s="1"/>
  <c r="AP344"/>
  <c r="V344" s="1"/>
  <c r="AC344" s="1"/>
  <c r="AP197"/>
  <c r="V197" s="1"/>
  <c r="AB197" s="1"/>
  <c r="AP158"/>
  <c r="V158" s="1"/>
  <c r="AB158" s="1"/>
  <c r="AP393"/>
  <c r="V393" s="1"/>
  <c r="AQ393" s="1"/>
  <c r="N13" i="12"/>
  <c r="AP859" i="9"/>
  <c r="V859" s="1"/>
  <c r="AC859" s="1"/>
  <c r="AP511"/>
  <c r="V511" s="1"/>
  <c r="AB511" s="1"/>
  <c r="AP476"/>
  <c r="V476" s="1"/>
  <c r="AQ476" s="1"/>
  <c r="AP394"/>
  <c r="V394" s="1"/>
  <c r="AQ394" s="1"/>
  <c r="AP257"/>
  <c r="V257" s="1"/>
  <c r="AB257" s="1"/>
  <c r="AP175"/>
  <c r="V175" s="1"/>
  <c r="AQ175" s="1"/>
  <c r="AP74"/>
  <c r="V74" s="1"/>
  <c r="AC74" s="1"/>
  <c r="AC495"/>
  <c r="AC393"/>
  <c r="BF393" s="1"/>
  <c r="AP606"/>
  <c r="V606" s="1"/>
  <c r="AB175"/>
  <c r="AP871"/>
  <c r="V871" s="1"/>
  <c r="AC871" s="1"/>
  <c r="AP853"/>
  <c r="V853" s="1"/>
  <c r="AC853" s="1"/>
  <c r="AP750"/>
  <c r="V750" s="1"/>
  <c r="AC750" s="1"/>
  <c r="AP596"/>
  <c r="V596" s="1"/>
  <c r="AC596" s="1"/>
  <c r="AP507"/>
  <c r="V507" s="1"/>
  <c r="AC507" s="1"/>
  <c r="AP491"/>
  <c r="V491" s="1"/>
  <c r="AC491" s="1"/>
  <c r="AP466"/>
  <c r="V466" s="1"/>
  <c r="AC466" s="1"/>
  <c r="AP413"/>
  <c r="V413" s="1"/>
  <c r="AB413" s="1"/>
  <c r="AP358"/>
  <c r="V358" s="1"/>
  <c r="AC358" s="1"/>
  <c r="AP340"/>
  <c r="V340" s="1"/>
  <c r="AC340" s="1"/>
  <c r="AP248"/>
  <c r="V248" s="1"/>
  <c r="AC248" s="1"/>
  <c r="AP187"/>
  <c r="V187" s="1"/>
  <c r="AB187" s="1"/>
  <c r="AP171"/>
  <c r="V171" s="1"/>
  <c r="AB171" s="1"/>
  <c r="AP146"/>
  <c r="V146" s="1"/>
  <c r="AC146" s="1"/>
  <c r="AP132"/>
  <c r="V132" s="1"/>
  <c r="AC132" s="1"/>
  <c r="AP66"/>
  <c r="V66" s="1"/>
  <c r="AB66" s="1"/>
  <c r="AP902"/>
  <c r="V902" s="1"/>
  <c r="AB902" s="1"/>
  <c r="AP863"/>
  <c r="V863" s="1"/>
  <c r="AQ863" s="1"/>
  <c r="AP825"/>
  <c r="V825" s="1"/>
  <c r="AC825" s="1"/>
  <c r="AP758"/>
  <c r="V758" s="1"/>
  <c r="AC758" s="1"/>
  <c r="AP547"/>
  <c r="V547" s="1"/>
  <c r="AC547" s="1"/>
  <c r="AP515"/>
  <c r="V515" s="1"/>
  <c r="AC515" s="1"/>
  <c r="AP499"/>
  <c r="V499" s="1"/>
  <c r="AC499" s="1"/>
  <c r="AP481"/>
  <c r="V481" s="1"/>
  <c r="AB481" s="1"/>
  <c r="AP421"/>
  <c r="V421" s="1"/>
  <c r="AC421" s="1"/>
  <c r="AP405"/>
  <c r="V405" s="1"/>
  <c r="AB405" s="1"/>
  <c r="AP350"/>
  <c r="V350" s="1"/>
  <c r="AC350" s="1"/>
  <c r="AP261"/>
  <c r="V261" s="1"/>
  <c r="AC261" s="1"/>
  <c r="AP201"/>
  <c r="V201" s="1"/>
  <c r="AQ201" s="1"/>
  <c r="AP179"/>
  <c r="V179" s="1"/>
  <c r="AB179" s="1"/>
  <c r="AP162"/>
  <c r="V162" s="1"/>
  <c r="AQ162" s="1"/>
  <c r="AP140"/>
  <c r="V140" s="1"/>
  <c r="AB140" s="1"/>
  <c r="AP93"/>
  <c r="AV805"/>
  <c r="AB421"/>
  <c r="AQ358"/>
  <c r="AP603"/>
  <c r="V603" s="1"/>
  <c r="AP230"/>
  <c r="V230" s="1"/>
  <c r="AP223"/>
  <c r="V223" s="1"/>
  <c r="AP155"/>
  <c r="AP611"/>
  <c r="V611" s="1"/>
  <c r="AP601"/>
  <c r="V601" s="1"/>
  <c r="AP873"/>
  <c r="V873" s="1"/>
  <c r="AP865"/>
  <c r="V865" s="1"/>
  <c r="AQ865" s="1"/>
  <c r="AP855"/>
  <c r="V855" s="1"/>
  <c r="AP827"/>
  <c r="V827" s="1"/>
  <c r="AQ827" s="1"/>
  <c r="AP797"/>
  <c r="V797" s="1"/>
  <c r="AP752"/>
  <c r="V752" s="1"/>
  <c r="AQ752" s="1"/>
  <c r="AP621"/>
  <c r="V621" s="1"/>
  <c r="J143" i="36" s="1"/>
  <c r="AP599" i="9"/>
  <c r="V599" s="1"/>
  <c r="AB602" s="1"/>
  <c r="AP879"/>
  <c r="V879" s="1"/>
  <c r="AP559"/>
  <c r="V559" s="1"/>
  <c r="AQ559" s="1"/>
  <c r="AP523"/>
  <c r="V523" s="1"/>
  <c r="AB523" s="1"/>
  <c r="AP517"/>
  <c r="V517" s="1"/>
  <c r="AP516"/>
  <c r="V516" s="1"/>
  <c r="AC516" s="1"/>
  <c r="AP509"/>
  <c r="V509" s="1"/>
  <c r="AP508"/>
  <c r="V508" s="1"/>
  <c r="AC508" s="1"/>
  <c r="AP501"/>
  <c r="V501" s="1"/>
  <c r="AP500"/>
  <c r="V500" s="1"/>
  <c r="AB500" s="1"/>
  <c r="AP493"/>
  <c r="V493" s="1"/>
  <c r="AP492"/>
  <c r="V492" s="1"/>
  <c r="AB492" s="1"/>
  <c r="AP484"/>
  <c r="V484" s="1"/>
  <c r="AP483"/>
  <c r="V483" s="1"/>
  <c r="AC483" s="1"/>
  <c r="AP467"/>
  <c r="V467" s="1"/>
  <c r="AQ467" s="1"/>
  <c r="AP460"/>
  <c r="V460" s="1"/>
  <c r="AP453"/>
  <c r="V453" s="1"/>
  <c r="AP446"/>
  <c r="V446" s="1"/>
  <c r="AP423"/>
  <c r="V423" s="1"/>
  <c r="AP422"/>
  <c r="V422" s="1"/>
  <c r="AC422" s="1"/>
  <c r="AP415"/>
  <c r="V415" s="1"/>
  <c r="AP414"/>
  <c r="V414" s="1"/>
  <c r="AC414" s="1"/>
  <c r="AP407"/>
  <c r="V407" s="1"/>
  <c r="AP406"/>
  <c r="V406" s="1"/>
  <c r="AC406" s="1"/>
  <c r="AP360"/>
  <c r="V360" s="1"/>
  <c r="AB360" s="1"/>
  <c r="AP359"/>
  <c r="V359" s="1"/>
  <c r="AC359" s="1"/>
  <c r="AP352"/>
  <c r="V352" s="1"/>
  <c r="AC352" s="1"/>
  <c r="AP351"/>
  <c r="V351" s="1"/>
  <c r="AQ351" s="1"/>
  <c r="AP342"/>
  <c r="V342" s="1"/>
  <c r="AQ342" s="1"/>
  <c r="AP341"/>
  <c r="V341" s="1"/>
  <c r="AP263"/>
  <c r="V263" s="1"/>
  <c r="AP262"/>
  <c r="V262" s="1"/>
  <c r="AC262" s="1"/>
  <c r="AP255"/>
  <c r="V255" s="1"/>
  <c r="AB255" s="1"/>
  <c r="AP254"/>
  <c r="V254" s="1"/>
  <c r="AP205"/>
  <c r="V205" s="1"/>
  <c r="AB205" s="1"/>
  <c r="AP202"/>
  <c r="V202" s="1"/>
  <c r="AB202" s="1"/>
  <c r="AP193"/>
  <c r="V193" s="1"/>
  <c r="S36" i="19" s="1"/>
  <c r="AP188" i="9"/>
  <c r="V188" s="1"/>
  <c r="AC188" s="1"/>
  <c r="AP181"/>
  <c r="V181" s="1"/>
  <c r="AP180"/>
  <c r="V180" s="1"/>
  <c r="AC180" s="1"/>
  <c r="AP173"/>
  <c r="V173" s="1"/>
  <c r="AP172"/>
  <c r="V172" s="1"/>
  <c r="S43" i="19" s="1"/>
  <c r="AP165" i="9"/>
  <c r="V165" s="1"/>
  <c r="AQ165" s="1"/>
  <c r="AP163"/>
  <c r="V163" s="1"/>
  <c r="AB163" s="1"/>
  <c r="AP148"/>
  <c r="V148" s="1"/>
  <c r="AP147"/>
  <c r="V147" s="1"/>
  <c r="AQ147" s="1"/>
  <c r="AP141"/>
  <c r="V141" s="1"/>
  <c r="AB141" s="1"/>
  <c r="AP134"/>
  <c r="V134" s="1"/>
  <c r="AB134" s="1"/>
  <c r="AP133"/>
  <c r="V133" s="1"/>
  <c r="AQ133" s="1"/>
  <c r="AP103"/>
  <c r="V103" s="1"/>
  <c r="B93" i="8" s="1"/>
  <c r="AP102" i="9"/>
  <c r="V102" s="1"/>
  <c r="AQ102" s="1"/>
  <c r="AP70"/>
  <c r="V70" s="1"/>
  <c r="AP67"/>
  <c r="V67" s="1"/>
  <c r="B95" i="8" s="1"/>
  <c r="AP900" i="9"/>
  <c r="V900" s="1"/>
  <c r="AP869"/>
  <c r="V869" s="1"/>
  <c r="AP861"/>
  <c r="V861" s="1"/>
  <c r="AQ861" s="1"/>
  <c r="AP834"/>
  <c r="V834" s="1"/>
  <c r="AB834" s="1"/>
  <c r="AP803"/>
  <c r="V803" s="1"/>
  <c r="AP756"/>
  <c r="V756" s="1"/>
  <c r="AQ756" s="1"/>
  <c r="AP748"/>
  <c r="V748" s="1"/>
  <c r="AQ748" s="1"/>
  <c r="AP594"/>
  <c r="V594" s="1"/>
  <c r="AP883"/>
  <c r="V883" s="1"/>
  <c r="AC883" s="1"/>
  <c r="AP520"/>
  <c r="V520" s="1"/>
  <c r="AB520" s="1"/>
  <c r="AP513"/>
  <c r="V513" s="1"/>
  <c r="AP512"/>
  <c r="V512" s="1"/>
  <c r="AQ512" s="1"/>
  <c r="AP505"/>
  <c r="V505" s="1"/>
  <c r="AP504"/>
  <c r="V504" s="1"/>
  <c r="AQ504" s="1"/>
  <c r="AP497"/>
  <c r="V497" s="1"/>
  <c r="AP496"/>
  <c r="V496" s="1"/>
  <c r="AQ496" s="1"/>
  <c r="AP489"/>
  <c r="V489" s="1"/>
  <c r="AP488"/>
  <c r="V488" s="1"/>
  <c r="AQ488" s="1"/>
  <c r="AP479"/>
  <c r="V479" s="1"/>
  <c r="AP477"/>
  <c r="V477" s="1"/>
  <c r="AB477" s="1"/>
  <c r="AP464"/>
  <c r="V464" s="1"/>
  <c r="AP463"/>
  <c r="V463" s="1"/>
  <c r="AQ463" s="1"/>
  <c r="AP457"/>
  <c r="V457" s="1"/>
  <c r="AP456"/>
  <c r="V456" s="1"/>
  <c r="AC456" s="1"/>
  <c r="AP450"/>
  <c r="V450" s="1"/>
  <c r="AP449"/>
  <c r="V449" s="1"/>
  <c r="AB449" s="1"/>
  <c r="AP440"/>
  <c r="V440" s="1"/>
  <c r="AP439"/>
  <c r="V439" s="1"/>
  <c r="J145" i="36" s="1"/>
  <c r="AP419" i="9"/>
  <c r="V419" s="1"/>
  <c r="AP418"/>
  <c r="V418" s="1"/>
  <c r="AC418" s="1"/>
  <c r="AP411"/>
  <c r="V411" s="1"/>
  <c r="AP410"/>
  <c r="V410" s="1"/>
  <c r="AC410" s="1"/>
  <c r="AP356"/>
  <c r="V356" s="1"/>
  <c r="AB356" s="1"/>
  <c r="AP355"/>
  <c r="V355" s="1"/>
  <c r="AC355" s="1"/>
  <c r="AP348"/>
  <c r="V348" s="1"/>
  <c r="AB348" s="1"/>
  <c r="AP345"/>
  <c r="V345" s="1"/>
  <c r="AP338"/>
  <c r="V338" s="1"/>
  <c r="AP337"/>
  <c r="V337" s="1"/>
  <c r="AP259"/>
  <c r="V259" s="1"/>
  <c r="AP258"/>
  <c r="V258" s="1"/>
  <c r="AC258" s="1"/>
  <c r="AP246"/>
  <c r="V246" s="1"/>
  <c r="AP199"/>
  <c r="V199" s="1"/>
  <c r="S18" i="19" s="1"/>
  <c r="AP198" i="9"/>
  <c r="V198" s="1"/>
  <c r="AC198" s="1"/>
  <c r="AP185"/>
  <c r="V185" s="1"/>
  <c r="S51" i="19" s="1"/>
  <c r="AP184" i="9"/>
  <c r="V184" s="1"/>
  <c r="AQ184" s="1"/>
  <c r="AP177"/>
  <c r="V177" s="1"/>
  <c r="AP176"/>
  <c r="V176" s="1"/>
  <c r="AQ176" s="1"/>
  <c r="AP169"/>
  <c r="V169" s="1"/>
  <c r="J27" i="36" s="1"/>
  <c r="AP168" i="9"/>
  <c r="V168" s="1"/>
  <c r="AQ168" s="1"/>
  <c r="AP160"/>
  <c r="V160" s="1"/>
  <c r="AP159"/>
  <c r="V159" s="1"/>
  <c r="AC159" s="1"/>
  <c r="AP138"/>
  <c r="V138" s="1"/>
  <c r="AP137"/>
  <c r="V137" s="1"/>
  <c r="AQ137" s="1"/>
  <c r="AP109"/>
  <c r="V109" s="1"/>
  <c r="AP108"/>
  <c r="V108" s="1"/>
  <c r="AB108" s="1"/>
  <c r="AP77"/>
  <c r="V77" s="1"/>
  <c r="AP76"/>
  <c r="V76" s="1"/>
  <c r="AQ76" s="1"/>
  <c r="AP6"/>
  <c r="V6" s="1"/>
  <c r="AP584"/>
  <c r="AP226"/>
  <c r="V226" s="1"/>
  <c r="AP222"/>
  <c r="V222" s="1"/>
  <c r="AP220"/>
  <c r="V220" s="1"/>
  <c r="AP218"/>
  <c r="V218" s="1"/>
  <c r="AP884"/>
  <c r="AP229"/>
  <c r="V229" s="1"/>
  <c r="AP224"/>
  <c r="V224" s="1"/>
  <c r="AP225"/>
  <c r="V225" s="1"/>
  <c r="H9" i="33"/>
  <c r="J3" i="9" s="1"/>
  <c r="AP649"/>
  <c r="V649" s="1"/>
  <c r="AP643"/>
  <c r="V643" s="1"/>
  <c r="AP633"/>
  <c r="V633" s="1"/>
  <c r="AP631"/>
  <c r="V631" s="1"/>
  <c r="AP608"/>
  <c r="V608" s="1"/>
  <c r="AP153"/>
  <c r="AP642"/>
  <c r="V642" s="1"/>
  <c r="AP640"/>
  <c r="V640" s="1"/>
  <c r="AP638"/>
  <c r="V638" s="1"/>
  <c r="AP636"/>
  <c r="V636" s="1"/>
  <c r="AP634"/>
  <c r="V634" s="1"/>
  <c r="AP630"/>
  <c r="V630" s="1"/>
  <c r="AP626"/>
  <c r="V626" s="1"/>
  <c r="AP622"/>
  <c r="V622" s="1"/>
  <c r="AP617"/>
  <c r="V617" s="1"/>
  <c r="BF62" i="8"/>
  <c r="AB143" i="36" s="1"/>
  <c r="AP656" i="9"/>
  <c r="V656" s="1"/>
  <c r="AP655"/>
  <c r="V655" s="1"/>
  <c r="J154" i="36" s="1"/>
  <c r="AP654" i="9"/>
  <c r="V654" s="1"/>
  <c r="J153" i="36" s="1"/>
  <c r="AP653" i="9"/>
  <c r="V653" s="1"/>
  <c r="J152" i="36" s="1"/>
  <c r="AP652" i="9"/>
  <c r="V652" s="1"/>
  <c r="J151" i="36" s="1"/>
  <c r="AP651" i="9"/>
  <c r="V651" s="1"/>
  <c r="J142" i="36" s="1"/>
  <c r="AP595" i="9"/>
  <c r="V595" s="1"/>
  <c r="AQ595" s="1"/>
  <c r="AP880"/>
  <c r="AP518"/>
  <c r="V518" s="1"/>
  <c r="AQ518" s="1"/>
  <c r="AP514"/>
  <c r="V514" s="1"/>
  <c r="AQ514" s="1"/>
  <c r="AP510"/>
  <c r="V510" s="1"/>
  <c r="AQ510" s="1"/>
  <c r="AP506"/>
  <c r="V506" s="1"/>
  <c r="AQ506" s="1"/>
  <c r="AP502"/>
  <c r="V502" s="1"/>
  <c r="AC502" s="1"/>
  <c r="AP498"/>
  <c r="V498" s="1"/>
  <c r="AQ498" s="1"/>
  <c r="AP494"/>
  <c r="V494" s="1"/>
  <c r="AC494" s="1"/>
  <c r="AP490"/>
  <c r="V490" s="1"/>
  <c r="AQ490" s="1"/>
  <c r="AP485"/>
  <c r="V485" s="1"/>
  <c r="AB485" s="1"/>
  <c r="AP480"/>
  <c r="V480" s="1"/>
  <c r="AP475"/>
  <c r="V475" s="1"/>
  <c r="AC475" s="1"/>
  <c r="L31" i="36" s="1"/>
  <c r="AP465" i="9"/>
  <c r="V465" s="1"/>
  <c r="AB465" s="1"/>
  <c r="AP461"/>
  <c r="V461" s="1"/>
  <c r="AQ461" s="1"/>
  <c r="AP454"/>
  <c r="V454" s="1"/>
  <c r="AQ454" s="1"/>
  <c r="AP447"/>
  <c r="V447" s="1"/>
  <c r="AQ447" s="1"/>
  <c r="AP424"/>
  <c r="V424" s="1"/>
  <c r="AC424" s="1"/>
  <c r="AP420"/>
  <c r="V420" s="1"/>
  <c r="AQ420" s="1"/>
  <c r="AP416"/>
  <c r="V416" s="1"/>
  <c r="AC416" s="1"/>
  <c r="AP412"/>
  <c r="V412" s="1"/>
  <c r="AC412" s="1"/>
  <c r="AP408"/>
  <c r="V408" s="1"/>
  <c r="AQ408" s="1"/>
  <c r="AP404"/>
  <c r="V404" s="1"/>
  <c r="AC404" s="1"/>
  <c r="AP361"/>
  <c r="V361" s="1"/>
  <c r="AP357"/>
  <c r="V357" s="1"/>
  <c r="AQ357" s="1"/>
  <c r="AP353"/>
  <c r="V353" s="1"/>
  <c r="AP349"/>
  <c r="V349" s="1"/>
  <c r="AB349" s="1"/>
  <c r="AP343"/>
  <c r="V343" s="1"/>
  <c r="AP339"/>
  <c r="V339" s="1"/>
  <c r="AP264"/>
  <c r="V264" s="1"/>
  <c r="AP260"/>
  <c r="V260" s="1"/>
  <c r="AQ260" s="1"/>
  <c r="AP256"/>
  <c r="V256" s="1"/>
  <c r="AP200"/>
  <c r="V200" s="1"/>
  <c r="AQ200" s="1"/>
  <c r="AP194"/>
  <c r="V194" s="1"/>
  <c r="AQ194" s="1"/>
  <c r="AP186"/>
  <c r="V186" s="1"/>
  <c r="AQ186" s="1"/>
  <c r="AP182"/>
  <c r="V182" s="1"/>
  <c r="AQ182" s="1"/>
  <c r="AP178"/>
  <c r="V178" s="1"/>
  <c r="AQ178" s="1"/>
  <c r="AP174"/>
  <c r="V174" s="1"/>
  <c r="AQ174" s="1"/>
  <c r="AP170"/>
  <c r="V170" s="1"/>
  <c r="AQ170" s="1"/>
  <c r="AP166"/>
  <c r="V166" s="1"/>
  <c r="AC166" s="1"/>
  <c r="AP161"/>
  <c r="V161" s="1"/>
  <c r="AB161" s="1"/>
  <c r="AP157"/>
  <c r="V157" s="1"/>
  <c r="AQ157" s="1"/>
  <c r="AP143"/>
  <c r="AP139"/>
  <c r="V139" s="1"/>
  <c r="AQ139" s="1"/>
  <c r="AP135"/>
  <c r="V135" s="1"/>
  <c r="AC135" s="1"/>
  <c r="AP131"/>
  <c r="V131" s="1"/>
  <c r="AB131" s="1"/>
  <c r="AP104"/>
  <c r="V104" s="1"/>
  <c r="AQ104" s="1"/>
  <c r="AP78"/>
  <c r="V78" s="1"/>
  <c r="AQ78" s="1"/>
  <c r="AP72"/>
  <c r="V72" s="1"/>
  <c r="AP65"/>
  <c r="V65" s="1"/>
  <c r="AQ65" s="1"/>
  <c r="AJ620"/>
  <c r="BC620" s="1"/>
  <c r="AJ616"/>
  <c r="BC616" s="1"/>
  <c r="AJ604"/>
  <c r="BC604" s="1"/>
  <c r="AJ600"/>
  <c r="BC600" s="1"/>
  <c r="AB508"/>
  <c r="AC108"/>
  <c r="AC865"/>
  <c r="AP219"/>
  <c r="V219" s="1"/>
  <c r="AP156"/>
  <c r="AP647"/>
  <c r="V647" s="1"/>
  <c r="AP650"/>
  <c r="V650" s="1"/>
  <c r="AP646"/>
  <c r="V646" s="1"/>
  <c r="AP644"/>
  <c r="V644" s="1"/>
  <c r="AP632"/>
  <c r="V632" s="1"/>
  <c r="AP903"/>
  <c r="V903" s="1"/>
  <c r="AP899"/>
  <c r="V899" s="1"/>
  <c r="AP895"/>
  <c r="V895" s="1"/>
  <c r="AP894"/>
  <c r="V894" s="1"/>
  <c r="AP893"/>
  <c r="V893" s="1"/>
  <c r="AP892"/>
  <c r="V892" s="1"/>
  <c r="AP891"/>
  <c r="V891" s="1"/>
  <c r="AP890"/>
  <c r="V890" s="1"/>
  <c r="AP889"/>
  <c r="V889" s="1"/>
  <c r="AP888"/>
  <c r="V888" s="1"/>
  <c r="AP887"/>
  <c r="V887" s="1"/>
  <c r="AP872"/>
  <c r="V872" s="1"/>
  <c r="AP868"/>
  <c r="V868" s="1"/>
  <c r="AP864"/>
  <c r="V864" s="1"/>
  <c r="AP860"/>
  <c r="V860" s="1"/>
  <c r="AP854"/>
  <c r="V854" s="1"/>
  <c r="AP833"/>
  <c r="V833" s="1"/>
  <c r="AP831"/>
  <c r="V831" s="1"/>
  <c r="AP826"/>
  <c r="V826" s="1"/>
  <c r="AP806"/>
  <c r="V806" s="1"/>
  <c r="AP802"/>
  <c r="V802" s="1"/>
  <c r="AB802" s="1"/>
  <c r="AP769"/>
  <c r="V769" s="1"/>
  <c r="AP768"/>
  <c r="V768" s="1"/>
  <c r="AP763"/>
  <c r="V763" s="1"/>
  <c r="AP762"/>
  <c r="V762" s="1"/>
  <c r="AP755"/>
  <c r="V755" s="1"/>
  <c r="AP751"/>
  <c r="V751" s="1"/>
  <c r="AP152"/>
  <c r="AP154"/>
  <c r="AQ799"/>
  <c r="AP231"/>
  <c r="V231" s="1"/>
  <c r="AP901"/>
  <c r="V901" s="1"/>
  <c r="AP874"/>
  <c r="V874" s="1"/>
  <c r="AP870"/>
  <c r="V870" s="1"/>
  <c r="AP866"/>
  <c r="V866" s="1"/>
  <c r="AP862"/>
  <c r="V862" s="1"/>
  <c r="AP858"/>
  <c r="V858" s="1"/>
  <c r="AP852"/>
  <c r="V852" s="1"/>
  <c r="AP851"/>
  <c r="V851" s="1"/>
  <c r="AP850"/>
  <c r="V850" s="1"/>
  <c r="AP849"/>
  <c r="V849" s="1"/>
  <c r="AP846"/>
  <c r="V846" s="1"/>
  <c r="AP845"/>
  <c r="V845" s="1"/>
  <c r="AP844"/>
  <c r="V844" s="1"/>
  <c r="AP843"/>
  <c r="V843" s="1"/>
  <c r="AP842"/>
  <c r="V842" s="1"/>
  <c r="AP841"/>
  <c r="V841" s="1"/>
  <c r="AP840"/>
  <c r="V840" s="1"/>
  <c r="AP839"/>
  <c r="V839" s="1"/>
  <c r="AP838"/>
  <c r="V838" s="1"/>
  <c r="AP828"/>
  <c r="V828" s="1"/>
  <c r="AP824"/>
  <c r="V824" s="1"/>
  <c r="AP823"/>
  <c r="V823" s="1"/>
  <c r="AP814"/>
  <c r="V814" s="1"/>
  <c r="AP813"/>
  <c r="V813" s="1"/>
  <c r="AP812"/>
  <c r="V812" s="1"/>
  <c r="AP811"/>
  <c r="V811" s="1"/>
  <c r="AP804"/>
  <c r="V804" s="1"/>
  <c r="AP798"/>
  <c r="V798" s="1"/>
  <c r="AP785"/>
  <c r="V785" s="1"/>
  <c r="AP784"/>
  <c r="V784" s="1"/>
  <c r="AP783"/>
  <c r="V783" s="1"/>
  <c r="AP782"/>
  <c r="V782" s="1"/>
  <c r="AP757"/>
  <c r="V757" s="1"/>
  <c r="AP753"/>
  <c r="V753" s="1"/>
  <c r="AP749"/>
  <c r="V749" s="1"/>
  <c r="AP582"/>
  <c r="AP567"/>
  <c r="AP566"/>
  <c r="V566" s="1"/>
  <c r="AP565"/>
  <c r="V565" s="1"/>
  <c r="AP564"/>
  <c r="V564" s="1"/>
  <c r="AP556"/>
  <c r="V556" s="1"/>
  <c r="AP555"/>
  <c r="V555" s="1"/>
  <c r="AP554"/>
  <c r="V554" s="1"/>
  <c r="AP473"/>
  <c r="V473" s="1"/>
  <c r="AP470"/>
  <c r="V470" s="1"/>
  <c r="AP444"/>
  <c r="V444" s="1"/>
  <c r="AP443"/>
  <c r="V443" s="1"/>
  <c r="AP442"/>
  <c r="V442" s="1"/>
  <c r="AP437"/>
  <c r="V437" s="1"/>
  <c r="AP436"/>
  <c r="V436" s="1"/>
  <c r="AP435"/>
  <c r="V435" s="1"/>
  <c r="AP434"/>
  <c r="V434" s="1"/>
  <c r="AP433"/>
  <c r="V433" s="1"/>
  <c r="AP432"/>
  <c r="V432" s="1"/>
  <c r="AP431"/>
  <c r="V431" s="1"/>
  <c r="AP430"/>
  <c r="V430" s="1"/>
  <c r="AP429"/>
  <c r="V429" s="1"/>
  <c r="AP428"/>
  <c r="V428" s="1"/>
  <c r="AP427"/>
  <c r="V427" s="1"/>
  <c r="AP388"/>
  <c r="V388" s="1"/>
  <c r="AP387"/>
  <c r="V387" s="1"/>
  <c r="AP386"/>
  <c r="V386" s="1"/>
  <c r="AP385"/>
  <c r="V385" s="1"/>
  <c r="AP384"/>
  <c r="V384" s="1"/>
  <c r="AP383"/>
  <c r="V383" s="1"/>
  <c r="AP382"/>
  <c r="V382" s="1"/>
  <c r="AP381"/>
  <c r="V381" s="1"/>
  <c r="AP378"/>
  <c r="V378" s="1"/>
  <c r="AP377"/>
  <c r="V377" s="1"/>
  <c r="AP376"/>
  <c r="V376" s="1"/>
  <c r="AP375"/>
  <c r="V375" s="1"/>
  <c r="AP374"/>
  <c r="V374" s="1"/>
  <c r="AP287"/>
  <c r="V287" s="1"/>
  <c r="AP286"/>
  <c r="V286" s="1"/>
  <c r="AP285"/>
  <c r="V285" s="1"/>
  <c r="AP284"/>
  <c r="V284" s="1"/>
  <c r="AP283"/>
  <c r="V283" s="1"/>
  <c r="AP282"/>
  <c r="V282" s="1"/>
  <c r="AP281"/>
  <c r="V281" s="1"/>
  <c r="AP280"/>
  <c r="V280" s="1"/>
  <c r="AP279"/>
  <c r="V279" s="1"/>
  <c r="AP278"/>
  <c r="V278" s="1"/>
  <c r="AP252"/>
  <c r="V252" s="1"/>
  <c r="AP251"/>
  <c r="V251" s="1"/>
  <c r="AP233"/>
  <c r="V233" s="1"/>
  <c r="AP217"/>
  <c r="V217" s="1"/>
  <c r="AC218" s="1"/>
  <c r="AP216"/>
  <c r="V216" s="1"/>
  <c r="AP215"/>
  <c r="V215" s="1"/>
  <c r="AP214"/>
  <c r="V214" s="1"/>
  <c r="AP211"/>
  <c r="V211" s="1"/>
  <c r="AP210"/>
  <c r="V210" s="1"/>
  <c r="AP209"/>
  <c r="V209" s="1"/>
  <c r="AP208"/>
  <c r="V208" s="1"/>
  <c r="AP207"/>
  <c r="V207" s="1"/>
  <c r="AP127"/>
  <c r="V127" s="1"/>
  <c r="AP126"/>
  <c r="V126" s="1"/>
  <c r="AP123"/>
  <c r="V123" s="1"/>
  <c r="AP122"/>
  <c r="V122" s="1"/>
  <c r="J28" i="36" s="1"/>
  <c r="AP121" i="9"/>
  <c r="V121" s="1"/>
  <c r="AP118"/>
  <c r="V118" s="1"/>
  <c r="AP117"/>
  <c r="V117" s="1"/>
  <c r="AP116"/>
  <c r="V116" s="1"/>
  <c r="AP115"/>
  <c r="V115" s="1"/>
  <c r="AP101"/>
  <c r="V101" s="1"/>
  <c r="AP99"/>
  <c r="V99" s="1"/>
  <c r="AP96"/>
  <c r="V96" s="1"/>
  <c r="AP95"/>
  <c r="V95" s="1"/>
  <c r="AP71"/>
  <c r="V71" s="1"/>
  <c r="AP63"/>
  <c r="V63" s="1"/>
  <c r="AP62"/>
  <c r="V62" s="1"/>
  <c r="AP61"/>
  <c r="V61" s="1"/>
  <c r="AP59"/>
  <c r="V59" s="1"/>
  <c r="AP52"/>
  <c r="V52" s="1"/>
  <c r="AP48"/>
  <c r="V48" s="1"/>
  <c r="AP46"/>
  <c r="V46" s="1"/>
  <c r="AP45"/>
  <c r="V45" s="1"/>
  <c r="AP44"/>
  <c r="V44" s="1"/>
  <c r="AP43"/>
  <c r="V43" s="1"/>
  <c r="AP42"/>
  <c r="V42" s="1"/>
  <c r="AP40"/>
  <c r="V40" s="1"/>
  <c r="AP39"/>
  <c r="V39" s="1"/>
  <c r="AP38"/>
  <c r="V38" s="1"/>
  <c r="AP37"/>
  <c r="V37" s="1"/>
  <c r="AP36"/>
  <c r="V36" s="1"/>
  <c r="AP34"/>
  <c r="V34" s="1"/>
  <c r="AP33"/>
  <c r="V33" s="1"/>
  <c r="AP32"/>
  <c r="V32" s="1"/>
  <c r="AP31"/>
  <c r="V31" s="1"/>
  <c r="AP30"/>
  <c r="V30" s="1"/>
  <c r="AP28"/>
  <c r="V28" s="1"/>
  <c r="AP27"/>
  <c r="V27" s="1"/>
  <c r="AP26"/>
  <c r="V26" s="1"/>
  <c r="AP25"/>
  <c r="V25" s="1"/>
  <c r="AP24"/>
  <c r="V24" s="1"/>
  <c r="AP23"/>
  <c r="V23" s="1"/>
  <c r="AP22"/>
  <c r="V22" s="1"/>
  <c r="AP21"/>
  <c r="V21" s="1"/>
  <c r="AP20"/>
  <c r="V20" s="1"/>
  <c r="AP19"/>
  <c r="V19" s="1"/>
  <c r="AP18"/>
  <c r="V18" s="1"/>
  <c r="AP17"/>
  <c r="V17" s="1"/>
  <c r="AP13"/>
  <c r="V13" s="1"/>
  <c r="AP12"/>
  <c r="V12" s="1"/>
  <c r="AP11"/>
  <c r="V11" s="1"/>
  <c r="AP10"/>
  <c r="V10" s="1"/>
  <c r="AP9"/>
  <c r="V9" s="1"/>
  <c r="AP8"/>
  <c r="V8" s="1"/>
  <c r="AK912"/>
  <c r="AP912" s="1"/>
  <c r="V912" s="1"/>
  <c r="AE912" s="1"/>
  <c r="AB479"/>
  <c r="AP792"/>
  <c r="V792" s="1"/>
  <c r="AP791"/>
  <c r="V791" s="1"/>
  <c r="AP788"/>
  <c r="V788" s="1"/>
  <c r="AP787"/>
  <c r="V787" s="1"/>
  <c r="AP740"/>
  <c r="V740" s="1"/>
  <c r="AP739"/>
  <c r="V739" s="1"/>
  <c r="AP738"/>
  <c r="V738" s="1"/>
  <c r="AP737"/>
  <c r="V737" s="1"/>
  <c r="AP736"/>
  <c r="V736" s="1"/>
  <c r="AP735"/>
  <c r="V735" s="1"/>
  <c r="AP734"/>
  <c r="V734" s="1"/>
  <c r="AP733"/>
  <c r="V733" s="1"/>
  <c r="AP732"/>
  <c r="V732" s="1"/>
  <c r="AP731"/>
  <c r="V731" s="1"/>
  <c r="AP730"/>
  <c r="V730" s="1"/>
  <c r="AP729"/>
  <c r="V729" s="1"/>
  <c r="AP728"/>
  <c r="V728" s="1"/>
  <c r="AP727"/>
  <c r="V727" s="1"/>
  <c r="AP726"/>
  <c r="V726" s="1"/>
  <c r="AP725"/>
  <c r="V725" s="1"/>
  <c r="AP724"/>
  <c r="V724" s="1"/>
  <c r="AP723"/>
  <c r="V723" s="1"/>
  <c r="AP722"/>
  <c r="V722" s="1"/>
  <c r="AP667"/>
  <c r="V667" s="1"/>
  <c r="AP666"/>
  <c r="V666" s="1"/>
  <c r="AP665"/>
  <c r="V665" s="1"/>
  <c r="AP661"/>
  <c r="V661" s="1"/>
  <c r="AP660"/>
  <c r="V660" s="1"/>
  <c r="AP659"/>
  <c r="V659" s="1"/>
  <c r="AP658"/>
  <c r="V658" s="1"/>
  <c r="AP657"/>
  <c r="V657" s="1"/>
  <c r="AP592"/>
  <c r="V592" s="1"/>
  <c r="AP591"/>
  <c r="V591" s="1"/>
  <c r="AP590"/>
  <c r="V590" s="1"/>
  <c r="AP589"/>
  <c r="V589" s="1"/>
  <c r="AP588"/>
  <c r="V588" s="1"/>
  <c r="AP583"/>
  <c r="AP882"/>
  <c r="AP581"/>
  <c r="V581" s="1"/>
  <c r="AP568"/>
  <c r="V568" s="1"/>
  <c r="AP563"/>
  <c r="V563" s="1"/>
  <c r="AP562"/>
  <c r="V562" s="1"/>
  <c r="AP561"/>
  <c r="V561" s="1"/>
  <c r="AP560"/>
  <c r="V560" s="1"/>
  <c r="AP371"/>
  <c r="V371" s="1"/>
  <c r="AP370"/>
  <c r="V370" s="1"/>
  <c r="AP369"/>
  <c r="V369" s="1"/>
  <c r="AP368"/>
  <c r="V368" s="1"/>
  <c r="AP367"/>
  <c r="V367" s="1"/>
  <c r="AP366"/>
  <c r="V366" s="1"/>
  <c r="AP365"/>
  <c r="V365" s="1"/>
  <c r="AP364"/>
  <c r="V364" s="1"/>
  <c r="AP363"/>
  <c r="V363" s="1"/>
  <c r="AP334"/>
  <c r="V334" s="1"/>
  <c r="AP333"/>
  <c r="V333" s="1"/>
  <c r="AP332"/>
  <c r="V332" s="1"/>
  <c r="AP331"/>
  <c r="V331" s="1"/>
  <c r="AP330"/>
  <c r="V330" s="1"/>
  <c r="AP329"/>
  <c r="V329" s="1"/>
  <c r="AP328"/>
  <c r="V328" s="1"/>
  <c r="AP327"/>
  <c r="V327" s="1"/>
  <c r="AP326"/>
  <c r="V326" s="1"/>
  <c r="AP325"/>
  <c r="V325" s="1"/>
  <c r="AP324"/>
  <c r="V324" s="1"/>
  <c r="AP323"/>
  <c r="V323" s="1"/>
  <c r="AP322"/>
  <c r="V322" s="1"/>
  <c r="AP321"/>
  <c r="V321" s="1"/>
  <c r="AP320"/>
  <c r="V320" s="1"/>
  <c r="AP319"/>
  <c r="V319" s="1"/>
  <c r="AP318"/>
  <c r="V318" s="1"/>
  <c r="AP317"/>
  <c r="V317" s="1"/>
  <c r="AP316"/>
  <c r="V316" s="1"/>
  <c r="AP315"/>
  <c r="V315" s="1"/>
  <c r="AP314"/>
  <c r="V314" s="1"/>
  <c r="AP313"/>
  <c r="V313" s="1"/>
  <c r="AP311"/>
  <c r="V311" s="1"/>
  <c r="AP310"/>
  <c r="V310" s="1"/>
  <c r="J144" i="36" s="1"/>
  <c r="AP300" i="9"/>
  <c r="V300" s="1"/>
  <c r="AP299"/>
  <c r="V299" s="1"/>
  <c r="J33" i="36" s="1"/>
  <c r="AP292" i="9"/>
  <c r="V292" s="1"/>
  <c r="AP291"/>
  <c r="V291" s="1"/>
  <c r="AP290"/>
  <c r="V290" s="1"/>
  <c r="AP289"/>
  <c r="V289" s="1"/>
  <c r="AP274"/>
  <c r="V274" s="1"/>
  <c r="AP273"/>
  <c r="V273" s="1"/>
  <c r="AP272"/>
  <c r="V272" s="1"/>
  <c r="AP271"/>
  <c r="V271" s="1"/>
  <c r="AP270"/>
  <c r="V270" s="1"/>
  <c r="AP267"/>
  <c r="V267" s="1"/>
  <c r="AP244"/>
  <c r="V244" s="1"/>
  <c r="AP241"/>
  <c r="V241" s="1"/>
  <c r="AP240"/>
  <c r="V240" s="1"/>
  <c r="AP239"/>
  <c r="V239" s="1"/>
  <c r="AP191"/>
  <c r="V191" s="1"/>
  <c r="AP190"/>
  <c r="V190" s="1"/>
  <c r="AP91"/>
  <c r="V91" s="1"/>
  <c r="AP90"/>
  <c r="V90" s="1"/>
  <c r="AP89"/>
  <c r="V89" s="1"/>
  <c r="AP88"/>
  <c r="V88" s="1"/>
  <c r="AP87"/>
  <c r="V87" s="1"/>
  <c r="AP86"/>
  <c r="V86" s="1"/>
  <c r="AP85"/>
  <c r="V85" s="1"/>
  <c r="AP84"/>
  <c r="V84" s="1"/>
  <c r="AP83"/>
  <c r="V83" s="1"/>
  <c r="AP81"/>
  <c r="V81" s="1"/>
  <c r="AP80"/>
  <c r="V80" s="1"/>
  <c r="AP73"/>
  <c r="V73" s="1"/>
  <c r="AP68"/>
  <c r="V68" s="1"/>
  <c r="AJ770"/>
  <c r="BC770" s="1"/>
  <c r="R16" i="33"/>
  <c r="B183" i="12" s="1"/>
  <c r="AP558" i="9"/>
  <c r="V558" s="1"/>
  <c r="AP395"/>
  <c r="V395" s="1"/>
  <c r="AK905"/>
  <c r="AP905" s="1"/>
  <c r="V905" s="1"/>
  <c r="AK875"/>
  <c r="AP875" s="1"/>
  <c r="V875" s="1"/>
  <c r="AK829"/>
  <c r="AP829" s="1"/>
  <c r="V829" s="1"/>
  <c r="AK809"/>
  <c r="AP809" s="1"/>
  <c r="V809" s="1"/>
  <c r="AK546"/>
  <c r="AK544"/>
  <c r="AP544" s="1"/>
  <c r="V544" s="1"/>
  <c r="AK542"/>
  <c r="AP542" s="1"/>
  <c r="V542" s="1"/>
  <c r="AK540"/>
  <c r="AP540" s="1"/>
  <c r="V540" s="1"/>
  <c r="AK538"/>
  <c r="AP538" s="1"/>
  <c r="V538" s="1"/>
  <c r="AK531"/>
  <c r="AP531" s="1"/>
  <c r="V531" s="1"/>
  <c r="AK530"/>
  <c r="AP530" s="1"/>
  <c r="V530" s="1"/>
  <c r="AK528"/>
  <c r="AP528" s="1"/>
  <c r="V528" s="1"/>
  <c r="AK526"/>
  <c r="AP526" s="1"/>
  <c r="V526" s="1"/>
  <c r="AK524"/>
  <c r="AP524" s="1"/>
  <c r="V524" s="1"/>
  <c r="AK522"/>
  <c r="AP522" s="1"/>
  <c r="V522" s="1"/>
  <c r="AK459"/>
  <c r="AP459" s="1"/>
  <c r="AK452"/>
  <c r="AP452" s="1"/>
  <c r="V452" s="1"/>
  <c r="AK398"/>
  <c r="AP398" s="1"/>
  <c r="AK396"/>
  <c r="AP396" s="1"/>
  <c r="AK389"/>
  <c r="AP389" s="1"/>
  <c r="V389" s="1"/>
  <c r="AK380"/>
  <c r="AP380" s="1"/>
  <c r="V380" s="1"/>
  <c r="AK379"/>
  <c r="AP379" s="1"/>
  <c r="AK373"/>
  <c r="AK308"/>
  <c r="AP308" s="1"/>
  <c r="AK306"/>
  <c r="AP306" s="1"/>
  <c r="AK305"/>
  <c r="AP305" s="1"/>
  <c r="AK304"/>
  <c r="AP304" s="1"/>
  <c r="AK288"/>
  <c r="AP288" s="1"/>
  <c r="V288" s="1"/>
  <c r="AP266"/>
  <c r="V266" s="1"/>
  <c r="AC266" s="1"/>
  <c r="AK243"/>
  <c r="AP243" s="1"/>
  <c r="V243" s="1"/>
  <c r="AK242"/>
  <c r="AP242" s="1"/>
  <c r="V242" s="1"/>
  <c r="AK237"/>
  <c r="AP237" s="1"/>
  <c r="V237" s="1"/>
  <c r="AK196"/>
  <c r="AP196" s="1"/>
  <c r="V196" s="1"/>
  <c r="U304"/>
  <c r="AV304" s="1"/>
  <c r="U306"/>
  <c r="AV306" s="1"/>
  <c r="U308"/>
  <c r="AV308" s="1"/>
  <c r="AB445"/>
  <c r="J52" i="29"/>
  <c r="E395" i="9"/>
  <c r="AV395" s="1"/>
  <c r="AP7"/>
  <c r="V7" s="1"/>
  <c r="AP451"/>
  <c r="V451" s="1"/>
  <c r="U156"/>
  <c r="AV156" s="1"/>
  <c r="U154"/>
  <c r="U152"/>
  <c r="AV554"/>
  <c r="AV784"/>
  <c r="H30" i="36" s="1"/>
  <c r="U153" i="9"/>
  <c r="AP821"/>
  <c r="V821" s="1"/>
  <c r="AP817"/>
  <c r="V817" s="1"/>
  <c r="AP578"/>
  <c r="V578" s="1"/>
  <c r="AP574"/>
  <c r="V574" s="1"/>
  <c r="AP572"/>
  <c r="V572" s="1"/>
  <c r="AP550"/>
  <c r="V550" s="1"/>
  <c r="AP548"/>
  <c r="V548" s="1"/>
  <c r="AP373"/>
  <c r="AP307"/>
  <c r="AP303"/>
  <c r="AP301"/>
  <c r="V301" s="1"/>
  <c r="AK277"/>
  <c r="AP277" s="1"/>
  <c r="V277" s="1"/>
  <c r="AK276"/>
  <c r="AP276" s="1"/>
  <c r="V276" s="1"/>
  <c r="AK275"/>
  <c r="AP275" s="1"/>
  <c r="V275" s="1"/>
  <c r="AP238"/>
  <c r="V238" s="1"/>
  <c r="AV217"/>
  <c r="U399"/>
  <c r="AV399" s="1"/>
  <c r="U400"/>
  <c r="AV400" s="1"/>
  <c r="U401"/>
  <c r="AV401" s="1"/>
  <c r="U459"/>
  <c r="AV459" s="1"/>
  <c r="AG886"/>
  <c r="BF886" s="1"/>
  <c r="BE886" s="1"/>
  <c r="BB886" s="1"/>
  <c r="AG857"/>
  <c r="BF857" s="1"/>
  <c r="BE857" s="1"/>
  <c r="BB857" s="1"/>
  <c r="B227"/>
  <c r="AF226" s="1"/>
  <c r="U155"/>
  <c r="AG897"/>
  <c r="BF897" s="1"/>
  <c r="BE897" s="1"/>
  <c r="BB897" s="1"/>
  <c r="J133" i="36"/>
  <c r="P163"/>
  <c r="AS388" i="9"/>
  <c r="AS390"/>
  <c r="AS229"/>
  <c r="H185" i="12"/>
  <c r="K186"/>
  <c r="L192"/>
  <c r="AK597" i="9"/>
  <c r="AP597" s="1"/>
  <c r="V597" s="1"/>
  <c r="M189" i="12"/>
  <c r="L135" i="36"/>
  <c r="L130"/>
  <c r="L129"/>
  <c r="J125"/>
  <c r="W158"/>
  <c r="L131"/>
  <c r="L127"/>
  <c r="W159"/>
  <c r="J120"/>
  <c r="P165"/>
  <c r="J131"/>
  <c r="L134"/>
  <c r="Y117"/>
  <c r="AR215"/>
  <c r="AR213"/>
  <c r="L188"/>
  <c r="AZ195"/>
  <c r="AT180"/>
  <c r="BC180"/>
  <c r="R185"/>
  <c r="AV213"/>
  <c r="AT213"/>
  <c r="AX194"/>
  <c r="AV179"/>
  <c r="AT179"/>
  <c r="N203"/>
  <c r="W203"/>
  <c r="P188"/>
  <c r="N188"/>
  <c r="AT188"/>
  <c r="AV185"/>
  <c r="R179"/>
  <c r="P202"/>
  <c r="R251" i="25"/>
  <c r="O33" i="6" s="1"/>
  <c r="S2" i="36" s="1"/>
  <c r="C200" i="25"/>
  <c r="B201" s="1"/>
  <c r="P176"/>
  <c r="Q176" s="1"/>
  <c r="Q177" s="1"/>
  <c r="AC3" i="17"/>
  <c r="S3" i="36"/>
  <c r="O24" i="25"/>
  <c r="N25" s="1"/>
  <c r="S250"/>
  <c r="Y3" i="32"/>
  <c r="E28" i="8"/>
  <c r="F28" s="1"/>
  <c r="G28"/>
  <c r="H28" s="1"/>
  <c r="I28" s="1"/>
  <c r="J28" s="1"/>
  <c r="K28" s="1"/>
  <c r="L28" s="1"/>
  <c r="X46"/>
  <c r="BN10"/>
  <c r="BN9"/>
  <c r="AC16" i="17"/>
  <c r="AC17"/>
  <c r="AC15"/>
  <c r="H319" i="36"/>
  <c r="A319"/>
  <c r="K319"/>
  <c r="H318"/>
  <c r="K318"/>
  <c r="A318"/>
  <c r="K317"/>
  <c r="H317"/>
  <c r="A317"/>
  <c r="H305"/>
  <c r="A305"/>
  <c r="H304"/>
  <c r="A304"/>
  <c r="K304"/>
  <c r="AC4" i="17"/>
  <c r="AA37"/>
  <c r="K305" i="36" s="1"/>
  <c r="AC2" i="17"/>
  <c r="U17" i="29"/>
  <c r="U24"/>
  <c r="F26"/>
  <c r="F27"/>
  <c r="F28"/>
  <c r="F41"/>
  <c r="U53"/>
  <c r="U56"/>
  <c r="U58"/>
  <c r="E236" i="36"/>
  <c r="F40" i="29"/>
  <c r="U51"/>
  <c r="U54"/>
  <c r="U57"/>
  <c r="U59"/>
  <c r="K295" i="36"/>
  <c r="AD521"/>
  <c r="Q47"/>
  <c r="H293"/>
  <c r="AQ519" i="12"/>
  <c r="AQ515"/>
  <c r="AQ511"/>
  <c r="AQ507"/>
  <c r="AQ503"/>
  <c r="AQ499"/>
  <c r="AQ516"/>
  <c r="AQ500"/>
  <c r="AQ493"/>
  <c r="AQ489"/>
  <c r="AQ485"/>
  <c r="AQ481"/>
  <c r="AQ477"/>
  <c r="AQ473"/>
  <c r="AQ469"/>
  <c r="AQ465"/>
  <c r="AQ506"/>
  <c r="AQ492"/>
  <c r="AQ476"/>
  <c r="AQ463"/>
  <c r="AQ459"/>
  <c r="AQ455"/>
  <c r="AQ451"/>
  <c r="AQ447"/>
  <c r="AQ443"/>
  <c r="AQ439"/>
  <c r="AQ435"/>
  <c r="AQ431"/>
  <c r="AQ427"/>
  <c r="AQ423"/>
  <c r="AQ498"/>
  <c r="AQ486"/>
  <c r="AQ470"/>
  <c r="AQ510"/>
  <c r="AQ474"/>
  <c r="AQ456"/>
  <c r="AQ446"/>
  <c r="AQ466"/>
  <c r="AQ444"/>
  <c r="AQ432"/>
  <c r="AQ480"/>
  <c r="AQ450"/>
  <c r="AQ436"/>
  <c r="AQ464"/>
  <c r="AQ448"/>
  <c r="AQ430"/>
  <c r="AQ424"/>
  <c r="AQ426"/>
  <c r="AQ462"/>
  <c r="AS514"/>
  <c r="AS506"/>
  <c r="AS498"/>
  <c r="AS510"/>
  <c r="AS497"/>
  <c r="AS495"/>
  <c r="AS487"/>
  <c r="AS479"/>
  <c r="AS471"/>
  <c r="AS521"/>
  <c r="AS516"/>
  <c r="AS502"/>
  <c r="AS489"/>
  <c r="AS481"/>
  <c r="AS473"/>
  <c r="AS465"/>
  <c r="AS461"/>
  <c r="AS457"/>
  <c r="AS453"/>
  <c r="AS505"/>
  <c r="AS518"/>
  <c r="AS500"/>
  <c r="AS480"/>
  <c r="AS464"/>
  <c r="AS444"/>
  <c r="AS513"/>
  <c r="AS494"/>
  <c r="AS475"/>
  <c r="AS454"/>
  <c r="AS438"/>
  <c r="AS430"/>
  <c r="AS470"/>
  <c r="AS456"/>
  <c r="AS439"/>
  <c r="AS431"/>
  <c r="AS499"/>
  <c r="AS483"/>
  <c r="AS460"/>
  <c r="AS447"/>
  <c r="AS442"/>
  <c r="AS433"/>
  <c r="AS478"/>
  <c r="AS426"/>
  <c r="AS477"/>
  <c r="AS440"/>
  <c r="AS432"/>
  <c r="AS445"/>
  <c r="AS425"/>
  <c r="AS452"/>
  <c r="AU515"/>
  <c r="AU507"/>
  <c r="AU499"/>
  <c r="AU518"/>
  <c r="AU513"/>
  <c r="AU500"/>
  <c r="AU488"/>
  <c r="AU480"/>
  <c r="AU472"/>
  <c r="AU464"/>
  <c r="AU510"/>
  <c r="AU505"/>
  <c r="AU493"/>
  <c r="AU485"/>
  <c r="AU477"/>
  <c r="AU469"/>
  <c r="AU462"/>
  <c r="AU458"/>
  <c r="AU454"/>
  <c r="AU450"/>
  <c r="AU503"/>
  <c r="AU508"/>
  <c r="AU481"/>
  <c r="AU465"/>
  <c r="AU442"/>
  <c r="AU492"/>
  <c r="AU473"/>
  <c r="AU447"/>
  <c r="AU436"/>
  <c r="AU428"/>
  <c r="AU487"/>
  <c r="AU478"/>
  <c r="AU457"/>
  <c r="AU440"/>
  <c r="AU432"/>
  <c r="AU489"/>
  <c r="AU461"/>
  <c r="AU446"/>
  <c r="AU437"/>
  <c r="AU429"/>
  <c r="AU495"/>
  <c r="AU453"/>
  <c r="AU438"/>
  <c r="AU423"/>
  <c r="AU427"/>
  <c r="AU468"/>
  <c r="AU443"/>
  <c r="AU498"/>
  <c r="AU459"/>
  <c r="BD515"/>
  <c r="BD507"/>
  <c r="BD518"/>
  <c r="BD509"/>
  <c r="BD499"/>
  <c r="BD491"/>
  <c r="BD483"/>
  <c r="BD475"/>
  <c r="BD467"/>
  <c r="BD459"/>
  <c r="BD451"/>
  <c r="BD443"/>
  <c r="BD435"/>
  <c r="BD427"/>
  <c r="BD521"/>
  <c r="BD501"/>
  <c r="BD492"/>
  <c r="BD478"/>
  <c r="BD469"/>
  <c r="BD513"/>
  <c r="BD504"/>
  <c r="BD493"/>
  <c r="BD484"/>
  <c r="BD470"/>
  <c r="BD520"/>
  <c r="BD514"/>
  <c r="BD505"/>
  <c r="BD496"/>
  <c r="BD482"/>
  <c r="BD490"/>
  <c r="BD473"/>
  <c r="BD453"/>
  <c r="BD444"/>
  <c r="BD430"/>
  <c r="BD474"/>
  <c r="BD449"/>
  <c r="BD440"/>
  <c r="BD426"/>
  <c r="BD506"/>
  <c r="BD461"/>
  <c r="BD452"/>
  <c r="BD438"/>
  <c r="BD429"/>
  <c r="BD456"/>
  <c r="BD488"/>
  <c r="BD465"/>
  <c r="BD450"/>
  <c r="BD441"/>
  <c r="BD432"/>
  <c r="BF419"/>
  <c r="BF517"/>
  <c r="BF509"/>
  <c r="BF515"/>
  <c r="BF506"/>
  <c r="BF497"/>
  <c r="BF489"/>
  <c r="BF481"/>
  <c r="BF473"/>
  <c r="BF465"/>
  <c r="BF457"/>
  <c r="BF449"/>
  <c r="BF441"/>
  <c r="BF433"/>
  <c r="BF425"/>
  <c r="BF514"/>
  <c r="BF502"/>
  <c r="BF498"/>
  <c r="BF484"/>
  <c r="BF475"/>
  <c r="BV521"/>
  <c r="BV513"/>
  <c r="BV505"/>
  <c r="BV508"/>
  <c r="BV501"/>
  <c r="BV493"/>
  <c r="BV485"/>
  <c r="BV477"/>
  <c r="BV469"/>
  <c r="BV461"/>
  <c r="BV453"/>
  <c r="BV445"/>
  <c r="BV437"/>
  <c r="BV429"/>
  <c r="BV519"/>
  <c r="BV510"/>
  <c r="BV504"/>
  <c r="BV498"/>
  <c r="BV484"/>
  <c r="BV475"/>
  <c r="BV466"/>
  <c r="BV499"/>
  <c r="BV490"/>
  <c r="BV476"/>
  <c r="BV467"/>
  <c r="BV503"/>
  <c r="BV488"/>
  <c r="BV479"/>
  <c r="BV470"/>
  <c r="BV459"/>
  <c r="BV450"/>
  <c r="BV436"/>
  <c r="BV427"/>
  <c r="BV455"/>
  <c r="BV432"/>
  <c r="BV496"/>
  <c r="BV478"/>
  <c r="BV458"/>
  <c r="BV444"/>
  <c r="BV435"/>
  <c r="BV426"/>
  <c r="BV494"/>
  <c r="BV446"/>
  <c r="BV430"/>
  <c r="BV502"/>
  <c r="BV463"/>
  <c r="BV456"/>
  <c r="BV447"/>
  <c r="BV438"/>
  <c r="BV424"/>
  <c r="CD521"/>
  <c r="CD513"/>
  <c r="CD505"/>
  <c r="CD514"/>
  <c r="CD501"/>
  <c r="CD493"/>
  <c r="CD485"/>
  <c r="CD477"/>
  <c r="CD469"/>
  <c r="CD461"/>
  <c r="CD453"/>
  <c r="CD445"/>
  <c r="CD437"/>
  <c r="CD429"/>
  <c r="CD519"/>
  <c r="CD499"/>
  <c r="CD490"/>
  <c r="CD476"/>
  <c r="CD467"/>
  <c r="CD520"/>
  <c r="CD508"/>
  <c r="CD500"/>
  <c r="CD491"/>
  <c r="CD482"/>
  <c r="CD468"/>
  <c r="CD515"/>
  <c r="CD506"/>
  <c r="CD496"/>
  <c r="CD487"/>
  <c r="CD478"/>
  <c r="CD479"/>
  <c r="CD458"/>
  <c r="CD444"/>
  <c r="CD435"/>
  <c r="CD426"/>
  <c r="CD472"/>
  <c r="CD456"/>
  <c r="CD438"/>
  <c r="CD462"/>
  <c r="CD452"/>
  <c r="CD443"/>
  <c r="CD434"/>
  <c r="CD454"/>
  <c r="CD431"/>
  <c r="CD486"/>
  <c r="CD466"/>
  <c r="CD455"/>
  <c r="CD446"/>
  <c r="CD432"/>
  <c r="CD423"/>
  <c r="CJ520"/>
  <c r="CJ512"/>
  <c r="CJ504"/>
  <c r="CJ514"/>
  <c r="CJ505"/>
  <c r="CJ496"/>
  <c r="CJ488"/>
  <c r="CJ480"/>
  <c r="CJ472"/>
  <c r="CJ464"/>
  <c r="CJ456"/>
  <c r="CJ448"/>
  <c r="CJ440"/>
  <c r="CJ432"/>
  <c r="CJ424"/>
  <c r="CJ499"/>
  <c r="CJ490"/>
  <c r="CJ481"/>
  <c r="CJ467"/>
  <c r="CJ518"/>
  <c r="CJ509"/>
  <c r="CJ503"/>
  <c r="CJ491"/>
  <c r="CJ482"/>
  <c r="CJ473"/>
  <c r="CJ513"/>
  <c r="CJ501"/>
  <c r="CJ487"/>
  <c r="CJ478"/>
  <c r="CJ486"/>
  <c r="CJ469"/>
  <c r="CJ451"/>
  <c r="CJ442"/>
  <c r="CJ433"/>
  <c r="CJ470"/>
  <c r="CJ454"/>
  <c r="CJ431"/>
  <c r="CJ511"/>
  <c r="CJ466"/>
  <c r="CJ459"/>
  <c r="CJ450"/>
  <c r="CJ441"/>
  <c r="CJ427"/>
  <c r="CJ502"/>
  <c r="CJ445"/>
  <c r="CJ493"/>
  <c r="CJ455"/>
  <c r="CJ446"/>
  <c r="CJ437"/>
  <c r="CJ423"/>
  <c r="CL514"/>
  <c r="CL506"/>
  <c r="CL520"/>
  <c r="CL511"/>
  <c r="CL498"/>
  <c r="CL490"/>
  <c r="CL482"/>
  <c r="CL474"/>
  <c r="CL466"/>
  <c r="CL458"/>
  <c r="CL450"/>
  <c r="CL442"/>
  <c r="CL434"/>
  <c r="CL426"/>
  <c r="CL516"/>
  <c r="CL496"/>
  <c r="CL487"/>
  <c r="CL473"/>
  <c r="CL464"/>
  <c r="CL508"/>
  <c r="CL497"/>
  <c r="CL488"/>
  <c r="CL479"/>
  <c r="CL521"/>
  <c r="CL512"/>
  <c r="CL503"/>
  <c r="CL493"/>
  <c r="CL484"/>
  <c r="CL475"/>
  <c r="CL476"/>
  <c r="CL457"/>
  <c r="CL448"/>
  <c r="CL439"/>
  <c r="CL425"/>
  <c r="CL469"/>
  <c r="CL451"/>
  <c r="CL428"/>
  <c r="CL465"/>
  <c r="CL449"/>
  <c r="CL440"/>
  <c r="CL431"/>
  <c r="CL453"/>
  <c r="CL435"/>
  <c r="CL492"/>
  <c r="CL467"/>
  <c r="CL460"/>
  <c r="CL452"/>
  <c r="CL443"/>
  <c r="CL429"/>
  <c r="CN516"/>
  <c r="CN508"/>
  <c r="CN519"/>
  <c r="CN510"/>
  <c r="CN501"/>
  <c r="CN496"/>
  <c r="CN488"/>
  <c r="CN480"/>
  <c r="CN472"/>
  <c r="CN464"/>
  <c r="CN456"/>
  <c r="CN448"/>
  <c r="CN440"/>
  <c r="CN432"/>
  <c r="CN424"/>
  <c r="CN518"/>
  <c r="CN509"/>
  <c r="CN495"/>
  <c r="CN486"/>
  <c r="CN477"/>
  <c r="CN463"/>
  <c r="CN507"/>
  <c r="CN487"/>
  <c r="CN478"/>
  <c r="CN469"/>
  <c r="CN511"/>
  <c r="CN502"/>
  <c r="CN497"/>
  <c r="CN483"/>
  <c r="CN475"/>
  <c r="CN466"/>
  <c r="CN447"/>
  <c r="CN438"/>
  <c r="CN429"/>
  <c r="CN450"/>
  <c r="CN441"/>
  <c r="CN425"/>
  <c r="CN489"/>
  <c r="CN455"/>
  <c r="CN446"/>
  <c r="CN437"/>
  <c r="CN423"/>
  <c r="CN459"/>
  <c r="CN513"/>
  <c r="CN482"/>
  <c r="CN462"/>
  <c r="CN451"/>
  <c r="CN442"/>
  <c r="CN433"/>
  <c r="CP514"/>
  <c r="CP506"/>
  <c r="CP516"/>
  <c r="CP507"/>
  <c r="CP494"/>
  <c r="CP486"/>
  <c r="CP478"/>
  <c r="CP470"/>
  <c r="CP510"/>
  <c r="CP509"/>
  <c r="CP490"/>
  <c r="CP474"/>
  <c r="CP462"/>
  <c r="CP454"/>
  <c r="CP446"/>
  <c r="CP438"/>
  <c r="CP430"/>
  <c r="CP520"/>
  <c r="CP511"/>
  <c r="CP505"/>
  <c r="CP492"/>
  <c r="CP483"/>
  <c r="CP469"/>
  <c r="CP460"/>
  <c r="CP500"/>
  <c r="CP491"/>
  <c r="CP477"/>
  <c r="CP468"/>
  <c r="CP504"/>
  <c r="CP496"/>
  <c r="CP487"/>
  <c r="CP515"/>
  <c r="CP471"/>
  <c r="CP453"/>
  <c r="CP444"/>
  <c r="CP435"/>
  <c r="CP512"/>
  <c r="CP456"/>
  <c r="CP424"/>
  <c r="CP497"/>
  <c r="CP479"/>
  <c r="CP459"/>
  <c r="CP445"/>
  <c r="CP436"/>
  <c r="CP427"/>
  <c r="CP463"/>
  <c r="CP447"/>
  <c r="CP431"/>
  <c r="CP464"/>
  <c r="CP457"/>
  <c r="CP448"/>
  <c r="CP439"/>
  <c r="CP425"/>
  <c r="BJ66" i="36"/>
  <c r="BG66"/>
  <c r="AW66"/>
  <c r="BJ67"/>
  <c r="BE67"/>
  <c r="AZ67"/>
  <c r="AU67"/>
  <c r="BJ68"/>
  <c r="BB68"/>
  <c r="AS68"/>
  <c r="M69"/>
  <c r="AA69"/>
  <c r="Q69"/>
  <c r="AD69" i="12"/>
  <c r="BJ69" i="36"/>
  <c r="BE69"/>
  <c r="AZ69"/>
  <c r="AU69"/>
  <c r="AH69" i="12"/>
  <c r="AD70" i="36"/>
  <c r="T70"/>
  <c r="BG70"/>
  <c r="AW70"/>
  <c r="M71"/>
  <c r="V71"/>
  <c r="AD71" i="12"/>
  <c r="BG71" i="36"/>
  <c r="BB71"/>
  <c r="AW71"/>
  <c r="AS71"/>
  <c r="AH71" i="12"/>
  <c r="Y72" i="36"/>
  <c r="O72"/>
  <c r="BJ72"/>
  <c r="BB72"/>
  <c r="AS72"/>
  <c r="M73"/>
  <c r="AA73"/>
  <c r="Q73"/>
  <c r="AD73" i="12"/>
  <c r="BJ73" i="36"/>
  <c r="BE73"/>
  <c r="AZ73"/>
  <c r="AU73"/>
  <c r="AH73" i="12"/>
  <c r="AD74" i="36"/>
  <c r="T74"/>
  <c r="BG74"/>
  <c r="AW74"/>
  <c r="M75"/>
  <c r="V75"/>
  <c r="AD75" i="12"/>
  <c r="BG75" i="36"/>
  <c r="BB75"/>
  <c r="AW75"/>
  <c r="AS75"/>
  <c r="AH75" i="12"/>
  <c r="Y76" i="36"/>
  <c r="O76"/>
  <c r="BJ76"/>
  <c r="BB76"/>
  <c r="AS76"/>
  <c r="M77"/>
  <c r="V77"/>
  <c r="BJ77"/>
  <c r="BE77"/>
  <c r="AZ77"/>
  <c r="AU77"/>
  <c r="AH77" i="12"/>
  <c r="Y78" i="36"/>
  <c r="O78"/>
  <c r="BG78"/>
  <c r="AW78"/>
  <c r="M79"/>
  <c r="AA79"/>
  <c r="Q79"/>
  <c r="AD79" i="12"/>
  <c r="BG79" i="36"/>
  <c r="BB79"/>
  <c r="AW79"/>
  <c r="AS79"/>
  <c r="AH79" i="12"/>
  <c r="AD80" i="36"/>
  <c r="T80"/>
  <c r="BJ80"/>
  <c r="BB80"/>
  <c r="AS80"/>
  <c r="M81"/>
  <c r="V81"/>
  <c r="AD81" i="12"/>
  <c r="BJ81" i="36"/>
  <c r="BE81"/>
  <c r="AZ81"/>
  <c r="AU81"/>
  <c r="AH81" i="12"/>
  <c r="Y82" i="36"/>
  <c r="O82"/>
  <c r="BG82"/>
  <c r="AW82"/>
  <c r="M83"/>
  <c r="AA83"/>
  <c r="Q83"/>
  <c r="AD83" i="12"/>
  <c r="BG83" i="36"/>
  <c r="BB83"/>
  <c r="AW83"/>
  <c r="AS83"/>
  <c r="AH83" i="12"/>
  <c r="AD84" i="36"/>
  <c r="T84"/>
  <c r="BJ84"/>
  <c r="BB84"/>
  <c r="AS84"/>
  <c r="M85"/>
  <c r="V85"/>
  <c r="AD85" i="12"/>
  <c r="BJ85" i="36"/>
  <c r="BE85"/>
  <c r="AZ85"/>
  <c r="AU85"/>
  <c r="AH85" i="12"/>
  <c r="Y86" i="36"/>
  <c r="O86"/>
  <c r="BG86"/>
  <c r="AW86"/>
  <c r="M87"/>
  <c r="AA87"/>
  <c r="Q87"/>
  <c r="AD87" i="12"/>
  <c r="BG87" i="36"/>
  <c r="BB87"/>
  <c r="AW87"/>
  <c r="AS87"/>
  <c r="AH87" i="12"/>
  <c r="AD88" i="36"/>
  <c r="T88"/>
  <c r="BJ88"/>
  <c r="BB88"/>
  <c r="AS88"/>
  <c r="M89"/>
  <c r="V89"/>
  <c r="AD89" i="12"/>
  <c r="BJ89" i="36"/>
  <c r="BE89"/>
  <c r="AZ89"/>
  <c r="AU89"/>
  <c r="AH89" i="12"/>
  <c r="Y90" i="36"/>
  <c r="O90"/>
  <c r="BG90"/>
  <c r="AW90"/>
  <c r="M91"/>
  <c r="AA91"/>
  <c r="Q91"/>
  <c r="AD91" i="12"/>
  <c r="BG91" i="36"/>
  <c r="BB91"/>
  <c r="AW91"/>
  <c r="AS91"/>
  <c r="AH91" i="12"/>
  <c r="BJ92" i="36"/>
  <c r="BB92"/>
  <c r="AS92"/>
  <c r="BJ93"/>
  <c r="BE93"/>
  <c r="AZ93"/>
  <c r="AU93"/>
  <c r="AH93" i="12"/>
  <c r="BG94" i="36"/>
  <c r="AW94"/>
  <c r="M95"/>
  <c r="Y95"/>
  <c r="O95"/>
  <c r="AD95" i="12"/>
  <c r="BG95" i="36"/>
  <c r="BB95"/>
  <c r="AW95"/>
  <c r="AS95"/>
  <c r="AH95" i="12"/>
  <c r="AA96" i="36"/>
  <c r="Q96"/>
  <c r="BJ96"/>
  <c r="BB96"/>
  <c r="AS96"/>
  <c r="M97"/>
  <c r="AD97"/>
  <c r="T97"/>
  <c r="AD97" i="12"/>
  <c r="BJ97" i="36"/>
  <c r="BE97"/>
  <c r="AZ97"/>
  <c r="AU97"/>
  <c r="AH97" i="12"/>
  <c r="BG98" i="36"/>
  <c r="AW98"/>
  <c r="M99"/>
  <c r="Y99"/>
  <c r="O99"/>
  <c r="AD99" i="12"/>
  <c r="BG99" i="36"/>
  <c r="BB99"/>
  <c r="AW99"/>
  <c r="AS99"/>
  <c r="AH99" i="12"/>
  <c r="AA100" i="36"/>
  <c r="Q100"/>
  <c r="BJ100"/>
  <c r="BB100"/>
  <c r="AS100"/>
  <c r="M101"/>
  <c r="AD101"/>
  <c r="T101"/>
  <c r="AD101" i="12"/>
  <c r="BJ101" i="36"/>
  <c r="BE101"/>
  <c r="AZ101"/>
  <c r="AU101"/>
  <c r="AH101" i="12"/>
  <c r="BG102" i="36"/>
  <c r="AW102"/>
  <c r="M103"/>
  <c r="Y103"/>
  <c r="O103"/>
  <c r="AD103" i="12"/>
  <c r="BG103" i="36"/>
  <c r="BB103"/>
  <c r="AW103"/>
  <c r="AS103"/>
  <c r="AH103" i="12"/>
  <c r="AA104" i="36"/>
  <c r="Q104"/>
  <c r="BJ104"/>
  <c r="BB104"/>
  <c r="AS104"/>
  <c r="AP614" i="9"/>
  <c r="V614" s="1"/>
  <c r="AP616"/>
  <c r="V616" s="1"/>
  <c r="AP612"/>
  <c r="V612" s="1"/>
  <c r="AP776"/>
  <c r="V776" s="1"/>
  <c r="AP774"/>
  <c r="V774" s="1"/>
  <c r="AP770"/>
  <c r="V770" s="1"/>
  <c r="G31" i="33"/>
  <c r="G33" s="1"/>
  <c r="V436" i="36"/>
  <c r="BB436"/>
  <c r="CH436"/>
  <c r="BB437"/>
  <c r="CH437"/>
  <c r="A447"/>
  <c r="AL447"/>
  <c r="BM447"/>
  <c r="BR448"/>
  <c r="BH431"/>
  <c r="BH428"/>
  <c r="CN432"/>
  <c r="BH430"/>
  <c r="AS405"/>
  <c r="AI436"/>
  <c r="U501"/>
  <c r="C501"/>
  <c r="U499"/>
  <c r="BH429"/>
  <c r="T436"/>
  <c r="X436"/>
  <c r="AZ436"/>
  <c r="BD436"/>
  <c r="CJ436"/>
  <c r="V437"/>
  <c r="AZ437"/>
  <c r="BD437"/>
  <c r="CJ437"/>
  <c r="F447"/>
  <c r="A448"/>
  <c r="AL448"/>
  <c r="L123"/>
  <c r="BQ6" i="6"/>
  <c r="P162" i="36"/>
  <c r="L166"/>
  <c r="P158"/>
  <c r="P167"/>
  <c r="L165"/>
  <c r="W167"/>
  <c r="W166"/>
  <c r="BO6" i="6"/>
  <c r="BP6"/>
  <c r="W164" i="36"/>
  <c r="G2"/>
  <c r="E2" i="9" s="1"/>
  <c r="AL408" i="36"/>
  <c r="F408"/>
  <c r="AG106" i="9"/>
  <c r="BF106" s="1"/>
  <c r="B8" i="17"/>
  <c r="I62" i="29"/>
  <c r="I61"/>
  <c r="I58"/>
  <c r="S236" i="36" s="1"/>
  <c r="S54" i="29"/>
  <c r="S65"/>
  <c r="S64"/>
  <c r="S66"/>
  <c r="S56"/>
  <c r="S55"/>
  <c r="S58"/>
  <c r="S57"/>
  <c r="S51"/>
  <c r="S53"/>
  <c r="S60"/>
  <c r="S59"/>
  <c r="S52"/>
  <c r="O14" i="6"/>
  <c r="Z19" i="36" s="1"/>
  <c r="L121"/>
  <c r="L122"/>
  <c r="L126"/>
  <c r="AA7" i="29"/>
  <c r="T232" i="36"/>
  <c r="T165"/>
  <c r="J129"/>
  <c r="R163"/>
  <c r="L158"/>
  <c r="L163"/>
  <c r="J122"/>
  <c r="R162"/>
  <c r="L160"/>
  <c r="T161"/>
  <c r="J126"/>
  <c r="W163"/>
  <c r="T170"/>
  <c r="J121"/>
  <c r="A117"/>
  <c r="W117" s="1"/>
  <c r="P159"/>
  <c r="T167"/>
  <c r="T166"/>
  <c r="J135"/>
  <c r="L128"/>
  <c r="L132"/>
  <c r="J51" i="29"/>
  <c r="V232" i="36" s="1"/>
  <c r="X232" s="1"/>
  <c r="AG743" i="9"/>
  <c r="AG837"/>
  <c r="BF837" s="1"/>
  <c r="AG15"/>
  <c r="BF15" s="1"/>
  <c r="BE15" s="1"/>
  <c r="BB15" s="1"/>
  <c r="AG781"/>
  <c r="BF781" s="1"/>
  <c r="AG297"/>
  <c r="AS300" s="1"/>
  <c r="AG150"/>
  <c r="BF150" s="1"/>
  <c r="AG5"/>
  <c r="BF5" s="1"/>
  <c r="BE5" s="1"/>
  <c r="AG848"/>
  <c r="BF848" s="1"/>
  <c r="AG808"/>
  <c r="BF808" s="1"/>
  <c r="AG790"/>
  <c r="BF790" s="1"/>
  <c r="AG213"/>
  <c r="BF213" s="1"/>
  <c r="AG58"/>
  <c r="AK534"/>
  <c r="AP534" s="1"/>
  <c r="V534" s="1"/>
  <c r="E22" i="6"/>
  <c r="C161" i="12"/>
  <c r="AG235" i="9"/>
  <c r="BF235" s="1"/>
  <c r="D161" i="12"/>
  <c r="B161"/>
  <c r="AK535" i="9"/>
  <c r="AP535" s="1"/>
  <c r="V535" s="1"/>
  <c r="G299" i="36"/>
  <c r="F122" i="19" s="1"/>
  <c r="AK195" i="9"/>
  <c r="AP195" s="1"/>
  <c r="AK142"/>
  <c r="AP142" s="1"/>
  <c r="B174" i="12"/>
  <c r="E26" i="6"/>
  <c r="AG801" i="9"/>
  <c r="BF801" s="1"/>
  <c r="AG587"/>
  <c r="BF587" s="1"/>
  <c r="O162" i="12"/>
  <c r="AP546" i="9"/>
  <c r="V546" s="1"/>
  <c r="AK136"/>
  <c r="AP136" s="1"/>
  <c r="AG472"/>
  <c r="BF472" s="1"/>
  <c r="AG878"/>
  <c r="BF878" s="1"/>
  <c r="AG553"/>
  <c r="BF553" s="1"/>
  <c r="J124" i="36"/>
  <c r="L124"/>
  <c r="L133"/>
  <c r="P160"/>
  <c r="W171"/>
  <c r="L169"/>
  <c r="J132"/>
  <c r="W161"/>
  <c r="T168"/>
  <c r="L162"/>
  <c r="J123"/>
  <c r="J134"/>
  <c r="P168"/>
  <c r="P166"/>
  <c r="J127"/>
  <c r="W160"/>
  <c r="L170"/>
  <c r="L164"/>
  <c r="T114"/>
  <c r="J128"/>
  <c r="L167"/>
  <c r="P170"/>
  <c r="J130"/>
  <c r="R158"/>
  <c r="W165"/>
  <c r="W169"/>
  <c r="L168"/>
  <c r="P161"/>
  <c r="T169"/>
  <c r="W170"/>
  <c r="L159"/>
  <c r="P164"/>
  <c r="W168"/>
  <c r="L161"/>
  <c r="L125"/>
  <c r="L120"/>
  <c r="N37"/>
  <c r="O156" i="12"/>
  <c r="O166"/>
  <c r="O159"/>
  <c r="O155"/>
  <c r="O152"/>
  <c r="AG130" i="9"/>
  <c r="BF130" s="1"/>
  <c r="N35" i="36"/>
  <c r="O160" i="12"/>
  <c r="O163"/>
  <c r="O154"/>
  <c r="O173"/>
  <c r="O161"/>
  <c r="Q36" i="36"/>
  <c r="F232" i="19"/>
  <c r="M6" i="17" s="1"/>
  <c r="O168" i="12"/>
  <c r="O157"/>
  <c r="O170"/>
  <c r="O151"/>
  <c r="O158"/>
  <c r="O169"/>
  <c r="O165"/>
  <c r="O164"/>
  <c r="O174"/>
  <c r="O167"/>
  <c r="O171"/>
  <c r="O153"/>
  <c r="AX185" i="36"/>
  <c r="AZ185"/>
  <c r="AR185"/>
  <c r="AZ192"/>
  <c r="BC192"/>
  <c r="AT192"/>
  <c r="AR192"/>
  <c r="T181"/>
  <c r="W181"/>
  <c r="N181"/>
  <c r="L181"/>
  <c r="AV198"/>
  <c r="AX198"/>
  <c r="AV210"/>
  <c r="AX210"/>
  <c r="AR210"/>
  <c r="P195"/>
  <c r="R195"/>
  <c r="L195"/>
  <c r="W204"/>
  <c r="N204"/>
  <c r="P204"/>
  <c r="AX191"/>
  <c r="AZ191"/>
  <c r="AR191"/>
  <c r="W198"/>
  <c r="N198"/>
  <c r="P198"/>
  <c r="L198"/>
  <c r="AV188"/>
  <c r="AX188"/>
  <c r="AR188"/>
  <c r="AD302"/>
  <c r="AC302"/>
  <c r="AD301"/>
  <c r="AC301"/>
  <c r="AD300"/>
  <c r="AC300"/>
  <c r="AC299"/>
  <c r="AD299"/>
  <c r="AC297"/>
  <c r="AD297"/>
  <c r="AC296"/>
  <c r="AD296"/>
  <c r="AD295"/>
  <c r="AC295"/>
  <c r="AD293"/>
  <c r="AC293"/>
  <c r="G20" i="6"/>
  <c r="K36" i="36" s="1"/>
  <c r="P277"/>
  <c r="A271"/>
  <c r="P270"/>
  <c r="A275"/>
  <c r="H262"/>
  <c r="H270"/>
  <c r="C22" i="29"/>
  <c r="AC228" i="36" s="1"/>
  <c r="M279"/>
  <c r="A265"/>
  <c r="M282"/>
  <c r="H266"/>
  <c r="A299"/>
  <c r="A301"/>
  <c r="A300"/>
  <c r="A302"/>
  <c r="AA287" i="25"/>
  <c r="AB288"/>
  <c r="L182" i="12"/>
  <c r="E23" i="6" s="1"/>
  <c r="N108" i="25"/>
  <c r="O108" s="1"/>
  <c r="N111"/>
  <c r="O111" s="1"/>
  <c r="W190" i="36"/>
  <c r="N190"/>
  <c r="P190"/>
  <c r="L190"/>
  <c r="R202"/>
  <c r="T202"/>
  <c r="L202"/>
  <c r="AZ184"/>
  <c r="BC184"/>
  <c r="AT184"/>
  <c r="AX205"/>
  <c r="AZ205"/>
  <c r="AR205"/>
  <c r="BC215"/>
  <c r="AT215"/>
  <c r="AV215"/>
  <c r="R178"/>
  <c r="T178"/>
  <c r="P199"/>
  <c r="R199"/>
  <c r="AZ176"/>
  <c r="BC176"/>
  <c r="AT176"/>
  <c r="AX183"/>
  <c r="AZ183"/>
  <c r="AR183"/>
  <c r="BC197"/>
  <c r="AT197"/>
  <c r="AV197"/>
  <c r="AR197"/>
  <c r="N180"/>
  <c r="P180"/>
  <c r="L180"/>
  <c r="P189"/>
  <c r="R189"/>
  <c r="BC187"/>
  <c r="AT187"/>
  <c r="AV187"/>
  <c r="AX209"/>
  <c r="AZ209"/>
  <c r="AR209"/>
  <c r="AR208"/>
  <c r="AZ208"/>
  <c r="BC208"/>
  <c r="AT208"/>
  <c r="N22" i="6"/>
  <c r="N33" i="11"/>
  <c r="Y27" i="6" s="1"/>
  <c r="AD292" i="36"/>
  <c r="O46" i="17"/>
  <c r="E175" i="12"/>
  <c r="J186"/>
  <c r="K198"/>
  <c r="K192"/>
  <c r="K194" s="1"/>
  <c r="K195" s="1"/>
  <c r="K196" s="1"/>
  <c r="K191"/>
  <c r="D175"/>
  <c r="K200"/>
  <c r="K199"/>
  <c r="K205"/>
  <c r="K4" i="11"/>
  <c r="U1058" i="32"/>
  <c r="P31" i="33" s="1"/>
  <c r="Z616" i="20"/>
  <c r="AA3" i="32"/>
  <c r="AA4" s="1"/>
  <c r="AA5" s="1"/>
  <c r="AA6" s="1"/>
  <c r="AA7" s="1"/>
  <c r="AA8" s="1"/>
  <c r="AA9" s="1"/>
  <c r="AA10" s="1"/>
  <c r="AA11" s="1"/>
  <c r="AA12" s="1"/>
  <c r="AA13" s="1"/>
  <c r="AA14" s="1"/>
  <c r="AA15" s="1"/>
  <c r="AA16" s="1"/>
  <c r="AA17" s="1"/>
  <c r="AA18" s="1"/>
  <c r="AA19" s="1"/>
  <c r="AA20" s="1"/>
  <c r="AA21" s="1"/>
  <c r="AA22" s="1"/>
  <c r="AA23" s="1"/>
  <c r="G18" i="6"/>
  <c r="AA701" i="32"/>
  <c r="U55" i="29"/>
  <c r="AB286" i="25"/>
  <c r="AA24" i="32"/>
  <c r="AA25" s="1"/>
  <c r="AA26" s="1"/>
  <c r="AA27" s="1"/>
  <c r="AA28" s="1"/>
  <c r="AA29" s="1"/>
  <c r="AA30" s="1"/>
  <c r="AA31" s="1"/>
  <c r="AA32" s="1"/>
  <c r="AA33" s="1"/>
  <c r="AA34" s="1"/>
  <c r="AA35" s="1"/>
  <c r="AA36" s="1"/>
  <c r="AA37" s="1"/>
  <c r="AA38" s="1"/>
  <c r="AA39" s="1"/>
  <c r="AA40" s="1"/>
  <c r="AA41" s="1"/>
  <c r="AA42" s="1"/>
  <c r="AA43" s="1"/>
  <c r="AA44" s="1"/>
  <c r="AA45" s="1"/>
  <c r="AA46" s="1"/>
  <c r="AA47" s="1"/>
  <c r="AA48" s="1"/>
  <c r="AA49" s="1"/>
  <c r="AA50" s="1"/>
  <c r="AA51" s="1"/>
  <c r="AA52" s="1"/>
  <c r="AA53" s="1"/>
  <c r="AA54" s="1"/>
  <c r="AA55" s="1"/>
  <c r="AA56" s="1"/>
  <c r="AA57" s="1"/>
  <c r="AA58" s="1"/>
  <c r="AA59" s="1"/>
  <c r="AA60" s="1"/>
  <c r="AA61" s="1"/>
  <c r="AA62" s="1"/>
  <c r="AA63" s="1"/>
  <c r="AA64" s="1"/>
  <c r="AA65" s="1"/>
  <c r="AA66" s="1"/>
  <c r="AA67" s="1"/>
  <c r="AA68" s="1"/>
  <c r="AA69" s="1"/>
  <c r="AA70" s="1"/>
  <c r="AA71" s="1"/>
  <c r="AA72" s="1"/>
  <c r="AA73" s="1"/>
  <c r="AA74" s="1"/>
  <c r="AA75" s="1"/>
  <c r="AA76" s="1"/>
  <c r="AA77" s="1"/>
  <c r="AA78" s="1"/>
  <c r="AA79" s="1"/>
  <c r="AA80" s="1"/>
  <c r="AA81" s="1"/>
  <c r="AA82" s="1"/>
  <c r="AA83" s="1"/>
  <c r="AA84" s="1"/>
  <c r="AA85" s="1"/>
  <c r="AA86" s="1"/>
  <c r="AA87" s="1"/>
  <c r="AA88" s="1"/>
  <c r="AA89" s="1"/>
  <c r="AA90" s="1"/>
  <c r="AA91" s="1"/>
  <c r="AA92" s="1"/>
  <c r="AA93" s="1"/>
  <c r="AA94" s="1"/>
  <c r="AA95" s="1"/>
  <c r="AA96" s="1"/>
  <c r="AA97" s="1"/>
  <c r="AA98" s="1"/>
  <c r="AA99" s="1"/>
  <c r="AA100" s="1"/>
  <c r="AA101" s="1"/>
  <c r="AA102" s="1"/>
  <c r="AA103" s="1"/>
  <c r="AA104" s="1"/>
  <c r="AA105" s="1"/>
  <c r="AA106" s="1"/>
  <c r="AA107" s="1"/>
  <c r="AA108" s="1"/>
  <c r="AA109" s="1"/>
  <c r="AA110" s="1"/>
  <c r="AA111" s="1"/>
  <c r="AA112" s="1"/>
  <c r="AA113" s="1"/>
  <c r="AA114" s="1"/>
  <c r="AA115" s="1"/>
  <c r="AA116" s="1"/>
  <c r="AA117" s="1"/>
  <c r="AA118" s="1"/>
  <c r="AA119" s="1"/>
  <c r="AA120" s="1"/>
  <c r="AA121" s="1"/>
  <c r="AA122" s="1"/>
  <c r="AA123" s="1"/>
  <c r="AA124" s="1"/>
  <c r="AA125" s="1"/>
  <c r="AA126" s="1"/>
  <c r="AA127" s="1"/>
  <c r="AA128" s="1"/>
  <c r="AA129" s="1"/>
  <c r="AA130" s="1"/>
  <c r="AA131" s="1"/>
  <c r="AA132" s="1"/>
  <c r="AA133" s="1"/>
  <c r="AA134" s="1"/>
  <c r="AA135" s="1"/>
  <c r="AA136" s="1"/>
  <c r="AA137" s="1"/>
  <c r="AA138" s="1"/>
  <c r="AA139" s="1"/>
  <c r="AA140" s="1"/>
  <c r="AA141" s="1"/>
  <c r="AA142" s="1"/>
  <c r="AA143" s="1"/>
  <c r="AA144" s="1"/>
  <c r="AA145" s="1"/>
  <c r="AA146" s="1"/>
  <c r="AA147" s="1"/>
  <c r="AA148" s="1"/>
  <c r="AA149" s="1"/>
  <c r="AA150" s="1"/>
  <c r="AA151" s="1"/>
  <c r="AA152" s="1"/>
  <c r="AA153" s="1"/>
  <c r="AA154" s="1"/>
  <c r="AA155" s="1"/>
  <c r="AA156" s="1"/>
  <c r="AA157" s="1"/>
  <c r="AA158" s="1"/>
  <c r="AA159" s="1"/>
  <c r="AA160" s="1"/>
  <c r="AA161" s="1"/>
  <c r="AA162" s="1"/>
  <c r="AA163" s="1"/>
  <c r="AA164" s="1"/>
  <c r="AA165" s="1"/>
  <c r="AA166" s="1"/>
  <c r="AA167" s="1"/>
  <c r="AA168" s="1"/>
  <c r="AA169" s="1"/>
  <c r="AA170" s="1"/>
  <c r="AA171" s="1"/>
  <c r="AA172" s="1"/>
  <c r="AA173" s="1"/>
  <c r="AA174" s="1"/>
  <c r="AA175" s="1"/>
  <c r="AA176" s="1"/>
  <c r="AA177" s="1"/>
  <c r="AA178" s="1"/>
  <c r="AA179" s="1"/>
  <c r="AA180" s="1"/>
  <c r="AA181" s="1"/>
  <c r="AA182" s="1"/>
  <c r="AA183" s="1"/>
  <c r="AA184" s="1"/>
  <c r="AA185" s="1"/>
  <c r="AA186" s="1"/>
  <c r="AA187" s="1"/>
  <c r="AA188" s="1"/>
  <c r="AA189" s="1"/>
  <c r="AA190" s="1"/>
  <c r="AA191" s="1"/>
  <c r="AA192" s="1"/>
  <c r="AA193" s="1"/>
  <c r="AA194" s="1"/>
  <c r="AA195" s="1"/>
  <c r="AA196" s="1"/>
  <c r="AA197" s="1"/>
  <c r="AA198" s="1"/>
  <c r="AA199" s="1"/>
  <c r="AA200" s="1"/>
  <c r="AA201" s="1"/>
  <c r="AA202" s="1"/>
  <c r="AA203" s="1"/>
  <c r="AA204" s="1"/>
  <c r="AA205" s="1"/>
  <c r="AA206" s="1"/>
  <c r="AA207" s="1"/>
  <c r="AA208" s="1"/>
  <c r="AA209" s="1"/>
  <c r="AA210" s="1"/>
  <c r="AA211" s="1"/>
  <c r="AA212" s="1"/>
  <c r="AA213" s="1"/>
  <c r="AA214" s="1"/>
  <c r="AA215" s="1"/>
  <c r="AA216" s="1"/>
  <c r="AA217" s="1"/>
  <c r="AA218" s="1"/>
  <c r="AA219" s="1"/>
  <c r="AA220" s="1"/>
  <c r="AA221" s="1"/>
  <c r="AA222" s="1"/>
  <c r="AA223" s="1"/>
  <c r="AA224" s="1"/>
  <c r="AA225" s="1"/>
  <c r="AA226" s="1"/>
  <c r="AA227" s="1"/>
  <c r="AA228" s="1"/>
  <c r="AA229" s="1"/>
  <c r="AA230" s="1"/>
  <c r="AA231" s="1"/>
  <c r="AA232" s="1"/>
  <c r="AA233" s="1"/>
  <c r="AA234" s="1"/>
  <c r="AA235" s="1"/>
  <c r="AA236" s="1"/>
  <c r="AA237" s="1"/>
  <c r="AA238" s="1"/>
  <c r="AA239" s="1"/>
  <c r="AA240" s="1"/>
  <c r="AA241" s="1"/>
  <c r="AA242" s="1"/>
  <c r="AA243" s="1"/>
  <c r="AA244" s="1"/>
  <c r="AA245" s="1"/>
  <c r="AA246" s="1"/>
  <c r="AA247" s="1"/>
  <c r="AA248" s="1"/>
  <c r="AA249" s="1"/>
  <c r="AA250" s="1"/>
  <c r="AA251" s="1"/>
  <c r="AA252" s="1"/>
  <c r="AA253" s="1"/>
  <c r="AA254" s="1"/>
  <c r="AA255" s="1"/>
  <c r="AA256" s="1"/>
  <c r="AA257" s="1"/>
  <c r="AA258" s="1"/>
  <c r="AA259" s="1"/>
  <c r="AA260" s="1"/>
  <c r="AA261" s="1"/>
  <c r="AA262" s="1"/>
  <c r="AA263" s="1"/>
  <c r="AA264" s="1"/>
  <c r="AA265" s="1"/>
  <c r="AA266" s="1"/>
  <c r="AA267" s="1"/>
  <c r="AA268" s="1"/>
  <c r="AA269" s="1"/>
  <c r="AA270" s="1"/>
  <c r="AA271" s="1"/>
  <c r="AA272" s="1"/>
  <c r="AA273" s="1"/>
  <c r="AA274" s="1"/>
  <c r="AA275" s="1"/>
  <c r="AA276" s="1"/>
  <c r="AA277" s="1"/>
  <c r="AA278" s="1"/>
  <c r="AA279" s="1"/>
  <c r="AA280" s="1"/>
  <c r="AA281" s="1"/>
  <c r="AA282" s="1"/>
  <c r="AA283" s="1"/>
  <c r="AA284" s="1"/>
  <c r="AA285" s="1"/>
  <c r="AA286" s="1"/>
  <c r="AA287" s="1"/>
  <c r="AA288" s="1"/>
  <c r="AA289" s="1"/>
  <c r="AA290" s="1"/>
  <c r="AA291" s="1"/>
  <c r="AA292" s="1"/>
  <c r="AA293" s="1"/>
  <c r="AA294" s="1"/>
  <c r="AA295" s="1"/>
  <c r="AA296" s="1"/>
  <c r="AA297" s="1"/>
  <c r="AA298" s="1"/>
  <c r="AA299" s="1"/>
  <c r="AA300" s="1"/>
  <c r="AA301" s="1"/>
  <c r="AA302" s="1"/>
  <c r="AA303" s="1"/>
  <c r="AA304" s="1"/>
  <c r="AA305" s="1"/>
  <c r="AA306" s="1"/>
  <c r="AA307" s="1"/>
  <c r="AA308" s="1"/>
  <c r="AA309" s="1"/>
  <c r="AA310" s="1"/>
  <c r="AA311" s="1"/>
  <c r="AA312" s="1"/>
  <c r="AA313" s="1"/>
  <c r="AA314" s="1"/>
  <c r="AA315" s="1"/>
  <c r="AA316" s="1"/>
  <c r="AA317" s="1"/>
  <c r="AA318" s="1"/>
  <c r="AA319" s="1"/>
  <c r="AA320" s="1"/>
  <c r="AA321" s="1"/>
  <c r="AA322" s="1"/>
  <c r="AA323" s="1"/>
  <c r="AA324" s="1"/>
  <c r="AA325" s="1"/>
  <c r="AA326" s="1"/>
  <c r="AA327" s="1"/>
  <c r="AA328" s="1"/>
  <c r="AA329" s="1"/>
  <c r="AA330" s="1"/>
  <c r="AA331" s="1"/>
  <c r="AA332" s="1"/>
  <c r="AA333" s="1"/>
  <c r="AA334" s="1"/>
  <c r="AA335" s="1"/>
  <c r="AA336" s="1"/>
  <c r="AA337" s="1"/>
  <c r="AA338" s="1"/>
  <c r="AA339" s="1"/>
  <c r="AA340" s="1"/>
  <c r="AA341" s="1"/>
  <c r="AA342" s="1"/>
  <c r="AA343" s="1"/>
  <c r="AA344" s="1"/>
  <c r="AA345" s="1"/>
  <c r="AA346" s="1"/>
  <c r="AA347" s="1"/>
  <c r="AA348" s="1"/>
  <c r="AA349" s="1"/>
  <c r="AA350" s="1"/>
  <c r="AA351" s="1"/>
  <c r="AA352" s="1"/>
  <c r="AA353" s="1"/>
  <c r="AA354" s="1"/>
  <c r="AA355" s="1"/>
  <c r="AA356" s="1"/>
  <c r="AA357" s="1"/>
  <c r="AA358" s="1"/>
  <c r="AA359" s="1"/>
  <c r="AA360" s="1"/>
  <c r="AA361" s="1"/>
  <c r="AA362" s="1"/>
  <c r="AA363" s="1"/>
  <c r="AA364" s="1"/>
  <c r="AA365" s="1"/>
  <c r="AA366" s="1"/>
  <c r="AA367" s="1"/>
  <c r="AA368" s="1"/>
  <c r="AA369" s="1"/>
  <c r="AA370" s="1"/>
  <c r="AA371" s="1"/>
  <c r="AA372" s="1"/>
  <c r="AA373" s="1"/>
  <c r="AA374" s="1"/>
  <c r="AA375" s="1"/>
  <c r="AA376" s="1"/>
  <c r="AA377" s="1"/>
  <c r="AA378" s="1"/>
  <c r="AA379" s="1"/>
  <c r="AA380" s="1"/>
  <c r="AA381" s="1"/>
  <c r="AA382" s="1"/>
  <c r="AA383" s="1"/>
  <c r="AA384" s="1"/>
  <c r="AA385" s="1"/>
  <c r="AA386" s="1"/>
  <c r="AA387" s="1"/>
  <c r="AA388" s="1"/>
  <c r="AA389" s="1"/>
  <c r="AA390" s="1"/>
  <c r="AA391" s="1"/>
  <c r="AA392" s="1"/>
  <c r="AA393" s="1"/>
  <c r="AA394" s="1"/>
  <c r="AA395" s="1"/>
  <c r="AA396" s="1"/>
  <c r="AA397" s="1"/>
  <c r="AA398" s="1"/>
  <c r="AA399" s="1"/>
  <c r="AA400" s="1"/>
  <c r="AA401" s="1"/>
  <c r="AA402" s="1"/>
  <c r="AA403" s="1"/>
  <c r="AA404" s="1"/>
  <c r="AA405" s="1"/>
  <c r="AA408"/>
  <c r="AA409" s="1"/>
  <c r="AA410"/>
  <c r="AA411" s="1"/>
  <c r="AA412" s="1"/>
  <c r="AA413" s="1"/>
  <c r="AA414" s="1"/>
  <c r="AA415" s="1"/>
  <c r="AA416" s="1"/>
  <c r="AA417" s="1"/>
  <c r="AA418" s="1"/>
  <c r="AA419" s="1"/>
  <c r="AA420" s="1"/>
  <c r="AA421" s="1"/>
  <c r="AA422" s="1"/>
  <c r="AA423" s="1"/>
  <c r="AA424" s="1"/>
  <c r="AA425" s="1"/>
  <c r="AA426" s="1"/>
  <c r="AA427" s="1"/>
  <c r="AA428" s="1"/>
  <c r="AA429" s="1"/>
  <c r="AA430" s="1"/>
  <c r="AA431" s="1"/>
  <c r="AA432" s="1"/>
  <c r="AA433" s="1"/>
  <c r="AA434" s="1"/>
  <c r="AA435" s="1"/>
  <c r="AA436" s="1"/>
  <c r="AA437" s="1"/>
  <c r="AA438" s="1"/>
  <c r="AA439" s="1"/>
  <c r="AA440" s="1"/>
  <c r="AA441" s="1"/>
  <c r="AA442" s="1"/>
  <c r="AA443" s="1"/>
  <c r="AA444" s="1"/>
  <c r="AA445" s="1"/>
  <c r="AA446" s="1"/>
  <c r="AA447" s="1"/>
  <c r="AA448" s="1"/>
  <c r="AA449" s="1"/>
  <c r="AA450" s="1"/>
  <c r="AA451" s="1"/>
  <c r="AA452" s="1"/>
  <c r="AA453" s="1"/>
  <c r="AA454" s="1"/>
  <c r="AA455" s="1"/>
  <c r="AA456" s="1"/>
  <c r="AA457" s="1"/>
  <c r="AA458" s="1"/>
  <c r="AA459" s="1"/>
  <c r="AA460" s="1"/>
  <c r="AA461" s="1"/>
  <c r="AA462" s="1"/>
  <c r="AA463" s="1"/>
  <c r="AA464" s="1"/>
  <c r="AA465" s="1"/>
  <c r="AA466" s="1"/>
  <c r="AA467" s="1"/>
  <c r="AA468" s="1"/>
  <c r="AA469" s="1"/>
  <c r="AA470" s="1"/>
  <c r="AA471" s="1"/>
  <c r="AA472" s="1"/>
  <c r="AA473" s="1"/>
  <c r="AA474" s="1"/>
  <c r="AA475" s="1"/>
  <c r="AA476" s="1"/>
  <c r="AA477" s="1"/>
  <c r="AA478" s="1"/>
  <c r="AA479" s="1"/>
  <c r="AA480" s="1"/>
  <c r="AA481" s="1"/>
  <c r="AA482" s="1"/>
  <c r="AA483" s="1"/>
  <c r="AA484" s="1"/>
  <c r="AA485" s="1"/>
  <c r="AA486" s="1"/>
  <c r="AA487" s="1"/>
  <c r="AA488" s="1"/>
  <c r="AA489" s="1"/>
  <c r="AA490" s="1"/>
  <c r="AA491" s="1"/>
  <c r="AA492" s="1"/>
  <c r="AA493" s="1"/>
  <c r="AA494" s="1"/>
  <c r="AA495" s="1"/>
  <c r="AA496" s="1"/>
  <c r="AA497" s="1"/>
  <c r="AA498" s="1"/>
  <c r="AA499" s="1"/>
  <c r="AA500" s="1"/>
  <c r="AA501" s="1"/>
  <c r="AA502" s="1"/>
  <c r="AA503" s="1"/>
  <c r="AA504" s="1"/>
  <c r="AA505" s="1"/>
  <c r="AA506" s="1"/>
  <c r="AA507" s="1"/>
  <c r="AA508" s="1"/>
  <c r="AA509" s="1"/>
  <c r="AA510" s="1"/>
  <c r="AA511" s="1"/>
  <c r="AA512" s="1"/>
  <c r="AA513" s="1"/>
  <c r="AA514" s="1"/>
  <c r="AA515" s="1"/>
  <c r="AA518"/>
  <c r="AA519" s="1"/>
  <c r="AA520"/>
  <c r="AA521" s="1"/>
  <c r="AA522" s="1"/>
  <c r="AA523" s="1"/>
  <c r="AA524" s="1"/>
  <c r="AA525" s="1"/>
  <c r="AA526" s="1"/>
  <c r="AA527" s="1"/>
  <c r="AA528" s="1"/>
  <c r="AA529" s="1"/>
  <c r="AA530" s="1"/>
  <c r="AA531" s="1"/>
  <c r="AA532" s="1"/>
  <c r="AA533" s="1"/>
  <c r="AA534" s="1"/>
  <c r="AA535" s="1"/>
  <c r="AA536" s="1"/>
  <c r="AA537" s="1"/>
  <c r="AA538" s="1"/>
  <c r="AA539" s="1"/>
  <c r="AA540" s="1"/>
  <c r="AA541" s="1"/>
  <c r="AA542" s="1"/>
  <c r="AA543" s="1"/>
  <c r="AA544" s="1"/>
  <c r="AA545" s="1"/>
  <c r="AA546" s="1"/>
  <c r="AA547" s="1"/>
  <c r="AA548" s="1"/>
  <c r="AA549" s="1"/>
  <c r="AA550" s="1"/>
  <c r="AA551" s="1"/>
  <c r="AA552" s="1"/>
  <c r="AA553" s="1"/>
  <c r="AA554" s="1"/>
  <c r="AA555" s="1"/>
  <c r="AA556" s="1"/>
  <c r="AA557" s="1"/>
  <c r="AA558" s="1"/>
  <c r="AA559" s="1"/>
  <c r="AA560" s="1"/>
  <c r="AA561" s="1"/>
  <c r="AA562" s="1"/>
  <c r="AA563" s="1"/>
  <c r="AA564" s="1"/>
  <c r="AA565" s="1"/>
  <c r="AA566" s="1"/>
  <c r="AA567" s="1"/>
  <c r="AA568" s="1"/>
  <c r="AA569" s="1"/>
  <c r="AA570" s="1"/>
  <c r="AA571" s="1"/>
  <c r="AA572" s="1"/>
  <c r="AA573" s="1"/>
  <c r="AA574" s="1"/>
  <c r="AA575" s="1"/>
  <c r="AA576" s="1"/>
  <c r="AA577" s="1"/>
  <c r="AA578" s="1"/>
  <c r="AA579" s="1"/>
  <c r="AA580" s="1"/>
  <c r="AA581" s="1"/>
  <c r="AA582" s="1"/>
  <c r="AA583" s="1"/>
  <c r="AA584" s="1"/>
  <c r="AA585" s="1"/>
  <c r="AA586" s="1"/>
  <c r="AA587" s="1"/>
  <c r="AA588" s="1"/>
  <c r="AA589" s="1"/>
  <c r="AA590" s="1"/>
  <c r="AA591" s="1"/>
  <c r="AA592" s="1"/>
  <c r="AA593" s="1"/>
  <c r="AA594" s="1"/>
  <c r="AA595" s="1"/>
  <c r="AA596" s="1"/>
  <c r="AA597" s="1"/>
  <c r="AA598" s="1"/>
  <c r="AA599" s="1"/>
  <c r="AA600" s="1"/>
  <c r="AA601" s="1"/>
  <c r="AA602" s="1"/>
  <c r="AA603" s="1"/>
  <c r="AA604" s="1"/>
  <c r="AA605" s="1"/>
  <c r="AA606" s="1"/>
  <c r="AA607" s="1"/>
  <c r="AA610"/>
  <c r="AA611" s="1"/>
  <c r="AA612" s="1"/>
  <c r="AA613" s="1"/>
  <c r="AA614" s="1"/>
  <c r="AA615" s="1"/>
  <c r="AA616" s="1"/>
  <c r="AA617" s="1"/>
  <c r="AA618" s="1"/>
  <c r="AA619" s="1"/>
  <c r="AA620" s="1"/>
  <c r="AA621" s="1"/>
  <c r="AA622" s="1"/>
  <c r="AA623" s="1"/>
  <c r="AA624" s="1"/>
  <c r="AA625" s="1"/>
  <c r="AA626" s="1"/>
  <c r="AA627" s="1"/>
  <c r="AA628" s="1"/>
  <c r="AA629" s="1"/>
  <c r="AA630" s="1"/>
  <c r="AA631" s="1"/>
  <c r="AA632" s="1"/>
  <c r="AA633" s="1"/>
  <c r="AA634" s="1"/>
  <c r="AA635" s="1"/>
  <c r="AA636" s="1"/>
  <c r="AA637" s="1"/>
  <c r="AA638" s="1"/>
  <c r="AA639" s="1"/>
  <c r="AA640" s="1"/>
  <c r="AA641" s="1"/>
  <c r="AA642" s="1"/>
  <c r="AA643" s="1"/>
  <c r="AA644" s="1"/>
  <c r="AA645" s="1"/>
  <c r="AA646" s="1"/>
  <c r="AA647" s="1"/>
  <c r="AA648" s="1"/>
  <c r="AA649" s="1"/>
  <c r="AA650" s="1"/>
  <c r="AA651" s="1"/>
  <c r="AA652" s="1"/>
  <c r="AA653" s="1"/>
  <c r="AA654" s="1"/>
  <c r="AA655" s="1"/>
  <c r="AA656" s="1"/>
  <c r="AA657" s="1"/>
  <c r="AA658" s="1"/>
  <c r="AA659" s="1"/>
  <c r="AA660" s="1"/>
  <c r="AA661" s="1"/>
  <c r="AA662" s="1"/>
  <c r="AA663" s="1"/>
  <c r="AA664" s="1"/>
  <c r="AA665" s="1"/>
  <c r="AA666" s="1"/>
  <c r="AA667" s="1"/>
  <c r="AA668" s="1"/>
  <c r="AA669" s="1"/>
  <c r="AA670" s="1"/>
  <c r="AA671" s="1"/>
  <c r="AA672" s="1"/>
  <c r="AA673" s="1"/>
  <c r="AA674" s="1"/>
  <c r="AA675" s="1"/>
  <c r="AA676" s="1"/>
  <c r="AA677" s="1"/>
  <c r="AA678" s="1"/>
  <c r="AA679" s="1"/>
  <c r="AA680" s="1"/>
  <c r="AA681" s="1"/>
  <c r="AA682" s="1"/>
  <c r="AA683" s="1"/>
  <c r="AA684" s="1"/>
  <c r="AA685" s="1"/>
  <c r="AA686" s="1"/>
  <c r="AA687" s="1"/>
  <c r="AA688" s="1"/>
  <c r="AA689" s="1"/>
  <c r="AA690" s="1"/>
  <c r="AA691" s="1"/>
  <c r="AA692" s="1"/>
  <c r="AA693" s="1"/>
  <c r="AA694" s="1"/>
  <c r="AA695" s="1"/>
  <c r="AA696" s="1"/>
  <c r="AA697" s="1"/>
  <c r="AA698" s="1"/>
  <c r="AA700"/>
  <c r="AA702"/>
  <c r="AA703" s="1"/>
  <c r="AA704" s="1"/>
  <c r="AA705" s="1"/>
  <c r="AA706" s="1"/>
  <c r="AA707" s="1"/>
  <c r="AA708" s="1"/>
  <c r="AA709" s="1"/>
  <c r="AA710" s="1"/>
  <c r="AA711" s="1"/>
  <c r="AA712" s="1"/>
  <c r="AA713" s="1"/>
  <c r="AA714" s="1"/>
  <c r="AA715" s="1"/>
  <c r="AA716" s="1"/>
  <c r="AA717" s="1"/>
  <c r="AA718" s="1"/>
  <c r="AA719" s="1"/>
  <c r="AA720" s="1"/>
  <c r="AA721" s="1"/>
  <c r="AA722" s="1"/>
  <c r="AA723" s="1"/>
  <c r="AA724" s="1"/>
  <c r="AA725" s="1"/>
  <c r="AA726" s="1"/>
  <c r="AA727" s="1"/>
  <c r="AA728" s="1"/>
  <c r="AA729" s="1"/>
  <c r="AA730" s="1"/>
  <c r="AA731" s="1"/>
  <c r="AA732" s="1"/>
  <c r="AA733" s="1"/>
  <c r="AA734" s="1"/>
  <c r="AA735" s="1"/>
  <c r="AA736" s="1"/>
  <c r="AA737" s="1"/>
  <c r="AA738" s="1"/>
  <c r="AA739" s="1"/>
  <c r="AA740" s="1"/>
  <c r="AA741" s="1"/>
  <c r="AA742" s="1"/>
  <c r="AA743" s="1"/>
  <c r="AA744" s="1"/>
  <c r="AA745" s="1"/>
  <c r="AA746" s="1"/>
  <c r="AA747" s="1"/>
  <c r="AA748" s="1"/>
  <c r="AA749" s="1"/>
  <c r="AA750" s="1"/>
  <c r="AA751" s="1"/>
  <c r="AA752" s="1"/>
  <c r="AA753" s="1"/>
  <c r="AA754" s="1"/>
  <c r="AA755" s="1"/>
  <c r="AA756" s="1"/>
  <c r="AA757" s="1"/>
  <c r="AA758" s="1"/>
  <c r="AA759" s="1"/>
  <c r="AA760" s="1"/>
  <c r="AA761" s="1"/>
  <c r="AA762" s="1"/>
  <c r="AA763" s="1"/>
  <c r="AA764" s="1"/>
  <c r="AA765" s="1"/>
  <c r="AA766" s="1"/>
  <c r="AA767" s="1"/>
  <c r="AA768" s="1"/>
  <c r="AA769" s="1"/>
  <c r="AA770" s="1"/>
  <c r="AA771" s="1"/>
  <c r="AA772" s="1"/>
  <c r="AA773" s="1"/>
  <c r="AA774" s="1"/>
  <c r="AA775" s="1"/>
  <c r="AA776" s="1"/>
  <c r="AA777" s="1"/>
  <c r="AA778" s="1"/>
  <c r="AA779" s="1"/>
  <c r="AA780" s="1"/>
  <c r="AA781" s="1"/>
  <c r="AA782" s="1"/>
  <c r="AA783" s="1"/>
  <c r="AA784" s="1"/>
  <c r="AA785" s="1"/>
  <c r="AA786" s="1"/>
  <c r="AA787" s="1"/>
  <c r="AA788" s="1"/>
  <c r="AA790"/>
  <c r="AA791" s="1"/>
  <c r="AA792" s="1"/>
  <c r="AA793" s="1"/>
  <c r="AA794" s="1"/>
  <c r="AA795" s="1"/>
  <c r="AA796" s="1"/>
  <c r="AA797" s="1"/>
  <c r="AA798" s="1"/>
  <c r="AA799" s="1"/>
  <c r="AA800" s="1"/>
  <c r="AA801" s="1"/>
  <c r="AA802" s="1"/>
  <c r="AA803" s="1"/>
  <c r="AA804" s="1"/>
  <c r="AA805" s="1"/>
  <c r="AA806" s="1"/>
  <c r="AA807" s="1"/>
  <c r="AA808" s="1"/>
  <c r="AA809" s="1"/>
  <c r="AA810" s="1"/>
  <c r="AA811" s="1"/>
  <c r="AA812" s="1"/>
  <c r="AA813" s="1"/>
  <c r="AA814" s="1"/>
  <c r="AA815" s="1"/>
  <c r="AA816" s="1"/>
  <c r="AA817" s="1"/>
  <c r="AA818" s="1"/>
  <c r="AA819" s="1"/>
  <c r="AA820" s="1"/>
  <c r="AA821" s="1"/>
  <c r="AA822" s="1"/>
  <c r="AA823" s="1"/>
  <c r="AA824" s="1"/>
  <c r="AA825" s="1"/>
  <c r="AA826" s="1"/>
  <c r="AA827" s="1"/>
  <c r="AA828" s="1"/>
  <c r="AA829" s="1"/>
  <c r="AA830" s="1"/>
  <c r="AA831" s="1"/>
  <c r="AA832" s="1"/>
  <c r="AA833" s="1"/>
  <c r="AA834" s="1"/>
  <c r="AA835" s="1"/>
  <c r="AA836" s="1"/>
  <c r="AA837" s="1"/>
  <c r="AA838" s="1"/>
  <c r="AA839" s="1"/>
  <c r="AA840" s="1"/>
  <c r="AA841" s="1"/>
  <c r="AA842" s="1"/>
  <c r="AA843" s="1"/>
  <c r="AA844" s="1"/>
  <c r="AA845" s="1"/>
  <c r="AA846" s="1"/>
  <c r="AA847" s="1"/>
  <c r="AA848" s="1"/>
  <c r="AA849" s="1"/>
  <c r="AA852"/>
  <c r="AA853" s="1"/>
  <c r="AA854" s="1"/>
  <c r="AA855" s="1"/>
  <c r="AA856" s="1"/>
  <c r="AA857" s="1"/>
  <c r="AA858" s="1"/>
  <c r="AA859" s="1"/>
  <c r="AA860" s="1"/>
  <c r="AA861" s="1"/>
  <c r="AA862" s="1"/>
  <c r="AA863" s="1"/>
  <c r="AA864" s="1"/>
  <c r="AA865" s="1"/>
  <c r="AA866" s="1"/>
  <c r="AA867" s="1"/>
  <c r="AA868" s="1"/>
  <c r="AA869" s="1"/>
  <c r="AA870" s="1"/>
  <c r="AA871" s="1"/>
  <c r="AA872" s="1"/>
  <c r="AA873" s="1"/>
  <c r="AA874" s="1"/>
  <c r="AA875" s="1"/>
  <c r="AA876" s="1"/>
  <c r="AA877" s="1"/>
  <c r="AA878" s="1"/>
  <c r="AA879" s="1"/>
  <c r="AA880" s="1"/>
  <c r="AA881" s="1"/>
  <c r="AA882" s="1"/>
  <c r="AA883" s="1"/>
  <c r="AA884" s="1"/>
  <c r="AA885" s="1"/>
  <c r="AA886" s="1"/>
  <c r="AA887" s="1"/>
  <c r="AA888" s="1"/>
  <c r="AA889" s="1"/>
  <c r="AA890" s="1"/>
  <c r="AA891" s="1"/>
  <c r="AA892" s="1"/>
  <c r="AA893" s="1"/>
  <c r="AA894" s="1"/>
  <c r="AA895" s="1"/>
  <c r="AA896" s="1"/>
  <c r="AA897" s="1"/>
  <c r="AA898" s="1"/>
  <c r="AA899" s="1"/>
  <c r="AA900" s="1"/>
  <c r="AA901" s="1"/>
  <c r="AA902" s="1"/>
  <c r="AA903" s="1"/>
  <c r="AA904" s="1"/>
  <c r="AA905" s="1"/>
  <c r="AA906" s="1"/>
  <c r="AA907" s="1"/>
  <c r="AA908" s="1"/>
  <c r="AA909" s="1"/>
  <c r="AA910" s="1"/>
  <c r="AA911" s="1"/>
  <c r="AA912" s="1"/>
  <c r="AA913" s="1"/>
  <c r="AA914" s="1"/>
  <c r="AA915" s="1"/>
  <c r="AA916" s="1"/>
  <c r="AA917" s="1"/>
  <c r="AA918" s="1"/>
  <c r="AA919" s="1"/>
  <c r="AA920" s="1"/>
  <c r="AA921" s="1"/>
  <c r="AA922" s="1"/>
  <c r="AA923" s="1"/>
  <c r="AA924" s="1"/>
  <c r="AA925" s="1"/>
  <c r="AA926" s="1"/>
  <c r="AA927" s="1"/>
  <c r="AA928" s="1"/>
  <c r="AA929" s="1"/>
  <c r="AA930" s="1"/>
  <c r="AA931" s="1"/>
  <c r="AA932" s="1"/>
  <c r="AA933" s="1"/>
  <c r="AA934" s="1"/>
  <c r="AA935" s="1"/>
  <c r="AA936" s="1"/>
  <c r="AA937" s="1"/>
  <c r="AA938" s="1"/>
  <c r="AA939" s="1"/>
  <c r="AA940" s="1"/>
  <c r="AA941" s="1"/>
  <c r="AA942" s="1"/>
  <c r="AA943" s="1"/>
  <c r="AA946"/>
  <c r="AA947" s="1"/>
  <c r="AA948" s="1"/>
  <c r="AA949" s="1"/>
  <c r="AA950" s="1"/>
  <c r="AA951" s="1"/>
  <c r="AA952" s="1"/>
  <c r="AA953" s="1"/>
  <c r="AA954" s="1"/>
  <c r="AA955" s="1"/>
  <c r="AA956" s="1"/>
  <c r="AA957" s="1"/>
  <c r="AA958" s="1"/>
  <c r="AA959" s="1"/>
  <c r="AA960" s="1"/>
  <c r="AA961" s="1"/>
  <c r="AA962" s="1"/>
  <c r="AA963" s="1"/>
  <c r="AA964" s="1"/>
  <c r="AA965" s="1"/>
  <c r="AA966" s="1"/>
  <c r="AA967" s="1"/>
  <c r="AA968" s="1"/>
  <c r="AA969" s="1"/>
  <c r="AA970" s="1"/>
  <c r="AA971" s="1"/>
  <c r="AA972" s="1"/>
  <c r="AA973" s="1"/>
  <c r="AA974" s="1"/>
  <c r="AA975" s="1"/>
  <c r="AA976" s="1"/>
  <c r="AA977" s="1"/>
  <c r="AA978" s="1"/>
  <c r="AA979" s="1"/>
  <c r="AA980" s="1"/>
  <c r="AA981" s="1"/>
  <c r="AA982" s="1"/>
  <c r="AA983" s="1"/>
  <c r="AA984" s="1"/>
  <c r="AA985" s="1"/>
  <c r="AA988"/>
  <c r="AA989" s="1"/>
  <c r="AA990" s="1"/>
  <c r="AA991" s="1"/>
  <c r="AA992" s="1"/>
  <c r="AA993" s="1"/>
  <c r="AA994" s="1"/>
  <c r="AA995" s="1"/>
  <c r="AA996" s="1"/>
  <c r="AA997" s="1"/>
  <c r="AA998" s="1"/>
  <c r="AA999" s="1"/>
  <c r="AA1000" s="1"/>
  <c r="AA1001" s="1"/>
  <c r="AA1002" s="1"/>
  <c r="AA1003" s="1"/>
  <c r="AA1004" s="1"/>
  <c r="AA1005" s="1"/>
  <c r="AA1006" s="1"/>
  <c r="AA1007" s="1"/>
  <c r="AA1008" s="1"/>
  <c r="AA1009" s="1"/>
  <c r="AA1010" s="1"/>
  <c r="AA1011" s="1"/>
  <c r="AA1012" s="1"/>
  <c r="AA1013" s="1"/>
  <c r="AA1014" s="1"/>
  <c r="AA1015" s="1"/>
  <c r="AA1016" s="1"/>
  <c r="AA1017" s="1"/>
  <c r="AA1018" s="1"/>
  <c r="AA1019" s="1"/>
  <c r="AA1020" s="1"/>
  <c r="AA1021" s="1"/>
  <c r="AA1022" s="1"/>
  <c r="AA1023" s="1"/>
  <c r="AA1024" s="1"/>
  <c r="AA1025" s="1"/>
  <c r="AA1026" s="1"/>
  <c r="AA1027" s="1"/>
  <c r="AA1028" s="1"/>
  <c r="AA1029" s="1"/>
  <c r="AA1030" s="1"/>
  <c r="AA1031" s="1"/>
  <c r="AA1032" s="1"/>
  <c r="AA1033" s="1"/>
  <c r="AA1034" s="1"/>
  <c r="AA1035" s="1"/>
  <c r="AA1036" s="1"/>
  <c r="AA1037" s="1"/>
  <c r="AA1038" s="1"/>
  <c r="AA1039" s="1"/>
  <c r="AA1040" s="1"/>
  <c r="AA1041" s="1"/>
  <c r="AA1042" s="1"/>
  <c r="AA1043" s="1"/>
  <c r="AA1044" s="1"/>
  <c r="AA1045" s="1"/>
  <c r="AA1046" s="1"/>
  <c r="AA1047" s="1"/>
  <c r="AA1048" s="1"/>
  <c r="AA1049" s="1"/>
  <c r="AA1050" s="1"/>
  <c r="AA1051" s="1"/>
  <c r="AA1052" s="1"/>
  <c r="AA1053" s="1"/>
  <c r="AA1054" s="1"/>
  <c r="AA1055" s="1"/>
  <c r="O77" i="36"/>
  <c r="T77"/>
  <c r="Y77"/>
  <c r="AD77"/>
  <c r="Q76"/>
  <c r="V76"/>
  <c r="AA76"/>
  <c r="O69"/>
  <c r="T69"/>
  <c r="Y69"/>
  <c r="AD69"/>
  <c r="Q70"/>
  <c r="V70"/>
  <c r="AA70"/>
  <c r="O71"/>
  <c r="T71"/>
  <c r="Y71"/>
  <c r="AD71"/>
  <c r="Q72"/>
  <c r="V72"/>
  <c r="AA72"/>
  <c r="O73"/>
  <c r="T73"/>
  <c r="Y73"/>
  <c r="AD73"/>
  <c r="Q74"/>
  <c r="V74"/>
  <c r="AA74"/>
  <c r="O75"/>
  <c r="T75"/>
  <c r="Y75"/>
  <c r="AD75"/>
  <c r="Q78"/>
  <c r="V78"/>
  <c r="AA78"/>
  <c r="O79"/>
  <c r="T79"/>
  <c r="Y79"/>
  <c r="AD79"/>
  <c r="Q80"/>
  <c r="V80"/>
  <c r="AA80"/>
  <c r="O81"/>
  <c r="T81"/>
  <c r="Y81"/>
  <c r="AD81"/>
  <c r="Q82"/>
  <c r="V82"/>
  <c r="AA82"/>
  <c r="O83"/>
  <c r="T83"/>
  <c r="Y83"/>
  <c r="AD83"/>
  <c r="Q84"/>
  <c r="V84"/>
  <c r="AA84"/>
  <c r="O85"/>
  <c r="T85"/>
  <c r="Y85"/>
  <c r="AD85"/>
  <c r="Q86"/>
  <c r="V86"/>
  <c r="AA86"/>
  <c r="O87"/>
  <c r="T87"/>
  <c r="Y87"/>
  <c r="AD87"/>
  <c r="Q88"/>
  <c r="V88"/>
  <c r="AA88"/>
  <c r="O89"/>
  <c r="T89"/>
  <c r="Y89"/>
  <c r="AD89"/>
  <c r="Q90"/>
  <c r="V90"/>
  <c r="AA90"/>
  <c r="O91"/>
  <c r="T91"/>
  <c r="Y91"/>
  <c r="AD91"/>
  <c r="O94"/>
  <c r="T94"/>
  <c r="Y94"/>
  <c r="AD94"/>
  <c r="Q95"/>
  <c r="V95"/>
  <c r="AA95"/>
  <c r="O96"/>
  <c r="T96"/>
  <c r="Y96"/>
  <c r="AD96"/>
  <c r="Q97"/>
  <c r="V97"/>
  <c r="AA97"/>
  <c r="O98"/>
  <c r="T98"/>
  <c r="Y98"/>
  <c r="AD98"/>
  <c r="Q99"/>
  <c r="V99"/>
  <c r="AA99"/>
  <c r="O100"/>
  <c r="T100"/>
  <c r="Y100"/>
  <c r="AD100"/>
  <c r="Q101"/>
  <c r="V101"/>
  <c r="AA101"/>
  <c r="O102"/>
  <c r="T102"/>
  <c r="Y102"/>
  <c r="AD102"/>
  <c r="Q103"/>
  <c r="V103"/>
  <c r="AA103"/>
  <c r="O104"/>
  <c r="T104"/>
  <c r="Y104"/>
  <c r="AD104"/>
  <c r="AU66"/>
  <c r="AZ66"/>
  <c r="BE66"/>
  <c r="AU68"/>
  <c r="AZ68"/>
  <c r="BE68"/>
  <c r="AU70"/>
  <c r="AZ70"/>
  <c r="BE70"/>
  <c r="AU72"/>
  <c r="AZ72"/>
  <c r="BE72"/>
  <c r="AU74"/>
  <c r="AZ74"/>
  <c r="BE74"/>
  <c r="AU76"/>
  <c r="AZ76"/>
  <c r="BE76"/>
  <c r="AU78"/>
  <c r="AZ78"/>
  <c r="BE78"/>
  <c r="AU80"/>
  <c r="AZ80"/>
  <c r="BE80"/>
  <c r="AU82"/>
  <c r="AZ82"/>
  <c r="BE82"/>
  <c r="AU84"/>
  <c r="AZ84"/>
  <c r="BE84"/>
  <c r="AU86"/>
  <c r="AZ86"/>
  <c r="BE86"/>
  <c r="AU88"/>
  <c r="AZ88"/>
  <c r="BE88"/>
  <c r="AU90"/>
  <c r="AZ90"/>
  <c r="BE90"/>
  <c r="AU92"/>
  <c r="AZ92"/>
  <c r="BE92"/>
  <c r="AU94"/>
  <c r="AZ94"/>
  <c r="BE94"/>
  <c r="AU96"/>
  <c r="AZ96"/>
  <c r="BE96"/>
  <c r="AU98"/>
  <c r="AZ98"/>
  <c r="BE98"/>
  <c r="AU100"/>
  <c r="AZ100"/>
  <c r="BE100"/>
  <c r="AU102"/>
  <c r="AZ102"/>
  <c r="BE102"/>
  <c r="AU104"/>
  <c r="AZ104"/>
  <c r="BE104"/>
  <c r="AU106"/>
  <c r="AZ106"/>
  <c r="BE106"/>
  <c r="AU108"/>
  <c r="AZ108"/>
  <c r="BE108"/>
  <c r="AU110"/>
  <c r="AZ110"/>
  <c r="BE110"/>
  <c r="AC614" i="9"/>
  <c r="AP746"/>
  <c r="V746" s="1"/>
  <c r="AZ796"/>
  <c r="AX796"/>
  <c r="AY796"/>
  <c r="U111"/>
  <c r="AV151"/>
  <c r="B523" i="12"/>
  <c r="C523"/>
  <c r="U302" i="9"/>
  <c r="AV302" s="1"/>
  <c r="AJ302"/>
  <c r="BC302" s="1"/>
  <c r="F670"/>
  <c r="F673"/>
  <c r="F675"/>
  <c r="F677"/>
  <c r="F679"/>
  <c r="F682"/>
  <c r="F684"/>
  <c r="F687"/>
  <c r="F689"/>
  <c r="F691"/>
  <c r="F694"/>
  <c r="F696"/>
  <c r="F698"/>
  <c r="F700"/>
  <c r="F702"/>
  <c r="F704"/>
  <c r="F706"/>
  <c r="F708"/>
  <c r="F710"/>
  <c r="F713"/>
  <c r="F715"/>
  <c r="F717"/>
  <c r="F719"/>
  <c r="F672"/>
  <c r="F674"/>
  <c r="F676"/>
  <c r="F678"/>
  <c r="F680"/>
  <c r="F683"/>
  <c r="F685"/>
  <c r="F688"/>
  <c r="F690"/>
  <c r="F693"/>
  <c r="F695"/>
  <c r="F697"/>
  <c r="F699"/>
  <c r="F701"/>
  <c r="F703"/>
  <c r="F705"/>
  <c r="F707"/>
  <c r="F709"/>
  <c r="F711"/>
  <c r="F714"/>
  <c r="F716"/>
  <c r="F718"/>
  <c r="F720"/>
  <c r="F786"/>
  <c r="L197" i="12"/>
  <c r="I197"/>
  <c r="A268" i="36" l="1"/>
  <c r="P272"/>
  <c r="P275"/>
  <c r="A276"/>
  <c r="P267"/>
  <c r="A278"/>
  <c r="M277"/>
  <c r="H263"/>
  <c r="A260"/>
  <c r="P264"/>
  <c r="P281"/>
  <c r="H268"/>
  <c r="P271"/>
  <c r="H264"/>
  <c r="P261"/>
  <c r="H267"/>
  <c r="H275"/>
  <c r="P265"/>
  <c r="P262"/>
  <c r="M281"/>
  <c r="A283"/>
  <c r="A266"/>
  <c r="M261"/>
  <c r="H271"/>
  <c r="P282"/>
  <c r="P269"/>
  <c r="P268"/>
  <c r="P266"/>
  <c r="P283"/>
  <c r="M275"/>
  <c r="P279"/>
  <c r="P278"/>
  <c r="A261"/>
  <c r="H276"/>
  <c r="M260"/>
  <c r="H278"/>
  <c r="P274"/>
  <c r="M274"/>
  <c r="M278"/>
  <c r="H274"/>
  <c r="H281"/>
  <c r="A281"/>
  <c r="H283"/>
  <c r="V307" i="9"/>
  <c r="V305"/>
  <c r="AC305" s="1"/>
  <c r="V379"/>
  <c r="V114"/>
  <c r="AC114" s="1"/>
  <c r="S59" i="19"/>
  <c r="B100" i="9"/>
  <c r="A269" i="36"/>
  <c r="A270"/>
  <c r="A272"/>
  <c r="A274"/>
  <c r="P260"/>
  <c r="H277"/>
  <c r="M283"/>
  <c r="A282"/>
  <c r="H261"/>
  <c r="H272"/>
  <c r="A277"/>
  <c r="M276"/>
  <c r="H265"/>
  <c r="A262"/>
  <c r="H279"/>
  <c r="A267"/>
  <c r="H282"/>
  <c r="A264"/>
  <c r="H269"/>
  <c r="I22" i="16"/>
  <c r="I23"/>
  <c r="AQ598" i="9"/>
  <c r="AB598"/>
  <c r="AB825"/>
  <c r="AC650"/>
  <c r="AC498"/>
  <c r="AQ352"/>
  <c r="S45" i="19"/>
  <c r="S6"/>
  <c r="D185" i="12"/>
  <c r="AP610" i="9"/>
  <c r="V610" s="1"/>
  <c r="S17" i="19"/>
  <c r="AC183" i="9"/>
  <c r="J32" i="36"/>
  <c r="AC184" i="9"/>
  <c r="AB519"/>
  <c r="AQ183"/>
  <c r="AC634"/>
  <c r="AB132"/>
  <c r="AQ359"/>
  <c r="AB182"/>
  <c r="AC744"/>
  <c r="AB499"/>
  <c r="AB248"/>
  <c r="AB201"/>
  <c r="V372"/>
  <c r="AQ372" s="1"/>
  <c r="AC232"/>
  <c r="AC642"/>
  <c r="AC626"/>
  <c r="AB344"/>
  <c r="AQ340"/>
  <c r="V396"/>
  <c r="AC396" s="1"/>
  <c r="AP618"/>
  <c r="V618" s="1"/>
  <c r="S39" i="19"/>
  <c r="S98"/>
  <c r="S77"/>
  <c r="AC654" i="9"/>
  <c r="AQ853"/>
  <c r="AQ131"/>
  <c r="AC174"/>
  <c r="AQ349"/>
  <c r="AB883"/>
  <c r="B96" i="8"/>
  <c r="AC140" i="9"/>
  <c r="AQ519"/>
  <c r="AB487"/>
  <c r="AQ503"/>
  <c r="AQ425"/>
  <c r="V403"/>
  <c r="AC403" s="1"/>
  <c r="AC223"/>
  <c r="AC646"/>
  <c r="AC638"/>
  <c r="AC630"/>
  <c r="AC622"/>
  <c r="V303"/>
  <c r="AC303" s="1"/>
  <c r="AB539"/>
  <c r="B107" i="8"/>
  <c r="AB394" i="9"/>
  <c r="S68" i="19"/>
  <c r="F48" i="36" s="1"/>
  <c r="AB167" i="9"/>
  <c r="S93" i="19"/>
  <c r="S100"/>
  <c r="S92"/>
  <c r="AB744" i="9"/>
  <c r="AQ492"/>
  <c r="AC170"/>
  <c r="AB178"/>
  <c r="AC163"/>
  <c r="AC492"/>
  <c r="AQ902"/>
  <c r="AB466"/>
  <c r="AQ132"/>
  <c r="AQ466"/>
  <c r="AB350"/>
  <c r="AQ511"/>
  <c r="AC158"/>
  <c r="AC409"/>
  <c r="AC606"/>
  <c r="AP602"/>
  <c r="V602" s="1"/>
  <c r="S112" i="19"/>
  <c r="V373" i="9"/>
  <c r="AQ373" s="1"/>
  <c r="S106" i="19"/>
  <c r="AQ354" i="9"/>
  <c r="AQ344"/>
  <c r="S99" i="19"/>
  <c r="S40"/>
  <c r="S38"/>
  <c r="AB165" i="9"/>
  <c r="AB547"/>
  <c r="S85" i="19"/>
  <c r="J26" i="36"/>
  <c r="AC167" i="9"/>
  <c r="AC175"/>
  <c r="S49" i="19"/>
  <c r="S102"/>
  <c r="S35"/>
  <c r="AC487" i="9"/>
  <c r="L32" i="36" s="1"/>
  <c r="AQ867" i="9"/>
  <c r="AB867"/>
  <c r="AB65"/>
  <c r="AC139"/>
  <c r="S21" i="19"/>
  <c r="F50" i="36" s="1"/>
  <c r="J31"/>
  <c r="AC518" i="9"/>
  <c r="AC76"/>
  <c r="AB198"/>
  <c r="AB600"/>
  <c r="AB863"/>
  <c r="AB491"/>
  <c r="AB515"/>
  <c r="AQ405"/>
  <c r="AC107"/>
  <c r="BF107" s="1"/>
  <c r="AB503"/>
  <c r="AC481"/>
  <c r="AC394"/>
  <c r="AC511"/>
  <c r="AQ158"/>
  <c r="AB495"/>
  <c r="AB354"/>
  <c r="V309"/>
  <c r="AC309" s="1"/>
  <c r="AQ462"/>
  <c r="AQ448"/>
  <c r="AC541"/>
  <c r="AQ541"/>
  <c r="AC228"/>
  <c r="AC219"/>
  <c r="AC648"/>
  <c r="AC644"/>
  <c r="AC640"/>
  <c r="AC636"/>
  <c r="AC632"/>
  <c r="AC628"/>
  <c r="AC624"/>
  <c r="AB912"/>
  <c r="AP620"/>
  <c r="V620" s="1"/>
  <c r="S83" i="19"/>
  <c r="S63"/>
  <c r="S84"/>
  <c r="S47"/>
  <c r="S74"/>
  <c r="S33"/>
  <c r="AC193" i="9"/>
  <c r="AQ516"/>
  <c r="AB799"/>
  <c r="B106" i="8"/>
  <c r="AB490" i="9"/>
  <c r="AB506"/>
  <c r="AB756"/>
  <c r="AC67"/>
  <c r="AC102"/>
  <c r="AC141"/>
  <c r="AQ449"/>
  <c r="AC500"/>
  <c r="AB516"/>
  <c r="AB754"/>
  <c r="AQ547"/>
  <c r="AQ179"/>
  <c r="AQ413"/>
  <c r="AC66"/>
  <c r="AC187"/>
  <c r="AQ146"/>
  <c r="AC413"/>
  <c r="AQ537"/>
  <c r="AB596"/>
  <c r="AQ261"/>
  <c r="AC405"/>
  <c r="AQ481"/>
  <c r="AB758"/>
  <c r="B122" i="8"/>
  <c r="AQ257" i="9"/>
  <c r="AQ859"/>
  <c r="AQ417"/>
  <c r="AB425"/>
  <c r="AQ294"/>
  <c r="AC294"/>
  <c r="AB294"/>
  <c r="AC455"/>
  <c r="AQ455"/>
  <c r="AB455"/>
  <c r="AC618"/>
  <c r="AC610"/>
  <c r="AC602"/>
  <c r="S126" i="19"/>
  <c r="AB151" i="9"/>
  <c r="AB153" s="1"/>
  <c r="AC310"/>
  <c r="S114" i="19"/>
  <c r="AB412" i="9"/>
  <c r="AQ414"/>
  <c r="AB358"/>
  <c r="AQ412"/>
  <c r="V398"/>
  <c r="AB398" s="1"/>
  <c r="V397"/>
  <c r="AQ397" s="1"/>
  <c r="AP600"/>
  <c r="V600" s="1"/>
  <c r="S65" i="19"/>
  <c r="S69"/>
  <c r="S61"/>
  <c r="AC651" i="9"/>
  <c r="AQ198"/>
  <c r="AB859"/>
  <c r="AB78"/>
  <c r="AC157"/>
  <c r="S8" i="19"/>
  <c r="S95"/>
  <c r="AB194" i="9"/>
  <c r="AB260"/>
  <c r="AB357"/>
  <c r="AQ485"/>
  <c r="AB494"/>
  <c r="AB502"/>
  <c r="AC510"/>
  <c r="AC748"/>
  <c r="AB861"/>
  <c r="AC137"/>
  <c r="AB159"/>
  <c r="AC176"/>
  <c r="AB188"/>
  <c r="AB616"/>
  <c r="AB750"/>
  <c r="J29" i="36"/>
  <c r="AQ507" i="9"/>
  <c r="AQ499"/>
  <c r="AQ248"/>
  <c r="AB107"/>
  <c r="AB476"/>
  <c r="AC598"/>
  <c r="AC257"/>
  <c r="AC476"/>
  <c r="AB393"/>
  <c r="AQ197"/>
  <c r="AC417"/>
  <c r="AQ409"/>
  <c r="AB336"/>
  <c r="AC162"/>
  <c r="AQ336"/>
  <c r="AC805"/>
  <c r="AQ805"/>
  <c r="AB805"/>
  <c r="AC230"/>
  <c r="AC225"/>
  <c r="AC221"/>
  <c r="AC217"/>
  <c r="AC649"/>
  <c r="AC647"/>
  <c r="AC645"/>
  <c r="AC643"/>
  <c r="AC641"/>
  <c r="AC639"/>
  <c r="AC637"/>
  <c r="AC635"/>
  <c r="AC633"/>
  <c r="AC631"/>
  <c r="AC629"/>
  <c r="AC627"/>
  <c r="AC625"/>
  <c r="AC623"/>
  <c r="AC621"/>
  <c r="C181" i="12"/>
  <c r="AB537" i="9"/>
  <c r="AB352"/>
  <c r="AQ404"/>
  <c r="AB340"/>
  <c r="AB404"/>
  <c r="S73" i="19"/>
  <c r="S66"/>
  <c r="S64"/>
  <c r="S71"/>
  <c r="CN52" i="36"/>
  <c r="AC165" i="9"/>
  <c r="L26" i="36" s="1"/>
  <c r="S44" i="19"/>
  <c r="S46"/>
  <c r="S48"/>
  <c r="S72"/>
  <c r="AC179" i="9"/>
  <c r="S32" i="19"/>
  <c r="S34"/>
  <c r="S58"/>
  <c r="S60"/>
  <c r="F49" i="36" s="1"/>
  <c r="AC197" i="9"/>
  <c r="AB483"/>
  <c r="AB871"/>
  <c r="AQ883"/>
  <c r="AQ500"/>
  <c r="AQ141"/>
  <c r="AQ483"/>
  <c r="AQ871"/>
  <c r="AQ758"/>
  <c r="AQ108"/>
  <c r="AC65"/>
  <c r="AC78"/>
  <c r="AC131"/>
  <c r="BF131" s="1"/>
  <c r="BE131" s="1"/>
  <c r="AB139"/>
  <c r="AB157"/>
  <c r="S5" i="19"/>
  <c r="S7"/>
  <c r="AB174" i="9"/>
  <c r="S94" i="19"/>
  <c r="AC182" i="9"/>
  <c r="S20" i="19"/>
  <c r="AC194" i="9"/>
  <c r="AC260"/>
  <c r="AC349"/>
  <c r="AC357"/>
  <c r="AC485"/>
  <c r="AQ494"/>
  <c r="AQ502"/>
  <c r="AB510"/>
  <c r="AB518"/>
  <c r="AB748"/>
  <c r="AC861"/>
  <c r="AB76"/>
  <c r="AB102"/>
  <c r="AB137"/>
  <c r="AQ159"/>
  <c r="AB176"/>
  <c r="AB184"/>
  <c r="AQ508"/>
  <c r="AQ754"/>
  <c r="AC863"/>
  <c r="AB146"/>
  <c r="AQ515"/>
  <c r="AB261"/>
  <c r="AQ66"/>
  <c r="AQ491"/>
  <c r="AQ140"/>
  <c r="AQ187"/>
  <c r="AB74"/>
  <c r="AQ596"/>
  <c r="AQ74"/>
  <c r="AC231"/>
  <c r="AC229"/>
  <c r="AC226"/>
  <c r="AC224"/>
  <c r="AC222"/>
  <c r="AC220"/>
  <c r="AC620"/>
  <c r="AC616"/>
  <c r="AC612"/>
  <c r="AC608"/>
  <c r="AC604"/>
  <c r="AC600"/>
  <c r="AQ912"/>
  <c r="AQ114"/>
  <c r="S118" i="19"/>
  <c r="AB541" i="9"/>
  <c r="AC299"/>
  <c r="BF299" s="1"/>
  <c r="S127" i="19"/>
  <c r="S108"/>
  <c r="S119"/>
  <c r="AQ456" i="9"/>
  <c r="AB424"/>
  <c r="S91" i="19"/>
  <c r="S54"/>
  <c r="AB162" i="9"/>
  <c r="S101" i="19"/>
  <c r="AC171" i="9"/>
  <c r="S90" i="19"/>
  <c r="AC201" i="9"/>
  <c r="AB613"/>
  <c r="AB853"/>
  <c r="AQ825"/>
  <c r="AB262"/>
  <c r="AQ262"/>
  <c r="AQ599"/>
  <c r="S13" i="19"/>
  <c r="S97"/>
  <c r="AB595" i="9"/>
  <c r="AQ834"/>
  <c r="AC172"/>
  <c r="AB351"/>
  <c r="AB496"/>
  <c r="AC520"/>
  <c r="AB608"/>
  <c r="AQ750"/>
  <c r="AC902"/>
  <c r="AB507"/>
  <c r="AQ171"/>
  <c r="AQ421"/>
  <c r="AQ539"/>
  <c r="AQ350"/>
  <c r="AC619"/>
  <c r="AC617"/>
  <c r="AC615"/>
  <c r="AC613"/>
  <c r="AC611"/>
  <c r="AC609"/>
  <c r="AC607"/>
  <c r="AC605"/>
  <c r="AC603"/>
  <c r="AC601"/>
  <c r="AC599"/>
  <c r="AC912"/>
  <c r="S133" i="19"/>
  <c r="S120"/>
  <c r="S115"/>
  <c r="S110"/>
  <c r="S139"/>
  <c r="S125"/>
  <c r="S107"/>
  <c r="S111"/>
  <c r="S116"/>
  <c r="AC151" i="9"/>
  <c r="AC154" s="1"/>
  <c r="B109" i="8"/>
  <c r="AB414" i="9"/>
  <c r="AB410"/>
  <c r="AB439"/>
  <c r="AB456"/>
  <c r="AB406"/>
  <c r="AQ410"/>
  <c r="V308"/>
  <c r="AC308" s="1"/>
  <c r="S56" i="19"/>
  <c r="S52"/>
  <c r="AC652" i="9"/>
  <c r="AB605"/>
  <c r="AB258"/>
  <c r="AQ418"/>
  <c r="AB104"/>
  <c r="S11" i="19"/>
  <c r="S15"/>
  <c r="AB186" i="9"/>
  <c r="S96" i="19"/>
  <c r="AB514" i="9"/>
  <c r="AB752"/>
  <c r="AB827"/>
  <c r="AC834"/>
  <c r="AC147"/>
  <c r="AQ163"/>
  <c r="S42" i="19"/>
  <c r="AB180" i="9"/>
  <c r="AQ258"/>
  <c r="AB355"/>
  <c r="AB488"/>
  <c r="AB504"/>
  <c r="AC512"/>
  <c r="AB620"/>
  <c r="AB612"/>
  <c r="AB604"/>
  <c r="D182" i="12"/>
  <c r="B185"/>
  <c r="AB166" i="9"/>
  <c r="AQ166"/>
  <c r="AC247"/>
  <c r="AB247"/>
  <c r="AQ247"/>
  <c r="AC420"/>
  <c r="AB420"/>
  <c r="AC447"/>
  <c r="AB447"/>
  <c r="AC461"/>
  <c r="AB461"/>
  <c r="AB475"/>
  <c r="AQ475"/>
  <c r="AB651"/>
  <c r="AQ651"/>
  <c r="AC653"/>
  <c r="AQ653"/>
  <c r="AB653"/>
  <c r="AC655"/>
  <c r="AQ655"/>
  <c r="AB655"/>
  <c r="AC168"/>
  <c r="AB168"/>
  <c r="AC246"/>
  <c r="AB246"/>
  <c r="AQ246"/>
  <c r="AC259"/>
  <c r="AB259"/>
  <c r="AQ259"/>
  <c r="AC338"/>
  <c r="AQ338"/>
  <c r="AB338"/>
  <c r="AC348"/>
  <c r="AQ348"/>
  <c r="AC356"/>
  <c r="AQ356"/>
  <c r="AC411"/>
  <c r="AB411"/>
  <c r="AQ411"/>
  <c r="AC419"/>
  <c r="AB419"/>
  <c r="AQ419"/>
  <c r="AC440"/>
  <c r="AB440"/>
  <c r="AQ440"/>
  <c r="AC450"/>
  <c r="AB450"/>
  <c r="AQ450"/>
  <c r="AC457"/>
  <c r="AQ457"/>
  <c r="AB457"/>
  <c r="AC464"/>
  <c r="AQ464"/>
  <c r="AB464"/>
  <c r="AC479"/>
  <c r="AQ479"/>
  <c r="AC489"/>
  <c r="AB489"/>
  <c r="AQ489"/>
  <c r="AC497"/>
  <c r="AB497"/>
  <c r="AQ497"/>
  <c r="AC505"/>
  <c r="AB505"/>
  <c r="AQ505"/>
  <c r="AC513"/>
  <c r="AB513"/>
  <c r="AQ513"/>
  <c r="AC521"/>
  <c r="AB521"/>
  <c r="AQ521"/>
  <c r="AC803"/>
  <c r="AB803"/>
  <c r="AQ803"/>
  <c r="AC900"/>
  <c r="AB900"/>
  <c r="AQ900"/>
  <c r="AB67"/>
  <c r="AQ67"/>
  <c r="AC133"/>
  <c r="AB133"/>
  <c r="AC148"/>
  <c r="AB148"/>
  <c r="AQ148"/>
  <c r="AC173"/>
  <c r="AB173"/>
  <c r="AQ173"/>
  <c r="AC181"/>
  <c r="AB181"/>
  <c r="AQ181"/>
  <c r="AB193"/>
  <c r="AQ193"/>
  <c r="AC205"/>
  <c r="AQ205"/>
  <c r="AC255"/>
  <c r="AQ255"/>
  <c r="AC263"/>
  <c r="AB263"/>
  <c r="AQ263"/>
  <c r="AC342"/>
  <c r="AB342"/>
  <c r="AC360"/>
  <c r="AQ360"/>
  <c r="AC407"/>
  <c r="AQ407"/>
  <c r="AB407"/>
  <c r="AC415"/>
  <c r="AB415"/>
  <c r="AQ415"/>
  <c r="AC423"/>
  <c r="AQ423"/>
  <c r="AB423"/>
  <c r="AC467"/>
  <c r="AB467"/>
  <c r="AC523"/>
  <c r="AQ523"/>
  <c r="AC879"/>
  <c r="AB879"/>
  <c r="AQ879"/>
  <c r="BG30" i="8"/>
  <c r="AB645" i="9"/>
  <c r="AB633"/>
  <c r="AB627"/>
  <c r="AB628"/>
  <c r="AB642"/>
  <c r="AB625"/>
  <c r="AB624"/>
  <c r="AB644"/>
  <c r="AB647"/>
  <c r="AB634"/>
  <c r="AB641"/>
  <c r="AB636"/>
  <c r="AB629"/>
  <c r="AB632"/>
  <c r="AB622"/>
  <c r="AB623"/>
  <c r="AB648"/>
  <c r="AB635"/>
  <c r="AB643"/>
  <c r="AB631"/>
  <c r="AB630"/>
  <c r="AB626"/>
  <c r="AQ621"/>
  <c r="AB638"/>
  <c r="AB640"/>
  <c r="AB650"/>
  <c r="AB639"/>
  <c r="AB646"/>
  <c r="AB649"/>
  <c r="AB637"/>
  <c r="AB621"/>
  <c r="AC797"/>
  <c r="AB797"/>
  <c r="AQ797"/>
  <c r="AC855"/>
  <c r="AB855"/>
  <c r="AQ855"/>
  <c r="AC873"/>
  <c r="AB873"/>
  <c r="AQ873"/>
  <c r="C183" i="12"/>
  <c r="C186"/>
  <c r="C185"/>
  <c r="AB418" i="9"/>
  <c r="AB422"/>
  <c r="AQ416"/>
  <c r="AB416"/>
  <c r="AQ424"/>
  <c r="AQ422"/>
  <c r="V304"/>
  <c r="AQ304" s="1"/>
  <c r="C182" i="12"/>
  <c r="AP604" i="9"/>
  <c r="V604" s="1"/>
  <c r="S55" i="19"/>
  <c r="S53"/>
  <c r="AB601" i="9"/>
  <c r="AB609"/>
  <c r="AB617"/>
  <c r="AB359"/>
  <c r="AQ172"/>
  <c r="AQ520"/>
  <c r="AQ355"/>
  <c r="AQ406"/>
  <c r="AB599"/>
  <c r="AQ188"/>
  <c r="AC104"/>
  <c r="AB170"/>
  <c r="S10" i="19"/>
  <c r="S12"/>
  <c r="F47" i="36" s="1"/>
  <c r="S14" i="19"/>
  <c r="S16"/>
  <c r="AC178" i="9"/>
  <c r="AC186"/>
  <c r="AB200"/>
  <c r="AC200"/>
  <c r="AC490"/>
  <c r="AB498"/>
  <c r="AC506"/>
  <c r="AC514"/>
  <c r="AC595"/>
  <c r="AC752"/>
  <c r="AC756"/>
  <c r="AC827"/>
  <c r="AB865"/>
  <c r="AB147"/>
  <c r="S145" i="19"/>
  <c r="AB172" i="9"/>
  <c r="AQ180"/>
  <c r="AC351"/>
  <c r="AC449"/>
  <c r="AC488"/>
  <c r="AC496"/>
  <c r="AC504"/>
  <c r="AB512"/>
  <c r="J141" i="36"/>
  <c r="AB618" i="9"/>
  <c r="AB614"/>
  <c r="AB610"/>
  <c r="AB606"/>
  <c r="AC72"/>
  <c r="AB72"/>
  <c r="B120" i="8"/>
  <c r="AQ72" i="9"/>
  <c r="AB135"/>
  <c r="AQ135"/>
  <c r="AC256"/>
  <c r="AB256"/>
  <c r="AQ256"/>
  <c r="AC264"/>
  <c r="AB264"/>
  <c r="AQ264"/>
  <c r="AC353"/>
  <c r="AB353"/>
  <c r="AQ353"/>
  <c r="AC361"/>
  <c r="AQ361"/>
  <c r="AB361"/>
  <c r="AC408"/>
  <c r="AB408"/>
  <c r="AC454"/>
  <c r="AB454"/>
  <c r="AC465"/>
  <c r="AQ465"/>
  <c r="AC480"/>
  <c r="AB480"/>
  <c r="AQ480"/>
  <c r="AC532"/>
  <c r="AQ532"/>
  <c r="AB652"/>
  <c r="AQ652"/>
  <c r="AQ654"/>
  <c r="AB654"/>
  <c r="AC656"/>
  <c r="AB656"/>
  <c r="AC6"/>
  <c r="BF6" s="1"/>
  <c r="BE6" s="1"/>
  <c r="AQ6"/>
  <c r="AB6"/>
  <c r="AC77"/>
  <c r="AB77"/>
  <c r="AQ77"/>
  <c r="AC109"/>
  <c r="AB109"/>
  <c r="AQ109"/>
  <c r="AC138"/>
  <c r="AQ138"/>
  <c r="AB138"/>
  <c r="AC160"/>
  <c r="AB160"/>
  <c r="AQ160"/>
  <c r="AC169"/>
  <c r="L27" i="36" s="1"/>
  <c r="AQ169" i="9"/>
  <c r="AB169"/>
  <c r="AC177"/>
  <c r="AQ177"/>
  <c r="AB177"/>
  <c r="AC185"/>
  <c r="AQ185"/>
  <c r="AB185"/>
  <c r="AC199"/>
  <c r="AQ199"/>
  <c r="AB199"/>
  <c r="AC439"/>
  <c r="AQ439"/>
  <c r="AC463"/>
  <c r="AB463"/>
  <c r="AC477"/>
  <c r="AQ477"/>
  <c r="AC529"/>
  <c r="AB529"/>
  <c r="AQ529"/>
  <c r="AC594"/>
  <c r="AB594"/>
  <c r="AQ594"/>
  <c r="AC869"/>
  <c r="AQ869"/>
  <c r="AB869"/>
  <c r="AC70"/>
  <c r="AB70"/>
  <c r="B119" i="8"/>
  <c r="AQ70" i="9"/>
  <c r="AC103"/>
  <c r="AB103"/>
  <c r="AQ103"/>
  <c r="AC134"/>
  <c r="AQ134"/>
  <c r="AC254"/>
  <c r="AB254"/>
  <c r="AQ254"/>
  <c r="AC446"/>
  <c r="AQ446"/>
  <c r="AB446"/>
  <c r="AC460"/>
  <c r="AQ460"/>
  <c r="AB460"/>
  <c r="AC468"/>
  <c r="AQ468"/>
  <c r="AB468"/>
  <c r="AC484"/>
  <c r="AQ484"/>
  <c r="AB484"/>
  <c r="AC493"/>
  <c r="AB493"/>
  <c r="AQ493"/>
  <c r="AC501"/>
  <c r="AB501"/>
  <c r="AQ501"/>
  <c r="AC509"/>
  <c r="AB509"/>
  <c r="AQ509"/>
  <c r="AC517"/>
  <c r="AB517"/>
  <c r="AQ517"/>
  <c r="AC559"/>
  <c r="AB559"/>
  <c r="AB603"/>
  <c r="AB611"/>
  <c r="AB619"/>
  <c r="AB607"/>
  <c r="AB615"/>
  <c r="AQ196"/>
  <c r="S150" i="19"/>
  <c r="V306" i="9"/>
  <c r="AC306" s="1"/>
  <c r="V156"/>
  <c r="D180" i="12"/>
  <c r="D186"/>
  <c r="B184"/>
  <c r="AC68" i="9"/>
  <c r="AB68"/>
  <c r="AQ68"/>
  <c r="AC80"/>
  <c r="AB80"/>
  <c r="AQ80"/>
  <c r="AC83"/>
  <c r="AB83"/>
  <c r="AQ83"/>
  <c r="B113" i="8"/>
  <c r="AC85" i="9"/>
  <c r="B115" i="8"/>
  <c r="AQ85" i="9"/>
  <c r="AB85"/>
  <c r="AC87"/>
  <c r="AB87"/>
  <c r="B116" i="8"/>
  <c r="AQ87" i="9"/>
  <c r="AC89"/>
  <c r="AQ89"/>
  <c r="AB89"/>
  <c r="AC91"/>
  <c r="B90" i="8"/>
  <c r="AB91" i="9"/>
  <c r="AQ91"/>
  <c r="AC191"/>
  <c r="S169" i="19"/>
  <c r="S167"/>
  <c r="S165"/>
  <c r="S163"/>
  <c r="S161"/>
  <c r="S168"/>
  <c r="S164"/>
  <c r="S160"/>
  <c r="AB191" i="9"/>
  <c r="S170" i="19"/>
  <c r="S166"/>
  <c r="S162"/>
  <c r="AQ191" i="9"/>
  <c r="AC240"/>
  <c r="AQ240"/>
  <c r="AB240"/>
  <c r="AC244"/>
  <c r="AB244"/>
  <c r="AQ244"/>
  <c r="AC270"/>
  <c r="AQ270"/>
  <c r="AB270"/>
  <c r="AC272"/>
  <c r="AQ272"/>
  <c r="AB272"/>
  <c r="AC274"/>
  <c r="AB274"/>
  <c r="AQ274"/>
  <c r="AC290"/>
  <c r="AQ290"/>
  <c r="AB290"/>
  <c r="AC292"/>
  <c r="AB292"/>
  <c r="AQ292"/>
  <c r="AC300"/>
  <c r="AQ300"/>
  <c r="AB300"/>
  <c r="AC311"/>
  <c r="AB311"/>
  <c r="AQ311"/>
  <c r="AC314"/>
  <c r="AB314"/>
  <c r="AQ314"/>
  <c r="AC316"/>
  <c r="AQ316"/>
  <c r="AB316"/>
  <c r="AC318"/>
  <c r="AB318"/>
  <c r="AQ318"/>
  <c r="AC320"/>
  <c r="AB320"/>
  <c r="AQ320"/>
  <c r="AC322"/>
  <c r="AQ322"/>
  <c r="AB322"/>
  <c r="AC324"/>
  <c r="AB324"/>
  <c r="AQ324"/>
  <c r="AC326"/>
  <c r="AB326"/>
  <c r="AQ326"/>
  <c r="AC328"/>
  <c r="AQ328"/>
  <c r="AB328"/>
  <c r="AC330"/>
  <c r="AQ330"/>
  <c r="AB330"/>
  <c r="AC332"/>
  <c r="AQ332"/>
  <c r="AB332"/>
  <c r="AC334"/>
  <c r="AB334"/>
  <c r="AQ334"/>
  <c r="AC364"/>
  <c r="AB364"/>
  <c r="AQ364"/>
  <c r="AC366"/>
  <c r="AQ366"/>
  <c r="AB366"/>
  <c r="AC368"/>
  <c r="AQ368"/>
  <c r="AB368"/>
  <c r="AC370"/>
  <c r="AQ370"/>
  <c r="AB370"/>
  <c r="AC560"/>
  <c r="AB560"/>
  <c r="AQ560"/>
  <c r="AC562"/>
  <c r="AB562"/>
  <c r="AQ562"/>
  <c r="AC568"/>
  <c r="AB568"/>
  <c r="AQ568"/>
  <c r="AC588"/>
  <c r="BF588" s="1"/>
  <c r="BE588" s="1"/>
  <c r="J146" i="36"/>
  <c r="AB588" i="9"/>
  <c r="AQ588"/>
  <c r="AC590"/>
  <c r="J148" i="36"/>
  <c r="AB590" i="9"/>
  <c r="AC592"/>
  <c r="AB592"/>
  <c r="AQ592"/>
  <c r="AC658"/>
  <c r="AB658"/>
  <c r="AC660"/>
  <c r="AB660"/>
  <c r="AC665"/>
  <c r="J138" i="36"/>
  <c r="AQ665" i="9"/>
  <c r="AB665"/>
  <c r="AC667"/>
  <c r="J140" i="36"/>
  <c r="AB667" i="9"/>
  <c r="AQ667"/>
  <c r="AC723"/>
  <c r="B66" i="8"/>
  <c r="AB723" i="9"/>
  <c r="AQ723"/>
  <c r="AC725"/>
  <c r="B68" i="8"/>
  <c r="AQ725" i="9"/>
  <c r="AB725"/>
  <c r="AC727"/>
  <c r="B70" i="8"/>
  <c r="AB727" i="9"/>
  <c r="AQ727"/>
  <c r="AC729"/>
  <c r="B72" i="8"/>
  <c r="AQ729" i="9"/>
  <c r="AB729"/>
  <c r="AC731"/>
  <c r="B74" i="8"/>
  <c r="AQ731" i="9"/>
  <c r="AB731"/>
  <c r="AC733"/>
  <c r="B76" i="8"/>
  <c r="AQ733" i="9"/>
  <c r="AB733"/>
  <c r="AC735"/>
  <c r="B78" i="8"/>
  <c r="AB735" i="9"/>
  <c r="AQ735"/>
  <c r="AC737"/>
  <c r="B80" i="8"/>
  <c r="AQ737" i="9"/>
  <c r="AB737"/>
  <c r="AC739"/>
  <c r="B82" i="8"/>
  <c r="AQ739" i="9"/>
  <c r="AB739"/>
  <c r="AC787"/>
  <c r="E11" i="29"/>
  <c r="AB787" i="9"/>
  <c r="AQ787"/>
  <c r="AC791"/>
  <c r="BF791" s="1"/>
  <c r="BE791" s="1"/>
  <c r="B97" i="8"/>
  <c r="AB791" i="9"/>
  <c r="AQ791"/>
  <c r="AB793"/>
  <c r="AQ793"/>
  <c r="AC8"/>
  <c r="AB8"/>
  <c r="AQ8"/>
  <c r="AC10"/>
  <c r="AB10"/>
  <c r="AQ10"/>
  <c r="AC12"/>
  <c r="B100" i="8"/>
  <c r="AQ12" i="9"/>
  <c r="AB12"/>
  <c r="AC17"/>
  <c r="AB17"/>
  <c r="AQ17"/>
  <c r="AC19"/>
  <c r="AB19"/>
  <c r="AQ19"/>
  <c r="AC21"/>
  <c r="AB21"/>
  <c r="AQ21"/>
  <c r="AC23"/>
  <c r="AB23"/>
  <c r="AQ23"/>
  <c r="AC25"/>
  <c r="AB25"/>
  <c r="AQ25"/>
  <c r="AC27"/>
  <c r="AB27"/>
  <c r="AQ27"/>
  <c r="AC30"/>
  <c r="AB30"/>
  <c r="AQ30"/>
  <c r="AC32"/>
  <c r="AB32"/>
  <c r="AQ32"/>
  <c r="AC34"/>
  <c r="AB34"/>
  <c r="AQ34"/>
  <c r="AC37"/>
  <c r="AB37"/>
  <c r="AQ37"/>
  <c r="AC39"/>
  <c r="AB39"/>
  <c r="AQ39"/>
  <c r="AC42"/>
  <c r="AQ42"/>
  <c r="AB42"/>
  <c r="AC44"/>
  <c r="AQ44"/>
  <c r="AB44"/>
  <c r="AC46"/>
  <c r="AQ46"/>
  <c r="AB46"/>
  <c r="AC52"/>
  <c r="AQ52"/>
  <c r="AB52"/>
  <c r="AC61"/>
  <c r="AB61"/>
  <c r="AQ61"/>
  <c r="AC63"/>
  <c r="AQ63"/>
  <c r="AB63"/>
  <c r="AC95"/>
  <c r="AB95"/>
  <c r="AQ95"/>
  <c r="AC99"/>
  <c r="AB99"/>
  <c r="B94" i="8"/>
  <c r="AQ99" i="9"/>
  <c r="AC115"/>
  <c r="AB115"/>
  <c r="AQ115"/>
  <c r="AC117"/>
  <c r="AQ117"/>
  <c r="AB117"/>
  <c r="AC121"/>
  <c r="AB121"/>
  <c r="AQ121"/>
  <c r="AC123"/>
  <c r="AB123"/>
  <c r="AQ123"/>
  <c r="AC127"/>
  <c r="AB127"/>
  <c r="AQ127"/>
  <c r="AC208"/>
  <c r="AQ208"/>
  <c r="AB208"/>
  <c r="AC210"/>
  <c r="AB210"/>
  <c r="AQ210"/>
  <c r="AC214"/>
  <c r="BF214" s="1"/>
  <c r="BE214" s="1"/>
  <c r="B102" i="8"/>
  <c r="AQ214" i="9"/>
  <c r="AB214"/>
  <c r="AC216"/>
  <c r="AQ216"/>
  <c r="AB216"/>
  <c r="AC233"/>
  <c r="AQ233"/>
  <c r="AB233"/>
  <c r="AC252"/>
  <c r="AB252"/>
  <c r="AQ252"/>
  <c r="AC279"/>
  <c r="B104" i="8"/>
  <c r="AQ279" i="9"/>
  <c r="AB279"/>
  <c r="AC281"/>
  <c r="AQ281"/>
  <c r="AB281"/>
  <c r="AC283"/>
  <c r="AQ283"/>
  <c r="AB283"/>
  <c r="AC285"/>
  <c r="AB285"/>
  <c r="AQ285"/>
  <c r="AC287"/>
  <c r="B110" i="8"/>
  <c r="AQ287" i="9"/>
  <c r="AB287"/>
  <c r="AC377"/>
  <c r="AQ377"/>
  <c r="AB377"/>
  <c r="AC381"/>
  <c r="AQ381"/>
  <c r="AB381"/>
  <c r="AC383"/>
  <c r="AQ383"/>
  <c r="AB383"/>
  <c r="AC385"/>
  <c r="AB385"/>
  <c r="AQ385"/>
  <c r="AC387"/>
  <c r="AQ387"/>
  <c r="AB387"/>
  <c r="AC427"/>
  <c r="AQ427"/>
  <c r="AB427"/>
  <c r="AC429"/>
  <c r="AQ429"/>
  <c r="AB429"/>
  <c r="AC431"/>
  <c r="AB431"/>
  <c r="AQ431"/>
  <c r="AC433"/>
  <c r="AB433"/>
  <c r="AQ433"/>
  <c r="AC435"/>
  <c r="AQ435"/>
  <c r="AB435"/>
  <c r="AC437"/>
  <c r="AB437"/>
  <c r="AQ437"/>
  <c r="AC470"/>
  <c r="AQ470"/>
  <c r="AB470"/>
  <c r="AC554"/>
  <c r="BF554" s="1"/>
  <c r="BE554" s="1"/>
  <c r="AB554"/>
  <c r="AQ554"/>
  <c r="AC565"/>
  <c r="AB565"/>
  <c r="AQ565"/>
  <c r="AC753"/>
  <c r="AB753"/>
  <c r="AQ753"/>
  <c r="AC782"/>
  <c r="BF782" s="1"/>
  <c r="BE782" s="1"/>
  <c r="AB782"/>
  <c r="J8" i="29" s="1"/>
  <c r="V230" i="36" s="1"/>
  <c r="AQ782" i="9"/>
  <c r="E8" i="29"/>
  <c r="J230" i="36" s="1"/>
  <c r="AC784" i="9"/>
  <c r="L30" i="36" s="1"/>
  <c r="J30"/>
  <c r="E3" i="29"/>
  <c r="AQ784" i="9"/>
  <c r="AB784"/>
  <c r="AC798"/>
  <c r="AB798"/>
  <c r="AQ798"/>
  <c r="AC811"/>
  <c r="AB811"/>
  <c r="AQ811"/>
  <c r="AC813"/>
  <c r="AB813"/>
  <c r="AQ813"/>
  <c r="AC823"/>
  <c r="AB823"/>
  <c r="AQ823"/>
  <c r="AC828"/>
  <c r="AB828"/>
  <c r="AQ828"/>
  <c r="AC839"/>
  <c r="L22" i="36" s="1"/>
  <c r="J22"/>
  <c r="AQ839" i="9"/>
  <c r="AB839"/>
  <c r="AC841"/>
  <c r="L23" i="36" s="1"/>
  <c r="J23"/>
  <c r="AQ841" i="9"/>
  <c r="AB841"/>
  <c r="AC843"/>
  <c r="AB843"/>
  <c r="AQ843"/>
  <c r="AC845"/>
  <c r="B99" i="8"/>
  <c r="AB845" i="9"/>
  <c r="AQ845"/>
  <c r="AC849"/>
  <c r="BF849" s="1"/>
  <c r="BE849" s="1"/>
  <c r="AB849"/>
  <c r="AQ849"/>
  <c r="AC851"/>
  <c r="AB851"/>
  <c r="AQ851"/>
  <c r="AC858"/>
  <c r="BF858" s="1"/>
  <c r="BF859" s="1"/>
  <c r="BE859" s="1"/>
  <c r="AB858"/>
  <c r="AQ858"/>
  <c r="AC866"/>
  <c r="AQ866"/>
  <c r="AB866"/>
  <c r="AC874"/>
  <c r="AB874"/>
  <c r="AQ874"/>
  <c r="AC751"/>
  <c r="AB751"/>
  <c r="AQ751"/>
  <c r="AC762"/>
  <c r="AB762"/>
  <c r="AQ762"/>
  <c r="AC768"/>
  <c r="AB768"/>
  <c r="AQ768"/>
  <c r="AC826"/>
  <c r="AQ826"/>
  <c r="AB826"/>
  <c r="AC833"/>
  <c r="AQ833"/>
  <c r="AB833"/>
  <c r="AC860"/>
  <c r="AB860"/>
  <c r="AQ860"/>
  <c r="AC868"/>
  <c r="AB868"/>
  <c r="AQ868"/>
  <c r="AC887"/>
  <c r="BF887" s="1"/>
  <c r="BE887" s="1"/>
  <c r="BB887" s="1"/>
  <c r="AQ887"/>
  <c r="AB887"/>
  <c r="AC889"/>
  <c r="AB889"/>
  <c r="AQ889"/>
  <c r="AC891"/>
  <c r="AQ891"/>
  <c r="AB891"/>
  <c r="AC893"/>
  <c r="AB893"/>
  <c r="AQ893"/>
  <c r="AC895"/>
  <c r="AB895"/>
  <c r="AQ895"/>
  <c r="AC903"/>
  <c r="AB903"/>
  <c r="AQ903"/>
  <c r="AC73"/>
  <c r="AB73"/>
  <c r="AQ73"/>
  <c r="B121" i="8"/>
  <c r="AC81" i="9"/>
  <c r="AB81"/>
  <c r="AQ81"/>
  <c r="AC84"/>
  <c r="AB84"/>
  <c r="B114" i="8"/>
  <c r="AQ84" i="9"/>
  <c r="AC86"/>
  <c r="AB86"/>
  <c r="AQ86"/>
  <c r="AC88"/>
  <c r="AB88"/>
  <c r="B117" i="8"/>
  <c r="AQ88" i="9"/>
  <c r="AC90"/>
  <c r="AB90"/>
  <c r="AQ90"/>
  <c r="AC190"/>
  <c r="S159" i="19"/>
  <c r="S158"/>
  <c r="AQ190" i="9"/>
  <c r="AB190"/>
  <c r="AC239"/>
  <c r="AQ239"/>
  <c r="AB239"/>
  <c r="AC241"/>
  <c r="AB241"/>
  <c r="AQ241"/>
  <c r="AC267"/>
  <c r="B108" i="8"/>
  <c r="AB267" i="9"/>
  <c r="AQ267"/>
  <c r="AC271"/>
  <c r="AB271"/>
  <c r="AQ271"/>
  <c r="AC273"/>
  <c r="AB273"/>
  <c r="AQ273"/>
  <c r="AC289"/>
  <c r="AB289"/>
  <c r="AQ289"/>
  <c r="AC291"/>
  <c r="AB291"/>
  <c r="AQ291"/>
  <c r="AB299"/>
  <c r="AQ299"/>
  <c r="AB310"/>
  <c r="AQ310"/>
  <c r="AC363"/>
  <c r="AB363"/>
  <c r="AQ363"/>
  <c r="AC365"/>
  <c r="AB365"/>
  <c r="AQ365"/>
  <c r="AC367"/>
  <c r="AQ367"/>
  <c r="AB367"/>
  <c r="AC369"/>
  <c r="AB369"/>
  <c r="AQ369"/>
  <c r="AC371"/>
  <c r="AQ371"/>
  <c r="AB371"/>
  <c r="AC561"/>
  <c r="AB561"/>
  <c r="AQ561"/>
  <c r="AC563"/>
  <c r="AB563"/>
  <c r="AQ563"/>
  <c r="AC581"/>
  <c r="AB581"/>
  <c r="AQ581"/>
  <c r="AC589"/>
  <c r="AB589"/>
  <c r="J147" i="36"/>
  <c r="AQ589" i="9"/>
  <c r="AC591"/>
  <c r="J149" i="36"/>
  <c r="AB591" i="9"/>
  <c r="AQ591"/>
  <c r="AC657"/>
  <c r="AB657"/>
  <c r="AC659"/>
  <c r="AB659"/>
  <c r="AC661"/>
  <c r="AB661"/>
  <c r="AC666"/>
  <c r="J139" i="36"/>
  <c r="AB666" i="9"/>
  <c r="AQ666"/>
  <c r="AC722"/>
  <c r="B65" i="8"/>
  <c r="AQ722" i="9"/>
  <c r="AB722"/>
  <c r="AC724"/>
  <c r="B67" i="8"/>
  <c r="AB724" i="9"/>
  <c r="AQ724"/>
  <c r="AC726"/>
  <c r="B69" i="8"/>
  <c r="AQ726" i="9"/>
  <c r="AB726"/>
  <c r="AC728"/>
  <c r="B71" i="8"/>
  <c r="AQ728" i="9"/>
  <c r="AB728"/>
  <c r="AC730"/>
  <c r="B73" i="8"/>
  <c r="AB730" i="9"/>
  <c r="AQ730"/>
  <c r="AC732"/>
  <c r="B75" i="8"/>
  <c r="AQ732" i="9"/>
  <c r="AB732"/>
  <c r="AC734"/>
  <c r="B77" i="8"/>
  <c r="AB734" i="9"/>
  <c r="AQ734"/>
  <c r="AC736"/>
  <c r="B79" i="8"/>
  <c r="AB736" i="9"/>
  <c r="AQ736"/>
  <c r="AC738"/>
  <c r="B81" i="8"/>
  <c r="AQ738" i="9"/>
  <c r="AB738"/>
  <c r="AC740"/>
  <c r="B83" i="8"/>
  <c r="AQ740" i="9"/>
  <c r="AB740"/>
  <c r="AC788"/>
  <c r="AB788"/>
  <c r="AQ788"/>
  <c r="E4" i="29"/>
  <c r="J226" i="36" s="1"/>
  <c r="AC792" i="9"/>
  <c r="AB792"/>
  <c r="AQ792"/>
  <c r="AC9"/>
  <c r="AQ9"/>
  <c r="AB9"/>
  <c r="AC11"/>
  <c r="AB11"/>
  <c r="AQ11"/>
  <c r="AC13"/>
  <c r="AB13"/>
  <c r="AQ13"/>
  <c r="AC18"/>
  <c r="AQ18"/>
  <c r="AB18"/>
  <c r="AC20"/>
  <c r="AB20"/>
  <c r="AQ20"/>
  <c r="AC22"/>
  <c r="AQ22"/>
  <c r="AB22"/>
  <c r="AC24"/>
  <c r="AQ24"/>
  <c r="AB24"/>
  <c r="AC26"/>
  <c r="AB26"/>
  <c r="AQ26"/>
  <c r="AC28"/>
  <c r="AB28"/>
  <c r="AQ28"/>
  <c r="AC31"/>
  <c r="AQ31"/>
  <c r="AB31"/>
  <c r="AC33"/>
  <c r="AB33"/>
  <c r="AQ33"/>
  <c r="AC36"/>
  <c r="AB36"/>
  <c r="AQ36"/>
  <c r="AC38"/>
  <c r="AB38"/>
  <c r="AQ38"/>
  <c r="AC40"/>
  <c r="AQ40"/>
  <c r="AB40"/>
  <c r="AC43"/>
  <c r="AQ43"/>
  <c r="AB43"/>
  <c r="AC45"/>
  <c r="AQ45"/>
  <c r="AB45"/>
  <c r="AC48"/>
  <c r="AQ48"/>
  <c r="AB48"/>
  <c r="AC59"/>
  <c r="AB59"/>
  <c r="AQ59"/>
  <c r="AC62"/>
  <c r="AB62"/>
  <c r="AQ62"/>
  <c r="AC71"/>
  <c r="AB71"/>
  <c r="AQ71"/>
  <c r="AC96"/>
  <c r="AQ96"/>
  <c r="AB96"/>
  <c r="AC101"/>
  <c r="B92" i="8"/>
  <c r="AB101" i="9"/>
  <c r="AQ101"/>
  <c r="AC116"/>
  <c r="AQ116"/>
  <c r="AB116"/>
  <c r="AC118"/>
  <c r="AB118"/>
  <c r="AQ118"/>
  <c r="AC126"/>
  <c r="AQ126"/>
  <c r="AB126"/>
  <c r="AC207"/>
  <c r="AQ207"/>
  <c r="AB207"/>
  <c r="AC209"/>
  <c r="AQ209"/>
  <c r="AB209"/>
  <c r="AC211"/>
  <c r="AB211"/>
  <c r="S76" i="19"/>
  <c r="AQ211" i="9"/>
  <c r="AC215"/>
  <c r="AB215"/>
  <c r="AQ215"/>
  <c r="B101" i="8"/>
  <c r="AB229" i="9"/>
  <c r="AB224"/>
  <c r="AB221"/>
  <c r="AB232"/>
  <c r="AQ217"/>
  <c r="AB226"/>
  <c r="AB217"/>
  <c r="AB219"/>
  <c r="AB223"/>
  <c r="AB220"/>
  <c r="AB228"/>
  <c r="AB222"/>
  <c r="AB231"/>
  <c r="AB230"/>
  <c r="AB218"/>
  <c r="AB225"/>
  <c r="AC251"/>
  <c r="AB251"/>
  <c r="AQ251"/>
  <c r="AC278"/>
  <c r="B105" i="8"/>
  <c r="AQ278" i="9"/>
  <c r="AB278"/>
  <c r="AC280"/>
  <c r="B111" i="8"/>
  <c r="AQ280" i="9"/>
  <c r="AB280"/>
  <c r="AC282"/>
  <c r="AB282"/>
  <c r="AQ282"/>
  <c r="AC284"/>
  <c r="AQ284"/>
  <c r="AB284"/>
  <c r="AC286"/>
  <c r="AB286"/>
  <c r="AQ286"/>
  <c r="AC376"/>
  <c r="AQ376"/>
  <c r="AB376"/>
  <c r="AC378"/>
  <c r="AB378"/>
  <c r="AQ378"/>
  <c r="AC382"/>
  <c r="AQ382"/>
  <c r="AB382"/>
  <c r="AC384"/>
  <c r="AQ384"/>
  <c r="AB384"/>
  <c r="AC386"/>
  <c r="AB386"/>
  <c r="AQ386"/>
  <c r="AC388"/>
  <c r="AB388"/>
  <c r="AQ388"/>
  <c r="AC442"/>
  <c r="AQ442"/>
  <c r="AB442"/>
  <c r="AC444"/>
  <c r="AQ444"/>
  <c r="AB444"/>
  <c r="AC473"/>
  <c r="BF473" s="1"/>
  <c r="BE473" s="1"/>
  <c r="AB473"/>
  <c r="AQ473"/>
  <c r="AC555"/>
  <c r="AQ555"/>
  <c r="AB555"/>
  <c r="AC564"/>
  <c r="AB564"/>
  <c r="AQ564"/>
  <c r="AC566"/>
  <c r="AB566"/>
  <c r="AQ566"/>
  <c r="AC749"/>
  <c r="AB749"/>
  <c r="AQ749"/>
  <c r="AC757"/>
  <c r="AB757"/>
  <c r="AQ757"/>
  <c r="AC783"/>
  <c r="AB783"/>
  <c r="J9" i="29" s="1"/>
  <c r="V231" i="36" s="1"/>
  <c r="AQ783" i="9"/>
  <c r="E9" i="29"/>
  <c r="J231" i="36" s="1"/>
  <c r="AC785" i="9"/>
  <c r="AQ785"/>
  <c r="AB785"/>
  <c r="AC812"/>
  <c r="AB812"/>
  <c r="AQ812"/>
  <c r="AC814"/>
  <c r="AB814"/>
  <c r="AQ814"/>
  <c r="AC824"/>
  <c r="AB824"/>
  <c r="AQ824"/>
  <c r="AC838"/>
  <c r="J20" i="36"/>
  <c r="AQ838" i="9"/>
  <c r="AB838"/>
  <c r="AC840"/>
  <c r="L21" i="36" s="1"/>
  <c r="J21"/>
  <c r="AQ840" i="9"/>
  <c r="AB840"/>
  <c r="AC842"/>
  <c r="L24" i="36" s="1"/>
  <c r="J24"/>
  <c r="AQ842" i="9"/>
  <c r="AB842"/>
  <c r="AC844"/>
  <c r="AB844"/>
  <c r="AQ844"/>
  <c r="AC846"/>
  <c r="AB846"/>
  <c r="AQ846"/>
  <c r="AC850"/>
  <c r="AQ850"/>
  <c r="AB850"/>
  <c r="AC852"/>
  <c r="AQ852"/>
  <c r="AB852"/>
  <c r="AC862"/>
  <c r="AB862"/>
  <c r="AQ862"/>
  <c r="AC870"/>
  <c r="AB870"/>
  <c r="AQ870"/>
  <c r="AC901"/>
  <c r="AB901"/>
  <c r="AQ901"/>
  <c r="AC755"/>
  <c r="AB755"/>
  <c r="AQ755"/>
  <c r="AC763"/>
  <c r="B103" i="8"/>
  <c r="AQ763" i="9"/>
  <c r="AB763"/>
  <c r="AC769"/>
  <c r="AB769"/>
  <c r="AQ769"/>
  <c r="AC831"/>
  <c r="AB831"/>
  <c r="AQ831"/>
  <c r="AC854"/>
  <c r="AB854"/>
  <c r="AQ854"/>
  <c r="AC864"/>
  <c r="AB864"/>
  <c r="AQ864"/>
  <c r="AC872"/>
  <c r="AB872"/>
  <c r="AQ872"/>
  <c r="AC888"/>
  <c r="BF888" s="1"/>
  <c r="AB888"/>
  <c r="AQ888"/>
  <c r="AC890"/>
  <c r="AB890"/>
  <c r="AQ890"/>
  <c r="AC892"/>
  <c r="AB892"/>
  <c r="AQ892"/>
  <c r="AC894"/>
  <c r="AB894"/>
  <c r="AQ894"/>
  <c r="AC899"/>
  <c r="AB899"/>
  <c r="AQ899"/>
  <c r="B182" i="12"/>
  <c r="B181"/>
  <c r="C180"/>
  <c r="R15" i="33" s="1"/>
  <c r="D181" i="12"/>
  <c r="D184"/>
  <c r="AC36" i="36"/>
  <c r="AC37" s="1"/>
  <c r="AC793" i="9"/>
  <c r="D183" i="12"/>
  <c r="E24" i="6"/>
  <c r="B186" i="12"/>
  <c r="C184"/>
  <c r="AC522" i="9"/>
  <c r="AQ522"/>
  <c r="AB522"/>
  <c r="AC538"/>
  <c r="AB538"/>
  <c r="AQ538"/>
  <c r="AC829"/>
  <c r="AB829"/>
  <c r="AQ829"/>
  <c r="AC905"/>
  <c r="AQ905"/>
  <c r="AB905"/>
  <c r="AB396"/>
  <c r="AC524"/>
  <c r="AB524"/>
  <c r="AQ524"/>
  <c r="AC540"/>
  <c r="AB540"/>
  <c r="AQ540"/>
  <c r="AC809"/>
  <c r="BF809" s="1"/>
  <c r="BE809" s="1"/>
  <c r="AQ809"/>
  <c r="AB809"/>
  <c r="AC875"/>
  <c r="AB875"/>
  <c r="AQ875"/>
  <c r="AC268"/>
  <c r="AQ268"/>
  <c r="AC402"/>
  <c r="AB402"/>
  <c r="AC452"/>
  <c r="AB452"/>
  <c r="AC526"/>
  <c r="AQ526"/>
  <c r="AB526"/>
  <c r="AC528"/>
  <c r="AB528"/>
  <c r="AQ528"/>
  <c r="AC542"/>
  <c r="AB542"/>
  <c r="AQ542"/>
  <c r="AC544"/>
  <c r="AB544"/>
  <c r="AQ544"/>
  <c r="AC202"/>
  <c r="AQ202"/>
  <c r="AQ266"/>
  <c r="AB266"/>
  <c r="AQ269"/>
  <c r="AB269"/>
  <c r="AC395"/>
  <c r="AB395"/>
  <c r="AQ395"/>
  <c r="AC525"/>
  <c r="AB525"/>
  <c r="AQ525"/>
  <c r="AC527"/>
  <c r="AB527"/>
  <c r="AQ527"/>
  <c r="AC543"/>
  <c r="AQ543"/>
  <c r="AC545"/>
  <c r="AQ545"/>
  <c r="AC585"/>
  <c r="AB585"/>
  <c r="AQ585"/>
  <c r="AC249"/>
  <c r="AQ249"/>
  <c r="AB249"/>
  <c r="AC558"/>
  <c r="AB558"/>
  <c r="AQ558"/>
  <c r="AB196"/>
  <c r="AB268"/>
  <c r="S147" i="19"/>
  <c r="AC196" i="9"/>
  <c r="AQ452"/>
  <c r="BF898"/>
  <c r="AC802"/>
  <c r="BF802" s="1"/>
  <c r="AQ802"/>
  <c r="AC7"/>
  <c r="AB7"/>
  <c r="AQ7"/>
  <c r="AC275"/>
  <c r="AB275"/>
  <c r="AQ275"/>
  <c r="AC277"/>
  <c r="AB277"/>
  <c r="AQ277"/>
  <c r="AC276"/>
  <c r="AB276"/>
  <c r="AQ276"/>
  <c r="BE878"/>
  <c r="BB878" s="1"/>
  <c r="BE801"/>
  <c r="BB801" s="1"/>
  <c r="BE790"/>
  <c r="BB790" s="1"/>
  <c r="BE848"/>
  <c r="BB848" s="1"/>
  <c r="BE393"/>
  <c r="BB393" s="1"/>
  <c r="AC112"/>
  <c r="AQ112"/>
  <c r="AB112"/>
  <c r="AC237"/>
  <c r="AQ237"/>
  <c r="AB237"/>
  <c r="AC242"/>
  <c r="AB242"/>
  <c r="AQ242"/>
  <c r="AC307"/>
  <c r="AB307"/>
  <c r="AQ307"/>
  <c r="AC313"/>
  <c r="AQ313"/>
  <c r="AB313"/>
  <c r="AC317"/>
  <c r="AB317"/>
  <c r="AQ317"/>
  <c r="AC321"/>
  <c r="AQ321"/>
  <c r="AB321"/>
  <c r="AC325"/>
  <c r="AQ325"/>
  <c r="AB325"/>
  <c r="AC329"/>
  <c r="AB329"/>
  <c r="AQ329"/>
  <c r="AC333"/>
  <c r="AB333"/>
  <c r="AQ333"/>
  <c r="AC339"/>
  <c r="AB339"/>
  <c r="AQ339"/>
  <c r="AC343"/>
  <c r="AQ343"/>
  <c r="AB343"/>
  <c r="AC372"/>
  <c r="AC374"/>
  <c r="AQ374"/>
  <c r="AB374"/>
  <c r="AC379"/>
  <c r="AB379"/>
  <c r="AQ379"/>
  <c r="AC389"/>
  <c r="AB389"/>
  <c r="AQ389"/>
  <c r="AC430"/>
  <c r="AB430"/>
  <c r="AQ430"/>
  <c r="AC434"/>
  <c r="AQ434"/>
  <c r="AB434"/>
  <c r="AC443"/>
  <c r="AB443"/>
  <c r="AQ443"/>
  <c r="AC549"/>
  <c r="AQ549"/>
  <c r="AB549"/>
  <c r="AC551"/>
  <c r="AB551"/>
  <c r="AQ551"/>
  <c r="AC569"/>
  <c r="AB569"/>
  <c r="AQ569"/>
  <c r="AC571"/>
  <c r="AB571"/>
  <c r="AQ571"/>
  <c r="AC573"/>
  <c r="AQ573"/>
  <c r="AB573"/>
  <c r="AC575"/>
  <c r="AB575"/>
  <c r="AQ575"/>
  <c r="AC577"/>
  <c r="AB577"/>
  <c r="AQ577"/>
  <c r="AC579"/>
  <c r="AQ579"/>
  <c r="AB579"/>
  <c r="AC816"/>
  <c r="AB816"/>
  <c r="AQ816"/>
  <c r="AC818"/>
  <c r="AB818"/>
  <c r="AQ818"/>
  <c r="AC820"/>
  <c r="AB820"/>
  <c r="AQ820"/>
  <c r="AC822"/>
  <c r="AQ822"/>
  <c r="AB822"/>
  <c r="AC906"/>
  <c r="AQ906"/>
  <c r="AB906"/>
  <c r="AC295"/>
  <c r="AQ295"/>
  <c r="AB295"/>
  <c r="V401"/>
  <c r="V459"/>
  <c r="BE130"/>
  <c r="BB130" s="1"/>
  <c r="BE553"/>
  <c r="BB553" s="1"/>
  <c r="BE472"/>
  <c r="BB472" s="1"/>
  <c r="BE587"/>
  <c r="BB587" s="1"/>
  <c r="BE235"/>
  <c r="BB235" s="1"/>
  <c r="BE213"/>
  <c r="BB213" s="1"/>
  <c r="BE808"/>
  <c r="BB808" s="1"/>
  <c r="BE150"/>
  <c r="BB150" s="1"/>
  <c r="BE781"/>
  <c r="BB781" s="1"/>
  <c r="BE837"/>
  <c r="BB837" s="1"/>
  <c r="BE106"/>
  <c r="BB106" s="1"/>
  <c r="AC113"/>
  <c r="AB113"/>
  <c r="AQ113"/>
  <c r="AC236"/>
  <c r="BF236" s="1"/>
  <c r="AB236"/>
  <c r="AQ236"/>
  <c r="AC238"/>
  <c r="AQ238"/>
  <c r="AB238"/>
  <c r="AC243"/>
  <c r="AQ243"/>
  <c r="AB243"/>
  <c r="AC301"/>
  <c r="AQ301"/>
  <c r="AB301"/>
  <c r="AC312"/>
  <c r="AQ312"/>
  <c r="AB312"/>
  <c r="AC315"/>
  <c r="AB315"/>
  <c r="AQ315"/>
  <c r="AC319"/>
  <c r="AB319"/>
  <c r="AQ319"/>
  <c r="AC323"/>
  <c r="AB323"/>
  <c r="AQ323"/>
  <c r="AC327"/>
  <c r="AQ327"/>
  <c r="AB327"/>
  <c r="AC331"/>
  <c r="AB331"/>
  <c r="AQ331"/>
  <c r="AC337"/>
  <c r="AQ337"/>
  <c r="AB337"/>
  <c r="AC341"/>
  <c r="AQ341"/>
  <c r="AB341"/>
  <c r="AC345"/>
  <c r="AQ345"/>
  <c r="AB345"/>
  <c r="AC375"/>
  <c r="AQ375"/>
  <c r="AB375"/>
  <c r="AC380"/>
  <c r="AB380"/>
  <c r="AQ380"/>
  <c r="AC390"/>
  <c r="AB390"/>
  <c r="AQ390"/>
  <c r="AC428"/>
  <c r="AB428"/>
  <c r="AQ428"/>
  <c r="AC432"/>
  <c r="AQ432"/>
  <c r="AB432"/>
  <c r="AC436"/>
  <c r="AQ436"/>
  <c r="AB436"/>
  <c r="AC453"/>
  <c r="AQ453"/>
  <c r="AB453"/>
  <c r="AC548"/>
  <c r="AQ548"/>
  <c r="AB548"/>
  <c r="AC550"/>
  <c r="AB550"/>
  <c r="AQ550"/>
  <c r="AC556"/>
  <c r="AQ556"/>
  <c r="AB556"/>
  <c r="AC570"/>
  <c r="AB570"/>
  <c r="AQ570"/>
  <c r="AC572"/>
  <c r="AB572"/>
  <c r="AQ572"/>
  <c r="AC574"/>
  <c r="AB574"/>
  <c r="AQ574"/>
  <c r="AC576"/>
  <c r="AQ576"/>
  <c r="AB576"/>
  <c r="AC578"/>
  <c r="AQ578"/>
  <c r="AB578"/>
  <c r="AC580"/>
  <c r="AB580"/>
  <c r="AQ580"/>
  <c r="AC815"/>
  <c r="AQ815"/>
  <c r="AB815"/>
  <c r="AC817"/>
  <c r="AB817"/>
  <c r="AQ817"/>
  <c r="AC819"/>
  <c r="AB819"/>
  <c r="AQ819"/>
  <c r="AC821"/>
  <c r="AQ821"/>
  <c r="AB821"/>
  <c r="AC164"/>
  <c r="S78" i="19"/>
  <c r="AB164" i="9"/>
  <c r="AQ164"/>
  <c r="S103" i="19"/>
  <c r="AC451" i="9"/>
  <c r="AQ451"/>
  <c r="AB451"/>
  <c r="AC458"/>
  <c r="AB458"/>
  <c r="AQ458"/>
  <c r="V399"/>
  <c r="V400"/>
  <c r="AC597"/>
  <c r="AB597"/>
  <c r="AQ597"/>
  <c r="J150" i="36"/>
  <c r="AC804" i="9"/>
  <c r="AB804"/>
  <c r="AQ804"/>
  <c r="AC806"/>
  <c r="AQ806"/>
  <c r="AB806"/>
  <c r="S13" i="36"/>
  <c r="D16" i="6"/>
  <c r="AD18"/>
  <c r="AD19" s="1"/>
  <c r="D9"/>
  <c r="E19" s="1"/>
  <c r="H37" i="36" s="1"/>
  <c r="BF394" i="9"/>
  <c r="BE394" s="1"/>
  <c r="O2" i="17"/>
  <c r="M244" i="36"/>
  <c r="M243"/>
  <c r="M257"/>
  <c r="M254"/>
  <c r="M255"/>
  <c r="M242"/>
  <c r="I122" i="19"/>
  <c r="H155" s="1"/>
  <c r="M5" i="17" s="1"/>
  <c r="O3" s="1"/>
  <c r="G122" i="19"/>
  <c r="F155" s="1"/>
  <c r="M4" i="17" s="1"/>
  <c r="M8" s="1"/>
  <c r="AC772" i="9"/>
  <c r="AQ772"/>
  <c r="AB772"/>
  <c r="AC774"/>
  <c r="AQ774"/>
  <c r="AB774"/>
  <c r="AC776"/>
  <c r="AQ776"/>
  <c r="AB776"/>
  <c r="BF743"/>
  <c r="BE743" s="1"/>
  <c r="BB743" s="1"/>
  <c r="R19" i="33"/>
  <c r="C189" i="12" s="1"/>
  <c r="AC770" i="9"/>
  <c r="AB770"/>
  <c r="AQ770"/>
  <c r="AC773"/>
  <c r="AB773"/>
  <c r="AQ773"/>
  <c r="AC775"/>
  <c r="AB775"/>
  <c r="AQ775"/>
  <c r="AC777"/>
  <c r="AB777"/>
  <c r="AQ777"/>
  <c r="K117" i="36"/>
  <c r="S126"/>
  <c r="S127"/>
  <c r="S123"/>
  <c r="S132"/>
  <c r="S130"/>
  <c r="S120"/>
  <c r="S134"/>
  <c r="S131"/>
  <c r="S121"/>
  <c r="S135"/>
  <c r="S124"/>
  <c r="S128"/>
  <c r="S133"/>
  <c r="S122"/>
  <c r="S129"/>
  <c r="S125"/>
  <c r="AC161" i="9"/>
  <c r="AQ161"/>
  <c r="H117" i="36"/>
  <c r="F117"/>
  <c r="N117"/>
  <c r="Q117"/>
  <c r="U117"/>
  <c r="BF297" i="9"/>
  <c r="BF16"/>
  <c r="BE16" s="1"/>
  <c r="BB16" s="1"/>
  <c r="AC288"/>
  <c r="AB288"/>
  <c r="AQ288"/>
  <c r="AC534"/>
  <c r="AB534"/>
  <c r="AQ534"/>
  <c r="AC530"/>
  <c r="AQ530"/>
  <c r="AB530"/>
  <c r="AC531"/>
  <c r="AB531"/>
  <c r="AQ531"/>
  <c r="AC533"/>
  <c r="AB533"/>
  <c r="AQ533"/>
  <c r="AC535"/>
  <c r="AB535"/>
  <c r="AQ535"/>
  <c r="AC536"/>
  <c r="AB536"/>
  <c r="AQ536"/>
  <c r="V195"/>
  <c r="V884"/>
  <c r="AB884" s="1"/>
  <c r="B9" i="17"/>
  <c r="AC122" i="9"/>
  <c r="L28" i="36" s="1"/>
  <c r="AB122" i="9"/>
  <c r="AQ122"/>
  <c r="AC546"/>
  <c r="AQ546"/>
  <c r="AB546"/>
  <c r="B175" i="12"/>
  <c r="A8" i="33"/>
  <c r="C8"/>
  <c r="G9"/>
  <c r="O2"/>
  <c r="AJ786" i="9"/>
  <c r="BC786" s="1"/>
  <c r="AK786"/>
  <c r="AJ714"/>
  <c r="BC714" s="1"/>
  <c r="AK714"/>
  <c r="AJ705"/>
  <c r="BC705" s="1"/>
  <c r="AK705"/>
  <c r="AJ697"/>
  <c r="BC697" s="1"/>
  <c r="AK697"/>
  <c r="AJ688"/>
  <c r="BC688" s="1"/>
  <c r="AK688"/>
  <c r="AJ678"/>
  <c r="BC678" s="1"/>
  <c r="AK678"/>
  <c r="AJ719"/>
  <c r="BC719" s="1"/>
  <c r="AK719"/>
  <c r="AJ710"/>
  <c r="BC710" s="1"/>
  <c r="AK710"/>
  <c r="AJ702"/>
  <c r="BC702" s="1"/>
  <c r="AK702"/>
  <c r="AJ694"/>
  <c r="BC694" s="1"/>
  <c r="AK694"/>
  <c r="AJ684"/>
  <c r="BC684" s="1"/>
  <c r="AK684"/>
  <c r="AJ675"/>
  <c r="BC675" s="1"/>
  <c r="AK675"/>
  <c r="AV155"/>
  <c r="V155"/>
  <c r="AV153"/>
  <c r="V153"/>
  <c r="AJ718"/>
  <c r="BC718" s="1"/>
  <c r="AK718"/>
  <c r="AJ709"/>
  <c r="BC709" s="1"/>
  <c r="AK709"/>
  <c r="AJ701"/>
  <c r="BC701" s="1"/>
  <c r="AK701"/>
  <c r="AJ693"/>
  <c r="BC693" s="1"/>
  <c r="AK693"/>
  <c r="AJ683"/>
  <c r="BC683" s="1"/>
  <c r="AK683"/>
  <c r="AJ674"/>
  <c r="BC674" s="1"/>
  <c r="AK674"/>
  <c r="AJ715"/>
  <c r="BC715" s="1"/>
  <c r="AK715"/>
  <c r="AJ706"/>
  <c r="BC706" s="1"/>
  <c r="AK706"/>
  <c r="AJ698"/>
  <c r="BC698" s="1"/>
  <c r="AK698"/>
  <c r="AJ689"/>
  <c r="BC689" s="1"/>
  <c r="AK689"/>
  <c r="AJ679"/>
  <c r="BC679" s="1"/>
  <c r="AK679"/>
  <c r="AJ670"/>
  <c r="BC670" s="1"/>
  <c r="AK670"/>
  <c r="AJ720"/>
  <c r="BC720" s="1"/>
  <c r="AK720"/>
  <c r="AJ716"/>
  <c r="BC716" s="1"/>
  <c r="AK716"/>
  <c r="AJ711"/>
  <c r="BC711" s="1"/>
  <c r="AK711"/>
  <c r="AJ707"/>
  <c r="BC707" s="1"/>
  <c r="AK707"/>
  <c r="AJ703"/>
  <c r="BC703" s="1"/>
  <c r="AK703"/>
  <c r="AJ699"/>
  <c r="BC699" s="1"/>
  <c r="AK699"/>
  <c r="AJ695"/>
  <c r="BC695" s="1"/>
  <c r="AK695"/>
  <c r="AJ690"/>
  <c r="BC690" s="1"/>
  <c r="AK690"/>
  <c r="AJ685"/>
  <c r="BC685" s="1"/>
  <c r="AK685"/>
  <c r="AJ680"/>
  <c r="BC680" s="1"/>
  <c r="AK680"/>
  <c r="AJ676"/>
  <c r="BC676" s="1"/>
  <c r="AK676"/>
  <c r="AJ672"/>
  <c r="BC672" s="1"/>
  <c r="AK672"/>
  <c r="AJ717"/>
  <c r="BC717" s="1"/>
  <c r="AK717"/>
  <c r="AJ713"/>
  <c r="BC713" s="1"/>
  <c r="AK713"/>
  <c r="AJ708"/>
  <c r="BC708" s="1"/>
  <c r="AK708"/>
  <c r="AJ704"/>
  <c r="BC704" s="1"/>
  <c r="AK704"/>
  <c r="AJ700"/>
  <c r="BC700" s="1"/>
  <c r="AK700"/>
  <c r="AJ696"/>
  <c r="BC696" s="1"/>
  <c r="AK696"/>
  <c r="AJ691"/>
  <c r="BC691" s="1"/>
  <c r="AK691"/>
  <c r="AJ687"/>
  <c r="BC687" s="1"/>
  <c r="AK687"/>
  <c r="AJ682"/>
  <c r="BC682" s="1"/>
  <c r="AK682"/>
  <c r="AJ677"/>
  <c r="BC677" s="1"/>
  <c r="AK677"/>
  <c r="AJ673"/>
  <c r="BC673" s="1"/>
  <c r="AK673"/>
  <c r="AP302"/>
  <c r="V302" s="1"/>
  <c r="BF58"/>
  <c r="BE58" s="1"/>
  <c r="BB58" s="1"/>
  <c r="AV154"/>
  <c r="V154"/>
  <c r="AV152"/>
  <c r="V152"/>
  <c r="AV111"/>
  <c r="V111"/>
  <c r="AC746"/>
  <c r="AB746"/>
  <c r="AQ746"/>
  <c r="F22" i="6"/>
  <c r="Y21"/>
  <c r="O22"/>
  <c r="N23"/>
  <c r="AR221" i="36"/>
  <c r="AA286" i="25"/>
  <c r="AB285"/>
  <c r="N109"/>
  <c r="D41" i="17"/>
  <c r="D35" i="6"/>
  <c r="Z243" i="36"/>
  <c r="L221"/>
  <c r="AA288" i="25"/>
  <c r="AB289"/>
  <c r="AA289" s="1"/>
  <c r="N114" i="36"/>
  <c r="H3" i="8"/>
  <c r="W6" i="9" l="1"/>
  <c r="Z6" s="1"/>
  <c r="BB6"/>
  <c r="AQ305"/>
  <c r="B88" i="8"/>
  <c r="AB305" i="9"/>
  <c r="AB114"/>
  <c r="W588"/>
  <c r="O146" i="36" s="1"/>
  <c r="BB588" i="9"/>
  <c r="W394"/>
  <c r="AD394" s="1"/>
  <c r="AE394" s="1"/>
  <c r="BB394"/>
  <c r="W809"/>
  <c r="Z809" s="1"/>
  <c r="BB809"/>
  <c r="W473"/>
  <c r="Z473" s="1"/>
  <c r="BB473"/>
  <c r="W782"/>
  <c r="F8" i="29" s="1"/>
  <c r="O230" i="36" s="1"/>
  <c r="L230" s="1"/>
  <c r="BB782" i="9"/>
  <c r="W791"/>
  <c r="AU791" s="1"/>
  <c r="BB791"/>
  <c r="W859"/>
  <c r="Z859" s="1"/>
  <c r="BB859"/>
  <c r="W849"/>
  <c r="Z849" s="1"/>
  <c r="BB849"/>
  <c r="W554"/>
  <c r="AU554" s="1"/>
  <c r="BB554"/>
  <c r="W214"/>
  <c r="AU214" s="1"/>
  <c r="BB214"/>
  <c r="W131"/>
  <c r="AU131" s="1"/>
  <c r="BB131"/>
  <c r="AB372"/>
  <c r="AC398"/>
  <c r="BF899"/>
  <c r="BE899" s="1"/>
  <c r="AB373"/>
  <c r="AQ308"/>
  <c r="AC373"/>
  <c r="AB303"/>
  <c r="AQ398"/>
  <c r="AQ403"/>
  <c r="AB156"/>
  <c r="AQ309"/>
  <c r="AC397"/>
  <c r="AQ396"/>
  <c r="AQ303"/>
  <c r="AB403"/>
  <c r="AC152"/>
  <c r="L33" i="36"/>
  <c r="BF151" i="9"/>
  <c r="BF152" s="1"/>
  <c r="BE152" s="1"/>
  <c r="BB152" s="1"/>
  <c r="AC155"/>
  <c r="AC156"/>
  <c r="AB304"/>
  <c r="AB154"/>
  <c r="AB155"/>
  <c r="AB309"/>
  <c r="AB397"/>
  <c r="AC153"/>
  <c r="BF153" s="1"/>
  <c r="BE153" s="1"/>
  <c r="AB308"/>
  <c r="AC304"/>
  <c r="AB152"/>
  <c r="AQ306"/>
  <c r="Z782"/>
  <c r="H8" i="29" s="1"/>
  <c r="L20" i="36"/>
  <c r="BF838" i="9"/>
  <c r="J225" i="36"/>
  <c r="AA3" i="29"/>
  <c r="AB3"/>
  <c r="X231" i="36"/>
  <c r="X230"/>
  <c r="L146"/>
  <c r="AB306" i="9"/>
  <c r="AQ884"/>
  <c r="W887"/>
  <c r="AU859"/>
  <c r="BE858"/>
  <c r="BB858" s="1"/>
  <c r="BE898"/>
  <c r="BB898" s="1"/>
  <c r="Z394"/>
  <c r="W393"/>
  <c r="C102" i="8"/>
  <c r="AU6" i="9"/>
  <c r="BE236"/>
  <c r="BB236" s="1"/>
  <c r="BE888"/>
  <c r="BB888" s="1"/>
  <c r="BE802"/>
  <c r="BB802" s="1"/>
  <c r="BE107"/>
  <c r="BB107" s="1"/>
  <c r="AC399"/>
  <c r="AQ399"/>
  <c r="AB399"/>
  <c r="AC401"/>
  <c r="AB401"/>
  <c r="AQ401"/>
  <c r="BE297"/>
  <c r="BB297" s="1"/>
  <c r="AC400"/>
  <c r="AB400"/>
  <c r="AQ400"/>
  <c r="AC459"/>
  <c r="AQ459"/>
  <c r="AB459"/>
  <c r="BE299"/>
  <c r="BB299" s="1"/>
  <c r="BF300"/>
  <c r="BF108"/>
  <c r="K299" i="36"/>
  <c r="P6" i="33"/>
  <c r="P3"/>
  <c r="P4" s="1"/>
  <c r="BF109" i="9"/>
  <c r="BF395"/>
  <c r="BE395" s="1"/>
  <c r="S29" i="19"/>
  <c r="S27"/>
  <c r="S25"/>
  <c r="S23"/>
  <c r="S30"/>
  <c r="S28"/>
  <c r="S26"/>
  <c r="S24"/>
  <c r="AC884" i="9"/>
  <c r="BF803"/>
  <c r="C193" i="12"/>
  <c r="D193"/>
  <c r="X2" i="9"/>
  <c r="AC35" i="36"/>
  <c r="BF744" i="9"/>
  <c r="BE744" s="1"/>
  <c r="AC1" i="36"/>
  <c r="AD1" s="1"/>
  <c r="AH239" i="9"/>
  <c r="AH288"/>
  <c r="AH159"/>
  <c r="AH231"/>
  <c r="AH744"/>
  <c r="AH550"/>
  <c r="AH883"/>
  <c r="AH283"/>
  <c r="AH285"/>
  <c r="AH243"/>
  <c r="AH237"/>
  <c r="AH180"/>
  <c r="AH10"/>
  <c r="AH9"/>
  <c r="AH906"/>
  <c r="AH902"/>
  <c r="AH899"/>
  <c r="AH903"/>
  <c r="AH90"/>
  <c r="AH866"/>
  <c r="AH551"/>
  <c r="AH748"/>
  <c r="AH756"/>
  <c r="AH753"/>
  <c r="AH751"/>
  <c r="AH749"/>
  <c r="AH582"/>
  <c r="AH198"/>
  <c r="AH181"/>
  <c r="AH148"/>
  <c r="AH121"/>
  <c r="AH115"/>
  <c r="AH535"/>
  <c r="AH649"/>
  <c r="AH629"/>
  <c r="AH538"/>
  <c r="AH648"/>
  <c r="AH448"/>
  <c r="AH457"/>
  <c r="AH169"/>
  <c r="AH475"/>
  <c r="AH859"/>
  <c r="AH558"/>
  <c r="AH656"/>
  <c r="AH630"/>
  <c r="AH207"/>
  <c r="AH214"/>
  <c r="AH834"/>
  <c r="AH294"/>
  <c r="AH111"/>
  <c r="AH142"/>
  <c r="AH262"/>
  <c r="AH852"/>
  <c r="AH382"/>
  <c r="AH385"/>
  <c r="AH83"/>
  <c r="AH506"/>
  <c r="AH156"/>
  <c r="AH24"/>
  <c r="AH563"/>
  <c r="AH430"/>
  <c r="AH445"/>
  <c r="AH162"/>
  <c r="AH324"/>
  <c r="AH705"/>
  <c r="AH185"/>
  <c r="AH604"/>
  <c r="AH509"/>
  <c r="AH658"/>
  <c r="AH580"/>
  <c r="AH860"/>
  <c r="AH461"/>
  <c r="AH729"/>
  <c r="AH769"/>
  <c r="AH560"/>
  <c r="AH323"/>
  <c r="AH483"/>
  <c r="AH337"/>
  <c r="AH154"/>
  <c r="AH819"/>
  <c r="AH699"/>
  <c r="AH38"/>
  <c r="AH728"/>
  <c r="AH368"/>
  <c r="AH831"/>
  <c r="AH674"/>
  <c r="AH698"/>
  <c r="AH858"/>
  <c r="AH647"/>
  <c r="AH386"/>
  <c r="AH228"/>
  <c r="AH389"/>
  <c r="AH238"/>
  <c r="AH85"/>
  <c r="AH413"/>
  <c r="AH401"/>
  <c r="L5" i="8"/>
  <c r="AH32" i="9"/>
  <c r="AH306"/>
  <c r="R12" i="33"/>
  <c r="AH37" i="9"/>
  <c r="AH353"/>
  <c r="AH345"/>
  <c r="AH805"/>
  <c r="AH680"/>
  <c r="AH477"/>
  <c r="AH493"/>
  <c r="AH433"/>
  <c r="AH572"/>
  <c r="AH893"/>
  <c r="AH7"/>
  <c r="AH882"/>
  <c r="AH186"/>
  <c r="AH387"/>
  <c r="AH696"/>
  <c r="AH114"/>
  <c r="AH644"/>
  <c r="AH849"/>
  <c r="AH517"/>
  <c r="AH158"/>
  <c r="AH620"/>
  <c r="AH650"/>
  <c r="AH230"/>
  <c r="AH247"/>
  <c r="AH520"/>
  <c r="AH583"/>
  <c r="AH508"/>
  <c r="AH302"/>
  <c r="AH677"/>
  <c r="AH39"/>
  <c r="AH372"/>
  <c r="AH840"/>
  <c r="AH30"/>
  <c r="AH167"/>
  <c r="AH487"/>
  <c r="AH573"/>
  <c r="AH584"/>
  <c r="AH20"/>
  <c r="AH505"/>
  <c r="AH871"/>
  <c r="AH675"/>
  <c r="AH500"/>
  <c r="AH889"/>
  <c r="AH171"/>
  <c r="AH833"/>
  <c r="AH383"/>
  <c r="AH851"/>
  <c r="AH820"/>
  <c r="AH773"/>
  <c r="AH459"/>
  <c r="AH672"/>
  <c r="AH403"/>
  <c r="AH251"/>
  <c r="AH420"/>
  <c r="AH269"/>
  <c r="AH123"/>
  <c r="AH202"/>
  <c r="AH862"/>
  <c r="AH270"/>
  <c r="AH821"/>
  <c r="AH321"/>
  <c r="AH703"/>
  <c r="AH537"/>
  <c r="AH599"/>
  <c r="AH758"/>
  <c r="AH549"/>
  <c r="AH320"/>
  <c r="AH480"/>
  <c r="AH334"/>
  <c r="AH152"/>
  <c r="AH817"/>
  <c r="AH350"/>
  <c r="AH791"/>
  <c r="AH534"/>
  <c r="AH102"/>
  <c r="AH874"/>
  <c r="AH379"/>
  <c r="AH846"/>
  <c r="AH518"/>
  <c r="AH161"/>
  <c r="AH428"/>
  <c r="AH824"/>
  <c r="AH73"/>
  <c r="AH376"/>
  <c r="AH371"/>
  <c r="AH843"/>
  <c r="AH798"/>
  <c r="AH255"/>
  <c r="AH533"/>
  <c r="AH732"/>
  <c r="AH400"/>
  <c r="AH42"/>
  <c r="AH354"/>
  <c r="AH730"/>
  <c r="AH539"/>
  <c r="AH609"/>
  <c r="AH498"/>
  <c r="AH134"/>
  <c r="AH104"/>
  <c r="AH603"/>
  <c r="AH702"/>
  <c r="AH423"/>
  <c r="AH281"/>
  <c r="AH443"/>
  <c r="AH308"/>
  <c r="AH160"/>
  <c r="AH492"/>
  <c r="AH655"/>
  <c r="AH356"/>
  <c r="AH95"/>
  <c r="AH195"/>
  <c r="AH608"/>
  <c r="AH519"/>
  <c r="AH625"/>
  <c r="AH814"/>
  <c r="AH589"/>
  <c r="AH349"/>
  <c r="AH183"/>
  <c r="AH357"/>
  <c r="AH196"/>
  <c r="AH40"/>
  <c r="AH341"/>
  <c r="AH325"/>
  <c r="AH774"/>
  <c r="AH545"/>
  <c r="AH277"/>
  <c r="AH182"/>
  <c r="AH146"/>
  <c r="AH280"/>
  <c r="E25" i="6"/>
  <c r="AH912" i="9"/>
  <c r="AH290"/>
  <c r="AH548"/>
  <c r="AH284"/>
  <c r="AH240"/>
  <c r="AH11"/>
  <c r="AH901"/>
  <c r="AH113"/>
  <c r="AH755"/>
  <c r="AH750"/>
  <c r="AH803"/>
  <c r="AH187"/>
  <c r="AH132"/>
  <c r="AH68"/>
  <c r="AH273"/>
  <c r="AH839"/>
  <c r="AH731"/>
  <c r="AH326"/>
  <c r="AH193"/>
  <c r="AH503"/>
  <c r="AH369"/>
  <c r="AH118"/>
  <c r="AH690"/>
  <c r="AH223"/>
  <c r="AH643"/>
  <c r="AH229"/>
  <c r="AH588"/>
  <c r="AH863"/>
  <c r="AH282"/>
  <c r="AH70"/>
  <c r="AH197"/>
  <c r="AH811"/>
  <c r="AH523"/>
  <c r="AH425"/>
  <c r="AH892"/>
  <c r="AH399"/>
  <c r="AH408"/>
  <c r="AH101"/>
  <c r="AH76"/>
  <c r="AH59"/>
  <c r="AH131"/>
  <c r="AH575"/>
  <c r="AH454"/>
  <c r="AH466"/>
  <c r="AH172"/>
  <c r="AH249"/>
  <c r="AH735"/>
  <c r="AH602"/>
  <c r="AH188"/>
  <c r="AH585"/>
  <c r="AH618"/>
  <c r="AH465"/>
  <c r="AH688"/>
  <c r="AH600"/>
  <c r="AH855"/>
  <c r="AH319"/>
  <c r="AH726"/>
  <c r="AH177"/>
  <c r="AH867"/>
  <c r="AH394"/>
  <c r="AH844"/>
  <c r="AH317"/>
  <c r="AH527"/>
  <c r="AH367"/>
  <c r="AH8"/>
  <c r="AH328"/>
  <c r="AH717"/>
  <c r="AH543"/>
  <c r="AH613"/>
  <c r="AH514"/>
  <c r="AH81"/>
  <c r="AH86"/>
  <c r="AH611"/>
  <c r="AH574"/>
  <c r="AH488"/>
  <c r="AH175"/>
  <c r="AH597"/>
  <c r="AH646"/>
  <c r="AH763"/>
  <c r="AH722"/>
  <c r="AH654"/>
  <c r="AH241"/>
  <c r="AH248"/>
  <c r="AH17"/>
  <c r="AH719"/>
  <c r="AH409"/>
  <c r="AH374"/>
  <c r="AH141"/>
  <c r="AH879"/>
  <c r="AH233"/>
  <c r="AH631"/>
  <c r="AH108"/>
  <c r="AH861"/>
  <c r="AH782"/>
  <c r="AH812"/>
  <c r="AH762"/>
  <c r="AH645"/>
  <c r="AH529"/>
  <c r="AH626"/>
  <c r="AH200"/>
  <c r="AH208"/>
  <c r="AH275"/>
  <c r="AH806"/>
  <c r="AH623"/>
  <c r="AH809"/>
  <c r="AH689"/>
  <c r="AH272"/>
  <c r="AH295"/>
  <c r="AH157"/>
  <c r="AH567"/>
  <c r="AH657"/>
  <c r="AH802"/>
  <c r="AH427"/>
  <c r="AH411"/>
  <c r="AH562"/>
  <c r="AH279"/>
  <c r="AH881"/>
  <c r="AH93"/>
  <c r="AH140"/>
  <c r="AH462"/>
  <c r="AH787"/>
  <c r="AH23"/>
  <c r="AH804"/>
  <c r="AH352"/>
  <c r="AH776"/>
  <c r="AH84"/>
  <c r="AH740"/>
  <c r="AH570"/>
  <c r="AH683"/>
  <c r="AH887"/>
  <c r="AH501"/>
  <c r="AH28"/>
  <c r="AH576"/>
  <c r="AH467"/>
  <c r="AH473"/>
  <c r="AH173"/>
  <c r="AH707"/>
  <c r="AH770"/>
  <c r="AH165"/>
  <c r="AH436"/>
  <c r="AH828"/>
  <c r="AH22"/>
  <c r="AH201"/>
  <c r="AH610"/>
  <c r="AH542"/>
  <c r="AH267"/>
  <c r="AH256"/>
  <c r="AH670"/>
  <c r="AH636"/>
  <c r="AH697"/>
  <c r="AH521"/>
  <c r="AH292"/>
  <c r="AH637"/>
  <c r="AH89"/>
  <c r="AH772"/>
  <c r="AH458"/>
  <c r="AH512"/>
  <c r="AH220"/>
  <c r="AH616"/>
  <c r="AH515"/>
  <c r="AH660"/>
  <c r="AH845"/>
  <c r="AH634"/>
  <c r="AH373"/>
  <c r="AH216"/>
  <c r="AH378"/>
  <c r="AH219"/>
  <c r="AH74"/>
  <c r="AH191"/>
  <c r="AH490"/>
  <c r="AH685"/>
  <c r="AH153"/>
  <c r="AH559"/>
  <c r="AH822"/>
  <c r="AH841"/>
  <c r="AH556"/>
  <c r="AH700"/>
  <c r="AH418"/>
  <c r="AH276"/>
  <c r="AH439"/>
  <c r="AH303"/>
  <c r="AH151"/>
  <c r="AH714"/>
  <c r="AH554"/>
  <c r="AH595"/>
  <c r="AH494"/>
  <c r="AH263"/>
  <c r="AH516"/>
  <c r="AH217"/>
  <c r="AH614"/>
  <c r="AH592"/>
  <c r="AH310"/>
  <c r="AH659"/>
  <c r="AH895"/>
  <c r="AH313"/>
  <c r="AH291"/>
  <c r="AH715"/>
  <c r="AH666"/>
  <c r="AH80"/>
  <c r="AH532"/>
  <c r="AH797"/>
  <c r="AH577"/>
  <c r="AH652"/>
  <c r="AH598"/>
  <c r="AH687"/>
  <c r="AH322"/>
  <c r="AH727"/>
  <c r="AH66"/>
  <c r="AH829"/>
  <c r="AH468"/>
  <c r="AH694"/>
  <c r="AH416"/>
  <c r="AH274"/>
  <c r="AH435"/>
  <c r="AH299"/>
  <c r="AH143"/>
  <c r="AH48"/>
  <c r="AH733"/>
  <c r="AH429"/>
  <c r="AH496"/>
  <c r="AH242"/>
  <c r="AH628"/>
  <c r="AH536"/>
  <c r="AH615"/>
  <c r="AH799"/>
  <c r="AH579"/>
  <c r="AH340"/>
  <c r="AH561"/>
  <c r="AH351"/>
  <c r="AH178"/>
  <c r="AH34"/>
  <c r="AH126"/>
  <c r="AH405"/>
  <c r="AH786"/>
  <c r="AH818"/>
  <c r="AH484"/>
  <c r="AH605"/>
  <c r="AH236"/>
  <c r="AH815"/>
  <c r="AH734"/>
  <c r="AH455"/>
  <c r="AH569"/>
  <c r="AH499"/>
  <c r="AH716"/>
  <c r="AH875"/>
  <c r="AH651"/>
  <c r="AH390"/>
  <c r="AH226"/>
  <c r="AH395"/>
  <c r="AH257"/>
  <c r="AH88"/>
  <c r="AH363"/>
  <c r="AH522"/>
  <c r="AH412"/>
  <c r="AH96"/>
  <c r="AH397"/>
  <c r="AH67"/>
  <c r="AH873"/>
  <c r="AH568"/>
  <c r="AH725"/>
  <c r="AH442"/>
  <c r="AH304"/>
  <c r="AH453"/>
  <c r="AH318"/>
  <c r="AH166"/>
  <c r="AH26"/>
  <c r="AH271"/>
  <c r="AH676"/>
  <c r="AH891"/>
  <c r="AH816"/>
  <c r="AH792"/>
  <c r="AH289"/>
  <c r="AH746"/>
  <c r="AH827"/>
  <c r="AH286"/>
  <c r="AH260"/>
  <c r="AH210"/>
  <c r="AH905"/>
  <c r="AH900"/>
  <c r="AH754"/>
  <c r="AH757"/>
  <c r="AH752"/>
  <c r="AH555"/>
  <c r="AH268"/>
  <c r="AH170"/>
  <c r="AH540"/>
  <c r="AH642"/>
  <c r="AH307"/>
  <c r="AH147"/>
  <c r="AH440"/>
  <c r="AH842"/>
  <c r="AH380"/>
  <c r="AH632"/>
  <c r="AH825"/>
  <c r="AH547"/>
  <c r="AH222"/>
  <c r="AH437"/>
  <c r="AH422"/>
  <c r="AH711"/>
  <c r="AH312"/>
  <c r="AH894"/>
  <c r="AH591"/>
  <c r="AH865"/>
  <c r="AH232"/>
  <c r="AH491"/>
  <c r="AH661"/>
  <c r="AH244"/>
  <c r="AH261"/>
  <c r="AH301"/>
  <c r="AH348"/>
  <c r="AH364"/>
  <c r="D43" i="29"/>
  <c r="AH736" i="9"/>
  <c r="AH311"/>
  <c r="AH329"/>
  <c r="AH264"/>
  <c r="AH667"/>
  <c r="AH701"/>
  <c r="AH417"/>
  <c r="AH179"/>
  <c r="AH854"/>
  <c r="AH704"/>
  <c r="AH109"/>
  <c r="AH507"/>
  <c r="AH139"/>
  <c r="AH71"/>
  <c r="AH601"/>
  <c r="AH525"/>
  <c r="AH713"/>
  <c r="AH388"/>
  <c r="AH87"/>
  <c r="AH880"/>
  <c r="AH723"/>
  <c r="AH65"/>
  <c r="AH737"/>
  <c r="AH342"/>
  <c r="AH777"/>
  <c r="AH27"/>
  <c r="AH775"/>
  <c r="AH398"/>
  <c r="AH450"/>
  <c r="AH377"/>
  <c r="AH541"/>
  <c r="AH788"/>
  <c r="AH332"/>
  <c r="AH344"/>
  <c r="AH13"/>
  <c r="AH99"/>
  <c r="AH336"/>
  <c r="AH6"/>
  <c r="AH888"/>
  <c r="AH396"/>
  <c r="AH404"/>
  <c r="AH91"/>
  <c r="AH339"/>
  <c r="AH107"/>
  <c r="AH77"/>
  <c r="AH768"/>
  <c r="AH444"/>
  <c r="AH504"/>
  <c r="AH215"/>
  <c r="AH612"/>
  <c r="AH513"/>
  <c r="AH653"/>
  <c r="AH360"/>
  <c r="AH19"/>
  <c r="AH479"/>
  <c r="AH410"/>
  <c r="AH838"/>
  <c r="AH365"/>
  <c r="AH370"/>
  <c r="AH62"/>
  <c r="AH25"/>
  <c r="AH211"/>
  <c r="AH138"/>
  <c r="AH464"/>
  <c r="AH414"/>
  <c r="AH431"/>
  <c r="AH137"/>
  <c r="AH485"/>
  <c r="AH607"/>
  <c r="AH531"/>
  <c r="AH135"/>
  <c r="AH266"/>
  <c r="AH684"/>
  <c r="AH117"/>
  <c r="AH31"/>
  <c r="AH184"/>
  <c r="AH415"/>
  <c r="AH665"/>
  <c r="AH619"/>
  <c r="AH528"/>
  <c r="AH724"/>
  <c r="AH343"/>
  <c r="AH36"/>
  <c r="AH384"/>
  <c r="AH526"/>
  <c r="AH333"/>
  <c r="AH617"/>
  <c r="AH783"/>
  <c r="AH524"/>
  <c r="AH45"/>
  <c r="AH693"/>
  <c r="AH738"/>
  <c r="AH314"/>
  <c r="AH330"/>
  <c r="AH546"/>
  <c r="AH706"/>
  <c r="AH530"/>
  <c r="AH451"/>
  <c r="AH564"/>
  <c r="AH502"/>
  <c r="AH209"/>
  <c r="AH627"/>
  <c r="AH864"/>
  <c r="AH122"/>
  <c r="AH419"/>
  <c r="AH402"/>
  <c r="AH452"/>
  <c r="AH112"/>
  <c r="AH489"/>
  <c r="AH710"/>
  <c r="AH718"/>
  <c r="AH594"/>
  <c r="AH393"/>
  <c r="AH673"/>
  <c r="AH571"/>
  <c r="AH224"/>
  <c r="AH641"/>
  <c r="AH691"/>
  <c r="AH869"/>
  <c r="AH565"/>
  <c r="AH720"/>
  <c r="AH434"/>
  <c r="AH300"/>
  <c r="AH449"/>
  <c r="AH315"/>
  <c r="AH164"/>
  <c r="AH72"/>
  <c r="AH606"/>
  <c r="AH287"/>
  <c r="AH44"/>
  <c r="AH481"/>
  <c r="AH581"/>
  <c r="AH511"/>
  <c r="AH640"/>
  <c r="AH826"/>
  <c r="AH622"/>
  <c r="AH359"/>
  <c r="AH194"/>
  <c r="AH366"/>
  <c r="AH205"/>
  <c r="AH52"/>
  <c r="AH176"/>
  <c r="AH578"/>
  <c r="AH853"/>
  <c r="AH63"/>
  <c r="AH246"/>
  <c r="AH221"/>
  <c r="AH635"/>
  <c r="AH868"/>
  <c r="AH116"/>
  <c r="AH709"/>
  <c r="AH18"/>
  <c r="AH163"/>
  <c r="AH447"/>
  <c r="AH432"/>
  <c r="AH566"/>
  <c r="AH46"/>
  <c r="AH497"/>
  <c r="L3" i="29"/>
  <c r="AH621" i="9"/>
  <c r="AH258"/>
  <c r="AH872"/>
  <c r="AH309"/>
  <c r="AH870"/>
  <c r="AH305"/>
  <c r="AH682"/>
  <c r="AH544"/>
  <c r="AH633"/>
  <c r="AH813"/>
  <c r="AH596"/>
  <c r="AH355"/>
  <c r="AH190"/>
  <c r="AH361"/>
  <c r="AH199"/>
  <c r="AH43"/>
  <c r="AH358"/>
  <c r="AH133"/>
  <c r="AH463"/>
  <c r="AH254"/>
  <c r="AH590"/>
  <c r="AH784"/>
  <c r="AH375"/>
  <c r="AH103"/>
  <c r="AH460"/>
  <c r="AH407"/>
  <c r="AH424"/>
  <c r="AH127"/>
  <c r="AH421"/>
  <c r="AH510"/>
  <c r="AH695"/>
  <c r="AH624"/>
  <c r="AH168"/>
  <c r="AH33"/>
  <c r="AH884"/>
  <c r="AH470"/>
  <c r="AH476"/>
  <c r="AH174"/>
  <c r="AH823"/>
  <c r="AH793"/>
  <c r="AH890"/>
  <c r="AH678"/>
  <c r="AH639"/>
  <c r="AH218"/>
  <c r="AH225"/>
  <c r="AH21"/>
  <c r="AH638"/>
  <c r="AH338"/>
  <c r="AH679"/>
  <c r="AH259"/>
  <c r="AH278"/>
  <c r="AH456"/>
  <c r="AH155"/>
  <c r="AH708"/>
  <c r="AH327"/>
  <c r="AH446"/>
  <c r="R24" i="33"/>
  <c r="AH739" i="9"/>
  <c r="AH316"/>
  <c r="AH331"/>
  <c r="AH61"/>
  <c r="AH136"/>
  <c r="AH406"/>
  <c r="AH495"/>
  <c r="AH850"/>
  <c r="AH381"/>
  <c r="AH78"/>
  <c r="AH252"/>
  <c r="AH12"/>
  <c r="R10" i="33"/>
  <c r="A221" i="36"/>
  <c r="AH785" i="9"/>
  <c r="H21" i="6"/>
  <c r="G21"/>
  <c r="K38" i="36" s="1"/>
  <c r="E490" s="1"/>
  <c r="I21" i="6"/>
  <c r="BF810" i="9"/>
  <c r="BE810" s="1"/>
  <c r="H299" i="36"/>
  <c r="H291" s="1"/>
  <c r="BF889" i="9"/>
  <c r="BF783"/>
  <c r="BE783" s="1"/>
  <c r="U4" i="33"/>
  <c r="D190" i="12"/>
  <c r="C190"/>
  <c r="B189"/>
  <c r="BF215" i="9"/>
  <c r="BE215" s="1"/>
  <c r="BF7"/>
  <c r="BE7" s="1"/>
  <c r="BF792"/>
  <c r="BE792" s="1"/>
  <c r="BF860"/>
  <c r="BE860" s="1"/>
  <c r="BF17"/>
  <c r="BE17" s="1"/>
  <c r="D189" i="12"/>
  <c r="D192"/>
  <c r="D194"/>
  <c r="D191"/>
  <c r="B194"/>
  <c r="BF237" i="9"/>
  <c r="BF850"/>
  <c r="BE850" s="1"/>
  <c r="B190" i="12"/>
  <c r="C188"/>
  <c r="R18" i="33" s="1"/>
  <c r="C192" i="12"/>
  <c r="C191"/>
  <c r="C194"/>
  <c r="B192"/>
  <c r="D188"/>
  <c r="B191"/>
  <c r="B193"/>
  <c r="AC195" i="9"/>
  <c r="AB195"/>
  <c r="AQ195"/>
  <c r="BF555"/>
  <c r="BE555" s="1"/>
  <c r="BF474"/>
  <c r="BE474" s="1"/>
  <c r="BB474" s="1"/>
  <c r="BF589"/>
  <c r="BE589" s="1"/>
  <c r="G19" i="6"/>
  <c r="K37" i="36" s="1"/>
  <c r="BF132" i="9"/>
  <c r="BE132" s="1"/>
  <c r="AB125" i="36"/>
  <c r="AD126"/>
  <c r="H126"/>
  <c r="AD128"/>
  <c r="H128"/>
  <c r="H130"/>
  <c r="AD130"/>
  <c r="H134"/>
  <c r="AD134"/>
  <c r="H127"/>
  <c r="AD127"/>
  <c r="H122"/>
  <c r="AD122"/>
  <c r="H133"/>
  <c r="AD133"/>
  <c r="AD121"/>
  <c r="H121"/>
  <c r="AB134"/>
  <c r="AB128"/>
  <c r="AD125"/>
  <c r="H125"/>
  <c r="H124"/>
  <c r="AD124"/>
  <c r="AD132"/>
  <c r="H132"/>
  <c r="AD129"/>
  <c r="H129"/>
  <c r="H123"/>
  <c r="AD123"/>
  <c r="AD131"/>
  <c r="H131"/>
  <c r="AD135"/>
  <c r="H135"/>
  <c r="H120"/>
  <c r="AD120"/>
  <c r="D43" i="17"/>
  <c r="F35" i="6"/>
  <c r="AA285" i="25"/>
  <c r="AB284"/>
  <c r="Q133" i="36"/>
  <c r="O133" s="1"/>
  <c r="Q130"/>
  <c r="O130" s="1"/>
  <c r="Q126"/>
  <c r="O126" s="1"/>
  <c r="O23" i="6"/>
  <c r="Q38" i="36" s="1"/>
  <c r="N24" i="6"/>
  <c r="AC111" i="9"/>
  <c r="AB111"/>
  <c r="AQ111"/>
  <c r="BF59"/>
  <c r="BE59" s="1"/>
  <c r="AP673"/>
  <c r="V673" s="1"/>
  <c r="AF7" i="8" s="1"/>
  <c r="AP677" i="9"/>
  <c r="V677" s="1"/>
  <c r="AF11" i="8" s="1"/>
  <c r="AP682" i="9"/>
  <c r="V682" s="1"/>
  <c r="AF15" i="8" s="1"/>
  <c r="AP687" i="9"/>
  <c r="V687" s="1"/>
  <c r="AF19" i="8" s="1"/>
  <c r="AP691" i="9"/>
  <c r="V691" s="1"/>
  <c r="AF23" i="8" s="1"/>
  <c r="AP696" i="9"/>
  <c r="V696" s="1"/>
  <c r="AP700"/>
  <c r="V700" s="1"/>
  <c r="AF31" i="8" s="1"/>
  <c r="AP704" i="9"/>
  <c r="V704" s="1"/>
  <c r="AF36" i="8" s="1"/>
  <c r="AP708" i="9"/>
  <c r="V708" s="1"/>
  <c r="AF40" i="8" s="1"/>
  <c r="AP713" i="9"/>
  <c r="V713" s="1"/>
  <c r="AF43" i="8" s="1"/>
  <c r="AP717" i="9"/>
  <c r="V717" s="1"/>
  <c r="AP672"/>
  <c r="V672" s="1"/>
  <c r="AF6" i="8" s="1"/>
  <c r="AP676" i="9"/>
  <c r="V676" s="1"/>
  <c r="AF10" i="8" s="1"/>
  <c r="AP680" i="9"/>
  <c r="V680" s="1"/>
  <c r="AF14" i="8" s="1"/>
  <c r="AP685" i="9"/>
  <c r="V685" s="1"/>
  <c r="AP690"/>
  <c r="V690" s="1"/>
  <c r="AF22" i="8" s="1"/>
  <c r="AP695" i="9"/>
  <c r="V695" s="1"/>
  <c r="AF26" i="8" s="1"/>
  <c r="AP699" i="9"/>
  <c r="V699" s="1"/>
  <c r="AF30" i="8" s="1"/>
  <c r="AP703" i="9"/>
  <c r="V703" s="1"/>
  <c r="AF34" i="8" s="1"/>
  <c r="AP707" i="9"/>
  <c r="V707" s="1"/>
  <c r="AF39" i="8" s="1"/>
  <c r="AP711" i="9"/>
  <c r="V711" s="1"/>
  <c r="AP716"/>
  <c r="V716" s="1"/>
  <c r="AF46" i="8" s="1"/>
  <c r="AP720" i="9"/>
  <c r="V720" s="1"/>
  <c r="Q132" i="36"/>
  <c r="O132" s="1"/>
  <c r="Q129"/>
  <c r="O129" s="1"/>
  <c r="Q125"/>
  <c r="O125" s="1"/>
  <c r="Q122"/>
  <c r="O122" s="1"/>
  <c r="AP675" i="9"/>
  <c r="V675" s="1"/>
  <c r="AF9" i="8" s="1"/>
  <c r="AP684" i="9"/>
  <c r="V684" s="1"/>
  <c r="AF17" i="8" s="1"/>
  <c r="AP694" i="9"/>
  <c r="V694" s="1"/>
  <c r="AF25" i="8" s="1"/>
  <c r="AP702" i="9"/>
  <c r="V702" s="1"/>
  <c r="AF33" i="8" s="1"/>
  <c r="AP710" i="9"/>
  <c r="V710" s="1"/>
  <c r="AP719"/>
  <c r="V719" s="1"/>
  <c r="AP678"/>
  <c r="V678" s="1"/>
  <c r="AF12" i="8" s="1"/>
  <c r="AP688" i="9"/>
  <c r="V688" s="1"/>
  <c r="AF20" i="8" s="1"/>
  <c r="AP697" i="9"/>
  <c r="V697" s="1"/>
  <c r="AP705"/>
  <c r="V705" s="1"/>
  <c r="AP714"/>
  <c r="V714" s="1"/>
  <c r="AF44" i="8" s="1"/>
  <c r="AP786" i="9"/>
  <c r="V786" s="1"/>
  <c r="D42" i="17"/>
  <c r="E35" i="6"/>
  <c r="D40" i="17"/>
  <c r="H32" i="6"/>
  <c r="Q135" i="36"/>
  <c r="O135" s="1"/>
  <c r="Q131"/>
  <c r="O131" s="1"/>
  <c r="Q128"/>
  <c r="O128" s="1"/>
  <c r="Q123"/>
  <c r="O123" s="1"/>
  <c r="Q121"/>
  <c r="O121" s="1"/>
  <c r="Q124"/>
  <c r="O124" s="1"/>
  <c r="AC302" i="9"/>
  <c r="AQ302"/>
  <c r="AB302"/>
  <c r="P10" i="33"/>
  <c r="AP670" i="9"/>
  <c r="V670" s="1"/>
  <c r="AF5" i="8" s="1"/>
  <c r="AP679" i="9"/>
  <c r="V679" s="1"/>
  <c r="AF13" i="8" s="1"/>
  <c r="AP689" i="9"/>
  <c r="V689" s="1"/>
  <c r="AF21" i="8" s="1"/>
  <c r="AP698" i="9"/>
  <c r="V698" s="1"/>
  <c r="AP706"/>
  <c r="V706" s="1"/>
  <c r="AF38" i="8" s="1"/>
  <c r="AP715" i="9"/>
  <c r="V715" s="1"/>
  <c r="AF45" i="8" s="1"/>
  <c r="AP674" i="9"/>
  <c r="V674" s="1"/>
  <c r="AF8" i="8" s="1"/>
  <c r="AP683" i="9"/>
  <c r="V683" s="1"/>
  <c r="AF16" i="8" s="1"/>
  <c r="AP693" i="9"/>
  <c r="V693" s="1"/>
  <c r="AP701"/>
  <c r="V701" s="1"/>
  <c r="AF32" i="8" s="1"/>
  <c r="AP709" i="9"/>
  <c r="V709" s="1"/>
  <c r="AP718"/>
  <c r="V718" s="1"/>
  <c r="AF48" i="8" s="1"/>
  <c r="Q134" i="36"/>
  <c r="O134" s="1"/>
  <c r="Q127"/>
  <c r="O127" s="1"/>
  <c r="Q120"/>
  <c r="O120" s="1"/>
  <c r="W59" i="9" l="1"/>
  <c r="W58" s="1"/>
  <c r="AU58" s="1"/>
  <c r="BB59"/>
  <c r="W17"/>
  <c r="AU17" s="1"/>
  <c r="BB17"/>
  <c r="W7"/>
  <c r="Z7" s="1"/>
  <c r="BB7"/>
  <c r="AU588"/>
  <c r="W130"/>
  <c r="AU130" s="1"/>
  <c r="W153"/>
  <c r="Z153" s="1"/>
  <c r="BB153"/>
  <c r="W589"/>
  <c r="O147" i="36" s="1"/>
  <c r="L147" s="1"/>
  <c r="BB589" i="9"/>
  <c r="Z588"/>
  <c r="Z131"/>
  <c r="Z214"/>
  <c r="E102" i="8" s="1"/>
  <c r="C97"/>
  <c r="AU394" i="9"/>
  <c r="AD849"/>
  <c r="AE849" s="1"/>
  <c r="Z554"/>
  <c r="Z791"/>
  <c r="E97" i="8" s="1"/>
  <c r="AU809" i="9"/>
  <c r="AD859"/>
  <c r="AE859" s="1"/>
  <c r="W132"/>
  <c r="AU132" s="1"/>
  <c r="BB132"/>
  <c r="W555"/>
  <c r="Z555" s="1"/>
  <c r="BB555"/>
  <c r="W792"/>
  <c r="AU792" s="1"/>
  <c r="BB792"/>
  <c r="W215"/>
  <c r="AU215" s="1"/>
  <c r="BB215"/>
  <c r="AU810"/>
  <c r="BB810"/>
  <c r="W744"/>
  <c r="AU744" s="1"/>
  <c r="BB744"/>
  <c r="W899"/>
  <c r="BB899"/>
  <c r="W850"/>
  <c r="AD850" s="1"/>
  <c r="AE850" s="1"/>
  <c r="BB850"/>
  <c r="W860"/>
  <c r="AU860" s="1"/>
  <c r="BB860"/>
  <c r="W783"/>
  <c r="Z783" s="1"/>
  <c r="BB783"/>
  <c r="W395"/>
  <c r="Z395" s="1"/>
  <c r="BB395"/>
  <c r="AD214"/>
  <c r="AE214" s="1"/>
  <c r="AU473"/>
  <c r="AU782"/>
  <c r="AU849"/>
  <c r="L5" i="33"/>
  <c r="L11"/>
  <c r="BF900" i="9"/>
  <c r="BE900" s="1"/>
  <c r="BE151"/>
  <c r="BF839"/>
  <c r="BE838"/>
  <c r="BB838" s="1"/>
  <c r="W888"/>
  <c r="AU887"/>
  <c r="Z887"/>
  <c r="W858"/>
  <c r="W802"/>
  <c r="Z393"/>
  <c r="AU393"/>
  <c r="W236"/>
  <c r="W152"/>
  <c r="Z132"/>
  <c r="W107"/>
  <c r="AU59"/>
  <c r="W299"/>
  <c r="BE237"/>
  <c r="BB237" s="1"/>
  <c r="L5" i="29"/>
  <c r="L4"/>
  <c r="BE803" i="9"/>
  <c r="BB803" s="1"/>
  <c r="BE889"/>
  <c r="BB889" s="1"/>
  <c r="L10" i="8"/>
  <c r="N9" i="29"/>
  <c r="V27"/>
  <c r="V31"/>
  <c r="V26"/>
  <c r="V30"/>
  <c r="V34"/>
  <c r="V29"/>
  <c r="V33"/>
  <c r="V28"/>
  <c r="V32"/>
  <c r="V24"/>
  <c r="G28"/>
  <c r="G26"/>
  <c r="V17"/>
  <c r="G40"/>
  <c r="G41"/>
  <c r="G27"/>
  <c r="BE109" i="9"/>
  <c r="BB109" s="1"/>
  <c r="BE108"/>
  <c r="BB108" s="1"/>
  <c r="BE300"/>
  <c r="BF301"/>
  <c r="BF110"/>
  <c r="L10" i="33"/>
  <c r="L7"/>
  <c r="P9"/>
  <c r="L8"/>
  <c r="L13"/>
  <c r="P8"/>
  <c r="L9"/>
  <c r="P11"/>
  <c r="P7"/>
  <c r="BF396" i="9"/>
  <c r="BE396" s="1"/>
  <c r="BF804"/>
  <c r="AF41" i="8"/>
  <c r="AF24"/>
  <c r="AF29"/>
  <c r="AF37"/>
  <c r="AF28"/>
  <c r="AF49"/>
  <c r="AF50"/>
  <c r="AF42"/>
  <c r="AF18"/>
  <c r="AF47"/>
  <c r="AF35"/>
  <c r="AF27"/>
  <c r="BF890" i="9"/>
  <c r="BF745"/>
  <c r="BE745" s="1"/>
  <c r="BB745" s="1"/>
  <c r="W24" i="33"/>
  <c r="Y22"/>
  <c r="W22"/>
  <c r="U22"/>
  <c r="S22"/>
  <c r="X22"/>
  <c r="T22"/>
  <c r="Z22"/>
  <c r="V22"/>
  <c r="R22"/>
  <c r="BF811" i="9"/>
  <c r="BE811" s="1"/>
  <c r="BF238"/>
  <c r="BF784"/>
  <c r="BE784" s="1"/>
  <c r="BF851"/>
  <c r="BF18"/>
  <c r="BE18" s="1"/>
  <c r="BF861"/>
  <c r="BE861" s="1"/>
  <c r="BF793"/>
  <c r="BE793" s="1"/>
  <c r="BF8"/>
  <c r="BE8" s="1"/>
  <c r="BF216"/>
  <c r="BE216" s="1"/>
  <c r="BF590"/>
  <c r="BE590" s="1"/>
  <c r="BF475"/>
  <c r="BE475" s="1"/>
  <c r="BF556"/>
  <c r="BE556" s="1"/>
  <c r="BF133"/>
  <c r="BE133" s="1"/>
  <c r="V120" i="36"/>
  <c r="X120" s="1"/>
  <c r="V125"/>
  <c r="X125" s="1"/>
  <c r="V129"/>
  <c r="X129" s="1"/>
  <c r="V134"/>
  <c r="X134" s="1"/>
  <c r="AC709" i="9"/>
  <c r="AB709"/>
  <c r="AQ709"/>
  <c r="AC693"/>
  <c r="AQ693"/>
  <c r="AB693"/>
  <c r="AC674"/>
  <c r="AQ674"/>
  <c r="AB674"/>
  <c r="AC706"/>
  <c r="AQ706"/>
  <c r="AB706"/>
  <c r="AC689"/>
  <c r="AB689"/>
  <c r="AQ689"/>
  <c r="AC670"/>
  <c r="AQ670"/>
  <c r="AB670"/>
  <c r="AB726" i="12"/>
  <c r="AB525"/>
  <c r="BF154" i="9"/>
  <c r="BE154" s="1"/>
  <c r="AC714"/>
  <c r="AB714"/>
  <c r="AQ714"/>
  <c r="AC697"/>
  <c r="AQ697"/>
  <c r="AB697"/>
  <c r="AC678"/>
  <c r="AQ678"/>
  <c r="AB678"/>
  <c r="AC710"/>
  <c r="AB710"/>
  <c r="AQ710"/>
  <c r="AC694"/>
  <c r="AQ694"/>
  <c r="AB694"/>
  <c r="AC675"/>
  <c r="AB675"/>
  <c r="AQ675"/>
  <c r="V122" i="36"/>
  <c r="X122" s="1"/>
  <c r="V127"/>
  <c r="X127" s="1"/>
  <c r="V132"/>
  <c r="X132" s="1"/>
  <c r="AC716" i="9"/>
  <c r="AQ716"/>
  <c r="AB716"/>
  <c r="AC707"/>
  <c r="AB707"/>
  <c r="AQ707"/>
  <c r="AC699"/>
  <c r="AQ699"/>
  <c r="AB699"/>
  <c r="AC690"/>
  <c r="AB690"/>
  <c r="AQ690"/>
  <c r="AC680"/>
  <c r="AQ680"/>
  <c r="AB680"/>
  <c r="AC672"/>
  <c r="AB672"/>
  <c r="AQ672"/>
  <c r="AC713"/>
  <c r="AQ713"/>
  <c r="AB713"/>
  <c r="AC704"/>
  <c r="AQ704"/>
  <c r="AB704"/>
  <c r="AC696"/>
  <c r="AB696"/>
  <c r="AQ696"/>
  <c r="AC687"/>
  <c r="AB687"/>
  <c r="AQ687"/>
  <c r="AC677"/>
  <c r="AB677"/>
  <c r="AQ677"/>
  <c r="BF60"/>
  <c r="BE60" s="1"/>
  <c r="BB60" s="1"/>
  <c r="O24" i="6"/>
  <c r="N25"/>
  <c r="O25" s="1"/>
  <c r="V121" i="36"/>
  <c r="X121" s="1"/>
  <c r="V123"/>
  <c r="X123" s="1"/>
  <c r="V126"/>
  <c r="X126" s="1"/>
  <c r="V131"/>
  <c r="X131" s="1"/>
  <c r="V135"/>
  <c r="X135" s="1"/>
  <c r="N163"/>
  <c r="N160"/>
  <c r="N168"/>
  <c r="N164"/>
  <c r="N169"/>
  <c r="N165"/>
  <c r="N158"/>
  <c r="N159"/>
  <c r="N161"/>
  <c r="N166"/>
  <c r="Q114"/>
  <c r="I3" i="8"/>
  <c r="N162" i="36"/>
  <c r="N170"/>
  <c r="N167"/>
  <c r="D39" i="17"/>
  <c r="G32" i="6"/>
  <c r="AC718" i="9"/>
  <c r="AQ718"/>
  <c r="AB718"/>
  <c r="AC701"/>
  <c r="AQ701"/>
  <c r="AB701"/>
  <c r="AC683"/>
  <c r="AQ683"/>
  <c r="AB683"/>
  <c r="AC715"/>
  <c r="AB715"/>
  <c r="AQ715"/>
  <c r="AC698"/>
  <c r="AB698"/>
  <c r="AQ698"/>
  <c r="AC679"/>
  <c r="AQ679"/>
  <c r="AB679"/>
  <c r="V124" i="36"/>
  <c r="X124" s="1"/>
  <c r="V128"/>
  <c r="X128" s="1"/>
  <c r="V130"/>
  <c r="X130" s="1"/>
  <c r="V133"/>
  <c r="X133" s="1"/>
  <c r="AC786" i="9"/>
  <c r="AB786"/>
  <c r="E10" i="29"/>
  <c r="AQ786" i="9"/>
  <c r="AC705"/>
  <c r="AB705"/>
  <c r="AQ705"/>
  <c r="AC688"/>
  <c r="AB688"/>
  <c r="AQ688"/>
  <c r="AC719"/>
  <c r="AB719"/>
  <c r="AQ719"/>
  <c r="AC702"/>
  <c r="AB702"/>
  <c r="AQ702"/>
  <c r="AC684"/>
  <c r="AQ684"/>
  <c r="AB684"/>
  <c r="AC720"/>
  <c r="AB720"/>
  <c r="AQ720"/>
  <c r="AC711"/>
  <c r="AB711"/>
  <c r="AQ711"/>
  <c r="AC703"/>
  <c r="AB703"/>
  <c r="AQ703"/>
  <c r="AC695"/>
  <c r="AB695"/>
  <c r="AQ695"/>
  <c r="AC685"/>
  <c r="AQ685"/>
  <c r="AB685"/>
  <c r="AC676"/>
  <c r="AQ676"/>
  <c r="AB676"/>
  <c r="AC717"/>
  <c r="AB717"/>
  <c r="AQ717"/>
  <c r="AC708"/>
  <c r="AB708"/>
  <c r="AQ708"/>
  <c r="AC700"/>
  <c r="AQ700"/>
  <c r="AB700"/>
  <c r="AC691"/>
  <c r="AB691"/>
  <c r="AQ691"/>
  <c r="AC682"/>
  <c r="AQ682"/>
  <c r="AB682"/>
  <c r="AC673"/>
  <c r="AB673"/>
  <c r="AQ673"/>
  <c r="R160" i="36"/>
  <c r="R161"/>
  <c r="R167"/>
  <c r="R164"/>
  <c r="R165"/>
  <c r="W114"/>
  <c r="R159"/>
  <c r="R169"/>
  <c r="R170"/>
  <c r="J3" i="8"/>
  <c r="R168" i="36"/>
  <c r="R166"/>
  <c r="AB283" i="25"/>
  <c r="AA284"/>
  <c r="W15" i="9" l="1"/>
  <c r="AU15" s="1"/>
  <c r="AU7"/>
  <c r="Z17"/>
  <c r="Z215"/>
  <c r="AU395"/>
  <c r="W8"/>
  <c r="AU8" s="1"/>
  <c r="BB8"/>
  <c r="W18"/>
  <c r="Z18" s="1"/>
  <c r="BB18"/>
  <c r="Z59"/>
  <c r="AU589"/>
  <c r="AU153"/>
  <c r="W154"/>
  <c r="Z154" s="1"/>
  <c r="BB154"/>
  <c r="W151"/>
  <c r="W150" s="1"/>
  <c r="AU150" s="1"/>
  <c r="BB151"/>
  <c r="W590"/>
  <c r="AU590" s="1"/>
  <c r="BB590"/>
  <c r="Z589"/>
  <c r="AU555"/>
  <c r="Z744"/>
  <c r="F9" i="29"/>
  <c r="O231" i="36" s="1"/>
  <c r="L231" s="1"/>
  <c r="AU850" i="9"/>
  <c r="AD215"/>
  <c r="AE215" s="1"/>
  <c r="AD555"/>
  <c r="AE555" s="1"/>
  <c r="AU783"/>
  <c r="Z792"/>
  <c r="Z850"/>
  <c r="Z860"/>
  <c r="W133"/>
  <c r="AU133" s="1"/>
  <c r="BB133"/>
  <c r="W475"/>
  <c r="O31" i="36" s="1"/>
  <c r="BB475" i="9"/>
  <c r="W216"/>
  <c r="AD216" s="1"/>
  <c r="AE216" s="1"/>
  <c r="BB216"/>
  <c r="W793"/>
  <c r="AU793" s="1"/>
  <c r="BB793"/>
  <c r="W396"/>
  <c r="AU396" s="1"/>
  <c r="BB396"/>
  <c r="W300"/>
  <c r="BB300"/>
  <c r="AU899"/>
  <c r="Z899"/>
  <c r="W556"/>
  <c r="Z556" s="1"/>
  <c r="BB556"/>
  <c r="W861"/>
  <c r="Z861" s="1"/>
  <c r="BB861"/>
  <c r="W784"/>
  <c r="O30" i="36" s="1"/>
  <c r="BB784" i="9"/>
  <c r="W811"/>
  <c r="AU811" s="1"/>
  <c r="BB811"/>
  <c r="W900"/>
  <c r="Z900" s="1"/>
  <c r="BB900"/>
  <c r="G102" i="8"/>
  <c r="BF901" i="9"/>
  <c r="BE901" s="1"/>
  <c r="BE851"/>
  <c r="BF852"/>
  <c r="BE839"/>
  <c r="BB839" s="1"/>
  <c r="BF840"/>
  <c r="W838"/>
  <c r="W889"/>
  <c r="Z888"/>
  <c r="AU888"/>
  <c r="AU858"/>
  <c r="Z858"/>
  <c r="W803"/>
  <c r="Z802"/>
  <c r="AU802"/>
  <c r="H9" i="29"/>
  <c r="O148" i="36"/>
  <c r="L148" s="1"/>
  <c r="W237" i="9"/>
  <c r="AU236"/>
  <c r="Z236"/>
  <c r="AU154"/>
  <c r="AU152"/>
  <c r="Z152"/>
  <c r="R118" i="19"/>
  <c r="R114"/>
  <c r="R119"/>
  <c r="R125"/>
  <c r="U125" s="1"/>
  <c r="R127"/>
  <c r="T115"/>
  <c r="M115" s="1"/>
  <c r="T114"/>
  <c r="M114" s="1"/>
  <c r="T139"/>
  <c r="T112"/>
  <c r="M112" s="1"/>
  <c r="W109" i="9"/>
  <c r="W108"/>
  <c r="AU107"/>
  <c r="W106"/>
  <c r="AU106" s="1"/>
  <c r="Z107"/>
  <c r="O33" i="36"/>
  <c r="Z299" i="9"/>
  <c r="AU299"/>
  <c r="BE238"/>
  <c r="BB238" s="1"/>
  <c r="BE804"/>
  <c r="BB804" s="1"/>
  <c r="BE110"/>
  <c r="BB110" s="1"/>
  <c r="BE301"/>
  <c r="L12" i="8"/>
  <c r="L11"/>
  <c r="BF891" i="9"/>
  <c r="BE891" s="1"/>
  <c r="BE890"/>
  <c r="BB890" s="1"/>
  <c r="N11" i="29"/>
  <c r="N10"/>
  <c r="BF302" i="9"/>
  <c r="BF111"/>
  <c r="BF397"/>
  <c r="BE397" s="1"/>
  <c r="BF239"/>
  <c r="BF805"/>
  <c r="BF746"/>
  <c r="BE746" s="1"/>
  <c r="BF812"/>
  <c r="BE812" s="1"/>
  <c r="BF785"/>
  <c r="BF786" s="1"/>
  <c r="BF862"/>
  <c r="BE862" s="1"/>
  <c r="BF217"/>
  <c r="BE217" s="1"/>
  <c r="BF9"/>
  <c r="BE9" s="1"/>
  <c r="BF794"/>
  <c r="BE794" s="1"/>
  <c r="BB794" s="1"/>
  <c r="BF19"/>
  <c r="BE19" s="1"/>
  <c r="BF557"/>
  <c r="BE557" s="1"/>
  <c r="BB557" s="1"/>
  <c r="BF476"/>
  <c r="BE476" s="1"/>
  <c r="BF591"/>
  <c r="BE591" s="1"/>
  <c r="AB120" i="36"/>
  <c r="AB130"/>
  <c r="AB127"/>
  <c r="AB135"/>
  <c r="AB123"/>
  <c r="AB126"/>
  <c r="AB133"/>
  <c r="Z122"/>
  <c r="AB122"/>
  <c r="AB124"/>
  <c r="Z132"/>
  <c r="AB132"/>
  <c r="AB121"/>
  <c r="Z131"/>
  <c r="AB131"/>
  <c r="AB129"/>
  <c r="BF134" i="9"/>
  <c r="BE134" s="1"/>
  <c r="N39" i="36"/>
  <c r="AA283" i="25"/>
  <c r="AA291"/>
  <c r="AB282"/>
  <c r="L114" i="36"/>
  <c r="G3" i="8"/>
  <c r="C3"/>
  <c r="BF61" i="9"/>
  <c r="BE61" s="1"/>
  <c r="BF155"/>
  <c r="BE155" s="1"/>
  <c r="Z123" i="36"/>
  <c r="Z121"/>
  <c r="Z128"/>
  <c r="Z124"/>
  <c r="F32" i="6"/>
  <c r="D38" i="17"/>
  <c r="Z126" i="36"/>
  <c r="Z134"/>
  <c r="Z127"/>
  <c r="Z120"/>
  <c r="E3" i="8"/>
  <c r="F3" s="1"/>
  <c r="G114" i="36"/>
  <c r="I114" s="1"/>
  <c r="Z135"/>
  <c r="Z114"/>
  <c r="AU151" i="9" l="1"/>
  <c r="T125" i="19"/>
  <c r="M125" s="1"/>
  <c r="T119"/>
  <c r="M119" s="1"/>
  <c r="T108"/>
  <c r="M108" s="1"/>
  <c r="T126"/>
  <c r="M126" s="1"/>
  <c r="R116"/>
  <c r="R112"/>
  <c r="U112" s="1"/>
  <c r="R108"/>
  <c r="R110"/>
  <c r="U110" s="1"/>
  <c r="T107"/>
  <c r="M107" s="1"/>
  <c r="Z8" i="9"/>
  <c r="AU18"/>
  <c r="AD590"/>
  <c r="AE590" s="1"/>
  <c r="W61"/>
  <c r="Z61" s="1"/>
  <c r="BB61"/>
  <c r="W19"/>
  <c r="Z19" s="1"/>
  <c r="BB19"/>
  <c r="W9"/>
  <c r="AU9" s="1"/>
  <c r="BB9"/>
  <c r="Z590"/>
  <c r="Z793"/>
  <c r="AU861"/>
  <c r="AU900"/>
  <c r="Z396"/>
  <c r="Z475"/>
  <c r="W155"/>
  <c r="Z155" s="1"/>
  <c r="BB155"/>
  <c r="T106" i="19"/>
  <c r="M106" s="1"/>
  <c r="T118"/>
  <c r="M118" s="1"/>
  <c r="T127"/>
  <c r="M129" s="1"/>
  <c r="Z151" i="9"/>
  <c r="T116" i="19"/>
  <c r="M116" s="1"/>
  <c r="T111"/>
  <c r="M111" s="1"/>
  <c r="T110"/>
  <c r="M110" s="1"/>
  <c r="T120"/>
  <c r="M120" s="1"/>
  <c r="T133"/>
  <c r="M136" s="1"/>
  <c r="R133"/>
  <c r="U133" s="1"/>
  <c r="R106"/>
  <c r="U106" s="1"/>
  <c r="R115"/>
  <c r="U115" s="1"/>
  <c r="R120"/>
  <c r="U120" s="1"/>
  <c r="R111"/>
  <c r="U111" s="1"/>
  <c r="R139"/>
  <c r="U139" s="1"/>
  <c r="R107"/>
  <c r="U107" s="1"/>
  <c r="R126"/>
  <c r="U126" s="1"/>
  <c r="W591" i="9"/>
  <c r="O149" i="36" s="1"/>
  <c r="L149" s="1"/>
  <c r="BB591" i="9"/>
  <c r="Z216"/>
  <c r="AU556"/>
  <c r="Z133"/>
  <c r="AU216"/>
  <c r="AD556"/>
  <c r="Z784"/>
  <c r="H3" i="29" s="1"/>
  <c r="AU784" i="9"/>
  <c r="C98" i="8"/>
  <c r="Z811" i="9"/>
  <c r="W134"/>
  <c r="AU134" s="1"/>
  <c r="BB134"/>
  <c r="W476"/>
  <c r="Z476" s="1"/>
  <c r="BB476"/>
  <c r="W862"/>
  <c r="Z862" s="1"/>
  <c r="BB862"/>
  <c r="W746"/>
  <c r="AU746" s="1"/>
  <c r="BB746"/>
  <c r="W397"/>
  <c r="AD397" s="1"/>
  <c r="AE397" s="1"/>
  <c r="BB397"/>
  <c r="W891"/>
  <c r="AU891" s="1"/>
  <c r="BB891"/>
  <c r="W851"/>
  <c r="AD851" s="1"/>
  <c r="BB851"/>
  <c r="W217"/>
  <c r="AU217" s="1"/>
  <c r="BB217"/>
  <c r="W812"/>
  <c r="AU812" s="1"/>
  <c r="BB812"/>
  <c r="W301"/>
  <c r="BB301"/>
  <c r="W901"/>
  <c r="BB901"/>
  <c r="AD396"/>
  <c r="AE396" s="1"/>
  <c r="AU475"/>
  <c r="F3" i="29"/>
  <c r="O225" i="36" s="1"/>
  <c r="L225" s="1"/>
  <c r="AD793" i="9"/>
  <c r="AE793" s="1"/>
  <c r="AD811"/>
  <c r="AE811" s="1"/>
  <c r="BF902"/>
  <c r="BE902" s="1"/>
  <c r="W839"/>
  <c r="O20" i="36"/>
  <c r="Z838" i="9"/>
  <c r="AU838"/>
  <c r="BE840"/>
  <c r="BB840" s="1"/>
  <c r="BF841"/>
  <c r="W890"/>
  <c r="AU889"/>
  <c r="Z889"/>
  <c r="W804"/>
  <c r="AU803"/>
  <c r="Z803"/>
  <c r="W238"/>
  <c r="Z237"/>
  <c r="AU237"/>
  <c r="M141" i="19"/>
  <c r="M140"/>
  <c r="M139"/>
  <c r="U127"/>
  <c r="U116"/>
  <c r="U119"/>
  <c r="U108"/>
  <c r="U114"/>
  <c r="U118"/>
  <c r="M130"/>
  <c r="M131"/>
  <c r="M137"/>
  <c r="M133"/>
  <c r="Z108" i="9"/>
  <c r="AU108"/>
  <c r="AU109"/>
  <c r="Z109"/>
  <c r="AU61"/>
  <c r="Z9"/>
  <c r="AU300"/>
  <c r="Z300"/>
  <c r="AD300"/>
  <c r="AE300" s="1"/>
  <c r="BE786"/>
  <c r="BB786" s="1"/>
  <c r="BE785"/>
  <c r="BB785" s="1"/>
  <c r="BF806"/>
  <c r="BE806" s="1"/>
  <c r="BB806" s="1"/>
  <c r="BE805"/>
  <c r="BB805" s="1"/>
  <c r="BE111"/>
  <c r="BB111" s="1"/>
  <c r="BF240"/>
  <c r="BE240" s="1"/>
  <c r="BB240" s="1"/>
  <c r="BE239"/>
  <c r="BB239" s="1"/>
  <c r="BE302"/>
  <c r="BF303"/>
  <c r="BF892"/>
  <c r="BE892" s="1"/>
  <c r="BB892" s="1"/>
  <c r="BF112"/>
  <c r="BF398"/>
  <c r="BE398" s="1"/>
  <c r="W10" i="36"/>
  <c r="L194" i="8"/>
  <c r="C182"/>
  <c r="C180"/>
  <c r="C169"/>
  <c r="S17"/>
  <c r="C9"/>
  <c r="S5"/>
  <c r="G204"/>
  <c r="I191"/>
  <c r="C181"/>
  <c r="G175"/>
  <c r="C26"/>
  <c r="BF747" i="9"/>
  <c r="BE747" s="1"/>
  <c r="BB747" s="1"/>
  <c r="BF813"/>
  <c r="BE813" s="1"/>
  <c r="BF787"/>
  <c r="BF20"/>
  <c r="BE20" s="1"/>
  <c r="BE852"/>
  <c r="BF795"/>
  <c r="BE795" s="1"/>
  <c r="BB795" s="1"/>
  <c r="BF10"/>
  <c r="BE10" s="1"/>
  <c r="BF218"/>
  <c r="BE218" s="1"/>
  <c r="BF863"/>
  <c r="BE863" s="1"/>
  <c r="BF558"/>
  <c r="BE558" s="1"/>
  <c r="BF592"/>
  <c r="BE592" s="1"/>
  <c r="BF477"/>
  <c r="C14" i="8"/>
  <c r="BF135" i="9"/>
  <c r="Z125" i="36"/>
  <c r="BF156" i="9"/>
  <c r="BE156" s="1"/>
  <c r="BF62"/>
  <c r="S127" i="32"/>
  <c r="S129"/>
  <c r="S97"/>
  <c r="S84"/>
  <c r="S75"/>
  <c r="S122"/>
  <c r="S70"/>
  <c r="S78"/>
  <c r="S90"/>
  <c r="T53"/>
  <c r="S45"/>
  <c r="T20"/>
  <c r="S49"/>
  <c r="T52"/>
  <c r="T48"/>
  <c r="S133"/>
  <c r="S126"/>
  <c r="S132"/>
  <c r="S125"/>
  <c r="S109"/>
  <c r="S89"/>
  <c r="S115"/>
  <c r="T51"/>
  <c r="T45"/>
  <c r="S366"/>
  <c r="S404"/>
  <c r="S352"/>
  <c r="S374"/>
  <c r="S293"/>
  <c r="S399"/>
  <c r="S376"/>
  <c r="E22" i="8"/>
  <c r="S862" i="32"/>
  <c r="T968"/>
  <c r="L121" i="39"/>
  <c r="S23" i="32"/>
  <c r="S884"/>
  <c r="S1035"/>
  <c r="T163" i="36"/>
  <c r="L23" i="8"/>
  <c r="L24" s="1"/>
  <c r="S34" i="32"/>
  <c r="T854"/>
  <c r="T890"/>
  <c r="S961"/>
  <c r="O121" i="39"/>
  <c r="S987" i="32"/>
  <c r="T877"/>
  <c r="C21" i="8"/>
  <c r="D22"/>
  <c r="S99" i="32"/>
  <c r="S870"/>
  <c r="T918"/>
  <c r="W162" i="36"/>
  <c r="S895" i="32"/>
  <c r="T1049"/>
  <c r="S61"/>
  <c r="C23" i="8"/>
  <c r="C24" s="1"/>
  <c r="C25" s="1"/>
  <c r="S866" i="32"/>
  <c r="T976"/>
  <c r="P121" i="39"/>
  <c r="T35" i="32"/>
  <c r="S888"/>
  <c r="T1047"/>
  <c r="D3" i="8"/>
  <c r="H23"/>
  <c r="H24" s="1"/>
  <c r="T36" i="32"/>
  <c r="S857"/>
  <c r="T892"/>
  <c r="S963"/>
  <c r="K121" i="39"/>
  <c r="T982" i="32"/>
  <c r="T873"/>
  <c r="D21" i="8"/>
  <c r="F23"/>
  <c r="F24" s="1"/>
  <c r="S27" i="32"/>
  <c r="S826"/>
  <c r="T885"/>
  <c r="S956"/>
  <c r="C120" i="39"/>
  <c r="S79" i="32"/>
  <c r="T987"/>
  <c r="S891"/>
  <c r="G21" i="8"/>
  <c r="T770" i="32"/>
  <c r="T960"/>
  <c r="D121" i="39"/>
  <c r="S17" i="32"/>
  <c r="T876"/>
  <c r="S990"/>
  <c r="V121" i="39"/>
  <c r="J22" i="8"/>
  <c r="S94" i="32"/>
  <c r="S869"/>
  <c r="T912"/>
  <c r="T977"/>
  <c r="Q120" i="39"/>
  <c r="T955" i="32"/>
  <c r="T830"/>
  <c r="T913"/>
  <c r="S780"/>
  <c r="S9"/>
  <c r="CN168" i="36" s="1"/>
  <c r="S80" i="32"/>
  <c r="T865"/>
  <c r="T904"/>
  <c r="T985"/>
  <c r="S947"/>
  <c r="S105"/>
  <c r="O120" i="39"/>
  <c r="T790" i="32"/>
  <c r="T897"/>
  <c r="T856"/>
  <c r="T964"/>
  <c r="H121" i="39"/>
  <c r="S18" i="32"/>
  <c r="T880"/>
  <c r="S991"/>
  <c r="AA121" i="39"/>
  <c r="D23" i="8"/>
  <c r="D24" s="1"/>
  <c r="S32" i="32"/>
  <c r="S851"/>
  <c r="T888"/>
  <c r="S959"/>
  <c r="S121" i="39"/>
  <c r="T991" i="32"/>
  <c r="T881"/>
  <c r="T28"/>
  <c r="J21" i="8"/>
  <c r="H22"/>
  <c r="S62" i="32"/>
  <c r="T863"/>
  <c r="T900"/>
  <c r="T979"/>
  <c r="T957"/>
  <c r="T158" i="36"/>
  <c r="G120" i="39"/>
  <c r="S98" i="32"/>
  <c r="S727"/>
  <c r="T719"/>
  <c r="T950"/>
  <c r="V120" i="39"/>
  <c r="S15" i="32"/>
  <c r="T868"/>
  <c r="T980"/>
  <c r="N121" i="39"/>
  <c r="S64" i="32"/>
  <c r="T864"/>
  <c r="T902"/>
  <c r="T969"/>
  <c r="Z120" i="39"/>
  <c r="T963" i="32"/>
  <c r="T860"/>
  <c r="K22" i="8"/>
  <c r="T159" i="36"/>
  <c r="S861" i="32"/>
  <c r="T895"/>
  <c r="T971"/>
  <c r="T965"/>
  <c r="G22" i="8"/>
  <c r="E121" i="39"/>
  <c r="T867" i="32"/>
  <c r="S13"/>
  <c r="S886"/>
  <c r="S1046"/>
  <c r="S765"/>
  <c r="S101"/>
  <c r="S934"/>
  <c r="L120" i="39"/>
  <c r="S741" i="32"/>
  <c r="T24"/>
  <c r="T813"/>
  <c r="T884"/>
  <c r="S955"/>
  <c r="AB121" i="39"/>
  <c r="T1031" i="32"/>
  <c r="S889"/>
  <c r="T39"/>
  <c r="L21" i="8"/>
  <c r="S38" i="32"/>
  <c r="S858"/>
  <c r="T893"/>
  <c r="S966"/>
  <c r="T978"/>
  <c r="W120" i="39"/>
  <c r="T857" i="32"/>
  <c r="S773"/>
  <c r="T870"/>
  <c r="T983"/>
  <c r="T121" i="39"/>
  <c r="T858" i="32"/>
  <c r="T966"/>
  <c r="F121" i="39"/>
  <c r="S116" i="32"/>
  <c r="S39"/>
  <c r="T859"/>
  <c r="T894"/>
  <c r="S965"/>
  <c r="G121" i="39"/>
  <c r="T974" i="32"/>
  <c r="T869"/>
  <c r="I23" i="8"/>
  <c r="I24" s="1"/>
  <c r="S104" i="32"/>
  <c r="S713"/>
  <c r="S35"/>
  <c r="S856"/>
  <c r="T891"/>
  <c r="S962"/>
  <c r="S989"/>
  <c r="T7"/>
  <c r="U121" i="39"/>
  <c r="S883" i="32"/>
  <c r="F21" i="8"/>
  <c r="S11" i="32"/>
  <c r="T874"/>
  <c r="S988"/>
  <c r="X121" i="39"/>
  <c r="S63" i="32"/>
  <c r="T905"/>
  <c r="D120" i="39"/>
  <c r="S768" i="32"/>
  <c r="S606"/>
  <c r="S879"/>
  <c r="T948"/>
  <c r="T990"/>
  <c r="S1048"/>
  <c r="T899"/>
  <c r="C22" i="8"/>
  <c r="S289" i="32"/>
  <c r="J23" i="8"/>
  <c r="J24" s="1"/>
  <c r="S33" i="32"/>
  <c r="S853"/>
  <c r="T889"/>
  <c r="S960"/>
  <c r="T1030"/>
  <c r="S31"/>
  <c r="M121" i="39"/>
  <c r="T875" i="32"/>
  <c r="S108"/>
  <c r="S83"/>
  <c r="S128"/>
  <c r="S96"/>
  <c r="S76"/>
  <c r="S68"/>
  <c r="S119"/>
  <c r="S69"/>
  <c r="S77"/>
  <c r="S67"/>
  <c r="S53"/>
  <c r="T50"/>
  <c r="S48"/>
  <c r="S50"/>
  <c r="S52"/>
  <c r="S134"/>
  <c r="S131"/>
  <c r="S121"/>
  <c r="S130"/>
  <c r="S120"/>
  <c r="S74"/>
  <c r="S124"/>
  <c r="S107"/>
  <c r="S51"/>
  <c r="T386"/>
  <c r="S329"/>
  <c r="S388"/>
  <c r="S328"/>
  <c r="S386"/>
  <c r="S403"/>
  <c r="S387"/>
  <c r="T366"/>
  <c r="S59"/>
  <c r="T901"/>
  <c r="F120" i="39"/>
  <c r="T826" i="32"/>
  <c r="T958"/>
  <c r="X120" i="39"/>
  <c r="S118" i="32"/>
  <c r="S111"/>
  <c r="S873"/>
  <c r="T929"/>
  <c r="T984"/>
  <c r="I120" i="39"/>
  <c r="S945" i="32"/>
  <c r="S112"/>
  <c r="T160" i="36"/>
  <c r="S754" i="32"/>
  <c r="T31"/>
  <c r="S842"/>
  <c r="T887"/>
  <c r="S958"/>
  <c r="T1046"/>
  <c r="S43"/>
  <c r="S983"/>
  <c r="T903"/>
  <c r="S712"/>
  <c r="S93"/>
  <c r="T911"/>
  <c r="J120" i="39"/>
  <c r="I22" i="8"/>
  <c r="T853" i="32"/>
  <c r="T962"/>
  <c r="B121" i="39"/>
  <c r="S103" i="32"/>
  <c r="S228"/>
  <c r="S875"/>
  <c r="T936"/>
  <c r="T986"/>
  <c r="E120" i="39"/>
  <c r="T923" i="32"/>
  <c r="S87"/>
  <c r="S701"/>
  <c r="S92"/>
  <c r="T91"/>
  <c r="S868"/>
  <c r="T909"/>
  <c r="T989"/>
  <c r="T914"/>
  <c r="S755"/>
  <c r="T1033"/>
  <c r="S40"/>
  <c r="S123"/>
  <c r="S890"/>
  <c r="T1048"/>
  <c r="S729"/>
  <c r="T805"/>
  <c r="S948"/>
  <c r="P120" i="39"/>
  <c r="S728" i="32"/>
  <c r="S28"/>
  <c r="S830"/>
  <c r="T886"/>
  <c r="S957"/>
  <c r="W121" i="39"/>
  <c r="T1029" i="32"/>
  <c r="S885"/>
  <c r="S30"/>
  <c r="S272"/>
  <c r="T804"/>
  <c r="T883"/>
  <c r="T953"/>
  <c r="K120" i="39"/>
  <c r="S237" i="32"/>
  <c r="S968"/>
  <c r="T952"/>
  <c r="T162" i="36"/>
  <c r="S56" i="32"/>
  <c r="S894"/>
  <c r="B120" i="39"/>
  <c r="S117" i="32"/>
  <c r="T812"/>
  <c r="T954"/>
  <c r="T120" i="39"/>
  <c r="S711" i="32"/>
  <c r="S102"/>
  <c r="S871"/>
  <c r="BL231"/>
  <c r="T981"/>
  <c r="M120" i="39"/>
  <c r="S949" i="32"/>
  <c r="S250"/>
  <c r="S71"/>
  <c r="S746"/>
  <c r="S6"/>
  <c r="S607"/>
  <c r="S880"/>
  <c r="T949"/>
  <c r="S120" i="39"/>
  <c r="S852" i="32"/>
  <c r="T975"/>
  <c r="S931"/>
  <c r="S370"/>
  <c r="S12"/>
  <c r="T878"/>
  <c r="S1032"/>
  <c r="S322"/>
  <c r="S81"/>
  <c r="T919"/>
  <c r="H120" i="39"/>
  <c r="S756" i="32"/>
  <c r="S7"/>
  <c r="T779"/>
  <c r="S881"/>
  <c r="T951"/>
  <c r="AC114" i="36"/>
  <c r="S1037" i="32"/>
  <c r="S893"/>
  <c r="S42"/>
  <c r="S742"/>
  <c r="S100"/>
  <c r="S604"/>
  <c r="S878"/>
  <c r="T947"/>
  <c r="AB120" i="39"/>
  <c r="S863" i="32"/>
  <c r="I21" i="8"/>
  <c r="T970" i="32"/>
  <c r="E23" i="8"/>
  <c r="E24" s="1"/>
  <c r="S86" i="32"/>
  <c r="T751"/>
  <c r="T956"/>
  <c r="AA120" i="39"/>
  <c r="S16" i="32"/>
  <c r="T872"/>
  <c r="S986"/>
  <c r="R121" i="39"/>
  <c r="F22" i="8"/>
  <c r="S85" i="32"/>
  <c r="T866"/>
  <c r="T906"/>
  <c r="T973"/>
  <c r="U120" i="39"/>
  <c r="T959" i="32"/>
  <c r="S855"/>
  <c r="T164" i="36"/>
  <c r="S771" i="32"/>
  <c r="S577"/>
  <c r="S876"/>
  <c r="T945"/>
  <c r="I121" i="39"/>
  <c r="T871" i="32"/>
  <c r="S964"/>
  <c r="T961"/>
  <c r="S95"/>
  <c r="K23" i="8"/>
  <c r="K24" s="1"/>
  <c r="S212" i="32"/>
  <c r="T925"/>
  <c r="N120" i="39"/>
  <c r="G23" i="8"/>
  <c r="G24" s="1"/>
  <c r="S36" i="32"/>
  <c r="S892"/>
  <c r="S1050"/>
  <c r="S341"/>
  <c r="S585"/>
  <c r="S877"/>
  <c r="T946"/>
  <c r="T988"/>
  <c r="T1050"/>
  <c r="T907"/>
  <c r="S72"/>
  <c r="K21" i="8"/>
  <c r="L22"/>
  <c r="S113" i="32"/>
  <c r="S874"/>
  <c r="T933"/>
  <c r="Q121" i="39"/>
  <c r="T879" i="32"/>
  <c r="E21" i="8"/>
  <c r="T1023" i="32"/>
  <c r="S29"/>
  <c r="S753"/>
  <c r="T577"/>
  <c r="S946"/>
  <c r="R120" i="39"/>
  <c r="S864" i="32"/>
  <c r="T972"/>
  <c r="J121" i="39"/>
  <c r="T908" i="32"/>
  <c r="S60"/>
  <c r="T862"/>
  <c r="T898"/>
  <c r="S967"/>
  <c r="C121" i="39"/>
  <c r="T967" i="32"/>
  <c r="S865"/>
  <c r="S767"/>
  <c r="S106"/>
  <c r="S110"/>
  <c r="S872"/>
  <c r="T924"/>
  <c r="Z121" i="39"/>
  <c r="S887" i="32"/>
  <c r="H21" i="8"/>
  <c r="S985" i="32"/>
  <c r="Z129" i="36"/>
  <c r="Z130"/>
  <c r="Z133"/>
  <c r="AB281" i="25"/>
  <c r="AA281" s="1"/>
  <c r="AA282"/>
  <c r="D37" i="17"/>
  <c r="E32" i="6"/>
  <c r="T77" i="9"/>
  <c r="T579"/>
  <c r="T162"/>
  <c r="Q869"/>
  <c r="T157"/>
  <c r="T347"/>
  <c r="Q504"/>
  <c r="Y900"/>
  <c r="T758"/>
  <c r="Q658"/>
  <c r="Y797"/>
  <c r="Y501"/>
  <c r="T475"/>
  <c r="Q281"/>
  <c r="T890"/>
  <c r="Y716"/>
  <c r="T175"/>
  <c r="T533"/>
  <c r="T526"/>
  <c r="Q267"/>
  <c r="Q902"/>
  <c r="Y700"/>
  <c r="T9"/>
  <c r="Q723"/>
  <c r="T187"/>
  <c r="T473"/>
  <c r="T485"/>
  <c r="Q279"/>
  <c r="T888"/>
  <c r="Y713"/>
  <c r="T819"/>
  <c r="Q752"/>
  <c r="T190"/>
  <c r="T517"/>
  <c r="T510"/>
  <c r="Q258"/>
  <c r="Q891"/>
  <c r="Y691"/>
  <c r="T101"/>
  <c r="Q705"/>
  <c r="T496"/>
  <c r="T174"/>
  <c r="Q690"/>
  <c r="Q494"/>
  <c r="T508"/>
  <c r="T115"/>
  <c r="Q703"/>
  <c r="Q518"/>
  <c r="Y205"/>
  <c r="Q122"/>
  <c r="Y606"/>
  <c r="Y328"/>
  <c r="Y189" i="39"/>
  <c r="AR38" i="8"/>
  <c r="Y891" i="9"/>
  <c r="Y543"/>
  <c r="Y869"/>
  <c r="Y261"/>
  <c r="Q113"/>
  <c r="Y535"/>
  <c r="Y785"/>
  <c r="Y198"/>
  <c r="Y74" i="39"/>
  <c r="T516" i="9"/>
  <c r="T215"/>
  <c r="T550"/>
  <c r="T585"/>
  <c r="Q239"/>
  <c r="Q870"/>
  <c r="Y673"/>
  <c r="T291"/>
  <c r="Q667"/>
  <c r="T571"/>
  <c r="T529"/>
  <c r="Q621"/>
  <c r="Q264"/>
  <c r="T583"/>
  <c r="T312"/>
  <c r="Q665"/>
  <c r="Q294"/>
  <c r="T563"/>
  <c r="T497"/>
  <c r="Q591"/>
  <c r="Q246"/>
  <c r="T576"/>
  <c r="Y659"/>
  <c r="T493"/>
  <c r="Y677"/>
  <c r="Y73"/>
  <c r="Y504"/>
  <c r="AA74" i="39"/>
  <c r="Q864" i="9"/>
  <c r="Y612"/>
  <c r="Q905"/>
  <c r="Y565"/>
  <c r="AS24" i="8"/>
  <c r="T512" i="9"/>
  <c r="T86"/>
  <c r="Q707"/>
  <c r="Q526"/>
  <c r="T524"/>
  <c r="T24"/>
  <c r="Q720"/>
  <c r="Q550"/>
  <c r="Y108"/>
  <c r="Y528"/>
  <c r="AR45" i="8"/>
  <c r="T782" i="9"/>
  <c r="Y667"/>
  <c r="T690"/>
  <c r="Y616"/>
  <c r="AS8" i="8"/>
  <c r="Q906" i="9"/>
  <c r="T158"/>
  <c r="Q31"/>
  <c r="Q695"/>
  <c r="Y529"/>
  <c r="Q502"/>
  <c r="Y792"/>
  <c r="Q236"/>
  <c r="Y368"/>
  <c r="AS11" i="8"/>
  <c r="Y694" i="9"/>
  <c r="Y306"/>
  <c r="Y661"/>
  <c r="Y302"/>
  <c r="Y361"/>
  <c r="Y591"/>
  <c r="T183"/>
  <c r="T484"/>
  <c r="T542"/>
  <c r="Q275"/>
  <c r="T901"/>
  <c r="Y708"/>
  <c r="T834"/>
  <c r="Q739"/>
  <c r="T528"/>
  <c r="T860"/>
  <c r="Q725"/>
  <c r="Q562"/>
  <c r="T540"/>
  <c r="T844"/>
  <c r="Q737"/>
  <c r="Q659"/>
  <c r="T520"/>
  <c r="T37"/>
  <c r="Q716"/>
  <c r="Q542"/>
  <c r="T90"/>
  <c r="Y827"/>
  <c r="T44"/>
  <c r="Y849"/>
  <c r="Y123"/>
  <c r="Y536"/>
  <c r="Y186" i="39"/>
  <c r="T699" i="9"/>
  <c r="Y688"/>
  <c r="T582"/>
  <c r="Y632"/>
  <c r="Y75" i="39"/>
  <c r="T504" i="9"/>
  <c r="T133"/>
  <c r="Q699"/>
  <c r="Q510"/>
  <c r="T178"/>
  <c r="Y784"/>
  <c r="T147"/>
  <c r="Y804"/>
  <c r="T198"/>
  <c r="Y772"/>
  <c r="T569"/>
  <c r="T551"/>
  <c r="Q205"/>
  <c r="AS47" i="8"/>
  <c r="Y334" i="9"/>
  <c r="Y290"/>
  <c r="T30"/>
  <c r="Y859"/>
  <c r="T13"/>
  <c r="Y888"/>
  <c r="Q280"/>
  <c r="Y84" i="39"/>
  <c r="Y386" i="9"/>
  <c r="Y339"/>
  <c r="Q728"/>
  <c r="T160"/>
  <c r="Y387"/>
  <c r="Y499"/>
  <c r="Y207"/>
  <c r="Y179"/>
  <c r="Y175"/>
  <c r="Q726"/>
  <c r="T488"/>
  <c r="T240"/>
  <c r="Q680"/>
  <c r="Q475"/>
  <c r="T276"/>
  <c r="Y735"/>
  <c r="T236"/>
  <c r="Y752"/>
  <c r="Y93"/>
  <c r="Y520"/>
  <c r="Y180" i="39"/>
  <c r="T858" i="9"/>
  <c r="Y644"/>
  <c r="T762"/>
  <c r="Y600"/>
  <c r="AS23" i="8"/>
  <c r="T244" i="9"/>
  <c r="Y756"/>
  <c r="T170"/>
  <c r="Y776"/>
  <c r="Q185"/>
  <c r="AR29" i="8"/>
  <c r="Y318" i="9"/>
  <c r="Y274"/>
  <c r="Q694"/>
  <c r="T257"/>
  <c r="Y354"/>
  <c r="Y425"/>
  <c r="Y170"/>
  <c r="Y86"/>
  <c r="Y81"/>
  <c r="Q140"/>
  <c r="Y21"/>
  <c r="Y461"/>
  <c r="AR23" i="8"/>
  <c r="Q756" i="9"/>
  <c r="Y326"/>
  <c r="AS38" i="8"/>
  <c r="T854" i="9"/>
  <c r="Q597"/>
  <c r="Q34"/>
  <c r="T531"/>
  <c r="T824"/>
  <c r="Q677"/>
  <c r="Q73"/>
  <c r="T294"/>
  <c r="Q473"/>
  <c r="Y406"/>
  <c r="AA79" i="39"/>
  <c r="Q21" i="9"/>
  <c r="Y420"/>
  <c r="Q39"/>
  <c r="Y374"/>
  <c r="T179"/>
  <c r="Q749"/>
  <c r="T906"/>
  <c r="T107"/>
  <c r="Q476"/>
  <c r="Y407"/>
  <c r="Q33"/>
  <c r="Y531"/>
  <c r="Y826"/>
  <c r="Y244"/>
  <c r="T530"/>
  <c r="T279"/>
  <c r="T676"/>
  <c r="T683"/>
  <c r="Q180"/>
  <c r="Q824"/>
  <c r="Y635"/>
  <c r="T792"/>
  <c r="Q531"/>
  <c r="T704"/>
  <c r="T863"/>
  <c r="Q503"/>
  <c r="Q72"/>
  <c r="T691"/>
  <c r="T803"/>
  <c r="Q527"/>
  <c r="Q104"/>
  <c r="T696"/>
  <c r="T889"/>
  <c r="Q487"/>
  <c r="Q43"/>
  <c r="Q901"/>
  <c r="Y525"/>
  <c r="T887"/>
  <c r="Y537"/>
  <c r="Y25"/>
  <c r="Y465"/>
  <c r="AA82" i="39"/>
  <c r="Q693" i="9"/>
  <c r="Y542"/>
  <c r="Q718"/>
  <c r="Y498"/>
  <c r="T6"/>
  <c r="T736"/>
  <c r="Q875"/>
  <c r="Q295"/>
  <c r="Y912"/>
  <c r="Q861"/>
  <c r="Y493"/>
  <c r="Q873"/>
  <c r="Y505"/>
  <c r="Q851"/>
  <c r="Y484"/>
  <c r="Q214"/>
  <c r="Q243"/>
  <c r="Y803"/>
  <c r="T730"/>
  <c r="T260"/>
  <c r="AA87" i="39"/>
  <c r="T891" i="9"/>
  <c r="Y541"/>
  <c r="T859"/>
  <c r="Y555"/>
  <c r="Y831"/>
  <c r="T348"/>
  <c r="Y36"/>
  <c r="AS15" i="8"/>
  <c r="T81" i="9"/>
  <c r="T684"/>
  <c r="T185"/>
  <c r="Y267"/>
  <c r="Y24"/>
  <c r="Q76"/>
  <c r="Q19"/>
  <c r="Q727"/>
  <c r="T687"/>
  <c r="T829"/>
  <c r="Q519"/>
  <c r="Q91"/>
  <c r="T867"/>
  <c r="Y560"/>
  <c r="T825"/>
  <c r="Y572"/>
  <c r="T882"/>
  <c r="Y549"/>
  <c r="Q528"/>
  <c r="Q540"/>
  <c r="Y845"/>
  <c r="T241"/>
  <c r="Y65"/>
  <c r="Y18"/>
  <c r="T900"/>
  <c r="Y533"/>
  <c r="Q496"/>
  <c r="Q508"/>
  <c r="Q488"/>
  <c r="T521"/>
  <c r="Y364"/>
  <c r="Y684"/>
  <c r="Q544"/>
  <c r="Q560"/>
  <c r="Y388"/>
  <c r="Y813"/>
  <c r="Q867"/>
  <c r="Y895"/>
  <c r="T706"/>
  <c r="Y172" i="39"/>
  <c r="Q890" i="9"/>
  <c r="Y517"/>
  <c r="Q353"/>
  <c r="Q470"/>
  <c r="Y822"/>
  <c r="T498"/>
  <c r="T67"/>
  <c r="AR28" i="8"/>
  <c r="Q477" i="9"/>
  <c r="Q492"/>
  <c r="Y355"/>
  <c r="Y645"/>
  <c r="Q775"/>
  <c r="T62"/>
  <c r="T355"/>
  <c r="Y78" i="39"/>
  <c r="Y746" i="9"/>
  <c r="T182"/>
  <c r="Y193"/>
  <c r="Q580"/>
  <c r="Y299"/>
  <c r="Q595"/>
  <c r="Y311"/>
  <c r="Y685"/>
  <c r="Q522"/>
  <c r="Q770"/>
  <c r="AR48" i="8"/>
  <c r="T502" i="9"/>
  <c r="Q887"/>
  <c r="T166"/>
  <c r="Y101"/>
  <c r="AR22" i="8"/>
  <c r="T661" i="9"/>
  <c r="T654"/>
  <c r="Q573"/>
  <c r="Q186"/>
  <c r="T709"/>
  <c r="Y627"/>
  <c r="T667"/>
  <c r="Y639"/>
  <c r="T693"/>
  <c r="Y619"/>
  <c r="Q859"/>
  <c r="Q888"/>
  <c r="Q23"/>
  <c r="AS13" i="8"/>
  <c r="Y168" i="9"/>
  <c r="Y122"/>
  <c r="T501"/>
  <c r="Y682"/>
  <c r="T525"/>
  <c r="Y696"/>
  <c r="Q90"/>
  <c r="AR47" i="8"/>
  <c r="Y247" i="9"/>
  <c r="Y180"/>
  <c r="Q653"/>
  <c r="T543"/>
  <c r="Y319"/>
  <c r="Y356"/>
  <c r="Y126"/>
  <c r="Q556"/>
  <c r="Q529"/>
  <c r="T172"/>
  <c r="T560"/>
  <c r="Y651"/>
  <c r="T705"/>
  <c r="T589"/>
  <c r="Q71"/>
  <c r="AR32" i="8"/>
  <c r="Y202" i="9"/>
  <c r="Y164"/>
  <c r="T572"/>
  <c r="T513"/>
  <c r="Y496"/>
  <c r="Q854"/>
  <c r="T545"/>
  <c r="Q273"/>
  <c r="Y192" i="39"/>
  <c r="Y188" i="9"/>
  <c r="Y839"/>
  <c r="T89"/>
  <c r="Y702"/>
  <c r="Q791"/>
  <c r="Y436"/>
  <c r="Q811"/>
  <c r="Y450"/>
  <c r="Y762"/>
  <c r="T214"/>
  <c r="T673"/>
  <c r="Y87" i="39"/>
  <c r="T233" i="9"/>
  <c r="T809"/>
  <c r="T581"/>
  <c r="Y190"/>
  <c r="Y169" i="39"/>
  <c r="Y890" i="9"/>
  <c r="Y841"/>
  <c r="Q507"/>
  <c r="Y726"/>
  <c r="T621"/>
  <c r="Y61"/>
  <c r="Y343"/>
  <c r="Y330"/>
  <c r="Y652"/>
  <c r="Y483"/>
  <c r="Q844"/>
  <c r="Y184" i="39"/>
  <c r="T498" i="20"/>
  <c r="T846" i="9"/>
  <c r="Q666"/>
  <c r="Q63"/>
  <c r="T349"/>
  <c r="Q599"/>
  <c r="Y315"/>
  <c r="Q661"/>
  <c r="Y327"/>
  <c r="Q493"/>
  <c r="Y414"/>
  <c r="AS40" i="8"/>
  <c r="Q115" i="9"/>
  <c r="Y437"/>
  <c r="Q141"/>
  <c r="Y390"/>
  <c r="T163"/>
  <c r="Q670"/>
  <c r="Y331"/>
  <c r="Q684"/>
  <c r="Y344"/>
  <c r="Y703"/>
  <c r="Q673"/>
  <c r="T871"/>
  <c r="Y173" i="39"/>
  <c r="T534" i="9"/>
  <c r="T905"/>
  <c r="T872"/>
  <c r="Y132"/>
  <c r="AA86" i="39"/>
  <c r="Y656" i="9"/>
  <c r="Y640"/>
  <c r="Y333"/>
  <c r="Q195"/>
  <c r="Y359"/>
  <c r="AR9" i="8"/>
  <c r="Y729" i="9"/>
  <c r="Q546"/>
  <c r="I208" i="12"/>
  <c r="T658" i="9"/>
  <c r="Q188"/>
  <c r="Y643"/>
  <c r="Q563"/>
  <c r="T568"/>
  <c r="Q202"/>
  <c r="Y655"/>
  <c r="Q589"/>
  <c r="Q42"/>
  <c r="Y304"/>
  <c r="AR6" i="8"/>
  <c r="Y448" i="9"/>
  <c r="Y184"/>
  <c r="T536"/>
  <c r="T852"/>
  <c r="Q733"/>
  <c r="Q592"/>
  <c r="T862"/>
  <c r="Y899"/>
  <c r="T874"/>
  <c r="Q25"/>
  <c r="T28"/>
  <c r="Y875"/>
  <c r="T85"/>
  <c r="T59"/>
  <c r="Q350"/>
  <c r="Y168" i="39"/>
  <c r="Y404" i="9"/>
  <c r="Y357"/>
  <c r="T63"/>
  <c r="Y840"/>
  <c r="T173"/>
  <c r="T165"/>
  <c r="T193"/>
  <c r="Q862"/>
  <c r="Y638"/>
  <c r="Q355"/>
  <c r="T36"/>
  <c r="T8"/>
  <c r="Y665"/>
  <c r="Q566"/>
  <c r="T577"/>
  <c r="T481"/>
  <c r="AR19" i="8"/>
  <c r="Y573" i="9"/>
  <c r="T109"/>
  <c r="Y819"/>
  <c r="T269"/>
  <c r="T264"/>
  <c r="Q263"/>
  <c r="AS34" i="8"/>
  <c r="Y370" i="9"/>
  <c r="Y322"/>
  <c r="T237"/>
  <c r="T201"/>
  <c r="Y630"/>
  <c r="Q269"/>
  <c r="T710"/>
  <c r="T833"/>
  <c r="AA77" i="39"/>
  <c r="Y506" i="9"/>
  <c r="Q103"/>
  <c r="AR49" i="8"/>
  <c r="Y862" i="9"/>
  <c r="T814"/>
  <c r="Y576"/>
  <c r="T784"/>
  <c r="Y590"/>
  <c r="Y865"/>
  <c r="T136"/>
  <c r="Y85"/>
  <c r="Y40"/>
  <c r="T33"/>
  <c r="T599"/>
  <c r="T74"/>
  <c r="Y275"/>
  <c r="Y43"/>
  <c r="T263"/>
  <c r="Y748"/>
  <c r="T702"/>
  <c r="T677"/>
  <c r="T714"/>
  <c r="Q274"/>
  <c r="Y571"/>
  <c r="Y842"/>
  <c r="T494"/>
  <c r="T518"/>
  <c r="Y598"/>
  <c r="Q67"/>
  <c r="T776"/>
  <c r="Q783"/>
  <c r="AR11" i="8"/>
  <c r="Y433" i="9"/>
  <c r="T598"/>
  <c r="Q565"/>
  <c r="Y589"/>
  <c r="Q20"/>
  <c r="Q581"/>
  <c r="AA76" i="39"/>
  <c r="Y893" i="9"/>
  <c r="Y562"/>
  <c r="Y532"/>
  <c r="Y131"/>
  <c r="Q123"/>
  <c r="Q161"/>
  <c r="Q735"/>
  <c r="Y81" i="39"/>
  <c r="Q585" i="9"/>
  <c r="Q81"/>
  <c r="Y270"/>
  <c r="Y526"/>
  <c r="Q674"/>
  <c r="Q514"/>
  <c r="Y179" i="39"/>
  <c r="Y197" i="9"/>
  <c r="N498" i="20"/>
  <c r="Q108" i="9"/>
  <c r="Q133"/>
  <c r="T274"/>
  <c r="T200"/>
  <c r="Y276"/>
  <c r="Y342"/>
  <c r="Y317"/>
  <c r="T675"/>
  <c r="T180"/>
  <c r="T103"/>
  <c r="Q201"/>
  <c r="T138"/>
  <c r="Q511"/>
  <c r="Y855"/>
  <c r="Y45"/>
  <c r="Y242"/>
  <c r="Y217"/>
  <c r="Y237"/>
  <c r="I198" i="12"/>
  <c r="T216" i="9"/>
  <c r="Y452"/>
  <c r="T176"/>
  <c r="Y481"/>
  <c r="Y133"/>
  <c r="Y46"/>
  <c r="Q37"/>
  <c r="T597"/>
  <c r="Q194"/>
  <c r="Y647"/>
  <c r="Q571"/>
  <c r="Y492"/>
  <c r="Q809"/>
  <c r="Y181" i="39"/>
  <c r="Y62" i="9"/>
  <c r="Y495"/>
  <c r="Y74"/>
  <c r="AS27" i="8"/>
  <c r="Q498" i="20"/>
  <c r="Y443" i="9"/>
  <c r="Q798"/>
  <c r="T26"/>
  <c r="Y442"/>
  <c r="Y601"/>
  <c r="Y280"/>
  <c r="Q489"/>
  <c r="T507"/>
  <c r="T273"/>
  <c r="Y485"/>
  <c r="Q66"/>
  <c r="T282"/>
  <c r="G498" i="20"/>
  <c r="T756" i="9"/>
  <c r="Q138"/>
  <c r="Y603"/>
  <c r="Q217"/>
  <c r="Q762"/>
  <c r="T80"/>
  <c r="Q802"/>
  <c r="T7"/>
  <c r="Q738"/>
  <c r="T139"/>
  <c r="Y383"/>
  <c r="Y399"/>
  <c r="Y431"/>
  <c r="Q441"/>
  <c r="Q348"/>
  <c r="T102"/>
  <c r="Q899"/>
  <c r="Q24"/>
  <c r="T880"/>
  <c r="Q62"/>
  <c r="Y457"/>
  <c r="Q652"/>
  <c r="Q683"/>
  <c r="T31"/>
  <c r="T672"/>
  <c r="Q569"/>
  <c r="Q178"/>
  <c r="Q32"/>
  <c r="AA81" i="39"/>
  <c r="Y160" i="9"/>
  <c r="Y102"/>
  <c r="Y349"/>
  <c r="Q829"/>
  <c r="Y866"/>
  <c r="Y454"/>
  <c r="Y466"/>
  <c r="Y449"/>
  <c r="Q567"/>
  <c r="Q594"/>
  <c r="T61"/>
  <c r="Y473"/>
  <c r="Y489"/>
  <c r="T811"/>
  <c r="AR42" i="8"/>
  <c r="T750" i="9"/>
  <c r="Y210"/>
  <c r="Y824"/>
  <c r="Q183"/>
  <c r="Y394"/>
  <c r="Q68"/>
  <c r="AS25" i="8"/>
  <c r="Q287" i="9"/>
  <c r="Q763"/>
  <c r="Q349"/>
  <c r="Q803"/>
  <c r="Y337"/>
  <c r="Y578"/>
  <c r="Y570"/>
  <c r="T532"/>
  <c r="Q730"/>
  <c r="Q147"/>
  <c r="T164"/>
  <c r="Y734"/>
  <c r="T818"/>
  <c r="T590"/>
  <c r="AR7" i="8"/>
  <c r="Y26" i="9"/>
  <c r="Y308"/>
  <c r="Y527"/>
  <c r="I191" i="12"/>
  <c r="T820" i="9"/>
  <c r="Y82" i="39"/>
  <c r="Y239" i="9"/>
  <c r="Y13"/>
  <c r="Q27"/>
  <c r="W498" i="20"/>
  <c r="R498"/>
  <c r="Q804" i="9"/>
  <c r="T11"/>
  <c r="Y446"/>
  <c r="Y609"/>
  <c r="Q127"/>
  <c r="Q175"/>
  <c r="Q142"/>
  <c r="Q252"/>
  <c r="Y775"/>
  <c r="Y182"/>
  <c r="T76"/>
  <c r="Y171"/>
  <c r="T556"/>
  <c r="Y121"/>
  <c r="AS12" i="8"/>
  <c r="T851" i="9"/>
  <c r="Q148"/>
  <c r="Q270"/>
  <c r="Q167"/>
  <c r="Q481"/>
  <c r="Y284"/>
  <c r="Y377"/>
  <c r="Y352"/>
  <c r="T657"/>
  <c r="Q570"/>
  <c r="T769"/>
  <c r="Q787"/>
  <c r="Q197"/>
  <c r="T32"/>
  <c r="Q768"/>
  <c r="Y419"/>
  <c r="Q785"/>
  <c r="Y432"/>
  <c r="Q753"/>
  <c r="Y411"/>
  <c r="Q26"/>
  <c r="Q40"/>
  <c r="Y751"/>
  <c r="T505"/>
  <c r="T753"/>
  <c r="Y187" i="39"/>
  <c r="Q732" i="9"/>
  <c r="Y395"/>
  <c r="Y889"/>
  <c r="Y905"/>
  <c r="Y879"/>
  <c r="Q598"/>
  <c r="Y200"/>
  <c r="Y167"/>
  <c r="Q45"/>
  <c r="Q70"/>
  <c r="Y249"/>
  <c r="Y241"/>
  <c r="Q532"/>
  <c r="T754"/>
  <c r="Q191"/>
  <c r="I203" i="12"/>
  <c r="Q777" i="9"/>
  <c r="Y428"/>
  <c r="Q74"/>
  <c r="Q89"/>
  <c r="Q65"/>
  <c r="T773"/>
  <c r="Y259"/>
  <c r="Y260"/>
  <c r="Q36"/>
  <c r="Q900"/>
  <c r="Q879"/>
  <c r="Y675"/>
  <c r="T707"/>
  <c r="Y802"/>
  <c r="Q282"/>
  <c r="T298"/>
  <c r="Q18"/>
  <c r="Q814"/>
  <c r="Y240"/>
  <c r="Y201"/>
  <c r="Q860"/>
  <c r="Y637"/>
  <c r="Q187"/>
  <c r="T804"/>
  <c r="Y178"/>
  <c r="I205" i="12"/>
  <c r="Y313" i="9"/>
  <c r="Y338"/>
  <c r="Q505"/>
  <c r="T509"/>
  <c r="Y687"/>
  <c r="Y524"/>
  <c r="Q823"/>
  <c r="Y462"/>
  <c r="Q172"/>
  <c r="Q184"/>
  <c r="Q163"/>
  <c r="Y887"/>
  <c r="Y292"/>
  <c r="Y385"/>
  <c r="Q248"/>
  <c r="Q262"/>
  <c r="Y320"/>
  <c r="Y503"/>
  <c r="Q696"/>
  <c r="T261"/>
  <c r="Q793"/>
  <c r="Y77" i="39"/>
  <c r="Q198" i="9"/>
  <c r="Q170"/>
  <c r="Y312"/>
  <c r="Y456"/>
  <c r="Q210"/>
  <c r="Q818"/>
  <c r="Q654"/>
  <c r="Y238"/>
  <c r="Y255"/>
  <c r="I200" i="12"/>
  <c r="Y592" i="9"/>
  <c r="Y617"/>
  <c r="Y148"/>
  <c r="T866"/>
  <c r="Y763"/>
  <c r="Y594"/>
  <c r="Q182"/>
  <c r="AR33" i="8"/>
  <c r="Y113" i="9"/>
  <c r="Y737"/>
  <c r="Y39"/>
  <c r="Y396"/>
  <c r="M498" i="20"/>
  <c r="T519" i="9"/>
  <c r="Y329"/>
  <c r="Y348"/>
  <c r="Y373"/>
  <c r="Y87"/>
  <c r="Q537"/>
  <c r="Q288"/>
  <c r="T541"/>
  <c r="Y381"/>
  <c r="Y409"/>
  <c r="Y8"/>
  <c r="T255"/>
  <c r="Y704"/>
  <c r="Y540"/>
  <c r="T595"/>
  <c r="Y258"/>
  <c r="Y33"/>
  <c r="Q199"/>
  <c r="T258"/>
  <c r="Q834"/>
  <c r="T249"/>
  <c r="Q858"/>
  <c r="Y177"/>
  <c r="AS45" i="8"/>
  <c r="Y791" i="9"/>
  <c r="T843"/>
  <c r="Y568"/>
  <c r="Q564"/>
  <c r="Q588"/>
  <c r="Q555"/>
  <c r="T169"/>
  <c r="Y398"/>
  <c r="Y863"/>
  <c r="Q536"/>
  <c r="T522"/>
  <c r="T490"/>
  <c r="Q174"/>
  <c r="T95"/>
  <c r="Q347"/>
  <c r="Q866"/>
  <c r="Y585"/>
  <c r="Q520"/>
  <c r="T698"/>
  <c r="Y380"/>
  <c r="Y758"/>
  <c r="T565"/>
  <c r="Q132"/>
  <c r="Q820"/>
  <c r="Y518"/>
  <c r="Y324"/>
  <c r="I199" i="12"/>
  <c r="Q78" i="9"/>
  <c r="Q158"/>
  <c r="Y309"/>
  <c r="T708"/>
  <c r="Y867"/>
  <c r="Y658"/>
  <c r="Q361"/>
  <c r="T884"/>
  <c r="Q892"/>
  <c r="T205"/>
  <c r="T202"/>
  <c r="Y852"/>
  <c r="Q774"/>
  <c r="Y447"/>
  <c r="T564"/>
  <c r="T46"/>
  <c r="Q596"/>
  <c r="Y706"/>
  <c r="T491"/>
  <c r="T717"/>
  <c r="Q748"/>
  <c r="Q237"/>
  <c r="Y266"/>
  <c r="AR30" i="8"/>
  <c r="Y196" i="9"/>
  <c r="T797"/>
  <c r="Q687"/>
  <c r="Y884"/>
  <c r="Y109"/>
  <c r="Q722"/>
  <c r="Y422"/>
  <c r="T855"/>
  <c r="T177"/>
  <c r="Y793"/>
  <c r="Y405"/>
  <c r="Y367"/>
  <c r="Y379"/>
  <c r="Q843"/>
  <c r="Y31"/>
  <c r="Q846"/>
  <c r="Y52"/>
  <c r="T266"/>
  <c r="Q312"/>
  <c r="Q484"/>
  <c r="Q559"/>
  <c r="T752"/>
  <c r="Q136"/>
  <c r="V92" i="39"/>
  <c r="Y818" i="9"/>
  <c r="Y467"/>
  <c r="Y209"/>
  <c r="T749"/>
  <c r="Q806"/>
  <c r="Q179"/>
  <c r="Q211"/>
  <c r="Q162"/>
  <c r="Q736"/>
  <c r="AS39" i="8"/>
  <c r="Y424" i="9"/>
  <c r="Q360"/>
  <c r="Q495"/>
  <c r="L157" i="12"/>
  <c r="Y480" i="9"/>
  <c r="Y854"/>
  <c r="Y633"/>
  <c r="Y430"/>
  <c r="T197"/>
  <c r="Q257"/>
  <c r="Q827"/>
  <c r="Y188" i="39"/>
  <c r="Y459" i="9"/>
  <c r="Q855"/>
  <c r="T546"/>
  <c r="T538"/>
  <c r="Y798"/>
  <c r="AR39" i="8"/>
  <c r="T351" i="9"/>
  <c r="T268"/>
  <c r="Q143"/>
  <c r="Y278"/>
  <c r="Q675"/>
  <c r="Y336"/>
  <c r="Y147"/>
  <c r="Y134"/>
  <c r="Q61"/>
  <c r="T739"/>
  <c r="Y608"/>
  <c r="Y618"/>
  <c r="Y556"/>
  <c r="T679"/>
  <c r="Q551"/>
  <c r="T775"/>
  <c r="T725"/>
  <c r="Y44"/>
  <c r="Y85" i="39"/>
  <c r="Y577" i="9"/>
  <c r="Y534"/>
  <c r="T733"/>
  <c r="T701"/>
  <c r="Y906"/>
  <c r="Y143"/>
  <c r="Q568"/>
  <c r="Y283"/>
  <c r="Y72"/>
  <c r="Q215"/>
  <c r="Q517"/>
  <c r="AS20" i="8"/>
  <c r="Y135" i="9"/>
  <c r="T137"/>
  <c r="Y811"/>
  <c r="T93"/>
  <c r="Y823"/>
  <c r="Q244"/>
  <c r="AR17" i="8"/>
  <c r="Y353" i="9"/>
  <c r="T774"/>
  <c r="Y815"/>
  <c r="Y626"/>
  <c r="Y59"/>
  <c r="AS30" i="8"/>
  <c r="Y107" i="9"/>
  <c r="Y719"/>
  <c r="Q102"/>
  <c r="Q101"/>
  <c r="Q166"/>
  <c r="Y79" i="39"/>
  <c r="Q38" i="9"/>
  <c r="U498" i="20"/>
  <c r="Q10" i="9"/>
  <c r="Y882"/>
  <c r="Y502"/>
  <c r="Y567"/>
  <c r="T84"/>
  <c r="Y282"/>
  <c r="T272"/>
  <c r="Q351"/>
  <c r="T194"/>
  <c r="Q485"/>
  <c r="Y512"/>
  <c r="Q893"/>
  <c r="T873"/>
  <c r="T259"/>
  <c r="Q359"/>
  <c r="AS31" i="8"/>
  <c r="Q255" i="9"/>
  <c r="Y749"/>
  <c r="Q173"/>
  <c r="T575"/>
  <c r="Q44"/>
  <c r="Y699"/>
  <c r="Y400"/>
  <c r="AR12" i="8"/>
  <c r="Y272" i="9"/>
  <c r="N15" i="6"/>
  <c r="Q572" i="9"/>
  <c r="T487"/>
  <c r="Y287"/>
  <c r="Y714"/>
  <c r="T578"/>
  <c r="Y294"/>
  <c r="T495"/>
  <c r="T10"/>
  <c r="T562"/>
  <c r="T38"/>
  <c r="T21"/>
  <c r="Y305"/>
  <c r="Y67"/>
  <c r="Q362"/>
  <c r="Q190"/>
  <c r="T17"/>
  <c r="T678"/>
  <c r="T87"/>
  <c r="T72"/>
  <c r="T99"/>
  <c r="T239"/>
  <c r="Y254"/>
  <c r="Q151"/>
  <c r="T25"/>
  <c r="Y799"/>
  <c r="Y279"/>
  <c r="Q276"/>
  <c r="T584"/>
  <c r="Y666"/>
  <c r="Y508"/>
  <c r="Q872"/>
  <c r="T48"/>
  <c r="T695"/>
  <c r="T134"/>
  <c r="T121"/>
  <c r="Y271"/>
  <c r="Y38"/>
  <c r="Q240"/>
  <c r="Q86"/>
  <c r="T113"/>
  <c r="T83"/>
  <c r="Y243"/>
  <c r="Q96"/>
  <c r="T682"/>
  <c r="Y631"/>
  <c r="Y470"/>
  <c r="Q701"/>
  <c r="Y199"/>
  <c r="AS5" i="8"/>
  <c r="Y851" i="9"/>
  <c r="T544"/>
  <c r="Q744"/>
  <c r="T477"/>
  <c r="Q758"/>
  <c r="Y136"/>
  <c r="Y182" i="39"/>
  <c r="Y705" i="9"/>
  <c r="Y648"/>
  <c r="T895"/>
  <c r="Q59"/>
  <c r="Y545"/>
  <c r="Y838"/>
  <c r="Y384"/>
  <c r="T142"/>
  <c r="T845"/>
  <c r="T271"/>
  <c r="T254"/>
  <c r="T290"/>
  <c r="T728"/>
  <c r="Y169"/>
  <c r="Y768"/>
  <c r="T195"/>
  <c r="T171"/>
  <c r="Y195"/>
  <c r="Y834"/>
  <c r="T748"/>
  <c r="Y599"/>
  <c r="Y435"/>
  <c r="Q278"/>
  <c r="T252"/>
  <c r="T653"/>
  <c r="Y185"/>
  <c r="Y816"/>
  <c r="T588"/>
  <c r="Y63"/>
  <c r="Q865"/>
  <c r="Y332"/>
  <c r="Y115"/>
  <c r="Y636"/>
  <c r="Q535"/>
  <c r="Q561"/>
  <c r="AR5" i="8"/>
  <c r="Y514" i="9"/>
  <c r="Y872"/>
  <c r="Y670"/>
  <c r="Y621"/>
  <c r="Y286"/>
  <c r="AS46" i="8"/>
  <c r="Q164" i="9"/>
  <c r="Q826"/>
  <c r="T772"/>
  <c r="L498" i="20"/>
  <c r="T823" i="9"/>
  <c r="Q717"/>
  <c r="Q84"/>
  <c r="Q126"/>
  <c r="Y554"/>
  <c r="T523"/>
  <c r="T248"/>
  <c r="AS35" i="8"/>
  <c r="Q137" i="9"/>
  <c r="Q171"/>
  <c r="AS48" i="8"/>
  <c r="Y408" i="9"/>
  <c r="T66"/>
  <c r="Y566"/>
  <c r="Y301"/>
  <c r="T34"/>
  <c r="Y500"/>
  <c r="T903"/>
  <c r="Y191" i="39"/>
  <c r="Q813" i="9"/>
  <c r="Y846"/>
  <c r="Q849"/>
  <c r="Y874"/>
  <c r="Y440"/>
  <c r="Q523"/>
  <c r="Y720"/>
  <c r="T275"/>
  <c r="Q821"/>
  <c r="Q247"/>
  <c r="Y858"/>
  <c r="Y783"/>
  <c r="T864"/>
  <c r="Y674"/>
  <c r="Y650"/>
  <c r="Y728"/>
  <c r="Y151"/>
  <c r="Y410"/>
  <c r="AR35" i="8"/>
  <c r="Q545" i="9"/>
  <c r="T186"/>
  <c r="Q291"/>
  <c r="Y723"/>
  <c r="Q776"/>
  <c r="Y559"/>
  <c r="T539"/>
  <c r="AR25" i="8"/>
  <c r="Y236" i="9"/>
  <c r="L200" i="12"/>
  <c r="Y678" i="9"/>
  <c r="AA78" i="39"/>
  <c r="V498" i="20"/>
  <c r="T817" i="9"/>
  <c r="Q704"/>
  <c r="Q107"/>
  <c r="T242"/>
  <c r="Q689"/>
  <c r="Y350"/>
  <c r="Q702"/>
  <c r="Y363"/>
  <c r="Q679"/>
  <c r="Y340"/>
  <c r="T184"/>
  <c r="T135"/>
  <c r="Y711"/>
  <c r="Q746"/>
  <c r="T688"/>
  <c r="AS16" i="8"/>
  <c r="Q740" i="9"/>
  <c r="Y403"/>
  <c r="Q757"/>
  <c r="Y415"/>
  <c r="Y738"/>
  <c r="T737"/>
  <c r="T849"/>
  <c r="AS41" i="8"/>
  <c r="T277" i="9"/>
  <c r="T853"/>
  <c r="T689"/>
  <c r="Y173"/>
  <c r="AR41" i="8"/>
  <c r="Y732" i="9"/>
  <c r="Y709"/>
  <c r="Y629"/>
  <c r="Q715"/>
  <c r="Y375"/>
  <c r="Y850"/>
  <c r="Y864"/>
  <c r="Y730"/>
  <c r="T893"/>
  <c r="T141"/>
  <c r="AS14" i="8"/>
  <c r="Y868" i="9"/>
  <c r="Y883"/>
  <c r="Y191"/>
  <c r="Y142"/>
  <c r="Q500"/>
  <c r="T899"/>
  <c r="Q9"/>
  <c r="I202" i="12"/>
  <c r="Y672" i="9"/>
  <c r="Q538"/>
  <c r="Y820"/>
  <c r="T892"/>
  <c r="T861"/>
  <c r="AS7" i="8"/>
  <c r="Y812" i="9"/>
  <c r="Q159"/>
  <c r="Q290"/>
  <c r="Q583"/>
  <c r="Y83" i="39"/>
  <c r="AS26" i="8"/>
  <c r="Y256" i="9"/>
  <c r="Q903"/>
  <c r="AS6" i="8"/>
  <c r="P498" i="20"/>
  <c r="T360" i="9"/>
  <c r="T722"/>
  <c r="Q769"/>
  <c r="Q786"/>
  <c r="Y622"/>
  <c r="Q77"/>
  <c r="Q200"/>
  <c r="AS29" i="8"/>
  <c r="Q792" i="9"/>
  <c r="Q812"/>
  <c r="AS19" i="8"/>
  <c r="Y683" i="9"/>
  <c r="Q80"/>
  <c r="Q506"/>
  <c r="Y707"/>
  <c r="Q497"/>
  <c r="T292"/>
  <c r="T217"/>
  <c r="Q216"/>
  <c r="T140"/>
  <c r="I204" i="12"/>
  <c r="Y902" i="9"/>
  <c r="AA85" i="39"/>
  <c r="Q501" i="9"/>
  <c r="Y569"/>
  <c r="Q729"/>
  <c r="Y378"/>
  <c r="Y288"/>
  <c r="I209" i="12"/>
  <c r="Y733" i="9"/>
  <c r="Y769"/>
  <c r="Y226"/>
  <c r="Q11"/>
  <c r="Y360"/>
  <c r="Y786"/>
  <c r="Q584"/>
  <c r="Y91"/>
  <c r="T280"/>
  <c r="T470"/>
  <c r="T288"/>
  <c r="Y614"/>
  <c r="Q165"/>
  <c r="T734"/>
  <c r="Q871"/>
  <c r="Y190" i="39"/>
  <c r="Y538" i="9"/>
  <c r="Y583"/>
  <c r="Y382"/>
  <c r="Y73" i="39"/>
  <c r="Y341" i="9"/>
  <c r="L198" i="12"/>
  <c r="T287" i="9"/>
  <c r="Y727"/>
  <c r="T785"/>
  <c r="T757"/>
  <c r="Q169"/>
  <c r="AS49" i="8"/>
  <c r="Y295" i="9"/>
  <c r="Y257"/>
  <c r="T726"/>
  <c r="T694"/>
  <c r="Y563"/>
  <c r="T122"/>
  <c r="T868"/>
  <c r="Y680"/>
  <c r="Y22"/>
  <c r="Y66"/>
  <c r="T735"/>
  <c r="T703"/>
  <c r="Y28"/>
  <c r="AA83" i="39"/>
  <c r="Y248" i="9"/>
  <c r="Y821"/>
  <c r="E498" i="20"/>
  <c r="Q700" i="9"/>
  <c r="Y88"/>
  <c r="Y903"/>
  <c r="AS28" i="8"/>
  <c r="Q12" i="9"/>
  <c r="Q660"/>
  <c r="Y509"/>
  <c r="Y521"/>
  <c r="T655"/>
  <c r="Q884"/>
  <c r="Y351"/>
  <c r="Y777"/>
  <c r="Y139"/>
  <c r="Y321"/>
  <c r="T723"/>
  <c r="H498" i="20"/>
  <c r="T726" i="12"/>
  <c r="J525"/>
  <c r="C539"/>
  <c r="I726"/>
  <c r="Y726"/>
  <c r="M525"/>
  <c r="C536"/>
  <c r="E726"/>
  <c r="V726"/>
  <c r="C527"/>
  <c r="C534"/>
  <c r="Z726"/>
  <c r="P525"/>
  <c r="X726"/>
  <c r="C531"/>
  <c r="C529"/>
  <c r="O726"/>
  <c r="C537"/>
  <c r="W525"/>
  <c r="O525"/>
  <c r="Y525"/>
  <c r="S525"/>
  <c r="X525"/>
  <c r="F525"/>
  <c r="J726"/>
  <c r="K525"/>
  <c r="T525"/>
  <c r="W726"/>
  <c r="L726"/>
  <c r="S726"/>
  <c r="D726"/>
  <c r="Q698" i="9"/>
  <c r="T251"/>
  <c r="Y358"/>
  <c r="Y434"/>
  <c r="T78"/>
  <c r="Y558"/>
  <c r="T39"/>
  <c r="Y582"/>
  <c r="T96"/>
  <c r="Y539"/>
  <c r="Y782"/>
  <c r="Y817"/>
  <c r="Y166"/>
  <c r="Y127"/>
  <c r="Y71"/>
  <c r="T20"/>
  <c r="T151"/>
  <c r="Y507"/>
  <c r="Y698"/>
  <c r="Y725"/>
  <c r="Y679"/>
  <c r="Q678"/>
  <c r="Y208"/>
  <c r="T806"/>
  <c r="Y825"/>
  <c r="Y871"/>
  <c r="Y264"/>
  <c r="T732"/>
  <c r="Y833"/>
  <c r="Y642"/>
  <c r="Q289"/>
  <c r="AA80" i="39"/>
  <c r="T42" i="9"/>
  <c r="Y574"/>
  <c r="Y892"/>
  <c r="Q52"/>
  <c r="Y853"/>
  <c r="T719"/>
  <c r="Y281"/>
  <c r="T720"/>
  <c r="Y806"/>
  <c r="T881"/>
  <c r="T246"/>
  <c r="T295"/>
  <c r="T591"/>
  <c r="T243"/>
  <c r="Y809"/>
  <c r="Y80"/>
  <c r="Y754"/>
  <c r="Q850"/>
  <c r="Y246"/>
  <c r="T755"/>
  <c r="Q889"/>
  <c r="T350"/>
  <c r="Y755"/>
  <c r="AR43" i="8"/>
  <c r="Y163" i="9"/>
  <c r="T503"/>
  <c r="T527"/>
  <c r="Y77"/>
  <c r="Q249"/>
  <c r="Q254"/>
  <c r="Q697"/>
  <c r="T831"/>
  <c r="Y860"/>
  <c r="Y641"/>
  <c r="Q499"/>
  <c r="Q547"/>
  <c r="Q356"/>
  <c r="Q13"/>
  <c r="Y413"/>
  <c r="T592"/>
  <c r="Q688"/>
  <c r="Q714"/>
  <c r="Y511"/>
  <c r="T500"/>
  <c r="Q93"/>
  <c r="Y717"/>
  <c r="T770"/>
  <c r="AR46" i="8"/>
  <c r="Q579" i="9"/>
  <c r="Q196"/>
  <c r="Y487"/>
  <c r="T549"/>
  <c r="Q256"/>
  <c r="AR50" i="8"/>
  <c r="Q135" i="9"/>
  <c r="Y490"/>
  <c r="Y325"/>
  <c r="T18"/>
  <c r="Y844"/>
  <c r="Y174"/>
  <c r="Y90"/>
  <c r="Q483"/>
  <c r="Q868"/>
  <c r="T22"/>
  <c r="Y76" i="39"/>
  <c r="Y162" i="9"/>
  <c r="Y774"/>
  <c r="Y429"/>
  <c r="AS33" i="8"/>
  <c r="K498" i="20"/>
  <c r="Q590" i="9"/>
  <c r="Y307"/>
  <c r="T535"/>
  <c r="T441"/>
  <c r="Y695"/>
  <c r="Q558"/>
  <c r="Q863"/>
  <c r="Y167" i="39"/>
  <c r="T353" i="9"/>
  <c r="T270"/>
  <c r="Y99"/>
  <c r="Q479"/>
  <c r="Q271"/>
  <c r="Q731"/>
  <c r="T665"/>
  <c r="Y86" i="39"/>
  <c r="Y634" i="9"/>
  <c r="Q241"/>
  <c r="Y624"/>
  <c r="T651"/>
  <c r="T697"/>
  <c r="T561"/>
  <c r="T489"/>
  <c r="Y579"/>
  <c r="T131"/>
  <c r="Y881"/>
  <c r="Q85"/>
  <c r="Q30"/>
  <c r="T574"/>
  <c r="T515"/>
  <c r="T656"/>
  <c r="T126"/>
  <c r="Y843"/>
  <c r="T199"/>
  <c r="T731"/>
  <c r="T356"/>
  <c r="Q874"/>
  <c r="Y11"/>
  <c r="T19"/>
  <c r="Y171" i="39"/>
  <c r="Y78" i="9"/>
  <c r="Y103"/>
  <c r="T812"/>
  <c r="T594"/>
  <c r="Y750"/>
  <c r="T262"/>
  <c r="T506"/>
  <c r="AR20" i="8"/>
  <c r="Y30" i="9"/>
  <c r="Q268"/>
  <c r="Y597"/>
  <c r="Q95"/>
  <c r="Q121"/>
  <c r="Y268"/>
  <c r="Y277"/>
  <c r="Q548"/>
  <c r="T674"/>
  <c r="Q277"/>
  <c r="Q831"/>
  <c r="T744"/>
  <c r="Q352"/>
  <c r="AR13" i="8"/>
  <c r="T52" i="9"/>
  <c r="AS9" i="8"/>
  <c r="Q533" i="9"/>
  <c r="Y880"/>
  <c r="Q577"/>
  <c r="Y176" i="39"/>
  <c r="Y546" i="9"/>
  <c r="Y176"/>
  <c r="T788"/>
  <c r="Y477"/>
  <c r="T555"/>
  <c r="Y174" i="39"/>
  <c r="Y445" i="9"/>
  <c r="AS22" i="8"/>
  <c r="L199" i="12"/>
  <c r="Y584" i="9"/>
  <c r="Q713"/>
  <c r="T27"/>
  <c r="Y70"/>
  <c r="Q751"/>
  <c r="Q242"/>
  <c r="Q83"/>
  <c r="Y7"/>
  <c r="T573"/>
  <c r="Q706"/>
  <c r="Q719"/>
  <c r="Y722"/>
  <c r="T537"/>
  <c r="T659"/>
  <c r="T680"/>
  <c r="AR51" i="8"/>
  <c r="T359" i="9"/>
  <c r="Y439"/>
  <c r="T40"/>
  <c r="T91"/>
  <c r="Q543"/>
  <c r="Y894"/>
  <c r="Q354"/>
  <c r="Y551"/>
  <c r="Y548"/>
  <c r="T354"/>
  <c r="Q782"/>
  <c r="T787"/>
  <c r="T763"/>
  <c r="T791"/>
  <c r="Q724"/>
  <c r="Q525"/>
  <c r="Y475"/>
  <c r="T716"/>
  <c r="T700"/>
  <c r="Y17"/>
  <c r="Y522"/>
  <c r="Q819"/>
  <c r="Y458"/>
  <c r="Y300"/>
  <c r="Y369"/>
  <c r="T746"/>
  <c r="Q815"/>
  <c r="Y6"/>
  <c r="Y510"/>
  <c r="Q833"/>
  <c r="Y787"/>
  <c r="T181"/>
  <c r="AS37" i="8"/>
  <c r="Q292" i="9"/>
  <c r="T514"/>
  <c r="Y718"/>
  <c r="Y731"/>
  <c r="AA84" i="39"/>
  <c r="Y215" i="9"/>
  <c r="T361"/>
  <c r="Y389"/>
  <c r="Y138"/>
  <c r="Q480"/>
  <c r="AA75" i="39"/>
  <c r="Y620" i="9"/>
  <c r="Y159"/>
  <c r="Q157"/>
  <c r="S498" i="20"/>
  <c r="T729" i="9"/>
  <c r="Q146"/>
  <c r="Y595"/>
  <c r="Y607"/>
  <c r="Y488"/>
  <c r="Q784"/>
  <c r="Q797"/>
  <c r="AS17" i="8"/>
  <c r="Y611" i="9"/>
  <c r="Y623"/>
  <c r="V197" i="39"/>
  <c r="Y89" i="9"/>
  <c r="T558"/>
  <c r="Y285"/>
  <c r="Q259"/>
  <c r="T894"/>
  <c r="Y427"/>
  <c r="Q539"/>
  <c r="AR18" i="8"/>
  <c r="Q512" i="9"/>
  <c r="T865"/>
  <c r="Q524"/>
  <c r="T805"/>
  <c r="Y372"/>
  <c r="Y710"/>
  <c r="Y183"/>
  <c r="Q516"/>
  <c r="T850"/>
  <c r="Q99"/>
  <c r="Y376"/>
  <c r="AS51" i="8"/>
  <c r="I498" i="20"/>
  <c r="T822" i="9"/>
  <c r="Y580"/>
  <c r="Y418"/>
  <c r="Y530"/>
  <c r="Y42"/>
  <c r="AS21" i="8"/>
  <c r="Y564" i="9"/>
  <c r="Y402"/>
  <c r="Y829"/>
  <c r="Y165"/>
  <c r="Y178" i="39"/>
  <c r="Y753" i="9"/>
  <c r="T559"/>
  <c r="Q672"/>
  <c r="T492"/>
  <c r="Q685"/>
  <c r="Y84"/>
  <c r="AS10" i="8"/>
  <c r="Y628" i="9"/>
  <c r="Y177" i="39"/>
  <c r="Q676" i="9"/>
  <c r="Q177"/>
  <c r="Y289"/>
  <c r="T580"/>
  <c r="Y690"/>
  <c r="Y421"/>
  <c r="Q655"/>
  <c r="T547"/>
  <c r="Q582"/>
  <c r="Y516"/>
  <c r="AS18" i="8"/>
  <c r="I210" i="12"/>
  <c r="T870" i="9"/>
  <c r="Q578"/>
  <c r="Q17"/>
  <c r="T499"/>
  <c r="Y393"/>
  <c r="T12"/>
  <c r="Q576"/>
  <c r="Y291"/>
  <c r="T23"/>
  <c r="T43"/>
  <c r="T711"/>
  <c r="T652"/>
  <c r="Y676"/>
  <c r="Q490"/>
  <c r="Q691"/>
  <c r="AS42" i="8"/>
  <c r="T70" i="9"/>
  <c r="T146"/>
  <c r="T777"/>
  <c r="T727"/>
  <c r="T799"/>
  <c r="T211"/>
  <c r="Y20"/>
  <c r="Y901"/>
  <c r="T660"/>
  <c r="T570"/>
  <c r="Y48"/>
  <c r="Q139"/>
  <c r="Q233"/>
  <c r="Q656"/>
  <c r="Q883"/>
  <c r="AR37" i="8"/>
  <c r="T123" i="9"/>
  <c r="T247"/>
  <c r="T869"/>
  <c r="T827"/>
  <c r="Y654"/>
  <c r="Q260"/>
  <c r="Q530"/>
  <c r="AR31" i="8"/>
  <c r="T816" i="9"/>
  <c r="T786"/>
  <c r="Y9"/>
  <c r="Y861"/>
  <c r="Q176"/>
  <c r="Q515"/>
  <c r="Q709"/>
  <c r="Q131"/>
  <c r="Y602"/>
  <c r="Q48"/>
  <c r="Y451"/>
  <c r="T826"/>
  <c r="Q682"/>
  <c r="T798"/>
  <c r="Q734"/>
  <c r="Y544"/>
  <c r="T566"/>
  <c r="T476"/>
  <c r="AR34" i="8"/>
  <c r="T68" i="9"/>
  <c r="Q711"/>
  <c r="Q534"/>
  <c r="Q272"/>
  <c r="AR44" i="8"/>
  <c r="T256" i="9"/>
  <c r="T670"/>
  <c r="Q816"/>
  <c r="Q828"/>
  <c r="Q805"/>
  <c r="T740"/>
  <c r="AR8" i="8"/>
  <c r="Q881" i="9"/>
  <c r="AS32" i="8"/>
  <c r="Q134" i="9"/>
  <c r="Q491"/>
  <c r="Q852"/>
  <c r="AS43" i="8"/>
  <c r="T567" i="9"/>
  <c r="Y497"/>
  <c r="Y166" i="39"/>
  <c r="T666" i="9"/>
  <c r="Y561"/>
  <c r="Y479"/>
  <c r="Y588"/>
  <c r="Y252"/>
  <c r="Y770"/>
  <c r="T480"/>
  <c r="T828"/>
  <c r="Y146"/>
  <c r="Y724"/>
  <c r="T802"/>
  <c r="Q509"/>
  <c r="Q773"/>
  <c r="Y263"/>
  <c r="Y68"/>
  <c r="Y463"/>
  <c r="Q238"/>
  <c r="Q266"/>
  <c r="Y80" i="39"/>
  <c r="Y310" i="9"/>
  <c r="T196"/>
  <c r="Y460"/>
  <c r="Y697"/>
  <c r="Q392"/>
  <c r="Y416"/>
  <c r="Y701"/>
  <c r="Q895"/>
  <c r="Y757"/>
  <c r="Q193"/>
  <c r="Y604"/>
  <c r="T596"/>
  <c r="Y736"/>
  <c r="Y596"/>
  <c r="Y519"/>
  <c r="T685"/>
  <c r="Y34"/>
  <c r="Q845"/>
  <c r="Y316"/>
  <c r="Q549"/>
  <c r="Q109"/>
  <c r="Y269"/>
  <c r="Q754"/>
  <c r="T821"/>
  <c r="Y175" i="39"/>
  <c r="Y660" i="9"/>
  <c r="T783"/>
  <c r="Y455"/>
  <c r="Y423"/>
  <c r="Y251"/>
  <c r="AR26" i="8"/>
  <c r="T751" i="9"/>
  <c r="T724"/>
  <c r="Q541"/>
  <c r="Y494"/>
  <c r="Q710"/>
  <c r="Y371"/>
  <c r="Y186"/>
  <c r="Y476"/>
  <c r="Y194"/>
  <c r="Q261"/>
  <c r="AR14" i="8"/>
  <c r="T879" i="9"/>
  <c r="Y157"/>
  <c r="Q817"/>
  <c r="Y273"/>
  <c r="Y140"/>
  <c r="O498" i="20"/>
  <c r="T479" i="9"/>
  <c r="Y365"/>
  <c r="Y417"/>
  <c r="Y444"/>
  <c r="Y401"/>
  <c r="Y515"/>
  <c r="Y32"/>
  <c r="T210"/>
  <c r="Y523"/>
  <c r="Y547"/>
  <c r="Y96"/>
  <c r="T73"/>
  <c r="Y739"/>
  <c r="Y575"/>
  <c r="T71"/>
  <c r="L158" i="12"/>
  <c r="Y468" i="9"/>
  <c r="Y649"/>
  <c r="Y76"/>
  <c r="T127"/>
  <c r="Y689"/>
  <c r="T813"/>
  <c r="Y610"/>
  <c r="AR15" i="8"/>
  <c r="Q521" i="9"/>
  <c r="T148"/>
  <c r="Q8"/>
  <c r="Y615"/>
  <c r="Q772"/>
  <c r="Y805"/>
  <c r="Q160"/>
  <c r="T167"/>
  <c r="T392"/>
  <c r="Y233"/>
  <c r="Q46"/>
  <c r="T362"/>
  <c r="Y161"/>
  <c r="T875"/>
  <c r="AR40" i="8"/>
  <c r="T132" i="9"/>
  <c r="Y646"/>
  <c r="T281"/>
  <c r="Y23"/>
  <c r="Q88"/>
  <c r="Q358"/>
  <c r="Y464"/>
  <c r="Q22"/>
  <c r="Y581"/>
  <c r="Y170" i="39"/>
  <c r="Y303" i="9"/>
  <c r="Y397"/>
  <c r="T738"/>
  <c r="AS50" i="8"/>
  <c r="Y10" i="9"/>
  <c r="Y12"/>
  <c r="T108"/>
  <c r="Y653"/>
  <c r="Q298"/>
  <c r="Q755"/>
  <c r="Y345"/>
  <c r="Y605"/>
  <c r="Q853"/>
  <c r="T357"/>
  <c r="Q6"/>
  <c r="Y137"/>
  <c r="T45"/>
  <c r="Q181"/>
  <c r="Y95"/>
  <c r="T815"/>
  <c r="Y27"/>
  <c r="Y366"/>
  <c r="Q880"/>
  <c r="Y814"/>
  <c r="Y513"/>
  <c r="Q708"/>
  <c r="Y412"/>
  <c r="M726" i="12"/>
  <c r="R525"/>
  <c r="C533"/>
  <c r="V525"/>
  <c r="L525"/>
  <c r="Q525"/>
  <c r="U726"/>
  <c r="Q726"/>
  <c r="C538"/>
  <c r="C530"/>
  <c r="H525"/>
  <c r="P726"/>
  <c r="C526"/>
  <c r="AA525"/>
  <c r="F726"/>
  <c r="C532"/>
  <c r="J498" i="20"/>
  <c r="T352" i="9"/>
  <c r="T768"/>
  <c r="AR24" i="8"/>
  <c r="AR16"/>
  <c r="Q575" i="9"/>
  <c r="Y715"/>
  <c r="Q657"/>
  <c r="Y323"/>
  <c r="T278"/>
  <c r="T238"/>
  <c r="T289"/>
  <c r="Y491"/>
  <c r="Y104"/>
  <c r="Q513"/>
  <c r="T143"/>
  <c r="T88"/>
  <c r="Y158"/>
  <c r="Y37"/>
  <c r="Q357"/>
  <c r="Q822"/>
  <c r="T188"/>
  <c r="Y183" i="39"/>
  <c r="T191" i="9"/>
  <c r="Y625"/>
  <c r="Y141"/>
  <c r="Y19"/>
  <c r="Y657"/>
  <c r="Y187"/>
  <c r="Y788"/>
  <c r="Q87"/>
  <c r="Y83"/>
  <c r="T159"/>
  <c r="Y216"/>
  <c r="T713"/>
  <c r="Y453"/>
  <c r="Y181"/>
  <c r="Y214"/>
  <c r="Q251"/>
  <c r="T883"/>
  <c r="T358"/>
  <c r="AR10" i="8"/>
  <c r="Y828" i="9"/>
  <c r="T267"/>
  <c r="Y740"/>
  <c r="T548"/>
  <c r="Q882"/>
  <c r="T104"/>
  <c r="Q498"/>
  <c r="Y314"/>
  <c r="Q750"/>
  <c r="Y873"/>
  <c r="Y693"/>
  <c r="Q7"/>
  <c r="Y211"/>
  <c r="Y744"/>
  <c r="D498" i="20"/>
  <c r="Y773" i="9"/>
  <c r="T793"/>
  <c r="Q28"/>
  <c r="Q799"/>
  <c r="Y550"/>
  <c r="Y870"/>
  <c r="Y172"/>
  <c r="F498" i="20"/>
  <c r="Q788" i="9"/>
  <c r="Q825"/>
  <c r="Y613"/>
  <c r="T483"/>
  <c r="T902"/>
  <c r="AS44" i="8"/>
  <c r="Q651" i="9"/>
  <c r="T65"/>
  <c r="Y262"/>
  <c r="T715"/>
  <c r="AR21" i="8"/>
  <c r="AA73" i="39"/>
  <c r="Q574" i="9"/>
  <c r="AR27" i="8"/>
  <c r="Q894" i="9"/>
  <c r="T161"/>
  <c r="T718"/>
  <c r="T511"/>
  <c r="Y185" i="39"/>
  <c r="N525" i="12"/>
  <c r="Z525"/>
  <c r="K726"/>
  <c r="N726"/>
  <c r="H726"/>
  <c r="C535"/>
  <c r="U525"/>
  <c r="AA726"/>
  <c r="C528"/>
  <c r="G525"/>
  <c r="R726"/>
  <c r="G726"/>
  <c r="D525"/>
  <c r="I525"/>
  <c r="E525"/>
  <c r="F499" i="20" l="1"/>
  <c r="V42" i="19"/>
  <c r="V43"/>
  <c r="D499" i="20"/>
  <c r="AA744" i="9"/>
  <c r="V76" i="19"/>
  <c r="AH24" i="8"/>
  <c r="F83"/>
  <c r="D102"/>
  <c r="AA214" i="9"/>
  <c r="F102" i="8" s="1"/>
  <c r="D113"/>
  <c r="G4" i="29"/>
  <c r="Q226" i="36" s="1"/>
  <c r="V40" i="19"/>
  <c r="V39"/>
  <c r="V38"/>
  <c r="AH45" i="8"/>
  <c r="J499" i="20"/>
  <c r="AR7" i="9"/>
  <c r="AR9"/>
  <c r="AR11"/>
  <c r="AR13"/>
  <c r="AR881"/>
  <c r="AR858"/>
  <c r="AR860"/>
  <c r="AR862"/>
  <c r="AR864"/>
  <c r="AR866"/>
  <c r="AR868"/>
  <c r="AR870"/>
  <c r="AR872"/>
  <c r="AR874"/>
  <c r="AR878"/>
  <c r="AR853"/>
  <c r="AR855"/>
  <c r="AR841"/>
  <c r="AR845"/>
  <c r="AR810"/>
  <c r="AR825"/>
  <c r="AR827"/>
  <c r="AR829"/>
  <c r="AR833"/>
  <c r="AR835"/>
  <c r="AR802"/>
  <c r="AR804"/>
  <c r="AR806"/>
  <c r="AR902"/>
  <c r="AR888"/>
  <c r="AR892"/>
  <c r="AR850"/>
  <c r="AR844"/>
  <c r="AR811"/>
  <c r="AR815"/>
  <c r="AR819"/>
  <c r="AR823"/>
  <c r="AR836"/>
  <c r="AR899"/>
  <c r="AR903"/>
  <c r="AR889"/>
  <c r="AR893"/>
  <c r="AR877"/>
  <c r="AR851"/>
  <c r="AR842"/>
  <c r="AR812"/>
  <c r="AR816"/>
  <c r="AR820"/>
  <c r="AR832"/>
  <c r="AR792"/>
  <c r="AR794"/>
  <c r="AR798"/>
  <c r="AR785"/>
  <c r="AR788"/>
  <c r="AR745"/>
  <c r="AR749"/>
  <c r="AR751"/>
  <c r="AR753"/>
  <c r="AR755"/>
  <c r="AR757"/>
  <c r="AR759"/>
  <c r="AR763"/>
  <c r="AR799"/>
  <c r="AR784"/>
  <c r="AR760"/>
  <c r="AR767"/>
  <c r="AR445"/>
  <c r="AR6"/>
  <c r="AR8"/>
  <c r="AR10"/>
  <c r="AR12"/>
  <c r="AR898"/>
  <c r="AR884"/>
  <c r="AR859"/>
  <c r="AR861"/>
  <c r="AR863"/>
  <c r="AR865"/>
  <c r="AR867"/>
  <c r="AR869"/>
  <c r="AR871"/>
  <c r="AR873"/>
  <c r="AR876"/>
  <c r="AR852"/>
  <c r="AR854"/>
  <c r="AR839"/>
  <c r="AR843"/>
  <c r="AR847"/>
  <c r="AR824"/>
  <c r="AR826"/>
  <c r="AR828"/>
  <c r="AR830"/>
  <c r="AR834"/>
  <c r="AR837"/>
  <c r="AR803"/>
  <c r="AR805"/>
  <c r="AR900"/>
  <c r="AR904"/>
  <c r="AR890"/>
  <c r="AR894"/>
  <c r="AR840"/>
  <c r="AR848"/>
  <c r="AR813"/>
  <c r="AR817"/>
  <c r="AR821"/>
  <c r="AR831"/>
  <c r="AR795"/>
  <c r="AR901"/>
  <c r="AR887"/>
  <c r="AR891"/>
  <c r="AR895"/>
  <c r="AR849"/>
  <c r="AR838"/>
  <c r="AR846"/>
  <c r="AR814"/>
  <c r="AR818"/>
  <c r="AR822"/>
  <c r="AR791"/>
  <c r="AR793"/>
  <c r="AR796"/>
  <c r="AR800"/>
  <c r="AR787"/>
  <c r="AR744"/>
  <c r="AR748"/>
  <c r="AR750"/>
  <c r="AR752"/>
  <c r="AR754"/>
  <c r="AR756"/>
  <c r="AR761"/>
  <c r="AR782"/>
  <c r="AR758"/>
  <c r="AR765"/>
  <c r="AR747"/>
  <c r="AR770"/>
  <c r="AR774"/>
  <c r="AR778"/>
  <c r="AR594"/>
  <c r="AR596"/>
  <c r="AR598"/>
  <c r="AR600"/>
  <c r="AR602"/>
  <c r="AR604"/>
  <c r="AR606"/>
  <c r="AR608"/>
  <c r="AR610"/>
  <c r="AR612"/>
  <c r="AR614"/>
  <c r="AR616"/>
  <c r="AR618"/>
  <c r="AR620"/>
  <c r="AR622"/>
  <c r="AR624"/>
  <c r="AR626"/>
  <c r="AR628"/>
  <c r="AR630"/>
  <c r="AR632"/>
  <c r="AR634"/>
  <c r="AR636"/>
  <c r="AR638"/>
  <c r="AR640"/>
  <c r="AR642"/>
  <c r="AR644"/>
  <c r="AR646"/>
  <c r="AR648"/>
  <c r="AR650"/>
  <c r="AR652"/>
  <c r="AR654"/>
  <c r="AR656"/>
  <c r="AR658"/>
  <c r="AR660"/>
  <c r="AR662"/>
  <c r="AR666"/>
  <c r="AR686"/>
  <c r="AR712"/>
  <c r="AR724"/>
  <c r="AR728"/>
  <c r="AR732"/>
  <c r="AR736"/>
  <c r="AR740"/>
  <c r="AR558"/>
  <c r="AR473"/>
  <c r="AR476"/>
  <c r="AR479"/>
  <c r="AR481"/>
  <c r="AR484"/>
  <c r="AR487"/>
  <c r="AR491"/>
  <c r="AR495"/>
  <c r="AR499"/>
  <c r="AR503"/>
  <c r="AR507"/>
  <c r="AR511"/>
  <c r="AR515"/>
  <c r="AR519"/>
  <c r="AR523"/>
  <c r="AR527"/>
  <c r="AR531"/>
  <c r="AR535"/>
  <c r="AR539"/>
  <c r="AR543"/>
  <c r="AR547"/>
  <c r="AR550"/>
  <c r="AR427"/>
  <c r="AR429"/>
  <c r="AR431"/>
  <c r="AR433"/>
  <c r="AR435"/>
  <c r="AR437"/>
  <c r="AR442"/>
  <c r="AR444"/>
  <c r="AR300"/>
  <c r="AR303"/>
  <c r="AR305"/>
  <c r="AR307"/>
  <c r="AR309"/>
  <c r="AR311"/>
  <c r="AR313"/>
  <c r="AR315"/>
  <c r="AR317"/>
  <c r="AR319"/>
  <c r="AR321"/>
  <c r="AR323"/>
  <c r="AR325"/>
  <c r="AR327"/>
  <c r="AR329"/>
  <c r="AR331"/>
  <c r="AR333"/>
  <c r="AR335"/>
  <c r="AR363"/>
  <c r="AR365"/>
  <c r="AR367"/>
  <c r="AR369"/>
  <c r="AR371"/>
  <c r="AR373"/>
  <c r="AR375"/>
  <c r="AR377"/>
  <c r="AR379"/>
  <c r="AR381"/>
  <c r="AR383"/>
  <c r="AR385"/>
  <c r="AR387"/>
  <c r="AR389"/>
  <c r="AR246"/>
  <c r="AR248"/>
  <c r="AR250"/>
  <c r="AR255"/>
  <c r="AR257"/>
  <c r="AR259"/>
  <c r="AR261"/>
  <c r="AR263"/>
  <c r="AR265"/>
  <c r="AR295"/>
  <c r="AR298"/>
  <c r="AR801"/>
  <c r="AR746"/>
  <c r="AR766"/>
  <c r="AR769"/>
  <c r="AR773"/>
  <c r="AR777"/>
  <c r="AR781"/>
  <c r="AR589"/>
  <c r="AR591"/>
  <c r="AR593"/>
  <c r="AR665"/>
  <c r="AR669"/>
  <c r="AR681"/>
  <c r="AR723"/>
  <c r="AR727"/>
  <c r="AR731"/>
  <c r="AR735"/>
  <c r="AR739"/>
  <c r="AR743"/>
  <c r="AR555"/>
  <c r="AR557"/>
  <c r="AR561"/>
  <c r="AR563"/>
  <c r="AR565"/>
  <c r="AR567"/>
  <c r="AR569"/>
  <c r="AR571"/>
  <c r="AR573"/>
  <c r="AR575"/>
  <c r="AR577"/>
  <c r="AR579"/>
  <c r="AR581"/>
  <c r="AR583"/>
  <c r="AR585"/>
  <c r="AR478"/>
  <c r="AR486"/>
  <c r="AR490"/>
  <c r="AR494"/>
  <c r="AR498"/>
  <c r="AR502"/>
  <c r="AR506"/>
  <c r="AR510"/>
  <c r="AR514"/>
  <c r="AR518"/>
  <c r="AR522"/>
  <c r="AR526"/>
  <c r="AR530"/>
  <c r="AR534"/>
  <c r="AR538"/>
  <c r="AR542"/>
  <c r="AR546"/>
  <c r="AR551"/>
  <c r="AR393"/>
  <c r="AR395"/>
  <c r="AR397"/>
  <c r="AR399"/>
  <c r="AR401"/>
  <c r="AR403"/>
  <c r="AR405"/>
  <c r="AR407"/>
  <c r="AR409"/>
  <c r="AR411"/>
  <c r="AR413"/>
  <c r="AR415"/>
  <c r="AR417"/>
  <c r="AR419"/>
  <c r="AR421"/>
  <c r="AR423"/>
  <c r="AR425"/>
  <c r="AR439"/>
  <c r="AR441"/>
  <c r="AR447"/>
  <c r="AR449"/>
  <c r="AR451"/>
  <c r="AR453"/>
  <c r="AR455"/>
  <c r="AR457"/>
  <c r="AR459"/>
  <c r="AR461"/>
  <c r="AR463"/>
  <c r="AR465"/>
  <c r="AR467"/>
  <c r="AR469"/>
  <c r="AR336"/>
  <c r="AR338"/>
  <c r="AR340"/>
  <c r="AR342"/>
  <c r="AR344"/>
  <c r="AR346"/>
  <c r="AR349"/>
  <c r="AR351"/>
  <c r="AR353"/>
  <c r="AR355"/>
  <c r="AR357"/>
  <c r="AR359"/>
  <c r="AR361"/>
  <c r="AR236"/>
  <c r="AR238"/>
  <c r="AR240"/>
  <c r="AR242"/>
  <c r="AR244"/>
  <c r="AR251"/>
  <c r="AR253"/>
  <c r="AR267"/>
  <c r="AR269"/>
  <c r="AR271"/>
  <c r="AR273"/>
  <c r="AR275"/>
  <c r="AR277"/>
  <c r="AR279"/>
  <c r="AR281"/>
  <c r="AR283"/>
  <c r="AR285"/>
  <c r="AR287"/>
  <c r="AR289"/>
  <c r="AR291"/>
  <c r="AR293"/>
  <c r="AR151"/>
  <c r="AR153"/>
  <c r="AR155"/>
  <c r="AR157"/>
  <c r="AR159"/>
  <c r="AR161"/>
  <c r="AR163"/>
  <c r="AR165"/>
  <c r="AR171"/>
  <c r="AR173"/>
  <c r="AR175"/>
  <c r="AR177"/>
  <c r="AR179"/>
  <c r="AR181"/>
  <c r="AR183"/>
  <c r="AR185"/>
  <c r="AR764"/>
  <c r="AR776"/>
  <c r="AR595"/>
  <c r="AR599"/>
  <c r="AR603"/>
  <c r="AR607"/>
  <c r="AR611"/>
  <c r="AR615"/>
  <c r="AR619"/>
  <c r="AR623"/>
  <c r="AR627"/>
  <c r="AR631"/>
  <c r="AR635"/>
  <c r="AR639"/>
  <c r="AR643"/>
  <c r="AR647"/>
  <c r="AR651"/>
  <c r="AR655"/>
  <c r="AR659"/>
  <c r="AR664"/>
  <c r="AR692"/>
  <c r="AR726"/>
  <c r="AR734"/>
  <c r="AR742"/>
  <c r="AR474"/>
  <c r="AR480"/>
  <c r="AR485"/>
  <c r="AR493"/>
  <c r="AR501"/>
  <c r="AR509"/>
  <c r="AR517"/>
  <c r="AR525"/>
  <c r="AR533"/>
  <c r="AR541"/>
  <c r="AR548"/>
  <c r="AR428"/>
  <c r="AR432"/>
  <c r="AR436"/>
  <c r="AR443"/>
  <c r="AR301"/>
  <c r="AR306"/>
  <c r="AR310"/>
  <c r="AR314"/>
  <c r="AR318"/>
  <c r="AR322"/>
  <c r="AR326"/>
  <c r="AR330"/>
  <c r="AR334"/>
  <c r="AR364"/>
  <c r="AR368"/>
  <c r="AR372"/>
  <c r="AR376"/>
  <c r="AR380"/>
  <c r="AR384"/>
  <c r="AR388"/>
  <c r="AR247"/>
  <c r="AR254"/>
  <c r="AR258"/>
  <c r="AR262"/>
  <c r="AR294"/>
  <c r="AR797"/>
  <c r="AR762"/>
  <c r="AR771"/>
  <c r="AR779"/>
  <c r="AR590"/>
  <c r="AR663"/>
  <c r="AR671"/>
  <c r="AR725"/>
  <c r="AR733"/>
  <c r="AR741"/>
  <c r="AR556"/>
  <c r="AR562"/>
  <c r="AR566"/>
  <c r="AR570"/>
  <c r="AR574"/>
  <c r="AR578"/>
  <c r="AR582"/>
  <c r="AR475"/>
  <c r="AR488"/>
  <c r="AR496"/>
  <c r="AR504"/>
  <c r="AR512"/>
  <c r="AR520"/>
  <c r="AR528"/>
  <c r="AR536"/>
  <c r="AR544"/>
  <c r="AR553"/>
  <c r="AR396"/>
  <c r="AR400"/>
  <c r="AR404"/>
  <c r="AR408"/>
  <c r="AR412"/>
  <c r="AR416"/>
  <c r="AR420"/>
  <c r="AR424"/>
  <c r="AR440"/>
  <c r="AR448"/>
  <c r="AR452"/>
  <c r="AR456"/>
  <c r="AR460"/>
  <c r="AR464"/>
  <c r="AR468"/>
  <c r="AR337"/>
  <c r="AR341"/>
  <c r="AR345"/>
  <c r="AR350"/>
  <c r="AR354"/>
  <c r="AR358"/>
  <c r="AR362"/>
  <c r="AR239"/>
  <c r="AR243"/>
  <c r="AR252"/>
  <c r="AR268"/>
  <c r="AR272"/>
  <c r="AR276"/>
  <c r="AR280"/>
  <c r="AR284"/>
  <c r="AR288"/>
  <c r="AR292"/>
  <c r="AR152"/>
  <c r="AR156"/>
  <c r="AR160"/>
  <c r="AR164"/>
  <c r="AR172"/>
  <c r="AR176"/>
  <c r="AR180"/>
  <c r="AR184"/>
  <c r="AR187"/>
  <c r="AR189"/>
  <c r="AR194"/>
  <c r="AR196"/>
  <c r="AR198"/>
  <c r="AR200"/>
  <c r="AR202"/>
  <c r="AR205"/>
  <c r="AR215"/>
  <c r="AR219"/>
  <c r="AR223"/>
  <c r="AR227"/>
  <c r="AR231"/>
  <c r="AR166"/>
  <c r="AR191"/>
  <c r="AR207"/>
  <c r="AR111"/>
  <c r="AR113"/>
  <c r="AR115"/>
  <c r="AR117"/>
  <c r="AR119"/>
  <c r="AR122"/>
  <c r="AR129"/>
  <c r="AR62"/>
  <c r="AR68"/>
  <c r="AR71"/>
  <c r="AR75"/>
  <c r="AR81"/>
  <c r="AR84"/>
  <c r="AR86"/>
  <c r="AR88"/>
  <c r="AR90"/>
  <c r="AR92"/>
  <c r="AR96"/>
  <c r="AR99"/>
  <c r="AR16"/>
  <c r="AR31"/>
  <c r="AR33"/>
  <c r="AR35"/>
  <c r="AR43"/>
  <c r="AR45"/>
  <c r="AR47"/>
  <c r="AR52"/>
  <c r="AR56"/>
  <c r="AR214"/>
  <c r="AR218"/>
  <c r="AR222"/>
  <c r="AR226"/>
  <c r="AR230"/>
  <c r="AR167"/>
  <c r="AR190"/>
  <c r="AR208"/>
  <c r="AR210"/>
  <c r="AR131"/>
  <c r="AR133"/>
  <c r="AR135"/>
  <c r="AR137"/>
  <c r="AR139"/>
  <c r="AR141"/>
  <c r="AR143"/>
  <c r="AR146"/>
  <c r="AR148"/>
  <c r="AR108"/>
  <c r="AR110"/>
  <c r="AR123"/>
  <c r="AR126"/>
  <c r="AR128"/>
  <c r="AR59"/>
  <c r="AR63"/>
  <c r="AR66"/>
  <c r="AR70"/>
  <c r="AR74"/>
  <c r="AR77"/>
  <c r="AR79"/>
  <c r="AR93"/>
  <c r="AR98"/>
  <c r="AR102"/>
  <c r="AR104"/>
  <c r="AR18"/>
  <c r="AR20"/>
  <c r="AR22"/>
  <c r="AR24"/>
  <c r="AR26"/>
  <c r="AR28"/>
  <c r="AR36"/>
  <c r="AR38"/>
  <c r="AR40"/>
  <c r="AR48"/>
  <c r="AR51"/>
  <c r="AR55"/>
  <c r="AR897"/>
  <c r="AR857"/>
  <c r="AR790"/>
  <c r="AR472"/>
  <c r="AR235"/>
  <c r="AR150"/>
  <c r="AR15"/>
  <c r="AR885"/>
  <c r="AR807"/>
  <c r="AR586"/>
  <c r="AR391"/>
  <c r="AR212"/>
  <c r="AR105"/>
  <c r="AR912"/>
  <c r="AR882"/>
  <c r="AR883"/>
  <c r="AR905"/>
  <c r="AR906"/>
  <c r="AR677"/>
  <c r="AR696"/>
  <c r="AR713"/>
  <c r="AR680"/>
  <c r="AR699"/>
  <c r="AR716"/>
  <c r="AR694"/>
  <c r="AR678"/>
  <c r="AR714"/>
  <c r="AR689"/>
  <c r="AR674"/>
  <c r="AR709"/>
  <c r="AR682"/>
  <c r="AR700"/>
  <c r="AR717"/>
  <c r="AR685"/>
  <c r="AR703"/>
  <c r="AR720"/>
  <c r="AR702"/>
  <c r="AR688"/>
  <c r="AR786"/>
  <c r="AR698"/>
  <c r="AR683"/>
  <c r="AR718"/>
  <c r="AR772"/>
  <c r="AR780"/>
  <c r="AR597"/>
  <c r="AR601"/>
  <c r="AR605"/>
  <c r="AR609"/>
  <c r="AR613"/>
  <c r="AR617"/>
  <c r="AR621"/>
  <c r="AR625"/>
  <c r="AR629"/>
  <c r="AR633"/>
  <c r="AR637"/>
  <c r="AR641"/>
  <c r="AR645"/>
  <c r="AR649"/>
  <c r="AR653"/>
  <c r="AR657"/>
  <c r="AR661"/>
  <c r="AR668"/>
  <c r="AR722"/>
  <c r="AR730"/>
  <c r="AR738"/>
  <c r="AR559"/>
  <c r="AR477"/>
  <c r="AR483"/>
  <c r="AR489"/>
  <c r="AR497"/>
  <c r="AR505"/>
  <c r="AR513"/>
  <c r="AR521"/>
  <c r="AR529"/>
  <c r="AR537"/>
  <c r="AR545"/>
  <c r="AR552"/>
  <c r="AR430"/>
  <c r="AR434"/>
  <c r="AR438"/>
  <c r="AR470"/>
  <c r="AR304"/>
  <c r="AR308"/>
  <c r="AR312"/>
  <c r="AR316"/>
  <c r="AR320"/>
  <c r="AR324"/>
  <c r="AR328"/>
  <c r="AR332"/>
  <c r="AR347"/>
  <c r="AR366"/>
  <c r="AR370"/>
  <c r="AR374"/>
  <c r="AR378"/>
  <c r="AR382"/>
  <c r="AR386"/>
  <c r="AR390"/>
  <c r="AR249"/>
  <c r="AR256"/>
  <c r="AR260"/>
  <c r="AR264"/>
  <c r="AR296"/>
  <c r="AR783"/>
  <c r="AR768"/>
  <c r="AR775"/>
  <c r="AR588"/>
  <c r="AR592"/>
  <c r="AR667"/>
  <c r="AR721"/>
  <c r="AR729"/>
  <c r="AR737"/>
  <c r="AR554"/>
  <c r="AR560"/>
  <c r="AR564"/>
  <c r="AR568"/>
  <c r="AR572"/>
  <c r="AR576"/>
  <c r="AR580"/>
  <c r="AR584"/>
  <c r="AR482"/>
  <c r="AR492"/>
  <c r="AR500"/>
  <c r="AR508"/>
  <c r="AR516"/>
  <c r="AR524"/>
  <c r="AR532"/>
  <c r="AR540"/>
  <c r="AR549"/>
  <c r="AR394"/>
  <c r="AR398"/>
  <c r="AR402"/>
  <c r="AR406"/>
  <c r="AR410"/>
  <c r="AR414"/>
  <c r="AR418"/>
  <c r="AR422"/>
  <c r="AR426"/>
  <c r="AR446"/>
  <c r="AR450"/>
  <c r="AR454"/>
  <c r="AR458"/>
  <c r="AR462"/>
  <c r="AR466"/>
  <c r="AR299"/>
  <c r="AR339"/>
  <c r="AR343"/>
  <c r="AR348"/>
  <c r="AR352"/>
  <c r="AR356"/>
  <c r="AR360"/>
  <c r="AR237"/>
  <c r="AR241"/>
  <c r="AR245"/>
  <c r="AR266"/>
  <c r="AR270"/>
  <c r="AR274"/>
  <c r="AR278"/>
  <c r="AR282"/>
  <c r="AR286"/>
  <c r="AR290"/>
  <c r="AR297"/>
  <c r="AR154"/>
  <c r="AR158"/>
  <c r="AR162"/>
  <c r="AR170"/>
  <c r="AR174"/>
  <c r="AR178"/>
  <c r="AR182"/>
  <c r="AR186"/>
  <c r="AR188"/>
  <c r="AR193"/>
  <c r="AR195"/>
  <c r="AR197"/>
  <c r="AR199"/>
  <c r="AR201"/>
  <c r="AR203"/>
  <c r="AR206"/>
  <c r="AR217"/>
  <c r="AR221"/>
  <c r="AR225"/>
  <c r="AR229"/>
  <c r="AR233"/>
  <c r="AR168"/>
  <c r="AR204"/>
  <c r="AR145"/>
  <c r="AR112"/>
  <c r="AR114"/>
  <c r="AR116"/>
  <c r="AR118"/>
  <c r="AR121"/>
  <c r="AR125"/>
  <c r="AR61"/>
  <c r="AR64"/>
  <c r="AR69"/>
  <c r="AR73"/>
  <c r="AR80"/>
  <c r="AR83"/>
  <c r="AR85"/>
  <c r="AR87"/>
  <c r="AR89"/>
  <c r="AR91"/>
  <c r="AR95"/>
  <c r="AR97"/>
  <c r="AR101"/>
  <c r="AR30"/>
  <c r="AR32"/>
  <c r="AR34"/>
  <c r="AR42"/>
  <c r="AR44"/>
  <c r="AR46"/>
  <c r="AR50"/>
  <c r="AR54"/>
  <c r="AR58"/>
  <c r="AR216"/>
  <c r="AR220"/>
  <c r="AR224"/>
  <c r="AR228"/>
  <c r="AR232"/>
  <c r="AR169"/>
  <c r="AR192"/>
  <c r="AR209"/>
  <c r="AR211"/>
  <c r="AR132"/>
  <c r="AR134"/>
  <c r="AR136"/>
  <c r="AR138"/>
  <c r="AR140"/>
  <c r="AR142"/>
  <c r="AR144"/>
  <c r="AR147"/>
  <c r="AR107"/>
  <c r="AR109"/>
  <c r="AR120"/>
  <c r="AR124"/>
  <c r="AR127"/>
  <c r="AR130"/>
  <c r="AR60"/>
  <c r="AR65"/>
  <c r="AR67"/>
  <c r="AR72"/>
  <c r="AR76"/>
  <c r="AR78"/>
  <c r="AR82"/>
  <c r="AR94"/>
  <c r="AR100"/>
  <c r="AR103"/>
  <c r="AR17"/>
  <c r="AR19"/>
  <c r="AR21"/>
  <c r="AR23"/>
  <c r="AR25"/>
  <c r="AR27"/>
  <c r="AR29"/>
  <c r="AR37"/>
  <c r="AR39"/>
  <c r="AR41"/>
  <c r="AR49"/>
  <c r="AR53"/>
  <c r="AR57"/>
  <c r="AR886"/>
  <c r="AR808"/>
  <c r="AR587"/>
  <c r="AR392"/>
  <c r="AR213"/>
  <c r="AR106"/>
  <c r="AR896"/>
  <c r="AR856"/>
  <c r="AR789"/>
  <c r="AR471"/>
  <c r="AR234"/>
  <c r="AR149"/>
  <c r="AR14"/>
  <c r="AR875"/>
  <c r="AR879"/>
  <c r="AR880"/>
  <c r="AR809"/>
  <c r="AR302"/>
  <c r="AR687"/>
  <c r="AR704"/>
  <c r="AR672"/>
  <c r="AR690"/>
  <c r="AR707"/>
  <c r="AR675"/>
  <c r="AR710"/>
  <c r="AR697"/>
  <c r="AR670"/>
  <c r="AR706"/>
  <c r="AR693"/>
  <c r="AR673"/>
  <c r="AR691"/>
  <c r="AR708"/>
  <c r="AR676"/>
  <c r="AR695"/>
  <c r="AR711"/>
  <c r="AR684"/>
  <c r="AR719"/>
  <c r="AR705"/>
  <c r="AR679"/>
  <c r="AR715"/>
  <c r="AR701"/>
  <c r="AD77" i="12"/>
  <c r="M419"/>
  <c r="Q152" i="36"/>
  <c r="D100" i="8"/>
  <c r="AH21"/>
  <c r="G45" i="6"/>
  <c r="F82" i="8"/>
  <c r="O499" i="20"/>
  <c r="V20" i="19"/>
  <c r="V21"/>
  <c r="K50" i="36" s="1"/>
  <c r="D109" i="8"/>
  <c r="F79"/>
  <c r="AH32"/>
  <c r="AH28"/>
  <c r="Q144" i="36"/>
  <c r="F67" i="8"/>
  <c r="Q146" i="36"/>
  <c r="AA588" i="9"/>
  <c r="AD588" s="1"/>
  <c r="AE588" s="1"/>
  <c r="AA861"/>
  <c r="AD861" s="1"/>
  <c r="AE861" s="1"/>
  <c r="Q153" i="36"/>
  <c r="AH10" i="8"/>
  <c r="AA393" i="9"/>
  <c r="AD393" s="1"/>
  <c r="U880" s="1"/>
  <c r="B33" i="17"/>
  <c r="AH22" i="8"/>
  <c r="D114"/>
  <c r="Q26" i="36"/>
  <c r="V83" i="19"/>
  <c r="V85"/>
  <c r="CN56" i="36"/>
  <c r="V84" i="19"/>
  <c r="I499" i="20"/>
  <c r="E191"/>
  <c r="V77" i="19"/>
  <c r="V102"/>
  <c r="S499" i="20"/>
  <c r="AA215" i="9"/>
  <c r="F74" i="8"/>
  <c r="AH48"/>
  <c r="G11" i="29"/>
  <c r="AA6" i="9"/>
  <c r="AD6" s="1"/>
  <c r="AE6" s="1"/>
  <c r="AA17"/>
  <c r="AD17" s="1"/>
  <c r="AE17" s="1"/>
  <c r="Q31" i="36"/>
  <c r="Q145"/>
  <c r="D191" i="20"/>
  <c r="F65" i="8"/>
  <c r="AA7" i="9"/>
  <c r="AD7" s="1"/>
  <c r="AE7" s="1"/>
  <c r="D119" i="8"/>
  <c r="V93" i="19"/>
  <c r="V92"/>
  <c r="V91"/>
  <c r="Q150" i="36"/>
  <c r="D93" i="8"/>
  <c r="D94"/>
  <c r="AH26"/>
  <c r="K499" i="20"/>
  <c r="V94" i="19"/>
  <c r="V95"/>
  <c r="Q32" i="36"/>
  <c r="AH47" i="8"/>
  <c r="AA860" i="9"/>
  <c r="AD860" s="1"/>
  <c r="AE860" s="1"/>
  <c r="V145" i="19"/>
  <c r="AA809" i="9"/>
  <c r="B810" s="1"/>
  <c r="AH13" i="8"/>
  <c r="F68"/>
  <c r="AH29"/>
  <c r="V6" i="19"/>
  <c r="V8"/>
  <c r="V7"/>
  <c r="V5"/>
  <c r="AA782" i="9"/>
  <c r="AD782" s="1"/>
  <c r="AE782" s="1"/>
  <c r="G8" i="29"/>
  <c r="Q230" i="36" s="1"/>
  <c r="N419" i="12"/>
  <c r="AD78"/>
  <c r="H499" i="20"/>
  <c r="D117" i="8"/>
  <c r="E499" i="20"/>
  <c r="AH14" i="8"/>
  <c r="F70"/>
  <c r="D90"/>
  <c r="G10" i="29"/>
  <c r="F76" i="8"/>
  <c r="B32" i="17"/>
  <c r="B28"/>
  <c r="AH39" i="8"/>
  <c r="AH16"/>
  <c r="P499" i="20"/>
  <c r="AH6" i="8"/>
  <c r="B26" i="17"/>
  <c r="V161" i="19"/>
  <c r="V166"/>
  <c r="V160"/>
  <c r="V165"/>
  <c r="V168"/>
  <c r="V170"/>
  <c r="V167"/>
  <c r="V164"/>
  <c r="V162"/>
  <c r="V169"/>
  <c r="V163"/>
  <c r="F73" i="8"/>
  <c r="AA850" i="9"/>
  <c r="AH41" i="8"/>
  <c r="F75"/>
  <c r="F81"/>
  <c r="AH42"/>
  <c r="V499" i="20"/>
  <c r="AH12" i="8"/>
  <c r="AA236" i="9"/>
  <c r="AD236" s="1"/>
  <c r="AE236" s="1"/>
  <c r="F66" i="8"/>
  <c r="V108" i="19"/>
  <c r="V112"/>
  <c r="V127"/>
  <c r="V110"/>
  <c r="V107"/>
  <c r="V119"/>
  <c r="V115"/>
  <c r="V120"/>
  <c r="V133"/>
  <c r="V139"/>
  <c r="M13" i="12"/>
  <c r="V118" i="19"/>
  <c r="V116"/>
  <c r="V114"/>
  <c r="V126"/>
  <c r="V111"/>
  <c r="V106"/>
  <c r="V125"/>
  <c r="F71" i="8"/>
  <c r="AH8"/>
  <c r="G9" i="29"/>
  <c r="Q231" i="36" s="1"/>
  <c r="AA783" i="9"/>
  <c r="I9" i="29" s="1"/>
  <c r="T231" i="36" s="1"/>
  <c r="AA858" i="9"/>
  <c r="AD858" s="1"/>
  <c r="AE858" s="1"/>
  <c r="AH50" i="8"/>
  <c r="AA554" i="9"/>
  <c r="AD554" s="1"/>
  <c r="AE554" s="1"/>
  <c r="L499" i="20"/>
  <c r="BI30" i="8"/>
  <c r="Q143" i="36"/>
  <c r="AH5" i="8"/>
  <c r="V56" i="19"/>
  <c r="V52"/>
  <c r="V51"/>
  <c r="V54"/>
  <c r="V55"/>
  <c r="V53"/>
  <c r="Q141" i="36"/>
  <c r="V29" i="19"/>
  <c r="V30"/>
  <c r="V28"/>
  <c r="V25"/>
  <c r="V23"/>
  <c r="V26"/>
  <c r="V24"/>
  <c r="V27"/>
  <c r="Q27" i="36"/>
  <c r="Q20"/>
  <c r="AH37" i="8"/>
  <c r="V18" i="19"/>
  <c r="V101"/>
  <c r="Q139" i="36"/>
  <c r="D104" i="8"/>
  <c r="D96"/>
  <c r="Q29" i="36"/>
  <c r="D95" i="8"/>
  <c r="D88"/>
  <c r="AH44"/>
  <c r="D110"/>
  <c r="O15" i="6"/>
  <c r="Z20" i="36" s="1"/>
  <c r="AH30" i="8"/>
  <c r="U499" i="20"/>
  <c r="AH49" i="8"/>
  <c r="AA107" i="9"/>
  <c r="AD107" s="1"/>
  <c r="AE107" s="1"/>
  <c r="AA59"/>
  <c r="AD59" s="1"/>
  <c r="AE59" s="1"/>
  <c r="D106" i="8"/>
  <c r="D120"/>
  <c r="D89"/>
  <c r="D105"/>
  <c r="D45" i="6"/>
  <c r="D98" i="8"/>
  <c r="V150" i="19"/>
  <c r="V147"/>
  <c r="D107" i="8"/>
  <c r="AH38"/>
  <c r="AA791" i="9"/>
  <c r="D97" i="8"/>
  <c r="AH36"/>
  <c r="D116"/>
  <c r="M499" i="20"/>
  <c r="M500" s="1"/>
  <c r="F80" i="8"/>
  <c r="D103"/>
  <c r="AA887" i="9"/>
  <c r="AD887" s="1"/>
  <c r="AE887" s="1"/>
  <c r="AH19" i="8"/>
  <c r="R5" i="33"/>
  <c r="V14" i="19"/>
  <c r="V10"/>
  <c r="V16"/>
  <c r="V12"/>
  <c r="K47" i="36" s="1"/>
  <c r="V15" i="19"/>
  <c r="V11"/>
  <c r="V13"/>
  <c r="V90"/>
  <c r="AA802" i="9"/>
  <c r="AD802" s="1"/>
  <c r="AE802" s="1"/>
  <c r="AH9" i="8"/>
  <c r="B27" i="17"/>
  <c r="V17" i="19"/>
  <c r="V100"/>
  <c r="V97"/>
  <c r="V96"/>
  <c r="AA395" i="9"/>
  <c r="AD395" s="1"/>
  <c r="AE395" s="1"/>
  <c r="V69" i="19"/>
  <c r="V68"/>
  <c r="K48" i="36" s="1"/>
  <c r="R499" i="20"/>
  <c r="W499"/>
  <c r="W257" s="1"/>
  <c r="E27" i="6"/>
  <c r="S14" i="36" s="1"/>
  <c r="F77" i="8"/>
  <c r="AA394" i="9"/>
  <c r="AA473"/>
  <c r="AD473" s="1"/>
  <c r="AE473" s="1"/>
  <c r="G499" i="20"/>
  <c r="D111" i="8"/>
  <c r="Q499" i="20"/>
  <c r="D122" i="8"/>
  <c r="D101"/>
  <c r="N499" i="20"/>
  <c r="V58" i="19"/>
  <c r="V59"/>
  <c r="V63"/>
  <c r="V66"/>
  <c r="V65"/>
  <c r="V64"/>
  <c r="V61"/>
  <c r="V60"/>
  <c r="K49" i="36" s="1"/>
  <c r="AA131" i="9"/>
  <c r="AD131" s="1"/>
  <c r="AE131" s="1"/>
  <c r="AA589"/>
  <c r="Q147" i="36"/>
  <c r="Q24"/>
  <c r="D115" i="8"/>
  <c r="Q148" i="36"/>
  <c r="Q138"/>
  <c r="Q21"/>
  <c r="AA899" i="9"/>
  <c r="AD899" s="1"/>
  <c r="AE899" s="1"/>
  <c r="Q154" i="36"/>
  <c r="B31" i="17"/>
  <c r="F72" i="8"/>
  <c r="AA132" i="9"/>
  <c r="AD132" s="1"/>
  <c r="AE132" s="1"/>
  <c r="AH34" i="8"/>
  <c r="T499" i="20"/>
  <c r="Q151" i="36"/>
  <c r="F69" i="8"/>
  <c r="Q23" i="36"/>
  <c r="V158" i="19"/>
  <c r="V159"/>
  <c r="AH33" i="8"/>
  <c r="Q22" i="36"/>
  <c r="V103" i="19"/>
  <c r="V78"/>
  <c r="Q142" i="36"/>
  <c r="AH27" i="8"/>
  <c r="AH35"/>
  <c r="AH15"/>
  <c r="Q28" i="36"/>
  <c r="D92" i="8"/>
  <c r="AH18"/>
  <c r="AA299" i="9"/>
  <c r="Q33" i="36"/>
  <c r="V36" i="19"/>
  <c r="V35"/>
  <c r="V32"/>
  <c r="V34"/>
  <c r="V33"/>
  <c r="AH17" i="8"/>
  <c r="AA18" i="9"/>
  <c r="AD18" s="1"/>
  <c r="AE18" s="1"/>
  <c r="D99" i="8"/>
  <c r="D108"/>
  <c r="AA555" i="9"/>
  <c r="AA912"/>
  <c r="D91" i="8"/>
  <c r="F78"/>
  <c r="V98" i="19"/>
  <c r="V99"/>
  <c r="V48"/>
  <c r="V71"/>
  <c r="V74"/>
  <c r="V45"/>
  <c r="V44"/>
  <c r="V73"/>
  <c r="V72"/>
  <c r="V47"/>
  <c r="V49"/>
  <c r="V46"/>
  <c r="AA888" i="9"/>
  <c r="AD888" s="1"/>
  <c r="AE888" s="1"/>
  <c r="AA859"/>
  <c r="Q30" i="36"/>
  <c r="AH20" i="8"/>
  <c r="AA849" i="9"/>
  <c r="AH40" i="8"/>
  <c r="Q149" i="36"/>
  <c r="AH25" i="8"/>
  <c r="AA792" i="9"/>
  <c r="AD792" s="1"/>
  <c r="AE792" s="1"/>
  <c r="Q140" i="36"/>
  <c r="D121" i="8"/>
  <c r="AH11"/>
  <c r="AH7"/>
  <c r="AH23"/>
  <c r="AH43"/>
  <c r="AH31"/>
  <c r="AH46"/>
  <c r="AA900" i="9"/>
  <c r="AD900" s="1"/>
  <c r="AE900" s="1"/>
  <c r="AA9"/>
  <c r="AD9" s="1"/>
  <c r="AE9" s="1"/>
  <c r="AA109"/>
  <c r="AD109" s="1"/>
  <c r="AE109" s="1"/>
  <c r="AA237"/>
  <c r="AD237" s="1"/>
  <c r="AE237" s="1"/>
  <c r="AA889"/>
  <c r="AD889" s="1"/>
  <c r="AE889" s="1"/>
  <c r="AA838"/>
  <c r="AD838" s="1"/>
  <c r="AE838" s="1"/>
  <c r="AA862"/>
  <c r="AD862" s="1"/>
  <c r="AE862" s="1"/>
  <c r="AA476"/>
  <c r="AA133"/>
  <c r="AD133" s="1"/>
  <c r="AE133" s="1"/>
  <c r="AA475"/>
  <c r="AD475" s="1"/>
  <c r="AA793"/>
  <c r="F98" i="8" s="1"/>
  <c r="AA8" i="9"/>
  <c r="AD8" s="1"/>
  <c r="AE8" s="1"/>
  <c r="AA300"/>
  <c r="AA108"/>
  <c r="AD108" s="1"/>
  <c r="AE108" s="1"/>
  <c r="AA803"/>
  <c r="AD803" s="1"/>
  <c r="AE803" s="1"/>
  <c r="AA811"/>
  <c r="AA216"/>
  <c r="AA151"/>
  <c r="AD151" s="1"/>
  <c r="AE151" s="1"/>
  <c r="AE136" i="19" s="1"/>
  <c r="AA396" i="9"/>
  <c r="AA590"/>
  <c r="T148" i="36" s="1"/>
  <c r="V148" s="1"/>
  <c r="X148" s="1"/>
  <c r="AA19" i="9"/>
  <c r="AD19" s="1"/>
  <c r="AE19" s="1"/>
  <c r="AA61"/>
  <c r="AU19"/>
  <c r="Z591"/>
  <c r="AA591" s="1"/>
  <c r="T149" i="36" s="1"/>
  <c r="V149" s="1"/>
  <c r="X149" s="1"/>
  <c r="D500" i="20"/>
  <c r="M135" i="19"/>
  <c r="M128"/>
  <c r="AU155" i="9"/>
  <c r="E98" i="8"/>
  <c r="M134" i="19"/>
  <c r="M127"/>
  <c r="W20" i="9"/>
  <c r="Z20" s="1"/>
  <c r="AA20" s="1"/>
  <c r="BB20"/>
  <c r="W10"/>
  <c r="BB10"/>
  <c r="AA156"/>
  <c r="W120" i="19"/>
  <c r="Y120" s="1"/>
  <c r="W107"/>
  <c r="Y107" s="1"/>
  <c r="AA153" i="9"/>
  <c r="AD153" s="1"/>
  <c r="AE153" s="1"/>
  <c r="W112" i="19"/>
  <c r="Y112" s="1"/>
  <c r="AA154" i="9"/>
  <c r="AD154" s="1"/>
  <c r="AE154" s="1"/>
  <c r="W126" i="19"/>
  <c r="Y126" s="1"/>
  <c r="W127"/>
  <c r="Y127" s="1"/>
  <c r="W106"/>
  <c r="Y106" s="1"/>
  <c r="W133"/>
  <c r="Y133" s="1"/>
  <c r="W139"/>
  <c r="Y139" s="1"/>
  <c r="W156" i="9"/>
  <c r="BB156"/>
  <c r="C101" i="8"/>
  <c r="AU476" i="9"/>
  <c r="W592"/>
  <c r="BB592"/>
  <c r="AU591"/>
  <c r="AA784"/>
  <c r="AD784" s="1"/>
  <c r="V30" i="36" s="1"/>
  <c r="X30" s="1"/>
  <c r="Z134" i="9"/>
  <c r="AA134" s="1"/>
  <c r="AD134" s="1"/>
  <c r="AE134" s="1"/>
  <c r="Z217"/>
  <c r="Z232" s="1"/>
  <c r="AU397"/>
  <c r="Z746"/>
  <c r="AA746" s="1"/>
  <c r="AD746" s="1"/>
  <c r="AE746" s="1"/>
  <c r="G98" i="8"/>
  <c r="G18" i="29"/>
  <c r="P235" i="36" s="1"/>
  <c r="Z251" s="1"/>
  <c r="Z812" i="9"/>
  <c r="AA812" s="1"/>
  <c r="AD812" s="1"/>
  <c r="AE812" s="1"/>
  <c r="AU862"/>
  <c r="Z891"/>
  <c r="AA891" s="1"/>
  <c r="AD891" s="1"/>
  <c r="AE891" s="1"/>
  <c r="Z397"/>
  <c r="AA397" s="1"/>
  <c r="BF903"/>
  <c r="BE903" s="1"/>
  <c r="W903" s="1"/>
  <c r="W218"/>
  <c r="AU218" s="1"/>
  <c r="BB218"/>
  <c r="W813"/>
  <c r="AU813" s="1"/>
  <c r="BB813"/>
  <c r="W902"/>
  <c r="BB902"/>
  <c r="Z901"/>
  <c r="AA901" s="1"/>
  <c r="AD901" s="1"/>
  <c r="AE901" s="1"/>
  <c r="AU901"/>
  <c r="W558"/>
  <c r="AU558" s="1"/>
  <c r="BB558"/>
  <c r="W863"/>
  <c r="Z863" s="1"/>
  <c r="AA863" s="1"/>
  <c r="BB863"/>
  <c r="W852"/>
  <c r="AD852" s="1"/>
  <c r="AE852" s="1"/>
  <c r="BB852"/>
  <c r="W398"/>
  <c r="AU398" s="1"/>
  <c r="BB398"/>
  <c r="W302"/>
  <c r="BB302"/>
  <c r="Z851"/>
  <c r="AU851"/>
  <c r="AE107" i="19"/>
  <c r="AU107" s="1"/>
  <c r="AE110"/>
  <c r="AM110" s="1"/>
  <c r="AE108"/>
  <c r="AU108" s="1"/>
  <c r="AE112"/>
  <c r="AM112" s="1"/>
  <c r="AE130"/>
  <c r="AM130" s="1"/>
  <c r="AE140"/>
  <c r="AE135"/>
  <c r="AE111"/>
  <c r="AQ111" s="1"/>
  <c r="AE115"/>
  <c r="AU115" s="1"/>
  <c r="Q60" i="36" s="1"/>
  <c r="Q502" s="1"/>
  <c r="AE129" i="19"/>
  <c r="AQ129" s="1"/>
  <c r="AE134"/>
  <c r="BE477" i="9"/>
  <c r="BF478"/>
  <c r="BE62"/>
  <c r="BF63"/>
  <c r="BF64" s="1"/>
  <c r="BF65" s="1"/>
  <c r="BE841"/>
  <c r="BB841" s="1"/>
  <c r="BF842"/>
  <c r="Z839"/>
  <c r="AA839" s="1"/>
  <c r="O22" i="36"/>
  <c r="AU839" i="9"/>
  <c r="W840"/>
  <c r="T20" i="36"/>
  <c r="W892" i="9"/>
  <c r="Z890"/>
  <c r="AA890" s="1"/>
  <c r="AU890"/>
  <c r="AD890"/>
  <c r="AE890" s="1"/>
  <c r="W805"/>
  <c r="W806"/>
  <c r="Z804"/>
  <c r="AA804" s="1"/>
  <c r="AU804"/>
  <c r="AD804"/>
  <c r="AE804" s="1"/>
  <c r="BF807"/>
  <c r="BE807" s="1"/>
  <c r="BB807" s="1"/>
  <c r="W786"/>
  <c r="D27" i="29"/>
  <c r="J242" i="36" s="1"/>
  <c r="L33" i="29"/>
  <c r="J279" i="36" s="1"/>
  <c r="D46" i="29"/>
  <c r="S25"/>
  <c r="W785" i="9"/>
  <c r="AD476"/>
  <c r="AE476" s="1"/>
  <c r="W240"/>
  <c r="W239"/>
  <c r="AU238"/>
  <c r="Z238"/>
  <c r="AA238" s="1"/>
  <c r="AD238" s="1"/>
  <c r="AE238" s="1"/>
  <c r="Z225"/>
  <c r="Z224"/>
  <c r="AD61"/>
  <c r="AE61" s="1"/>
  <c r="W111"/>
  <c r="AU20"/>
  <c r="BF241"/>
  <c r="BE241" s="1"/>
  <c r="BB241" s="1"/>
  <c r="BF893"/>
  <c r="BE893" s="1"/>
  <c r="BB893" s="1"/>
  <c r="Z301"/>
  <c r="AA301" s="1"/>
  <c r="AD301" s="1"/>
  <c r="AE301" s="1"/>
  <c r="AU301"/>
  <c r="BE135"/>
  <c r="BB135" s="1"/>
  <c r="BF788"/>
  <c r="BE788" s="1"/>
  <c r="BB788" s="1"/>
  <c r="BE787"/>
  <c r="BE112"/>
  <c r="BB112" s="1"/>
  <c r="BE303"/>
  <c r="BF304"/>
  <c r="BF113"/>
  <c r="B35" i="17"/>
  <c r="H27" i="6"/>
  <c r="BF399" i="9"/>
  <c r="BE399" s="1"/>
  <c r="D25" i="8"/>
  <c r="E25" s="1"/>
  <c r="F25" s="1"/>
  <c r="G25" s="1"/>
  <c r="H25" s="1"/>
  <c r="I25" s="1"/>
  <c r="J25" s="1"/>
  <c r="K25" s="1"/>
  <c r="L25" s="1"/>
  <c r="M59"/>
  <c r="M57"/>
  <c r="M58"/>
  <c r="G58"/>
  <c r="G59"/>
  <c r="G57"/>
  <c r="K58"/>
  <c r="K59"/>
  <c r="K57"/>
  <c r="I59"/>
  <c r="I57"/>
  <c r="I58"/>
  <c r="E59"/>
  <c r="E57"/>
  <c r="E58"/>
  <c r="BF748" i="9"/>
  <c r="BE748" s="1"/>
  <c r="BF814"/>
  <c r="BE814" s="1"/>
  <c r="BF864"/>
  <c r="BE864" s="1"/>
  <c r="BF219"/>
  <c r="BE219" s="1"/>
  <c r="BF11"/>
  <c r="BE11" s="1"/>
  <c r="BF796"/>
  <c r="BE796" s="1"/>
  <c r="BB796" s="1"/>
  <c r="BF853"/>
  <c r="BE853" s="1"/>
  <c r="BF21"/>
  <c r="BE21" s="1"/>
  <c r="BF593"/>
  <c r="BE593" s="1"/>
  <c r="BB593" s="1"/>
  <c r="BF559"/>
  <c r="D36" i="17"/>
  <c r="H35"/>
  <c r="D32" i="6"/>
  <c r="F8" i="32"/>
  <c r="E8" s="1"/>
  <c r="F10"/>
  <c r="E10" s="1"/>
  <c r="X192" i="20"/>
  <c r="F12" i="32"/>
  <c r="E12" s="1"/>
  <c r="F9"/>
  <c r="CN166" i="36" s="1"/>
  <c r="F18" i="32"/>
  <c r="E18" s="1"/>
  <c r="F14"/>
  <c r="E14" s="1"/>
  <c r="AA192" i="20"/>
  <c r="F19" i="32"/>
  <c r="E19" s="1"/>
  <c r="F21"/>
  <c r="E21" s="1"/>
  <c r="F11"/>
  <c r="F15"/>
  <c r="E15" s="1"/>
  <c r="F13"/>
  <c r="E13" s="1"/>
  <c r="R192" i="20"/>
  <c r="F7" i="32"/>
  <c r="E7" s="1"/>
  <c r="F6"/>
  <c r="E6" s="1"/>
  <c r="C15" i="8"/>
  <c r="F20" i="32"/>
  <c r="E20" s="1"/>
  <c r="O192" i="20"/>
  <c r="F5" i="32"/>
  <c r="E5" s="1"/>
  <c r="F17"/>
  <c r="E17" s="1"/>
  <c r="F16"/>
  <c r="E16" s="1"/>
  <c r="L192" i="20"/>
  <c r="AX231" i="32"/>
  <c r="U192" i="20"/>
  <c r="F4" i="32"/>
  <c r="E4" s="1"/>
  <c r="AD192" i="20"/>
  <c r="D35" i="17"/>
  <c r="BF157" i="9"/>
  <c r="BE157" s="1"/>
  <c r="I526" i="12"/>
  <c r="G526"/>
  <c r="Z526"/>
  <c r="H526"/>
  <c r="L526"/>
  <c r="V526"/>
  <c r="R526"/>
  <c r="CN407" i="36"/>
  <c r="AP435"/>
  <c r="BS417"/>
  <c r="AP426"/>
  <c r="BV415"/>
  <c r="CD417"/>
  <c r="AV437"/>
  <c r="AP417"/>
  <c r="BT435"/>
  <c r="BV416"/>
  <c r="BV413"/>
  <c r="AZ408"/>
  <c r="BV411"/>
  <c r="AX437"/>
  <c r="CD421"/>
  <c r="BV431"/>
  <c r="BH407"/>
  <c r="BT436"/>
  <c r="BW441"/>
  <c r="AS430"/>
  <c r="CF408"/>
  <c r="AX422"/>
  <c r="BV437"/>
  <c r="BY426"/>
  <c r="BY431"/>
  <c r="BD408"/>
  <c r="AQ441"/>
  <c r="AZ405"/>
  <c r="CJ407"/>
  <c r="AX436"/>
  <c r="BS416"/>
  <c r="AP428"/>
  <c r="AP416"/>
  <c r="CJ406"/>
  <c r="AV435"/>
  <c r="AS427"/>
  <c r="AV436"/>
  <c r="BV417"/>
  <c r="BV436"/>
  <c r="BX435"/>
  <c r="CP405"/>
  <c r="AP437"/>
  <c r="BS414"/>
  <c r="AP413"/>
  <c r="AM411"/>
  <c r="BS415"/>
  <c r="AT437"/>
  <c r="BD405"/>
  <c r="BT437"/>
  <c r="AY442"/>
  <c r="AR435"/>
  <c r="AN436"/>
  <c r="CD422"/>
  <c r="CN408"/>
  <c r="AX419"/>
  <c r="CD436"/>
  <c r="BZ437"/>
  <c r="AS432"/>
  <c r="AT435"/>
  <c r="BA442"/>
  <c r="AP425"/>
  <c r="BY430"/>
  <c r="CB435"/>
  <c r="CD437"/>
  <c r="CD419"/>
  <c r="BZ435"/>
  <c r="CD420"/>
  <c r="AP411"/>
  <c r="BV430"/>
  <c r="AN437"/>
  <c r="AN435"/>
  <c r="M425"/>
  <c r="K442"/>
  <c r="J435"/>
  <c r="G414"/>
  <c r="X406"/>
  <c r="R417"/>
  <c r="T406"/>
  <c r="P437"/>
  <c r="J437"/>
  <c r="J415"/>
  <c r="L435"/>
  <c r="J427"/>
  <c r="G412"/>
  <c r="R420"/>
  <c r="H436"/>
  <c r="X407"/>
  <c r="P436"/>
  <c r="X405"/>
  <c r="R418"/>
  <c r="M426"/>
  <c r="X408"/>
  <c r="R419"/>
  <c r="Z414"/>
  <c r="AB408"/>
  <c r="AD405"/>
  <c r="M430"/>
  <c r="AB407"/>
  <c r="N442"/>
  <c r="T408"/>
  <c r="Q406"/>
  <c r="R422"/>
  <c r="G417"/>
  <c r="H435"/>
  <c r="J430"/>
  <c r="K441"/>
  <c r="U441"/>
  <c r="L437"/>
  <c r="T526" i="12"/>
  <c r="F526"/>
  <c r="S526"/>
  <c r="P526"/>
  <c r="J526"/>
  <c r="I192"/>
  <c r="CL416" i="36"/>
  <c r="CC406"/>
  <c r="AW406"/>
  <c r="D526" i="12"/>
  <c r="N526"/>
  <c r="AA526"/>
  <c r="Y153" i="9"/>
  <c r="Y152"/>
  <c r="Y156"/>
  <c r="Y154"/>
  <c r="Y155"/>
  <c r="E526" i="12"/>
  <c r="U526"/>
  <c r="Q526"/>
  <c r="BS412" i="36"/>
  <c r="BA441"/>
  <c r="AS426"/>
  <c r="AS431"/>
  <c r="CG442"/>
  <c r="BZ442"/>
  <c r="CG441"/>
  <c r="AX421"/>
  <c r="AQ442"/>
  <c r="BW442"/>
  <c r="AT441"/>
  <c r="AM416"/>
  <c r="BZ441"/>
  <c r="AP436"/>
  <c r="BH408"/>
  <c r="CB437"/>
  <c r="BS413"/>
  <c r="CD418"/>
  <c r="AM412"/>
  <c r="AP431"/>
  <c r="BD407"/>
  <c r="AS425"/>
  <c r="BY427"/>
  <c r="BJ406"/>
  <c r="BX437"/>
  <c r="CP406"/>
  <c r="BV412"/>
  <c r="BD406"/>
  <c r="BF414"/>
  <c r="BY432"/>
  <c r="BV426"/>
  <c r="AP415"/>
  <c r="AZ406"/>
  <c r="BV414"/>
  <c r="AM415"/>
  <c r="R437"/>
  <c r="G416"/>
  <c r="G413"/>
  <c r="T405"/>
  <c r="J413"/>
  <c r="J436"/>
  <c r="G411"/>
  <c r="M407"/>
  <c r="J417"/>
  <c r="L436"/>
  <c r="R421"/>
  <c r="Z416"/>
  <c r="J426"/>
  <c r="J432"/>
  <c r="M431"/>
  <c r="N441"/>
  <c r="J412"/>
  <c r="G415"/>
  <c r="K526" i="12"/>
  <c r="Y526"/>
  <c r="O526"/>
  <c r="W526"/>
  <c r="N16" i="6"/>
  <c r="BF416" i="36"/>
  <c r="BY407"/>
  <c r="CL415"/>
  <c r="AT436"/>
  <c r="AM414"/>
  <c r="BS411"/>
  <c r="BV435"/>
  <c r="AP427"/>
  <c r="BJ405"/>
  <c r="AM413"/>
  <c r="BV427"/>
  <c r="BV425"/>
  <c r="CE441"/>
  <c r="BX436"/>
  <c r="AP412"/>
  <c r="AM417"/>
  <c r="AX420"/>
  <c r="BF415"/>
  <c r="AP414"/>
  <c r="AR436"/>
  <c r="P435"/>
  <c r="Z415"/>
  <c r="J416"/>
  <c r="S441"/>
  <c r="J425"/>
  <c r="J411"/>
  <c r="M427"/>
  <c r="N435"/>
  <c r="U442"/>
  <c r="X526" i="12"/>
  <c r="A200" i="20"/>
  <c r="A195"/>
  <c r="A199"/>
  <c r="A208"/>
  <c r="A209"/>
  <c r="CE442" i="36"/>
  <c r="AP430"/>
  <c r="AY441"/>
  <c r="BY425"/>
  <c r="CB436"/>
  <c r="CL414"/>
  <c r="AR437"/>
  <c r="CJ408"/>
  <c r="CF405"/>
  <c r="CJ405"/>
  <c r="AX417"/>
  <c r="H437"/>
  <c r="R436"/>
  <c r="J414"/>
  <c r="M432"/>
  <c r="N436"/>
  <c r="AS407"/>
  <c r="M257" i="20"/>
  <c r="A198"/>
  <c r="A193"/>
  <c r="AT442" i="36"/>
  <c r="AP432"/>
  <c r="AX418"/>
  <c r="BZ436"/>
  <c r="CF406"/>
  <c r="BV428"/>
  <c r="BV432"/>
  <c r="J428"/>
  <c r="N437"/>
  <c r="J431"/>
  <c r="S442"/>
  <c r="AD406"/>
  <c r="M526" i="12"/>
  <c r="A211" i="20"/>
  <c r="A206"/>
  <c r="D257"/>
  <c r="A202"/>
  <c r="AE475" i="9" l="1"/>
  <c r="V31" i="36"/>
  <c r="X31" s="1"/>
  <c r="AE131" i="19"/>
  <c r="AQ131" s="1"/>
  <c r="AE106"/>
  <c r="AQ106" s="1"/>
  <c r="AE120"/>
  <c r="AQ120" s="1"/>
  <c r="AE141"/>
  <c r="AE128"/>
  <c r="AU128" s="1"/>
  <c r="AE137"/>
  <c r="AE116"/>
  <c r="AQ116" s="1"/>
  <c r="Z59" i="36" s="1"/>
  <c r="Z501" s="1"/>
  <c r="AE119" i="19"/>
  <c r="AQ119" s="1"/>
  <c r="AE114"/>
  <c r="H56" i="36" s="1"/>
  <c r="H498" s="1"/>
  <c r="AE118" i="19"/>
  <c r="AU118" s="1"/>
  <c r="W118"/>
  <c r="Y118" s="1"/>
  <c r="W114"/>
  <c r="Y114" s="1"/>
  <c r="Z506" i="36" s="1"/>
  <c r="AA152" i="9"/>
  <c r="AD152" s="1"/>
  <c r="AE152" s="1"/>
  <c r="W115" i="19"/>
  <c r="Y115" s="1"/>
  <c r="W111"/>
  <c r="Y111" s="1"/>
  <c r="E506" i="36"/>
  <c r="W108" i="19"/>
  <c r="Y108" s="1"/>
  <c r="W110"/>
  <c r="Y110" s="1"/>
  <c r="W119"/>
  <c r="Y119" s="1"/>
  <c r="AA155" i="9"/>
  <c r="AD155" s="1"/>
  <c r="W116" i="19"/>
  <c r="Y116" s="1"/>
  <c r="W125"/>
  <c r="Y125" s="1"/>
  <c r="AD783" i="9"/>
  <c r="AE783" s="1"/>
  <c r="L26" i="29"/>
  <c r="J274" i="36" s="1"/>
  <c r="S28" i="29"/>
  <c r="C39"/>
  <c r="J253" i="36" s="1"/>
  <c r="U584" i="9"/>
  <c r="AV584" s="1"/>
  <c r="I8" i="29"/>
  <c r="T230" i="36" s="1"/>
  <c r="AE393" i="9"/>
  <c r="W500" i="20"/>
  <c r="W501" s="1"/>
  <c r="T146" i="36"/>
  <c r="V146" s="1"/>
  <c r="X146" s="1"/>
  <c r="U583" i="9"/>
  <c r="AV583" s="1"/>
  <c r="U142"/>
  <c r="V142" s="1"/>
  <c r="U881"/>
  <c r="V881" s="1"/>
  <c r="U582"/>
  <c r="V582" s="1"/>
  <c r="U143"/>
  <c r="V143" s="1"/>
  <c r="AD809"/>
  <c r="AE809" s="1"/>
  <c r="T31" i="36"/>
  <c r="M219" i="12"/>
  <c r="AB423" s="1"/>
  <c r="AB419"/>
  <c r="AD92"/>
  <c r="AA92" i="36" s="1"/>
  <c r="H442"/>
  <c r="J429"/>
  <c r="M429" s="1"/>
  <c r="M428"/>
  <c r="BV429"/>
  <c r="BY429" s="1"/>
  <c r="BY428"/>
  <c r="BW448"/>
  <c r="CH446" s="1"/>
  <c r="BW447"/>
  <c r="BH425"/>
  <c r="CP425"/>
  <c r="BH426"/>
  <c r="CN426"/>
  <c r="CN425"/>
  <c r="CP426"/>
  <c r="BJ425"/>
  <c r="BJ426"/>
  <c r="AD423"/>
  <c r="AD421"/>
  <c r="AD432"/>
  <c r="AD427"/>
  <c r="AD419"/>
  <c r="AD420"/>
  <c r="AD431"/>
  <c r="AN441"/>
  <c r="BT442"/>
  <c r="X219" i="12"/>
  <c r="H441" i="36"/>
  <c r="BJ431"/>
  <c r="BJ427"/>
  <c r="CP420"/>
  <c r="CP419"/>
  <c r="BJ423"/>
  <c r="CP421"/>
  <c r="CP423"/>
  <c r="BJ419"/>
  <c r="CP431"/>
  <c r="BJ420"/>
  <c r="BJ432"/>
  <c r="CP427"/>
  <c r="BJ421"/>
  <c r="CP432"/>
  <c r="BT441"/>
  <c r="BF410"/>
  <c r="BD412"/>
  <c r="BJ412"/>
  <c r="BG412"/>
  <c r="BJ410"/>
  <c r="AS408"/>
  <c r="AV408"/>
  <c r="N17" i="6"/>
  <c r="O17" s="1"/>
  <c r="Z22" i="36" s="1"/>
  <c r="O16" i="6"/>
  <c r="Z21" i="36" s="1"/>
  <c r="W219" i="12"/>
  <c r="AD66"/>
  <c r="AA66" i="36" s="1"/>
  <c r="O219" i="12"/>
  <c r="N423" s="1"/>
  <c r="B419"/>
  <c r="Y219"/>
  <c r="K219"/>
  <c r="AB425" i="36"/>
  <c r="AD426"/>
  <c r="AB426"/>
  <c r="AD425"/>
  <c r="X412"/>
  <c r="P408"/>
  <c r="AD412"/>
  <c r="Z410"/>
  <c r="AA412"/>
  <c r="AD410"/>
  <c r="M408"/>
  <c r="AB424"/>
  <c r="AB423"/>
  <c r="AB432"/>
  <c r="AD424"/>
  <c r="AQ447"/>
  <c r="AQ448"/>
  <c r="BA446"/>
  <c r="AM421"/>
  <c r="AM420"/>
  <c r="AP420" s="1"/>
  <c r="CL410"/>
  <c r="CJ412"/>
  <c r="CM412"/>
  <c r="CB408"/>
  <c r="CP412"/>
  <c r="BY408"/>
  <c r="CP410"/>
  <c r="CN423"/>
  <c r="BH423"/>
  <c r="BJ424"/>
  <c r="CN424"/>
  <c r="BH424"/>
  <c r="BS420"/>
  <c r="BV420" s="1"/>
  <c r="BS421"/>
  <c r="Q219" i="12"/>
  <c r="U219"/>
  <c r="E219"/>
  <c r="AA219"/>
  <c r="N219"/>
  <c r="D219"/>
  <c r="D423" s="1"/>
  <c r="O13" i="17"/>
  <c r="O14"/>
  <c r="I193" i="12"/>
  <c r="P13" i="33" s="1"/>
  <c r="I26" i="6"/>
  <c r="D144" i="16" s="1"/>
  <c r="J219" i="12"/>
  <c r="P219"/>
  <c r="S219"/>
  <c r="F219"/>
  <c r="T219"/>
  <c r="O12" i="17"/>
  <c r="G421" i="36"/>
  <c r="G420"/>
  <c r="J420" s="1"/>
  <c r="K447"/>
  <c r="K448"/>
  <c r="U446"/>
  <c r="AN442"/>
  <c r="CG446"/>
  <c r="AP429"/>
  <c r="AS429" s="1"/>
  <c r="AS428"/>
  <c r="CP424"/>
  <c r="R219" i="12"/>
  <c r="V219"/>
  <c r="M423" s="1"/>
  <c r="L219"/>
  <c r="C423" s="1"/>
  <c r="H219"/>
  <c r="Z219"/>
  <c r="G219"/>
  <c r="I219"/>
  <c r="T33" i="36"/>
  <c r="AD299" i="9"/>
  <c r="V33" i="36" s="1"/>
  <c r="X33" s="1"/>
  <c r="T147"/>
  <c r="V147" s="1"/>
  <c r="X147" s="1"/>
  <c r="AD589" i="9"/>
  <c r="AE589" s="1"/>
  <c r="N500" i="20"/>
  <c r="S500"/>
  <c r="I500"/>
  <c r="R500"/>
  <c r="F97" i="8"/>
  <c r="AD791" i="9"/>
  <c r="U500" i="20"/>
  <c r="U257"/>
  <c r="V257"/>
  <c r="V500"/>
  <c r="P500"/>
  <c r="E500"/>
  <c r="H500"/>
  <c r="K500"/>
  <c r="T22" i="36"/>
  <c r="T500" i="20"/>
  <c r="Q500"/>
  <c r="G500"/>
  <c r="L500"/>
  <c r="U567" i="9"/>
  <c r="U136"/>
  <c r="U882"/>
  <c r="O500" i="20"/>
  <c r="R157" i="12"/>
  <c r="S157" s="1"/>
  <c r="R158"/>
  <c r="S158" s="1"/>
  <c r="R154"/>
  <c r="S154" s="1"/>
  <c r="R162" s="1"/>
  <c r="R151"/>
  <c r="S151" s="1"/>
  <c r="Q162" s="1"/>
  <c r="AD3" i="36"/>
  <c r="E43" i="6"/>
  <c r="R7" i="36" s="1"/>
  <c r="R160" i="12"/>
  <c r="S160" s="1"/>
  <c r="R155"/>
  <c r="S155" s="1"/>
  <c r="R156"/>
  <c r="S156" s="1"/>
  <c r="S162" s="1"/>
  <c r="R152"/>
  <c r="S152" s="1"/>
  <c r="C43" i="6"/>
  <c r="N6" i="36" s="1"/>
  <c r="R159" i="12"/>
  <c r="S159" s="1"/>
  <c r="R153"/>
  <c r="S153" s="1"/>
  <c r="J500" i="20"/>
  <c r="AD744" i="9"/>
  <c r="AE744" s="1"/>
  <c r="B747"/>
  <c r="B745"/>
  <c r="F500" i="20"/>
  <c r="AU592" i="9"/>
  <c r="Z592"/>
  <c r="AA592" s="1"/>
  <c r="AD592" s="1"/>
  <c r="AE592" s="1"/>
  <c r="Z156"/>
  <c r="AU156"/>
  <c r="Z10"/>
  <c r="AA10" s="1"/>
  <c r="AD10" s="1"/>
  <c r="AE10" s="1"/>
  <c r="AU10"/>
  <c r="AD591"/>
  <c r="AE591" s="1"/>
  <c r="AD156"/>
  <c r="X107" i="19" s="1"/>
  <c r="Z107" s="1"/>
  <c r="J66" i="8"/>
  <c r="J81"/>
  <c r="J74"/>
  <c r="J80"/>
  <c r="J70"/>
  <c r="J71"/>
  <c r="J78"/>
  <c r="J68"/>
  <c r="J83"/>
  <c r="J72"/>
  <c r="D501" i="20"/>
  <c r="W258"/>
  <c r="M501"/>
  <c r="V584" i="9"/>
  <c r="V583"/>
  <c r="AV582"/>
  <c r="V880"/>
  <c r="AV880"/>
  <c r="D130" i="16"/>
  <c r="D135"/>
  <c r="D127"/>
  <c r="AA217" i="9"/>
  <c r="F101" i="8" s="1"/>
  <c r="E101"/>
  <c r="S4" i="29"/>
  <c r="J260" i="36" s="1"/>
  <c r="S6" i="29"/>
  <c r="J262" i="36" s="1"/>
  <c r="D33" i="29"/>
  <c r="J249" i="36" s="1"/>
  <c r="S11" i="29"/>
  <c r="J267" i="36" s="1"/>
  <c r="S8" i="29"/>
  <c r="J264" i="36" s="1"/>
  <c r="D14" i="29"/>
  <c r="D35"/>
  <c r="J251" i="36" s="1"/>
  <c r="W11" i="9"/>
  <c r="Z11" s="1"/>
  <c r="AA11" s="1"/>
  <c r="BB11"/>
  <c r="W62"/>
  <c r="Z62" s="1"/>
  <c r="AA62" s="1"/>
  <c r="BB62"/>
  <c r="W21"/>
  <c r="Z21" s="1"/>
  <c r="AA21" s="1"/>
  <c r="BB21"/>
  <c r="X139" i="19"/>
  <c r="Z139" s="1"/>
  <c r="X120"/>
  <c r="Z120" s="1"/>
  <c r="T30" i="36"/>
  <c r="X125" i="19"/>
  <c r="Z125" s="1"/>
  <c r="X119"/>
  <c r="Z119" s="1"/>
  <c r="Z220" i="9"/>
  <c r="Z229"/>
  <c r="Z221"/>
  <c r="Z230"/>
  <c r="Z558"/>
  <c r="AA556" s="1"/>
  <c r="AE784"/>
  <c r="Z507" i="36"/>
  <c r="X127" i="19"/>
  <c r="Z127" s="1"/>
  <c r="X133"/>
  <c r="Z133" s="1"/>
  <c r="X126"/>
  <c r="Z126" s="1"/>
  <c r="X118"/>
  <c r="Z118" s="1"/>
  <c r="AD218" i="9"/>
  <c r="AE218" s="1"/>
  <c r="Z218"/>
  <c r="Z222"/>
  <c r="Z226"/>
  <c r="AA226" s="1"/>
  <c r="Z231"/>
  <c r="Z219"/>
  <c r="Z223"/>
  <c r="Z228"/>
  <c r="Z398"/>
  <c r="AA398" s="1"/>
  <c r="I3" i="29"/>
  <c r="M38" s="1"/>
  <c r="U52" i="36"/>
  <c r="Z52" s="1"/>
  <c r="W157" i="9"/>
  <c r="Z157" s="1"/>
  <c r="AA157" s="1"/>
  <c r="BB157"/>
  <c r="Z813"/>
  <c r="AA813" s="1"/>
  <c r="AD813" s="1"/>
  <c r="AE813" s="1"/>
  <c r="C41" i="29"/>
  <c r="J283" i="36" s="1"/>
  <c r="S5" i="29"/>
  <c r="J261" i="36" s="1"/>
  <c r="S29" i="29"/>
  <c r="D34"/>
  <c r="J250" i="36" s="1"/>
  <c r="S15" i="29"/>
  <c r="J271" i="36" s="1"/>
  <c r="S32" i="29"/>
  <c r="W12" i="36"/>
  <c r="D29" i="29"/>
  <c r="J245" i="36" s="1"/>
  <c r="C40" i="29"/>
  <c r="J282" i="36" s="1"/>
  <c r="S10" i="29"/>
  <c r="J266" i="36" s="1"/>
  <c r="S12" i="29"/>
  <c r="J268" i="36" s="1"/>
  <c r="L34" i="29"/>
  <c r="S17"/>
  <c r="J257" i="36" s="1"/>
  <c r="AU863" i="9"/>
  <c r="BF904"/>
  <c r="BE904" s="1"/>
  <c r="BB904" s="1"/>
  <c r="Z852"/>
  <c r="AA852" s="1"/>
  <c r="BB903"/>
  <c r="S31" i="29"/>
  <c r="S16"/>
  <c r="J272" i="36" s="1"/>
  <c r="C45" i="29"/>
  <c r="S14"/>
  <c r="J270" i="36" s="1"/>
  <c r="D32" i="29"/>
  <c r="J248" i="36" s="1"/>
  <c r="C46" i="29"/>
  <c r="S34"/>
  <c r="S26"/>
  <c r="L28"/>
  <c r="J276" i="36" s="1"/>
  <c r="D45" i="29"/>
  <c r="D26"/>
  <c r="J243" i="36" s="1"/>
  <c r="D31" i="29"/>
  <c r="J247" i="36" s="1"/>
  <c r="D30" i="29"/>
  <c r="J246" i="36" s="1"/>
  <c r="S30" i="29"/>
  <c r="L31"/>
  <c r="J277" i="36" s="1"/>
  <c r="L32" i="29"/>
  <c r="J278" i="36" s="1"/>
  <c r="L30" i="29"/>
  <c r="S7"/>
  <c r="J263" i="36" s="1"/>
  <c r="S27" i="29"/>
  <c r="S33"/>
  <c r="D18"/>
  <c r="E235" i="36" s="1"/>
  <c r="S24" i="29"/>
  <c r="D28"/>
  <c r="J244" i="36" s="1"/>
  <c r="L29" i="29"/>
  <c r="S9"/>
  <c r="J265" i="36" s="1"/>
  <c r="L27" i="29"/>
  <c r="J275" i="36" s="1"/>
  <c r="S13" i="29"/>
  <c r="J269" i="36" s="1"/>
  <c r="AD558" i="9"/>
  <c r="AE558" s="1"/>
  <c r="AU903"/>
  <c r="Z903"/>
  <c r="AA903" s="1"/>
  <c r="AD903" s="1"/>
  <c r="AE903" s="1"/>
  <c r="J281" i="36"/>
  <c r="W219" i="9"/>
  <c r="AD219" s="1"/>
  <c r="AE219" s="1"/>
  <c r="BB219"/>
  <c r="W814"/>
  <c r="Z814" s="1"/>
  <c r="AA814" s="1"/>
  <c r="BB814"/>
  <c r="W399"/>
  <c r="AU399" s="1"/>
  <c r="BB399"/>
  <c r="W477"/>
  <c r="AD477" s="1"/>
  <c r="AE477" s="1"/>
  <c r="BB477"/>
  <c r="AU902"/>
  <c r="Z902"/>
  <c r="AA902" s="1"/>
  <c r="AD902" s="1"/>
  <c r="AE902" s="1"/>
  <c r="W853"/>
  <c r="AU853" s="1"/>
  <c r="BB853"/>
  <c r="W864"/>
  <c r="AU864" s="1"/>
  <c r="BB864"/>
  <c r="W748"/>
  <c r="AU748" s="1"/>
  <c r="BB748"/>
  <c r="W303"/>
  <c r="BB303"/>
  <c r="W787"/>
  <c r="Z787" s="1"/>
  <c r="BB787"/>
  <c r="AD398"/>
  <c r="AE398" s="1"/>
  <c r="AU852"/>
  <c r="AQ130" i="19"/>
  <c r="AI108"/>
  <c r="AQ112"/>
  <c r="AQ110"/>
  <c r="AU111"/>
  <c r="AU130"/>
  <c r="AU112"/>
  <c r="AM108"/>
  <c r="AU110"/>
  <c r="AI130"/>
  <c r="AI112"/>
  <c r="AQ108"/>
  <c r="AI110"/>
  <c r="AU129"/>
  <c r="AI115"/>
  <c r="Q57" i="36" s="1"/>
  <c r="Q499" s="1"/>
  <c r="Q56"/>
  <c r="Q498" s="1"/>
  <c r="AM129" i="19"/>
  <c r="AM115"/>
  <c r="Q58" i="36" s="1"/>
  <c r="Q500" s="1"/>
  <c r="AM111" i="19"/>
  <c r="AI107"/>
  <c r="AQ107"/>
  <c r="AM107"/>
  <c r="AM119"/>
  <c r="AI118"/>
  <c r="AU119"/>
  <c r="AM118"/>
  <c r="AU106"/>
  <c r="AI119"/>
  <c r="AQ118"/>
  <c r="AM106"/>
  <c r="AI129"/>
  <c r="AQ115"/>
  <c r="Q59" i="36" s="1"/>
  <c r="Q501" s="1"/>
  <c r="AI111" i="19"/>
  <c r="AI106"/>
  <c r="X114"/>
  <c r="Z114" s="1"/>
  <c r="AE155" i="9"/>
  <c r="BE559"/>
  <c r="BF560"/>
  <c r="Z840"/>
  <c r="AA840" s="1"/>
  <c r="T21" i="36" s="1"/>
  <c r="AU840" i="9"/>
  <c r="O21" i="36"/>
  <c r="W841" i="9"/>
  <c r="V20" i="36"/>
  <c r="X20" s="1"/>
  <c r="D57" i="33"/>
  <c r="AI42" i="6"/>
  <c r="BE842" i="9"/>
  <c r="BB842" s="1"/>
  <c r="BF843"/>
  <c r="AD839"/>
  <c r="AE839" s="1"/>
  <c r="BF242"/>
  <c r="BE242" s="1"/>
  <c r="W893"/>
  <c r="Z892"/>
  <c r="AA892" s="1"/>
  <c r="AU892"/>
  <c r="AD892"/>
  <c r="AE892" s="1"/>
  <c r="AD863"/>
  <c r="AE863" s="1"/>
  <c r="Z806"/>
  <c r="AA806" s="1"/>
  <c r="AD806" s="1"/>
  <c r="AE806" s="1"/>
  <c r="AU806"/>
  <c r="Z805"/>
  <c r="AA805" s="1"/>
  <c r="AU805"/>
  <c r="AD805"/>
  <c r="AE805" s="1"/>
  <c r="AU785"/>
  <c r="Z785"/>
  <c r="AA785" s="1"/>
  <c r="AD785"/>
  <c r="AE785" s="1"/>
  <c r="W788"/>
  <c r="F10" i="29"/>
  <c r="Z786" i="9"/>
  <c r="AU786"/>
  <c r="BF894"/>
  <c r="BE894" s="1"/>
  <c r="BB894" s="1"/>
  <c r="H506" i="36"/>
  <c r="X115" i="19"/>
  <c r="Z115" s="1"/>
  <c r="X116"/>
  <c r="Z116" s="1"/>
  <c r="W241" i="9"/>
  <c r="Z239"/>
  <c r="AA239" s="1"/>
  <c r="AD239"/>
  <c r="AE239" s="1"/>
  <c r="AU239"/>
  <c r="Z240"/>
  <c r="AA240" s="1"/>
  <c r="AU240"/>
  <c r="AD240"/>
  <c r="AE240" s="1"/>
  <c r="W135"/>
  <c r="W112"/>
  <c r="Z111"/>
  <c r="AU111"/>
  <c r="O40" i="6" s="1"/>
  <c r="AU21" i="9"/>
  <c r="AD20"/>
  <c r="AE20" s="1"/>
  <c r="BF789"/>
  <c r="BE789" s="1"/>
  <c r="BB789" s="1"/>
  <c r="AU302"/>
  <c r="Z302"/>
  <c r="AA302" s="1"/>
  <c r="AD302"/>
  <c r="AE302" s="1"/>
  <c r="BF114"/>
  <c r="BE114" s="1"/>
  <c r="BB114" s="1"/>
  <c r="BE113"/>
  <c r="BE304"/>
  <c r="BF305"/>
  <c r="BF400"/>
  <c r="BE400" s="1"/>
  <c r="N58" i="8"/>
  <c r="N59"/>
  <c r="N57"/>
  <c r="BF749" i="9"/>
  <c r="BE749" s="1"/>
  <c r="BF815"/>
  <c r="BE815" s="1"/>
  <c r="BF22"/>
  <c r="BE22" s="1"/>
  <c r="BF854"/>
  <c r="BE854" s="1"/>
  <c r="BF797"/>
  <c r="BE797" s="1"/>
  <c r="BF12"/>
  <c r="BE12" s="1"/>
  <c r="BF220"/>
  <c r="BE220" s="1"/>
  <c r="BF865"/>
  <c r="BE865" s="1"/>
  <c r="BF594"/>
  <c r="BE594" s="1"/>
  <c r="BE478"/>
  <c r="BB478" s="1"/>
  <c r="BF158"/>
  <c r="BE158" s="1"/>
  <c r="BE63"/>
  <c r="M92" i="36"/>
  <c r="E11" i="32"/>
  <c r="F3"/>
  <c r="E9"/>
  <c r="M527" i="12"/>
  <c r="Y527"/>
  <c r="K527"/>
  <c r="U527"/>
  <c r="E527"/>
  <c r="AA527"/>
  <c r="N527"/>
  <c r="D527"/>
  <c r="J527"/>
  <c r="P527"/>
  <c r="S527"/>
  <c r="F527"/>
  <c r="T527"/>
  <c r="Z527"/>
  <c r="T257" i="20"/>
  <c r="Q257"/>
  <c r="G257"/>
  <c r="L257"/>
  <c r="F193"/>
  <c r="AA200"/>
  <c r="U203"/>
  <c r="C207"/>
  <c r="AA207"/>
  <c r="A218"/>
  <c r="U198"/>
  <c r="AD208"/>
  <c r="U200"/>
  <c r="C198"/>
  <c r="C199"/>
  <c r="F195"/>
  <c r="L202"/>
  <c r="F200"/>
  <c r="X200"/>
  <c r="I202"/>
  <c r="O198"/>
  <c r="AA197"/>
  <c r="U208"/>
  <c r="O209"/>
  <c r="R201"/>
  <c r="AA198"/>
  <c r="AA208"/>
  <c r="O208"/>
  <c r="L194"/>
  <c r="R204"/>
  <c r="C196"/>
  <c r="AD197"/>
  <c r="AA210"/>
  <c r="A219"/>
  <c r="AD198"/>
  <c r="AA201"/>
  <c r="O204"/>
  <c r="AA205"/>
  <c r="F209"/>
  <c r="AA202"/>
  <c r="C208"/>
  <c r="A221"/>
  <c r="AA204"/>
  <c r="F202"/>
  <c r="I209"/>
  <c r="L198"/>
  <c r="O201"/>
  <c r="X210"/>
  <c r="L207"/>
  <c r="AD196"/>
  <c r="AA206"/>
  <c r="F206"/>
  <c r="F196"/>
  <c r="O202"/>
  <c r="AD199"/>
  <c r="X206"/>
  <c r="L211"/>
  <c r="AD209"/>
  <c r="U205"/>
  <c r="F207"/>
  <c r="O210"/>
  <c r="AD200"/>
  <c r="R211"/>
  <c r="A229"/>
  <c r="AD202"/>
  <c r="A216"/>
  <c r="I211"/>
  <c r="O203"/>
  <c r="C201"/>
  <c r="U202"/>
  <c r="I207"/>
  <c r="U207"/>
  <c r="L200"/>
  <c r="C202"/>
  <c r="AA203"/>
  <c r="C193"/>
  <c r="A226"/>
  <c r="R207"/>
  <c r="O197"/>
  <c r="X198"/>
  <c r="L210"/>
  <c r="X193"/>
  <c r="U204"/>
  <c r="L201"/>
  <c r="X201"/>
  <c r="I210"/>
  <c r="R200"/>
  <c r="U201"/>
  <c r="R198"/>
  <c r="X209"/>
  <c r="L197"/>
  <c r="L208"/>
  <c r="AD211"/>
  <c r="L205"/>
  <c r="AA209"/>
  <c r="A215"/>
  <c r="L195"/>
  <c r="I194"/>
  <c r="C205"/>
  <c r="R210"/>
  <c r="U211"/>
  <c r="AA196"/>
  <c r="L206"/>
  <c r="O205"/>
  <c r="I196"/>
  <c r="A223"/>
  <c r="C210"/>
  <c r="AA193"/>
  <c r="A196"/>
  <c r="A203"/>
  <c r="A205"/>
  <c r="A210"/>
  <c r="A197"/>
  <c r="J257"/>
  <c r="M258"/>
  <c r="X527" i="12"/>
  <c r="W527"/>
  <c r="O527"/>
  <c r="Q527"/>
  <c r="R527"/>
  <c r="V527"/>
  <c r="L527"/>
  <c r="H527"/>
  <c r="G527"/>
  <c r="I527"/>
  <c r="N257" i="20"/>
  <c r="S257"/>
  <c r="I257"/>
  <c r="R257"/>
  <c r="P257"/>
  <c r="E257"/>
  <c r="H257"/>
  <c r="K257"/>
  <c r="AD201"/>
  <c r="O195"/>
  <c r="A213"/>
  <c r="R194"/>
  <c r="A227"/>
  <c r="AD206"/>
  <c r="U193"/>
  <c r="R202"/>
  <c r="F199"/>
  <c r="L196"/>
  <c r="R196"/>
  <c r="U194"/>
  <c r="AD210"/>
  <c r="X208"/>
  <c r="AA211"/>
  <c r="AD195"/>
  <c r="O206"/>
  <c r="X197"/>
  <c r="AD194"/>
  <c r="AA199"/>
  <c r="R205"/>
  <c r="C200"/>
  <c r="R195"/>
  <c r="O199"/>
  <c r="F205"/>
  <c r="X196"/>
  <c r="L204"/>
  <c r="I197"/>
  <c r="I200"/>
  <c r="C204"/>
  <c r="U197"/>
  <c r="I204"/>
  <c r="I199"/>
  <c r="AA195"/>
  <c r="O196"/>
  <c r="O194"/>
  <c r="R209"/>
  <c r="C209"/>
  <c r="I206"/>
  <c r="X205"/>
  <c r="X194"/>
  <c r="X207"/>
  <c r="I201"/>
  <c r="X204"/>
  <c r="F198"/>
  <c r="F201"/>
  <c r="L203"/>
  <c r="R199"/>
  <c r="F208"/>
  <c r="AD207"/>
  <c r="R197"/>
  <c r="F203"/>
  <c r="U210"/>
  <c r="F197"/>
  <c r="A231"/>
  <c r="I195"/>
  <c r="R208"/>
  <c r="I198"/>
  <c r="F204"/>
  <c r="C206"/>
  <c r="R206"/>
  <c r="L193"/>
  <c r="X211"/>
  <c r="R203"/>
  <c r="X199"/>
  <c r="X195"/>
  <c r="C211"/>
  <c r="A217"/>
  <c r="A224"/>
  <c r="C197"/>
  <c r="U199"/>
  <c r="L209"/>
  <c r="U206"/>
  <c r="U196"/>
  <c r="AD205"/>
  <c r="X202"/>
  <c r="O193"/>
  <c r="O200"/>
  <c r="C195"/>
  <c r="X203"/>
  <c r="F194"/>
  <c r="AA194"/>
  <c r="O211"/>
  <c r="O207"/>
  <c r="AD193"/>
  <c r="AD203"/>
  <c r="F210"/>
  <c r="U195"/>
  <c r="F211"/>
  <c r="A220"/>
  <c r="A222"/>
  <c r="U209"/>
  <c r="I208"/>
  <c r="I205"/>
  <c r="A225"/>
  <c r="I203"/>
  <c r="R193"/>
  <c r="C194"/>
  <c r="AD204"/>
  <c r="I193"/>
  <c r="C203"/>
  <c r="L199"/>
  <c r="A230"/>
  <c r="A214"/>
  <c r="A228"/>
  <c r="A201"/>
  <c r="A204"/>
  <c r="A194"/>
  <c r="A207"/>
  <c r="O257"/>
  <c r="F257"/>
  <c r="D258"/>
  <c r="CQ423" i="12" l="1"/>
  <c r="Y92" i="36"/>
  <c r="O66"/>
  <c r="AI114" i="19"/>
  <c r="H57" i="36" s="1"/>
  <c r="H499" s="1"/>
  <c r="AM116" i="19"/>
  <c r="Z58" i="36" s="1"/>
  <c r="Z500" s="1"/>
  <c r="AI128" i="19"/>
  <c r="I27" i="6"/>
  <c r="C42" s="1"/>
  <c r="L6" i="36" s="1"/>
  <c r="D139" i="16"/>
  <c r="D122"/>
  <c r="D133"/>
  <c r="AC423" i="12"/>
  <c r="O92" i="36"/>
  <c r="V92"/>
  <c r="AD66"/>
  <c r="AI120" i="19"/>
  <c r="AI131"/>
  <c r="AQ128"/>
  <c r="AU120"/>
  <c r="AM131"/>
  <c r="AU114"/>
  <c r="H60" i="36" s="1"/>
  <c r="H502" s="1"/>
  <c r="AU116" i="19"/>
  <c r="Z60" i="36" s="1"/>
  <c r="Z502" s="1"/>
  <c r="Z56"/>
  <c r="Z498" s="1"/>
  <c r="X110" i="19"/>
  <c r="Z110" s="1"/>
  <c r="X112"/>
  <c r="Z112" s="1"/>
  <c r="X111"/>
  <c r="Z111" s="1"/>
  <c r="D147" i="16"/>
  <c r="D142"/>
  <c r="D148"/>
  <c r="D140"/>
  <c r="D138"/>
  <c r="D125"/>
  <c r="D128"/>
  <c r="AV142" i="9"/>
  <c r="D132" i="16"/>
  <c r="T92" i="36"/>
  <c r="Q92" s="1"/>
  <c r="AD92"/>
  <c r="T66"/>
  <c r="Q66" s="1"/>
  <c r="V66"/>
  <c r="AM120" i="19"/>
  <c r="AU131"/>
  <c r="AQ114"/>
  <c r="H59" i="36" s="1"/>
  <c r="H501" s="1"/>
  <c r="AM128" i="19"/>
  <c r="AI116"/>
  <c r="Z57" i="36" s="1"/>
  <c r="Z499" s="1"/>
  <c r="AM114" i="19"/>
  <c r="H58" i="36" s="1"/>
  <c r="H500" s="1"/>
  <c r="D149" i="16"/>
  <c r="D145"/>
  <c r="D126"/>
  <c r="D137"/>
  <c r="L193" i="12"/>
  <c r="D131" i="16"/>
  <c r="D123"/>
  <c r="D129"/>
  <c r="D141"/>
  <c r="D121"/>
  <c r="D124"/>
  <c r="D134"/>
  <c r="D120"/>
  <c r="D143"/>
  <c r="D146"/>
  <c r="D136"/>
  <c r="P14" i="33"/>
  <c r="P446" i="36"/>
  <c r="AV446"/>
  <c r="CB446"/>
  <c r="B423" i="12"/>
  <c r="AV881" i="9"/>
  <c r="J255" i="36"/>
  <c r="AD217" i="9"/>
  <c r="AE217" s="1"/>
  <c r="AV143"/>
  <c r="AE299"/>
  <c r="T225" i="36"/>
  <c r="N18" i="6"/>
  <c r="N19" s="1"/>
  <c r="O19" s="1"/>
  <c r="Z24" i="36" s="1"/>
  <c r="V446"/>
  <c r="J79" i="8"/>
  <c r="J67"/>
  <c r="J76"/>
  <c r="J73"/>
  <c r="C449" i="32"/>
  <c r="F449" s="1"/>
  <c r="E449" s="1"/>
  <c r="C442"/>
  <c r="F442" s="1"/>
  <c r="E442" s="1"/>
  <c r="C451"/>
  <c r="F451" s="1"/>
  <c r="E451" s="1"/>
  <c r="C452"/>
  <c r="F452" s="1"/>
  <c r="E452" s="1"/>
  <c r="C454"/>
  <c r="F454" s="1"/>
  <c r="E454" s="1"/>
  <c r="C456"/>
  <c r="F456" s="1"/>
  <c r="E456" s="1"/>
  <c r="C447"/>
  <c r="F447" s="1"/>
  <c r="E447" s="1"/>
  <c r="C437"/>
  <c r="F437" s="1"/>
  <c r="E437" s="1"/>
  <c r="C446"/>
  <c r="F446" s="1"/>
  <c r="E446" s="1"/>
  <c r="C453"/>
  <c r="F453" s="1"/>
  <c r="E453" s="1"/>
  <c r="C443"/>
  <c r="F443" s="1"/>
  <c r="E443" s="1"/>
  <c r="C445"/>
  <c r="F445" s="1"/>
  <c r="E445" s="1"/>
  <c r="C457"/>
  <c r="F457" s="1"/>
  <c r="E457" s="1"/>
  <c r="C458"/>
  <c r="F458" s="1"/>
  <c r="E458" s="1"/>
  <c r="C448"/>
  <c r="F448" s="1"/>
  <c r="E448" s="1"/>
  <c r="C444"/>
  <c r="F444" s="1"/>
  <c r="E444" s="1"/>
  <c r="C438"/>
  <c r="F438" s="1"/>
  <c r="E438" s="1"/>
  <c r="C459"/>
  <c r="F459" s="1"/>
  <c r="E459" s="1"/>
  <c r="N199" i="20"/>
  <c r="C450" i="32"/>
  <c r="F450" s="1"/>
  <c r="E450" s="1"/>
  <c r="C441"/>
  <c r="F441" s="1"/>
  <c r="E441" s="1"/>
  <c r="C440"/>
  <c r="F440" s="1"/>
  <c r="E440" s="1"/>
  <c r="C455"/>
  <c r="F455" s="1"/>
  <c r="E455" s="1"/>
  <c r="C439"/>
  <c r="F439" s="1"/>
  <c r="E439" s="1"/>
  <c r="M199" i="20"/>
  <c r="C702" i="32"/>
  <c r="F702" s="1"/>
  <c r="E702" s="1"/>
  <c r="C703"/>
  <c r="F703" s="1"/>
  <c r="E703" s="1"/>
  <c r="C701"/>
  <c r="F701" s="1"/>
  <c r="E701" s="1"/>
  <c r="E203" i="20"/>
  <c r="C700" i="32"/>
  <c r="D203" i="20"/>
  <c r="C32" i="32"/>
  <c r="F32" s="1"/>
  <c r="E32" s="1"/>
  <c r="K193" i="20"/>
  <c r="J193"/>
  <c r="C31" i="32"/>
  <c r="F31" s="1"/>
  <c r="AF204" i="20"/>
  <c r="AE204"/>
  <c r="E194"/>
  <c r="D194"/>
  <c r="C42" i="32"/>
  <c r="F42" s="1"/>
  <c r="E42" s="1"/>
  <c r="C41"/>
  <c r="F41" s="1"/>
  <c r="E41" s="1"/>
  <c r="S193" i="20"/>
  <c r="T193"/>
  <c r="C721" i="32"/>
  <c r="F721" s="1"/>
  <c r="E721" s="1"/>
  <c r="C724"/>
  <c r="F724" s="1"/>
  <c r="E724" s="1"/>
  <c r="C728"/>
  <c r="F728" s="1"/>
  <c r="E728" s="1"/>
  <c r="C733"/>
  <c r="F733" s="1"/>
  <c r="E733" s="1"/>
  <c r="C720"/>
  <c r="F720" s="1"/>
  <c r="E720" s="1"/>
  <c r="C730"/>
  <c r="F730" s="1"/>
  <c r="E730" s="1"/>
  <c r="C732"/>
  <c r="F732" s="1"/>
  <c r="E732" s="1"/>
  <c r="C725"/>
  <c r="F725" s="1"/>
  <c r="E725" s="1"/>
  <c r="C729"/>
  <c r="F729" s="1"/>
  <c r="E729" s="1"/>
  <c r="C722"/>
  <c r="F722" s="1"/>
  <c r="E722" s="1"/>
  <c r="C731"/>
  <c r="F731" s="1"/>
  <c r="E731" s="1"/>
  <c r="C727"/>
  <c r="F727" s="1"/>
  <c r="E727" s="1"/>
  <c r="C734"/>
  <c r="F734" s="1"/>
  <c r="E734" s="1"/>
  <c r="C723"/>
  <c r="F723" s="1"/>
  <c r="E723" s="1"/>
  <c r="C726"/>
  <c r="F726" s="1"/>
  <c r="E726" s="1"/>
  <c r="J203" i="20"/>
  <c r="C719" i="32"/>
  <c r="F719" s="1"/>
  <c r="C735"/>
  <c r="F735" s="1"/>
  <c r="E735" s="1"/>
  <c r="K203" i="20"/>
  <c r="J205"/>
  <c r="K205"/>
  <c r="C861" i="32"/>
  <c r="F861" s="1"/>
  <c r="C864"/>
  <c r="F864" s="1"/>
  <c r="E864" s="1"/>
  <c r="C865"/>
  <c r="F865" s="1"/>
  <c r="E865" s="1"/>
  <c r="C862"/>
  <c r="F862" s="1"/>
  <c r="E862" s="1"/>
  <c r="J208" i="20"/>
  <c r="K208"/>
  <c r="C863" i="32"/>
  <c r="F863" s="1"/>
  <c r="E863" s="1"/>
  <c r="C933"/>
  <c r="F933" s="1"/>
  <c r="E933" s="1"/>
  <c r="C930"/>
  <c r="F930" s="1"/>
  <c r="E930" s="1"/>
  <c r="C932"/>
  <c r="F932" s="1"/>
  <c r="E932" s="1"/>
  <c r="C929"/>
  <c r="F929" s="1"/>
  <c r="E929" s="1"/>
  <c r="W209" i="20"/>
  <c r="V209"/>
  <c r="C931" i="32"/>
  <c r="F931" s="1"/>
  <c r="E931" s="1"/>
  <c r="C977"/>
  <c r="F977" s="1"/>
  <c r="E977" s="1"/>
  <c r="C963"/>
  <c r="F963" s="1"/>
  <c r="E963" s="1"/>
  <c r="C981"/>
  <c r="F981" s="1"/>
  <c r="E981" s="1"/>
  <c r="C967"/>
  <c r="F967" s="1"/>
  <c r="E967" s="1"/>
  <c r="C959"/>
  <c r="F959" s="1"/>
  <c r="E959" s="1"/>
  <c r="C955"/>
  <c r="F955" s="1"/>
  <c r="E955" s="1"/>
  <c r="C964"/>
  <c r="F964" s="1"/>
  <c r="E964" s="1"/>
  <c r="C966"/>
  <c r="F966" s="1"/>
  <c r="E966" s="1"/>
  <c r="C961"/>
  <c r="F961" s="1"/>
  <c r="E961" s="1"/>
  <c r="C975"/>
  <c r="F975" s="1"/>
  <c r="E975" s="1"/>
  <c r="C965"/>
  <c r="F965" s="1"/>
  <c r="E965" s="1"/>
  <c r="C978"/>
  <c r="F978" s="1"/>
  <c r="E978" s="1"/>
  <c r="C968"/>
  <c r="F968" s="1"/>
  <c r="E968" s="1"/>
  <c r="C970"/>
  <c r="F970" s="1"/>
  <c r="E970" s="1"/>
  <c r="C958"/>
  <c r="F958" s="1"/>
  <c r="E958" s="1"/>
  <c r="C969"/>
  <c r="F969" s="1"/>
  <c r="E969" s="1"/>
  <c r="C957"/>
  <c r="F957" s="1"/>
  <c r="E957" s="1"/>
  <c r="C973"/>
  <c r="F973" s="1"/>
  <c r="E973" s="1"/>
  <c r="C972"/>
  <c r="F972" s="1"/>
  <c r="E972" s="1"/>
  <c r="C962"/>
  <c r="F962" s="1"/>
  <c r="E962" s="1"/>
  <c r="C980"/>
  <c r="F980" s="1"/>
  <c r="E980" s="1"/>
  <c r="C974"/>
  <c r="F974" s="1"/>
  <c r="E974" s="1"/>
  <c r="C971"/>
  <c r="F971" s="1"/>
  <c r="E971" s="1"/>
  <c r="C976"/>
  <c r="F976" s="1"/>
  <c r="E976" s="1"/>
  <c r="C956"/>
  <c r="F956" s="1"/>
  <c r="E956" s="1"/>
  <c r="C982"/>
  <c r="F982" s="1"/>
  <c r="E982" s="1"/>
  <c r="C960"/>
  <c r="F960" s="1"/>
  <c r="E960" s="1"/>
  <c r="G211" i="20"/>
  <c r="H211"/>
  <c r="C979" i="32"/>
  <c r="F979" s="1"/>
  <c r="E979" s="1"/>
  <c r="C170"/>
  <c r="F170" s="1"/>
  <c r="E170" s="1"/>
  <c r="C168"/>
  <c r="F168" s="1"/>
  <c r="E168" s="1"/>
  <c r="C164"/>
  <c r="F164" s="1"/>
  <c r="E164" s="1"/>
  <c r="C167"/>
  <c r="F167" s="1"/>
  <c r="E167" s="1"/>
  <c r="C165"/>
  <c r="F165" s="1"/>
  <c r="E165" s="1"/>
  <c r="C166"/>
  <c r="F166" s="1"/>
  <c r="E166" s="1"/>
  <c r="V195" i="20"/>
  <c r="C169" i="32"/>
  <c r="F169" s="1"/>
  <c r="E169" s="1"/>
  <c r="C172"/>
  <c r="F172" s="1"/>
  <c r="E172" s="1"/>
  <c r="W195" i="20"/>
  <c r="C171" i="32"/>
  <c r="F171" s="1"/>
  <c r="E171" s="1"/>
  <c r="C1047"/>
  <c r="F1047" s="1"/>
  <c r="E1047" s="1"/>
  <c r="H210" i="20"/>
  <c r="G210"/>
  <c r="C1046" i="32"/>
  <c r="C788"/>
  <c r="F788" s="1"/>
  <c r="E788" s="1"/>
  <c r="C786"/>
  <c r="F786" s="1"/>
  <c r="E786" s="1"/>
  <c r="C787"/>
  <c r="F787" s="1"/>
  <c r="E787" s="1"/>
  <c r="C785"/>
  <c r="F785" s="1"/>
  <c r="E785" s="1"/>
  <c r="C784"/>
  <c r="F784" s="1"/>
  <c r="E784" s="1"/>
  <c r="C783"/>
  <c r="F783" s="1"/>
  <c r="E783" s="1"/>
  <c r="C782"/>
  <c r="F782" s="1"/>
  <c r="E782" s="1"/>
  <c r="AE203" i="20"/>
  <c r="AF203"/>
  <c r="C52" i="32"/>
  <c r="F52" s="1"/>
  <c r="E52" s="1"/>
  <c r="C51"/>
  <c r="F51" s="1"/>
  <c r="E51" s="1"/>
  <c r="C50"/>
  <c r="F50" s="1"/>
  <c r="E50" s="1"/>
  <c r="C48"/>
  <c r="F48" s="1"/>
  <c r="E48" s="1"/>
  <c r="AF193" i="20"/>
  <c r="C53" i="32"/>
  <c r="F53" s="1"/>
  <c r="E53" s="1"/>
  <c r="AE193" i="20"/>
  <c r="C45" i="32"/>
  <c r="F45" s="1"/>
  <c r="E45" s="1"/>
  <c r="C802"/>
  <c r="F802" s="1"/>
  <c r="E802" s="1"/>
  <c r="C803"/>
  <c r="F803" s="1"/>
  <c r="E803" s="1"/>
  <c r="C801"/>
  <c r="F801" s="1"/>
  <c r="E801" s="1"/>
  <c r="C800"/>
  <c r="F800" s="1"/>
  <c r="E800" s="1"/>
  <c r="P207" i="20"/>
  <c r="Q207"/>
  <c r="Q211"/>
  <c r="P211"/>
  <c r="C84" i="32"/>
  <c r="F84" s="1"/>
  <c r="E84" s="1"/>
  <c r="C105"/>
  <c r="F105" s="1"/>
  <c r="E105" s="1"/>
  <c r="C107"/>
  <c r="F107" s="1"/>
  <c r="E107" s="1"/>
  <c r="C104"/>
  <c r="F104" s="1"/>
  <c r="E104" s="1"/>
  <c r="C101"/>
  <c r="F101" s="1"/>
  <c r="E101" s="1"/>
  <c r="C103"/>
  <c r="F103" s="1"/>
  <c r="E103" s="1"/>
  <c r="C108"/>
  <c r="F108" s="1"/>
  <c r="E108" s="1"/>
  <c r="AC194" i="20"/>
  <c r="AB194"/>
  <c r="C83" i="32"/>
  <c r="F83" s="1"/>
  <c r="E83" s="1"/>
  <c r="C102"/>
  <c r="F102" s="1"/>
  <c r="E102" s="1"/>
  <c r="C106"/>
  <c r="F106" s="1"/>
  <c r="E106" s="1"/>
  <c r="C58"/>
  <c r="F58" s="1"/>
  <c r="E58" s="1"/>
  <c r="C61"/>
  <c r="F61" s="1"/>
  <c r="E61" s="1"/>
  <c r="C62"/>
  <c r="F62" s="1"/>
  <c r="E62" s="1"/>
  <c r="C55"/>
  <c r="C60"/>
  <c r="F60" s="1"/>
  <c r="E60" s="1"/>
  <c r="C56"/>
  <c r="F56" s="1"/>
  <c r="E56" s="1"/>
  <c r="H194" i="20"/>
  <c r="G194"/>
  <c r="C59" i="32"/>
  <c r="F59" s="1"/>
  <c r="E59" s="1"/>
  <c r="C57"/>
  <c r="F57" s="1"/>
  <c r="E57" s="1"/>
  <c r="C777"/>
  <c r="F777" s="1"/>
  <c r="E777" s="1"/>
  <c r="C778"/>
  <c r="F778" s="1"/>
  <c r="E778" s="1"/>
  <c r="Z203" i="20"/>
  <c r="Y203"/>
  <c r="E195"/>
  <c r="D195"/>
  <c r="C557" i="32"/>
  <c r="F557" s="1"/>
  <c r="E557" s="1"/>
  <c r="C556"/>
  <c r="F556" s="1"/>
  <c r="E556" s="1"/>
  <c r="C563"/>
  <c r="F563" s="1"/>
  <c r="E563" s="1"/>
  <c r="C558"/>
  <c r="F558" s="1"/>
  <c r="E558" s="1"/>
  <c r="C562"/>
  <c r="F562" s="1"/>
  <c r="E562" s="1"/>
  <c r="C566"/>
  <c r="F566" s="1"/>
  <c r="E566" s="1"/>
  <c r="C559"/>
  <c r="F559" s="1"/>
  <c r="E559" s="1"/>
  <c r="C564"/>
  <c r="F564" s="1"/>
  <c r="E564" s="1"/>
  <c r="C560"/>
  <c r="F560" s="1"/>
  <c r="E560" s="1"/>
  <c r="C568"/>
  <c r="F568" s="1"/>
  <c r="E568" s="1"/>
  <c r="C561"/>
  <c r="F561" s="1"/>
  <c r="E561" s="1"/>
  <c r="Q200" i="20"/>
  <c r="C565" i="32"/>
  <c r="F565" s="1"/>
  <c r="E565" s="1"/>
  <c r="C570"/>
  <c r="F570" s="1"/>
  <c r="E570" s="1"/>
  <c r="P200" i="20"/>
  <c r="C569" i="32"/>
  <c r="F569" s="1"/>
  <c r="E569" s="1"/>
  <c r="C567"/>
  <c r="F567" s="1"/>
  <c r="E567" s="1"/>
  <c r="P193" i="20"/>
  <c r="Q193"/>
  <c r="C688" i="32"/>
  <c r="F688" s="1"/>
  <c r="E688" s="1"/>
  <c r="C691"/>
  <c r="F691" s="1"/>
  <c r="E691" s="1"/>
  <c r="C690"/>
  <c r="F690" s="1"/>
  <c r="E690" s="1"/>
  <c r="Y202" i="20"/>
  <c r="C689" i="32"/>
  <c r="F689" s="1"/>
  <c r="E689" s="1"/>
  <c r="Z202" i="20"/>
  <c r="AE205"/>
  <c r="AF205"/>
  <c r="C230" i="32"/>
  <c r="F230" s="1"/>
  <c r="E230" s="1"/>
  <c r="C228"/>
  <c r="F228" s="1"/>
  <c r="E228" s="1"/>
  <c r="C226"/>
  <c r="F226" s="1"/>
  <c r="E226" s="1"/>
  <c r="C227"/>
  <c r="F227" s="1"/>
  <c r="E227" s="1"/>
  <c r="C229"/>
  <c r="F229" s="1"/>
  <c r="E229" s="1"/>
  <c r="C231"/>
  <c r="F231" s="1"/>
  <c r="E231" s="1"/>
  <c r="V196" i="20"/>
  <c r="W196"/>
  <c r="W206"/>
  <c r="V206"/>
  <c r="C917" i="32"/>
  <c r="F917" s="1"/>
  <c r="E917" s="1"/>
  <c r="C916"/>
  <c r="F916" s="1"/>
  <c r="E916" s="1"/>
  <c r="C915"/>
  <c r="F915" s="1"/>
  <c r="E915" s="1"/>
  <c r="C918"/>
  <c r="F918" s="1"/>
  <c r="E918" s="1"/>
  <c r="C919"/>
  <c r="F919" s="1"/>
  <c r="E919" s="1"/>
  <c r="C914"/>
  <c r="F914" s="1"/>
  <c r="E914" s="1"/>
  <c r="C913"/>
  <c r="F913" s="1"/>
  <c r="E913" s="1"/>
  <c r="M209" i="20"/>
  <c r="N209"/>
  <c r="C492" i="32"/>
  <c r="F492" s="1"/>
  <c r="E492" s="1"/>
  <c r="C495"/>
  <c r="F495" s="1"/>
  <c r="E495" s="1"/>
  <c r="C499"/>
  <c r="F499" s="1"/>
  <c r="E499" s="1"/>
  <c r="C497"/>
  <c r="F497" s="1"/>
  <c r="E497" s="1"/>
  <c r="C494"/>
  <c r="F494" s="1"/>
  <c r="E494" s="1"/>
  <c r="C500"/>
  <c r="F500" s="1"/>
  <c r="E500" s="1"/>
  <c r="C496"/>
  <c r="F496" s="1"/>
  <c r="E496" s="1"/>
  <c r="V199" i="20"/>
  <c r="C493" i="32"/>
  <c r="F493" s="1"/>
  <c r="E493" s="1"/>
  <c r="C498"/>
  <c r="F498" s="1"/>
  <c r="E498" s="1"/>
  <c r="W199" i="20"/>
  <c r="C257" i="32"/>
  <c r="F257" s="1"/>
  <c r="E257" s="1"/>
  <c r="C254"/>
  <c r="C259"/>
  <c r="F259" s="1"/>
  <c r="E259" s="1"/>
  <c r="C258"/>
  <c r="F258" s="1"/>
  <c r="E258" s="1"/>
  <c r="E197" i="20"/>
  <c r="C255" i="32"/>
  <c r="F255" s="1"/>
  <c r="E255" s="1"/>
  <c r="C256"/>
  <c r="F256" s="1"/>
  <c r="E256" s="1"/>
  <c r="D197" i="20"/>
  <c r="C950" i="32"/>
  <c r="F950" s="1"/>
  <c r="E950" s="1"/>
  <c r="C948"/>
  <c r="F948" s="1"/>
  <c r="E948" s="1"/>
  <c r="C949"/>
  <c r="F949" s="1"/>
  <c r="E949" s="1"/>
  <c r="C951"/>
  <c r="F951" s="1"/>
  <c r="E951" s="1"/>
  <c r="C952"/>
  <c r="F952" s="1"/>
  <c r="E952" s="1"/>
  <c r="C953"/>
  <c r="F953" s="1"/>
  <c r="E953" s="1"/>
  <c r="C946"/>
  <c r="F946" s="1"/>
  <c r="E946" s="1"/>
  <c r="C947"/>
  <c r="F947" s="1"/>
  <c r="E947" s="1"/>
  <c r="E211" i="20"/>
  <c r="D211"/>
  <c r="C945" i="32"/>
  <c r="C954"/>
  <c r="F954" s="1"/>
  <c r="E954" s="1"/>
  <c r="C173"/>
  <c r="F173" s="1"/>
  <c r="E173" s="1"/>
  <c r="Z195" i="20"/>
  <c r="Y195"/>
  <c r="C505" i="32"/>
  <c r="F505" s="1"/>
  <c r="E505" s="1"/>
  <c r="C504"/>
  <c r="F504" s="1"/>
  <c r="E504" s="1"/>
  <c r="C501"/>
  <c r="F501" s="1"/>
  <c r="E501" s="1"/>
  <c r="C503"/>
  <c r="F503" s="1"/>
  <c r="E503" s="1"/>
  <c r="Y199" i="20"/>
  <c r="Z199"/>
  <c r="C502" i="32"/>
  <c r="F502" s="1"/>
  <c r="E502" s="1"/>
  <c r="C761"/>
  <c r="F761" s="1"/>
  <c r="E761" s="1"/>
  <c r="C767"/>
  <c r="F767" s="1"/>
  <c r="E767" s="1"/>
  <c r="C765"/>
  <c r="F765" s="1"/>
  <c r="E765" s="1"/>
  <c r="C768"/>
  <c r="F768" s="1"/>
  <c r="E768" s="1"/>
  <c r="C766"/>
  <c r="F766" s="1"/>
  <c r="E766" s="1"/>
  <c r="C764"/>
  <c r="F764" s="1"/>
  <c r="E764" s="1"/>
  <c r="C760"/>
  <c r="F760" s="1"/>
  <c r="E760" s="1"/>
  <c r="C769"/>
  <c r="F769" s="1"/>
  <c r="E769" s="1"/>
  <c r="S203" i="20"/>
  <c r="C763" i="32"/>
  <c r="F763" s="1"/>
  <c r="E763" s="1"/>
  <c r="T203" i="20"/>
  <c r="C762" i="32"/>
  <c r="F762" s="1"/>
  <c r="E762" s="1"/>
  <c r="Y211" i="20"/>
  <c r="Z211"/>
  <c r="C39" i="32"/>
  <c r="F39" s="1"/>
  <c r="E39" s="1"/>
  <c r="C36"/>
  <c r="F36" s="1"/>
  <c r="E36" s="1"/>
  <c r="C40"/>
  <c r="F40" s="1"/>
  <c r="E40" s="1"/>
  <c r="C33"/>
  <c r="F33" s="1"/>
  <c r="E33" s="1"/>
  <c r="C37"/>
  <c r="F37" s="1"/>
  <c r="E37" s="1"/>
  <c r="C34"/>
  <c r="F34" s="1"/>
  <c r="E34" s="1"/>
  <c r="M193" i="20"/>
  <c r="N193"/>
  <c r="C35" i="32"/>
  <c r="F35" s="1"/>
  <c r="E35" s="1"/>
  <c r="C38"/>
  <c r="F38" s="1"/>
  <c r="E38" s="1"/>
  <c r="S206" i="20"/>
  <c r="T206"/>
  <c r="E206"/>
  <c r="D206"/>
  <c r="H204"/>
  <c r="G204"/>
  <c r="C998" i="32"/>
  <c r="F998" s="1"/>
  <c r="C999"/>
  <c r="F999" s="1"/>
  <c r="E999" s="1"/>
  <c r="J198" i="20"/>
  <c r="K198"/>
  <c r="C1000" i="32"/>
  <c r="F1000" s="1"/>
  <c r="E1000" s="1"/>
  <c r="C877"/>
  <c r="F877" s="1"/>
  <c r="E877" s="1"/>
  <c r="C876"/>
  <c r="F876" s="1"/>
  <c r="E876" s="1"/>
  <c r="S208" i="20"/>
  <c r="T208"/>
  <c r="C143" i="32"/>
  <c r="F143" s="1"/>
  <c r="E143" s="1"/>
  <c r="C144"/>
  <c r="F144" s="1"/>
  <c r="E144" s="1"/>
  <c r="C142"/>
  <c r="F142" s="1"/>
  <c r="E142" s="1"/>
  <c r="C141"/>
  <c r="F141" s="1"/>
  <c r="E141" s="1"/>
  <c r="C145"/>
  <c r="F145" s="1"/>
  <c r="E145" s="1"/>
  <c r="C146"/>
  <c r="F146" s="1"/>
  <c r="E146" s="1"/>
  <c r="J195" i="20"/>
  <c r="C140" i="32"/>
  <c r="F140" s="1"/>
  <c r="K195" i="20"/>
  <c r="C270" i="32"/>
  <c r="F270" s="1"/>
  <c r="E270" s="1"/>
  <c r="C260"/>
  <c r="F260" s="1"/>
  <c r="E260" s="1"/>
  <c r="C263"/>
  <c r="F263" s="1"/>
  <c r="E263" s="1"/>
  <c r="C267"/>
  <c r="F267" s="1"/>
  <c r="E267" s="1"/>
  <c r="C271"/>
  <c r="F271" s="1"/>
  <c r="E271" s="1"/>
  <c r="C265"/>
  <c r="F265" s="1"/>
  <c r="E265" s="1"/>
  <c r="C262"/>
  <c r="F262" s="1"/>
  <c r="E262" s="1"/>
  <c r="C266"/>
  <c r="F266" s="1"/>
  <c r="E266" s="1"/>
  <c r="C269"/>
  <c r="F269" s="1"/>
  <c r="E269" s="1"/>
  <c r="C264"/>
  <c r="F264" s="1"/>
  <c r="E264" s="1"/>
  <c r="C273"/>
  <c r="F273" s="1"/>
  <c r="E273" s="1"/>
  <c r="C274"/>
  <c r="F274" s="1"/>
  <c r="E274" s="1"/>
  <c r="G197" i="20"/>
  <c r="H197"/>
  <c r="C272" i="32"/>
  <c r="F272" s="1"/>
  <c r="E272" s="1"/>
  <c r="C275"/>
  <c r="F275" s="1"/>
  <c r="E275" s="1"/>
  <c r="C268"/>
  <c r="F268" s="1"/>
  <c r="E268" s="1"/>
  <c r="C261"/>
  <c r="F261" s="1"/>
  <c r="E261" s="1"/>
  <c r="W210" i="20"/>
  <c r="C1054" i="32"/>
  <c r="F1054" s="1"/>
  <c r="E1054" s="1"/>
  <c r="V210" i="20"/>
  <c r="C706" i="32"/>
  <c r="F706" s="1"/>
  <c r="E706" s="1"/>
  <c r="C704"/>
  <c r="F704" s="1"/>
  <c r="E704" s="1"/>
  <c r="C712"/>
  <c r="F712" s="1"/>
  <c r="E712" s="1"/>
  <c r="C716"/>
  <c r="F716" s="1"/>
  <c r="E716" s="1"/>
  <c r="C705"/>
  <c r="F705" s="1"/>
  <c r="E705" s="1"/>
  <c r="C714"/>
  <c r="F714" s="1"/>
  <c r="E714" s="1"/>
  <c r="C718"/>
  <c r="F718" s="1"/>
  <c r="E718" s="1"/>
  <c r="C715"/>
  <c r="F715" s="1"/>
  <c r="E715" s="1"/>
  <c r="C717"/>
  <c r="F717" s="1"/>
  <c r="E717" s="1"/>
  <c r="C708"/>
  <c r="F708" s="1"/>
  <c r="E708" s="1"/>
  <c r="C709"/>
  <c r="F709" s="1"/>
  <c r="E709" s="1"/>
  <c r="H203" i="20"/>
  <c r="G203"/>
  <c r="C713" i="32"/>
  <c r="F713" s="1"/>
  <c r="E713" s="1"/>
  <c r="C707"/>
  <c r="F707" s="1"/>
  <c r="E707" s="1"/>
  <c r="C711"/>
  <c r="F711" s="1"/>
  <c r="E711" s="1"/>
  <c r="C710"/>
  <c r="F710" s="1"/>
  <c r="E710" s="1"/>
  <c r="C350"/>
  <c r="F350" s="1"/>
  <c r="E350" s="1"/>
  <c r="C341"/>
  <c r="F341" s="1"/>
  <c r="E341" s="1"/>
  <c r="C327"/>
  <c r="F327" s="1"/>
  <c r="E327" s="1"/>
  <c r="C332"/>
  <c r="F332" s="1"/>
  <c r="E332" s="1"/>
  <c r="C334"/>
  <c r="F334" s="1"/>
  <c r="E334" s="1"/>
  <c r="C345"/>
  <c r="F345" s="1"/>
  <c r="E345" s="1"/>
  <c r="C386"/>
  <c r="F386" s="1"/>
  <c r="E386" s="1"/>
  <c r="C337"/>
  <c r="F337" s="1"/>
  <c r="E337" s="1"/>
  <c r="C333"/>
  <c r="F333" s="1"/>
  <c r="E333" s="1"/>
  <c r="C335"/>
  <c r="F335" s="1"/>
  <c r="E335" s="1"/>
  <c r="C331"/>
  <c r="F331" s="1"/>
  <c r="E331" s="1"/>
  <c r="C343"/>
  <c r="F343" s="1"/>
  <c r="E343" s="1"/>
  <c r="C339"/>
  <c r="F339" s="1"/>
  <c r="E339" s="1"/>
  <c r="C346"/>
  <c r="F346" s="1"/>
  <c r="E346" s="1"/>
  <c r="C329"/>
  <c r="F329" s="1"/>
  <c r="E329" s="1"/>
  <c r="C348"/>
  <c r="F348" s="1"/>
  <c r="E348" s="1"/>
  <c r="C366"/>
  <c r="F366" s="1"/>
  <c r="E366" s="1"/>
  <c r="C342"/>
  <c r="F342" s="1"/>
  <c r="E342" s="1"/>
  <c r="C336"/>
  <c r="F336" s="1"/>
  <c r="E336" s="1"/>
  <c r="C328"/>
  <c r="F328" s="1"/>
  <c r="E328" s="1"/>
  <c r="C340"/>
  <c r="F340" s="1"/>
  <c r="E340" s="1"/>
  <c r="C347"/>
  <c r="F347" s="1"/>
  <c r="E347" s="1"/>
  <c r="C330"/>
  <c r="F330" s="1"/>
  <c r="E330" s="1"/>
  <c r="C338"/>
  <c r="F338" s="1"/>
  <c r="E338" s="1"/>
  <c r="C344"/>
  <c r="F344" s="1"/>
  <c r="E344" s="1"/>
  <c r="C349"/>
  <c r="F349" s="1"/>
  <c r="E349" s="1"/>
  <c r="S197" i="20"/>
  <c r="T197"/>
  <c r="C836" i="32"/>
  <c r="F836" s="1"/>
  <c r="E836" s="1"/>
  <c r="C842"/>
  <c r="F842" s="1"/>
  <c r="E842" s="1"/>
  <c r="C849"/>
  <c r="F849" s="1"/>
  <c r="E849" s="1"/>
  <c r="C846"/>
  <c r="F846" s="1"/>
  <c r="E846" s="1"/>
  <c r="C831"/>
  <c r="F831" s="1"/>
  <c r="E831" s="1"/>
  <c r="C839"/>
  <c r="F839" s="1"/>
  <c r="E839" s="1"/>
  <c r="C845"/>
  <c r="F845" s="1"/>
  <c r="E845" s="1"/>
  <c r="C835"/>
  <c r="F835" s="1"/>
  <c r="E835" s="1"/>
  <c r="C840"/>
  <c r="F840" s="1"/>
  <c r="E840" s="1"/>
  <c r="C833"/>
  <c r="F833" s="1"/>
  <c r="E833" s="1"/>
  <c r="C841"/>
  <c r="F841" s="1"/>
  <c r="E841" s="1"/>
  <c r="C832"/>
  <c r="F832" s="1"/>
  <c r="E832" s="1"/>
  <c r="C844"/>
  <c r="F844" s="1"/>
  <c r="E844" s="1"/>
  <c r="C837"/>
  <c r="F837" s="1"/>
  <c r="E837" s="1"/>
  <c r="AE207" i="20"/>
  <c r="AF207"/>
  <c r="C834" i="32"/>
  <c r="F834" s="1"/>
  <c r="E834" s="1"/>
  <c r="C843"/>
  <c r="F843" s="1"/>
  <c r="E843" s="1"/>
  <c r="C838"/>
  <c r="F838" s="1"/>
  <c r="E838" s="1"/>
  <c r="C847"/>
  <c r="F847" s="1"/>
  <c r="E847" s="1"/>
  <c r="C848"/>
  <c r="F848" s="1"/>
  <c r="E848" s="1"/>
  <c r="C857"/>
  <c r="F857" s="1"/>
  <c r="E857" s="1"/>
  <c r="C858"/>
  <c r="F858" s="1"/>
  <c r="E858" s="1"/>
  <c r="C860"/>
  <c r="F860" s="1"/>
  <c r="E860" s="1"/>
  <c r="C859"/>
  <c r="F859" s="1"/>
  <c r="E859" s="1"/>
  <c r="G208" i="20"/>
  <c r="C856" i="32"/>
  <c r="F856" s="1"/>
  <c r="E856" s="1"/>
  <c r="H208" i="20"/>
  <c r="C483" i="32"/>
  <c r="F483" s="1"/>
  <c r="E483" s="1"/>
  <c r="C484"/>
  <c r="F484" s="1"/>
  <c r="E484" s="1"/>
  <c r="C480"/>
  <c r="F480" s="1"/>
  <c r="E480" s="1"/>
  <c r="C490"/>
  <c r="F490" s="1"/>
  <c r="E490" s="1"/>
  <c r="C487"/>
  <c r="F487" s="1"/>
  <c r="E487" s="1"/>
  <c r="C478"/>
  <c r="F478" s="1"/>
  <c r="E478" s="1"/>
  <c r="C479"/>
  <c r="F479" s="1"/>
  <c r="E479" s="1"/>
  <c r="C488"/>
  <c r="F488" s="1"/>
  <c r="E488" s="1"/>
  <c r="C485"/>
  <c r="F485" s="1"/>
  <c r="E485" s="1"/>
  <c r="C477"/>
  <c r="F477" s="1"/>
  <c r="E477" s="1"/>
  <c r="C486"/>
  <c r="F486" s="1"/>
  <c r="E486" s="1"/>
  <c r="C489"/>
  <c r="F489" s="1"/>
  <c r="E489" s="1"/>
  <c r="C481"/>
  <c r="F481" s="1"/>
  <c r="E481" s="1"/>
  <c r="T199" i="20"/>
  <c r="C491" i="32"/>
  <c r="F491" s="1"/>
  <c r="E491" s="1"/>
  <c r="S199" i="20"/>
  <c r="C482" i="32"/>
  <c r="F482" s="1"/>
  <c r="E482" s="1"/>
  <c r="C749"/>
  <c r="F749" s="1"/>
  <c r="E749" s="1"/>
  <c r="C745"/>
  <c r="F745" s="1"/>
  <c r="E745" s="1"/>
  <c r="C742"/>
  <c r="F742" s="1"/>
  <c r="E742" s="1"/>
  <c r="C740"/>
  <c r="F740" s="1"/>
  <c r="E740" s="1"/>
  <c r="C750"/>
  <c r="F750" s="1"/>
  <c r="E750" s="1"/>
  <c r="C737"/>
  <c r="F737" s="1"/>
  <c r="E737" s="1"/>
  <c r="C736"/>
  <c r="F736" s="1"/>
  <c r="E736" s="1"/>
  <c r="C747"/>
  <c r="F747" s="1"/>
  <c r="E747" s="1"/>
  <c r="C744"/>
  <c r="F744" s="1"/>
  <c r="E744" s="1"/>
  <c r="C746"/>
  <c r="F746" s="1"/>
  <c r="E746" s="1"/>
  <c r="C739"/>
  <c r="F739" s="1"/>
  <c r="E739" s="1"/>
  <c r="C738"/>
  <c r="F738" s="1"/>
  <c r="E738" s="1"/>
  <c r="M203" i="20"/>
  <c r="C741" i="32"/>
  <c r="F741" s="1"/>
  <c r="E741" s="1"/>
  <c r="C748"/>
  <c r="F748" s="1"/>
  <c r="E748" s="1"/>
  <c r="N203" i="20"/>
  <c r="C743" i="32"/>
  <c r="F743" s="1"/>
  <c r="E743" s="1"/>
  <c r="C1021"/>
  <c r="F1021" s="1"/>
  <c r="E1021" s="1"/>
  <c r="C1020"/>
  <c r="F1020" s="1"/>
  <c r="E1020" s="1"/>
  <c r="C1018"/>
  <c r="F1018" s="1"/>
  <c r="E1018" s="1"/>
  <c r="G201" i="20"/>
  <c r="H201"/>
  <c r="C1019" i="32"/>
  <c r="F1019" s="1"/>
  <c r="E1019" s="1"/>
  <c r="C997"/>
  <c r="F997" s="1"/>
  <c r="E997" s="1"/>
  <c r="C996"/>
  <c r="F996" s="1"/>
  <c r="E996" s="1"/>
  <c r="C995"/>
  <c r="F995" s="1"/>
  <c r="E995" s="1"/>
  <c r="H198" i="20"/>
  <c r="G198"/>
  <c r="Y204"/>
  <c r="Z204"/>
  <c r="C1025" i="32"/>
  <c r="F1025" s="1"/>
  <c r="E1025" s="1"/>
  <c r="C1022"/>
  <c r="F1022" s="1"/>
  <c r="C1023"/>
  <c r="F1023" s="1"/>
  <c r="E1023" s="1"/>
  <c r="C1026"/>
  <c r="F1026" s="1"/>
  <c r="E1026" s="1"/>
  <c r="C1024"/>
  <c r="F1024" s="1"/>
  <c r="E1024" s="1"/>
  <c r="J201" i="20"/>
  <c r="C1027" i="32"/>
  <c r="F1027" s="1"/>
  <c r="E1027" s="1"/>
  <c r="K201" i="20"/>
  <c r="C826" i="32"/>
  <c r="F826" s="1"/>
  <c r="E826" s="1"/>
  <c r="C825"/>
  <c r="F825" s="1"/>
  <c r="E825" s="1"/>
  <c r="C823"/>
  <c r="F823" s="1"/>
  <c r="E823" s="1"/>
  <c r="C824"/>
  <c r="F824" s="1"/>
  <c r="E824" s="1"/>
  <c r="C822"/>
  <c r="F822" s="1"/>
  <c r="E822" s="1"/>
  <c r="C821"/>
  <c r="F821" s="1"/>
  <c r="E821" s="1"/>
  <c r="C820"/>
  <c r="F820" s="1"/>
  <c r="E820" s="1"/>
  <c r="Z207" i="20"/>
  <c r="Y207"/>
  <c r="C100" i="32"/>
  <c r="F100" s="1"/>
  <c r="E100" s="1"/>
  <c r="C99"/>
  <c r="F99" s="1"/>
  <c r="E99" s="1"/>
  <c r="Z194" i="20"/>
  <c r="Y194"/>
  <c r="C98" i="32"/>
  <c r="F98" s="1"/>
  <c r="E98" s="1"/>
  <c r="Y205" i="20"/>
  <c r="Z205"/>
  <c r="K206"/>
  <c r="J206"/>
  <c r="C902" i="32"/>
  <c r="F902" s="1"/>
  <c r="E902" s="1"/>
  <c r="C899"/>
  <c r="F899" s="1"/>
  <c r="E899" s="1"/>
  <c r="C900"/>
  <c r="F900" s="1"/>
  <c r="E900" s="1"/>
  <c r="C898"/>
  <c r="F898" s="1"/>
  <c r="E898" s="1"/>
  <c r="D209" i="20"/>
  <c r="E209"/>
  <c r="C897" i="32"/>
  <c r="C901"/>
  <c r="F901" s="1"/>
  <c r="E901" s="1"/>
  <c r="C926"/>
  <c r="F926" s="1"/>
  <c r="E926" s="1"/>
  <c r="C928"/>
  <c r="F928" s="1"/>
  <c r="E928" s="1"/>
  <c r="C927"/>
  <c r="F927" s="1"/>
  <c r="E927" s="1"/>
  <c r="C925"/>
  <c r="F925" s="1"/>
  <c r="E925" s="1"/>
  <c r="S209" i="20"/>
  <c r="T209"/>
  <c r="C81" i="32"/>
  <c r="F81" s="1"/>
  <c r="E81" s="1"/>
  <c r="C79"/>
  <c r="F79" s="1"/>
  <c r="E79" s="1"/>
  <c r="P194" i="20"/>
  <c r="Q194"/>
  <c r="C82" i="32"/>
  <c r="F82" s="1"/>
  <c r="E82" s="1"/>
  <c r="C80"/>
  <c r="F80" s="1"/>
  <c r="E80" s="1"/>
  <c r="C214"/>
  <c r="F214" s="1"/>
  <c r="E214" s="1"/>
  <c r="C208"/>
  <c r="F208" s="1"/>
  <c r="E208" s="1"/>
  <c r="C205"/>
  <c r="F205" s="1"/>
  <c r="E205" s="1"/>
  <c r="C213"/>
  <c r="F213" s="1"/>
  <c r="E213" s="1"/>
  <c r="C210"/>
  <c r="F210" s="1"/>
  <c r="E210" s="1"/>
  <c r="C206"/>
  <c r="F206" s="1"/>
  <c r="E206" s="1"/>
  <c r="Q196" i="20"/>
  <c r="C207" i="32"/>
  <c r="F207" s="1"/>
  <c r="E207" s="1"/>
  <c r="C209"/>
  <c r="F209" s="1"/>
  <c r="E209" s="1"/>
  <c r="C212"/>
  <c r="F212" s="1"/>
  <c r="E212" s="1"/>
  <c r="C216"/>
  <c r="F216" s="1"/>
  <c r="E216" s="1"/>
  <c r="C215"/>
  <c r="F215" s="1"/>
  <c r="E215" s="1"/>
  <c r="P196" i="20"/>
  <c r="C211" i="32"/>
  <c r="F211" s="1"/>
  <c r="E211" s="1"/>
  <c r="C175"/>
  <c r="F175" s="1"/>
  <c r="E175" s="1"/>
  <c r="C176"/>
  <c r="F176" s="1"/>
  <c r="E176" s="1"/>
  <c r="AC195" i="20"/>
  <c r="C174" i="32"/>
  <c r="F174" s="1"/>
  <c r="E174" s="1"/>
  <c r="AB195" i="20"/>
  <c r="C431" i="32"/>
  <c r="F431" s="1"/>
  <c r="E431" s="1"/>
  <c r="C426"/>
  <c r="F426" s="1"/>
  <c r="E426" s="1"/>
  <c r="C423"/>
  <c r="F423" s="1"/>
  <c r="E423" s="1"/>
  <c r="C433"/>
  <c r="F433" s="1"/>
  <c r="E433" s="1"/>
  <c r="C425"/>
  <c r="F425" s="1"/>
  <c r="E425" s="1"/>
  <c r="C432"/>
  <c r="F432" s="1"/>
  <c r="E432" s="1"/>
  <c r="C430"/>
  <c r="F430" s="1"/>
  <c r="E430" s="1"/>
  <c r="C436"/>
  <c r="F436" s="1"/>
  <c r="E436" s="1"/>
  <c r="C424"/>
  <c r="F424" s="1"/>
  <c r="E424" s="1"/>
  <c r="C427"/>
  <c r="F427" s="1"/>
  <c r="E427" s="1"/>
  <c r="C422"/>
  <c r="F422" s="1"/>
  <c r="C435"/>
  <c r="F435" s="1"/>
  <c r="E435" s="1"/>
  <c r="C428"/>
  <c r="F428" s="1"/>
  <c r="E428" s="1"/>
  <c r="K199" i="20"/>
  <c r="C434" i="32"/>
  <c r="F434" s="1"/>
  <c r="E434" s="1"/>
  <c r="C429"/>
  <c r="F429" s="1"/>
  <c r="E429" s="1"/>
  <c r="J199" i="20"/>
  <c r="K204"/>
  <c r="J204"/>
  <c r="C353" i="32"/>
  <c r="F353" s="1"/>
  <c r="E353" s="1"/>
  <c r="C351"/>
  <c r="F351" s="1"/>
  <c r="E351" s="1"/>
  <c r="C358"/>
  <c r="F358" s="1"/>
  <c r="E358" s="1"/>
  <c r="C355"/>
  <c r="F355" s="1"/>
  <c r="E355" s="1"/>
  <c r="C356"/>
  <c r="F356" s="1"/>
  <c r="E356" s="1"/>
  <c r="C361"/>
  <c r="F361" s="1"/>
  <c r="E361" s="1"/>
  <c r="C360"/>
  <c r="F360" s="1"/>
  <c r="E360" s="1"/>
  <c r="C354"/>
  <c r="F354" s="1"/>
  <c r="E354" s="1"/>
  <c r="C352"/>
  <c r="F352" s="1"/>
  <c r="E352" s="1"/>
  <c r="V197" i="20"/>
  <c r="W197"/>
  <c r="C362" i="32"/>
  <c r="F362" s="1"/>
  <c r="E362" s="1"/>
  <c r="C359"/>
  <c r="F359" s="1"/>
  <c r="E359" s="1"/>
  <c r="C357"/>
  <c r="F357" s="1"/>
  <c r="E357" s="1"/>
  <c r="D204" i="20"/>
  <c r="E204"/>
  <c r="C545" i="32"/>
  <c r="F545" s="1"/>
  <c r="E545" s="1"/>
  <c r="C547"/>
  <c r="F547" s="1"/>
  <c r="E547" s="1"/>
  <c r="C550"/>
  <c r="F550" s="1"/>
  <c r="E550" s="1"/>
  <c r="C541"/>
  <c r="F541" s="1"/>
  <c r="E541" s="1"/>
  <c r="C546"/>
  <c r="F546" s="1"/>
  <c r="E546" s="1"/>
  <c r="C544"/>
  <c r="F544" s="1"/>
  <c r="E544" s="1"/>
  <c r="C539"/>
  <c r="F539" s="1"/>
  <c r="E539" s="1"/>
  <c r="C543"/>
  <c r="F543" s="1"/>
  <c r="E543" s="1"/>
  <c r="C540"/>
  <c r="F540" s="1"/>
  <c r="E540" s="1"/>
  <c r="C551"/>
  <c r="F551" s="1"/>
  <c r="E551" s="1"/>
  <c r="C542"/>
  <c r="F542" s="1"/>
  <c r="E542" s="1"/>
  <c r="J200" i="20"/>
  <c r="K200"/>
  <c r="C549" i="32"/>
  <c r="F549" s="1"/>
  <c r="E549" s="1"/>
  <c r="C538"/>
  <c r="F538" s="1"/>
  <c r="E538" s="1"/>
  <c r="C548"/>
  <c r="F548" s="1"/>
  <c r="E548" s="1"/>
  <c r="C537"/>
  <c r="F537" s="1"/>
  <c r="C281"/>
  <c r="F281" s="1"/>
  <c r="E281" s="1"/>
  <c r="C284"/>
  <c r="F284" s="1"/>
  <c r="E284" s="1"/>
  <c r="C290"/>
  <c r="F290" s="1"/>
  <c r="E290" s="1"/>
  <c r="C287"/>
  <c r="F287" s="1"/>
  <c r="E287" s="1"/>
  <c r="C282"/>
  <c r="F282" s="1"/>
  <c r="E282" s="1"/>
  <c r="C291"/>
  <c r="F291" s="1"/>
  <c r="E291" s="1"/>
  <c r="C278"/>
  <c r="F278" s="1"/>
  <c r="E278" s="1"/>
  <c r="C279"/>
  <c r="F279" s="1"/>
  <c r="E279" s="1"/>
  <c r="C289"/>
  <c r="F289" s="1"/>
  <c r="E289" s="1"/>
  <c r="C285"/>
  <c r="F285" s="1"/>
  <c r="E285" s="1"/>
  <c r="C288"/>
  <c r="F288" s="1"/>
  <c r="E288" s="1"/>
  <c r="C283"/>
  <c r="F283" s="1"/>
  <c r="E283" s="1"/>
  <c r="J197" i="20"/>
  <c r="C280" i="32"/>
  <c r="F280" s="1"/>
  <c r="E280" s="1"/>
  <c r="C286"/>
  <c r="F286" s="1"/>
  <c r="E286" s="1"/>
  <c r="C276"/>
  <c r="F276" s="1"/>
  <c r="E276" s="1"/>
  <c r="C277"/>
  <c r="F277" s="1"/>
  <c r="E277" s="1"/>
  <c r="K197" i="20"/>
  <c r="N204"/>
  <c r="M204"/>
  <c r="C233" i="32"/>
  <c r="F233" s="1"/>
  <c r="E233" s="1"/>
  <c r="C235"/>
  <c r="F235" s="1"/>
  <c r="E235" s="1"/>
  <c r="C234"/>
  <c r="F234" s="1"/>
  <c r="E234" s="1"/>
  <c r="Y196" i="20"/>
  <c r="Z196"/>
  <c r="C232" i="32"/>
  <c r="F232" s="1"/>
  <c r="E232" s="1"/>
  <c r="G205" i="20"/>
  <c r="H205"/>
  <c r="C475" i="32"/>
  <c r="F475" s="1"/>
  <c r="E475" s="1"/>
  <c r="C463"/>
  <c r="F463" s="1"/>
  <c r="E463" s="1"/>
  <c r="C474"/>
  <c r="F474" s="1"/>
  <c r="E474" s="1"/>
  <c r="C476"/>
  <c r="F476" s="1"/>
  <c r="E476" s="1"/>
  <c r="C471"/>
  <c r="F471" s="1"/>
  <c r="E471" s="1"/>
  <c r="C460"/>
  <c r="F460" s="1"/>
  <c r="E460" s="1"/>
  <c r="C464"/>
  <c r="F464" s="1"/>
  <c r="E464" s="1"/>
  <c r="C467"/>
  <c r="F467" s="1"/>
  <c r="E467" s="1"/>
  <c r="C473"/>
  <c r="F473" s="1"/>
  <c r="E473" s="1"/>
  <c r="C468"/>
  <c r="F468" s="1"/>
  <c r="E468" s="1"/>
  <c r="C472"/>
  <c r="F472" s="1"/>
  <c r="E472" s="1"/>
  <c r="C465"/>
  <c r="F465" s="1"/>
  <c r="E465" s="1"/>
  <c r="C469"/>
  <c r="F469" s="1"/>
  <c r="E469" s="1"/>
  <c r="P199" i="20"/>
  <c r="Q199"/>
  <c r="C461" i="32"/>
  <c r="F461" s="1"/>
  <c r="E461" s="1"/>
  <c r="C466"/>
  <c r="F466" s="1"/>
  <c r="E466" s="1"/>
  <c r="C462"/>
  <c r="F462" s="1"/>
  <c r="E462" s="1"/>
  <c r="C470"/>
  <c r="F470" s="1"/>
  <c r="E470" s="1"/>
  <c r="C160"/>
  <c r="F160" s="1"/>
  <c r="E160" s="1"/>
  <c r="C163"/>
  <c r="F163" s="1"/>
  <c r="E163" s="1"/>
  <c r="C161"/>
  <c r="F161" s="1"/>
  <c r="E161" s="1"/>
  <c r="C162"/>
  <c r="F162" s="1"/>
  <c r="E162" s="1"/>
  <c r="S195" i="20"/>
  <c r="T195"/>
  <c r="C519" i="32"/>
  <c r="F519" s="1"/>
  <c r="E519" s="1"/>
  <c r="C522"/>
  <c r="F522" s="1"/>
  <c r="E522" s="1"/>
  <c r="C517"/>
  <c r="C518"/>
  <c r="F518" s="1"/>
  <c r="E518" s="1"/>
  <c r="D200" i="20"/>
  <c r="E200"/>
  <c r="C520" i="32"/>
  <c r="F520" s="1"/>
  <c r="E520" s="1"/>
  <c r="C521"/>
  <c r="F521" s="1"/>
  <c r="E521" s="1"/>
  <c r="S205" i="20"/>
  <c r="T205"/>
  <c r="C508" i="32"/>
  <c r="F508" s="1"/>
  <c r="E508" s="1"/>
  <c r="C506"/>
  <c r="F506" s="1"/>
  <c r="E506" s="1"/>
  <c r="C510"/>
  <c r="F510" s="1"/>
  <c r="E510" s="1"/>
  <c r="AC199" i="20"/>
  <c r="C509" i="32"/>
  <c r="F509" s="1"/>
  <c r="E509" s="1"/>
  <c r="AB199" i="20"/>
  <c r="C507" i="32"/>
  <c r="F507" s="1"/>
  <c r="E507" s="1"/>
  <c r="C121"/>
  <c r="F121" s="1"/>
  <c r="E121" s="1"/>
  <c r="C118"/>
  <c r="F118" s="1"/>
  <c r="E118" s="1"/>
  <c r="C124"/>
  <c r="F124" s="1"/>
  <c r="E124" s="1"/>
  <c r="C120"/>
  <c r="F120" s="1"/>
  <c r="E120" s="1"/>
  <c r="C115"/>
  <c r="F115" s="1"/>
  <c r="E115" s="1"/>
  <c r="C112"/>
  <c r="F112" s="1"/>
  <c r="E112" s="1"/>
  <c r="C134"/>
  <c r="F134" s="1"/>
  <c r="E134" s="1"/>
  <c r="C117"/>
  <c r="F117" s="1"/>
  <c r="E117" s="1"/>
  <c r="C130"/>
  <c r="F130" s="1"/>
  <c r="E130" s="1"/>
  <c r="C122"/>
  <c r="F122" s="1"/>
  <c r="E122" s="1"/>
  <c r="C132"/>
  <c r="F132" s="1"/>
  <c r="E132" s="1"/>
  <c r="C109"/>
  <c r="F109" s="1"/>
  <c r="E109" s="1"/>
  <c r="C110"/>
  <c r="F110" s="1"/>
  <c r="E110" s="1"/>
  <c r="C123"/>
  <c r="F123" s="1"/>
  <c r="E123" s="1"/>
  <c r="C114"/>
  <c r="F114" s="1"/>
  <c r="E114" s="1"/>
  <c r="C131"/>
  <c r="F131" s="1"/>
  <c r="E131" s="1"/>
  <c r="C125"/>
  <c r="F125" s="1"/>
  <c r="E125" s="1"/>
  <c r="C111"/>
  <c r="F111" s="1"/>
  <c r="E111" s="1"/>
  <c r="C129"/>
  <c r="F129" s="1"/>
  <c r="E129" s="1"/>
  <c r="C127"/>
  <c r="F127" s="1"/>
  <c r="E127" s="1"/>
  <c r="C113"/>
  <c r="F113" s="1"/>
  <c r="E113" s="1"/>
  <c r="C128"/>
  <c r="F128" s="1"/>
  <c r="E128" s="1"/>
  <c r="C119"/>
  <c r="F119" s="1"/>
  <c r="E119" s="1"/>
  <c r="AF194" i="20"/>
  <c r="AE194"/>
  <c r="C133" i="32"/>
  <c r="F133" s="1"/>
  <c r="E133" s="1"/>
  <c r="C126"/>
  <c r="F126" s="1"/>
  <c r="E126" s="1"/>
  <c r="C116"/>
  <c r="F116" s="1"/>
  <c r="E116" s="1"/>
  <c r="C373"/>
  <c r="F373" s="1"/>
  <c r="E373" s="1"/>
  <c r="C363"/>
  <c r="F363" s="1"/>
  <c r="E363" s="1"/>
  <c r="C365"/>
  <c r="F365" s="1"/>
  <c r="E365" s="1"/>
  <c r="C369"/>
  <c r="F369" s="1"/>
  <c r="E369" s="1"/>
  <c r="C374"/>
  <c r="F374" s="1"/>
  <c r="E374" s="1"/>
  <c r="C370"/>
  <c r="F370" s="1"/>
  <c r="E370" s="1"/>
  <c r="C367"/>
  <c r="F367" s="1"/>
  <c r="E367" s="1"/>
  <c r="C368"/>
  <c r="F368" s="1"/>
  <c r="E368" s="1"/>
  <c r="C372"/>
  <c r="F372" s="1"/>
  <c r="E372" s="1"/>
  <c r="C364"/>
  <c r="F364" s="1"/>
  <c r="E364" s="1"/>
  <c r="Y197" i="20"/>
  <c r="Z197"/>
  <c r="C371" i="32"/>
  <c r="F371" s="1"/>
  <c r="E371" s="1"/>
  <c r="P206" i="20"/>
  <c r="Q206"/>
  <c r="C182" i="32"/>
  <c r="F182" s="1"/>
  <c r="E182" s="1"/>
  <c r="C180"/>
  <c r="F180" s="1"/>
  <c r="E180" s="1"/>
  <c r="C177"/>
  <c r="F177" s="1"/>
  <c r="E177" s="1"/>
  <c r="C181"/>
  <c r="F181" s="1"/>
  <c r="E181" s="1"/>
  <c r="C179"/>
  <c r="F179" s="1"/>
  <c r="E179" s="1"/>
  <c r="C183"/>
  <c r="F183" s="1"/>
  <c r="E183" s="1"/>
  <c r="AF195" i="20"/>
  <c r="C178" i="32"/>
  <c r="F178" s="1"/>
  <c r="E178" s="1"/>
  <c r="AE195" i="20"/>
  <c r="C989" i="32"/>
  <c r="F989" s="1"/>
  <c r="E989" s="1"/>
  <c r="C990"/>
  <c r="F990" s="1"/>
  <c r="E990" s="1"/>
  <c r="AC211" i="20"/>
  <c r="AB211"/>
  <c r="C884" i="32"/>
  <c r="F884" s="1"/>
  <c r="E884" s="1"/>
  <c r="C886"/>
  <c r="F886" s="1"/>
  <c r="E886" s="1"/>
  <c r="C883"/>
  <c r="F883" s="1"/>
  <c r="E883" s="1"/>
  <c r="Z208" i="20"/>
  <c r="Y208"/>
  <c r="C885" i="32"/>
  <c r="F885" s="1"/>
  <c r="E885" s="1"/>
  <c r="AF210" i="20"/>
  <c r="AE210"/>
  <c r="C95" i="32"/>
  <c r="F95" s="1"/>
  <c r="E95" s="1"/>
  <c r="C96"/>
  <c r="F96" s="1"/>
  <c r="E96" s="1"/>
  <c r="C91"/>
  <c r="F91" s="1"/>
  <c r="E91" s="1"/>
  <c r="C94"/>
  <c r="F94" s="1"/>
  <c r="E94" s="1"/>
  <c r="C93"/>
  <c r="F93" s="1"/>
  <c r="E93" s="1"/>
  <c r="C92"/>
  <c r="F92" s="1"/>
  <c r="E92" s="1"/>
  <c r="W194" i="20"/>
  <c r="C97" i="32"/>
  <c r="F97" s="1"/>
  <c r="E97" s="1"/>
  <c r="V194" i="20"/>
  <c r="C218" i="32"/>
  <c r="F218" s="1"/>
  <c r="E218" s="1"/>
  <c r="C223"/>
  <c r="F223" s="1"/>
  <c r="E223" s="1"/>
  <c r="C224"/>
  <c r="F224" s="1"/>
  <c r="E224" s="1"/>
  <c r="C225"/>
  <c r="F225" s="1"/>
  <c r="E225" s="1"/>
  <c r="C222"/>
  <c r="F222" s="1"/>
  <c r="E222" s="1"/>
  <c r="C220"/>
  <c r="F220" s="1"/>
  <c r="E220" s="1"/>
  <c r="C217"/>
  <c r="F217" s="1"/>
  <c r="E217" s="1"/>
  <c r="S196" i="20"/>
  <c r="C219" i="32"/>
  <c r="F219" s="1"/>
  <c r="E219" s="1"/>
  <c r="C221"/>
  <c r="F221" s="1"/>
  <c r="E221" s="1"/>
  <c r="T196" i="20"/>
  <c r="C203" i="32"/>
  <c r="F203" s="1"/>
  <c r="E203" s="1"/>
  <c r="C199"/>
  <c r="F199" s="1"/>
  <c r="E199" s="1"/>
  <c r="C204"/>
  <c r="F204" s="1"/>
  <c r="E204" s="1"/>
  <c r="C201"/>
  <c r="F201" s="1"/>
  <c r="E201" s="1"/>
  <c r="C197"/>
  <c r="F197" s="1"/>
  <c r="E197" s="1"/>
  <c r="C198"/>
  <c r="F198" s="1"/>
  <c r="E198" s="1"/>
  <c r="C195"/>
  <c r="F195" s="1"/>
  <c r="E195" s="1"/>
  <c r="M196" i="20"/>
  <c r="N196"/>
  <c r="C202" i="32"/>
  <c r="F202" s="1"/>
  <c r="E202" s="1"/>
  <c r="C200"/>
  <c r="F200" s="1"/>
  <c r="E200" s="1"/>
  <c r="C196"/>
  <c r="F196" s="1"/>
  <c r="E196" s="1"/>
  <c r="C418"/>
  <c r="F418" s="1"/>
  <c r="E418" s="1"/>
  <c r="C421"/>
  <c r="F421" s="1"/>
  <c r="E421" s="1"/>
  <c r="C420"/>
  <c r="F420" s="1"/>
  <c r="E420" s="1"/>
  <c r="C419"/>
  <c r="F419" s="1"/>
  <c r="E419" s="1"/>
  <c r="C416"/>
  <c r="F416" s="1"/>
  <c r="E416" s="1"/>
  <c r="C415"/>
  <c r="F415" s="1"/>
  <c r="E415" s="1"/>
  <c r="C414"/>
  <c r="F414" s="1"/>
  <c r="E414" s="1"/>
  <c r="H199" i="20"/>
  <c r="G199"/>
  <c r="C417" i="32"/>
  <c r="F417" s="1"/>
  <c r="E417" s="1"/>
  <c r="C683"/>
  <c r="F683" s="1"/>
  <c r="E683" s="1"/>
  <c r="C682"/>
  <c r="F682" s="1"/>
  <c r="E682" s="1"/>
  <c r="S202" i="20"/>
  <c r="T202"/>
  <c r="C44" i="32"/>
  <c r="F44" s="1"/>
  <c r="E44" s="1"/>
  <c r="V193" i="20"/>
  <c r="W193"/>
  <c r="C43" i="32"/>
  <c r="F43" s="1"/>
  <c r="E43" s="1"/>
  <c r="AE206" i="20"/>
  <c r="AF206"/>
  <c r="C90" i="32"/>
  <c r="F90" s="1"/>
  <c r="E90" s="1"/>
  <c r="C89"/>
  <c r="F89" s="1"/>
  <c r="E89" s="1"/>
  <c r="C87"/>
  <c r="F87" s="1"/>
  <c r="E87" s="1"/>
  <c r="C88"/>
  <c r="F88" s="1"/>
  <c r="E88" s="1"/>
  <c r="C85"/>
  <c r="F85" s="1"/>
  <c r="E85" s="1"/>
  <c r="T194" i="20"/>
  <c r="C86" i="32"/>
  <c r="F86" s="1"/>
  <c r="E86" s="1"/>
  <c r="S194" i="20"/>
  <c r="C157" i="32"/>
  <c r="F157" s="1"/>
  <c r="E157" s="1"/>
  <c r="C155"/>
  <c r="F155" s="1"/>
  <c r="E155" s="1"/>
  <c r="C159"/>
  <c r="F159" s="1"/>
  <c r="E159" s="1"/>
  <c r="C158"/>
  <c r="F158" s="1"/>
  <c r="E158" s="1"/>
  <c r="C156"/>
  <c r="F156" s="1"/>
  <c r="E156" s="1"/>
  <c r="P195" i="20"/>
  <c r="Q195"/>
  <c r="C154" i="32"/>
  <c r="F154" s="1"/>
  <c r="E154" s="1"/>
  <c r="C1044"/>
  <c r="F1044" s="1"/>
  <c r="E1044" s="1"/>
  <c r="AF201" i="20"/>
  <c r="AE201"/>
  <c r="I220" i="12"/>
  <c r="G220"/>
  <c r="H220"/>
  <c r="L220"/>
  <c r="C424" s="1"/>
  <c r="AD67"/>
  <c r="M67" i="36" s="1"/>
  <c r="C419" i="12"/>
  <c r="V220"/>
  <c r="M424" s="1"/>
  <c r="R220"/>
  <c r="Q220"/>
  <c r="O220"/>
  <c r="N424" s="1"/>
  <c r="W220"/>
  <c r="X220"/>
  <c r="J65" i="8"/>
  <c r="J82"/>
  <c r="J77"/>
  <c r="J75"/>
  <c r="J69"/>
  <c r="C49" i="32"/>
  <c r="F49" s="1"/>
  <c r="E49" s="1"/>
  <c r="C47"/>
  <c r="F47" s="1"/>
  <c r="E47" s="1"/>
  <c r="AC193" i="20"/>
  <c r="AB193"/>
  <c r="D210"/>
  <c r="E210"/>
  <c r="C194" i="32"/>
  <c r="F194" s="1"/>
  <c r="E194" s="1"/>
  <c r="C192"/>
  <c r="F192" s="1"/>
  <c r="C193"/>
  <c r="F193" s="1"/>
  <c r="E193" s="1"/>
  <c r="J196" i="20"/>
  <c r="K196"/>
  <c r="P205"/>
  <c r="Q205"/>
  <c r="M206"/>
  <c r="N206"/>
  <c r="C238" i="32"/>
  <c r="F238" s="1"/>
  <c r="E238" s="1"/>
  <c r="C239"/>
  <c r="F239" s="1"/>
  <c r="E239" s="1"/>
  <c r="C237"/>
  <c r="F237" s="1"/>
  <c r="E237" s="1"/>
  <c r="AC196" i="20"/>
  <c r="AB196"/>
  <c r="C236" i="32"/>
  <c r="F236" s="1"/>
  <c r="E236" s="1"/>
  <c r="C987"/>
  <c r="F987" s="1"/>
  <c r="E987" s="1"/>
  <c r="C988"/>
  <c r="F988" s="1"/>
  <c r="E988" s="1"/>
  <c r="V211" i="20"/>
  <c r="W211"/>
  <c r="C1053" i="32"/>
  <c r="F1053" s="1"/>
  <c r="E1053" s="1"/>
  <c r="C1052"/>
  <c r="F1052" s="1"/>
  <c r="E1052" s="1"/>
  <c r="S210" i="20"/>
  <c r="T210"/>
  <c r="D205"/>
  <c r="E205"/>
  <c r="C67" i="32"/>
  <c r="F67" s="1"/>
  <c r="E67" s="1"/>
  <c r="C66"/>
  <c r="F66" s="1"/>
  <c r="E66" s="1"/>
  <c r="C68"/>
  <c r="F68" s="1"/>
  <c r="E68" s="1"/>
  <c r="C70"/>
  <c r="F70" s="1"/>
  <c r="E70" s="1"/>
  <c r="C63"/>
  <c r="F63" s="1"/>
  <c r="C65"/>
  <c r="F65" s="1"/>
  <c r="E65" s="1"/>
  <c r="C64"/>
  <c r="F64" s="1"/>
  <c r="E64" s="1"/>
  <c r="K194" i="20"/>
  <c r="C69" i="32"/>
  <c r="F69" s="1"/>
  <c r="E69" s="1"/>
  <c r="J194" i="20"/>
  <c r="C150" i="32"/>
  <c r="F150" s="1"/>
  <c r="E150" s="1"/>
  <c r="C147"/>
  <c r="F147" s="1"/>
  <c r="E147" s="1"/>
  <c r="C149"/>
  <c r="F149" s="1"/>
  <c r="E149" s="1"/>
  <c r="C153"/>
  <c r="F153" s="1"/>
  <c r="E153" s="1"/>
  <c r="C152"/>
  <c r="F152" s="1"/>
  <c r="E152" s="1"/>
  <c r="N195" i="20"/>
  <c r="C148" i="32"/>
  <c r="F148" s="1"/>
  <c r="E148" s="1"/>
  <c r="C151"/>
  <c r="F151" s="1"/>
  <c r="E151" s="1"/>
  <c r="M195" i="20"/>
  <c r="C937" i="32"/>
  <c r="F937" s="1"/>
  <c r="E937" s="1"/>
  <c r="AB209" i="20"/>
  <c r="AC209"/>
  <c r="C936" i="32"/>
  <c r="F936" s="1"/>
  <c r="E936" s="1"/>
  <c r="M205" i="20"/>
  <c r="N205"/>
  <c r="C991" i="32"/>
  <c r="F991" s="1"/>
  <c r="E991" s="1"/>
  <c r="AE211" i="20"/>
  <c r="AF211"/>
  <c r="C869" i="32"/>
  <c r="F869" s="1"/>
  <c r="E869" s="1"/>
  <c r="C868"/>
  <c r="F868" s="1"/>
  <c r="E868" s="1"/>
  <c r="C867"/>
  <c r="F867" s="1"/>
  <c r="E867" s="1"/>
  <c r="C866"/>
  <c r="F866" s="1"/>
  <c r="E866" s="1"/>
  <c r="N208" i="20"/>
  <c r="C870" i="32"/>
  <c r="F870" s="1"/>
  <c r="E870" s="1"/>
  <c r="M208" i="20"/>
  <c r="C298" i="32"/>
  <c r="F298" s="1"/>
  <c r="E298" s="1"/>
  <c r="C300"/>
  <c r="F300" s="1"/>
  <c r="E300" s="1"/>
  <c r="C292"/>
  <c r="F292" s="1"/>
  <c r="E292" s="1"/>
  <c r="C307"/>
  <c r="F307" s="1"/>
  <c r="E307" s="1"/>
  <c r="C311"/>
  <c r="F311" s="1"/>
  <c r="E311" s="1"/>
  <c r="C306"/>
  <c r="F306" s="1"/>
  <c r="E306" s="1"/>
  <c r="C314"/>
  <c r="F314" s="1"/>
  <c r="E314" s="1"/>
  <c r="C313"/>
  <c r="F313" s="1"/>
  <c r="E313" s="1"/>
  <c r="C294"/>
  <c r="F294" s="1"/>
  <c r="E294" s="1"/>
  <c r="C304"/>
  <c r="F304" s="1"/>
  <c r="E304" s="1"/>
  <c r="C305"/>
  <c r="F305" s="1"/>
  <c r="E305" s="1"/>
  <c r="C303"/>
  <c r="F303" s="1"/>
  <c r="E303" s="1"/>
  <c r="C302"/>
  <c r="F302" s="1"/>
  <c r="E302" s="1"/>
  <c r="C299"/>
  <c r="F299" s="1"/>
  <c r="E299" s="1"/>
  <c r="C296"/>
  <c r="F296" s="1"/>
  <c r="E296" s="1"/>
  <c r="C309"/>
  <c r="F309" s="1"/>
  <c r="E309" s="1"/>
  <c r="C312"/>
  <c r="F312" s="1"/>
  <c r="E312" s="1"/>
  <c r="C297"/>
  <c r="F297" s="1"/>
  <c r="M197" i="20"/>
  <c r="C301" i="32"/>
  <c r="F301" s="1"/>
  <c r="E301" s="1"/>
  <c r="C315"/>
  <c r="F315" s="1"/>
  <c r="E315" s="1"/>
  <c r="C310"/>
  <c r="F310" s="1"/>
  <c r="E310" s="1"/>
  <c r="C308"/>
  <c r="F308" s="1"/>
  <c r="E308" s="1"/>
  <c r="N197" i="20"/>
  <c r="C293" i="32"/>
  <c r="F293" s="1"/>
  <c r="E293" s="1"/>
  <c r="C295"/>
  <c r="F295" s="1"/>
  <c r="E295" s="1"/>
  <c r="C934"/>
  <c r="F934" s="1"/>
  <c r="E934" s="1"/>
  <c r="Z209" i="20"/>
  <c r="Y209"/>
  <c r="C935" i="32"/>
  <c r="F935" s="1"/>
  <c r="E935" s="1"/>
  <c r="C1008"/>
  <c r="F1008" s="1"/>
  <c r="E1008" s="1"/>
  <c r="C1007"/>
  <c r="F1007" s="1"/>
  <c r="E1007" s="1"/>
  <c r="C1009"/>
  <c r="F1009" s="1"/>
  <c r="E1009" s="1"/>
  <c r="T198" i="20"/>
  <c r="S198"/>
  <c r="C1038" i="32"/>
  <c r="F1038" s="1"/>
  <c r="E1038" s="1"/>
  <c r="C1039"/>
  <c r="F1039" s="1"/>
  <c r="E1039" s="1"/>
  <c r="C1041"/>
  <c r="F1041" s="1"/>
  <c r="E1041" s="1"/>
  <c r="W201" i="20"/>
  <c r="V201"/>
  <c r="C1040" i="32"/>
  <c r="F1040" s="1"/>
  <c r="E1040" s="1"/>
  <c r="C575"/>
  <c r="F575" s="1"/>
  <c r="E575" s="1"/>
  <c r="C576"/>
  <c r="F576" s="1"/>
  <c r="E576" s="1"/>
  <c r="C573"/>
  <c r="F573" s="1"/>
  <c r="E573" s="1"/>
  <c r="C571"/>
  <c r="F571" s="1"/>
  <c r="E571" s="1"/>
  <c r="C574"/>
  <c r="F574" s="1"/>
  <c r="E574" s="1"/>
  <c r="C572"/>
  <c r="F572" s="1"/>
  <c r="E572" s="1"/>
  <c r="S200" i="20"/>
  <c r="T200"/>
  <c r="C1048" i="32"/>
  <c r="F1048" s="1"/>
  <c r="J210" i="20"/>
  <c r="C1049" i="32"/>
  <c r="F1049" s="1"/>
  <c r="E1049" s="1"/>
  <c r="K210" i="20"/>
  <c r="C1042" i="32"/>
  <c r="F1042" s="1"/>
  <c r="E1042" s="1"/>
  <c r="Z201" i="20"/>
  <c r="Y201"/>
  <c r="C1030" i="32"/>
  <c r="F1030" s="1"/>
  <c r="E1030" s="1"/>
  <c r="C1028"/>
  <c r="F1028" s="1"/>
  <c r="E1028" s="1"/>
  <c r="C1029"/>
  <c r="F1029" s="1"/>
  <c r="E1029" s="1"/>
  <c r="M201" i="20"/>
  <c r="N201"/>
  <c r="V204"/>
  <c r="W204"/>
  <c r="C46" i="32"/>
  <c r="F46" s="1"/>
  <c r="E46" s="1"/>
  <c r="Z193" i="20"/>
  <c r="Y193"/>
  <c r="C1050" i="32"/>
  <c r="F1050" s="1"/>
  <c r="E1050" s="1"/>
  <c r="M210" i="20"/>
  <c r="N210"/>
  <c r="C1012" i="32"/>
  <c r="F1012" s="1"/>
  <c r="E1012" s="1"/>
  <c r="Z198" i="20"/>
  <c r="Y198"/>
  <c r="C326" i="32"/>
  <c r="F326" s="1"/>
  <c r="E326" s="1"/>
  <c r="C316"/>
  <c r="F316" s="1"/>
  <c r="E316" s="1"/>
  <c r="C319"/>
  <c r="F319" s="1"/>
  <c r="E319" s="1"/>
  <c r="C317"/>
  <c r="F317" s="1"/>
  <c r="E317" s="1"/>
  <c r="C318"/>
  <c r="F318" s="1"/>
  <c r="E318" s="1"/>
  <c r="C320"/>
  <c r="F320" s="1"/>
  <c r="E320" s="1"/>
  <c r="C321"/>
  <c r="F321" s="1"/>
  <c r="E321" s="1"/>
  <c r="C322"/>
  <c r="F322" s="1"/>
  <c r="E322" s="1"/>
  <c r="Q197" i="20"/>
  <c r="P197"/>
  <c r="C323" i="32"/>
  <c r="F323" s="1"/>
  <c r="E323" s="1"/>
  <c r="C325"/>
  <c r="F325" s="1"/>
  <c r="E325" s="1"/>
  <c r="C324"/>
  <c r="F324" s="1"/>
  <c r="E324" s="1"/>
  <c r="C806"/>
  <c r="F806" s="1"/>
  <c r="E806" s="1"/>
  <c r="C807"/>
  <c r="F807" s="1"/>
  <c r="E807" s="1"/>
  <c r="C810"/>
  <c r="F810" s="1"/>
  <c r="E810" s="1"/>
  <c r="C808"/>
  <c r="F808" s="1"/>
  <c r="E808" s="1"/>
  <c r="C805"/>
  <c r="F805" s="1"/>
  <c r="E805" s="1"/>
  <c r="C809"/>
  <c r="F809" s="1"/>
  <c r="E809" s="1"/>
  <c r="C804"/>
  <c r="F804" s="1"/>
  <c r="E804" s="1"/>
  <c r="T207" i="20"/>
  <c r="S207"/>
  <c r="C811" i="32"/>
  <c r="F811" s="1"/>
  <c r="E811" s="1"/>
  <c r="C23"/>
  <c r="E193" i="20"/>
  <c r="D193"/>
  <c r="C781" i="32"/>
  <c r="F781" s="1"/>
  <c r="E781" s="1"/>
  <c r="C779"/>
  <c r="F779" s="1"/>
  <c r="E779" s="1"/>
  <c r="AC203" i="20"/>
  <c r="AB203"/>
  <c r="C780" i="32"/>
  <c r="F780" s="1"/>
  <c r="E780" s="1"/>
  <c r="C619"/>
  <c r="F619" s="1"/>
  <c r="E619" s="1"/>
  <c r="C630"/>
  <c r="F630" s="1"/>
  <c r="E630" s="1"/>
  <c r="C623"/>
  <c r="F623" s="1"/>
  <c r="E623" s="1"/>
  <c r="C629"/>
  <c r="F629" s="1"/>
  <c r="E629" s="1"/>
  <c r="C612"/>
  <c r="F612" s="1"/>
  <c r="E612" s="1"/>
  <c r="C622"/>
  <c r="F622" s="1"/>
  <c r="E622" s="1"/>
  <c r="C617"/>
  <c r="F617" s="1"/>
  <c r="E617" s="1"/>
  <c r="C628"/>
  <c r="F628" s="1"/>
  <c r="E628" s="1"/>
  <c r="C626"/>
  <c r="F626" s="1"/>
  <c r="E626" s="1"/>
  <c r="C637"/>
  <c r="F637" s="1"/>
  <c r="E637" s="1"/>
  <c r="C621"/>
  <c r="F621" s="1"/>
  <c r="E621" s="1"/>
  <c r="C625"/>
  <c r="F625" s="1"/>
  <c r="E625" s="1"/>
  <c r="C614"/>
  <c r="F614" s="1"/>
  <c r="E614" s="1"/>
  <c r="C627"/>
  <c r="F627" s="1"/>
  <c r="E627" s="1"/>
  <c r="C615"/>
  <c r="F615" s="1"/>
  <c r="E615" s="1"/>
  <c r="C616"/>
  <c r="F616" s="1"/>
  <c r="E616" s="1"/>
  <c r="C624"/>
  <c r="F624" s="1"/>
  <c r="E624" s="1"/>
  <c r="C633"/>
  <c r="F633" s="1"/>
  <c r="E633" s="1"/>
  <c r="C636"/>
  <c r="F636" s="1"/>
  <c r="E636" s="1"/>
  <c r="C613"/>
  <c r="F613" s="1"/>
  <c r="E613" s="1"/>
  <c r="C635"/>
  <c r="F635" s="1"/>
  <c r="E635" s="1"/>
  <c r="C698"/>
  <c r="F698" s="1"/>
  <c r="E698" s="1"/>
  <c r="E202" i="20"/>
  <c r="C618" i="32"/>
  <c r="F618" s="1"/>
  <c r="E618" s="1"/>
  <c r="C632"/>
  <c r="F632" s="1"/>
  <c r="E632" s="1"/>
  <c r="C609"/>
  <c r="C610"/>
  <c r="F610" s="1"/>
  <c r="E610" s="1"/>
  <c r="D202" i="20"/>
  <c r="C634" i="32"/>
  <c r="F634" s="1"/>
  <c r="E634" s="1"/>
  <c r="C620"/>
  <c r="F620" s="1"/>
  <c r="E620" s="1"/>
  <c r="C631"/>
  <c r="F631" s="1"/>
  <c r="E631" s="1"/>
  <c r="C611"/>
  <c r="F611" s="1"/>
  <c r="E611" s="1"/>
  <c r="C553"/>
  <c r="F553" s="1"/>
  <c r="E553" s="1"/>
  <c r="C554"/>
  <c r="F554" s="1"/>
  <c r="E554" s="1"/>
  <c r="C555"/>
  <c r="F555" s="1"/>
  <c r="E555" s="1"/>
  <c r="M200" i="20"/>
  <c r="N200"/>
  <c r="C552" i="32"/>
  <c r="F552" s="1"/>
  <c r="E552" s="1"/>
  <c r="C818"/>
  <c r="F818" s="1"/>
  <c r="E818" s="1"/>
  <c r="C817"/>
  <c r="F817" s="1"/>
  <c r="E817" s="1"/>
  <c r="C813"/>
  <c r="F813" s="1"/>
  <c r="E813" s="1"/>
  <c r="C819"/>
  <c r="F819" s="1"/>
  <c r="E819" s="1"/>
  <c r="C815"/>
  <c r="F815" s="1"/>
  <c r="E815" s="1"/>
  <c r="C814"/>
  <c r="F814" s="1"/>
  <c r="E814" s="1"/>
  <c r="C812"/>
  <c r="F812" s="1"/>
  <c r="E812" s="1"/>
  <c r="W207" i="20"/>
  <c r="C816" i="32"/>
  <c r="F816" s="1"/>
  <c r="E816" s="1"/>
  <c r="V207" i="20"/>
  <c r="C797" i="32"/>
  <c r="F797" s="1"/>
  <c r="E797" s="1"/>
  <c r="K207" i="20"/>
  <c r="C796" i="32"/>
  <c r="F796" s="1"/>
  <c r="J207" i="20"/>
  <c r="C686" i="32"/>
  <c r="F686" s="1"/>
  <c r="E686" s="1"/>
  <c r="C687"/>
  <c r="F687" s="1"/>
  <c r="E687" s="1"/>
  <c r="C684"/>
  <c r="F684" s="1"/>
  <c r="E684" s="1"/>
  <c r="C685"/>
  <c r="F685" s="1"/>
  <c r="E685" s="1"/>
  <c r="W202" i="20"/>
  <c r="V202"/>
  <c r="C1017" i="32"/>
  <c r="F1017" s="1"/>
  <c r="E1017" s="1"/>
  <c r="E201" i="20"/>
  <c r="D201"/>
  <c r="C1016" i="32"/>
  <c r="C755"/>
  <c r="F755" s="1"/>
  <c r="E755" s="1"/>
  <c r="C752"/>
  <c r="F752" s="1"/>
  <c r="E752" s="1"/>
  <c r="C758"/>
  <c r="F758" s="1"/>
  <c r="E758" s="1"/>
  <c r="C751"/>
  <c r="F751" s="1"/>
  <c r="E751" s="1"/>
  <c r="C753"/>
  <c r="F753" s="1"/>
  <c r="E753" s="1"/>
  <c r="C757"/>
  <c r="F757" s="1"/>
  <c r="E757" s="1"/>
  <c r="C756"/>
  <c r="F756" s="1"/>
  <c r="E756" s="1"/>
  <c r="C759"/>
  <c r="F759" s="1"/>
  <c r="E759" s="1"/>
  <c r="C754"/>
  <c r="F754" s="1"/>
  <c r="E754" s="1"/>
  <c r="P203" i="20"/>
  <c r="Q203"/>
  <c r="C984" i="32"/>
  <c r="F984" s="1"/>
  <c r="E984" s="1"/>
  <c r="K211" i="20"/>
  <c r="C983" i="32"/>
  <c r="F983" s="1"/>
  <c r="J211" i="20"/>
  <c r="C694" i="32"/>
  <c r="F694" s="1"/>
  <c r="E694" s="1"/>
  <c r="C696"/>
  <c r="F696" s="1"/>
  <c r="E696" s="1"/>
  <c r="C697"/>
  <c r="F697" s="1"/>
  <c r="E697" s="1"/>
  <c r="AF202" i="20"/>
  <c r="C695" i="32"/>
  <c r="F695" s="1"/>
  <c r="E695" s="1"/>
  <c r="AE202" i="20"/>
  <c r="S211"/>
  <c r="T211"/>
  <c r="C603" i="32"/>
  <c r="F603" s="1"/>
  <c r="E603" s="1"/>
  <c r="C606"/>
  <c r="F606" s="1"/>
  <c r="E606" s="1"/>
  <c r="C600"/>
  <c r="F600" s="1"/>
  <c r="E600" s="1"/>
  <c r="C604"/>
  <c r="F604" s="1"/>
  <c r="E604" s="1"/>
  <c r="C599"/>
  <c r="F599" s="1"/>
  <c r="E599" s="1"/>
  <c r="C605"/>
  <c r="F605" s="1"/>
  <c r="E605" s="1"/>
  <c r="C601"/>
  <c r="F601" s="1"/>
  <c r="E601" s="1"/>
  <c r="AE200" i="20"/>
  <c r="AF200"/>
  <c r="C602" i="32"/>
  <c r="F602" s="1"/>
  <c r="E602" s="1"/>
  <c r="C607"/>
  <c r="F607" s="1"/>
  <c r="E607" s="1"/>
  <c r="C1051"/>
  <c r="F1051" s="1"/>
  <c r="E1051" s="1"/>
  <c r="P210" i="20"/>
  <c r="Q210"/>
  <c r="C793" i="32"/>
  <c r="F793" s="1"/>
  <c r="E793" s="1"/>
  <c r="C794"/>
  <c r="F794" s="1"/>
  <c r="E794" s="1"/>
  <c r="G207" i="20"/>
  <c r="C795" i="32"/>
  <c r="F795" s="1"/>
  <c r="E795" s="1"/>
  <c r="H207" i="20"/>
  <c r="W205"/>
  <c r="V205"/>
  <c r="C939" i="32"/>
  <c r="F939" s="1"/>
  <c r="E939" s="1"/>
  <c r="C938"/>
  <c r="F938" s="1"/>
  <c r="E938" s="1"/>
  <c r="C940"/>
  <c r="F940" s="1"/>
  <c r="E940" s="1"/>
  <c r="C942"/>
  <c r="F942" s="1"/>
  <c r="E942" s="1"/>
  <c r="C941"/>
  <c r="F941" s="1"/>
  <c r="E941" s="1"/>
  <c r="AE209" i="20"/>
  <c r="C943" i="32"/>
  <c r="F943" s="1"/>
  <c r="E943" s="1"/>
  <c r="AF209" i="20"/>
  <c r="C985" i="32"/>
  <c r="F985" s="1"/>
  <c r="E985" s="1"/>
  <c r="M211" i="20"/>
  <c r="N211"/>
  <c r="C986" i="32"/>
  <c r="F986" s="1"/>
  <c r="E986" s="1"/>
  <c r="Z206" i="20"/>
  <c r="Y206"/>
  <c r="C511" i="32"/>
  <c r="F511" s="1"/>
  <c r="E511" s="1"/>
  <c r="C512"/>
  <c r="F512" s="1"/>
  <c r="E512" s="1"/>
  <c r="C513"/>
  <c r="F513" s="1"/>
  <c r="E513" s="1"/>
  <c r="C515"/>
  <c r="F515" s="1"/>
  <c r="E515" s="1"/>
  <c r="AE199" i="20"/>
  <c r="AF199"/>
  <c r="C514" i="32"/>
  <c r="F514" s="1"/>
  <c r="E514" s="1"/>
  <c r="C680"/>
  <c r="F680" s="1"/>
  <c r="E680" s="1"/>
  <c r="C678"/>
  <c r="F678" s="1"/>
  <c r="E678" s="1"/>
  <c r="C681"/>
  <c r="F681" s="1"/>
  <c r="E681" s="1"/>
  <c r="C679"/>
  <c r="F679" s="1"/>
  <c r="E679" s="1"/>
  <c r="C677"/>
  <c r="F677" s="1"/>
  <c r="E677" s="1"/>
  <c r="P202" i="20"/>
  <c r="Q202"/>
  <c r="C190" i="32"/>
  <c r="F190" s="1"/>
  <c r="E190" s="1"/>
  <c r="C187"/>
  <c r="F187" s="1"/>
  <c r="E187" s="1"/>
  <c r="C191"/>
  <c r="F191" s="1"/>
  <c r="E191" s="1"/>
  <c r="C186"/>
  <c r="F186" s="1"/>
  <c r="E186" s="1"/>
  <c r="C189"/>
  <c r="F189" s="1"/>
  <c r="E189" s="1"/>
  <c r="H196" i="20"/>
  <c r="G196"/>
  <c r="C188" i="32"/>
  <c r="F188" s="1"/>
  <c r="E188" s="1"/>
  <c r="C185"/>
  <c r="G206" i="20"/>
  <c r="H206"/>
  <c r="AB206"/>
  <c r="AC206"/>
  <c r="C249" i="32"/>
  <c r="F249" s="1"/>
  <c r="E249" s="1"/>
  <c r="C246"/>
  <c r="F246" s="1"/>
  <c r="E246" s="1"/>
  <c r="C245"/>
  <c r="F245" s="1"/>
  <c r="E245" s="1"/>
  <c r="C240"/>
  <c r="F240" s="1"/>
  <c r="E240" s="1"/>
  <c r="C247"/>
  <c r="F247" s="1"/>
  <c r="E247" s="1"/>
  <c r="C251"/>
  <c r="F251" s="1"/>
  <c r="E251" s="1"/>
  <c r="C244"/>
  <c r="F244" s="1"/>
  <c r="E244" s="1"/>
  <c r="C241"/>
  <c r="F241" s="1"/>
  <c r="E241" s="1"/>
  <c r="C252"/>
  <c r="F252" s="1"/>
  <c r="E252" s="1"/>
  <c r="AF196" i="20"/>
  <c r="C243" i="32"/>
  <c r="F243" s="1"/>
  <c r="E243" s="1"/>
  <c r="C250"/>
  <c r="F250" s="1"/>
  <c r="E250" s="1"/>
  <c r="C248"/>
  <c r="F248" s="1"/>
  <c r="E248" s="1"/>
  <c r="C242"/>
  <c r="F242" s="1"/>
  <c r="E242" s="1"/>
  <c r="AE196" i="20"/>
  <c r="C798" i="32"/>
  <c r="F798" s="1"/>
  <c r="E798" s="1"/>
  <c r="C799"/>
  <c r="F799" s="1"/>
  <c r="E799" s="1"/>
  <c r="N207" i="20"/>
  <c r="M207"/>
  <c r="Y210"/>
  <c r="Z210"/>
  <c r="C1031" i="32"/>
  <c r="F1031" s="1"/>
  <c r="E1031" s="1"/>
  <c r="C1034"/>
  <c r="F1034" s="1"/>
  <c r="E1034" s="1"/>
  <c r="C1033"/>
  <c r="F1033" s="1"/>
  <c r="E1033" s="1"/>
  <c r="P201" i="20"/>
  <c r="C1032" i="32"/>
  <c r="F1032" s="1"/>
  <c r="E1032" s="1"/>
  <c r="Q201" i="20"/>
  <c r="C1003" i="32"/>
  <c r="F1003" s="1"/>
  <c r="E1003" s="1"/>
  <c r="C1001"/>
  <c r="F1001" s="1"/>
  <c r="E1001" s="1"/>
  <c r="M198" i="20"/>
  <c r="N198"/>
  <c r="C1002" i="32"/>
  <c r="F1002" s="1"/>
  <c r="E1002" s="1"/>
  <c r="C907"/>
  <c r="F907" s="1"/>
  <c r="C909"/>
  <c r="F909" s="1"/>
  <c r="E909" s="1"/>
  <c r="C910"/>
  <c r="F910" s="1"/>
  <c r="E910" s="1"/>
  <c r="C911"/>
  <c r="F911" s="1"/>
  <c r="E911" s="1"/>
  <c r="K209" i="20"/>
  <c r="C908" i="32"/>
  <c r="F908" s="1"/>
  <c r="E908" s="1"/>
  <c r="J209" i="20"/>
  <c r="C912" i="32"/>
  <c r="F912" s="1"/>
  <c r="E912" s="1"/>
  <c r="C649"/>
  <c r="F649" s="1"/>
  <c r="E649" s="1"/>
  <c r="C647"/>
  <c r="F647" s="1"/>
  <c r="E647" s="1"/>
  <c r="C638"/>
  <c r="F638" s="1"/>
  <c r="E638" s="1"/>
  <c r="C654"/>
  <c r="F654" s="1"/>
  <c r="E654" s="1"/>
  <c r="C639"/>
  <c r="F639" s="1"/>
  <c r="E639" s="1"/>
  <c r="C655"/>
  <c r="F655" s="1"/>
  <c r="E655" s="1"/>
  <c r="C648"/>
  <c r="F648" s="1"/>
  <c r="E648" s="1"/>
  <c r="C653"/>
  <c r="F653" s="1"/>
  <c r="E653" s="1"/>
  <c r="C650"/>
  <c r="F650" s="1"/>
  <c r="E650" s="1"/>
  <c r="C645"/>
  <c r="F645" s="1"/>
  <c r="E645" s="1"/>
  <c r="C656"/>
  <c r="F656" s="1"/>
  <c r="E656" s="1"/>
  <c r="C643"/>
  <c r="F643" s="1"/>
  <c r="E643" s="1"/>
  <c r="C642"/>
  <c r="F642" s="1"/>
  <c r="E642" s="1"/>
  <c r="C657"/>
  <c r="F657" s="1"/>
  <c r="E657" s="1"/>
  <c r="C644"/>
  <c r="F644" s="1"/>
  <c r="E644" s="1"/>
  <c r="H202" i="20"/>
  <c r="G202"/>
  <c r="C646" i="32"/>
  <c r="F646" s="1"/>
  <c r="E646" s="1"/>
  <c r="C652"/>
  <c r="F652" s="1"/>
  <c r="E652" s="1"/>
  <c r="C651"/>
  <c r="F651" s="1"/>
  <c r="E651" s="1"/>
  <c r="C641"/>
  <c r="F641" s="1"/>
  <c r="E641" s="1"/>
  <c r="C640"/>
  <c r="F640" s="1"/>
  <c r="E640" s="1"/>
  <c r="AB204" i="20"/>
  <c r="AC204"/>
  <c r="C855" i="32"/>
  <c r="F855" s="1"/>
  <c r="E855" s="1"/>
  <c r="C853"/>
  <c r="F853" s="1"/>
  <c r="E853" s="1"/>
  <c r="C851"/>
  <c r="C852"/>
  <c r="F852" s="1"/>
  <c r="E852" s="1"/>
  <c r="D208" i="20"/>
  <c r="E208"/>
  <c r="C854" i="32"/>
  <c r="F854" s="1"/>
  <c r="E854" s="1"/>
  <c r="C693"/>
  <c r="F693" s="1"/>
  <c r="E693" s="1"/>
  <c r="C692"/>
  <c r="F692" s="1"/>
  <c r="E692" s="1"/>
  <c r="AB202" i="20"/>
  <c r="AC202"/>
  <c r="C904" i="32"/>
  <c r="F904" s="1"/>
  <c r="E904" s="1"/>
  <c r="C906"/>
  <c r="F906" s="1"/>
  <c r="E906" s="1"/>
  <c r="H209" i="20"/>
  <c r="G209"/>
  <c r="C903" i="32"/>
  <c r="F903" s="1"/>
  <c r="E903" s="1"/>
  <c r="C905"/>
  <c r="F905" s="1"/>
  <c r="E905" s="1"/>
  <c r="AB205" i="20"/>
  <c r="AC205"/>
  <c r="Q204"/>
  <c r="P204"/>
  <c r="C1043" i="32"/>
  <c r="F1043" s="1"/>
  <c r="E1043" s="1"/>
  <c r="AC201" i="20"/>
  <c r="AB201"/>
  <c r="C1014" i="32"/>
  <c r="F1014" s="1"/>
  <c r="E1014" s="1"/>
  <c r="AE198" i="20"/>
  <c r="AF198"/>
  <c r="AB210"/>
  <c r="AC210"/>
  <c r="C399" i="32"/>
  <c r="F399" s="1"/>
  <c r="E399" s="1"/>
  <c r="C401"/>
  <c r="F401" s="1"/>
  <c r="E401" s="1"/>
  <c r="C404"/>
  <c r="F404" s="1"/>
  <c r="E404" s="1"/>
  <c r="C402"/>
  <c r="F402" s="1"/>
  <c r="E402" s="1"/>
  <c r="C396"/>
  <c r="F396" s="1"/>
  <c r="E396" s="1"/>
  <c r="C398"/>
  <c r="F398" s="1"/>
  <c r="E398" s="1"/>
  <c r="C388"/>
  <c r="F388" s="1"/>
  <c r="E388" s="1"/>
  <c r="C405"/>
  <c r="F405" s="1"/>
  <c r="E405" s="1"/>
  <c r="C390"/>
  <c r="F390" s="1"/>
  <c r="E390" s="1"/>
  <c r="C394"/>
  <c r="F394" s="1"/>
  <c r="E394" s="1"/>
  <c r="C387"/>
  <c r="F387" s="1"/>
  <c r="E387" s="1"/>
  <c r="C384"/>
  <c r="F384" s="1"/>
  <c r="E384" s="1"/>
  <c r="C400"/>
  <c r="F400" s="1"/>
  <c r="E400" s="1"/>
  <c r="C389"/>
  <c r="F389" s="1"/>
  <c r="E389" s="1"/>
  <c r="C393"/>
  <c r="F393" s="1"/>
  <c r="E393" s="1"/>
  <c r="C392"/>
  <c r="F392" s="1"/>
  <c r="E392" s="1"/>
  <c r="C395"/>
  <c r="F395" s="1"/>
  <c r="E395" s="1"/>
  <c r="C403"/>
  <c r="F403" s="1"/>
  <c r="E403" s="1"/>
  <c r="C391"/>
  <c r="F391" s="1"/>
  <c r="E391" s="1"/>
  <c r="AE197" i="20"/>
  <c r="C385" i="32"/>
  <c r="F385" s="1"/>
  <c r="E385" s="1"/>
  <c r="C397"/>
  <c r="F397" s="1"/>
  <c r="E397" s="1"/>
  <c r="AF197" i="20"/>
  <c r="E196"/>
  <c r="D196"/>
  <c r="T204"/>
  <c r="S204"/>
  <c r="C77" i="32"/>
  <c r="F77" s="1"/>
  <c r="E77" s="1"/>
  <c r="C75"/>
  <c r="F75" s="1"/>
  <c r="E75" s="1"/>
  <c r="C76"/>
  <c r="F76" s="1"/>
  <c r="E76" s="1"/>
  <c r="C78"/>
  <c r="F78" s="1"/>
  <c r="E78" s="1"/>
  <c r="C73"/>
  <c r="F73" s="1"/>
  <c r="E73" s="1"/>
  <c r="C74"/>
  <c r="F74" s="1"/>
  <c r="E74" s="1"/>
  <c r="N194" i="20"/>
  <c r="C71" i="32"/>
  <c r="F71" s="1"/>
  <c r="E71" s="1"/>
  <c r="M194" i="20"/>
  <c r="C72" i="32"/>
  <c r="F72" s="1"/>
  <c r="E72" s="1"/>
  <c r="C873"/>
  <c r="F873" s="1"/>
  <c r="E873" s="1"/>
  <c r="C872"/>
  <c r="F872" s="1"/>
  <c r="E872" s="1"/>
  <c r="C874"/>
  <c r="F874" s="1"/>
  <c r="E874" s="1"/>
  <c r="C875"/>
  <c r="F875" s="1"/>
  <c r="E875" s="1"/>
  <c r="P208" i="20"/>
  <c r="Q208"/>
  <c r="C871" i="32"/>
  <c r="F871" s="1"/>
  <c r="E871" s="1"/>
  <c r="C892"/>
  <c r="F892" s="1"/>
  <c r="E892" s="1"/>
  <c r="C889"/>
  <c r="F889" s="1"/>
  <c r="E889" s="1"/>
  <c r="C890"/>
  <c r="F890" s="1"/>
  <c r="E890" s="1"/>
  <c r="C888"/>
  <c r="F888" s="1"/>
  <c r="E888" s="1"/>
  <c r="AB208" i="20"/>
  <c r="AC208"/>
  <c r="C891" i="32"/>
  <c r="F891" s="1"/>
  <c r="E891" s="1"/>
  <c r="C887"/>
  <c r="F887" s="1"/>
  <c r="E887" s="1"/>
  <c r="C1013"/>
  <c r="F1013" s="1"/>
  <c r="E1013" s="1"/>
  <c r="AB198" i="20"/>
  <c r="AC198"/>
  <c r="C1035" i="32"/>
  <c r="F1035" s="1"/>
  <c r="E1035" s="1"/>
  <c r="C1036"/>
  <c r="F1036" s="1"/>
  <c r="E1036" s="1"/>
  <c r="T201" i="20"/>
  <c r="C1037" i="32"/>
  <c r="F1037" s="1"/>
  <c r="E1037" s="1"/>
  <c r="S201" i="20"/>
  <c r="C924" i="32"/>
  <c r="F924" s="1"/>
  <c r="E924" s="1"/>
  <c r="C923"/>
  <c r="F923" s="1"/>
  <c r="E923" s="1"/>
  <c r="AV231"/>
  <c r="C922"/>
  <c r="F922" s="1"/>
  <c r="E922" s="1"/>
  <c r="C920"/>
  <c r="F920" s="1"/>
  <c r="E920" s="1"/>
  <c r="P209" i="20"/>
  <c r="C921" i="32"/>
  <c r="F921" s="1"/>
  <c r="E921" s="1"/>
  <c r="Q209" i="20"/>
  <c r="C882" i="32"/>
  <c r="F882" s="1"/>
  <c r="E882" s="1"/>
  <c r="C878"/>
  <c r="F878" s="1"/>
  <c r="E878" s="1"/>
  <c r="C881"/>
  <c r="F881" s="1"/>
  <c r="E881" s="1"/>
  <c r="C880"/>
  <c r="F880" s="1"/>
  <c r="E880" s="1"/>
  <c r="V208" i="20"/>
  <c r="W208"/>
  <c r="C879" i="32"/>
  <c r="F879" s="1"/>
  <c r="E879" s="1"/>
  <c r="C381"/>
  <c r="F381" s="1"/>
  <c r="E381" s="1"/>
  <c r="C382"/>
  <c r="F382" s="1"/>
  <c r="E382" s="1"/>
  <c r="C380"/>
  <c r="F380" s="1"/>
  <c r="E380" s="1"/>
  <c r="C379"/>
  <c r="F379" s="1"/>
  <c r="E379" s="1"/>
  <c r="C378"/>
  <c r="F378" s="1"/>
  <c r="E378" s="1"/>
  <c r="C376"/>
  <c r="F376" s="1"/>
  <c r="E376" s="1"/>
  <c r="C377"/>
  <c r="F377" s="1"/>
  <c r="E377" s="1"/>
  <c r="AC197" i="20"/>
  <c r="AB197"/>
  <c r="C375" i="32"/>
  <c r="F375" s="1"/>
  <c r="E375" s="1"/>
  <c r="C383"/>
  <c r="F383" s="1"/>
  <c r="E383" s="1"/>
  <c r="C1006"/>
  <c r="F1006" s="1"/>
  <c r="E1006" s="1"/>
  <c r="C1004"/>
  <c r="F1004" s="1"/>
  <c r="E1004" s="1"/>
  <c r="C1005"/>
  <c r="F1005" s="1"/>
  <c r="E1005" s="1"/>
  <c r="Q198" i="20"/>
  <c r="P198"/>
  <c r="C664" i="32"/>
  <c r="F664" s="1"/>
  <c r="E664" s="1"/>
  <c r="C658"/>
  <c r="F658" s="1"/>
  <c r="C660"/>
  <c r="F660" s="1"/>
  <c r="E660" s="1"/>
  <c r="C665"/>
  <c r="F665" s="1"/>
  <c r="E665" s="1"/>
  <c r="C661"/>
  <c r="F661" s="1"/>
  <c r="E661" s="1"/>
  <c r="C662"/>
  <c r="F662" s="1"/>
  <c r="E662" s="1"/>
  <c r="C659"/>
  <c r="F659" s="1"/>
  <c r="E659" s="1"/>
  <c r="C663"/>
  <c r="F663" s="1"/>
  <c r="E663" s="1"/>
  <c r="J202" i="20"/>
  <c r="K202"/>
  <c r="C590" i="32"/>
  <c r="F590" s="1"/>
  <c r="E590" s="1"/>
  <c r="C589"/>
  <c r="F589" s="1"/>
  <c r="E589" s="1"/>
  <c r="C588"/>
  <c r="F588" s="1"/>
  <c r="E588" s="1"/>
  <c r="Z200" i="20"/>
  <c r="Y200"/>
  <c r="C527" i="32"/>
  <c r="F527" s="1"/>
  <c r="E527" s="1"/>
  <c r="C535"/>
  <c r="F535" s="1"/>
  <c r="E535" s="1"/>
  <c r="C526"/>
  <c r="F526" s="1"/>
  <c r="E526" s="1"/>
  <c r="C529"/>
  <c r="F529" s="1"/>
  <c r="E529" s="1"/>
  <c r="C525"/>
  <c r="F525" s="1"/>
  <c r="E525" s="1"/>
  <c r="C534"/>
  <c r="F534" s="1"/>
  <c r="E534" s="1"/>
  <c r="C524"/>
  <c r="F524" s="1"/>
  <c r="E524" s="1"/>
  <c r="C531"/>
  <c r="F531" s="1"/>
  <c r="E531" s="1"/>
  <c r="C530"/>
  <c r="F530" s="1"/>
  <c r="E530" s="1"/>
  <c r="C523"/>
  <c r="F523" s="1"/>
  <c r="E523" s="1"/>
  <c r="H200" i="20"/>
  <c r="C536" i="32"/>
  <c r="F536" s="1"/>
  <c r="E536" s="1"/>
  <c r="C532"/>
  <c r="F532" s="1"/>
  <c r="E532" s="1"/>
  <c r="G200" i="20"/>
  <c r="C528" i="32"/>
  <c r="F528" s="1"/>
  <c r="E528" s="1"/>
  <c r="C533"/>
  <c r="F533" s="1"/>
  <c r="E533" s="1"/>
  <c r="C673"/>
  <c r="F673" s="1"/>
  <c r="E673" s="1"/>
  <c r="C672"/>
  <c r="F672" s="1"/>
  <c r="E672" s="1"/>
  <c r="C671"/>
  <c r="F671" s="1"/>
  <c r="E671" s="1"/>
  <c r="C670"/>
  <c r="F670" s="1"/>
  <c r="E670" s="1"/>
  <c r="C667"/>
  <c r="F667" s="1"/>
  <c r="E667" s="1"/>
  <c r="C674"/>
  <c r="F674" s="1"/>
  <c r="E674" s="1"/>
  <c r="C669"/>
  <c r="F669" s="1"/>
  <c r="E669" s="1"/>
  <c r="C676"/>
  <c r="F676" s="1"/>
  <c r="E676" s="1"/>
  <c r="M202" i="20"/>
  <c r="N202"/>
  <c r="C675" i="32"/>
  <c r="F675" s="1"/>
  <c r="E675" s="1"/>
  <c r="C668"/>
  <c r="F668" s="1"/>
  <c r="E668" s="1"/>
  <c r="C666"/>
  <c r="F666" s="1"/>
  <c r="E666" s="1"/>
  <c r="C137"/>
  <c r="F137" s="1"/>
  <c r="E137" s="1"/>
  <c r="C139"/>
  <c r="F139" s="1"/>
  <c r="E139" s="1"/>
  <c r="C136"/>
  <c r="G195" i="20"/>
  <c r="C138" i="32"/>
  <c r="F138" s="1"/>
  <c r="E138" s="1"/>
  <c r="H195" i="20"/>
  <c r="C407" i="32"/>
  <c r="C410"/>
  <c r="F410" s="1"/>
  <c r="E410" s="1"/>
  <c r="C412"/>
  <c r="F412" s="1"/>
  <c r="E412" s="1"/>
  <c r="C408"/>
  <c r="F408" s="1"/>
  <c r="E408" s="1"/>
  <c r="C413"/>
  <c r="F413" s="1"/>
  <c r="E413" s="1"/>
  <c r="E199" i="20"/>
  <c r="C411" i="32"/>
  <c r="F411" s="1"/>
  <c r="E411" s="1"/>
  <c r="D199" i="20"/>
  <c r="C409" i="32"/>
  <c r="F409" s="1"/>
  <c r="E409" s="1"/>
  <c r="C993"/>
  <c r="D198" i="20"/>
  <c r="C994" i="32"/>
  <c r="F994" s="1"/>
  <c r="E994" s="1"/>
  <c r="E198" i="20"/>
  <c r="C579" i="32"/>
  <c r="F579" s="1"/>
  <c r="E579" s="1"/>
  <c r="C580"/>
  <c r="F580" s="1"/>
  <c r="E580" s="1"/>
  <c r="C582"/>
  <c r="F582" s="1"/>
  <c r="E582" s="1"/>
  <c r="C581"/>
  <c r="F581" s="1"/>
  <c r="E581" s="1"/>
  <c r="C587"/>
  <c r="F587" s="1"/>
  <c r="E587" s="1"/>
  <c r="C583"/>
  <c r="F583" s="1"/>
  <c r="E583" s="1"/>
  <c r="C586"/>
  <c r="F586" s="1"/>
  <c r="E586" s="1"/>
  <c r="C577"/>
  <c r="F577" s="1"/>
  <c r="E577" s="1"/>
  <c r="C578"/>
  <c r="F578" s="1"/>
  <c r="E578" s="1"/>
  <c r="C584"/>
  <c r="F584" s="1"/>
  <c r="E584" s="1"/>
  <c r="W200" i="20"/>
  <c r="C585" i="32"/>
  <c r="F585" s="1"/>
  <c r="E585" s="1"/>
  <c r="V200" i="20"/>
  <c r="C895" i="32"/>
  <c r="F895" s="1"/>
  <c r="E895" s="1"/>
  <c r="C893"/>
  <c r="F893" s="1"/>
  <c r="E893" s="1"/>
  <c r="AE208" i="20"/>
  <c r="C894" i="32"/>
  <c r="F894" s="1"/>
  <c r="E894" s="1"/>
  <c r="AF208" i="20"/>
  <c r="C1011" i="32"/>
  <c r="F1011" s="1"/>
  <c r="E1011" s="1"/>
  <c r="C1010"/>
  <c r="F1010" s="1"/>
  <c r="E1010" s="1"/>
  <c r="V198" i="20"/>
  <c r="W198"/>
  <c r="C827" i="32"/>
  <c r="F827" s="1"/>
  <c r="E827" s="1"/>
  <c r="C830"/>
  <c r="F830" s="1"/>
  <c r="E830" s="1"/>
  <c r="C829"/>
  <c r="F829" s="1"/>
  <c r="E829" s="1"/>
  <c r="AC207" i="20"/>
  <c r="AB207"/>
  <c r="C828" i="32"/>
  <c r="F828" s="1"/>
  <c r="E828" s="1"/>
  <c r="C792"/>
  <c r="F792" s="1"/>
  <c r="E792" s="1"/>
  <c r="C790"/>
  <c r="C791"/>
  <c r="F791" s="1"/>
  <c r="E791" s="1"/>
  <c r="E207" i="20"/>
  <c r="D207"/>
  <c r="C774" i="32"/>
  <c r="F774" s="1"/>
  <c r="E774" s="1"/>
  <c r="C772"/>
  <c r="F772" s="1"/>
  <c r="E772" s="1"/>
  <c r="C771"/>
  <c r="F771" s="1"/>
  <c r="E771" s="1"/>
  <c r="C775"/>
  <c r="F775" s="1"/>
  <c r="E775" s="1"/>
  <c r="C773"/>
  <c r="F773" s="1"/>
  <c r="E773" s="1"/>
  <c r="C770"/>
  <c r="F770" s="1"/>
  <c r="E770" s="1"/>
  <c r="W203" i="20"/>
  <c r="V203"/>
  <c r="C776" i="32"/>
  <c r="F776" s="1"/>
  <c r="E776" s="1"/>
  <c r="C594"/>
  <c r="F594" s="1"/>
  <c r="E594" s="1"/>
  <c r="C595"/>
  <c r="F595" s="1"/>
  <c r="E595" s="1"/>
  <c r="C592"/>
  <c r="F592" s="1"/>
  <c r="E592" s="1"/>
  <c r="C597"/>
  <c r="F597" s="1"/>
  <c r="E597" s="1"/>
  <c r="AB200" i="20"/>
  <c r="C596" i="32"/>
  <c r="F596" s="1"/>
  <c r="E596" s="1"/>
  <c r="C593"/>
  <c r="F593" s="1"/>
  <c r="E593" s="1"/>
  <c r="AC200" i="20"/>
  <c r="C598" i="32"/>
  <c r="F598" s="1"/>
  <c r="E598" s="1"/>
  <c r="C591"/>
  <c r="F591" s="1"/>
  <c r="E591" s="1"/>
  <c r="C30"/>
  <c r="F30" s="1"/>
  <c r="E30" s="1"/>
  <c r="C28"/>
  <c r="F28" s="1"/>
  <c r="E28" s="1"/>
  <c r="C26"/>
  <c r="F26" s="1"/>
  <c r="E26" s="1"/>
  <c r="C27"/>
  <c r="F27" s="1"/>
  <c r="E27" s="1"/>
  <c r="G193" i="20"/>
  <c r="H193"/>
  <c r="C24" i="32"/>
  <c r="F24" s="1"/>
  <c r="E24" s="1"/>
  <c r="C25"/>
  <c r="F25" s="1"/>
  <c r="E25" s="1"/>
  <c r="C29"/>
  <c r="F29" s="1"/>
  <c r="E29" s="1"/>
  <c r="Z220" i="12"/>
  <c r="T220"/>
  <c r="F220"/>
  <c r="S220"/>
  <c r="P220"/>
  <c r="J220"/>
  <c r="CQ419"/>
  <c r="I65" i="33" s="1"/>
  <c r="D220" i="12"/>
  <c r="D424" s="1"/>
  <c r="N220"/>
  <c r="AA220"/>
  <c r="E220"/>
  <c r="U220"/>
  <c r="K220"/>
  <c r="Y220"/>
  <c r="M220"/>
  <c r="AC424" s="1"/>
  <c r="AE156" i="9"/>
  <c r="X108" i="19"/>
  <c r="Z108" s="1"/>
  <c r="X106"/>
  <c r="Z106" s="1"/>
  <c r="A53" i="36"/>
  <c r="J501" i="20"/>
  <c r="M9" i="17"/>
  <c r="M10"/>
  <c r="AV882" i="9"/>
  <c r="V882"/>
  <c r="V567"/>
  <c r="AV567"/>
  <c r="L501" i="20"/>
  <c r="G501"/>
  <c r="Q501"/>
  <c r="T501"/>
  <c r="V258"/>
  <c r="V501"/>
  <c r="AE791" i="9"/>
  <c r="G97" i="8"/>
  <c r="F501" i="20"/>
  <c r="G409" i="36"/>
  <c r="AM409"/>
  <c r="O501" i="20"/>
  <c r="AV136" i="9"/>
  <c r="V136"/>
  <c r="K501" i="20"/>
  <c r="H501"/>
  <c r="E501"/>
  <c r="P501"/>
  <c r="U501"/>
  <c r="U258"/>
  <c r="R501"/>
  <c r="I501"/>
  <c r="S501"/>
  <c r="N501"/>
  <c r="Y66" i="36"/>
  <c r="M66"/>
  <c r="BB446"/>
  <c r="AB142" i="9"/>
  <c r="AC142"/>
  <c r="AQ142"/>
  <c r="AC3" i="36"/>
  <c r="AC880" i="9"/>
  <c r="AQ880"/>
  <c r="AB880"/>
  <c r="B89" i="8"/>
  <c r="AC143" i="9"/>
  <c r="AB143"/>
  <c r="AQ143"/>
  <c r="AC881"/>
  <c r="AB881"/>
  <c r="AQ881"/>
  <c r="O18" i="6"/>
  <c r="Z23" i="36" s="1"/>
  <c r="M502" i="20"/>
  <c r="D502"/>
  <c r="AB582" i="9"/>
  <c r="AQ582"/>
  <c r="AC582"/>
  <c r="AC583"/>
  <c r="AQ583"/>
  <c r="AB583"/>
  <c r="AB584"/>
  <c r="AQ584"/>
  <c r="AC584"/>
  <c r="W502" i="20"/>
  <c r="W259"/>
  <c r="AU11" i="9"/>
  <c r="AD62"/>
  <c r="AE62" s="1"/>
  <c r="W12"/>
  <c r="C100" i="8" s="1"/>
  <c r="BB12" i="9"/>
  <c r="W63"/>
  <c r="AU63" s="1"/>
  <c r="BB63"/>
  <c r="W22"/>
  <c r="Z22" s="1"/>
  <c r="AA22" s="1"/>
  <c r="BB22"/>
  <c r="T54" i="19"/>
  <c r="M54" s="1"/>
  <c r="AU62" i="9"/>
  <c r="J3" i="29"/>
  <c r="F39" s="1"/>
  <c r="AA558" i="9"/>
  <c r="AF559" s="1"/>
  <c r="Z508" i="36"/>
  <c r="T55" i="19"/>
  <c r="M55" s="1"/>
  <c r="W158" i="9"/>
  <c r="T38" i="19" s="1"/>
  <c r="M38" s="1"/>
  <c r="BB158" i="9"/>
  <c r="T56" i="19"/>
  <c r="M56" s="1"/>
  <c r="AU157" i="9"/>
  <c r="J254" i="36"/>
  <c r="W594" i="9"/>
  <c r="Z594" s="1"/>
  <c r="AA594" s="1"/>
  <c r="P22" i="8" s="1"/>
  <c r="BB594" i="9"/>
  <c r="Z399"/>
  <c r="AA399" s="1"/>
  <c r="E18" i="29"/>
  <c r="M5" i="36" s="1"/>
  <c r="AU787" i="9"/>
  <c r="BF905"/>
  <c r="BE905" s="1"/>
  <c r="W905" s="1"/>
  <c r="Z905" s="1"/>
  <c r="AA905" s="1"/>
  <c r="AU814"/>
  <c r="AU219"/>
  <c r="Z748"/>
  <c r="AA748" s="1"/>
  <c r="AD748" s="1"/>
  <c r="AE748" s="1"/>
  <c r="F11" i="29"/>
  <c r="Z853" i="9"/>
  <c r="AA853" s="1"/>
  <c r="AD853" s="1"/>
  <c r="AE853" s="1"/>
  <c r="Z864"/>
  <c r="AA864" s="1"/>
  <c r="AD864" s="1"/>
  <c r="AE864" s="1"/>
  <c r="Z477"/>
  <c r="AA477" s="1"/>
  <c r="W220"/>
  <c r="AU220" s="1"/>
  <c r="BB220"/>
  <c r="W797"/>
  <c r="AU797" s="1"/>
  <c r="BB797"/>
  <c r="W749"/>
  <c r="AU749" s="1"/>
  <c r="BB749"/>
  <c r="W113"/>
  <c r="Z113" s="1"/>
  <c r="AA113" s="1"/>
  <c r="BB113"/>
  <c r="W865"/>
  <c r="AU865" s="1"/>
  <c r="BB865"/>
  <c r="W854"/>
  <c r="AD854" s="1"/>
  <c r="AE854" s="1"/>
  <c r="BB854"/>
  <c r="W815"/>
  <c r="AD815" s="1"/>
  <c r="AE815" s="1"/>
  <c r="BB815"/>
  <c r="W400"/>
  <c r="AD400" s="1"/>
  <c r="AE400" s="1"/>
  <c r="BB400"/>
  <c r="W304"/>
  <c r="BB304"/>
  <c r="W242"/>
  <c r="Z242" s="1"/>
  <c r="AA242" s="1"/>
  <c r="BB242"/>
  <c r="W559"/>
  <c r="AU559" s="1"/>
  <c r="BB559"/>
  <c r="AD399"/>
  <c r="AE399" s="1"/>
  <c r="AD814"/>
  <c r="AE814" s="1"/>
  <c r="AU477"/>
  <c r="BE843"/>
  <c r="BB843" s="1"/>
  <c r="BF844"/>
  <c r="D59" i="33"/>
  <c r="V22" i="36"/>
  <c r="X22" s="1"/>
  <c r="AI44" i="6"/>
  <c r="O192" i="25" s="1"/>
  <c r="P192" s="1"/>
  <c r="W842" i="9"/>
  <c r="Z841"/>
  <c r="AA841" s="1"/>
  <c r="T23" i="36" s="1"/>
  <c r="O23"/>
  <c r="AU841" i="9"/>
  <c r="AD840"/>
  <c r="AE840" s="1"/>
  <c r="BF243"/>
  <c r="BE243" s="1"/>
  <c r="W894"/>
  <c r="AU893"/>
  <c r="Z893"/>
  <c r="AA893" s="1"/>
  <c r="AD893" s="1"/>
  <c r="AE893" s="1"/>
  <c r="H10" i="29"/>
  <c r="AA786" i="9"/>
  <c r="F12" i="29"/>
  <c r="Z235" i="36" s="1"/>
  <c r="M44" i="29"/>
  <c r="M40"/>
  <c r="M43"/>
  <c r="M39"/>
  <c r="M46"/>
  <c r="M42"/>
  <c r="M45"/>
  <c r="M41"/>
  <c r="N38"/>
  <c r="F4"/>
  <c r="O226" i="36" s="1"/>
  <c r="L226" s="1"/>
  <c r="Z788" i="9"/>
  <c r="AU788"/>
  <c r="H11" i="29"/>
  <c r="AA787" i="9"/>
  <c r="BF895"/>
  <c r="BE895" s="1"/>
  <c r="BB895" s="1"/>
  <c r="AU594"/>
  <c r="AD157"/>
  <c r="AE157" s="1"/>
  <c r="Z241"/>
  <c r="AA241" s="1"/>
  <c r="AD241"/>
  <c r="AE241" s="1"/>
  <c r="AU241"/>
  <c r="R39" i="19"/>
  <c r="U39" s="1"/>
  <c r="AD11" i="9"/>
  <c r="AE11" s="1"/>
  <c r="C106" i="8"/>
  <c r="AU135" i="9"/>
  <c r="Z135"/>
  <c r="W114"/>
  <c r="P8" i="36"/>
  <c r="T478" s="1"/>
  <c r="R40" i="6"/>
  <c r="AD8" i="36" s="1"/>
  <c r="R38" i="6"/>
  <c r="W8" i="36" s="1"/>
  <c r="X235" i="19"/>
  <c r="Z235" s="1"/>
  <c r="R39" i="6"/>
  <c r="AA8" i="36" s="1"/>
  <c r="AD112" i="9"/>
  <c r="AE112" s="1"/>
  <c r="AU112"/>
  <c r="AD20" i="6" s="1"/>
  <c r="Z112" i="9"/>
  <c r="AD21"/>
  <c r="AE21" s="1"/>
  <c r="Z63"/>
  <c r="AA63" s="1"/>
  <c r="AU12"/>
  <c r="AD303"/>
  <c r="AE303" s="1"/>
  <c r="AU303"/>
  <c r="Z303"/>
  <c r="AA303" s="1"/>
  <c r="BF115"/>
  <c r="BE115" s="1"/>
  <c r="BB115" s="1"/>
  <c r="BE305"/>
  <c r="BF306"/>
  <c r="BF401"/>
  <c r="BE401" s="1"/>
  <c r="BF750"/>
  <c r="BE750" s="1"/>
  <c r="BF816"/>
  <c r="BE816" s="1"/>
  <c r="BF13"/>
  <c r="BE13" s="1"/>
  <c r="BF866"/>
  <c r="BE866" s="1"/>
  <c r="BF221"/>
  <c r="BE221" s="1"/>
  <c r="BF798"/>
  <c r="BE798" s="1"/>
  <c r="BF855"/>
  <c r="BE855" s="1"/>
  <c r="BF23"/>
  <c r="BE23" s="1"/>
  <c r="BF479"/>
  <c r="BE479" s="1"/>
  <c r="BE560"/>
  <c r="BF595"/>
  <c r="BE595" s="1"/>
  <c r="BF159"/>
  <c r="BE159" s="1"/>
  <c r="CQ424" i="12"/>
  <c r="AD67" i="36"/>
  <c r="O67"/>
  <c r="L194" i="12"/>
  <c r="I194"/>
  <c r="I528"/>
  <c r="H528"/>
  <c r="L528"/>
  <c r="V528"/>
  <c r="R528"/>
  <c r="Q528"/>
  <c r="O528"/>
  <c r="X528"/>
  <c r="T528"/>
  <c r="P528"/>
  <c r="D528"/>
  <c r="N528"/>
  <c r="AA528"/>
  <c r="E528"/>
  <c r="K528"/>
  <c r="Y528"/>
  <c r="M528"/>
  <c r="J258" i="20"/>
  <c r="L258"/>
  <c r="T258"/>
  <c r="F258"/>
  <c r="O258"/>
  <c r="K258"/>
  <c r="H258"/>
  <c r="E258"/>
  <c r="P258"/>
  <c r="R258"/>
  <c r="I258"/>
  <c r="S258"/>
  <c r="N258"/>
  <c r="D259"/>
  <c r="M259"/>
  <c r="G528" i="12"/>
  <c r="W528"/>
  <c r="Z528"/>
  <c r="F528"/>
  <c r="S528"/>
  <c r="J528"/>
  <c r="U528"/>
  <c r="G258" i="20"/>
  <c r="Q258"/>
  <c r="E42" i="6" l="1"/>
  <c r="P7" i="36" s="1"/>
  <c r="AB424" i="12"/>
  <c r="K65" i="33"/>
  <c r="I195" i="12"/>
  <c r="L196" s="1"/>
  <c r="L195"/>
  <c r="T67" i="36"/>
  <c r="Q67" s="1"/>
  <c r="G101" i="8"/>
  <c r="B424" i="12"/>
  <c r="V67" i="36"/>
  <c r="AA67"/>
  <c r="Y67"/>
  <c r="AF556" i="9"/>
  <c r="AE556" s="1"/>
  <c r="V225" i="36"/>
  <c r="X225" s="1"/>
  <c r="U221" i="12"/>
  <c r="J221"/>
  <c r="S221"/>
  <c r="F221"/>
  <c r="Z221"/>
  <c r="W221"/>
  <c r="G221"/>
  <c r="AD93"/>
  <c r="AA93" i="36" s="1"/>
  <c r="M221" i="12"/>
  <c r="AB425" s="1"/>
  <c r="AC419"/>
  <c r="Y221"/>
  <c r="K221"/>
  <c r="E221"/>
  <c r="AA221"/>
  <c r="N221"/>
  <c r="D221"/>
  <c r="CQ425" s="1"/>
  <c r="P221"/>
  <c r="T221"/>
  <c r="X221"/>
  <c r="O221"/>
  <c r="B425" s="1"/>
  <c r="Q221"/>
  <c r="R221"/>
  <c r="V221"/>
  <c r="M425" s="1"/>
  <c r="L221"/>
  <c r="C425" s="1"/>
  <c r="H221"/>
  <c r="I221"/>
  <c r="N502" i="20"/>
  <c r="S502"/>
  <c r="I502"/>
  <c r="R502"/>
  <c r="U259"/>
  <c r="U502"/>
  <c r="P502"/>
  <c r="E502"/>
  <c r="H502"/>
  <c r="K502"/>
  <c r="O502"/>
  <c r="F502"/>
  <c r="T502"/>
  <c r="L502"/>
  <c r="AC567" i="9"/>
  <c r="AQ567"/>
  <c r="AB567"/>
  <c r="J502" i="20"/>
  <c r="C992" i="32"/>
  <c r="F993"/>
  <c r="E993" s="1"/>
  <c r="F608"/>
  <c r="E658"/>
  <c r="F185"/>
  <c r="E185" s="1"/>
  <c r="C184"/>
  <c r="F789"/>
  <c r="E796"/>
  <c r="F23"/>
  <c r="E23" s="1"/>
  <c r="C22"/>
  <c r="E1048"/>
  <c r="F1045"/>
  <c r="E297"/>
  <c r="F253"/>
  <c r="F54"/>
  <c r="E63"/>
  <c r="F184"/>
  <c r="E192"/>
  <c r="F517"/>
  <c r="E517" s="1"/>
  <c r="C516"/>
  <c r="F516"/>
  <c r="E537"/>
  <c r="F897"/>
  <c r="E897" s="1"/>
  <c r="C896"/>
  <c r="F254"/>
  <c r="E254" s="1"/>
  <c r="C253"/>
  <c r="C1045"/>
  <c r="F1046"/>
  <c r="E1046" s="1"/>
  <c r="F850"/>
  <c r="E861"/>
  <c r="F22"/>
  <c r="E31"/>
  <c r="AC136" i="9"/>
  <c r="BF136" s="1"/>
  <c r="AQ136"/>
  <c r="AB136"/>
  <c r="V502" i="20"/>
  <c r="V259"/>
  <c r="Q502"/>
  <c r="G502"/>
  <c r="AB882" i="9"/>
  <c r="AC882"/>
  <c r="AQ882"/>
  <c r="F790" i="32"/>
  <c r="E790" s="1"/>
  <c r="C789"/>
  <c r="F407"/>
  <c r="E407" s="1"/>
  <c r="C406"/>
  <c r="F136"/>
  <c r="E136" s="1"/>
  <c r="C135"/>
  <c r="C850"/>
  <c r="F851"/>
  <c r="E851" s="1"/>
  <c r="F896"/>
  <c r="E907"/>
  <c r="F944"/>
  <c r="E983"/>
  <c r="C1015"/>
  <c r="F1016"/>
  <c r="E1016" s="1"/>
  <c r="F609"/>
  <c r="E609" s="1"/>
  <c r="C608"/>
  <c r="F406"/>
  <c r="E422"/>
  <c r="F1015"/>
  <c r="E1022"/>
  <c r="F135"/>
  <c r="E140"/>
  <c r="F992"/>
  <c r="E998"/>
  <c r="F945"/>
  <c r="E945" s="1"/>
  <c r="C944"/>
  <c r="F55"/>
  <c r="E55" s="1"/>
  <c r="C54"/>
  <c r="E719"/>
  <c r="F699"/>
  <c r="F700"/>
  <c r="E700" s="1"/>
  <c r="C699"/>
  <c r="AU22" i="9"/>
  <c r="R40" i="19"/>
  <c r="U40" s="1"/>
  <c r="W503" i="20"/>
  <c r="W260"/>
  <c r="D503"/>
  <c r="M503"/>
  <c r="Z12" i="9"/>
  <c r="R38" i="19"/>
  <c r="U38" s="1"/>
  <c r="T39"/>
  <c r="M39" s="1"/>
  <c r="W23" i="9"/>
  <c r="AU23" s="1"/>
  <c r="BB23"/>
  <c r="W13"/>
  <c r="Z13" s="1"/>
  <c r="AA13" s="1"/>
  <c r="BB13"/>
  <c r="U16" i="29"/>
  <c r="M272" i="36" s="1"/>
  <c r="U11" i="29"/>
  <c r="V11" s="1"/>
  <c r="U8"/>
  <c r="M264" i="36" s="1"/>
  <c r="F35" i="29"/>
  <c r="G35" s="1"/>
  <c r="F30"/>
  <c r="M246" i="36" s="1"/>
  <c r="U12" i="29"/>
  <c r="V12" s="1"/>
  <c r="F31"/>
  <c r="M247" i="36" s="1"/>
  <c r="U6" i="29"/>
  <c r="V6" s="1"/>
  <c r="U15"/>
  <c r="M271" i="36" s="1"/>
  <c r="F34" i="29"/>
  <c r="G34" s="1"/>
  <c r="U10"/>
  <c r="V10" s="1"/>
  <c r="U14"/>
  <c r="M270" i="36" s="1"/>
  <c r="F29" i="29"/>
  <c r="G29" s="1"/>
  <c r="F33"/>
  <c r="G33" s="1"/>
  <c r="U7"/>
  <c r="M263" i="36" s="1"/>
  <c r="U9" i="29"/>
  <c r="M265" i="36" s="1"/>
  <c r="U13" i="29"/>
  <c r="V13" s="1"/>
  <c r="U25"/>
  <c r="V25" s="1"/>
  <c r="F32"/>
  <c r="M248" i="36" s="1"/>
  <c r="W159" i="9"/>
  <c r="AU159" s="1"/>
  <c r="BB159"/>
  <c r="Z158"/>
  <c r="AA158" s="1"/>
  <c r="W39" i="19" s="1"/>
  <c r="Y39" s="1"/>
  <c r="AU158" i="9"/>
  <c r="T40" i="19"/>
  <c r="M40" s="1"/>
  <c r="AD220" i="9"/>
  <c r="AE220" s="1"/>
  <c r="E15" i="29"/>
  <c r="AD235" i="36" s="1"/>
  <c r="I21" i="29"/>
  <c r="AC231" i="36" s="1"/>
  <c r="I20" i="29"/>
  <c r="AC230" i="36" s="1"/>
  <c r="L235"/>
  <c r="I18" i="29"/>
  <c r="S235" i="36" s="1"/>
  <c r="W595" i="9"/>
  <c r="AU595" s="1"/>
  <c r="BB595"/>
  <c r="AU113"/>
  <c r="Z854"/>
  <c r="AA854" s="1"/>
  <c r="AU400"/>
  <c r="AU815"/>
  <c r="BB905"/>
  <c r="AD905" s="1"/>
  <c r="AE905" s="1"/>
  <c r="BF906"/>
  <c r="BE906" s="1"/>
  <c r="BB906" s="1"/>
  <c r="Z749"/>
  <c r="AA749" s="1"/>
  <c r="AD749" s="1"/>
  <c r="AE749" s="1"/>
  <c r="Z797"/>
  <c r="AA797" s="1"/>
  <c r="AD797" s="1"/>
  <c r="AE797" s="1"/>
  <c r="AU854"/>
  <c r="Z865"/>
  <c r="AA865" s="1"/>
  <c r="AD865" s="1"/>
  <c r="AE865" s="1"/>
  <c r="AU905"/>
  <c r="AD559"/>
  <c r="AF823" s="1"/>
  <c r="Z400"/>
  <c r="AA400" s="1"/>
  <c r="Z559"/>
  <c r="AA559" s="1"/>
  <c r="AF851" s="1"/>
  <c r="AE851" s="1"/>
  <c r="AU242"/>
  <c r="AD242"/>
  <c r="AE242" s="1"/>
  <c r="W479"/>
  <c r="Z479" s="1"/>
  <c r="AA479" s="1"/>
  <c r="BB479"/>
  <c r="W855"/>
  <c r="Z855" s="1"/>
  <c r="AA855" s="1"/>
  <c r="BB855"/>
  <c r="W221"/>
  <c r="AD221" s="1"/>
  <c r="AE221" s="1"/>
  <c r="BB221"/>
  <c r="W750"/>
  <c r="Z750" s="1"/>
  <c r="AA750" s="1"/>
  <c r="BB750"/>
  <c r="W243"/>
  <c r="Z243" s="1"/>
  <c r="AA243" s="1"/>
  <c r="BB243"/>
  <c r="W560"/>
  <c r="Z560" s="1"/>
  <c r="AA560" s="1"/>
  <c r="BB560"/>
  <c r="W798"/>
  <c r="Z798" s="1"/>
  <c r="AA798" s="1"/>
  <c r="BB798"/>
  <c r="W866"/>
  <c r="AU866" s="1"/>
  <c r="BB866"/>
  <c r="W816"/>
  <c r="AU816" s="1"/>
  <c r="BB816"/>
  <c r="W401"/>
  <c r="AU401" s="1"/>
  <c r="BB401"/>
  <c r="W305"/>
  <c r="BB305"/>
  <c r="AD113"/>
  <c r="AE113" s="1"/>
  <c r="AU842"/>
  <c r="O24" i="36"/>
  <c r="Z842" i="9"/>
  <c r="AA842" s="1"/>
  <c r="T24" i="36" s="1"/>
  <c r="Q192" i="25"/>
  <c r="Q193" s="1"/>
  <c r="W843" i="9"/>
  <c r="D58" i="33"/>
  <c r="AI43" i="6"/>
  <c r="V21" i="36"/>
  <c r="X21" s="1"/>
  <c r="BE844" i="9"/>
  <c r="BB844" s="1"/>
  <c r="BF845"/>
  <c r="AD841"/>
  <c r="AE841" s="1"/>
  <c r="BF244"/>
  <c r="BE244" s="1"/>
  <c r="W895"/>
  <c r="Z894"/>
  <c r="AA894" s="1"/>
  <c r="AU894"/>
  <c r="AD894"/>
  <c r="AE894" s="1"/>
  <c r="BF896"/>
  <c r="BE896" s="1"/>
  <c r="BB896" s="1"/>
  <c r="H4" i="29"/>
  <c r="AA788" i="9"/>
  <c r="N43" i="29"/>
  <c r="N39"/>
  <c r="N44"/>
  <c r="N40"/>
  <c r="N45"/>
  <c r="N41"/>
  <c r="N46"/>
  <c r="N42"/>
  <c r="I11"/>
  <c r="AD787" i="9"/>
  <c r="AE787" s="1"/>
  <c r="G39" i="29"/>
  <c r="M253" i="36"/>
  <c r="I10" i="29"/>
  <c r="AD786" i="9"/>
  <c r="AE786" s="1"/>
  <c r="AD594"/>
  <c r="AE594" s="1"/>
  <c r="S22" i="8"/>
  <c r="Q22"/>
  <c r="R22"/>
  <c r="L65" i="33"/>
  <c r="AD22" i="9"/>
  <c r="AE22" s="1"/>
  <c r="Z159"/>
  <c r="AA159" s="1"/>
  <c r="AD63"/>
  <c r="AE63" s="1"/>
  <c r="E106" i="8"/>
  <c r="AA135" i="9"/>
  <c r="W115"/>
  <c r="P10" i="36"/>
  <c r="X238" i="19"/>
  <c r="Z238" s="1"/>
  <c r="Z114" i="9"/>
  <c r="AU114"/>
  <c r="AC6" i="6" s="1"/>
  <c r="Z23" i="9"/>
  <c r="AA23" s="1"/>
  <c r="E100" i="8"/>
  <c r="AA12" i="9"/>
  <c r="F100" i="8" s="1"/>
  <c r="AU13" i="9"/>
  <c r="AD304"/>
  <c r="AE304" s="1"/>
  <c r="AU304"/>
  <c r="Z304"/>
  <c r="AA304" s="1"/>
  <c r="BF116"/>
  <c r="BE116" s="1"/>
  <c r="BB116" s="1"/>
  <c r="BE306"/>
  <c r="BF307"/>
  <c r="BF402"/>
  <c r="BE402" s="1"/>
  <c r="BF751"/>
  <c r="BE751" s="1"/>
  <c r="BF817"/>
  <c r="BE817" s="1"/>
  <c r="BF24"/>
  <c r="BE24" s="1"/>
  <c r="BF856"/>
  <c r="BF799"/>
  <c r="BE799" s="1"/>
  <c r="BF222"/>
  <c r="BE222" s="1"/>
  <c r="BF867"/>
  <c r="BE867" s="1"/>
  <c r="BF14"/>
  <c r="BE14" s="1"/>
  <c r="BB14" s="1"/>
  <c r="BF596"/>
  <c r="BE596" s="1"/>
  <c r="BF480"/>
  <c r="BE480" s="1"/>
  <c r="BF561"/>
  <c r="BE561" s="1"/>
  <c r="J65" i="33"/>
  <c r="M65"/>
  <c r="Q65" s="1"/>
  <c r="BF160" i="9"/>
  <c r="BE160" s="1"/>
  <c r="BE64"/>
  <c r="BB64" s="1"/>
  <c r="AC425" i="12"/>
  <c r="U529"/>
  <c r="G529"/>
  <c r="Y529"/>
  <c r="K529"/>
  <c r="D529"/>
  <c r="V529"/>
  <c r="H529"/>
  <c r="I529"/>
  <c r="E259" i="20"/>
  <c r="H259"/>
  <c r="O259"/>
  <c r="F259"/>
  <c r="J259"/>
  <c r="Q259"/>
  <c r="D260"/>
  <c r="J529" i="12"/>
  <c r="S529"/>
  <c r="F529"/>
  <c r="Z529"/>
  <c r="W529"/>
  <c r="M529"/>
  <c r="E529"/>
  <c r="AA529"/>
  <c r="N529"/>
  <c r="P529"/>
  <c r="T529"/>
  <c r="X529"/>
  <c r="O529"/>
  <c r="Q529"/>
  <c r="R529"/>
  <c r="L529"/>
  <c r="N259" i="20"/>
  <c r="S259"/>
  <c r="I259"/>
  <c r="R259"/>
  <c r="P259"/>
  <c r="K259"/>
  <c r="T259"/>
  <c r="L259"/>
  <c r="G259"/>
  <c r="M260"/>
  <c r="N425" i="12" l="1"/>
  <c r="I196"/>
  <c r="J38" i="6"/>
  <c r="M93" i="36"/>
  <c r="M251"/>
  <c r="Y93"/>
  <c r="F15" i="29"/>
  <c r="O93" i="36"/>
  <c r="V93"/>
  <c r="D425" i="12"/>
  <c r="T93" i="36"/>
  <c r="Q93" s="1"/>
  <c r="AD93"/>
  <c r="L222" i="12"/>
  <c r="C426" s="1"/>
  <c r="R222"/>
  <c r="Q222"/>
  <c r="O222"/>
  <c r="B426" s="1"/>
  <c r="X222"/>
  <c r="T222"/>
  <c r="P222"/>
  <c r="N222"/>
  <c r="AA222"/>
  <c r="E222"/>
  <c r="M222"/>
  <c r="AB426" s="1"/>
  <c r="W222"/>
  <c r="Z222"/>
  <c r="F222"/>
  <c r="S222"/>
  <c r="J222"/>
  <c r="I222"/>
  <c r="H222"/>
  <c r="V222"/>
  <c r="M426" s="1"/>
  <c r="V530"/>
  <c r="V531" s="1"/>
  <c r="D222"/>
  <c r="D426" s="1"/>
  <c r="K222"/>
  <c r="Y222"/>
  <c r="G222"/>
  <c r="U222"/>
  <c r="Q503" i="20"/>
  <c r="BE136" i="9"/>
  <c r="BF137"/>
  <c r="J503" i="20"/>
  <c r="F503"/>
  <c r="O503"/>
  <c r="H503"/>
  <c r="E503"/>
  <c r="U503"/>
  <c r="U260"/>
  <c r="G503"/>
  <c r="V503"/>
  <c r="V260"/>
  <c r="L503"/>
  <c r="T503"/>
  <c r="K503"/>
  <c r="P503"/>
  <c r="R503"/>
  <c r="I503"/>
  <c r="S503"/>
  <c r="N503"/>
  <c r="C1058" i="32"/>
  <c r="M249" i="36"/>
  <c r="M267"/>
  <c r="F1058" i="32"/>
  <c r="Z595" i="9"/>
  <c r="AA595" s="1"/>
  <c r="AD595" s="1"/>
  <c r="AE595" s="1"/>
  <c r="V15" i="29"/>
  <c r="J39" i="6"/>
  <c r="B4" i="17" s="1"/>
  <c r="B23" s="1"/>
  <c r="B3"/>
  <c r="D504" i="20"/>
  <c r="W261"/>
  <c r="W504"/>
  <c r="M504"/>
  <c r="M250" i="36"/>
  <c r="M262"/>
  <c r="W24" i="9"/>
  <c r="Z24" s="1"/>
  <c r="AA24" s="1"/>
  <c r="BB24"/>
  <c r="V16" i="29"/>
  <c r="V7"/>
  <c r="G32"/>
  <c r="M245" i="36"/>
  <c r="G30" i="29"/>
  <c r="G31"/>
  <c r="V8"/>
  <c r="M269" i="36"/>
  <c r="M266"/>
  <c r="W40" i="19"/>
  <c r="Y40" s="1"/>
  <c r="AD158" i="9"/>
  <c r="AE158" s="1"/>
  <c r="P40" i="19" s="1"/>
  <c r="M268" i="36"/>
  <c r="V9" i="29"/>
  <c r="V14"/>
  <c r="W38" i="19"/>
  <c r="Y38" s="1"/>
  <c r="W160" i="9"/>
  <c r="AU160" s="1"/>
  <c r="BB160"/>
  <c r="Z401"/>
  <c r="AA401" s="1"/>
  <c r="BF907"/>
  <c r="BE907" s="1"/>
  <c r="BB907" s="1"/>
  <c r="W906"/>
  <c r="Z906" s="1"/>
  <c r="AA906" s="1"/>
  <c r="AU798"/>
  <c r="W596"/>
  <c r="Z596" s="1"/>
  <c r="AA596" s="1"/>
  <c r="BB596"/>
  <c r="AU750"/>
  <c r="AU221"/>
  <c r="AD855"/>
  <c r="AE855" s="1"/>
  <c r="AA851"/>
  <c r="AU479"/>
  <c r="AE559"/>
  <c r="AD401"/>
  <c r="AE401" s="1"/>
  <c r="AU560"/>
  <c r="AD816"/>
  <c r="AE816" s="1"/>
  <c r="AU855"/>
  <c r="Z866"/>
  <c r="AA866" s="1"/>
  <c r="AD866" s="1"/>
  <c r="AE866" s="1"/>
  <c r="AD243"/>
  <c r="AE243" s="1"/>
  <c r="W561"/>
  <c r="AU561" s="1"/>
  <c r="BB561"/>
  <c r="W867"/>
  <c r="Z867" s="1"/>
  <c r="AA867" s="1"/>
  <c r="BB867"/>
  <c r="W799"/>
  <c r="C96" i="8" s="1"/>
  <c r="BB799" i="9"/>
  <c r="W751"/>
  <c r="Z751" s="1"/>
  <c r="AA751" s="1"/>
  <c r="BB751"/>
  <c r="W480"/>
  <c r="AD480" s="1"/>
  <c r="AE480" s="1"/>
  <c r="BB480"/>
  <c r="W222"/>
  <c r="AD222" s="1"/>
  <c r="AE222" s="1"/>
  <c r="BB222"/>
  <c r="W817"/>
  <c r="AU817" s="1"/>
  <c r="BB817"/>
  <c r="W402"/>
  <c r="AU402" s="1"/>
  <c r="BB402"/>
  <c r="W306"/>
  <c r="BB306"/>
  <c r="W244"/>
  <c r="B245" s="1"/>
  <c r="BB244"/>
  <c r="AU243"/>
  <c r="AD842"/>
  <c r="AE842" s="1"/>
  <c r="BE845"/>
  <c r="BB845" s="1"/>
  <c r="BF846"/>
  <c r="D61" i="33"/>
  <c r="V23" i="36"/>
  <c r="X23" s="1"/>
  <c r="AI46" i="6"/>
  <c r="W844" i="9"/>
  <c r="Z843"/>
  <c r="AA843" s="1"/>
  <c r="AD843" s="1"/>
  <c r="AE843" s="1"/>
  <c r="AU843"/>
  <c r="BF245"/>
  <c r="BE245" s="1"/>
  <c r="BB245" s="1"/>
  <c r="Z244"/>
  <c r="AA244" s="1"/>
  <c r="AD750"/>
  <c r="AE750" s="1"/>
  <c r="AU895"/>
  <c r="Z895"/>
  <c r="AA895" s="1"/>
  <c r="AD895" s="1"/>
  <c r="AE895" s="1"/>
  <c r="AD798"/>
  <c r="AE798" s="1"/>
  <c r="J10" i="29"/>
  <c r="J11"/>
  <c r="I4"/>
  <c r="T226" i="36" s="1"/>
  <c r="AD788" i="9"/>
  <c r="AE788" s="1"/>
  <c r="AD560"/>
  <c r="AE560" s="1"/>
  <c r="AD479"/>
  <c r="AE479" s="1"/>
  <c r="AU596"/>
  <c r="AD159"/>
  <c r="AE159" s="1"/>
  <c r="Z402"/>
  <c r="AA402" s="1"/>
  <c r="AD13"/>
  <c r="AE13" s="1"/>
  <c r="AU222"/>
  <c r="Z160"/>
  <c r="AA160" s="1"/>
  <c r="F106" i="8"/>
  <c r="AD135" i="9"/>
  <c r="AE135" s="1"/>
  <c r="AD23"/>
  <c r="AE23" s="1"/>
  <c r="J124"/>
  <c r="P9" i="36"/>
  <c r="T484" s="1"/>
  <c r="X236" i="19"/>
  <c r="Z236" s="1"/>
  <c r="H110" i="9"/>
  <c r="O45" i="6"/>
  <c r="T17" i="29"/>
  <c r="P257" i="36" s="1"/>
  <c r="A475"/>
  <c r="H475" s="1"/>
  <c r="A469"/>
  <c r="H469" s="1"/>
  <c r="A473"/>
  <c r="H473" s="1"/>
  <c r="A468"/>
  <c r="H468" s="1"/>
  <c r="A472"/>
  <c r="H472" s="1"/>
  <c r="A467"/>
  <c r="H467" s="1"/>
  <c r="A471"/>
  <c r="H471" s="1"/>
  <c r="A466"/>
  <c r="H466" s="1"/>
  <c r="A470"/>
  <c r="H470" s="1"/>
  <c r="A474"/>
  <c r="H474" s="1"/>
  <c r="W116" i="9"/>
  <c r="AU115"/>
  <c r="Z115"/>
  <c r="AA115" s="1"/>
  <c r="AD115" s="1"/>
  <c r="AE115" s="1"/>
  <c r="AD12"/>
  <c r="BF117"/>
  <c r="BE117" s="1"/>
  <c r="C88" i="8"/>
  <c r="AU305" i="9"/>
  <c r="Z305"/>
  <c r="AD305"/>
  <c r="AE305" s="1"/>
  <c r="BE856"/>
  <c r="BB856" s="1"/>
  <c r="BE307"/>
  <c r="BF308"/>
  <c r="BF403"/>
  <c r="BE403" s="1"/>
  <c r="BF752"/>
  <c r="BE752" s="1"/>
  <c r="BF818"/>
  <c r="BE818" s="1"/>
  <c r="BF868"/>
  <c r="BE868" s="1"/>
  <c r="BF223"/>
  <c r="BE223" s="1"/>
  <c r="BF800"/>
  <c r="BF25"/>
  <c r="BE25" s="1"/>
  <c r="BF562"/>
  <c r="BE562" s="1"/>
  <c r="BF481"/>
  <c r="BF597"/>
  <c r="BE597" s="1"/>
  <c r="BE65"/>
  <c r="BF161"/>
  <c r="BE161" s="1"/>
  <c r="AC426" i="12"/>
  <c r="N426"/>
  <c r="R530"/>
  <c r="O530"/>
  <c r="X530"/>
  <c r="T530"/>
  <c r="P530"/>
  <c r="N530"/>
  <c r="AA530"/>
  <c r="E530"/>
  <c r="M530"/>
  <c r="W530"/>
  <c r="Z530"/>
  <c r="F530"/>
  <c r="J530"/>
  <c r="I530"/>
  <c r="H530"/>
  <c r="D530"/>
  <c r="K530"/>
  <c r="Y530"/>
  <c r="G530"/>
  <c r="U530"/>
  <c r="Q260" i="20"/>
  <c r="J260"/>
  <c r="O260"/>
  <c r="H260"/>
  <c r="E260"/>
  <c r="T260"/>
  <c r="K260"/>
  <c r="P260"/>
  <c r="R260"/>
  <c r="I260"/>
  <c r="S260"/>
  <c r="D261"/>
  <c r="F260"/>
  <c r="L260"/>
  <c r="L530" i="12"/>
  <c r="Q530"/>
  <c r="S530"/>
  <c r="G260" i="20"/>
  <c r="N260"/>
  <c r="M261"/>
  <c r="CQ426" i="12" l="1"/>
  <c r="X40" i="19"/>
  <c r="Z40" s="1"/>
  <c r="V223" i="12"/>
  <c r="M427" s="1"/>
  <c r="S223"/>
  <c r="Q223"/>
  <c r="L223"/>
  <c r="C427" s="1"/>
  <c r="U223"/>
  <c r="G223"/>
  <c r="Y223"/>
  <c r="K223"/>
  <c r="D223"/>
  <c r="D427" s="1"/>
  <c r="H223"/>
  <c r="I223"/>
  <c r="J223"/>
  <c r="F223"/>
  <c r="Z223"/>
  <c r="W223"/>
  <c r="M223"/>
  <c r="AC427" s="1"/>
  <c r="E223"/>
  <c r="AA223"/>
  <c r="N223"/>
  <c r="P223"/>
  <c r="T531"/>
  <c r="T532" s="1"/>
  <c r="T223"/>
  <c r="X223"/>
  <c r="O223"/>
  <c r="N427" s="1"/>
  <c r="R223"/>
  <c r="I504" i="20"/>
  <c r="P504"/>
  <c r="T504"/>
  <c r="E504"/>
  <c r="H504"/>
  <c r="O504"/>
  <c r="J504"/>
  <c r="W136" i="9"/>
  <c r="BB136"/>
  <c r="Q504" i="20"/>
  <c r="S504"/>
  <c r="R504"/>
  <c r="K504"/>
  <c r="V261"/>
  <c r="V504"/>
  <c r="U504"/>
  <c r="U261"/>
  <c r="N504"/>
  <c r="L504"/>
  <c r="G504"/>
  <c r="F504"/>
  <c r="BE137" i="9"/>
  <c r="BF138"/>
  <c r="M505" i="20"/>
  <c r="D505"/>
  <c r="W505"/>
  <c r="W262"/>
  <c r="AU24" i="9"/>
  <c r="AU244"/>
  <c r="AD244"/>
  <c r="AE244" s="1"/>
  <c r="W65"/>
  <c r="BB65"/>
  <c r="W25"/>
  <c r="BB25"/>
  <c r="X39" i="19"/>
  <c r="Z39" s="1"/>
  <c r="X38"/>
  <c r="Z38" s="1"/>
  <c r="AD906" i="9"/>
  <c r="AE906" s="1"/>
  <c r="AU906"/>
  <c r="AU751"/>
  <c r="O29" i="36"/>
  <c r="AU480" i="9"/>
  <c r="AD402"/>
  <c r="AE402" s="1"/>
  <c r="Z561"/>
  <c r="AA561" s="1"/>
  <c r="AD561" s="1"/>
  <c r="AE561" s="1"/>
  <c r="AU799"/>
  <c r="AD817"/>
  <c r="AE817" s="1"/>
  <c r="AD867"/>
  <c r="AE867" s="1"/>
  <c r="W161"/>
  <c r="Z161" s="1"/>
  <c r="AA161" s="1"/>
  <c r="BB161"/>
  <c r="W223"/>
  <c r="AU223" s="1"/>
  <c r="BB223"/>
  <c r="W818"/>
  <c r="AD818" s="1"/>
  <c r="AE818" s="1"/>
  <c r="BB818"/>
  <c r="W403"/>
  <c r="AU403" s="1"/>
  <c r="BB403"/>
  <c r="W307"/>
  <c r="BB307"/>
  <c r="W597"/>
  <c r="O150" i="36" s="1"/>
  <c r="L150" s="1"/>
  <c r="BB597" i="9"/>
  <c r="W562"/>
  <c r="AU562" s="1"/>
  <c r="BB562"/>
  <c r="W868"/>
  <c r="Z868" s="1"/>
  <c r="AA868" s="1"/>
  <c r="BB868"/>
  <c r="W752"/>
  <c r="AU752" s="1"/>
  <c r="BB752"/>
  <c r="W117"/>
  <c r="AD117" s="1"/>
  <c r="AE117" s="1"/>
  <c r="BB117"/>
  <c r="Z480"/>
  <c r="AA480" s="1"/>
  <c r="Z799"/>
  <c r="AA799" s="1"/>
  <c r="AD799" s="1"/>
  <c r="AU867"/>
  <c r="V24" i="36"/>
  <c r="X24" s="1"/>
  <c r="X25" s="1"/>
  <c r="AI45" i="6"/>
  <c r="D60" i="33"/>
  <c r="G100" i="8"/>
  <c r="AE12" i="9"/>
  <c r="BE481"/>
  <c r="BF482"/>
  <c r="AD596"/>
  <c r="AE596" s="1"/>
  <c r="W845"/>
  <c r="AU844"/>
  <c r="Z844"/>
  <c r="AA844" s="1"/>
  <c r="AD844" s="1"/>
  <c r="AE844" s="1"/>
  <c r="BE846"/>
  <c r="BB846" s="1"/>
  <c r="BF847"/>
  <c r="BE847" s="1"/>
  <c r="BB847" s="1"/>
  <c r="BF246"/>
  <c r="BE246" s="1"/>
  <c r="J4" i="29"/>
  <c r="V226" i="36" s="1"/>
  <c r="X226" s="1"/>
  <c r="AD751" i="9"/>
  <c r="AE751" s="1"/>
  <c r="P39" i="19"/>
  <c r="P38"/>
  <c r="AD160" i="9"/>
  <c r="AE160" s="1"/>
  <c r="AD223"/>
  <c r="AE223" s="1"/>
  <c r="G106" i="8"/>
  <c r="AU116" i="9"/>
  <c r="AD116"/>
  <c r="AE116" s="1"/>
  <c r="Z116"/>
  <c r="AF14" i="6"/>
  <c r="Z65" i="9"/>
  <c r="AA65" s="1"/>
  <c r="AU65"/>
  <c r="AU25"/>
  <c r="Z25"/>
  <c r="AA25" s="1"/>
  <c r="AD24"/>
  <c r="AE24" s="1"/>
  <c r="BF118"/>
  <c r="BE118" s="1"/>
  <c r="E88" i="8"/>
  <c r="AA305" i="9"/>
  <c r="F88" i="8" s="1"/>
  <c r="G88"/>
  <c r="AD306" i="9"/>
  <c r="AE306" s="1"/>
  <c r="AU306"/>
  <c r="Z306"/>
  <c r="AA306" s="1"/>
  <c r="BE308"/>
  <c r="BF309"/>
  <c r="BE800"/>
  <c r="BB800" s="1"/>
  <c r="BF404"/>
  <c r="BE404" s="1"/>
  <c r="BF753"/>
  <c r="BE753" s="1"/>
  <c r="BF819"/>
  <c r="BE819" s="1"/>
  <c r="BF869"/>
  <c r="BE869" s="1"/>
  <c r="BF26"/>
  <c r="BE26" s="1"/>
  <c r="BF224"/>
  <c r="BE224" s="1"/>
  <c r="BF879"/>
  <c r="BE879" s="1"/>
  <c r="BF598"/>
  <c r="BE598" s="1"/>
  <c r="V532" i="12"/>
  <c r="V224"/>
  <c r="M428" s="1"/>
  <c r="T224"/>
  <c r="BF162" i="9"/>
  <c r="BE162" s="1"/>
  <c r="BF66"/>
  <c r="BE66" s="1"/>
  <c r="AB427" i="12"/>
  <c r="CQ427"/>
  <c r="Q531"/>
  <c r="L531"/>
  <c r="U531"/>
  <c r="G531"/>
  <c r="K531"/>
  <c r="D531"/>
  <c r="H531"/>
  <c r="I531"/>
  <c r="J531"/>
  <c r="F531"/>
  <c r="M531"/>
  <c r="AA531"/>
  <c r="N531"/>
  <c r="P531"/>
  <c r="O531"/>
  <c r="R531"/>
  <c r="I261" i="20"/>
  <c r="P261"/>
  <c r="T261"/>
  <c r="E261"/>
  <c r="H261"/>
  <c r="O261"/>
  <c r="Q261"/>
  <c r="R261"/>
  <c r="K261"/>
  <c r="G261"/>
  <c r="D262"/>
  <c r="M262"/>
  <c r="F261"/>
  <c r="S531" i="12"/>
  <c r="Y531"/>
  <c r="Z531"/>
  <c r="W531"/>
  <c r="E531"/>
  <c r="X531"/>
  <c r="J261" i="20"/>
  <c r="S261"/>
  <c r="N261"/>
  <c r="L261"/>
  <c r="B427" i="12" l="1"/>
  <c r="AU868" i="9"/>
  <c r="X224" i="12"/>
  <c r="E224"/>
  <c r="W224"/>
  <c r="Z224"/>
  <c r="Y532"/>
  <c r="Y533" s="1"/>
  <c r="Y224"/>
  <c r="S224"/>
  <c r="S532"/>
  <c r="S225" s="1"/>
  <c r="R532"/>
  <c r="R533" s="1"/>
  <c r="R224"/>
  <c r="O224"/>
  <c r="N428" s="1"/>
  <c r="P224"/>
  <c r="N224"/>
  <c r="AA224"/>
  <c r="M224"/>
  <c r="AC428" s="1"/>
  <c r="F224"/>
  <c r="J224"/>
  <c r="I224"/>
  <c r="H224"/>
  <c r="D224"/>
  <c r="D428" s="1"/>
  <c r="K224"/>
  <c r="G224"/>
  <c r="U224"/>
  <c r="L224"/>
  <c r="C428" s="1"/>
  <c r="Q224"/>
  <c r="BB137" i="9"/>
  <c r="W137"/>
  <c r="G505" i="20"/>
  <c r="U262"/>
  <c r="U505"/>
  <c r="K505"/>
  <c r="R505"/>
  <c r="Q505"/>
  <c r="Z136" i="9"/>
  <c r="AA136" s="1"/>
  <c r="AD136" s="1"/>
  <c r="AE136" s="1"/>
  <c r="AU136"/>
  <c r="O505" i="20"/>
  <c r="H505"/>
  <c r="E505"/>
  <c r="T505"/>
  <c r="P505"/>
  <c r="I505"/>
  <c r="BE138" i="9"/>
  <c r="BF139"/>
  <c r="F505" i="20"/>
  <c r="L505"/>
  <c r="N505"/>
  <c r="V505"/>
  <c r="V262"/>
  <c r="S505"/>
  <c r="J505"/>
  <c r="W506"/>
  <c r="W263"/>
  <c r="D506"/>
  <c r="M506"/>
  <c r="W66" i="9"/>
  <c r="Z66" s="1"/>
  <c r="AA66" s="1"/>
  <c r="BB66"/>
  <c r="W26"/>
  <c r="AU26" s="1"/>
  <c r="BB26"/>
  <c r="AD597"/>
  <c r="AE597" s="1"/>
  <c r="AU117"/>
  <c r="AF8" i="6"/>
  <c r="AD8" s="1"/>
  <c r="AD10" s="1"/>
  <c r="AU161" i="9"/>
  <c r="AU597"/>
  <c r="Z752"/>
  <c r="AA752" s="1"/>
  <c r="AD752" s="1"/>
  <c r="AE752" s="1"/>
  <c r="E96" i="8"/>
  <c r="AU818" i="9"/>
  <c r="Z403"/>
  <c r="AA403" s="1"/>
  <c r="Z562"/>
  <c r="AA562" s="1"/>
  <c r="AD562" s="1"/>
  <c r="AE562" s="1"/>
  <c r="W162"/>
  <c r="AU162" s="1"/>
  <c r="BB162"/>
  <c r="W598"/>
  <c r="Z598" s="1"/>
  <c r="AA598" s="1"/>
  <c r="BB598"/>
  <c r="W224"/>
  <c r="AU224" s="1"/>
  <c r="BB224"/>
  <c r="W869"/>
  <c r="AU869" s="1"/>
  <c r="BB869"/>
  <c r="W753"/>
  <c r="AU753" s="1"/>
  <c r="BB753"/>
  <c r="W308"/>
  <c r="BB308"/>
  <c r="W879"/>
  <c r="Z879" s="1"/>
  <c r="AA879" s="1"/>
  <c r="BB879"/>
  <c r="W819"/>
  <c r="AU819" s="1"/>
  <c r="BB819"/>
  <c r="W404"/>
  <c r="Z404" s="1"/>
  <c r="AA404" s="1"/>
  <c r="BB404"/>
  <c r="W118"/>
  <c r="B120" s="1"/>
  <c r="BB118"/>
  <c r="W246"/>
  <c r="Z246" s="1"/>
  <c r="AA246" s="1"/>
  <c r="BB246"/>
  <c r="W481"/>
  <c r="Z481" s="1"/>
  <c r="AA481" s="1"/>
  <c r="BB481"/>
  <c r="Z117"/>
  <c r="AD403"/>
  <c r="AE403" s="1"/>
  <c r="Z597"/>
  <c r="AA597" s="1"/>
  <c r="T150" i="36" s="1"/>
  <c r="V150" s="1"/>
  <c r="X150" s="1"/>
  <c r="V25"/>
  <c r="AU481" i="9"/>
  <c r="I59" i="33"/>
  <c r="AE799" i="9"/>
  <c r="Z845"/>
  <c r="C99" i="8"/>
  <c r="AU845" i="9"/>
  <c r="W846"/>
  <c r="AD868"/>
  <c r="AE868" s="1"/>
  <c r="BF247"/>
  <c r="BE247" s="1"/>
  <c r="V29" i="36"/>
  <c r="L489" s="1"/>
  <c r="G96" i="8"/>
  <c r="F96"/>
  <c r="T29" i="36"/>
  <c r="B794" i="9"/>
  <c r="N794" s="1"/>
  <c r="AD44" i="6"/>
  <c r="W34" s="1"/>
  <c r="AD25" i="9"/>
  <c r="AE25" s="1"/>
  <c r="AD65"/>
  <c r="AE65" s="1"/>
  <c r="AD161"/>
  <c r="AE161" s="1"/>
  <c r="AD16" i="6"/>
  <c r="AF15"/>
  <c r="AD15"/>
  <c r="Z26" i="9"/>
  <c r="AA26" s="1"/>
  <c r="BF119"/>
  <c r="BE119" s="1"/>
  <c r="BB119" s="1"/>
  <c r="AD307"/>
  <c r="AE307" s="1"/>
  <c r="AU307"/>
  <c r="Z307"/>
  <c r="AA307" s="1"/>
  <c r="BE309"/>
  <c r="BF310"/>
  <c r="BF405"/>
  <c r="BE405" s="1"/>
  <c r="BF754"/>
  <c r="BE754" s="1"/>
  <c r="BF820"/>
  <c r="BE820" s="1"/>
  <c r="BF225"/>
  <c r="BE225" s="1"/>
  <c r="BF27"/>
  <c r="BE27" s="1"/>
  <c r="BF870"/>
  <c r="BE870" s="1"/>
  <c r="BF599"/>
  <c r="BE599" s="1"/>
  <c r="BF563"/>
  <c r="BE563" s="1"/>
  <c r="BE482"/>
  <c r="BB482" s="1"/>
  <c r="T533" i="12"/>
  <c r="T225"/>
  <c r="V533"/>
  <c r="V225"/>
  <c r="M429" s="1"/>
  <c r="S533"/>
  <c r="BF67" i="9"/>
  <c r="BF163"/>
  <c r="BE163" s="1"/>
  <c r="CQ428" i="12"/>
  <c r="X532"/>
  <c r="E532"/>
  <c r="W532"/>
  <c r="Z532"/>
  <c r="O532"/>
  <c r="P532"/>
  <c r="N532"/>
  <c r="AA532"/>
  <c r="M532"/>
  <c r="F532"/>
  <c r="J532"/>
  <c r="I532"/>
  <c r="H532"/>
  <c r="K532"/>
  <c r="G532"/>
  <c r="U532"/>
  <c r="L532"/>
  <c r="G262" i="20"/>
  <c r="R262"/>
  <c r="Q262"/>
  <c r="F262"/>
  <c r="S262"/>
  <c r="J262"/>
  <c r="M263"/>
  <c r="D263"/>
  <c r="H262"/>
  <c r="T262"/>
  <c r="I262"/>
  <c r="N262"/>
  <c r="D532" i="12"/>
  <c r="Q532"/>
  <c r="K262" i="20"/>
  <c r="O262"/>
  <c r="E262"/>
  <c r="P262"/>
  <c r="L262"/>
  <c r="B428" i="12" l="1"/>
  <c r="R225"/>
  <c r="AB428"/>
  <c r="Y225"/>
  <c r="Q225"/>
  <c r="D225"/>
  <c r="D429" s="1"/>
  <c r="D419"/>
  <c r="AD68"/>
  <c r="M68" i="36" s="1"/>
  <c r="L225" i="12"/>
  <c r="C429" s="1"/>
  <c r="U225"/>
  <c r="G225"/>
  <c r="K225"/>
  <c r="H225"/>
  <c r="I225"/>
  <c r="J225"/>
  <c r="F225"/>
  <c r="M225"/>
  <c r="AC429" s="1"/>
  <c r="AA225"/>
  <c r="N225"/>
  <c r="P225"/>
  <c r="O225"/>
  <c r="N429" s="1"/>
  <c r="Z225"/>
  <c r="W225"/>
  <c r="W533"/>
  <c r="W534" s="1"/>
  <c r="E225"/>
  <c r="X225"/>
  <c r="J506" i="20"/>
  <c r="S506"/>
  <c r="BE139" i="9"/>
  <c r="BF140"/>
  <c r="Q506" i="20"/>
  <c r="G506"/>
  <c r="F506"/>
  <c r="R506"/>
  <c r="V506"/>
  <c r="V263"/>
  <c r="N506"/>
  <c r="L506"/>
  <c r="BB138" i="9"/>
  <c r="W138"/>
  <c r="I506" i="20"/>
  <c r="P506"/>
  <c r="T506"/>
  <c r="E506"/>
  <c r="H506"/>
  <c r="O506"/>
  <c r="K506"/>
  <c r="U506"/>
  <c r="U263"/>
  <c r="Z137" i="9"/>
  <c r="AA137" s="1"/>
  <c r="AD137" s="1"/>
  <c r="AE137" s="1"/>
  <c r="AU137"/>
  <c r="AU66"/>
  <c r="AD9" i="6"/>
  <c r="M507" i="20"/>
  <c r="W264"/>
  <c r="W507"/>
  <c r="D507"/>
  <c r="Z162" i="9"/>
  <c r="AA162" s="1"/>
  <c r="AD162" s="1"/>
  <c r="AE162" s="1"/>
  <c r="AD404"/>
  <c r="AE404" s="1"/>
  <c r="AU598"/>
  <c r="W27"/>
  <c r="AU27" s="1"/>
  <c r="BB27"/>
  <c r="S4" i="36"/>
  <c r="AD118" i="9"/>
  <c r="AE118" s="1"/>
  <c r="Z118"/>
  <c r="AU118"/>
  <c r="AF9" i="6"/>
  <c r="AF11" s="1"/>
  <c r="AD12"/>
  <c r="AD819" i="9"/>
  <c r="AE819" s="1"/>
  <c r="AU879"/>
  <c r="AD224"/>
  <c r="AE224" s="1"/>
  <c r="AU404"/>
  <c r="AD598"/>
  <c r="AE598" s="1"/>
  <c r="Z753"/>
  <c r="AA753" s="1"/>
  <c r="AD753" s="1"/>
  <c r="AE753" s="1"/>
  <c r="Z869"/>
  <c r="AA869" s="1"/>
  <c r="AD481"/>
  <c r="AE481" s="1"/>
  <c r="W599"/>
  <c r="AD599" s="1"/>
  <c r="AE599" s="1"/>
  <c r="BB599"/>
  <c r="W820"/>
  <c r="AU820" s="1"/>
  <c r="BB820"/>
  <c r="W405"/>
  <c r="AU405" s="1"/>
  <c r="BB405"/>
  <c r="W309"/>
  <c r="BB309"/>
  <c r="W247"/>
  <c r="AD247" s="1"/>
  <c r="AE247" s="1"/>
  <c r="BB247"/>
  <c r="W163"/>
  <c r="T145" i="19" s="1"/>
  <c r="BB163" i="9"/>
  <c r="W563"/>
  <c r="Z563" s="1"/>
  <c r="AA563" s="1"/>
  <c r="BB563"/>
  <c r="W870"/>
  <c r="AU870" s="1"/>
  <c r="BB870"/>
  <c r="W225"/>
  <c r="AU225" s="1"/>
  <c r="BB225"/>
  <c r="W754"/>
  <c r="AU754" s="1"/>
  <c r="BB754"/>
  <c r="B119"/>
  <c r="AD246"/>
  <c r="AE246" s="1"/>
  <c r="AU246"/>
  <c r="BF248"/>
  <c r="BE248" s="1"/>
  <c r="Z247"/>
  <c r="AA247" s="1"/>
  <c r="BE67"/>
  <c r="BF68"/>
  <c r="Z846"/>
  <c r="AA846" s="1"/>
  <c r="AU846"/>
  <c r="AD846"/>
  <c r="AE846" s="1"/>
  <c r="AA845"/>
  <c r="E99" i="8"/>
  <c r="AD869" i="9"/>
  <c r="AE869" s="1"/>
  <c r="X29" i="36"/>
  <c r="AU247" i="9"/>
  <c r="AD879"/>
  <c r="AE879" s="1"/>
  <c r="AZ794"/>
  <c r="T9" i="33" s="1"/>
  <c r="AX794" i="9"/>
  <c r="T7" i="33" s="1"/>
  <c r="BA794" i="9"/>
  <c r="T5" i="33" s="1"/>
  <c r="AY794" i="9"/>
  <c r="T8" i="33" s="1"/>
  <c r="AU563" i="9"/>
  <c r="AG11" i="6"/>
  <c r="AD11"/>
  <c r="S6" i="36" s="1"/>
  <c r="S5"/>
  <c r="V291" s="1"/>
  <c r="J120" i="9"/>
  <c r="M2" i="17"/>
  <c r="J119" i="9"/>
  <c r="AD66"/>
  <c r="AE66" s="1"/>
  <c r="Z27"/>
  <c r="AA27" s="1"/>
  <c r="AD26"/>
  <c r="AE26" s="1"/>
  <c r="BF120"/>
  <c r="BE120" s="1"/>
  <c r="BB120" s="1"/>
  <c r="AU308"/>
  <c r="Z308"/>
  <c r="AA308" s="1"/>
  <c r="AD308"/>
  <c r="AE308" s="1"/>
  <c r="BE310"/>
  <c r="BF311"/>
  <c r="BF406"/>
  <c r="BE406" s="1"/>
  <c r="BF755"/>
  <c r="BE755" s="1"/>
  <c r="BF821"/>
  <c r="BE821" s="1"/>
  <c r="BF871"/>
  <c r="BE871" s="1"/>
  <c r="BF226"/>
  <c r="BE226" s="1"/>
  <c r="BF28"/>
  <c r="BE28" s="1"/>
  <c r="BF483"/>
  <c r="BE483" s="1"/>
  <c r="BF600"/>
  <c r="BE600" s="1"/>
  <c r="BF564"/>
  <c r="BE564" s="1"/>
  <c r="BF164"/>
  <c r="BE164" s="1"/>
  <c r="R534" i="12"/>
  <c r="R226"/>
  <c r="Y534"/>
  <c r="Y226"/>
  <c r="S534"/>
  <c r="S226"/>
  <c r="V534"/>
  <c r="V226"/>
  <c r="M430" s="1"/>
  <c r="T534"/>
  <c r="T226"/>
  <c r="W226"/>
  <c r="AD68" i="36"/>
  <c r="T68"/>
  <c r="Q68" s="1"/>
  <c r="AA68"/>
  <c r="B429" i="12"/>
  <c r="CQ429"/>
  <c r="Q533"/>
  <c r="D533"/>
  <c r="L533"/>
  <c r="U533"/>
  <c r="G533"/>
  <c r="H533"/>
  <c r="J533"/>
  <c r="F533"/>
  <c r="M533"/>
  <c r="AA533"/>
  <c r="O533"/>
  <c r="Z533"/>
  <c r="E533"/>
  <c r="Q263" i="20"/>
  <c r="F263"/>
  <c r="R263"/>
  <c r="N263"/>
  <c r="L263"/>
  <c r="I263"/>
  <c r="P263"/>
  <c r="T263"/>
  <c r="O263"/>
  <c r="K263"/>
  <c r="D264"/>
  <c r="M264"/>
  <c r="K533" i="12"/>
  <c r="I533"/>
  <c r="N533"/>
  <c r="P533"/>
  <c r="X533"/>
  <c r="J263" i="20"/>
  <c r="S263"/>
  <c r="G263"/>
  <c r="E263"/>
  <c r="H263"/>
  <c r="V68" i="36" l="1"/>
  <c r="O68"/>
  <c r="Y68"/>
  <c r="AB429" i="12"/>
  <c r="X226"/>
  <c r="P226"/>
  <c r="N226"/>
  <c r="I226"/>
  <c r="K226"/>
  <c r="E226"/>
  <c r="Z226"/>
  <c r="O226"/>
  <c r="N430" s="1"/>
  <c r="AA534"/>
  <c r="AA535" s="1"/>
  <c r="AA226"/>
  <c r="M226"/>
  <c r="AC430" s="1"/>
  <c r="F226"/>
  <c r="J226"/>
  <c r="H226"/>
  <c r="G226"/>
  <c r="U226"/>
  <c r="L226"/>
  <c r="C430" s="1"/>
  <c r="D226"/>
  <c r="CQ430" s="1"/>
  <c r="D534"/>
  <c r="D535" s="1"/>
  <c r="Q226"/>
  <c r="U264" i="20"/>
  <c r="U507"/>
  <c r="K507"/>
  <c r="O507"/>
  <c r="T507"/>
  <c r="P507"/>
  <c r="I507"/>
  <c r="L507"/>
  <c r="N507"/>
  <c r="V264"/>
  <c r="V507"/>
  <c r="R507"/>
  <c r="F507"/>
  <c r="Q507"/>
  <c r="BB139" i="9"/>
  <c r="W139"/>
  <c r="H507" i="20"/>
  <c r="E507"/>
  <c r="AU138" i="9"/>
  <c r="Z138"/>
  <c r="AA138" s="1"/>
  <c r="AD138" s="1"/>
  <c r="AE138" s="1"/>
  <c r="G507" i="20"/>
  <c r="BE140" i="9"/>
  <c r="BF141"/>
  <c r="S507" i="20"/>
  <c r="J507"/>
  <c r="D508"/>
  <c r="W265"/>
  <c r="W508"/>
  <c r="M508"/>
  <c r="O141" i="36"/>
  <c r="L141" s="1"/>
  <c r="W67" i="9"/>
  <c r="Z67" s="1"/>
  <c r="BB67"/>
  <c r="W28"/>
  <c r="BB28"/>
  <c r="AU163"/>
  <c r="R145" i="19"/>
  <c r="U145" s="1"/>
  <c r="AD405" i="9"/>
  <c r="AE405" s="1"/>
  <c r="AD225"/>
  <c r="AE225" s="1"/>
  <c r="Z405"/>
  <c r="AA405" s="1"/>
  <c r="AU599"/>
  <c r="AD820"/>
  <c r="AE820" s="1"/>
  <c r="H39" i="36"/>
  <c r="Z754" i="9"/>
  <c r="AA754" s="1"/>
  <c r="AD754" s="1"/>
  <c r="AE754" s="1"/>
  <c r="Z870"/>
  <c r="AA870" s="1"/>
  <c r="AD870" s="1"/>
  <c r="AE870" s="1"/>
  <c r="W164"/>
  <c r="R103" i="19" s="1"/>
  <c r="U103" s="1"/>
  <c r="BB164" i="9"/>
  <c r="W600"/>
  <c r="AU600" s="1"/>
  <c r="BB600"/>
  <c r="W871"/>
  <c r="AU871" s="1"/>
  <c r="BB871"/>
  <c r="W755"/>
  <c r="AU755" s="1"/>
  <c r="BB755"/>
  <c r="W564"/>
  <c r="Z564" s="1"/>
  <c r="AA564" s="1"/>
  <c r="BB564"/>
  <c r="W483"/>
  <c r="AU483" s="1"/>
  <c r="BB483"/>
  <c r="W226"/>
  <c r="AD226" s="1"/>
  <c r="AE226" s="1"/>
  <c r="BB226"/>
  <c r="W821"/>
  <c r="AD821" s="1"/>
  <c r="AE821" s="1"/>
  <c r="BB821"/>
  <c r="W406"/>
  <c r="Z406" s="1"/>
  <c r="AA406" s="1"/>
  <c r="BB406"/>
  <c r="W310"/>
  <c r="BB310"/>
  <c r="W248"/>
  <c r="AU248" s="1"/>
  <c r="BB248"/>
  <c r="Z163"/>
  <c r="AA163" s="1"/>
  <c r="W145" i="19" s="1"/>
  <c r="Y145" s="1"/>
  <c r="Z599" i="9"/>
  <c r="Z618" s="1"/>
  <c r="AA618" s="1"/>
  <c r="C95" i="8"/>
  <c r="BF249" i="9"/>
  <c r="BE249" s="1"/>
  <c r="AU67"/>
  <c r="AD67"/>
  <c r="AE67" s="1"/>
  <c r="F99" i="8"/>
  <c r="AD845" i="9"/>
  <c r="AE845" s="1"/>
  <c r="Z871"/>
  <c r="AA871" s="1"/>
  <c r="AD563"/>
  <c r="AE563" s="1"/>
  <c r="Z614"/>
  <c r="AA614" s="1"/>
  <c r="Z606"/>
  <c r="AA606" s="1"/>
  <c r="Z619"/>
  <c r="AA619" s="1"/>
  <c r="Z611"/>
  <c r="AA611" s="1"/>
  <c r="Z603"/>
  <c r="AA603" s="1"/>
  <c r="Z620"/>
  <c r="AA620" s="1"/>
  <c r="Z612"/>
  <c r="AA612" s="1"/>
  <c r="Z604"/>
  <c r="AA604" s="1"/>
  <c r="Z617"/>
  <c r="AA617" s="1"/>
  <c r="Z609"/>
  <c r="AA609" s="1"/>
  <c r="Z601"/>
  <c r="AA601" s="1"/>
  <c r="AB141" i="36"/>
  <c r="AU406" i="9"/>
  <c r="AD27"/>
  <c r="AE27" s="1"/>
  <c r="K86" i="19"/>
  <c r="K18"/>
  <c r="K130"/>
  <c r="N130" s="1"/>
  <c r="K27"/>
  <c r="K160"/>
  <c r="K28"/>
  <c r="K36"/>
  <c r="K69"/>
  <c r="K139"/>
  <c r="N139" s="1"/>
  <c r="K66"/>
  <c r="K91"/>
  <c r="K112"/>
  <c r="N112" s="1"/>
  <c r="K59"/>
  <c r="K64"/>
  <c r="K131"/>
  <c r="N131" s="1"/>
  <c r="K141"/>
  <c r="N141" s="1"/>
  <c r="K35"/>
  <c r="K34"/>
  <c r="K21"/>
  <c r="K85"/>
  <c r="K95"/>
  <c r="K8"/>
  <c r="K51"/>
  <c r="K127"/>
  <c r="N127" s="1"/>
  <c r="K73"/>
  <c r="K32"/>
  <c r="K170"/>
  <c r="K58"/>
  <c r="K120"/>
  <c r="N120" s="1"/>
  <c r="K7"/>
  <c r="K30"/>
  <c r="K163"/>
  <c r="K52"/>
  <c r="K116"/>
  <c r="N116" s="1"/>
  <c r="K169"/>
  <c r="K55"/>
  <c r="N55" s="1"/>
  <c r="K47"/>
  <c r="K135"/>
  <c r="N135" s="1"/>
  <c r="K74"/>
  <c r="K25"/>
  <c r="K60"/>
  <c r="K44"/>
  <c r="K99"/>
  <c r="K6"/>
  <c r="K98"/>
  <c r="K92"/>
  <c r="K93"/>
  <c r="K100"/>
  <c r="K94"/>
  <c r="K68"/>
  <c r="K54"/>
  <c r="N54" s="1"/>
  <c r="K53"/>
  <c r="K164"/>
  <c r="K46"/>
  <c r="K45"/>
  <c r="K161"/>
  <c r="K168"/>
  <c r="K107"/>
  <c r="N107" s="1"/>
  <c r="K136"/>
  <c r="N136" s="1"/>
  <c r="K119"/>
  <c r="N119" s="1"/>
  <c r="K29"/>
  <c r="K5"/>
  <c r="K61"/>
  <c r="K166"/>
  <c r="K134"/>
  <c r="N134" s="1"/>
  <c r="K129"/>
  <c r="N129" s="1"/>
  <c r="K115"/>
  <c r="N115" s="1"/>
  <c r="K33"/>
  <c r="K20"/>
  <c r="K125"/>
  <c r="N125" s="1"/>
  <c r="K167"/>
  <c r="K111"/>
  <c r="N111" s="1"/>
  <c r="K137"/>
  <c r="N137" s="1"/>
  <c r="K56"/>
  <c r="N56" s="1"/>
  <c r="K126"/>
  <c r="N126" s="1"/>
  <c r="K165"/>
  <c r="K162"/>
  <c r="K108"/>
  <c r="N108" s="1"/>
  <c r="K38"/>
  <c r="N38" s="1"/>
  <c r="K17"/>
  <c r="K39"/>
  <c r="N39" s="1"/>
  <c r="K63"/>
  <c r="K101"/>
  <c r="K48"/>
  <c r="K42"/>
  <c r="K40"/>
  <c r="N40" s="1"/>
  <c r="K26"/>
  <c r="K43"/>
  <c r="K65"/>
  <c r="K49"/>
  <c r="K15"/>
  <c r="K12"/>
  <c r="K24"/>
  <c r="K103"/>
  <c r="K140"/>
  <c r="N140" s="1"/>
  <c r="K90"/>
  <c r="K72"/>
  <c r="K114"/>
  <c r="N114" s="1"/>
  <c r="K110"/>
  <c r="N110" s="1"/>
  <c r="K71"/>
  <c r="K106"/>
  <c r="N106" s="1"/>
  <c r="K78"/>
  <c r="K128"/>
  <c r="N128" s="1"/>
  <c r="K96"/>
  <c r="K76"/>
  <c r="K13"/>
  <c r="K11"/>
  <c r="K23"/>
  <c r="K102"/>
  <c r="K16"/>
  <c r="K97"/>
  <c r="K159"/>
  <c r="K158"/>
  <c r="K133"/>
  <c r="N133" s="1"/>
  <c r="K83"/>
  <c r="K14"/>
  <c r="K77"/>
  <c r="K10"/>
  <c r="K84"/>
  <c r="K118"/>
  <c r="N118" s="1"/>
  <c r="BF121" i="9"/>
  <c r="BE121" s="1"/>
  <c r="BB121" s="1"/>
  <c r="E95" i="8"/>
  <c r="AA67" i="9"/>
  <c r="F95" i="8" s="1"/>
  <c r="Z28" i="9"/>
  <c r="AA28" s="1"/>
  <c r="AU28"/>
  <c r="AU309"/>
  <c r="Z309"/>
  <c r="AA309" s="1"/>
  <c r="AD309"/>
  <c r="AE309" s="1"/>
  <c r="BE311"/>
  <c r="BF312"/>
  <c r="BF407"/>
  <c r="BE407" s="1"/>
  <c r="BF756"/>
  <c r="BE756" s="1"/>
  <c r="BF822"/>
  <c r="BE822" s="1"/>
  <c r="BF872"/>
  <c r="BE872" s="1"/>
  <c r="BF29"/>
  <c r="BE29" s="1"/>
  <c r="BB29" s="1"/>
  <c r="BF227"/>
  <c r="BF484"/>
  <c r="BE484" s="1"/>
  <c r="BF565"/>
  <c r="BE565" s="1"/>
  <c r="BF601"/>
  <c r="BE601" s="1"/>
  <c r="W535" i="12"/>
  <c r="W227"/>
  <c r="T535"/>
  <c r="T227"/>
  <c r="V535"/>
  <c r="V227"/>
  <c r="M431" s="1"/>
  <c r="S535"/>
  <c r="S227"/>
  <c r="Y535"/>
  <c r="Y227"/>
  <c r="R535"/>
  <c r="R227"/>
  <c r="BE68" i="9"/>
  <c r="BF165"/>
  <c r="BE165" s="1"/>
  <c r="D430" i="12"/>
  <c r="X534"/>
  <c r="N534"/>
  <c r="K534"/>
  <c r="E534"/>
  <c r="Z534"/>
  <c r="O534"/>
  <c r="F534"/>
  <c r="H534"/>
  <c r="G534"/>
  <c r="U534"/>
  <c r="L534"/>
  <c r="Q534"/>
  <c r="K264" i="20"/>
  <c r="I264"/>
  <c r="L264"/>
  <c r="R264"/>
  <c r="Q264"/>
  <c r="H264"/>
  <c r="E264"/>
  <c r="G264"/>
  <c r="S264"/>
  <c r="J264"/>
  <c r="P534" i="12"/>
  <c r="I534"/>
  <c r="M534"/>
  <c r="J534"/>
  <c r="O264" i="20"/>
  <c r="T264"/>
  <c r="P264"/>
  <c r="N264"/>
  <c r="F264"/>
  <c r="M265"/>
  <c r="D265"/>
  <c r="B430" i="12" l="1"/>
  <c r="AB430"/>
  <c r="AA227"/>
  <c r="D227"/>
  <c r="CQ431" s="1"/>
  <c r="J227"/>
  <c r="M227"/>
  <c r="AC431" s="1"/>
  <c r="I227"/>
  <c r="P227"/>
  <c r="Q227"/>
  <c r="L227"/>
  <c r="C431" s="1"/>
  <c r="U227"/>
  <c r="G227"/>
  <c r="H227"/>
  <c r="F227"/>
  <c r="O227"/>
  <c r="N431" s="1"/>
  <c r="Z535"/>
  <c r="Z228" s="1"/>
  <c r="Z227"/>
  <c r="E227"/>
  <c r="K227"/>
  <c r="N227"/>
  <c r="X227"/>
  <c r="J508" i="20"/>
  <c r="S508"/>
  <c r="BB140" i="9"/>
  <c r="W140"/>
  <c r="G508" i="20"/>
  <c r="E508"/>
  <c r="H508"/>
  <c r="Q508"/>
  <c r="R508"/>
  <c r="L508"/>
  <c r="I508"/>
  <c r="K508"/>
  <c r="BE141" i="9"/>
  <c r="BF142"/>
  <c r="AU139"/>
  <c r="Z139"/>
  <c r="AA139" s="1"/>
  <c r="AD139" s="1"/>
  <c r="AE139" s="1"/>
  <c r="F508" i="20"/>
  <c r="V265"/>
  <c r="V508"/>
  <c r="N508"/>
  <c r="P508"/>
  <c r="T508"/>
  <c r="O508"/>
  <c r="U265"/>
  <c r="U508"/>
  <c r="M509"/>
  <c r="W509"/>
  <c r="W266"/>
  <c r="D509"/>
  <c r="W68" i="9"/>
  <c r="Z68" s="1"/>
  <c r="AA68" s="1"/>
  <c r="BB68"/>
  <c r="T103" i="19"/>
  <c r="M103" s="1"/>
  <c r="N103" s="1"/>
  <c r="AK103" s="1"/>
  <c r="T78"/>
  <c r="M78" s="1"/>
  <c r="N78" s="1"/>
  <c r="R78"/>
  <c r="U78" s="1"/>
  <c r="AU226" i="9"/>
  <c r="AD406"/>
  <c r="AE406" s="1"/>
  <c r="Z483"/>
  <c r="AA483" s="1"/>
  <c r="AD483" s="1"/>
  <c r="AE483" s="1"/>
  <c r="Z755"/>
  <c r="AA755" s="1"/>
  <c r="AD755" s="1"/>
  <c r="AE755" s="1"/>
  <c r="AU564"/>
  <c r="AU821"/>
  <c r="Z605"/>
  <c r="AA605" s="1"/>
  <c r="Z613"/>
  <c r="AA613" s="1"/>
  <c r="Z600"/>
  <c r="AA600" s="1"/>
  <c r="AD600" s="1"/>
  <c r="AE600" s="1"/>
  <c r="Z608"/>
  <c r="AA608" s="1"/>
  <c r="Z616"/>
  <c r="AA616" s="1"/>
  <c r="AA599"/>
  <c r="T141" i="36" s="1"/>
  <c r="V141" s="1"/>
  <c r="X141" s="1"/>
  <c r="Z607" i="9"/>
  <c r="AA607" s="1"/>
  <c r="Z615"/>
  <c r="AA615" s="1"/>
  <c r="Z602"/>
  <c r="AA602" s="1"/>
  <c r="Z610"/>
  <c r="AA610" s="1"/>
  <c r="W165"/>
  <c r="AU165" s="1"/>
  <c r="BB165"/>
  <c r="W601"/>
  <c r="AU601" s="1"/>
  <c r="BB601"/>
  <c r="W484"/>
  <c r="AU484" s="1"/>
  <c r="BB484"/>
  <c r="W822"/>
  <c r="AU822" s="1"/>
  <c r="BB822"/>
  <c r="W407"/>
  <c r="Z407" s="1"/>
  <c r="AA407" s="1"/>
  <c r="BB407"/>
  <c r="W311"/>
  <c r="BB311"/>
  <c r="W249"/>
  <c r="Z249" s="1"/>
  <c r="AA249" s="1"/>
  <c r="BB249"/>
  <c r="W565"/>
  <c r="AU565" s="1"/>
  <c r="BB565"/>
  <c r="W872"/>
  <c r="Z872" s="1"/>
  <c r="AA872" s="1"/>
  <c r="BB872"/>
  <c r="W756"/>
  <c r="AU756" s="1"/>
  <c r="BB756"/>
  <c r="Z164"/>
  <c r="AA164" s="1"/>
  <c r="AD164" s="1"/>
  <c r="AU164"/>
  <c r="AD163"/>
  <c r="AE163" s="1"/>
  <c r="Z248"/>
  <c r="AA248" s="1"/>
  <c r="AD248"/>
  <c r="AE248" s="1"/>
  <c r="BF250"/>
  <c r="BE250" s="1"/>
  <c r="BB250" s="1"/>
  <c r="X145" i="19"/>
  <c r="Z145" s="1"/>
  <c r="BE227" i="9"/>
  <c r="BB227" s="1"/>
  <c r="BF228"/>
  <c r="G95" i="8"/>
  <c r="G99"/>
  <c r="AD871" i="9"/>
  <c r="AE871" s="1"/>
  <c r="AD564"/>
  <c r="AE564" s="1"/>
  <c r="M14" i="12"/>
  <c r="W121" i="9"/>
  <c r="BF122"/>
  <c r="BE122" s="1"/>
  <c r="AS128" i="19"/>
  <c r="AG128"/>
  <c r="AO128"/>
  <c r="AC128"/>
  <c r="AK128"/>
  <c r="AS106"/>
  <c r="AC106"/>
  <c r="AG106"/>
  <c r="AK106"/>
  <c r="AO106"/>
  <c r="AG110"/>
  <c r="AO110"/>
  <c r="AC110"/>
  <c r="AK110"/>
  <c r="AS110"/>
  <c r="AS140"/>
  <c r="AG140"/>
  <c r="AO140"/>
  <c r="AC140"/>
  <c r="AK140"/>
  <c r="AK137"/>
  <c r="AS137"/>
  <c r="AG137"/>
  <c r="AO137"/>
  <c r="AC137"/>
  <c r="AO115"/>
  <c r="O59" i="36" s="1"/>
  <c r="O501" s="1"/>
  <c r="AC115" i="19"/>
  <c r="O56" i="36" s="1"/>
  <c r="O498" s="1"/>
  <c r="AK115" i="19"/>
  <c r="O58" i="36" s="1"/>
  <c r="O500" s="1"/>
  <c r="AS115" i="19"/>
  <c r="O60" i="36" s="1"/>
  <c r="O502" s="1"/>
  <c r="AG115" i="19"/>
  <c r="O57" i="36" s="1"/>
  <c r="O499" s="1"/>
  <c r="AO134" i="19"/>
  <c r="AC134"/>
  <c r="AS134"/>
  <c r="AK134"/>
  <c r="AG134"/>
  <c r="AG136"/>
  <c r="AO136"/>
  <c r="AK136"/>
  <c r="AC136"/>
  <c r="AS136"/>
  <c r="S49" i="36"/>
  <c r="AS120" i="19"/>
  <c r="AG120"/>
  <c r="AO120"/>
  <c r="AC120"/>
  <c r="AK120"/>
  <c r="S50" i="36"/>
  <c r="AS131" i="19"/>
  <c r="AC131"/>
  <c r="AG131"/>
  <c r="AK131"/>
  <c r="AO131"/>
  <c r="AO130"/>
  <c r="AG130"/>
  <c r="AC130"/>
  <c r="AS130"/>
  <c r="AK130"/>
  <c r="S51" i="36"/>
  <c r="AC118" i="19"/>
  <c r="AK118"/>
  <c r="AS118"/>
  <c r="AG118"/>
  <c r="AO118"/>
  <c r="AO114"/>
  <c r="F59" i="36" s="1"/>
  <c r="F501" s="1"/>
  <c r="AS114" i="19"/>
  <c r="F60" i="36" s="1"/>
  <c r="F502" s="1"/>
  <c r="AC114" i="19"/>
  <c r="F56" i="36" s="1"/>
  <c r="F498" s="1"/>
  <c r="AG114" i="19"/>
  <c r="F57" i="36" s="1"/>
  <c r="F499" s="1"/>
  <c r="AK114" i="19"/>
  <c r="F58" i="36" s="1"/>
  <c r="F500" s="1"/>
  <c r="S47"/>
  <c r="AK108" i="19"/>
  <c r="AO108"/>
  <c r="AS108"/>
  <c r="AC108"/>
  <c r="AG108"/>
  <c r="AK111"/>
  <c r="AO111"/>
  <c r="AS111"/>
  <c r="AC111"/>
  <c r="AG111"/>
  <c r="AG129"/>
  <c r="AK129"/>
  <c r="AO129"/>
  <c r="AS129"/>
  <c r="AC129"/>
  <c r="AG119"/>
  <c r="AK119"/>
  <c r="AO119"/>
  <c r="AS119"/>
  <c r="AC119"/>
  <c r="AK107"/>
  <c r="AO107"/>
  <c r="AS107"/>
  <c r="AC107"/>
  <c r="AG107"/>
  <c r="S48" i="36"/>
  <c r="AG135" i="19"/>
  <c r="AC135"/>
  <c r="AK135"/>
  <c r="AS135"/>
  <c r="AO135"/>
  <c r="AO116"/>
  <c r="X59" i="36" s="1"/>
  <c r="X501" s="1"/>
  <c r="AS116" i="19"/>
  <c r="X60" i="36" s="1"/>
  <c r="X502" s="1"/>
  <c r="AC116" i="19"/>
  <c r="X56" i="36" s="1"/>
  <c r="X498" s="1"/>
  <c r="AG116" i="19"/>
  <c r="X57" i="36" s="1"/>
  <c r="X499" s="1"/>
  <c r="AK116" i="19"/>
  <c r="X58" i="36" s="1"/>
  <c r="X500" s="1"/>
  <c r="AS141" i="19"/>
  <c r="AK141"/>
  <c r="AG141"/>
  <c r="AO141"/>
  <c r="AC141"/>
  <c r="AK112"/>
  <c r="AO112"/>
  <c r="AC112"/>
  <c r="AS112"/>
  <c r="AG112"/>
  <c r="AU68" i="9"/>
  <c r="AD28"/>
  <c r="AE28" s="1"/>
  <c r="O144" i="36"/>
  <c r="L144" s="1"/>
  <c r="AU310" i="9"/>
  <c r="AD310"/>
  <c r="AE310" s="1"/>
  <c r="Z310"/>
  <c r="AA310" s="1"/>
  <c r="T144" i="36" s="1"/>
  <c r="BE312" i="9"/>
  <c r="BF313"/>
  <c r="BF408"/>
  <c r="BE408" s="1"/>
  <c r="BF757"/>
  <c r="BE757" s="1"/>
  <c r="BF823"/>
  <c r="BF873"/>
  <c r="BE873" s="1"/>
  <c r="BF30"/>
  <c r="BE30" s="1"/>
  <c r="BF602"/>
  <c r="BE602" s="1"/>
  <c r="BF566"/>
  <c r="BE566" s="1"/>
  <c r="BF485"/>
  <c r="BF69"/>
  <c r="BE69" s="1"/>
  <c r="BB69" s="1"/>
  <c r="D431" i="12"/>
  <c r="AA536"/>
  <c r="AA228"/>
  <c r="D536"/>
  <c r="D228"/>
  <c r="R536"/>
  <c r="R228"/>
  <c r="Y536"/>
  <c r="Y228"/>
  <c r="S536"/>
  <c r="S228"/>
  <c r="V536"/>
  <c r="V228"/>
  <c r="M432" s="1"/>
  <c r="T536"/>
  <c r="T228"/>
  <c r="W536"/>
  <c r="W228"/>
  <c r="BF166" i="9"/>
  <c r="BE166" s="1"/>
  <c r="AB431" i="12"/>
  <c r="J535"/>
  <c r="M535"/>
  <c r="I535"/>
  <c r="P535"/>
  <c r="Q535"/>
  <c r="L535"/>
  <c r="G535"/>
  <c r="F535"/>
  <c r="E535"/>
  <c r="K535"/>
  <c r="N535"/>
  <c r="X535"/>
  <c r="J265" i="20"/>
  <c r="S265"/>
  <c r="Q265"/>
  <c r="R265"/>
  <c r="L265"/>
  <c r="I265"/>
  <c r="K265"/>
  <c r="T265"/>
  <c r="M266"/>
  <c r="Y221" i="9"/>
  <c r="Y220"/>
  <c r="Y218"/>
  <c r="D266" i="20"/>
  <c r="Y232" i="9"/>
  <c r="Y219"/>
  <c r="Y230"/>
  <c r="Y224"/>
  <c r="Y223"/>
  <c r="Y222"/>
  <c r="Y228"/>
  <c r="U535" i="12"/>
  <c r="H535"/>
  <c r="O535"/>
  <c r="G265" i="20"/>
  <c r="E265"/>
  <c r="H265"/>
  <c r="F265"/>
  <c r="N265"/>
  <c r="P265"/>
  <c r="O265"/>
  <c r="Y231" i="9"/>
  <c r="Y225"/>
  <c r="Y229"/>
  <c r="B431" i="12" l="1"/>
  <c r="Z536"/>
  <c r="Z537" s="1"/>
  <c r="O228"/>
  <c r="N432" s="1"/>
  <c r="H228"/>
  <c r="U228"/>
  <c r="X228"/>
  <c r="N228"/>
  <c r="K228"/>
  <c r="E228"/>
  <c r="F228"/>
  <c r="G228"/>
  <c r="L228"/>
  <c r="C432" s="1"/>
  <c r="Q228"/>
  <c r="P228"/>
  <c r="I228"/>
  <c r="M228"/>
  <c r="AC432" s="1"/>
  <c r="J228"/>
  <c r="T509" i="20"/>
  <c r="BB141" i="9"/>
  <c r="W141"/>
  <c r="K509" i="20"/>
  <c r="I509"/>
  <c r="L509"/>
  <c r="R509"/>
  <c r="Q509"/>
  <c r="S509"/>
  <c r="J509"/>
  <c r="U266"/>
  <c r="U509"/>
  <c r="O509"/>
  <c r="P509"/>
  <c r="N509"/>
  <c r="V266"/>
  <c r="V509"/>
  <c r="F509"/>
  <c r="BE142" i="9"/>
  <c r="BF143"/>
  <c r="H509" i="20"/>
  <c r="E509"/>
  <c r="G509"/>
  <c r="AU140" i="9"/>
  <c r="Z140"/>
  <c r="AA140" s="1"/>
  <c r="AD140" s="1"/>
  <c r="AE140" s="1"/>
  <c r="W510" i="20"/>
  <c r="W267"/>
  <c r="M510"/>
  <c r="D510"/>
  <c r="Z165" i="9"/>
  <c r="AA165" s="1"/>
  <c r="W83" i="19" s="1"/>
  <c r="Y83" s="1"/>
  <c r="J483" i="36" s="1"/>
  <c r="W30" i="9"/>
  <c r="AU30" s="1"/>
  <c r="BB30"/>
  <c r="AD822"/>
  <c r="AE822" s="1"/>
  <c r="AU872"/>
  <c r="Z484"/>
  <c r="AA484" s="1"/>
  <c r="CN55" i="36"/>
  <c r="CN53"/>
  <c r="AD407" i="9"/>
  <c r="AE407" s="1"/>
  <c r="AC103" i="19"/>
  <c r="R84"/>
  <c r="U84" s="1"/>
  <c r="R83"/>
  <c r="U83" s="1"/>
  <c r="T85"/>
  <c r="M85" s="1"/>
  <c r="N85" s="1"/>
  <c r="F484" i="36" s="1"/>
  <c r="AU407" i="9"/>
  <c r="Z756"/>
  <c r="AA756" s="1"/>
  <c r="AD756" s="1"/>
  <c r="AE756" s="1"/>
  <c r="AO103" i="19"/>
  <c r="AG103"/>
  <c r="AS103"/>
  <c r="Z565" i="9"/>
  <c r="AA565" s="1"/>
  <c r="AD565" s="1"/>
  <c r="AE565" s="1"/>
  <c r="W78" i="19"/>
  <c r="Y78" s="1"/>
  <c r="W103"/>
  <c r="Y103" s="1"/>
  <c r="W566" i="9"/>
  <c r="Z566" s="1"/>
  <c r="AA566" s="1"/>
  <c r="BB566"/>
  <c r="W602"/>
  <c r="AU602" s="1"/>
  <c r="BB602"/>
  <c r="W873"/>
  <c r="Z873" s="1"/>
  <c r="AA873" s="1"/>
  <c r="BB873"/>
  <c r="W757"/>
  <c r="AU757" s="1"/>
  <c r="BB757"/>
  <c r="W166"/>
  <c r="T6" i="19" s="1"/>
  <c r="M6" s="1"/>
  <c r="N6" s="1"/>
  <c r="BB166" i="9"/>
  <c r="W408"/>
  <c r="AU408" s="1"/>
  <c r="BB408"/>
  <c r="W312"/>
  <c r="BB312"/>
  <c r="W122"/>
  <c r="O28" i="36" s="1"/>
  <c r="BB122" i="9"/>
  <c r="AD601"/>
  <c r="AE601" s="1"/>
  <c r="O26" i="36"/>
  <c r="T84" i="19"/>
  <c r="M84" s="1"/>
  <c r="N84" s="1"/>
  <c r="R85"/>
  <c r="U85" s="1"/>
  <c r="T83"/>
  <c r="M83" s="1"/>
  <c r="N83" s="1"/>
  <c r="F483" i="36" s="1"/>
  <c r="AD249" i="9"/>
  <c r="AE249" s="1"/>
  <c r="AD484"/>
  <c r="AE484" s="1"/>
  <c r="AU249"/>
  <c r="BF251"/>
  <c r="BE251" s="1"/>
  <c r="X103" i="19"/>
  <c r="Z103" s="1"/>
  <c r="AE164" i="9"/>
  <c r="AE103" i="19" s="1"/>
  <c r="BE823" i="9"/>
  <c r="BF824"/>
  <c r="BE485"/>
  <c r="BF486"/>
  <c r="AD872"/>
  <c r="AE872" s="1"/>
  <c r="Z408"/>
  <c r="AA408" s="1"/>
  <c r="X78" i="19"/>
  <c r="Z78" s="1"/>
  <c r="AA224" i="9"/>
  <c r="AA230"/>
  <c r="AA221"/>
  <c r="AA228"/>
  <c r="AA222"/>
  <c r="AA232"/>
  <c r="AA229"/>
  <c r="AA225"/>
  <c r="AA218"/>
  <c r="AA223"/>
  <c r="AA219"/>
  <c r="AA231"/>
  <c r="AA220"/>
  <c r="AD165"/>
  <c r="BF123"/>
  <c r="BE123" s="1"/>
  <c r="AU121"/>
  <c r="Z121"/>
  <c r="AA121" s="1"/>
  <c r="AD121" s="1"/>
  <c r="AE121" s="1"/>
  <c r="AD68"/>
  <c r="AE68" s="1"/>
  <c r="Z30"/>
  <c r="AA30" s="1"/>
  <c r="Y147" i="20"/>
  <c r="AD311" i="9"/>
  <c r="AE311" s="1"/>
  <c r="AU311"/>
  <c r="Z311"/>
  <c r="AA311" s="1"/>
  <c r="V144" i="36"/>
  <c r="X144" s="1"/>
  <c r="BE313" i="9"/>
  <c r="BF314"/>
  <c r="BF409"/>
  <c r="BE409" s="1"/>
  <c r="BF758"/>
  <c r="BE758" s="1"/>
  <c r="BE228"/>
  <c r="BF31"/>
  <c r="BE31" s="1"/>
  <c r="BF874"/>
  <c r="BE874" s="1"/>
  <c r="BF603"/>
  <c r="BE603" s="1"/>
  <c r="BF880"/>
  <c r="BE880" s="1"/>
  <c r="Z229" i="12"/>
  <c r="T537"/>
  <c r="T229"/>
  <c r="S537"/>
  <c r="S229"/>
  <c r="R537"/>
  <c r="R229"/>
  <c r="BF167" i="9"/>
  <c r="BE167" s="1"/>
  <c r="CQ432" i="12"/>
  <c r="D432"/>
  <c r="W537"/>
  <c r="W229"/>
  <c r="V537"/>
  <c r="V229"/>
  <c r="M433" s="1"/>
  <c r="Y537"/>
  <c r="Y229"/>
  <c r="D537"/>
  <c r="D229"/>
  <c r="AA537"/>
  <c r="AA229"/>
  <c r="BF70" i="9"/>
  <c r="O536" i="12"/>
  <c r="H536"/>
  <c r="U536"/>
  <c r="K536"/>
  <c r="F536"/>
  <c r="L536"/>
  <c r="Q536"/>
  <c r="I536"/>
  <c r="M536"/>
  <c r="J536"/>
  <c r="I266" i="20"/>
  <c r="R266"/>
  <c r="Q266"/>
  <c r="S266"/>
  <c r="O266"/>
  <c r="P266"/>
  <c r="N266"/>
  <c r="E266"/>
  <c r="G266"/>
  <c r="D267"/>
  <c r="X536" i="12"/>
  <c r="N536"/>
  <c r="E536"/>
  <c r="G536"/>
  <c r="P536"/>
  <c r="T266" i="20"/>
  <c r="K266"/>
  <c r="L266"/>
  <c r="J266"/>
  <c r="F266"/>
  <c r="H266"/>
  <c r="M267"/>
  <c r="B432" i="12" l="1"/>
  <c r="AB432"/>
  <c r="W84" i="19"/>
  <c r="Y84" s="1"/>
  <c r="P229" i="12"/>
  <c r="G229"/>
  <c r="E229"/>
  <c r="N229"/>
  <c r="X229"/>
  <c r="J229"/>
  <c r="M229"/>
  <c r="AC433" s="1"/>
  <c r="I229"/>
  <c r="Q229"/>
  <c r="L229"/>
  <c r="C433" s="1"/>
  <c r="F229"/>
  <c r="K229"/>
  <c r="U229"/>
  <c r="H229"/>
  <c r="O229"/>
  <c r="B433" s="1"/>
  <c r="G510" i="20"/>
  <c r="E510"/>
  <c r="W142" i="9"/>
  <c r="BB142"/>
  <c r="N510" i="20"/>
  <c r="P510"/>
  <c r="O510"/>
  <c r="S510"/>
  <c r="Q510"/>
  <c r="R510"/>
  <c r="I510"/>
  <c r="H510"/>
  <c r="BE143" i="9"/>
  <c r="BF144"/>
  <c r="F510" i="20"/>
  <c r="V267"/>
  <c r="V510"/>
  <c r="U510"/>
  <c r="U267"/>
  <c r="J510"/>
  <c r="L510"/>
  <c r="K510"/>
  <c r="AU141" i="9"/>
  <c r="Z141"/>
  <c r="AA141" s="1"/>
  <c r="AD141" s="1"/>
  <c r="AE141" s="1"/>
  <c r="T510" i="20"/>
  <c r="T26" i="36"/>
  <c r="P483" s="1"/>
  <c r="CN57"/>
  <c r="W85" i="19"/>
  <c r="Y85" s="1"/>
  <c r="J484" i="36" s="1"/>
  <c r="D511" i="20"/>
  <c r="M511"/>
  <c r="W511"/>
  <c r="W268"/>
  <c r="R8" i="19"/>
  <c r="U8" s="1"/>
  <c r="W31" i="9"/>
  <c r="BB31"/>
  <c r="Z166"/>
  <c r="AA166" s="1"/>
  <c r="AD166" s="1"/>
  <c r="T8" i="19"/>
  <c r="M8" s="1"/>
  <c r="N8" s="1"/>
  <c r="Z122" i="9"/>
  <c r="AA122" s="1"/>
  <c r="T28" i="36" s="1"/>
  <c r="R7" i="19"/>
  <c r="U7" s="1"/>
  <c r="R5"/>
  <c r="U5" s="1"/>
  <c r="AU566" i="9"/>
  <c r="Z757"/>
  <c r="AA757" s="1"/>
  <c r="AD757" s="1"/>
  <c r="AE757" s="1"/>
  <c r="AU873"/>
  <c r="AD408"/>
  <c r="AE408" s="1"/>
  <c r="W167"/>
  <c r="R100" i="19" s="1"/>
  <c r="U100" s="1"/>
  <c r="BB167" i="9"/>
  <c r="W603"/>
  <c r="AU603" s="1"/>
  <c r="BB603"/>
  <c r="W758"/>
  <c r="Z758" s="1"/>
  <c r="AA758" s="1"/>
  <c r="BB758"/>
  <c r="W123"/>
  <c r="Z123" s="1"/>
  <c r="AA123" s="1"/>
  <c r="BB123"/>
  <c r="W485"/>
  <c r="AU485" s="1"/>
  <c r="BB485"/>
  <c r="W823"/>
  <c r="Z823" s="1"/>
  <c r="AA823" s="1"/>
  <c r="BB823"/>
  <c r="W251"/>
  <c r="AU251" s="1"/>
  <c r="BB251"/>
  <c r="W874"/>
  <c r="Z874" s="1"/>
  <c r="AA874" s="1"/>
  <c r="BB874"/>
  <c r="W228"/>
  <c r="AD228" s="1"/>
  <c r="AE228" s="1"/>
  <c r="BB228"/>
  <c r="W409"/>
  <c r="AD409" s="1"/>
  <c r="AE409" s="1"/>
  <c r="BB409"/>
  <c r="W313"/>
  <c r="BB313"/>
  <c r="AD602"/>
  <c r="AE602" s="1"/>
  <c r="AU122"/>
  <c r="R6" i="19"/>
  <c r="U6" s="1"/>
  <c r="T5"/>
  <c r="M5" s="1"/>
  <c r="N5" s="1"/>
  <c r="T7"/>
  <c r="M7" s="1"/>
  <c r="N7" s="1"/>
  <c r="AU166" i="9"/>
  <c r="W880"/>
  <c r="Z880" s="1"/>
  <c r="AA880" s="1"/>
  <c r="BB880"/>
  <c r="BF252"/>
  <c r="BE252" s="1"/>
  <c r="X84" i="19"/>
  <c r="Z84" s="1"/>
  <c r="AE165" i="9"/>
  <c r="CN59" i="36" s="1"/>
  <c r="BF124" i="9"/>
  <c r="BE124" s="1"/>
  <c r="BB124" s="1"/>
  <c r="BE70"/>
  <c r="BF71"/>
  <c r="BF72" s="1"/>
  <c r="BF73" s="1"/>
  <c r="BF74" s="1"/>
  <c r="BF75" s="1"/>
  <c r="AD873"/>
  <c r="AE873" s="1"/>
  <c r="AD566"/>
  <c r="AE566" s="1"/>
  <c r="I60" i="33"/>
  <c r="P78" i="19"/>
  <c r="AU228" i="9"/>
  <c r="AD45" i="6"/>
  <c r="V26" i="36"/>
  <c r="R483" s="1"/>
  <c r="X85" i="19"/>
  <c r="Z85" s="1"/>
  <c r="L484" i="36" s="1"/>
  <c r="CN58"/>
  <c r="X83" i="19"/>
  <c r="Z83" s="1"/>
  <c r="L483" i="36" s="1"/>
  <c r="AU31" i="9"/>
  <c r="Z31"/>
  <c r="AA31" s="1"/>
  <c r="AD30"/>
  <c r="AE30" s="1"/>
  <c r="X165" i="20"/>
  <c r="X155"/>
  <c r="X152"/>
  <c r="X167"/>
  <c r="X156"/>
  <c r="X159"/>
  <c r="X149"/>
  <c r="X158"/>
  <c r="X163"/>
  <c r="X150"/>
  <c r="X164"/>
  <c r="X153"/>
  <c r="X151"/>
  <c r="AD312" i="9"/>
  <c r="AE312" s="1"/>
  <c r="AU312"/>
  <c r="Z312"/>
  <c r="AA312" s="1"/>
  <c r="BE314"/>
  <c r="BF315"/>
  <c r="BF410"/>
  <c r="BE410" s="1"/>
  <c r="AU103" i="19"/>
  <c r="AM103"/>
  <c r="AQ103"/>
  <c r="AI103"/>
  <c r="BF759" i="9"/>
  <c r="BE759" s="1"/>
  <c r="BB759" s="1"/>
  <c r="BE824"/>
  <c r="BF229"/>
  <c r="BE229" s="1"/>
  <c r="BF875"/>
  <c r="BE875" s="1"/>
  <c r="BF32"/>
  <c r="BE32" s="1"/>
  <c r="BE486"/>
  <c r="BB486" s="1"/>
  <c r="BF604"/>
  <c r="BE604" s="1"/>
  <c r="BF567"/>
  <c r="BE567" s="1"/>
  <c r="AA538" i="12"/>
  <c r="AA230"/>
  <c r="Y538"/>
  <c r="Y230"/>
  <c r="V538"/>
  <c r="V230"/>
  <c r="M434" s="1"/>
  <c r="W538"/>
  <c r="W230"/>
  <c r="R538"/>
  <c r="R230"/>
  <c r="T538"/>
  <c r="T230"/>
  <c r="CQ433"/>
  <c r="D433"/>
  <c r="BF168" i="9"/>
  <c r="BE168" s="1"/>
  <c r="D538" i="12"/>
  <c r="D230"/>
  <c r="S538"/>
  <c r="S230"/>
  <c r="Z538"/>
  <c r="Z230"/>
  <c r="N433"/>
  <c r="AB433"/>
  <c r="P537"/>
  <c r="G537"/>
  <c r="E537"/>
  <c r="N537"/>
  <c r="X537"/>
  <c r="J537"/>
  <c r="M537"/>
  <c r="I537"/>
  <c r="L537"/>
  <c r="F537"/>
  <c r="K537"/>
  <c r="O537"/>
  <c r="G267" i="20"/>
  <c r="P267"/>
  <c r="O267"/>
  <c r="S267"/>
  <c r="Q267"/>
  <c r="R267"/>
  <c r="F267"/>
  <c r="J267"/>
  <c r="M268"/>
  <c r="D268"/>
  <c r="Q537" i="12"/>
  <c r="U537"/>
  <c r="H537"/>
  <c r="E267" i="20"/>
  <c r="N267"/>
  <c r="I267"/>
  <c r="H267"/>
  <c r="L267"/>
  <c r="K267"/>
  <c r="T267"/>
  <c r="H230" i="12" l="1"/>
  <c r="U230"/>
  <c r="Q230"/>
  <c r="O230"/>
  <c r="B434" s="1"/>
  <c r="K230"/>
  <c r="F230"/>
  <c r="L230"/>
  <c r="C434" s="1"/>
  <c r="I230"/>
  <c r="M230"/>
  <c r="AB434" s="1"/>
  <c r="J230"/>
  <c r="X230"/>
  <c r="N230"/>
  <c r="E230"/>
  <c r="G230"/>
  <c r="P230"/>
  <c r="J511" i="20"/>
  <c r="U511"/>
  <c r="U268"/>
  <c r="F511"/>
  <c r="W143" i="9"/>
  <c r="BB143"/>
  <c r="R511" i="20"/>
  <c r="Q511"/>
  <c r="S511"/>
  <c r="O511"/>
  <c r="P511"/>
  <c r="AU142" i="9"/>
  <c r="Z142"/>
  <c r="AA142" s="1"/>
  <c r="AD142" s="1"/>
  <c r="AE142" s="1"/>
  <c r="G511" i="20"/>
  <c r="T511"/>
  <c r="K511"/>
  <c r="L511"/>
  <c r="V511"/>
  <c r="V268"/>
  <c r="BE144" i="9"/>
  <c r="BB144" s="1"/>
  <c r="BF145"/>
  <c r="H511" i="20"/>
  <c r="I511"/>
  <c r="N511"/>
  <c r="E511"/>
  <c r="W269"/>
  <c r="W512"/>
  <c r="M512"/>
  <c r="D512"/>
  <c r="AD603" i="9"/>
  <c r="AE603" s="1"/>
  <c r="W32"/>
  <c r="Z32" s="1"/>
  <c r="AA32" s="1"/>
  <c r="BB32"/>
  <c r="W70"/>
  <c r="AU70" s="1"/>
  <c r="BB70"/>
  <c r="W8" i="19"/>
  <c r="Y8" s="1"/>
  <c r="AU874" i="9"/>
  <c r="W7" i="19"/>
  <c r="Y7" s="1"/>
  <c r="W5"/>
  <c r="Y5" s="1"/>
  <c r="W6"/>
  <c r="Y6" s="1"/>
  <c r="AU167" i="9"/>
  <c r="T17" i="19"/>
  <c r="M17" s="1"/>
  <c r="N17" s="1"/>
  <c r="T100"/>
  <c r="M100" s="1"/>
  <c r="N100" s="1"/>
  <c r="AC100" s="1"/>
  <c r="AU409" i="9"/>
  <c r="AD485"/>
  <c r="AE485" s="1"/>
  <c r="AD823"/>
  <c r="AE823" s="1"/>
  <c r="AU123"/>
  <c r="AD122"/>
  <c r="AD43" i="6" s="1"/>
  <c r="AD123" i="9"/>
  <c r="AE123" s="1"/>
  <c r="AD758"/>
  <c r="AE758" s="1"/>
  <c r="AU758"/>
  <c r="W168"/>
  <c r="Z168" s="1"/>
  <c r="AA168" s="1"/>
  <c r="BB168"/>
  <c r="W229"/>
  <c r="AU229" s="1"/>
  <c r="BB229"/>
  <c r="W252"/>
  <c r="Z252" s="1"/>
  <c r="AA252" s="1"/>
  <c r="BB252"/>
  <c r="W604"/>
  <c r="AU604" s="1"/>
  <c r="BB604"/>
  <c r="W875"/>
  <c r="Z875" s="1"/>
  <c r="AA875" s="1"/>
  <c r="B876" s="1"/>
  <c r="BB875"/>
  <c r="W824"/>
  <c r="AU824" s="1"/>
  <c r="BB824"/>
  <c r="W410"/>
  <c r="AD410" s="1"/>
  <c r="AE410" s="1"/>
  <c r="BB410"/>
  <c r="W314"/>
  <c r="BB314"/>
  <c r="Z167"/>
  <c r="AA167" s="1"/>
  <c r="AD167" s="1"/>
  <c r="X100" i="19" s="1"/>
  <c r="Z100" s="1"/>
  <c r="R17"/>
  <c r="U17" s="1"/>
  <c r="Z409" i="9"/>
  <c r="AA409" s="1"/>
  <c r="AU880"/>
  <c r="Z485"/>
  <c r="AA485" s="1"/>
  <c r="AU823"/>
  <c r="Z251"/>
  <c r="AA251" s="1"/>
  <c r="AD251" s="1"/>
  <c r="AE251" s="1"/>
  <c r="W567"/>
  <c r="AU567" s="1"/>
  <c r="BB567"/>
  <c r="BF253"/>
  <c r="BE253" s="1"/>
  <c r="BB253" s="1"/>
  <c r="X8" i="19"/>
  <c r="Z8" s="1"/>
  <c r="AE166" i="9"/>
  <c r="P8" i="19" s="1"/>
  <c r="BF125" i="9"/>
  <c r="BE125" s="1"/>
  <c r="BB125" s="1"/>
  <c r="C119" i="8"/>
  <c r="AD874" i="9"/>
  <c r="AE874" s="1"/>
  <c r="Z70"/>
  <c r="E119" i="8" s="1"/>
  <c r="AD880" i="9"/>
  <c r="AE880" s="1"/>
  <c r="X5" i="19"/>
  <c r="Z5" s="1"/>
  <c r="X26" i="36"/>
  <c r="X7" i="19"/>
  <c r="Z7" s="1"/>
  <c r="AD31" i="9"/>
  <c r="AE31" s="1"/>
  <c r="X6" i="19"/>
  <c r="Z6" s="1"/>
  <c r="P85"/>
  <c r="H484" i="36" s="1"/>
  <c r="P84" i="19"/>
  <c r="P83"/>
  <c r="H483" i="36" s="1"/>
  <c r="AO100" i="19"/>
  <c r="AU32" i="9"/>
  <c r="AD313"/>
  <c r="AE313" s="1"/>
  <c r="AU313"/>
  <c r="Z313"/>
  <c r="AA313" s="1"/>
  <c r="BE315"/>
  <c r="BF316"/>
  <c r="BF411"/>
  <c r="BE411" s="1"/>
  <c r="BF760"/>
  <c r="BE760" s="1"/>
  <c r="BB760" s="1"/>
  <c r="BF825"/>
  <c r="BE825" s="1"/>
  <c r="BF876"/>
  <c r="BE876" s="1"/>
  <c r="BB876" s="1"/>
  <c r="BF230"/>
  <c r="BE230" s="1"/>
  <c r="BF33"/>
  <c r="BE33" s="1"/>
  <c r="BF254"/>
  <c r="BE254" s="1"/>
  <c r="BF568"/>
  <c r="BE568" s="1"/>
  <c r="BF605"/>
  <c r="BE605" s="1"/>
  <c r="BF487"/>
  <c r="BE487" s="1"/>
  <c r="D539" i="12"/>
  <c r="D231"/>
  <c r="Z539"/>
  <c r="Z231"/>
  <c r="S539"/>
  <c r="S231"/>
  <c r="D434"/>
  <c r="CQ434"/>
  <c r="T539"/>
  <c r="T231"/>
  <c r="R539"/>
  <c r="R231"/>
  <c r="W539"/>
  <c r="W231"/>
  <c r="V539"/>
  <c r="V231"/>
  <c r="M435" s="1"/>
  <c r="Y539"/>
  <c r="Y231"/>
  <c r="AA539"/>
  <c r="AA231"/>
  <c r="BF169" i="9"/>
  <c r="BE169" s="1"/>
  <c r="BE71"/>
  <c r="N434" i="12"/>
  <c r="H538"/>
  <c r="U538"/>
  <c r="Q538"/>
  <c r="O538"/>
  <c r="K538"/>
  <c r="L538"/>
  <c r="I538"/>
  <c r="M538"/>
  <c r="N538"/>
  <c r="F268" i="20"/>
  <c r="Q268"/>
  <c r="T268"/>
  <c r="K268"/>
  <c r="L268"/>
  <c r="H268"/>
  <c r="I268"/>
  <c r="N268"/>
  <c r="E268"/>
  <c r="D269"/>
  <c r="F538" i="12"/>
  <c r="J538"/>
  <c r="X538"/>
  <c r="E538"/>
  <c r="G538"/>
  <c r="P538"/>
  <c r="J268" i="20"/>
  <c r="R268"/>
  <c r="S268"/>
  <c r="O268"/>
  <c r="P268"/>
  <c r="G268"/>
  <c r="M269"/>
  <c r="AC434" i="12" l="1"/>
  <c r="AG100" i="19"/>
  <c r="P231" i="12"/>
  <c r="G231"/>
  <c r="E231"/>
  <c r="X231"/>
  <c r="J231"/>
  <c r="F231"/>
  <c r="N231"/>
  <c r="M231"/>
  <c r="AB435" s="1"/>
  <c r="I231"/>
  <c r="L231"/>
  <c r="C435" s="1"/>
  <c r="K231"/>
  <c r="O231"/>
  <c r="N435" s="1"/>
  <c r="Q231"/>
  <c r="U231"/>
  <c r="H231"/>
  <c r="E512" i="20"/>
  <c r="N512"/>
  <c r="I512"/>
  <c r="H512"/>
  <c r="V512"/>
  <c r="V269"/>
  <c r="L512"/>
  <c r="K512"/>
  <c r="T269"/>
  <c r="T512"/>
  <c r="Q512"/>
  <c r="AU143" i="9"/>
  <c r="C89" i="8"/>
  <c r="Z143" i="9"/>
  <c r="F512" i="20"/>
  <c r="U269"/>
  <c r="U512"/>
  <c r="BE145" i="9"/>
  <c r="BB145" s="1"/>
  <c r="BF146"/>
  <c r="G512" i="20"/>
  <c r="P512"/>
  <c r="O512"/>
  <c r="S512"/>
  <c r="R512"/>
  <c r="J512"/>
  <c r="D513"/>
  <c r="M513"/>
  <c r="W513"/>
  <c r="W270"/>
  <c r="W71" i="9"/>
  <c r="BB71"/>
  <c r="W33"/>
  <c r="BB33"/>
  <c r="AK100" i="19"/>
  <c r="AS100"/>
  <c r="AU410" i="9"/>
  <c r="AU875"/>
  <c r="V28" i="36"/>
  <c r="L487" s="1"/>
  <c r="AE122" i="9"/>
  <c r="I58" i="33"/>
  <c r="AU168" i="9"/>
  <c r="AD229"/>
  <c r="AE229" s="1"/>
  <c r="AU252"/>
  <c r="AD604"/>
  <c r="AE604" s="1"/>
  <c r="W100" i="19"/>
  <c r="Y100" s="1"/>
  <c r="Z824" i="9"/>
  <c r="AA824" s="1"/>
  <c r="AD824" s="1"/>
  <c r="AE824" s="1"/>
  <c r="Z567"/>
  <c r="AA567" s="1"/>
  <c r="AD567" s="1"/>
  <c r="AE567" s="1"/>
  <c r="W169"/>
  <c r="Z169" s="1"/>
  <c r="AA169" s="1"/>
  <c r="T27" i="36" s="1"/>
  <c r="P484" s="1"/>
  <c r="BB169" i="9"/>
  <c r="W487"/>
  <c r="Z487" s="1"/>
  <c r="AA487" s="1"/>
  <c r="T32" i="36" s="1"/>
  <c r="BB487" i="9"/>
  <c r="W605"/>
  <c r="AU605" s="1"/>
  <c r="BB605"/>
  <c r="W254"/>
  <c r="AU254" s="1"/>
  <c r="BB254"/>
  <c r="W230"/>
  <c r="AU230" s="1"/>
  <c r="BB230"/>
  <c r="W825"/>
  <c r="AU825" s="1"/>
  <c r="BB825"/>
  <c r="W411"/>
  <c r="AU411" s="1"/>
  <c r="BB411"/>
  <c r="W315"/>
  <c r="BB315"/>
  <c r="W17" i="19"/>
  <c r="Y17" s="1"/>
  <c r="AD168" i="9"/>
  <c r="AE168" s="1"/>
  <c r="Z410"/>
  <c r="AA410" s="1"/>
  <c r="AD252"/>
  <c r="AE252" s="1"/>
  <c r="W568"/>
  <c r="AU568" s="1"/>
  <c r="BB568"/>
  <c r="BF126"/>
  <c r="BE126" s="1"/>
  <c r="X17" i="19"/>
  <c r="Z17" s="1"/>
  <c r="AE167" i="9"/>
  <c r="AE100" i="19" s="1"/>
  <c r="AD875" i="9"/>
  <c r="AE875" s="1"/>
  <c r="AA70"/>
  <c r="F119" i="8" s="1"/>
  <c r="P6" i="19"/>
  <c r="P5"/>
  <c r="P7"/>
  <c r="O27" i="36"/>
  <c r="Z71" i="9"/>
  <c r="AA71" s="1"/>
  <c r="AU71"/>
  <c r="AU33"/>
  <c r="Z33"/>
  <c r="AA33" s="1"/>
  <c r="AD32"/>
  <c r="AE32" s="1"/>
  <c r="AD314"/>
  <c r="AE314" s="1"/>
  <c r="AU314"/>
  <c r="Z314"/>
  <c r="AA314" s="1"/>
  <c r="BE316"/>
  <c r="BF317"/>
  <c r="BF412"/>
  <c r="BE412" s="1"/>
  <c r="BF761"/>
  <c r="BE761" s="1"/>
  <c r="BB761" s="1"/>
  <c r="BF826"/>
  <c r="BE826" s="1"/>
  <c r="BF34"/>
  <c r="BE34" s="1"/>
  <c r="BF231"/>
  <c r="BE231" s="1"/>
  <c r="BF877"/>
  <c r="BF255"/>
  <c r="BE255" s="1"/>
  <c r="BF606"/>
  <c r="BE606" s="1"/>
  <c r="BF488"/>
  <c r="BE488" s="1"/>
  <c r="BF569"/>
  <c r="BE569" s="1"/>
  <c r="AA540" i="12"/>
  <c r="AA232"/>
  <c r="V540"/>
  <c r="V232"/>
  <c r="M436" s="1"/>
  <c r="W540"/>
  <c r="W232"/>
  <c r="T540"/>
  <c r="T232"/>
  <c r="BF170" i="9"/>
  <c r="BE170" s="1"/>
  <c r="S540" i="12"/>
  <c r="S232"/>
  <c r="Z540"/>
  <c r="Z232"/>
  <c r="D540"/>
  <c r="D232"/>
  <c r="Y540"/>
  <c r="Y232"/>
  <c r="R540"/>
  <c r="R232"/>
  <c r="CQ435"/>
  <c r="D435"/>
  <c r="B435"/>
  <c r="AC435"/>
  <c r="P539"/>
  <c r="G539"/>
  <c r="E539"/>
  <c r="X539"/>
  <c r="J539"/>
  <c r="F539"/>
  <c r="N539"/>
  <c r="L539"/>
  <c r="O539"/>
  <c r="H539"/>
  <c r="E269" i="20"/>
  <c r="N269"/>
  <c r="I269"/>
  <c r="H269"/>
  <c r="L269"/>
  <c r="K269"/>
  <c r="O269"/>
  <c r="R269"/>
  <c r="J269"/>
  <c r="D270"/>
  <c r="M539" i="12"/>
  <c r="I539"/>
  <c r="K539"/>
  <c r="Q539"/>
  <c r="U539"/>
  <c r="Q269" i="20"/>
  <c r="F269"/>
  <c r="G269"/>
  <c r="P269"/>
  <c r="S269"/>
  <c r="M270"/>
  <c r="U232" i="12" l="1"/>
  <c r="Q232"/>
  <c r="K232"/>
  <c r="I232"/>
  <c r="M232"/>
  <c r="AC436" s="1"/>
  <c r="H232"/>
  <c r="O232"/>
  <c r="B436" s="1"/>
  <c r="L232"/>
  <c r="C436" s="1"/>
  <c r="N232"/>
  <c r="F232"/>
  <c r="J232"/>
  <c r="X232"/>
  <c r="E232"/>
  <c r="G232"/>
  <c r="P232"/>
  <c r="J513" i="20"/>
  <c r="R513"/>
  <c r="O513"/>
  <c r="BE146" i="9"/>
  <c r="BF147"/>
  <c r="U513" i="20"/>
  <c r="U270"/>
  <c r="AA143" i="9"/>
  <c r="E89" i="8"/>
  <c r="K513" i="20"/>
  <c r="L513"/>
  <c r="V270"/>
  <c r="V513"/>
  <c r="H513"/>
  <c r="I513"/>
  <c r="N513"/>
  <c r="E513"/>
  <c r="S513"/>
  <c r="P513"/>
  <c r="G513"/>
  <c r="F513"/>
  <c r="Q513"/>
  <c r="T513"/>
  <c r="T270"/>
  <c r="W514"/>
  <c r="W271"/>
  <c r="M514"/>
  <c r="D514"/>
  <c r="AD605" i="9"/>
  <c r="AE605" s="1"/>
  <c r="Z254"/>
  <c r="AA254" s="1"/>
  <c r="AD254" s="1"/>
  <c r="AE254" s="1"/>
  <c r="Z411"/>
  <c r="AA411" s="1"/>
  <c r="W34"/>
  <c r="AU34" s="1"/>
  <c r="BB34"/>
  <c r="X28" i="36"/>
  <c r="AU169" i="9"/>
  <c r="AD230"/>
  <c r="AE230" s="1"/>
  <c r="O32" i="36"/>
  <c r="Z825" i="9"/>
  <c r="AA825" s="1"/>
  <c r="AD825" s="1"/>
  <c r="AE825" s="1"/>
  <c r="AU487"/>
  <c r="W170"/>
  <c r="AU170" s="1"/>
  <c r="BB170"/>
  <c r="W255"/>
  <c r="Z255" s="1"/>
  <c r="AA255" s="1"/>
  <c r="BB255"/>
  <c r="W231"/>
  <c r="AD231" s="1"/>
  <c r="AE231" s="1"/>
  <c r="BB231"/>
  <c r="W826"/>
  <c r="Z826" s="1"/>
  <c r="AA826" s="1"/>
  <c r="BB826"/>
  <c r="W412"/>
  <c r="AU412" s="1"/>
  <c r="BB412"/>
  <c r="W316"/>
  <c r="BB316"/>
  <c r="W488"/>
  <c r="Z488" s="1"/>
  <c r="AA488" s="1"/>
  <c r="BB488"/>
  <c r="W606"/>
  <c r="AU606" s="1"/>
  <c r="BB606"/>
  <c r="W126"/>
  <c r="AU126" s="1"/>
  <c r="BB126"/>
  <c r="AD411"/>
  <c r="AE411" s="1"/>
  <c r="Z568"/>
  <c r="AA568" s="1"/>
  <c r="AD568" s="1"/>
  <c r="AE568" s="1"/>
  <c r="W569"/>
  <c r="Z569" s="1"/>
  <c r="AA569" s="1"/>
  <c r="BB569"/>
  <c r="AD487"/>
  <c r="V32" i="36" s="1"/>
  <c r="X32" s="1"/>
  <c r="AD70" i="9"/>
  <c r="AE70" s="1"/>
  <c r="BF127"/>
  <c r="BE127" s="1"/>
  <c r="P17" i="19"/>
  <c r="AD169" i="9"/>
  <c r="AD42" i="6" s="1"/>
  <c r="AD71" i="9"/>
  <c r="AE71" s="1"/>
  <c r="AD33"/>
  <c r="AE33" s="1"/>
  <c r="Z34"/>
  <c r="AA34" s="1"/>
  <c r="AU315"/>
  <c r="Z315"/>
  <c r="AA315" s="1"/>
  <c r="AD315"/>
  <c r="AE315" s="1"/>
  <c r="BE877"/>
  <c r="BB877" s="1"/>
  <c r="BE317"/>
  <c r="BF318"/>
  <c r="BF413"/>
  <c r="BE413" s="1"/>
  <c r="AU100" i="19"/>
  <c r="AM100"/>
  <c r="AQ100"/>
  <c r="AI100"/>
  <c r="BF762" i="9"/>
  <c r="BE762" s="1"/>
  <c r="BF827"/>
  <c r="BE827" s="1"/>
  <c r="BF232"/>
  <c r="BE232" s="1"/>
  <c r="BF35"/>
  <c r="BE35" s="1"/>
  <c r="BB35" s="1"/>
  <c r="BF256"/>
  <c r="BE256" s="1"/>
  <c r="BF489"/>
  <c r="BE489" s="1"/>
  <c r="BF607"/>
  <c r="BE607" s="1"/>
  <c r="BF570"/>
  <c r="BE570" s="1"/>
  <c r="R541" i="12"/>
  <c r="R233"/>
  <c r="Y541"/>
  <c r="Y233"/>
  <c r="D541"/>
  <c r="D233"/>
  <c r="Z541"/>
  <c r="Z233"/>
  <c r="S541"/>
  <c r="S233"/>
  <c r="T541"/>
  <c r="T233"/>
  <c r="W541"/>
  <c r="W233"/>
  <c r="V541"/>
  <c r="V233"/>
  <c r="M437" s="1"/>
  <c r="AA541"/>
  <c r="AA233"/>
  <c r="D436"/>
  <c r="CQ436"/>
  <c r="BF171" i="9"/>
  <c r="BE171" s="1"/>
  <c r="BE72"/>
  <c r="U540" i="12"/>
  <c r="Q540"/>
  <c r="K540"/>
  <c r="I540"/>
  <c r="M540"/>
  <c r="H540"/>
  <c r="O540"/>
  <c r="N540"/>
  <c r="X540"/>
  <c r="O270" i="20"/>
  <c r="K270"/>
  <c r="L270"/>
  <c r="I270"/>
  <c r="N270"/>
  <c r="P270"/>
  <c r="F270"/>
  <c r="M271"/>
  <c r="D271"/>
  <c r="L540" i="12"/>
  <c r="F540"/>
  <c r="J540"/>
  <c r="E540"/>
  <c r="G540"/>
  <c r="P540"/>
  <c r="J270" i="20"/>
  <c r="R270"/>
  <c r="H270"/>
  <c r="E270"/>
  <c r="S270"/>
  <c r="G270"/>
  <c r="Q270"/>
  <c r="N436" i="12" l="1"/>
  <c r="AB436"/>
  <c r="P233"/>
  <c r="G233"/>
  <c r="E233"/>
  <c r="J233"/>
  <c r="F233"/>
  <c r="L233"/>
  <c r="C437" s="1"/>
  <c r="X233"/>
  <c r="N233"/>
  <c r="O233"/>
  <c r="B437" s="1"/>
  <c r="H233"/>
  <c r="M233"/>
  <c r="AB437" s="1"/>
  <c r="I233"/>
  <c r="K233"/>
  <c r="Q233"/>
  <c r="U233"/>
  <c r="T514" i="20"/>
  <c r="T271"/>
  <c r="F514"/>
  <c r="P514"/>
  <c r="N514"/>
  <c r="I514"/>
  <c r="L514"/>
  <c r="K514"/>
  <c r="AD143" i="9"/>
  <c r="B145"/>
  <c r="F89" i="8"/>
  <c r="S6"/>
  <c r="B144" i="9"/>
  <c r="U271" i="20"/>
  <c r="U514"/>
  <c r="W146" i="9"/>
  <c r="BB146"/>
  <c r="O514" i="20"/>
  <c r="Q514"/>
  <c r="G514"/>
  <c r="S514"/>
  <c r="E514"/>
  <c r="H514"/>
  <c r="V514"/>
  <c r="V271"/>
  <c r="BE147" i="9"/>
  <c r="BF148"/>
  <c r="R514" i="20"/>
  <c r="J514"/>
  <c r="M515"/>
  <c r="W272"/>
  <c r="W515"/>
  <c r="D515"/>
  <c r="W72" i="9"/>
  <c r="BB72"/>
  <c r="AU488"/>
  <c r="AD569"/>
  <c r="AE569" s="1"/>
  <c r="Z170"/>
  <c r="AA170" s="1"/>
  <c r="AD170" s="1"/>
  <c r="AE170" s="1"/>
  <c r="AU255"/>
  <c r="AU231"/>
  <c r="Z412"/>
  <c r="AA412" s="1"/>
  <c r="AU826"/>
  <c r="AU569"/>
  <c r="W607"/>
  <c r="AU607" s="1"/>
  <c r="BB607"/>
  <c r="W489"/>
  <c r="Z489" s="1"/>
  <c r="AA489" s="1"/>
  <c r="BB489"/>
  <c r="W827"/>
  <c r="AU827" s="1"/>
  <c r="BB827"/>
  <c r="W413"/>
  <c r="AD413" s="1"/>
  <c r="AE413" s="1"/>
  <c r="BB413"/>
  <c r="W127"/>
  <c r="BB127"/>
  <c r="W171"/>
  <c r="R68" i="19" s="1"/>
  <c r="U68" s="1"/>
  <c r="G48" i="36" s="1"/>
  <c r="BB171" i="9"/>
  <c r="W256"/>
  <c r="Z256" s="1"/>
  <c r="AA256" s="1"/>
  <c r="BB256"/>
  <c r="W232"/>
  <c r="AD232" s="1"/>
  <c r="AE232" s="1"/>
  <c r="BB232"/>
  <c r="W762"/>
  <c r="Z762" s="1"/>
  <c r="AA762" s="1"/>
  <c r="BB762"/>
  <c r="W317"/>
  <c r="BB317"/>
  <c r="AD606"/>
  <c r="AE606" s="1"/>
  <c r="AD412"/>
  <c r="AE412" s="1"/>
  <c r="Z126"/>
  <c r="AA126" s="1"/>
  <c r="W570"/>
  <c r="Z570" s="1"/>
  <c r="AA570" s="1"/>
  <c r="BB570"/>
  <c r="G119" i="8"/>
  <c r="AD126" i="9"/>
  <c r="AE126" s="1"/>
  <c r="AE487"/>
  <c r="Z127"/>
  <c r="AA127" s="1"/>
  <c r="BF128"/>
  <c r="BE128" s="1"/>
  <c r="BB128" s="1"/>
  <c r="I57" i="33"/>
  <c r="AE169" i="9"/>
  <c r="AD488"/>
  <c r="AE488" s="1"/>
  <c r="AD255"/>
  <c r="AE255" s="1"/>
  <c r="AD826"/>
  <c r="AE826" s="1"/>
  <c r="AD34"/>
  <c r="AE34" s="1"/>
  <c r="V27" i="36"/>
  <c r="L488" s="1"/>
  <c r="R69" i="19"/>
  <c r="U69" s="1"/>
  <c r="C120" i="8"/>
  <c r="AU72" i="9"/>
  <c r="Z72"/>
  <c r="AU316"/>
  <c r="Z316"/>
  <c r="AA316" s="1"/>
  <c r="AD316"/>
  <c r="AE316" s="1"/>
  <c r="BE318"/>
  <c r="BF319"/>
  <c r="BF414"/>
  <c r="BE414" s="1"/>
  <c r="BF763"/>
  <c r="BE763" s="1"/>
  <c r="BF828"/>
  <c r="BE828" s="1"/>
  <c r="BF36"/>
  <c r="BE36" s="1"/>
  <c r="BF233"/>
  <c r="BE233" s="1"/>
  <c r="BF257"/>
  <c r="BE257" s="1"/>
  <c r="BF571"/>
  <c r="BE571" s="1"/>
  <c r="AD607"/>
  <c r="AE607" s="1"/>
  <c r="BF608"/>
  <c r="BE608" s="1"/>
  <c r="BF490"/>
  <c r="BE490" s="1"/>
  <c r="BF172"/>
  <c r="BE172" s="1"/>
  <c r="D437" i="12"/>
  <c r="CQ437"/>
  <c r="AA542"/>
  <c r="AA234"/>
  <c r="V542"/>
  <c r="V234"/>
  <c r="M438" s="1"/>
  <c r="W542"/>
  <c r="W234"/>
  <c r="T542"/>
  <c r="T234"/>
  <c r="S542"/>
  <c r="S234"/>
  <c r="Z542"/>
  <c r="Z234"/>
  <c r="D542"/>
  <c r="D234"/>
  <c r="Y542"/>
  <c r="Y234"/>
  <c r="R542"/>
  <c r="R234"/>
  <c r="N541"/>
  <c r="O541"/>
  <c r="H541"/>
  <c r="M541"/>
  <c r="I541"/>
  <c r="K541"/>
  <c r="Q541"/>
  <c r="U541"/>
  <c r="F271" i="20"/>
  <c r="N271"/>
  <c r="I271"/>
  <c r="K271"/>
  <c r="S271"/>
  <c r="J271"/>
  <c r="M272"/>
  <c r="D272"/>
  <c r="P541" i="12"/>
  <c r="G541"/>
  <c r="E541"/>
  <c r="J541"/>
  <c r="F541"/>
  <c r="L541"/>
  <c r="X541"/>
  <c r="P271" i="20"/>
  <c r="L271"/>
  <c r="O271"/>
  <c r="Q271"/>
  <c r="G271"/>
  <c r="E271"/>
  <c r="H271"/>
  <c r="R271"/>
  <c r="AC437" i="12" l="1"/>
  <c r="N437"/>
  <c r="X234"/>
  <c r="L234"/>
  <c r="C438" s="1"/>
  <c r="F234"/>
  <c r="J234"/>
  <c r="E234"/>
  <c r="G234"/>
  <c r="G542"/>
  <c r="G543" s="1"/>
  <c r="P234"/>
  <c r="U234"/>
  <c r="Q234"/>
  <c r="K234"/>
  <c r="I234"/>
  <c r="M234"/>
  <c r="AC438" s="1"/>
  <c r="H234"/>
  <c r="H542"/>
  <c r="H543" s="1"/>
  <c r="O234"/>
  <c r="B438" s="1"/>
  <c r="N234"/>
  <c r="J515" i="20"/>
  <c r="BE148" i="9"/>
  <c r="BF149"/>
  <c r="BE149" s="1"/>
  <c r="BB149" s="1"/>
  <c r="S515" i="20"/>
  <c r="U515"/>
  <c r="U272"/>
  <c r="AE143" i="9"/>
  <c r="G89" i="8"/>
  <c r="K515" i="20"/>
  <c r="I515"/>
  <c r="N515"/>
  <c r="F515"/>
  <c r="T272"/>
  <c r="T515"/>
  <c r="R515"/>
  <c r="W147" i="9"/>
  <c r="BB147"/>
  <c r="V272" i="20"/>
  <c r="V515"/>
  <c r="H515"/>
  <c r="E515"/>
  <c r="G515"/>
  <c r="Q515"/>
  <c r="O515"/>
  <c r="Z146" i="9"/>
  <c r="AA146" s="1"/>
  <c r="AD146" s="1"/>
  <c r="AE146" s="1"/>
  <c r="AU146"/>
  <c r="L515" i="20"/>
  <c r="P515"/>
  <c r="D516"/>
  <c r="M516"/>
  <c r="W516"/>
  <c r="W273"/>
  <c r="W36" i="9"/>
  <c r="BB36"/>
  <c r="AU256"/>
  <c r="AU413"/>
  <c r="AU570"/>
  <c r="Z171"/>
  <c r="AA171" s="1"/>
  <c r="AD171" s="1"/>
  <c r="X68" i="19" s="1"/>
  <c r="T69"/>
  <c r="M69" s="1"/>
  <c r="N69" s="1"/>
  <c r="AU232" i="9"/>
  <c r="AU762"/>
  <c r="AU489"/>
  <c r="Z827"/>
  <c r="AA827" s="1"/>
  <c r="AD570"/>
  <c r="AE570" s="1"/>
  <c r="W172"/>
  <c r="T51" i="19" s="1"/>
  <c r="M51" s="1"/>
  <c r="N51" s="1"/>
  <c r="BB172" i="9"/>
  <c r="W490"/>
  <c r="AU490" s="1"/>
  <c r="BB490"/>
  <c r="W257"/>
  <c r="Z257" s="1"/>
  <c r="AA257" s="1"/>
  <c r="BB257"/>
  <c r="W763"/>
  <c r="C103" i="8" s="1"/>
  <c r="BB763" i="9"/>
  <c r="R86" i="19"/>
  <c r="AU127" i="9"/>
  <c r="W608"/>
  <c r="AU608" s="1"/>
  <c r="BB608"/>
  <c r="W233"/>
  <c r="AD233" s="1"/>
  <c r="AE233" s="1"/>
  <c r="BB233"/>
  <c r="W828"/>
  <c r="Z828" s="1"/>
  <c r="AA828" s="1"/>
  <c r="BB828"/>
  <c r="W414"/>
  <c r="Z414" s="1"/>
  <c r="AA414" s="1"/>
  <c r="BB414"/>
  <c r="W318"/>
  <c r="BB318"/>
  <c r="T68" i="19"/>
  <c r="M68" s="1"/>
  <c r="AU171" i="9"/>
  <c r="AD256"/>
  <c r="AE256" s="1"/>
  <c r="Z413"/>
  <c r="AA413" s="1"/>
  <c r="W571"/>
  <c r="AU571" s="1"/>
  <c r="BB571"/>
  <c r="AD127"/>
  <c r="AE127" s="1"/>
  <c r="BF129"/>
  <c r="BE129" s="1"/>
  <c r="BB129" s="1"/>
  <c r="AD827"/>
  <c r="AE827" s="1"/>
  <c r="AD762"/>
  <c r="AE762" s="1"/>
  <c r="Z490"/>
  <c r="AA490" s="1"/>
  <c r="AD489"/>
  <c r="AE489" s="1"/>
  <c r="R484" i="36"/>
  <c r="X27"/>
  <c r="AU233" i="9"/>
  <c r="T42" i="19"/>
  <c r="M42" s="1"/>
  <c r="N42" s="1"/>
  <c r="E120" i="8"/>
  <c r="AA72" i="9"/>
  <c r="F120" i="8" s="1"/>
  <c r="AU36" i="9"/>
  <c r="Z36"/>
  <c r="AA36" s="1"/>
  <c r="AA473" i="36" s="1"/>
  <c r="AD317" i="9"/>
  <c r="AE317" s="1"/>
  <c r="AU317"/>
  <c r="Z317"/>
  <c r="AA317" s="1"/>
  <c r="BE319"/>
  <c r="BF320"/>
  <c r="BF415"/>
  <c r="BE415" s="1"/>
  <c r="BF764"/>
  <c r="BE764" s="1"/>
  <c r="BB764" s="1"/>
  <c r="BF829"/>
  <c r="BE829" s="1"/>
  <c r="BF234"/>
  <c r="BF37"/>
  <c r="BE37" s="1"/>
  <c r="BF258"/>
  <c r="BE258" s="1"/>
  <c r="BF491"/>
  <c r="BE491" s="1"/>
  <c r="BF609"/>
  <c r="BE609" s="1"/>
  <c r="BF572"/>
  <c r="BE572" s="1"/>
  <c r="Y543" i="12"/>
  <c r="Y235"/>
  <c r="D543"/>
  <c r="D235"/>
  <c r="S543"/>
  <c r="S235"/>
  <c r="W543"/>
  <c r="W235"/>
  <c r="AA543"/>
  <c r="AA235"/>
  <c r="BE73" i="9"/>
  <c r="D438" i="12"/>
  <c r="CQ438"/>
  <c r="R543"/>
  <c r="R235"/>
  <c r="Z543"/>
  <c r="Z235"/>
  <c r="T543"/>
  <c r="T235"/>
  <c r="V543"/>
  <c r="V235"/>
  <c r="M439" s="1"/>
  <c r="BF173" i="9"/>
  <c r="BE173" s="1"/>
  <c r="N438" i="12"/>
  <c r="X542"/>
  <c r="F542"/>
  <c r="J542"/>
  <c r="U542"/>
  <c r="Q542"/>
  <c r="K542"/>
  <c r="I542"/>
  <c r="J272" i="20"/>
  <c r="S272"/>
  <c r="I272"/>
  <c r="N272"/>
  <c r="H272"/>
  <c r="Q272"/>
  <c r="O272"/>
  <c r="M273"/>
  <c r="L542" i="12"/>
  <c r="E542"/>
  <c r="P542"/>
  <c r="M542"/>
  <c r="O542"/>
  <c r="N542"/>
  <c r="K272" i="20"/>
  <c r="F272"/>
  <c r="R272"/>
  <c r="E272"/>
  <c r="G272"/>
  <c r="L272"/>
  <c r="P272"/>
  <c r="D273"/>
  <c r="G235" i="12" l="1"/>
  <c r="AB438"/>
  <c r="H235"/>
  <c r="N235"/>
  <c r="O235"/>
  <c r="B439" s="1"/>
  <c r="M235"/>
  <c r="AB439" s="1"/>
  <c r="P235"/>
  <c r="E235"/>
  <c r="L235"/>
  <c r="C439" s="1"/>
  <c r="I235"/>
  <c r="K235"/>
  <c r="Q235"/>
  <c r="U235"/>
  <c r="J235"/>
  <c r="F235"/>
  <c r="X235"/>
  <c r="O516" i="20"/>
  <c r="Q516"/>
  <c r="H516"/>
  <c r="AU147" i="9"/>
  <c r="Z147"/>
  <c r="AA147" s="1"/>
  <c r="AD147" s="1"/>
  <c r="AE147" s="1"/>
  <c r="N516" i="20"/>
  <c r="I516"/>
  <c r="U516"/>
  <c r="U273"/>
  <c r="S516"/>
  <c r="BB148" i="9"/>
  <c r="W148"/>
  <c r="J516" i="20"/>
  <c r="P516"/>
  <c r="L516"/>
  <c r="G516"/>
  <c r="E516"/>
  <c r="V516"/>
  <c r="V273"/>
  <c r="R516"/>
  <c r="T273"/>
  <c r="T516"/>
  <c r="F516"/>
  <c r="K516"/>
  <c r="W517"/>
  <c r="W274"/>
  <c r="M517"/>
  <c r="D517"/>
  <c r="W68" i="19"/>
  <c r="Y68" s="1"/>
  <c r="AB48" i="36" s="1"/>
  <c r="W73" i="9"/>
  <c r="BB73"/>
  <c r="W37"/>
  <c r="BB37"/>
  <c r="J51" i="36"/>
  <c r="T43" i="19"/>
  <c r="M43" s="1"/>
  <c r="N43" s="1"/>
  <c r="R43"/>
  <c r="U43" s="1"/>
  <c r="T52"/>
  <c r="M52" s="1"/>
  <c r="N52" s="1"/>
  <c r="W69"/>
  <c r="Y69" s="1"/>
  <c r="AD414" i="9"/>
  <c r="AE414" s="1"/>
  <c r="AU763"/>
  <c r="Z233"/>
  <c r="AA233" s="1"/>
  <c r="AU257"/>
  <c r="AU414"/>
  <c r="AD571"/>
  <c r="AE571" s="1"/>
  <c r="AD763"/>
  <c r="AE763" s="1"/>
  <c r="AU828"/>
  <c r="W173"/>
  <c r="Z173" s="1"/>
  <c r="AA173" s="1"/>
  <c r="BB173"/>
  <c r="W609"/>
  <c r="AU609" s="1"/>
  <c r="BB609"/>
  <c r="W491"/>
  <c r="AU491" s="1"/>
  <c r="BB491"/>
  <c r="W829"/>
  <c r="AU829" s="1"/>
  <c r="BB829"/>
  <c r="W415"/>
  <c r="Z415" s="1"/>
  <c r="AA415" s="1"/>
  <c r="BB415"/>
  <c r="W319"/>
  <c r="BB319"/>
  <c r="V86" i="19"/>
  <c r="K51" i="36" s="1"/>
  <c r="T86" i="19"/>
  <c r="M86" s="1"/>
  <c r="X86"/>
  <c r="U86"/>
  <c r="G51" i="36" s="1"/>
  <c r="S86" i="19"/>
  <c r="F51" i="36" s="1"/>
  <c r="W86" i="19"/>
  <c r="P86"/>
  <c r="Y51" i="36" s="1"/>
  <c r="W258" i="9"/>
  <c r="Z258" s="1"/>
  <c r="AA258" s="1"/>
  <c r="BB258"/>
  <c r="AD608"/>
  <c r="AE608" s="1"/>
  <c r="R42" i="19"/>
  <c r="U42" s="1"/>
  <c r="AU172" i="9"/>
  <c r="Z172"/>
  <c r="AA172" s="1"/>
  <c r="W42" i="19" s="1"/>
  <c r="Y42" s="1"/>
  <c r="AD257" i="9"/>
  <c r="AE257" s="1"/>
  <c r="Z571"/>
  <c r="Z820" s="1"/>
  <c r="AA820" s="1"/>
  <c r="Z763"/>
  <c r="E103" i="8" s="1"/>
  <c r="W572" i="9"/>
  <c r="AD572" s="1"/>
  <c r="AE572" s="1"/>
  <c r="BB572"/>
  <c r="AD490"/>
  <c r="AE490" s="1"/>
  <c r="X69" i="19"/>
  <c r="Z69" s="1"/>
  <c r="AE171" i="9"/>
  <c r="P68" i="19" s="1"/>
  <c r="Y48" i="36" s="1"/>
  <c r="H480" s="1"/>
  <c r="AD828" i="9"/>
  <c r="AE828" s="1"/>
  <c r="Z573"/>
  <c r="AA573" s="1"/>
  <c r="AD72"/>
  <c r="AE72" s="1"/>
  <c r="U48" i="36"/>
  <c r="X48" s="1"/>
  <c r="F480" s="1"/>
  <c r="N68" i="19"/>
  <c r="AU173" i="9"/>
  <c r="C121" i="8"/>
  <c r="I121" s="1"/>
  <c r="Z73" i="9"/>
  <c r="AU73"/>
  <c r="AD36"/>
  <c r="AE36" s="1"/>
  <c r="AU37"/>
  <c r="Z37"/>
  <c r="AA37" s="1"/>
  <c r="AA474" i="36" s="1"/>
  <c r="AU318" i="9"/>
  <c r="Z318"/>
  <c r="AA318" s="1"/>
  <c r="AD318"/>
  <c r="AE318" s="1"/>
  <c r="BE234"/>
  <c r="BB234" s="1"/>
  <c r="BE320"/>
  <c r="BF321"/>
  <c r="BF416"/>
  <c r="BE416" s="1"/>
  <c r="BF765"/>
  <c r="BE765" s="1"/>
  <c r="BB765" s="1"/>
  <c r="BF830"/>
  <c r="BE830" s="1"/>
  <c r="BB830" s="1"/>
  <c r="BF38"/>
  <c r="BE38" s="1"/>
  <c r="BF259"/>
  <c r="BE259" s="1"/>
  <c r="BF573"/>
  <c r="BE573" s="1"/>
  <c r="BF492"/>
  <c r="BE492" s="1"/>
  <c r="BF610"/>
  <c r="BE610" s="1"/>
  <c r="V544" i="12"/>
  <c r="V236"/>
  <c r="M440" s="1"/>
  <c r="Z544"/>
  <c r="Z236"/>
  <c r="H544"/>
  <c r="H236"/>
  <c r="CQ439"/>
  <c r="D439"/>
  <c r="BF174" i="9"/>
  <c r="BE174" s="1"/>
  <c r="Z68" i="19"/>
  <c r="AD48" i="36" s="1"/>
  <c r="L480" s="1"/>
  <c r="O48"/>
  <c r="R480" s="1"/>
  <c r="AA544" i="12"/>
  <c r="AA236"/>
  <c r="W544"/>
  <c r="W236"/>
  <c r="S544"/>
  <c r="S236"/>
  <c r="D544"/>
  <c r="D236"/>
  <c r="Y544"/>
  <c r="Y236"/>
  <c r="T544"/>
  <c r="T236"/>
  <c r="R544"/>
  <c r="R236"/>
  <c r="G544"/>
  <c r="G236"/>
  <c r="N439"/>
  <c r="AC439"/>
  <c r="O543"/>
  <c r="M543"/>
  <c r="P543"/>
  <c r="I543"/>
  <c r="K543"/>
  <c r="Q543"/>
  <c r="U543"/>
  <c r="J543"/>
  <c r="F543"/>
  <c r="X543"/>
  <c r="O273" i="20"/>
  <c r="Q273"/>
  <c r="H273"/>
  <c r="I273"/>
  <c r="S273"/>
  <c r="P273"/>
  <c r="G273"/>
  <c r="E273"/>
  <c r="M274"/>
  <c r="D274"/>
  <c r="N543" i="12"/>
  <c r="E543"/>
  <c r="L543"/>
  <c r="N273" i="20"/>
  <c r="J273"/>
  <c r="L273"/>
  <c r="R273"/>
  <c r="F273"/>
  <c r="K273"/>
  <c r="L236" i="12" l="1"/>
  <c r="C440" s="1"/>
  <c r="E236"/>
  <c r="N236"/>
  <c r="X236"/>
  <c r="F236"/>
  <c r="J236"/>
  <c r="U236"/>
  <c r="Q236"/>
  <c r="K236"/>
  <c r="I236"/>
  <c r="P236"/>
  <c r="M236"/>
  <c r="O236"/>
  <c r="B440" s="1"/>
  <c r="V517" i="20"/>
  <c r="V274"/>
  <c r="E517"/>
  <c r="G517"/>
  <c r="P517"/>
  <c r="S517"/>
  <c r="U517"/>
  <c r="U274"/>
  <c r="I517"/>
  <c r="H517"/>
  <c r="Q517"/>
  <c r="O517"/>
  <c r="K517"/>
  <c r="F517"/>
  <c r="T274"/>
  <c r="T517"/>
  <c r="R517"/>
  <c r="L517"/>
  <c r="J517"/>
  <c r="AU148" i="9"/>
  <c r="Z148"/>
  <c r="AA148" s="1"/>
  <c r="AD148" s="1"/>
  <c r="AE148" s="1"/>
  <c r="N517" i="20"/>
  <c r="M48" i="36"/>
  <c r="P480" s="1"/>
  <c r="M518" i="20"/>
  <c r="W275"/>
  <c r="W518"/>
  <c r="D275"/>
  <c r="D518"/>
  <c r="W38" i="9"/>
  <c r="BB38"/>
  <c r="AD172"/>
  <c r="X43" i="19" s="1"/>
  <c r="Z43" s="1"/>
  <c r="AU258" i="9"/>
  <c r="AD258"/>
  <c r="AE258" s="1"/>
  <c r="AA763"/>
  <c r="F103" i="8" s="1"/>
  <c r="AU415" i="9"/>
  <c r="Z822"/>
  <c r="AA822" s="1"/>
  <c r="Z572"/>
  <c r="AA572" s="1"/>
  <c r="Z815"/>
  <c r="AA815" s="1"/>
  <c r="Z580"/>
  <c r="AA580" s="1"/>
  <c r="W43" i="19"/>
  <c r="Y43" s="1"/>
  <c r="AD415" i="9"/>
  <c r="AE415" s="1"/>
  <c r="Z491"/>
  <c r="AA491" s="1"/>
  <c r="AD491" s="1"/>
  <c r="AE491" s="1"/>
  <c r="Z577"/>
  <c r="AA577" s="1"/>
  <c r="Z819"/>
  <c r="AA819" s="1"/>
  <c r="Z576"/>
  <c r="AA576" s="1"/>
  <c r="Z818"/>
  <c r="AA818" s="1"/>
  <c r="G103" i="8"/>
  <c r="Z829" i="9"/>
  <c r="AA829" s="1"/>
  <c r="B830" s="1"/>
  <c r="W610"/>
  <c r="AU610" s="1"/>
  <c r="BB610"/>
  <c r="W492"/>
  <c r="AU492" s="1"/>
  <c r="BB492"/>
  <c r="W259"/>
  <c r="Z259" s="1"/>
  <c r="AA259" s="1"/>
  <c r="BB259"/>
  <c r="Z86" i="19"/>
  <c r="AD51" i="36" s="1"/>
  <c r="O51"/>
  <c r="W174" i="9"/>
  <c r="T95" i="19" s="1"/>
  <c r="M95" s="1"/>
  <c r="N95" s="1"/>
  <c r="BB174" i="9"/>
  <c r="W416"/>
  <c r="AU416" s="1"/>
  <c r="BB416"/>
  <c r="W320"/>
  <c r="BB320"/>
  <c r="Y86" i="19"/>
  <c r="AB51" i="36" s="1"/>
  <c r="M51"/>
  <c r="U51"/>
  <c r="X51" s="1"/>
  <c r="N86" i="19"/>
  <c r="AD609" i="9"/>
  <c r="AE609" s="1"/>
  <c r="P69" i="19"/>
  <c r="AA571" i="9"/>
  <c r="Z575"/>
  <c r="AA575" s="1"/>
  <c r="Z579"/>
  <c r="AA579" s="1"/>
  <c r="Z817"/>
  <c r="AA817" s="1"/>
  <c r="Z821"/>
  <c r="AA821" s="1"/>
  <c r="Z574"/>
  <c r="AA574" s="1"/>
  <c r="Z578"/>
  <c r="AA578" s="1"/>
  <c r="Z816"/>
  <c r="AA816" s="1"/>
  <c r="AU572"/>
  <c r="W573"/>
  <c r="AU573" s="1"/>
  <c r="BB573"/>
  <c r="AD37"/>
  <c r="AE37" s="1"/>
  <c r="G120" i="8"/>
  <c r="AE238" i="19"/>
  <c r="AI238" s="1"/>
  <c r="AM238" s="1"/>
  <c r="AQ238" s="1"/>
  <c r="AU238" s="1"/>
  <c r="AV238" s="1"/>
  <c r="J480" i="36"/>
  <c r="AD173" i="9"/>
  <c r="E121" i="8"/>
  <c r="AA73" i="9"/>
  <c r="F121" i="8" s="1"/>
  <c r="AU38" i="9"/>
  <c r="Z38"/>
  <c r="AA38" s="1"/>
  <c r="AU319"/>
  <c r="Z319"/>
  <c r="AA319" s="1"/>
  <c r="AD319"/>
  <c r="AE319" s="1"/>
  <c r="BE321"/>
  <c r="BF322"/>
  <c r="BF417"/>
  <c r="BE417" s="1"/>
  <c r="BF766"/>
  <c r="BE766" s="1"/>
  <c r="BB766" s="1"/>
  <c r="BF831"/>
  <c r="BE831" s="1"/>
  <c r="BF39"/>
  <c r="BE39" s="1"/>
  <c r="BF260"/>
  <c r="BE260" s="1"/>
  <c r="BF611"/>
  <c r="BE611" s="1"/>
  <c r="BF493"/>
  <c r="BE493" s="1"/>
  <c r="BF574"/>
  <c r="BE574" s="1"/>
  <c r="G545" i="12"/>
  <c r="G237"/>
  <c r="T545"/>
  <c r="T237"/>
  <c r="S545"/>
  <c r="S237"/>
  <c r="CQ440"/>
  <c r="D440"/>
  <c r="BF175" i="9"/>
  <c r="BE175" s="1"/>
  <c r="BE74"/>
  <c r="R545" i="12"/>
  <c r="R237"/>
  <c r="Y545"/>
  <c r="Y237"/>
  <c r="D545"/>
  <c r="D237"/>
  <c r="W545"/>
  <c r="W237"/>
  <c r="AA545"/>
  <c r="AA237"/>
  <c r="H545"/>
  <c r="H237"/>
  <c r="Z545"/>
  <c r="Z237"/>
  <c r="V545"/>
  <c r="V237"/>
  <c r="M441" s="1"/>
  <c r="AC440"/>
  <c r="AB440"/>
  <c r="N440"/>
  <c r="L544"/>
  <c r="N544"/>
  <c r="X544"/>
  <c r="F544"/>
  <c r="J544"/>
  <c r="U544"/>
  <c r="Q544"/>
  <c r="K544"/>
  <c r="I544"/>
  <c r="P544"/>
  <c r="E274" i="20"/>
  <c r="G274"/>
  <c r="S274"/>
  <c r="I274"/>
  <c r="H274"/>
  <c r="Q274"/>
  <c r="F274"/>
  <c r="J274"/>
  <c r="E544" i="12"/>
  <c r="M544"/>
  <c r="O544"/>
  <c r="P274" i="20"/>
  <c r="O274"/>
  <c r="K274"/>
  <c r="R274"/>
  <c r="L274"/>
  <c r="N274"/>
  <c r="M275"/>
  <c r="O237" i="12" l="1"/>
  <c r="B441" s="1"/>
  <c r="M237"/>
  <c r="AC441" s="1"/>
  <c r="E237"/>
  <c r="P237"/>
  <c r="I237"/>
  <c r="K237"/>
  <c r="Q237"/>
  <c r="U237"/>
  <c r="J237"/>
  <c r="J545"/>
  <c r="J546" s="1"/>
  <c r="F237"/>
  <c r="X545"/>
  <c r="X546" s="1"/>
  <c r="X237"/>
  <c r="N237"/>
  <c r="L237"/>
  <c r="C441" s="1"/>
  <c r="J518" i="20"/>
  <c r="F518"/>
  <c r="Q518"/>
  <c r="H518"/>
  <c r="I518"/>
  <c r="U518"/>
  <c r="U275"/>
  <c r="S518"/>
  <c r="G518"/>
  <c r="E518"/>
  <c r="V518"/>
  <c r="V275"/>
  <c r="N518"/>
  <c r="L518"/>
  <c r="R518"/>
  <c r="T518"/>
  <c r="T275"/>
  <c r="K518"/>
  <c r="O518"/>
  <c r="P518"/>
  <c r="D519"/>
  <c r="D276"/>
  <c r="W276"/>
  <c r="W519"/>
  <c r="M519"/>
  <c r="AD610" i="9"/>
  <c r="AE610" s="1"/>
  <c r="W74"/>
  <c r="BB74"/>
  <c r="W39"/>
  <c r="BB39"/>
  <c r="R95" i="19"/>
  <c r="U95" s="1"/>
  <c r="R94"/>
  <c r="U94" s="1"/>
  <c r="AU174" i="9"/>
  <c r="AD416"/>
  <c r="AE416" s="1"/>
  <c r="AU259"/>
  <c r="Z416"/>
  <c r="AA416" s="1"/>
  <c r="Z492"/>
  <c r="AA492" s="1"/>
  <c r="AD492" s="1"/>
  <c r="AE492" s="1"/>
  <c r="AE172"/>
  <c r="P42" i="19" s="1"/>
  <c r="X42"/>
  <c r="Z42" s="1"/>
  <c r="B765" i="9"/>
  <c r="E765" s="1"/>
  <c r="B764"/>
  <c r="B766"/>
  <c r="AD829"/>
  <c r="AE829" s="1"/>
  <c r="W175"/>
  <c r="Z175" s="1"/>
  <c r="AA175" s="1"/>
  <c r="BB175"/>
  <c r="W493"/>
  <c r="AU493" s="1"/>
  <c r="BB493"/>
  <c r="W611"/>
  <c r="AU611" s="1"/>
  <c r="BB611"/>
  <c r="W260"/>
  <c r="AU260" s="1"/>
  <c r="BB260"/>
  <c r="W831"/>
  <c r="AU831" s="1"/>
  <c r="BB831"/>
  <c r="W417"/>
  <c r="AD417" s="1"/>
  <c r="AE417" s="1"/>
  <c r="BB417"/>
  <c r="W321"/>
  <c r="BB321"/>
  <c r="T94" i="19"/>
  <c r="M94" s="1"/>
  <c r="N94" s="1"/>
  <c r="AO94" s="1"/>
  <c r="Z174" i="9"/>
  <c r="AA174" s="1"/>
  <c r="W95" i="19" s="1"/>
  <c r="Y95" s="1"/>
  <c r="AD573" i="9"/>
  <c r="AE573" s="1"/>
  <c r="W574"/>
  <c r="AU574" s="1"/>
  <c r="BB574"/>
  <c r="AD259"/>
  <c r="AE259" s="1"/>
  <c r="AE173"/>
  <c r="AE94" i="19" s="1"/>
  <c r="AU94" s="1"/>
  <c r="AS95"/>
  <c r="AG95"/>
  <c r="AO95"/>
  <c r="AC95"/>
  <c r="AK95"/>
  <c r="AD73" i="9"/>
  <c r="AE73" s="1"/>
  <c r="Z74"/>
  <c r="C122" i="8"/>
  <c r="I122" s="1"/>
  <c r="AU74" i="9"/>
  <c r="AD38"/>
  <c r="AE38" s="1"/>
  <c r="AU39"/>
  <c r="Z39"/>
  <c r="AA39" s="1"/>
  <c r="AA475" i="36" s="1"/>
  <c r="AD320" i="9"/>
  <c r="AE320" s="1"/>
  <c r="AU320"/>
  <c r="Z320"/>
  <c r="AA320" s="1"/>
  <c r="BE322"/>
  <c r="BF323"/>
  <c r="BF418"/>
  <c r="BE418" s="1"/>
  <c r="BF767"/>
  <c r="BE767" s="1"/>
  <c r="BB767" s="1"/>
  <c r="BF832"/>
  <c r="BE832" s="1"/>
  <c r="BB832" s="1"/>
  <c r="BF40"/>
  <c r="BE40" s="1"/>
  <c r="BF261"/>
  <c r="BE261" s="1"/>
  <c r="BF575"/>
  <c r="BE575" s="1"/>
  <c r="BF494"/>
  <c r="BE494" s="1"/>
  <c r="BF612"/>
  <c r="BE612" s="1"/>
  <c r="V546" i="12"/>
  <c r="V238"/>
  <c r="M442" s="1"/>
  <c r="Z546"/>
  <c r="Z238"/>
  <c r="H546"/>
  <c r="H238"/>
  <c r="AA546"/>
  <c r="AA238"/>
  <c r="W546"/>
  <c r="W238"/>
  <c r="D546"/>
  <c r="D238"/>
  <c r="Y546"/>
  <c r="Y238"/>
  <c r="R546"/>
  <c r="R238"/>
  <c r="S546"/>
  <c r="S238"/>
  <c r="T546"/>
  <c r="T238"/>
  <c r="G546"/>
  <c r="G238"/>
  <c r="X238"/>
  <c r="D441"/>
  <c r="CQ441"/>
  <c r="BF176" i="9"/>
  <c r="BE176" s="1"/>
  <c r="O545" i="12"/>
  <c r="M545"/>
  <c r="E545"/>
  <c r="P545"/>
  <c r="Q545"/>
  <c r="U545"/>
  <c r="F545"/>
  <c r="N545"/>
  <c r="L545"/>
  <c r="F275" i="20"/>
  <c r="Q275"/>
  <c r="H275"/>
  <c r="I275"/>
  <c r="S275"/>
  <c r="G275"/>
  <c r="N275"/>
  <c r="R275"/>
  <c r="K275"/>
  <c r="O275"/>
  <c r="I545" i="12"/>
  <c r="K545"/>
  <c r="J275" i="20"/>
  <c r="E275"/>
  <c r="L275"/>
  <c r="P275"/>
  <c r="M276"/>
  <c r="AB441" i="12" l="1"/>
  <c r="J238"/>
  <c r="N441"/>
  <c r="K238"/>
  <c r="I238"/>
  <c r="L238"/>
  <c r="C442" s="1"/>
  <c r="N238"/>
  <c r="F238"/>
  <c r="U238"/>
  <c r="Q238"/>
  <c r="P238"/>
  <c r="E238"/>
  <c r="M238"/>
  <c r="AC442" s="1"/>
  <c r="O238"/>
  <c r="N442" s="1"/>
  <c r="O519" i="20"/>
  <c r="K519"/>
  <c r="T519"/>
  <c r="T276"/>
  <c r="R519"/>
  <c r="N519"/>
  <c r="V276"/>
  <c r="V519"/>
  <c r="G519"/>
  <c r="S519"/>
  <c r="U276"/>
  <c r="U519"/>
  <c r="I519"/>
  <c r="H519"/>
  <c r="Q519"/>
  <c r="F519"/>
  <c r="P519"/>
  <c r="L519"/>
  <c r="E519"/>
  <c r="J519"/>
  <c r="D277"/>
  <c r="D520"/>
  <c r="M520"/>
  <c r="W277"/>
  <c r="W520"/>
  <c r="T99" i="19"/>
  <c r="M99" s="1"/>
  <c r="N99" s="1"/>
  <c r="AG99" s="1"/>
  <c r="W40" i="9"/>
  <c r="Z40" s="1"/>
  <c r="AA40" s="1"/>
  <c r="BB40"/>
  <c r="AU175"/>
  <c r="AU417"/>
  <c r="R98" i="19"/>
  <c r="U98" s="1"/>
  <c r="Z260" i="9"/>
  <c r="AA260" s="1"/>
  <c r="Z493"/>
  <c r="AA493" s="1"/>
  <c r="AC94" i="19"/>
  <c r="P43"/>
  <c r="Z831" i="9"/>
  <c r="AA831" s="1"/>
  <c r="AD831" s="1"/>
  <c r="AE831" s="1"/>
  <c r="AK94" i="19"/>
  <c r="AE95"/>
  <c r="AU95" s="1"/>
  <c r="W94"/>
  <c r="Y94" s="1"/>
  <c r="AD174" i="9"/>
  <c r="X95" i="19" s="1"/>
  <c r="Z95" s="1"/>
  <c r="AD574" i="9"/>
  <c r="AE574" s="1"/>
  <c r="W176"/>
  <c r="AU176" s="1"/>
  <c r="BB176"/>
  <c r="W612"/>
  <c r="AU612" s="1"/>
  <c r="BB612"/>
  <c r="W418"/>
  <c r="AD418" s="1"/>
  <c r="AE418" s="1"/>
  <c r="BB418"/>
  <c r="W322"/>
  <c r="BB322"/>
  <c r="W494"/>
  <c r="AU494" s="1"/>
  <c r="BB494"/>
  <c r="W261"/>
  <c r="AD261" s="1"/>
  <c r="AE261" s="1"/>
  <c r="BB261"/>
  <c r="AD611"/>
  <c r="AE611" s="1"/>
  <c r="AG94" i="19"/>
  <c r="AS94"/>
  <c r="T98"/>
  <c r="M98" s="1"/>
  <c r="N98" s="1"/>
  <c r="AK98" s="1"/>
  <c r="R99"/>
  <c r="U99" s="1"/>
  <c r="Z417" i="9"/>
  <c r="AA417" s="1"/>
  <c r="W575"/>
  <c r="AU575" s="1"/>
  <c r="BB575"/>
  <c r="AI94" i="19"/>
  <c r="AM94"/>
  <c r="AQ94"/>
  <c r="AD493" i="9"/>
  <c r="AE493" s="1"/>
  <c r="AD260"/>
  <c r="AE260" s="1"/>
  <c r="AD39"/>
  <c r="AE39" s="1"/>
  <c r="Z261"/>
  <c r="AA261" s="1"/>
  <c r="AD175"/>
  <c r="W98" i="19"/>
  <c r="Y98" s="1"/>
  <c r="W99"/>
  <c r="Y99" s="1"/>
  <c r="Z176" i="9"/>
  <c r="AA176" s="1"/>
  <c r="G121" i="8"/>
  <c r="E122"/>
  <c r="AA74" i="9"/>
  <c r="F122" i="8" s="1"/>
  <c r="AU40" i="9"/>
  <c r="AD321"/>
  <c r="AE321" s="1"/>
  <c r="AU321"/>
  <c r="Z321"/>
  <c r="AA321" s="1"/>
  <c r="BE323"/>
  <c r="BF324"/>
  <c r="BF419"/>
  <c r="BE419" s="1"/>
  <c r="BF768"/>
  <c r="BF833"/>
  <c r="BE833" s="1"/>
  <c r="BF41"/>
  <c r="BE41" s="1"/>
  <c r="BB41" s="1"/>
  <c r="BF262"/>
  <c r="BE262" s="1"/>
  <c r="BF613"/>
  <c r="BE613" s="1"/>
  <c r="BF495"/>
  <c r="BE495" s="1"/>
  <c r="BF576"/>
  <c r="BE576" s="1"/>
  <c r="J547" i="12"/>
  <c r="J239"/>
  <c r="G547"/>
  <c r="G239"/>
  <c r="T547"/>
  <c r="T239"/>
  <c r="S547"/>
  <c r="S239"/>
  <c r="CQ442"/>
  <c r="D442"/>
  <c r="B442"/>
  <c r="BF177" i="9"/>
  <c r="BE177" s="1"/>
  <c r="BE75"/>
  <c r="BB75" s="1"/>
  <c r="R547" i="12"/>
  <c r="R239"/>
  <c r="Y547"/>
  <c r="Y239"/>
  <c r="D547"/>
  <c r="D239"/>
  <c r="W547"/>
  <c r="W239"/>
  <c r="AA547"/>
  <c r="AA239"/>
  <c r="H547"/>
  <c r="H239"/>
  <c r="Z547"/>
  <c r="Z239"/>
  <c r="V547"/>
  <c r="V239"/>
  <c r="M443" s="1"/>
  <c r="X547"/>
  <c r="X239"/>
  <c r="L546"/>
  <c r="N546"/>
  <c r="P546"/>
  <c r="E546"/>
  <c r="M546"/>
  <c r="O546"/>
  <c r="O276" i="20"/>
  <c r="K276"/>
  <c r="N276"/>
  <c r="G276"/>
  <c r="S276"/>
  <c r="I276"/>
  <c r="H276"/>
  <c r="Q276"/>
  <c r="P276"/>
  <c r="F276"/>
  <c r="L276"/>
  <c r="E276"/>
  <c r="J276"/>
  <c r="M277"/>
  <c r="K546" i="12"/>
  <c r="I546"/>
  <c r="F546"/>
  <c r="U546"/>
  <c r="Q546"/>
  <c r="R276" i="20"/>
  <c r="AB442" i="12" l="1"/>
  <c r="Q239"/>
  <c r="U239"/>
  <c r="F239"/>
  <c r="I239"/>
  <c r="K239"/>
  <c r="O239"/>
  <c r="N443" s="1"/>
  <c r="M239"/>
  <c r="AB443" s="1"/>
  <c r="E239"/>
  <c r="P239"/>
  <c r="N239"/>
  <c r="L239"/>
  <c r="C443" s="1"/>
  <c r="G520" i="20"/>
  <c r="N520"/>
  <c r="T277"/>
  <c r="T520"/>
  <c r="K520"/>
  <c r="O520"/>
  <c r="P520"/>
  <c r="Q520"/>
  <c r="H520"/>
  <c r="I520"/>
  <c r="S520"/>
  <c r="J520"/>
  <c r="E520"/>
  <c r="L520"/>
  <c r="F520"/>
  <c r="U520"/>
  <c r="U277"/>
  <c r="V520"/>
  <c r="V277"/>
  <c r="R520"/>
  <c r="AK99" i="19"/>
  <c r="AO99"/>
  <c r="AS99"/>
  <c r="AC99"/>
  <c r="M521" i="20"/>
  <c r="W521"/>
  <c r="W278"/>
  <c r="D521"/>
  <c r="D278"/>
  <c r="AO98" i="19"/>
  <c r="AD612" i="9"/>
  <c r="AE612" s="1"/>
  <c r="AU418"/>
  <c r="Z494"/>
  <c r="AA494" s="1"/>
  <c r="AD494" s="1"/>
  <c r="AE494" s="1"/>
  <c r="X94" i="19"/>
  <c r="Z94" s="1"/>
  <c r="AQ95"/>
  <c r="AM95"/>
  <c r="AD575" i="9"/>
  <c r="AE575" s="1"/>
  <c r="AS98" i="19"/>
  <c r="AI95"/>
  <c r="AE174" i="9"/>
  <c r="AE99" i="19" s="1"/>
  <c r="AU99" s="1"/>
  <c r="AU261" i="9"/>
  <c r="W177"/>
  <c r="AU177" s="1"/>
  <c r="BB177"/>
  <c r="W495"/>
  <c r="Z495" s="1"/>
  <c r="AA495" s="1"/>
  <c r="BB495"/>
  <c r="W613"/>
  <c r="AU613" s="1"/>
  <c r="BB613"/>
  <c r="W262"/>
  <c r="Z262" s="1"/>
  <c r="AA262" s="1"/>
  <c r="BB262"/>
  <c r="W833"/>
  <c r="AU833" s="1"/>
  <c r="BB833"/>
  <c r="W419"/>
  <c r="Z419" s="1"/>
  <c r="AA419" s="1"/>
  <c r="BB419"/>
  <c r="W323"/>
  <c r="BB323"/>
  <c r="AC98" i="19"/>
  <c r="AG98"/>
  <c r="Z418" i="9"/>
  <c r="AA418" s="1"/>
  <c r="W576"/>
  <c r="AD576" s="1"/>
  <c r="AE576" s="1"/>
  <c r="BB576"/>
  <c r="X98" i="19"/>
  <c r="Z98" s="1"/>
  <c r="AE175" i="9"/>
  <c r="AE92" i="19" s="1"/>
  <c r="BE768" i="9"/>
  <c r="BF769"/>
  <c r="X99" i="19"/>
  <c r="Z99" s="1"/>
  <c r="AD176" i="9"/>
  <c r="AD40"/>
  <c r="AE40" s="1"/>
  <c r="Z177"/>
  <c r="AA177" s="1"/>
  <c r="W92" i="19"/>
  <c r="Y92" s="1"/>
  <c r="W93"/>
  <c r="Y93" s="1"/>
  <c r="W91"/>
  <c r="Y91" s="1"/>
  <c r="AD74" i="9"/>
  <c r="AD322"/>
  <c r="AE322" s="1"/>
  <c r="AU322"/>
  <c r="Z322"/>
  <c r="AA322" s="1"/>
  <c r="BE324"/>
  <c r="BF325"/>
  <c r="BF420"/>
  <c r="BE420" s="1"/>
  <c r="BF834"/>
  <c r="BE834" s="1"/>
  <c r="BF42"/>
  <c r="BE42" s="1"/>
  <c r="BF263"/>
  <c r="BE263" s="1"/>
  <c r="BF496"/>
  <c r="BE496" s="1"/>
  <c r="BF577"/>
  <c r="BE577" s="1"/>
  <c r="BF614"/>
  <c r="BE614" s="1"/>
  <c r="X548" i="12"/>
  <c r="X240"/>
  <c r="CQ443"/>
  <c r="D443"/>
  <c r="BF76" i="9"/>
  <c r="BE76" s="1"/>
  <c r="V548" i="12"/>
  <c r="V240"/>
  <c r="M444" s="1"/>
  <c r="Z548"/>
  <c r="Z240"/>
  <c r="H548"/>
  <c r="H240"/>
  <c r="AA548"/>
  <c r="AA240"/>
  <c r="W548"/>
  <c r="W240"/>
  <c r="D548"/>
  <c r="D240"/>
  <c r="Y548"/>
  <c r="Y240"/>
  <c r="R548"/>
  <c r="R240"/>
  <c r="S548"/>
  <c r="S240"/>
  <c r="T548"/>
  <c r="T240"/>
  <c r="G548"/>
  <c r="G240"/>
  <c r="J548"/>
  <c r="J240"/>
  <c r="BF178" i="9"/>
  <c r="BE178" s="1"/>
  <c r="B443" i="12"/>
  <c r="O547"/>
  <c r="M547"/>
  <c r="E547"/>
  <c r="P547"/>
  <c r="N547"/>
  <c r="L547"/>
  <c r="G277" i="20"/>
  <c r="O277"/>
  <c r="Q277"/>
  <c r="S277"/>
  <c r="J277"/>
  <c r="E277"/>
  <c r="F277"/>
  <c r="R277"/>
  <c r="M278"/>
  <c r="Q547" i="12"/>
  <c r="U547"/>
  <c r="F547"/>
  <c r="I547"/>
  <c r="K547"/>
  <c r="N277" i="20"/>
  <c r="K277"/>
  <c r="P277"/>
  <c r="H277"/>
  <c r="I277"/>
  <c r="L277"/>
  <c r="AC443" i="12" l="1"/>
  <c r="K240"/>
  <c r="I240"/>
  <c r="F240"/>
  <c r="U240"/>
  <c r="Q240"/>
  <c r="L240"/>
  <c r="C444" s="1"/>
  <c r="N240"/>
  <c r="P240"/>
  <c r="E240"/>
  <c r="M240"/>
  <c r="AB444" s="1"/>
  <c r="O240"/>
  <c r="N444" s="1"/>
  <c r="R521" i="20"/>
  <c r="V278"/>
  <c r="V521"/>
  <c r="U278"/>
  <c r="U521"/>
  <c r="F521"/>
  <c r="E521"/>
  <c r="J521"/>
  <c r="S521"/>
  <c r="Q521"/>
  <c r="O521"/>
  <c r="G521"/>
  <c r="L521"/>
  <c r="I521"/>
  <c r="H521"/>
  <c r="P521"/>
  <c r="K521"/>
  <c r="T521"/>
  <c r="T278"/>
  <c r="N521"/>
  <c r="D279"/>
  <c r="D522"/>
  <c r="W279"/>
  <c r="W522"/>
  <c r="M522"/>
  <c r="W76" i="9"/>
  <c r="AU76" s="1"/>
  <c r="BB76"/>
  <c r="W42"/>
  <c r="AU42" s="1"/>
  <c r="BB42"/>
  <c r="AU262"/>
  <c r="AU419"/>
  <c r="AM99" i="19"/>
  <c r="AD419" i="9"/>
  <c r="AE419" s="1"/>
  <c r="AU495"/>
  <c r="AI99" i="19"/>
  <c r="AQ99"/>
  <c r="AE98"/>
  <c r="AU98" s="1"/>
  <c r="Z833" i="9"/>
  <c r="AA833" s="1"/>
  <c r="AD833" s="1"/>
  <c r="AE833" s="1"/>
  <c r="AU576"/>
  <c r="W178"/>
  <c r="AU178" s="1"/>
  <c r="BB178"/>
  <c r="W614"/>
  <c r="AU614" s="1"/>
  <c r="BB614"/>
  <c r="W263"/>
  <c r="AD263" s="1"/>
  <c r="AE263" s="1"/>
  <c r="BB263"/>
  <c r="W420"/>
  <c r="Z420" s="1"/>
  <c r="AA420" s="1"/>
  <c r="BB420"/>
  <c r="W324"/>
  <c r="BB324"/>
  <c r="W496"/>
  <c r="Z496" s="1"/>
  <c r="AA496" s="1"/>
  <c r="BB496"/>
  <c r="W834"/>
  <c r="AU834" s="1"/>
  <c r="BB834"/>
  <c r="W768"/>
  <c r="BB768"/>
  <c r="AD613"/>
  <c r="AE613" s="1"/>
  <c r="AD262"/>
  <c r="AE262" s="1"/>
  <c r="W577"/>
  <c r="AD577" s="1"/>
  <c r="AE577" s="1"/>
  <c r="BB577"/>
  <c r="X93" i="19"/>
  <c r="Z93" s="1"/>
  <c r="AE176" i="9"/>
  <c r="G122" i="8"/>
  <c r="AE74" i="9"/>
  <c r="Z834"/>
  <c r="AA834" s="1"/>
  <c r="AD495"/>
  <c r="AE495" s="1"/>
  <c r="X92" i="19"/>
  <c r="Z92" s="1"/>
  <c r="X91"/>
  <c r="Z91" s="1"/>
  <c r="AE93"/>
  <c r="AU93" s="1"/>
  <c r="AD177" i="9"/>
  <c r="AE177" s="1"/>
  <c r="AE91" i="19"/>
  <c r="AM91" s="1"/>
  <c r="T13"/>
  <c r="M13" s="1"/>
  <c r="N13" s="1"/>
  <c r="AD42" i="9"/>
  <c r="AE42" s="1"/>
  <c r="AU323"/>
  <c r="Z323"/>
  <c r="AA323" s="1"/>
  <c r="AD323"/>
  <c r="AE323" s="1"/>
  <c r="BE325"/>
  <c r="BF326"/>
  <c r="BF421"/>
  <c r="BE421" s="1"/>
  <c r="AU92" i="19"/>
  <c r="AM92"/>
  <c r="AQ92"/>
  <c r="AI92"/>
  <c r="BE769" i="9"/>
  <c r="BF835"/>
  <c r="BE835" s="1"/>
  <c r="BB835" s="1"/>
  <c r="BF43"/>
  <c r="BE43" s="1"/>
  <c r="BF264"/>
  <c r="BE264" s="1"/>
  <c r="BF578"/>
  <c r="BE578" s="1"/>
  <c r="BF615"/>
  <c r="BE615" s="1"/>
  <c r="BF497"/>
  <c r="BE497" s="1"/>
  <c r="G549" i="12"/>
  <c r="G241"/>
  <c r="S549"/>
  <c r="S241"/>
  <c r="R549"/>
  <c r="R241"/>
  <c r="Y549"/>
  <c r="Y241"/>
  <c r="W549"/>
  <c r="W241"/>
  <c r="AA549"/>
  <c r="AA241"/>
  <c r="Z549"/>
  <c r="Z241"/>
  <c r="V549"/>
  <c r="V241"/>
  <c r="M445" s="1"/>
  <c r="BF77" i="9"/>
  <c r="BE77" s="1"/>
  <c r="AC444" i="12"/>
  <c r="BF179" i="9"/>
  <c r="BE179" s="1"/>
  <c r="CQ444" i="12"/>
  <c r="D444"/>
  <c r="X549"/>
  <c r="X241"/>
  <c r="J549"/>
  <c r="J241"/>
  <c r="T549"/>
  <c r="T241"/>
  <c r="D549"/>
  <c r="D241"/>
  <c r="H549"/>
  <c r="H241"/>
  <c r="B444"/>
  <c r="L548"/>
  <c r="N548"/>
  <c r="P548"/>
  <c r="E548"/>
  <c r="M548"/>
  <c r="O548"/>
  <c r="R278" i="20"/>
  <c r="F278"/>
  <c r="E278"/>
  <c r="J278"/>
  <c r="S278"/>
  <c r="Q278"/>
  <c r="O278"/>
  <c r="G278"/>
  <c r="L278"/>
  <c r="I278"/>
  <c r="K278"/>
  <c r="M279"/>
  <c r="K548" i="12"/>
  <c r="I548"/>
  <c r="F548"/>
  <c r="U548"/>
  <c r="Q548"/>
  <c r="H278" i="20"/>
  <c r="P278"/>
  <c r="N278"/>
  <c r="Q241" i="12" l="1"/>
  <c r="U241"/>
  <c r="F241"/>
  <c r="I241"/>
  <c r="K241"/>
  <c r="O241"/>
  <c r="M241"/>
  <c r="AB445" s="1"/>
  <c r="E241"/>
  <c r="P241"/>
  <c r="N241"/>
  <c r="L241"/>
  <c r="C445" s="1"/>
  <c r="T522" i="20"/>
  <c r="T279"/>
  <c r="K522"/>
  <c r="I522"/>
  <c r="L522"/>
  <c r="G522"/>
  <c r="O522"/>
  <c r="Q522"/>
  <c r="S522"/>
  <c r="J522"/>
  <c r="E522"/>
  <c r="F522"/>
  <c r="R522"/>
  <c r="R279"/>
  <c r="N522"/>
  <c r="P522"/>
  <c r="H522"/>
  <c r="U279"/>
  <c r="U522"/>
  <c r="V522"/>
  <c r="V279"/>
  <c r="M523"/>
  <c r="W523"/>
  <c r="W280"/>
  <c r="D280"/>
  <c r="D523"/>
  <c r="Z76" i="9"/>
  <c r="AA76" s="1"/>
  <c r="T16" i="19"/>
  <c r="M16" s="1"/>
  <c r="N16" s="1"/>
  <c r="W77" i="9"/>
  <c r="Z77" s="1"/>
  <c r="AA77" s="1"/>
  <c r="BB77"/>
  <c r="W43"/>
  <c r="Z43" s="1"/>
  <c r="BB43"/>
  <c r="Z42"/>
  <c r="T15" i="19"/>
  <c r="M15" s="1"/>
  <c r="N15" s="1"/>
  <c r="Z178" i="9"/>
  <c r="AA178" s="1"/>
  <c r="AD178" s="1"/>
  <c r="R15" i="19"/>
  <c r="U15" s="1"/>
  <c r="T11"/>
  <c r="M11" s="1"/>
  <c r="N11" s="1"/>
  <c r="T10"/>
  <c r="M10" s="1"/>
  <c r="N10" s="1"/>
  <c r="T14"/>
  <c r="M14" s="1"/>
  <c r="N14" s="1"/>
  <c r="AU263" i="9"/>
  <c r="AI98" i="19"/>
  <c r="AD420" i="9"/>
  <c r="AE420" s="1"/>
  <c r="AU420"/>
  <c r="AU496"/>
  <c r="AQ98" i="19"/>
  <c r="AM98"/>
  <c r="AU577" i="9"/>
  <c r="W179"/>
  <c r="Z179" s="1"/>
  <c r="AA179" s="1"/>
  <c r="BB179"/>
  <c r="W497"/>
  <c r="Z497" s="1"/>
  <c r="AA497" s="1"/>
  <c r="BB497"/>
  <c r="W615"/>
  <c r="AU615" s="1"/>
  <c r="BB615"/>
  <c r="W264"/>
  <c r="Z264" s="1"/>
  <c r="AA264" s="1"/>
  <c r="BB264"/>
  <c r="W421"/>
  <c r="AU421" s="1"/>
  <c r="BB421"/>
  <c r="W325"/>
  <c r="BB325"/>
  <c r="Z768"/>
  <c r="AA768" s="1"/>
  <c r="AF768" s="1"/>
  <c r="AU768"/>
  <c r="W769"/>
  <c r="AU769" s="1"/>
  <c r="BB769"/>
  <c r="AD614"/>
  <c r="AE614" s="1"/>
  <c r="R10" i="19"/>
  <c r="U10" s="1"/>
  <c r="R11"/>
  <c r="U11" s="1"/>
  <c r="T12"/>
  <c r="J47" i="36" s="1"/>
  <c r="R12" i="19"/>
  <c r="U12" s="1"/>
  <c r="G47" i="36" s="1"/>
  <c r="R16" i="19"/>
  <c r="U16" s="1"/>
  <c r="R14"/>
  <c r="U14" s="1"/>
  <c r="R13"/>
  <c r="U13" s="1"/>
  <c r="Z263" i="9"/>
  <c r="AA263" s="1"/>
  <c r="AD768"/>
  <c r="W578"/>
  <c r="AU578" s="1"/>
  <c r="BB578"/>
  <c r="AD834"/>
  <c r="AE834" s="1"/>
  <c r="AD496"/>
  <c r="AE496" s="1"/>
  <c r="Z421"/>
  <c r="AA421" s="1"/>
  <c r="AU91" i="19"/>
  <c r="AQ91"/>
  <c r="AD76" i="9"/>
  <c r="AE76" s="1"/>
  <c r="AI93" i="19"/>
  <c r="AM93"/>
  <c r="AQ93"/>
  <c r="AI91"/>
  <c r="W11"/>
  <c r="Y11" s="1"/>
  <c r="AU77" i="9"/>
  <c r="AU324"/>
  <c r="Z324"/>
  <c r="AA324" s="1"/>
  <c r="AD324"/>
  <c r="AE324" s="1"/>
  <c r="BE326"/>
  <c r="BF327"/>
  <c r="BF422"/>
  <c r="BE422" s="1"/>
  <c r="BF770"/>
  <c r="BE770" s="1"/>
  <c r="BF836"/>
  <c r="BF44"/>
  <c r="BE44" s="1"/>
  <c r="BF265"/>
  <c r="BE265" s="1"/>
  <c r="BB265" s="1"/>
  <c r="BF498"/>
  <c r="BE498" s="1"/>
  <c r="BF616"/>
  <c r="BE616" s="1"/>
  <c r="BF579"/>
  <c r="BE579" s="1"/>
  <c r="CQ445" i="12"/>
  <c r="D445"/>
  <c r="BF180" i="9"/>
  <c r="BE180" s="1"/>
  <c r="BF78"/>
  <c r="BE78" s="1"/>
  <c r="H550" i="12"/>
  <c r="H242"/>
  <c r="D550"/>
  <c r="D242"/>
  <c r="T550"/>
  <c r="T242"/>
  <c r="J550"/>
  <c r="J242"/>
  <c r="X550"/>
  <c r="X242"/>
  <c r="V550"/>
  <c r="V242"/>
  <c r="M446" s="1"/>
  <c r="Z550"/>
  <c r="Z242"/>
  <c r="AA550"/>
  <c r="AA242"/>
  <c r="W550"/>
  <c r="W242"/>
  <c r="Y550"/>
  <c r="Y242"/>
  <c r="R550"/>
  <c r="R242"/>
  <c r="S550"/>
  <c r="S242"/>
  <c r="G550"/>
  <c r="G242"/>
  <c r="N445"/>
  <c r="B445"/>
  <c r="Q549"/>
  <c r="U549"/>
  <c r="F549"/>
  <c r="I549"/>
  <c r="K549"/>
  <c r="E549"/>
  <c r="P549"/>
  <c r="K279" i="20"/>
  <c r="I279"/>
  <c r="G279"/>
  <c r="O279"/>
  <c r="Q279"/>
  <c r="J279"/>
  <c r="N279"/>
  <c r="P279"/>
  <c r="M280"/>
  <c r="O549" i="12"/>
  <c r="M549"/>
  <c r="N549"/>
  <c r="L549"/>
  <c r="L279" i="20"/>
  <c r="S279"/>
  <c r="E279"/>
  <c r="F279"/>
  <c r="H279"/>
  <c r="AC445" i="12" l="1"/>
  <c r="L242"/>
  <c r="C446" s="1"/>
  <c r="N242"/>
  <c r="M242"/>
  <c r="AC446" s="1"/>
  <c r="O242"/>
  <c r="B446" s="1"/>
  <c r="P242"/>
  <c r="E242"/>
  <c r="K242"/>
  <c r="I242"/>
  <c r="F242"/>
  <c r="U242"/>
  <c r="U550"/>
  <c r="U551" s="1"/>
  <c r="Q242"/>
  <c r="V280" i="20"/>
  <c r="V523"/>
  <c r="P523"/>
  <c r="N523"/>
  <c r="R280"/>
  <c r="R523"/>
  <c r="J523"/>
  <c r="Q523"/>
  <c r="O523"/>
  <c r="G523"/>
  <c r="I523"/>
  <c r="K523"/>
  <c r="T523"/>
  <c r="T280"/>
  <c r="U523"/>
  <c r="U280"/>
  <c r="H523"/>
  <c r="F523"/>
  <c r="E523"/>
  <c r="S523"/>
  <c r="L523"/>
  <c r="W12" i="19"/>
  <c r="M47" i="36" s="1"/>
  <c r="P479" s="1"/>
  <c r="W524" i="20"/>
  <c r="W281"/>
  <c r="M524"/>
  <c r="D524"/>
  <c r="D281"/>
  <c r="AU43" i="9"/>
  <c r="J49" i="36"/>
  <c r="W15" i="19"/>
  <c r="Y15" s="1"/>
  <c r="W16"/>
  <c r="Y16" s="1"/>
  <c r="W44" i="9"/>
  <c r="AD44" s="1"/>
  <c r="AE44" s="1"/>
  <c r="BB44"/>
  <c r="W78"/>
  <c r="Z78" s="1"/>
  <c r="AA78" s="1"/>
  <c r="BB78"/>
  <c r="AD43"/>
  <c r="AE43" s="1"/>
  <c r="J48" i="36"/>
  <c r="W13" i="19"/>
  <c r="Y13" s="1"/>
  <c r="W10"/>
  <c r="Y10" s="1"/>
  <c r="W14"/>
  <c r="Y14" s="1"/>
  <c r="M12"/>
  <c r="N12" s="1"/>
  <c r="J50" i="36"/>
  <c r="T74" i="19"/>
  <c r="M74" s="1"/>
  <c r="N74" s="1"/>
  <c r="T49"/>
  <c r="M49" s="1"/>
  <c r="N49" s="1"/>
  <c r="T73"/>
  <c r="M73" s="1"/>
  <c r="N73" s="1"/>
  <c r="R49"/>
  <c r="U49" s="1"/>
  <c r="T44"/>
  <c r="M44" s="1"/>
  <c r="N44" s="1"/>
  <c r="R71"/>
  <c r="U71" s="1"/>
  <c r="T46"/>
  <c r="M46" s="1"/>
  <c r="N46" s="1"/>
  <c r="R74"/>
  <c r="U74" s="1"/>
  <c r="T47"/>
  <c r="M47" s="1"/>
  <c r="N47" s="1"/>
  <c r="R44"/>
  <c r="U44" s="1"/>
  <c r="R48"/>
  <c r="U48" s="1"/>
  <c r="AD578" i="9"/>
  <c r="AE578" s="1"/>
  <c r="AD615"/>
  <c r="AE615" s="1"/>
  <c r="AU264"/>
  <c r="AD421"/>
  <c r="AE421" s="1"/>
  <c r="AU497"/>
  <c r="Z769"/>
  <c r="AA769" s="1"/>
  <c r="B778" s="1"/>
  <c r="W180"/>
  <c r="AU180" s="1"/>
  <c r="BB180"/>
  <c r="W422"/>
  <c r="Z422" s="1"/>
  <c r="AA422" s="1"/>
  <c r="BB422"/>
  <c r="W326"/>
  <c r="BB326"/>
  <c r="W616"/>
  <c r="AU616" s="1"/>
  <c r="BB616"/>
  <c r="W498"/>
  <c r="AU498" s="1"/>
  <c r="BB498"/>
  <c r="W770"/>
  <c r="AU770" s="1"/>
  <c r="BB770"/>
  <c r="AD179"/>
  <c r="AE179" s="1"/>
  <c r="T72" i="19"/>
  <c r="M72" s="1"/>
  <c r="N72" s="1"/>
  <c r="T45"/>
  <c r="M45" s="1"/>
  <c r="N45" s="1"/>
  <c r="AU179" i="9"/>
  <c r="R46" i="19"/>
  <c r="U46" s="1"/>
  <c r="T71"/>
  <c r="M71" s="1"/>
  <c r="N71" s="1"/>
  <c r="R47"/>
  <c r="U47" s="1"/>
  <c r="R73"/>
  <c r="U73" s="1"/>
  <c r="R45"/>
  <c r="U45" s="1"/>
  <c r="T48"/>
  <c r="M48" s="1"/>
  <c r="N48" s="1"/>
  <c r="R72"/>
  <c r="U72" s="1"/>
  <c r="AD264" i="9"/>
  <c r="AE264" s="1"/>
  <c r="AD769"/>
  <c r="AE769" s="1"/>
  <c r="AE768"/>
  <c r="W579"/>
  <c r="AU579" s="1"/>
  <c r="BB579"/>
  <c r="X15" i="19"/>
  <c r="Z15" s="1"/>
  <c r="AE178" i="9"/>
  <c r="P11" i="19" s="1"/>
  <c r="AD497" i="9"/>
  <c r="AE497" s="1"/>
  <c r="AD77"/>
  <c r="AE77" s="1"/>
  <c r="X10" i="19"/>
  <c r="Z10" s="1"/>
  <c r="X14"/>
  <c r="Z14" s="1"/>
  <c r="X12"/>
  <c r="Z12" s="1"/>
  <c r="AD47" i="36" s="1"/>
  <c r="L479" s="1"/>
  <c r="X16" i="19"/>
  <c r="Z16" s="1"/>
  <c r="X11"/>
  <c r="Z11" s="1"/>
  <c r="X13"/>
  <c r="Z13" s="1"/>
  <c r="Z180" i="9"/>
  <c r="AA180" s="1"/>
  <c r="W74" i="19"/>
  <c r="Y74" s="1"/>
  <c r="W49"/>
  <c r="Y49" s="1"/>
  <c r="W47"/>
  <c r="Y47" s="1"/>
  <c r="W45"/>
  <c r="Y45" s="1"/>
  <c r="W73"/>
  <c r="Y73" s="1"/>
  <c r="W72"/>
  <c r="Y72" s="1"/>
  <c r="W48"/>
  <c r="Y48" s="1"/>
  <c r="W46"/>
  <c r="Y46" s="1"/>
  <c r="W44"/>
  <c r="Y44" s="1"/>
  <c r="W71"/>
  <c r="Y71" s="1"/>
  <c r="AU44" i="9"/>
  <c r="AD325"/>
  <c r="AE325" s="1"/>
  <c r="AU325"/>
  <c r="Z325"/>
  <c r="AA325" s="1"/>
  <c r="BE836"/>
  <c r="BB836" s="1"/>
  <c r="BE327"/>
  <c r="BF328"/>
  <c r="BF423"/>
  <c r="BE423" s="1"/>
  <c r="BF771"/>
  <c r="BE771" s="1"/>
  <c r="BB771" s="1"/>
  <c r="BF45"/>
  <c r="BE45" s="1"/>
  <c r="BF266"/>
  <c r="BE266" s="1"/>
  <c r="BF580"/>
  <c r="BE580" s="1"/>
  <c r="BF617"/>
  <c r="BE617" s="1"/>
  <c r="BF499"/>
  <c r="BE499" s="1"/>
  <c r="BF79"/>
  <c r="BE79" s="1"/>
  <c r="BB79" s="1"/>
  <c r="BF181"/>
  <c r="BE181" s="1"/>
  <c r="G551" i="12"/>
  <c r="G243"/>
  <c r="S551"/>
  <c r="S243"/>
  <c r="R551"/>
  <c r="R243"/>
  <c r="Y551"/>
  <c r="Y243"/>
  <c r="W551"/>
  <c r="W243"/>
  <c r="AA551"/>
  <c r="AA243"/>
  <c r="Z551"/>
  <c r="Z243"/>
  <c r="V551"/>
  <c r="V243"/>
  <c r="M447" s="1"/>
  <c r="X551"/>
  <c r="X243"/>
  <c r="J551"/>
  <c r="J243"/>
  <c r="T551"/>
  <c r="T243"/>
  <c r="D551"/>
  <c r="D243"/>
  <c r="H551"/>
  <c r="H243"/>
  <c r="U243"/>
  <c r="CQ446"/>
  <c r="D446"/>
  <c r="L550"/>
  <c r="N550"/>
  <c r="M550"/>
  <c r="O550"/>
  <c r="P550"/>
  <c r="E550"/>
  <c r="K550"/>
  <c r="I550"/>
  <c r="F550"/>
  <c r="P280" i="20"/>
  <c r="N280"/>
  <c r="J280"/>
  <c r="Q280"/>
  <c r="O280"/>
  <c r="I280"/>
  <c r="K280"/>
  <c r="H280"/>
  <c r="E280"/>
  <c r="M281"/>
  <c r="Q550" i="12"/>
  <c r="G280" i="20"/>
  <c r="F280"/>
  <c r="S280"/>
  <c r="L280"/>
  <c r="AB446" i="12" l="1"/>
  <c r="N446"/>
  <c r="Y12" i="19"/>
  <c r="AB47" i="36" s="1"/>
  <c r="J479" s="1"/>
  <c r="Q243" i="12"/>
  <c r="Q551"/>
  <c r="Q552" s="1"/>
  <c r="F243"/>
  <c r="I243"/>
  <c r="K243"/>
  <c r="E243"/>
  <c r="P243"/>
  <c r="O243"/>
  <c r="B447" s="1"/>
  <c r="M243"/>
  <c r="AB447" s="1"/>
  <c r="N243"/>
  <c r="L243"/>
  <c r="C447" s="1"/>
  <c r="E524" i="20"/>
  <c r="H524"/>
  <c r="U281"/>
  <c r="U524"/>
  <c r="T281"/>
  <c r="T524"/>
  <c r="K524"/>
  <c r="I524"/>
  <c r="O524"/>
  <c r="Q524"/>
  <c r="J524"/>
  <c r="N524"/>
  <c r="P524"/>
  <c r="L524"/>
  <c r="S524"/>
  <c r="F524"/>
  <c r="G524"/>
  <c r="R524"/>
  <c r="R281"/>
  <c r="V524"/>
  <c r="V281"/>
  <c r="D525"/>
  <c r="D282"/>
  <c r="M525"/>
  <c r="W282"/>
  <c r="W525"/>
  <c r="Z44" i="9"/>
  <c r="AA44" s="1"/>
  <c r="AU78"/>
  <c r="U47" i="36"/>
  <c r="X47" s="1"/>
  <c r="F479" s="1"/>
  <c r="B265" i="9"/>
  <c r="E98" s="1"/>
  <c r="R4" i="33" s="1"/>
  <c r="R11" s="1"/>
  <c r="W45" i="9"/>
  <c r="Z45" s="1"/>
  <c r="BB45"/>
  <c r="AU422"/>
  <c r="AD422"/>
  <c r="AE422" s="1"/>
  <c r="Z498"/>
  <c r="AA498" s="1"/>
  <c r="X73" i="19"/>
  <c r="Z73" s="1"/>
  <c r="Z770" i="9"/>
  <c r="AA770" s="1"/>
  <c r="AD770" s="1"/>
  <c r="AE770" s="1"/>
  <c r="X45" i="19"/>
  <c r="Z45" s="1"/>
  <c r="X49"/>
  <c r="Z49" s="1"/>
  <c r="X47"/>
  <c r="Z47" s="1"/>
  <c r="X71"/>
  <c r="Z71" s="1"/>
  <c r="W181" i="9"/>
  <c r="AU181" s="1"/>
  <c r="BB181"/>
  <c r="W499"/>
  <c r="AU499" s="1"/>
  <c r="BB499"/>
  <c r="W617"/>
  <c r="AU617" s="1"/>
  <c r="BB617"/>
  <c r="W266"/>
  <c r="C107" i="8" s="1"/>
  <c r="BB266" i="9"/>
  <c r="W423"/>
  <c r="Z423" s="1"/>
  <c r="AA423" s="1"/>
  <c r="BB423"/>
  <c r="W327"/>
  <c r="BB327"/>
  <c r="AD616"/>
  <c r="AE616" s="1"/>
  <c r="X44" i="19"/>
  <c r="Z44" s="1"/>
  <c r="X46"/>
  <c r="Z46" s="1"/>
  <c r="X48"/>
  <c r="Z48" s="1"/>
  <c r="X74"/>
  <c r="Z74" s="1"/>
  <c r="X72"/>
  <c r="Z72" s="1"/>
  <c r="AD579" i="9"/>
  <c r="AE579" s="1"/>
  <c r="W580"/>
  <c r="AU580" s="1"/>
  <c r="BB580"/>
  <c r="AD498"/>
  <c r="AE498" s="1"/>
  <c r="Z499"/>
  <c r="AA499" s="1"/>
  <c r="O47" i="36"/>
  <c r="R479" s="1"/>
  <c r="P15" i="19"/>
  <c r="P14"/>
  <c r="P12"/>
  <c r="Y47" i="36" s="1"/>
  <c r="H479" s="1"/>
  <c r="P16" i="19"/>
  <c r="AD78" i="9"/>
  <c r="AE78" s="1"/>
  <c r="P10" i="19"/>
  <c r="P13"/>
  <c r="T4" i="33"/>
  <c r="T11" s="1"/>
  <c r="W474" i="36"/>
  <c r="W475"/>
  <c r="AD180" i="9"/>
  <c r="AE180" s="1"/>
  <c r="AU45"/>
  <c r="AU326"/>
  <c r="Z326"/>
  <c r="AA326" s="1"/>
  <c r="AD326"/>
  <c r="AE326" s="1"/>
  <c r="BE328"/>
  <c r="BF329"/>
  <c r="BF424"/>
  <c r="BE424" s="1"/>
  <c r="BF772"/>
  <c r="BE772" s="1"/>
  <c r="BF46"/>
  <c r="BE46" s="1"/>
  <c r="BF267"/>
  <c r="BE267" s="1"/>
  <c r="BF500"/>
  <c r="BE500" s="1"/>
  <c r="BF618"/>
  <c r="BE618" s="1"/>
  <c r="BF881"/>
  <c r="BE881" s="1"/>
  <c r="U552" i="12"/>
  <c r="U244"/>
  <c r="P73" i="19"/>
  <c r="P45"/>
  <c r="P49"/>
  <c r="P47"/>
  <c r="P71"/>
  <c r="P48"/>
  <c r="P74"/>
  <c r="P46"/>
  <c r="P44"/>
  <c r="P72"/>
  <c r="CQ447" i="12"/>
  <c r="D447"/>
  <c r="V552"/>
  <c r="V244"/>
  <c r="M448" s="1"/>
  <c r="Z552"/>
  <c r="Z244"/>
  <c r="AA552"/>
  <c r="AA244"/>
  <c r="W552"/>
  <c r="W244"/>
  <c r="Y552"/>
  <c r="Y244"/>
  <c r="R552"/>
  <c r="R244"/>
  <c r="S552"/>
  <c r="S244"/>
  <c r="G552"/>
  <c r="G244"/>
  <c r="H552"/>
  <c r="H244"/>
  <c r="D552"/>
  <c r="D244"/>
  <c r="T552"/>
  <c r="T244"/>
  <c r="J552"/>
  <c r="J244"/>
  <c r="X552"/>
  <c r="X244"/>
  <c r="BF182" i="9"/>
  <c r="BE182" s="1"/>
  <c r="BF80"/>
  <c r="BE80" s="1"/>
  <c r="F551" i="12"/>
  <c r="I551"/>
  <c r="K551"/>
  <c r="O551"/>
  <c r="N551"/>
  <c r="L551"/>
  <c r="H281" i="20"/>
  <c r="K281"/>
  <c r="I281"/>
  <c r="O281"/>
  <c r="Q281"/>
  <c r="J281"/>
  <c r="N281"/>
  <c r="P281"/>
  <c r="E551" i="12"/>
  <c r="P551"/>
  <c r="M551"/>
  <c r="E281" i="20"/>
  <c r="L281"/>
  <c r="S281"/>
  <c r="F281"/>
  <c r="G281"/>
  <c r="M282"/>
  <c r="N447" i="12" l="1"/>
  <c r="AC447"/>
  <c r="Q244"/>
  <c r="M244"/>
  <c r="AB448" s="1"/>
  <c r="P244"/>
  <c r="E244"/>
  <c r="L244"/>
  <c r="C448" s="1"/>
  <c r="N244"/>
  <c r="O244"/>
  <c r="B448" s="1"/>
  <c r="K244"/>
  <c r="I244"/>
  <c r="F244"/>
  <c r="V282" i="20"/>
  <c r="V525"/>
  <c r="R282"/>
  <c r="R525"/>
  <c r="P525"/>
  <c r="N525"/>
  <c r="J525"/>
  <c r="Q525"/>
  <c r="O525"/>
  <c r="I525"/>
  <c r="K525"/>
  <c r="H525"/>
  <c r="G525"/>
  <c r="F525"/>
  <c r="S525"/>
  <c r="L525"/>
  <c r="T525"/>
  <c r="T282"/>
  <c r="U282"/>
  <c r="U525"/>
  <c r="E525"/>
  <c r="M526"/>
  <c r="D526"/>
  <c r="D283"/>
  <c r="W283"/>
  <c r="W526"/>
  <c r="W80" i="9"/>
  <c r="Z80" s="1"/>
  <c r="AA80" s="1"/>
  <c r="BB80"/>
  <c r="W46"/>
  <c r="AD46" s="1"/>
  <c r="AE46" s="1"/>
  <c r="BB46"/>
  <c r="AD45"/>
  <c r="AE45" s="1"/>
  <c r="AD266"/>
  <c r="AE266" s="1"/>
  <c r="Z181"/>
  <c r="AA181" s="1"/>
  <c r="AD181" s="1"/>
  <c r="AE181" s="1"/>
  <c r="AD423"/>
  <c r="AE423" s="1"/>
  <c r="AD580"/>
  <c r="AE580" s="1"/>
  <c r="AD617"/>
  <c r="AE617" s="1"/>
  <c r="AU266"/>
  <c r="AU423"/>
  <c r="W182"/>
  <c r="Z182" s="1"/>
  <c r="AA182" s="1"/>
  <c r="BB182"/>
  <c r="W500"/>
  <c r="AU500" s="1"/>
  <c r="BB500"/>
  <c r="W424"/>
  <c r="AD424" s="1"/>
  <c r="AE424" s="1"/>
  <c r="BB424"/>
  <c r="W328"/>
  <c r="BB328"/>
  <c r="W618"/>
  <c r="AU618" s="1"/>
  <c r="BB618"/>
  <c r="W267"/>
  <c r="C108" i="8" s="1"/>
  <c r="BB267" i="9"/>
  <c r="W772"/>
  <c r="Z772" s="1"/>
  <c r="AA772" s="1"/>
  <c r="BB772"/>
  <c r="Z266"/>
  <c r="E107" i="8" s="1"/>
  <c r="W881" i="9"/>
  <c r="Z881" s="1"/>
  <c r="AA881" s="1"/>
  <c r="BB881"/>
  <c r="AD499"/>
  <c r="AE499" s="1"/>
  <c r="AD267"/>
  <c r="AE267" s="1"/>
  <c r="AU46"/>
  <c r="AU327"/>
  <c r="Z327"/>
  <c r="AA327" s="1"/>
  <c r="AD327"/>
  <c r="AE327" s="1"/>
  <c r="BE329"/>
  <c r="BF330"/>
  <c r="BF425"/>
  <c r="BE425" s="1"/>
  <c r="BF773"/>
  <c r="BE773" s="1"/>
  <c r="BF47"/>
  <c r="BE47" s="1"/>
  <c r="BB47" s="1"/>
  <c r="BF268"/>
  <c r="BE268" s="1"/>
  <c r="BF581"/>
  <c r="BE581" s="1"/>
  <c r="BF619"/>
  <c r="BE619" s="1"/>
  <c r="BF501"/>
  <c r="BE501" s="1"/>
  <c r="BF81"/>
  <c r="CQ448" i="12"/>
  <c r="D448"/>
  <c r="X553"/>
  <c r="X245"/>
  <c r="J553"/>
  <c r="J245"/>
  <c r="T553"/>
  <c r="T245"/>
  <c r="D553"/>
  <c r="D245"/>
  <c r="H553"/>
  <c r="H245"/>
  <c r="Q553"/>
  <c r="Q245"/>
  <c r="G553"/>
  <c r="G245"/>
  <c r="S553"/>
  <c r="S245"/>
  <c r="R553"/>
  <c r="R245"/>
  <c r="Y553"/>
  <c r="Y245"/>
  <c r="W553"/>
  <c r="W245"/>
  <c r="AA553"/>
  <c r="AA245"/>
  <c r="Z553"/>
  <c r="Z245"/>
  <c r="V553"/>
  <c r="V245"/>
  <c r="M449" s="1"/>
  <c r="U553"/>
  <c r="U245"/>
  <c r="BF183" i="9"/>
  <c r="BE183" s="1"/>
  <c r="N448" i="12"/>
  <c r="M552"/>
  <c r="P552"/>
  <c r="E552"/>
  <c r="L552"/>
  <c r="N552"/>
  <c r="O552"/>
  <c r="K552"/>
  <c r="I552"/>
  <c r="P282" i="20"/>
  <c r="N282"/>
  <c r="J282"/>
  <c r="O282"/>
  <c r="I282"/>
  <c r="H282"/>
  <c r="F282"/>
  <c r="E282"/>
  <c r="M283"/>
  <c r="F552" i="12"/>
  <c r="Q282" i="20"/>
  <c r="K282"/>
  <c r="G282"/>
  <c r="S282"/>
  <c r="L282"/>
  <c r="AC448" i="12" l="1"/>
  <c r="F245"/>
  <c r="I245"/>
  <c r="K245"/>
  <c r="O245"/>
  <c r="N449" s="1"/>
  <c r="N245"/>
  <c r="L245"/>
  <c r="C449" s="1"/>
  <c r="E245"/>
  <c r="P245"/>
  <c r="M245"/>
  <c r="AC449" s="1"/>
  <c r="E526" i="20"/>
  <c r="T283"/>
  <c r="T526"/>
  <c r="F526"/>
  <c r="H526"/>
  <c r="I526"/>
  <c r="O526"/>
  <c r="J526"/>
  <c r="N526"/>
  <c r="P526"/>
  <c r="U526"/>
  <c r="U283"/>
  <c r="L526"/>
  <c r="S526"/>
  <c r="G526"/>
  <c r="K526"/>
  <c r="Q526"/>
  <c r="R526"/>
  <c r="R283"/>
  <c r="V283"/>
  <c r="V526"/>
  <c r="D527"/>
  <c r="D284"/>
  <c r="M527"/>
  <c r="W284"/>
  <c r="W527"/>
  <c r="Z46" i="9"/>
  <c r="AU80"/>
  <c r="G107" i="8"/>
  <c r="AU772" i="9"/>
  <c r="AU881"/>
  <c r="AU182"/>
  <c r="Z267"/>
  <c r="E108" i="8" s="1"/>
  <c r="AA266" i="9"/>
  <c r="F107" i="8" s="1"/>
  <c r="AU424" i="9"/>
  <c r="Z500"/>
  <c r="AA500" s="1"/>
  <c r="AD500" s="1"/>
  <c r="AE500" s="1"/>
  <c r="AD772"/>
  <c r="AE772" s="1"/>
  <c r="W183"/>
  <c r="R77" i="19" s="1"/>
  <c r="U77" s="1"/>
  <c r="BB183" i="9"/>
  <c r="W501"/>
  <c r="AU501" s="1"/>
  <c r="BB501"/>
  <c r="W619"/>
  <c r="AU619" s="1"/>
  <c r="BB619"/>
  <c r="W268"/>
  <c r="AU268" s="1"/>
  <c r="BB268"/>
  <c r="W425"/>
  <c r="AD425" s="1"/>
  <c r="AE425" s="1"/>
  <c r="BB425"/>
  <c r="W329"/>
  <c r="BB329"/>
  <c r="W773"/>
  <c r="Z773" s="1"/>
  <c r="AA773" s="1"/>
  <c r="BB773"/>
  <c r="AD618"/>
  <c r="AE618" s="1"/>
  <c r="AU267"/>
  <c r="Z424"/>
  <c r="AA424" s="1"/>
  <c r="W581"/>
  <c r="Z581" s="1"/>
  <c r="AA581" s="1"/>
  <c r="BB581"/>
  <c r="AD881"/>
  <c r="AE881" s="1"/>
  <c r="AD182"/>
  <c r="AE182" s="1"/>
  <c r="BE81"/>
  <c r="BF82"/>
  <c r="AD80"/>
  <c r="AE80" s="1"/>
  <c r="AA267"/>
  <c r="F108" i="8" s="1"/>
  <c r="G108"/>
  <c r="AD328" i="9"/>
  <c r="AE328" s="1"/>
  <c r="AU328"/>
  <c r="Z328"/>
  <c r="AA328" s="1"/>
  <c r="BE330"/>
  <c r="BF331"/>
  <c r="BF426"/>
  <c r="BE426" s="1"/>
  <c r="BB426" s="1"/>
  <c r="BF774"/>
  <c r="BE774" s="1"/>
  <c r="BF48"/>
  <c r="BE48" s="1"/>
  <c r="BF269"/>
  <c r="BE269" s="1"/>
  <c r="BF502"/>
  <c r="BE502" s="1"/>
  <c r="BF620"/>
  <c r="BE620" s="1"/>
  <c r="BF882"/>
  <c r="BE882" s="1"/>
  <c r="U554" i="12"/>
  <c r="U246"/>
  <c r="V554"/>
  <c r="V246"/>
  <c r="M450" s="1"/>
  <c r="Z554"/>
  <c r="Z246"/>
  <c r="AA554"/>
  <c r="AA246"/>
  <c r="W554"/>
  <c r="W246"/>
  <c r="Y554"/>
  <c r="Y246"/>
  <c r="R554"/>
  <c r="R246"/>
  <c r="S554"/>
  <c r="S246"/>
  <c r="G554"/>
  <c r="G246"/>
  <c r="Q554"/>
  <c r="Q246"/>
  <c r="H554"/>
  <c r="H246"/>
  <c r="D554"/>
  <c r="D246"/>
  <c r="T554"/>
  <c r="T246"/>
  <c r="J554"/>
  <c r="J246"/>
  <c r="X554"/>
  <c r="X246"/>
  <c r="BF184" i="9"/>
  <c r="BE184" s="1"/>
  <c r="CQ449" i="12"/>
  <c r="D449"/>
  <c r="B449"/>
  <c r="AB449"/>
  <c r="F553"/>
  <c r="I553"/>
  <c r="K553"/>
  <c r="O553"/>
  <c r="N553"/>
  <c r="L553"/>
  <c r="E553"/>
  <c r="F283" i="20"/>
  <c r="H283"/>
  <c r="I283"/>
  <c r="J283"/>
  <c r="P283"/>
  <c r="L283"/>
  <c r="S283"/>
  <c r="Q283"/>
  <c r="M284"/>
  <c r="P553" i="12"/>
  <c r="M553"/>
  <c r="E283" i="20"/>
  <c r="O283"/>
  <c r="N283"/>
  <c r="G283"/>
  <c r="K283"/>
  <c r="M246" i="12" l="1"/>
  <c r="AC450" s="1"/>
  <c r="P246"/>
  <c r="E246"/>
  <c r="L246"/>
  <c r="C450" s="1"/>
  <c r="N246"/>
  <c r="O246"/>
  <c r="B450" s="1"/>
  <c r="K246"/>
  <c r="I246"/>
  <c r="F246"/>
  <c r="R284" i="20"/>
  <c r="R527"/>
  <c r="Q527"/>
  <c r="S527"/>
  <c r="L527"/>
  <c r="U527"/>
  <c r="U284"/>
  <c r="P527"/>
  <c r="J527"/>
  <c r="I527"/>
  <c r="H527"/>
  <c r="F527"/>
  <c r="V284"/>
  <c r="V527"/>
  <c r="K527"/>
  <c r="G527"/>
  <c r="N527"/>
  <c r="O527"/>
  <c r="T284"/>
  <c r="T527"/>
  <c r="E527"/>
  <c r="M528"/>
  <c r="D528"/>
  <c r="D285"/>
  <c r="W285"/>
  <c r="W528"/>
  <c r="W48" i="9"/>
  <c r="AU48" s="1"/>
  <c r="BB48"/>
  <c r="W81"/>
  <c r="AU81" s="1"/>
  <c r="BB81"/>
  <c r="AU183"/>
  <c r="Z183"/>
  <c r="AA183" s="1"/>
  <c r="W77" i="19" s="1"/>
  <c r="Y77" s="1"/>
  <c r="Z268" i="9"/>
  <c r="AA268" s="1"/>
  <c r="AD268" s="1"/>
  <c r="AE268" s="1"/>
  <c r="AU425"/>
  <c r="Z501"/>
  <c r="AA501" s="1"/>
  <c r="AD501" s="1"/>
  <c r="AE501" s="1"/>
  <c r="T102" i="19"/>
  <c r="M102" s="1"/>
  <c r="N102" s="1"/>
  <c r="AG102" s="1"/>
  <c r="AU773" i="9"/>
  <c r="AU581"/>
  <c r="W620"/>
  <c r="AU620" s="1"/>
  <c r="BB620"/>
  <c r="W269"/>
  <c r="AD269" s="1"/>
  <c r="AE269" s="1"/>
  <c r="BB269"/>
  <c r="W774"/>
  <c r="AU774" s="1"/>
  <c r="BB774"/>
  <c r="W184"/>
  <c r="AU184" s="1"/>
  <c r="BB184"/>
  <c r="W502"/>
  <c r="Z502" s="1"/>
  <c r="AA502" s="1"/>
  <c r="BB502"/>
  <c r="W330"/>
  <c r="BB330"/>
  <c r="AD619"/>
  <c r="AE619" s="1"/>
  <c r="T77" i="19"/>
  <c r="M77" s="1"/>
  <c r="N77" s="1"/>
  <c r="R102"/>
  <c r="U102" s="1"/>
  <c r="Z425" i="9"/>
  <c r="AA425" s="1"/>
  <c r="AD581"/>
  <c r="AE581" s="1"/>
  <c r="W882"/>
  <c r="Z882" s="1"/>
  <c r="AA882" s="1"/>
  <c r="BB882"/>
  <c r="AD773"/>
  <c r="AE773" s="1"/>
  <c r="Z774"/>
  <c r="AA774" s="1"/>
  <c r="Z269"/>
  <c r="Z48"/>
  <c r="AA48" s="1"/>
  <c r="AD48"/>
  <c r="AE48" s="1"/>
  <c r="AD329"/>
  <c r="AE329" s="1"/>
  <c r="AU329"/>
  <c r="Z329"/>
  <c r="AA329" s="1"/>
  <c r="BE331"/>
  <c r="BF332"/>
  <c r="BF427"/>
  <c r="BE427" s="1"/>
  <c r="BF775"/>
  <c r="BE775" s="1"/>
  <c r="BF49"/>
  <c r="BE49" s="1"/>
  <c r="BB49" s="1"/>
  <c r="BF270"/>
  <c r="BE270" s="1"/>
  <c r="BF621"/>
  <c r="BE621" s="1"/>
  <c r="BF503"/>
  <c r="BE503" s="1"/>
  <c r="BF883"/>
  <c r="BE883" s="1"/>
  <c r="Z555" i="12"/>
  <c r="Z247"/>
  <c r="X555"/>
  <c r="X247"/>
  <c r="J555"/>
  <c r="J247"/>
  <c r="T555"/>
  <c r="T247"/>
  <c r="D555"/>
  <c r="D247"/>
  <c r="H555"/>
  <c r="H247"/>
  <c r="Q555"/>
  <c r="Q247"/>
  <c r="G555"/>
  <c r="G247"/>
  <c r="S555"/>
  <c r="S247"/>
  <c r="R555"/>
  <c r="R247"/>
  <c r="Y555"/>
  <c r="Y247"/>
  <c r="W555"/>
  <c r="W247"/>
  <c r="AA555"/>
  <c r="AA247"/>
  <c r="V555"/>
  <c r="V247"/>
  <c r="M451" s="1"/>
  <c r="U555"/>
  <c r="U247"/>
  <c r="BE82" i="9"/>
  <c r="BB82" s="1"/>
  <c r="BF185"/>
  <c r="BE185" s="1"/>
  <c r="CQ450" i="12"/>
  <c r="D450"/>
  <c r="M554"/>
  <c r="P554"/>
  <c r="E554"/>
  <c r="N554"/>
  <c r="O554"/>
  <c r="I554"/>
  <c r="F554"/>
  <c r="Q284" i="20"/>
  <c r="S284"/>
  <c r="L284"/>
  <c r="P284"/>
  <c r="H284"/>
  <c r="F284"/>
  <c r="G284"/>
  <c r="N284"/>
  <c r="M285"/>
  <c r="L554" i="12"/>
  <c r="K554"/>
  <c r="J284" i="20"/>
  <c r="I284"/>
  <c r="K284"/>
  <c r="O284"/>
  <c r="E284"/>
  <c r="AB450" i="12" l="1"/>
  <c r="N450"/>
  <c r="K247"/>
  <c r="L247"/>
  <c r="C451" s="1"/>
  <c r="F247"/>
  <c r="I247"/>
  <c r="O247"/>
  <c r="N451" s="1"/>
  <c r="N247"/>
  <c r="E247"/>
  <c r="P247"/>
  <c r="M247"/>
  <c r="AC451" s="1"/>
  <c r="N528" i="20"/>
  <c r="G528"/>
  <c r="F528"/>
  <c r="H528"/>
  <c r="P528"/>
  <c r="U285"/>
  <c r="U528"/>
  <c r="L528"/>
  <c r="S528"/>
  <c r="Q528"/>
  <c r="E528"/>
  <c r="T285"/>
  <c r="T528"/>
  <c r="O528"/>
  <c r="K528"/>
  <c r="V285"/>
  <c r="V528"/>
  <c r="I528"/>
  <c r="J528"/>
  <c r="R285"/>
  <c r="R528"/>
  <c r="D529"/>
  <c r="D286"/>
  <c r="M529"/>
  <c r="W529"/>
  <c r="W286"/>
  <c r="AS102" i="19"/>
  <c r="AD183" i="9"/>
  <c r="AE183" s="1"/>
  <c r="AE102" i="19" s="1"/>
  <c r="Z81" i="9"/>
  <c r="AA81" s="1"/>
  <c r="AD81" s="1"/>
  <c r="AE81" s="1"/>
  <c r="W102" i="19"/>
  <c r="Y102" s="1"/>
  <c r="C109" i="8"/>
  <c r="AK102" i="19"/>
  <c r="AO102"/>
  <c r="AC102"/>
  <c r="Z184" i="9"/>
  <c r="AA184" s="1"/>
  <c r="AU502"/>
  <c r="AU882"/>
  <c r="AD502"/>
  <c r="AE502" s="1"/>
  <c r="W621"/>
  <c r="BH30" i="8" s="1"/>
  <c r="BL30" s="1"/>
  <c r="BB621" i="9"/>
  <c r="W427"/>
  <c r="AU427" s="1"/>
  <c r="BB427"/>
  <c r="W331"/>
  <c r="BB331"/>
  <c r="W185"/>
  <c r="Z185" s="1"/>
  <c r="AA185" s="1"/>
  <c r="BB185"/>
  <c r="W503"/>
  <c r="AU503" s="1"/>
  <c r="BB503"/>
  <c r="W270"/>
  <c r="Z270" s="1"/>
  <c r="AA270" s="1"/>
  <c r="BB270"/>
  <c r="W775"/>
  <c r="Z775" s="1"/>
  <c r="AA775" s="1"/>
  <c r="BB775"/>
  <c r="AD620"/>
  <c r="AE620" s="1"/>
  <c r="AU269"/>
  <c r="AD882"/>
  <c r="AE882" s="1"/>
  <c r="W883"/>
  <c r="AU883" s="1"/>
  <c r="BB883"/>
  <c r="X77" i="19"/>
  <c r="Z77" s="1"/>
  <c r="AD184" i="9"/>
  <c r="AE184" s="1"/>
  <c r="AD774"/>
  <c r="AE774" s="1"/>
  <c r="G109" i="8"/>
  <c r="E109"/>
  <c r="AA269" i="9"/>
  <c r="F109" i="8" s="1"/>
  <c r="AD330" i="9"/>
  <c r="AE330" s="1"/>
  <c r="AU330"/>
  <c r="Z330"/>
  <c r="AA330" s="1"/>
  <c r="BE332"/>
  <c r="BF333"/>
  <c r="BF428"/>
  <c r="BE428" s="1"/>
  <c r="BF776"/>
  <c r="BE776" s="1"/>
  <c r="BF50"/>
  <c r="BE50" s="1"/>
  <c r="BB50" s="1"/>
  <c r="BF271"/>
  <c r="BE271" s="1"/>
  <c r="BF622"/>
  <c r="BE622" s="1"/>
  <c r="BF582"/>
  <c r="BE582" s="1"/>
  <c r="BF504"/>
  <c r="BE504" s="1"/>
  <c r="V556" i="12"/>
  <c r="V248"/>
  <c r="M452" s="1"/>
  <c r="AA556"/>
  <c r="AA248"/>
  <c r="Y556"/>
  <c r="Y248"/>
  <c r="S556"/>
  <c r="S248"/>
  <c r="Q556"/>
  <c r="Q248"/>
  <c r="D556"/>
  <c r="D248"/>
  <c r="T556"/>
  <c r="T248"/>
  <c r="X556"/>
  <c r="X248"/>
  <c r="BF186" i="9"/>
  <c r="BE186" s="1"/>
  <c r="BF83"/>
  <c r="BE83" s="1"/>
  <c r="CQ451" i="12"/>
  <c r="D451"/>
  <c r="Z556"/>
  <c r="Z248"/>
  <c r="U556"/>
  <c r="U248"/>
  <c r="W556"/>
  <c r="W248"/>
  <c r="R556"/>
  <c r="R248"/>
  <c r="G556"/>
  <c r="G248"/>
  <c r="H556"/>
  <c r="H248"/>
  <c r="J556"/>
  <c r="J248"/>
  <c r="B451"/>
  <c r="K555"/>
  <c r="L555"/>
  <c r="F555"/>
  <c r="N555"/>
  <c r="P555"/>
  <c r="N285" i="20"/>
  <c r="G285"/>
  <c r="F285"/>
  <c r="L285"/>
  <c r="S285"/>
  <c r="Q285"/>
  <c r="O285"/>
  <c r="K285"/>
  <c r="M286"/>
  <c r="I555" i="12"/>
  <c r="O555"/>
  <c r="E555"/>
  <c r="M555"/>
  <c r="H285" i="20"/>
  <c r="P285"/>
  <c r="E285"/>
  <c r="I285"/>
  <c r="J285"/>
  <c r="AB451" i="12" l="1"/>
  <c r="X102" i="19"/>
  <c r="Z102" s="1"/>
  <c r="M248" i="12"/>
  <c r="AC452" s="1"/>
  <c r="E556"/>
  <c r="E557" s="1"/>
  <c r="E248"/>
  <c r="O248"/>
  <c r="B452" s="1"/>
  <c r="I248"/>
  <c r="P248"/>
  <c r="N248"/>
  <c r="F248"/>
  <c r="L248"/>
  <c r="C452" s="1"/>
  <c r="K248"/>
  <c r="K529" i="20"/>
  <c r="O529"/>
  <c r="Q529"/>
  <c r="S286"/>
  <c r="S529"/>
  <c r="L529"/>
  <c r="F529"/>
  <c r="G529"/>
  <c r="N529"/>
  <c r="R286"/>
  <c r="R529"/>
  <c r="J529"/>
  <c r="I529"/>
  <c r="V529"/>
  <c r="V286"/>
  <c r="T286"/>
  <c r="T529"/>
  <c r="E529"/>
  <c r="U529"/>
  <c r="U286"/>
  <c r="P529"/>
  <c r="H529"/>
  <c r="AU185" i="9"/>
  <c r="AU270"/>
  <c r="W287" i="20"/>
  <c r="W530"/>
  <c r="M530"/>
  <c r="D287"/>
  <c r="D530"/>
  <c r="W83" i="9"/>
  <c r="C113" i="8" s="1"/>
  <c r="I113" s="1"/>
  <c r="BB83" i="9"/>
  <c r="AU621"/>
  <c r="R53" i="19"/>
  <c r="U53" s="1"/>
  <c r="R54"/>
  <c r="U54" s="1"/>
  <c r="R56"/>
  <c r="U56" s="1"/>
  <c r="AU775" i="9"/>
  <c r="AD427"/>
  <c r="AE427" s="1"/>
  <c r="Z883"/>
  <c r="AA883" s="1"/>
  <c r="P77" i="19"/>
  <c r="Z427" i="9"/>
  <c r="AA427" s="1"/>
  <c r="Z503"/>
  <c r="AA503" s="1"/>
  <c r="AD503" s="1"/>
  <c r="AE503" s="1"/>
  <c r="O143" i="36"/>
  <c r="L143" s="1"/>
  <c r="W186" i="9"/>
  <c r="Z186" s="1"/>
  <c r="AA186" s="1"/>
  <c r="AA472" i="36" s="1"/>
  <c r="BB186" i="9"/>
  <c r="W271"/>
  <c r="Z271" s="1"/>
  <c r="AA271" s="1"/>
  <c r="BB271"/>
  <c r="W776"/>
  <c r="AU776" s="1"/>
  <c r="BB776"/>
  <c r="W504"/>
  <c r="Z504" s="1"/>
  <c r="AA504" s="1"/>
  <c r="BB504"/>
  <c r="W622"/>
  <c r="AD622" s="1"/>
  <c r="AE622" s="1"/>
  <c r="BB622"/>
  <c r="W428"/>
  <c r="Z428" s="1"/>
  <c r="AA428" s="1"/>
  <c r="BB428"/>
  <c r="W332"/>
  <c r="BB332"/>
  <c r="R52" i="19"/>
  <c r="U52" s="1"/>
  <c r="R51"/>
  <c r="U51" s="1"/>
  <c r="R55"/>
  <c r="U55" s="1"/>
  <c r="Z621" i="9"/>
  <c r="Z650" s="1"/>
  <c r="AA650" s="1"/>
  <c r="AD621"/>
  <c r="AE621" s="1"/>
  <c r="W582"/>
  <c r="Z582" s="1"/>
  <c r="AA582" s="1"/>
  <c r="BB582"/>
  <c r="AD883"/>
  <c r="AE883" s="1"/>
  <c r="AD185"/>
  <c r="AD775"/>
  <c r="AE775" s="1"/>
  <c r="AU622"/>
  <c r="Z648"/>
  <c r="AA648" s="1"/>
  <c r="Z647"/>
  <c r="AA647" s="1"/>
  <c r="AD270"/>
  <c r="AE270" s="1"/>
  <c r="W56" i="19"/>
  <c r="Y56" s="1"/>
  <c r="W54"/>
  <c r="Y54" s="1"/>
  <c r="W52"/>
  <c r="Y52" s="1"/>
  <c r="W55"/>
  <c r="Y55" s="1"/>
  <c r="W53"/>
  <c r="Y53" s="1"/>
  <c r="W51"/>
  <c r="Y51" s="1"/>
  <c r="Z83" i="9"/>
  <c r="AU331"/>
  <c r="Z331"/>
  <c r="AA331" s="1"/>
  <c r="AD331"/>
  <c r="AE331" s="1"/>
  <c r="BE333"/>
  <c r="BF334"/>
  <c r="BF429"/>
  <c r="BE429" s="1"/>
  <c r="AU102" i="19"/>
  <c r="AM102"/>
  <c r="AQ102"/>
  <c r="AI102"/>
  <c r="BF777" i="9"/>
  <c r="BE777" s="1"/>
  <c r="BF51"/>
  <c r="BE51" s="1"/>
  <c r="BB51" s="1"/>
  <c r="BF272"/>
  <c r="BE272" s="1"/>
  <c r="BF505"/>
  <c r="BE505" s="1"/>
  <c r="BF583"/>
  <c r="BE583" s="1"/>
  <c r="BF623"/>
  <c r="BE623" s="1"/>
  <c r="BF187"/>
  <c r="BE187" s="1"/>
  <c r="CQ452" i="12"/>
  <c r="D452"/>
  <c r="J557"/>
  <c r="J249"/>
  <c r="H557"/>
  <c r="H249"/>
  <c r="G557"/>
  <c r="G249"/>
  <c r="R557"/>
  <c r="R249"/>
  <c r="W557"/>
  <c r="W249"/>
  <c r="U557"/>
  <c r="U249"/>
  <c r="Z557"/>
  <c r="Z249"/>
  <c r="X557"/>
  <c r="X249"/>
  <c r="T557"/>
  <c r="T249"/>
  <c r="D557"/>
  <c r="D249"/>
  <c r="Q557"/>
  <c r="Q249"/>
  <c r="S557"/>
  <c r="S249"/>
  <c r="Y557"/>
  <c r="Y249"/>
  <c r="AA557"/>
  <c r="AA249"/>
  <c r="V557"/>
  <c r="V249"/>
  <c r="M453" s="1"/>
  <c r="E249"/>
  <c r="BF84" i="9"/>
  <c r="BE84" s="1"/>
  <c r="AB452" i="12"/>
  <c r="I556"/>
  <c r="P556"/>
  <c r="N556"/>
  <c r="F556"/>
  <c r="K556"/>
  <c r="K286" i="20"/>
  <c r="O286"/>
  <c r="L286"/>
  <c r="F286"/>
  <c r="G286"/>
  <c r="N286"/>
  <c r="E286"/>
  <c r="P286"/>
  <c r="H286"/>
  <c r="M287"/>
  <c r="M556" i="12"/>
  <c r="O556"/>
  <c r="L556"/>
  <c r="Q286" i="20"/>
  <c r="J286"/>
  <c r="I286"/>
  <c r="N452" i="12" l="1"/>
  <c r="L249"/>
  <c r="C453" s="1"/>
  <c r="O249"/>
  <c r="B453" s="1"/>
  <c r="O557"/>
  <c r="O558" s="1"/>
  <c r="M249"/>
  <c r="AB453" s="1"/>
  <c r="K249"/>
  <c r="F249"/>
  <c r="N249"/>
  <c r="P249"/>
  <c r="I249"/>
  <c r="H530" i="20"/>
  <c r="P530"/>
  <c r="U530"/>
  <c r="U287"/>
  <c r="E530"/>
  <c r="V530"/>
  <c r="V287"/>
  <c r="N530"/>
  <c r="G530"/>
  <c r="F530"/>
  <c r="L530"/>
  <c r="O530"/>
  <c r="K530"/>
  <c r="T287"/>
  <c r="T530"/>
  <c r="I530"/>
  <c r="J530"/>
  <c r="R287"/>
  <c r="R530"/>
  <c r="S530"/>
  <c r="S287"/>
  <c r="Q530"/>
  <c r="M531"/>
  <c r="D288"/>
  <c r="D531"/>
  <c r="W531"/>
  <c r="W288"/>
  <c r="W84" i="9"/>
  <c r="AU84" s="1"/>
  <c r="BB84"/>
  <c r="AU83"/>
  <c r="Z631"/>
  <c r="AA631" s="1"/>
  <c r="Z632"/>
  <c r="AA632" s="1"/>
  <c r="AU186"/>
  <c r="AU504"/>
  <c r="Z623"/>
  <c r="AA623" s="1"/>
  <c r="Z639"/>
  <c r="AA639" s="1"/>
  <c r="Z624"/>
  <c r="AA624" s="1"/>
  <c r="Z640"/>
  <c r="AA640" s="1"/>
  <c r="Z627"/>
  <c r="AA627" s="1"/>
  <c r="Z635"/>
  <c r="AA635" s="1"/>
  <c r="Z643"/>
  <c r="AA643" s="1"/>
  <c r="BJ30" i="8"/>
  <c r="Z628" i="9"/>
  <c r="AA628" s="1"/>
  <c r="Z636"/>
  <c r="AA636" s="1"/>
  <c r="Z644"/>
  <c r="AA644" s="1"/>
  <c r="AU271"/>
  <c r="AD428"/>
  <c r="AE428" s="1"/>
  <c r="AU428"/>
  <c r="AU582"/>
  <c r="Z776"/>
  <c r="AA776" s="1"/>
  <c r="AD776" s="1"/>
  <c r="AE776" s="1"/>
  <c r="AA621"/>
  <c r="BK30" i="8" s="1"/>
  <c r="Z625" i="9"/>
  <c r="AA625" s="1"/>
  <c r="Z629"/>
  <c r="AA629" s="1"/>
  <c r="Z633"/>
  <c r="AA633" s="1"/>
  <c r="Z637"/>
  <c r="AA637" s="1"/>
  <c r="Z641"/>
  <c r="AA641" s="1"/>
  <c r="Z645"/>
  <c r="AA645" s="1"/>
  <c r="Z649"/>
  <c r="AA649" s="1"/>
  <c r="Z622"/>
  <c r="AA622" s="1"/>
  <c r="Z626"/>
  <c r="AA626" s="1"/>
  <c r="Z630"/>
  <c r="AA630" s="1"/>
  <c r="Z634"/>
  <c r="AA634" s="1"/>
  <c r="Z638"/>
  <c r="AA638" s="1"/>
  <c r="Z642"/>
  <c r="AA642" s="1"/>
  <c r="Z646"/>
  <c r="AA646" s="1"/>
  <c r="AD271"/>
  <c r="AE271" s="1"/>
  <c r="W187"/>
  <c r="AU187" s="1"/>
  <c r="BB187"/>
  <c r="W429"/>
  <c r="AU429" s="1"/>
  <c r="BB429"/>
  <c r="W333"/>
  <c r="BB333"/>
  <c r="W623"/>
  <c r="AD623" s="1"/>
  <c r="AE623" s="1"/>
  <c r="BB623"/>
  <c r="W505"/>
  <c r="AU505" s="1"/>
  <c r="BB505"/>
  <c r="W272"/>
  <c r="Z272" s="1"/>
  <c r="AA272" s="1"/>
  <c r="BB272"/>
  <c r="W777"/>
  <c r="AU777" s="1"/>
  <c r="BB777"/>
  <c r="BM30" i="8"/>
  <c r="W583" i="9"/>
  <c r="AU583" s="1"/>
  <c r="BB583"/>
  <c r="X56" i="19"/>
  <c r="Z56" s="1"/>
  <c r="AE185" i="9"/>
  <c r="P52" i="19" s="1"/>
  <c r="X53"/>
  <c r="Z53" s="1"/>
  <c r="X51"/>
  <c r="Z51" s="1"/>
  <c r="X55"/>
  <c r="Z55" s="1"/>
  <c r="X52"/>
  <c r="Z52" s="1"/>
  <c r="X54"/>
  <c r="Z54" s="1"/>
  <c r="AU623" i="9"/>
  <c r="AD582"/>
  <c r="AE582" s="1"/>
  <c r="AD504"/>
  <c r="AE504" s="1"/>
  <c r="AD186"/>
  <c r="AE186" s="1"/>
  <c r="Z187"/>
  <c r="AA187" s="1"/>
  <c r="C114" i="8"/>
  <c r="I114" s="1"/>
  <c r="E113"/>
  <c r="AA83" i="9"/>
  <c r="F113" i="8" s="1"/>
  <c r="AU332" i="9"/>
  <c r="Z332"/>
  <c r="AA332" s="1"/>
  <c r="AD332"/>
  <c r="AE332" s="1"/>
  <c r="BE334"/>
  <c r="BF335"/>
  <c r="BF430"/>
  <c r="BE430" s="1"/>
  <c r="BF778"/>
  <c r="BE778" s="1"/>
  <c r="BB778" s="1"/>
  <c r="BF52"/>
  <c r="BE52" s="1"/>
  <c r="BF273"/>
  <c r="BE273" s="1"/>
  <c r="BF624"/>
  <c r="BE624" s="1"/>
  <c r="BF584"/>
  <c r="BE584" s="1"/>
  <c r="BF506"/>
  <c r="BE506" s="1"/>
  <c r="E558" i="12"/>
  <c r="E250"/>
  <c r="V558"/>
  <c r="V250"/>
  <c r="M454" s="1"/>
  <c r="AA558"/>
  <c r="AA250"/>
  <c r="S558"/>
  <c r="S250"/>
  <c r="Q558"/>
  <c r="Q250"/>
  <c r="D558"/>
  <c r="D250"/>
  <c r="T558"/>
  <c r="T250"/>
  <c r="X558"/>
  <c r="X250"/>
  <c r="BF188" i="9"/>
  <c r="BE188" s="1"/>
  <c r="BF85"/>
  <c r="BE85" s="1"/>
  <c r="CQ453" i="12"/>
  <c r="D453"/>
  <c r="Z558"/>
  <c r="Z250"/>
  <c r="U558"/>
  <c r="U250"/>
  <c r="W558"/>
  <c r="W250"/>
  <c r="R558"/>
  <c r="R250"/>
  <c r="G558"/>
  <c r="G250"/>
  <c r="H558"/>
  <c r="H250"/>
  <c r="J558"/>
  <c r="J250"/>
  <c r="Y558"/>
  <c r="Y250"/>
  <c r="N453"/>
  <c r="L557"/>
  <c r="F557"/>
  <c r="N557"/>
  <c r="H287" i="20"/>
  <c r="E287"/>
  <c r="F287"/>
  <c r="O287"/>
  <c r="K287"/>
  <c r="I287"/>
  <c r="J287"/>
  <c r="Q287"/>
  <c r="M557" i="12"/>
  <c r="K557"/>
  <c r="P557"/>
  <c r="I557"/>
  <c r="P287" i="20"/>
  <c r="N287"/>
  <c r="G287"/>
  <c r="L287"/>
  <c r="M288"/>
  <c r="AC453" i="12" l="1"/>
  <c r="O250"/>
  <c r="N454" s="1"/>
  <c r="I250"/>
  <c r="P250"/>
  <c r="K250"/>
  <c r="M250"/>
  <c r="AB454" s="1"/>
  <c r="N250"/>
  <c r="F250"/>
  <c r="L250"/>
  <c r="C454" s="1"/>
  <c r="Q531" i="20"/>
  <c r="S531"/>
  <c r="S288"/>
  <c r="J531"/>
  <c r="I531"/>
  <c r="K531"/>
  <c r="O531"/>
  <c r="F531"/>
  <c r="V288"/>
  <c r="V531"/>
  <c r="E531"/>
  <c r="E288"/>
  <c r="U531"/>
  <c r="U288"/>
  <c r="H531"/>
  <c r="R288"/>
  <c r="R531"/>
  <c r="T531"/>
  <c r="T288"/>
  <c r="L531"/>
  <c r="G531"/>
  <c r="N531"/>
  <c r="P531"/>
  <c r="W289"/>
  <c r="W532"/>
  <c r="M532"/>
  <c r="D289"/>
  <c r="D532"/>
  <c r="Z84" i="9"/>
  <c r="W52"/>
  <c r="Z52" s="1"/>
  <c r="AA52" s="1"/>
  <c r="BB52"/>
  <c r="W85"/>
  <c r="C115" i="8" s="1"/>
  <c r="I115" s="1"/>
  <c r="BB85" i="9"/>
  <c r="Z583"/>
  <c r="AA583" s="1"/>
  <c r="AD583" s="1"/>
  <c r="AE583" s="1"/>
  <c r="T143" i="36"/>
  <c r="V143" s="1"/>
  <c r="X143" s="1"/>
  <c r="P53" i="19"/>
  <c r="AD272" i="9"/>
  <c r="AE272" s="1"/>
  <c r="Z429"/>
  <c r="AA429" s="1"/>
  <c r="Z505"/>
  <c r="AA505" s="1"/>
  <c r="AD505" s="1"/>
  <c r="AE505" s="1"/>
  <c r="Z777"/>
  <c r="AA777" s="1"/>
  <c r="AD777" s="1"/>
  <c r="AE777" s="1"/>
  <c r="W624"/>
  <c r="AD624" s="1"/>
  <c r="AE624" s="1"/>
  <c r="BB624"/>
  <c r="W430"/>
  <c r="AD430" s="1"/>
  <c r="AE430" s="1"/>
  <c r="BB430"/>
  <c r="W334"/>
  <c r="BB334"/>
  <c r="W188"/>
  <c r="Z188" s="1"/>
  <c r="AA188" s="1"/>
  <c r="BB188"/>
  <c r="W506"/>
  <c r="Z506" s="1"/>
  <c r="AA506" s="1"/>
  <c r="BB506"/>
  <c r="W273"/>
  <c r="Z273" s="1"/>
  <c r="AA273" s="1"/>
  <c r="BB273"/>
  <c r="AU272"/>
  <c r="AD429"/>
  <c r="AE429" s="1"/>
  <c r="W584"/>
  <c r="AU584" s="1"/>
  <c r="BB584"/>
  <c r="P56" i="19"/>
  <c r="P54"/>
  <c r="P55"/>
  <c r="P51"/>
  <c r="AU624" i="9"/>
  <c r="AD187"/>
  <c r="AE187" s="1"/>
  <c r="Z85"/>
  <c r="E114" i="8"/>
  <c r="AA84" i="9"/>
  <c r="F114" i="8" s="1"/>
  <c r="AD83" i="9"/>
  <c r="AE83" s="1"/>
  <c r="AU52"/>
  <c r="AD333"/>
  <c r="AE333" s="1"/>
  <c r="AU333"/>
  <c r="Z333"/>
  <c r="AA333" s="1"/>
  <c r="BE335"/>
  <c r="BB335" s="1"/>
  <c r="BF336"/>
  <c r="BF431"/>
  <c r="BE431" s="1"/>
  <c r="BF779"/>
  <c r="BE779" s="1"/>
  <c r="BB779" s="1"/>
  <c r="BF53"/>
  <c r="BE53" s="1"/>
  <c r="BB53" s="1"/>
  <c r="BF274"/>
  <c r="BE274" s="1"/>
  <c r="BF884"/>
  <c r="BE884" s="1"/>
  <c r="BF507"/>
  <c r="BE507" s="1"/>
  <c r="BF625"/>
  <c r="BE625" s="1"/>
  <c r="BF189"/>
  <c r="BE189" s="1"/>
  <c r="BB189" s="1"/>
  <c r="Y559" i="12"/>
  <c r="Y251"/>
  <c r="O559"/>
  <c r="O251"/>
  <c r="J559"/>
  <c r="J251"/>
  <c r="H559"/>
  <c r="H251"/>
  <c r="G559"/>
  <c r="G251"/>
  <c r="R559"/>
  <c r="R251"/>
  <c r="W559"/>
  <c r="W251"/>
  <c r="U559"/>
  <c r="U251"/>
  <c r="Z559"/>
  <c r="Z251"/>
  <c r="X559"/>
  <c r="X251"/>
  <c r="T559"/>
  <c r="T251"/>
  <c r="D559"/>
  <c r="D251"/>
  <c r="Q559"/>
  <c r="Q251"/>
  <c r="S559"/>
  <c r="S251"/>
  <c r="AA559"/>
  <c r="AA251"/>
  <c r="V559"/>
  <c r="V251"/>
  <c r="M455" s="1"/>
  <c r="E559"/>
  <c r="E251"/>
  <c r="BF86" i="9"/>
  <c r="BE86" s="1"/>
  <c r="CQ454" i="12"/>
  <c r="D454"/>
  <c r="I558"/>
  <c r="P558"/>
  <c r="K558"/>
  <c r="M558"/>
  <c r="F558"/>
  <c r="Q288" i="20"/>
  <c r="I288"/>
  <c r="K288"/>
  <c r="O288"/>
  <c r="H288"/>
  <c r="L288"/>
  <c r="G288"/>
  <c r="N288"/>
  <c r="P288"/>
  <c r="N558" i="12"/>
  <c r="L558"/>
  <c r="J288" i="20"/>
  <c r="F288"/>
  <c r="M289"/>
  <c r="B454" i="12" l="1"/>
  <c r="AC454"/>
  <c r="L251"/>
  <c r="C455" s="1"/>
  <c r="N251"/>
  <c r="F251"/>
  <c r="M251"/>
  <c r="AB455" s="1"/>
  <c r="K251"/>
  <c r="P251"/>
  <c r="I251"/>
  <c r="P532" i="20"/>
  <c r="N532"/>
  <c r="G532"/>
  <c r="L532"/>
  <c r="T289"/>
  <c r="T532"/>
  <c r="H532"/>
  <c r="U532"/>
  <c r="U289"/>
  <c r="E532"/>
  <c r="E289"/>
  <c r="O532"/>
  <c r="K532"/>
  <c r="I532"/>
  <c r="S532"/>
  <c r="S289"/>
  <c r="Q532"/>
  <c r="R532"/>
  <c r="R289"/>
  <c r="V532"/>
  <c r="V289"/>
  <c r="F532"/>
  <c r="J532"/>
  <c r="D290"/>
  <c r="D533"/>
  <c r="M533"/>
  <c r="W533"/>
  <c r="W290"/>
  <c r="W86" i="9"/>
  <c r="AU86" s="1"/>
  <c r="BB86"/>
  <c r="AD52"/>
  <c r="AE52" s="1"/>
  <c r="AU85"/>
  <c r="AU188"/>
  <c r="AU506"/>
  <c r="AU273"/>
  <c r="AU430"/>
  <c r="Z584"/>
  <c r="AA584" s="1"/>
  <c r="AD584" s="1"/>
  <c r="AE584" s="1"/>
  <c r="W625"/>
  <c r="AU625" s="1"/>
  <c r="BB625"/>
  <c r="W507"/>
  <c r="AU507" s="1"/>
  <c r="BB507"/>
  <c r="W274"/>
  <c r="Z274" s="1"/>
  <c r="AA274" s="1"/>
  <c r="BB274"/>
  <c r="W431"/>
  <c r="AU431" s="1"/>
  <c r="BB431"/>
  <c r="AD506"/>
  <c r="AE506" s="1"/>
  <c r="Z430"/>
  <c r="AA430" s="1"/>
  <c r="W884"/>
  <c r="AU884" s="1"/>
  <c r="BB884"/>
  <c r="Z431"/>
  <c r="AA431" s="1"/>
  <c r="AD273"/>
  <c r="AE273" s="1"/>
  <c r="AU274"/>
  <c r="AD188"/>
  <c r="AE188" s="1"/>
  <c r="G113" i="8"/>
  <c r="E115"/>
  <c r="AA85" i="9"/>
  <c r="F115" i="8" s="1"/>
  <c r="AD84" i="9"/>
  <c r="AE84" s="1"/>
  <c r="AU334"/>
  <c r="Z334"/>
  <c r="AA334" s="1"/>
  <c r="AD334"/>
  <c r="AE334" s="1"/>
  <c r="BE336"/>
  <c r="BB336" s="1"/>
  <c r="BF337"/>
  <c r="BF432"/>
  <c r="BE432" s="1"/>
  <c r="BF780"/>
  <c r="BF54"/>
  <c r="BE54" s="1"/>
  <c r="BB54" s="1"/>
  <c r="BF275"/>
  <c r="BE275" s="1"/>
  <c r="BF508"/>
  <c r="BE508" s="1"/>
  <c r="BF626"/>
  <c r="BE626" s="1"/>
  <c r="BF585"/>
  <c r="BE585" s="1"/>
  <c r="BF190"/>
  <c r="BE190" s="1"/>
  <c r="E560" i="12"/>
  <c r="E252"/>
  <c r="V560"/>
  <c r="V252"/>
  <c r="M456" s="1"/>
  <c r="AA560"/>
  <c r="AA252"/>
  <c r="S560"/>
  <c r="S252"/>
  <c r="Q560"/>
  <c r="Q252"/>
  <c r="D560"/>
  <c r="D252"/>
  <c r="T560"/>
  <c r="T252"/>
  <c r="X560"/>
  <c r="X252"/>
  <c r="Z560"/>
  <c r="Z252"/>
  <c r="U560"/>
  <c r="U252"/>
  <c r="W560"/>
  <c r="W252"/>
  <c r="R560"/>
  <c r="R252"/>
  <c r="G560"/>
  <c r="G252"/>
  <c r="H560"/>
  <c r="H252"/>
  <c r="J560"/>
  <c r="J252"/>
  <c r="O560"/>
  <c r="O252"/>
  <c r="Y560"/>
  <c r="Y252"/>
  <c r="BF87" i="9"/>
  <c r="BE87" s="1"/>
  <c r="CQ455" i="12"/>
  <c r="D455"/>
  <c r="N455"/>
  <c r="B455"/>
  <c r="N559"/>
  <c r="M559"/>
  <c r="K559"/>
  <c r="P559"/>
  <c r="I559"/>
  <c r="P289" i="20"/>
  <c r="N289"/>
  <c r="H289"/>
  <c r="O289"/>
  <c r="Q289"/>
  <c r="F289"/>
  <c r="J289"/>
  <c r="L559" i="12"/>
  <c r="F559"/>
  <c r="G289" i="20"/>
  <c r="L289"/>
  <c r="K289"/>
  <c r="I289"/>
  <c r="M290"/>
  <c r="AC455" i="12" l="1"/>
  <c r="F252"/>
  <c r="L252"/>
  <c r="C456" s="1"/>
  <c r="I252"/>
  <c r="P252"/>
  <c r="K252"/>
  <c r="M252"/>
  <c r="AC456" s="1"/>
  <c r="N252"/>
  <c r="J533" i="20"/>
  <c r="F533"/>
  <c r="V533"/>
  <c r="V290"/>
  <c r="R290"/>
  <c r="R533"/>
  <c r="Q533"/>
  <c r="S290"/>
  <c r="S533"/>
  <c r="O533"/>
  <c r="E290"/>
  <c r="E533"/>
  <c r="U533"/>
  <c r="U290"/>
  <c r="H533"/>
  <c r="N533"/>
  <c r="P533"/>
  <c r="I533"/>
  <c r="K533"/>
  <c r="T533"/>
  <c r="T290"/>
  <c r="L533"/>
  <c r="G533"/>
  <c r="W534"/>
  <c r="W291"/>
  <c r="M534"/>
  <c r="D534"/>
  <c r="D291"/>
  <c r="Z86" i="9"/>
  <c r="AA86" s="1"/>
  <c r="AD86" s="1"/>
  <c r="AE86" s="1"/>
  <c r="AD625"/>
  <c r="AE625" s="1"/>
  <c r="Z507"/>
  <c r="AA507" s="1"/>
  <c r="W87"/>
  <c r="C116" i="8" s="1"/>
  <c r="I116" s="1"/>
  <c r="BB87" i="9"/>
  <c r="Z884"/>
  <c r="AA884" s="1"/>
  <c r="AD884" s="1"/>
  <c r="AE884" s="1"/>
  <c r="AD431"/>
  <c r="AE431" s="1"/>
  <c r="W508"/>
  <c r="AU508" s="1"/>
  <c r="BB508"/>
  <c r="W432"/>
  <c r="AU432" s="1"/>
  <c r="BB432"/>
  <c r="W190"/>
  <c r="T159" i="19" s="1"/>
  <c r="M159" s="1"/>
  <c r="N159" s="1"/>
  <c r="BB190" i="9"/>
  <c r="W626"/>
  <c r="AD626" s="1"/>
  <c r="AE626" s="1"/>
  <c r="BB626"/>
  <c r="W275"/>
  <c r="AU275" s="1"/>
  <c r="BB275"/>
  <c r="W585"/>
  <c r="Z585" s="1"/>
  <c r="AA585" s="1"/>
  <c r="BB585"/>
  <c r="AD274"/>
  <c r="AE274" s="1"/>
  <c r="AD507"/>
  <c r="AE507" s="1"/>
  <c r="W336"/>
  <c r="AD85"/>
  <c r="G114" i="8"/>
  <c r="BE780" i="9"/>
  <c r="BB780" s="1"/>
  <c r="BE337"/>
  <c r="BB337" s="1"/>
  <c r="BF338"/>
  <c r="BF433"/>
  <c r="BE433" s="1"/>
  <c r="BF55"/>
  <c r="BE55" s="1"/>
  <c r="BB55" s="1"/>
  <c r="BF276"/>
  <c r="BE276" s="1"/>
  <c r="BF627"/>
  <c r="BE627" s="1"/>
  <c r="BF509"/>
  <c r="BE509" s="1"/>
  <c r="BF586"/>
  <c r="CQ456" i="12"/>
  <c r="D456"/>
  <c r="BF191" i="9"/>
  <c r="BE191" s="1"/>
  <c r="Y561" i="12"/>
  <c r="Y253"/>
  <c r="O561"/>
  <c r="O253"/>
  <c r="J561"/>
  <c r="J253"/>
  <c r="H561"/>
  <c r="H253"/>
  <c r="G561"/>
  <c r="G253"/>
  <c r="R561"/>
  <c r="R253"/>
  <c r="W561"/>
  <c r="W253"/>
  <c r="U561"/>
  <c r="U253"/>
  <c r="Z561"/>
  <c r="Z253"/>
  <c r="X561"/>
  <c r="X253"/>
  <c r="T561"/>
  <c r="T253"/>
  <c r="D561"/>
  <c r="D253"/>
  <c r="Q561"/>
  <c r="Q253"/>
  <c r="S561"/>
  <c r="S253"/>
  <c r="AA561"/>
  <c r="AA253"/>
  <c r="V561"/>
  <c r="V253"/>
  <c r="M457" s="1"/>
  <c r="E561"/>
  <c r="E253"/>
  <c r="BF88" i="9"/>
  <c r="BE88" s="1"/>
  <c r="B456" i="12"/>
  <c r="N456"/>
  <c r="I560"/>
  <c r="P560"/>
  <c r="K560"/>
  <c r="M560"/>
  <c r="N560"/>
  <c r="J290" i="20"/>
  <c r="F290"/>
  <c r="Q290"/>
  <c r="H290"/>
  <c r="N290"/>
  <c r="P290"/>
  <c r="K290"/>
  <c r="L290"/>
  <c r="G290"/>
  <c r="M291"/>
  <c r="F560" i="12"/>
  <c r="L560"/>
  <c r="O290" i="20"/>
  <c r="I290"/>
  <c r="AB456" i="12" l="1"/>
  <c r="L253"/>
  <c r="C457" s="1"/>
  <c r="F253"/>
  <c r="F561"/>
  <c r="F254" s="1"/>
  <c r="N253"/>
  <c r="M253"/>
  <c r="AB457" s="1"/>
  <c r="K253"/>
  <c r="P253"/>
  <c r="I253"/>
  <c r="G534" i="20"/>
  <c r="L534"/>
  <c r="T534"/>
  <c r="T291"/>
  <c r="K534"/>
  <c r="P534"/>
  <c r="N534"/>
  <c r="H534"/>
  <c r="U534"/>
  <c r="U291"/>
  <c r="Q534"/>
  <c r="V291"/>
  <c r="V534"/>
  <c r="F534"/>
  <c r="J534"/>
  <c r="I534"/>
  <c r="E291"/>
  <c r="E534"/>
  <c r="O534"/>
  <c r="S291"/>
  <c r="S534"/>
  <c r="R291"/>
  <c r="R534"/>
  <c r="D292"/>
  <c r="D535"/>
  <c r="M535"/>
  <c r="W535"/>
  <c r="W292"/>
  <c r="Z87" i="9"/>
  <c r="E116" i="8" s="1"/>
  <c r="W88" i="9"/>
  <c r="AU88" s="1"/>
  <c r="BB88"/>
  <c r="AU87"/>
  <c r="R158" i="19"/>
  <c r="U158" s="1"/>
  <c r="R159"/>
  <c r="U159" s="1"/>
  <c r="Z190" i="9"/>
  <c r="AA190" s="1"/>
  <c r="AD190" s="1"/>
  <c r="Z275"/>
  <c r="AA275" s="1"/>
  <c r="AD275" s="1"/>
  <c r="AE275" s="1"/>
  <c r="AU626"/>
  <c r="Z432"/>
  <c r="AA432" s="1"/>
  <c r="Z508"/>
  <c r="AA508" s="1"/>
  <c r="AD508" s="1"/>
  <c r="AE508" s="1"/>
  <c r="AU585"/>
  <c r="W509"/>
  <c r="AU509" s="1"/>
  <c r="BB509"/>
  <c r="W276"/>
  <c r="Z276" s="1"/>
  <c r="AA276" s="1"/>
  <c r="BB276"/>
  <c r="W433"/>
  <c r="AU433" s="1"/>
  <c r="BB433"/>
  <c r="W191"/>
  <c r="R160" i="19" s="1"/>
  <c r="U160" s="1"/>
  <c r="BB191" i="9"/>
  <c r="W627"/>
  <c r="AD627" s="1"/>
  <c r="AE627" s="1"/>
  <c r="BB627"/>
  <c r="T158" i="19"/>
  <c r="M158" s="1"/>
  <c r="N158" s="1"/>
  <c r="AU190" i="9"/>
  <c r="AD432"/>
  <c r="AE432" s="1"/>
  <c r="AD585"/>
  <c r="AE585" s="1"/>
  <c r="G115" i="8"/>
  <c r="AE85" i="9"/>
  <c r="AU627"/>
  <c r="W337"/>
  <c r="AU336"/>
  <c r="Z336"/>
  <c r="AA336" s="1"/>
  <c r="AD336"/>
  <c r="AE336" s="1"/>
  <c r="C117" i="8"/>
  <c r="I117" s="1"/>
  <c r="BE338" i="9"/>
  <c r="BB338" s="1"/>
  <c r="BF339"/>
  <c r="BE586"/>
  <c r="BB586" s="1"/>
  <c r="BF434"/>
  <c r="BE434" s="1"/>
  <c r="BF56"/>
  <c r="BE56" s="1"/>
  <c r="BB56" s="1"/>
  <c r="BF277"/>
  <c r="BE277" s="1"/>
  <c r="BF510"/>
  <c r="BE510" s="1"/>
  <c r="BF628"/>
  <c r="BE628" s="1"/>
  <c r="E562" i="12"/>
  <c r="E254"/>
  <c r="V562"/>
  <c r="V254"/>
  <c r="M458" s="1"/>
  <c r="AA562"/>
  <c r="AA254"/>
  <c r="S562"/>
  <c r="S254"/>
  <c r="Q562"/>
  <c r="Q254"/>
  <c r="D562"/>
  <c r="D254"/>
  <c r="T562"/>
  <c r="T254"/>
  <c r="X562"/>
  <c r="X254"/>
  <c r="Z562"/>
  <c r="Z254"/>
  <c r="U562"/>
  <c r="U254"/>
  <c r="W562"/>
  <c r="W254"/>
  <c r="R562"/>
  <c r="R254"/>
  <c r="G562"/>
  <c r="G254"/>
  <c r="H562"/>
  <c r="H254"/>
  <c r="J562"/>
  <c r="J254"/>
  <c r="O562"/>
  <c r="O254"/>
  <c r="Y562"/>
  <c r="Y254"/>
  <c r="F562"/>
  <c r="BF89" i="9"/>
  <c r="BE89" s="1"/>
  <c r="CQ457" i="12"/>
  <c r="D457"/>
  <c r="N457"/>
  <c r="B457"/>
  <c r="BF192" i="9"/>
  <c r="BE192" s="1"/>
  <c r="BB192" s="1"/>
  <c r="AC457" i="12"/>
  <c r="L561"/>
  <c r="N561"/>
  <c r="M561"/>
  <c r="I561"/>
  <c r="G291" i="20"/>
  <c r="L291"/>
  <c r="P291"/>
  <c r="H291"/>
  <c r="Q291"/>
  <c r="F291"/>
  <c r="J291"/>
  <c r="O291"/>
  <c r="K561" i="12"/>
  <c r="P561"/>
  <c r="K291" i="20"/>
  <c r="N291"/>
  <c r="I291"/>
  <c r="M292"/>
  <c r="P254" i="12" l="1"/>
  <c r="K254"/>
  <c r="I254"/>
  <c r="M254"/>
  <c r="AC458" s="1"/>
  <c r="N254"/>
  <c r="L254"/>
  <c r="C458" s="1"/>
  <c r="O535" i="20"/>
  <c r="J535"/>
  <c r="F535"/>
  <c r="Q535"/>
  <c r="U535"/>
  <c r="U292"/>
  <c r="H535"/>
  <c r="P535"/>
  <c r="T292"/>
  <c r="T535"/>
  <c r="L535"/>
  <c r="G535"/>
  <c r="R292"/>
  <c r="R535"/>
  <c r="S535"/>
  <c r="S292"/>
  <c r="E535"/>
  <c r="E292"/>
  <c r="I535"/>
  <c r="V292"/>
  <c r="V535"/>
  <c r="N535"/>
  <c r="K535"/>
  <c r="Z88" i="9"/>
  <c r="W536" i="20"/>
  <c r="W293"/>
  <c r="M536"/>
  <c r="D293"/>
  <c r="D536"/>
  <c r="AA87" i="9"/>
  <c r="F116" i="8" s="1"/>
  <c r="W89" i="9"/>
  <c r="Z89" s="1"/>
  <c r="AA89" s="1"/>
  <c r="BB89"/>
  <c r="R164" i="19"/>
  <c r="U164" s="1"/>
  <c r="R165"/>
  <c r="U165" s="1"/>
  <c r="W159"/>
  <c r="Y159" s="1"/>
  <c r="R170"/>
  <c r="U170" s="1"/>
  <c r="W158"/>
  <c r="Y158" s="1"/>
  <c r="T167"/>
  <c r="M167" s="1"/>
  <c r="N167" s="1"/>
  <c r="T166"/>
  <c r="M166" s="1"/>
  <c r="N166" s="1"/>
  <c r="R166"/>
  <c r="U166" s="1"/>
  <c r="Z509" i="9"/>
  <c r="AA509" s="1"/>
  <c r="AU276"/>
  <c r="T163" i="19"/>
  <c r="M163" s="1"/>
  <c r="N163" s="1"/>
  <c r="R163"/>
  <c r="U163" s="1"/>
  <c r="T162"/>
  <c r="M162" s="1"/>
  <c r="N162" s="1"/>
  <c r="R169"/>
  <c r="U169" s="1"/>
  <c r="Z191" i="9"/>
  <c r="AA191" s="1"/>
  <c r="W170" i="19" s="1"/>
  <c r="Y170" s="1"/>
  <c r="AU191" i="9"/>
  <c r="Z433"/>
  <c r="AA433" s="1"/>
  <c r="W628"/>
  <c r="AD628" s="1"/>
  <c r="AE628" s="1"/>
  <c r="BB628"/>
  <c r="W277"/>
  <c r="AU277" s="1"/>
  <c r="BB277"/>
  <c r="W434"/>
  <c r="AD434" s="1"/>
  <c r="AE434" s="1"/>
  <c r="BB434"/>
  <c r="W510"/>
  <c r="Z510" s="1"/>
  <c r="AA510" s="1"/>
  <c r="BB510"/>
  <c r="T169" i="19"/>
  <c r="M169" s="1"/>
  <c r="N169" s="1"/>
  <c r="T165"/>
  <c r="M165" s="1"/>
  <c r="N165" s="1"/>
  <c r="T161"/>
  <c r="M161" s="1"/>
  <c r="N161" s="1"/>
  <c r="R162"/>
  <c r="U162" s="1"/>
  <c r="T168"/>
  <c r="M168" s="1"/>
  <c r="N168" s="1"/>
  <c r="T164"/>
  <c r="M164" s="1"/>
  <c r="N164" s="1"/>
  <c r="T160"/>
  <c r="M160" s="1"/>
  <c r="N160" s="1"/>
  <c r="R167"/>
  <c r="U167" s="1"/>
  <c r="R161"/>
  <c r="U161" s="1"/>
  <c r="R168"/>
  <c r="U168" s="1"/>
  <c r="T170"/>
  <c r="M170" s="1"/>
  <c r="N170" s="1"/>
  <c r="AD433" i="9"/>
  <c r="AE433" s="1"/>
  <c r="X159" i="19"/>
  <c r="Z159" s="1"/>
  <c r="AH159" s="1"/>
  <c r="AE190" i="9"/>
  <c r="P158" i="19" s="1"/>
  <c r="AU628" i="9"/>
  <c r="AD509"/>
  <c r="AE509" s="1"/>
  <c r="X158" i="19"/>
  <c r="Z158" s="1"/>
  <c r="AH158" s="1"/>
  <c r="W338" i="9"/>
  <c r="AU337"/>
  <c r="Z337"/>
  <c r="AA337" s="1"/>
  <c r="AD337"/>
  <c r="AE337" s="1"/>
  <c r="AD276"/>
  <c r="AE276" s="1"/>
  <c r="E117" i="8"/>
  <c r="AA88" i="9"/>
  <c r="F117" i="8" s="1"/>
  <c r="AU89" i="9"/>
  <c r="BE339"/>
  <c r="BB339" s="1"/>
  <c r="BF340"/>
  <c r="BF435"/>
  <c r="BE435" s="1"/>
  <c r="BF57"/>
  <c r="BE57" s="1"/>
  <c r="BB57" s="1"/>
  <c r="BF278"/>
  <c r="BE278" s="1"/>
  <c r="BF629"/>
  <c r="BE629" s="1"/>
  <c r="BF511"/>
  <c r="BE511" s="1"/>
  <c r="F563" i="12"/>
  <c r="F255"/>
  <c r="BF193" i="9"/>
  <c r="BE193" s="1"/>
  <c r="BF90"/>
  <c r="BE90" s="1"/>
  <c r="Y563" i="12"/>
  <c r="Y255"/>
  <c r="O563"/>
  <c r="O255"/>
  <c r="J563"/>
  <c r="J255"/>
  <c r="H563"/>
  <c r="H255"/>
  <c r="G563"/>
  <c r="G255"/>
  <c r="R563"/>
  <c r="R255"/>
  <c r="W563"/>
  <c r="W255"/>
  <c r="U563"/>
  <c r="U255"/>
  <c r="Z563"/>
  <c r="Z255"/>
  <c r="X563"/>
  <c r="X255"/>
  <c r="T563"/>
  <c r="T255"/>
  <c r="D563"/>
  <c r="D255"/>
  <c r="Q563"/>
  <c r="Q255"/>
  <c r="S563"/>
  <c r="S255"/>
  <c r="AA563"/>
  <c r="AA255"/>
  <c r="V563"/>
  <c r="V255"/>
  <c r="M459" s="1"/>
  <c r="E563"/>
  <c r="E255"/>
  <c r="B458"/>
  <c r="N458"/>
  <c r="CQ458"/>
  <c r="D458"/>
  <c r="AB458"/>
  <c r="M562"/>
  <c r="N562"/>
  <c r="L562"/>
  <c r="O292" i="20"/>
  <c r="F292"/>
  <c r="Q292"/>
  <c r="P292"/>
  <c r="L292"/>
  <c r="G292"/>
  <c r="I292"/>
  <c r="K292"/>
  <c r="M293"/>
  <c r="P562" i="12"/>
  <c r="K562"/>
  <c r="I562"/>
  <c r="J292" i="20"/>
  <c r="H292"/>
  <c r="N292"/>
  <c r="I255" i="12" l="1"/>
  <c r="K255"/>
  <c r="P255"/>
  <c r="L255"/>
  <c r="C459" s="1"/>
  <c r="N255"/>
  <c r="M255"/>
  <c r="AC459" s="1"/>
  <c r="K536" i="20"/>
  <c r="I536"/>
  <c r="E293"/>
  <c r="E536"/>
  <c r="S293"/>
  <c r="S536"/>
  <c r="G536"/>
  <c r="L536"/>
  <c r="P536"/>
  <c r="U293"/>
  <c r="U536"/>
  <c r="Q536"/>
  <c r="F536"/>
  <c r="O536"/>
  <c r="N536"/>
  <c r="V293"/>
  <c r="V536"/>
  <c r="R293"/>
  <c r="R536"/>
  <c r="T293"/>
  <c r="T536"/>
  <c r="H536"/>
  <c r="J536"/>
  <c r="M537"/>
  <c r="W537"/>
  <c r="W294"/>
  <c r="D294"/>
  <c r="D537"/>
  <c r="AD87" i="9"/>
  <c r="AE87" s="1"/>
  <c r="W90"/>
  <c r="AU90" s="1"/>
  <c r="BB90"/>
  <c r="AU510"/>
  <c r="AD191"/>
  <c r="X169" i="19" s="1"/>
  <c r="Z169" s="1"/>
  <c r="AH169" s="1"/>
  <c r="W163"/>
  <c r="Y163" s="1"/>
  <c r="W167"/>
  <c r="Y167" s="1"/>
  <c r="W160"/>
  <c r="Y160" s="1"/>
  <c r="W164"/>
  <c r="Y164" s="1"/>
  <c r="W168"/>
  <c r="Y168" s="1"/>
  <c r="W161"/>
  <c r="Y161" s="1"/>
  <c r="W165"/>
  <c r="Y165" s="1"/>
  <c r="W169"/>
  <c r="Y169" s="1"/>
  <c r="W162"/>
  <c r="Y162" s="1"/>
  <c r="W166"/>
  <c r="Y166" s="1"/>
  <c r="Z277" i="9"/>
  <c r="AA277" s="1"/>
  <c r="AD277" s="1"/>
  <c r="AE277" s="1"/>
  <c r="AU434"/>
  <c r="W193"/>
  <c r="T32" i="19" s="1"/>
  <c r="M32" s="1"/>
  <c r="N32" s="1"/>
  <c r="BB193" i="9"/>
  <c r="W511"/>
  <c r="Z511" s="1"/>
  <c r="AA511" s="1"/>
  <c r="BB511"/>
  <c r="W278"/>
  <c r="C105" i="8" s="1"/>
  <c r="BB278" i="9"/>
  <c r="W435"/>
  <c r="AU435" s="1"/>
  <c r="BB435"/>
  <c r="W629"/>
  <c r="AU629" s="1"/>
  <c r="BB629"/>
  <c r="Z434"/>
  <c r="AA434" s="1"/>
  <c r="X170" i="19"/>
  <c r="Z170" s="1"/>
  <c r="AH170" s="1"/>
  <c r="AD510" i="9"/>
  <c r="AE510" s="1"/>
  <c r="X165" i="19"/>
  <c r="Z165" s="1"/>
  <c r="AH165" s="1"/>
  <c r="AD88" i="9"/>
  <c r="AE88" s="1"/>
  <c r="W339"/>
  <c r="AD338"/>
  <c r="AE338" s="1"/>
  <c r="AU338"/>
  <c r="Z338"/>
  <c r="AA338" s="1"/>
  <c r="AD89"/>
  <c r="AE89" s="1"/>
  <c r="BE340"/>
  <c r="BB340" s="1"/>
  <c r="BF341"/>
  <c r="BF436"/>
  <c r="BE436" s="1"/>
  <c r="BF279"/>
  <c r="BE279" s="1"/>
  <c r="BF512"/>
  <c r="BE512" s="1"/>
  <c r="BF630"/>
  <c r="BE630" s="1"/>
  <c r="BF91"/>
  <c r="BE91" s="1"/>
  <c r="E564" i="12"/>
  <c r="E256"/>
  <c r="V564"/>
  <c r="V256"/>
  <c r="M460" s="1"/>
  <c r="AA564"/>
  <c r="AA256"/>
  <c r="S564"/>
  <c r="S256"/>
  <c r="Q564"/>
  <c r="Q256"/>
  <c r="D564"/>
  <c r="D256"/>
  <c r="T564"/>
  <c r="T256"/>
  <c r="X564"/>
  <c r="X256"/>
  <c r="Z564"/>
  <c r="Z256"/>
  <c r="U564"/>
  <c r="U256"/>
  <c r="W564"/>
  <c r="W256"/>
  <c r="R564"/>
  <c r="R256"/>
  <c r="G564"/>
  <c r="G256"/>
  <c r="H564"/>
  <c r="H256"/>
  <c r="J564"/>
  <c r="J256"/>
  <c r="O564"/>
  <c r="O256"/>
  <c r="Y564"/>
  <c r="Y256"/>
  <c r="F564"/>
  <c r="F256"/>
  <c r="CQ459"/>
  <c r="D459"/>
  <c r="N459"/>
  <c r="B459"/>
  <c r="BF194" i="9"/>
  <c r="BE194" s="1"/>
  <c r="AB459" i="12"/>
  <c r="I563"/>
  <c r="P563"/>
  <c r="L563"/>
  <c r="N563"/>
  <c r="M563"/>
  <c r="K293" i="20"/>
  <c r="I293"/>
  <c r="G293"/>
  <c r="L293"/>
  <c r="P293"/>
  <c r="Q293"/>
  <c r="F293"/>
  <c r="O293"/>
  <c r="J293"/>
  <c r="M294"/>
  <c r="K563" i="12"/>
  <c r="N293" i="20"/>
  <c r="H293"/>
  <c r="K256" i="12" l="1"/>
  <c r="M256"/>
  <c r="AC460" s="1"/>
  <c r="N256"/>
  <c r="L256"/>
  <c r="C460" s="1"/>
  <c r="P256"/>
  <c r="I256"/>
  <c r="J537" i="20"/>
  <c r="O537"/>
  <c r="F537"/>
  <c r="Q537"/>
  <c r="P537"/>
  <c r="L537"/>
  <c r="G537"/>
  <c r="I537"/>
  <c r="K537"/>
  <c r="H537"/>
  <c r="T294"/>
  <c r="T537"/>
  <c r="R537"/>
  <c r="R294"/>
  <c r="V294"/>
  <c r="V537"/>
  <c r="N537"/>
  <c r="U537"/>
  <c r="U294"/>
  <c r="S537"/>
  <c r="S294"/>
  <c r="E537"/>
  <c r="E294"/>
  <c r="W538"/>
  <c r="W295"/>
  <c r="D538"/>
  <c r="D295"/>
  <c r="M538"/>
  <c r="G116" i="8"/>
  <c r="Z90" i="9"/>
  <c r="AA90" s="1"/>
  <c r="AD90" s="1"/>
  <c r="AE90" s="1"/>
  <c r="W91"/>
  <c r="U93" s="1"/>
  <c r="BB91"/>
  <c r="R35" i="19"/>
  <c r="U35" s="1"/>
  <c r="T33"/>
  <c r="M33" s="1"/>
  <c r="N33" s="1"/>
  <c r="T36"/>
  <c r="M36" s="1"/>
  <c r="N36" s="1"/>
  <c r="T35"/>
  <c r="M35" s="1"/>
  <c r="N35" s="1"/>
  <c r="Z193" i="9"/>
  <c r="AA193" s="1"/>
  <c r="AD193" s="1"/>
  <c r="R36" i="19"/>
  <c r="U36" s="1"/>
  <c r="Z278" i="9"/>
  <c r="AA278" s="1"/>
  <c r="F105" i="8" s="1"/>
  <c r="X164" i="19"/>
  <c r="Z164" s="1"/>
  <c r="AH164" s="1"/>
  <c r="X168"/>
  <c r="Z168" s="1"/>
  <c r="AH168" s="1"/>
  <c r="X160"/>
  <c r="Z160" s="1"/>
  <c r="AH160" s="1"/>
  <c r="X167"/>
  <c r="Z167" s="1"/>
  <c r="AH167" s="1"/>
  <c r="X166"/>
  <c r="Z166" s="1"/>
  <c r="AH166" s="1"/>
  <c r="X162"/>
  <c r="Z162" s="1"/>
  <c r="AH162" s="1"/>
  <c r="X163"/>
  <c r="Z163" s="1"/>
  <c r="AH163" s="1"/>
  <c r="X161"/>
  <c r="Z161" s="1"/>
  <c r="AH161" s="1"/>
  <c r="V43" i="36" s="1"/>
  <c r="T523" s="1"/>
  <c r="AE191" i="9"/>
  <c r="P162" i="19" s="1"/>
  <c r="AD435" i="9"/>
  <c r="AE435" s="1"/>
  <c r="AU511"/>
  <c r="AU278"/>
  <c r="Z435"/>
  <c r="AA435" s="1"/>
  <c r="AD629"/>
  <c r="AE629" s="1"/>
  <c r="W630"/>
  <c r="AD630" s="1"/>
  <c r="AE630" s="1"/>
  <c r="BB630"/>
  <c r="W279"/>
  <c r="C104" i="8" s="1"/>
  <c r="BB279" i="9"/>
  <c r="W194"/>
  <c r="AU194" s="1"/>
  <c r="BB194"/>
  <c r="W512"/>
  <c r="AU512" s="1"/>
  <c r="BB512"/>
  <c r="W436"/>
  <c r="AU436" s="1"/>
  <c r="BB436"/>
  <c r="T34" i="19"/>
  <c r="M34" s="1"/>
  <c r="N34" s="1"/>
  <c r="AU193" i="9"/>
  <c r="R32" i="19"/>
  <c r="U32" s="1"/>
  <c r="R34"/>
  <c r="U34" s="1"/>
  <c r="R33"/>
  <c r="U33" s="1"/>
  <c r="AD278" i="9"/>
  <c r="AE278" s="1"/>
  <c r="AD511"/>
  <c r="AE511" s="1"/>
  <c r="G117" i="8"/>
  <c r="W340" i="9"/>
  <c r="AD339"/>
  <c r="AE339" s="1"/>
  <c r="AU339"/>
  <c r="Z339"/>
  <c r="AA339" s="1"/>
  <c r="C90" i="8"/>
  <c r="AU91" i="9"/>
  <c r="BE341"/>
  <c r="BB341" s="1"/>
  <c r="BF342"/>
  <c r="BF437"/>
  <c r="BE437" s="1"/>
  <c r="BF280"/>
  <c r="BE280" s="1"/>
  <c r="BF631"/>
  <c r="BE631" s="1"/>
  <c r="BF513"/>
  <c r="BE513" s="1"/>
  <c r="BF195"/>
  <c r="BE195" s="1"/>
  <c r="N460" i="12"/>
  <c r="B460"/>
  <c r="CQ460"/>
  <c r="D460"/>
  <c r="F565"/>
  <c r="F257"/>
  <c r="Y565"/>
  <c r="Y257"/>
  <c r="O565"/>
  <c r="O257"/>
  <c r="J565"/>
  <c r="J257"/>
  <c r="H565"/>
  <c r="H257"/>
  <c r="G565"/>
  <c r="G257"/>
  <c r="R565"/>
  <c r="R257"/>
  <c r="W565"/>
  <c r="W257"/>
  <c r="U565"/>
  <c r="U257"/>
  <c r="Z565"/>
  <c r="Z257"/>
  <c r="X565"/>
  <c r="X257"/>
  <c r="T565"/>
  <c r="T257"/>
  <c r="D565"/>
  <c r="D257"/>
  <c r="Q565"/>
  <c r="Q257"/>
  <c r="S565"/>
  <c r="S257"/>
  <c r="AA565"/>
  <c r="AA257"/>
  <c r="V565"/>
  <c r="V257"/>
  <c r="M461" s="1"/>
  <c r="E565"/>
  <c r="E257"/>
  <c r="BF92" i="9"/>
  <c r="BE92" s="1"/>
  <c r="BB92" s="1"/>
  <c r="K564" i="12"/>
  <c r="M564"/>
  <c r="N564"/>
  <c r="P564"/>
  <c r="I564"/>
  <c r="O294" i="20"/>
  <c r="F294"/>
  <c r="Q294"/>
  <c r="L294"/>
  <c r="G294"/>
  <c r="I294"/>
  <c r="K294"/>
  <c r="H294"/>
  <c r="M295"/>
  <c r="L564" i="12"/>
  <c r="J294" i="20"/>
  <c r="P294"/>
  <c r="N294"/>
  <c r="AB460" i="12" l="1"/>
  <c r="L257"/>
  <c r="C461" s="1"/>
  <c r="I257"/>
  <c r="P257"/>
  <c r="N257"/>
  <c r="M257"/>
  <c r="AC461" s="1"/>
  <c r="K257"/>
  <c r="E538" i="20"/>
  <c r="E295"/>
  <c r="S538"/>
  <c r="S295"/>
  <c r="U295"/>
  <c r="U538"/>
  <c r="R538"/>
  <c r="R295"/>
  <c r="H538"/>
  <c r="K538"/>
  <c r="I538"/>
  <c r="G538"/>
  <c r="L538"/>
  <c r="Q538"/>
  <c r="F538"/>
  <c r="O538"/>
  <c r="N538"/>
  <c r="V295"/>
  <c r="V538"/>
  <c r="T538"/>
  <c r="T295"/>
  <c r="P538"/>
  <c r="J538"/>
  <c r="M539"/>
  <c r="D539"/>
  <c r="D296"/>
  <c r="W539"/>
  <c r="W296"/>
  <c r="AU630" i="9"/>
  <c r="Z91"/>
  <c r="E90" i="8" s="1"/>
  <c r="W33" i="19"/>
  <c r="Y33" s="1"/>
  <c r="W36"/>
  <c r="Y36" s="1"/>
  <c r="W32"/>
  <c r="Y32" s="1"/>
  <c r="E105" i="8"/>
  <c r="L472" i="36"/>
  <c r="P472" s="1"/>
  <c r="L475"/>
  <c r="P475" s="1"/>
  <c r="W35" i="19"/>
  <c r="Y35" s="1"/>
  <c r="W34"/>
  <c r="Y34" s="1"/>
  <c r="P167"/>
  <c r="P159"/>
  <c r="Z279" i="9"/>
  <c r="E104" i="8" s="1"/>
  <c r="P163" i="19"/>
  <c r="P169"/>
  <c r="P161"/>
  <c r="P164"/>
  <c r="L467" i="36"/>
  <c r="P467" s="1"/>
  <c r="L471"/>
  <c r="P471" s="1"/>
  <c r="L470"/>
  <c r="P470" s="1"/>
  <c r="L473"/>
  <c r="P473" s="1"/>
  <c r="L469"/>
  <c r="P469" s="1"/>
  <c r="L474"/>
  <c r="P474" s="1"/>
  <c r="L466"/>
  <c r="P466" s="1"/>
  <c r="L468"/>
  <c r="P468" s="1"/>
  <c r="Z194" i="9"/>
  <c r="AA194" s="1"/>
  <c r="W21" i="19" s="1"/>
  <c r="P165"/>
  <c r="P168"/>
  <c r="P166"/>
  <c r="P170"/>
  <c r="P160"/>
  <c r="T21"/>
  <c r="M21" s="1"/>
  <c r="N21" s="1"/>
  <c r="R21"/>
  <c r="U21" s="1"/>
  <c r="G50" i="36" s="1"/>
  <c r="AU279" i="9"/>
  <c r="Z512"/>
  <c r="AA512" s="1"/>
  <c r="AD512" s="1"/>
  <c r="AE512" s="1"/>
  <c r="Z436"/>
  <c r="AA436" s="1"/>
  <c r="G105" i="8"/>
  <c r="W195" i="9"/>
  <c r="R24" i="19" s="1"/>
  <c r="U24" s="1"/>
  <c r="BB195" i="9"/>
  <c r="W513"/>
  <c r="Z513" s="1"/>
  <c r="AA513" s="1"/>
  <c r="BB513"/>
  <c r="W280"/>
  <c r="AU280" s="1"/>
  <c r="BB280"/>
  <c r="W437"/>
  <c r="Z437" s="1"/>
  <c r="AA437" s="1"/>
  <c r="BB437"/>
  <c r="W631"/>
  <c r="AU631" s="1"/>
  <c r="BB631"/>
  <c r="R20" i="19"/>
  <c r="U20" s="1"/>
  <c r="T20"/>
  <c r="M20" s="1"/>
  <c r="N20" s="1"/>
  <c r="AD279" i="9"/>
  <c r="AE279" s="1"/>
  <c r="AD436"/>
  <c r="AE436" s="1"/>
  <c r="X35" i="19"/>
  <c r="Z35" s="1"/>
  <c r="AE193" i="9"/>
  <c r="P36" i="19" s="1"/>
  <c r="X36"/>
  <c r="Z36" s="1"/>
  <c r="X32"/>
  <c r="Z32" s="1"/>
  <c r="X34"/>
  <c r="Z34" s="1"/>
  <c r="X33"/>
  <c r="Z33" s="1"/>
  <c r="W341" i="9"/>
  <c r="AU340"/>
  <c r="Z340"/>
  <c r="AA340" s="1"/>
  <c r="AD340"/>
  <c r="AE340" s="1"/>
  <c r="R26" i="19"/>
  <c r="U26" s="1"/>
  <c r="AV93" i="9"/>
  <c r="V93"/>
  <c r="BE342"/>
  <c r="BB342" s="1"/>
  <c r="BF343"/>
  <c r="BF438"/>
  <c r="BE438" s="1"/>
  <c r="BB438" s="1"/>
  <c r="BF281"/>
  <c r="BE281" s="1"/>
  <c r="BF514"/>
  <c r="BE514" s="1"/>
  <c r="BF632"/>
  <c r="BE632" s="1"/>
  <c r="B461" i="12"/>
  <c r="N461"/>
  <c r="E566"/>
  <c r="E258"/>
  <c r="V566"/>
  <c r="V258"/>
  <c r="M462" s="1"/>
  <c r="AA566"/>
  <c r="AA258"/>
  <c r="S566"/>
  <c r="S258"/>
  <c r="Q566"/>
  <c r="Q258"/>
  <c r="D566"/>
  <c r="D258"/>
  <c r="T566"/>
  <c r="T258"/>
  <c r="X566"/>
  <c r="X258"/>
  <c r="Z566"/>
  <c r="Z258"/>
  <c r="U566"/>
  <c r="U258"/>
  <c r="W566"/>
  <c r="W258"/>
  <c r="R566"/>
  <c r="R258"/>
  <c r="G566"/>
  <c r="G258"/>
  <c r="H566"/>
  <c r="H258"/>
  <c r="J566"/>
  <c r="J258"/>
  <c r="O566"/>
  <c r="O258"/>
  <c r="Y566"/>
  <c r="Y258"/>
  <c r="F566"/>
  <c r="F258"/>
  <c r="CQ461"/>
  <c r="D461"/>
  <c r="BF196" i="9"/>
  <c r="BE196" s="1"/>
  <c r="L565" i="12"/>
  <c r="I565"/>
  <c r="P565"/>
  <c r="N565"/>
  <c r="M565"/>
  <c r="H295" i="20"/>
  <c r="K295"/>
  <c r="L295"/>
  <c r="F295"/>
  <c r="O295"/>
  <c r="N295"/>
  <c r="P295"/>
  <c r="J295"/>
  <c r="M296"/>
  <c r="K565" i="12"/>
  <c r="I295" i="20"/>
  <c r="G295"/>
  <c r="Q295"/>
  <c r="AB461" i="12" l="1"/>
  <c r="K258"/>
  <c r="M258"/>
  <c r="AB462" s="1"/>
  <c r="N258"/>
  <c r="P258"/>
  <c r="I258"/>
  <c r="L258"/>
  <c r="C462" s="1"/>
  <c r="J539" i="20"/>
  <c r="P539"/>
  <c r="T296"/>
  <c r="T539"/>
  <c r="N539"/>
  <c r="O539"/>
  <c r="F539"/>
  <c r="L539"/>
  <c r="K539"/>
  <c r="H539"/>
  <c r="R296"/>
  <c r="R539"/>
  <c r="S296"/>
  <c r="S539"/>
  <c r="E296"/>
  <c r="E539"/>
  <c r="V296"/>
  <c r="V539"/>
  <c r="Q539"/>
  <c r="G539"/>
  <c r="I539"/>
  <c r="U296"/>
  <c r="U539"/>
  <c r="W540"/>
  <c r="W297"/>
  <c r="D297"/>
  <c r="D540"/>
  <c r="M540"/>
  <c r="AA91" i="9"/>
  <c r="AD91" s="1"/>
  <c r="AE91" s="1"/>
  <c r="AA279"/>
  <c r="F104" i="8" s="1"/>
  <c r="AD194" i="9"/>
  <c r="AE194" s="1"/>
  <c r="P20" i="19" s="1"/>
  <c r="AU195" i="9"/>
  <c r="U50" i="36"/>
  <c r="X50" s="1"/>
  <c r="F482" s="1"/>
  <c r="T27" i="19"/>
  <c r="M27" s="1"/>
  <c r="N27" s="1"/>
  <c r="T30"/>
  <c r="M30" s="1"/>
  <c r="N30" s="1"/>
  <c r="Z280" i="9"/>
  <c r="AA280" s="1"/>
  <c r="F111" i="8" s="1"/>
  <c r="W20" i="19"/>
  <c r="Y20" s="1"/>
  <c r="T26"/>
  <c r="M26" s="1"/>
  <c r="N26" s="1"/>
  <c r="R29"/>
  <c r="U29" s="1"/>
  <c r="T23"/>
  <c r="M23" s="1"/>
  <c r="N23" s="1"/>
  <c r="R28"/>
  <c r="U28" s="1"/>
  <c r="R23"/>
  <c r="U23" s="1"/>
  <c r="C111" i="8"/>
  <c r="AD437" i="9"/>
  <c r="AE437" s="1"/>
  <c r="AD631"/>
  <c r="AE631" s="1"/>
  <c r="AU437"/>
  <c r="AU513"/>
  <c r="W514"/>
  <c r="AU514" s="1"/>
  <c r="BB514"/>
  <c r="W196"/>
  <c r="AU196" s="1"/>
  <c r="BB196"/>
  <c r="W632"/>
  <c r="AU632" s="1"/>
  <c r="BB632"/>
  <c r="W281"/>
  <c r="AD281" s="1"/>
  <c r="AE281" s="1"/>
  <c r="BB281"/>
  <c r="T28" i="19"/>
  <c r="M28" s="1"/>
  <c r="N28" s="1"/>
  <c r="T24"/>
  <c r="M24" s="1"/>
  <c r="N24" s="1"/>
  <c r="R27"/>
  <c r="U27" s="1"/>
  <c r="T29"/>
  <c r="M29" s="1"/>
  <c r="N29" s="1"/>
  <c r="T25"/>
  <c r="M25" s="1"/>
  <c r="N25" s="1"/>
  <c r="Z195" i="9"/>
  <c r="AA195" s="1"/>
  <c r="AD195" s="1"/>
  <c r="R30" i="19"/>
  <c r="U30" s="1"/>
  <c r="R25"/>
  <c r="U25" s="1"/>
  <c r="G104" i="8"/>
  <c r="X21" i="19"/>
  <c r="Z21" s="1"/>
  <c r="AD50" i="36" s="1"/>
  <c r="L482" s="1"/>
  <c r="P35" i="19"/>
  <c r="P32"/>
  <c r="P33"/>
  <c r="P34"/>
  <c r="AD513" i="9"/>
  <c r="AE513" s="1"/>
  <c r="W342"/>
  <c r="AU341"/>
  <c r="Z341"/>
  <c r="AA341" s="1"/>
  <c r="AD341"/>
  <c r="AE341" s="1"/>
  <c r="E111" i="8"/>
  <c r="Y21" i="19"/>
  <c r="AB50" i="36" s="1"/>
  <c r="J482" s="1"/>
  <c r="M50"/>
  <c r="P482" s="1"/>
  <c r="B91" i="8"/>
  <c r="AB93" i="9"/>
  <c r="AQ93"/>
  <c r="AC93"/>
  <c r="BF93" s="1"/>
  <c r="BE93" s="1"/>
  <c r="BE343"/>
  <c r="BB343" s="1"/>
  <c r="BF344"/>
  <c r="BF439"/>
  <c r="BE439" s="1"/>
  <c r="BF282"/>
  <c r="BE282" s="1"/>
  <c r="BF633"/>
  <c r="BE633" s="1"/>
  <c r="BF515"/>
  <c r="BE515" s="1"/>
  <c r="B462" i="12"/>
  <c r="N462"/>
  <c r="D462"/>
  <c r="CQ462"/>
  <c r="F567"/>
  <c r="F259"/>
  <c r="Y567"/>
  <c r="Y259"/>
  <c r="O567"/>
  <c r="O259"/>
  <c r="J567"/>
  <c r="J259"/>
  <c r="H567"/>
  <c r="H259"/>
  <c r="G567"/>
  <c r="G259"/>
  <c r="R567"/>
  <c r="R259"/>
  <c r="W567"/>
  <c r="W259"/>
  <c r="U567"/>
  <c r="U259"/>
  <c r="Z567"/>
  <c r="Z259"/>
  <c r="X567"/>
  <c r="X259"/>
  <c r="T567"/>
  <c r="T259"/>
  <c r="D567"/>
  <c r="D259"/>
  <c r="Q567"/>
  <c r="Q259"/>
  <c r="S567"/>
  <c r="S259"/>
  <c r="AA567"/>
  <c r="AA259"/>
  <c r="V567"/>
  <c r="V259"/>
  <c r="M463" s="1"/>
  <c r="E567"/>
  <c r="E259"/>
  <c r="BF197" i="9"/>
  <c r="BE197" s="1"/>
  <c r="M566" i="12"/>
  <c r="N566"/>
  <c r="P566"/>
  <c r="I566"/>
  <c r="L566"/>
  <c r="P296" i="20"/>
  <c r="N296"/>
  <c r="O296"/>
  <c r="F296"/>
  <c r="L296"/>
  <c r="K296"/>
  <c r="Q296"/>
  <c r="G296"/>
  <c r="K566" i="12"/>
  <c r="J296" i="20"/>
  <c r="H296"/>
  <c r="I296"/>
  <c r="M297"/>
  <c r="AC462" i="12" l="1"/>
  <c r="X20" i="19"/>
  <c r="Z20" s="1"/>
  <c r="K259" i="12"/>
  <c r="L259"/>
  <c r="C463" s="1"/>
  <c r="I259"/>
  <c r="P259"/>
  <c r="N259"/>
  <c r="M259"/>
  <c r="AC463" s="1"/>
  <c r="G540" i="20"/>
  <c r="Q540"/>
  <c r="K540"/>
  <c r="L540"/>
  <c r="F540"/>
  <c r="O540"/>
  <c r="N540"/>
  <c r="P540"/>
  <c r="U540"/>
  <c r="U297"/>
  <c r="I540"/>
  <c r="V297"/>
  <c r="V540"/>
  <c r="E297"/>
  <c r="E540"/>
  <c r="S297"/>
  <c r="S540"/>
  <c r="R540"/>
  <c r="R297"/>
  <c r="H540"/>
  <c r="T297"/>
  <c r="T540"/>
  <c r="J540"/>
  <c r="F90" i="8"/>
  <c r="G90"/>
  <c r="W298" i="20"/>
  <c r="W541"/>
  <c r="M541"/>
  <c r="D298"/>
  <c r="D541"/>
  <c r="W27" i="19"/>
  <c r="Y27" s="1"/>
  <c r="R147"/>
  <c r="U147" s="1"/>
  <c r="W28"/>
  <c r="Y28" s="1"/>
  <c r="W24"/>
  <c r="Y24" s="1"/>
  <c r="W23"/>
  <c r="Y23" s="1"/>
  <c r="W26"/>
  <c r="Y26" s="1"/>
  <c r="W30"/>
  <c r="Y30" s="1"/>
  <c r="W25"/>
  <c r="Y25" s="1"/>
  <c r="W29"/>
  <c r="Y29" s="1"/>
  <c r="T150"/>
  <c r="M152" s="1"/>
  <c r="N152" s="1"/>
  <c r="W93" i="9"/>
  <c r="C91" i="8" s="1"/>
  <c r="I91" s="1"/>
  <c r="BB93" i="9"/>
  <c r="R150" i="19"/>
  <c r="U150" s="1"/>
  <c r="AU281" i="9"/>
  <c r="Z514"/>
  <c r="AA514" s="1"/>
  <c r="AD632"/>
  <c r="AE632" s="1"/>
  <c r="W197"/>
  <c r="T65" i="19" s="1"/>
  <c r="M65" s="1"/>
  <c r="N65" s="1"/>
  <c r="BB197" i="9"/>
  <c r="W515"/>
  <c r="Z515" s="1"/>
  <c r="AA515" s="1"/>
  <c r="BB515"/>
  <c r="W282"/>
  <c r="AD282" s="1"/>
  <c r="AE282" s="1"/>
  <c r="BB282"/>
  <c r="W633"/>
  <c r="AU633" s="1"/>
  <c r="BB633"/>
  <c r="W439"/>
  <c r="O145" i="36" s="1"/>
  <c r="L145" s="1"/>
  <c r="BB439" i="9"/>
  <c r="Z196"/>
  <c r="AA196" s="1"/>
  <c r="W150" i="19" s="1"/>
  <c r="Y150" s="1"/>
  <c r="T147"/>
  <c r="M148" s="1"/>
  <c r="N148" s="1"/>
  <c r="Z281" i="9"/>
  <c r="AA281" s="1"/>
  <c r="O50" i="36"/>
  <c r="R482" s="1"/>
  <c r="X30" i="19"/>
  <c r="Z30" s="1"/>
  <c r="AE195" i="9"/>
  <c r="P24" i="19" s="1"/>
  <c r="X29"/>
  <c r="Z29" s="1"/>
  <c r="P21"/>
  <c r="Y50" i="36" s="1"/>
  <c r="H482" s="1"/>
  <c r="AD514" i="9"/>
  <c r="AE514" s="1"/>
  <c r="X25" i="19"/>
  <c r="Z25" s="1"/>
  <c r="AU515" i="9"/>
  <c r="W343"/>
  <c r="AD342"/>
  <c r="AE342" s="1"/>
  <c r="AU342"/>
  <c r="Z342"/>
  <c r="AA342" s="1"/>
  <c r="X23" i="19"/>
  <c r="Z23" s="1"/>
  <c r="X27"/>
  <c r="Z27" s="1"/>
  <c r="X24"/>
  <c r="Z24" s="1"/>
  <c r="X26"/>
  <c r="Z26" s="1"/>
  <c r="X28"/>
  <c r="Z28" s="1"/>
  <c r="AD280" i="9"/>
  <c r="AE280" s="1"/>
  <c r="M151" i="19"/>
  <c r="N151" s="1"/>
  <c r="BF94" i="9"/>
  <c r="BE94" s="1"/>
  <c r="BB94" s="1"/>
  <c r="BE344"/>
  <c r="BB344" s="1"/>
  <c r="BF345"/>
  <c r="BF440"/>
  <c r="BE440" s="1"/>
  <c r="BF283"/>
  <c r="BE283" s="1"/>
  <c r="BF516"/>
  <c r="BE516" s="1"/>
  <c r="BF634"/>
  <c r="BE634" s="1"/>
  <c r="E568" i="12"/>
  <c r="E260"/>
  <c r="AA568"/>
  <c r="AA260"/>
  <c r="Q568"/>
  <c r="Q260"/>
  <c r="T568"/>
  <c r="T260"/>
  <c r="Z568"/>
  <c r="Z260"/>
  <c r="W568"/>
  <c r="W260"/>
  <c r="H568"/>
  <c r="H260"/>
  <c r="O568"/>
  <c r="O260"/>
  <c r="BF198" i="9"/>
  <c r="BE198" s="1"/>
  <c r="CQ463" i="12"/>
  <c r="D463"/>
  <c r="B463"/>
  <c r="N463"/>
  <c r="V568"/>
  <c r="V260"/>
  <c r="M464" s="1"/>
  <c r="S568"/>
  <c r="S260"/>
  <c r="D568"/>
  <c r="D260"/>
  <c r="X568"/>
  <c r="X260"/>
  <c r="U568"/>
  <c r="U260"/>
  <c r="R568"/>
  <c r="R260"/>
  <c r="G568"/>
  <c r="G260"/>
  <c r="J568"/>
  <c r="J260"/>
  <c r="Y568"/>
  <c r="Y260"/>
  <c r="F568"/>
  <c r="F260"/>
  <c r="K567"/>
  <c r="L567"/>
  <c r="I567"/>
  <c r="P567"/>
  <c r="N567"/>
  <c r="G297" i="20"/>
  <c r="K297"/>
  <c r="F297"/>
  <c r="O297"/>
  <c r="N297"/>
  <c r="P297"/>
  <c r="I297"/>
  <c r="H297"/>
  <c r="J297"/>
  <c r="M567" i="12"/>
  <c r="Q297" i="20"/>
  <c r="L297"/>
  <c r="M298"/>
  <c r="AB463" i="12" l="1"/>
  <c r="M260"/>
  <c r="AB464" s="1"/>
  <c r="N260"/>
  <c r="P260"/>
  <c r="I260"/>
  <c r="L260"/>
  <c r="C464" s="1"/>
  <c r="K260"/>
  <c r="J541" i="20"/>
  <c r="H541"/>
  <c r="R541"/>
  <c r="R298"/>
  <c r="I541"/>
  <c r="U541"/>
  <c r="U298"/>
  <c r="P541"/>
  <c r="N541"/>
  <c r="O541"/>
  <c r="F541"/>
  <c r="K541"/>
  <c r="G541"/>
  <c r="T298"/>
  <c r="T541"/>
  <c r="S298"/>
  <c r="S541"/>
  <c r="E298"/>
  <c r="E541"/>
  <c r="V298"/>
  <c r="V541"/>
  <c r="L541"/>
  <c r="Q541"/>
  <c r="M542"/>
  <c r="D542"/>
  <c r="D299"/>
  <c r="W542"/>
  <c r="W299"/>
  <c r="AU93" i="9"/>
  <c r="Z93"/>
  <c r="AA93" s="1"/>
  <c r="F91" i="8" s="1"/>
  <c r="T61" i="19"/>
  <c r="M61" s="1"/>
  <c r="N61" s="1"/>
  <c r="T63"/>
  <c r="M63" s="1"/>
  <c r="N63" s="1"/>
  <c r="R58"/>
  <c r="U58" s="1"/>
  <c r="T59"/>
  <c r="M59" s="1"/>
  <c r="N59" s="1"/>
  <c r="R61"/>
  <c r="U61" s="1"/>
  <c r="Z282" i="9"/>
  <c r="AA282" s="1"/>
  <c r="M149" i="19"/>
  <c r="N149" s="1"/>
  <c r="AG149" s="1"/>
  <c r="Z439" i="9"/>
  <c r="AA439" s="1"/>
  <c r="T145" i="36" s="1"/>
  <c r="V145" s="1"/>
  <c r="X145" s="1"/>
  <c r="W147" i="19"/>
  <c r="Y147" s="1"/>
  <c r="T58"/>
  <c r="M58" s="1"/>
  <c r="N58" s="1"/>
  <c r="R64"/>
  <c r="U64" s="1"/>
  <c r="T66"/>
  <c r="M66" s="1"/>
  <c r="N66" s="1"/>
  <c r="R66"/>
  <c r="U66" s="1"/>
  <c r="AU282" i="9"/>
  <c r="AU439"/>
  <c r="AD196"/>
  <c r="X150" i="19" s="1"/>
  <c r="Z150" s="1"/>
  <c r="AD633" i="9"/>
  <c r="AE633" s="1"/>
  <c r="W634"/>
  <c r="AU634" s="1"/>
  <c r="BB634"/>
  <c r="W283"/>
  <c r="AD283" s="1"/>
  <c r="AE283" s="1"/>
  <c r="BB283"/>
  <c r="W440"/>
  <c r="AD440" s="1"/>
  <c r="AE440" s="1"/>
  <c r="BB440"/>
  <c r="W198"/>
  <c r="AU198" s="1"/>
  <c r="BB198"/>
  <c r="W516"/>
  <c r="Z516" s="1"/>
  <c r="AA516" s="1"/>
  <c r="BB516"/>
  <c r="AU197"/>
  <c r="T53" i="19"/>
  <c r="M53" s="1"/>
  <c r="N53" s="1"/>
  <c r="T64"/>
  <c r="M64" s="1"/>
  <c r="N64" s="1"/>
  <c r="R60"/>
  <c r="U60" s="1"/>
  <c r="G49" i="36" s="1"/>
  <c r="Z197" i="9"/>
  <c r="AA197" s="1"/>
  <c r="W60" i="19" s="1"/>
  <c r="T60"/>
  <c r="M60" s="1"/>
  <c r="U49" i="36" s="1"/>
  <c r="X49" s="1"/>
  <c r="F481" s="1"/>
  <c r="R63" i="19"/>
  <c r="U63" s="1"/>
  <c r="R65"/>
  <c r="U65" s="1"/>
  <c r="R59"/>
  <c r="U59" s="1"/>
  <c r="AD439" i="9"/>
  <c r="AE439" s="1"/>
  <c r="X147" i="19"/>
  <c r="Z147" s="1"/>
  <c r="P23"/>
  <c r="P30"/>
  <c r="AD515" i="9"/>
  <c r="AE515" s="1"/>
  <c r="W344"/>
  <c r="AD343"/>
  <c r="AE343" s="1"/>
  <c r="AU343"/>
  <c r="Z343"/>
  <c r="AA343" s="1"/>
  <c r="P27" i="19"/>
  <c r="P25"/>
  <c r="G111" i="8"/>
  <c r="P26" i="19"/>
  <c r="P28"/>
  <c r="P29"/>
  <c r="Z283" i="9"/>
  <c r="AA283" s="1"/>
  <c r="AS149" i="19"/>
  <c r="AG151"/>
  <c r="AS151"/>
  <c r="AO151"/>
  <c r="AK151"/>
  <c r="AC151"/>
  <c r="AG148"/>
  <c r="AK148"/>
  <c r="AC148"/>
  <c r="AO148"/>
  <c r="AS148"/>
  <c r="AS152"/>
  <c r="AC152"/>
  <c r="AO152"/>
  <c r="AK152"/>
  <c r="AG152"/>
  <c r="BF95" i="9"/>
  <c r="BE95" s="1"/>
  <c r="E91" i="8"/>
  <c r="BE345" i="9"/>
  <c r="BB345" s="1"/>
  <c r="BF346"/>
  <c r="BF441"/>
  <c r="BE441" s="1"/>
  <c r="BB441" s="1"/>
  <c r="BF284"/>
  <c r="BE284" s="1"/>
  <c r="BF635"/>
  <c r="BE635" s="1"/>
  <c r="BF517"/>
  <c r="BE517" s="1"/>
  <c r="Y569" i="12"/>
  <c r="Y261"/>
  <c r="G569"/>
  <c r="G261"/>
  <c r="U569"/>
  <c r="U261"/>
  <c r="D569"/>
  <c r="D261"/>
  <c r="CQ464"/>
  <c r="D464"/>
  <c r="BF199" i="9"/>
  <c r="BE199" s="1"/>
  <c r="N464" i="12"/>
  <c r="B464"/>
  <c r="F569"/>
  <c r="F261"/>
  <c r="J569"/>
  <c r="J261"/>
  <c r="R569"/>
  <c r="R261"/>
  <c r="X569"/>
  <c r="X261"/>
  <c r="S569"/>
  <c r="S261"/>
  <c r="V569"/>
  <c r="V261"/>
  <c r="M465" s="1"/>
  <c r="O569"/>
  <c r="O261"/>
  <c r="H569"/>
  <c r="H261"/>
  <c r="W569"/>
  <c r="W261"/>
  <c r="Z569"/>
  <c r="Z261"/>
  <c r="T569"/>
  <c r="T261"/>
  <c r="Q569"/>
  <c r="Q261"/>
  <c r="AA569"/>
  <c r="AA261"/>
  <c r="E569"/>
  <c r="E261"/>
  <c r="M568"/>
  <c r="P568"/>
  <c r="I568"/>
  <c r="K568"/>
  <c r="J298" i="20"/>
  <c r="H298"/>
  <c r="P298"/>
  <c r="N298"/>
  <c r="O298"/>
  <c r="F298"/>
  <c r="K298"/>
  <c r="Q298"/>
  <c r="M299"/>
  <c r="N568" i="12"/>
  <c r="L568"/>
  <c r="I298" i="20"/>
  <c r="G298"/>
  <c r="L298"/>
  <c r="AC464" i="12" l="1"/>
  <c r="L261"/>
  <c r="C465" s="1"/>
  <c r="N261"/>
  <c r="K261"/>
  <c r="I261"/>
  <c r="P261"/>
  <c r="M261"/>
  <c r="AC465" s="1"/>
  <c r="Q542" i="20"/>
  <c r="K542"/>
  <c r="F542"/>
  <c r="O542"/>
  <c r="N542"/>
  <c r="P542"/>
  <c r="U299"/>
  <c r="U542"/>
  <c r="R542"/>
  <c r="R299"/>
  <c r="H542"/>
  <c r="J542"/>
  <c r="L542"/>
  <c r="V299"/>
  <c r="V542"/>
  <c r="E299"/>
  <c r="E542"/>
  <c r="S299"/>
  <c r="S542"/>
  <c r="T299"/>
  <c r="T542"/>
  <c r="G542"/>
  <c r="I542"/>
  <c r="W543"/>
  <c r="W300"/>
  <c r="D543"/>
  <c r="D300"/>
  <c r="M543"/>
  <c r="AD634" i="9"/>
  <c r="AE634" s="1"/>
  <c r="AK149" i="19"/>
  <c r="Z198" i="9"/>
  <c r="AA198" s="1"/>
  <c r="AD198" s="1"/>
  <c r="AE198" s="1"/>
  <c r="AU283"/>
  <c r="Z440"/>
  <c r="AA440" s="1"/>
  <c r="AC149" i="19"/>
  <c r="AO149"/>
  <c r="W95" i="9"/>
  <c r="AU95" s="1"/>
  <c r="BB95"/>
  <c r="N60" i="19"/>
  <c r="AU440" i="9"/>
  <c r="AU516"/>
  <c r="AE196"/>
  <c r="AE151" i="19" s="1"/>
  <c r="W64"/>
  <c r="Y64" s="1"/>
  <c r="W63"/>
  <c r="Y63" s="1"/>
  <c r="W59"/>
  <c r="Y59" s="1"/>
  <c r="W58"/>
  <c r="Y58" s="1"/>
  <c r="AD516" i="9"/>
  <c r="AE516" s="1"/>
  <c r="W635"/>
  <c r="AD635" s="1"/>
  <c r="AE635" s="1"/>
  <c r="BB635"/>
  <c r="W199"/>
  <c r="R18" i="19" s="1"/>
  <c r="U18" s="1"/>
  <c r="BB199" i="9"/>
  <c r="W517"/>
  <c r="AU517" s="1"/>
  <c r="BB517"/>
  <c r="W284"/>
  <c r="AD284" s="1"/>
  <c r="AE284" s="1"/>
  <c r="BB284"/>
  <c r="AD197"/>
  <c r="X66" i="19" s="1"/>
  <c r="Z66" s="1"/>
  <c r="W66"/>
  <c r="Y66" s="1"/>
  <c r="W61"/>
  <c r="Y61" s="1"/>
  <c r="W65"/>
  <c r="Y65" s="1"/>
  <c r="AU635" i="9"/>
  <c r="W345"/>
  <c r="AU344"/>
  <c r="Z344"/>
  <c r="AA344" s="1"/>
  <c r="AD344"/>
  <c r="AE344" s="1"/>
  <c r="Y60" i="19"/>
  <c r="AB49" i="36" s="1"/>
  <c r="J481" s="1"/>
  <c r="M49"/>
  <c r="P481" s="1"/>
  <c r="Z95" i="9"/>
  <c r="AA95" s="1"/>
  <c r="BF96"/>
  <c r="BE96" s="1"/>
  <c r="AD93"/>
  <c r="AE93" s="1"/>
  <c r="BE346"/>
  <c r="BB346" s="1"/>
  <c r="BF347"/>
  <c r="BF442"/>
  <c r="BE442" s="1"/>
  <c r="BF285"/>
  <c r="BE285" s="1"/>
  <c r="BF518"/>
  <c r="BE518" s="1"/>
  <c r="BF636"/>
  <c r="BE636" s="1"/>
  <c r="E570" i="12"/>
  <c r="E262"/>
  <c r="Q570"/>
  <c r="Q262"/>
  <c r="Z570"/>
  <c r="Z262"/>
  <c r="O570"/>
  <c r="O262"/>
  <c r="B465"/>
  <c r="N465"/>
  <c r="BF200" i="9"/>
  <c r="BE200" s="1"/>
  <c r="D570" i="12"/>
  <c r="D262"/>
  <c r="U570"/>
  <c r="U262"/>
  <c r="G570"/>
  <c r="G262"/>
  <c r="Y570"/>
  <c r="Y262"/>
  <c r="AA570"/>
  <c r="AA262"/>
  <c r="T570"/>
  <c r="T262"/>
  <c r="W570"/>
  <c r="W262"/>
  <c r="H570"/>
  <c r="H262"/>
  <c r="V570"/>
  <c r="V262"/>
  <c r="M466" s="1"/>
  <c r="S570"/>
  <c r="S262"/>
  <c r="X570"/>
  <c r="X262"/>
  <c r="R570"/>
  <c r="R262"/>
  <c r="J570"/>
  <c r="J262"/>
  <c r="F570"/>
  <c r="F262"/>
  <c r="CQ465"/>
  <c r="D465"/>
  <c r="AB465"/>
  <c r="L569"/>
  <c r="K569"/>
  <c r="I569"/>
  <c r="P569"/>
  <c r="M569"/>
  <c r="Q299" i="20"/>
  <c r="K299"/>
  <c r="F299"/>
  <c r="O299"/>
  <c r="N299"/>
  <c r="H299"/>
  <c r="J299"/>
  <c r="G299"/>
  <c r="I299"/>
  <c r="M300"/>
  <c r="N569" i="12"/>
  <c r="P299" i="20"/>
  <c r="L299"/>
  <c r="N262" i="12" l="1"/>
  <c r="M262"/>
  <c r="AC466" s="1"/>
  <c r="P262"/>
  <c r="I262"/>
  <c r="K262"/>
  <c r="L262"/>
  <c r="C466" s="1"/>
  <c r="I543" i="20"/>
  <c r="G543"/>
  <c r="J543"/>
  <c r="H543"/>
  <c r="R300"/>
  <c r="R543"/>
  <c r="N543"/>
  <c r="O543"/>
  <c r="F543"/>
  <c r="K543"/>
  <c r="Q543"/>
  <c r="T300"/>
  <c r="T543"/>
  <c r="S300"/>
  <c r="S543"/>
  <c r="E300"/>
  <c r="E543"/>
  <c r="V300"/>
  <c r="V543"/>
  <c r="L543"/>
  <c r="U300"/>
  <c r="U543"/>
  <c r="P543"/>
  <c r="M544"/>
  <c r="D544"/>
  <c r="D301"/>
  <c r="W301"/>
  <c r="W544"/>
  <c r="Z517" i="9"/>
  <c r="AA517" s="1"/>
  <c r="T101" i="19"/>
  <c r="M101" s="1"/>
  <c r="N101" s="1"/>
  <c r="AS101" s="1"/>
  <c r="AU284" i="9"/>
  <c r="T18" i="19"/>
  <c r="M18" s="1"/>
  <c r="N18" s="1"/>
  <c r="R101"/>
  <c r="U101" s="1"/>
  <c r="Z284" i="9"/>
  <c r="AA284" s="1"/>
  <c r="X65" i="19"/>
  <c r="Z65" s="1"/>
  <c r="G91" i="8"/>
  <c r="W96" i="9"/>
  <c r="BB96"/>
  <c r="AE149" i="19"/>
  <c r="X60"/>
  <c r="O49" i="36" s="1"/>
  <c r="R481" s="1"/>
  <c r="X59" i="19"/>
  <c r="Z59" s="1"/>
  <c r="AE152"/>
  <c r="AE148"/>
  <c r="W636" i="9"/>
  <c r="AU636" s="1"/>
  <c r="BB636"/>
  <c r="W285"/>
  <c r="Z285" s="1"/>
  <c r="AA285" s="1"/>
  <c r="BB285"/>
  <c r="W200"/>
  <c r="R96" i="19" s="1"/>
  <c r="U96" s="1"/>
  <c r="BB200" i="9"/>
  <c r="W518"/>
  <c r="Z518" s="1"/>
  <c r="AA518" s="1"/>
  <c r="BB518"/>
  <c r="W442"/>
  <c r="Z442" s="1"/>
  <c r="AA442" s="1"/>
  <c r="BB442"/>
  <c r="X63" i="19"/>
  <c r="Z63" s="1"/>
  <c r="X58"/>
  <c r="Z58" s="1"/>
  <c r="AU199" i="9"/>
  <c r="Z199"/>
  <c r="AA199" s="1"/>
  <c r="AD199" s="1"/>
  <c r="AE199" s="1"/>
  <c r="X64" i="19"/>
  <c r="Z64" s="1"/>
  <c r="X61"/>
  <c r="Z61" s="1"/>
  <c r="AE197" i="9"/>
  <c r="P61" i="19" s="1"/>
  <c r="AD517" i="9"/>
  <c r="AE517" s="1"/>
  <c r="AU345"/>
  <c r="Z345"/>
  <c r="AA345" s="1"/>
  <c r="AD345"/>
  <c r="AE345" s="1"/>
  <c r="BF97"/>
  <c r="BE97" s="1"/>
  <c r="BB97" s="1"/>
  <c r="AD95"/>
  <c r="AE95" s="1"/>
  <c r="BE347"/>
  <c r="BB347" s="1"/>
  <c r="BF348"/>
  <c r="BF443"/>
  <c r="BE443" s="1"/>
  <c r="BF286"/>
  <c r="BE286" s="1"/>
  <c r="BF637"/>
  <c r="BE637" s="1"/>
  <c r="BF519"/>
  <c r="BE519" s="1"/>
  <c r="F571" i="12"/>
  <c r="F263"/>
  <c r="J571"/>
  <c r="J263"/>
  <c r="R571"/>
  <c r="R263"/>
  <c r="X571"/>
  <c r="X263"/>
  <c r="S571"/>
  <c r="S263"/>
  <c r="V571"/>
  <c r="V263"/>
  <c r="M467" s="1"/>
  <c r="H571"/>
  <c r="H263"/>
  <c r="W571"/>
  <c r="W263"/>
  <c r="T571"/>
  <c r="T263"/>
  <c r="AA571"/>
  <c r="AA263"/>
  <c r="Y571"/>
  <c r="Y263"/>
  <c r="G571"/>
  <c r="G263"/>
  <c r="U571"/>
  <c r="U263"/>
  <c r="D571"/>
  <c r="D263"/>
  <c r="O571"/>
  <c r="O263"/>
  <c r="Z571"/>
  <c r="Z263"/>
  <c r="Q571"/>
  <c r="Q263"/>
  <c r="E571"/>
  <c r="E263"/>
  <c r="CQ466"/>
  <c r="D466"/>
  <c r="BF201" i="9"/>
  <c r="BE201" s="1"/>
  <c r="N466" i="12"/>
  <c r="B466"/>
  <c r="AB466"/>
  <c r="N570"/>
  <c r="M570"/>
  <c r="L570"/>
  <c r="I300" i="20"/>
  <c r="G300"/>
  <c r="J300"/>
  <c r="H300"/>
  <c r="F300"/>
  <c r="K300"/>
  <c r="Q300"/>
  <c r="P300"/>
  <c r="P570" i="12"/>
  <c r="I570"/>
  <c r="K570"/>
  <c r="N300" i="20"/>
  <c r="O300"/>
  <c r="L300"/>
  <c r="M301"/>
  <c r="K263" i="12" l="1"/>
  <c r="I263"/>
  <c r="P263"/>
  <c r="L263"/>
  <c r="C467" s="1"/>
  <c r="M263"/>
  <c r="AC467" s="1"/>
  <c r="N263"/>
  <c r="P544" i="20"/>
  <c r="Q544"/>
  <c r="K544"/>
  <c r="F544"/>
  <c r="H544"/>
  <c r="J544"/>
  <c r="G544"/>
  <c r="I544"/>
  <c r="U544"/>
  <c r="U301"/>
  <c r="L544"/>
  <c r="V544"/>
  <c r="V301"/>
  <c r="E544"/>
  <c r="E301"/>
  <c r="S301"/>
  <c r="S544"/>
  <c r="T301"/>
  <c r="T544"/>
  <c r="O544"/>
  <c r="N544"/>
  <c r="R544"/>
  <c r="R301"/>
  <c r="D545"/>
  <c r="D302"/>
  <c r="W545"/>
  <c r="W302"/>
  <c r="M545"/>
  <c r="AC101" i="19"/>
  <c r="AG101"/>
  <c r="AK101"/>
  <c r="AO101"/>
  <c r="Z200" i="9"/>
  <c r="AA200" s="1"/>
  <c r="W97" i="19" s="1"/>
  <c r="Y97" s="1"/>
  <c r="P64"/>
  <c r="Z60"/>
  <c r="AD49" i="36" s="1"/>
  <c r="L481" s="1"/>
  <c r="T97" i="19"/>
  <c r="M97" s="1"/>
  <c r="N97" s="1"/>
  <c r="AO97" s="1"/>
  <c r="AD285" i="9"/>
  <c r="AE285" s="1"/>
  <c r="AU96"/>
  <c r="Z96"/>
  <c r="AA96" s="1"/>
  <c r="AD96" s="1"/>
  <c r="AE96" s="1"/>
  <c r="X101" i="19"/>
  <c r="Z101" s="1"/>
  <c r="W18"/>
  <c r="Y18" s="1"/>
  <c r="X18"/>
  <c r="Z18" s="1"/>
  <c r="W101"/>
  <c r="Y101" s="1"/>
  <c r="AU442" i="9"/>
  <c r="AU518"/>
  <c r="AU200"/>
  <c r="P59" i="19"/>
  <c r="AU285" i="9"/>
  <c r="P58" i="19"/>
  <c r="AD442" i="9"/>
  <c r="AE442" s="1"/>
  <c r="AD636"/>
  <c r="AE636" s="1"/>
  <c r="W201"/>
  <c r="R92" i="19" s="1"/>
  <c r="U92" s="1"/>
  <c r="BB201" i="9"/>
  <c r="W519"/>
  <c r="AU519" s="1"/>
  <c r="BB519"/>
  <c r="W286"/>
  <c r="AD286" s="1"/>
  <c r="AE286" s="1"/>
  <c r="BB286"/>
  <c r="W637"/>
  <c r="AD637" s="1"/>
  <c r="AE637" s="1"/>
  <c r="BB637"/>
  <c r="W443"/>
  <c r="AD443" s="1"/>
  <c r="AE443" s="1"/>
  <c r="BB443"/>
  <c r="P60" i="19"/>
  <c r="Y49" i="36" s="1"/>
  <c r="H481" s="1"/>
  <c r="P63" i="19"/>
  <c r="R97"/>
  <c r="U97" s="1"/>
  <c r="T96"/>
  <c r="M96" s="1"/>
  <c r="N96" s="1"/>
  <c r="AS96" s="1"/>
  <c r="P65"/>
  <c r="P66"/>
  <c r="AU637" i="9"/>
  <c r="AD518"/>
  <c r="AE518" s="1"/>
  <c r="Z286"/>
  <c r="AA286" s="1"/>
  <c r="W96" i="19"/>
  <c r="Y96" s="1"/>
  <c r="AG97"/>
  <c r="AC96"/>
  <c r="BF98" i="9"/>
  <c r="BE98" s="1"/>
  <c r="BB98" s="1"/>
  <c r="BE348"/>
  <c r="BB348" s="1"/>
  <c r="BF349"/>
  <c r="BF444"/>
  <c r="BE444" s="1"/>
  <c r="BF287"/>
  <c r="BE287" s="1"/>
  <c r="BF520"/>
  <c r="BE520" s="1"/>
  <c r="BF638"/>
  <c r="BE638" s="1"/>
  <c r="E572" i="12"/>
  <c r="E264"/>
  <c r="Q572"/>
  <c r="Q264"/>
  <c r="Z572"/>
  <c r="Z264"/>
  <c r="O572"/>
  <c r="O264"/>
  <c r="CQ467"/>
  <c r="D467"/>
  <c r="BF202" i="9"/>
  <c r="BE202" s="1"/>
  <c r="B467" i="12"/>
  <c r="N467"/>
  <c r="D572"/>
  <c r="D264"/>
  <c r="U572"/>
  <c r="U264"/>
  <c r="G572"/>
  <c r="G264"/>
  <c r="Y572"/>
  <c r="Y264"/>
  <c r="AA572"/>
  <c r="AA264"/>
  <c r="T572"/>
  <c r="T264"/>
  <c r="W572"/>
  <c r="W264"/>
  <c r="H572"/>
  <c r="H264"/>
  <c r="V572"/>
  <c r="V264"/>
  <c r="M468" s="1"/>
  <c r="S572"/>
  <c r="S264"/>
  <c r="X572"/>
  <c r="X264"/>
  <c r="R572"/>
  <c r="R264"/>
  <c r="J572"/>
  <c r="J264"/>
  <c r="F572"/>
  <c r="F264"/>
  <c r="AE97" i="19"/>
  <c r="AE96"/>
  <c r="P18"/>
  <c r="AB467" i="12"/>
  <c r="I571"/>
  <c r="L571"/>
  <c r="M571"/>
  <c r="N571"/>
  <c r="P301" i="20"/>
  <c r="Q301"/>
  <c r="K301"/>
  <c r="F301"/>
  <c r="H301"/>
  <c r="J301"/>
  <c r="G301"/>
  <c r="I301"/>
  <c r="L301"/>
  <c r="M302"/>
  <c r="K571" i="12"/>
  <c r="P571"/>
  <c r="O301" i="20"/>
  <c r="N301"/>
  <c r="P264" i="12" l="1"/>
  <c r="K264"/>
  <c r="N264"/>
  <c r="M264"/>
  <c r="AC468" s="1"/>
  <c r="L264"/>
  <c r="C468" s="1"/>
  <c r="I264"/>
  <c r="R302" i="20"/>
  <c r="R545"/>
  <c r="E302"/>
  <c r="E545"/>
  <c r="V302"/>
  <c r="V545"/>
  <c r="L545"/>
  <c r="U545"/>
  <c r="U302"/>
  <c r="I545"/>
  <c r="G545"/>
  <c r="J545"/>
  <c r="H545"/>
  <c r="F545"/>
  <c r="K545"/>
  <c r="Q545"/>
  <c r="P545"/>
  <c r="N545"/>
  <c r="O545"/>
  <c r="O302"/>
  <c r="T545"/>
  <c r="T302"/>
  <c r="S545"/>
  <c r="S302"/>
  <c r="M546"/>
  <c r="W546"/>
  <c r="W303"/>
  <c r="D303"/>
  <c r="D546"/>
  <c r="AD200" i="9"/>
  <c r="AE200" s="1"/>
  <c r="AE101" i="19" s="1"/>
  <c r="AU101" s="1"/>
  <c r="AG96"/>
  <c r="Z201" i="9"/>
  <c r="AA201" s="1"/>
  <c r="W90" i="19" s="1"/>
  <c r="Y90" s="1"/>
  <c r="AS97"/>
  <c r="AK96"/>
  <c r="AO96"/>
  <c r="AC97"/>
  <c r="AK97"/>
  <c r="AU201" i="9"/>
  <c r="R93" i="19"/>
  <c r="U93" s="1"/>
  <c r="T92"/>
  <c r="M92" s="1"/>
  <c r="N92" s="1"/>
  <c r="AS92" s="1"/>
  <c r="T93"/>
  <c r="M93" s="1"/>
  <c r="N93" s="1"/>
  <c r="AG93" s="1"/>
  <c r="AU286" i="9"/>
  <c r="AU443"/>
  <c r="Z519"/>
  <c r="AA519" s="1"/>
  <c r="AD519" s="1"/>
  <c r="AE519" s="1"/>
  <c r="W202"/>
  <c r="Z202" s="1"/>
  <c r="AA202" s="1"/>
  <c r="BB202"/>
  <c r="W638"/>
  <c r="AU638" s="1"/>
  <c r="BB638"/>
  <c r="W287"/>
  <c r="AU287" s="1"/>
  <c r="BB287"/>
  <c r="W520"/>
  <c r="Z520" s="1"/>
  <c r="AA520" s="1"/>
  <c r="BB520"/>
  <c r="W444"/>
  <c r="AU444" s="1"/>
  <c r="BB444"/>
  <c r="T90" i="19"/>
  <c r="M90" s="1"/>
  <c r="N90" s="1"/>
  <c r="AC90" s="1"/>
  <c r="R91"/>
  <c r="U91" s="1"/>
  <c r="T91"/>
  <c r="M91" s="1"/>
  <c r="N91" s="1"/>
  <c r="AS91" s="1"/>
  <c r="R90"/>
  <c r="U90" s="1"/>
  <c r="Z443" i="9"/>
  <c r="AA443" s="1"/>
  <c r="X96" i="19"/>
  <c r="Z96" s="1"/>
  <c r="W348" i="9"/>
  <c r="BF99"/>
  <c r="BE349"/>
  <c r="BB349" s="1"/>
  <c r="BF350"/>
  <c r="BF445"/>
  <c r="BE445" s="1"/>
  <c r="AU96" i="19"/>
  <c r="AM96"/>
  <c r="AQ96"/>
  <c r="AI96"/>
  <c r="AU97"/>
  <c r="AM97"/>
  <c r="AQ97"/>
  <c r="AI97"/>
  <c r="BF288" i="9"/>
  <c r="BE288" s="1"/>
  <c r="BF521"/>
  <c r="BE521" s="1"/>
  <c r="BF639"/>
  <c r="BE639" s="1"/>
  <c r="F573" i="12"/>
  <c r="F265"/>
  <c r="R573"/>
  <c r="R265"/>
  <c r="S573"/>
  <c r="S265"/>
  <c r="H573"/>
  <c r="H265"/>
  <c r="W573"/>
  <c r="W265"/>
  <c r="AA573"/>
  <c r="AA265"/>
  <c r="Y573"/>
  <c r="Y265"/>
  <c r="U573"/>
  <c r="U265"/>
  <c r="O573"/>
  <c r="O265"/>
  <c r="AB468"/>
  <c r="CQ468"/>
  <c r="D468"/>
  <c r="BF203" i="9"/>
  <c r="BE203" s="1"/>
  <c r="BB203" s="1"/>
  <c r="N468" i="12"/>
  <c r="B468"/>
  <c r="J573"/>
  <c r="J265"/>
  <c r="X573"/>
  <c r="X265"/>
  <c r="V573"/>
  <c r="V265"/>
  <c r="M469" s="1"/>
  <c r="T573"/>
  <c r="T265"/>
  <c r="G573"/>
  <c r="G265"/>
  <c r="D573"/>
  <c r="D265"/>
  <c r="Z573"/>
  <c r="Z265"/>
  <c r="Q573"/>
  <c r="Q265"/>
  <c r="E573"/>
  <c r="E265"/>
  <c r="P572"/>
  <c r="K572"/>
  <c r="N572"/>
  <c r="M572"/>
  <c r="I572"/>
  <c r="L302" i="20"/>
  <c r="I302"/>
  <c r="G302"/>
  <c r="H302"/>
  <c r="F302"/>
  <c r="K302"/>
  <c r="Q302"/>
  <c r="P302"/>
  <c r="M303"/>
  <c r="L572" i="12"/>
  <c r="J302" i="20"/>
  <c r="N302"/>
  <c r="L265" i="12" l="1"/>
  <c r="C469" s="1"/>
  <c r="I265"/>
  <c r="M265"/>
  <c r="AB469" s="1"/>
  <c r="N265"/>
  <c r="K265"/>
  <c r="P265"/>
  <c r="S546" i="20"/>
  <c r="S303"/>
  <c r="T546"/>
  <c r="T303"/>
  <c r="O546"/>
  <c r="O303"/>
  <c r="P546"/>
  <c r="Q546"/>
  <c r="K546"/>
  <c r="F546"/>
  <c r="H546"/>
  <c r="G546"/>
  <c r="I546"/>
  <c r="U303"/>
  <c r="U546"/>
  <c r="L546"/>
  <c r="N546"/>
  <c r="J546"/>
  <c r="V303"/>
  <c r="V546"/>
  <c r="E303"/>
  <c r="E546"/>
  <c r="R303"/>
  <c r="R546"/>
  <c r="W304"/>
  <c r="W547"/>
  <c r="M547"/>
  <c r="D547"/>
  <c r="D304"/>
  <c r="AK93" i="19"/>
  <c r="AU202" i="9"/>
  <c r="AD201"/>
  <c r="AE201" s="1"/>
  <c r="AE90" i="19" s="1"/>
  <c r="AM90" s="1"/>
  <c r="AK92"/>
  <c r="X97"/>
  <c r="Z97" s="1"/>
  <c r="AS93"/>
  <c r="AO93"/>
  <c r="AK90"/>
  <c r="AC93"/>
  <c r="AG91"/>
  <c r="AD287" i="9"/>
  <c r="AE287" s="1"/>
  <c r="AD444"/>
  <c r="AE444" s="1"/>
  <c r="AU520"/>
  <c r="AC91" i="19"/>
  <c r="AG90"/>
  <c r="AO90"/>
  <c r="C110" i="8"/>
  <c r="Z444" i="9"/>
  <c r="AA444" s="1"/>
  <c r="AD638"/>
  <c r="AE638" s="1"/>
  <c r="AO92" i="19"/>
  <c r="AC92"/>
  <c r="AG92"/>
  <c r="W521" i="9"/>
  <c r="AU521" s="1"/>
  <c r="BB521"/>
  <c r="W445"/>
  <c r="Z445" s="1"/>
  <c r="AA445" s="1"/>
  <c r="BB445"/>
  <c r="W639"/>
  <c r="AD639" s="1"/>
  <c r="AE639" s="1"/>
  <c r="BB639"/>
  <c r="W288"/>
  <c r="Z288" s="1"/>
  <c r="AA288" s="1"/>
  <c r="BB288"/>
  <c r="AK91" i="19"/>
  <c r="AO91"/>
  <c r="AS90"/>
  <c r="Z287" i="9"/>
  <c r="AA287" s="1"/>
  <c r="F110" i="8" s="1"/>
  <c r="X90" i="19"/>
  <c r="Z90" s="1"/>
  <c r="AD520" i="9"/>
  <c r="AE520" s="1"/>
  <c r="BE99"/>
  <c r="BF100"/>
  <c r="BE100" s="1"/>
  <c r="AU639"/>
  <c r="AD202"/>
  <c r="AE202" s="1"/>
  <c r="W349"/>
  <c r="AU348"/>
  <c r="AD348"/>
  <c r="AE348" s="1"/>
  <c r="Z348"/>
  <c r="AA348" s="1"/>
  <c r="AI101" i="19"/>
  <c r="AM101"/>
  <c r="AQ101"/>
  <c r="BE350" i="9"/>
  <c r="BB350" s="1"/>
  <c r="BF351"/>
  <c r="BF446"/>
  <c r="BE446" s="1"/>
  <c r="BF289"/>
  <c r="BE289" s="1"/>
  <c r="BF522"/>
  <c r="BE522" s="1"/>
  <c r="BF640"/>
  <c r="BE640" s="1"/>
  <c r="B469" i="12"/>
  <c r="N469"/>
  <c r="E574"/>
  <c r="E266"/>
  <c r="Q574"/>
  <c r="Q266"/>
  <c r="Z574"/>
  <c r="Z266"/>
  <c r="D574"/>
  <c r="D266"/>
  <c r="G574"/>
  <c r="G266"/>
  <c r="T574"/>
  <c r="T266"/>
  <c r="V574"/>
  <c r="V266"/>
  <c r="M470" s="1"/>
  <c r="X574"/>
  <c r="X266"/>
  <c r="J574"/>
  <c r="J266"/>
  <c r="O574"/>
  <c r="O266"/>
  <c r="U574"/>
  <c r="U266"/>
  <c r="Y574"/>
  <c r="Y266"/>
  <c r="AA574"/>
  <c r="AA266"/>
  <c r="W574"/>
  <c r="W266"/>
  <c r="H574"/>
  <c r="H266"/>
  <c r="S574"/>
  <c r="S266"/>
  <c r="R574"/>
  <c r="R266"/>
  <c r="F574"/>
  <c r="F266"/>
  <c r="CQ469"/>
  <c r="D469"/>
  <c r="BF204" i="9"/>
  <c r="BE204" s="1"/>
  <c r="BB204" s="1"/>
  <c r="L573" i="12"/>
  <c r="I573"/>
  <c r="M573"/>
  <c r="K573"/>
  <c r="P573"/>
  <c r="P303" i="20"/>
  <c r="Q303"/>
  <c r="F303"/>
  <c r="H303"/>
  <c r="G303"/>
  <c r="I303"/>
  <c r="L303"/>
  <c r="N303"/>
  <c r="N573" i="12"/>
  <c r="K303" i="20"/>
  <c r="J303"/>
  <c r="M304"/>
  <c r="AC469" i="12" l="1"/>
  <c r="N266"/>
  <c r="P266"/>
  <c r="K266"/>
  <c r="M266"/>
  <c r="AB470" s="1"/>
  <c r="I266"/>
  <c r="L266"/>
  <c r="C470" s="1"/>
  <c r="N547" i="20"/>
  <c r="L547"/>
  <c r="I547"/>
  <c r="G547"/>
  <c r="H547"/>
  <c r="F547"/>
  <c r="Q304"/>
  <c r="Q547"/>
  <c r="P304"/>
  <c r="P547"/>
  <c r="O547"/>
  <c r="O304"/>
  <c r="T304"/>
  <c r="T547"/>
  <c r="S304"/>
  <c r="S547"/>
  <c r="R547"/>
  <c r="R304"/>
  <c r="E547"/>
  <c r="E304"/>
  <c r="V547"/>
  <c r="V304"/>
  <c r="J547"/>
  <c r="U547"/>
  <c r="U304"/>
  <c r="K547"/>
  <c r="D305"/>
  <c r="D548"/>
  <c r="M548"/>
  <c r="W305"/>
  <c r="W548"/>
  <c r="G110" i="8"/>
  <c r="E110"/>
  <c r="AD288" i="9"/>
  <c r="AE288" s="1"/>
  <c r="AU100"/>
  <c r="BB100"/>
  <c r="W99"/>
  <c r="BB99"/>
  <c r="AU445"/>
  <c r="AD445"/>
  <c r="AE445" s="1"/>
  <c r="Z521"/>
  <c r="AA521" s="1"/>
  <c r="AD521" s="1"/>
  <c r="AE521" s="1"/>
  <c r="W640"/>
  <c r="AU640" s="1"/>
  <c r="BB640"/>
  <c r="W289"/>
  <c r="AU289" s="1"/>
  <c r="BB289"/>
  <c r="W522"/>
  <c r="Z522" s="1"/>
  <c r="AA522" s="1"/>
  <c r="BB522"/>
  <c r="W446"/>
  <c r="Z446" s="1"/>
  <c r="AA446" s="1"/>
  <c r="BB446"/>
  <c r="AU288"/>
  <c r="AU90" i="19"/>
  <c r="C94" i="8"/>
  <c r="I94" s="1"/>
  <c r="Z99" i="9"/>
  <c r="AU99"/>
  <c r="AQ90" i="19"/>
  <c r="AI90"/>
  <c r="W350" i="9"/>
  <c r="AD349"/>
  <c r="AE349" s="1"/>
  <c r="AU349"/>
  <c r="Z349"/>
  <c r="AA349" s="1"/>
  <c r="BE351"/>
  <c r="BB351" s="1"/>
  <c r="BF352"/>
  <c r="BF447"/>
  <c r="BE447" s="1"/>
  <c r="BF290"/>
  <c r="BE290" s="1"/>
  <c r="BF641"/>
  <c r="BE641" s="1"/>
  <c r="BF523"/>
  <c r="BE523" s="1"/>
  <c r="N470" i="12"/>
  <c r="B470"/>
  <c r="F575"/>
  <c r="F267"/>
  <c r="R575"/>
  <c r="R267"/>
  <c r="S575"/>
  <c r="S267"/>
  <c r="H575"/>
  <c r="H267"/>
  <c r="W575"/>
  <c r="W267"/>
  <c r="AA575"/>
  <c r="AA267"/>
  <c r="Y575"/>
  <c r="Y267"/>
  <c r="U575"/>
  <c r="U267"/>
  <c r="O575"/>
  <c r="O267"/>
  <c r="J575"/>
  <c r="J267"/>
  <c r="X575"/>
  <c r="X267"/>
  <c r="V575"/>
  <c r="V267"/>
  <c r="M471" s="1"/>
  <c r="T575"/>
  <c r="T267"/>
  <c r="G575"/>
  <c r="G267"/>
  <c r="D575"/>
  <c r="D267"/>
  <c r="Z575"/>
  <c r="Z267"/>
  <c r="Q575"/>
  <c r="Q267"/>
  <c r="E575"/>
  <c r="E267"/>
  <c r="BF205" i="9"/>
  <c r="BE205" s="1"/>
  <c r="BF101"/>
  <c r="D470" i="12"/>
  <c r="CQ470"/>
  <c r="N574"/>
  <c r="P574"/>
  <c r="K574"/>
  <c r="I574"/>
  <c r="L574"/>
  <c r="N304" i="20"/>
  <c r="L304"/>
  <c r="G304"/>
  <c r="H304"/>
  <c r="F304"/>
  <c r="M305"/>
  <c r="M574" i="12"/>
  <c r="I304" i="20"/>
  <c r="J304"/>
  <c r="K304"/>
  <c r="AC470" i="12" l="1"/>
  <c r="M267"/>
  <c r="AB471" s="1"/>
  <c r="L267"/>
  <c r="C471" s="1"/>
  <c r="I267"/>
  <c r="K267"/>
  <c r="P267"/>
  <c r="N267"/>
  <c r="U548" i="20"/>
  <c r="U305"/>
  <c r="V548"/>
  <c r="V305"/>
  <c r="E548"/>
  <c r="E305"/>
  <c r="R548"/>
  <c r="R305"/>
  <c r="O548"/>
  <c r="O305"/>
  <c r="F548"/>
  <c r="H548"/>
  <c r="G548"/>
  <c r="G305"/>
  <c r="L548"/>
  <c r="N548"/>
  <c r="K548"/>
  <c r="J548"/>
  <c r="S548"/>
  <c r="S305"/>
  <c r="T548"/>
  <c r="T305"/>
  <c r="P305"/>
  <c r="P548"/>
  <c r="Q305"/>
  <c r="Q548"/>
  <c r="I548"/>
  <c r="W306"/>
  <c r="W549"/>
  <c r="M549"/>
  <c r="D549"/>
  <c r="D306"/>
  <c r="AD289" i="9"/>
  <c r="AE289" s="1"/>
  <c r="AU446"/>
  <c r="AU522"/>
  <c r="AD446"/>
  <c r="AE446" s="1"/>
  <c r="AD640"/>
  <c r="AE640" s="1"/>
  <c r="W205"/>
  <c r="Z205" s="1"/>
  <c r="AA205" s="1"/>
  <c r="BB205"/>
  <c r="W641"/>
  <c r="AD641" s="1"/>
  <c r="AE641" s="1"/>
  <c r="BB641"/>
  <c r="W447"/>
  <c r="AU447" s="1"/>
  <c r="BB447"/>
  <c r="W523"/>
  <c r="AU523" s="1"/>
  <c r="BB523"/>
  <c r="W290"/>
  <c r="AD290" s="1"/>
  <c r="AE290" s="1"/>
  <c r="BB290"/>
  <c r="Z289"/>
  <c r="AA289" s="1"/>
  <c r="AD522"/>
  <c r="AE522" s="1"/>
  <c r="BE101"/>
  <c r="BF102"/>
  <c r="AA99"/>
  <c r="E94" i="8"/>
  <c r="AU641" i="9"/>
  <c r="AA42"/>
  <c r="W351"/>
  <c r="AU350"/>
  <c r="AD350"/>
  <c r="AE350" s="1"/>
  <c r="Z350"/>
  <c r="AA350" s="1"/>
  <c r="BE352"/>
  <c r="BB352" s="1"/>
  <c r="BF353"/>
  <c r="BF448"/>
  <c r="BE448" s="1"/>
  <c r="BF291"/>
  <c r="BE291" s="1"/>
  <c r="BF524"/>
  <c r="BE524" s="1"/>
  <c r="BF642"/>
  <c r="BE642" s="1"/>
  <c r="BF206"/>
  <c r="BE206" s="1"/>
  <c r="D471" i="12"/>
  <c r="CQ471"/>
  <c r="B471"/>
  <c r="N471"/>
  <c r="E576"/>
  <c r="E268"/>
  <c r="Q576"/>
  <c r="Q268"/>
  <c r="Z576"/>
  <c r="Z268"/>
  <c r="D576"/>
  <c r="D268"/>
  <c r="G576"/>
  <c r="G268"/>
  <c r="T576"/>
  <c r="T268"/>
  <c r="V576"/>
  <c r="V268"/>
  <c r="M472" s="1"/>
  <c r="X576"/>
  <c r="X268"/>
  <c r="J576"/>
  <c r="J268"/>
  <c r="O576"/>
  <c r="O268"/>
  <c r="U576"/>
  <c r="U268"/>
  <c r="Y576"/>
  <c r="Y268"/>
  <c r="AA576"/>
  <c r="AA268"/>
  <c r="W576"/>
  <c r="W268"/>
  <c r="H576"/>
  <c r="H268"/>
  <c r="S576"/>
  <c r="S268"/>
  <c r="R576"/>
  <c r="R268"/>
  <c r="F576"/>
  <c r="F268"/>
  <c r="AC471"/>
  <c r="M575"/>
  <c r="L575"/>
  <c r="I575"/>
  <c r="K575"/>
  <c r="N575"/>
  <c r="F305" i="20"/>
  <c r="H305"/>
  <c r="N305"/>
  <c r="J305"/>
  <c r="I305"/>
  <c r="P575" i="12"/>
  <c r="L305" i="20"/>
  <c r="K305"/>
  <c r="M306"/>
  <c r="P268" i="12" l="1"/>
  <c r="N268"/>
  <c r="K268"/>
  <c r="I268"/>
  <c r="L268"/>
  <c r="C472" s="1"/>
  <c r="M268"/>
  <c r="I549" i="20"/>
  <c r="T549"/>
  <c r="T306"/>
  <c r="S549"/>
  <c r="S306"/>
  <c r="J549"/>
  <c r="N549"/>
  <c r="G306"/>
  <c r="G549"/>
  <c r="H549"/>
  <c r="F549"/>
  <c r="O306"/>
  <c r="O549"/>
  <c r="R306"/>
  <c r="R549"/>
  <c r="E306"/>
  <c r="E549"/>
  <c r="V306"/>
  <c r="V549"/>
  <c r="U549"/>
  <c r="U306"/>
  <c r="Q549"/>
  <c r="Q306"/>
  <c r="P306"/>
  <c r="P549"/>
  <c r="K549"/>
  <c r="L549"/>
  <c r="D307"/>
  <c r="D550"/>
  <c r="M550"/>
  <c r="W307"/>
  <c r="W550"/>
  <c r="W101" i="9"/>
  <c r="Z101" s="1"/>
  <c r="E92" i="8" s="1"/>
  <c r="BB101" i="9"/>
  <c r="AU290"/>
  <c r="AD447"/>
  <c r="AE447" s="1"/>
  <c r="AU205"/>
  <c r="Z290"/>
  <c r="AA290" s="1"/>
  <c r="Z447"/>
  <c r="AA447" s="1"/>
  <c r="Z523"/>
  <c r="AA523" s="1"/>
  <c r="AD523" s="1"/>
  <c r="AE523" s="1"/>
  <c r="AU206"/>
  <c r="BB206"/>
  <c r="W642"/>
  <c r="AU642" s="1"/>
  <c r="BB642"/>
  <c r="W291"/>
  <c r="AU291" s="1"/>
  <c r="BB291"/>
  <c r="W524"/>
  <c r="Z524" s="1"/>
  <c r="AA524" s="1"/>
  <c r="BB524"/>
  <c r="W448"/>
  <c r="AU448" s="1"/>
  <c r="BB448"/>
  <c r="AU101"/>
  <c r="AD205"/>
  <c r="AE205" s="1"/>
  <c r="C92" i="8"/>
  <c r="F94"/>
  <c r="AD99" i="9"/>
  <c r="AE99" s="1"/>
  <c r="W352"/>
  <c r="AD351"/>
  <c r="AE351" s="1"/>
  <c r="AU351"/>
  <c r="Z351"/>
  <c r="AA351" s="1"/>
  <c r="BE353"/>
  <c r="BB353" s="1"/>
  <c r="BF354"/>
  <c r="BF449"/>
  <c r="BE449" s="1"/>
  <c r="BF292"/>
  <c r="BE292" s="1"/>
  <c r="BF525"/>
  <c r="BE525" s="1"/>
  <c r="BF643"/>
  <c r="BE643" s="1"/>
  <c r="F577" i="12"/>
  <c r="F269"/>
  <c r="R577"/>
  <c r="R269"/>
  <c r="S577"/>
  <c r="S269"/>
  <c r="H577"/>
  <c r="H269"/>
  <c r="W577"/>
  <c r="W269"/>
  <c r="AA577"/>
  <c r="AA269"/>
  <c r="Y577"/>
  <c r="Y269"/>
  <c r="U577"/>
  <c r="U269"/>
  <c r="O577"/>
  <c r="O269"/>
  <c r="J577"/>
  <c r="J269"/>
  <c r="X577"/>
  <c r="X269"/>
  <c r="V577"/>
  <c r="V269"/>
  <c r="M473" s="1"/>
  <c r="T577"/>
  <c r="T269"/>
  <c r="G577"/>
  <c r="G269"/>
  <c r="D577"/>
  <c r="D269"/>
  <c r="Z577"/>
  <c r="Z269"/>
  <c r="Q577"/>
  <c r="Q269"/>
  <c r="E577"/>
  <c r="E269"/>
  <c r="BE102" i="9"/>
  <c r="N472" i="12"/>
  <c r="B472"/>
  <c r="CQ472"/>
  <c r="D472"/>
  <c r="BF207" i="9"/>
  <c r="BE207" s="1"/>
  <c r="AB472" i="12"/>
  <c r="AC472"/>
  <c r="P576"/>
  <c r="N576"/>
  <c r="K576"/>
  <c r="I576"/>
  <c r="I306" i="20"/>
  <c r="N306"/>
  <c r="H306"/>
  <c r="F306"/>
  <c r="K306"/>
  <c r="L306"/>
  <c r="M307"/>
  <c r="L576" i="12"/>
  <c r="M576"/>
  <c r="J306" i="20"/>
  <c r="M269" i="12" l="1"/>
  <c r="AC473" s="1"/>
  <c r="L269"/>
  <c r="C473" s="1"/>
  <c r="I269"/>
  <c r="K269"/>
  <c r="N269"/>
  <c r="P269"/>
  <c r="L550" i="20"/>
  <c r="K550"/>
  <c r="Q550"/>
  <c r="Q307"/>
  <c r="U307"/>
  <c r="U550"/>
  <c r="F550"/>
  <c r="H550"/>
  <c r="N550"/>
  <c r="S307"/>
  <c r="S550"/>
  <c r="T307"/>
  <c r="T550"/>
  <c r="I550"/>
  <c r="P307"/>
  <c r="P550"/>
  <c r="V307"/>
  <c r="V550"/>
  <c r="E307"/>
  <c r="E550"/>
  <c r="R550"/>
  <c r="R307"/>
  <c r="O550"/>
  <c r="O307"/>
  <c r="G307"/>
  <c r="G550"/>
  <c r="J550"/>
  <c r="W551"/>
  <c r="W308"/>
  <c r="M551"/>
  <c r="D308"/>
  <c r="D551"/>
  <c r="AA101" i="9"/>
  <c r="F92" i="8" s="1"/>
  <c r="Z291" i="9"/>
  <c r="AA291" s="1"/>
  <c r="AD291" s="1"/>
  <c r="AE291" s="1"/>
  <c r="AD524"/>
  <c r="AE524" s="1"/>
  <c r="W102"/>
  <c r="AU102" s="1"/>
  <c r="BB102"/>
  <c r="AD448"/>
  <c r="AE448" s="1"/>
  <c r="AU524"/>
  <c r="Z448"/>
  <c r="AA448" s="1"/>
  <c r="AD642"/>
  <c r="AE642" s="1"/>
  <c r="W207"/>
  <c r="Z207" s="1"/>
  <c r="AA207" s="1"/>
  <c r="BB207"/>
  <c r="W292"/>
  <c r="Z292" s="1"/>
  <c r="AA292" s="1"/>
  <c r="B835" s="1"/>
  <c r="BB292"/>
  <c r="W643"/>
  <c r="AU643" s="1"/>
  <c r="BB643"/>
  <c r="W525"/>
  <c r="Z525" s="1"/>
  <c r="AA525" s="1"/>
  <c r="BB525"/>
  <c r="W449"/>
  <c r="AU449" s="1"/>
  <c r="BB449"/>
  <c r="G94" i="8"/>
  <c r="W353" i="9"/>
  <c r="AA45"/>
  <c r="AU352"/>
  <c r="AD352"/>
  <c r="AE352" s="1"/>
  <c r="Z352"/>
  <c r="AA352" s="1"/>
  <c r="BE354"/>
  <c r="BB354" s="1"/>
  <c r="BF355"/>
  <c r="BF450"/>
  <c r="BE450" s="1"/>
  <c r="BF293"/>
  <c r="BE293" s="1"/>
  <c r="BB293" s="1"/>
  <c r="BF526"/>
  <c r="BE526" s="1"/>
  <c r="BF644"/>
  <c r="BE644" s="1"/>
  <c r="E578" i="12"/>
  <c r="E270"/>
  <c r="Q578"/>
  <c r="Q270"/>
  <c r="Z578"/>
  <c r="Z270"/>
  <c r="D578"/>
  <c r="D270"/>
  <c r="G578"/>
  <c r="G270"/>
  <c r="T578"/>
  <c r="T270"/>
  <c r="V578"/>
  <c r="V270"/>
  <c r="M474" s="1"/>
  <c r="X578"/>
  <c r="X270"/>
  <c r="J578"/>
  <c r="J270"/>
  <c r="O578"/>
  <c r="O270"/>
  <c r="U578"/>
  <c r="U270"/>
  <c r="Y578"/>
  <c r="Y270"/>
  <c r="AA578"/>
  <c r="AA270"/>
  <c r="W578"/>
  <c r="W270"/>
  <c r="H578"/>
  <c r="H270"/>
  <c r="S578"/>
  <c r="S270"/>
  <c r="R578"/>
  <c r="R270"/>
  <c r="F578"/>
  <c r="F270"/>
  <c r="BF208" i="9"/>
  <c r="BE208" s="1"/>
  <c r="BF103"/>
  <c r="BE103" s="1"/>
  <c r="CQ473" i="12"/>
  <c r="D473"/>
  <c r="B473"/>
  <c r="N473"/>
  <c r="M577"/>
  <c r="L577"/>
  <c r="K577"/>
  <c r="N577"/>
  <c r="P577"/>
  <c r="L307" i="20"/>
  <c r="K307"/>
  <c r="F307"/>
  <c r="H307"/>
  <c r="I307"/>
  <c r="J307"/>
  <c r="I577" i="12"/>
  <c r="N307" i="20"/>
  <c r="M308"/>
  <c r="AB473" i="12" l="1"/>
  <c r="I270"/>
  <c r="P270"/>
  <c r="N270"/>
  <c r="K270"/>
  <c r="L270"/>
  <c r="C474" s="1"/>
  <c r="M270"/>
  <c r="AB474" s="1"/>
  <c r="J551" i="20"/>
  <c r="O308"/>
  <c r="O551"/>
  <c r="R308"/>
  <c r="R551"/>
  <c r="I551"/>
  <c r="H551"/>
  <c r="F551"/>
  <c r="Q551"/>
  <c r="Q308"/>
  <c r="K551"/>
  <c r="L551"/>
  <c r="G551"/>
  <c r="G308"/>
  <c r="E308"/>
  <c r="E551"/>
  <c r="V308"/>
  <c r="V551"/>
  <c r="P551"/>
  <c r="P308"/>
  <c r="T308"/>
  <c r="T551"/>
  <c r="S308"/>
  <c r="S551"/>
  <c r="N551"/>
  <c r="U308"/>
  <c r="U551"/>
  <c r="W309"/>
  <c r="W552"/>
  <c r="D552"/>
  <c r="D309"/>
  <c r="M552"/>
  <c r="Z102" i="9"/>
  <c r="AA102" s="1"/>
  <c r="AD102" s="1"/>
  <c r="AE102" s="1"/>
  <c r="AD101"/>
  <c r="G92" i="8" s="1"/>
  <c r="AD207" i="9"/>
  <c r="AE207" s="1"/>
  <c r="W103"/>
  <c r="AU103" s="1"/>
  <c r="BB103"/>
  <c r="AU525"/>
  <c r="AU292"/>
  <c r="Z449"/>
  <c r="AA449" s="1"/>
  <c r="AD643"/>
  <c r="AE643" s="1"/>
  <c r="W526"/>
  <c r="Z526" s="1"/>
  <c r="AA526" s="1"/>
  <c r="BB526"/>
  <c r="W450"/>
  <c r="Z450" s="1"/>
  <c r="AA450" s="1"/>
  <c r="BB450"/>
  <c r="W208"/>
  <c r="AU208" s="1"/>
  <c r="BB208"/>
  <c r="W644"/>
  <c r="AU644" s="1"/>
  <c r="BB644"/>
  <c r="AU207"/>
  <c r="AD449"/>
  <c r="AE449" s="1"/>
  <c r="AD292"/>
  <c r="AE292" s="1"/>
  <c r="AD525"/>
  <c r="AE525" s="1"/>
  <c r="W354"/>
  <c r="AD353"/>
  <c r="AE353" s="1"/>
  <c r="AU353"/>
  <c r="Z353"/>
  <c r="AA353" s="1"/>
  <c r="C93" i="8"/>
  <c r="BE355" i="9"/>
  <c r="BB355" s="1"/>
  <c r="BF356"/>
  <c r="BF451"/>
  <c r="BE451" s="1"/>
  <c r="BF294"/>
  <c r="BE294" s="1"/>
  <c r="BF527"/>
  <c r="BE527" s="1"/>
  <c r="BF645"/>
  <c r="BE645" s="1"/>
  <c r="BF104"/>
  <c r="BE104" s="1"/>
  <c r="BF209"/>
  <c r="BE209" s="1"/>
  <c r="F579" i="12"/>
  <c r="F271"/>
  <c r="R579"/>
  <c r="R271"/>
  <c r="S579"/>
  <c r="S271"/>
  <c r="H579"/>
  <c r="H271"/>
  <c r="W579"/>
  <c r="W271"/>
  <c r="AA579"/>
  <c r="AA271"/>
  <c r="Y579"/>
  <c r="Y271"/>
  <c r="U579"/>
  <c r="U271"/>
  <c r="O579"/>
  <c r="O271"/>
  <c r="J579"/>
  <c r="J271"/>
  <c r="X579"/>
  <c r="X271"/>
  <c r="V579"/>
  <c r="V271"/>
  <c r="M475" s="1"/>
  <c r="T579"/>
  <c r="T271"/>
  <c r="G579"/>
  <c r="G271"/>
  <c r="D579"/>
  <c r="D271"/>
  <c r="Z579"/>
  <c r="Z271"/>
  <c r="Q579"/>
  <c r="Q271"/>
  <c r="E579"/>
  <c r="E271"/>
  <c r="N474"/>
  <c r="B474"/>
  <c r="CQ474"/>
  <c r="D474"/>
  <c r="I578"/>
  <c r="P578"/>
  <c r="N578"/>
  <c r="K578"/>
  <c r="L578"/>
  <c r="J308" i="20"/>
  <c r="I308"/>
  <c r="H308"/>
  <c r="K308"/>
  <c r="L308"/>
  <c r="N308"/>
  <c r="M578" i="12"/>
  <c r="F308" i="20"/>
  <c r="M309"/>
  <c r="AC474" i="12" l="1"/>
  <c r="M271"/>
  <c r="AC475" s="1"/>
  <c r="L271"/>
  <c r="C475" s="1"/>
  <c r="K271"/>
  <c r="N271"/>
  <c r="P271"/>
  <c r="I271"/>
  <c r="N552" i="20"/>
  <c r="P309"/>
  <c r="P552"/>
  <c r="G309"/>
  <c r="G552"/>
  <c r="L552"/>
  <c r="K552"/>
  <c r="Q552"/>
  <c r="Q309"/>
  <c r="H552"/>
  <c r="I552"/>
  <c r="J552"/>
  <c r="U309"/>
  <c r="U552"/>
  <c r="S309"/>
  <c r="S552"/>
  <c r="T552"/>
  <c r="T309"/>
  <c r="V552"/>
  <c r="V309"/>
  <c r="E552"/>
  <c r="E309"/>
  <c r="F552"/>
  <c r="R552"/>
  <c r="R309"/>
  <c r="O552"/>
  <c r="O309"/>
  <c r="M553"/>
  <c r="D310"/>
  <c r="D553"/>
  <c r="W553"/>
  <c r="W310"/>
  <c r="AE101" i="9"/>
  <c r="AD208"/>
  <c r="AE208" s="1"/>
  <c r="Z103"/>
  <c r="E93" i="8" s="1"/>
  <c r="AU450" i="9"/>
  <c r="AU526"/>
  <c r="W104"/>
  <c r="Z104" s="1"/>
  <c r="AA104" s="1"/>
  <c r="M3" i="12" s="1"/>
  <c r="BB104" i="9"/>
  <c r="AD644"/>
  <c r="AE644" s="1"/>
  <c r="AD450"/>
  <c r="AE450" s="1"/>
  <c r="W209"/>
  <c r="Z209" s="1"/>
  <c r="AA209" s="1"/>
  <c r="BB209"/>
  <c r="W527"/>
  <c r="Z527" s="1"/>
  <c r="AA527" s="1"/>
  <c r="BB527"/>
  <c r="W451"/>
  <c r="AU451" s="1"/>
  <c r="BB451"/>
  <c r="W645"/>
  <c r="AU645" s="1"/>
  <c r="BB645"/>
  <c r="W294"/>
  <c r="Z294" s="1"/>
  <c r="AA294" s="1"/>
  <c r="BB294"/>
  <c r="Z208"/>
  <c r="AA208" s="1"/>
  <c r="AD526"/>
  <c r="AE526" s="1"/>
  <c r="W355"/>
  <c r="AA46"/>
  <c r="AU354"/>
  <c r="AD354"/>
  <c r="AE354" s="1"/>
  <c r="Z354"/>
  <c r="AA354" s="1"/>
  <c r="AA103"/>
  <c r="F93" i="8" s="1"/>
  <c r="BE356" i="9"/>
  <c r="BB356" s="1"/>
  <c r="BF357"/>
  <c r="BF452"/>
  <c r="BE452" s="1"/>
  <c r="BF295"/>
  <c r="BE295" s="1"/>
  <c r="BF646"/>
  <c r="BE646" s="1"/>
  <c r="BF528"/>
  <c r="BE528" s="1"/>
  <c r="B475" i="12"/>
  <c r="N475"/>
  <c r="BF105" i="9"/>
  <c r="E580" i="12"/>
  <c r="E272"/>
  <c r="Q580"/>
  <c r="Q272"/>
  <c r="Z580"/>
  <c r="Z272"/>
  <c r="D580"/>
  <c r="D272"/>
  <c r="G580"/>
  <c r="G272"/>
  <c r="T580"/>
  <c r="T272"/>
  <c r="V580"/>
  <c r="V272"/>
  <c r="M476" s="1"/>
  <c r="X580"/>
  <c r="X272"/>
  <c r="J580"/>
  <c r="J272"/>
  <c r="O580"/>
  <c r="O272"/>
  <c r="U580"/>
  <c r="U272"/>
  <c r="Y580"/>
  <c r="Y272"/>
  <c r="AA580"/>
  <c r="AA272"/>
  <c r="W580"/>
  <c r="W272"/>
  <c r="H580"/>
  <c r="H272"/>
  <c r="S580"/>
  <c r="S272"/>
  <c r="R580"/>
  <c r="R272"/>
  <c r="F580"/>
  <c r="F272"/>
  <c r="CQ475"/>
  <c r="D475"/>
  <c r="BF210" i="9"/>
  <c r="BE210" s="1"/>
  <c r="AB475" i="12"/>
  <c r="L579"/>
  <c r="K579"/>
  <c r="P579"/>
  <c r="I579"/>
  <c r="N309" i="20"/>
  <c r="L309"/>
  <c r="K309"/>
  <c r="H309"/>
  <c r="I309"/>
  <c r="F309"/>
  <c r="Y114" i="9"/>
  <c r="Y116"/>
  <c r="Y118"/>
  <c r="Y112"/>
  <c r="M579" i="12"/>
  <c r="N579"/>
  <c r="J309" i="20"/>
  <c r="M310"/>
  <c r="Y111" i="9"/>
  <c r="Y117"/>
  <c r="N272" i="12" l="1"/>
  <c r="M272"/>
  <c r="AB476" s="1"/>
  <c r="I580"/>
  <c r="I581" s="1"/>
  <c r="I272"/>
  <c r="P272"/>
  <c r="K272"/>
  <c r="L272"/>
  <c r="C476" s="1"/>
  <c r="O310" i="20"/>
  <c r="O553"/>
  <c r="R310"/>
  <c r="R553"/>
  <c r="F553"/>
  <c r="E553"/>
  <c r="E310"/>
  <c r="V553"/>
  <c r="V310"/>
  <c r="T310"/>
  <c r="T553"/>
  <c r="I553"/>
  <c r="H553"/>
  <c r="Q310"/>
  <c r="Q553"/>
  <c r="K553"/>
  <c r="L553"/>
  <c r="N553"/>
  <c r="S310"/>
  <c r="S553"/>
  <c r="U553"/>
  <c r="U310"/>
  <c r="J553"/>
  <c r="G553"/>
  <c r="G310"/>
  <c r="P310"/>
  <c r="P553"/>
  <c r="W554"/>
  <c r="W311"/>
  <c r="M554"/>
  <c r="D554"/>
  <c r="D311"/>
  <c r="AU104" i="9"/>
  <c r="AU294"/>
  <c r="AD451"/>
  <c r="AE451" s="1"/>
  <c r="AU527"/>
  <c r="AU209"/>
  <c r="AD294"/>
  <c r="AE294" s="1"/>
  <c r="Z451"/>
  <c r="AA451" s="1"/>
  <c r="AD645"/>
  <c r="AE645" s="1"/>
  <c r="W210"/>
  <c r="AU210" s="1"/>
  <c r="BB210"/>
  <c r="W646"/>
  <c r="AD646" s="1"/>
  <c r="AE646" s="1"/>
  <c r="BB646"/>
  <c r="W452"/>
  <c r="AU452" s="1"/>
  <c r="BB452"/>
  <c r="W528"/>
  <c r="AU528" s="1"/>
  <c r="BB528"/>
  <c r="W295"/>
  <c r="AU295" s="1"/>
  <c r="BB295"/>
  <c r="AD209"/>
  <c r="AE209" s="1"/>
  <c r="AD527"/>
  <c r="AE527" s="1"/>
  <c r="AU646"/>
  <c r="W356"/>
  <c r="AD355"/>
  <c r="AE355" s="1"/>
  <c r="AU355"/>
  <c r="Z355"/>
  <c r="AA355" s="1"/>
  <c r="AD104"/>
  <c r="AE104" s="1"/>
  <c r="Z210"/>
  <c r="AA210" s="1"/>
  <c r="AD103"/>
  <c r="AE103" s="1"/>
  <c r="AA112"/>
  <c r="AA111"/>
  <c r="AD111" s="1"/>
  <c r="AE111" s="1"/>
  <c r="AA118"/>
  <c r="AA114"/>
  <c r="AD114" s="1"/>
  <c r="AE114" s="1"/>
  <c r="AA116"/>
  <c r="AA117"/>
  <c r="BE105"/>
  <c r="BB105" s="1"/>
  <c r="BE357"/>
  <c r="BB357" s="1"/>
  <c r="BF358"/>
  <c r="BF453"/>
  <c r="BE453" s="1"/>
  <c r="BF296"/>
  <c r="BF529"/>
  <c r="BE529" s="1"/>
  <c r="BF647"/>
  <c r="BE647" s="1"/>
  <c r="BF211"/>
  <c r="BE211" s="1"/>
  <c r="CQ476" i="12"/>
  <c r="D476"/>
  <c r="F581"/>
  <c r="F273"/>
  <c r="R581"/>
  <c r="R273"/>
  <c r="S581"/>
  <c r="S273"/>
  <c r="H581"/>
  <c r="H273"/>
  <c r="W581"/>
  <c r="W273"/>
  <c r="AA581"/>
  <c r="AA273"/>
  <c r="Y581"/>
  <c r="Y273"/>
  <c r="U581"/>
  <c r="U273"/>
  <c r="O581"/>
  <c r="O273"/>
  <c r="J581"/>
  <c r="J273"/>
  <c r="X581"/>
  <c r="X273"/>
  <c r="V581"/>
  <c r="V273"/>
  <c r="M477" s="1"/>
  <c r="T581"/>
  <c r="T273"/>
  <c r="G581"/>
  <c r="G273"/>
  <c r="D581"/>
  <c r="D273"/>
  <c r="Z581"/>
  <c r="Z273"/>
  <c r="Q581"/>
  <c r="Q273"/>
  <c r="E581"/>
  <c r="E273"/>
  <c r="N476"/>
  <c r="B476"/>
  <c r="AC476"/>
  <c r="N580"/>
  <c r="M580"/>
  <c r="P580"/>
  <c r="L580"/>
  <c r="F310" i="20"/>
  <c r="I310"/>
  <c r="H310"/>
  <c r="L310"/>
  <c r="N310"/>
  <c r="J310"/>
  <c r="M311"/>
  <c r="K580" i="12"/>
  <c r="K310" i="20"/>
  <c r="I273" i="12" l="1"/>
  <c r="K273"/>
  <c r="L273"/>
  <c r="C477" s="1"/>
  <c r="P273"/>
  <c r="M273"/>
  <c r="AC477" s="1"/>
  <c r="N273"/>
  <c r="G554" i="20"/>
  <c r="G311"/>
  <c r="J554"/>
  <c r="U554"/>
  <c r="U311"/>
  <c r="N554"/>
  <c r="L554"/>
  <c r="H554"/>
  <c r="I554"/>
  <c r="V554"/>
  <c r="V311"/>
  <c r="E554"/>
  <c r="E311"/>
  <c r="F554"/>
  <c r="P311"/>
  <c r="P554"/>
  <c r="S554"/>
  <c r="S311"/>
  <c r="K554"/>
  <c r="Q554"/>
  <c r="Q311"/>
  <c r="T554"/>
  <c r="T311"/>
  <c r="R554"/>
  <c r="R311"/>
  <c r="O554"/>
  <c r="O311"/>
  <c r="D555"/>
  <c r="D312"/>
  <c r="M555"/>
  <c r="W555"/>
  <c r="W312"/>
  <c r="Z295" i="9"/>
  <c r="AA295" s="1"/>
  <c r="AD452"/>
  <c r="AE452" s="1"/>
  <c r="Z452"/>
  <c r="AA452" s="1"/>
  <c r="Z528"/>
  <c r="AA528" s="1"/>
  <c r="AD528" s="1"/>
  <c r="AE528" s="1"/>
  <c r="W647"/>
  <c r="AU647" s="1"/>
  <c r="BB647"/>
  <c r="W211"/>
  <c r="AU211" s="1"/>
  <c r="BB211"/>
  <c r="W529"/>
  <c r="Z529" s="1"/>
  <c r="AA529" s="1"/>
  <c r="BB529"/>
  <c r="W453"/>
  <c r="AU453" s="1"/>
  <c r="BB453"/>
  <c r="AD295"/>
  <c r="AE295" s="1"/>
  <c r="AD210"/>
  <c r="AE210" s="1"/>
  <c r="AU529"/>
  <c r="W357"/>
  <c r="AA43"/>
  <c r="AU356"/>
  <c r="AD356"/>
  <c r="AE356" s="1"/>
  <c r="Z356"/>
  <c r="AA356" s="1"/>
  <c r="Z211"/>
  <c r="AA211" s="1"/>
  <c r="W76" i="19" s="1"/>
  <c r="Y76" s="1"/>
  <c r="G93" i="8"/>
  <c r="BE296" i="9"/>
  <c r="BB296" s="1"/>
  <c r="BE358"/>
  <c r="BB358" s="1"/>
  <c r="BF359"/>
  <c r="BF454"/>
  <c r="BE454" s="1"/>
  <c r="BF648"/>
  <c r="BE648" s="1"/>
  <c r="BF530"/>
  <c r="BE530" s="1"/>
  <c r="D477" i="12"/>
  <c r="CQ477"/>
  <c r="B477"/>
  <c r="N477"/>
  <c r="I582"/>
  <c r="I274"/>
  <c r="E582"/>
  <c r="E274"/>
  <c r="Q582"/>
  <c r="Q274"/>
  <c r="Z582"/>
  <c r="Z274"/>
  <c r="D582"/>
  <c r="D274"/>
  <c r="G582"/>
  <c r="G274"/>
  <c r="T582"/>
  <c r="T274"/>
  <c r="V582"/>
  <c r="V274"/>
  <c r="M478" s="1"/>
  <c r="X582"/>
  <c r="X274"/>
  <c r="J582"/>
  <c r="J274"/>
  <c r="O582"/>
  <c r="O274"/>
  <c r="U582"/>
  <c r="U274"/>
  <c r="Y582"/>
  <c r="Y274"/>
  <c r="AA582"/>
  <c r="AA274"/>
  <c r="W582"/>
  <c r="W274"/>
  <c r="H582"/>
  <c r="H274"/>
  <c r="S582"/>
  <c r="S274"/>
  <c r="R582"/>
  <c r="R274"/>
  <c r="F582"/>
  <c r="F274"/>
  <c r="BF212" i="9"/>
  <c r="K581" i="12"/>
  <c r="L581"/>
  <c r="P581"/>
  <c r="M581"/>
  <c r="N311" i="20"/>
  <c r="L311"/>
  <c r="H311"/>
  <c r="I311"/>
  <c r="F311"/>
  <c r="K311"/>
  <c r="M312"/>
  <c r="N581" i="12"/>
  <c r="J311" i="20"/>
  <c r="AB477" i="12" l="1"/>
  <c r="N274"/>
  <c r="M274"/>
  <c r="AB478" s="1"/>
  <c r="P274"/>
  <c r="L274"/>
  <c r="C478" s="1"/>
  <c r="K582"/>
  <c r="K583" s="1"/>
  <c r="K274"/>
  <c r="O312" i="20"/>
  <c r="O555"/>
  <c r="R555"/>
  <c r="R312"/>
  <c r="T312"/>
  <c r="T555"/>
  <c r="Q312"/>
  <c r="Q555"/>
  <c r="K555"/>
  <c r="S312"/>
  <c r="S555"/>
  <c r="F555"/>
  <c r="E312"/>
  <c r="E555"/>
  <c r="V312"/>
  <c r="V555"/>
  <c r="I555"/>
  <c r="H555"/>
  <c r="L555"/>
  <c r="N555"/>
  <c r="U555"/>
  <c r="U312"/>
  <c r="G312"/>
  <c r="G555"/>
  <c r="P555"/>
  <c r="P312"/>
  <c r="J555"/>
  <c r="W556"/>
  <c r="W313"/>
  <c r="M556"/>
  <c r="D556"/>
  <c r="D313"/>
  <c r="T76" i="19"/>
  <c r="M76" s="1"/>
  <c r="N76" s="1"/>
  <c r="Z453" i="9"/>
  <c r="AA453" s="1"/>
  <c r="AD647"/>
  <c r="AE647" s="1"/>
  <c r="W648"/>
  <c r="AU648" s="1"/>
  <c r="BB648"/>
  <c r="W530"/>
  <c r="Z530" s="1"/>
  <c r="AA530" s="1"/>
  <c r="BB530"/>
  <c r="W454"/>
  <c r="Z454" s="1"/>
  <c r="AA454" s="1"/>
  <c r="BB454"/>
  <c r="R76" i="19"/>
  <c r="U76" s="1"/>
  <c r="AD453" i="9"/>
  <c r="AE453" s="1"/>
  <c r="AD211"/>
  <c r="AD529"/>
  <c r="AE529" s="1"/>
  <c r="W358"/>
  <c r="AD357"/>
  <c r="AE357" s="1"/>
  <c r="AU357"/>
  <c r="Z357"/>
  <c r="AA357" s="1"/>
  <c r="BE212"/>
  <c r="BB212" s="1"/>
  <c r="BE359"/>
  <c r="BB359" s="1"/>
  <c r="BF360"/>
  <c r="BF455"/>
  <c r="BE455" s="1"/>
  <c r="BF531"/>
  <c r="BE531" s="1"/>
  <c r="BF649"/>
  <c r="BE649" s="1"/>
  <c r="N478" i="12"/>
  <c r="B478"/>
  <c r="F583"/>
  <c r="F275"/>
  <c r="R583"/>
  <c r="R275"/>
  <c r="S583"/>
  <c r="S275"/>
  <c r="H583"/>
  <c r="H275"/>
  <c r="W583"/>
  <c r="W275"/>
  <c r="AA583"/>
  <c r="AA275"/>
  <c r="Y583"/>
  <c r="Y275"/>
  <c r="U583"/>
  <c r="U275"/>
  <c r="O583"/>
  <c r="O275"/>
  <c r="J583"/>
  <c r="J275"/>
  <c r="X583"/>
  <c r="X275"/>
  <c r="V583"/>
  <c r="V275"/>
  <c r="M479" s="1"/>
  <c r="T583"/>
  <c r="T275"/>
  <c r="G583"/>
  <c r="G275"/>
  <c r="D583"/>
  <c r="D275"/>
  <c r="Z583"/>
  <c r="Z275"/>
  <c r="Q583"/>
  <c r="Q275"/>
  <c r="E583"/>
  <c r="E275"/>
  <c r="I583"/>
  <c r="I275"/>
  <c r="K275"/>
  <c r="CQ478"/>
  <c r="D478"/>
  <c r="N582"/>
  <c r="M582"/>
  <c r="P582"/>
  <c r="L582"/>
  <c r="K312" i="20"/>
  <c r="F312"/>
  <c r="I312"/>
  <c r="H312"/>
  <c r="N312"/>
  <c r="M313"/>
  <c r="L312"/>
  <c r="J312"/>
  <c r="AC478" i="12" l="1"/>
  <c r="L275"/>
  <c r="C479" s="1"/>
  <c r="P275"/>
  <c r="M275"/>
  <c r="AB479" s="1"/>
  <c r="N275"/>
  <c r="P313" i="20"/>
  <c r="P556"/>
  <c r="U313"/>
  <c r="U556"/>
  <c r="N556"/>
  <c r="H556"/>
  <c r="I556"/>
  <c r="F556"/>
  <c r="K556"/>
  <c r="R556"/>
  <c r="R313"/>
  <c r="J556"/>
  <c r="G556"/>
  <c r="G313"/>
  <c r="L556"/>
  <c r="V556"/>
  <c r="V313"/>
  <c r="E556"/>
  <c r="E313"/>
  <c r="S313"/>
  <c r="S556"/>
  <c r="Q313"/>
  <c r="Q556"/>
  <c r="T556"/>
  <c r="T313"/>
  <c r="O313"/>
  <c r="O556"/>
  <c r="D314"/>
  <c r="D557"/>
  <c r="M557"/>
  <c r="W557"/>
  <c r="W314"/>
  <c r="AD648" i="9"/>
  <c r="AE648" s="1"/>
  <c r="AU454"/>
  <c r="AU530"/>
  <c r="AD454"/>
  <c r="AE454" s="1"/>
  <c r="W649"/>
  <c r="AD649" s="1"/>
  <c r="AE649" s="1"/>
  <c r="BB649"/>
  <c r="W455"/>
  <c r="AU455" s="1"/>
  <c r="BB455"/>
  <c r="W531"/>
  <c r="AU531" s="1"/>
  <c r="BB531"/>
  <c r="X76" i="19"/>
  <c r="Z76" s="1"/>
  <c r="AE211" i="9"/>
  <c r="P76" i="19" s="1"/>
  <c r="AD530" i="9"/>
  <c r="AE530" s="1"/>
  <c r="W359"/>
  <c r="AU358"/>
  <c r="AD358"/>
  <c r="AE358" s="1"/>
  <c r="Z358"/>
  <c r="AA358" s="1"/>
  <c r="BE360"/>
  <c r="BB360" s="1"/>
  <c r="BF361"/>
  <c r="BF456"/>
  <c r="BE456" s="1"/>
  <c r="BF532"/>
  <c r="BE532" s="1"/>
  <c r="BF650"/>
  <c r="BE650" s="1"/>
  <c r="K584" i="12"/>
  <c r="K276"/>
  <c r="I584"/>
  <c r="I276"/>
  <c r="E584"/>
  <c r="E276"/>
  <c r="Q584"/>
  <c r="Q276"/>
  <c r="Z584"/>
  <c r="Z276"/>
  <c r="D584"/>
  <c r="D276"/>
  <c r="G584"/>
  <c r="G276"/>
  <c r="T584"/>
  <c r="T276"/>
  <c r="V584"/>
  <c r="V276"/>
  <c r="M480" s="1"/>
  <c r="X584"/>
  <c r="X276"/>
  <c r="J584"/>
  <c r="J276"/>
  <c r="O584"/>
  <c r="O276"/>
  <c r="U584"/>
  <c r="U276"/>
  <c r="Y584"/>
  <c r="Y276"/>
  <c r="AA584"/>
  <c r="AA276"/>
  <c r="W584"/>
  <c r="W276"/>
  <c r="H584"/>
  <c r="H276"/>
  <c r="S584"/>
  <c r="S276"/>
  <c r="R584"/>
  <c r="R276"/>
  <c r="F584"/>
  <c r="F276"/>
  <c r="CQ479"/>
  <c r="D479"/>
  <c r="B479"/>
  <c r="N479"/>
  <c r="AC479"/>
  <c r="M583"/>
  <c r="N583"/>
  <c r="N313" i="20"/>
  <c r="H313"/>
  <c r="K313"/>
  <c r="J313"/>
  <c r="L313"/>
  <c r="M314"/>
  <c r="L583" i="12"/>
  <c r="P583"/>
  <c r="I313" i="20"/>
  <c r="F313"/>
  <c r="P276" i="12" l="1"/>
  <c r="L276"/>
  <c r="C480" s="1"/>
  <c r="N276"/>
  <c r="M276"/>
  <c r="AB480" s="1"/>
  <c r="T557" i="20"/>
  <c r="T314"/>
  <c r="E314"/>
  <c r="E557"/>
  <c r="V314"/>
  <c r="V557"/>
  <c r="L557"/>
  <c r="G314"/>
  <c r="G557"/>
  <c r="J557"/>
  <c r="R314"/>
  <c r="R557"/>
  <c r="K557"/>
  <c r="H557"/>
  <c r="N557"/>
  <c r="O557"/>
  <c r="O314"/>
  <c r="Q314"/>
  <c r="Q557"/>
  <c r="S557"/>
  <c r="S314"/>
  <c r="F557"/>
  <c r="I557"/>
  <c r="U314"/>
  <c r="U557"/>
  <c r="P557"/>
  <c r="P314"/>
  <c r="W558"/>
  <c r="W315"/>
  <c r="M558"/>
  <c r="D558"/>
  <c r="D315"/>
  <c r="AU649" i="9"/>
  <c r="AD455"/>
  <c r="AE455" s="1"/>
  <c r="Z455"/>
  <c r="AA455" s="1"/>
  <c r="Z531"/>
  <c r="AA531" s="1"/>
  <c r="AD531" s="1"/>
  <c r="AE531" s="1"/>
  <c r="W532"/>
  <c r="Z532" s="1"/>
  <c r="AA532" s="1"/>
  <c r="BB532"/>
  <c r="W650"/>
  <c r="AU650" s="1"/>
  <c r="BB650"/>
  <c r="W456"/>
  <c r="AD456" s="1"/>
  <c r="AE456" s="1"/>
  <c r="BB456"/>
  <c r="W360"/>
  <c r="AD359"/>
  <c r="AE359" s="1"/>
  <c r="AU359"/>
  <c r="Z359"/>
  <c r="AA359" s="1"/>
  <c r="BE361"/>
  <c r="BB361" s="1"/>
  <c r="BF362"/>
  <c r="BF457"/>
  <c r="BE457" s="1"/>
  <c r="BF651"/>
  <c r="BE651" s="1"/>
  <c r="BF533"/>
  <c r="BE533" s="1"/>
  <c r="F585" i="12"/>
  <c r="F277"/>
  <c r="R585"/>
  <c r="R277"/>
  <c r="S585"/>
  <c r="S277"/>
  <c r="H585"/>
  <c r="H277"/>
  <c r="W585"/>
  <c r="W277"/>
  <c r="AA585"/>
  <c r="AA277"/>
  <c r="Y585"/>
  <c r="Y277"/>
  <c r="U585"/>
  <c r="U277"/>
  <c r="O585"/>
  <c r="O277"/>
  <c r="J585"/>
  <c r="J277"/>
  <c r="X585"/>
  <c r="X277"/>
  <c r="V585"/>
  <c r="V277"/>
  <c r="M481" s="1"/>
  <c r="T585"/>
  <c r="T277"/>
  <c r="G585"/>
  <c r="G277"/>
  <c r="D585"/>
  <c r="D277"/>
  <c r="Z585"/>
  <c r="Z277"/>
  <c r="Q585"/>
  <c r="Q277"/>
  <c r="E585"/>
  <c r="E277"/>
  <c r="I585"/>
  <c r="I277"/>
  <c r="K585"/>
  <c r="K277"/>
  <c r="N480"/>
  <c r="B480"/>
  <c r="D480"/>
  <c r="CQ480"/>
  <c r="AC480"/>
  <c r="N584"/>
  <c r="M584"/>
  <c r="L314" i="20"/>
  <c r="J314"/>
  <c r="K314"/>
  <c r="H314"/>
  <c r="N314"/>
  <c r="I314"/>
  <c r="M315"/>
  <c r="P584" i="12"/>
  <c r="L584"/>
  <c r="F314" i="20"/>
  <c r="L277" i="12" l="1"/>
  <c r="C481" s="1"/>
  <c r="P277"/>
  <c r="M277"/>
  <c r="AC481" s="1"/>
  <c r="N277"/>
  <c r="P315" i="20"/>
  <c r="P558"/>
  <c r="I558"/>
  <c r="S558"/>
  <c r="S315"/>
  <c r="O315"/>
  <c r="O558"/>
  <c r="N558"/>
  <c r="H558"/>
  <c r="K558"/>
  <c r="J558"/>
  <c r="L558"/>
  <c r="T315"/>
  <c r="T558"/>
  <c r="U315"/>
  <c r="U558"/>
  <c r="F558"/>
  <c r="Q315"/>
  <c r="Q558"/>
  <c r="R315"/>
  <c r="R558"/>
  <c r="G315"/>
  <c r="G558"/>
  <c r="V315"/>
  <c r="V558"/>
  <c r="E315"/>
  <c r="E558"/>
  <c r="D316"/>
  <c r="D559"/>
  <c r="M559"/>
  <c r="W559"/>
  <c r="W316"/>
  <c r="AD532" i="9"/>
  <c r="AE532" s="1"/>
  <c r="AU532"/>
  <c r="AU456"/>
  <c r="AD650"/>
  <c r="AE650" s="1"/>
  <c r="W457"/>
  <c r="AU457" s="1"/>
  <c r="BB457"/>
  <c r="W533"/>
  <c r="Z533" s="1"/>
  <c r="AA533" s="1"/>
  <c r="BB533"/>
  <c r="W651"/>
  <c r="O142" i="36" s="1"/>
  <c r="L142" s="1"/>
  <c r="BB651" i="9"/>
  <c r="Z456"/>
  <c r="AA456" s="1"/>
  <c r="W361"/>
  <c r="AU360"/>
  <c r="AD360"/>
  <c r="AE360" s="1"/>
  <c r="Z360"/>
  <c r="AA360" s="1"/>
  <c r="BE362"/>
  <c r="BB362" s="1"/>
  <c r="BF363"/>
  <c r="BF458"/>
  <c r="BE458" s="1"/>
  <c r="BF534"/>
  <c r="BE534" s="1"/>
  <c r="BF652"/>
  <c r="BE652" s="1"/>
  <c r="K586" i="12"/>
  <c r="K278"/>
  <c r="I586"/>
  <c r="I278"/>
  <c r="E586"/>
  <c r="E278"/>
  <c r="Q586"/>
  <c r="Q278"/>
  <c r="Z586"/>
  <c r="Z278"/>
  <c r="D586"/>
  <c r="D278"/>
  <c r="G586"/>
  <c r="G278"/>
  <c r="T586"/>
  <c r="T278"/>
  <c r="V586"/>
  <c r="V278"/>
  <c r="M482" s="1"/>
  <c r="X586"/>
  <c r="X278"/>
  <c r="J586"/>
  <c r="J278"/>
  <c r="O586"/>
  <c r="O278"/>
  <c r="U586"/>
  <c r="U278"/>
  <c r="Y586"/>
  <c r="Y278"/>
  <c r="AA586"/>
  <c r="AA278"/>
  <c r="W586"/>
  <c r="W278"/>
  <c r="H586"/>
  <c r="H278"/>
  <c r="S586"/>
  <c r="S278"/>
  <c r="R586"/>
  <c r="R278"/>
  <c r="F586"/>
  <c r="F278"/>
  <c r="CQ481"/>
  <c r="D481"/>
  <c r="B481"/>
  <c r="N481"/>
  <c r="AB481"/>
  <c r="L585"/>
  <c r="P585"/>
  <c r="M585"/>
  <c r="N585"/>
  <c r="N315" i="20"/>
  <c r="H315"/>
  <c r="K315"/>
  <c r="J315"/>
  <c r="L315"/>
  <c r="F315"/>
  <c r="M316"/>
  <c r="I315"/>
  <c r="N278" i="12" l="1"/>
  <c r="M278"/>
  <c r="P278"/>
  <c r="L278"/>
  <c r="C482" s="1"/>
  <c r="F559" i="20"/>
  <c r="L559"/>
  <c r="J559"/>
  <c r="K559"/>
  <c r="H559"/>
  <c r="N559"/>
  <c r="S559"/>
  <c r="S316"/>
  <c r="E559"/>
  <c r="E316"/>
  <c r="V316"/>
  <c r="V559"/>
  <c r="G316"/>
  <c r="G559"/>
  <c r="R559"/>
  <c r="R316"/>
  <c r="Q316"/>
  <c r="Q559"/>
  <c r="U559"/>
  <c r="U316"/>
  <c r="T316"/>
  <c r="T559"/>
  <c r="O559"/>
  <c r="O316"/>
  <c r="I559"/>
  <c r="P559"/>
  <c r="P316"/>
  <c r="W317"/>
  <c r="W560"/>
  <c r="M560"/>
  <c r="D317"/>
  <c r="D560"/>
  <c r="Z457" i="9"/>
  <c r="AA457" s="1"/>
  <c r="Z651"/>
  <c r="AA651" s="1"/>
  <c r="T142" i="36" s="1"/>
  <c r="AU533" i="9"/>
  <c r="AU651"/>
  <c r="W652"/>
  <c r="AU652" s="1"/>
  <c r="BB652"/>
  <c r="W458"/>
  <c r="Z458" s="1"/>
  <c r="AA458" s="1"/>
  <c r="BB458"/>
  <c r="W534"/>
  <c r="Z534" s="1"/>
  <c r="AA534" s="1"/>
  <c r="BB534"/>
  <c r="AD457"/>
  <c r="AE457" s="1"/>
  <c r="AD651"/>
  <c r="AE651" s="1"/>
  <c r="O151" i="36"/>
  <c r="L151" s="1"/>
  <c r="V142"/>
  <c r="X142" s="1"/>
  <c r="AD533" i="9"/>
  <c r="AE533" s="1"/>
  <c r="AD361"/>
  <c r="AE361" s="1"/>
  <c r="AU361"/>
  <c r="Z361"/>
  <c r="AA361" s="1"/>
  <c r="BE363"/>
  <c r="BB363" s="1"/>
  <c r="BF364"/>
  <c r="BF459"/>
  <c r="BE459" s="1"/>
  <c r="BF653"/>
  <c r="BE653" s="1"/>
  <c r="BF535"/>
  <c r="BE535" s="1"/>
  <c r="F587" i="12"/>
  <c r="F279"/>
  <c r="R587"/>
  <c r="R279"/>
  <c r="S587"/>
  <c r="S279"/>
  <c r="H587"/>
  <c r="H279"/>
  <c r="W587"/>
  <c r="W279"/>
  <c r="AA587"/>
  <c r="AA279"/>
  <c r="Y587"/>
  <c r="Y279"/>
  <c r="U587"/>
  <c r="U279"/>
  <c r="O587"/>
  <c r="O279"/>
  <c r="J587"/>
  <c r="J279"/>
  <c r="X587"/>
  <c r="X279"/>
  <c r="V587"/>
  <c r="V279"/>
  <c r="M483" s="1"/>
  <c r="T587"/>
  <c r="T279"/>
  <c r="G587"/>
  <c r="G279"/>
  <c r="D587"/>
  <c r="D279"/>
  <c r="Z587"/>
  <c r="Z279"/>
  <c r="Q587"/>
  <c r="Q279"/>
  <c r="E587"/>
  <c r="E279"/>
  <c r="I587"/>
  <c r="I279"/>
  <c r="K587"/>
  <c r="K279"/>
  <c r="N482"/>
  <c r="B482"/>
  <c r="D482"/>
  <c r="CQ482"/>
  <c r="AB482"/>
  <c r="AC482"/>
  <c r="N586"/>
  <c r="P586"/>
  <c r="L586"/>
  <c r="F316" i="20"/>
  <c r="L316"/>
  <c r="J316"/>
  <c r="H316"/>
  <c r="N316"/>
  <c r="M586" i="12"/>
  <c r="K316" i="20"/>
  <c r="I316"/>
  <c r="M317"/>
  <c r="M279" i="12" l="1"/>
  <c r="AC483" s="1"/>
  <c r="L279"/>
  <c r="C483" s="1"/>
  <c r="P279"/>
  <c r="N279"/>
  <c r="P317" i="20"/>
  <c r="P560"/>
  <c r="O560"/>
  <c r="O317"/>
  <c r="U317"/>
  <c r="U560"/>
  <c r="R317"/>
  <c r="R560"/>
  <c r="E560"/>
  <c r="E317"/>
  <c r="S560"/>
  <c r="S317"/>
  <c r="N560"/>
  <c r="N317"/>
  <c r="H560"/>
  <c r="J560"/>
  <c r="L560"/>
  <c r="F560"/>
  <c r="I560"/>
  <c r="T560"/>
  <c r="T317"/>
  <c r="Q560"/>
  <c r="Q317"/>
  <c r="G317"/>
  <c r="G560"/>
  <c r="V317"/>
  <c r="V560"/>
  <c r="K560"/>
  <c r="M561"/>
  <c r="D318"/>
  <c r="D561"/>
  <c r="W318"/>
  <c r="W561"/>
  <c r="AD458" i="9"/>
  <c r="AE458" s="1"/>
  <c r="AU458"/>
  <c r="AU534"/>
  <c r="AD652"/>
  <c r="AE652" s="1"/>
  <c r="W535"/>
  <c r="AU535" s="1"/>
  <c r="BB535"/>
  <c r="W459"/>
  <c r="AD459" s="1"/>
  <c r="AE459" s="1"/>
  <c r="BB459"/>
  <c r="W653"/>
  <c r="O152" i="36" s="1"/>
  <c r="L152" s="1"/>
  <c r="BB653" i="9"/>
  <c r="Z652"/>
  <c r="AA652" s="1"/>
  <c r="T151" i="36" s="1"/>
  <c r="V151" s="1"/>
  <c r="X151" s="1"/>
  <c r="AD534" i="9"/>
  <c r="AE534" s="1"/>
  <c r="W363"/>
  <c r="BE364"/>
  <c r="BB364" s="1"/>
  <c r="BF365"/>
  <c r="BF460"/>
  <c r="BE460" s="1"/>
  <c r="BF536"/>
  <c r="BE536" s="1"/>
  <c r="BF654"/>
  <c r="BE654" s="1"/>
  <c r="K588" i="12"/>
  <c r="K280"/>
  <c r="I588"/>
  <c r="I280"/>
  <c r="E588"/>
  <c r="E280"/>
  <c r="Q588"/>
  <c r="Q280"/>
  <c r="Z588"/>
  <c r="Z280"/>
  <c r="D588"/>
  <c r="D280"/>
  <c r="G588"/>
  <c r="G280"/>
  <c r="T588"/>
  <c r="T280"/>
  <c r="V588"/>
  <c r="V280"/>
  <c r="M484" s="1"/>
  <c r="X588"/>
  <c r="X280"/>
  <c r="J588"/>
  <c r="J280"/>
  <c r="O588"/>
  <c r="O280"/>
  <c r="U588"/>
  <c r="U280"/>
  <c r="Y588"/>
  <c r="Y280"/>
  <c r="AA588"/>
  <c r="AA280"/>
  <c r="W588"/>
  <c r="W280"/>
  <c r="H588"/>
  <c r="H280"/>
  <c r="S588"/>
  <c r="S280"/>
  <c r="R588"/>
  <c r="R280"/>
  <c r="F588"/>
  <c r="F280"/>
  <c r="CQ483"/>
  <c r="D483"/>
  <c r="B483"/>
  <c r="N483"/>
  <c r="L587"/>
  <c r="P587"/>
  <c r="L317" i="20"/>
  <c r="F317"/>
  <c r="I317"/>
  <c r="K317"/>
  <c r="M587" i="12"/>
  <c r="N587"/>
  <c r="H317" i="20"/>
  <c r="J317"/>
  <c r="M318"/>
  <c r="AB483" i="12" l="1"/>
  <c r="N280"/>
  <c r="M280"/>
  <c r="AC484" s="1"/>
  <c r="P280"/>
  <c r="L280"/>
  <c r="C484" s="1"/>
  <c r="K561" i="20"/>
  <c r="Q561"/>
  <c r="Q318"/>
  <c r="T318"/>
  <c r="T561"/>
  <c r="I561"/>
  <c r="F561"/>
  <c r="L561"/>
  <c r="N318"/>
  <c r="N561"/>
  <c r="S318"/>
  <c r="S561"/>
  <c r="E561"/>
  <c r="E318"/>
  <c r="O561"/>
  <c r="O318"/>
  <c r="V318"/>
  <c r="V561"/>
  <c r="G561"/>
  <c r="G318"/>
  <c r="J561"/>
  <c r="H561"/>
  <c r="R318"/>
  <c r="R561"/>
  <c r="U561"/>
  <c r="U318"/>
  <c r="P561"/>
  <c r="P318"/>
  <c r="W562"/>
  <c r="W319"/>
  <c r="D562"/>
  <c r="D319"/>
  <c r="M562"/>
  <c r="Z653" i="9"/>
  <c r="AA653" s="1"/>
  <c r="T152" i="36" s="1"/>
  <c r="V152" s="1"/>
  <c r="X152" s="1"/>
  <c r="AU653" i="9"/>
  <c r="AU459"/>
  <c r="Z535"/>
  <c r="AA535" s="1"/>
  <c r="AD535" s="1"/>
  <c r="AE535" s="1"/>
  <c r="W654"/>
  <c r="AU654" s="1"/>
  <c r="BB654"/>
  <c r="W536"/>
  <c r="Z536" s="1"/>
  <c r="AA536" s="1"/>
  <c r="BB536"/>
  <c r="W460"/>
  <c r="AD460" s="1"/>
  <c r="AE460" s="1"/>
  <c r="BB460"/>
  <c r="Z459"/>
  <c r="AA459" s="1"/>
  <c r="AD653"/>
  <c r="AE653" s="1"/>
  <c r="O153" i="36"/>
  <c r="L153" s="1"/>
  <c r="W364" i="9"/>
  <c r="AU363"/>
  <c r="Z363"/>
  <c r="AA363" s="1"/>
  <c r="AD363"/>
  <c r="AE363" s="1"/>
  <c r="BE365"/>
  <c r="BB365" s="1"/>
  <c r="BF366"/>
  <c r="BF461"/>
  <c r="BE461" s="1"/>
  <c r="BF655"/>
  <c r="BE655" s="1"/>
  <c r="BF537"/>
  <c r="BE537" s="1"/>
  <c r="F589" i="12"/>
  <c r="F281"/>
  <c r="R589"/>
  <c r="R281"/>
  <c r="S589"/>
  <c r="S281"/>
  <c r="H589"/>
  <c r="H281"/>
  <c r="W589"/>
  <c r="W281"/>
  <c r="AA589"/>
  <c r="AA281"/>
  <c r="Y589"/>
  <c r="Y281"/>
  <c r="U589"/>
  <c r="U281"/>
  <c r="O589"/>
  <c r="O281"/>
  <c r="J589"/>
  <c r="J281"/>
  <c r="X589"/>
  <c r="X281"/>
  <c r="V589"/>
  <c r="V281"/>
  <c r="M485" s="1"/>
  <c r="T589"/>
  <c r="T281"/>
  <c r="G589"/>
  <c r="G281"/>
  <c r="D589"/>
  <c r="D281"/>
  <c r="Z589"/>
  <c r="Z281"/>
  <c r="Q589"/>
  <c r="Q281"/>
  <c r="E589"/>
  <c r="E281"/>
  <c r="I589"/>
  <c r="I281"/>
  <c r="K589"/>
  <c r="K281"/>
  <c r="N484"/>
  <c r="B484"/>
  <c r="D484"/>
  <c r="CQ484"/>
  <c r="AB484"/>
  <c r="P588"/>
  <c r="L588"/>
  <c r="K318" i="20"/>
  <c r="F318"/>
  <c r="L318"/>
  <c r="J318"/>
  <c r="H318"/>
  <c r="M319"/>
  <c r="N588" i="12"/>
  <c r="M588"/>
  <c r="I318" i="20"/>
  <c r="M281" i="12" l="1"/>
  <c r="AB485" s="1"/>
  <c r="N281"/>
  <c r="L281"/>
  <c r="C485" s="1"/>
  <c r="P281"/>
  <c r="P319" i="20"/>
  <c r="P562"/>
  <c r="U319"/>
  <c r="U562"/>
  <c r="H562"/>
  <c r="J562"/>
  <c r="G562"/>
  <c r="G319"/>
  <c r="O319"/>
  <c r="O562"/>
  <c r="E319"/>
  <c r="E562"/>
  <c r="L562"/>
  <c r="F562"/>
  <c r="Q319"/>
  <c r="Q562"/>
  <c r="K562"/>
  <c r="R562"/>
  <c r="R319"/>
  <c r="V562"/>
  <c r="V319"/>
  <c r="S319"/>
  <c r="S562"/>
  <c r="N319"/>
  <c r="N562"/>
  <c r="I562"/>
  <c r="T319"/>
  <c r="T562"/>
  <c r="M563"/>
  <c r="D563"/>
  <c r="D320"/>
  <c r="W320"/>
  <c r="W563"/>
  <c r="AU460" i="9"/>
  <c r="AU536"/>
  <c r="AD654"/>
  <c r="AE654" s="1"/>
  <c r="W537"/>
  <c r="Z537" s="1"/>
  <c r="AA537" s="1"/>
  <c r="BB537"/>
  <c r="W461"/>
  <c r="Z461" s="1"/>
  <c r="AA461" s="1"/>
  <c r="BB461"/>
  <c r="W655"/>
  <c r="AU655" s="1"/>
  <c r="BB655"/>
  <c r="Z460"/>
  <c r="AA460" s="1"/>
  <c r="Z654"/>
  <c r="AA654" s="1"/>
  <c r="T153" i="36" s="1"/>
  <c r="O154"/>
  <c r="L154" s="1"/>
  <c r="V153"/>
  <c r="X153" s="1"/>
  <c r="AD536" i="9"/>
  <c r="AE536" s="1"/>
  <c r="W365"/>
  <c r="AU364"/>
  <c r="Z364"/>
  <c r="AA364" s="1"/>
  <c r="AD364"/>
  <c r="AE364" s="1"/>
  <c r="BE366"/>
  <c r="BB366" s="1"/>
  <c r="BF367"/>
  <c r="BF462"/>
  <c r="BE462" s="1"/>
  <c r="BF538"/>
  <c r="BE538" s="1"/>
  <c r="BF656"/>
  <c r="BE656" s="1"/>
  <c r="K590" i="12"/>
  <c r="K282"/>
  <c r="I590"/>
  <c r="I282"/>
  <c r="E590"/>
  <c r="E282"/>
  <c r="Q590"/>
  <c r="Q282"/>
  <c r="Z590"/>
  <c r="Z282"/>
  <c r="D590"/>
  <c r="D282"/>
  <c r="G590"/>
  <c r="G282"/>
  <c r="T590"/>
  <c r="T282"/>
  <c r="V590"/>
  <c r="V282"/>
  <c r="M486" s="1"/>
  <c r="X590"/>
  <c r="X282"/>
  <c r="J590"/>
  <c r="J282"/>
  <c r="O590"/>
  <c r="O282"/>
  <c r="U590"/>
  <c r="U282"/>
  <c r="Y590"/>
  <c r="Y282"/>
  <c r="AA590"/>
  <c r="AA282"/>
  <c r="W590"/>
  <c r="W282"/>
  <c r="H590"/>
  <c r="H282"/>
  <c r="S590"/>
  <c r="S282"/>
  <c r="R590"/>
  <c r="R282"/>
  <c r="F590"/>
  <c r="F282"/>
  <c r="D485"/>
  <c r="CQ485"/>
  <c r="B485"/>
  <c r="N485"/>
  <c r="AC485"/>
  <c r="M589"/>
  <c r="N589"/>
  <c r="L589"/>
  <c r="H319" i="20"/>
  <c r="J319"/>
  <c r="L319"/>
  <c r="F319"/>
  <c r="K319"/>
  <c r="P589" i="12"/>
  <c r="I319" i="20"/>
  <c r="M320"/>
  <c r="P282" i="12" l="1"/>
  <c r="L282"/>
  <c r="C486" s="1"/>
  <c r="N282"/>
  <c r="M282"/>
  <c r="AC486" s="1"/>
  <c r="V320" i="20"/>
  <c r="V563"/>
  <c r="R320"/>
  <c r="R563"/>
  <c r="K563"/>
  <c r="F563"/>
  <c r="L563"/>
  <c r="G320"/>
  <c r="G563"/>
  <c r="J563"/>
  <c r="H563"/>
  <c r="T320"/>
  <c r="T563"/>
  <c r="I563"/>
  <c r="N320"/>
  <c r="N563"/>
  <c r="S320"/>
  <c r="S563"/>
  <c r="Q320"/>
  <c r="Q563"/>
  <c r="E563"/>
  <c r="E320"/>
  <c r="O563"/>
  <c r="O320"/>
  <c r="U563"/>
  <c r="U320"/>
  <c r="P563"/>
  <c r="P320"/>
  <c r="D564"/>
  <c r="D321"/>
  <c r="M564"/>
  <c r="W321"/>
  <c r="W564"/>
  <c r="AD461" i="9"/>
  <c r="AE461" s="1"/>
  <c r="AU461"/>
  <c r="AU537"/>
  <c r="AD655"/>
  <c r="AE655" s="1"/>
  <c r="W538"/>
  <c r="AU538" s="1"/>
  <c r="BB538"/>
  <c r="W656"/>
  <c r="AU656" s="1"/>
  <c r="BB656"/>
  <c r="W462"/>
  <c r="AU462" s="1"/>
  <c r="BB462"/>
  <c r="Z655"/>
  <c r="AA655" s="1"/>
  <c r="B663" s="1"/>
  <c r="AD537"/>
  <c r="AE537" s="1"/>
  <c r="W366"/>
  <c r="AD365"/>
  <c r="AE365" s="1"/>
  <c r="AU365"/>
  <c r="Z365"/>
  <c r="AA365" s="1"/>
  <c r="BE367"/>
  <c r="BB367" s="1"/>
  <c r="BF368"/>
  <c r="BF463"/>
  <c r="BE463" s="1"/>
  <c r="BF657"/>
  <c r="BE657" s="1"/>
  <c r="BF539"/>
  <c r="BE539" s="1"/>
  <c r="F591" i="12"/>
  <c r="F283"/>
  <c r="R591"/>
  <c r="R283"/>
  <c r="S591"/>
  <c r="S283"/>
  <c r="H591"/>
  <c r="H283"/>
  <c r="W591"/>
  <c r="W283"/>
  <c r="AA591"/>
  <c r="AA283"/>
  <c r="Y591"/>
  <c r="Y283"/>
  <c r="U591"/>
  <c r="U283"/>
  <c r="O591"/>
  <c r="O283"/>
  <c r="J591"/>
  <c r="J283"/>
  <c r="X591"/>
  <c r="X283"/>
  <c r="V591"/>
  <c r="V283"/>
  <c r="M487" s="1"/>
  <c r="T591"/>
  <c r="T283"/>
  <c r="G591"/>
  <c r="G283"/>
  <c r="D591"/>
  <c r="D283"/>
  <c r="Z591"/>
  <c r="Z283"/>
  <c r="Q591"/>
  <c r="Q283"/>
  <c r="E591"/>
  <c r="E283"/>
  <c r="I591"/>
  <c r="I283"/>
  <c r="K591"/>
  <c r="K283"/>
  <c r="N486"/>
  <c r="B486"/>
  <c r="CQ486"/>
  <c r="D486"/>
  <c r="AB486"/>
  <c r="P590"/>
  <c r="L590"/>
  <c r="N590"/>
  <c r="M590"/>
  <c r="K320" i="20"/>
  <c r="F320"/>
  <c r="L320"/>
  <c r="J320"/>
  <c r="H320"/>
  <c r="M321"/>
  <c r="I320"/>
  <c r="M283" i="12" l="1"/>
  <c r="AB487" s="1"/>
  <c r="N283"/>
  <c r="L283"/>
  <c r="C487" s="1"/>
  <c r="P283"/>
  <c r="P564" i="20"/>
  <c r="P321"/>
  <c r="U564"/>
  <c r="U321"/>
  <c r="O321"/>
  <c r="O564"/>
  <c r="E321"/>
  <c r="E564"/>
  <c r="H564"/>
  <c r="J564"/>
  <c r="L564"/>
  <c r="F564"/>
  <c r="K564"/>
  <c r="Q564"/>
  <c r="Q321"/>
  <c r="S564"/>
  <c r="S321"/>
  <c r="N564"/>
  <c r="N321"/>
  <c r="I564"/>
  <c r="T564"/>
  <c r="T321"/>
  <c r="G564"/>
  <c r="G321"/>
  <c r="R564"/>
  <c r="R321"/>
  <c r="V564"/>
  <c r="V321"/>
  <c r="D565"/>
  <c r="D322"/>
  <c r="W322"/>
  <c r="W565"/>
  <c r="M565"/>
  <c r="T154" i="36"/>
  <c r="V154" s="1"/>
  <c r="X154" s="1"/>
  <c r="Z656" i="9"/>
  <c r="AA656" s="1"/>
  <c r="Z462"/>
  <c r="AA462" s="1"/>
  <c r="Z538"/>
  <c r="AA538" s="1"/>
  <c r="AD538" s="1"/>
  <c r="AE538" s="1"/>
  <c r="W539"/>
  <c r="AU539" s="1"/>
  <c r="BB539"/>
  <c r="W463"/>
  <c r="AU463" s="1"/>
  <c r="BB463"/>
  <c r="W657"/>
  <c r="AU657" s="1"/>
  <c r="BB657"/>
  <c r="AD462"/>
  <c r="AE462" s="1"/>
  <c r="AD656"/>
  <c r="AE656" s="1"/>
  <c r="W367"/>
  <c r="AD366"/>
  <c r="AE366" s="1"/>
  <c r="AU366"/>
  <c r="Z366"/>
  <c r="AA366" s="1"/>
  <c r="BE368"/>
  <c r="BB368" s="1"/>
  <c r="BF369"/>
  <c r="BF464"/>
  <c r="BE464" s="1"/>
  <c r="BF540"/>
  <c r="BE540" s="1"/>
  <c r="BF658"/>
  <c r="BE658" s="1"/>
  <c r="K592" i="12"/>
  <c r="K284"/>
  <c r="I592"/>
  <c r="I284"/>
  <c r="E592"/>
  <c r="E284"/>
  <c r="Q592"/>
  <c r="Q284"/>
  <c r="Z592"/>
  <c r="Z284"/>
  <c r="D592"/>
  <c r="D284"/>
  <c r="G592"/>
  <c r="G284"/>
  <c r="T592"/>
  <c r="T284"/>
  <c r="V592"/>
  <c r="V284"/>
  <c r="M488" s="1"/>
  <c r="X592"/>
  <c r="X284"/>
  <c r="J592"/>
  <c r="J284"/>
  <c r="O592"/>
  <c r="O284"/>
  <c r="U592"/>
  <c r="U284"/>
  <c r="Y592"/>
  <c r="Y284"/>
  <c r="AA592"/>
  <c r="AA284"/>
  <c r="W592"/>
  <c r="W284"/>
  <c r="H592"/>
  <c r="H284"/>
  <c r="S592"/>
  <c r="S284"/>
  <c r="R592"/>
  <c r="R284"/>
  <c r="F592"/>
  <c r="F284"/>
  <c r="CQ487"/>
  <c r="D487"/>
  <c r="B487"/>
  <c r="N487"/>
  <c r="AC487"/>
  <c r="M591"/>
  <c r="L591"/>
  <c r="P591"/>
  <c r="J321" i="20"/>
  <c r="L321"/>
  <c r="F321"/>
  <c r="I321"/>
  <c r="N591" i="12"/>
  <c r="H321" i="20"/>
  <c r="K321"/>
  <c r="M322"/>
  <c r="N284" i="12" l="1"/>
  <c r="P284"/>
  <c r="L284"/>
  <c r="C488" s="1"/>
  <c r="M284"/>
  <c r="AC488" s="1"/>
  <c r="V565" i="20"/>
  <c r="V322"/>
  <c r="R565"/>
  <c r="R322"/>
  <c r="G565"/>
  <c r="G322"/>
  <c r="T565"/>
  <c r="T322"/>
  <c r="I565"/>
  <c r="N565"/>
  <c r="N322"/>
  <c r="S565"/>
  <c r="S322"/>
  <c r="Q565"/>
  <c r="Q322"/>
  <c r="F565"/>
  <c r="L565"/>
  <c r="J565"/>
  <c r="U322"/>
  <c r="U565"/>
  <c r="P565"/>
  <c r="P322"/>
  <c r="K565"/>
  <c r="H565"/>
  <c r="E322"/>
  <c r="E565"/>
  <c r="O322"/>
  <c r="O565"/>
  <c r="M566"/>
  <c r="D566"/>
  <c r="D323"/>
  <c r="W323"/>
  <c r="W566"/>
  <c r="Z463" i="9"/>
  <c r="AA463" s="1"/>
  <c r="Z539"/>
  <c r="AA539" s="1"/>
  <c r="AD539" s="1"/>
  <c r="AE539" s="1"/>
  <c r="AD463"/>
  <c r="AE463" s="1"/>
  <c r="Z657"/>
  <c r="AA657" s="1"/>
  <c r="W658"/>
  <c r="AD658" s="1"/>
  <c r="AE658" s="1"/>
  <c r="BB658"/>
  <c r="W540"/>
  <c r="AU540" s="1"/>
  <c r="BB540"/>
  <c r="W464"/>
  <c r="AU464" s="1"/>
  <c r="BB464"/>
  <c r="AD657"/>
  <c r="AE657" s="1"/>
  <c r="W368"/>
  <c r="AU367"/>
  <c r="Z367"/>
  <c r="AA367" s="1"/>
  <c r="AD367" s="1"/>
  <c r="AE367" s="1"/>
  <c r="BE369"/>
  <c r="BB369" s="1"/>
  <c r="BF370"/>
  <c r="BF465"/>
  <c r="BE465" s="1"/>
  <c r="BF659"/>
  <c r="BE659" s="1"/>
  <c r="BF541"/>
  <c r="BE541" s="1"/>
  <c r="F593" i="12"/>
  <c r="F285"/>
  <c r="R593"/>
  <c r="R285"/>
  <c r="S593"/>
  <c r="S285"/>
  <c r="H593"/>
  <c r="H285"/>
  <c r="W593"/>
  <c r="W285"/>
  <c r="AA593"/>
  <c r="AA285"/>
  <c r="Y593"/>
  <c r="Y285"/>
  <c r="U593"/>
  <c r="U285"/>
  <c r="O593"/>
  <c r="O285"/>
  <c r="J593"/>
  <c r="J285"/>
  <c r="X593"/>
  <c r="X285"/>
  <c r="V593"/>
  <c r="V285"/>
  <c r="M489" s="1"/>
  <c r="T593"/>
  <c r="T285"/>
  <c r="G593"/>
  <c r="G285"/>
  <c r="D593"/>
  <c r="D285"/>
  <c r="Z593"/>
  <c r="Z285"/>
  <c r="Q593"/>
  <c r="Q285"/>
  <c r="E593"/>
  <c r="E285"/>
  <c r="I593"/>
  <c r="I285"/>
  <c r="K593"/>
  <c r="K285"/>
  <c r="N488"/>
  <c r="B488"/>
  <c r="CQ488"/>
  <c r="D488"/>
  <c r="AB488"/>
  <c r="N592"/>
  <c r="M592"/>
  <c r="F322" i="20"/>
  <c r="L322"/>
  <c r="J322"/>
  <c r="K322"/>
  <c r="H322"/>
  <c r="P592" i="12"/>
  <c r="L592"/>
  <c r="I322" i="20"/>
  <c r="M323"/>
  <c r="L285" i="12" l="1"/>
  <c r="C489" s="1"/>
  <c r="P285"/>
  <c r="M285"/>
  <c r="AC489" s="1"/>
  <c r="N285"/>
  <c r="H566" i="20"/>
  <c r="K566"/>
  <c r="P566"/>
  <c r="P323"/>
  <c r="J566"/>
  <c r="L566"/>
  <c r="F566"/>
  <c r="Q566"/>
  <c r="Q323"/>
  <c r="S323"/>
  <c r="S566"/>
  <c r="N566"/>
  <c r="N323"/>
  <c r="T566"/>
  <c r="T323"/>
  <c r="G566"/>
  <c r="G323"/>
  <c r="R566"/>
  <c r="R323"/>
  <c r="V566"/>
  <c r="V323"/>
  <c r="O323"/>
  <c r="O566"/>
  <c r="E323"/>
  <c r="E566"/>
  <c r="U566"/>
  <c r="U323"/>
  <c r="I566"/>
  <c r="D567"/>
  <c r="D324"/>
  <c r="M567"/>
  <c r="W567"/>
  <c r="W324"/>
  <c r="Z464" i="9"/>
  <c r="AA464" s="1"/>
  <c r="Z540"/>
  <c r="AA540" s="1"/>
  <c r="AD464"/>
  <c r="AE464" s="1"/>
  <c r="AU658"/>
  <c r="W659"/>
  <c r="AD659" s="1"/>
  <c r="AE659" s="1"/>
  <c r="BB659"/>
  <c r="W541"/>
  <c r="AU541" s="1"/>
  <c r="BB541"/>
  <c r="W465"/>
  <c r="AU465" s="1"/>
  <c r="BB465"/>
  <c r="Z658"/>
  <c r="AA658" s="1"/>
  <c r="AD540"/>
  <c r="AE540" s="1"/>
  <c r="Z465"/>
  <c r="AA465" s="1"/>
  <c r="W369"/>
  <c r="AD368"/>
  <c r="AE368" s="1"/>
  <c r="AU368"/>
  <c r="Z368"/>
  <c r="AA368" s="1"/>
  <c r="BE370"/>
  <c r="BB370" s="1"/>
  <c r="BF371"/>
  <c r="BF466"/>
  <c r="BE466" s="1"/>
  <c r="BF542"/>
  <c r="BE542" s="1"/>
  <c r="BF660"/>
  <c r="BE660" s="1"/>
  <c r="K594" i="12"/>
  <c r="K286"/>
  <c r="I594"/>
  <c r="I286"/>
  <c r="E594"/>
  <c r="E286"/>
  <c r="Q594"/>
  <c r="Q286"/>
  <c r="Z594"/>
  <c r="Z286"/>
  <c r="D594"/>
  <c r="D286"/>
  <c r="G594"/>
  <c r="G286"/>
  <c r="T594"/>
  <c r="T286"/>
  <c r="V594"/>
  <c r="V286"/>
  <c r="M490" s="1"/>
  <c r="X594"/>
  <c r="X286"/>
  <c r="J594"/>
  <c r="J286"/>
  <c r="O594"/>
  <c r="O286"/>
  <c r="U594"/>
  <c r="U286"/>
  <c r="Y594"/>
  <c r="Y286"/>
  <c r="AA594"/>
  <c r="AA286"/>
  <c r="W594"/>
  <c r="W286"/>
  <c r="H594"/>
  <c r="H286"/>
  <c r="S594"/>
  <c r="S286"/>
  <c r="R594"/>
  <c r="R286"/>
  <c r="F594"/>
  <c r="F286"/>
  <c r="CQ489"/>
  <c r="D489"/>
  <c r="B489"/>
  <c r="N489"/>
  <c r="L593"/>
  <c r="P593"/>
  <c r="N593"/>
  <c r="H323" i="20"/>
  <c r="J323"/>
  <c r="L323"/>
  <c r="F323"/>
  <c r="I323"/>
  <c r="M593" i="12"/>
  <c r="K323" i="20"/>
  <c r="M324"/>
  <c r="AB489" i="12" l="1"/>
  <c r="M286"/>
  <c r="AC490" s="1"/>
  <c r="N286"/>
  <c r="P286"/>
  <c r="L286"/>
  <c r="C490" s="1"/>
  <c r="I567" i="20"/>
  <c r="U324"/>
  <c r="U567"/>
  <c r="V567"/>
  <c r="V324"/>
  <c r="R567"/>
  <c r="R324"/>
  <c r="G567"/>
  <c r="G324"/>
  <c r="T567"/>
  <c r="T324"/>
  <c r="N567"/>
  <c r="N324"/>
  <c r="Q567"/>
  <c r="Q324"/>
  <c r="F567"/>
  <c r="L567"/>
  <c r="J567"/>
  <c r="P567"/>
  <c r="P324"/>
  <c r="H567"/>
  <c r="E324"/>
  <c r="E567"/>
  <c r="O324"/>
  <c r="O567"/>
  <c r="S567"/>
  <c r="S324"/>
  <c r="K567"/>
  <c r="W568"/>
  <c r="W325"/>
  <c r="M568"/>
  <c r="D568"/>
  <c r="D325"/>
  <c r="Z541" i="9"/>
  <c r="AA541" s="1"/>
  <c r="AD541" s="1"/>
  <c r="AE541" s="1"/>
  <c r="AU659"/>
  <c r="W660"/>
  <c r="Z660" s="1"/>
  <c r="AA660" s="1"/>
  <c r="BB660"/>
  <c r="W466"/>
  <c r="Z466" s="1"/>
  <c r="AA466" s="1"/>
  <c r="BB466"/>
  <c r="W542"/>
  <c r="Z542" s="1"/>
  <c r="AA542" s="1"/>
  <c r="BB542"/>
  <c r="AD465"/>
  <c r="AE465" s="1"/>
  <c r="Z659"/>
  <c r="AA659" s="1"/>
  <c r="AU660"/>
  <c r="W370"/>
  <c r="AD369"/>
  <c r="AE369" s="1"/>
  <c r="AU369"/>
  <c r="Z369"/>
  <c r="AA369" s="1"/>
  <c r="BE371"/>
  <c r="BB371" s="1"/>
  <c r="BF372"/>
  <c r="BF467"/>
  <c r="BE467" s="1"/>
  <c r="BF661"/>
  <c r="BE661" s="1"/>
  <c r="BF543"/>
  <c r="BE543" s="1"/>
  <c r="F595" i="12"/>
  <c r="F287"/>
  <c r="R595"/>
  <c r="R287"/>
  <c r="S595"/>
  <c r="S287"/>
  <c r="H595"/>
  <c r="H287"/>
  <c r="W595"/>
  <c r="W287"/>
  <c r="AA595"/>
  <c r="AA287"/>
  <c r="Y595"/>
  <c r="Y287"/>
  <c r="U595"/>
  <c r="U287"/>
  <c r="O595"/>
  <c r="O287"/>
  <c r="J595"/>
  <c r="J287"/>
  <c r="X595"/>
  <c r="X287"/>
  <c r="V595"/>
  <c r="V287"/>
  <c r="M491" s="1"/>
  <c r="T595"/>
  <c r="T287"/>
  <c r="G595"/>
  <c r="G287"/>
  <c r="D595"/>
  <c r="D287"/>
  <c r="Z595"/>
  <c r="Z287"/>
  <c r="Q595"/>
  <c r="Q287"/>
  <c r="E595"/>
  <c r="E287"/>
  <c r="I595"/>
  <c r="I287"/>
  <c r="K595"/>
  <c r="K287"/>
  <c r="N490"/>
  <c r="B490"/>
  <c r="D490"/>
  <c r="CQ490"/>
  <c r="M594"/>
  <c r="N594"/>
  <c r="L594"/>
  <c r="I324" i="20"/>
  <c r="F324"/>
  <c r="L324"/>
  <c r="H324"/>
  <c r="K324"/>
  <c r="P594" i="12"/>
  <c r="J324" i="20"/>
  <c r="M325"/>
  <c r="AB490" i="12" l="1"/>
  <c r="P287"/>
  <c r="L287"/>
  <c r="C491" s="1"/>
  <c r="N287"/>
  <c r="M287"/>
  <c r="AB491" s="1"/>
  <c r="K568" i="20"/>
  <c r="S325"/>
  <c r="S568"/>
  <c r="H568"/>
  <c r="H325"/>
  <c r="P325"/>
  <c r="P568"/>
  <c r="L568"/>
  <c r="F568"/>
  <c r="Q325"/>
  <c r="Q568"/>
  <c r="N325"/>
  <c r="N568"/>
  <c r="T325"/>
  <c r="T568"/>
  <c r="G325"/>
  <c r="G568"/>
  <c r="R325"/>
  <c r="R568"/>
  <c r="V325"/>
  <c r="V568"/>
  <c r="I568"/>
  <c r="O325"/>
  <c r="O568"/>
  <c r="E568"/>
  <c r="E325"/>
  <c r="J568"/>
  <c r="U568"/>
  <c r="U325"/>
  <c r="D569"/>
  <c r="D326"/>
  <c r="M569"/>
  <c r="W569"/>
  <c r="W326"/>
  <c r="AU542" i="9"/>
  <c r="AD466"/>
  <c r="AE466" s="1"/>
  <c r="AD660"/>
  <c r="AE660" s="1"/>
  <c r="AU466"/>
  <c r="W661"/>
  <c r="Z661" s="1"/>
  <c r="AA661" s="1"/>
  <c r="BB661"/>
  <c r="W543"/>
  <c r="AU543" s="1"/>
  <c r="BB543"/>
  <c r="W467"/>
  <c r="AD467" s="1"/>
  <c r="AE467" s="1"/>
  <c r="BB467"/>
  <c r="AU661"/>
  <c r="AD542"/>
  <c r="AE542" s="1"/>
  <c r="W371"/>
  <c r="AU370"/>
  <c r="Z370"/>
  <c r="AA370" s="1"/>
  <c r="AD370"/>
  <c r="AE370" s="1"/>
  <c r="BE372"/>
  <c r="BB372" s="1"/>
  <c r="BF373"/>
  <c r="BF468"/>
  <c r="BE468" s="1"/>
  <c r="BF544"/>
  <c r="BE544" s="1"/>
  <c r="BF662"/>
  <c r="BE662" s="1"/>
  <c r="BB662" s="1"/>
  <c r="K596" i="12"/>
  <c r="K288"/>
  <c r="I596"/>
  <c r="I288"/>
  <c r="E596"/>
  <c r="E288"/>
  <c r="Q596"/>
  <c r="Q288"/>
  <c r="Z596"/>
  <c r="Z288"/>
  <c r="D596"/>
  <c r="D288"/>
  <c r="G596"/>
  <c r="G288"/>
  <c r="T596"/>
  <c r="T288"/>
  <c r="V596"/>
  <c r="V288"/>
  <c r="M492" s="1"/>
  <c r="X596"/>
  <c r="X288"/>
  <c r="J596"/>
  <c r="J288"/>
  <c r="O596"/>
  <c r="O288"/>
  <c r="U596"/>
  <c r="U288"/>
  <c r="Y596"/>
  <c r="Y288"/>
  <c r="AA596"/>
  <c r="AA288"/>
  <c r="W596"/>
  <c r="W288"/>
  <c r="H596"/>
  <c r="H288"/>
  <c r="S596"/>
  <c r="S288"/>
  <c r="R596"/>
  <c r="R288"/>
  <c r="F596"/>
  <c r="F288"/>
  <c r="CQ491"/>
  <c r="D491"/>
  <c r="B491"/>
  <c r="N491"/>
  <c r="AC491"/>
  <c r="P595"/>
  <c r="L595"/>
  <c r="N595"/>
  <c r="K325" i="20"/>
  <c r="L325"/>
  <c r="J325"/>
  <c r="M326"/>
  <c r="M595" i="12"/>
  <c r="F325" i="20"/>
  <c r="I325"/>
  <c r="M288" i="12" l="1"/>
  <c r="AC492" s="1"/>
  <c r="N288"/>
  <c r="L288"/>
  <c r="C492" s="1"/>
  <c r="P288"/>
  <c r="U326" i="20"/>
  <c r="U569"/>
  <c r="J569"/>
  <c r="E569"/>
  <c r="E326"/>
  <c r="L569"/>
  <c r="H326"/>
  <c r="H569"/>
  <c r="K569"/>
  <c r="O569"/>
  <c r="O326"/>
  <c r="I569"/>
  <c r="V569"/>
  <c r="V326"/>
  <c r="R569"/>
  <c r="R326"/>
  <c r="G569"/>
  <c r="G326"/>
  <c r="T569"/>
  <c r="T326"/>
  <c r="N569"/>
  <c r="N326"/>
  <c r="Q569"/>
  <c r="Q326"/>
  <c r="F569"/>
  <c r="P569"/>
  <c r="P326"/>
  <c r="S569"/>
  <c r="S326"/>
  <c r="W570"/>
  <c r="W327"/>
  <c r="M570"/>
  <c r="D570"/>
  <c r="D327"/>
  <c r="B662" i="9"/>
  <c r="AB154" i="36" s="1"/>
  <c r="AU467" i="9"/>
  <c r="Z543"/>
  <c r="AA543" s="1"/>
  <c r="AD543" s="1"/>
  <c r="AE543" s="1"/>
  <c r="AD661"/>
  <c r="AE661" s="1"/>
  <c r="W468"/>
  <c r="AU468" s="1"/>
  <c r="BB468"/>
  <c r="W544"/>
  <c r="Z544" s="1"/>
  <c r="AA544" s="1"/>
  <c r="BB544"/>
  <c r="Z467"/>
  <c r="AA467" s="1"/>
  <c r="W372"/>
  <c r="AU371"/>
  <c r="Z371"/>
  <c r="AA371" s="1"/>
  <c r="AD371"/>
  <c r="AE371" s="1"/>
  <c r="BE373"/>
  <c r="BB373" s="1"/>
  <c r="BF374"/>
  <c r="BF469"/>
  <c r="BE469" s="1"/>
  <c r="BB469" s="1"/>
  <c r="BF663"/>
  <c r="BE663" s="1"/>
  <c r="BB663" s="1"/>
  <c r="BF545"/>
  <c r="BE545" s="1"/>
  <c r="F597" i="12"/>
  <c r="F289"/>
  <c r="R597"/>
  <c r="R289"/>
  <c r="S597"/>
  <c r="S289"/>
  <c r="H597"/>
  <c r="H289"/>
  <c r="W597"/>
  <c r="W289"/>
  <c r="AA597"/>
  <c r="AA289"/>
  <c r="Y597"/>
  <c r="Y289"/>
  <c r="U597"/>
  <c r="U289"/>
  <c r="O597"/>
  <c r="O289"/>
  <c r="J597"/>
  <c r="J289"/>
  <c r="X597"/>
  <c r="X289"/>
  <c r="V597"/>
  <c r="V289"/>
  <c r="M493" s="1"/>
  <c r="T597"/>
  <c r="T289"/>
  <c r="G597"/>
  <c r="G289"/>
  <c r="D597"/>
  <c r="D289"/>
  <c r="Z597"/>
  <c r="Z289"/>
  <c r="Q597"/>
  <c r="Q289"/>
  <c r="E597"/>
  <c r="E289"/>
  <c r="I597"/>
  <c r="I289"/>
  <c r="K597"/>
  <c r="K289"/>
  <c r="N492"/>
  <c r="B492"/>
  <c r="CQ492"/>
  <c r="D492"/>
  <c r="AB492"/>
  <c r="M596"/>
  <c r="L596"/>
  <c r="P596"/>
  <c r="J326" i="20"/>
  <c r="L326"/>
  <c r="K326"/>
  <c r="I326"/>
  <c r="N596" i="12"/>
  <c r="F326" i="20"/>
  <c r="M327"/>
  <c r="N289" i="12" l="1"/>
  <c r="P289"/>
  <c r="L289"/>
  <c r="C493" s="1"/>
  <c r="M289"/>
  <c r="AB493" s="1"/>
  <c r="S570" i="20"/>
  <c r="S327"/>
  <c r="P570"/>
  <c r="P327"/>
  <c r="Q570"/>
  <c r="Q327"/>
  <c r="N570"/>
  <c r="N327"/>
  <c r="T327"/>
  <c r="T570"/>
  <c r="G327"/>
  <c r="G570"/>
  <c r="R327"/>
  <c r="R570"/>
  <c r="V327"/>
  <c r="V570"/>
  <c r="I570"/>
  <c r="O327"/>
  <c r="O570"/>
  <c r="K570"/>
  <c r="L570"/>
  <c r="E327"/>
  <c r="E570"/>
  <c r="J570"/>
  <c r="F570"/>
  <c r="H570"/>
  <c r="H327"/>
  <c r="U327"/>
  <c r="U570"/>
  <c r="D571"/>
  <c r="D328"/>
  <c r="M571"/>
  <c r="W328"/>
  <c r="W571"/>
  <c r="Z468" i="9"/>
  <c r="AA468" s="1"/>
  <c r="AD468"/>
  <c r="AE468" s="1"/>
  <c r="AU544"/>
  <c r="W545"/>
  <c r="AU545" s="1"/>
  <c r="BB545"/>
  <c r="Z545"/>
  <c r="AA545" s="1"/>
  <c r="AD544"/>
  <c r="AE544" s="1"/>
  <c r="W373"/>
  <c r="AU372"/>
  <c r="Z372"/>
  <c r="AA372" s="1"/>
  <c r="AD372"/>
  <c r="AE372" s="1"/>
  <c r="BE374"/>
  <c r="BB374" s="1"/>
  <c r="BF375"/>
  <c r="BF470"/>
  <c r="BE470" s="1"/>
  <c r="BF546"/>
  <c r="BE546" s="1"/>
  <c r="BF664"/>
  <c r="BE664" s="1"/>
  <c r="BB664" s="1"/>
  <c r="K598" i="12"/>
  <c r="K290"/>
  <c r="I598"/>
  <c r="I290"/>
  <c r="E598"/>
  <c r="E290"/>
  <c r="Q598"/>
  <c r="Q290"/>
  <c r="Z598"/>
  <c r="Z290"/>
  <c r="D598"/>
  <c r="D290"/>
  <c r="G598"/>
  <c r="G290"/>
  <c r="T598"/>
  <c r="T290"/>
  <c r="V598"/>
  <c r="V290"/>
  <c r="M494" s="1"/>
  <c r="X598"/>
  <c r="X290"/>
  <c r="J598"/>
  <c r="J290"/>
  <c r="O598"/>
  <c r="O290"/>
  <c r="U598"/>
  <c r="U290"/>
  <c r="Y598"/>
  <c r="Y290"/>
  <c r="AA598"/>
  <c r="AA290"/>
  <c r="W598"/>
  <c r="W290"/>
  <c r="H598"/>
  <c r="H290"/>
  <c r="S598"/>
  <c r="S290"/>
  <c r="R598"/>
  <c r="R290"/>
  <c r="F598"/>
  <c r="F290"/>
  <c r="D493"/>
  <c r="CQ493"/>
  <c r="B493"/>
  <c r="N493"/>
  <c r="AC493"/>
  <c r="N597"/>
  <c r="P597"/>
  <c r="L597"/>
  <c r="M597"/>
  <c r="I327" i="20"/>
  <c r="K327"/>
  <c r="L327"/>
  <c r="J327"/>
  <c r="F327"/>
  <c r="M328"/>
  <c r="M290" i="12" l="1"/>
  <c r="AB494" s="1"/>
  <c r="L290"/>
  <c r="C494" s="1"/>
  <c r="P290"/>
  <c r="N290"/>
  <c r="H571" i="20"/>
  <c r="H328"/>
  <c r="J571"/>
  <c r="L571"/>
  <c r="K571"/>
  <c r="I571"/>
  <c r="N571"/>
  <c r="N328"/>
  <c r="Q328"/>
  <c r="Q571"/>
  <c r="P571"/>
  <c r="P328"/>
  <c r="S328"/>
  <c r="S571"/>
  <c r="U328"/>
  <c r="U571"/>
  <c r="F571"/>
  <c r="E328"/>
  <c r="E571"/>
  <c r="O328"/>
  <c r="O571"/>
  <c r="V328"/>
  <c r="V571"/>
  <c r="R328"/>
  <c r="R571"/>
  <c r="G571"/>
  <c r="G328"/>
  <c r="T328"/>
  <c r="T571"/>
  <c r="M572"/>
  <c r="D329"/>
  <c r="D572"/>
  <c r="W329"/>
  <c r="W572"/>
  <c r="AD545" i="9"/>
  <c r="AE545" s="1"/>
  <c r="W546"/>
  <c r="AU546" s="1"/>
  <c r="BB546"/>
  <c r="W470"/>
  <c r="Z470" s="1"/>
  <c r="AA470" s="1"/>
  <c r="BB470"/>
  <c r="Z546"/>
  <c r="AA546" s="1"/>
  <c r="AD470"/>
  <c r="AE470" s="1"/>
  <c r="W374"/>
  <c r="AD373"/>
  <c r="AE373" s="1"/>
  <c r="AU373"/>
  <c r="Z373"/>
  <c r="AA373" s="1"/>
  <c r="BE375"/>
  <c r="BB375" s="1"/>
  <c r="BF376"/>
  <c r="BF471"/>
  <c r="BF665"/>
  <c r="BE665" s="1"/>
  <c r="BF547"/>
  <c r="F599" i="12"/>
  <c r="F291"/>
  <c r="R599"/>
  <c r="R291"/>
  <c r="S599"/>
  <c r="S291"/>
  <c r="H599"/>
  <c r="H291"/>
  <c r="W599"/>
  <c r="W291"/>
  <c r="AA599"/>
  <c r="AA291"/>
  <c r="Y599"/>
  <c r="Y291"/>
  <c r="U599"/>
  <c r="U291"/>
  <c r="O599"/>
  <c r="O291"/>
  <c r="J599"/>
  <c r="J291"/>
  <c r="X599"/>
  <c r="X291"/>
  <c r="V599"/>
  <c r="V291"/>
  <c r="M495" s="1"/>
  <c r="T599"/>
  <c r="T291"/>
  <c r="G599"/>
  <c r="G291"/>
  <c r="D599"/>
  <c r="D291"/>
  <c r="Z599"/>
  <c r="Z291"/>
  <c r="Q599"/>
  <c r="Q291"/>
  <c r="E599"/>
  <c r="E291"/>
  <c r="I599"/>
  <c r="I291"/>
  <c r="K599"/>
  <c r="K291"/>
  <c r="N494"/>
  <c r="B494"/>
  <c r="CQ494"/>
  <c r="D494"/>
  <c r="AC494"/>
  <c r="M598"/>
  <c r="N598"/>
  <c r="L328" i="20"/>
  <c r="K328"/>
  <c r="I328"/>
  <c r="M329"/>
  <c r="L598" i="12"/>
  <c r="P598"/>
  <c r="J328" i="20"/>
  <c r="F328"/>
  <c r="P291" i="12" l="1"/>
  <c r="L291"/>
  <c r="C495" s="1"/>
  <c r="N291"/>
  <c r="N599"/>
  <c r="M291"/>
  <c r="AC495" s="1"/>
  <c r="G572" i="20"/>
  <c r="G329"/>
  <c r="P572"/>
  <c r="P329"/>
  <c r="N572"/>
  <c r="N329"/>
  <c r="I572"/>
  <c r="K572"/>
  <c r="L572"/>
  <c r="H329"/>
  <c r="H572"/>
  <c r="T329"/>
  <c r="T572"/>
  <c r="R329"/>
  <c r="R572"/>
  <c r="V329"/>
  <c r="V572"/>
  <c r="O329"/>
  <c r="O572"/>
  <c r="E329"/>
  <c r="E572"/>
  <c r="F572"/>
  <c r="U329"/>
  <c r="U572"/>
  <c r="S572"/>
  <c r="S329"/>
  <c r="Q572"/>
  <c r="Q329"/>
  <c r="J572"/>
  <c r="M573"/>
  <c r="W330"/>
  <c r="W573"/>
  <c r="D573"/>
  <c r="D330"/>
  <c r="AU470" i="9"/>
  <c r="W665"/>
  <c r="AD665" s="1"/>
  <c r="AE665" s="1"/>
  <c r="BB665"/>
  <c r="BE547"/>
  <c r="BF548"/>
  <c r="O138" i="36"/>
  <c r="L138" s="1"/>
  <c r="AD546" i="9"/>
  <c r="AE546" s="1"/>
  <c r="W375"/>
  <c r="AD374"/>
  <c r="AE374" s="1"/>
  <c r="AU374"/>
  <c r="Z374"/>
  <c r="AA374" s="1"/>
  <c r="BE471"/>
  <c r="BB471" s="1"/>
  <c r="BE376"/>
  <c r="BB376" s="1"/>
  <c r="BF377"/>
  <c r="BF666"/>
  <c r="BE666" s="1"/>
  <c r="CQ495" i="12"/>
  <c r="D495"/>
  <c r="K600"/>
  <c r="K292"/>
  <c r="I600"/>
  <c r="I292"/>
  <c r="E600"/>
  <c r="E292"/>
  <c r="Q600"/>
  <c r="Q292"/>
  <c r="Z600"/>
  <c r="Z292"/>
  <c r="D600"/>
  <c r="D292"/>
  <c r="G600"/>
  <c r="G292"/>
  <c r="T600"/>
  <c r="T292"/>
  <c r="V600"/>
  <c r="V292"/>
  <c r="M496" s="1"/>
  <c r="X600"/>
  <c r="X292"/>
  <c r="J600"/>
  <c r="J292"/>
  <c r="O600"/>
  <c r="O292"/>
  <c r="U600"/>
  <c r="U292"/>
  <c r="Y600"/>
  <c r="Y292"/>
  <c r="AA600"/>
  <c r="AA292"/>
  <c r="W600"/>
  <c r="W292"/>
  <c r="H600"/>
  <c r="H292"/>
  <c r="S600"/>
  <c r="S292"/>
  <c r="R600"/>
  <c r="R292"/>
  <c r="F600"/>
  <c r="F292"/>
  <c r="N600"/>
  <c r="N292"/>
  <c r="B495"/>
  <c r="N495"/>
  <c r="AB495"/>
  <c r="L599"/>
  <c r="M599"/>
  <c r="I329" i="20"/>
  <c r="K329"/>
  <c r="L329"/>
  <c r="F329"/>
  <c r="M330"/>
  <c r="P599" i="12"/>
  <c r="J329" i="20"/>
  <c r="P292" i="12" l="1"/>
  <c r="M600"/>
  <c r="M601" s="1"/>
  <c r="M292"/>
  <c r="AB496" s="1"/>
  <c r="L292"/>
  <c r="C496" s="1"/>
  <c r="Q330" i="20"/>
  <c r="Q573"/>
  <c r="S330"/>
  <c r="S573"/>
  <c r="F573"/>
  <c r="L573"/>
  <c r="K573"/>
  <c r="I573"/>
  <c r="N573"/>
  <c r="N330"/>
  <c r="P573"/>
  <c r="P330"/>
  <c r="G330"/>
  <c r="G573"/>
  <c r="J573"/>
  <c r="U330"/>
  <c r="U573"/>
  <c r="E330"/>
  <c r="E573"/>
  <c r="O330"/>
  <c r="O573"/>
  <c r="V573"/>
  <c r="V330"/>
  <c r="R573"/>
  <c r="R330"/>
  <c r="T573"/>
  <c r="T330"/>
  <c r="H573"/>
  <c r="H330"/>
  <c r="D574"/>
  <c r="D331"/>
  <c r="M574"/>
  <c r="W574"/>
  <c r="W331"/>
  <c r="Z665" i="9"/>
  <c r="AA665" s="1"/>
  <c r="T138" i="36" s="1"/>
  <c r="V138" s="1"/>
  <c r="X138" s="1"/>
  <c r="W547" i="9"/>
  <c r="BB547"/>
  <c r="W666"/>
  <c r="AU666" s="1"/>
  <c r="BB666"/>
  <c r="AU665"/>
  <c r="AD666"/>
  <c r="AE666" s="1"/>
  <c r="W376"/>
  <c r="AU375"/>
  <c r="Z375"/>
  <c r="AA375" s="1"/>
  <c r="AD375"/>
  <c r="AE375" s="1"/>
  <c r="BE377"/>
  <c r="BB377" s="1"/>
  <c r="BF378"/>
  <c r="BE548"/>
  <c r="BF667"/>
  <c r="BE667" s="1"/>
  <c r="M293" i="12"/>
  <c r="N601"/>
  <c r="N293"/>
  <c r="F601"/>
  <c r="F293"/>
  <c r="R601"/>
  <c r="R293"/>
  <c r="S601"/>
  <c r="S293"/>
  <c r="H601"/>
  <c r="H293"/>
  <c r="W601"/>
  <c r="W293"/>
  <c r="AA601"/>
  <c r="AA293"/>
  <c r="Y601"/>
  <c r="Y293"/>
  <c r="U601"/>
  <c r="U293"/>
  <c r="O601"/>
  <c r="O293"/>
  <c r="J601"/>
  <c r="J293"/>
  <c r="X601"/>
  <c r="X293"/>
  <c r="V601"/>
  <c r="V293"/>
  <c r="M497" s="1"/>
  <c r="T601"/>
  <c r="T293"/>
  <c r="G601"/>
  <c r="G293"/>
  <c r="D601"/>
  <c r="D293"/>
  <c r="Z601"/>
  <c r="Z293"/>
  <c r="Q601"/>
  <c r="Q293"/>
  <c r="E601"/>
  <c r="E293"/>
  <c r="I601"/>
  <c r="I293"/>
  <c r="K601"/>
  <c r="K293"/>
  <c r="AC496"/>
  <c r="N496"/>
  <c r="B496"/>
  <c r="CQ496"/>
  <c r="D496"/>
  <c r="P600"/>
  <c r="L600"/>
  <c r="F330" i="20"/>
  <c r="L330"/>
  <c r="K330"/>
  <c r="J330"/>
  <c r="M331"/>
  <c r="I330"/>
  <c r="L293" i="12" l="1"/>
  <c r="C497" s="1"/>
  <c r="P293"/>
  <c r="H574" i="20"/>
  <c r="H331"/>
  <c r="T574"/>
  <c r="T331"/>
  <c r="R574"/>
  <c r="R331"/>
  <c r="V574"/>
  <c r="V331"/>
  <c r="J574"/>
  <c r="P574"/>
  <c r="P331"/>
  <c r="N331"/>
  <c r="N574"/>
  <c r="K574"/>
  <c r="L574"/>
  <c r="F574"/>
  <c r="O331"/>
  <c r="O574"/>
  <c r="E331"/>
  <c r="E574"/>
  <c r="U331"/>
  <c r="U574"/>
  <c r="G331"/>
  <c r="G574"/>
  <c r="I574"/>
  <c r="S574"/>
  <c r="S331"/>
  <c r="Q574"/>
  <c r="Q331"/>
  <c r="W332"/>
  <c r="W575"/>
  <c r="M575"/>
  <c r="D332"/>
  <c r="D575"/>
  <c r="O139" i="36"/>
  <c r="L139" s="1"/>
  <c r="W548" i="9"/>
  <c r="AU548" s="1"/>
  <c r="BB548"/>
  <c r="AU547"/>
  <c r="Z547"/>
  <c r="AA547" s="1"/>
  <c r="W667"/>
  <c r="AD667" s="1"/>
  <c r="AE667" s="1"/>
  <c r="BB667"/>
  <c r="Z666"/>
  <c r="AA666" s="1"/>
  <c r="T139" i="36" s="1"/>
  <c r="V139" s="1"/>
  <c r="X139" s="1"/>
  <c r="AD547" i="9"/>
  <c r="AE547" s="1"/>
  <c r="O140" i="36"/>
  <c r="L140" s="1"/>
  <c r="W377" i="9"/>
  <c r="AD376"/>
  <c r="AE376" s="1"/>
  <c r="AU376"/>
  <c r="Z376"/>
  <c r="AA376" s="1"/>
  <c r="BE378"/>
  <c r="BB378" s="1"/>
  <c r="BF379"/>
  <c r="BF668"/>
  <c r="BE668" s="1"/>
  <c r="BB668" s="1"/>
  <c r="BF549"/>
  <c r="BE549" s="1"/>
  <c r="K602" i="12"/>
  <c r="K294"/>
  <c r="I602"/>
  <c r="I294"/>
  <c r="E602"/>
  <c r="E294"/>
  <c r="Q602"/>
  <c r="Q294"/>
  <c r="Z602"/>
  <c r="Z294"/>
  <c r="D602"/>
  <c r="D294"/>
  <c r="G602"/>
  <c r="G294"/>
  <c r="T602"/>
  <c r="T294"/>
  <c r="V602"/>
  <c r="V294"/>
  <c r="M498" s="1"/>
  <c r="X602"/>
  <c r="X294"/>
  <c r="J602"/>
  <c r="J294"/>
  <c r="O602"/>
  <c r="O294"/>
  <c r="U602"/>
  <c r="U294"/>
  <c r="Y602"/>
  <c r="Y294"/>
  <c r="AA602"/>
  <c r="AA294"/>
  <c r="W602"/>
  <c r="W294"/>
  <c r="H602"/>
  <c r="H294"/>
  <c r="S602"/>
  <c r="S294"/>
  <c r="R602"/>
  <c r="R294"/>
  <c r="F602"/>
  <c r="F294"/>
  <c r="N602"/>
  <c r="N294"/>
  <c r="M602"/>
  <c r="M294"/>
  <c r="CQ497"/>
  <c r="D497"/>
  <c r="N497"/>
  <c r="B497"/>
  <c r="AC497"/>
  <c r="AB497"/>
  <c r="L601"/>
  <c r="P601"/>
  <c r="J331" i="20"/>
  <c r="K331"/>
  <c r="F331"/>
  <c r="I331"/>
  <c r="L331"/>
  <c r="M332"/>
  <c r="P294" i="12" l="1"/>
  <c r="L294"/>
  <c r="C498" s="1"/>
  <c r="Q575" i="20"/>
  <c r="Q332"/>
  <c r="S575"/>
  <c r="S332"/>
  <c r="I575"/>
  <c r="F575"/>
  <c r="K575"/>
  <c r="P332"/>
  <c r="P575"/>
  <c r="J575"/>
  <c r="V575"/>
  <c r="V332"/>
  <c r="R575"/>
  <c r="R332"/>
  <c r="T575"/>
  <c r="T332"/>
  <c r="H575"/>
  <c r="H332"/>
  <c r="G575"/>
  <c r="G332"/>
  <c r="U332"/>
  <c r="U575"/>
  <c r="E332"/>
  <c r="E575"/>
  <c r="O575"/>
  <c r="O332"/>
  <c r="L575"/>
  <c r="N575"/>
  <c r="N332"/>
  <c r="D576"/>
  <c r="D333"/>
  <c r="M576"/>
  <c r="W333"/>
  <c r="W576"/>
  <c r="Z548" i="9"/>
  <c r="AA548" s="1"/>
  <c r="Z667"/>
  <c r="AA667" s="1"/>
  <c r="T140" i="36" s="1"/>
  <c r="V140" s="1"/>
  <c r="X140" s="1"/>
  <c r="W549" i="9"/>
  <c r="Z549" s="1"/>
  <c r="AA549" s="1"/>
  <c r="BB549"/>
  <c r="AD548"/>
  <c r="AE548" s="1"/>
  <c r="AU667"/>
  <c r="AU549"/>
  <c r="W378"/>
  <c r="AD377"/>
  <c r="AE377" s="1"/>
  <c r="AU377"/>
  <c r="Z377"/>
  <c r="AA377" s="1"/>
  <c r="BE379"/>
  <c r="BB379" s="1"/>
  <c r="BF380"/>
  <c r="BF550"/>
  <c r="BE550" s="1"/>
  <c r="BF669"/>
  <c r="BE669" s="1"/>
  <c r="BB669" s="1"/>
  <c r="M603" i="12"/>
  <c r="M295"/>
  <c r="N603"/>
  <c r="N295"/>
  <c r="F603"/>
  <c r="F295"/>
  <c r="R603"/>
  <c r="R295"/>
  <c r="S603"/>
  <c r="S295"/>
  <c r="H603"/>
  <c r="H295"/>
  <c r="W603"/>
  <c r="W295"/>
  <c r="AA603"/>
  <c r="AA295"/>
  <c r="Y603"/>
  <c r="Y295"/>
  <c r="U603"/>
  <c r="U295"/>
  <c r="O603"/>
  <c r="O295"/>
  <c r="J603"/>
  <c r="J295"/>
  <c r="X603"/>
  <c r="X295"/>
  <c r="V603"/>
  <c r="V295"/>
  <c r="M499" s="1"/>
  <c r="T603"/>
  <c r="T295"/>
  <c r="G603"/>
  <c r="G295"/>
  <c r="D603"/>
  <c r="D295"/>
  <c r="Z603"/>
  <c r="Z295"/>
  <c r="Q603"/>
  <c r="Q295"/>
  <c r="E603"/>
  <c r="E295"/>
  <c r="I603"/>
  <c r="I295"/>
  <c r="K603"/>
  <c r="K295"/>
  <c r="AB498"/>
  <c r="AC498"/>
  <c r="N498"/>
  <c r="B498"/>
  <c r="CQ498"/>
  <c r="D498"/>
  <c r="L602"/>
  <c r="F332" i="20"/>
  <c r="K332"/>
  <c r="J332"/>
  <c r="L332"/>
  <c r="M333"/>
  <c r="P602" i="12"/>
  <c r="I332" i="20"/>
  <c r="P295" i="12" l="1"/>
  <c r="L295"/>
  <c r="C499" s="1"/>
  <c r="N333" i="20"/>
  <c r="N576"/>
  <c r="L576"/>
  <c r="O333"/>
  <c r="O576"/>
  <c r="G333"/>
  <c r="G576"/>
  <c r="H333"/>
  <c r="H576"/>
  <c r="T576"/>
  <c r="T333"/>
  <c r="R576"/>
  <c r="R333"/>
  <c r="V333"/>
  <c r="V576"/>
  <c r="J576"/>
  <c r="K576"/>
  <c r="F576"/>
  <c r="S576"/>
  <c r="S333"/>
  <c r="Q576"/>
  <c r="Q333"/>
  <c r="E333"/>
  <c r="E576"/>
  <c r="U333"/>
  <c r="U576"/>
  <c r="P333"/>
  <c r="P576"/>
  <c r="I576"/>
  <c r="M577"/>
  <c r="D577"/>
  <c r="D334"/>
  <c r="W334"/>
  <c r="W577"/>
  <c r="AD549" i="9"/>
  <c r="AE549" s="1"/>
  <c r="W550"/>
  <c r="AU550" s="1"/>
  <c r="BB550"/>
  <c r="AD550"/>
  <c r="AE550" s="1"/>
  <c r="W379"/>
  <c r="AU378"/>
  <c r="Z378"/>
  <c r="AA378" s="1"/>
  <c r="AD378"/>
  <c r="AE378" s="1"/>
  <c r="BE380"/>
  <c r="BB380" s="1"/>
  <c r="BF381"/>
  <c r="BF551"/>
  <c r="BE551" s="1"/>
  <c r="BF670"/>
  <c r="BE670" s="1"/>
  <c r="K604" i="12"/>
  <c r="K296"/>
  <c r="I604"/>
  <c r="I296"/>
  <c r="E604"/>
  <c r="E296"/>
  <c r="Q604"/>
  <c r="Q296"/>
  <c r="Z604"/>
  <c r="Z296"/>
  <c r="D604"/>
  <c r="D296"/>
  <c r="G604"/>
  <c r="G296"/>
  <c r="T604"/>
  <c r="T296"/>
  <c r="V604"/>
  <c r="V296"/>
  <c r="M500" s="1"/>
  <c r="X604"/>
  <c r="X296"/>
  <c r="J604"/>
  <c r="J296"/>
  <c r="O604"/>
  <c r="O296"/>
  <c r="U604"/>
  <c r="U296"/>
  <c r="Y604"/>
  <c r="Y296"/>
  <c r="AA604"/>
  <c r="AA296"/>
  <c r="W604"/>
  <c r="W296"/>
  <c r="H604"/>
  <c r="H296"/>
  <c r="S604"/>
  <c r="S296"/>
  <c r="R604"/>
  <c r="R296"/>
  <c r="F604"/>
  <c r="F296"/>
  <c r="N604"/>
  <c r="N296"/>
  <c r="M604"/>
  <c r="M296"/>
  <c r="CQ499"/>
  <c r="D499"/>
  <c r="N499"/>
  <c r="B499"/>
  <c r="AC499"/>
  <c r="AB499"/>
  <c r="P603"/>
  <c r="L603"/>
  <c r="L333" i="20"/>
  <c r="J333"/>
  <c r="K333"/>
  <c r="I333"/>
  <c r="F333"/>
  <c r="M334"/>
  <c r="L296" i="12" l="1"/>
  <c r="C500" s="1"/>
  <c r="P296"/>
  <c r="I577" i="20"/>
  <c r="Q577"/>
  <c r="Q334"/>
  <c r="S577"/>
  <c r="S334"/>
  <c r="K577"/>
  <c r="J577"/>
  <c r="R577"/>
  <c r="R334"/>
  <c r="T577"/>
  <c r="T334"/>
  <c r="L577"/>
  <c r="P577"/>
  <c r="P334"/>
  <c r="U334"/>
  <c r="U577"/>
  <c r="E334"/>
  <c r="E577"/>
  <c r="F577"/>
  <c r="V334"/>
  <c r="V577"/>
  <c r="H334"/>
  <c r="H577"/>
  <c r="G334"/>
  <c r="G577"/>
  <c r="O334"/>
  <c r="O577"/>
  <c r="N334"/>
  <c r="N577"/>
  <c r="D578"/>
  <c r="D335"/>
  <c r="M578"/>
  <c r="W578"/>
  <c r="W335"/>
  <c r="Z550" i="9"/>
  <c r="AA550" s="1"/>
  <c r="W670"/>
  <c r="AU670" s="1"/>
  <c r="BB670"/>
  <c r="W551"/>
  <c r="Z551" s="1"/>
  <c r="AA551" s="1"/>
  <c r="BB551"/>
  <c r="AU5" i="8"/>
  <c r="W380" i="9"/>
  <c r="AU379"/>
  <c r="Z379"/>
  <c r="AA379" s="1"/>
  <c r="AD379"/>
  <c r="AE379" s="1"/>
  <c r="BE381"/>
  <c r="BB381" s="1"/>
  <c r="BF382"/>
  <c r="BF671"/>
  <c r="BE671" s="1"/>
  <c r="BB671" s="1"/>
  <c r="BF552"/>
  <c r="M605" i="12"/>
  <c r="M297"/>
  <c r="N605"/>
  <c r="N297"/>
  <c r="F605"/>
  <c r="F297"/>
  <c r="R605"/>
  <c r="R297"/>
  <c r="S605"/>
  <c r="S297"/>
  <c r="H605"/>
  <c r="H297"/>
  <c r="W605"/>
  <c r="W297"/>
  <c r="AA605"/>
  <c r="AA297"/>
  <c r="Y605"/>
  <c r="Y297"/>
  <c r="U605"/>
  <c r="U297"/>
  <c r="O605"/>
  <c r="O297"/>
  <c r="J605"/>
  <c r="J297"/>
  <c r="X605"/>
  <c r="X297"/>
  <c r="V605"/>
  <c r="V297"/>
  <c r="M501" s="1"/>
  <c r="T605"/>
  <c r="T297"/>
  <c r="G605"/>
  <c r="G297"/>
  <c r="D605"/>
  <c r="D297"/>
  <c r="Z605"/>
  <c r="Z297"/>
  <c r="Q605"/>
  <c r="Q297"/>
  <c r="E605"/>
  <c r="E297"/>
  <c r="I605"/>
  <c r="I297"/>
  <c r="K605"/>
  <c r="K297"/>
  <c r="AC500"/>
  <c r="AB500"/>
  <c r="N500"/>
  <c r="B500"/>
  <c r="D500"/>
  <c r="CQ500"/>
  <c r="L604"/>
  <c r="K334" i="20"/>
  <c r="L334"/>
  <c r="F334"/>
  <c r="P604" i="12"/>
  <c r="I334" i="20"/>
  <c r="J334"/>
  <c r="M335"/>
  <c r="P297" i="12" l="1"/>
  <c r="L297"/>
  <c r="C501" s="1"/>
  <c r="F578" i="20"/>
  <c r="P578"/>
  <c r="P335"/>
  <c r="L578"/>
  <c r="T335"/>
  <c r="T578"/>
  <c r="R578"/>
  <c r="R335"/>
  <c r="K578"/>
  <c r="S335"/>
  <c r="S578"/>
  <c r="Q335"/>
  <c r="Q578"/>
  <c r="N578"/>
  <c r="N335"/>
  <c r="O578"/>
  <c r="O335"/>
  <c r="G578"/>
  <c r="G335"/>
  <c r="H578"/>
  <c r="H335"/>
  <c r="V578"/>
  <c r="V335"/>
  <c r="E335"/>
  <c r="E578"/>
  <c r="U335"/>
  <c r="U578"/>
  <c r="J578"/>
  <c r="I578"/>
  <c r="W579"/>
  <c r="W336"/>
  <c r="M579"/>
  <c r="D336"/>
  <c r="D579"/>
  <c r="AD670" i="9"/>
  <c r="AE670" s="1"/>
  <c r="AU551"/>
  <c r="Z670"/>
  <c r="AI5" i="8" s="1"/>
  <c r="AT5"/>
  <c r="AV5" s="1"/>
  <c r="AW5" s="1"/>
  <c r="AM5"/>
  <c r="AO5" s="1"/>
  <c r="AD551" i="9"/>
  <c r="AE551" s="1"/>
  <c r="W381"/>
  <c r="AU380"/>
  <c r="Z380"/>
  <c r="AA380" s="1"/>
  <c r="AD380"/>
  <c r="AE380" s="1"/>
  <c r="BE552"/>
  <c r="BB552" s="1"/>
  <c r="BE382"/>
  <c r="BB382" s="1"/>
  <c r="BF383"/>
  <c r="BF672"/>
  <c r="BE672" s="1"/>
  <c r="K606" i="12"/>
  <c r="K298"/>
  <c r="I606"/>
  <c r="I298"/>
  <c r="E606"/>
  <c r="E298"/>
  <c r="Q606"/>
  <c r="Q298"/>
  <c r="Z606"/>
  <c r="Z298"/>
  <c r="D606"/>
  <c r="D298"/>
  <c r="G606"/>
  <c r="G298"/>
  <c r="T606"/>
  <c r="T298"/>
  <c r="V606"/>
  <c r="V298"/>
  <c r="M502" s="1"/>
  <c r="X606"/>
  <c r="X298"/>
  <c r="J606"/>
  <c r="J298"/>
  <c r="O606"/>
  <c r="O298"/>
  <c r="U606"/>
  <c r="U298"/>
  <c r="Y606"/>
  <c r="Y298"/>
  <c r="AA606"/>
  <c r="AA298"/>
  <c r="W606"/>
  <c r="W298"/>
  <c r="H606"/>
  <c r="H298"/>
  <c r="S606"/>
  <c r="S298"/>
  <c r="R606"/>
  <c r="R298"/>
  <c r="F606"/>
  <c r="F298"/>
  <c r="N606"/>
  <c r="N298"/>
  <c r="M606"/>
  <c r="M298"/>
  <c r="CQ501"/>
  <c r="D501"/>
  <c r="N501"/>
  <c r="B501"/>
  <c r="AC501"/>
  <c r="AB501"/>
  <c r="P605"/>
  <c r="F335" i="20"/>
  <c r="K335"/>
  <c r="J335"/>
  <c r="I335"/>
  <c r="L605" i="12"/>
  <c r="L335" i="20"/>
  <c r="M336"/>
  <c r="L298" i="12" l="1"/>
  <c r="C502" s="1"/>
  <c r="P298"/>
  <c r="I579" i="20"/>
  <c r="J579"/>
  <c r="V579"/>
  <c r="V336"/>
  <c r="H579"/>
  <c r="H336"/>
  <c r="G579"/>
  <c r="G336"/>
  <c r="O579"/>
  <c r="O336"/>
  <c r="N579"/>
  <c r="N336"/>
  <c r="K579"/>
  <c r="R579"/>
  <c r="R336"/>
  <c r="P336"/>
  <c r="P579"/>
  <c r="F579"/>
  <c r="U336"/>
  <c r="U579"/>
  <c r="E336"/>
  <c r="E579"/>
  <c r="Q336"/>
  <c r="Q579"/>
  <c r="S336"/>
  <c r="S579"/>
  <c r="T336"/>
  <c r="T579"/>
  <c r="L579"/>
  <c r="W337"/>
  <c r="W580"/>
  <c r="D337"/>
  <c r="D580"/>
  <c r="M580"/>
  <c r="AA670" i="9"/>
  <c r="AJ5" i="8" s="1"/>
  <c r="AL5" s="1"/>
  <c r="AP5" s="1"/>
  <c r="W672" i="9"/>
  <c r="AT6" i="8" s="1"/>
  <c r="AV6" s="1"/>
  <c r="AW6" s="1"/>
  <c r="BB672" i="9"/>
  <c r="AU6" i="8"/>
  <c r="AQ5"/>
  <c r="W382" i="9"/>
  <c r="AD381"/>
  <c r="AE381" s="1"/>
  <c r="AU381"/>
  <c r="Z381"/>
  <c r="AA381" s="1"/>
  <c r="BE383"/>
  <c r="BB383" s="1"/>
  <c r="BF384"/>
  <c r="BF673"/>
  <c r="BE673" s="1"/>
  <c r="M607" i="12"/>
  <c r="M299"/>
  <c r="N607"/>
  <c r="N299"/>
  <c r="F607"/>
  <c r="F299"/>
  <c r="R607"/>
  <c r="R299"/>
  <c r="S607"/>
  <c r="S299"/>
  <c r="H607"/>
  <c r="H299"/>
  <c r="W607"/>
  <c r="W299"/>
  <c r="AA607"/>
  <c r="AA299"/>
  <c r="Y607"/>
  <c r="Y299"/>
  <c r="U607"/>
  <c r="U299"/>
  <c r="O607"/>
  <c r="O299"/>
  <c r="J607"/>
  <c r="J299"/>
  <c r="X607"/>
  <c r="X299"/>
  <c r="V607"/>
  <c r="V299"/>
  <c r="M503" s="1"/>
  <c r="T607"/>
  <c r="T299"/>
  <c r="G607"/>
  <c r="G299"/>
  <c r="D607"/>
  <c r="D299"/>
  <c r="Z607"/>
  <c r="Z299"/>
  <c r="Q607"/>
  <c r="Q299"/>
  <c r="E607"/>
  <c r="E299"/>
  <c r="I607"/>
  <c r="I299"/>
  <c r="K607"/>
  <c r="K299"/>
  <c r="AC502"/>
  <c r="AB502"/>
  <c r="N502"/>
  <c r="B502"/>
  <c r="D502"/>
  <c r="CQ502"/>
  <c r="L606"/>
  <c r="P606"/>
  <c r="I336" i="20"/>
  <c r="F336"/>
  <c r="L336"/>
  <c r="M337"/>
  <c r="J336"/>
  <c r="K336"/>
  <c r="P299" i="12" l="1"/>
  <c r="L299"/>
  <c r="C503" s="1"/>
  <c r="L580" i="20"/>
  <c r="F337"/>
  <c r="F580"/>
  <c r="R580"/>
  <c r="R337"/>
  <c r="N337"/>
  <c r="N580"/>
  <c r="O337"/>
  <c r="O580"/>
  <c r="G337"/>
  <c r="G580"/>
  <c r="H337"/>
  <c r="H580"/>
  <c r="V337"/>
  <c r="V580"/>
  <c r="I580"/>
  <c r="T580"/>
  <c r="T337"/>
  <c r="S580"/>
  <c r="S337"/>
  <c r="Q580"/>
  <c r="Q337"/>
  <c r="E580"/>
  <c r="E337"/>
  <c r="U580"/>
  <c r="U337"/>
  <c r="P337"/>
  <c r="P580"/>
  <c r="K580"/>
  <c r="J580"/>
  <c r="M581"/>
  <c r="D338"/>
  <c r="D581"/>
  <c r="W338"/>
  <c r="W581"/>
  <c r="Z672" i="9"/>
  <c r="AI6" i="8" s="1"/>
  <c r="AD672" i="9"/>
  <c r="AE672" s="1"/>
  <c r="W673"/>
  <c r="AT7" i="8" s="1"/>
  <c r="AV7" s="1"/>
  <c r="AW7" s="1"/>
  <c r="BB673" i="9"/>
  <c r="AU672"/>
  <c r="AM6" i="8"/>
  <c r="AO6" s="1"/>
  <c r="Z673" i="9"/>
  <c r="W383"/>
  <c r="AD382"/>
  <c r="AE382" s="1"/>
  <c r="AU382"/>
  <c r="Z382"/>
  <c r="AA382" s="1"/>
  <c r="BE384"/>
  <c r="BB384" s="1"/>
  <c r="BF385"/>
  <c r="BF674"/>
  <c r="BE674" s="1"/>
  <c r="K608" i="12"/>
  <c r="K300"/>
  <c r="I608"/>
  <c r="I300"/>
  <c r="E608"/>
  <c r="E300"/>
  <c r="Q608"/>
  <c r="Q300"/>
  <c r="Z608"/>
  <c r="Z300"/>
  <c r="D608"/>
  <c r="D300"/>
  <c r="G608"/>
  <c r="G300"/>
  <c r="T608"/>
  <c r="T300"/>
  <c r="V608"/>
  <c r="V300"/>
  <c r="M504" s="1"/>
  <c r="X608"/>
  <c r="X300"/>
  <c r="J608"/>
  <c r="J300"/>
  <c r="O608"/>
  <c r="O300"/>
  <c r="U608"/>
  <c r="U300"/>
  <c r="Y608"/>
  <c r="Y300"/>
  <c r="AA608"/>
  <c r="AA300"/>
  <c r="W608"/>
  <c r="W300"/>
  <c r="H608"/>
  <c r="H300"/>
  <c r="S608"/>
  <c r="S300"/>
  <c r="R608"/>
  <c r="R300"/>
  <c r="F608"/>
  <c r="F300"/>
  <c r="N608"/>
  <c r="N300"/>
  <c r="M608"/>
  <c r="M300"/>
  <c r="CQ503"/>
  <c r="D503"/>
  <c r="B503"/>
  <c r="N503"/>
  <c r="AB503"/>
  <c r="AC503"/>
  <c r="P607"/>
  <c r="L607"/>
  <c r="L337" i="20"/>
  <c r="I337"/>
  <c r="J337"/>
  <c r="M338"/>
  <c r="K337"/>
  <c r="L300" i="12" l="1"/>
  <c r="C504" s="1"/>
  <c r="P300"/>
  <c r="J581" i="20"/>
  <c r="U338"/>
  <c r="U581"/>
  <c r="E338"/>
  <c r="E581"/>
  <c r="Q338"/>
  <c r="Q581"/>
  <c r="S338"/>
  <c r="S581"/>
  <c r="T338"/>
  <c r="T581"/>
  <c r="I581"/>
  <c r="R338"/>
  <c r="R581"/>
  <c r="L581"/>
  <c r="K581"/>
  <c r="P581"/>
  <c r="P338"/>
  <c r="V338"/>
  <c r="V581"/>
  <c r="H338"/>
  <c r="H581"/>
  <c r="G338"/>
  <c r="G581"/>
  <c r="O338"/>
  <c r="O581"/>
  <c r="N338"/>
  <c r="N581"/>
  <c r="F338"/>
  <c r="F581"/>
  <c r="M582"/>
  <c r="W339"/>
  <c r="W582"/>
  <c r="D339"/>
  <c r="D582"/>
  <c r="AU7" i="8"/>
  <c r="AA672" i="9"/>
  <c r="AJ6" i="8" s="1"/>
  <c r="AL6" s="1"/>
  <c r="AP6" s="1"/>
  <c r="AD673" i="9"/>
  <c r="AE673" s="1"/>
  <c r="W674"/>
  <c r="AU674" s="1"/>
  <c r="BB674"/>
  <c r="AU673"/>
  <c r="AI7" i="8"/>
  <c r="AA673" i="9"/>
  <c r="AJ7" i="8" s="1"/>
  <c r="AL7" s="1"/>
  <c r="AM7"/>
  <c r="AO7" s="1"/>
  <c r="AU8"/>
  <c r="W384" i="9"/>
  <c r="AU383"/>
  <c r="Z383"/>
  <c r="AA383" s="1"/>
  <c r="AD383"/>
  <c r="AE383" s="1"/>
  <c r="BE385"/>
  <c r="BB385" s="1"/>
  <c r="BF386"/>
  <c r="BF675"/>
  <c r="BE675" s="1"/>
  <c r="M609" i="12"/>
  <c r="M301"/>
  <c r="N609"/>
  <c r="N301"/>
  <c r="F609"/>
  <c r="F301"/>
  <c r="R609"/>
  <c r="R301"/>
  <c r="S609"/>
  <c r="S301"/>
  <c r="H609"/>
  <c r="H301"/>
  <c r="W609"/>
  <c r="W301"/>
  <c r="AA609"/>
  <c r="AA301"/>
  <c r="Y609"/>
  <c r="Y301"/>
  <c r="U609"/>
  <c r="U301"/>
  <c r="O609"/>
  <c r="O301"/>
  <c r="J609"/>
  <c r="J301"/>
  <c r="X609"/>
  <c r="X301"/>
  <c r="V609"/>
  <c r="V301"/>
  <c r="M505" s="1"/>
  <c r="T609"/>
  <c r="T301"/>
  <c r="G609"/>
  <c r="G301"/>
  <c r="D609"/>
  <c r="D301"/>
  <c r="Z609"/>
  <c r="Z301"/>
  <c r="Q609"/>
  <c r="Q301"/>
  <c r="E609"/>
  <c r="E301"/>
  <c r="I609"/>
  <c r="I301"/>
  <c r="K609"/>
  <c r="K301"/>
  <c r="AC504"/>
  <c r="AB504"/>
  <c r="N504"/>
  <c r="B504"/>
  <c r="D504"/>
  <c r="CQ504"/>
  <c r="P608"/>
  <c r="J338" i="20"/>
  <c r="I338"/>
  <c r="L338"/>
  <c r="M339"/>
  <c r="L608" i="12"/>
  <c r="K338" i="20"/>
  <c r="L301" i="12" l="1"/>
  <c r="C505" s="1"/>
  <c r="P301"/>
  <c r="P582" i="20"/>
  <c r="P339"/>
  <c r="L582"/>
  <c r="I582"/>
  <c r="J582"/>
  <c r="F582"/>
  <c r="F339"/>
  <c r="N339"/>
  <c r="N582"/>
  <c r="O339"/>
  <c r="O582"/>
  <c r="G339"/>
  <c r="G582"/>
  <c r="H339"/>
  <c r="H582"/>
  <c r="V339"/>
  <c r="V582"/>
  <c r="K582"/>
  <c r="R582"/>
  <c r="R339"/>
  <c r="T339"/>
  <c r="T582"/>
  <c r="S339"/>
  <c r="S582"/>
  <c r="Q339"/>
  <c r="Q582"/>
  <c r="E582"/>
  <c r="E339"/>
  <c r="U582"/>
  <c r="U339"/>
  <c r="AQ6" i="8"/>
  <c r="AD674" i="9"/>
  <c r="AE674" s="1"/>
  <c r="D340" i="20"/>
  <c r="D583"/>
  <c r="W340"/>
  <c r="W583"/>
  <c r="M583"/>
  <c r="Z674" i="9"/>
  <c r="AI8" i="8" s="1"/>
  <c r="W675" i="9"/>
  <c r="AU9" i="8" s="1"/>
  <c r="BB675" i="9"/>
  <c r="AT8" i="8"/>
  <c r="AV8" s="1"/>
  <c r="AW8" s="1"/>
  <c r="AM8"/>
  <c r="AO8" s="1"/>
  <c r="AT9"/>
  <c r="AV9" s="1"/>
  <c r="AW9" s="1"/>
  <c r="AQ7"/>
  <c r="AP7"/>
  <c r="W385" i="9"/>
  <c r="AD384"/>
  <c r="AE384" s="1"/>
  <c r="AU384"/>
  <c r="Z384"/>
  <c r="AA384" s="1"/>
  <c r="BE386"/>
  <c r="BB386" s="1"/>
  <c r="BF387"/>
  <c r="BF676"/>
  <c r="BE676" s="1"/>
  <c r="K610" i="12"/>
  <c r="K302"/>
  <c r="I610"/>
  <c r="I302"/>
  <c r="E610"/>
  <c r="E302"/>
  <c r="Q610"/>
  <c r="Q302"/>
  <c r="Z610"/>
  <c r="Z302"/>
  <c r="D610"/>
  <c r="D302"/>
  <c r="G610"/>
  <c r="G302"/>
  <c r="T610"/>
  <c r="T302"/>
  <c r="V610"/>
  <c r="V302"/>
  <c r="M506" s="1"/>
  <c r="X610"/>
  <c r="X302"/>
  <c r="J610"/>
  <c r="J302"/>
  <c r="O610"/>
  <c r="O302"/>
  <c r="U610"/>
  <c r="U302"/>
  <c r="Y610"/>
  <c r="Y302"/>
  <c r="AA610"/>
  <c r="AA302"/>
  <c r="W610"/>
  <c r="W302"/>
  <c r="H610"/>
  <c r="H302"/>
  <c r="S610"/>
  <c r="S302"/>
  <c r="R610"/>
  <c r="R302"/>
  <c r="F610"/>
  <c r="F302"/>
  <c r="N610"/>
  <c r="N302"/>
  <c r="M610"/>
  <c r="M302"/>
  <c r="CQ505"/>
  <c r="D505"/>
  <c r="B505"/>
  <c r="N505"/>
  <c r="AB505"/>
  <c r="AC505"/>
  <c r="L609"/>
  <c r="P609"/>
  <c r="I339" i="20"/>
  <c r="J339"/>
  <c r="K339"/>
  <c r="M340"/>
  <c r="L339"/>
  <c r="AD675" i="9" l="1"/>
  <c r="AE675" s="1"/>
  <c r="AU675"/>
  <c r="P302" i="12"/>
  <c r="L302"/>
  <c r="C506" s="1"/>
  <c r="U340" i="20"/>
  <c r="U583"/>
  <c r="E340"/>
  <c r="E583"/>
  <c r="R340"/>
  <c r="R583"/>
  <c r="K583"/>
  <c r="F340"/>
  <c r="F583"/>
  <c r="J583"/>
  <c r="I583"/>
  <c r="P340"/>
  <c r="P583"/>
  <c r="Q340"/>
  <c r="Q583"/>
  <c r="S340"/>
  <c r="S583"/>
  <c r="T340"/>
  <c r="T583"/>
  <c r="V340"/>
  <c r="V583"/>
  <c r="H340"/>
  <c r="H583"/>
  <c r="G340"/>
  <c r="G583"/>
  <c r="O340"/>
  <c r="O583"/>
  <c r="N340"/>
  <c r="N583"/>
  <c r="L583"/>
  <c r="M584"/>
  <c r="W584"/>
  <c r="W341"/>
  <c r="D341"/>
  <c r="D584"/>
  <c r="AA674" i="9"/>
  <c r="AJ8" i="8" s="1"/>
  <c r="AL8" s="1"/>
  <c r="AQ8" s="1"/>
  <c r="W676" i="9"/>
  <c r="AT10" i="8" s="1"/>
  <c r="AV10" s="1"/>
  <c r="AW10" s="1"/>
  <c r="BB676" i="9"/>
  <c r="Z675"/>
  <c r="AI9" i="8" s="1"/>
  <c r="AU10"/>
  <c r="W386" i="9"/>
  <c r="AD385"/>
  <c r="AE385" s="1"/>
  <c r="AU385"/>
  <c r="Z385"/>
  <c r="AA385" s="1"/>
  <c r="BE387"/>
  <c r="BB387" s="1"/>
  <c r="BF388"/>
  <c r="BF677"/>
  <c r="BE677" s="1"/>
  <c r="M611" i="12"/>
  <c r="M303"/>
  <c r="N611"/>
  <c r="N303"/>
  <c r="F611"/>
  <c r="F303"/>
  <c r="R611"/>
  <c r="R303"/>
  <c r="S611"/>
  <c r="S303"/>
  <c r="H611"/>
  <c r="H303"/>
  <c r="W611"/>
  <c r="W303"/>
  <c r="AA611"/>
  <c r="AA303"/>
  <c r="Y611"/>
  <c r="Y303"/>
  <c r="U611"/>
  <c r="U303"/>
  <c r="O611"/>
  <c r="O303"/>
  <c r="J611"/>
  <c r="J303"/>
  <c r="X611"/>
  <c r="X303"/>
  <c r="V611"/>
  <c r="V303"/>
  <c r="M507" s="1"/>
  <c r="T611"/>
  <c r="T303"/>
  <c r="G611"/>
  <c r="G303"/>
  <c r="D611"/>
  <c r="D303"/>
  <c r="Z611"/>
  <c r="Z303"/>
  <c r="Q611"/>
  <c r="Q303"/>
  <c r="E611"/>
  <c r="E303"/>
  <c r="I611"/>
  <c r="I303"/>
  <c r="K611"/>
  <c r="K303"/>
  <c r="AC506"/>
  <c r="AB506"/>
  <c r="N506"/>
  <c r="B506"/>
  <c r="CQ506"/>
  <c r="D506"/>
  <c r="L610"/>
  <c r="K340" i="20"/>
  <c r="I340"/>
  <c r="L340"/>
  <c r="P610" i="12"/>
  <c r="J340" i="20"/>
  <c r="M341"/>
  <c r="AM9" i="8" l="1"/>
  <c r="AO9" s="1"/>
  <c r="P303" i="12"/>
  <c r="L303"/>
  <c r="C507" s="1"/>
  <c r="L584" i="20"/>
  <c r="I584"/>
  <c r="K584"/>
  <c r="N341"/>
  <c r="N584"/>
  <c r="O341"/>
  <c r="O584"/>
  <c r="G341"/>
  <c r="G584"/>
  <c r="H341"/>
  <c r="H584"/>
  <c r="V341"/>
  <c r="V584"/>
  <c r="T584"/>
  <c r="T341"/>
  <c r="S341"/>
  <c r="S584"/>
  <c r="Q584"/>
  <c r="Q341"/>
  <c r="P584"/>
  <c r="P341"/>
  <c r="J584"/>
  <c r="F584"/>
  <c r="F341"/>
  <c r="R584"/>
  <c r="R341"/>
  <c r="E584"/>
  <c r="E341"/>
  <c r="U584"/>
  <c r="U341"/>
  <c r="Z676" i="9"/>
  <c r="AI10" i="8" s="1"/>
  <c r="W585" i="20"/>
  <c r="W342"/>
  <c r="M585"/>
  <c r="D342"/>
  <c r="D585"/>
  <c r="AP8" i="8"/>
  <c r="AA675" i="9"/>
  <c r="AJ9" i="8" s="1"/>
  <c r="AL9" s="1"/>
  <c r="AQ9" s="1"/>
  <c r="AD676" i="9"/>
  <c r="AE676" s="1"/>
  <c r="W677"/>
  <c r="AT11" i="8" s="1"/>
  <c r="AV11" s="1"/>
  <c r="AW11" s="1"/>
  <c r="BB677" i="9"/>
  <c r="AU676"/>
  <c r="W387"/>
  <c r="AU386"/>
  <c r="Z386"/>
  <c r="AA386" s="1"/>
  <c r="AD386"/>
  <c r="AE386" s="1"/>
  <c r="BE388"/>
  <c r="BB388" s="1"/>
  <c r="BF389"/>
  <c r="BF678"/>
  <c r="BE678" s="1"/>
  <c r="K612" i="12"/>
  <c r="K304"/>
  <c r="I612"/>
  <c r="I304"/>
  <c r="E612"/>
  <c r="E304"/>
  <c r="Q612"/>
  <c r="Q304"/>
  <c r="Z612"/>
  <c r="Z304"/>
  <c r="D612"/>
  <c r="D304"/>
  <c r="G612"/>
  <c r="G304"/>
  <c r="T612"/>
  <c r="T304"/>
  <c r="V612"/>
  <c r="V304"/>
  <c r="M508" s="1"/>
  <c r="X612"/>
  <c r="X304"/>
  <c r="J612"/>
  <c r="J304"/>
  <c r="O612"/>
  <c r="O304"/>
  <c r="U612"/>
  <c r="U304"/>
  <c r="Y612"/>
  <c r="Y304"/>
  <c r="AA612"/>
  <c r="AA304"/>
  <c r="W612"/>
  <c r="W304"/>
  <c r="H612"/>
  <c r="H304"/>
  <c r="S612"/>
  <c r="S304"/>
  <c r="R612"/>
  <c r="R304"/>
  <c r="F612"/>
  <c r="F304"/>
  <c r="N612"/>
  <c r="N304"/>
  <c r="M612"/>
  <c r="M304"/>
  <c r="CQ507"/>
  <c r="D507"/>
  <c r="B507"/>
  <c r="N507"/>
  <c r="AB507"/>
  <c r="AC507"/>
  <c r="P611"/>
  <c r="L611"/>
  <c r="L341" i="20"/>
  <c r="I341"/>
  <c r="K341"/>
  <c r="M342"/>
  <c r="J341"/>
  <c r="AP9" i="8" l="1"/>
  <c r="AA676" i="9"/>
  <c r="AJ10" i="8" s="1"/>
  <c r="AL10" s="1"/>
  <c r="AQ10" s="1"/>
  <c r="L304" i="12"/>
  <c r="C508" s="1"/>
  <c r="P304"/>
  <c r="U342" i="20"/>
  <c r="U585"/>
  <c r="E342"/>
  <c r="E585"/>
  <c r="R342"/>
  <c r="R585"/>
  <c r="F342"/>
  <c r="F585"/>
  <c r="P342"/>
  <c r="P585"/>
  <c r="Q342"/>
  <c r="Q585"/>
  <c r="T342"/>
  <c r="T585"/>
  <c r="K585"/>
  <c r="I585"/>
  <c r="L585"/>
  <c r="J585"/>
  <c r="S585"/>
  <c r="S342"/>
  <c r="V585"/>
  <c r="V342"/>
  <c r="H585"/>
  <c r="H342"/>
  <c r="G585"/>
  <c r="G342"/>
  <c r="O585"/>
  <c r="O342"/>
  <c r="N585"/>
  <c r="N342"/>
  <c r="M586"/>
  <c r="W343"/>
  <c r="W586"/>
  <c r="D586"/>
  <c r="D343"/>
  <c r="AM10" i="8"/>
  <c r="AO10" s="1"/>
  <c r="AU677" i="9"/>
  <c r="AU11" i="8"/>
  <c r="W678" i="9"/>
  <c r="AU12" i="8" s="1"/>
  <c r="BB678" i="9"/>
  <c r="Z677"/>
  <c r="AA677" s="1"/>
  <c r="AJ11" i="8" s="1"/>
  <c r="AL11" s="1"/>
  <c r="AD677" i="9"/>
  <c r="AE677" s="1"/>
  <c r="AM11" i="8"/>
  <c r="AO11" s="1"/>
  <c r="W388" i="9"/>
  <c r="AU387"/>
  <c r="Z387"/>
  <c r="AA387" s="1"/>
  <c r="AD387"/>
  <c r="AE387" s="1"/>
  <c r="BE389"/>
  <c r="BB389" s="1"/>
  <c r="BF390"/>
  <c r="BF679"/>
  <c r="BE679" s="1"/>
  <c r="M613" i="12"/>
  <c r="M305"/>
  <c r="N613"/>
  <c r="N305"/>
  <c r="F613"/>
  <c r="F305"/>
  <c r="R613"/>
  <c r="R305"/>
  <c r="S613"/>
  <c r="S305"/>
  <c r="H613"/>
  <c r="H305"/>
  <c r="W613"/>
  <c r="W305"/>
  <c r="AA613"/>
  <c r="AA305"/>
  <c r="Y613"/>
  <c r="Y305"/>
  <c r="U613"/>
  <c r="U305"/>
  <c r="O613"/>
  <c r="O305"/>
  <c r="J613"/>
  <c r="J305"/>
  <c r="X613"/>
  <c r="X305"/>
  <c r="V613"/>
  <c r="V305"/>
  <c r="M509" s="1"/>
  <c r="T613"/>
  <c r="T305"/>
  <c r="G613"/>
  <c r="G305"/>
  <c r="D613"/>
  <c r="D305"/>
  <c r="Z613"/>
  <c r="Z305"/>
  <c r="Q613"/>
  <c r="Q305"/>
  <c r="E613"/>
  <c r="E305"/>
  <c r="I613"/>
  <c r="I305"/>
  <c r="K613"/>
  <c r="K305"/>
  <c r="AC508"/>
  <c r="AB508"/>
  <c r="N508"/>
  <c r="B508"/>
  <c r="D508"/>
  <c r="CQ508"/>
  <c r="P612"/>
  <c r="K342" i="20"/>
  <c r="J342"/>
  <c r="M343"/>
  <c r="L612" i="12"/>
  <c r="I342" i="20"/>
  <c r="L342"/>
  <c r="AP10" i="8" l="1"/>
  <c r="AU678" i="9"/>
  <c r="AI11" i="8"/>
  <c r="L305" i="12"/>
  <c r="C509" s="1"/>
  <c r="L613"/>
  <c r="L306" s="1"/>
  <c r="C510" s="1"/>
  <c r="P305"/>
  <c r="N586" i="20"/>
  <c r="N343"/>
  <c r="O586"/>
  <c r="O343"/>
  <c r="G586"/>
  <c r="G343"/>
  <c r="H586"/>
  <c r="H343"/>
  <c r="V586"/>
  <c r="V343"/>
  <c r="S586"/>
  <c r="S343"/>
  <c r="J586"/>
  <c r="K586"/>
  <c r="L586"/>
  <c r="I586"/>
  <c r="T343"/>
  <c r="T586"/>
  <c r="Q343"/>
  <c r="Q586"/>
  <c r="P343"/>
  <c r="P586"/>
  <c r="F343"/>
  <c r="F586"/>
  <c r="R343"/>
  <c r="R586"/>
  <c r="E343"/>
  <c r="E586"/>
  <c r="U343"/>
  <c r="U586"/>
  <c r="D344"/>
  <c r="D587"/>
  <c r="M587"/>
  <c r="W344"/>
  <c r="W587"/>
  <c r="AT12" i="8"/>
  <c r="AV12" s="1"/>
  <c r="AW12" s="1"/>
  <c r="W679" i="9"/>
  <c r="AU679" s="1"/>
  <c r="BB679"/>
  <c r="AD678"/>
  <c r="AE678" s="1"/>
  <c r="Z678"/>
  <c r="AI12" i="8" s="1"/>
  <c r="AU13"/>
  <c r="AQ11"/>
  <c r="AP11"/>
  <c r="W389" i="9"/>
  <c r="AU388"/>
  <c r="Z388"/>
  <c r="AA388" s="1"/>
  <c r="AD388"/>
  <c r="AE388" s="1"/>
  <c r="BE390"/>
  <c r="BB390" s="1"/>
  <c r="BF391"/>
  <c r="BF680"/>
  <c r="BE680" s="1"/>
  <c r="K614" i="12"/>
  <c r="K306"/>
  <c r="I614"/>
  <c r="I306"/>
  <c r="E614"/>
  <c r="E306"/>
  <c r="Q614"/>
  <c r="Q306"/>
  <c r="Z614"/>
  <c r="Z306"/>
  <c r="D614"/>
  <c r="D306"/>
  <c r="G614"/>
  <c r="G306"/>
  <c r="T614"/>
  <c r="T306"/>
  <c r="V614"/>
  <c r="V306"/>
  <c r="M510" s="1"/>
  <c r="X614"/>
  <c r="X306"/>
  <c r="J614"/>
  <c r="J306"/>
  <c r="O614"/>
  <c r="O306"/>
  <c r="U614"/>
  <c r="U306"/>
  <c r="Y614"/>
  <c r="Y306"/>
  <c r="AA614"/>
  <c r="AA306"/>
  <c r="W614"/>
  <c r="W306"/>
  <c r="H614"/>
  <c r="H306"/>
  <c r="S614"/>
  <c r="S306"/>
  <c r="R614"/>
  <c r="R306"/>
  <c r="F614"/>
  <c r="F306"/>
  <c r="N614"/>
  <c r="N306"/>
  <c r="M614"/>
  <c r="M306"/>
  <c r="L614"/>
  <c r="CQ509"/>
  <c r="D509"/>
  <c r="B509"/>
  <c r="N509"/>
  <c r="AB509"/>
  <c r="AC509"/>
  <c r="J343" i="20"/>
  <c r="K343"/>
  <c r="L343"/>
  <c r="I343"/>
  <c r="M344"/>
  <c r="P613" i="12"/>
  <c r="P306" l="1"/>
  <c r="I587" i="20"/>
  <c r="L587"/>
  <c r="K587"/>
  <c r="J587"/>
  <c r="S587"/>
  <c r="S344"/>
  <c r="V587"/>
  <c r="V344"/>
  <c r="H587"/>
  <c r="H344"/>
  <c r="G587"/>
  <c r="G344"/>
  <c r="O587"/>
  <c r="O344"/>
  <c r="N587"/>
  <c r="N344"/>
  <c r="U344"/>
  <c r="U587"/>
  <c r="E344"/>
  <c r="E587"/>
  <c r="R344"/>
  <c r="R587"/>
  <c r="F344"/>
  <c r="F587"/>
  <c r="P344"/>
  <c r="P587"/>
  <c r="Q344"/>
  <c r="Q587"/>
  <c r="T344"/>
  <c r="T587"/>
  <c r="AD679" i="9"/>
  <c r="AE679" s="1"/>
  <c r="M588" i="20"/>
  <c r="W345"/>
  <c r="W588"/>
  <c r="D588"/>
  <c r="D345"/>
  <c r="AA678" i="9"/>
  <c r="AJ12" i="8" s="1"/>
  <c r="BK8" s="1"/>
  <c r="Z679" i="9"/>
  <c r="AA679" s="1"/>
  <c r="AJ13" i="8" s="1"/>
  <c r="AL13" s="1"/>
  <c r="W680" i="9"/>
  <c r="AT14" i="8" s="1"/>
  <c r="AV14" s="1"/>
  <c r="AW14" s="1"/>
  <c r="BB680" i="9"/>
  <c r="AM12" i="8"/>
  <c r="AO12" s="1"/>
  <c r="AT13"/>
  <c r="AV13" s="1"/>
  <c r="AW13" s="1"/>
  <c r="AL12"/>
  <c r="AI13"/>
  <c r="W390" i="9"/>
  <c r="AD389"/>
  <c r="AE389" s="1"/>
  <c r="AU389"/>
  <c r="Z389"/>
  <c r="AA389" s="1"/>
  <c r="BE391"/>
  <c r="BB391" s="1"/>
  <c r="BF681"/>
  <c r="BE681" s="1"/>
  <c r="BB681" s="1"/>
  <c r="L615" i="12"/>
  <c r="L307"/>
  <c r="C511" s="1"/>
  <c r="M615"/>
  <c r="M307"/>
  <c r="N615"/>
  <c r="N307"/>
  <c r="F615"/>
  <c r="F307"/>
  <c r="R615"/>
  <c r="R307"/>
  <c r="S615"/>
  <c r="S307"/>
  <c r="H615"/>
  <c r="H307"/>
  <c r="W615"/>
  <c r="W307"/>
  <c r="AA615"/>
  <c r="AA307"/>
  <c r="Y615"/>
  <c r="Y307"/>
  <c r="U615"/>
  <c r="U307"/>
  <c r="O615"/>
  <c r="O307"/>
  <c r="J615"/>
  <c r="J307"/>
  <c r="X615"/>
  <c r="X307"/>
  <c r="V615"/>
  <c r="V307"/>
  <c r="M511" s="1"/>
  <c r="T615"/>
  <c r="T307"/>
  <c r="G615"/>
  <c r="G307"/>
  <c r="D615"/>
  <c r="D307"/>
  <c r="Z615"/>
  <c r="Z307"/>
  <c r="Q615"/>
  <c r="Q307"/>
  <c r="E615"/>
  <c r="E307"/>
  <c r="I615"/>
  <c r="I307"/>
  <c r="K615"/>
  <c r="K307"/>
  <c r="AC510"/>
  <c r="AB510"/>
  <c r="N510"/>
  <c r="B510"/>
  <c r="D510"/>
  <c r="CQ510"/>
  <c r="P614"/>
  <c r="I344" i="20"/>
  <c r="L344"/>
  <c r="K344"/>
  <c r="J344"/>
  <c r="M345"/>
  <c r="P307" i="12" l="1"/>
  <c r="N588" i="20"/>
  <c r="N345"/>
  <c r="O588"/>
  <c r="O345"/>
  <c r="G588"/>
  <c r="G345"/>
  <c r="H588"/>
  <c r="H345"/>
  <c r="V588"/>
  <c r="V345"/>
  <c r="S588"/>
  <c r="S345"/>
  <c r="J588"/>
  <c r="K588"/>
  <c r="L588"/>
  <c r="I588"/>
  <c r="T588"/>
  <c r="T345"/>
  <c r="Q588"/>
  <c r="Q345"/>
  <c r="P588"/>
  <c r="P345"/>
  <c r="F588"/>
  <c r="F345"/>
  <c r="R588"/>
  <c r="R345"/>
  <c r="E588"/>
  <c r="E345"/>
  <c r="U588"/>
  <c r="U345"/>
  <c r="AM13" i="8"/>
  <c r="AO13" s="1"/>
  <c r="D346" i="20"/>
  <c r="D589"/>
  <c r="M589"/>
  <c r="M346"/>
  <c r="W589"/>
  <c r="W346"/>
  <c r="AU14" i="8"/>
  <c r="AU680" i="9"/>
  <c r="Z680"/>
  <c r="AA680" s="1"/>
  <c r="AJ14" i="8" s="1"/>
  <c r="AL14" s="1"/>
  <c r="AD680" i="9"/>
  <c r="AE680" s="1"/>
  <c r="AI14" i="8"/>
  <c r="AM14"/>
  <c r="AO14" s="1"/>
  <c r="AQ12"/>
  <c r="AP12"/>
  <c r="AQ13"/>
  <c r="AP13"/>
  <c r="AD390" i="9"/>
  <c r="AE390" s="1"/>
  <c r="Z390"/>
  <c r="AA390" s="1"/>
  <c r="AU390"/>
  <c r="BF682"/>
  <c r="BE682" s="1"/>
  <c r="K616" i="12"/>
  <c r="K308"/>
  <c r="I616"/>
  <c r="I308"/>
  <c r="E616"/>
  <c r="E308"/>
  <c r="Q616"/>
  <c r="Q308"/>
  <c r="Z616"/>
  <c r="Z308"/>
  <c r="D616"/>
  <c r="D308"/>
  <c r="G616"/>
  <c r="G308"/>
  <c r="T616"/>
  <c r="T308"/>
  <c r="V616"/>
  <c r="V308"/>
  <c r="M512" s="1"/>
  <c r="X616"/>
  <c r="X308"/>
  <c r="J616"/>
  <c r="J308"/>
  <c r="O616"/>
  <c r="O308"/>
  <c r="U616"/>
  <c r="U308"/>
  <c r="Y616"/>
  <c r="Y308"/>
  <c r="AA616"/>
  <c r="AA308"/>
  <c r="W616"/>
  <c r="W308"/>
  <c r="H616"/>
  <c r="H308"/>
  <c r="S616"/>
  <c r="S308"/>
  <c r="R616"/>
  <c r="R308"/>
  <c r="F616"/>
  <c r="F308"/>
  <c r="N616"/>
  <c r="N308"/>
  <c r="M616"/>
  <c r="M308"/>
  <c r="L616"/>
  <c r="L308"/>
  <c r="C512" s="1"/>
  <c r="CQ511"/>
  <c r="D511"/>
  <c r="B511"/>
  <c r="N511"/>
  <c r="AB511"/>
  <c r="AC511"/>
  <c r="J345" i="20"/>
  <c r="K345"/>
  <c r="I345"/>
  <c r="P615" i="12"/>
  <c r="L345" i="20"/>
  <c r="P308" i="12" l="1"/>
  <c r="U346" i="20"/>
  <c r="U589"/>
  <c r="E346"/>
  <c r="E589"/>
  <c r="R346"/>
  <c r="R589"/>
  <c r="F346"/>
  <c r="F589"/>
  <c r="P346"/>
  <c r="P589"/>
  <c r="Q346"/>
  <c r="Q589"/>
  <c r="T346"/>
  <c r="T589"/>
  <c r="I589"/>
  <c r="K589"/>
  <c r="J589"/>
  <c r="S589"/>
  <c r="S346"/>
  <c r="V346"/>
  <c r="V589"/>
  <c r="H346"/>
  <c r="H589"/>
  <c r="G346"/>
  <c r="G589"/>
  <c r="O346"/>
  <c r="O589"/>
  <c r="N346"/>
  <c r="N589"/>
  <c r="L589"/>
  <c r="W347"/>
  <c r="W590"/>
  <c r="M347"/>
  <c r="M590"/>
  <c r="D590"/>
  <c r="D347"/>
  <c r="W682" i="9"/>
  <c r="AU682" s="1"/>
  <c r="BB682"/>
  <c r="AT15" i="8"/>
  <c r="AV15" s="1"/>
  <c r="AW15" s="1"/>
  <c r="AQ14"/>
  <c r="AP14"/>
  <c r="BF683" i="9"/>
  <c r="BE683" s="1"/>
  <c r="L617" i="12"/>
  <c r="L309"/>
  <c r="C513" s="1"/>
  <c r="M617"/>
  <c r="M309"/>
  <c r="N617"/>
  <c r="N309"/>
  <c r="F617"/>
  <c r="F309"/>
  <c r="R617"/>
  <c r="R309"/>
  <c r="S617"/>
  <c r="S309"/>
  <c r="H617"/>
  <c r="H309"/>
  <c r="W617"/>
  <c r="W309"/>
  <c r="AA617"/>
  <c r="AA309"/>
  <c r="Y617"/>
  <c r="Y309"/>
  <c r="U617"/>
  <c r="U309"/>
  <c r="O617"/>
  <c r="O309"/>
  <c r="J617"/>
  <c r="J309"/>
  <c r="X617"/>
  <c r="X309"/>
  <c r="V617"/>
  <c r="V309"/>
  <c r="M513" s="1"/>
  <c r="T617"/>
  <c r="T309"/>
  <c r="G617"/>
  <c r="G309"/>
  <c r="D617"/>
  <c r="D309"/>
  <c r="Z617"/>
  <c r="Z309"/>
  <c r="Q617"/>
  <c r="Q309"/>
  <c r="E617"/>
  <c r="E309"/>
  <c r="I617"/>
  <c r="I309"/>
  <c r="K617"/>
  <c r="K309"/>
  <c r="AC512"/>
  <c r="AB512"/>
  <c r="N512"/>
  <c r="B512"/>
  <c r="CQ512"/>
  <c r="D512"/>
  <c r="P616"/>
  <c r="I346" i="20"/>
  <c r="K346"/>
  <c r="J346"/>
  <c r="L346"/>
  <c r="P309" i="12" l="1"/>
  <c r="L590" i="20"/>
  <c r="L347"/>
  <c r="S590"/>
  <c r="S347"/>
  <c r="J590"/>
  <c r="K590"/>
  <c r="I590"/>
  <c r="N347"/>
  <c r="N590"/>
  <c r="O347"/>
  <c r="O590"/>
  <c r="G347"/>
  <c r="G590"/>
  <c r="H590"/>
  <c r="H347"/>
  <c r="V590"/>
  <c r="V347"/>
  <c r="T347"/>
  <c r="T590"/>
  <c r="Q590"/>
  <c r="Q347"/>
  <c r="P347"/>
  <c r="P590"/>
  <c r="F590"/>
  <c r="F347"/>
  <c r="R590"/>
  <c r="R347"/>
  <c r="E590"/>
  <c r="E347"/>
  <c r="U347"/>
  <c r="U590"/>
  <c r="D348"/>
  <c r="D591"/>
  <c r="M591"/>
  <c r="M348"/>
  <c r="W591"/>
  <c r="W348"/>
  <c r="AD682" i="9"/>
  <c r="AE682" s="1"/>
  <c r="Z682"/>
  <c r="AI15" i="8" s="1"/>
  <c r="W683" i="9"/>
  <c r="AU683" s="1"/>
  <c r="BB683"/>
  <c r="AU15" i="8"/>
  <c r="AA682" i="9"/>
  <c r="AJ15" i="8" s="1"/>
  <c r="AL15" s="1"/>
  <c r="Z683" i="9"/>
  <c r="BF684"/>
  <c r="BE684" s="1"/>
  <c r="K618" i="12"/>
  <c r="K310"/>
  <c r="I618"/>
  <c r="I310"/>
  <c r="E618"/>
  <c r="E310"/>
  <c r="Q618"/>
  <c r="Q310"/>
  <c r="Z618"/>
  <c r="Z310"/>
  <c r="D618"/>
  <c r="D310"/>
  <c r="G618"/>
  <c r="G310"/>
  <c r="T618"/>
  <c r="T310"/>
  <c r="V618"/>
  <c r="V310"/>
  <c r="M514" s="1"/>
  <c r="X618"/>
  <c r="X310"/>
  <c r="J618"/>
  <c r="J310"/>
  <c r="O618"/>
  <c r="O310"/>
  <c r="U618"/>
  <c r="U310"/>
  <c r="Y618"/>
  <c r="Y310"/>
  <c r="AA618"/>
  <c r="AA310"/>
  <c r="W618"/>
  <c r="W310"/>
  <c r="H618"/>
  <c r="H310"/>
  <c r="S618"/>
  <c r="S310"/>
  <c r="R618"/>
  <c r="R310"/>
  <c r="F618"/>
  <c r="F310"/>
  <c r="N618"/>
  <c r="N310"/>
  <c r="M618"/>
  <c r="M310"/>
  <c r="L618"/>
  <c r="L310"/>
  <c r="C514" s="1"/>
  <c r="CQ513"/>
  <c r="D513"/>
  <c r="N513"/>
  <c r="B513"/>
  <c r="AB513"/>
  <c r="AC513"/>
  <c r="P617"/>
  <c r="J347" i="20"/>
  <c r="I347"/>
  <c r="K347"/>
  <c r="P310" i="12" l="1"/>
  <c r="E591" i="20"/>
  <c r="E348"/>
  <c r="R591"/>
  <c r="R348"/>
  <c r="F591"/>
  <c r="F348"/>
  <c r="Q591"/>
  <c r="Q348"/>
  <c r="V348"/>
  <c r="V591"/>
  <c r="H348"/>
  <c r="H591"/>
  <c r="I591"/>
  <c r="J591"/>
  <c r="S348"/>
  <c r="S591"/>
  <c r="L348"/>
  <c r="L591"/>
  <c r="U348"/>
  <c r="U591"/>
  <c r="P591"/>
  <c r="P348"/>
  <c r="T348"/>
  <c r="T591"/>
  <c r="G591"/>
  <c r="G348"/>
  <c r="O591"/>
  <c r="O348"/>
  <c r="N591"/>
  <c r="N348"/>
  <c r="K348"/>
  <c r="K591"/>
  <c r="W592"/>
  <c r="W349"/>
  <c r="M592"/>
  <c r="M349"/>
  <c r="D592"/>
  <c r="D349"/>
  <c r="AD683" i="9"/>
  <c r="AE683" s="1"/>
  <c r="AU16" i="8"/>
  <c r="AM15"/>
  <c r="AO15" s="1"/>
  <c r="W684" i="9"/>
  <c r="AU17" i="8" s="1"/>
  <c r="BB684" i="9"/>
  <c r="AT16" i="8"/>
  <c r="AV16" s="1"/>
  <c r="AW16" s="1"/>
  <c r="AI16"/>
  <c r="AA683" i="9"/>
  <c r="AJ16" i="8" s="1"/>
  <c r="AL16" s="1"/>
  <c r="AQ15"/>
  <c r="AP15"/>
  <c r="BF685" i="9"/>
  <c r="BE685" s="1"/>
  <c r="L619" i="12"/>
  <c r="L311"/>
  <c r="C515" s="1"/>
  <c r="M619"/>
  <c r="M311"/>
  <c r="N619"/>
  <c r="N311"/>
  <c r="F619"/>
  <c r="F311"/>
  <c r="R619"/>
  <c r="R311"/>
  <c r="S619"/>
  <c r="S311"/>
  <c r="H619"/>
  <c r="H311"/>
  <c r="W619"/>
  <c r="W311"/>
  <c r="AA619"/>
  <c r="AA311"/>
  <c r="Y619"/>
  <c r="Y311"/>
  <c r="U619"/>
  <c r="U311"/>
  <c r="O619"/>
  <c r="O311"/>
  <c r="J619"/>
  <c r="J311"/>
  <c r="X619"/>
  <c r="X311"/>
  <c r="V619"/>
  <c r="V311"/>
  <c r="M515" s="1"/>
  <c r="T619"/>
  <c r="T311"/>
  <c r="G619"/>
  <c r="G311"/>
  <c r="D619"/>
  <c r="D311"/>
  <c r="Z619"/>
  <c r="Z311"/>
  <c r="Q619"/>
  <c r="Q311"/>
  <c r="E619"/>
  <c r="E311"/>
  <c r="I619"/>
  <c r="I311"/>
  <c r="K619"/>
  <c r="K311"/>
  <c r="AC514"/>
  <c r="AB514"/>
  <c r="N514"/>
  <c r="B514"/>
  <c r="CQ514"/>
  <c r="D514"/>
  <c r="P618"/>
  <c r="J348" i="20"/>
  <c r="I348"/>
  <c r="AU684" i="9" l="1"/>
  <c r="P311" i="12"/>
  <c r="N349" i="20"/>
  <c r="N592"/>
  <c r="O349"/>
  <c r="O592"/>
  <c r="G349"/>
  <c r="G592"/>
  <c r="P349"/>
  <c r="P592"/>
  <c r="J592"/>
  <c r="Q349"/>
  <c r="Q592"/>
  <c r="F349"/>
  <c r="F592"/>
  <c r="R349"/>
  <c r="R592"/>
  <c r="E349"/>
  <c r="E592"/>
  <c r="K592"/>
  <c r="K349"/>
  <c r="T592"/>
  <c r="T349"/>
  <c r="U592"/>
  <c r="U349"/>
  <c r="L592"/>
  <c r="L349"/>
  <c r="S592"/>
  <c r="S349"/>
  <c r="I592"/>
  <c r="H592"/>
  <c r="H349"/>
  <c r="V592"/>
  <c r="V349"/>
  <c r="D593"/>
  <c r="D350"/>
  <c r="M350"/>
  <c r="M593"/>
  <c r="W350"/>
  <c r="W593"/>
  <c r="AM16" i="8"/>
  <c r="AO16" s="1"/>
  <c r="AD684" i="9"/>
  <c r="AE684" s="1"/>
  <c r="W685"/>
  <c r="AU18" i="8" s="1"/>
  <c r="BB685" i="9"/>
  <c r="Z684"/>
  <c r="AA684" s="1"/>
  <c r="AJ17" i="8" s="1"/>
  <c r="AL17" s="1"/>
  <c r="AT17"/>
  <c r="AV17" s="1"/>
  <c r="AW17" s="1"/>
  <c r="AQ16"/>
  <c r="AP16"/>
  <c r="AI17"/>
  <c r="BF686" i="9"/>
  <c r="BE686" s="1"/>
  <c r="BB686" s="1"/>
  <c r="K620" i="12"/>
  <c r="K312"/>
  <c r="I620"/>
  <c r="I312"/>
  <c r="E620"/>
  <c r="E312"/>
  <c r="Q620"/>
  <c r="Q312"/>
  <c r="Z620"/>
  <c r="Z312"/>
  <c r="D620"/>
  <c r="D312"/>
  <c r="G620"/>
  <c r="G312"/>
  <c r="T620"/>
  <c r="T312"/>
  <c r="V620"/>
  <c r="V312"/>
  <c r="M516" s="1"/>
  <c r="X620"/>
  <c r="X312"/>
  <c r="J620"/>
  <c r="J312"/>
  <c r="O620"/>
  <c r="O312"/>
  <c r="U620"/>
  <c r="U312"/>
  <c r="Y620"/>
  <c r="Y312"/>
  <c r="AA620"/>
  <c r="AA312"/>
  <c r="W620"/>
  <c r="W312"/>
  <c r="H620"/>
  <c r="H312"/>
  <c r="S620"/>
  <c r="S312"/>
  <c r="R620"/>
  <c r="R312"/>
  <c r="F620"/>
  <c r="F312"/>
  <c r="N620"/>
  <c r="N312"/>
  <c r="M620"/>
  <c r="M312"/>
  <c r="L620"/>
  <c r="L312"/>
  <c r="C516" s="1"/>
  <c r="CQ515"/>
  <c r="D515"/>
  <c r="N515"/>
  <c r="B515"/>
  <c r="AB515"/>
  <c r="AC515"/>
  <c r="P619"/>
  <c r="I349" i="20"/>
  <c r="J349"/>
  <c r="P312" i="12" l="1"/>
  <c r="V350" i="20"/>
  <c r="V593"/>
  <c r="H350"/>
  <c r="H593"/>
  <c r="I593"/>
  <c r="S350"/>
  <c r="S593"/>
  <c r="L350"/>
  <c r="L593"/>
  <c r="U593"/>
  <c r="U350"/>
  <c r="T593"/>
  <c r="T350"/>
  <c r="K350"/>
  <c r="K593"/>
  <c r="E593"/>
  <c r="E350"/>
  <c r="R593"/>
  <c r="R350"/>
  <c r="F593"/>
  <c r="F350"/>
  <c r="Q593"/>
  <c r="Q350"/>
  <c r="J593"/>
  <c r="P350"/>
  <c r="P593"/>
  <c r="G350"/>
  <c r="G593"/>
  <c r="O350"/>
  <c r="O593"/>
  <c r="N350"/>
  <c r="N593"/>
  <c r="D351"/>
  <c r="D594"/>
  <c r="W594"/>
  <c r="W351"/>
  <c r="M351"/>
  <c r="M594"/>
  <c r="AD685" i="9"/>
  <c r="AE685" s="1"/>
  <c r="Z685"/>
  <c r="AA685" s="1"/>
  <c r="AJ18" i="8" s="1"/>
  <c r="AL18" s="1"/>
  <c r="AT18"/>
  <c r="AV18" s="1"/>
  <c r="AW18" s="1"/>
  <c r="AM17"/>
  <c r="AO17" s="1"/>
  <c r="AU685" i="9"/>
  <c r="AI18" i="8"/>
  <c r="AM18"/>
  <c r="AO18" s="1"/>
  <c r="AQ17"/>
  <c r="AP17"/>
  <c r="BF687" i="9"/>
  <c r="BE687" s="1"/>
  <c r="L621" i="12"/>
  <c r="L313"/>
  <c r="C517" s="1"/>
  <c r="M621"/>
  <c r="M313"/>
  <c r="N621"/>
  <c r="N313"/>
  <c r="F621"/>
  <c r="F313"/>
  <c r="R621"/>
  <c r="R313"/>
  <c r="S621"/>
  <c r="S313"/>
  <c r="H621"/>
  <c r="H313"/>
  <c r="W621"/>
  <c r="W313"/>
  <c r="AA621"/>
  <c r="AA313"/>
  <c r="Y621"/>
  <c r="Y313"/>
  <c r="U621"/>
  <c r="U313"/>
  <c r="O621"/>
  <c r="O313"/>
  <c r="J621"/>
  <c r="J313"/>
  <c r="X621"/>
  <c r="X313"/>
  <c r="V621"/>
  <c r="V313"/>
  <c r="M517" s="1"/>
  <c r="T621"/>
  <c r="T313"/>
  <c r="G621"/>
  <c r="G313"/>
  <c r="D621"/>
  <c r="D313"/>
  <c r="Z621"/>
  <c r="Z313"/>
  <c r="Q621"/>
  <c r="Q313"/>
  <c r="E621"/>
  <c r="E313"/>
  <c r="I621"/>
  <c r="I313"/>
  <c r="K621"/>
  <c r="K313"/>
  <c r="AC516"/>
  <c r="AB516"/>
  <c r="N516"/>
  <c r="B516"/>
  <c r="CQ516"/>
  <c r="D516"/>
  <c r="P620"/>
  <c r="I350" i="20"/>
  <c r="J350"/>
  <c r="P313" i="12" l="1"/>
  <c r="Q594" i="20"/>
  <c r="Q351"/>
  <c r="F594"/>
  <c r="F351"/>
  <c r="R594"/>
  <c r="R351"/>
  <c r="E594"/>
  <c r="E351"/>
  <c r="T594"/>
  <c r="T351"/>
  <c r="U594"/>
  <c r="U351"/>
  <c r="I594"/>
  <c r="N351"/>
  <c r="N594"/>
  <c r="O351"/>
  <c r="O594"/>
  <c r="G351"/>
  <c r="G594"/>
  <c r="P351"/>
  <c r="P594"/>
  <c r="J594"/>
  <c r="K594"/>
  <c r="K351"/>
  <c r="L594"/>
  <c r="L351"/>
  <c r="S594"/>
  <c r="S351"/>
  <c r="H594"/>
  <c r="H351"/>
  <c r="V594"/>
  <c r="V351"/>
  <c r="W352"/>
  <c r="W595"/>
  <c r="M352"/>
  <c r="M595"/>
  <c r="D595"/>
  <c r="D352"/>
  <c r="W687" i="9"/>
  <c r="AU19" i="8" s="1"/>
  <c r="BB687" i="9"/>
  <c r="AT19" i="8"/>
  <c r="AV19" s="1"/>
  <c r="AW19" s="1"/>
  <c r="AQ18"/>
  <c r="AP18"/>
  <c r="BF688" i="9"/>
  <c r="BE688" s="1"/>
  <c r="K622" i="12"/>
  <c r="K314"/>
  <c r="I622"/>
  <c r="I314"/>
  <c r="E622"/>
  <c r="E314"/>
  <c r="Q622"/>
  <c r="Q314"/>
  <c r="Z622"/>
  <c r="Z314"/>
  <c r="D622"/>
  <c r="D314"/>
  <c r="G622"/>
  <c r="G314"/>
  <c r="T622"/>
  <c r="T314"/>
  <c r="V622"/>
  <c r="V314"/>
  <c r="M518" s="1"/>
  <c r="X622"/>
  <c r="X314"/>
  <c r="J622"/>
  <c r="J314"/>
  <c r="O622"/>
  <c r="O314"/>
  <c r="U622"/>
  <c r="U314"/>
  <c r="Y622"/>
  <c r="Y314"/>
  <c r="AA622"/>
  <c r="AA314"/>
  <c r="W622"/>
  <c r="W314"/>
  <c r="H622"/>
  <c r="H314"/>
  <c r="S622"/>
  <c r="S314"/>
  <c r="R622"/>
  <c r="R314"/>
  <c r="F622"/>
  <c r="F314"/>
  <c r="N622"/>
  <c r="N314"/>
  <c r="M622"/>
  <c r="M314"/>
  <c r="L622"/>
  <c r="L314"/>
  <c r="C518" s="1"/>
  <c r="CQ517"/>
  <c r="D517"/>
  <c r="N517"/>
  <c r="B517"/>
  <c r="AB517"/>
  <c r="AC517"/>
  <c r="J351" i="20"/>
  <c r="P621" i="12"/>
  <c r="I351" i="20"/>
  <c r="P314" i="12" l="1"/>
  <c r="V352" i="20"/>
  <c r="V595"/>
  <c r="H352"/>
  <c r="H595"/>
  <c r="S352"/>
  <c r="S595"/>
  <c r="L352"/>
  <c r="L595"/>
  <c r="K352"/>
  <c r="K595"/>
  <c r="J595"/>
  <c r="U352"/>
  <c r="U595"/>
  <c r="T352"/>
  <c r="T595"/>
  <c r="E352"/>
  <c r="E595"/>
  <c r="R352"/>
  <c r="R595"/>
  <c r="F352"/>
  <c r="F595"/>
  <c r="Q352"/>
  <c r="Q595"/>
  <c r="P352"/>
  <c r="P595"/>
  <c r="G352"/>
  <c r="G595"/>
  <c r="O352"/>
  <c r="O595"/>
  <c r="N352"/>
  <c r="N595"/>
  <c r="I595"/>
  <c r="D353"/>
  <c r="D596"/>
  <c r="M353"/>
  <c r="M596"/>
  <c r="W596"/>
  <c r="W353"/>
  <c r="AD687" i="9"/>
  <c r="AE687" s="1"/>
  <c r="AU687"/>
  <c r="W688"/>
  <c r="AT20" i="8" s="1"/>
  <c r="AV20" s="1"/>
  <c r="AW20" s="1"/>
  <c r="BB688" i="9"/>
  <c r="Z687"/>
  <c r="AI19" i="8" s="1"/>
  <c r="BF689" i="9"/>
  <c r="BE689" s="1"/>
  <c r="L623" i="12"/>
  <c r="L315"/>
  <c r="C519" s="1"/>
  <c r="M623"/>
  <c r="M315"/>
  <c r="N623"/>
  <c r="N315"/>
  <c r="F623"/>
  <c r="F315"/>
  <c r="R623"/>
  <c r="R315"/>
  <c r="S623"/>
  <c r="S315"/>
  <c r="H623"/>
  <c r="H315"/>
  <c r="W623"/>
  <c r="W315"/>
  <c r="AA623"/>
  <c r="AA315"/>
  <c r="Y623"/>
  <c r="Y315"/>
  <c r="U623"/>
  <c r="U315"/>
  <c r="O623"/>
  <c r="O315"/>
  <c r="J623"/>
  <c r="J315"/>
  <c r="X623"/>
  <c r="X315"/>
  <c r="V623"/>
  <c r="V315"/>
  <c r="M519" s="1"/>
  <c r="T623"/>
  <c r="T315"/>
  <c r="G623"/>
  <c r="G315"/>
  <c r="D623"/>
  <c r="D315"/>
  <c r="Z623"/>
  <c r="Z315"/>
  <c r="Q623"/>
  <c r="Q315"/>
  <c r="E623"/>
  <c r="E315"/>
  <c r="I623"/>
  <c r="I315"/>
  <c r="K623"/>
  <c r="K315"/>
  <c r="AC518"/>
  <c r="AB518"/>
  <c r="N518"/>
  <c r="B518"/>
  <c r="CQ518"/>
  <c r="D518"/>
  <c r="J352" i="20"/>
  <c r="I352"/>
  <c r="P622" i="12"/>
  <c r="P315" l="1"/>
  <c r="I596" i="20"/>
  <c r="J596"/>
  <c r="N596"/>
  <c r="N353"/>
  <c r="O596"/>
  <c r="O353"/>
  <c r="G596"/>
  <c r="G353"/>
  <c r="P596"/>
  <c r="P353"/>
  <c r="Q353"/>
  <c r="Q596"/>
  <c r="F353"/>
  <c r="F596"/>
  <c r="R353"/>
  <c r="R596"/>
  <c r="E353"/>
  <c r="E596"/>
  <c r="T353"/>
  <c r="T596"/>
  <c r="U353"/>
  <c r="U596"/>
  <c r="K353"/>
  <c r="K596"/>
  <c r="L353"/>
  <c r="L596"/>
  <c r="S353"/>
  <c r="S596"/>
  <c r="H353"/>
  <c r="H596"/>
  <c r="V353"/>
  <c r="V596"/>
  <c r="W354"/>
  <c r="W597"/>
  <c r="M354"/>
  <c r="M597"/>
  <c r="D597"/>
  <c r="D354"/>
  <c r="AA687" i="9"/>
  <c r="AJ19" i="8" s="1"/>
  <c r="AL19" s="1"/>
  <c r="AQ19" s="1"/>
  <c r="AU688" i="9"/>
  <c r="AM19" i="8"/>
  <c r="AO19" s="1"/>
  <c r="AD688" i="9"/>
  <c r="AE688" s="1"/>
  <c r="W689"/>
  <c r="AT21" i="8" s="1"/>
  <c r="AV21" s="1"/>
  <c r="AW21" s="1"/>
  <c r="BB689" i="9"/>
  <c r="Z688"/>
  <c r="AI20" i="8" s="1"/>
  <c r="AU20"/>
  <c r="AU21"/>
  <c r="AM20"/>
  <c r="AO20" s="1"/>
  <c r="BF690" i="9"/>
  <c r="BE690" s="1"/>
  <c r="K624" i="12"/>
  <c r="K316"/>
  <c r="I624"/>
  <c r="I316"/>
  <c r="E624"/>
  <c r="E316"/>
  <c r="Q624"/>
  <c r="Q316"/>
  <c r="Z624"/>
  <c r="Z316"/>
  <c r="D624"/>
  <c r="D316"/>
  <c r="G624"/>
  <c r="G316"/>
  <c r="T624"/>
  <c r="T316"/>
  <c r="V624"/>
  <c r="V316"/>
  <c r="M520" s="1"/>
  <c r="X624"/>
  <c r="X316"/>
  <c r="J624"/>
  <c r="J316"/>
  <c r="O624"/>
  <c r="O316"/>
  <c r="U624"/>
  <c r="U316"/>
  <c r="Y624"/>
  <c r="Y316"/>
  <c r="AA624"/>
  <c r="AA316"/>
  <c r="W624"/>
  <c r="W316"/>
  <c r="H624"/>
  <c r="H316"/>
  <c r="S624"/>
  <c r="S316"/>
  <c r="R624"/>
  <c r="R316"/>
  <c r="F624"/>
  <c r="F316"/>
  <c r="N624"/>
  <c r="N316"/>
  <c r="M624"/>
  <c r="M316"/>
  <c r="L624"/>
  <c r="L316"/>
  <c r="C520" s="1"/>
  <c r="CQ519"/>
  <c r="D519"/>
  <c r="N519"/>
  <c r="B519"/>
  <c r="AB519"/>
  <c r="AC519"/>
  <c r="P623"/>
  <c r="I353" i="20"/>
  <c r="J353"/>
  <c r="P316" i="12" l="1"/>
  <c r="P597" i="20"/>
  <c r="P354"/>
  <c r="G597"/>
  <c r="G354"/>
  <c r="O597"/>
  <c r="O354"/>
  <c r="N597"/>
  <c r="N354"/>
  <c r="J597"/>
  <c r="I597"/>
  <c r="V354"/>
  <c r="V597"/>
  <c r="H354"/>
  <c r="H597"/>
  <c r="S354"/>
  <c r="S597"/>
  <c r="L354"/>
  <c r="L597"/>
  <c r="K354"/>
  <c r="K597"/>
  <c r="U354"/>
  <c r="U597"/>
  <c r="T354"/>
  <c r="T597"/>
  <c r="E354"/>
  <c r="E597"/>
  <c r="R354"/>
  <c r="R597"/>
  <c r="F354"/>
  <c r="F597"/>
  <c r="Q354"/>
  <c r="Q597"/>
  <c r="D598"/>
  <c r="D355"/>
  <c r="M355"/>
  <c r="M598"/>
  <c r="W598"/>
  <c r="W355"/>
  <c r="AP19" i="8"/>
  <c r="Z689" i="9"/>
  <c r="AA689" s="1"/>
  <c r="AJ21" i="8" s="1"/>
  <c r="AL21" s="1"/>
  <c r="AA688" i="9"/>
  <c r="AJ20" i="8" s="1"/>
  <c r="AL20" s="1"/>
  <c r="AQ20" s="1"/>
  <c r="AD689" i="9"/>
  <c r="AE689" s="1"/>
  <c r="W690"/>
  <c r="AT22" i="8" s="1"/>
  <c r="AV22" s="1"/>
  <c r="AW22" s="1"/>
  <c r="BB690" i="9"/>
  <c r="AU689"/>
  <c r="AI21" i="8"/>
  <c r="BF691" i="9"/>
  <c r="BE691" s="1"/>
  <c r="L625" i="12"/>
  <c r="L317"/>
  <c r="C521" s="1"/>
  <c r="M625"/>
  <c r="M317"/>
  <c r="N625"/>
  <c r="N317"/>
  <c r="F625"/>
  <c r="F317"/>
  <c r="R625"/>
  <c r="R317"/>
  <c r="S625"/>
  <c r="S317"/>
  <c r="H625"/>
  <c r="H317"/>
  <c r="W625"/>
  <c r="W317"/>
  <c r="AA625"/>
  <c r="AA317"/>
  <c r="Y625"/>
  <c r="Y317"/>
  <c r="U625"/>
  <c r="U317"/>
  <c r="O625"/>
  <c r="O317"/>
  <c r="J625"/>
  <c r="J317"/>
  <c r="X625"/>
  <c r="X317"/>
  <c r="V625"/>
  <c r="V317"/>
  <c r="M521" s="1"/>
  <c r="T625"/>
  <c r="T317"/>
  <c r="G625"/>
  <c r="G317"/>
  <c r="D625"/>
  <c r="D317"/>
  <c r="Z625"/>
  <c r="Z317"/>
  <c r="Q625"/>
  <c r="Q317"/>
  <c r="E625"/>
  <c r="E317"/>
  <c r="I625"/>
  <c r="I317"/>
  <c r="K625"/>
  <c r="K317"/>
  <c r="AC520"/>
  <c r="AB520"/>
  <c r="B520"/>
  <c r="N520"/>
  <c r="CQ520"/>
  <c r="D520"/>
  <c r="P624"/>
  <c r="I354" i="20"/>
  <c r="J354"/>
  <c r="P317" i="12" l="1"/>
  <c r="I598" i="20"/>
  <c r="N598"/>
  <c r="N355"/>
  <c r="O598"/>
  <c r="O355"/>
  <c r="G598"/>
  <c r="G355"/>
  <c r="P598"/>
  <c r="P355"/>
  <c r="Q598"/>
  <c r="Q355"/>
  <c r="F598"/>
  <c r="F355"/>
  <c r="R598"/>
  <c r="R355"/>
  <c r="E598"/>
  <c r="E355"/>
  <c r="T598"/>
  <c r="T355"/>
  <c r="U598"/>
  <c r="U355"/>
  <c r="K598"/>
  <c r="K355"/>
  <c r="L598"/>
  <c r="L355"/>
  <c r="S598"/>
  <c r="S355"/>
  <c r="H598"/>
  <c r="H355"/>
  <c r="V598"/>
  <c r="V355"/>
  <c r="J598"/>
  <c r="W599"/>
  <c r="W356"/>
  <c r="D356"/>
  <c r="D599"/>
  <c r="M356"/>
  <c r="M599"/>
  <c r="AP20" i="8"/>
  <c r="Z690" i="9"/>
  <c r="AA690" s="1"/>
  <c r="AJ22" i="8" s="1"/>
  <c r="AL22" s="1"/>
  <c r="AM21"/>
  <c r="AO21" s="1"/>
  <c r="AU22"/>
  <c r="W691" i="9"/>
  <c r="AT23" i="8" s="1"/>
  <c r="AV23" s="1"/>
  <c r="AW23" s="1"/>
  <c r="BB691" i="9"/>
  <c r="AD690"/>
  <c r="AE690" s="1"/>
  <c r="AU690"/>
  <c r="AU23" i="8"/>
  <c r="AQ21"/>
  <c r="AP21"/>
  <c r="AI22"/>
  <c r="BF692" i="9"/>
  <c r="BE692" s="1"/>
  <c r="BB692" s="1"/>
  <c r="K626" i="12"/>
  <c r="K318"/>
  <c r="I626"/>
  <c r="I318"/>
  <c r="E626"/>
  <c r="E318"/>
  <c r="Q626"/>
  <c r="Q318"/>
  <c r="Z626"/>
  <c r="Z318"/>
  <c r="D626"/>
  <c r="D318"/>
  <c r="G626"/>
  <c r="G318"/>
  <c r="T626"/>
  <c r="T318"/>
  <c r="V626"/>
  <c r="V318"/>
  <c r="X626"/>
  <c r="X318"/>
  <c r="J626"/>
  <c r="J318"/>
  <c r="O626"/>
  <c r="O318"/>
  <c r="U626"/>
  <c r="U318"/>
  <c r="Y626"/>
  <c r="Y318"/>
  <c r="AA626"/>
  <c r="AA318"/>
  <c r="W626"/>
  <c r="W318"/>
  <c r="H626"/>
  <c r="H318"/>
  <c r="S626"/>
  <c r="S318"/>
  <c r="R626"/>
  <c r="R318"/>
  <c r="F626"/>
  <c r="F318"/>
  <c r="N626"/>
  <c r="N318"/>
  <c r="M626"/>
  <c r="M318"/>
  <c r="L626"/>
  <c r="L318"/>
  <c r="CQ521"/>
  <c r="D521"/>
  <c r="N521"/>
  <c r="B521"/>
  <c r="AC521"/>
  <c r="AB521"/>
  <c r="P625"/>
  <c r="I355" i="20"/>
  <c r="J355"/>
  <c r="P318" i="12" l="1"/>
  <c r="J599" i="20"/>
  <c r="V356"/>
  <c r="V599"/>
  <c r="H356"/>
  <c r="H599"/>
  <c r="S356"/>
  <c r="S599"/>
  <c r="L356"/>
  <c r="L599"/>
  <c r="K356"/>
  <c r="K599"/>
  <c r="U356"/>
  <c r="U599"/>
  <c r="T356"/>
  <c r="T599"/>
  <c r="E356"/>
  <c r="E599"/>
  <c r="R356"/>
  <c r="R599"/>
  <c r="F356"/>
  <c r="F599"/>
  <c r="Q356"/>
  <c r="Q599"/>
  <c r="P599"/>
  <c r="P356"/>
  <c r="G599"/>
  <c r="G356"/>
  <c r="O599"/>
  <c r="O356"/>
  <c r="N599"/>
  <c r="N356"/>
  <c r="I599"/>
  <c r="W600"/>
  <c r="W357"/>
  <c r="M600"/>
  <c r="M357"/>
  <c r="D357"/>
  <c r="D600"/>
  <c r="AD691" i="9"/>
  <c r="AE691" s="1"/>
  <c r="AU691"/>
  <c r="AM22" i="8"/>
  <c r="AO22" s="1"/>
  <c r="Z691" i="9"/>
  <c r="AA691" s="1"/>
  <c r="AJ23" i="8" s="1"/>
  <c r="AL23" s="1"/>
  <c r="AQ22"/>
  <c r="AP22"/>
  <c r="AM23"/>
  <c r="AO23" s="1"/>
  <c r="AI23"/>
  <c r="BF693" i="9"/>
  <c r="BE693" s="1"/>
  <c r="L627" i="12"/>
  <c r="L319"/>
  <c r="M627"/>
  <c r="M319"/>
  <c r="N627"/>
  <c r="N319"/>
  <c r="F627"/>
  <c r="F319"/>
  <c r="R627"/>
  <c r="R319"/>
  <c r="S627"/>
  <c r="S319"/>
  <c r="H627"/>
  <c r="H319"/>
  <c r="W627"/>
  <c r="W319"/>
  <c r="AA627"/>
  <c r="AA319"/>
  <c r="Y627"/>
  <c r="Y319"/>
  <c r="U627"/>
  <c r="U319"/>
  <c r="O627"/>
  <c r="O319"/>
  <c r="J627"/>
  <c r="J319"/>
  <c r="X627"/>
  <c r="X319"/>
  <c r="V627"/>
  <c r="V319"/>
  <c r="T627"/>
  <c r="T319"/>
  <c r="G627"/>
  <c r="G319"/>
  <c r="D627"/>
  <c r="D319"/>
  <c r="Z627"/>
  <c r="Z319"/>
  <c r="Q627"/>
  <c r="Q319"/>
  <c r="E627"/>
  <c r="E319"/>
  <c r="I627"/>
  <c r="I319"/>
  <c r="K627"/>
  <c r="K319"/>
  <c r="P626"/>
  <c r="J356" i="20"/>
  <c r="I356"/>
  <c r="P319" i="12" l="1"/>
  <c r="I600" i="20"/>
  <c r="N357"/>
  <c r="N600"/>
  <c r="O357"/>
  <c r="O600"/>
  <c r="G357"/>
  <c r="G600"/>
  <c r="P357"/>
  <c r="P600"/>
  <c r="J600"/>
  <c r="Q600"/>
  <c r="Q357"/>
  <c r="F600"/>
  <c r="F357"/>
  <c r="R600"/>
  <c r="R357"/>
  <c r="E600"/>
  <c r="E357"/>
  <c r="T600"/>
  <c r="T357"/>
  <c r="U600"/>
  <c r="U357"/>
  <c r="K600"/>
  <c r="K357"/>
  <c r="L600"/>
  <c r="L357"/>
  <c r="S600"/>
  <c r="S357"/>
  <c r="H600"/>
  <c r="H357"/>
  <c r="V600"/>
  <c r="V357"/>
  <c r="M601"/>
  <c r="M358"/>
  <c r="W358"/>
  <c r="W601"/>
  <c r="D358"/>
  <c r="D601"/>
  <c r="W693" i="9"/>
  <c r="AU693" s="1"/>
  <c r="BB693"/>
  <c r="AU24" i="8"/>
  <c r="AQ23"/>
  <c r="AP23"/>
  <c r="BF694" i="9"/>
  <c r="BE694" s="1"/>
  <c r="K628" i="12"/>
  <c r="K320"/>
  <c r="I628"/>
  <c r="I320"/>
  <c r="E628"/>
  <c r="E320"/>
  <c r="Q628"/>
  <c r="Q320"/>
  <c r="Z628"/>
  <c r="Z320"/>
  <c r="D628"/>
  <c r="D320"/>
  <c r="G628"/>
  <c r="G320"/>
  <c r="T628"/>
  <c r="T320"/>
  <c r="V628"/>
  <c r="V320"/>
  <c r="X628"/>
  <c r="X320"/>
  <c r="J628"/>
  <c r="J320"/>
  <c r="O628"/>
  <c r="O320"/>
  <c r="U628"/>
  <c r="U320"/>
  <c r="Y628"/>
  <c r="Y320"/>
  <c r="AA628"/>
  <c r="AA320"/>
  <c r="W628"/>
  <c r="W320"/>
  <c r="H628"/>
  <c r="H320"/>
  <c r="S628"/>
  <c r="S320"/>
  <c r="R628"/>
  <c r="R320"/>
  <c r="F628"/>
  <c r="F320"/>
  <c r="N628"/>
  <c r="N320"/>
  <c r="M628"/>
  <c r="M320"/>
  <c r="L628"/>
  <c r="L320"/>
  <c r="P627"/>
  <c r="J357" i="20"/>
  <c r="I357"/>
  <c r="P320" i="12" l="1"/>
  <c r="V358" i="20"/>
  <c r="V601"/>
  <c r="H358"/>
  <c r="H601"/>
  <c r="S358"/>
  <c r="S601"/>
  <c r="L358"/>
  <c r="L601"/>
  <c r="K358"/>
  <c r="K601"/>
  <c r="U358"/>
  <c r="U601"/>
  <c r="T358"/>
  <c r="T601"/>
  <c r="E358"/>
  <c r="E601"/>
  <c r="R358"/>
  <c r="R601"/>
  <c r="F358"/>
  <c r="F601"/>
  <c r="Q358"/>
  <c r="Q601"/>
  <c r="J601"/>
  <c r="P601"/>
  <c r="P358"/>
  <c r="G601"/>
  <c r="G358"/>
  <c r="O601"/>
  <c r="O358"/>
  <c r="N601"/>
  <c r="N358"/>
  <c r="I601"/>
  <c r="M602"/>
  <c r="M359"/>
  <c r="D359"/>
  <c r="D602"/>
  <c r="W602"/>
  <c r="W359"/>
  <c r="AD693" i="9"/>
  <c r="AE693" s="1"/>
  <c r="Z693"/>
  <c r="AI24" i="8" s="1"/>
  <c r="W694" i="9"/>
  <c r="AU25" i="8" s="1"/>
  <c r="BB694" i="9"/>
  <c r="AT24" i="8"/>
  <c r="AV24" s="1"/>
  <c r="AW24" s="1"/>
  <c r="AA693" i="9"/>
  <c r="AJ24" i="8" s="1"/>
  <c r="AL24" s="1"/>
  <c r="BF695" i="9"/>
  <c r="BE695" s="1"/>
  <c r="L629" i="12"/>
  <c r="L321"/>
  <c r="M629"/>
  <c r="M321"/>
  <c r="N629"/>
  <c r="N321"/>
  <c r="F629"/>
  <c r="F321"/>
  <c r="R629"/>
  <c r="R321"/>
  <c r="S629"/>
  <c r="S321"/>
  <c r="H629"/>
  <c r="H321"/>
  <c r="W629"/>
  <c r="W321"/>
  <c r="AA629"/>
  <c r="AA321"/>
  <c r="Y629"/>
  <c r="Y321"/>
  <c r="U629"/>
  <c r="U321"/>
  <c r="O629"/>
  <c r="O321"/>
  <c r="J629"/>
  <c r="J321"/>
  <c r="X629"/>
  <c r="X321"/>
  <c r="V629"/>
  <c r="V321"/>
  <c r="T629"/>
  <c r="T321"/>
  <c r="G629"/>
  <c r="G321"/>
  <c r="D629"/>
  <c r="D321"/>
  <c r="Z629"/>
  <c r="Z321"/>
  <c r="Q629"/>
  <c r="Q321"/>
  <c r="E629"/>
  <c r="E321"/>
  <c r="I629"/>
  <c r="I321"/>
  <c r="K629"/>
  <c r="K321"/>
  <c r="J358" i="20"/>
  <c r="I358"/>
  <c r="P628" i="12"/>
  <c r="P321" l="1"/>
  <c r="I602" i="20"/>
  <c r="N359"/>
  <c r="N602"/>
  <c r="O359"/>
  <c r="O602"/>
  <c r="G359"/>
  <c r="G602"/>
  <c r="P359"/>
  <c r="P602"/>
  <c r="J602"/>
  <c r="Q602"/>
  <c r="Q359"/>
  <c r="F602"/>
  <c r="F359"/>
  <c r="R602"/>
  <c r="R359"/>
  <c r="E602"/>
  <c r="E359"/>
  <c r="T602"/>
  <c r="T359"/>
  <c r="U602"/>
  <c r="U359"/>
  <c r="K602"/>
  <c r="K359"/>
  <c r="L602"/>
  <c r="L359"/>
  <c r="S602"/>
  <c r="S359"/>
  <c r="H602"/>
  <c r="H359"/>
  <c r="V602"/>
  <c r="V359"/>
  <c r="W603"/>
  <c r="W360"/>
  <c r="M603"/>
  <c r="M360"/>
  <c r="D360"/>
  <c r="D603"/>
  <c r="Z694" i="9"/>
  <c r="AA694" s="1"/>
  <c r="AJ25" i="8" s="1"/>
  <c r="AL25" s="1"/>
  <c r="AM24"/>
  <c r="AO24" s="1"/>
  <c r="AT25"/>
  <c r="AV25" s="1"/>
  <c r="AW25" s="1"/>
  <c r="W695" i="9"/>
  <c r="AU26" i="8" s="1"/>
  <c r="BB695" i="9"/>
  <c r="AD694"/>
  <c r="AE694" s="1"/>
  <c r="AU694"/>
  <c r="AT26" i="8"/>
  <c r="AV26" s="1"/>
  <c r="AW26" s="1"/>
  <c r="AQ24"/>
  <c r="AP24"/>
  <c r="AI25"/>
  <c r="BF696" i="9"/>
  <c r="BE696" s="1"/>
  <c r="K630" i="12"/>
  <c r="K322"/>
  <c r="I630"/>
  <c r="I322"/>
  <c r="E630"/>
  <c r="E322"/>
  <c r="Q630"/>
  <c r="Q322"/>
  <c r="Z630"/>
  <c r="Z322"/>
  <c r="D630"/>
  <c r="D322"/>
  <c r="G630"/>
  <c r="G322"/>
  <c r="T630"/>
  <c r="T322"/>
  <c r="V630"/>
  <c r="V322"/>
  <c r="X630"/>
  <c r="X322"/>
  <c r="J630"/>
  <c r="J322"/>
  <c r="O630"/>
  <c r="O322"/>
  <c r="U630"/>
  <c r="U322"/>
  <c r="Y630"/>
  <c r="Y322"/>
  <c r="AA630"/>
  <c r="AA322"/>
  <c r="W630"/>
  <c r="W322"/>
  <c r="H630"/>
  <c r="H322"/>
  <c r="S630"/>
  <c r="S322"/>
  <c r="R630"/>
  <c r="R322"/>
  <c r="F630"/>
  <c r="F322"/>
  <c r="N630"/>
  <c r="N322"/>
  <c r="M630"/>
  <c r="M322"/>
  <c r="L630"/>
  <c r="L322"/>
  <c r="P629"/>
  <c r="I359" i="20"/>
  <c r="J359"/>
  <c r="P322" i="12" l="1"/>
  <c r="V603" i="20"/>
  <c r="V360"/>
  <c r="H603"/>
  <c r="H360"/>
  <c r="S603"/>
  <c r="S360"/>
  <c r="L603"/>
  <c r="L360"/>
  <c r="K603"/>
  <c r="K360"/>
  <c r="U603"/>
  <c r="U360"/>
  <c r="T603"/>
  <c r="T360"/>
  <c r="E603"/>
  <c r="E360"/>
  <c r="R603"/>
  <c r="R360"/>
  <c r="F603"/>
  <c r="F360"/>
  <c r="Q603"/>
  <c r="Q360"/>
  <c r="J603"/>
  <c r="I603"/>
  <c r="P360"/>
  <c r="P603"/>
  <c r="G360"/>
  <c r="G603"/>
  <c r="O360"/>
  <c r="O603"/>
  <c r="N360"/>
  <c r="N603"/>
  <c r="M361"/>
  <c r="M604"/>
  <c r="W361"/>
  <c r="W604"/>
  <c r="D604"/>
  <c r="D361"/>
  <c r="Z695" i="9"/>
  <c r="AA695" s="1"/>
  <c r="AJ26" i="8" s="1"/>
  <c r="AL26" s="1"/>
  <c r="AD695" i="9"/>
  <c r="AE695" s="1"/>
  <c r="W696"/>
  <c r="AU27" i="8" s="1"/>
  <c r="BB696" i="9"/>
  <c r="AM25" i="8"/>
  <c r="AO25" s="1"/>
  <c r="AU695" i="9"/>
  <c r="AT27" i="8"/>
  <c r="AV27" s="1"/>
  <c r="AW27" s="1"/>
  <c r="AQ25"/>
  <c r="AP25"/>
  <c r="BF697" i="9"/>
  <c r="BE697" s="1"/>
  <c r="L631" i="12"/>
  <c r="L323"/>
  <c r="M631"/>
  <c r="M323"/>
  <c r="N631"/>
  <c r="N323"/>
  <c r="F631"/>
  <c r="F323"/>
  <c r="R631"/>
  <c r="R323"/>
  <c r="S631"/>
  <c r="S323"/>
  <c r="H631"/>
  <c r="H323"/>
  <c r="W631"/>
  <c r="W323"/>
  <c r="AA631"/>
  <c r="AA323"/>
  <c r="Y631"/>
  <c r="Y323"/>
  <c r="U631"/>
  <c r="U323"/>
  <c r="O631"/>
  <c r="O323"/>
  <c r="J631"/>
  <c r="J323"/>
  <c r="X631"/>
  <c r="X323"/>
  <c r="V631"/>
  <c r="V323"/>
  <c r="T631"/>
  <c r="T323"/>
  <c r="G631"/>
  <c r="G323"/>
  <c r="D631"/>
  <c r="D323"/>
  <c r="Z631"/>
  <c r="Z323"/>
  <c r="Q631"/>
  <c r="Q323"/>
  <c r="E631"/>
  <c r="E323"/>
  <c r="I631"/>
  <c r="I323"/>
  <c r="K631"/>
  <c r="K323"/>
  <c r="P630"/>
  <c r="J360" i="20"/>
  <c r="I360"/>
  <c r="P323" i="12" l="1"/>
  <c r="I604" i="20"/>
  <c r="J604"/>
  <c r="Q361"/>
  <c r="Q604"/>
  <c r="F361"/>
  <c r="F604"/>
  <c r="R361"/>
  <c r="R604"/>
  <c r="E361"/>
  <c r="E604"/>
  <c r="T361"/>
  <c r="T604"/>
  <c r="U361"/>
  <c r="U604"/>
  <c r="K361"/>
  <c r="K604"/>
  <c r="L361"/>
  <c r="L604"/>
  <c r="S361"/>
  <c r="S604"/>
  <c r="H361"/>
  <c r="H604"/>
  <c r="V361"/>
  <c r="V604"/>
  <c r="N604"/>
  <c r="N361"/>
  <c r="O604"/>
  <c r="O361"/>
  <c r="G604"/>
  <c r="G361"/>
  <c r="P604"/>
  <c r="P361"/>
  <c r="D605"/>
  <c r="D362"/>
  <c r="W605"/>
  <c r="W362"/>
  <c r="M605"/>
  <c r="M362"/>
  <c r="AI26" i="8"/>
  <c r="AD696" i="9"/>
  <c r="AE696" s="1"/>
  <c r="Z696"/>
  <c r="AI35" i="8" s="1"/>
  <c r="AU35"/>
  <c r="AM26"/>
  <c r="AO26" s="1"/>
  <c r="W697" i="9"/>
  <c r="AU697" s="1"/>
  <c r="BB697"/>
  <c r="AU696"/>
  <c r="AT35" i="8"/>
  <c r="AV35" s="1"/>
  <c r="AW35" s="1"/>
  <c r="AQ26"/>
  <c r="AP26"/>
  <c r="AM27"/>
  <c r="AO27" s="1"/>
  <c r="BF698" i="9"/>
  <c r="BE698" s="1"/>
  <c r="K632" i="12"/>
  <c r="K324"/>
  <c r="I632"/>
  <c r="I324"/>
  <c r="E632"/>
  <c r="E324"/>
  <c r="Q632"/>
  <c r="Q324"/>
  <c r="Z632"/>
  <c r="Z324"/>
  <c r="D632"/>
  <c r="D324"/>
  <c r="G632"/>
  <c r="G324"/>
  <c r="T632"/>
  <c r="T324"/>
  <c r="V632"/>
  <c r="V324"/>
  <c r="X632"/>
  <c r="X324"/>
  <c r="J632"/>
  <c r="J324"/>
  <c r="O632"/>
  <c r="O324"/>
  <c r="U632"/>
  <c r="U324"/>
  <c r="Y632"/>
  <c r="Y324"/>
  <c r="AA632"/>
  <c r="AA324"/>
  <c r="W632"/>
  <c r="W324"/>
  <c r="H632"/>
  <c r="H324"/>
  <c r="S632"/>
  <c r="S324"/>
  <c r="R632"/>
  <c r="R324"/>
  <c r="F632"/>
  <c r="F324"/>
  <c r="N632"/>
  <c r="N324"/>
  <c r="M632"/>
  <c r="M324"/>
  <c r="L632"/>
  <c r="L324"/>
  <c r="I361" i="20"/>
  <c r="P631" i="12"/>
  <c r="J361" i="20"/>
  <c r="P324" i="12" l="1"/>
  <c r="P362" i="20"/>
  <c r="P605"/>
  <c r="G362"/>
  <c r="G605"/>
  <c r="O362"/>
  <c r="O605"/>
  <c r="N362"/>
  <c r="N605"/>
  <c r="I605"/>
  <c r="V362"/>
  <c r="V605"/>
  <c r="H362"/>
  <c r="H605"/>
  <c r="S362"/>
  <c r="S605"/>
  <c r="L362"/>
  <c r="L605"/>
  <c r="K362"/>
  <c r="K605"/>
  <c r="U362"/>
  <c r="U605"/>
  <c r="T362"/>
  <c r="T605"/>
  <c r="E362"/>
  <c r="E605"/>
  <c r="R362"/>
  <c r="R605"/>
  <c r="F362"/>
  <c r="F605"/>
  <c r="Q362"/>
  <c r="Q605"/>
  <c r="J605"/>
  <c r="M363"/>
  <c r="M606"/>
  <c r="W606"/>
  <c r="W363"/>
  <c r="D606"/>
  <c r="D363"/>
  <c r="AI27" i="8"/>
  <c r="AU28"/>
  <c r="AD697" i="9"/>
  <c r="AE697" s="1"/>
  <c r="AA696"/>
  <c r="AJ27" i="8" s="1"/>
  <c r="AL27" s="1"/>
  <c r="AM35"/>
  <c r="AO35" s="1"/>
  <c r="Z697" i="9"/>
  <c r="AI28" i="8" s="1"/>
  <c r="W698" i="9"/>
  <c r="AU29" i="8" s="1"/>
  <c r="BB698" i="9"/>
  <c r="AT28" i="8"/>
  <c r="AV28" s="1"/>
  <c r="AW28" s="1"/>
  <c r="AJ35"/>
  <c r="AL35" s="1"/>
  <c r="BF699" i="9"/>
  <c r="BE699" s="1"/>
  <c r="L633" i="12"/>
  <c r="L325"/>
  <c r="M633"/>
  <c r="M325"/>
  <c r="N633"/>
  <c r="N325"/>
  <c r="F633"/>
  <c r="F325"/>
  <c r="R633"/>
  <c r="R325"/>
  <c r="S633"/>
  <c r="S325"/>
  <c r="H633"/>
  <c r="H325"/>
  <c r="W633"/>
  <c r="W325"/>
  <c r="AA633"/>
  <c r="AA325"/>
  <c r="Y633"/>
  <c r="Y325"/>
  <c r="U633"/>
  <c r="U325"/>
  <c r="O633"/>
  <c r="O325"/>
  <c r="J633"/>
  <c r="J325"/>
  <c r="X633"/>
  <c r="X325"/>
  <c r="V633"/>
  <c r="V325"/>
  <c r="T633"/>
  <c r="T325"/>
  <c r="G633"/>
  <c r="G325"/>
  <c r="D633"/>
  <c r="D325"/>
  <c r="Z633"/>
  <c r="Z325"/>
  <c r="Q633"/>
  <c r="Q325"/>
  <c r="E633"/>
  <c r="E325"/>
  <c r="I633"/>
  <c r="I325"/>
  <c r="K633"/>
  <c r="K325"/>
  <c r="P632"/>
  <c r="I362" i="20"/>
  <c r="J362"/>
  <c r="P325" i="12" l="1"/>
  <c r="J606" i="20"/>
  <c r="I606"/>
  <c r="Q606"/>
  <c r="Q363"/>
  <c r="F606"/>
  <c r="F363"/>
  <c r="R606"/>
  <c r="R363"/>
  <c r="E606"/>
  <c r="E363"/>
  <c r="T606"/>
  <c r="T363"/>
  <c r="U606"/>
  <c r="U363"/>
  <c r="K606"/>
  <c r="K363"/>
  <c r="L606"/>
  <c r="L363"/>
  <c r="S606"/>
  <c r="S363"/>
  <c r="H606"/>
  <c r="H363"/>
  <c r="V606"/>
  <c r="V363"/>
  <c r="N606"/>
  <c r="N363"/>
  <c r="O606"/>
  <c r="O363"/>
  <c r="G606"/>
  <c r="G363"/>
  <c r="P606"/>
  <c r="P363"/>
  <c r="D607"/>
  <c r="D364"/>
  <c r="W607"/>
  <c r="W364"/>
  <c r="M364"/>
  <c r="M607"/>
  <c r="AM28" i="8"/>
  <c r="AO28" s="1"/>
  <c r="AA697" i="9"/>
  <c r="AJ28" i="8" s="1"/>
  <c r="AL28" s="1"/>
  <c r="AP28" s="1"/>
  <c r="Z698" i="9"/>
  <c r="AI29" i="8" s="1"/>
  <c r="AT29"/>
  <c r="AV29" s="1"/>
  <c r="AW29" s="1"/>
  <c r="W699" i="9"/>
  <c r="AU30" i="8" s="1"/>
  <c r="BB699" i="9"/>
  <c r="AD698"/>
  <c r="AE698" s="1"/>
  <c r="AU698"/>
  <c r="AT30" i="8"/>
  <c r="AV30" s="1"/>
  <c r="AW30" s="1"/>
  <c r="AQ35"/>
  <c r="AP35"/>
  <c r="AQ28"/>
  <c r="AQ27"/>
  <c r="AP27"/>
  <c r="BF700" i="9"/>
  <c r="BE700" s="1"/>
  <c r="K634" i="12"/>
  <c r="K326"/>
  <c r="I634"/>
  <c r="I326"/>
  <c r="E634"/>
  <c r="E326"/>
  <c r="Q634"/>
  <c r="Q326"/>
  <c r="Z634"/>
  <c r="Z326"/>
  <c r="D634"/>
  <c r="D326"/>
  <c r="G634"/>
  <c r="G326"/>
  <c r="T634"/>
  <c r="T326"/>
  <c r="V634"/>
  <c r="V326"/>
  <c r="X634"/>
  <c r="X326"/>
  <c r="J634"/>
  <c r="J326"/>
  <c r="O634"/>
  <c r="O326"/>
  <c r="U634"/>
  <c r="U326"/>
  <c r="Y634"/>
  <c r="Y326"/>
  <c r="AA634"/>
  <c r="AA326"/>
  <c r="W634"/>
  <c r="W326"/>
  <c r="H634"/>
  <c r="H326"/>
  <c r="S634"/>
  <c r="S326"/>
  <c r="R634"/>
  <c r="R326"/>
  <c r="F634"/>
  <c r="F326"/>
  <c r="N634"/>
  <c r="N326"/>
  <c r="M634"/>
  <c r="M326"/>
  <c r="L634"/>
  <c r="L326"/>
  <c r="P633"/>
  <c r="I363" i="20"/>
  <c r="J363"/>
  <c r="P326" i="12" l="1"/>
  <c r="P364" i="20"/>
  <c r="P607"/>
  <c r="G364"/>
  <c r="G607"/>
  <c r="O364"/>
  <c r="O607"/>
  <c r="N364"/>
  <c r="N607"/>
  <c r="V607"/>
  <c r="V364"/>
  <c r="H607"/>
  <c r="H364"/>
  <c r="S607"/>
  <c r="S364"/>
  <c r="L607"/>
  <c r="L364"/>
  <c r="K607"/>
  <c r="K364"/>
  <c r="U607"/>
  <c r="U364"/>
  <c r="T607"/>
  <c r="T364"/>
  <c r="E607"/>
  <c r="E364"/>
  <c r="R607"/>
  <c r="R364"/>
  <c r="F607"/>
  <c r="F364"/>
  <c r="Q607"/>
  <c r="Q364"/>
  <c r="I607"/>
  <c r="J607"/>
  <c r="W365"/>
  <c r="W608"/>
  <c r="D365"/>
  <c r="D608"/>
  <c r="M608"/>
  <c r="M365"/>
  <c r="AA698" i="9"/>
  <c r="AJ29" i="8" s="1"/>
  <c r="AL29" s="1"/>
  <c r="AP29" s="1"/>
  <c r="Z699" i="9"/>
  <c r="AA699" s="1"/>
  <c r="AJ30" i="8" s="1"/>
  <c r="AL30" s="1"/>
  <c r="AD699" i="9"/>
  <c r="AE699" s="1"/>
  <c r="W700"/>
  <c r="AD700" s="1"/>
  <c r="AE700" s="1"/>
  <c r="BB700"/>
  <c r="AM29" i="8"/>
  <c r="AO29" s="1"/>
  <c r="AU699" i="9"/>
  <c r="AU31" i="8"/>
  <c r="AQ29"/>
  <c r="AI30"/>
  <c r="BF701" i="9"/>
  <c r="BE701" s="1"/>
  <c r="L635" i="12"/>
  <c r="L327"/>
  <c r="M635"/>
  <c r="M327"/>
  <c r="N635"/>
  <c r="N327"/>
  <c r="F635"/>
  <c r="F327"/>
  <c r="R635"/>
  <c r="R327"/>
  <c r="S635"/>
  <c r="S327"/>
  <c r="H635"/>
  <c r="H327"/>
  <c r="W635"/>
  <c r="W327"/>
  <c r="AA635"/>
  <c r="AA327"/>
  <c r="Y635"/>
  <c r="Y327"/>
  <c r="U635"/>
  <c r="U327"/>
  <c r="O635"/>
  <c r="O327"/>
  <c r="J635"/>
  <c r="J327"/>
  <c r="X635"/>
  <c r="X327"/>
  <c r="V635"/>
  <c r="V327"/>
  <c r="T635"/>
  <c r="T327"/>
  <c r="G635"/>
  <c r="G327"/>
  <c r="D635"/>
  <c r="D327"/>
  <c r="Z635"/>
  <c r="Z327"/>
  <c r="Q635"/>
  <c r="Q327"/>
  <c r="E635"/>
  <c r="E327"/>
  <c r="I635"/>
  <c r="I327"/>
  <c r="K635"/>
  <c r="K327"/>
  <c r="P634"/>
  <c r="I364" i="20"/>
  <c r="J364"/>
  <c r="P327" i="12" l="1"/>
  <c r="J608" i="20"/>
  <c r="I608"/>
  <c r="Q608"/>
  <c r="Q365"/>
  <c r="F608"/>
  <c r="F365"/>
  <c r="R608"/>
  <c r="R365"/>
  <c r="E608"/>
  <c r="E365"/>
  <c r="T608"/>
  <c r="T365"/>
  <c r="U608"/>
  <c r="U365"/>
  <c r="K608"/>
  <c r="K365"/>
  <c r="L608"/>
  <c r="L365"/>
  <c r="S608"/>
  <c r="S365"/>
  <c r="H608"/>
  <c r="H365"/>
  <c r="V608"/>
  <c r="V365"/>
  <c r="N365"/>
  <c r="N608"/>
  <c r="O608"/>
  <c r="O365"/>
  <c r="G365"/>
  <c r="G608"/>
  <c r="P608"/>
  <c r="P365"/>
  <c r="M609"/>
  <c r="M366"/>
  <c r="D366"/>
  <c r="D609"/>
  <c r="W366"/>
  <c r="W609"/>
  <c r="Z700" i="9"/>
  <c r="AI31" i="8" s="1"/>
  <c r="AM30"/>
  <c r="AO30" s="1"/>
  <c r="AT31"/>
  <c r="AV31" s="1"/>
  <c r="AW31" s="1"/>
  <c r="W701" i="9"/>
  <c r="AU32" i="8" s="1"/>
  <c r="BB701" i="9"/>
  <c r="AU700"/>
  <c r="AQ30" i="8"/>
  <c r="AP30"/>
  <c r="AM31"/>
  <c r="AO31" s="1"/>
  <c r="BF702" i="9"/>
  <c r="BE702" s="1"/>
  <c r="K636" i="12"/>
  <c r="K328"/>
  <c r="I636"/>
  <c r="I328"/>
  <c r="E636"/>
  <c r="E328"/>
  <c r="Q636"/>
  <c r="Q328"/>
  <c r="Z636"/>
  <c r="Z328"/>
  <c r="D636"/>
  <c r="D328"/>
  <c r="G636"/>
  <c r="G328"/>
  <c r="T636"/>
  <c r="T328"/>
  <c r="V636"/>
  <c r="V328"/>
  <c r="X636"/>
  <c r="X328"/>
  <c r="J636"/>
  <c r="J328"/>
  <c r="O636"/>
  <c r="O328"/>
  <c r="U636"/>
  <c r="U328"/>
  <c r="Y636"/>
  <c r="Y328"/>
  <c r="AA636"/>
  <c r="AA328"/>
  <c r="W636"/>
  <c r="W328"/>
  <c r="H636"/>
  <c r="H328"/>
  <c r="S636"/>
  <c r="S328"/>
  <c r="R636"/>
  <c r="R328"/>
  <c r="F636"/>
  <c r="F328"/>
  <c r="N636"/>
  <c r="N328"/>
  <c r="M636"/>
  <c r="M328"/>
  <c r="L636"/>
  <c r="L328"/>
  <c r="P635"/>
  <c r="J365" i="20"/>
  <c r="I365"/>
  <c r="P328" i="12" l="1"/>
  <c r="P366" i="20"/>
  <c r="P609"/>
  <c r="O366"/>
  <c r="O609"/>
  <c r="V366"/>
  <c r="V609"/>
  <c r="H609"/>
  <c r="H366"/>
  <c r="S609"/>
  <c r="S366"/>
  <c r="L366"/>
  <c r="L609"/>
  <c r="K366"/>
  <c r="K609"/>
  <c r="U609"/>
  <c r="U366"/>
  <c r="T609"/>
  <c r="T366"/>
  <c r="E366"/>
  <c r="E609"/>
  <c r="R366"/>
  <c r="R609"/>
  <c r="F366"/>
  <c r="F609"/>
  <c r="Q609"/>
  <c r="Q366"/>
  <c r="J609"/>
  <c r="J366"/>
  <c r="G366"/>
  <c r="G609"/>
  <c r="N366"/>
  <c r="N609"/>
  <c r="I609"/>
  <c r="M367"/>
  <c r="M610"/>
  <c r="W367"/>
  <c r="W610"/>
  <c r="D610"/>
  <c r="D367"/>
  <c r="AT32" i="8"/>
  <c r="AV32" s="1"/>
  <c r="AW32" s="1"/>
  <c r="AA700" i="9"/>
  <c r="AJ31" i="8" s="1"/>
  <c r="AL31" s="1"/>
  <c r="AP31" s="1"/>
  <c r="AU701" i="9"/>
  <c r="W702"/>
  <c r="AU702" s="1"/>
  <c r="BB702"/>
  <c r="AD701"/>
  <c r="AE701" s="1"/>
  <c r="Z701"/>
  <c r="AI32" i="8" s="1"/>
  <c r="AT33"/>
  <c r="AV33" s="1"/>
  <c r="AW33" s="1"/>
  <c r="BF703" i="9"/>
  <c r="BE703" s="1"/>
  <c r="L637" i="12"/>
  <c r="L329"/>
  <c r="M637"/>
  <c r="M329"/>
  <c r="N637"/>
  <c r="N329"/>
  <c r="F637"/>
  <c r="F329"/>
  <c r="R637"/>
  <c r="R329"/>
  <c r="S637"/>
  <c r="S329"/>
  <c r="H637"/>
  <c r="H329"/>
  <c r="W637"/>
  <c r="W329"/>
  <c r="AA637"/>
  <c r="AA329"/>
  <c r="Y637"/>
  <c r="Y329"/>
  <c r="U637"/>
  <c r="U329"/>
  <c r="O637"/>
  <c r="O329"/>
  <c r="J637"/>
  <c r="J329"/>
  <c r="X637"/>
  <c r="X329"/>
  <c r="V637"/>
  <c r="V329"/>
  <c r="T637"/>
  <c r="T329"/>
  <c r="G637"/>
  <c r="G329"/>
  <c r="D637"/>
  <c r="D329"/>
  <c r="Z637"/>
  <c r="Z329"/>
  <c r="Q637"/>
  <c r="Q329"/>
  <c r="E637"/>
  <c r="E329"/>
  <c r="I637"/>
  <c r="I329"/>
  <c r="K637"/>
  <c r="K329"/>
  <c r="P636"/>
  <c r="I366" i="20"/>
  <c r="P329" i="12" l="1"/>
  <c r="J610" i="20"/>
  <c r="J367"/>
  <c r="Q610"/>
  <c r="Q367"/>
  <c r="T367"/>
  <c r="T610"/>
  <c r="U367"/>
  <c r="U610"/>
  <c r="S610"/>
  <c r="S367"/>
  <c r="H367"/>
  <c r="H610"/>
  <c r="I610"/>
  <c r="N610"/>
  <c r="N367"/>
  <c r="G367"/>
  <c r="G610"/>
  <c r="F367"/>
  <c r="F610"/>
  <c r="R367"/>
  <c r="R610"/>
  <c r="E367"/>
  <c r="E610"/>
  <c r="K367"/>
  <c r="K610"/>
  <c r="L367"/>
  <c r="L610"/>
  <c r="V367"/>
  <c r="V610"/>
  <c r="O367"/>
  <c r="O610"/>
  <c r="P367"/>
  <c r="P610"/>
  <c r="D611"/>
  <c r="D368"/>
  <c r="W611"/>
  <c r="W368"/>
  <c r="M368"/>
  <c r="M611"/>
  <c r="AQ31" i="8"/>
  <c r="AD702" i="9"/>
  <c r="AE702" s="1"/>
  <c r="AA701"/>
  <c r="AJ32" i="8" s="1"/>
  <c r="AL32" s="1"/>
  <c r="AQ32" s="1"/>
  <c r="Z702" i="9"/>
  <c r="AI33" i="8" s="1"/>
  <c r="W703" i="9"/>
  <c r="AT34" i="8" s="1"/>
  <c r="AV34" s="1"/>
  <c r="AW34" s="1"/>
  <c r="BB703" i="9"/>
  <c r="AM32" i="8"/>
  <c r="AO32" s="1"/>
  <c r="AU33"/>
  <c r="AU34"/>
  <c r="AM33"/>
  <c r="AO33" s="1"/>
  <c r="BF704" i="9"/>
  <c r="BE704" s="1"/>
  <c r="K638" i="12"/>
  <c r="K330"/>
  <c r="I638"/>
  <c r="I330"/>
  <c r="E638"/>
  <c r="E330"/>
  <c r="Q638"/>
  <c r="Q330"/>
  <c r="Z638"/>
  <c r="Z330"/>
  <c r="D638"/>
  <c r="D330"/>
  <c r="G638"/>
  <c r="G330"/>
  <c r="T638"/>
  <c r="T330"/>
  <c r="V638"/>
  <c r="V330"/>
  <c r="X638"/>
  <c r="X330"/>
  <c r="J638"/>
  <c r="J330"/>
  <c r="O638"/>
  <c r="O330"/>
  <c r="U638"/>
  <c r="U330"/>
  <c r="Y638"/>
  <c r="Y330"/>
  <c r="AA638"/>
  <c r="AA330"/>
  <c r="W638"/>
  <c r="W330"/>
  <c r="H638"/>
  <c r="H330"/>
  <c r="S638"/>
  <c r="S330"/>
  <c r="R638"/>
  <c r="R330"/>
  <c r="F638"/>
  <c r="F330"/>
  <c r="N638"/>
  <c r="N330"/>
  <c r="M638"/>
  <c r="M330"/>
  <c r="L638"/>
  <c r="L330"/>
  <c r="P637"/>
  <c r="I367" i="20"/>
  <c r="P330" i="12" l="1"/>
  <c r="N611" i="20"/>
  <c r="N368"/>
  <c r="S611"/>
  <c r="S368"/>
  <c r="Q611"/>
  <c r="Q368"/>
  <c r="J611"/>
  <c r="J368"/>
  <c r="P368"/>
  <c r="P611"/>
  <c r="O368"/>
  <c r="O611"/>
  <c r="V368"/>
  <c r="V611"/>
  <c r="L368"/>
  <c r="L611"/>
  <c r="K368"/>
  <c r="K611"/>
  <c r="E368"/>
  <c r="E611"/>
  <c r="R368"/>
  <c r="R611"/>
  <c r="F368"/>
  <c r="F611"/>
  <c r="G368"/>
  <c r="G611"/>
  <c r="I611"/>
  <c r="H611"/>
  <c r="H368"/>
  <c r="U611"/>
  <c r="U368"/>
  <c r="T611"/>
  <c r="T368"/>
  <c r="W369"/>
  <c r="W612"/>
  <c r="D369"/>
  <c r="D612"/>
  <c r="M612"/>
  <c r="M369"/>
  <c r="AP32" i="8"/>
  <c r="Z703" i="9"/>
  <c r="AA703" s="1"/>
  <c r="AJ34" i="8" s="1"/>
  <c r="AL34" s="1"/>
  <c r="AD703" i="9"/>
  <c r="AE703" s="1"/>
  <c r="AA702"/>
  <c r="AJ33" i="8" s="1"/>
  <c r="AL33" s="1"/>
  <c r="AQ33" s="1"/>
  <c r="W704" i="9"/>
  <c r="AU36" i="8" s="1"/>
  <c r="BB704" i="9"/>
  <c r="AU703"/>
  <c r="AI34" i="8"/>
  <c r="BF705" i="9"/>
  <c r="BE705" s="1"/>
  <c r="L639" i="12"/>
  <c r="L331"/>
  <c r="M639"/>
  <c r="M331"/>
  <c r="N639"/>
  <c r="N331"/>
  <c r="F639"/>
  <c r="F331"/>
  <c r="R639"/>
  <c r="R331"/>
  <c r="S639"/>
  <c r="S331"/>
  <c r="H639"/>
  <c r="H331"/>
  <c r="W639"/>
  <c r="W331"/>
  <c r="AA639"/>
  <c r="AA331"/>
  <c r="Y639"/>
  <c r="Y331"/>
  <c r="U639"/>
  <c r="U331"/>
  <c r="O639"/>
  <c r="O331"/>
  <c r="J639"/>
  <c r="J331"/>
  <c r="X639"/>
  <c r="X331"/>
  <c r="V639"/>
  <c r="V331"/>
  <c r="T639"/>
  <c r="T331"/>
  <c r="G639"/>
  <c r="G331"/>
  <c r="D639"/>
  <c r="D331"/>
  <c r="Z639"/>
  <c r="Z331"/>
  <c r="Q639"/>
  <c r="Q331"/>
  <c r="E639"/>
  <c r="E331"/>
  <c r="I639"/>
  <c r="I331"/>
  <c r="K639"/>
  <c r="K331"/>
  <c r="P638"/>
  <c r="I368" i="20"/>
  <c r="P331" i="12" l="1"/>
  <c r="T369" i="20"/>
  <c r="T612"/>
  <c r="U369"/>
  <c r="U612"/>
  <c r="H369"/>
  <c r="H612"/>
  <c r="I612"/>
  <c r="J612"/>
  <c r="J369"/>
  <c r="Q612"/>
  <c r="Q369"/>
  <c r="S369"/>
  <c r="S612"/>
  <c r="N369"/>
  <c r="N612"/>
  <c r="G612"/>
  <c r="G369"/>
  <c r="F612"/>
  <c r="F369"/>
  <c r="R612"/>
  <c r="R369"/>
  <c r="E369"/>
  <c r="E612"/>
  <c r="K612"/>
  <c r="K369"/>
  <c r="L612"/>
  <c r="L369"/>
  <c r="V612"/>
  <c r="V369"/>
  <c r="O369"/>
  <c r="O612"/>
  <c r="P369"/>
  <c r="P612"/>
  <c r="M370"/>
  <c r="M613"/>
  <c r="D370"/>
  <c r="D613"/>
  <c r="W613"/>
  <c r="W370"/>
  <c r="AM34" i="8"/>
  <c r="AO34" s="1"/>
  <c r="AU704" i="9"/>
  <c r="AP33" i="8"/>
  <c r="AT36"/>
  <c r="AV36" s="1"/>
  <c r="AW36" s="1"/>
  <c r="W705" i="9"/>
  <c r="AU705" s="1"/>
  <c r="BB705"/>
  <c r="Z704"/>
  <c r="AI36" i="8" s="1"/>
  <c r="AD704" i="9"/>
  <c r="AE704" s="1"/>
  <c r="AU37" i="8"/>
  <c r="AQ34"/>
  <c r="AP34"/>
  <c r="BF706" i="9"/>
  <c r="BE706" s="1"/>
  <c r="K640" i="12"/>
  <c r="K332"/>
  <c r="I640"/>
  <c r="I332"/>
  <c r="E640"/>
  <c r="E332"/>
  <c r="Q640"/>
  <c r="Q332"/>
  <c r="Z640"/>
  <c r="Z332"/>
  <c r="D640"/>
  <c r="D332"/>
  <c r="G640"/>
  <c r="G332"/>
  <c r="T640"/>
  <c r="T332"/>
  <c r="V640"/>
  <c r="V332"/>
  <c r="X640"/>
  <c r="X332"/>
  <c r="J640"/>
  <c r="J332"/>
  <c r="O640"/>
  <c r="O332"/>
  <c r="U640"/>
  <c r="U332"/>
  <c r="Y640"/>
  <c r="Y332"/>
  <c r="AA640"/>
  <c r="AA332"/>
  <c r="W640"/>
  <c r="W332"/>
  <c r="H640"/>
  <c r="H332"/>
  <c r="S640"/>
  <c r="S332"/>
  <c r="R640"/>
  <c r="R332"/>
  <c r="F640"/>
  <c r="F332"/>
  <c r="N640"/>
  <c r="N332"/>
  <c r="M640"/>
  <c r="M332"/>
  <c r="L640"/>
  <c r="L332"/>
  <c r="P639"/>
  <c r="I369" i="20"/>
  <c r="P332" i="12" l="1"/>
  <c r="V613" i="20"/>
  <c r="V370"/>
  <c r="L370"/>
  <c r="L613"/>
  <c r="K613"/>
  <c r="K370"/>
  <c r="R370"/>
  <c r="R613"/>
  <c r="F613"/>
  <c r="F370"/>
  <c r="G613"/>
  <c r="G370"/>
  <c r="Q370"/>
  <c r="Q613"/>
  <c r="J613"/>
  <c r="J370"/>
  <c r="P370"/>
  <c r="P613"/>
  <c r="O370"/>
  <c r="O613"/>
  <c r="E370"/>
  <c r="E613"/>
  <c r="N370"/>
  <c r="N613"/>
  <c r="S370"/>
  <c r="S613"/>
  <c r="I613"/>
  <c r="H370"/>
  <c r="H613"/>
  <c r="U370"/>
  <c r="U613"/>
  <c r="T370"/>
  <c r="T613"/>
  <c r="W614"/>
  <c r="W371"/>
  <c r="D614"/>
  <c r="D371"/>
  <c r="M371"/>
  <c r="M614"/>
  <c r="AD705" i="9"/>
  <c r="AE705" s="1"/>
  <c r="AA704"/>
  <c r="AJ36" i="8" s="1"/>
  <c r="AL36" s="1"/>
  <c r="AP36" s="1"/>
  <c r="Z705" i="9"/>
  <c r="AI37" i="8" s="1"/>
  <c r="AM36"/>
  <c r="AO36" s="1"/>
  <c r="W706" i="9"/>
  <c r="AU38" i="8" s="1"/>
  <c r="BB706" i="9"/>
  <c r="AT37" i="8"/>
  <c r="AV37" s="1"/>
  <c r="AW37" s="1"/>
  <c r="AQ36"/>
  <c r="AA705" i="9"/>
  <c r="AJ37" i="8" s="1"/>
  <c r="AL37" s="1"/>
  <c r="BF707" i="9"/>
  <c r="BE707" s="1"/>
  <c r="L641" i="12"/>
  <c r="L333"/>
  <c r="M641"/>
  <c r="M333"/>
  <c r="N641"/>
  <c r="N333"/>
  <c r="F641"/>
  <c r="F333"/>
  <c r="R641"/>
  <c r="R333"/>
  <c r="S641"/>
  <c r="S333"/>
  <c r="H641"/>
  <c r="H333"/>
  <c r="W641"/>
  <c r="W333"/>
  <c r="AA641"/>
  <c r="AA333"/>
  <c r="Y641"/>
  <c r="Y333"/>
  <c r="U641"/>
  <c r="U333"/>
  <c r="O641"/>
  <c r="O333"/>
  <c r="J641"/>
  <c r="J333"/>
  <c r="X641"/>
  <c r="X333"/>
  <c r="V641"/>
  <c r="V333"/>
  <c r="T641"/>
  <c r="T333"/>
  <c r="G641"/>
  <c r="G333"/>
  <c r="D641"/>
  <c r="D333"/>
  <c r="Z641"/>
  <c r="Z333"/>
  <c r="Q641"/>
  <c r="Q333"/>
  <c r="E641"/>
  <c r="E333"/>
  <c r="I641"/>
  <c r="I333"/>
  <c r="K641"/>
  <c r="K333"/>
  <c r="P640"/>
  <c r="I370" i="20"/>
  <c r="P333" i="12" l="1"/>
  <c r="J371" i="20"/>
  <c r="J614"/>
  <c r="G371"/>
  <c r="G614"/>
  <c r="F371"/>
  <c r="F614"/>
  <c r="K371"/>
  <c r="K614"/>
  <c r="V371"/>
  <c r="V614"/>
  <c r="T614"/>
  <c r="T371"/>
  <c r="U614"/>
  <c r="U371"/>
  <c r="H614"/>
  <c r="H371"/>
  <c r="I614"/>
  <c r="S614"/>
  <c r="S371"/>
  <c r="N614"/>
  <c r="N371"/>
  <c r="E614"/>
  <c r="E371"/>
  <c r="O614"/>
  <c r="O371"/>
  <c r="P614"/>
  <c r="P371"/>
  <c r="Q371"/>
  <c r="Q614"/>
  <c r="R371"/>
  <c r="R614"/>
  <c r="L371"/>
  <c r="L614"/>
  <c r="D372"/>
  <c r="D615"/>
  <c r="W615"/>
  <c r="W372"/>
  <c r="M372"/>
  <c r="M615"/>
  <c r="AM37" i="8"/>
  <c r="AO37" s="1"/>
  <c r="Z706" i="9"/>
  <c r="AT38" i="8"/>
  <c r="AV38" s="1"/>
  <c r="AW38" s="1"/>
  <c r="W707" i="9"/>
  <c r="AT39" i="8" s="1"/>
  <c r="AV39" s="1"/>
  <c r="AW39" s="1"/>
  <c r="BB707" i="9"/>
  <c r="AD706"/>
  <c r="AE706" s="1"/>
  <c r="AU706"/>
  <c r="AQ37" i="8"/>
  <c r="AP37"/>
  <c r="AM38"/>
  <c r="AO38" s="1"/>
  <c r="AI38"/>
  <c r="AA706" i="9"/>
  <c r="AJ38" i="8" s="1"/>
  <c r="AL38" s="1"/>
  <c r="BF708" i="9"/>
  <c r="BE708" s="1"/>
  <c r="K642" i="12"/>
  <c r="K334"/>
  <c r="I642"/>
  <c r="I334"/>
  <c r="E642"/>
  <c r="E334"/>
  <c r="Q642"/>
  <c r="Q334"/>
  <c r="Z642"/>
  <c r="Z334"/>
  <c r="D642"/>
  <c r="D334"/>
  <c r="G642"/>
  <c r="G334"/>
  <c r="T642"/>
  <c r="T334"/>
  <c r="V642"/>
  <c r="V334"/>
  <c r="X642"/>
  <c r="X334"/>
  <c r="J642"/>
  <c r="J334"/>
  <c r="O642"/>
  <c r="O334"/>
  <c r="U642"/>
  <c r="U334"/>
  <c r="Y642"/>
  <c r="Y334"/>
  <c r="AA642"/>
  <c r="AA334"/>
  <c r="W642"/>
  <c r="W334"/>
  <c r="H642"/>
  <c r="H334"/>
  <c r="S642"/>
  <c r="S334"/>
  <c r="R642"/>
  <c r="R334"/>
  <c r="F642"/>
  <c r="F334"/>
  <c r="N642"/>
  <c r="N334"/>
  <c r="M642"/>
  <c r="M334"/>
  <c r="L642"/>
  <c r="L334"/>
  <c r="P641"/>
  <c r="I371" i="20"/>
  <c r="P334" i="12" l="1"/>
  <c r="P372" i="20"/>
  <c r="P615"/>
  <c r="O372"/>
  <c r="O615"/>
  <c r="E372"/>
  <c r="E615"/>
  <c r="N372"/>
  <c r="N615"/>
  <c r="S372"/>
  <c r="S615"/>
  <c r="I615"/>
  <c r="H372"/>
  <c r="H615"/>
  <c r="U372"/>
  <c r="U615"/>
  <c r="T372"/>
  <c r="T615"/>
  <c r="L615"/>
  <c r="L372"/>
  <c r="R372"/>
  <c r="R615"/>
  <c r="Q615"/>
  <c r="Q372"/>
  <c r="V372"/>
  <c r="V615"/>
  <c r="K372"/>
  <c r="K615"/>
  <c r="F372"/>
  <c r="F615"/>
  <c r="G372"/>
  <c r="G615"/>
  <c r="J372"/>
  <c r="J615"/>
  <c r="AU707" i="9"/>
  <c r="AU39" i="8"/>
  <c r="W708" i="9"/>
  <c r="AT40" i="8" s="1"/>
  <c r="AV40" s="1"/>
  <c r="AW40" s="1"/>
  <c r="BB708" i="9"/>
  <c r="Z707"/>
  <c r="AI39" i="8" s="1"/>
  <c r="AD707" i="9"/>
  <c r="AE707" s="1"/>
  <c r="AU40" i="8"/>
  <c r="AQ38"/>
  <c r="AP38"/>
  <c r="BF709" i="9"/>
  <c r="BE709" s="1"/>
  <c r="L643" i="12"/>
  <c r="L335"/>
  <c r="M643"/>
  <c r="M335"/>
  <c r="N643"/>
  <c r="N335"/>
  <c r="F643"/>
  <c r="F335"/>
  <c r="R643"/>
  <c r="R335"/>
  <c r="S643"/>
  <c r="S335"/>
  <c r="H643"/>
  <c r="H335"/>
  <c r="W643"/>
  <c r="W335"/>
  <c r="AA643"/>
  <c r="AA335"/>
  <c r="Y643"/>
  <c r="Y335"/>
  <c r="U643"/>
  <c r="U335"/>
  <c r="O643"/>
  <c r="O335"/>
  <c r="J643"/>
  <c r="J335"/>
  <c r="X643"/>
  <c r="X335"/>
  <c r="V643"/>
  <c r="V335"/>
  <c r="T643"/>
  <c r="T335"/>
  <c r="G643"/>
  <c r="G335"/>
  <c r="D643"/>
  <c r="D335"/>
  <c r="Z643"/>
  <c r="Z335"/>
  <c r="Q643"/>
  <c r="Q335"/>
  <c r="E643"/>
  <c r="E335"/>
  <c r="I643"/>
  <c r="I335"/>
  <c r="K643"/>
  <c r="K335"/>
  <c r="P642"/>
  <c r="I372" i="20"/>
  <c r="P335" i="12" l="1"/>
  <c r="Z708" i="9"/>
  <c r="AA708" s="1"/>
  <c r="AJ40" i="8" s="1"/>
  <c r="AL40" s="1"/>
  <c r="AA707" i="9"/>
  <c r="AJ39" i="8" s="1"/>
  <c r="AL39" s="1"/>
  <c r="AP39" s="1"/>
  <c r="AD708" i="9"/>
  <c r="AE708" s="1"/>
  <c r="AM39" i="8"/>
  <c r="AO39" s="1"/>
  <c r="W709" i="9"/>
  <c r="AU41" i="8" s="1"/>
  <c r="BB709" i="9"/>
  <c r="AU708"/>
  <c r="AQ39" i="8"/>
  <c r="AM40"/>
  <c r="AO40" s="1"/>
  <c r="BF710" i="9"/>
  <c r="BE710" s="1"/>
  <c r="K644" i="12"/>
  <c r="K336"/>
  <c r="I644"/>
  <c r="I336"/>
  <c r="E644"/>
  <c r="E336"/>
  <c r="Q644"/>
  <c r="Q336"/>
  <c r="Z644"/>
  <c r="Z336"/>
  <c r="D644"/>
  <c r="D336"/>
  <c r="G644"/>
  <c r="G336"/>
  <c r="T644"/>
  <c r="T336"/>
  <c r="V644"/>
  <c r="V336"/>
  <c r="X644"/>
  <c r="X336"/>
  <c r="J644"/>
  <c r="J336"/>
  <c r="O644"/>
  <c r="O336"/>
  <c r="U644"/>
  <c r="U336"/>
  <c r="Y644"/>
  <c r="Y336"/>
  <c r="AA644"/>
  <c r="AA336"/>
  <c r="W644"/>
  <c r="W336"/>
  <c r="H644"/>
  <c r="H336"/>
  <c r="S644"/>
  <c r="S336"/>
  <c r="R644"/>
  <c r="R336"/>
  <c r="F644"/>
  <c r="F336"/>
  <c r="N644"/>
  <c r="N336"/>
  <c r="M644"/>
  <c r="M336"/>
  <c r="L644"/>
  <c r="L336"/>
  <c r="P643"/>
  <c r="P336" l="1"/>
  <c r="AI40" i="8"/>
  <c r="AT41"/>
  <c r="AV41" s="1"/>
  <c r="AW41" s="1"/>
  <c r="AU709" i="9"/>
  <c r="W710"/>
  <c r="AU710" s="1"/>
  <c r="BB710"/>
  <c r="AD709"/>
  <c r="AE709" s="1"/>
  <c r="Z709"/>
  <c r="AA709" s="1"/>
  <c r="AJ41" i="8" s="1"/>
  <c r="AL41" s="1"/>
  <c r="AQ40"/>
  <c r="AP40"/>
  <c r="AM41"/>
  <c r="AO41" s="1"/>
  <c r="AI41"/>
  <c r="BF711" i="9"/>
  <c r="BE711" s="1"/>
  <c r="L645" i="12"/>
  <c r="L337"/>
  <c r="M645"/>
  <c r="M337"/>
  <c r="N645"/>
  <c r="N337"/>
  <c r="F645"/>
  <c r="F337"/>
  <c r="R645"/>
  <c r="R337"/>
  <c r="S645"/>
  <c r="S337"/>
  <c r="H645"/>
  <c r="H337"/>
  <c r="W645"/>
  <c r="W337"/>
  <c r="AA645"/>
  <c r="AA337"/>
  <c r="Y645"/>
  <c r="Y337"/>
  <c r="U645"/>
  <c r="U337"/>
  <c r="O645"/>
  <c r="O337"/>
  <c r="J645"/>
  <c r="J337"/>
  <c r="X645"/>
  <c r="X337"/>
  <c r="V645"/>
  <c r="V337"/>
  <c r="T645"/>
  <c r="T337"/>
  <c r="G645"/>
  <c r="G337"/>
  <c r="D645"/>
  <c r="D337"/>
  <c r="Z645"/>
  <c r="Z337"/>
  <c r="Q645"/>
  <c r="Q337"/>
  <c r="E645"/>
  <c r="E337"/>
  <c r="I645"/>
  <c r="I337"/>
  <c r="K645"/>
  <c r="K337"/>
  <c r="P644"/>
  <c r="P337" l="1"/>
  <c r="Z710" i="9"/>
  <c r="AA710" s="1"/>
  <c r="W711"/>
  <c r="AU42" i="8" s="1"/>
  <c r="BB711" i="9"/>
  <c r="AD710"/>
  <c r="AE710" s="1"/>
  <c r="AQ41" i="8"/>
  <c r="AP41"/>
  <c r="BF712" i="9"/>
  <c r="BE712" s="1"/>
  <c r="BB712" s="1"/>
  <c r="K646" i="12"/>
  <c r="K338"/>
  <c r="I646"/>
  <c r="I338"/>
  <c r="E646"/>
  <c r="E338"/>
  <c r="Q646"/>
  <c r="Q338"/>
  <c r="Z646"/>
  <c r="Z338"/>
  <c r="D646"/>
  <c r="D338"/>
  <c r="G646"/>
  <c r="G338"/>
  <c r="T646"/>
  <c r="T338"/>
  <c r="V646"/>
  <c r="V338"/>
  <c r="X646"/>
  <c r="X338"/>
  <c r="J646"/>
  <c r="J338"/>
  <c r="O646"/>
  <c r="O338"/>
  <c r="U646"/>
  <c r="U338"/>
  <c r="Y646"/>
  <c r="Y338"/>
  <c r="AA646"/>
  <c r="AA338"/>
  <c r="W646"/>
  <c r="W338"/>
  <c r="H646"/>
  <c r="H338"/>
  <c r="S646"/>
  <c r="S338"/>
  <c r="R646"/>
  <c r="R338"/>
  <c r="F646"/>
  <c r="F338"/>
  <c r="N646"/>
  <c r="N338"/>
  <c r="M646"/>
  <c r="M338"/>
  <c r="L646"/>
  <c r="L338"/>
  <c r="P645"/>
  <c r="AU711" i="9" l="1"/>
  <c r="AT42" i="8"/>
  <c r="AV42" s="1"/>
  <c r="AW42" s="1"/>
  <c r="P338" i="12"/>
  <c r="Z711" i="9"/>
  <c r="AA711" s="1"/>
  <c r="AJ42" i="8" s="1"/>
  <c r="AL42" s="1"/>
  <c r="AD711" i="9"/>
  <c r="AE711" s="1"/>
  <c r="AI42" i="8"/>
  <c r="AM42"/>
  <c r="AO42" s="1"/>
  <c r="BF713" i="9"/>
  <c r="BE713" s="1"/>
  <c r="L647" i="12"/>
  <c r="L339"/>
  <c r="M647"/>
  <c r="M339"/>
  <c r="N647"/>
  <c r="N339"/>
  <c r="F647"/>
  <c r="F339"/>
  <c r="R647"/>
  <c r="R339"/>
  <c r="S647"/>
  <c r="S339"/>
  <c r="H647"/>
  <c r="H339"/>
  <c r="W647"/>
  <c r="W339"/>
  <c r="AA647"/>
  <c r="AA339"/>
  <c r="Y647"/>
  <c r="Y339"/>
  <c r="U647"/>
  <c r="U339"/>
  <c r="O647"/>
  <c r="O339"/>
  <c r="J647"/>
  <c r="J339"/>
  <c r="X647"/>
  <c r="X339"/>
  <c r="V647"/>
  <c r="V339"/>
  <c r="T647"/>
  <c r="T339"/>
  <c r="G647"/>
  <c r="G339"/>
  <c r="D647"/>
  <c r="D339"/>
  <c r="Z647"/>
  <c r="Z339"/>
  <c r="Q647"/>
  <c r="Q339"/>
  <c r="E647"/>
  <c r="E339"/>
  <c r="I647"/>
  <c r="I339"/>
  <c r="K647"/>
  <c r="K339"/>
  <c r="P646"/>
  <c r="P339" l="1"/>
  <c r="W713" i="9"/>
  <c r="AD713" s="1"/>
  <c r="AE713" s="1"/>
  <c r="BB713"/>
  <c r="AU43" i="8"/>
  <c r="AQ42"/>
  <c r="AP42"/>
  <c r="BF714" i="9"/>
  <c r="BE714" s="1"/>
  <c r="K648" i="12"/>
  <c r="K340"/>
  <c r="I648"/>
  <c r="I340"/>
  <c r="E648"/>
  <c r="E340"/>
  <c r="Q648"/>
  <c r="Q340"/>
  <c r="Z648"/>
  <c r="Z340"/>
  <c r="D648"/>
  <c r="D340"/>
  <c r="G648"/>
  <c r="G340"/>
  <c r="T648"/>
  <c r="T340"/>
  <c r="V648"/>
  <c r="V340"/>
  <c r="X648"/>
  <c r="X340"/>
  <c r="J648"/>
  <c r="J340"/>
  <c r="O648"/>
  <c r="O340"/>
  <c r="U648"/>
  <c r="U340"/>
  <c r="Y648"/>
  <c r="Y340"/>
  <c r="AA648"/>
  <c r="AA340"/>
  <c r="W648"/>
  <c r="W340"/>
  <c r="H648"/>
  <c r="H340"/>
  <c r="S648"/>
  <c r="S340"/>
  <c r="R648"/>
  <c r="R340"/>
  <c r="F648"/>
  <c r="F340"/>
  <c r="N648"/>
  <c r="N340"/>
  <c r="M648"/>
  <c r="M340"/>
  <c r="L648"/>
  <c r="L340"/>
  <c r="P647"/>
  <c r="P340" l="1"/>
  <c r="AU713" i="9"/>
  <c r="W714"/>
  <c r="AU44" i="8" s="1"/>
  <c r="BB714" i="9"/>
  <c r="Z713"/>
  <c r="AI43" i="8" s="1"/>
  <c r="AM43"/>
  <c r="AO43" s="1"/>
  <c r="BF715" i="9"/>
  <c r="BE715" s="1"/>
  <c r="L649" i="12"/>
  <c r="L341"/>
  <c r="M649"/>
  <c r="M341"/>
  <c r="N649"/>
  <c r="N341"/>
  <c r="F649"/>
  <c r="F341"/>
  <c r="R649"/>
  <c r="R341"/>
  <c r="S649"/>
  <c r="S341"/>
  <c r="H649"/>
  <c r="H341"/>
  <c r="W649"/>
  <c r="W341"/>
  <c r="AA649"/>
  <c r="AA341"/>
  <c r="Y649"/>
  <c r="Y341"/>
  <c r="U649"/>
  <c r="U341"/>
  <c r="O649"/>
  <c r="O341"/>
  <c r="J649"/>
  <c r="J341"/>
  <c r="X649"/>
  <c r="X341"/>
  <c r="V649"/>
  <c r="V341"/>
  <c r="T649"/>
  <c r="T341"/>
  <c r="G649"/>
  <c r="G341"/>
  <c r="D649"/>
  <c r="D341"/>
  <c r="Z649"/>
  <c r="Z341"/>
  <c r="Q649"/>
  <c r="Q341"/>
  <c r="E649"/>
  <c r="E341"/>
  <c r="I649"/>
  <c r="I341"/>
  <c r="K649"/>
  <c r="K341"/>
  <c r="P648"/>
  <c r="Z714" i="9" l="1"/>
  <c r="AA714" s="1"/>
  <c r="AJ44" i="8" s="1"/>
  <c r="AL44" s="1"/>
  <c r="AA713" i="9"/>
  <c r="AJ43" i="8" s="1"/>
  <c r="AL43" s="1"/>
  <c r="AP43" s="1"/>
  <c r="AD714" i="9"/>
  <c r="AE714" s="1"/>
  <c r="P341" i="12"/>
  <c r="W715" i="9"/>
  <c r="AU45" i="8" s="1"/>
  <c r="BB715" i="9"/>
  <c r="AU714"/>
  <c r="AQ43" i="8"/>
  <c r="AI44"/>
  <c r="AM44"/>
  <c r="AO44" s="1"/>
  <c r="BF716" i="9"/>
  <c r="BE716" s="1"/>
  <c r="K650" i="12"/>
  <c r="K342"/>
  <c r="I650"/>
  <c r="I342"/>
  <c r="E650"/>
  <c r="E342"/>
  <c r="Q650"/>
  <c r="Q342"/>
  <c r="Z650"/>
  <c r="Z342"/>
  <c r="D650"/>
  <c r="D342"/>
  <c r="G650"/>
  <c r="G342"/>
  <c r="T650"/>
  <c r="T342"/>
  <c r="V650"/>
  <c r="V342"/>
  <c r="X650"/>
  <c r="X342"/>
  <c r="J650"/>
  <c r="J342"/>
  <c r="O650"/>
  <c r="O342"/>
  <c r="U650"/>
  <c r="U342"/>
  <c r="Y650"/>
  <c r="Y342"/>
  <c r="AA650"/>
  <c r="AA342"/>
  <c r="W650"/>
  <c r="W342"/>
  <c r="H650"/>
  <c r="H342"/>
  <c r="S650"/>
  <c r="S342"/>
  <c r="R650"/>
  <c r="R342"/>
  <c r="F650"/>
  <c r="F342"/>
  <c r="N650"/>
  <c r="N342"/>
  <c r="M650"/>
  <c r="M342"/>
  <c r="L650"/>
  <c r="L342"/>
  <c r="P649"/>
  <c r="P342" l="1"/>
  <c r="AD715" i="9"/>
  <c r="AE715" s="1"/>
  <c r="AU715"/>
  <c r="W716"/>
  <c r="AT45" i="8" s="1"/>
  <c r="AV45" s="1"/>
  <c r="AW45" s="1"/>
  <c r="BB716" i="9"/>
  <c r="Z715"/>
  <c r="AI45" i="8" s="1"/>
  <c r="AQ44"/>
  <c r="AP44"/>
  <c r="BF717" i="9"/>
  <c r="BE717" s="1"/>
  <c r="L651" i="12"/>
  <c r="L343"/>
  <c r="M651"/>
  <c r="M343"/>
  <c r="N651"/>
  <c r="N343"/>
  <c r="F651"/>
  <c r="F343"/>
  <c r="R651"/>
  <c r="R343"/>
  <c r="S651"/>
  <c r="S343"/>
  <c r="H651"/>
  <c r="H343"/>
  <c r="W651"/>
  <c r="W343"/>
  <c r="AA651"/>
  <c r="AA343"/>
  <c r="Y651"/>
  <c r="Y343"/>
  <c r="U651"/>
  <c r="U343"/>
  <c r="O651"/>
  <c r="O343"/>
  <c r="J651"/>
  <c r="J343"/>
  <c r="X651"/>
  <c r="X343"/>
  <c r="V651"/>
  <c r="V343"/>
  <c r="T651"/>
  <c r="T343"/>
  <c r="G651"/>
  <c r="G343"/>
  <c r="D651"/>
  <c r="D343"/>
  <c r="Z651"/>
  <c r="Z343"/>
  <c r="Q651"/>
  <c r="Q343"/>
  <c r="E651"/>
  <c r="E343"/>
  <c r="I651"/>
  <c r="I343"/>
  <c r="K651"/>
  <c r="K343"/>
  <c r="P650"/>
  <c r="P343" l="1"/>
  <c r="AU716" i="9"/>
  <c r="AM45" i="8"/>
  <c r="AO45" s="1"/>
  <c r="AT43"/>
  <c r="AV43" s="1"/>
  <c r="AW43" s="1"/>
  <c r="AD716" i="9"/>
  <c r="AE716" s="1"/>
  <c r="AT46" i="8"/>
  <c r="AV46" s="1"/>
  <c r="AW46" s="1"/>
  <c r="AA715" i="9"/>
  <c r="AJ45" i="8" s="1"/>
  <c r="AL45" s="1"/>
  <c r="AP45" s="1"/>
  <c r="W717" i="9"/>
  <c r="AU47" i="8" s="1"/>
  <c r="BB717" i="9"/>
  <c r="Z716"/>
  <c r="AI46" i="8" s="1"/>
  <c r="AT44"/>
  <c r="AV44" s="1"/>
  <c r="AW44" s="1"/>
  <c r="AU46"/>
  <c r="BF718" i="9"/>
  <c r="BE718" s="1"/>
  <c r="K652" i="12"/>
  <c r="K344"/>
  <c r="I652"/>
  <c r="I344"/>
  <c r="E652"/>
  <c r="E344"/>
  <c r="Q652"/>
  <c r="Q344"/>
  <c r="Z652"/>
  <c r="Z344"/>
  <c r="D652"/>
  <c r="D344"/>
  <c r="G652"/>
  <c r="G344"/>
  <c r="T652"/>
  <c r="T344"/>
  <c r="V652"/>
  <c r="V344"/>
  <c r="X652"/>
  <c r="X344"/>
  <c r="J652"/>
  <c r="J344"/>
  <c r="O652"/>
  <c r="O344"/>
  <c r="U652"/>
  <c r="U344"/>
  <c r="Y652"/>
  <c r="Y344"/>
  <c r="AA652"/>
  <c r="AA344"/>
  <c r="W652"/>
  <c r="W344"/>
  <c r="H652"/>
  <c r="H344"/>
  <c r="S652"/>
  <c r="S344"/>
  <c r="R652"/>
  <c r="R344"/>
  <c r="F652"/>
  <c r="F344"/>
  <c r="N652"/>
  <c r="N344"/>
  <c r="M652"/>
  <c r="M344"/>
  <c r="L652"/>
  <c r="L344"/>
  <c r="P651"/>
  <c r="P344" l="1"/>
  <c r="AT47" i="8"/>
  <c r="AV47" s="1"/>
  <c r="AW47" s="1"/>
  <c r="AQ45"/>
  <c r="AM46"/>
  <c r="AO46" s="1"/>
  <c r="AU717" i="9"/>
  <c r="AA716"/>
  <c r="AJ46" i="8" s="1"/>
  <c r="AL46" s="1"/>
  <c r="AQ46" s="1"/>
  <c r="W718" i="9"/>
  <c r="AT49" i="8" s="1"/>
  <c r="AV49" s="1"/>
  <c r="AW49" s="1"/>
  <c r="BB718" i="9"/>
  <c r="Z717"/>
  <c r="AI47" i="8" s="1"/>
  <c r="AD717" i="9"/>
  <c r="AE717" s="1"/>
  <c r="AT48" i="8"/>
  <c r="AV48" s="1"/>
  <c r="AW48" s="1"/>
  <c r="BF719" i="9"/>
  <c r="BE719" s="1"/>
  <c r="L653" i="12"/>
  <c r="L345"/>
  <c r="M653"/>
  <c r="M345"/>
  <c r="N653"/>
  <c r="N345"/>
  <c r="F653"/>
  <c r="F345"/>
  <c r="R653"/>
  <c r="R345"/>
  <c r="S653"/>
  <c r="S345"/>
  <c r="H653"/>
  <c r="H345"/>
  <c r="W653"/>
  <c r="W345"/>
  <c r="AA653"/>
  <c r="AA345"/>
  <c r="Y653"/>
  <c r="Y345"/>
  <c r="U653"/>
  <c r="U345"/>
  <c r="O653"/>
  <c r="O345"/>
  <c r="J653"/>
  <c r="J345"/>
  <c r="X653"/>
  <c r="X345"/>
  <c r="V653"/>
  <c r="V345"/>
  <c r="T653"/>
  <c r="T345"/>
  <c r="G653"/>
  <c r="G345"/>
  <c r="D653"/>
  <c r="D345"/>
  <c r="Z653"/>
  <c r="Z345"/>
  <c r="Q653"/>
  <c r="Q345"/>
  <c r="E653"/>
  <c r="E345"/>
  <c r="I653"/>
  <c r="I345"/>
  <c r="K653"/>
  <c r="K345"/>
  <c r="P652"/>
  <c r="P345" l="1"/>
  <c r="AP46" i="8"/>
  <c r="AA717" i="9"/>
  <c r="AJ47" i="8" s="1"/>
  <c r="AL47" s="1"/>
  <c r="AP47" s="1"/>
  <c r="AM47"/>
  <c r="AO47" s="1"/>
  <c r="AU49"/>
  <c r="Z718" i="9"/>
  <c r="AA718" s="1"/>
  <c r="AJ48" i="8" s="1"/>
  <c r="AL48" s="1"/>
  <c r="AU48"/>
  <c r="W719" i="9"/>
  <c r="Z719" s="1"/>
  <c r="BB719"/>
  <c r="AU718"/>
  <c r="AD718"/>
  <c r="AE718" s="1"/>
  <c r="AU719"/>
  <c r="AQ47" i="8"/>
  <c r="BF720" i="9"/>
  <c r="BE720" s="1"/>
  <c r="K654" i="12"/>
  <c r="K346"/>
  <c r="I654"/>
  <c r="I346"/>
  <c r="E654"/>
  <c r="E346"/>
  <c r="Q654"/>
  <c r="Q346"/>
  <c r="Z654"/>
  <c r="Z346"/>
  <c r="D654"/>
  <c r="D346"/>
  <c r="G654"/>
  <c r="G346"/>
  <c r="T654"/>
  <c r="T346"/>
  <c r="V654"/>
  <c r="V346"/>
  <c r="X654"/>
  <c r="X346"/>
  <c r="J654"/>
  <c r="J346"/>
  <c r="O654"/>
  <c r="O346"/>
  <c r="U654"/>
  <c r="U346"/>
  <c r="Y654"/>
  <c r="Y346"/>
  <c r="AA654"/>
  <c r="AA346"/>
  <c r="W654"/>
  <c r="W346"/>
  <c r="H654"/>
  <c r="H346"/>
  <c r="S654"/>
  <c r="S346"/>
  <c r="R654"/>
  <c r="R346"/>
  <c r="F654"/>
  <c r="F346"/>
  <c r="N654"/>
  <c r="N346"/>
  <c r="M654"/>
  <c r="M346"/>
  <c r="L654"/>
  <c r="L346"/>
  <c r="P653"/>
  <c r="P346" l="1"/>
  <c r="AM48" i="8"/>
  <c r="AO48" s="1"/>
  <c r="L4" s="1"/>
  <c r="O1055" i="32" s="1"/>
  <c r="AI48" i="8"/>
  <c r="AD719" i="9"/>
  <c r="AE719" s="1"/>
  <c r="W720"/>
  <c r="AU50" i="8" s="1"/>
  <c r="BB720" i="9"/>
  <c r="AT50" i="8"/>
  <c r="AV50" s="1"/>
  <c r="AW50" s="1"/>
  <c r="AQ48"/>
  <c r="W11" i="36" s="1"/>
  <c r="R5" i="32"/>
  <c r="R19"/>
  <c r="R8"/>
  <c r="AD475" i="36"/>
  <c r="R6" i="32"/>
  <c r="R12"/>
  <c r="AP48" i="8"/>
  <c r="R10" i="32"/>
  <c r="R14"/>
  <c r="R16"/>
  <c r="G15" i="8"/>
  <c r="G16" s="1"/>
  <c r="R21" i="32"/>
  <c r="R4"/>
  <c r="AM49" i="8"/>
  <c r="AO49" s="1"/>
  <c r="AI49"/>
  <c r="AA719" i="9"/>
  <c r="AJ49" i="8" s="1"/>
  <c r="AL49" s="1"/>
  <c r="BF721" i="9"/>
  <c r="BE721" s="1"/>
  <c r="BB721" s="1"/>
  <c r="L655" i="12"/>
  <c r="L347"/>
  <c r="M655"/>
  <c r="M347"/>
  <c r="N655"/>
  <c r="N347"/>
  <c r="F655"/>
  <c r="F347"/>
  <c r="R655"/>
  <c r="R347"/>
  <c r="S655"/>
  <c r="S347"/>
  <c r="H655"/>
  <c r="H347"/>
  <c r="W655"/>
  <c r="W347"/>
  <c r="AA655"/>
  <c r="AA347"/>
  <c r="Y655"/>
  <c r="Y347"/>
  <c r="U655"/>
  <c r="U347"/>
  <c r="O655"/>
  <c r="O347"/>
  <c r="J655"/>
  <c r="J347"/>
  <c r="X655"/>
  <c r="X347"/>
  <c r="V655"/>
  <c r="V347"/>
  <c r="T655"/>
  <c r="T347"/>
  <c r="G655"/>
  <c r="G347"/>
  <c r="D655"/>
  <c r="D347"/>
  <c r="Z655"/>
  <c r="Z347"/>
  <c r="Q655"/>
  <c r="Q347"/>
  <c r="E655"/>
  <c r="E347"/>
  <c r="I655"/>
  <c r="I347"/>
  <c r="K655"/>
  <c r="K347"/>
  <c r="P654"/>
  <c r="P347" l="1"/>
  <c r="N4" i="32"/>
  <c r="M15"/>
  <c r="M10"/>
  <c r="N20"/>
  <c r="N9"/>
  <c r="N3"/>
  <c r="M18"/>
  <c r="N12"/>
  <c r="M7"/>
  <c r="P1055"/>
  <c r="N17"/>
  <c r="M6"/>
  <c r="M14"/>
  <c r="N1055"/>
  <c r="N8"/>
  <c r="N16"/>
  <c r="P3"/>
  <c r="M11"/>
  <c r="M19"/>
  <c r="N5"/>
  <c r="N13"/>
  <c r="N21"/>
  <c r="M4"/>
  <c r="M8"/>
  <c r="M12"/>
  <c r="M16"/>
  <c r="M20"/>
  <c r="M3"/>
  <c r="N6"/>
  <c r="N10"/>
  <c r="N14"/>
  <c r="N18"/>
  <c r="M1055"/>
  <c r="M5"/>
  <c r="M9"/>
  <c r="CN165" i="36" s="1"/>
  <c r="M13" i="32"/>
  <c r="M17"/>
  <c r="M21"/>
  <c r="O3"/>
  <c r="N7"/>
  <c r="N11"/>
  <c r="N15"/>
  <c r="N19"/>
  <c r="AD720" i="9"/>
  <c r="AE720" s="1"/>
  <c r="AU720"/>
  <c r="Z720"/>
  <c r="AA720" s="1"/>
  <c r="AJ50" i="8" s="1"/>
  <c r="AL50" s="1"/>
  <c r="AQ49"/>
  <c r="AP49"/>
  <c r="BF722" i="9"/>
  <c r="BE722" s="1"/>
  <c r="K656" i="12"/>
  <c r="K348"/>
  <c r="I656"/>
  <c r="I348"/>
  <c r="E656"/>
  <c r="E348"/>
  <c r="Q656"/>
  <c r="Q348"/>
  <c r="Z656"/>
  <c r="Z348"/>
  <c r="D656"/>
  <c r="D348"/>
  <c r="G656"/>
  <c r="G348"/>
  <c r="T656"/>
  <c r="T348"/>
  <c r="V656"/>
  <c r="V348"/>
  <c r="X656"/>
  <c r="X348"/>
  <c r="J656"/>
  <c r="J348"/>
  <c r="O656"/>
  <c r="O348"/>
  <c r="U656"/>
  <c r="U348"/>
  <c r="Y656"/>
  <c r="Y348"/>
  <c r="AA656"/>
  <c r="AA348"/>
  <c r="W656"/>
  <c r="W348"/>
  <c r="H656"/>
  <c r="H348"/>
  <c r="S656"/>
  <c r="S348"/>
  <c r="R656"/>
  <c r="R348"/>
  <c r="F656"/>
  <c r="F348"/>
  <c r="N656"/>
  <c r="N348"/>
  <c r="M656"/>
  <c r="M348"/>
  <c r="L656"/>
  <c r="L348"/>
  <c r="P655"/>
  <c r="P348" l="1"/>
  <c r="AI50" i="8"/>
  <c r="AM50"/>
  <c r="AO50" s="1"/>
  <c r="W722" i="9"/>
  <c r="AD722" s="1"/>
  <c r="AE722" s="1"/>
  <c r="BB722"/>
  <c r="D65" i="8"/>
  <c r="AQ50"/>
  <c r="AP50"/>
  <c r="BF723" i="9"/>
  <c r="BE723" s="1"/>
  <c r="L657" i="12"/>
  <c r="L349"/>
  <c r="M657"/>
  <c r="M349"/>
  <c r="N657"/>
  <c r="N349"/>
  <c r="F657"/>
  <c r="F349"/>
  <c r="R657"/>
  <c r="R349"/>
  <c r="S657"/>
  <c r="S349"/>
  <c r="H657"/>
  <c r="H349"/>
  <c r="W657"/>
  <c r="W349"/>
  <c r="AA657"/>
  <c r="AA349"/>
  <c r="Y657"/>
  <c r="Y349"/>
  <c r="U657"/>
  <c r="U349"/>
  <c r="O657"/>
  <c r="O349"/>
  <c r="J657"/>
  <c r="J349"/>
  <c r="X657"/>
  <c r="X349"/>
  <c r="V657"/>
  <c r="V349"/>
  <c r="T657"/>
  <c r="T349"/>
  <c r="G657"/>
  <c r="G349"/>
  <c r="D657"/>
  <c r="D349"/>
  <c r="Z657"/>
  <c r="Z349"/>
  <c r="Q657"/>
  <c r="Q349"/>
  <c r="E657"/>
  <c r="E349"/>
  <c r="I657"/>
  <c r="I349"/>
  <c r="K657"/>
  <c r="K349"/>
  <c r="P656"/>
  <c r="P349" l="1"/>
  <c r="C65" i="8"/>
  <c r="Z722" i="9"/>
  <c r="AA722" s="1"/>
  <c r="W723"/>
  <c r="D66" i="8" s="1"/>
  <c r="BB723" i="9"/>
  <c r="AU722"/>
  <c r="G65" i="8"/>
  <c r="H65" s="1"/>
  <c r="I65" s="1"/>
  <c r="BF724" i="9"/>
  <c r="BE724" s="1"/>
  <c r="K658" i="12"/>
  <c r="K350"/>
  <c r="I658"/>
  <c r="I350"/>
  <c r="E658"/>
  <c r="E350"/>
  <c r="Q658"/>
  <c r="Q350"/>
  <c r="Z658"/>
  <c r="Z350"/>
  <c r="D658"/>
  <c r="D350"/>
  <c r="G658"/>
  <c r="G350"/>
  <c r="T658"/>
  <c r="T350"/>
  <c r="V658"/>
  <c r="V350"/>
  <c r="X658"/>
  <c r="X350"/>
  <c r="J658"/>
  <c r="J350"/>
  <c r="O658"/>
  <c r="O350"/>
  <c r="U658"/>
  <c r="U350"/>
  <c r="Y658"/>
  <c r="Y350"/>
  <c r="AA658"/>
  <c r="AA350"/>
  <c r="W658"/>
  <c r="W350"/>
  <c r="H658"/>
  <c r="H350"/>
  <c r="S658"/>
  <c r="S350"/>
  <c r="R658"/>
  <c r="R350"/>
  <c r="F658"/>
  <c r="F350"/>
  <c r="N658"/>
  <c r="N350"/>
  <c r="M658"/>
  <c r="M350"/>
  <c r="L658"/>
  <c r="L350"/>
  <c r="P657"/>
  <c r="P350" l="1"/>
  <c r="AU723" i="9"/>
  <c r="Z723"/>
  <c r="G66" i="8" s="1"/>
  <c r="H66" s="1"/>
  <c r="I66" s="1"/>
  <c r="W724" i="9"/>
  <c r="AD724" s="1"/>
  <c r="AE724" s="1"/>
  <c r="BB724"/>
  <c r="AD723"/>
  <c r="AE723" s="1"/>
  <c r="C66" i="8"/>
  <c r="D67"/>
  <c r="R352" i="32"/>
  <c r="R323"/>
  <c r="R308"/>
  <c r="R333"/>
  <c r="R292"/>
  <c r="R330"/>
  <c r="R392"/>
  <c r="R298"/>
  <c r="R283"/>
  <c r="R335"/>
  <c r="R334"/>
  <c r="R381"/>
  <c r="R264"/>
  <c r="R343"/>
  <c r="R369"/>
  <c r="R274"/>
  <c r="R294"/>
  <c r="R328"/>
  <c r="R276"/>
  <c r="R354"/>
  <c r="R310"/>
  <c r="R261"/>
  <c r="R332"/>
  <c r="R281"/>
  <c r="R365"/>
  <c r="R293"/>
  <c r="R305"/>
  <c r="R266"/>
  <c r="R353"/>
  <c r="R290"/>
  <c r="R367"/>
  <c r="R312"/>
  <c r="R345"/>
  <c r="R284"/>
  <c r="R324"/>
  <c r="R364"/>
  <c r="R279"/>
  <c r="R322"/>
  <c r="R368"/>
  <c r="R269"/>
  <c r="R303"/>
  <c r="R340"/>
  <c r="R255"/>
  <c r="R289"/>
  <c r="R331"/>
  <c r="R378"/>
  <c r="R382"/>
  <c r="R374"/>
  <c r="R280"/>
  <c r="R319"/>
  <c r="R359"/>
  <c r="R275"/>
  <c r="R318"/>
  <c r="R362"/>
  <c r="R265"/>
  <c r="R299"/>
  <c r="R336"/>
  <c r="R394"/>
  <c r="R285"/>
  <c r="R320"/>
  <c r="R370"/>
  <c r="R358"/>
  <c r="R273"/>
  <c r="R375"/>
  <c r="R351"/>
  <c r="R260"/>
  <c r="R278"/>
  <c r="R254"/>
  <c r="R309"/>
  <c r="R259"/>
  <c r="R287"/>
  <c r="R313"/>
  <c r="R339"/>
  <c r="R288"/>
  <c r="R327"/>
  <c r="R347"/>
  <c r="R384"/>
  <c r="R311"/>
  <c r="R270"/>
  <c r="R357"/>
  <c r="R295"/>
  <c r="R390"/>
  <c r="R316"/>
  <c r="R405"/>
  <c r="R271"/>
  <c r="R349"/>
  <c r="R304"/>
  <c r="R256"/>
  <c r="R326"/>
  <c r="R277"/>
  <c r="R360"/>
  <c r="R306"/>
  <c r="R267"/>
  <c r="R301"/>
  <c r="R342"/>
  <c r="R262"/>
  <c r="R300"/>
  <c r="R348"/>
  <c r="R401"/>
  <c r="R286"/>
  <c r="R321"/>
  <c r="R361"/>
  <c r="R272"/>
  <c r="R307"/>
  <c r="R355"/>
  <c r="R372"/>
  <c r="R395"/>
  <c r="R263"/>
  <c r="R297"/>
  <c r="R338"/>
  <c r="R258"/>
  <c r="R296"/>
  <c r="R341"/>
  <c r="R391"/>
  <c r="R282"/>
  <c r="R317"/>
  <c r="R356"/>
  <c r="R268"/>
  <c r="R302"/>
  <c r="R346"/>
  <c r="R400"/>
  <c r="R257"/>
  <c r="K65" i="8"/>
  <c r="M402" i="32"/>
  <c r="M338"/>
  <c r="M360"/>
  <c r="M298"/>
  <c r="M404"/>
  <c r="M268"/>
  <c r="M391"/>
  <c r="M372"/>
  <c r="M283"/>
  <c r="M344"/>
  <c r="M255"/>
  <c r="M321"/>
  <c r="M388"/>
  <c r="M260"/>
  <c r="M290"/>
  <c r="M322"/>
  <c r="M352"/>
  <c r="M383"/>
  <c r="M263"/>
  <c r="M297"/>
  <c r="M330"/>
  <c r="M363"/>
  <c r="M396"/>
  <c r="M256"/>
  <c r="M272"/>
  <c r="M287"/>
  <c r="M302"/>
  <c r="M318"/>
  <c r="M333"/>
  <c r="M348"/>
  <c r="M364"/>
  <c r="M379"/>
  <c r="M395"/>
  <c r="M259"/>
  <c r="M276"/>
  <c r="M293"/>
  <c r="M309"/>
  <c r="M326"/>
  <c r="M343"/>
  <c r="M359"/>
  <c r="M376"/>
  <c r="M392"/>
  <c r="M329"/>
  <c r="M314"/>
  <c r="M288"/>
  <c r="M306"/>
  <c r="M368"/>
  <c r="M280"/>
  <c r="M347"/>
  <c r="M264"/>
  <c r="M294"/>
  <c r="M325"/>
  <c r="M356"/>
  <c r="M387"/>
  <c r="M267"/>
  <c r="M301"/>
  <c r="M334"/>
  <c r="M367"/>
  <c r="M400"/>
  <c r="M258"/>
  <c r="M266"/>
  <c r="M273"/>
  <c r="M281"/>
  <c r="M289"/>
  <c r="M296"/>
  <c r="M304"/>
  <c r="M312"/>
  <c r="M320"/>
  <c r="M327"/>
  <c r="M335"/>
  <c r="M342"/>
  <c r="M350"/>
  <c r="M358"/>
  <c r="M366"/>
  <c r="M373"/>
  <c r="M381"/>
  <c r="M389"/>
  <c r="M397"/>
  <c r="M405"/>
  <c r="M261"/>
  <c r="M269"/>
  <c r="M278"/>
  <c r="M286"/>
  <c r="M295"/>
  <c r="M303"/>
  <c r="M311"/>
  <c r="M319"/>
  <c r="M328"/>
  <c r="M336"/>
  <c r="M345"/>
  <c r="M353"/>
  <c r="M361"/>
  <c r="M369"/>
  <c r="M378"/>
  <c r="M386"/>
  <c r="M394"/>
  <c r="M271"/>
  <c r="M305"/>
  <c r="M253"/>
  <c r="M375"/>
  <c r="M355"/>
  <c r="M275"/>
  <c r="M337"/>
  <c r="M399"/>
  <c r="M313"/>
  <c r="M380"/>
  <c r="M279"/>
  <c r="M310"/>
  <c r="M341"/>
  <c r="M371"/>
  <c r="M403"/>
  <c r="M284"/>
  <c r="M317"/>
  <c r="M351"/>
  <c r="M384"/>
  <c r="M262"/>
  <c r="M277"/>
  <c r="M292"/>
  <c r="M308"/>
  <c r="M323"/>
  <c r="M339"/>
  <c r="M354"/>
  <c r="M370"/>
  <c r="M385"/>
  <c r="M401"/>
  <c r="M265"/>
  <c r="M282"/>
  <c r="M299"/>
  <c r="M315"/>
  <c r="M332"/>
  <c r="M349"/>
  <c r="M365"/>
  <c r="M382"/>
  <c r="M398"/>
  <c r="M254"/>
  <c r="M270"/>
  <c r="M285"/>
  <c r="M300"/>
  <c r="M316"/>
  <c r="M331"/>
  <c r="M346"/>
  <c r="M362"/>
  <c r="M377"/>
  <c r="M393"/>
  <c r="M257"/>
  <c r="M274"/>
  <c r="M291"/>
  <c r="M307"/>
  <c r="M324"/>
  <c r="M340"/>
  <c r="M357"/>
  <c r="M374"/>
  <c r="M390"/>
  <c r="AA723" i="9"/>
  <c r="BF725"/>
  <c r="BE725" s="1"/>
  <c r="L659" i="12"/>
  <c r="L351"/>
  <c r="M659"/>
  <c r="M351"/>
  <c r="N659"/>
  <c r="N351"/>
  <c r="F659"/>
  <c r="F351"/>
  <c r="R659"/>
  <c r="R351"/>
  <c r="S659"/>
  <c r="S351"/>
  <c r="H659"/>
  <c r="H351"/>
  <c r="W659"/>
  <c r="W351"/>
  <c r="AA659"/>
  <c r="AA351"/>
  <c r="Y659"/>
  <c r="Y351"/>
  <c r="U659"/>
  <c r="U351"/>
  <c r="O659"/>
  <c r="O351"/>
  <c r="J659"/>
  <c r="J351"/>
  <c r="X659"/>
  <c r="X351"/>
  <c r="V659"/>
  <c r="V351"/>
  <c r="T659"/>
  <c r="T351"/>
  <c r="G659"/>
  <c r="G351"/>
  <c r="D659"/>
  <c r="D351"/>
  <c r="Z659"/>
  <c r="Z351"/>
  <c r="Q659"/>
  <c r="Q351"/>
  <c r="E659"/>
  <c r="E351"/>
  <c r="I659"/>
  <c r="I351"/>
  <c r="K659"/>
  <c r="K351"/>
  <c r="P658"/>
  <c r="P351" l="1"/>
  <c r="Z724" i="9"/>
  <c r="AA724" s="1"/>
  <c r="C67" i="8"/>
  <c r="W725" i="9"/>
  <c r="D68" i="8" s="1"/>
  <c r="BB725" i="9"/>
  <c r="AU724"/>
  <c r="R49" i="32"/>
  <c r="R26"/>
  <c r="R30"/>
  <c r="R42"/>
  <c r="R35"/>
  <c r="R32"/>
  <c r="R34"/>
  <c r="R41"/>
  <c r="R27"/>
  <c r="R38"/>
  <c r="R46"/>
  <c r="R31"/>
  <c r="R44"/>
  <c r="R37"/>
  <c r="R33"/>
  <c r="R23"/>
  <c r="R28"/>
  <c r="R47"/>
  <c r="R39"/>
  <c r="R25"/>
  <c r="R36"/>
  <c r="R43"/>
  <c r="R29"/>
  <c r="R40"/>
  <c r="K66" i="8"/>
  <c r="M50" i="32"/>
  <c r="M52"/>
  <c r="M51"/>
  <c r="M36"/>
  <c r="M43"/>
  <c r="M44"/>
  <c r="M31"/>
  <c r="M47"/>
  <c r="M32"/>
  <c r="M48"/>
  <c r="M22"/>
  <c r="M29"/>
  <c r="M37"/>
  <c r="M45"/>
  <c r="M53"/>
  <c r="M30"/>
  <c r="M38"/>
  <c r="M46"/>
  <c r="M27"/>
  <c r="M39"/>
  <c r="M40"/>
  <c r="M25"/>
  <c r="M41"/>
  <c r="M26"/>
  <c r="M42"/>
  <c r="M35"/>
  <c r="M28"/>
  <c r="M23"/>
  <c r="M24"/>
  <c r="M33"/>
  <c r="M49"/>
  <c r="M34"/>
  <c r="L65" i="8"/>
  <c r="N403" i="32"/>
  <c r="N399"/>
  <c r="N395"/>
  <c r="N391"/>
  <c r="N387"/>
  <c r="N383"/>
  <c r="N379"/>
  <c r="N375"/>
  <c r="N371"/>
  <c r="N368"/>
  <c r="N364"/>
  <c r="N360"/>
  <c r="N356"/>
  <c r="N352"/>
  <c r="N348"/>
  <c r="N344"/>
  <c r="N402"/>
  <c r="N398"/>
  <c r="N394"/>
  <c r="N390"/>
  <c r="N386"/>
  <c r="N382"/>
  <c r="N378"/>
  <c r="N374"/>
  <c r="N369"/>
  <c r="N365"/>
  <c r="N361"/>
  <c r="N357"/>
  <c r="N353"/>
  <c r="N349"/>
  <c r="N345"/>
  <c r="N341"/>
  <c r="N337"/>
  <c r="N333"/>
  <c r="N329"/>
  <c r="N325"/>
  <c r="N322"/>
  <c r="N318"/>
  <c r="N314"/>
  <c r="N310"/>
  <c r="N306"/>
  <c r="N302"/>
  <c r="N298"/>
  <c r="N294"/>
  <c r="N290"/>
  <c r="N287"/>
  <c r="N283"/>
  <c r="N279"/>
  <c r="N275"/>
  <c r="N272"/>
  <c r="N268"/>
  <c r="N264"/>
  <c r="N260"/>
  <c r="N256"/>
  <c r="N253"/>
  <c r="N340"/>
  <c r="N336"/>
  <c r="N332"/>
  <c r="N328"/>
  <c r="N324"/>
  <c r="N319"/>
  <c r="N315"/>
  <c r="N311"/>
  <c r="N307"/>
  <c r="N303"/>
  <c r="N299"/>
  <c r="N295"/>
  <c r="N291"/>
  <c r="N286"/>
  <c r="N282"/>
  <c r="N278"/>
  <c r="N274"/>
  <c r="N269"/>
  <c r="N265"/>
  <c r="N261"/>
  <c r="N257"/>
  <c r="N405"/>
  <c r="N401"/>
  <c r="N397"/>
  <c r="N393"/>
  <c r="N389"/>
  <c r="N385"/>
  <c r="N381"/>
  <c r="N377"/>
  <c r="N373"/>
  <c r="N370"/>
  <c r="N366"/>
  <c r="N362"/>
  <c r="N358"/>
  <c r="N354"/>
  <c r="N350"/>
  <c r="N346"/>
  <c r="N404"/>
  <c r="N400"/>
  <c r="N396"/>
  <c r="N392"/>
  <c r="N388"/>
  <c r="N384"/>
  <c r="N380"/>
  <c r="N376"/>
  <c r="N372"/>
  <c r="N367"/>
  <c r="N363"/>
  <c r="N359"/>
  <c r="N355"/>
  <c r="N351"/>
  <c r="N347"/>
  <c r="N342"/>
  <c r="N339"/>
  <c r="N335"/>
  <c r="N331"/>
  <c r="N327"/>
  <c r="N323"/>
  <c r="N320"/>
  <c r="N316"/>
  <c r="N312"/>
  <c r="N308"/>
  <c r="N304"/>
  <c r="N300"/>
  <c r="N296"/>
  <c r="N292"/>
  <c r="N289"/>
  <c r="N285"/>
  <c r="N281"/>
  <c r="N277"/>
  <c r="N273"/>
  <c r="N270"/>
  <c r="N266"/>
  <c r="N262"/>
  <c r="N258"/>
  <c r="N254"/>
  <c r="N343"/>
  <c r="N338"/>
  <c r="N334"/>
  <c r="N330"/>
  <c r="N326"/>
  <c r="N321"/>
  <c r="N317"/>
  <c r="N313"/>
  <c r="N309"/>
  <c r="N305"/>
  <c r="N301"/>
  <c r="N297"/>
  <c r="N293"/>
  <c r="N288"/>
  <c r="N284"/>
  <c r="N280"/>
  <c r="N276"/>
  <c r="N271"/>
  <c r="N267"/>
  <c r="N263"/>
  <c r="N259"/>
  <c r="N255"/>
  <c r="BF726" i="9"/>
  <c r="BE726" s="1"/>
  <c r="K660" i="12"/>
  <c r="K352"/>
  <c r="I660"/>
  <c r="I352"/>
  <c r="E660"/>
  <c r="E352"/>
  <c r="Q660"/>
  <c r="Q352"/>
  <c r="Z660"/>
  <c r="Z352"/>
  <c r="D660"/>
  <c r="D352"/>
  <c r="G660"/>
  <c r="G352"/>
  <c r="T660"/>
  <c r="T352"/>
  <c r="V660"/>
  <c r="V352"/>
  <c r="X660"/>
  <c r="X352"/>
  <c r="J660"/>
  <c r="J352"/>
  <c r="O660"/>
  <c r="O352"/>
  <c r="U660"/>
  <c r="U352"/>
  <c r="Y660"/>
  <c r="Y352"/>
  <c r="AA660"/>
  <c r="AA352"/>
  <c r="W660"/>
  <c r="W352"/>
  <c r="H660"/>
  <c r="H352"/>
  <c r="S660"/>
  <c r="S352"/>
  <c r="R660"/>
  <c r="R352"/>
  <c r="F660"/>
  <c r="F352"/>
  <c r="N660"/>
  <c r="N352"/>
  <c r="M660"/>
  <c r="M352"/>
  <c r="L660"/>
  <c r="L352"/>
  <c r="P659"/>
  <c r="P352" l="1"/>
  <c r="G67" i="8"/>
  <c r="H67" s="1"/>
  <c r="I67" s="1"/>
  <c r="R82" i="32" s="1"/>
  <c r="AU725" i="9"/>
  <c r="Z725"/>
  <c r="G68" i="8" s="1"/>
  <c r="H68" s="1"/>
  <c r="I68" s="1"/>
  <c r="W726" i="9"/>
  <c r="AD726" s="1"/>
  <c r="AE726" s="1"/>
  <c r="BB726"/>
  <c r="AD725"/>
  <c r="AE725" s="1"/>
  <c r="C68" i="8"/>
  <c r="M65"/>
  <c r="O402" i="32"/>
  <c r="O398"/>
  <c r="O394"/>
  <c r="O390"/>
  <c r="O386"/>
  <c r="O382"/>
  <c r="O378"/>
  <c r="O374"/>
  <c r="O369"/>
  <c r="O365"/>
  <c r="O361"/>
  <c r="O357"/>
  <c r="O353"/>
  <c r="O349"/>
  <c r="O345"/>
  <c r="O403"/>
  <c r="O399"/>
  <c r="O395"/>
  <c r="O391"/>
  <c r="O387"/>
  <c r="O383"/>
  <c r="O379"/>
  <c r="O375"/>
  <c r="O371"/>
  <c r="O368"/>
  <c r="O364"/>
  <c r="O360"/>
  <c r="O356"/>
  <c r="O352"/>
  <c r="O348"/>
  <c r="O344"/>
  <c r="O340"/>
  <c r="O336"/>
  <c r="O332"/>
  <c r="O328"/>
  <c r="O324"/>
  <c r="O319"/>
  <c r="O315"/>
  <c r="O311"/>
  <c r="O307"/>
  <c r="O303"/>
  <c r="O299"/>
  <c r="O295"/>
  <c r="O291"/>
  <c r="O286"/>
  <c r="O282"/>
  <c r="O278"/>
  <c r="O274"/>
  <c r="O269"/>
  <c r="O265"/>
  <c r="O261"/>
  <c r="O257"/>
  <c r="O342"/>
  <c r="O339"/>
  <c r="O335"/>
  <c r="O331"/>
  <c r="O327"/>
  <c r="O323"/>
  <c r="O320"/>
  <c r="O316"/>
  <c r="O312"/>
  <c r="O308"/>
  <c r="O304"/>
  <c r="O300"/>
  <c r="O296"/>
  <c r="O292"/>
  <c r="O289"/>
  <c r="O285"/>
  <c r="O281"/>
  <c r="O277"/>
  <c r="O273"/>
  <c r="O270"/>
  <c r="O266"/>
  <c r="O262"/>
  <c r="O258"/>
  <c r="O254"/>
  <c r="O404"/>
  <c r="O400"/>
  <c r="O396"/>
  <c r="O392"/>
  <c r="O388"/>
  <c r="O384"/>
  <c r="O380"/>
  <c r="O376"/>
  <c r="O372"/>
  <c r="O367"/>
  <c r="O363"/>
  <c r="O359"/>
  <c r="O355"/>
  <c r="O351"/>
  <c r="O347"/>
  <c r="O405"/>
  <c r="O401"/>
  <c r="O397"/>
  <c r="O393"/>
  <c r="O389"/>
  <c r="O385"/>
  <c r="O381"/>
  <c r="O377"/>
  <c r="O373"/>
  <c r="O370"/>
  <c r="O366"/>
  <c r="O362"/>
  <c r="O358"/>
  <c r="O354"/>
  <c r="O350"/>
  <c r="O346"/>
  <c r="O343"/>
  <c r="O338"/>
  <c r="O334"/>
  <c r="O330"/>
  <c r="O326"/>
  <c r="O321"/>
  <c r="O317"/>
  <c r="O313"/>
  <c r="O309"/>
  <c r="O305"/>
  <c r="O301"/>
  <c r="O297"/>
  <c r="O293"/>
  <c r="O288"/>
  <c r="O284"/>
  <c r="O280"/>
  <c r="O276"/>
  <c r="O271"/>
  <c r="O267"/>
  <c r="O263"/>
  <c r="O259"/>
  <c r="O255"/>
  <c r="O341"/>
  <c r="O337"/>
  <c r="O333"/>
  <c r="O329"/>
  <c r="O325"/>
  <c r="O322"/>
  <c r="O318"/>
  <c r="O314"/>
  <c r="O310"/>
  <c r="O306"/>
  <c r="O302"/>
  <c r="O298"/>
  <c r="O294"/>
  <c r="O290"/>
  <c r="O287"/>
  <c r="O283"/>
  <c r="O279"/>
  <c r="O275"/>
  <c r="O272"/>
  <c r="O268"/>
  <c r="O264"/>
  <c r="O260"/>
  <c r="O256"/>
  <c r="O253"/>
  <c r="D69" i="8"/>
  <c r="L66"/>
  <c r="N51" i="32"/>
  <c r="N47"/>
  <c r="N43"/>
  <c r="N39"/>
  <c r="N35"/>
  <c r="N31"/>
  <c r="N27"/>
  <c r="N23"/>
  <c r="N52"/>
  <c r="N48"/>
  <c r="N44"/>
  <c r="N40"/>
  <c r="N36"/>
  <c r="N32"/>
  <c r="N28"/>
  <c r="N24"/>
  <c r="N53"/>
  <c r="N49"/>
  <c r="N45"/>
  <c r="N41"/>
  <c r="N37"/>
  <c r="N33"/>
  <c r="N29"/>
  <c r="N25"/>
  <c r="N22"/>
  <c r="N50"/>
  <c r="N46"/>
  <c r="N42"/>
  <c r="N38"/>
  <c r="N34"/>
  <c r="N30"/>
  <c r="N26"/>
  <c r="BF727" i="9"/>
  <c r="BE727" s="1"/>
  <c r="L661" i="12"/>
  <c r="L353"/>
  <c r="M661"/>
  <c r="M353"/>
  <c r="N661"/>
  <c r="N353"/>
  <c r="F661"/>
  <c r="F353"/>
  <c r="R661"/>
  <c r="R353"/>
  <c r="S661"/>
  <c r="S353"/>
  <c r="H661"/>
  <c r="H353"/>
  <c r="W661"/>
  <c r="W353"/>
  <c r="AA661"/>
  <c r="AA353"/>
  <c r="Y661"/>
  <c r="Y353"/>
  <c r="U661"/>
  <c r="U353"/>
  <c r="O661"/>
  <c r="O353"/>
  <c r="J661"/>
  <c r="J353"/>
  <c r="X661"/>
  <c r="X353"/>
  <c r="V661"/>
  <c r="V353"/>
  <c r="T661"/>
  <c r="T353"/>
  <c r="G661"/>
  <c r="G353"/>
  <c r="D661"/>
  <c r="D353"/>
  <c r="Z661"/>
  <c r="Z353"/>
  <c r="Q661"/>
  <c r="Q353"/>
  <c r="E661"/>
  <c r="E353"/>
  <c r="I661"/>
  <c r="I353"/>
  <c r="K661"/>
  <c r="K353"/>
  <c r="P660"/>
  <c r="P353" l="1"/>
  <c r="M65" i="32"/>
  <c r="M102"/>
  <c r="M133"/>
  <c r="M117"/>
  <c r="M130"/>
  <c r="M55"/>
  <c r="R57"/>
  <c r="M72"/>
  <c r="M61"/>
  <c r="M129"/>
  <c r="M84"/>
  <c r="M67"/>
  <c r="R60"/>
  <c r="R63"/>
  <c r="M54"/>
  <c r="M63"/>
  <c r="M125"/>
  <c r="M80"/>
  <c r="M134"/>
  <c r="M97"/>
  <c r="M116"/>
  <c r="M119"/>
  <c r="M74"/>
  <c r="M110"/>
  <c r="R81"/>
  <c r="R101"/>
  <c r="R91"/>
  <c r="R72"/>
  <c r="M85"/>
  <c r="M104"/>
  <c r="M127"/>
  <c r="M82"/>
  <c r="M75"/>
  <c r="M93"/>
  <c r="M112"/>
  <c r="M111"/>
  <c r="M66"/>
  <c r="M123"/>
  <c r="M113"/>
  <c r="M81"/>
  <c r="M132"/>
  <c r="M100"/>
  <c r="M68"/>
  <c r="M87"/>
  <c r="M106"/>
  <c r="M131"/>
  <c r="M86"/>
  <c r="M62"/>
  <c r="R85"/>
  <c r="R58"/>
  <c r="R64"/>
  <c r="R98"/>
  <c r="R114"/>
  <c r="R87"/>
  <c r="R99"/>
  <c r="R94"/>
  <c r="AA725" i="9"/>
  <c r="M101" i="32"/>
  <c r="M69"/>
  <c r="M120"/>
  <c r="M88"/>
  <c r="M56"/>
  <c r="M95"/>
  <c r="M114"/>
  <c r="M83"/>
  <c r="M59"/>
  <c r="M107"/>
  <c r="M109"/>
  <c r="M77"/>
  <c r="M128"/>
  <c r="M96"/>
  <c r="M64"/>
  <c r="M79"/>
  <c r="M98"/>
  <c r="M115"/>
  <c r="M70"/>
  <c r="M78"/>
  <c r="M121"/>
  <c r="M105"/>
  <c r="M89"/>
  <c r="M73"/>
  <c r="M57"/>
  <c r="M124"/>
  <c r="M108"/>
  <c r="M92"/>
  <c r="M76"/>
  <c r="M60"/>
  <c r="M103"/>
  <c r="M71"/>
  <c r="M122"/>
  <c r="M90"/>
  <c r="M58"/>
  <c r="M99"/>
  <c r="M118"/>
  <c r="M91"/>
  <c r="M94"/>
  <c r="M126"/>
  <c r="K67" i="8"/>
  <c r="N132" i="32" s="1"/>
  <c r="R80"/>
  <c r="R61"/>
  <c r="R55"/>
  <c r="R62"/>
  <c r="R102"/>
  <c r="R66"/>
  <c r="R73"/>
  <c r="R113"/>
  <c r="R88"/>
  <c r="R86"/>
  <c r="R65"/>
  <c r="R112"/>
  <c r="R93"/>
  <c r="R71"/>
  <c r="Z726" i="9"/>
  <c r="AA726" s="1"/>
  <c r="C69" i="8"/>
  <c r="W727" i="9"/>
  <c r="D70" i="8" s="1"/>
  <c r="BB727" i="9"/>
  <c r="AU726"/>
  <c r="O52" i="32"/>
  <c r="O48"/>
  <c r="O44"/>
  <c r="O40"/>
  <c r="O36"/>
  <c r="O32"/>
  <c r="O28"/>
  <c r="O24"/>
  <c r="O51"/>
  <c r="O47"/>
  <c r="O43"/>
  <c r="O39"/>
  <c r="O35"/>
  <c r="O31"/>
  <c r="O27"/>
  <c r="O23"/>
  <c r="M66" i="8"/>
  <c r="O50" i="32"/>
  <c r="O46"/>
  <c r="O42"/>
  <c r="O38"/>
  <c r="O34"/>
  <c r="O30"/>
  <c r="O26"/>
  <c r="O53"/>
  <c r="O49"/>
  <c r="O45"/>
  <c r="O41"/>
  <c r="O37"/>
  <c r="O33"/>
  <c r="O29"/>
  <c r="O25"/>
  <c r="O22"/>
  <c r="R169"/>
  <c r="R147"/>
  <c r="R177"/>
  <c r="R173"/>
  <c r="R175"/>
  <c r="R160"/>
  <c r="R145"/>
  <c r="R139"/>
  <c r="R159"/>
  <c r="R174"/>
  <c r="R144"/>
  <c r="R163"/>
  <c r="R178"/>
  <c r="R148"/>
  <c r="R180"/>
  <c r="R167"/>
  <c r="R150"/>
  <c r="R182"/>
  <c r="R165"/>
  <c r="R152"/>
  <c r="R138"/>
  <c r="R171"/>
  <c r="R154"/>
  <c r="R136"/>
  <c r="R158"/>
  <c r="R143"/>
  <c r="R162"/>
  <c r="R156"/>
  <c r="R141"/>
  <c r="R179"/>
  <c r="R172"/>
  <c r="R142"/>
  <c r="R157"/>
  <c r="R176"/>
  <c r="R146"/>
  <c r="R161"/>
  <c r="R140"/>
  <c r="R164"/>
  <c r="R151"/>
  <c r="R183"/>
  <c r="R166"/>
  <c r="R149"/>
  <c r="R181"/>
  <c r="R168"/>
  <c r="R155"/>
  <c r="R137"/>
  <c r="R170"/>
  <c r="R153"/>
  <c r="K68" i="8"/>
  <c r="P405" i="32"/>
  <c r="P401"/>
  <c r="P397"/>
  <c r="P393"/>
  <c r="P389"/>
  <c r="P385"/>
  <c r="P381"/>
  <c r="P377"/>
  <c r="P373"/>
  <c r="P370"/>
  <c r="P366"/>
  <c r="P362"/>
  <c r="P358"/>
  <c r="P354"/>
  <c r="P350"/>
  <c r="P346"/>
  <c r="P342"/>
  <c r="P339"/>
  <c r="P335"/>
  <c r="P331"/>
  <c r="P327"/>
  <c r="P323"/>
  <c r="P320"/>
  <c r="P316"/>
  <c r="P312"/>
  <c r="P308"/>
  <c r="P304"/>
  <c r="P300"/>
  <c r="P296"/>
  <c r="P292"/>
  <c r="P289"/>
  <c r="P285"/>
  <c r="P281"/>
  <c r="P277"/>
  <c r="P273"/>
  <c r="P270"/>
  <c r="P266"/>
  <c r="P262"/>
  <c r="P258"/>
  <c r="P254"/>
  <c r="P404"/>
  <c r="P400"/>
  <c r="P396"/>
  <c r="P392"/>
  <c r="P388"/>
  <c r="P384"/>
  <c r="P380"/>
  <c r="P376"/>
  <c r="P372"/>
  <c r="P367"/>
  <c r="P363"/>
  <c r="P359"/>
  <c r="P355"/>
  <c r="P351"/>
  <c r="P347"/>
  <c r="P343"/>
  <c r="P338"/>
  <c r="P334"/>
  <c r="P330"/>
  <c r="P326"/>
  <c r="P321"/>
  <c r="P317"/>
  <c r="P313"/>
  <c r="P309"/>
  <c r="P305"/>
  <c r="P301"/>
  <c r="P297"/>
  <c r="P293"/>
  <c r="P288"/>
  <c r="P284"/>
  <c r="P280"/>
  <c r="P276"/>
  <c r="P271"/>
  <c r="P267"/>
  <c r="P263"/>
  <c r="P259"/>
  <c r="P255"/>
  <c r="P403"/>
  <c r="P399"/>
  <c r="P395"/>
  <c r="P391"/>
  <c r="P387"/>
  <c r="P383"/>
  <c r="P379"/>
  <c r="P375"/>
  <c r="P371"/>
  <c r="P368"/>
  <c r="P364"/>
  <c r="P360"/>
  <c r="P356"/>
  <c r="P352"/>
  <c r="P348"/>
  <c r="P344"/>
  <c r="P341"/>
  <c r="P337"/>
  <c r="P333"/>
  <c r="P329"/>
  <c r="P325"/>
  <c r="P322"/>
  <c r="P318"/>
  <c r="P314"/>
  <c r="P310"/>
  <c r="P306"/>
  <c r="P302"/>
  <c r="P298"/>
  <c r="P294"/>
  <c r="P290"/>
  <c r="P287"/>
  <c r="P283"/>
  <c r="P279"/>
  <c r="P275"/>
  <c r="P272"/>
  <c r="P268"/>
  <c r="P264"/>
  <c r="P260"/>
  <c r="P256"/>
  <c r="P253"/>
  <c r="P402"/>
  <c r="P398"/>
  <c r="P394"/>
  <c r="P390"/>
  <c r="P386"/>
  <c r="P382"/>
  <c r="P378"/>
  <c r="P374"/>
  <c r="P369"/>
  <c r="P365"/>
  <c r="P361"/>
  <c r="P357"/>
  <c r="P353"/>
  <c r="P349"/>
  <c r="P345"/>
  <c r="P340"/>
  <c r="P336"/>
  <c r="P332"/>
  <c r="P328"/>
  <c r="P324"/>
  <c r="P319"/>
  <c r="P315"/>
  <c r="P311"/>
  <c r="P307"/>
  <c r="P303"/>
  <c r="P299"/>
  <c r="P295"/>
  <c r="P291"/>
  <c r="P286"/>
  <c r="P282"/>
  <c r="P278"/>
  <c r="P274"/>
  <c r="P269"/>
  <c r="P265"/>
  <c r="P261"/>
  <c r="P257"/>
  <c r="N65" i="8"/>
  <c r="L67"/>
  <c r="M182" i="32"/>
  <c r="M180"/>
  <c r="M183"/>
  <c r="M159"/>
  <c r="M140"/>
  <c r="M172"/>
  <c r="M139"/>
  <c r="M155"/>
  <c r="M171"/>
  <c r="M136"/>
  <c r="M152"/>
  <c r="M168"/>
  <c r="M148"/>
  <c r="M167"/>
  <c r="M151"/>
  <c r="M143"/>
  <c r="M156"/>
  <c r="M163"/>
  <c r="M144"/>
  <c r="M176"/>
  <c r="M137"/>
  <c r="M145"/>
  <c r="M153"/>
  <c r="M161"/>
  <c r="M169"/>
  <c r="M177"/>
  <c r="M135"/>
  <c r="M142"/>
  <c r="M150"/>
  <c r="M158"/>
  <c r="M166"/>
  <c r="M174"/>
  <c r="M164"/>
  <c r="M175"/>
  <c r="M147"/>
  <c r="M179"/>
  <c r="M160"/>
  <c r="M149"/>
  <c r="M165"/>
  <c r="M181"/>
  <c r="M146"/>
  <c r="M162"/>
  <c r="M178"/>
  <c r="M141"/>
  <c r="M157"/>
  <c r="M173"/>
  <c r="M138"/>
  <c r="M154"/>
  <c r="M170"/>
  <c r="BF728" i="9"/>
  <c r="BE728" s="1"/>
  <c r="K662" i="12"/>
  <c r="K354"/>
  <c r="I662"/>
  <c r="I354"/>
  <c r="E662"/>
  <c r="E354"/>
  <c r="Q662"/>
  <c r="Q354"/>
  <c r="Z662"/>
  <c r="Z354"/>
  <c r="D662"/>
  <c r="D354"/>
  <c r="G662"/>
  <c r="G354"/>
  <c r="T662"/>
  <c r="T354"/>
  <c r="V662"/>
  <c r="V354"/>
  <c r="X662"/>
  <c r="X354"/>
  <c r="J662"/>
  <c r="J354"/>
  <c r="O662"/>
  <c r="O354"/>
  <c r="U662"/>
  <c r="U354"/>
  <c r="Y662"/>
  <c r="Y354"/>
  <c r="AA662"/>
  <c r="AA354"/>
  <c r="W662"/>
  <c r="W354"/>
  <c r="H662"/>
  <c r="H354"/>
  <c r="S662"/>
  <c r="S354"/>
  <c r="R662"/>
  <c r="R354"/>
  <c r="F662"/>
  <c r="F354"/>
  <c r="N662"/>
  <c r="N354"/>
  <c r="M662"/>
  <c r="M354"/>
  <c r="L662"/>
  <c r="L354"/>
  <c r="P661"/>
  <c r="N121" i="32" l="1"/>
  <c r="N87"/>
  <c r="N57"/>
  <c r="N106"/>
  <c r="N72"/>
  <c r="N89"/>
  <c r="N74"/>
  <c r="N55"/>
  <c r="N119"/>
  <c r="N104"/>
  <c r="P354" i="12"/>
  <c r="N73" i="32"/>
  <c r="N105"/>
  <c r="N58"/>
  <c r="N90"/>
  <c r="N122"/>
  <c r="N71"/>
  <c r="N103"/>
  <c r="N56"/>
  <c r="N88"/>
  <c r="N120"/>
  <c r="N65"/>
  <c r="N81"/>
  <c r="N97"/>
  <c r="N113"/>
  <c r="N129"/>
  <c r="N66"/>
  <c r="N82"/>
  <c r="N98"/>
  <c r="N114"/>
  <c r="N130"/>
  <c r="N63"/>
  <c r="N79"/>
  <c r="N95"/>
  <c r="N111"/>
  <c r="N127"/>
  <c r="N64"/>
  <c r="N80"/>
  <c r="N96"/>
  <c r="N112"/>
  <c r="N128"/>
  <c r="N54"/>
  <c r="N61"/>
  <c r="N69"/>
  <c r="N77"/>
  <c r="N85"/>
  <c r="N93"/>
  <c r="N101"/>
  <c r="N109"/>
  <c r="N117"/>
  <c r="N125"/>
  <c r="N133"/>
  <c r="N62"/>
  <c r="N70"/>
  <c r="N78"/>
  <c r="N86"/>
  <c r="N94"/>
  <c r="N102"/>
  <c r="N110"/>
  <c r="N118"/>
  <c r="N126"/>
  <c r="N134"/>
  <c r="N59"/>
  <c r="N67"/>
  <c r="N75"/>
  <c r="N83"/>
  <c r="N91"/>
  <c r="N99"/>
  <c r="N107"/>
  <c r="N115"/>
  <c r="N123"/>
  <c r="N131"/>
  <c r="N60"/>
  <c r="N68"/>
  <c r="N76"/>
  <c r="N84"/>
  <c r="N92"/>
  <c r="N100"/>
  <c r="N108"/>
  <c r="N116"/>
  <c r="N124"/>
  <c r="G69" i="8"/>
  <c r="H69" s="1"/>
  <c r="I69" s="1"/>
  <c r="R238" i="32" s="1"/>
  <c r="AU727" i="9"/>
  <c r="Z727"/>
  <c r="AA727" s="1"/>
  <c r="W728"/>
  <c r="D71" i="8" s="1"/>
  <c r="BB728" i="9"/>
  <c r="AD727"/>
  <c r="AE727" s="1"/>
  <c r="C70" i="8"/>
  <c r="N183" i="32"/>
  <c r="N179"/>
  <c r="N175"/>
  <c r="N171"/>
  <c r="N167"/>
  <c r="N163"/>
  <c r="N159"/>
  <c r="N155"/>
  <c r="N151"/>
  <c r="N147"/>
  <c r="N143"/>
  <c r="N139"/>
  <c r="N182"/>
  <c r="N178"/>
  <c r="N174"/>
  <c r="N170"/>
  <c r="N166"/>
  <c r="N162"/>
  <c r="N158"/>
  <c r="N154"/>
  <c r="N150"/>
  <c r="N146"/>
  <c r="N142"/>
  <c r="N138"/>
  <c r="N135"/>
  <c r="L68" i="8"/>
  <c r="N181" i="32"/>
  <c r="N177"/>
  <c r="N173"/>
  <c r="N169"/>
  <c r="N165"/>
  <c r="N161"/>
  <c r="N157"/>
  <c r="N153"/>
  <c r="N149"/>
  <c r="N145"/>
  <c r="N141"/>
  <c r="N137"/>
  <c r="N180"/>
  <c r="N176"/>
  <c r="N172"/>
  <c r="N168"/>
  <c r="N164"/>
  <c r="N160"/>
  <c r="N156"/>
  <c r="N152"/>
  <c r="N148"/>
  <c r="N144"/>
  <c r="N140"/>
  <c r="N136"/>
  <c r="AU728" i="9"/>
  <c r="O133" i="32"/>
  <c r="O129"/>
  <c r="O125"/>
  <c r="O121"/>
  <c r="O117"/>
  <c r="O113"/>
  <c r="O109"/>
  <c r="O105"/>
  <c r="O101"/>
  <c r="O97"/>
  <c r="O93"/>
  <c r="O89"/>
  <c r="O85"/>
  <c r="O81"/>
  <c r="O77"/>
  <c r="O73"/>
  <c r="O69"/>
  <c r="O65"/>
  <c r="O61"/>
  <c r="O57"/>
  <c r="O54"/>
  <c r="O132"/>
  <c r="O128"/>
  <c r="O124"/>
  <c r="O120"/>
  <c r="O116"/>
  <c r="O112"/>
  <c r="O108"/>
  <c r="O104"/>
  <c r="O100"/>
  <c r="O96"/>
  <c r="O92"/>
  <c r="O88"/>
  <c r="O84"/>
  <c r="O80"/>
  <c r="O76"/>
  <c r="O72"/>
  <c r="O68"/>
  <c r="O64"/>
  <c r="O60"/>
  <c r="O56"/>
  <c r="M67" i="8"/>
  <c r="O131" i="32"/>
  <c r="O127"/>
  <c r="O123"/>
  <c r="O119"/>
  <c r="O115"/>
  <c r="O111"/>
  <c r="O107"/>
  <c r="O103"/>
  <c r="O99"/>
  <c r="O95"/>
  <c r="O91"/>
  <c r="O87"/>
  <c r="O83"/>
  <c r="O79"/>
  <c r="O75"/>
  <c r="O71"/>
  <c r="O67"/>
  <c r="O63"/>
  <c r="O59"/>
  <c r="O55"/>
  <c r="O134"/>
  <c r="O130"/>
  <c r="O126"/>
  <c r="O122"/>
  <c r="O118"/>
  <c r="O114"/>
  <c r="O110"/>
  <c r="O106"/>
  <c r="O102"/>
  <c r="O98"/>
  <c r="O94"/>
  <c r="O90"/>
  <c r="O86"/>
  <c r="O82"/>
  <c r="O78"/>
  <c r="O74"/>
  <c r="O70"/>
  <c r="O66"/>
  <c r="O62"/>
  <c r="O58"/>
  <c r="P51"/>
  <c r="P47"/>
  <c r="P43"/>
  <c r="P39"/>
  <c r="P35"/>
  <c r="P31"/>
  <c r="P27"/>
  <c r="P23"/>
  <c r="P52"/>
  <c r="P48"/>
  <c r="P44"/>
  <c r="P40"/>
  <c r="P36"/>
  <c r="P32"/>
  <c r="P28"/>
  <c r="P24"/>
  <c r="P53"/>
  <c r="P49"/>
  <c r="P45"/>
  <c r="P41"/>
  <c r="P37"/>
  <c r="P33"/>
  <c r="P29"/>
  <c r="P25"/>
  <c r="P22"/>
  <c r="P50"/>
  <c r="P46"/>
  <c r="P42"/>
  <c r="P38"/>
  <c r="P34"/>
  <c r="P30"/>
  <c r="P26"/>
  <c r="N66" i="8"/>
  <c r="BF729" i="9"/>
  <c r="BE729" s="1"/>
  <c r="L663" i="12"/>
  <c r="L355"/>
  <c r="M663"/>
  <c r="M355"/>
  <c r="N663"/>
  <c r="N355"/>
  <c r="F663"/>
  <c r="F355"/>
  <c r="R663"/>
  <c r="R355"/>
  <c r="S663"/>
  <c r="S355"/>
  <c r="H663"/>
  <c r="H355"/>
  <c r="W663"/>
  <c r="W355"/>
  <c r="AA663"/>
  <c r="AA355"/>
  <c r="Y663"/>
  <c r="Y355"/>
  <c r="U663"/>
  <c r="U355"/>
  <c r="O663"/>
  <c r="O355"/>
  <c r="J663"/>
  <c r="J355"/>
  <c r="X663"/>
  <c r="X355"/>
  <c r="V663"/>
  <c r="V355"/>
  <c r="T663"/>
  <c r="T355"/>
  <c r="G663"/>
  <c r="G355"/>
  <c r="D663"/>
  <c r="D355"/>
  <c r="Z663"/>
  <c r="Z355"/>
  <c r="Q663"/>
  <c r="Q355"/>
  <c r="E663"/>
  <c r="E355"/>
  <c r="I663"/>
  <c r="I355"/>
  <c r="K663"/>
  <c r="K355"/>
  <c r="P662"/>
  <c r="P355" l="1"/>
  <c r="M200" i="32"/>
  <c r="R243"/>
  <c r="M207"/>
  <c r="R227"/>
  <c r="M192"/>
  <c r="M247"/>
  <c r="R220"/>
  <c r="R252"/>
  <c r="G70" i="8"/>
  <c r="H70" s="1"/>
  <c r="M1003" i="32" s="1"/>
  <c r="M236"/>
  <c r="M243"/>
  <c r="M212"/>
  <c r="M205"/>
  <c r="R247"/>
  <c r="R234"/>
  <c r="R231"/>
  <c r="R237"/>
  <c r="M195"/>
  <c r="M206"/>
  <c r="M187"/>
  <c r="M222"/>
  <c r="M238"/>
  <c r="M245"/>
  <c r="M240"/>
  <c r="M229"/>
  <c r="M194"/>
  <c r="R245"/>
  <c r="R249"/>
  <c r="R224"/>
  <c r="R203"/>
  <c r="R229"/>
  <c r="R233"/>
  <c r="R187"/>
  <c r="R208"/>
  <c r="M227"/>
  <c r="M233"/>
  <c r="M201"/>
  <c r="M251"/>
  <c r="M219"/>
  <c r="M224"/>
  <c r="M217"/>
  <c r="M213"/>
  <c r="M252"/>
  <c r="M223"/>
  <c r="M191"/>
  <c r="M228"/>
  <c r="M196"/>
  <c r="M209"/>
  <c r="M214"/>
  <c r="M235"/>
  <c r="M226"/>
  <c r="K69" i="8"/>
  <c r="N251" i="32" s="1"/>
  <c r="R244"/>
  <c r="R242"/>
  <c r="R248"/>
  <c r="R214"/>
  <c r="R218"/>
  <c r="R230"/>
  <c r="R198"/>
  <c r="R222"/>
  <c r="R228"/>
  <c r="R226"/>
  <c r="R232"/>
  <c r="R246"/>
  <c r="R189"/>
  <c r="R193"/>
  <c r="R241"/>
  <c r="R205"/>
  <c r="M242"/>
  <c r="M211"/>
  <c r="M249"/>
  <c r="M216"/>
  <c r="M232"/>
  <c r="M239"/>
  <c r="M244"/>
  <c r="M186"/>
  <c r="M234"/>
  <c r="M203"/>
  <c r="M241"/>
  <c r="M208"/>
  <c r="M248"/>
  <c r="M185"/>
  <c r="M190"/>
  <c r="M218"/>
  <c r="M221"/>
  <c r="M246"/>
  <c r="M231"/>
  <c r="M215"/>
  <c r="M199"/>
  <c r="M184"/>
  <c r="M237"/>
  <c r="M220"/>
  <c r="M204"/>
  <c r="M188"/>
  <c r="M225"/>
  <c r="M193"/>
  <c r="M230"/>
  <c r="M198"/>
  <c r="M197"/>
  <c r="M202"/>
  <c r="M210"/>
  <c r="M189"/>
  <c r="M250"/>
  <c r="R206"/>
  <c r="R211"/>
  <c r="R212"/>
  <c r="R213"/>
  <c r="R210"/>
  <c r="R215"/>
  <c r="R216"/>
  <c r="R217"/>
  <c r="R219"/>
  <c r="R221"/>
  <c r="R223"/>
  <c r="R225"/>
  <c r="R236"/>
  <c r="R240"/>
  <c r="R202"/>
  <c r="R209"/>
  <c r="R190"/>
  <c r="R191"/>
  <c r="R196"/>
  <c r="R197"/>
  <c r="R194"/>
  <c r="R195"/>
  <c r="R200"/>
  <c r="R201"/>
  <c r="R251"/>
  <c r="R188"/>
  <c r="R186"/>
  <c r="R192"/>
  <c r="R235"/>
  <c r="R239"/>
  <c r="R204"/>
  <c r="R199"/>
  <c r="AD728" i="9"/>
  <c r="AE728" s="1"/>
  <c r="W729"/>
  <c r="Z729" s="1"/>
  <c r="BB729"/>
  <c r="C71" i="8"/>
  <c r="Z728" i="9"/>
  <c r="AA728" s="1"/>
  <c r="M1012" i="32"/>
  <c r="P132"/>
  <c r="P128"/>
  <c r="P124"/>
  <c r="P120"/>
  <c r="P116"/>
  <c r="P112"/>
  <c r="P108"/>
  <c r="P104"/>
  <c r="P100"/>
  <c r="P96"/>
  <c r="P92"/>
  <c r="P88"/>
  <c r="P84"/>
  <c r="P80"/>
  <c r="P76"/>
  <c r="P72"/>
  <c r="P68"/>
  <c r="P64"/>
  <c r="P60"/>
  <c r="P56"/>
  <c r="P131"/>
  <c r="P127"/>
  <c r="P123"/>
  <c r="P119"/>
  <c r="P115"/>
  <c r="P111"/>
  <c r="P107"/>
  <c r="P103"/>
  <c r="P99"/>
  <c r="P95"/>
  <c r="P91"/>
  <c r="P87"/>
  <c r="P83"/>
  <c r="P79"/>
  <c r="P75"/>
  <c r="P71"/>
  <c r="P67"/>
  <c r="P63"/>
  <c r="P59"/>
  <c r="P55"/>
  <c r="N67" i="8"/>
  <c r="P134" i="32"/>
  <c r="P130"/>
  <c r="P126"/>
  <c r="P122"/>
  <c r="P118"/>
  <c r="P114"/>
  <c r="P110"/>
  <c r="P106"/>
  <c r="P102"/>
  <c r="P98"/>
  <c r="P94"/>
  <c r="P90"/>
  <c r="P86"/>
  <c r="P82"/>
  <c r="P78"/>
  <c r="P74"/>
  <c r="P70"/>
  <c r="P66"/>
  <c r="P62"/>
  <c r="P58"/>
  <c r="P133"/>
  <c r="P129"/>
  <c r="P125"/>
  <c r="P121"/>
  <c r="P117"/>
  <c r="P113"/>
  <c r="P109"/>
  <c r="P105"/>
  <c r="P101"/>
  <c r="P97"/>
  <c r="P93"/>
  <c r="P89"/>
  <c r="P85"/>
  <c r="P81"/>
  <c r="P77"/>
  <c r="P73"/>
  <c r="P69"/>
  <c r="P65"/>
  <c r="P61"/>
  <c r="P57"/>
  <c r="P54"/>
  <c r="G71" i="8"/>
  <c r="H71" s="1"/>
  <c r="I71" s="1"/>
  <c r="M68"/>
  <c r="O180" i="32"/>
  <c r="O176"/>
  <c r="O172"/>
  <c r="O168"/>
  <c r="O164"/>
  <c r="O160"/>
  <c r="O156"/>
  <c r="O152"/>
  <c r="O148"/>
  <c r="O144"/>
  <c r="O140"/>
  <c r="O136"/>
  <c r="O183"/>
  <c r="O179"/>
  <c r="O175"/>
  <c r="O171"/>
  <c r="O167"/>
  <c r="O163"/>
  <c r="O159"/>
  <c r="O155"/>
  <c r="O151"/>
  <c r="O147"/>
  <c r="O143"/>
  <c r="O139"/>
  <c r="O182"/>
  <c r="O178"/>
  <c r="O174"/>
  <c r="O170"/>
  <c r="O166"/>
  <c r="O162"/>
  <c r="O158"/>
  <c r="O154"/>
  <c r="O150"/>
  <c r="O146"/>
  <c r="O142"/>
  <c r="O138"/>
  <c r="O135"/>
  <c r="O181"/>
  <c r="O177"/>
  <c r="O173"/>
  <c r="O169"/>
  <c r="O165"/>
  <c r="O161"/>
  <c r="O157"/>
  <c r="O153"/>
  <c r="O149"/>
  <c r="O145"/>
  <c r="O141"/>
  <c r="O137"/>
  <c r="BF730" i="9"/>
  <c r="BE730" s="1"/>
  <c r="K664" i="12"/>
  <c r="K356"/>
  <c r="I664"/>
  <c r="I356"/>
  <c r="E664"/>
  <c r="E356"/>
  <c r="Q664"/>
  <c r="Q356"/>
  <c r="Z664"/>
  <c r="Z356"/>
  <c r="D664"/>
  <c r="D356"/>
  <c r="G664"/>
  <c r="G356"/>
  <c r="T664"/>
  <c r="T356"/>
  <c r="V664"/>
  <c r="V356"/>
  <c r="X664"/>
  <c r="X356"/>
  <c r="J664"/>
  <c r="J356"/>
  <c r="O664"/>
  <c r="O356"/>
  <c r="U664"/>
  <c r="U356"/>
  <c r="Y664"/>
  <c r="Y356"/>
  <c r="AA664"/>
  <c r="AA356"/>
  <c r="W664"/>
  <c r="W356"/>
  <c r="H664"/>
  <c r="H356"/>
  <c r="S664"/>
  <c r="S356"/>
  <c r="R664"/>
  <c r="R356"/>
  <c r="F664"/>
  <c r="F356"/>
  <c r="N664"/>
  <c r="N356"/>
  <c r="M664"/>
  <c r="M356"/>
  <c r="L664"/>
  <c r="L356"/>
  <c r="P663"/>
  <c r="N217" i="32" l="1"/>
  <c r="N203"/>
  <c r="N212"/>
  <c r="N198"/>
  <c r="N185"/>
  <c r="N248"/>
  <c r="N245"/>
  <c r="N234"/>
  <c r="N230"/>
  <c r="N201"/>
  <c r="N232"/>
  <c r="N196"/>
  <c r="N228"/>
  <c r="N187"/>
  <c r="N219"/>
  <c r="N250"/>
  <c r="N214"/>
  <c r="N247"/>
  <c r="P356" i="12"/>
  <c r="M999" i="32"/>
  <c r="M1006"/>
  <c r="M997"/>
  <c r="M1009"/>
  <c r="M1007"/>
  <c r="N193"/>
  <c r="N209"/>
  <c r="N225"/>
  <c r="N240"/>
  <c r="N188"/>
  <c r="N204"/>
  <c r="N220"/>
  <c r="N237"/>
  <c r="L69" i="8"/>
  <c r="O248" i="32" s="1"/>
  <c r="N195"/>
  <c r="N211"/>
  <c r="N227"/>
  <c r="N242"/>
  <c r="N190"/>
  <c r="N206"/>
  <c r="N222"/>
  <c r="N239"/>
  <c r="D72" i="8"/>
  <c r="M1008" i="32"/>
  <c r="M1005"/>
  <c r="M1004"/>
  <c r="M993"/>
  <c r="M998"/>
  <c r="M1011"/>
  <c r="I70" i="8"/>
  <c r="R1009" i="32" s="1"/>
  <c r="AD729" i="9"/>
  <c r="AE729" s="1"/>
  <c r="M1013" i="32"/>
  <c r="M1000"/>
  <c r="M1010"/>
  <c r="M995"/>
  <c r="M996"/>
  <c r="M1001"/>
  <c r="M994"/>
  <c r="M1014"/>
  <c r="M1002"/>
  <c r="M992"/>
  <c r="N189"/>
  <c r="N197"/>
  <c r="N205"/>
  <c r="N213"/>
  <c r="N221"/>
  <c r="N229"/>
  <c r="N236"/>
  <c r="N244"/>
  <c r="N252"/>
  <c r="N192"/>
  <c r="N200"/>
  <c r="N208"/>
  <c r="N216"/>
  <c r="N224"/>
  <c r="N233"/>
  <c r="N241"/>
  <c r="N249"/>
  <c r="N184"/>
  <c r="N191"/>
  <c r="N199"/>
  <c r="N207"/>
  <c r="N215"/>
  <c r="N223"/>
  <c r="N231"/>
  <c r="N238"/>
  <c r="N246"/>
  <c r="N186"/>
  <c r="N194"/>
  <c r="N202"/>
  <c r="N210"/>
  <c r="N218"/>
  <c r="N226"/>
  <c r="N235"/>
  <c r="N243"/>
  <c r="C72" i="8"/>
  <c r="W730" i="9"/>
  <c r="D73" i="8" s="1"/>
  <c r="BB730" i="9"/>
  <c r="AU729"/>
  <c r="K70" i="8"/>
  <c r="G72"/>
  <c r="H72" s="1"/>
  <c r="AA729" i="9"/>
  <c r="P181" i="32"/>
  <c r="P177"/>
  <c r="P173"/>
  <c r="P169"/>
  <c r="P165"/>
  <c r="P161"/>
  <c r="P183"/>
  <c r="P179"/>
  <c r="P175"/>
  <c r="P171"/>
  <c r="P167"/>
  <c r="P163"/>
  <c r="P157"/>
  <c r="P153"/>
  <c r="P149"/>
  <c r="P145"/>
  <c r="P141"/>
  <c r="P137"/>
  <c r="P180"/>
  <c r="P176"/>
  <c r="P172"/>
  <c r="P168"/>
  <c r="P164"/>
  <c r="P160"/>
  <c r="P156"/>
  <c r="P152"/>
  <c r="P148"/>
  <c r="P144"/>
  <c r="P140"/>
  <c r="P136"/>
  <c r="N68" i="8"/>
  <c r="P159" i="32"/>
  <c r="P155"/>
  <c r="P151"/>
  <c r="P147"/>
  <c r="P143"/>
  <c r="P139"/>
  <c r="P182"/>
  <c r="P178"/>
  <c r="P174"/>
  <c r="P170"/>
  <c r="P166"/>
  <c r="P162"/>
  <c r="P158"/>
  <c r="P154"/>
  <c r="P150"/>
  <c r="P146"/>
  <c r="P142"/>
  <c r="P138"/>
  <c r="P135"/>
  <c r="R503"/>
  <c r="R501"/>
  <c r="R431"/>
  <c r="R441"/>
  <c r="R453"/>
  <c r="R463"/>
  <c r="R474"/>
  <c r="R442"/>
  <c r="R499"/>
  <c r="R451"/>
  <c r="R500"/>
  <c r="R456"/>
  <c r="R447"/>
  <c r="R426"/>
  <c r="R496"/>
  <c r="R470"/>
  <c r="R452"/>
  <c r="R435"/>
  <c r="R414"/>
  <c r="R484"/>
  <c r="R457"/>
  <c r="R432"/>
  <c r="R423"/>
  <c r="R455"/>
  <c r="R506"/>
  <c r="R434"/>
  <c r="R467"/>
  <c r="R409"/>
  <c r="R445"/>
  <c r="R491"/>
  <c r="R420"/>
  <c r="R460"/>
  <c r="R411"/>
  <c r="R443"/>
  <c r="R489"/>
  <c r="R422"/>
  <c r="R454"/>
  <c r="R492"/>
  <c r="R429"/>
  <c r="R466"/>
  <c r="R408"/>
  <c r="R448"/>
  <c r="R480"/>
  <c r="R428"/>
  <c r="R410"/>
  <c r="R419"/>
  <c r="R416"/>
  <c r="R477"/>
  <c r="R417"/>
  <c r="R478"/>
  <c r="R430"/>
  <c r="R483"/>
  <c r="R415"/>
  <c r="R493"/>
  <c r="R458"/>
  <c r="R433"/>
  <c r="R412"/>
  <c r="R461"/>
  <c r="R481"/>
  <c r="R446"/>
  <c r="R421"/>
  <c r="R509"/>
  <c r="R490"/>
  <c r="R407"/>
  <c r="R439"/>
  <c r="R485"/>
  <c r="R418"/>
  <c r="R450"/>
  <c r="R488"/>
  <c r="R425"/>
  <c r="R462"/>
  <c r="R513"/>
  <c r="R440"/>
  <c r="R494"/>
  <c r="R427"/>
  <c r="R459"/>
  <c r="R511"/>
  <c r="R438"/>
  <c r="R471"/>
  <c r="R413"/>
  <c r="R449"/>
  <c r="R495"/>
  <c r="R424"/>
  <c r="R465"/>
  <c r="K71" i="8"/>
  <c r="M515" i="32"/>
  <c r="M448"/>
  <c r="M512"/>
  <c r="M416"/>
  <c r="M433"/>
  <c r="M432"/>
  <c r="M496"/>
  <c r="M449"/>
  <c r="M513"/>
  <c r="M408"/>
  <c r="M440"/>
  <c r="M472"/>
  <c r="M504"/>
  <c r="M425"/>
  <c r="M457"/>
  <c r="M489"/>
  <c r="M412"/>
  <c r="M428"/>
  <c r="M444"/>
  <c r="M460"/>
  <c r="M476"/>
  <c r="M492"/>
  <c r="M508"/>
  <c r="M413"/>
  <c r="M429"/>
  <c r="M445"/>
  <c r="M461"/>
  <c r="M477"/>
  <c r="M493"/>
  <c r="M509"/>
  <c r="M414"/>
  <c r="M422"/>
  <c r="M430"/>
  <c r="M438"/>
  <c r="M446"/>
  <c r="M454"/>
  <c r="M462"/>
  <c r="M470"/>
  <c r="M478"/>
  <c r="M486"/>
  <c r="M494"/>
  <c r="M502"/>
  <c r="M510"/>
  <c r="M407"/>
  <c r="M415"/>
  <c r="M423"/>
  <c r="M431"/>
  <c r="M439"/>
  <c r="M447"/>
  <c r="M455"/>
  <c r="M463"/>
  <c r="M471"/>
  <c r="M479"/>
  <c r="M487"/>
  <c r="M495"/>
  <c r="M503"/>
  <c r="M511"/>
  <c r="M465"/>
  <c r="M497"/>
  <c r="M417"/>
  <c r="M456"/>
  <c r="M409"/>
  <c r="M473"/>
  <c r="M436"/>
  <c r="M468"/>
  <c r="M500"/>
  <c r="M421"/>
  <c r="M453"/>
  <c r="M485"/>
  <c r="M410"/>
  <c r="M426"/>
  <c r="M442"/>
  <c r="M458"/>
  <c r="M474"/>
  <c r="M490"/>
  <c r="M506"/>
  <c r="M411"/>
  <c r="M427"/>
  <c r="M443"/>
  <c r="M459"/>
  <c r="M475"/>
  <c r="M491"/>
  <c r="M507"/>
  <c r="M480"/>
  <c r="M464"/>
  <c r="M481"/>
  <c r="M424"/>
  <c r="M488"/>
  <c r="M441"/>
  <c r="M505"/>
  <c r="M420"/>
  <c r="M452"/>
  <c r="M484"/>
  <c r="M406"/>
  <c r="M437"/>
  <c r="M469"/>
  <c r="M501"/>
  <c r="M418"/>
  <c r="M434"/>
  <c r="M450"/>
  <c r="M466"/>
  <c r="M482"/>
  <c r="M498"/>
  <c r="M514"/>
  <c r="M419"/>
  <c r="M435"/>
  <c r="M451"/>
  <c r="M467"/>
  <c r="M483"/>
  <c r="M499"/>
  <c r="BF731" i="9"/>
  <c r="BE731" s="1"/>
  <c r="L665" i="12"/>
  <c r="L357"/>
  <c r="M665"/>
  <c r="M357"/>
  <c r="N665"/>
  <c r="N357"/>
  <c r="F665"/>
  <c r="F357"/>
  <c r="R665"/>
  <c r="R357"/>
  <c r="S665"/>
  <c r="S357"/>
  <c r="H665"/>
  <c r="H357"/>
  <c r="W665"/>
  <c r="W357"/>
  <c r="AA665"/>
  <c r="AA357"/>
  <c r="Y665"/>
  <c r="Y357"/>
  <c r="U665"/>
  <c r="U357"/>
  <c r="O665"/>
  <c r="O357"/>
  <c r="J665"/>
  <c r="J357"/>
  <c r="X665"/>
  <c r="X357"/>
  <c r="V665"/>
  <c r="V357"/>
  <c r="T665"/>
  <c r="T357"/>
  <c r="G665"/>
  <c r="G357"/>
  <c r="D665"/>
  <c r="D357"/>
  <c r="Z665"/>
  <c r="Z357"/>
  <c r="Q665"/>
  <c r="Q357"/>
  <c r="E665"/>
  <c r="E357"/>
  <c r="I665"/>
  <c r="I357"/>
  <c r="K665"/>
  <c r="K357"/>
  <c r="P664"/>
  <c r="O187" i="32" l="1"/>
  <c r="O243"/>
  <c r="O192"/>
  <c r="O250"/>
  <c r="O236"/>
  <c r="O224"/>
  <c r="O219"/>
  <c r="O210"/>
  <c r="O205"/>
  <c r="R1004"/>
  <c r="O208"/>
  <c r="O241"/>
  <c r="O203"/>
  <c r="O234"/>
  <c r="O194"/>
  <c r="O226"/>
  <c r="O189"/>
  <c r="O221"/>
  <c r="O252"/>
  <c r="R1014"/>
  <c r="P357" i="12"/>
  <c r="O200" i="32"/>
  <c r="O216"/>
  <c r="O233"/>
  <c r="O249"/>
  <c r="O195"/>
  <c r="O211"/>
  <c r="O227"/>
  <c r="O242"/>
  <c r="O186"/>
  <c r="O202"/>
  <c r="O218"/>
  <c r="O235"/>
  <c r="O251"/>
  <c r="O197"/>
  <c r="O213"/>
  <c r="O229"/>
  <c r="O244"/>
  <c r="R1011"/>
  <c r="R1001"/>
  <c r="R1007"/>
  <c r="O188"/>
  <c r="O196"/>
  <c r="O204"/>
  <c r="O212"/>
  <c r="O220"/>
  <c r="O228"/>
  <c r="O237"/>
  <c r="O245"/>
  <c r="O184"/>
  <c r="O191"/>
  <c r="O199"/>
  <c r="O207"/>
  <c r="O215"/>
  <c r="O223"/>
  <c r="O231"/>
  <c r="O238"/>
  <c r="O246"/>
  <c r="M69" i="8"/>
  <c r="P245" i="32" s="1"/>
  <c r="O190"/>
  <c r="O198"/>
  <c r="O206"/>
  <c r="O214"/>
  <c r="O222"/>
  <c r="O230"/>
  <c r="O239"/>
  <c r="O247"/>
  <c r="O185"/>
  <c r="O193"/>
  <c r="O201"/>
  <c r="O209"/>
  <c r="O217"/>
  <c r="O225"/>
  <c r="O232"/>
  <c r="O240"/>
  <c r="R1000"/>
  <c r="R997"/>
  <c r="R994"/>
  <c r="R1003"/>
  <c r="R996"/>
  <c r="R993"/>
  <c r="I72" i="8"/>
  <c r="R581" i="32" s="1"/>
  <c r="R995"/>
  <c r="R1006"/>
  <c r="R1013"/>
  <c r="R999"/>
  <c r="R1010"/>
  <c r="R1008"/>
  <c r="R998"/>
  <c r="R1005"/>
  <c r="R1012"/>
  <c r="R1002"/>
  <c r="AU730" i="9"/>
  <c r="AD730"/>
  <c r="AE730" s="1"/>
  <c r="W731"/>
  <c r="AD731" s="1"/>
  <c r="AE731" s="1"/>
  <c r="BB731"/>
  <c r="C73" i="8"/>
  <c r="Z730" i="9"/>
  <c r="AA730" s="1"/>
  <c r="N514" i="32"/>
  <c r="N510"/>
  <c r="N506"/>
  <c r="N502"/>
  <c r="N498"/>
  <c r="N494"/>
  <c r="N490"/>
  <c r="N486"/>
  <c r="N482"/>
  <c r="N478"/>
  <c r="N474"/>
  <c r="N470"/>
  <c r="N466"/>
  <c r="N462"/>
  <c r="N458"/>
  <c r="N454"/>
  <c r="N450"/>
  <c r="N446"/>
  <c r="N442"/>
  <c r="N438"/>
  <c r="N434"/>
  <c r="N430"/>
  <c r="N426"/>
  <c r="N422"/>
  <c r="N418"/>
  <c r="N414"/>
  <c r="N410"/>
  <c r="N515"/>
  <c r="N511"/>
  <c r="N507"/>
  <c r="N503"/>
  <c r="N499"/>
  <c r="N495"/>
  <c r="N491"/>
  <c r="N487"/>
  <c r="N483"/>
  <c r="N479"/>
  <c r="N475"/>
  <c r="N471"/>
  <c r="N467"/>
  <c r="N463"/>
  <c r="N459"/>
  <c r="N455"/>
  <c r="N451"/>
  <c r="N447"/>
  <c r="N443"/>
  <c r="N439"/>
  <c r="N435"/>
  <c r="N431"/>
  <c r="N427"/>
  <c r="N423"/>
  <c r="N419"/>
  <c r="N415"/>
  <c r="N411"/>
  <c r="N407"/>
  <c r="L71" i="8"/>
  <c r="N512" i="32"/>
  <c r="N508"/>
  <c r="N504"/>
  <c r="N500"/>
  <c r="N496"/>
  <c r="N492"/>
  <c r="N488"/>
  <c r="N484"/>
  <c r="N480"/>
  <c r="N476"/>
  <c r="N472"/>
  <c r="N468"/>
  <c r="N464"/>
  <c r="N460"/>
  <c r="N456"/>
  <c r="N452"/>
  <c r="N448"/>
  <c r="N444"/>
  <c r="N440"/>
  <c r="N436"/>
  <c r="N432"/>
  <c r="N428"/>
  <c r="N424"/>
  <c r="N420"/>
  <c r="N416"/>
  <c r="N412"/>
  <c r="N408"/>
  <c r="N513"/>
  <c r="N509"/>
  <c r="N505"/>
  <c r="N501"/>
  <c r="N497"/>
  <c r="N493"/>
  <c r="N489"/>
  <c r="N485"/>
  <c r="N481"/>
  <c r="N477"/>
  <c r="N473"/>
  <c r="N469"/>
  <c r="N465"/>
  <c r="N461"/>
  <c r="N457"/>
  <c r="N453"/>
  <c r="N449"/>
  <c r="N445"/>
  <c r="N441"/>
  <c r="N437"/>
  <c r="N433"/>
  <c r="N429"/>
  <c r="N425"/>
  <c r="N421"/>
  <c r="N417"/>
  <c r="N413"/>
  <c r="N409"/>
  <c r="N406"/>
  <c r="M607"/>
  <c r="M526"/>
  <c r="M537"/>
  <c r="M542"/>
  <c r="M594"/>
  <c r="M590"/>
  <c r="M545"/>
  <c r="M518"/>
  <c r="M551"/>
  <c r="M578"/>
  <c r="M601"/>
  <c r="M552"/>
  <c r="M517"/>
  <c r="M533"/>
  <c r="M549"/>
  <c r="M587"/>
  <c r="M522"/>
  <c r="M538"/>
  <c r="M555"/>
  <c r="M567"/>
  <c r="M580"/>
  <c r="M592"/>
  <c r="M604"/>
  <c r="M554"/>
  <c r="M562"/>
  <c r="M519"/>
  <c r="M527"/>
  <c r="M535"/>
  <c r="M543"/>
  <c r="M569"/>
  <c r="M577"/>
  <c r="M595"/>
  <c r="M605"/>
  <c r="M524"/>
  <c r="M532"/>
  <c r="M540"/>
  <c r="M548"/>
  <c r="M557"/>
  <c r="M564"/>
  <c r="M568"/>
  <c r="M576"/>
  <c r="M581"/>
  <c r="M588"/>
  <c r="M593"/>
  <c r="M600"/>
  <c r="M559"/>
  <c r="M571"/>
  <c r="M521"/>
  <c r="M556"/>
  <c r="M570"/>
  <c r="M516"/>
  <c r="M583"/>
  <c r="M565"/>
  <c r="M560"/>
  <c r="M541"/>
  <c r="M603"/>
  <c r="M546"/>
  <c r="M574"/>
  <c r="M598"/>
  <c r="M558"/>
  <c r="M523"/>
  <c r="M539"/>
  <c r="M573"/>
  <c r="M599"/>
  <c r="M528"/>
  <c r="M544"/>
  <c r="M561"/>
  <c r="M572"/>
  <c r="M584"/>
  <c r="M596"/>
  <c r="M582"/>
  <c r="M597"/>
  <c r="M529"/>
  <c r="M534"/>
  <c r="M589"/>
  <c r="M525"/>
  <c r="M575"/>
  <c r="M530"/>
  <c r="M563"/>
  <c r="M586"/>
  <c r="M550"/>
  <c r="M606"/>
  <c r="M531"/>
  <c r="M547"/>
  <c r="M585"/>
  <c r="M520"/>
  <c r="M536"/>
  <c r="M553"/>
  <c r="M566"/>
  <c r="M579"/>
  <c r="M591"/>
  <c r="M602"/>
  <c r="G73" i="8"/>
  <c r="H73" s="1"/>
  <c r="I73" s="1"/>
  <c r="D74"/>
  <c r="R590" i="32"/>
  <c r="P249"/>
  <c r="L70" i="8"/>
  <c r="N1011" i="32"/>
  <c r="N1007"/>
  <c r="N1003"/>
  <c r="N999"/>
  <c r="N995"/>
  <c r="N992"/>
  <c r="N1012"/>
  <c r="N1008"/>
  <c r="N1004"/>
  <c r="N1000"/>
  <c r="N996"/>
  <c r="N1013"/>
  <c r="N1009"/>
  <c r="N1005"/>
  <c r="N1001"/>
  <c r="N997"/>
  <c r="N993"/>
  <c r="N1014"/>
  <c r="N1010"/>
  <c r="N1006"/>
  <c r="N1002"/>
  <c r="N998"/>
  <c r="N994"/>
  <c r="BF732" i="9"/>
  <c r="BE732" s="1"/>
  <c r="K666" i="12"/>
  <c r="K358"/>
  <c r="I666"/>
  <c r="I358"/>
  <c r="E666"/>
  <c r="E358"/>
  <c r="Q666"/>
  <c r="Q358"/>
  <c r="Z666"/>
  <c r="Z358"/>
  <c r="D666"/>
  <c r="D358"/>
  <c r="G666"/>
  <c r="G358"/>
  <c r="T666"/>
  <c r="T358"/>
  <c r="V666"/>
  <c r="V358"/>
  <c r="X666"/>
  <c r="X358"/>
  <c r="J666"/>
  <c r="J358"/>
  <c r="O666"/>
  <c r="O358"/>
  <c r="U666"/>
  <c r="U358"/>
  <c r="Y666"/>
  <c r="Y358"/>
  <c r="AA666"/>
  <c r="AA358"/>
  <c r="W666"/>
  <c r="W358"/>
  <c r="H666"/>
  <c r="H358"/>
  <c r="S666"/>
  <c r="S358"/>
  <c r="R666"/>
  <c r="R358"/>
  <c r="F666"/>
  <c r="F358"/>
  <c r="N666"/>
  <c r="N358"/>
  <c r="M666"/>
  <c r="M358"/>
  <c r="L666"/>
  <c r="L358"/>
  <c r="P665"/>
  <c r="P199" i="32" l="1"/>
  <c r="P189"/>
  <c r="P194"/>
  <c r="P252"/>
  <c r="P231"/>
  <c r="P226"/>
  <c r="P221"/>
  <c r="P216"/>
  <c r="P184"/>
  <c r="P215"/>
  <c r="P246"/>
  <c r="P210"/>
  <c r="P243"/>
  <c r="P205"/>
  <c r="P236"/>
  <c r="P200"/>
  <c r="P233"/>
  <c r="P191"/>
  <c r="P207"/>
  <c r="P223"/>
  <c r="P238"/>
  <c r="P186"/>
  <c r="P202"/>
  <c r="P218"/>
  <c r="P235"/>
  <c r="P251"/>
  <c r="P197"/>
  <c r="P213"/>
  <c r="P229"/>
  <c r="P244"/>
  <c r="P192"/>
  <c r="P208"/>
  <c r="P224"/>
  <c r="P241"/>
  <c r="N69" i="8"/>
  <c r="P187" i="32"/>
  <c r="P195"/>
  <c r="P203"/>
  <c r="P211"/>
  <c r="P219"/>
  <c r="P227"/>
  <c r="P234"/>
  <c r="P242"/>
  <c r="P250"/>
  <c r="P190"/>
  <c r="P198"/>
  <c r="P206"/>
  <c r="P214"/>
  <c r="P222"/>
  <c r="P230"/>
  <c r="P239"/>
  <c r="P247"/>
  <c r="P185"/>
  <c r="P193"/>
  <c r="P201"/>
  <c r="P209"/>
  <c r="P217"/>
  <c r="P225"/>
  <c r="P232"/>
  <c r="P240"/>
  <c r="P248"/>
  <c r="P188"/>
  <c r="P196"/>
  <c r="P204"/>
  <c r="P212"/>
  <c r="P220"/>
  <c r="P228"/>
  <c r="P237"/>
  <c r="P358" i="12"/>
  <c r="R518" i="32"/>
  <c r="R535"/>
  <c r="R525"/>
  <c r="R517"/>
  <c r="R587"/>
  <c r="R544"/>
  <c r="R565"/>
  <c r="R570"/>
  <c r="R549"/>
  <c r="R564"/>
  <c r="R537"/>
  <c r="R582"/>
  <c r="R575"/>
  <c r="R532"/>
  <c r="R597"/>
  <c r="R520"/>
  <c r="R604"/>
  <c r="R554"/>
  <c r="R567"/>
  <c r="R523"/>
  <c r="K72" i="8"/>
  <c r="L72" s="1"/>
  <c r="R572" i="32"/>
  <c r="R577"/>
  <c r="R584"/>
  <c r="R528"/>
  <c r="R580"/>
  <c r="R562"/>
  <c r="R534"/>
  <c r="R563"/>
  <c r="R524"/>
  <c r="R538"/>
  <c r="R569"/>
  <c r="R591"/>
  <c r="R536"/>
  <c r="R596"/>
  <c r="R526"/>
  <c r="R519"/>
  <c r="R552"/>
  <c r="R522"/>
  <c r="R566"/>
  <c r="Z731" i="9"/>
  <c r="G74" i="8" s="1"/>
  <c r="H74" s="1"/>
  <c r="I74" s="1"/>
  <c r="C74"/>
  <c r="W732" i="9"/>
  <c r="D75" i="8" s="1"/>
  <c r="BB732" i="9"/>
  <c r="AU731"/>
  <c r="O1014" i="32"/>
  <c r="O1010"/>
  <c r="O1006"/>
  <c r="O1002"/>
  <c r="O998"/>
  <c r="O994"/>
  <c r="O1011"/>
  <c r="O1007"/>
  <c r="O1003"/>
  <c r="O999"/>
  <c r="O995"/>
  <c r="O992"/>
  <c r="M70" i="8"/>
  <c r="O1012" i="32"/>
  <c r="O1008"/>
  <c r="O1004"/>
  <c r="O1000"/>
  <c r="O996"/>
  <c r="O1013"/>
  <c r="O1009"/>
  <c r="O1005"/>
  <c r="O1001"/>
  <c r="O997"/>
  <c r="O993"/>
  <c r="K73" i="8"/>
  <c r="R1017" i="32"/>
  <c r="R1027"/>
  <c r="R1021"/>
  <c r="R1020"/>
  <c r="R1023"/>
  <c r="R1033"/>
  <c r="R1022"/>
  <c r="R1032"/>
  <c r="R1035"/>
  <c r="R1038"/>
  <c r="R1016"/>
  <c r="R1034"/>
  <c r="R1019"/>
  <c r="M1043"/>
  <c r="M1026"/>
  <c r="M1029"/>
  <c r="M1018"/>
  <c r="M1021"/>
  <c r="M1015"/>
  <c r="M1030"/>
  <c r="M1017"/>
  <c r="M1033"/>
  <c r="M1034"/>
  <c r="M1022"/>
  <c r="M1025"/>
  <c r="M1016"/>
  <c r="M1024"/>
  <c r="M1032"/>
  <c r="M1040"/>
  <c r="M1019"/>
  <c r="M1027"/>
  <c r="M1035"/>
  <c r="M1042"/>
  <c r="M1037"/>
  <c r="M1038"/>
  <c r="M1041"/>
  <c r="M1028"/>
  <c r="M1044"/>
  <c r="M1031"/>
  <c r="M1020"/>
  <c r="M1036"/>
  <c r="M1023"/>
  <c r="M1039"/>
  <c r="M71" i="8"/>
  <c r="O513" i="32"/>
  <c r="O509"/>
  <c r="O505"/>
  <c r="O501"/>
  <c r="O497"/>
  <c r="O493"/>
  <c r="O489"/>
  <c r="O485"/>
  <c r="O481"/>
  <c r="O477"/>
  <c r="O473"/>
  <c r="O469"/>
  <c r="O465"/>
  <c r="O461"/>
  <c r="O457"/>
  <c r="O453"/>
  <c r="O449"/>
  <c r="O445"/>
  <c r="O441"/>
  <c r="O437"/>
  <c r="O433"/>
  <c r="O429"/>
  <c r="O425"/>
  <c r="O421"/>
  <c r="O417"/>
  <c r="O413"/>
  <c r="O409"/>
  <c r="O406"/>
  <c r="O512"/>
  <c r="O508"/>
  <c r="O504"/>
  <c r="O500"/>
  <c r="O496"/>
  <c r="O492"/>
  <c r="O488"/>
  <c r="O484"/>
  <c r="O480"/>
  <c r="O476"/>
  <c r="O472"/>
  <c r="O468"/>
  <c r="O464"/>
  <c r="O460"/>
  <c r="O456"/>
  <c r="O452"/>
  <c r="O448"/>
  <c r="O444"/>
  <c r="O440"/>
  <c r="O436"/>
  <c r="O432"/>
  <c r="O428"/>
  <c r="O424"/>
  <c r="O420"/>
  <c r="O416"/>
  <c r="O412"/>
  <c r="O408"/>
  <c r="O515"/>
  <c r="O511"/>
  <c r="O507"/>
  <c r="O503"/>
  <c r="O499"/>
  <c r="O495"/>
  <c r="O491"/>
  <c r="O487"/>
  <c r="O483"/>
  <c r="O479"/>
  <c r="O475"/>
  <c r="O471"/>
  <c r="O467"/>
  <c r="O463"/>
  <c r="O459"/>
  <c r="O455"/>
  <c r="O451"/>
  <c r="O447"/>
  <c r="O443"/>
  <c r="O439"/>
  <c r="O435"/>
  <c r="O431"/>
  <c r="O427"/>
  <c r="O423"/>
  <c r="O419"/>
  <c r="O415"/>
  <c r="O411"/>
  <c r="O407"/>
  <c r="O514"/>
  <c r="O510"/>
  <c r="O506"/>
  <c r="O502"/>
  <c r="O498"/>
  <c r="O494"/>
  <c r="O490"/>
  <c r="O486"/>
  <c r="O482"/>
  <c r="O478"/>
  <c r="O474"/>
  <c r="O470"/>
  <c r="O466"/>
  <c r="O462"/>
  <c r="O458"/>
  <c r="O454"/>
  <c r="O450"/>
  <c r="O446"/>
  <c r="O442"/>
  <c r="O438"/>
  <c r="O434"/>
  <c r="O430"/>
  <c r="O426"/>
  <c r="O422"/>
  <c r="O418"/>
  <c r="O414"/>
  <c r="O410"/>
  <c r="BF733" i="9"/>
  <c r="BE733" s="1"/>
  <c r="L667" i="12"/>
  <c r="L359"/>
  <c r="M667"/>
  <c r="M359"/>
  <c r="N667"/>
  <c r="N359"/>
  <c r="F667"/>
  <c r="F359"/>
  <c r="R667"/>
  <c r="R359"/>
  <c r="S667"/>
  <c r="S359"/>
  <c r="H667"/>
  <c r="H359"/>
  <c r="W667"/>
  <c r="W359"/>
  <c r="AA667"/>
  <c r="AA359"/>
  <c r="Y667"/>
  <c r="Y359"/>
  <c r="U667"/>
  <c r="U359"/>
  <c r="O667"/>
  <c r="O359"/>
  <c r="J667"/>
  <c r="J359"/>
  <c r="X667"/>
  <c r="X359"/>
  <c r="V667"/>
  <c r="V359"/>
  <c r="T667"/>
  <c r="T359"/>
  <c r="G667"/>
  <c r="G359"/>
  <c r="D667"/>
  <c r="D359"/>
  <c r="Z667"/>
  <c r="Z359"/>
  <c r="Q667"/>
  <c r="Q359"/>
  <c r="E667"/>
  <c r="E359"/>
  <c r="I667"/>
  <c r="I359"/>
  <c r="K667"/>
  <c r="K359"/>
  <c r="P666"/>
  <c r="P359" l="1"/>
  <c r="AA731" i="9"/>
  <c r="S7" i="8" s="1"/>
  <c r="N529" i="32"/>
  <c r="N574"/>
  <c r="N568"/>
  <c r="N606"/>
  <c r="N535"/>
  <c r="N540"/>
  <c r="N593"/>
  <c r="N560"/>
  <c r="N546"/>
  <c r="N598"/>
  <c r="N571"/>
  <c r="N524"/>
  <c r="N557"/>
  <c r="N581"/>
  <c r="N607"/>
  <c r="N545"/>
  <c r="N585"/>
  <c r="N530"/>
  <c r="N563"/>
  <c r="N586"/>
  <c r="N519"/>
  <c r="N550"/>
  <c r="N595"/>
  <c r="N532"/>
  <c r="N548"/>
  <c r="N564"/>
  <c r="N576"/>
  <c r="N588"/>
  <c r="N600"/>
  <c r="N521"/>
  <c r="N537"/>
  <c r="N552"/>
  <c r="N573"/>
  <c r="N597"/>
  <c r="N522"/>
  <c r="N538"/>
  <c r="N555"/>
  <c r="N567"/>
  <c r="N580"/>
  <c r="N592"/>
  <c r="N604"/>
  <c r="N527"/>
  <c r="N543"/>
  <c r="N558"/>
  <c r="N583"/>
  <c r="N605"/>
  <c r="N520"/>
  <c r="N528"/>
  <c r="N536"/>
  <c r="N544"/>
  <c r="N553"/>
  <c r="N561"/>
  <c r="N566"/>
  <c r="N572"/>
  <c r="N579"/>
  <c r="N584"/>
  <c r="N591"/>
  <c r="N596"/>
  <c r="N602"/>
  <c r="N517"/>
  <c r="N525"/>
  <c r="N533"/>
  <c r="N541"/>
  <c r="N549"/>
  <c r="N556"/>
  <c r="N569"/>
  <c r="N577"/>
  <c r="N590"/>
  <c r="N603"/>
  <c r="N518"/>
  <c r="N526"/>
  <c r="N534"/>
  <c r="N542"/>
  <c r="N551"/>
  <c r="N559"/>
  <c r="N565"/>
  <c r="N570"/>
  <c r="N578"/>
  <c r="N582"/>
  <c r="N589"/>
  <c r="N594"/>
  <c r="N601"/>
  <c r="N516"/>
  <c r="N523"/>
  <c r="N531"/>
  <c r="N539"/>
  <c r="N547"/>
  <c r="N554"/>
  <c r="N562"/>
  <c r="N575"/>
  <c r="N587"/>
  <c r="N599"/>
  <c r="AU732" i="9"/>
  <c r="AD732"/>
  <c r="AE732" s="1"/>
  <c r="W733"/>
  <c r="D76" i="8" s="1"/>
  <c r="BB733" i="9"/>
  <c r="Z732"/>
  <c r="AA732" s="1"/>
  <c r="C75" i="8"/>
  <c r="P512" i="32"/>
  <c r="P508"/>
  <c r="P504"/>
  <c r="P500"/>
  <c r="P496"/>
  <c r="P492"/>
  <c r="P488"/>
  <c r="P484"/>
  <c r="P480"/>
  <c r="P476"/>
  <c r="P472"/>
  <c r="P468"/>
  <c r="P464"/>
  <c r="P460"/>
  <c r="P456"/>
  <c r="P452"/>
  <c r="P448"/>
  <c r="P444"/>
  <c r="P440"/>
  <c r="P436"/>
  <c r="P432"/>
  <c r="P428"/>
  <c r="P424"/>
  <c r="P420"/>
  <c r="P416"/>
  <c r="P412"/>
  <c r="P408"/>
  <c r="P515"/>
  <c r="P511"/>
  <c r="P507"/>
  <c r="P503"/>
  <c r="P499"/>
  <c r="P495"/>
  <c r="P491"/>
  <c r="P487"/>
  <c r="P483"/>
  <c r="P479"/>
  <c r="P475"/>
  <c r="P471"/>
  <c r="P467"/>
  <c r="P463"/>
  <c r="P459"/>
  <c r="P455"/>
  <c r="P451"/>
  <c r="P447"/>
  <c r="P443"/>
  <c r="P439"/>
  <c r="P435"/>
  <c r="P431"/>
  <c r="P427"/>
  <c r="P423"/>
  <c r="P419"/>
  <c r="P415"/>
  <c r="P411"/>
  <c r="P407"/>
  <c r="P514"/>
  <c r="P510"/>
  <c r="P506"/>
  <c r="P502"/>
  <c r="P498"/>
  <c r="P494"/>
  <c r="P490"/>
  <c r="P486"/>
  <c r="P482"/>
  <c r="P478"/>
  <c r="P474"/>
  <c r="P470"/>
  <c r="P466"/>
  <c r="P462"/>
  <c r="P458"/>
  <c r="P454"/>
  <c r="P450"/>
  <c r="P446"/>
  <c r="P442"/>
  <c r="P438"/>
  <c r="P434"/>
  <c r="P430"/>
  <c r="P426"/>
  <c r="P422"/>
  <c r="P418"/>
  <c r="P414"/>
  <c r="P410"/>
  <c r="P406"/>
  <c r="P513"/>
  <c r="P509"/>
  <c r="P505"/>
  <c r="P501"/>
  <c r="P497"/>
  <c r="P493"/>
  <c r="P489"/>
  <c r="P485"/>
  <c r="P481"/>
  <c r="P477"/>
  <c r="P473"/>
  <c r="P469"/>
  <c r="P465"/>
  <c r="P461"/>
  <c r="P457"/>
  <c r="P453"/>
  <c r="P449"/>
  <c r="P445"/>
  <c r="P441"/>
  <c r="P437"/>
  <c r="P433"/>
  <c r="P429"/>
  <c r="P425"/>
  <c r="P421"/>
  <c r="P417"/>
  <c r="P413"/>
  <c r="P409"/>
  <c r="N71" i="8"/>
  <c r="L73"/>
  <c r="N1016" i="32"/>
  <c r="N1032"/>
  <c r="N1021"/>
  <c r="N1024"/>
  <c r="N1017"/>
  <c r="N1033"/>
  <c r="N1020"/>
  <c r="N1036"/>
  <c r="N1019"/>
  <c r="N1027"/>
  <c r="N1035"/>
  <c r="N1043"/>
  <c r="N1022"/>
  <c r="N1030"/>
  <c r="N1038"/>
  <c r="N1029"/>
  <c r="N1037"/>
  <c r="N1040"/>
  <c r="N1025"/>
  <c r="N1041"/>
  <c r="N1028"/>
  <c r="N1044"/>
  <c r="N1023"/>
  <c r="N1031"/>
  <c r="N1039"/>
  <c r="N1018"/>
  <c r="N1026"/>
  <c r="N1034"/>
  <c r="N1042"/>
  <c r="M698"/>
  <c r="M693"/>
  <c r="M613"/>
  <c r="M677"/>
  <c r="M652"/>
  <c r="M637"/>
  <c r="M669"/>
  <c r="M612"/>
  <c r="M644"/>
  <c r="M676"/>
  <c r="M609"/>
  <c r="M625"/>
  <c r="M641"/>
  <c r="M657"/>
  <c r="M673"/>
  <c r="M689"/>
  <c r="M616"/>
  <c r="M632"/>
  <c r="M648"/>
  <c r="M664"/>
  <c r="M680"/>
  <c r="M696"/>
  <c r="M611"/>
  <c r="M619"/>
  <c r="M627"/>
  <c r="M635"/>
  <c r="M643"/>
  <c r="M651"/>
  <c r="M659"/>
  <c r="M667"/>
  <c r="M675"/>
  <c r="M683"/>
  <c r="M691"/>
  <c r="M610"/>
  <c r="M618"/>
  <c r="M626"/>
  <c r="M634"/>
  <c r="M642"/>
  <c r="M650"/>
  <c r="M658"/>
  <c r="M666"/>
  <c r="M674"/>
  <c r="M682"/>
  <c r="M690"/>
  <c r="M629"/>
  <c r="M645"/>
  <c r="M684"/>
  <c r="M621"/>
  <c r="M685"/>
  <c r="M660"/>
  <c r="M617"/>
  <c r="M649"/>
  <c r="M681"/>
  <c r="M624"/>
  <c r="M656"/>
  <c r="M688"/>
  <c r="M608"/>
  <c r="M623"/>
  <c r="M639"/>
  <c r="M655"/>
  <c r="M671"/>
  <c r="M687"/>
  <c r="M614"/>
  <c r="M630"/>
  <c r="M646"/>
  <c r="M662"/>
  <c r="M678"/>
  <c r="M694"/>
  <c r="M661"/>
  <c r="M636"/>
  <c r="M668"/>
  <c r="M620"/>
  <c r="M653"/>
  <c r="M628"/>
  <c r="M692"/>
  <c r="M633"/>
  <c r="M665"/>
  <c r="M697"/>
  <c r="M640"/>
  <c r="M672"/>
  <c r="M615"/>
  <c r="M631"/>
  <c r="M647"/>
  <c r="M663"/>
  <c r="M679"/>
  <c r="M695"/>
  <c r="M622"/>
  <c r="M638"/>
  <c r="M654"/>
  <c r="M670"/>
  <c r="M686"/>
  <c r="G75" i="8"/>
  <c r="H75" s="1"/>
  <c r="I75" s="1"/>
  <c r="P1011" i="32"/>
  <c r="P1007"/>
  <c r="P1003"/>
  <c r="P999"/>
  <c r="P995"/>
  <c r="P992"/>
  <c r="P1012"/>
  <c r="P1008"/>
  <c r="P1004"/>
  <c r="P1000"/>
  <c r="P996"/>
  <c r="P1013"/>
  <c r="P1009"/>
  <c r="P1005"/>
  <c r="P1001"/>
  <c r="P997"/>
  <c r="P993"/>
  <c r="P1014"/>
  <c r="P1010"/>
  <c r="P1006"/>
  <c r="P1002"/>
  <c r="P998"/>
  <c r="P994"/>
  <c r="N70" i="8"/>
  <c r="R695" i="32"/>
  <c r="R679"/>
  <c r="R663"/>
  <c r="R647"/>
  <c r="R627"/>
  <c r="R611"/>
  <c r="R672"/>
  <c r="R656"/>
  <c r="R636"/>
  <c r="R616"/>
  <c r="R681"/>
  <c r="R665"/>
  <c r="R649"/>
  <c r="R633"/>
  <c r="R617"/>
  <c r="R686"/>
  <c r="R666"/>
  <c r="R650"/>
  <c r="R634"/>
  <c r="R618"/>
  <c r="R691"/>
  <c r="R675"/>
  <c r="R659"/>
  <c r="R643"/>
  <c r="R623"/>
  <c r="R688"/>
  <c r="R668"/>
  <c r="R652"/>
  <c r="R628"/>
  <c r="R612"/>
  <c r="R677"/>
  <c r="R661"/>
  <c r="R645"/>
  <c r="R629"/>
  <c r="R613"/>
  <c r="R678"/>
  <c r="R662"/>
  <c r="R646"/>
  <c r="R630"/>
  <c r="R614"/>
  <c r="R687"/>
  <c r="R671"/>
  <c r="R655"/>
  <c r="R639"/>
  <c r="R619"/>
  <c r="R680"/>
  <c r="R664"/>
  <c r="R648"/>
  <c r="R624"/>
  <c r="R693"/>
  <c r="R673"/>
  <c r="R657"/>
  <c r="R641"/>
  <c r="R625"/>
  <c r="R609"/>
  <c r="R674"/>
  <c r="R658"/>
  <c r="R642"/>
  <c r="R626"/>
  <c r="R610"/>
  <c r="R683"/>
  <c r="R667"/>
  <c r="R651"/>
  <c r="R635"/>
  <c r="R615"/>
  <c r="R676"/>
  <c r="R660"/>
  <c r="R644"/>
  <c r="R620"/>
  <c r="R689"/>
  <c r="R669"/>
  <c r="R653"/>
  <c r="R637"/>
  <c r="R621"/>
  <c r="R698"/>
  <c r="R670"/>
  <c r="R654"/>
  <c r="R638"/>
  <c r="R622"/>
  <c r="K74" i="8"/>
  <c r="M72"/>
  <c r="O604" i="32"/>
  <c r="O601"/>
  <c r="O598"/>
  <c r="O594"/>
  <c r="O592"/>
  <c r="O589"/>
  <c r="O586"/>
  <c r="O582"/>
  <c r="O580"/>
  <c r="O578"/>
  <c r="O574"/>
  <c r="O570"/>
  <c r="O567"/>
  <c r="O565"/>
  <c r="O563"/>
  <c r="O559"/>
  <c r="O555"/>
  <c r="O551"/>
  <c r="O546"/>
  <c r="O542"/>
  <c r="O538"/>
  <c r="O534"/>
  <c r="O530"/>
  <c r="O526"/>
  <c r="O522"/>
  <c r="O518"/>
  <c r="O605"/>
  <c r="O599"/>
  <c r="O595"/>
  <c r="O587"/>
  <c r="O583"/>
  <c r="O575"/>
  <c r="O571"/>
  <c r="O562"/>
  <c r="O558"/>
  <c r="O554"/>
  <c r="O550"/>
  <c r="O547"/>
  <c r="O543"/>
  <c r="O539"/>
  <c r="O535"/>
  <c r="O531"/>
  <c r="O527"/>
  <c r="O523"/>
  <c r="O519"/>
  <c r="O516"/>
  <c r="O607"/>
  <c r="O602"/>
  <c r="O600"/>
  <c r="O596"/>
  <c r="O593"/>
  <c r="O591"/>
  <c r="O588"/>
  <c r="O584"/>
  <c r="O581"/>
  <c r="O579"/>
  <c r="O576"/>
  <c r="O572"/>
  <c r="O568"/>
  <c r="O566"/>
  <c r="O564"/>
  <c r="O561"/>
  <c r="O557"/>
  <c r="O553"/>
  <c r="O548"/>
  <c r="O544"/>
  <c r="O540"/>
  <c r="O536"/>
  <c r="O532"/>
  <c r="O528"/>
  <c r="O524"/>
  <c r="O520"/>
  <c r="O606"/>
  <c r="O603"/>
  <c r="O597"/>
  <c r="O590"/>
  <c r="O585"/>
  <c r="O577"/>
  <c r="O573"/>
  <c r="O569"/>
  <c r="O560"/>
  <c r="O556"/>
  <c r="O552"/>
  <c r="O549"/>
  <c r="O545"/>
  <c r="O541"/>
  <c r="O537"/>
  <c r="O533"/>
  <c r="O529"/>
  <c r="O525"/>
  <c r="O521"/>
  <c r="O517"/>
  <c r="BF734" i="9"/>
  <c r="BE734" s="1"/>
  <c r="K668" i="12"/>
  <c r="K360"/>
  <c r="I668"/>
  <c r="I360"/>
  <c r="E668"/>
  <c r="E360"/>
  <c r="Q668"/>
  <c r="Q360"/>
  <c r="Z668"/>
  <c r="Z360"/>
  <c r="D668"/>
  <c r="D360"/>
  <c r="G668"/>
  <c r="G360"/>
  <c r="T668"/>
  <c r="T360"/>
  <c r="V668"/>
  <c r="V360"/>
  <c r="X668"/>
  <c r="X360"/>
  <c r="J668"/>
  <c r="J360"/>
  <c r="O668"/>
  <c r="O360"/>
  <c r="U668"/>
  <c r="U360"/>
  <c r="Y668"/>
  <c r="Y360"/>
  <c r="AA668"/>
  <c r="AA360"/>
  <c r="W668"/>
  <c r="W360"/>
  <c r="H668"/>
  <c r="H360"/>
  <c r="S668"/>
  <c r="S360"/>
  <c r="R668"/>
  <c r="R360"/>
  <c r="F668"/>
  <c r="F360"/>
  <c r="N668"/>
  <c r="N360"/>
  <c r="M668"/>
  <c r="M360"/>
  <c r="L668"/>
  <c r="L360"/>
  <c r="P667"/>
  <c r="P360" l="1"/>
  <c r="P668"/>
  <c r="AD733" i="9"/>
  <c r="AE733" s="1"/>
  <c r="AU733"/>
  <c r="W734"/>
  <c r="AD734" s="1"/>
  <c r="AE734" s="1"/>
  <c r="BB734"/>
  <c r="C76" i="8"/>
  <c r="Z733" i="9"/>
  <c r="G76" i="8" s="1"/>
  <c r="H76" s="1"/>
  <c r="I76" s="1"/>
  <c r="K76" s="1"/>
  <c r="L76" s="1"/>
  <c r="M76" s="1"/>
  <c r="N76" s="1"/>
  <c r="D77"/>
  <c r="P605" i="32"/>
  <c r="P599"/>
  <c r="P595"/>
  <c r="P587"/>
  <c r="P583"/>
  <c r="P575"/>
  <c r="P571"/>
  <c r="P562"/>
  <c r="P558"/>
  <c r="P554"/>
  <c r="P550"/>
  <c r="P547"/>
  <c r="P543"/>
  <c r="P539"/>
  <c r="P535"/>
  <c r="P531"/>
  <c r="P527"/>
  <c r="P523"/>
  <c r="P519"/>
  <c r="P516"/>
  <c r="P602"/>
  <c r="P598"/>
  <c r="P594"/>
  <c r="P588"/>
  <c r="P584"/>
  <c r="P580"/>
  <c r="P576"/>
  <c r="P572"/>
  <c r="P568"/>
  <c r="P564"/>
  <c r="P546"/>
  <c r="P542"/>
  <c r="P538"/>
  <c r="P534"/>
  <c r="P530"/>
  <c r="P526"/>
  <c r="P522"/>
  <c r="P518"/>
  <c r="P601"/>
  <c r="P591"/>
  <c r="P581"/>
  <c r="P567"/>
  <c r="P563"/>
  <c r="P559"/>
  <c r="P555"/>
  <c r="P551"/>
  <c r="P606"/>
  <c r="P603"/>
  <c r="P597"/>
  <c r="P590"/>
  <c r="P585"/>
  <c r="P577"/>
  <c r="P573"/>
  <c r="P569"/>
  <c r="P560"/>
  <c r="P556"/>
  <c r="P552"/>
  <c r="P549"/>
  <c r="P545"/>
  <c r="P541"/>
  <c r="P537"/>
  <c r="P533"/>
  <c r="P529"/>
  <c r="P525"/>
  <c r="P521"/>
  <c r="P517"/>
  <c r="P604"/>
  <c r="P600"/>
  <c r="P596"/>
  <c r="P592"/>
  <c r="P586"/>
  <c r="P582"/>
  <c r="P578"/>
  <c r="P574"/>
  <c r="P570"/>
  <c r="P566"/>
  <c r="P548"/>
  <c r="P544"/>
  <c r="P540"/>
  <c r="P536"/>
  <c r="P532"/>
  <c r="P528"/>
  <c r="P524"/>
  <c r="P520"/>
  <c r="P607"/>
  <c r="P593"/>
  <c r="P589"/>
  <c r="P579"/>
  <c r="P565"/>
  <c r="P561"/>
  <c r="P557"/>
  <c r="P553"/>
  <c r="N72" i="8"/>
  <c r="N697" i="32"/>
  <c r="N693"/>
  <c r="N689"/>
  <c r="N685"/>
  <c r="N681"/>
  <c r="N677"/>
  <c r="N673"/>
  <c r="N669"/>
  <c r="N665"/>
  <c r="N661"/>
  <c r="N657"/>
  <c r="N653"/>
  <c r="N649"/>
  <c r="N645"/>
  <c r="N641"/>
  <c r="N637"/>
  <c r="N633"/>
  <c r="N629"/>
  <c r="N625"/>
  <c r="N621"/>
  <c r="N617"/>
  <c r="N613"/>
  <c r="N609"/>
  <c r="N698"/>
  <c r="N694"/>
  <c r="N690"/>
  <c r="N686"/>
  <c r="N682"/>
  <c r="N678"/>
  <c r="N674"/>
  <c r="N670"/>
  <c r="N666"/>
  <c r="N662"/>
  <c r="N658"/>
  <c r="N654"/>
  <c r="N650"/>
  <c r="N646"/>
  <c r="N642"/>
  <c r="N638"/>
  <c r="N634"/>
  <c r="N630"/>
  <c r="N626"/>
  <c r="N622"/>
  <c r="N618"/>
  <c r="N614"/>
  <c r="N610"/>
  <c r="L74" i="8"/>
  <c r="N695" i="32"/>
  <c r="N691"/>
  <c r="N687"/>
  <c r="N683"/>
  <c r="N679"/>
  <c r="N675"/>
  <c r="N671"/>
  <c r="N667"/>
  <c r="N663"/>
  <c r="N659"/>
  <c r="N655"/>
  <c r="N651"/>
  <c r="N647"/>
  <c r="N643"/>
  <c r="N639"/>
  <c r="N635"/>
  <c r="N631"/>
  <c r="N627"/>
  <c r="N623"/>
  <c r="N619"/>
  <c r="N615"/>
  <c r="N611"/>
  <c r="N608"/>
  <c r="N696"/>
  <c r="N692"/>
  <c r="N688"/>
  <c r="N684"/>
  <c r="N680"/>
  <c r="N676"/>
  <c r="N672"/>
  <c r="N668"/>
  <c r="N664"/>
  <c r="N660"/>
  <c r="N656"/>
  <c r="N652"/>
  <c r="N648"/>
  <c r="N644"/>
  <c r="N640"/>
  <c r="N636"/>
  <c r="N632"/>
  <c r="N628"/>
  <c r="N624"/>
  <c r="N620"/>
  <c r="N616"/>
  <c r="N612"/>
  <c r="AA733" i="9"/>
  <c r="R784" i="32"/>
  <c r="R756"/>
  <c r="R740"/>
  <c r="R724"/>
  <c r="R785"/>
  <c r="R757"/>
  <c r="R741"/>
  <c r="R725"/>
  <c r="R705"/>
  <c r="R774"/>
  <c r="R742"/>
  <c r="R726"/>
  <c r="R706"/>
  <c r="R759"/>
  <c r="R739"/>
  <c r="R715"/>
  <c r="R788"/>
  <c r="R764"/>
  <c r="R744"/>
  <c r="R728"/>
  <c r="R704"/>
  <c r="R765"/>
  <c r="R745"/>
  <c r="R729"/>
  <c r="R709"/>
  <c r="R778"/>
  <c r="R746"/>
  <c r="R730"/>
  <c r="R710"/>
  <c r="R767"/>
  <c r="R743"/>
  <c r="R723"/>
  <c r="R768"/>
  <c r="R748"/>
  <c r="R732"/>
  <c r="R708"/>
  <c r="R769"/>
  <c r="R749"/>
  <c r="R733"/>
  <c r="R713"/>
  <c r="R786"/>
  <c r="R750"/>
  <c r="R734"/>
  <c r="R718"/>
  <c r="R771"/>
  <c r="R747"/>
  <c r="R727"/>
  <c r="R703"/>
  <c r="R772"/>
  <c r="R752"/>
  <c r="R736"/>
  <c r="R712"/>
  <c r="R777"/>
  <c r="R753"/>
  <c r="R737"/>
  <c r="R721"/>
  <c r="R701"/>
  <c r="R754"/>
  <c r="R738"/>
  <c r="R722"/>
  <c r="R702"/>
  <c r="R755"/>
  <c r="R735"/>
  <c r="R711"/>
  <c r="K75" i="8"/>
  <c r="M785" i="32"/>
  <c r="M720"/>
  <c r="M759"/>
  <c r="M704"/>
  <c r="M768"/>
  <c r="M743"/>
  <c r="M728"/>
  <c r="M760"/>
  <c r="M703"/>
  <c r="M735"/>
  <c r="M767"/>
  <c r="M700"/>
  <c r="M716"/>
  <c r="M732"/>
  <c r="M748"/>
  <c r="M764"/>
  <c r="M780"/>
  <c r="M707"/>
  <c r="M723"/>
  <c r="M739"/>
  <c r="M755"/>
  <c r="M771"/>
  <c r="M787"/>
  <c r="M699"/>
  <c r="M706"/>
  <c r="M714"/>
  <c r="M722"/>
  <c r="M730"/>
  <c r="M738"/>
  <c r="M746"/>
  <c r="M754"/>
  <c r="M762"/>
  <c r="M770"/>
  <c r="M778"/>
  <c r="M786"/>
  <c r="M705"/>
  <c r="M713"/>
  <c r="M721"/>
  <c r="M729"/>
  <c r="M737"/>
  <c r="M745"/>
  <c r="M753"/>
  <c r="M761"/>
  <c r="M769"/>
  <c r="M777"/>
  <c r="M727"/>
  <c r="M752"/>
  <c r="M711"/>
  <c r="M712"/>
  <c r="M776"/>
  <c r="M751"/>
  <c r="M708"/>
  <c r="M740"/>
  <c r="M772"/>
  <c r="M715"/>
  <c r="M747"/>
  <c r="M779"/>
  <c r="M702"/>
  <c r="M718"/>
  <c r="M734"/>
  <c r="M750"/>
  <c r="M766"/>
  <c r="M782"/>
  <c r="M709"/>
  <c r="M725"/>
  <c r="M741"/>
  <c r="M757"/>
  <c r="M773"/>
  <c r="M784"/>
  <c r="M736"/>
  <c r="M775"/>
  <c r="M744"/>
  <c r="M719"/>
  <c r="M783"/>
  <c r="M724"/>
  <c r="M756"/>
  <c r="M788"/>
  <c r="M731"/>
  <c r="M763"/>
  <c r="M710"/>
  <c r="M726"/>
  <c r="M742"/>
  <c r="M758"/>
  <c r="M774"/>
  <c r="M701"/>
  <c r="M717"/>
  <c r="M733"/>
  <c r="M749"/>
  <c r="M765"/>
  <c r="M781"/>
  <c r="M73" i="8"/>
  <c r="O1041" i="32"/>
  <c r="O1037"/>
  <c r="O1033"/>
  <c r="O1029"/>
  <c r="O1025"/>
  <c r="O1021"/>
  <c r="O1017"/>
  <c r="O1015"/>
  <c r="O1042"/>
  <c r="O1038"/>
  <c r="O1034"/>
  <c r="O1030"/>
  <c r="O1026"/>
  <c r="O1022"/>
  <c r="O1018"/>
  <c r="O1043"/>
  <c r="O1039"/>
  <c r="O1035"/>
  <c r="O1031"/>
  <c r="O1027"/>
  <c r="O1023"/>
  <c r="O1019"/>
  <c r="N1015"/>
  <c r="O1044"/>
  <c r="O1040"/>
  <c r="O1036"/>
  <c r="O1032"/>
  <c r="O1028"/>
  <c r="O1024"/>
  <c r="O1020"/>
  <c r="O1016"/>
  <c r="BF735" i="9"/>
  <c r="BE735" s="1"/>
  <c r="L669" i="12"/>
  <c r="L361"/>
  <c r="M669"/>
  <c r="M361"/>
  <c r="N669"/>
  <c r="N361"/>
  <c r="F669"/>
  <c r="F361"/>
  <c r="R669"/>
  <c r="R361"/>
  <c r="S669"/>
  <c r="S361"/>
  <c r="H669"/>
  <c r="H361"/>
  <c r="W669"/>
  <c r="W361"/>
  <c r="AA669"/>
  <c r="AA361"/>
  <c r="Y669"/>
  <c r="Y361"/>
  <c r="U669"/>
  <c r="U361"/>
  <c r="O669"/>
  <c r="O361"/>
  <c r="J669"/>
  <c r="J361"/>
  <c r="X669"/>
  <c r="X361"/>
  <c r="V669"/>
  <c r="V361"/>
  <c r="T669"/>
  <c r="T361"/>
  <c r="G669"/>
  <c r="G361"/>
  <c r="D669"/>
  <c r="D361"/>
  <c r="Z669"/>
  <c r="Z361"/>
  <c r="Q669"/>
  <c r="Q361"/>
  <c r="E669"/>
  <c r="E361"/>
  <c r="I669"/>
  <c r="I361"/>
  <c r="K669"/>
  <c r="K361"/>
  <c r="P669"/>
  <c r="P361"/>
  <c r="Z734" i="9" l="1"/>
  <c r="G77" i="8" s="1"/>
  <c r="H77" s="1"/>
  <c r="I77" s="1"/>
  <c r="K77" s="1"/>
  <c r="L77" s="1"/>
  <c r="M77" s="1"/>
  <c r="N77" s="1"/>
  <c r="C77"/>
  <c r="W735" i="9"/>
  <c r="D78" i="8" s="1"/>
  <c r="BB735" i="9"/>
  <c r="AU734"/>
  <c r="P1042" i="32"/>
  <c r="P1038"/>
  <c r="P1034"/>
  <c r="P1030"/>
  <c r="P1026"/>
  <c r="P1022"/>
  <c r="P1018"/>
  <c r="P1015"/>
  <c r="P1041"/>
  <c r="P1037"/>
  <c r="P1033"/>
  <c r="P1029"/>
  <c r="P1025"/>
  <c r="P1021"/>
  <c r="P1017"/>
  <c r="P1044"/>
  <c r="P1040"/>
  <c r="P1036"/>
  <c r="P1032"/>
  <c r="P1028"/>
  <c r="P1024"/>
  <c r="P1020"/>
  <c r="P1016"/>
  <c r="P1043"/>
  <c r="P1039"/>
  <c r="P1035"/>
  <c r="P1031"/>
  <c r="P1027"/>
  <c r="P1023"/>
  <c r="P1019"/>
  <c r="N73" i="8"/>
  <c r="N788" i="32"/>
  <c r="N784"/>
  <c r="N780"/>
  <c r="N776"/>
  <c r="N772"/>
  <c r="N768"/>
  <c r="N764"/>
  <c r="N760"/>
  <c r="N756"/>
  <c r="N752"/>
  <c r="N748"/>
  <c r="N744"/>
  <c r="N740"/>
  <c r="N736"/>
  <c r="N785"/>
  <c r="N781"/>
  <c r="N777"/>
  <c r="N773"/>
  <c r="N769"/>
  <c r="N765"/>
  <c r="N761"/>
  <c r="N757"/>
  <c r="N753"/>
  <c r="N749"/>
  <c r="N745"/>
  <c r="N741"/>
  <c r="N737"/>
  <c r="N734"/>
  <c r="N730"/>
  <c r="N726"/>
  <c r="N722"/>
  <c r="N718"/>
  <c r="N714"/>
  <c r="N710"/>
  <c r="N706"/>
  <c r="N702"/>
  <c r="N699"/>
  <c r="N731"/>
  <c r="N727"/>
  <c r="N723"/>
  <c r="N719"/>
  <c r="N715"/>
  <c r="N711"/>
  <c r="N707"/>
  <c r="N703"/>
  <c r="L75" i="8"/>
  <c r="N786" i="32"/>
  <c r="N782"/>
  <c r="N778"/>
  <c r="N774"/>
  <c r="N770"/>
  <c r="N766"/>
  <c r="N762"/>
  <c r="N758"/>
  <c r="N754"/>
  <c r="N750"/>
  <c r="N746"/>
  <c r="N742"/>
  <c r="N738"/>
  <c r="N787"/>
  <c r="N783"/>
  <c r="N779"/>
  <c r="N775"/>
  <c r="N771"/>
  <c r="N767"/>
  <c r="N763"/>
  <c r="N759"/>
  <c r="N755"/>
  <c r="N751"/>
  <c r="N747"/>
  <c r="N743"/>
  <c r="N739"/>
  <c r="N735"/>
  <c r="N732"/>
  <c r="N728"/>
  <c r="N724"/>
  <c r="N720"/>
  <c r="N716"/>
  <c r="N712"/>
  <c r="N708"/>
  <c r="N704"/>
  <c r="N700"/>
  <c r="N733"/>
  <c r="N729"/>
  <c r="N725"/>
  <c r="N721"/>
  <c r="N717"/>
  <c r="N713"/>
  <c r="N709"/>
  <c r="N705"/>
  <c r="N701"/>
  <c r="O698"/>
  <c r="O694"/>
  <c r="O690"/>
  <c r="O686"/>
  <c r="O682"/>
  <c r="O678"/>
  <c r="O674"/>
  <c r="O670"/>
  <c r="O666"/>
  <c r="O662"/>
  <c r="O658"/>
  <c r="O654"/>
  <c r="O650"/>
  <c r="O646"/>
  <c r="O642"/>
  <c r="O638"/>
  <c r="O634"/>
  <c r="O630"/>
  <c r="O626"/>
  <c r="O622"/>
  <c r="O618"/>
  <c r="O614"/>
  <c r="O610"/>
  <c r="O695"/>
  <c r="O691"/>
  <c r="O687"/>
  <c r="O683"/>
  <c r="O679"/>
  <c r="O675"/>
  <c r="O671"/>
  <c r="O667"/>
  <c r="O663"/>
  <c r="O659"/>
  <c r="O655"/>
  <c r="O651"/>
  <c r="O647"/>
  <c r="O643"/>
  <c r="O639"/>
  <c r="O635"/>
  <c r="O631"/>
  <c r="O627"/>
  <c r="O623"/>
  <c r="O619"/>
  <c r="O615"/>
  <c r="O611"/>
  <c r="O608"/>
  <c r="M74" i="8"/>
  <c r="O696" i="32"/>
  <c r="O692"/>
  <c r="O688"/>
  <c r="O684"/>
  <c r="O680"/>
  <c r="O676"/>
  <c r="O672"/>
  <c r="O668"/>
  <c r="O664"/>
  <c r="O660"/>
  <c r="O656"/>
  <c r="O652"/>
  <c r="O648"/>
  <c r="O644"/>
  <c r="O640"/>
  <c r="O636"/>
  <c r="O632"/>
  <c r="O628"/>
  <c r="O624"/>
  <c r="O620"/>
  <c r="O616"/>
  <c r="O612"/>
  <c r="O697"/>
  <c r="O693"/>
  <c r="O689"/>
  <c r="O685"/>
  <c r="O681"/>
  <c r="O677"/>
  <c r="O673"/>
  <c r="O669"/>
  <c r="O665"/>
  <c r="O661"/>
  <c r="O657"/>
  <c r="O653"/>
  <c r="O649"/>
  <c r="O645"/>
  <c r="O641"/>
  <c r="O637"/>
  <c r="O633"/>
  <c r="O629"/>
  <c r="O625"/>
  <c r="O621"/>
  <c r="O617"/>
  <c r="O613"/>
  <c r="O609"/>
  <c r="BF736" i="9"/>
  <c r="BE736" s="1"/>
  <c r="P670" i="12"/>
  <c r="P362"/>
  <c r="K670"/>
  <c r="K362"/>
  <c r="I670"/>
  <c r="I362"/>
  <c r="E670"/>
  <c r="E362"/>
  <c r="Q670"/>
  <c r="Q362"/>
  <c r="Z670"/>
  <c r="Z362"/>
  <c r="D670"/>
  <c r="D362"/>
  <c r="G670"/>
  <c r="G362"/>
  <c r="T670"/>
  <c r="T362"/>
  <c r="V670"/>
  <c r="V362"/>
  <c r="X670"/>
  <c r="X362"/>
  <c r="J670"/>
  <c r="J362"/>
  <c r="O670"/>
  <c r="O362"/>
  <c r="U670"/>
  <c r="U362"/>
  <c r="Y670"/>
  <c r="Y362"/>
  <c r="AA670"/>
  <c r="AA362"/>
  <c r="W670"/>
  <c r="W362"/>
  <c r="H670"/>
  <c r="H362"/>
  <c r="S670"/>
  <c r="S362"/>
  <c r="R670"/>
  <c r="R362"/>
  <c r="F670"/>
  <c r="F362"/>
  <c r="N670"/>
  <c r="N362"/>
  <c r="M670"/>
  <c r="M362"/>
  <c r="L670"/>
  <c r="L362"/>
  <c r="AA734" i="9" l="1"/>
  <c r="AU735"/>
  <c r="AD735"/>
  <c r="AE735" s="1"/>
  <c r="W736"/>
  <c r="AD736" s="1"/>
  <c r="AE736" s="1"/>
  <c r="BB736"/>
  <c r="C78" i="8"/>
  <c r="Z735" i="9"/>
  <c r="G78" i="8" s="1"/>
  <c r="H78" s="1"/>
  <c r="I78" s="1"/>
  <c r="K78" s="1"/>
  <c r="L78" s="1"/>
  <c r="M78" s="1"/>
  <c r="N78" s="1"/>
  <c r="D79"/>
  <c r="P697" i="32"/>
  <c r="P693"/>
  <c r="P689"/>
  <c r="P685"/>
  <c r="P681"/>
  <c r="P677"/>
  <c r="P673"/>
  <c r="P669"/>
  <c r="P665"/>
  <c r="P661"/>
  <c r="P657"/>
  <c r="P653"/>
  <c r="P649"/>
  <c r="P645"/>
  <c r="P641"/>
  <c r="P637"/>
  <c r="P633"/>
  <c r="P629"/>
  <c r="P625"/>
  <c r="P621"/>
  <c r="P617"/>
  <c r="P613"/>
  <c r="P609"/>
  <c r="P698"/>
  <c r="P694"/>
  <c r="P690"/>
  <c r="P686"/>
  <c r="P682"/>
  <c r="P678"/>
  <c r="P674"/>
  <c r="P670"/>
  <c r="P666"/>
  <c r="P662"/>
  <c r="P658"/>
  <c r="P654"/>
  <c r="P650"/>
  <c r="P646"/>
  <c r="P642"/>
  <c r="P638"/>
  <c r="P634"/>
  <c r="P630"/>
  <c r="P626"/>
  <c r="P622"/>
  <c r="P618"/>
  <c r="P614"/>
  <c r="P610"/>
  <c r="P695"/>
  <c r="P691"/>
  <c r="P687"/>
  <c r="P683"/>
  <c r="P679"/>
  <c r="P675"/>
  <c r="P671"/>
  <c r="P667"/>
  <c r="P663"/>
  <c r="P659"/>
  <c r="P655"/>
  <c r="P651"/>
  <c r="P647"/>
  <c r="P643"/>
  <c r="P639"/>
  <c r="P635"/>
  <c r="P631"/>
  <c r="P627"/>
  <c r="P623"/>
  <c r="P619"/>
  <c r="P615"/>
  <c r="P611"/>
  <c r="P608"/>
  <c r="P696"/>
  <c r="P692"/>
  <c r="P688"/>
  <c r="P684"/>
  <c r="P680"/>
  <c r="P676"/>
  <c r="P672"/>
  <c r="P668"/>
  <c r="P664"/>
  <c r="P660"/>
  <c r="P656"/>
  <c r="P652"/>
  <c r="P648"/>
  <c r="P644"/>
  <c r="P640"/>
  <c r="P636"/>
  <c r="P632"/>
  <c r="P628"/>
  <c r="P624"/>
  <c r="P620"/>
  <c r="P616"/>
  <c r="P612"/>
  <c r="N74" i="8"/>
  <c r="O787" i="32"/>
  <c r="O783"/>
  <c r="O779"/>
  <c r="O775"/>
  <c r="O771"/>
  <c r="O767"/>
  <c r="O763"/>
  <c r="O759"/>
  <c r="O755"/>
  <c r="O751"/>
  <c r="O747"/>
  <c r="O743"/>
  <c r="O739"/>
  <c r="O735"/>
  <c r="O786"/>
  <c r="O782"/>
  <c r="O778"/>
  <c r="O774"/>
  <c r="O770"/>
  <c r="O766"/>
  <c r="O762"/>
  <c r="O758"/>
  <c r="O754"/>
  <c r="O750"/>
  <c r="O746"/>
  <c r="O742"/>
  <c r="O738"/>
  <c r="O733"/>
  <c r="O729"/>
  <c r="O725"/>
  <c r="O721"/>
  <c r="O717"/>
  <c r="O713"/>
  <c r="O709"/>
  <c r="O705"/>
  <c r="O701"/>
  <c r="O732"/>
  <c r="O728"/>
  <c r="O724"/>
  <c r="O720"/>
  <c r="O716"/>
  <c r="O712"/>
  <c r="O708"/>
  <c r="O704"/>
  <c r="O700"/>
  <c r="M75" i="8"/>
  <c r="O785" i="32"/>
  <c r="O781"/>
  <c r="O777"/>
  <c r="O773"/>
  <c r="O769"/>
  <c r="O765"/>
  <c r="O761"/>
  <c r="O757"/>
  <c r="O753"/>
  <c r="O749"/>
  <c r="O745"/>
  <c r="O741"/>
  <c r="O737"/>
  <c r="O788"/>
  <c r="O784"/>
  <c r="O780"/>
  <c r="O776"/>
  <c r="O772"/>
  <c r="O768"/>
  <c r="O764"/>
  <c r="O760"/>
  <c r="O756"/>
  <c r="O752"/>
  <c r="O748"/>
  <c r="O744"/>
  <c r="O740"/>
  <c r="O736"/>
  <c r="O731"/>
  <c r="O727"/>
  <c r="O723"/>
  <c r="O719"/>
  <c r="O715"/>
  <c r="O711"/>
  <c r="O707"/>
  <c r="O703"/>
  <c r="O734"/>
  <c r="O730"/>
  <c r="O726"/>
  <c r="O722"/>
  <c r="O718"/>
  <c r="O714"/>
  <c r="O710"/>
  <c r="O706"/>
  <c r="O702"/>
  <c r="O699"/>
  <c r="BF737" i="9"/>
  <c r="BE737" s="1"/>
  <c r="L671" i="12"/>
  <c r="L363"/>
  <c r="M671"/>
  <c r="M363"/>
  <c r="N671"/>
  <c r="N363"/>
  <c r="F671"/>
  <c r="F363"/>
  <c r="R671"/>
  <c r="R363"/>
  <c r="S671"/>
  <c r="S363"/>
  <c r="H671"/>
  <c r="H363"/>
  <c r="W671"/>
  <c r="W363"/>
  <c r="AA671"/>
  <c r="AA363"/>
  <c r="Y671"/>
  <c r="Y363"/>
  <c r="U671"/>
  <c r="U363"/>
  <c r="O671"/>
  <c r="O363"/>
  <c r="J671"/>
  <c r="J363"/>
  <c r="X671"/>
  <c r="X363"/>
  <c r="V671"/>
  <c r="V363"/>
  <c r="T671"/>
  <c r="T363"/>
  <c r="G671"/>
  <c r="G363"/>
  <c r="D671"/>
  <c r="D363"/>
  <c r="Z671"/>
  <c r="Z363"/>
  <c r="Q671"/>
  <c r="Q363"/>
  <c r="E671"/>
  <c r="E363"/>
  <c r="I671"/>
  <c r="I363"/>
  <c r="K671"/>
  <c r="K363"/>
  <c r="P671"/>
  <c r="P363"/>
  <c r="AA735" i="9" l="1"/>
  <c r="Z736"/>
  <c r="AA736" s="1"/>
  <c r="C79" i="8"/>
  <c r="W737" i="9"/>
  <c r="D80" i="8" s="1"/>
  <c r="BB737" i="9"/>
  <c r="AU736"/>
  <c r="P788" i="32"/>
  <c r="P784"/>
  <c r="P780"/>
  <c r="P776"/>
  <c r="P772"/>
  <c r="P768"/>
  <c r="P764"/>
  <c r="P760"/>
  <c r="P756"/>
  <c r="P752"/>
  <c r="P748"/>
  <c r="P744"/>
  <c r="P740"/>
  <c r="P736"/>
  <c r="P732"/>
  <c r="P728"/>
  <c r="P724"/>
  <c r="P720"/>
  <c r="P716"/>
  <c r="P712"/>
  <c r="P708"/>
  <c r="P704"/>
  <c r="P700"/>
  <c r="P787"/>
  <c r="P783"/>
  <c r="P779"/>
  <c r="P775"/>
  <c r="P771"/>
  <c r="P767"/>
  <c r="P763"/>
  <c r="P759"/>
  <c r="P755"/>
  <c r="P751"/>
  <c r="P747"/>
  <c r="P743"/>
  <c r="P739"/>
  <c r="P735"/>
  <c r="P731"/>
  <c r="P727"/>
  <c r="P723"/>
  <c r="P719"/>
  <c r="P715"/>
  <c r="P711"/>
  <c r="P707"/>
  <c r="P703"/>
  <c r="P786"/>
  <c r="P782"/>
  <c r="P778"/>
  <c r="P774"/>
  <c r="P770"/>
  <c r="P766"/>
  <c r="P762"/>
  <c r="P758"/>
  <c r="P754"/>
  <c r="P750"/>
  <c r="P746"/>
  <c r="P742"/>
  <c r="P738"/>
  <c r="P734"/>
  <c r="P730"/>
  <c r="P726"/>
  <c r="P722"/>
  <c r="P718"/>
  <c r="P714"/>
  <c r="P710"/>
  <c r="P706"/>
  <c r="P702"/>
  <c r="P699"/>
  <c r="P785"/>
  <c r="P781"/>
  <c r="P777"/>
  <c r="P773"/>
  <c r="P769"/>
  <c r="P765"/>
  <c r="P761"/>
  <c r="P757"/>
  <c r="P753"/>
  <c r="P749"/>
  <c r="P745"/>
  <c r="P741"/>
  <c r="P737"/>
  <c r="P733"/>
  <c r="P729"/>
  <c r="P725"/>
  <c r="P721"/>
  <c r="P717"/>
  <c r="P713"/>
  <c r="P709"/>
  <c r="P705"/>
  <c r="P701"/>
  <c r="N75" i="8"/>
  <c r="BF738" i="9"/>
  <c r="BE738" s="1"/>
  <c r="P672" i="12"/>
  <c r="P364"/>
  <c r="K672"/>
  <c r="K364"/>
  <c r="I672"/>
  <c r="I364"/>
  <c r="E672"/>
  <c r="E364"/>
  <c r="Q672"/>
  <c r="Q364"/>
  <c r="Z672"/>
  <c r="Z364"/>
  <c r="D672"/>
  <c r="D364"/>
  <c r="G672"/>
  <c r="G364"/>
  <c r="T672"/>
  <c r="T364"/>
  <c r="V672"/>
  <c r="V364"/>
  <c r="X672"/>
  <c r="X364"/>
  <c r="J672"/>
  <c r="J364"/>
  <c r="O672"/>
  <c r="O364"/>
  <c r="U672"/>
  <c r="U364"/>
  <c r="Y672"/>
  <c r="Y364"/>
  <c r="AA672"/>
  <c r="AA364"/>
  <c r="W672"/>
  <c r="W364"/>
  <c r="H672"/>
  <c r="H364"/>
  <c r="S672"/>
  <c r="S364"/>
  <c r="R672"/>
  <c r="R364"/>
  <c r="F672"/>
  <c r="F364"/>
  <c r="N672"/>
  <c r="N364"/>
  <c r="M672"/>
  <c r="M364"/>
  <c r="L672"/>
  <c r="L364"/>
  <c r="G79" i="8" l="1"/>
  <c r="H79" s="1"/>
  <c r="I79" s="1"/>
  <c r="R841" i="32" s="1"/>
  <c r="AU737" i="9"/>
  <c r="Z737"/>
  <c r="AA737" s="1"/>
  <c r="W738"/>
  <c r="AD738" s="1"/>
  <c r="AE738" s="1"/>
  <c r="BB738"/>
  <c r="AD737"/>
  <c r="AE737" s="1"/>
  <c r="C80" i="8"/>
  <c r="D81"/>
  <c r="Z738" i="9"/>
  <c r="BF739"/>
  <c r="BE739" s="1"/>
  <c r="L673" i="12"/>
  <c r="L365"/>
  <c r="M673"/>
  <c r="M365"/>
  <c r="N673"/>
  <c r="N365"/>
  <c r="F673"/>
  <c r="F365"/>
  <c r="R673"/>
  <c r="R365"/>
  <c r="S673"/>
  <c r="S365"/>
  <c r="H673"/>
  <c r="H365"/>
  <c r="W673"/>
  <c r="W365"/>
  <c r="AA673"/>
  <c r="AA365"/>
  <c r="Y673"/>
  <c r="Y365"/>
  <c r="U673"/>
  <c r="U365"/>
  <c r="O673"/>
  <c r="O365"/>
  <c r="J673"/>
  <c r="J365"/>
  <c r="X673"/>
  <c r="X365"/>
  <c r="V673"/>
  <c r="V365"/>
  <c r="T673"/>
  <c r="T365"/>
  <c r="G673"/>
  <c r="G365"/>
  <c r="D673"/>
  <c r="D365"/>
  <c r="Z673"/>
  <c r="Z365"/>
  <c r="Q673"/>
  <c r="Q365"/>
  <c r="E673"/>
  <c r="E365"/>
  <c r="I673"/>
  <c r="I365"/>
  <c r="K673"/>
  <c r="K365"/>
  <c r="P673"/>
  <c r="P365"/>
  <c r="M819" i="32" l="1"/>
  <c r="M814"/>
  <c r="R848"/>
  <c r="M829"/>
  <c r="M817"/>
  <c r="R847"/>
  <c r="M792"/>
  <c r="M816"/>
  <c r="M820"/>
  <c r="M837"/>
  <c r="R838"/>
  <c r="R802"/>
  <c r="R849"/>
  <c r="M808"/>
  <c r="M809"/>
  <c r="M815"/>
  <c r="M849"/>
  <c r="M789"/>
  <c r="M838"/>
  <c r="M794"/>
  <c r="R808"/>
  <c r="R795"/>
  <c r="R816"/>
  <c r="R807"/>
  <c r="R823"/>
  <c r="R803"/>
  <c r="G80" i="8"/>
  <c r="H80" s="1"/>
  <c r="I80" s="1"/>
  <c r="R874" i="32" s="1"/>
  <c r="M791"/>
  <c r="M807"/>
  <c r="M813"/>
  <c r="M844"/>
  <c r="M847"/>
  <c r="M830"/>
  <c r="M842"/>
  <c r="M836"/>
  <c r="M804"/>
  <c r="M835"/>
  <c r="M803"/>
  <c r="M806"/>
  <c r="M805"/>
  <c r="M793"/>
  <c r="M834"/>
  <c r="R844"/>
  <c r="R798"/>
  <c r="R834"/>
  <c r="R809"/>
  <c r="R821"/>
  <c r="R831"/>
  <c r="R820"/>
  <c r="R833"/>
  <c r="R792"/>
  <c r="R801"/>
  <c r="R846"/>
  <c r="M824"/>
  <c r="M823"/>
  <c r="M840"/>
  <c r="M839"/>
  <c r="M846"/>
  <c r="M845"/>
  <c r="M810"/>
  <c r="M802"/>
  <c r="M832"/>
  <c r="M800"/>
  <c r="M831"/>
  <c r="M799"/>
  <c r="M798"/>
  <c r="M797"/>
  <c r="M841"/>
  <c r="M833"/>
  <c r="M828"/>
  <c r="M812"/>
  <c r="M796"/>
  <c r="M843"/>
  <c r="M827"/>
  <c r="M811"/>
  <c r="M795"/>
  <c r="M822"/>
  <c r="M790"/>
  <c r="M821"/>
  <c r="M826"/>
  <c r="M825"/>
  <c r="M818"/>
  <c r="M801"/>
  <c r="M848"/>
  <c r="R829"/>
  <c r="R845"/>
  <c r="R832"/>
  <c r="R837"/>
  <c r="R822"/>
  <c r="R817"/>
  <c r="R800"/>
  <c r="R794"/>
  <c r="R839"/>
  <c r="R840"/>
  <c r="K79" i="8"/>
  <c r="N847" i="32" s="1"/>
  <c r="R814"/>
  <c r="R815"/>
  <c r="R825"/>
  <c r="R827"/>
  <c r="R818"/>
  <c r="R824"/>
  <c r="R843"/>
  <c r="R791"/>
  <c r="R806"/>
  <c r="R796"/>
  <c r="R828"/>
  <c r="C81" i="8"/>
  <c r="W739" i="9"/>
  <c r="AD739" s="1"/>
  <c r="AE739" s="1"/>
  <c r="BB739"/>
  <c r="AU738"/>
  <c r="N790" i="32"/>
  <c r="D82" i="8"/>
  <c r="G81"/>
  <c r="H81" s="1"/>
  <c r="I81" s="1"/>
  <c r="AA738" i="9"/>
  <c r="BF740"/>
  <c r="BE740" s="1"/>
  <c r="P674" i="12"/>
  <c r="P366"/>
  <c r="K674"/>
  <c r="K366"/>
  <c r="I674"/>
  <c r="I366"/>
  <c r="E674"/>
  <c r="E366"/>
  <c r="Q674"/>
  <c r="Q366"/>
  <c r="Z674"/>
  <c r="Z366"/>
  <c r="D674"/>
  <c r="D366"/>
  <c r="G674"/>
  <c r="G366"/>
  <c r="T674"/>
  <c r="T366"/>
  <c r="V674"/>
  <c r="V366"/>
  <c r="X674"/>
  <c r="X366"/>
  <c r="J674"/>
  <c r="J366"/>
  <c r="O674"/>
  <c r="O366"/>
  <c r="U674"/>
  <c r="U366"/>
  <c r="Y674"/>
  <c r="Y366"/>
  <c r="AA674"/>
  <c r="AA366"/>
  <c r="W674"/>
  <c r="W366"/>
  <c r="H674"/>
  <c r="H366"/>
  <c r="S674"/>
  <c r="S366"/>
  <c r="R674"/>
  <c r="R366"/>
  <c r="F674"/>
  <c r="F366"/>
  <c r="N674"/>
  <c r="N366"/>
  <c r="M674"/>
  <c r="M366"/>
  <c r="L674"/>
  <c r="L366"/>
  <c r="M861" i="32" l="1"/>
  <c r="N808"/>
  <c r="R876"/>
  <c r="M889"/>
  <c r="M870"/>
  <c r="N834"/>
  <c r="R881"/>
  <c r="R890"/>
  <c r="M878"/>
  <c r="M879"/>
  <c r="M893"/>
  <c r="N839"/>
  <c r="N833"/>
  <c r="R886"/>
  <c r="R865"/>
  <c r="R872"/>
  <c r="N828"/>
  <c r="N814"/>
  <c r="N816"/>
  <c r="M865"/>
  <c r="M872"/>
  <c r="M866"/>
  <c r="M876"/>
  <c r="M887"/>
  <c r="M858"/>
  <c r="N807"/>
  <c r="N802"/>
  <c r="N801"/>
  <c r="N804"/>
  <c r="R894"/>
  <c r="R892"/>
  <c r="R862"/>
  <c r="R854"/>
  <c r="R870"/>
  <c r="N819"/>
  <c r="N813"/>
  <c r="N838"/>
  <c r="N821"/>
  <c r="M880"/>
  <c r="M857"/>
  <c r="M895"/>
  <c r="M874"/>
  <c r="M877"/>
  <c r="M892"/>
  <c r="M860"/>
  <c r="M862"/>
  <c r="M855"/>
  <c r="M875"/>
  <c r="M883"/>
  <c r="N823"/>
  <c r="N791"/>
  <c r="N818"/>
  <c r="N849"/>
  <c r="N817"/>
  <c r="N840"/>
  <c r="N836"/>
  <c r="R875"/>
  <c r="R889"/>
  <c r="R861"/>
  <c r="R885"/>
  <c r="R851"/>
  <c r="R855"/>
  <c r="R869"/>
  <c r="R864"/>
  <c r="R867"/>
  <c r="R879"/>
  <c r="R884"/>
  <c r="L79" i="8"/>
  <c r="O848" i="32" s="1"/>
  <c r="N846"/>
  <c r="N845"/>
  <c r="N832"/>
  <c r="N843"/>
  <c r="N837"/>
  <c r="N827"/>
  <c r="N795"/>
  <c r="M881"/>
  <c r="M850"/>
  <c r="M864"/>
  <c r="M873"/>
  <c r="M888"/>
  <c r="M856"/>
  <c r="M863"/>
  <c r="M891"/>
  <c r="M867"/>
  <c r="M885"/>
  <c r="M869"/>
  <c r="M853"/>
  <c r="M884"/>
  <c r="M868"/>
  <c r="M852"/>
  <c r="M894"/>
  <c r="M859"/>
  <c r="M871"/>
  <c r="M886"/>
  <c r="M854"/>
  <c r="M890"/>
  <c r="M882"/>
  <c r="M851"/>
  <c r="N831"/>
  <c r="N815"/>
  <c r="N799"/>
  <c r="N842"/>
  <c r="N826"/>
  <c r="N810"/>
  <c r="N794"/>
  <c r="N841"/>
  <c r="N825"/>
  <c r="N809"/>
  <c r="N793"/>
  <c r="N824"/>
  <c r="N792"/>
  <c r="N820"/>
  <c r="K80" i="8"/>
  <c r="N890" i="32" s="1"/>
  <c r="R856"/>
  <c r="R863"/>
  <c r="R883"/>
  <c r="R852"/>
  <c r="R893"/>
  <c r="R859"/>
  <c r="R866"/>
  <c r="R873"/>
  <c r="R858"/>
  <c r="R887"/>
  <c r="R878"/>
  <c r="R888"/>
  <c r="R895"/>
  <c r="R857"/>
  <c r="R871"/>
  <c r="R868"/>
  <c r="R891"/>
  <c r="R853"/>
  <c r="R860"/>
  <c r="R877"/>
  <c r="R880"/>
  <c r="N835"/>
  <c r="N803"/>
  <c r="N830"/>
  <c r="N798"/>
  <c r="N829"/>
  <c r="N797"/>
  <c r="N800"/>
  <c r="N796"/>
  <c r="N811"/>
  <c r="N806"/>
  <c r="N805"/>
  <c r="N812"/>
  <c r="N822"/>
  <c r="N844"/>
  <c r="N848"/>
  <c r="Z739" i="9"/>
  <c r="G82" i="8" s="1"/>
  <c r="H82" s="1"/>
  <c r="I82" s="1"/>
  <c r="C82"/>
  <c r="W740" i="9"/>
  <c r="AD740" s="1"/>
  <c r="AE740" s="1"/>
  <c r="BB740"/>
  <c r="AU739"/>
  <c r="O791" i="32"/>
  <c r="O795"/>
  <c r="O797"/>
  <c r="R907"/>
  <c r="R920"/>
  <c r="R929"/>
  <c r="R897"/>
  <c r="R910"/>
  <c r="R919"/>
  <c r="R932"/>
  <c r="R900"/>
  <c r="R909"/>
  <c r="R922"/>
  <c r="R931"/>
  <c r="R899"/>
  <c r="R912"/>
  <c r="R921"/>
  <c r="R934"/>
  <c r="R902"/>
  <c r="R911"/>
  <c r="R924"/>
  <c r="R933"/>
  <c r="R901"/>
  <c r="R914"/>
  <c r="K81" i="8"/>
  <c r="N941" i="32" s="1"/>
  <c r="R923"/>
  <c r="R936"/>
  <c r="R904"/>
  <c r="R913"/>
  <c r="R926"/>
  <c r="R935"/>
  <c r="R903"/>
  <c r="R916"/>
  <c r="R925"/>
  <c r="R942"/>
  <c r="R906"/>
  <c r="R915"/>
  <c r="R928"/>
  <c r="R937"/>
  <c r="R905"/>
  <c r="R918"/>
  <c r="R927"/>
  <c r="R940"/>
  <c r="R908"/>
  <c r="R917"/>
  <c r="R930"/>
  <c r="R898"/>
  <c r="D83" i="8"/>
  <c r="M942" i="32"/>
  <c r="M921"/>
  <c r="M920"/>
  <c r="M905"/>
  <c r="M937"/>
  <c r="M913"/>
  <c r="M912"/>
  <c r="M928"/>
  <c r="M901"/>
  <c r="M917"/>
  <c r="M900"/>
  <c r="M916"/>
  <c r="M933"/>
  <c r="M932"/>
  <c r="M899"/>
  <c r="M907"/>
  <c r="M915"/>
  <c r="M923"/>
  <c r="M898"/>
  <c r="M906"/>
  <c r="M914"/>
  <c r="M922"/>
  <c r="M931"/>
  <c r="M939"/>
  <c r="M930"/>
  <c r="M938"/>
  <c r="M896"/>
  <c r="M909"/>
  <c r="M908"/>
  <c r="M941"/>
  <c r="M903"/>
  <c r="M919"/>
  <c r="M902"/>
  <c r="M918"/>
  <c r="M935"/>
  <c r="M934"/>
  <c r="M936"/>
  <c r="M904"/>
  <c r="M897"/>
  <c r="M929"/>
  <c r="M925"/>
  <c r="M924"/>
  <c r="M940"/>
  <c r="BE231"/>
  <c r="M911"/>
  <c r="M927"/>
  <c r="M910"/>
  <c r="M926"/>
  <c r="M943"/>
  <c r="AA739" i="9"/>
  <c r="BF741"/>
  <c r="BE741" s="1"/>
  <c r="BB741" s="1"/>
  <c r="L675" i="12"/>
  <c r="L367"/>
  <c r="M675"/>
  <c r="M367"/>
  <c r="N675"/>
  <c r="N367"/>
  <c r="F675"/>
  <c r="F367"/>
  <c r="R675"/>
  <c r="R367"/>
  <c r="S675"/>
  <c r="S367"/>
  <c r="H675"/>
  <c r="H367"/>
  <c r="W675"/>
  <c r="W367"/>
  <c r="AA675"/>
  <c r="AA367"/>
  <c r="Y675"/>
  <c r="Y367"/>
  <c r="U675"/>
  <c r="U367"/>
  <c r="O675"/>
  <c r="O367"/>
  <c r="J675"/>
  <c r="J367"/>
  <c r="X675"/>
  <c r="X367"/>
  <c r="V675"/>
  <c r="V367"/>
  <c r="T675"/>
  <c r="T367"/>
  <c r="G675"/>
  <c r="G367"/>
  <c r="D675"/>
  <c r="D367"/>
  <c r="Z675"/>
  <c r="Z367"/>
  <c r="Q675"/>
  <c r="Q367"/>
  <c r="E675"/>
  <c r="E367"/>
  <c r="I675"/>
  <c r="I367"/>
  <c r="K675"/>
  <c r="K367"/>
  <c r="P675"/>
  <c r="P367"/>
  <c r="O798" i="32" l="1"/>
  <c r="O796"/>
  <c r="O793"/>
  <c r="O799"/>
  <c r="N864"/>
  <c r="N860"/>
  <c r="O830"/>
  <c r="O829"/>
  <c r="O828"/>
  <c r="O827"/>
  <c r="O794"/>
  <c r="O792"/>
  <c r="O801"/>
  <c r="O815"/>
  <c r="N879"/>
  <c r="N894"/>
  <c r="N852"/>
  <c r="O814"/>
  <c r="O845"/>
  <c r="O813"/>
  <c r="O844"/>
  <c r="O812"/>
  <c r="O843"/>
  <c r="O811"/>
  <c r="O826"/>
  <c r="O825"/>
  <c r="O824"/>
  <c r="O823"/>
  <c r="O802"/>
  <c r="O800"/>
  <c r="O817"/>
  <c r="O847"/>
  <c r="O838"/>
  <c r="O822"/>
  <c r="O806"/>
  <c r="O790"/>
  <c r="O837"/>
  <c r="O821"/>
  <c r="O805"/>
  <c r="N789"/>
  <c r="O836"/>
  <c r="O820"/>
  <c r="O804"/>
  <c r="O789"/>
  <c r="O835"/>
  <c r="O819"/>
  <c r="O803"/>
  <c r="O842"/>
  <c r="O810"/>
  <c r="O841"/>
  <c r="O809"/>
  <c r="O840"/>
  <c r="O808"/>
  <c r="O839"/>
  <c r="O807"/>
  <c r="O834"/>
  <c r="O833"/>
  <c r="O832"/>
  <c r="O831"/>
  <c r="O818"/>
  <c r="O816"/>
  <c r="O849"/>
  <c r="N866"/>
  <c r="L80" i="8"/>
  <c r="M80" s="1"/>
  <c r="N877" i="32"/>
  <c r="N875"/>
  <c r="N886"/>
  <c r="N881"/>
  <c r="L81" i="8"/>
  <c r="O942" i="32" s="1"/>
  <c r="N882"/>
  <c r="N895"/>
  <c r="N863"/>
  <c r="N880"/>
  <c r="N893"/>
  <c r="N861"/>
  <c r="N862"/>
  <c r="N892"/>
  <c r="N873"/>
  <c r="N867"/>
  <c r="N870"/>
  <c r="N850"/>
  <c r="O846"/>
  <c r="M79" i="8"/>
  <c r="N874" i="32"/>
  <c r="N858"/>
  <c r="N887"/>
  <c r="N871"/>
  <c r="N855"/>
  <c r="N888"/>
  <c r="N872"/>
  <c r="N856"/>
  <c r="N885"/>
  <c r="N869"/>
  <c r="N853"/>
  <c r="N878"/>
  <c r="N891"/>
  <c r="N859"/>
  <c r="N876"/>
  <c r="N889"/>
  <c r="N857"/>
  <c r="N854"/>
  <c r="N884"/>
  <c r="N865"/>
  <c r="N851"/>
  <c r="N883"/>
  <c r="N868"/>
  <c r="Z740" i="9"/>
  <c r="G83" i="8" s="1"/>
  <c r="H83" s="1"/>
  <c r="I83" s="1"/>
  <c r="C83"/>
  <c r="C5" s="1"/>
  <c r="D1060" i="32" s="1"/>
  <c r="D1062" s="1"/>
  <c r="AU740" i="9"/>
  <c r="O876" i="32"/>
  <c r="N915"/>
  <c r="O859"/>
  <c r="N900"/>
  <c r="N930"/>
  <c r="O861"/>
  <c r="N932"/>
  <c r="N898"/>
  <c r="N913"/>
  <c r="O858"/>
  <c r="O892"/>
  <c r="N916"/>
  <c r="N899"/>
  <c r="N931"/>
  <c r="N914"/>
  <c r="N897"/>
  <c r="N929"/>
  <c r="O882"/>
  <c r="O867"/>
  <c r="O852"/>
  <c r="O884"/>
  <c r="O869"/>
  <c r="N908"/>
  <c r="N924"/>
  <c r="N940"/>
  <c r="N907"/>
  <c r="N923"/>
  <c r="N939"/>
  <c r="N906"/>
  <c r="N922"/>
  <c r="N938"/>
  <c r="N905"/>
  <c r="N921"/>
  <c r="N937"/>
  <c r="O854"/>
  <c r="O870"/>
  <c r="O886"/>
  <c r="O855"/>
  <c r="O871"/>
  <c r="O887"/>
  <c r="O856"/>
  <c r="O872"/>
  <c r="O888"/>
  <c r="O857"/>
  <c r="O873"/>
  <c r="O889"/>
  <c r="BF231"/>
  <c r="N904"/>
  <c r="N912"/>
  <c r="N920"/>
  <c r="N928"/>
  <c r="N936"/>
  <c r="N896"/>
  <c r="N903"/>
  <c r="N911"/>
  <c r="N919"/>
  <c r="N927"/>
  <c r="N935"/>
  <c r="N943"/>
  <c r="N902"/>
  <c r="N910"/>
  <c r="N918"/>
  <c r="N926"/>
  <c r="N934"/>
  <c r="N942"/>
  <c r="N901"/>
  <c r="N909"/>
  <c r="N917"/>
  <c r="N925"/>
  <c r="N933"/>
  <c r="K82" i="8"/>
  <c r="N1047" i="32" s="1"/>
  <c r="R1050"/>
  <c r="R1048"/>
  <c r="R1056"/>
  <c r="R1051"/>
  <c r="R1047"/>
  <c r="R1046"/>
  <c r="R1057"/>
  <c r="R1049"/>
  <c r="R1052"/>
  <c r="N1053"/>
  <c r="M1054"/>
  <c r="M1051"/>
  <c r="M1045"/>
  <c r="M1053"/>
  <c r="M1050"/>
  <c r="M1048"/>
  <c r="M1047"/>
  <c r="M1046"/>
  <c r="M1052"/>
  <c r="M1049"/>
  <c r="P892"/>
  <c r="P888"/>
  <c r="P884"/>
  <c r="P880"/>
  <c r="P876"/>
  <c r="P872"/>
  <c r="P868"/>
  <c r="P864"/>
  <c r="P860"/>
  <c r="P856"/>
  <c r="P852"/>
  <c r="P893"/>
  <c r="P889"/>
  <c r="P885"/>
  <c r="P881"/>
  <c r="P877"/>
  <c r="P873"/>
  <c r="P869"/>
  <c r="P865"/>
  <c r="P861"/>
  <c r="P857"/>
  <c r="P853"/>
  <c r="P850"/>
  <c r="P894"/>
  <c r="P890"/>
  <c r="P886"/>
  <c r="P882"/>
  <c r="P878"/>
  <c r="P874"/>
  <c r="P870"/>
  <c r="P866"/>
  <c r="P862"/>
  <c r="P858"/>
  <c r="P854"/>
  <c r="P895"/>
  <c r="P891"/>
  <c r="P887"/>
  <c r="P883"/>
  <c r="P879"/>
  <c r="P875"/>
  <c r="P871"/>
  <c r="P867"/>
  <c r="P863"/>
  <c r="P859"/>
  <c r="P855"/>
  <c r="P851"/>
  <c r="N80" i="8"/>
  <c r="C6"/>
  <c r="BF742" i="9"/>
  <c r="P676" i="12"/>
  <c r="P368"/>
  <c r="K676"/>
  <c r="K368"/>
  <c r="I676"/>
  <c r="I368"/>
  <c r="E676"/>
  <c r="E368"/>
  <c r="Q676"/>
  <c r="Q368"/>
  <c r="Z676"/>
  <c r="Z368"/>
  <c r="D676"/>
  <c r="D368"/>
  <c r="G676"/>
  <c r="G368"/>
  <c r="T676"/>
  <c r="T368"/>
  <c r="V676"/>
  <c r="V368"/>
  <c r="X676"/>
  <c r="X368"/>
  <c r="J676"/>
  <c r="J368"/>
  <c r="O676"/>
  <c r="O368"/>
  <c r="U676"/>
  <c r="U368"/>
  <c r="Y676"/>
  <c r="Y368"/>
  <c r="AA676"/>
  <c r="AA368"/>
  <c r="W676"/>
  <c r="W368"/>
  <c r="H676"/>
  <c r="H368"/>
  <c r="S676"/>
  <c r="S368"/>
  <c r="R676"/>
  <c r="R368"/>
  <c r="F676"/>
  <c r="F368"/>
  <c r="N676"/>
  <c r="N368"/>
  <c r="M676"/>
  <c r="M368"/>
  <c r="L676"/>
  <c r="L368"/>
  <c r="O935" i="32" l="1"/>
  <c r="O914"/>
  <c r="O881"/>
  <c r="O865"/>
  <c r="O850"/>
  <c r="O880"/>
  <c r="O864"/>
  <c r="O895"/>
  <c r="O879"/>
  <c r="O863"/>
  <c r="O894"/>
  <c r="O878"/>
  <c r="O862"/>
  <c r="O885"/>
  <c r="O853"/>
  <c r="O868"/>
  <c r="O883"/>
  <c r="O851"/>
  <c r="O866"/>
  <c r="O875"/>
  <c r="O874"/>
  <c r="O897"/>
  <c r="O903"/>
  <c r="O920"/>
  <c r="O929"/>
  <c r="O877"/>
  <c r="O860"/>
  <c r="O890"/>
  <c r="O891"/>
  <c r="O893"/>
  <c r="O919"/>
  <c r="O904"/>
  <c r="O936"/>
  <c r="O913"/>
  <c r="O898"/>
  <c r="O930"/>
  <c r="O896"/>
  <c r="O911"/>
  <c r="O927"/>
  <c r="O943"/>
  <c r="O912"/>
  <c r="O928"/>
  <c r="M81" i="8"/>
  <c r="P939" i="32" s="1"/>
  <c r="O905"/>
  <c r="O921"/>
  <c r="O937"/>
  <c r="O906"/>
  <c r="O922"/>
  <c r="O938"/>
  <c r="O899"/>
  <c r="O907"/>
  <c r="O915"/>
  <c r="O923"/>
  <c r="O931"/>
  <c r="O939"/>
  <c r="O900"/>
  <c r="O908"/>
  <c r="O916"/>
  <c r="O924"/>
  <c r="O932"/>
  <c r="O940"/>
  <c r="BG231"/>
  <c r="O901"/>
  <c r="O909"/>
  <c r="O917"/>
  <c r="O925"/>
  <c r="O933"/>
  <c r="O941"/>
  <c r="O902"/>
  <c r="O910"/>
  <c r="O918"/>
  <c r="O926"/>
  <c r="O934"/>
  <c r="P845"/>
  <c r="P837"/>
  <c r="P829"/>
  <c r="P821"/>
  <c r="P813"/>
  <c r="P805"/>
  <c r="P797"/>
  <c r="P789"/>
  <c r="P842"/>
  <c r="P834"/>
  <c r="P826"/>
  <c r="P818"/>
  <c r="P810"/>
  <c r="P802"/>
  <c r="P794"/>
  <c r="N79" i="8"/>
  <c r="P843" i="32"/>
  <c r="P835"/>
  <c r="P827"/>
  <c r="P819"/>
  <c r="P811"/>
  <c r="P803"/>
  <c r="P795"/>
  <c r="P848"/>
  <c r="P840"/>
  <c r="P832"/>
  <c r="P824"/>
  <c r="P816"/>
  <c r="P808"/>
  <c r="P800"/>
  <c r="P792"/>
  <c r="P849"/>
  <c r="P841"/>
  <c r="P833"/>
  <c r="P825"/>
  <c r="P817"/>
  <c r="P809"/>
  <c r="P801"/>
  <c r="P793"/>
  <c r="P846"/>
  <c r="P838"/>
  <c r="P830"/>
  <c r="P822"/>
  <c r="P814"/>
  <c r="P806"/>
  <c r="P798"/>
  <c r="P790"/>
  <c r="P847"/>
  <c r="P839"/>
  <c r="P831"/>
  <c r="P823"/>
  <c r="P815"/>
  <c r="P807"/>
  <c r="P799"/>
  <c r="P791"/>
  <c r="P844"/>
  <c r="P836"/>
  <c r="P828"/>
  <c r="P820"/>
  <c r="P812"/>
  <c r="P804"/>
  <c r="P796"/>
  <c r="AA740" i="9"/>
  <c r="N1052" i="32"/>
  <c r="N1051"/>
  <c r="N1049"/>
  <c r="N1054"/>
  <c r="L82" i="8"/>
  <c r="O1048" i="32" s="1"/>
  <c r="N1050"/>
  <c r="N1048"/>
  <c r="N1046"/>
  <c r="N1045"/>
  <c r="R984"/>
  <c r="R971"/>
  <c r="R956"/>
  <c r="R954"/>
  <c r="R988"/>
  <c r="R973"/>
  <c r="R951"/>
  <c r="R970"/>
  <c r="R985"/>
  <c r="R955"/>
  <c r="R974"/>
  <c r="R989"/>
  <c r="R975"/>
  <c r="R962"/>
  <c r="R945"/>
  <c r="R977"/>
  <c r="R964"/>
  <c r="R947"/>
  <c r="R979"/>
  <c r="R966"/>
  <c r="R949"/>
  <c r="R981"/>
  <c r="R968"/>
  <c r="R960"/>
  <c r="R986"/>
  <c r="R967"/>
  <c r="R990"/>
  <c r="R969"/>
  <c r="R958"/>
  <c r="R983"/>
  <c r="R953"/>
  <c r="R972"/>
  <c r="R987"/>
  <c r="R957"/>
  <c r="R976"/>
  <c r="R959"/>
  <c r="R946"/>
  <c r="R978"/>
  <c r="R961"/>
  <c r="R948"/>
  <c r="R980"/>
  <c r="R963"/>
  <c r="R950"/>
  <c r="R982"/>
  <c r="R965"/>
  <c r="R952"/>
  <c r="K83" i="8"/>
  <c r="M989" i="32"/>
  <c r="M976"/>
  <c r="M960"/>
  <c r="M975"/>
  <c r="M952"/>
  <c r="M984"/>
  <c r="M967"/>
  <c r="M948"/>
  <c r="M964"/>
  <c r="M980"/>
  <c r="M947"/>
  <c r="M963"/>
  <c r="M979"/>
  <c r="M950"/>
  <c r="M958"/>
  <c r="M966"/>
  <c r="M974"/>
  <c r="M982"/>
  <c r="M990"/>
  <c r="M949"/>
  <c r="M957"/>
  <c r="M965"/>
  <c r="M973"/>
  <c r="M981"/>
  <c r="M944"/>
  <c r="M968"/>
  <c r="M983"/>
  <c r="M972"/>
  <c r="M955"/>
  <c r="M987"/>
  <c r="M946"/>
  <c r="M962"/>
  <c r="M978"/>
  <c r="M945"/>
  <c r="M961"/>
  <c r="M977"/>
  <c r="M959"/>
  <c r="M991"/>
  <c r="M951"/>
  <c r="M956"/>
  <c r="M988"/>
  <c r="M971"/>
  <c r="M954"/>
  <c r="M970"/>
  <c r="M986"/>
  <c r="M953"/>
  <c r="M969"/>
  <c r="M985"/>
  <c r="P943"/>
  <c r="BE742" i="9"/>
  <c r="BB742" s="1"/>
  <c r="L677" i="12"/>
  <c r="L369"/>
  <c r="M677"/>
  <c r="M369"/>
  <c r="N677"/>
  <c r="N369"/>
  <c r="F677"/>
  <c r="F369"/>
  <c r="R677"/>
  <c r="R369"/>
  <c r="S677"/>
  <c r="S369"/>
  <c r="H677"/>
  <c r="H369"/>
  <c r="W677"/>
  <c r="W369"/>
  <c r="AA677"/>
  <c r="AA369"/>
  <c r="Y677"/>
  <c r="Y369"/>
  <c r="U677"/>
  <c r="U369"/>
  <c r="O677"/>
  <c r="O369"/>
  <c r="J677"/>
  <c r="J369"/>
  <c r="X677"/>
  <c r="X369"/>
  <c r="V677"/>
  <c r="V369"/>
  <c r="T677"/>
  <c r="T369"/>
  <c r="G677"/>
  <c r="G369"/>
  <c r="D677"/>
  <c r="D369"/>
  <c r="Z677"/>
  <c r="Z369"/>
  <c r="Q677"/>
  <c r="Q369"/>
  <c r="E677"/>
  <c r="E369"/>
  <c r="I677"/>
  <c r="I369"/>
  <c r="K677"/>
  <c r="K369"/>
  <c r="P677"/>
  <c r="P369"/>
  <c r="P934" i="32" l="1"/>
  <c r="P904"/>
  <c r="P896"/>
  <c r="P901"/>
  <c r="P898"/>
  <c r="P928"/>
  <c r="P920"/>
  <c r="P917"/>
  <c r="P933"/>
  <c r="P914"/>
  <c r="P911"/>
  <c r="P927"/>
  <c r="O1054"/>
  <c r="P912"/>
  <c r="BH231"/>
  <c r="P909"/>
  <c r="P925"/>
  <c r="P942"/>
  <c r="P941"/>
  <c r="P906"/>
  <c r="P922"/>
  <c r="P903"/>
  <c r="P919"/>
  <c r="P936"/>
  <c r="P935"/>
  <c r="P900"/>
  <c r="P908"/>
  <c r="P916"/>
  <c r="P924"/>
  <c r="P897"/>
  <c r="P905"/>
  <c r="P913"/>
  <c r="P921"/>
  <c r="P930"/>
  <c r="P938"/>
  <c r="P929"/>
  <c r="P937"/>
  <c r="N81" i="8"/>
  <c r="P902" i="32"/>
  <c r="P910"/>
  <c r="P918"/>
  <c r="P926"/>
  <c r="P899"/>
  <c r="P907"/>
  <c r="P915"/>
  <c r="P923"/>
  <c r="P932"/>
  <c r="P940"/>
  <c r="P931"/>
  <c r="O1045"/>
  <c r="O1053"/>
  <c r="O1046"/>
  <c r="M82" i="8"/>
  <c r="P1053" i="32" s="1"/>
  <c r="O1047"/>
  <c r="O1049"/>
  <c r="O1051"/>
  <c r="O1050"/>
  <c r="O1052"/>
  <c r="N990"/>
  <c r="N986"/>
  <c r="N982"/>
  <c r="N978"/>
  <c r="N974"/>
  <c r="N970"/>
  <c r="N966"/>
  <c r="N962"/>
  <c r="N958"/>
  <c r="N954"/>
  <c r="N950"/>
  <c r="N946"/>
  <c r="N991"/>
  <c r="N987"/>
  <c r="N983"/>
  <c r="N979"/>
  <c r="N975"/>
  <c r="N971"/>
  <c r="N967"/>
  <c r="N963"/>
  <c r="N959"/>
  <c r="N955"/>
  <c r="N951"/>
  <c r="N947"/>
  <c r="N988"/>
  <c r="N980"/>
  <c r="N972"/>
  <c r="N964"/>
  <c r="N956"/>
  <c r="N948"/>
  <c r="N989"/>
  <c r="N981"/>
  <c r="N973"/>
  <c r="N965"/>
  <c r="N957"/>
  <c r="N949"/>
  <c r="L83" i="8"/>
  <c r="N984" i="32"/>
  <c r="N976"/>
  <c r="N968"/>
  <c r="N960"/>
  <c r="N952"/>
  <c r="N944"/>
  <c r="N985"/>
  <c r="N977"/>
  <c r="N969"/>
  <c r="N961"/>
  <c r="N953"/>
  <c r="N945"/>
  <c r="P678" i="12"/>
  <c r="P370"/>
  <c r="K678"/>
  <c r="K370"/>
  <c r="I678"/>
  <c r="I370"/>
  <c r="E678"/>
  <c r="E370"/>
  <c r="Q678"/>
  <c r="Q370"/>
  <c r="Z678"/>
  <c r="Z370"/>
  <c r="D678"/>
  <c r="D370"/>
  <c r="G678"/>
  <c r="G370"/>
  <c r="T678"/>
  <c r="T370"/>
  <c r="V678"/>
  <c r="V370"/>
  <c r="X678"/>
  <c r="X370"/>
  <c r="J678"/>
  <c r="J370"/>
  <c r="O678"/>
  <c r="O370"/>
  <c r="U678"/>
  <c r="U370"/>
  <c r="Y678"/>
  <c r="Y370"/>
  <c r="AA678"/>
  <c r="AA370"/>
  <c r="W678"/>
  <c r="W370"/>
  <c r="H678"/>
  <c r="H370"/>
  <c r="S678"/>
  <c r="S370"/>
  <c r="R678"/>
  <c r="R370"/>
  <c r="F678"/>
  <c r="F370"/>
  <c r="N678"/>
  <c r="N370"/>
  <c r="M678"/>
  <c r="M370"/>
  <c r="L678"/>
  <c r="L370"/>
  <c r="P1051" i="32" l="1"/>
  <c r="P1050"/>
  <c r="P1048"/>
  <c r="P1052"/>
  <c r="P1046"/>
  <c r="N82" i="8"/>
  <c r="P1045" i="32"/>
  <c r="P1054"/>
  <c r="P1047"/>
  <c r="P1049"/>
  <c r="O991"/>
  <c r="O987"/>
  <c r="O983"/>
  <c r="O979"/>
  <c r="O975"/>
  <c r="O971"/>
  <c r="O967"/>
  <c r="O963"/>
  <c r="O959"/>
  <c r="O955"/>
  <c r="O951"/>
  <c r="O947"/>
  <c r="O944"/>
  <c r="O988"/>
  <c r="O984"/>
  <c r="O980"/>
  <c r="O976"/>
  <c r="O972"/>
  <c r="O968"/>
  <c r="O964"/>
  <c r="O960"/>
  <c r="O956"/>
  <c r="O952"/>
  <c r="O948"/>
  <c r="M83" i="8"/>
  <c r="O989" i="32"/>
  <c r="O985"/>
  <c r="O981"/>
  <c r="O977"/>
  <c r="O973"/>
  <c r="O969"/>
  <c r="O965"/>
  <c r="O961"/>
  <c r="O957"/>
  <c r="O953"/>
  <c r="O949"/>
  <c r="O945"/>
  <c r="O990"/>
  <c r="O986"/>
  <c r="O982"/>
  <c r="O978"/>
  <c r="O974"/>
  <c r="O970"/>
  <c r="O966"/>
  <c r="O962"/>
  <c r="O958"/>
  <c r="O954"/>
  <c r="O950"/>
  <c r="O946"/>
  <c r="L679" i="12"/>
  <c r="L371"/>
  <c r="M679"/>
  <c r="M371"/>
  <c r="N679"/>
  <c r="N371"/>
  <c r="F679"/>
  <c r="F371"/>
  <c r="R679"/>
  <c r="R371"/>
  <c r="S679"/>
  <c r="S371"/>
  <c r="H679"/>
  <c r="H371"/>
  <c r="W679"/>
  <c r="W371"/>
  <c r="AA679"/>
  <c r="AA371"/>
  <c r="Y679"/>
  <c r="Y371"/>
  <c r="U679"/>
  <c r="U371"/>
  <c r="O679"/>
  <c r="O371"/>
  <c r="J679"/>
  <c r="J371"/>
  <c r="X679"/>
  <c r="X371"/>
  <c r="V679"/>
  <c r="V371"/>
  <c r="T679"/>
  <c r="T371"/>
  <c r="G679"/>
  <c r="G371"/>
  <c r="D679"/>
  <c r="D371"/>
  <c r="Z679"/>
  <c r="Z371"/>
  <c r="Q679"/>
  <c r="Q371"/>
  <c r="E679"/>
  <c r="E371"/>
  <c r="I679"/>
  <c r="I371"/>
  <c r="K679"/>
  <c r="K371"/>
  <c r="P679"/>
  <c r="P371"/>
  <c r="P990" i="32" l="1"/>
  <c r="P986"/>
  <c r="P982"/>
  <c r="P978"/>
  <c r="P974"/>
  <c r="P970"/>
  <c r="P966"/>
  <c r="P962"/>
  <c r="P958"/>
  <c r="P954"/>
  <c r="P950"/>
  <c r="P946"/>
  <c r="P989"/>
  <c r="P985"/>
  <c r="P981"/>
  <c r="P977"/>
  <c r="P973"/>
  <c r="P969"/>
  <c r="P965"/>
  <c r="P961"/>
  <c r="P957"/>
  <c r="P953"/>
  <c r="P949"/>
  <c r="P945"/>
  <c r="N83" i="8"/>
  <c r="P988" i="32"/>
  <c r="P984"/>
  <c r="P980"/>
  <c r="P976"/>
  <c r="P972"/>
  <c r="P968"/>
  <c r="P964"/>
  <c r="P960"/>
  <c r="P956"/>
  <c r="P952"/>
  <c r="P948"/>
  <c r="P991"/>
  <c r="P987"/>
  <c r="P983"/>
  <c r="P979"/>
  <c r="P975"/>
  <c r="P971"/>
  <c r="P967"/>
  <c r="P963"/>
  <c r="P959"/>
  <c r="P955"/>
  <c r="P951"/>
  <c r="P947"/>
  <c r="P944"/>
  <c r="P680" i="12"/>
  <c r="P372"/>
  <c r="K680"/>
  <c r="K372"/>
  <c r="I680"/>
  <c r="I372"/>
  <c r="E680"/>
  <c r="E372"/>
  <c r="Q680"/>
  <c r="Q372"/>
  <c r="Z680"/>
  <c r="Z372"/>
  <c r="D680"/>
  <c r="D372"/>
  <c r="G680"/>
  <c r="G372"/>
  <c r="T680"/>
  <c r="T372"/>
  <c r="V680"/>
  <c r="V372"/>
  <c r="X680"/>
  <c r="X372"/>
  <c r="J680"/>
  <c r="J372"/>
  <c r="O680"/>
  <c r="O372"/>
  <c r="U680"/>
  <c r="U372"/>
  <c r="Y680"/>
  <c r="Y372"/>
  <c r="AA680"/>
  <c r="AA372"/>
  <c r="W680"/>
  <c r="W372"/>
  <c r="H680"/>
  <c r="H372"/>
  <c r="S680"/>
  <c r="S372"/>
  <c r="R680"/>
  <c r="R372"/>
  <c r="F680"/>
  <c r="F372"/>
  <c r="N680"/>
  <c r="N372"/>
  <c r="M680"/>
  <c r="M372"/>
  <c r="L680"/>
  <c r="L372"/>
  <c r="L681" l="1"/>
  <c r="L373"/>
  <c r="M681"/>
  <c r="M373"/>
  <c r="N681"/>
  <c r="N373"/>
  <c r="F681"/>
  <c r="F373"/>
  <c r="R681"/>
  <c r="R373"/>
  <c r="S681"/>
  <c r="S373"/>
  <c r="H681"/>
  <c r="H373"/>
  <c r="W681"/>
  <c r="W373"/>
  <c r="AA681"/>
  <c r="AA373"/>
  <c r="Y681"/>
  <c r="Y373"/>
  <c r="U681"/>
  <c r="U373"/>
  <c r="O681"/>
  <c r="O373"/>
  <c r="J681"/>
  <c r="J373"/>
  <c r="X681"/>
  <c r="X373"/>
  <c r="V681"/>
  <c r="V373"/>
  <c r="T681"/>
  <c r="T373"/>
  <c r="G681"/>
  <c r="G373"/>
  <c r="D681"/>
  <c r="D373"/>
  <c r="Z681"/>
  <c r="Z373"/>
  <c r="Q681"/>
  <c r="Q373"/>
  <c r="E681"/>
  <c r="E373"/>
  <c r="I681"/>
  <c r="I373"/>
  <c r="K681"/>
  <c r="K373"/>
  <c r="P681"/>
  <c r="P373"/>
  <c r="P682" l="1"/>
  <c r="P374"/>
  <c r="K682"/>
  <c r="K374"/>
  <c r="I682"/>
  <c r="I374"/>
  <c r="E682"/>
  <c r="E374"/>
  <c r="Q682"/>
  <c r="Q374"/>
  <c r="Z682"/>
  <c r="Z374"/>
  <c r="D682"/>
  <c r="D374"/>
  <c r="G682"/>
  <c r="G374"/>
  <c r="T682"/>
  <c r="T374"/>
  <c r="V682"/>
  <c r="V374"/>
  <c r="X682"/>
  <c r="X374"/>
  <c r="J682"/>
  <c r="J374"/>
  <c r="O682"/>
  <c r="O374"/>
  <c r="U682"/>
  <c r="U374"/>
  <c r="Y682"/>
  <c r="Y374"/>
  <c r="AA682"/>
  <c r="AA374"/>
  <c r="W682"/>
  <c r="W374"/>
  <c r="H682"/>
  <c r="H374"/>
  <c r="S682"/>
  <c r="S374"/>
  <c r="R682"/>
  <c r="R374"/>
  <c r="F682"/>
  <c r="F374"/>
  <c r="N682"/>
  <c r="N374"/>
  <c r="M682"/>
  <c r="M374"/>
  <c r="L682"/>
  <c r="L374"/>
  <c r="L683" l="1"/>
  <c r="L375"/>
  <c r="M683"/>
  <c r="M375"/>
  <c r="N683"/>
  <c r="N375"/>
  <c r="F683"/>
  <c r="F375"/>
  <c r="R683"/>
  <c r="R375"/>
  <c r="S683"/>
  <c r="S375"/>
  <c r="H683"/>
  <c r="H375"/>
  <c r="W683"/>
  <c r="W375"/>
  <c r="AA683"/>
  <c r="AA375"/>
  <c r="Y683"/>
  <c r="Y375"/>
  <c r="U683"/>
  <c r="U375"/>
  <c r="O683"/>
  <c r="O375"/>
  <c r="J683"/>
  <c r="J375"/>
  <c r="X683"/>
  <c r="X375"/>
  <c r="V683"/>
  <c r="V375"/>
  <c r="T683"/>
  <c r="T375"/>
  <c r="G683"/>
  <c r="G375"/>
  <c r="D683"/>
  <c r="D375"/>
  <c r="Z683"/>
  <c r="Z375"/>
  <c r="Q683"/>
  <c r="Q375"/>
  <c r="E683"/>
  <c r="E375"/>
  <c r="I683"/>
  <c r="I375"/>
  <c r="K683"/>
  <c r="K375"/>
  <c r="P683"/>
  <c r="P375"/>
  <c r="P684" l="1"/>
  <c r="P376"/>
  <c r="K684"/>
  <c r="K376"/>
  <c r="I684"/>
  <c r="I376"/>
  <c r="E684"/>
  <c r="E376"/>
  <c r="Q684"/>
  <c r="Q376"/>
  <c r="Z684"/>
  <c r="Z376"/>
  <c r="D684"/>
  <c r="D376"/>
  <c r="G684"/>
  <c r="G376"/>
  <c r="T684"/>
  <c r="T376"/>
  <c r="V684"/>
  <c r="V376"/>
  <c r="X684"/>
  <c r="X376"/>
  <c r="J684"/>
  <c r="J376"/>
  <c r="O684"/>
  <c r="O376"/>
  <c r="U684"/>
  <c r="U376"/>
  <c r="Y684"/>
  <c r="Y376"/>
  <c r="AA684"/>
  <c r="AA376"/>
  <c r="W684"/>
  <c r="W376"/>
  <c r="H684"/>
  <c r="H376"/>
  <c r="S684"/>
  <c r="S376"/>
  <c r="R684"/>
  <c r="R376"/>
  <c r="F684"/>
  <c r="F376"/>
  <c r="N684"/>
  <c r="N376"/>
  <c r="M684"/>
  <c r="M376"/>
  <c r="L684"/>
  <c r="L376"/>
  <c r="L685" l="1"/>
  <c r="L377"/>
  <c r="M685"/>
  <c r="M377"/>
  <c r="N685"/>
  <c r="N377"/>
  <c r="F685"/>
  <c r="F377"/>
  <c r="R685"/>
  <c r="R377"/>
  <c r="S685"/>
  <c r="S377"/>
  <c r="H685"/>
  <c r="H377"/>
  <c r="W685"/>
  <c r="W377"/>
  <c r="AA685"/>
  <c r="AA377"/>
  <c r="Y685"/>
  <c r="Y377"/>
  <c r="U685"/>
  <c r="U377"/>
  <c r="O685"/>
  <c r="O377"/>
  <c r="J685"/>
  <c r="J377"/>
  <c r="X685"/>
  <c r="X377"/>
  <c r="V685"/>
  <c r="V377"/>
  <c r="T685"/>
  <c r="T377"/>
  <c r="G685"/>
  <c r="G377"/>
  <c r="D685"/>
  <c r="D377"/>
  <c r="Z685"/>
  <c r="Z377"/>
  <c r="Q685"/>
  <c r="Q377"/>
  <c r="E685"/>
  <c r="E377"/>
  <c r="I685"/>
  <c r="I377"/>
  <c r="K685"/>
  <c r="K377"/>
  <c r="P685"/>
  <c r="P377"/>
  <c r="P686" l="1"/>
  <c r="P378"/>
  <c r="K686"/>
  <c r="K378"/>
  <c r="I686"/>
  <c r="I378"/>
  <c r="E686"/>
  <c r="E378"/>
  <c r="Q686"/>
  <c r="Q378"/>
  <c r="Z686"/>
  <c r="Z378"/>
  <c r="D686"/>
  <c r="D378"/>
  <c r="G686"/>
  <c r="G378"/>
  <c r="T686"/>
  <c r="T378"/>
  <c r="V686"/>
  <c r="V378"/>
  <c r="X686"/>
  <c r="X378"/>
  <c r="J686"/>
  <c r="J378"/>
  <c r="O686"/>
  <c r="O378"/>
  <c r="U686"/>
  <c r="U378"/>
  <c r="Y686"/>
  <c r="Y378"/>
  <c r="AA686"/>
  <c r="AA378"/>
  <c r="W686"/>
  <c r="W378"/>
  <c r="H686"/>
  <c r="H378"/>
  <c r="S686"/>
  <c r="S378"/>
  <c r="R686"/>
  <c r="R378"/>
  <c r="F686"/>
  <c r="F378"/>
  <c r="N686"/>
  <c r="N378"/>
  <c r="M686"/>
  <c r="M378"/>
  <c r="L686"/>
  <c r="L378"/>
  <c r="L687" l="1"/>
  <c r="L379"/>
  <c r="M687"/>
  <c r="M379"/>
  <c r="N687"/>
  <c r="N379"/>
  <c r="F687"/>
  <c r="F379"/>
  <c r="R687"/>
  <c r="R379"/>
  <c r="S687"/>
  <c r="S379"/>
  <c r="H687"/>
  <c r="H379"/>
  <c r="W687"/>
  <c r="W379"/>
  <c r="AA687"/>
  <c r="AA379"/>
  <c r="Y687"/>
  <c r="Y379"/>
  <c r="U687"/>
  <c r="U379"/>
  <c r="O687"/>
  <c r="O379"/>
  <c r="J687"/>
  <c r="J379"/>
  <c r="X687"/>
  <c r="X379"/>
  <c r="V687"/>
  <c r="V379"/>
  <c r="T687"/>
  <c r="T379"/>
  <c r="G687"/>
  <c r="G379"/>
  <c r="D687"/>
  <c r="D379"/>
  <c r="Z687"/>
  <c r="Z379"/>
  <c r="Q687"/>
  <c r="Q379"/>
  <c r="E687"/>
  <c r="E379"/>
  <c r="I687"/>
  <c r="I379"/>
  <c r="K687"/>
  <c r="K379"/>
  <c r="P687"/>
  <c r="P379"/>
  <c r="P688" l="1"/>
  <c r="P380"/>
  <c r="K688"/>
  <c r="K380"/>
  <c r="I688"/>
  <c r="I380"/>
  <c r="E688"/>
  <c r="E380"/>
  <c r="Q688"/>
  <c r="Q380"/>
  <c r="Z688"/>
  <c r="Z380"/>
  <c r="D688"/>
  <c r="D380"/>
  <c r="G688"/>
  <c r="G380"/>
  <c r="T688"/>
  <c r="T380"/>
  <c r="V688"/>
  <c r="V380"/>
  <c r="X688"/>
  <c r="X380"/>
  <c r="J688"/>
  <c r="J380"/>
  <c r="O688"/>
  <c r="O380"/>
  <c r="U688"/>
  <c r="U380"/>
  <c r="Y688"/>
  <c r="Y380"/>
  <c r="AA688"/>
  <c r="AA380"/>
  <c r="W688"/>
  <c r="W380"/>
  <c r="H688"/>
  <c r="H380"/>
  <c r="S688"/>
  <c r="S380"/>
  <c r="R688"/>
  <c r="R380"/>
  <c r="F688"/>
  <c r="F380"/>
  <c r="N688"/>
  <c r="N380"/>
  <c r="M688"/>
  <c r="M380"/>
  <c r="L688"/>
  <c r="L380"/>
  <c r="L689" l="1"/>
  <c r="L381"/>
  <c r="M689"/>
  <c r="M381"/>
  <c r="N689"/>
  <c r="N381"/>
  <c r="F689"/>
  <c r="F381"/>
  <c r="R689"/>
  <c r="R381"/>
  <c r="S689"/>
  <c r="S381"/>
  <c r="H689"/>
  <c r="H381"/>
  <c r="W689"/>
  <c r="W381"/>
  <c r="AA689"/>
  <c r="AA381"/>
  <c r="Y689"/>
  <c r="Y381"/>
  <c r="U689"/>
  <c r="U381"/>
  <c r="O689"/>
  <c r="O381"/>
  <c r="J689"/>
  <c r="J381"/>
  <c r="X689"/>
  <c r="X381"/>
  <c r="V689"/>
  <c r="V381"/>
  <c r="T689"/>
  <c r="T381"/>
  <c r="G689"/>
  <c r="G381"/>
  <c r="D689"/>
  <c r="D381"/>
  <c r="Z689"/>
  <c r="Z381"/>
  <c r="Q689"/>
  <c r="Q381"/>
  <c r="E689"/>
  <c r="E381"/>
  <c r="I689"/>
  <c r="I381"/>
  <c r="K689"/>
  <c r="K381"/>
  <c r="P689"/>
  <c r="P381"/>
  <c r="P690" l="1"/>
  <c r="P382"/>
  <c r="K690"/>
  <c r="K382"/>
  <c r="I690"/>
  <c r="I382"/>
  <c r="E690"/>
  <c r="E382"/>
  <c r="Q690"/>
  <c r="Q382"/>
  <c r="Z690"/>
  <c r="Z382"/>
  <c r="D690"/>
  <c r="D382"/>
  <c r="G690"/>
  <c r="G382"/>
  <c r="T690"/>
  <c r="T382"/>
  <c r="V690"/>
  <c r="V382"/>
  <c r="X690"/>
  <c r="X382"/>
  <c r="J690"/>
  <c r="J382"/>
  <c r="O690"/>
  <c r="O382"/>
  <c r="U690"/>
  <c r="U382"/>
  <c r="Y690"/>
  <c r="Y382"/>
  <c r="AA690"/>
  <c r="AA382"/>
  <c r="W690"/>
  <c r="W382"/>
  <c r="H690"/>
  <c r="H382"/>
  <c r="S690"/>
  <c r="S382"/>
  <c r="R690"/>
  <c r="R382"/>
  <c r="F690"/>
  <c r="F382"/>
  <c r="N690"/>
  <c r="N382"/>
  <c r="M690"/>
  <c r="M382"/>
  <c r="L690"/>
  <c r="L382"/>
  <c r="L691" l="1"/>
  <c r="L383"/>
  <c r="M691"/>
  <c r="M383"/>
  <c r="N691"/>
  <c r="N383"/>
  <c r="F691"/>
  <c r="F383"/>
  <c r="R691"/>
  <c r="R383"/>
  <c r="S691"/>
  <c r="S383"/>
  <c r="H691"/>
  <c r="H383"/>
  <c r="W691"/>
  <c r="W383"/>
  <c r="AA691"/>
  <c r="AA383"/>
  <c r="Y691"/>
  <c r="Y383"/>
  <c r="U691"/>
  <c r="U383"/>
  <c r="O691"/>
  <c r="O383"/>
  <c r="J691"/>
  <c r="J383"/>
  <c r="X691"/>
  <c r="X383"/>
  <c r="V691"/>
  <c r="V383"/>
  <c r="T691"/>
  <c r="T383"/>
  <c r="G691"/>
  <c r="G383"/>
  <c r="D691"/>
  <c r="D383"/>
  <c r="Z691"/>
  <c r="Z383"/>
  <c r="Q691"/>
  <c r="Q383"/>
  <c r="E691"/>
  <c r="E383"/>
  <c r="I691"/>
  <c r="I383"/>
  <c r="K691"/>
  <c r="K383"/>
  <c r="P691"/>
  <c r="P383"/>
  <c r="P692" l="1"/>
  <c r="P384"/>
  <c r="K692"/>
  <c r="K384"/>
  <c r="I692"/>
  <c r="I384"/>
  <c r="E692"/>
  <c r="E384"/>
  <c r="Q692"/>
  <c r="Q384"/>
  <c r="Z692"/>
  <c r="Z384"/>
  <c r="D692"/>
  <c r="D384"/>
  <c r="G692"/>
  <c r="G384"/>
  <c r="T692"/>
  <c r="T384"/>
  <c r="V692"/>
  <c r="V384"/>
  <c r="X692"/>
  <c r="X384"/>
  <c r="J692"/>
  <c r="J384"/>
  <c r="O692"/>
  <c r="O384"/>
  <c r="U692"/>
  <c r="U384"/>
  <c r="Y692"/>
  <c r="Y384"/>
  <c r="AA692"/>
  <c r="AA384"/>
  <c r="W692"/>
  <c r="W384"/>
  <c r="H692"/>
  <c r="H384"/>
  <c r="S692"/>
  <c r="S384"/>
  <c r="R692"/>
  <c r="R384"/>
  <c r="F692"/>
  <c r="F384"/>
  <c r="N692"/>
  <c r="N384"/>
  <c r="M692"/>
  <c r="M384"/>
  <c r="L692"/>
  <c r="L384"/>
  <c r="L693" l="1"/>
  <c r="L385"/>
  <c r="M693"/>
  <c r="M385"/>
  <c r="N693"/>
  <c r="N385"/>
  <c r="F693"/>
  <c r="F385"/>
  <c r="R693"/>
  <c r="R385"/>
  <c r="S693"/>
  <c r="S385"/>
  <c r="H693"/>
  <c r="H385"/>
  <c r="W693"/>
  <c r="W385"/>
  <c r="AA693"/>
  <c r="AA385"/>
  <c r="Y693"/>
  <c r="Y385"/>
  <c r="U693"/>
  <c r="U385"/>
  <c r="O693"/>
  <c r="O385"/>
  <c r="J693"/>
  <c r="J385"/>
  <c r="X693"/>
  <c r="X385"/>
  <c r="V693"/>
  <c r="V385"/>
  <c r="T693"/>
  <c r="T385"/>
  <c r="G693"/>
  <c r="G385"/>
  <c r="D693"/>
  <c r="D385"/>
  <c r="Z693"/>
  <c r="Z385"/>
  <c r="Q693"/>
  <c r="Q385"/>
  <c r="E693"/>
  <c r="E385"/>
  <c r="I693"/>
  <c r="I385"/>
  <c r="K693"/>
  <c r="K385"/>
  <c r="P693"/>
  <c r="P385"/>
  <c r="P694" l="1"/>
  <c r="P386"/>
  <c r="K694"/>
  <c r="K386"/>
  <c r="I694"/>
  <c r="I386"/>
  <c r="E694"/>
  <c r="E386"/>
  <c r="Q694"/>
  <c r="Q386"/>
  <c r="Z694"/>
  <c r="Z386"/>
  <c r="D694"/>
  <c r="D386"/>
  <c r="G694"/>
  <c r="G386"/>
  <c r="T694"/>
  <c r="T386"/>
  <c r="V694"/>
  <c r="V386"/>
  <c r="X694"/>
  <c r="X386"/>
  <c r="J694"/>
  <c r="J386"/>
  <c r="O694"/>
  <c r="O386"/>
  <c r="U694"/>
  <c r="U386"/>
  <c r="Y694"/>
  <c r="Y386"/>
  <c r="AA694"/>
  <c r="AA386"/>
  <c r="W694"/>
  <c r="W386"/>
  <c r="H694"/>
  <c r="H386"/>
  <c r="S694"/>
  <c r="S386"/>
  <c r="R694"/>
  <c r="R386"/>
  <c r="F694"/>
  <c r="F386"/>
  <c r="N694"/>
  <c r="N386"/>
  <c r="M694"/>
  <c r="M386"/>
  <c r="L694"/>
  <c r="L386"/>
  <c r="L695" l="1"/>
  <c r="L387"/>
  <c r="M695"/>
  <c r="M387"/>
  <c r="N695"/>
  <c r="N387"/>
  <c r="F695"/>
  <c r="F387"/>
  <c r="R695"/>
  <c r="R387"/>
  <c r="S695"/>
  <c r="S387"/>
  <c r="H695"/>
  <c r="H387"/>
  <c r="W695"/>
  <c r="W387"/>
  <c r="AA695"/>
  <c r="AA387"/>
  <c r="Y695"/>
  <c r="Y387"/>
  <c r="U695"/>
  <c r="U387"/>
  <c r="O695"/>
  <c r="O387"/>
  <c r="J695"/>
  <c r="J387"/>
  <c r="X695"/>
  <c r="X387"/>
  <c r="V695"/>
  <c r="V387"/>
  <c r="T695"/>
  <c r="T387"/>
  <c r="G695"/>
  <c r="G387"/>
  <c r="D695"/>
  <c r="D387"/>
  <c r="Z695"/>
  <c r="Z387"/>
  <c r="Q695"/>
  <c r="Q387"/>
  <c r="E695"/>
  <c r="E387"/>
  <c r="I695"/>
  <c r="I387"/>
  <c r="K695"/>
  <c r="K387"/>
  <c r="P695"/>
  <c r="P387"/>
  <c r="P696" l="1"/>
  <c r="P388"/>
  <c r="K696"/>
  <c r="K388"/>
  <c r="I696"/>
  <c r="I388"/>
  <c r="E696"/>
  <c r="E388"/>
  <c r="Q696"/>
  <c r="Q388"/>
  <c r="Z696"/>
  <c r="Z388"/>
  <c r="D696"/>
  <c r="D388"/>
  <c r="G696"/>
  <c r="G388"/>
  <c r="T696"/>
  <c r="T388"/>
  <c r="V696"/>
  <c r="V388"/>
  <c r="X696"/>
  <c r="X388"/>
  <c r="J696"/>
  <c r="J388"/>
  <c r="O696"/>
  <c r="O388"/>
  <c r="U696"/>
  <c r="U388"/>
  <c r="Y696"/>
  <c r="Y388"/>
  <c r="AA696"/>
  <c r="AA388"/>
  <c r="W696"/>
  <c r="W388"/>
  <c r="H696"/>
  <c r="H388"/>
  <c r="S696"/>
  <c r="S388"/>
  <c r="R696"/>
  <c r="R388"/>
  <c r="F696"/>
  <c r="F388"/>
  <c r="N696"/>
  <c r="N388"/>
  <c r="M696"/>
  <c r="M388"/>
  <c r="L696"/>
  <c r="L388"/>
  <c r="L697" l="1"/>
  <c r="L389"/>
  <c r="M697"/>
  <c r="M389"/>
  <c r="N697"/>
  <c r="N389"/>
  <c r="F697"/>
  <c r="F389"/>
  <c r="R697"/>
  <c r="R389"/>
  <c r="S697"/>
  <c r="S389"/>
  <c r="H697"/>
  <c r="H389"/>
  <c r="W697"/>
  <c r="W389"/>
  <c r="AA697"/>
  <c r="AA389"/>
  <c r="Y697"/>
  <c r="Y389"/>
  <c r="U697"/>
  <c r="U389"/>
  <c r="O697"/>
  <c r="O389"/>
  <c r="J697"/>
  <c r="J389"/>
  <c r="X697"/>
  <c r="X389"/>
  <c r="V697"/>
  <c r="V389"/>
  <c r="T697"/>
  <c r="T389"/>
  <c r="G697"/>
  <c r="G389"/>
  <c r="D697"/>
  <c r="D389"/>
  <c r="Z697"/>
  <c r="Z389"/>
  <c r="Q697"/>
  <c r="Q389"/>
  <c r="E697"/>
  <c r="E389"/>
  <c r="I697"/>
  <c r="I389"/>
  <c r="K697"/>
  <c r="K389"/>
  <c r="P697"/>
  <c r="P389"/>
  <c r="P698" l="1"/>
  <c r="P390"/>
  <c r="K698"/>
  <c r="K390"/>
  <c r="I698"/>
  <c r="I390"/>
  <c r="E698"/>
  <c r="E390"/>
  <c r="Q698"/>
  <c r="Q390"/>
  <c r="Z698"/>
  <c r="Z390"/>
  <c r="D698"/>
  <c r="D390"/>
  <c r="G698"/>
  <c r="G390"/>
  <c r="T698"/>
  <c r="T390"/>
  <c r="V698"/>
  <c r="V390"/>
  <c r="X698"/>
  <c r="X390"/>
  <c r="J698"/>
  <c r="J390"/>
  <c r="O698"/>
  <c r="O390"/>
  <c r="U698"/>
  <c r="U390"/>
  <c r="Y698"/>
  <c r="Y390"/>
  <c r="AA698"/>
  <c r="AA390"/>
  <c r="W698"/>
  <c r="W390"/>
  <c r="H698"/>
  <c r="H390"/>
  <c r="S698"/>
  <c r="S390"/>
  <c r="R698"/>
  <c r="R390"/>
  <c r="F698"/>
  <c r="F390"/>
  <c r="N698"/>
  <c r="N390"/>
  <c r="M698"/>
  <c r="M390"/>
  <c r="L698"/>
  <c r="L390"/>
  <c r="L699" l="1"/>
  <c r="L391"/>
  <c r="M699"/>
  <c r="M391"/>
  <c r="N699"/>
  <c r="N391"/>
  <c r="F699"/>
  <c r="F391"/>
  <c r="R699"/>
  <c r="R391"/>
  <c r="S699"/>
  <c r="S391"/>
  <c r="H699"/>
  <c r="H391"/>
  <c r="W699"/>
  <c r="W391"/>
  <c r="AA699"/>
  <c r="AA391"/>
  <c r="Y699"/>
  <c r="Y391"/>
  <c r="U699"/>
  <c r="U391"/>
  <c r="O699"/>
  <c r="O391"/>
  <c r="J699"/>
  <c r="J391"/>
  <c r="X699"/>
  <c r="X391"/>
  <c r="V699"/>
  <c r="V391"/>
  <c r="T699"/>
  <c r="T391"/>
  <c r="G699"/>
  <c r="G391"/>
  <c r="D699"/>
  <c r="D391"/>
  <c r="Z699"/>
  <c r="Z391"/>
  <c r="Q699"/>
  <c r="Q391"/>
  <c r="E699"/>
  <c r="E391"/>
  <c r="I699"/>
  <c r="I391"/>
  <c r="K699"/>
  <c r="K391"/>
  <c r="P699"/>
  <c r="P391"/>
  <c r="P700" l="1"/>
  <c r="P392"/>
  <c r="K700"/>
  <c r="K392"/>
  <c r="I700"/>
  <c r="I392"/>
  <c r="E700"/>
  <c r="E392"/>
  <c r="Q700"/>
  <c r="Q392"/>
  <c r="Z700"/>
  <c r="Z392"/>
  <c r="D700"/>
  <c r="D392"/>
  <c r="G700"/>
  <c r="G392"/>
  <c r="T700"/>
  <c r="T392"/>
  <c r="V700"/>
  <c r="V392"/>
  <c r="X700"/>
  <c r="X392"/>
  <c r="J700"/>
  <c r="J392"/>
  <c r="O700"/>
  <c r="O392"/>
  <c r="U700"/>
  <c r="U392"/>
  <c r="Y700"/>
  <c r="Y392"/>
  <c r="AA700"/>
  <c r="AA392"/>
  <c r="W700"/>
  <c r="W392"/>
  <c r="H700"/>
  <c r="H392"/>
  <c r="S700"/>
  <c r="S392"/>
  <c r="R700"/>
  <c r="R392"/>
  <c r="F700"/>
  <c r="F392"/>
  <c r="N700"/>
  <c r="N392"/>
  <c r="M700"/>
  <c r="M392"/>
  <c r="L700"/>
  <c r="L392"/>
  <c r="L701" l="1"/>
  <c r="L393"/>
  <c r="M701"/>
  <c r="M393"/>
  <c r="N701"/>
  <c r="N393"/>
  <c r="F701"/>
  <c r="F393"/>
  <c r="R701"/>
  <c r="R393"/>
  <c r="S701"/>
  <c r="S393"/>
  <c r="H701"/>
  <c r="H393"/>
  <c r="W701"/>
  <c r="W393"/>
  <c r="AA701"/>
  <c r="AA393"/>
  <c r="Y701"/>
  <c r="Y393"/>
  <c r="U701"/>
  <c r="U393"/>
  <c r="O701"/>
  <c r="O393"/>
  <c r="J701"/>
  <c r="J393"/>
  <c r="X701"/>
  <c r="X393"/>
  <c r="V701"/>
  <c r="V393"/>
  <c r="T701"/>
  <c r="T393"/>
  <c r="G701"/>
  <c r="G393"/>
  <c r="D701"/>
  <c r="D393"/>
  <c r="Z701"/>
  <c r="Z393"/>
  <c r="Q701"/>
  <c r="Q393"/>
  <c r="E701"/>
  <c r="E393"/>
  <c r="I701"/>
  <c r="I393"/>
  <c r="K701"/>
  <c r="K393"/>
  <c r="P701"/>
  <c r="P393"/>
  <c r="P702" l="1"/>
  <c r="P394"/>
  <c r="K702"/>
  <c r="K394"/>
  <c r="I702"/>
  <c r="I394"/>
  <c r="E702"/>
  <c r="E394"/>
  <c r="Q702"/>
  <c r="Q394"/>
  <c r="Z702"/>
  <c r="Z394"/>
  <c r="D702"/>
  <c r="D394"/>
  <c r="G702"/>
  <c r="G394"/>
  <c r="T702"/>
  <c r="T394"/>
  <c r="V702"/>
  <c r="V394"/>
  <c r="X702"/>
  <c r="X394"/>
  <c r="J702"/>
  <c r="J394"/>
  <c r="O702"/>
  <c r="O394"/>
  <c r="U702"/>
  <c r="U394"/>
  <c r="Y702"/>
  <c r="Y394"/>
  <c r="AA702"/>
  <c r="AA394"/>
  <c r="W702"/>
  <c r="W394"/>
  <c r="H702"/>
  <c r="H394"/>
  <c r="S702"/>
  <c r="S394"/>
  <c r="R702"/>
  <c r="R394"/>
  <c r="F702"/>
  <c r="F394"/>
  <c r="N702"/>
  <c r="N394"/>
  <c r="M702"/>
  <c r="M394"/>
  <c r="L702"/>
  <c r="L394"/>
  <c r="L703" l="1"/>
  <c r="L395"/>
  <c r="M703"/>
  <c r="M395"/>
  <c r="N703"/>
  <c r="N395"/>
  <c r="F703"/>
  <c r="F395"/>
  <c r="R703"/>
  <c r="R395"/>
  <c r="S703"/>
  <c r="S395"/>
  <c r="H703"/>
  <c r="H395"/>
  <c r="W703"/>
  <c r="W395"/>
  <c r="AA703"/>
  <c r="AA395"/>
  <c r="Y703"/>
  <c r="Y395"/>
  <c r="U703"/>
  <c r="U395"/>
  <c r="O703"/>
  <c r="O395"/>
  <c r="J703"/>
  <c r="J395"/>
  <c r="X703"/>
  <c r="X395"/>
  <c r="V703"/>
  <c r="V395"/>
  <c r="T703"/>
  <c r="T395"/>
  <c r="G703"/>
  <c r="G395"/>
  <c r="D703"/>
  <c r="D395"/>
  <c r="Z703"/>
  <c r="Z395"/>
  <c r="Q703"/>
  <c r="Q395"/>
  <c r="E703"/>
  <c r="E395"/>
  <c r="I703"/>
  <c r="I395"/>
  <c r="K703"/>
  <c r="K395"/>
  <c r="P703"/>
  <c r="P395"/>
  <c r="P704" l="1"/>
  <c r="P396"/>
  <c r="K704"/>
  <c r="K396"/>
  <c r="I704"/>
  <c r="I396"/>
  <c r="E704"/>
  <c r="E396"/>
  <c r="Q704"/>
  <c r="Q396"/>
  <c r="Z704"/>
  <c r="Z396"/>
  <c r="D704"/>
  <c r="D396"/>
  <c r="G704"/>
  <c r="G396"/>
  <c r="T704"/>
  <c r="T396"/>
  <c r="V704"/>
  <c r="V396"/>
  <c r="X704"/>
  <c r="X396"/>
  <c r="J704"/>
  <c r="J396"/>
  <c r="O704"/>
  <c r="O396"/>
  <c r="U704"/>
  <c r="U396"/>
  <c r="Y704"/>
  <c r="Y396"/>
  <c r="AA704"/>
  <c r="AA396"/>
  <c r="W704"/>
  <c r="W396"/>
  <c r="H704"/>
  <c r="H396"/>
  <c r="S704"/>
  <c r="S396"/>
  <c r="R704"/>
  <c r="R396"/>
  <c r="F704"/>
  <c r="F396"/>
  <c r="N704"/>
  <c r="N396"/>
  <c r="M704"/>
  <c r="M396"/>
  <c r="L704"/>
  <c r="L396"/>
  <c r="L705" l="1"/>
  <c r="L397"/>
  <c r="M705"/>
  <c r="M397"/>
  <c r="N705"/>
  <c r="N397"/>
  <c r="F705"/>
  <c r="F397"/>
  <c r="R705"/>
  <c r="R397"/>
  <c r="S705"/>
  <c r="S397"/>
  <c r="H705"/>
  <c r="H397"/>
  <c r="W705"/>
  <c r="W397"/>
  <c r="AA705"/>
  <c r="AA397"/>
  <c r="Y705"/>
  <c r="Y397"/>
  <c r="U705"/>
  <c r="U397"/>
  <c r="O705"/>
  <c r="O397"/>
  <c r="J705"/>
  <c r="J397"/>
  <c r="X705"/>
  <c r="X397"/>
  <c r="V705"/>
  <c r="V397"/>
  <c r="T705"/>
  <c r="T397"/>
  <c r="G705"/>
  <c r="G397"/>
  <c r="D705"/>
  <c r="D397"/>
  <c r="Z705"/>
  <c r="Z397"/>
  <c r="Q705"/>
  <c r="Q397"/>
  <c r="E705"/>
  <c r="E397"/>
  <c r="I705"/>
  <c r="I397"/>
  <c r="K705"/>
  <c r="K397"/>
  <c r="P705"/>
  <c r="P397"/>
  <c r="P706" l="1"/>
  <c r="P398"/>
  <c r="K706"/>
  <c r="K398"/>
  <c r="I706"/>
  <c r="I398"/>
  <c r="E706"/>
  <c r="E398"/>
  <c r="Q706"/>
  <c r="Q398"/>
  <c r="Z706"/>
  <c r="Z398"/>
  <c r="D706"/>
  <c r="D398"/>
  <c r="G706"/>
  <c r="G398"/>
  <c r="T706"/>
  <c r="T398"/>
  <c r="V706"/>
  <c r="V398"/>
  <c r="X706"/>
  <c r="X398"/>
  <c r="J706"/>
  <c r="J398"/>
  <c r="O706"/>
  <c r="O398"/>
  <c r="U706"/>
  <c r="U398"/>
  <c r="Y706"/>
  <c r="Y398"/>
  <c r="AA706"/>
  <c r="AA398"/>
  <c r="W706"/>
  <c r="W398"/>
  <c r="H706"/>
  <c r="H398"/>
  <c r="S706"/>
  <c r="S398"/>
  <c r="R706"/>
  <c r="R398"/>
  <c r="F706"/>
  <c r="F398"/>
  <c r="N706"/>
  <c r="N398"/>
  <c r="M706"/>
  <c r="M398"/>
  <c r="L706"/>
  <c r="L398"/>
  <c r="L707" l="1"/>
  <c r="L399"/>
  <c r="M707"/>
  <c r="M399"/>
  <c r="N707"/>
  <c r="N399"/>
  <c r="F707"/>
  <c r="F399"/>
  <c r="R707"/>
  <c r="R399"/>
  <c r="S707"/>
  <c r="S399"/>
  <c r="H707"/>
  <c r="H399"/>
  <c r="W707"/>
  <c r="W399"/>
  <c r="AA707"/>
  <c r="AA399"/>
  <c r="Y707"/>
  <c r="Y399"/>
  <c r="U707"/>
  <c r="U399"/>
  <c r="O707"/>
  <c r="O399"/>
  <c r="J707"/>
  <c r="J399"/>
  <c r="X707"/>
  <c r="X399"/>
  <c r="V707"/>
  <c r="V399"/>
  <c r="T707"/>
  <c r="T399"/>
  <c r="G707"/>
  <c r="G399"/>
  <c r="D707"/>
  <c r="D399"/>
  <c r="Z707"/>
  <c r="Z399"/>
  <c r="Q707"/>
  <c r="Q399"/>
  <c r="E707"/>
  <c r="E399"/>
  <c r="I707"/>
  <c r="I399"/>
  <c r="K707"/>
  <c r="K399"/>
  <c r="P707"/>
  <c r="P399"/>
  <c r="P708" l="1"/>
  <c r="P400"/>
  <c r="K708"/>
  <c r="K400"/>
  <c r="I708"/>
  <c r="I400"/>
  <c r="E708"/>
  <c r="E400"/>
  <c r="Q708"/>
  <c r="Q400"/>
  <c r="Z708"/>
  <c r="Z400"/>
  <c r="D708"/>
  <c r="D400"/>
  <c r="G708"/>
  <c r="G400"/>
  <c r="T708"/>
  <c r="T400"/>
  <c r="V708"/>
  <c r="V400"/>
  <c r="X708"/>
  <c r="X400"/>
  <c r="J708"/>
  <c r="J400"/>
  <c r="O708"/>
  <c r="O400"/>
  <c r="U708"/>
  <c r="U400"/>
  <c r="Y708"/>
  <c r="Y400"/>
  <c r="AA708"/>
  <c r="AA400"/>
  <c r="W708"/>
  <c r="W400"/>
  <c r="H708"/>
  <c r="H400"/>
  <c r="S708"/>
  <c r="S400"/>
  <c r="R708"/>
  <c r="R400"/>
  <c r="F708"/>
  <c r="F400"/>
  <c r="N708"/>
  <c r="N400"/>
  <c r="M708"/>
  <c r="M400"/>
  <c r="L708"/>
  <c r="L400"/>
  <c r="L709" l="1"/>
  <c r="L401"/>
  <c r="M709"/>
  <c r="M401"/>
  <c r="N709"/>
  <c r="N401"/>
  <c r="F709"/>
  <c r="F401"/>
  <c r="R709"/>
  <c r="R401"/>
  <c r="S709"/>
  <c r="S401"/>
  <c r="H709"/>
  <c r="H401"/>
  <c r="W709"/>
  <c r="W401"/>
  <c r="AA709"/>
  <c r="AA401"/>
  <c r="Y709"/>
  <c r="Y401"/>
  <c r="U709"/>
  <c r="U401"/>
  <c r="O709"/>
  <c r="O401"/>
  <c r="J709"/>
  <c r="J401"/>
  <c r="X709"/>
  <c r="X401"/>
  <c r="V709"/>
  <c r="V401"/>
  <c r="T709"/>
  <c r="T401"/>
  <c r="G709"/>
  <c r="G401"/>
  <c r="D709"/>
  <c r="D401"/>
  <c r="Z709"/>
  <c r="Z401"/>
  <c r="Q709"/>
  <c r="Q401"/>
  <c r="E709"/>
  <c r="E401"/>
  <c r="I709"/>
  <c r="I401"/>
  <c r="K709"/>
  <c r="K401"/>
  <c r="P709"/>
  <c r="P401"/>
  <c r="P710" l="1"/>
  <c r="P402"/>
  <c r="K710"/>
  <c r="K402"/>
  <c r="I710"/>
  <c r="I402"/>
  <c r="E710"/>
  <c r="E402"/>
  <c r="Q710"/>
  <c r="Q402"/>
  <c r="Z710"/>
  <c r="Z402"/>
  <c r="D710"/>
  <c r="D402"/>
  <c r="G710"/>
  <c r="G402"/>
  <c r="T710"/>
  <c r="T402"/>
  <c r="V710"/>
  <c r="V402"/>
  <c r="X710"/>
  <c r="X402"/>
  <c r="J710"/>
  <c r="J402"/>
  <c r="O710"/>
  <c r="O402"/>
  <c r="U710"/>
  <c r="U402"/>
  <c r="Y710"/>
  <c r="Y402"/>
  <c r="AA710"/>
  <c r="AA402"/>
  <c r="W710"/>
  <c r="W402"/>
  <c r="H710"/>
  <c r="H402"/>
  <c r="S710"/>
  <c r="S402"/>
  <c r="R710"/>
  <c r="R402"/>
  <c r="F710"/>
  <c r="F402"/>
  <c r="N710"/>
  <c r="N402"/>
  <c r="M710"/>
  <c r="M402"/>
  <c r="L710"/>
  <c r="L402"/>
  <c r="L711" l="1"/>
  <c r="L403"/>
  <c r="M711"/>
  <c r="M403"/>
  <c r="N711"/>
  <c r="N403"/>
  <c r="F711"/>
  <c r="F403"/>
  <c r="R711"/>
  <c r="R403"/>
  <c r="S711"/>
  <c r="S403"/>
  <c r="H711"/>
  <c r="H403"/>
  <c r="W711"/>
  <c r="W403"/>
  <c r="AA711"/>
  <c r="AA403"/>
  <c r="Y711"/>
  <c r="Y403"/>
  <c r="U711"/>
  <c r="U403"/>
  <c r="O711"/>
  <c r="O403"/>
  <c r="J711"/>
  <c r="J403"/>
  <c r="X711"/>
  <c r="X403"/>
  <c r="V711"/>
  <c r="V403"/>
  <c r="T711"/>
  <c r="T403"/>
  <c r="G711"/>
  <c r="G403"/>
  <c r="D711"/>
  <c r="D403"/>
  <c r="Z711"/>
  <c r="Z403"/>
  <c r="Q711"/>
  <c r="Q403"/>
  <c r="E711"/>
  <c r="E403"/>
  <c r="I711"/>
  <c r="I403"/>
  <c r="K711"/>
  <c r="K403"/>
  <c r="P711"/>
  <c r="P403"/>
  <c r="P712" l="1"/>
  <c r="P404"/>
  <c r="K712"/>
  <c r="K404"/>
  <c r="I712"/>
  <c r="I404"/>
  <c r="E712"/>
  <c r="E404"/>
  <c r="Q712"/>
  <c r="Q404"/>
  <c r="Z712"/>
  <c r="Z404"/>
  <c r="D712"/>
  <c r="D404"/>
  <c r="G712"/>
  <c r="G404"/>
  <c r="T712"/>
  <c r="T404"/>
  <c r="V712"/>
  <c r="V404"/>
  <c r="X712"/>
  <c r="X404"/>
  <c r="J712"/>
  <c r="J404"/>
  <c r="O712"/>
  <c r="O404"/>
  <c r="U712"/>
  <c r="U404"/>
  <c r="Y712"/>
  <c r="Y404"/>
  <c r="AA712"/>
  <c r="AA404"/>
  <c r="W712"/>
  <c r="W404"/>
  <c r="H712"/>
  <c r="H404"/>
  <c r="S712"/>
  <c r="S404"/>
  <c r="R712"/>
  <c r="R404"/>
  <c r="F712"/>
  <c r="F404"/>
  <c r="N712"/>
  <c r="N404"/>
  <c r="M712"/>
  <c r="M404"/>
  <c r="L712"/>
  <c r="L404"/>
  <c r="L713" l="1"/>
  <c r="L405"/>
  <c r="M713"/>
  <c r="M405"/>
  <c r="N713"/>
  <c r="N405"/>
  <c r="F713"/>
  <c r="F405"/>
  <c r="R713"/>
  <c r="R405"/>
  <c r="S713"/>
  <c r="S405"/>
  <c r="H713"/>
  <c r="H405"/>
  <c r="W713"/>
  <c r="W405"/>
  <c r="AA713"/>
  <c r="AA405"/>
  <c r="Y713"/>
  <c r="Y405"/>
  <c r="U713"/>
  <c r="U405"/>
  <c r="O713"/>
  <c r="O405"/>
  <c r="J713"/>
  <c r="J405"/>
  <c r="X713"/>
  <c r="X405"/>
  <c r="V713"/>
  <c r="V405"/>
  <c r="T713"/>
  <c r="T405"/>
  <c r="G713"/>
  <c r="G405"/>
  <c r="D713"/>
  <c r="D405"/>
  <c r="Z713"/>
  <c r="Z405"/>
  <c r="Q713"/>
  <c r="Q405"/>
  <c r="E713"/>
  <c r="E405"/>
  <c r="I713"/>
  <c r="I405"/>
  <c r="K713"/>
  <c r="K405"/>
  <c r="P713"/>
  <c r="P405"/>
  <c r="P714" l="1"/>
  <c r="P406"/>
  <c r="K714"/>
  <c r="K406"/>
  <c r="I714"/>
  <c r="I406"/>
  <c r="E714"/>
  <c r="E406"/>
  <c r="Q714"/>
  <c r="Q406"/>
  <c r="Z714"/>
  <c r="Z406"/>
  <c r="D714"/>
  <c r="D406"/>
  <c r="G714"/>
  <c r="G406"/>
  <c r="T714"/>
  <c r="T406"/>
  <c r="V714"/>
  <c r="V406"/>
  <c r="X714"/>
  <c r="X406"/>
  <c r="J714"/>
  <c r="J406"/>
  <c r="O714"/>
  <c r="O406"/>
  <c r="U714"/>
  <c r="U406"/>
  <c r="Y714"/>
  <c r="Y406"/>
  <c r="AA714"/>
  <c r="AA406"/>
  <c r="W714"/>
  <c r="W406"/>
  <c r="H714"/>
  <c r="H406"/>
  <c r="S714"/>
  <c r="S406"/>
  <c r="R714"/>
  <c r="R406"/>
  <c r="F714"/>
  <c r="F406"/>
  <c r="N714"/>
  <c r="N406"/>
  <c r="M714"/>
  <c r="M406"/>
  <c r="L714"/>
  <c r="L406"/>
  <c r="L715" l="1"/>
  <c r="L407"/>
  <c r="M715"/>
  <c r="M407"/>
  <c r="N715"/>
  <c r="N407"/>
  <c r="F715"/>
  <c r="F407"/>
  <c r="R715"/>
  <c r="R407"/>
  <c r="S715"/>
  <c r="S407"/>
  <c r="H715"/>
  <c r="H407"/>
  <c r="W715"/>
  <c r="W407"/>
  <c r="AA715"/>
  <c r="AA407"/>
  <c r="Y715"/>
  <c r="Y407"/>
  <c r="U715"/>
  <c r="U407"/>
  <c r="O715"/>
  <c r="O407"/>
  <c r="J715"/>
  <c r="J407"/>
  <c r="X715"/>
  <c r="X407"/>
  <c r="V715"/>
  <c r="V407"/>
  <c r="T715"/>
  <c r="T407"/>
  <c r="G715"/>
  <c r="G407"/>
  <c r="D715"/>
  <c r="D407"/>
  <c r="Z715"/>
  <c r="Z407"/>
  <c r="Q715"/>
  <c r="Q407"/>
  <c r="E715"/>
  <c r="E407"/>
  <c r="I715"/>
  <c r="I407"/>
  <c r="K715"/>
  <c r="K407"/>
  <c r="P715"/>
  <c r="P407"/>
  <c r="P716" l="1"/>
  <c r="P408"/>
  <c r="K716"/>
  <c r="K408"/>
  <c r="I716"/>
  <c r="I408"/>
  <c r="E716"/>
  <c r="E408"/>
  <c r="Q716"/>
  <c r="Q408"/>
  <c r="Z716"/>
  <c r="Z408"/>
  <c r="D716"/>
  <c r="D408"/>
  <c r="G716"/>
  <c r="G408"/>
  <c r="T716"/>
  <c r="T408"/>
  <c r="V716"/>
  <c r="V408"/>
  <c r="X716"/>
  <c r="X408"/>
  <c r="J716"/>
  <c r="J408"/>
  <c r="O716"/>
  <c r="O408"/>
  <c r="U716"/>
  <c r="U408"/>
  <c r="Y716"/>
  <c r="Y408"/>
  <c r="AA716"/>
  <c r="AA408"/>
  <c r="W716"/>
  <c r="W408"/>
  <c r="H716"/>
  <c r="H408"/>
  <c r="S716"/>
  <c r="S408"/>
  <c r="R716"/>
  <c r="R408"/>
  <c r="F716"/>
  <c r="F408"/>
  <c r="N716"/>
  <c r="N408"/>
  <c r="M716"/>
  <c r="M408"/>
  <c r="L716"/>
  <c r="L408"/>
  <c r="L717" l="1"/>
  <c r="L409"/>
  <c r="M717"/>
  <c r="M409"/>
  <c r="N717"/>
  <c r="N409"/>
  <c r="F717"/>
  <c r="F409"/>
  <c r="R717"/>
  <c r="R409"/>
  <c r="S717"/>
  <c r="S409"/>
  <c r="H717"/>
  <c r="H409"/>
  <c r="W717"/>
  <c r="W409"/>
  <c r="AA717"/>
  <c r="AA409"/>
  <c r="Y717"/>
  <c r="Y409"/>
  <c r="U717"/>
  <c r="U409"/>
  <c r="O717"/>
  <c r="O409"/>
  <c r="J717"/>
  <c r="J409"/>
  <c r="X717"/>
  <c r="X409"/>
  <c r="V717"/>
  <c r="V409"/>
  <c r="T717"/>
  <c r="T409"/>
  <c r="G717"/>
  <c r="G409"/>
  <c r="D717"/>
  <c r="D409"/>
  <c r="Z717"/>
  <c r="Z409"/>
  <c r="Q717"/>
  <c r="Q409"/>
  <c r="E717"/>
  <c r="E409"/>
  <c r="I717"/>
  <c r="I409"/>
  <c r="K717"/>
  <c r="K409"/>
  <c r="P717"/>
  <c r="P409"/>
  <c r="P718" l="1"/>
  <c r="P410"/>
  <c r="K718"/>
  <c r="K410"/>
  <c r="I718"/>
  <c r="I410"/>
  <c r="E718"/>
  <c r="E410"/>
  <c r="Q718"/>
  <c r="Q410"/>
  <c r="Z718"/>
  <c r="Z410"/>
  <c r="D718"/>
  <c r="D410"/>
  <c r="G718"/>
  <c r="G410"/>
  <c r="T718"/>
  <c r="T410"/>
  <c r="V718"/>
  <c r="V410"/>
  <c r="X718"/>
  <c r="X410"/>
  <c r="J718"/>
  <c r="J410"/>
  <c r="O718"/>
  <c r="O410"/>
  <c r="U718"/>
  <c r="U410"/>
  <c r="Y718"/>
  <c r="Y410"/>
  <c r="AA718"/>
  <c r="AA410"/>
  <c r="W718"/>
  <c r="W410"/>
  <c r="H718"/>
  <c r="H410"/>
  <c r="S718"/>
  <c r="S410"/>
  <c r="R718"/>
  <c r="R410"/>
  <c r="F718"/>
  <c r="F410"/>
  <c r="N718"/>
  <c r="N410"/>
  <c r="M718"/>
  <c r="M410"/>
  <c r="L718"/>
  <c r="L410"/>
  <c r="L719" l="1"/>
  <c r="L411"/>
  <c r="M719"/>
  <c r="M411"/>
  <c r="N719"/>
  <c r="N411"/>
  <c r="F719"/>
  <c r="F411"/>
  <c r="R719"/>
  <c r="R411"/>
  <c r="S719"/>
  <c r="S411"/>
  <c r="H719"/>
  <c r="H411"/>
  <c r="W719"/>
  <c r="W411"/>
  <c r="AA719"/>
  <c r="AA411"/>
  <c r="Y719"/>
  <c r="Y411"/>
  <c r="U719"/>
  <c r="U411"/>
  <c r="O719"/>
  <c r="O411"/>
  <c r="J719"/>
  <c r="J411"/>
  <c r="X719"/>
  <c r="X411"/>
  <c r="V719"/>
  <c r="V411"/>
  <c r="T719"/>
  <c r="T411"/>
  <c r="G719"/>
  <c r="G411"/>
  <c r="D719"/>
  <c r="D411"/>
  <c r="Z719"/>
  <c r="Z411"/>
  <c r="Q719"/>
  <c r="Q411"/>
  <c r="E719"/>
  <c r="E411"/>
  <c r="I719"/>
  <c r="I411"/>
  <c r="K719"/>
  <c r="K411"/>
  <c r="P719"/>
  <c r="P411"/>
  <c r="P720" l="1"/>
  <c r="P412"/>
  <c r="K720"/>
  <c r="K412"/>
  <c r="I720"/>
  <c r="I412"/>
  <c r="E720"/>
  <c r="E412"/>
  <c r="Q720"/>
  <c r="Q412"/>
  <c r="Z720"/>
  <c r="Z412"/>
  <c r="D720"/>
  <c r="D412"/>
  <c r="G720"/>
  <c r="G412"/>
  <c r="T720"/>
  <c r="T412"/>
  <c r="V720"/>
  <c r="V412"/>
  <c r="X720"/>
  <c r="X412"/>
  <c r="J720"/>
  <c r="J412"/>
  <c r="O720"/>
  <c r="O412"/>
  <c r="U720"/>
  <c r="U412"/>
  <c r="Y720"/>
  <c r="Y412"/>
  <c r="AA720"/>
  <c r="AA412"/>
  <c r="W720"/>
  <c r="W412"/>
  <c r="H720"/>
  <c r="H412"/>
  <c r="S720"/>
  <c r="S412"/>
  <c r="R720"/>
  <c r="R412"/>
  <c r="F720"/>
  <c r="F412"/>
  <c r="N720"/>
  <c r="N412"/>
  <c r="M720"/>
  <c r="M412"/>
  <c r="L720"/>
  <c r="L412"/>
  <c r="L721" l="1"/>
  <c r="L413"/>
  <c r="M721"/>
  <c r="M413"/>
  <c r="N721"/>
  <c r="N413"/>
  <c r="F721"/>
  <c r="F413"/>
  <c r="R721"/>
  <c r="R413"/>
  <c r="S721"/>
  <c r="S413"/>
  <c r="H721"/>
  <c r="H413"/>
  <c r="W721"/>
  <c r="W413"/>
  <c r="AA721"/>
  <c r="AA413"/>
  <c r="Y721"/>
  <c r="Y413"/>
  <c r="U721"/>
  <c r="U413"/>
  <c r="O721"/>
  <c r="O413"/>
  <c r="J721"/>
  <c r="J413"/>
  <c r="X721"/>
  <c r="X413"/>
  <c r="V721"/>
  <c r="V413"/>
  <c r="T721"/>
  <c r="T413"/>
  <c r="G721"/>
  <c r="G413"/>
  <c r="D721"/>
  <c r="D413"/>
  <c r="Z721"/>
  <c r="Z413"/>
  <c r="Q721"/>
  <c r="Q413"/>
  <c r="E721"/>
  <c r="E413"/>
  <c r="I721"/>
  <c r="I413"/>
  <c r="K721"/>
  <c r="K413"/>
  <c r="P721"/>
  <c r="P413"/>
  <c r="P722" l="1"/>
  <c r="P414"/>
  <c r="K722"/>
  <c r="K414"/>
  <c r="I722"/>
  <c r="I414"/>
  <c r="E722"/>
  <c r="E414"/>
  <c r="Q722"/>
  <c r="Q414"/>
  <c r="Z722"/>
  <c r="Z414"/>
  <c r="D722"/>
  <c r="D414"/>
  <c r="G722"/>
  <c r="G414"/>
  <c r="T722"/>
  <c r="T414"/>
  <c r="V722"/>
  <c r="V414"/>
  <c r="X722"/>
  <c r="X414"/>
  <c r="J722"/>
  <c r="J414"/>
  <c r="O722"/>
  <c r="O414"/>
  <c r="U722"/>
  <c r="U414"/>
  <c r="Y722"/>
  <c r="Y414"/>
  <c r="AA722"/>
  <c r="AA414"/>
  <c r="W722"/>
  <c r="W414"/>
  <c r="H722"/>
  <c r="H414"/>
  <c r="S722"/>
  <c r="S414"/>
  <c r="R722"/>
  <c r="R414"/>
  <c r="F722"/>
  <c r="F414"/>
  <c r="N722"/>
  <c r="N414"/>
  <c r="M722"/>
  <c r="M414"/>
  <c r="L722"/>
  <c r="L414"/>
  <c r="L723" l="1"/>
  <c r="L415"/>
  <c r="M723"/>
  <c r="M415"/>
  <c r="N723"/>
  <c r="N415"/>
  <c r="F723"/>
  <c r="F415"/>
  <c r="R723"/>
  <c r="R415"/>
  <c r="S723"/>
  <c r="S415"/>
  <c r="H723"/>
  <c r="H415"/>
  <c r="W723"/>
  <c r="W415"/>
  <c r="AA723"/>
  <c r="AA415"/>
  <c r="Y723"/>
  <c r="Y415"/>
  <c r="U723"/>
  <c r="U415"/>
  <c r="O723"/>
  <c r="O415"/>
  <c r="J723"/>
  <c r="J415"/>
  <c r="X723"/>
  <c r="X415"/>
  <c r="V723"/>
  <c r="V415"/>
  <c r="T723"/>
  <c r="T415"/>
  <c r="G723"/>
  <c r="G415"/>
  <c r="D723"/>
  <c r="D415"/>
  <c r="Z723"/>
  <c r="Z415"/>
  <c r="Q723"/>
  <c r="Q415"/>
  <c r="E723"/>
  <c r="E415"/>
  <c r="I723"/>
  <c r="I415"/>
  <c r="K723"/>
  <c r="K415"/>
  <c r="P723"/>
  <c r="P415"/>
  <c r="P724" l="1"/>
  <c r="P417" s="1"/>
  <c r="P416"/>
  <c r="K724"/>
  <c r="K417" s="1"/>
  <c r="K416"/>
  <c r="I724"/>
  <c r="I417" s="1"/>
  <c r="I416"/>
  <c r="E724"/>
  <c r="E417" s="1"/>
  <c r="E416"/>
  <c r="Q724"/>
  <c r="Q417" s="1"/>
  <c r="Q416"/>
  <c r="Z724"/>
  <c r="Z417" s="1"/>
  <c r="Z416"/>
  <c r="D724"/>
  <c r="D417" s="1"/>
  <c r="D416"/>
  <c r="G724"/>
  <c r="G417" s="1"/>
  <c r="G416"/>
  <c r="T724"/>
  <c r="T417" s="1"/>
  <c r="T416"/>
  <c r="V724"/>
  <c r="V417" s="1"/>
  <c r="V416"/>
  <c r="X724"/>
  <c r="X417" s="1"/>
  <c r="X416"/>
  <c r="J724"/>
  <c r="J417" s="1"/>
  <c r="J416"/>
  <c r="O724"/>
  <c r="O417" s="1"/>
  <c r="O416"/>
  <c r="U724"/>
  <c r="U417" s="1"/>
  <c r="U416"/>
  <c r="Y724"/>
  <c r="Y417" s="1"/>
  <c r="Y416"/>
  <c r="AA724"/>
  <c r="AA417" s="1"/>
  <c r="AA416"/>
  <c r="W724"/>
  <c r="W417" s="1"/>
  <c r="W416"/>
  <c r="H724"/>
  <c r="H417" s="1"/>
  <c r="H416"/>
  <c r="S724"/>
  <c r="S417" s="1"/>
  <c r="S416"/>
  <c r="R724"/>
  <c r="R417" s="1"/>
  <c r="R416"/>
  <c r="F724"/>
  <c r="F417" s="1"/>
  <c r="F416"/>
  <c r="N724"/>
  <c r="N417" s="1"/>
  <c r="N416"/>
  <c r="M724"/>
  <c r="M417" s="1"/>
  <c r="M416"/>
  <c r="L724"/>
  <c r="L417" s="1"/>
  <c r="L416"/>
</calcChain>
</file>

<file path=xl/comments1.xml><?xml version="1.0" encoding="utf-8"?>
<comments xmlns="http://schemas.openxmlformats.org/spreadsheetml/2006/main">
  <authors>
    <author>Allison E. Kaese</author>
    <author>LMIT-ODIN</author>
    <author>akaese</author>
    <author>Aylinn</author>
  </authors>
  <commentList>
    <comment ref="E3" authorId="0">
      <text>
        <r>
          <rPr>
            <b/>
            <sz val="8"/>
            <color indexed="81"/>
            <rFont val="Tahoma"/>
            <family val="2"/>
          </rPr>
          <t>Allison E. Kaese:</t>
        </r>
        <r>
          <rPr>
            <sz val="8"/>
            <color indexed="81"/>
            <rFont val="Tahoma"/>
            <family val="2"/>
          </rPr>
          <t xml:space="preserve">
And I 'm serious about this!
There's over 10 years of </t>
        </r>
        <r>
          <rPr>
            <b/>
            <sz val="8"/>
            <color indexed="81"/>
            <rFont val="Tahoma"/>
            <family val="2"/>
          </rPr>
          <t>my</t>
        </r>
        <r>
          <rPr>
            <sz val="8"/>
            <color indexed="81"/>
            <rFont val="Tahoma"/>
            <family val="2"/>
          </rPr>
          <t xml:space="preserve"> hard work in this thing!</t>
        </r>
      </text>
    </comment>
    <comment ref="O12" authorId="1">
      <text>
        <r>
          <rPr>
            <b/>
            <sz val="8"/>
            <color indexed="81"/>
            <rFont val="Tahoma"/>
            <family val="2"/>
          </rPr>
          <t>Like This!</t>
        </r>
        <r>
          <rPr>
            <sz val="8"/>
            <color indexed="81"/>
            <rFont val="Tahoma"/>
            <family val="2"/>
          </rPr>
          <t xml:space="preserve">
</t>
        </r>
      </text>
    </comment>
    <comment ref="F18" authorId="1">
      <text>
        <r>
          <rPr>
            <b/>
            <sz val="8"/>
            <color indexed="81"/>
            <rFont val="Tahoma"/>
            <family val="2"/>
          </rPr>
          <t>Certain rows/columns of data have been "Grouped" on these pages. Click on the plus/minus signs to modify the values.</t>
        </r>
        <r>
          <rPr>
            <sz val="8"/>
            <color indexed="81"/>
            <rFont val="Tahoma"/>
            <family val="2"/>
          </rPr>
          <t xml:space="preserve">
</t>
        </r>
      </text>
    </comment>
    <comment ref="G23" authorId="1">
      <text>
        <r>
          <rPr>
            <b/>
            <sz val="8"/>
            <color indexed="81"/>
            <rFont val="Tahoma"/>
            <family val="2"/>
          </rPr>
          <t>In order for these to display properly on the Character Sheet - you must enter the number rolled on the Main Page in the appropriate sections. (8,9,10,11)</t>
        </r>
        <r>
          <rPr>
            <sz val="8"/>
            <color indexed="81"/>
            <rFont val="Tahoma"/>
            <family val="2"/>
          </rPr>
          <t xml:space="preserve">
</t>
        </r>
      </text>
    </comment>
    <comment ref="R24" authorId="2">
      <text>
        <r>
          <rPr>
            <b/>
            <sz val="9"/>
            <color indexed="81"/>
            <rFont val="Tahoma"/>
            <family val="2"/>
          </rPr>
          <t>This sheet also contains helpful tools for tracking during-game data</t>
        </r>
        <r>
          <rPr>
            <sz val="9"/>
            <color indexed="81"/>
            <rFont val="Tahoma"/>
            <family val="2"/>
          </rPr>
          <t xml:space="preserve">
</t>
        </r>
      </text>
    </comment>
    <comment ref="F25" authorId="1">
      <text>
        <r>
          <rPr>
            <b/>
            <sz val="8"/>
            <color indexed="81"/>
            <rFont val="Tahoma"/>
            <family val="2"/>
          </rPr>
          <t>Certain rows/columns of data have been "Grouped" on these pages. Click on the plus/minus signs to modify the values.</t>
        </r>
        <r>
          <rPr>
            <sz val="8"/>
            <color indexed="81"/>
            <rFont val="Tahoma"/>
            <family val="2"/>
          </rPr>
          <t xml:space="preserve">
</t>
        </r>
      </text>
    </comment>
    <comment ref="R25" authorId="2">
      <text>
        <r>
          <rPr>
            <b/>
            <sz val="9"/>
            <color indexed="81"/>
            <rFont val="Tahoma"/>
            <family val="2"/>
          </rPr>
          <t>This sheet also contains helpful tools for tracking during-game data</t>
        </r>
        <r>
          <rPr>
            <sz val="9"/>
            <color indexed="81"/>
            <rFont val="Tahoma"/>
            <family val="2"/>
          </rPr>
          <t xml:space="preserve">
</t>
        </r>
      </text>
    </comment>
    <comment ref="F26" authorId="1">
      <text>
        <r>
          <rPr>
            <b/>
            <sz val="8"/>
            <color indexed="81"/>
            <rFont val="Tahoma"/>
            <family val="2"/>
          </rPr>
          <t>Certain rows/columns of data have been "Grouped" on these pages. Click on the plus/minus signs to modify the values.</t>
        </r>
        <r>
          <rPr>
            <sz val="8"/>
            <color indexed="81"/>
            <rFont val="Tahoma"/>
            <family val="2"/>
          </rPr>
          <t xml:space="preserve">
</t>
        </r>
      </text>
    </comment>
    <comment ref="R26" authorId="2">
      <text>
        <r>
          <rPr>
            <b/>
            <sz val="9"/>
            <color indexed="81"/>
            <rFont val="Tahoma"/>
            <family val="2"/>
          </rPr>
          <t>This sheet also contains helpful tools for tracking during-game data</t>
        </r>
        <r>
          <rPr>
            <sz val="9"/>
            <color indexed="81"/>
            <rFont val="Tahoma"/>
            <family val="2"/>
          </rPr>
          <t xml:space="preserve">
</t>
        </r>
      </text>
    </comment>
    <comment ref="A27" authorId="3">
      <text>
        <r>
          <rPr>
            <sz val="9"/>
            <color indexed="81"/>
            <rFont val="Tahoma"/>
            <family val="2"/>
          </rPr>
          <t xml:space="preserve">Be Aware -  spells from the LoS 4 &amp; 5 are still in playtest and may not be accurately presented in this sheet.
</t>
        </r>
      </text>
    </comment>
    <comment ref="F28" authorId="1">
      <text>
        <r>
          <rPr>
            <b/>
            <sz val="8"/>
            <color indexed="81"/>
            <rFont val="Tahoma"/>
            <family val="2"/>
          </rPr>
          <t>Certain rows/columns of data have been "Grouped" on these pages. Click on the plus/minus signs to modify the values.</t>
        </r>
        <r>
          <rPr>
            <sz val="8"/>
            <color indexed="81"/>
            <rFont val="Tahoma"/>
            <family val="2"/>
          </rPr>
          <t xml:space="preserve">
</t>
        </r>
      </text>
    </comment>
    <comment ref="F30" authorId="1">
      <text>
        <r>
          <rPr>
            <b/>
            <sz val="8"/>
            <color indexed="81"/>
            <rFont val="Tahoma"/>
            <family val="2"/>
          </rPr>
          <t>Certain rows/columns of data have been "Grouped" on these pages. Click on the plus/minus signs to modify the values.</t>
        </r>
        <r>
          <rPr>
            <sz val="8"/>
            <color indexed="81"/>
            <rFont val="Tahoma"/>
            <family val="2"/>
          </rPr>
          <t xml:space="preserve">
</t>
        </r>
      </text>
    </comment>
  </commentList>
</comments>
</file>

<file path=xl/comments2.xml><?xml version="1.0" encoding="utf-8"?>
<comments xmlns="http://schemas.openxmlformats.org/spreadsheetml/2006/main">
  <authors>
    <author>LMIT-ODIN</author>
    <author>Compaq</author>
    <author>Allison E. Kaese</author>
    <author>Kory M. Kaese</author>
    <author>Allison Kaese</author>
    <author>A satisfied Microsoft Office user</author>
    <author>Kaese, Allison E. (GSFC-750.0)[HP ES]</author>
    <author>wininstall</author>
    <author>Aylinn</author>
    <author>MSD-Presentation</author>
  </authors>
  <commentList>
    <comment ref="W2" authorId="0">
      <text>
        <r>
          <rPr>
            <b/>
            <sz val="8"/>
            <color indexed="81"/>
            <rFont val="Tahoma"/>
            <family val="2"/>
          </rPr>
          <t xml:space="preserve">Book 1       - pg 1-28
Book 2       - pg 2-3
Book 3       - pg 3-36
Knight's      - Appendix A - pg 76
Dwarves     - Appendix A - pg 43
Elves          - Appendix A - pg 38
Armourer's - pg 4 </t>
        </r>
      </text>
    </comment>
    <comment ref="X2" authorId="0">
      <text>
        <r>
          <rPr>
            <b/>
            <sz val="8"/>
            <color indexed="81"/>
            <rFont val="Tahoma"/>
            <family val="2"/>
          </rPr>
          <t xml:space="preserve">IF you have custom designed a vocation with your GM - select "Adventurer" from this menu and select your vocational attributes on the </t>
        </r>
        <r>
          <rPr>
            <b/>
            <i/>
            <sz val="8"/>
            <color indexed="81"/>
            <rFont val="Tahoma"/>
            <family val="2"/>
          </rPr>
          <t xml:space="preserve">Experience </t>
        </r>
        <r>
          <rPr>
            <b/>
            <sz val="8"/>
            <color indexed="81"/>
            <rFont val="Tahoma"/>
            <family val="2"/>
          </rPr>
          <t>sheet.</t>
        </r>
        <r>
          <rPr>
            <sz val="8"/>
            <color indexed="81"/>
            <rFont val="Tahoma"/>
            <family val="2"/>
          </rPr>
          <t xml:space="preserve">
</t>
        </r>
      </text>
    </comment>
    <comment ref="AJ2" authorId="0">
      <text>
        <r>
          <rPr>
            <b/>
            <sz val="8"/>
            <color indexed="81"/>
            <rFont val="Tahoma"/>
            <family val="2"/>
          </rPr>
          <t>Book 1 pg 1-21</t>
        </r>
      </text>
    </comment>
    <comment ref="A3" authorId="0">
      <text>
        <r>
          <rPr>
            <b/>
            <sz val="8"/>
            <color indexed="81"/>
            <rFont val="Tahoma"/>
            <family val="2"/>
          </rPr>
          <t>Book 1 pg 1-2
Book 3 pg 3-29
Elves
Dwarves</t>
        </r>
      </text>
    </comment>
    <comment ref="AA3" authorId="0">
      <text>
        <r>
          <rPr>
            <b/>
            <sz val="8"/>
            <color indexed="81"/>
            <rFont val="Tahoma"/>
            <family val="2"/>
          </rPr>
          <t>Book 1 pg 1-18</t>
        </r>
      </text>
    </comment>
    <comment ref="A4" authorId="0">
      <text>
        <r>
          <rPr>
            <b/>
            <sz val="8"/>
            <color indexed="81"/>
            <rFont val="Tahoma"/>
            <family val="2"/>
          </rPr>
          <t>Book 1 pg 1-2</t>
        </r>
      </text>
    </comment>
    <comment ref="K4" authorId="1">
      <text>
        <r>
          <rPr>
            <sz val="8"/>
            <color indexed="81"/>
            <rFont val="Tahoma"/>
            <family val="2"/>
          </rPr>
          <t>Enter the number of the 
Period/Style of your campaign:
1 - Historic - Early Feudal
2 - Historic - Middle Ages
3 - Historic - Late Feudal
4 - Heroic/Arthurian
5 - Low Fantasy
6 - Middle Fantasy
7 - High Fantasy</t>
        </r>
      </text>
    </comment>
    <comment ref="C5" authorId="1">
      <text>
        <r>
          <rPr>
            <sz val="8"/>
            <color indexed="81"/>
            <rFont val="Tahoma"/>
            <family val="2"/>
          </rPr>
          <t>Enter the number of the Creation method used in 4th Edition
1 - Random
2 - Historic Points
3 - Heroic Points
4 - SuperHeroic Points
5 - GM Special/Custom</t>
        </r>
      </text>
    </comment>
    <comment ref="K5" authorId="1">
      <text>
        <r>
          <rPr>
            <sz val="8"/>
            <color indexed="81"/>
            <rFont val="Tahoma"/>
            <family val="2"/>
          </rPr>
          <t>Enter the number of the Base World of your campaign:
1 - Earth-Based
2 - Marakush-Based - BGD
3 - Alquennas-Based - MSD
4 - Arden-Based - FGU/Mapleleaf Games
5 - Tannoth-Based - Highlander Designs
6 - GM-Created</t>
        </r>
      </text>
    </comment>
    <comment ref="BN5" authorId="1">
      <text>
        <r>
          <rPr>
            <b/>
            <sz val="8"/>
            <color indexed="81"/>
            <rFont val="Tahoma"/>
            <family val="2"/>
          </rPr>
          <t>Str+wis+disc</t>
        </r>
      </text>
    </comment>
    <comment ref="BO5" authorId="1">
      <text>
        <r>
          <rPr>
            <b/>
            <sz val="8"/>
            <color indexed="81"/>
            <rFont val="Tahoma"/>
            <family val="2"/>
          </rPr>
          <t>pty+wis+disc</t>
        </r>
      </text>
    </comment>
    <comment ref="BP5" authorId="1">
      <text>
        <r>
          <rPr>
            <b/>
            <sz val="8"/>
            <color indexed="81"/>
            <rFont val="Tahoma"/>
            <family val="2"/>
          </rPr>
          <t>Str+pty+disc</t>
        </r>
      </text>
    </comment>
    <comment ref="BQ5" authorId="1">
      <text>
        <r>
          <rPr>
            <b/>
            <sz val="8"/>
            <color indexed="81"/>
            <rFont val="Tahoma"/>
            <family val="2"/>
          </rPr>
          <t>Str+wis+pty</t>
        </r>
      </text>
    </comment>
    <comment ref="A6" authorId="0">
      <text>
        <r>
          <rPr>
            <b/>
            <sz val="8"/>
            <color indexed="81"/>
            <rFont val="Tahoma"/>
            <family val="2"/>
          </rPr>
          <t>Book 1 pg 1-3</t>
        </r>
      </text>
    </comment>
    <comment ref="C6" authorId="2">
      <text>
        <r>
          <rPr>
            <sz val="8"/>
            <color indexed="81"/>
            <rFont val="Tahoma"/>
            <family val="2"/>
          </rPr>
          <t>Enter the value you rolled/paid</t>
        </r>
      </text>
    </comment>
    <comment ref="D6" authorId="2">
      <text>
        <r>
          <rPr>
            <sz val="8"/>
            <color indexed="81"/>
            <rFont val="Tahoma"/>
            <family val="2"/>
          </rPr>
          <t>R = Rolled/Random
P = Points/Paid for
D = Default</t>
        </r>
      </text>
    </comment>
    <comment ref="AF6" authorId="2">
      <text>
        <r>
          <rPr>
            <b/>
            <sz val="8"/>
            <color indexed="81"/>
            <rFont val="Tahoma"/>
            <family val="2"/>
          </rPr>
          <t>This is calculated based upon the info from page 1-18.</t>
        </r>
        <r>
          <rPr>
            <sz val="8"/>
            <color indexed="81"/>
            <rFont val="Tahoma"/>
            <family val="2"/>
          </rPr>
          <t xml:space="preserve">
</t>
        </r>
      </text>
    </comment>
    <comment ref="I7" authorId="3">
      <text>
        <r>
          <rPr>
            <b/>
            <sz val="8"/>
            <color indexed="81"/>
            <rFont val="Tahoma"/>
            <family val="2"/>
          </rPr>
          <t xml:space="preserve">These columns give the boundary range of available starting Attribute values.
</t>
        </r>
        <r>
          <rPr>
            <sz val="8"/>
            <color indexed="81"/>
            <rFont val="Tahoma"/>
            <family val="2"/>
          </rPr>
          <t xml:space="preserve">
</t>
        </r>
      </text>
    </comment>
    <comment ref="AA7" authorId="0">
      <text>
        <r>
          <rPr>
            <b/>
            <sz val="8"/>
            <color indexed="81"/>
            <rFont val="Tahoma"/>
            <family val="2"/>
          </rPr>
          <t>Book 1 pg 1-19</t>
        </r>
      </text>
    </comment>
    <comment ref="A8" authorId="0">
      <text>
        <r>
          <rPr>
            <b/>
            <sz val="8"/>
            <color indexed="81"/>
            <rFont val="Tahoma"/>
            <family val="2"/>
          </rPr>
          <t>Book 1 pg 1-3</t>
        </r>
      </text>
    </comment>
    <comment ref="C8" authorId="4">
      <text>
        <r>
          <rPr>
            <b/>
            <sz val="8"/>
            <color indexed="81"/>
            <rFont val="Tahoma"/>
            <family val="2"/>
          </rPr>
          <t>These are the Starting Values
bought at or rolled at Character Creation.</t>
        </r>
        <r>
          <rPr>
            <sz val="8"/>
            <color indexed="81"/>
            <rFont val="Tahoma"/>
            <family val="2"/>
          </rPr>
          <t xml:space="preserve">
</t>
        </r>
      </text>
    </comment>
    <comment ref="D8" authorId="4">
      <text>
        <r>
          <rPr>
            <b/>
            <sz val="8"/>
            <color indexed="81"/>
            <rFont val="Tahoma"/>
            <family val="2"/>
          </rPr>
          <t>These are the values after any Racial/Social Adjustments.</t>
        </r>
        <r>
          <rPr>
            <sz val="8"/>
            <color indexed="81"/>
            <rFont val="Tahoma"/>
            <family val="2"/>
          </rPr>
          <t xml:space="preserve">
</t>
        </r>
      </text>
    </comment>
    <comment ref="E8" authorId="4">
      <text>
        <r>
          <rPr>
            <b/>
            <sz val="8"/>
            <color indexed="81"/>
            <rFont val="Tahoma"/>
            <family val="2"/>
          </rPr>
          <t>These are the values that are CURRENTLY in Play. These are the result of generation adjustments &amp; GM "changes" - You need to make sure this column is set up in order for the rest of the workbook to work correctly.</t>
        </r>
      </text>
    </comment>
    <comment ref="M8" authorId="0">
      <text>
        <r>
          <rPr>
            <b/>
            <sz val="8"/>
            <color indexed="81"/>
            <rFont val="Tahoma"/>
            <family val="2"/>
          </rPr>
          <t>Book 1 pg 1-12</t>
        </r>
      </text>
    </comment>
    <comment ref="C9" authorId="5">
      <text>
        <r>
          <rPr>
            <sz val="8"/>
            <color indexed="81"/>
            <rFont val="Tahoma"/>
            <family val="2"/>
          </rPr>
          <t>Enter your Agility  here.</t>
        </r>
      </text>
    </comment>
    <comment ref="E9" authorId="5">
      <text>
        <r>
          <rPr>
            <sz val="8"/>
            <color indexed="81"/>
            <rFont val="Tahoma"/>
            <family val="2"/>
          </rPr>
          <t>Enter your Agility here.</t>
        </r>
      </text>
    </comment>
    <comment ref="F9" authorId="2">
      <text>
        <r>
          <rPr>
            <sz val="8"/>
            <color indexed="81"/>
            <rFont val="Tahoma"/>
            <family val="2"/>
          </rPr>
          <t xml:space="preserve">R = Rolled/Random
P = Points/Paid for
</t>
        </r>
      </text>
    </comment>
    <comment ref="AG9" authorId="0">
      <text>
        <r>
          <rPr>
            <b/>
            <sz val="8"/>
            <color indexed="81"/>
            <rFont val="Tahoma"/>
            <family val="2"/>
          </rPr>
          <t>Absolute 
Strength
Rating
bk 3 pg 3-45</t>
        </r>
      </text>
    </comment>
    <comment ref="C10" authorId="5">
      <text>
        <r>
          <rPr>
            <sz val="8"/>
            <color indexed="81"/>
            <rFont val="Tahoma"/>
            <family val="2"/>
          </rPr>
          <t>Enter your Appearance here.</t>
        </r>
      </text>
    </comment>
    <comment ref="E10" authorId="5">
      <text>
        <r>
          <rPr>
            <sz val="8"/>
            <color indexed="81"/>
            <rFont val="Tahoma"/>
            <family val="2"/>
          </rPr>
          <t>Enter your Appearance
here.</t>
        </r>
      </text>
    </comment>
    <comment ref="F10" authorId="2">
      <text>
        <r>
          <rPr>
            <sz val="8"/>
            <color indexed="81"/>
            <rFont val="Tahoma"/>
            <family val="2"/>
          </rPr>
          <t xml:space="preserve">R = Rolled/Random
P = Points/Paid for
</t>
        </r>
      </text>
    </comment>
    <comment ref="AF10" authorId="1">
      <text>
        <r>
          <rPr>
            <sz val="8"/>
            <color indexed="81"/>
            <rFont val="Tahoma"/>
            <family val="2"/>
          </rPr>
          <t xml:space="preserve">Strength Damage Bonus modifier for attacks with medium to heavy weapons.
</t>
        </r>
      </text>
    </comment>
    <comment ref="AG10" authorId="1">
      <text>
        <r>
          <rPr>
            <sz val="8"/>
            <color indexed="81"/>
            <rFont val="Tahoma"/>
            <family val="2"/>
          </rPr>
          <t xml:space="preserve">Strength Damage Bonus modifier for attacks with light weapons.
</t>
        </r>
      </text>
    </comment>
    <comment ref="C11" authorId="5">
      <text>
        <r>
          <rPr>
            <sz val="8"/>
            <color indexed="81"/>
            <rFont val="Tahoma"/>
            <family val="2"/>
          </rPr>
          <t>Enter your Bardic Voice here.</t>
        </r>
      </text>
    </comment>
    <comment ref="E11" authorId="5">
      <text>
        <r>
          <rPr>
            <sz val="8"/>
            <color indexed="81"/>
            <rFont val="Tahoma"/>
            <family val="2"/>
          </rPr>
          <t>Enter your Bardic Voice here.</t>
        </r>
      </text>
    </comment>
    <comment ref="F11" authorId="2">
      <text>
        <r>
          <rPr>
            <sz val="8"/>
            <color indexed="81"/>
            <rFont val="Tahoma"/>
            <family val="2"/>
          </rPr>
          <t xml:space="preserve">R = Rolled/Random
P = Points/Paid for
</t>
        </r>
      </text>
    </comment>
    <comment ref="C12" authorId="5">
      <text>
        <r>
          <rPr>
            <sz val="8"/>
            <color indexed="81"/>
            <rFont val="Tahoma"/>
            <family val="2"/>
          </rPr>
          <t>Enter your Constitution here.</t>
        </r>
      </text>
    </comment>
    <comment ref="E12" authorId="5">
      <text>
        <r>
          <rPr>
            <sz val="8"/>
            <color indexed="81"/>
            <rFont val="Tahoma"/>
            <family val="2"/>
          </rPr>
          <t>Enter your Constitution here.</t>
        </r>
      </text>
    </comment>
    <comment ref="F12" authorId="2">
      <text>
        <r>
          <rPr>
            <sz val="8"/>
            <color indexed="81"/>
            <rFont val="Tahoma"/>
            <family val="2"/>
          </rPr>
          <t xml:space="preserve">R = Rolled/Random
P = Points/Paid for
</t>
        </r>
      </text>
    </comment>
    <comment ref="C13" authorId="5">
      <text>
        <r>
          <rPr>
            <sz val="8"/>
            <color indexed="81"/>
            <rFont val="Tahoma"/>
            <family val="2"/>
          </rPr>
          <t>Enter your Discipline here.</t>
        </r>
      </text>
    </comment>
    <comment ref="E13" authorId="5">
      <text>
        <r>
          <rPr>
            <sz val="8"/>
            <color indexed="81"/>
            <rFont val="Tahoma"/>
            <family val="2"/>
          </rPr>
          <t>Enter your 
Discipline here.</t>
        </r>
      </text>
    </comment>
    <comment ref="F13" authorId="2">
      <text>
        <r>
          <rPr>
            <sz val="8"/>
            <color indexed="81"/>
            <rFont val="Tahoma"/>
            <family val="2"/>
          </rPr>
          <t xml:space="preserve">R = Rolled/Random
P = Points/Paid for
</t>
        </r>
      </text>
    </comment>
    <comment ref="M13" authorId="0">
      <text>
        <r>
          <rPr>
            <b/>
            <sz val="8"/>
            <color indexed="81"/>
            <rFont val="Tahoma"/>
            <family val="2"/>
          </rPr>
          <t>Book 1 pg 1-14</t>
        </r>
      </text>
    </comment>
    <comment ref="O13" authorId="0">
      <text>
        <r>
          <rPr>
            <b/>
            <sz val="8"/>
            <color indexed="81"/>
            <rFont val="Tahoma"/>
            <family val="2"/>
          </rPr>
          <t>Please note - the roll values are not exactly the same as those on Table 1-9b on pg 1-14. This is due to the need to break out the individual senses &amp; other possibilities.</t>
        </r>
        <r>
          <rPr>
            <sz val="8"/>
            <color indexed="81"/>
            <rFont val="Tahoma"/>
            <family val="2"/>
          </rPr>
          <t xml:space="preserve">
</t>
        </r>
      </text>
    </comment>
    <comment ref="C14" authorId="5">
      <text>
        <r>
          <rPr>
            <sz val="8"/>
            <color indexed="81"/>
            <rFont val="Tahoma"/>
            <family val="2"/>
          </rPr>
          <t>Enter your Intellect here.</t>
        </r>
      </text>
    </comment>
    <comment ref="E14" authorId="5">
      <text>
        <r>
          <rPr>
            <sz val="8"/>
            <color indexed="81"/>
            <rFont val="Tahoma"/>
            <family val="2"/>
          </rPr>
          <t>Enter your Intellect here.</t>
        </r>
      </text>
    </comment>
    <comment ref="F14" authorId="2">
      <text>
        <r>
          <rPr>
            <sz val="8"/>
            <color indexed="81"/>
            <rFont val="Tahoma"/>
            <family val="2"/>
          </rPr>
          <t xml:space="preserve">R = Rolled/Random
P = Points/Paid for
</t>
        </r>
      </text>
    </comment>
    <comment ref="AA14" authorId="0">
      <text>
        <r>
          <rPr>
            <b/>
            <sz val="8"/>
            <color indexed="81"/>
            <rFont val="Tahoma"/>
            <family val="2"/>
          </rPr>
          <t>Book 1 pg 1-20</t>
        </r>
      </text>
    </comment>
    <comment ref="C15" authorId="5">
      <text>
        <r>
          <rPr>
            <sz val="8"/>
            <color indexed="81"/>
            <rFont val="Tahoma"/>
            <family val="2"/>
          </rPr>
          <t>Enter your Piety here.</t>
        </r>
      </text>
    </comment>
    <comment ref="E15" authorId="5">
      <text>
        <r>
          <rPr>
            <sz val="8"/>
            <color indexed="81"/>
            <rFont val="Tahoma"/>
            <family val="2"/>
          </rPr>
          <t>Enter your Piety here.</t>
        </r>
      </text>
    </comment>
    <comment ref="F15" authorId="2">
      <text>
        <r>
          <rPr>
            <sz val="8"/>
            <color indexed="81"/>
            <rFont val="Tahoma"/>
            <family val="2"/>
          </rPr>
          <t xml:space="preserve">R = Rolled/Random
P = Points/Paid for
</t>
        </r>
      </text>
    </comment>
    <comment ref="C16" authorId="5">
      <text>
        <r>
          <rPr>
            <sz val="8"/>
            <color indexed="81"/>
            <rFont val="Tahoma"/>
            <family val="2"/>
          </rPr>
          <t>Enter your Strength here.</t>
        </r>
      </text>
    </comment>
    <comment ref="E16" authorId="5">
      <text>
        <r>
          <rPr>
            <sz val="8"/>
            <color indexed="81"/>
            <rFont val="Tahoma"/>
            <family val="2"/>
          </rPr>
          <t>Enter your Strength here.</t>
        </r>
      </text>
    </comment>
    <comment ref="F16" authorId="2">
      <text>
        <r>
          <rPr>
            <sz val="8"/>
            <color indexed="81"/>
            <rFont val="Tahoma"/>
            <family val="2"/>
          </rPr>
          <t xml:space="preserve">R = Rolled/Random
P = Points/Paid for
</t>
        </r>
      </text>
    </comment>
    <comment ref="C17" authorId="5">
      <text>
        <r>
          <rPr>
            <sz val="8"/>
            <color indexed="81"/>
            <rFont val="Tahoma"/>
            <family val="2"/>
          </rPr>
          <t>Enter your Wisdom here.</t>
        </r>
      </text>
    </comment>
    <comment ref="E17" authorId="5">
      <text>
        <r>
          <rPr>
            <sz val="8"/>
            <color indexed="81"/>
            <rFont val="Tahoma"/>
            <family val="2"/>
          </rPr>
          <t>Enter your Wisdom here.</t>
        </r>
      </text>
    </comment>
    <comment ref="F17" authorId="2">
      <text>
        <r>
          <rPr>
            <sz val="8"/>
            <color indexed="81"/>
            <rFont val="Tahoma"/>
            <family val="2"/>
          </rPr>
          <t xml:space="preserve">R = Rolled/Random
P = Points/Paid for
</t>
        </r>
      </text>
    </comment>
    <comment ref="A18" authorId="0">
      <text>
        <r>
          <rPr>
            <b/>
            <sz val="8"/>
            <color indexed="81"/>
            <rFont val="Tahoma"/>
            <family val="2"/>
          </rPr>
          <t>Optional Attributes  Book 3 pg 3-45</t>
        </r>
      </text>
    </comment>
    <comment ref="C18" authorId="1">
      <text>
        <r>
          <rPr>
            <sz val="8"/>
            <color indexed="81"/>
            <rFont val="Tahoma"/>
            <family val="2"/>
          </rPr>
          <t xml:space="preserve">If using Luck from the Advanced CharGen Rules, enter the amount rolled for "Luck" here on 2D10. 
</t>
        </r>
      </text>
    </comment>
    <comment ref="AA18" authorId="0">
      <text>
        <r>
          <rPr>
            <b/>
            <sz val="8"/>
            <color indexed="81"/>
            <rFont val="Tahoma"/>
            <family val="2"/>
          </rPr>
          <t>Book 1 pg 1-20</t>
        </r>
      </text>
    </comment>
    <comment ref="C19" authorId="1">
      <text>
        <r>
          <rPr>
            <sz val="8"/>
            <color indexed="81"/>
            <rFont val="Tahoma"/>
            <family val="2"/>
          </rPr>
          <t>If using Dexterity from the Advanced CharGen Rules enter the number rolled here on 1D10.</t>
        </r>
      </text>
    </comment>
    <comment ref="G21" authorId="1">
      <text>
        <r>
          <rPr>
            <b/>
            <sz val="8"/>
            <color indexed="81"/>
            <rFont val="Tahoma"/>
            <family val="2"/>
          </rPr>
          <t>Attribute Roll
percentage for
Ferocity</t>
        </r>
        <r>
          <rPr>
            <sz val="8"/>
            <color indexed="81"/>
            <rFont val="Tahoma"/>
            <family val="2"/>
          </rPr>
          <t xml:space="preserve">
</t>
        </r>
      </text>
    </comment>
    <comment ref="H21" authorId="1">
      <text>
        <r>
          <rPr>
            <b/>
            <sz val="8"/>
            <color indexed="81"/>
            <rFont val="Tahoma"/>
            <family val="2"/>
          </rPr>
          <t>Divide the Willpower
PSF% by the number indicated and increase the Ferocity by that number.</t>
        </r>
      </text>
    </comment>
    <comment ref="M21" authorId="0">
      <text>
        <r>
          <rPr>
            <b/>
            <sz val="8"/>
            <color indexed="81"/>
            <rFont val="Tahoma"/>
            <family val="2"/>
          </rPr>
          <t>Book 1 pg 1-15</t>
        </r>
      </text>
    </comment>
    <comment ref="N21" authorId="0">
      <text>
        <r>
          <rPr>
            <b/>
            <sz val="8"/>
            <color indexed="81"/>
            <rFont val="Tahoma"/>
            <family val="2"/>
          </rPr>
          <t>If you rolled the extra d10 for extra flaws, just add the number to bring up info.</t>
        </r>
        <r>
          <rPr>
            <sz val="8"/>
            <color indexed="81"/>
            <rFont val="Tahoma"/>
            <family val="2"/>
          </rPr>
          <t xml:space="preserve">
</t>
        </r>
      </text>
    </comment>
    <comment ref="O21" authorId="0">
      <text>
        <r>
          <rPr>
            <b/>
            <sz val="8"/>
            <color indexed="81"/>
            <rFont val="Tahoma"/>
            <family val="2"/>
          </rPr>
          <t>Please note - the roll values are not exactly the same as those on Table 1-10a on pg 1-15. This is due to the need to break out the individual senses</t>
        </r>
        <r>
          <rPr>
            <sz val="8"/>
            <color indexed="81"/>
            <rFont val="Tahoma"/>
            <family val="2"/>
          </rPr>
          <t xml:space="preserve">
</t>
        </r>
      </text>
    </comment>
    <comment ref="E23" authorId="2">
      <text>
        <r>
          <rPr>
            <b/>
            <sz val="8"/>
            <color indexed="81"/>
            <rFont val="Tahoma"/>
            <family val="2"/>
          </rPr>
          <t xml:space="preserve">Note: </t>
        </r>
        <r>
          <rPr>
            <sz val="8"/>
            <color indexed="81"/>
            <rFont val="Tahoma"/>
            <family val="2"/>
          </rPr>
          <t>Historic Point Maximum Points  : 125
           Heroic  Point Maximum Points  : 150
           Super- Heroic Maximum Points : 175
If your Total Character Cost  exceeds these amounts, you will need to use Deficiencies to "balance" the character. See your GM.
Totally Random Rolled characters may ignore this.
Combination Point/Random characters may ignore this.</t>
        </r>
      </text>
    </comment>
    <comment ref="AD24" authorId="6">
      <text>
        <r>
          <rPr>
            <sz val="9"/>
            <color indexed="81"/>
            <rFont val="Tahoma"/>
            <family val="2"/>
          </rPr>
          <t xml:space="preserve">hit F9 to re-roll
</t>
        </r>
      </text>
    </comment>
    <comment ref="A26" authorId="0">
      <text>
        <r>
          <rPr>
            <b/>
            <sz val="8"/>
            <color indexed="81"/>
            <rFont val="Tahoma"/>
            <family val="2"/>
          </rPr>
          <t>Book 1 pg 1-5          Remember to notate
Elves-1.2 pg 6         any skills received on
Dwarves-3.2 pg 7    the Character Sheet!</t>
        </r>
      </text>
    </comment>
    <comment ref="C26" authorId="2">
      <text>
        <r>
          <rPr>
            <b/>
            <sz val="8"/>
            <color indexed="81"/>
            <rFont val="Tahoma"/>
            <family val="2"/>
          </rPr>
          <t>Percentile roll (or equivalent if paid)</t>
        </r>
      </text>
    </comment>
    <comment ref="D26" authorId="2">
      <text>
        <r>
          <rPr>
            <b/>
            <sz val="8"/>
            <color indexed="81"/>
            <rFont val="Tahoma"/>
            <family val="2"/>
          </rPr>
          <t>Father's Class:</t>
        </r>
        <r>
          <rPr>
            <sz val="8"/>
            <color indexed="81"/>
            <rFont val="Tahoma"/>
            <family val="2"/>
          </rPr>
          <t xml:space="preserve">
R = Rolled/Random
P = Points/Paid for
D = Default</t>
        </r>
      </text>
    </comment>
    <comment ref="E26" authorId="2">
      <text>
        <r>
          <rPr>
            <b/>
            <sz val="8"/>
            <color indexed="81"/>
            <rFont val="Tahoma"/>
            <family val="2"/>
          </rPr>
          <t>If you are playing in the Living World of Alquennas, this is capped at the following levels:</t>
        </r>
        <r>
          <rPr>
            <sz val="8"/>
            <color indexed="81"/>
            <rFont val="Tahoma"/>
            <family val="2"/>
          </rPr>
          <t xml:space="preserve">
# Human; the highest social status of a character can be the Son or Daughter of a Bannerette (P)
# Elf; the highest social status of a character can be a Wood Elves (or as the Elves Companion lists them: Half-Bloods)
# Dwarf; the highest social status of a character can be a that of  Clan Dwarves only.
# Haeflins; the highest social status of a character can be the Son or Daughter of a Language Trader
See your GM  for any status caps in other worlds.</t>
        </r>
      </text>
    </comment>
    <comment ref="A27" authorId="0">
      <text>
        <r>
          <rPr>
            <b/>
            <sz val="8"/>
            <color indexed="81"/>
            <rFont val="Tahoma"/>
            <family val="2"/>
          </rPr>
          <t>Book 1 pgs 1-5 - 1-11</t>
        </r>
      </text>
    </comment>
    <comment ref="C27" authorId="2">
      <text>
        <r>
          <rPr>
            <b/>
            <sz val="8"/>
            <color indexed="81"/>
            <rFont val="Tahoma"/>
            <family val="2"/>
          </rPr>
          <t>Percentile roll (or equivalent if paid)</t>
        </r>
      </text>
    </comment>
    <comment ref="D27" authorId="2">
      <text>
        <r>
          <rPr>
            <b/>
            <sz val="8"/>
            <color indexed="81"/>
            <rFont val="Tahoma"/>
            <family val="2"/>
          </rPr>
          <t>Father's Vocation:</t>
        </r>
        <r>
          <rPr>
            <sz val="8"/>
            <color indexed="81"/>
            <rFont val="Tahoma"/>
            <family val="2"/>
          </rPr>
          <t xml:space="preserve">
R = Rolled/Random
P = Points/Paid for
D = Default</t>
        </r>
      </text>
    </comment>
    <comment ref="E27" authorId="2">
      <text>
        <r>
          <rPr>
            <b/>
            <sz val="8"/>
            <color indexed="81"/>
            <rFont val="Tahoma"/>
            <family val="2"/>
          </rPr>
          <t>If you are playing in the Living World of Alquennas, this is capped at the following levels:</t>
        </r>
        <r>
          <rPr>
            <sz val="8"/>
            <color indexed="81"/>
            <rFont val="Tahoma"/>
            <family val="2"/>
          </rPr>
          <t xml:space="preserve">
# Human; the highest social status of a character can be the Son or Daughter of a Bannerette (P)
# Haeflins; the highest social status of a character can be the Son or Daughter of a Language Trader
See your GM  for any status caps in other worlds.</t>
        </r>
      </text>
    </comment>
    <comment ref="H27" authorId="2">
      <text>
        <r>
          <rPr>
            <b/>
            <sz val="8"/>
            <color indexed="81"/>
            <rFont val="Tahoma"/>
            <family val="2"/>
          </rPr>
          <t>This is a rough calculation of the father's age.</t>
        </r>
        <r>
          <rPr>
            <sz val="8"/>
            <color indexed="81"/>
            <rFont val="Tahoma"/>
            <family val="2"/>
          </rPr>
          <t xml:space="preserve">
</t>
        </r>
      </text>
    </comment>
    <comment ref="M27" authorId="0">
      <text>
        <r>
          <rPr>
            <b/>
            <sz val="8"/>
            <color indexed="81"/>
            <rFont val="Tahoma"/>
            <family val="2"/>
          </rPr>
          <t>Book 1 pg 1-15</t>
        </r>
      </text>
    </comment>
    <comment ref="N27" authorId="0">
      <text>
        <r>
          <rPr>
            <b/>
            <sz val="8"/>
            <color indexed="81"/>
            <rFont val="Tahoma"/>
            <family val="2"/>
          </rPr>
          <t>At this time, the system will only allow you to display one phobia of each type on the Character Sheet.</t>
        </r>
      </text>
    </comment>
    <comment ref="A28" authorId="0">
      <text>
        <r>
          <rPr>
            <b/>
            <sz val="8"/>
            <color indexed="81"/>
            <rFont val="Tahoma"/>
            <family val="2"/>
          </rPr>
          <t>Book 1 pg 1-11</t>
        </r>
      </text>
    </comment>
    <comment ref="C28" authorId="4">
      <text>
        <r>
          <rPr>
            <b/>
            <sz val="9"/>
            <color indexed="81"/>
            <rFont val="Tahoma"/>
            <family val="2"/>
          </rPr>
          <t xml:space="preserve">Percentile roll (or equivalent if paid)
</t>
        </r>
        <r>
          <rPr>
            <sz val="9"/>
            <color indexed="81"/>
            <rFont val="Tahoma"/>
            <family val="2"/>
          </rPr>
          <t>If Defaulting to 6th child, type in "30"</t>
        </r>
      </text>
    </comment>
    <comment ref="D28" authorId="2">
      <text>
        <r>
          <rPr>
            <b/>
            <sz val="8"/>
            <color indexed="81"/>
            <rFont val="Tahoma"/>
            <family val="2"/>
          </rPr>
          <t>Sibling Rank:</t>
        </r>
        <r>
          <rPr>
            <sz val="8"/>
            <color indexed="81"/>
            <rFont val="Tahoma"/>
            <family val="2"/>
          </rPr>
          <t xml:space="preserve">
R = Rolled/Random
P = Points/Paid for
D = Default</t>
        </r>
      </text>
    </comment>
    <comment ref="I28" authorId="4">
      <text>
        <r>
          <rPr>
            <b/>
            <sz val="9"/>
            <color indexed="81"/>
            <rFont val="Tahoma"/>
            <family val="2"/>
          </rPr>
          <t>If character's father is a Merchant Prince, enter the d10 roll for status.</t>
        </r>
      </text>
    </comment>
    <comment ref="I29" authorId="0">
      <text>
        <r>
          <rPr>
            <b/>
            <sz val="8"/>
            <color indexed="81"/>
            <rFont val="Tahoma"/>
            <family val="2"/>
          </rPr>
          <t xml:space="preserve">Book 1 pg 1-5 </t>
        </r>
      </text>
    </comment>
    <comment ref="D30" authorId="7">
      <text>
        <r>
          <rPr>
            <b/>
            <sz val="8"/>
            <color indexed="81"/>
            <rFont val="Tahoma"/>
            <family val="2"/>
          </rPr>
          <t>Roll 1d10 for OLDER 
sibling gender:
Odd=Male
Even=Female</t>
        </r>
        <r>
          <rPr>
            <sz val="8"/>
            <color indexed="81"/>
            <rFont val="Tahoma"/>
            <family val="2"/>
          </rPr>
          <t xml:space="preserve">
</t>
        </r>
      </text>
    </comment>
    <comment ref="I30" authorId="7">
      <text>
        <r>
          <rPr>
            <sz val="8"/>
            <color indexed="81"/>
            <rFont val="Tahoma"/>
            <family val="2"/>
          </rPr>
          <t>This is the PC's gender.</t>
        </r>
      </text>
    </comment>
    <comment ref="J30" authorId="7">
      <text>
        <r>
          <rPr>
            <sz val="8"/>
            <color indexed="81"/>
            <rFont val="Tahoma"/>
            <family val="2"/>
          </rPr>
          <t>Is the PC heir to his father's estate?</t>
        </r>
      </text>
    </comment>
    <comment ref="AA30" authorId="0">
      <text>
        <r>
          <rPr>
            <b/>
            <sz val="8"/>
            <color indexed="81"/>
            <rFont val="Tahoma"/>
            <family val="2"/>
          </rPr>
          <t>Book 1 pg 1-20 List your skills on the Character Sheet!</t>
        </r>
      </text>
    </comment>
    <comment ref="AD30" authorId="2">
      <text>
        <r>
          <rPr>
            <sz val="8"/>
            <color indexed="81"/>
            <rFont val="Tahoma"/>
            <family val="2"/>
          </rPr>
          <t>Date formatted field.
Enter a date (mm/dd) between the dates to the right. Remember to notate Skills on the Character Sheet!</t>
        </r>
      </text>
    </comment>
    <comment ref="J31" authorId="2">
      <text>
        <r>
          <rPr>
            <b/>
            <sz val="8"/>
            <color indexed="81"/>
            <rFont val="Tahoma"/>
            <family val="2"/>
          </rPr>
          <t>Born?</t>
        </r>
        <r>
          <rPr>
            <sz val="8"/>
            <color indexed="81"/>
            <rFont val="Tahoma"/>
            <family val="2"/>
          </rPr>
          <t xml:space="preserve">
</t>
        </r>
      </text>
    </comment>
    <comment ref="K31" authorId="2">
      <text>
        <r>
          <rPr>
            <b/>
            <sz val="8"/>
            <color indexed="81"/>
            <rFont val="Tahoma"/>
            <family val="2"/>
          </rPr>
          <t>Currently?</t>
        </r>
        <r>
          <rPr>
            <sz val="8"/>
            <color indexed="81"/>
            <rFont val="Tahoma"/>
            <family val="2"/>
          </rPr>
          <t xml:space="preserve">
</t>
        </r>
      </text>
    </comment>
    <comment ref="N31" authorId="0">
      <text>
        <r>
          <rPr>
            <b/>
            <sz val="8"/>
            <color indexed="81"/>
            <rFont val="Tahoma"/>
            <family val="2"/>
          </rPr>
          <t>This is a text field that is displayed "as is" on the Character Sheet - Use this field for "extra" phobias or non-standard ones.</t>
        </r>
        <r>
          <rPr>
            <sz val="8"/>
            <color indexed="81"/>
            <rFont val="Tahoma"/>
            <family val="2"/>
          </rPr>
          <t xml:space="preserve">
</t>
        </r>
      </text>
    </comment>
    <comment ref="AD31" authorId="2">
      <text>
        <r>
          <rPr>
            <sz val="8"/>
            <color indexed="81"/>
            <rFont val="Tahoma"/>
            <family val="2"/>
          </rPr>
          <t>Enter the value you ROLLED for
your Horoscope sign OR 10 if you PAID for it.</t>
        </r>
      </text>
    </comment>
    <comment ref="AE31" authorId="2">
      <text>
        <r>
          <rPr>
            <sz val="8"/>
            <color indexed="81"/>
            <rFont val="Tahoma"/>
            <family val="2"/>
          </rPr>
          <t xml:space="preserve">R = Rolled/Random
P = Points/Paid for
</t>
        </r>
      </text>
    </comment>
    <comment ref="AA32" authorId="0">
      <text>
        <r>
          <rPr>
            <b/>
            <sz val="8"/>
            <color indexed="81"/>
            <rFont val="Tahoma"/>
            <family val="2"/>
          </rPr>
          <t>Elves-1.6 pg 10</t>
        </r>
        <r>
          <rPr>
            <sz val="8"/>
            <color indexed="81"/>
            <rFont val="Tahoma"/>
            <family val="2"/>
          </rPr>
          <t xml:space="preserve">
</t>
        </r>
      </text>
    </comment>
    <comment ref="AD32" authorId="2">
      <text>
        <r>
          <rPr>
            <sz val="8"/>
            <color indexed="81"/>
            <rFont val="Tahoma"/>
            <family val="2"/>
          </rPr>
          <t>Enter the value you rolled</t>
        </r>
      </text>
    </comment>
    <comment ref="A33" authorId="0">
      <text>
        <r>
          <rPr>
            <b/>
            <sz val="8"/>
            <color indexed="81"/>
            <rFont val="Tahoma"/>
            <family val="2"/>
          </rPr>
          <t>Book 1 pg 1-11</t>
        </r>
      </text>
    </comment>
    <comment ref="B33" authorId="7">
      <text>
        <r>
          <rPr>
            <sz val="8"/>
            <color indexed="81"/>
            <rFont val="Tahoma"/>
            <family val="2"/>
          </rPr>
          <t xml:space="preserve">Cells in Dark blue are older siblings, Cells in med. Blue are younger siblings.
</t>
        </r>
      </text>
    </comment>
    <comment ref="D33" authorId="7">
      <text>
        <r>
          <rPr>
            <b/>
            <sz val="8"/>
            <color indexed="81"/>
            <rFont val="Tahoma"/>
            <family val="2"/>
          </rPr>
          <t>Roll 1d10 for YOUNGER
sibling gender:
Odd=Male
Even=Female</t>
        </r>
        <r>
          <rPr>
            <sz val="8"/>
            <color indexed="81"/>
            <rFont val="Tahoma"/>
            <family val="2"/>
          </rPr>
          <t xml:space="preserve">
</t>
        </r>
      </text>
    </comment>
    <comment ref="M33" authorId="0">
      <text>
        <r>
          <rPr>
            <b/>
            <sz val="8"/>
            <color indexed="81"/>
            <rFont val="Tahoma"/>
            <family val="2"/>
          </rPr>
          <t>Book 1 pg 1-16</t>
        </r>
      </text>
    </comment>
    <comment ref="R33" authorId="2">
      <text>
        <r>
          <rPr>
            <sz val="8"/>
            <color indexed="81"/>
            <rFont val="Tahoma"/>
            <family val="2"/>
          </rPr>
          <t>R = Rolled/Random
P = Points/Paid for
D = Default</t>
        </r>
      </text>
    </comment>
    <comment ref="S33" authorId="0">
      <text>
        <r>
          <rPr>
            <b/>
            <sz val="8"/>
            <color indexed="81"/>
            <rFont val="Tahoma"/>
            <family val="2"/>
          </rPr>
          <t>Default Human Heights:
Male:                Female:
Historic - 9      Historic - 9
Heroic - 11        Heroic -  9
Super - 9          Super - 9 
Elven Default Height:
Height = 11
Dwarven Default Height:
Height - 6
Default Haeflin Heights:
Male:                Female:
Historic - 7      Historic - 5
Heroic - 7        Heroic -  5
Super - 9          Super - 7</t>
        </r>
      </text>
    </comment>
    <comment ref="X33" authorId="2">
      <text>
        <r>
          <rPr>
            <b/>
            <sz val="10"/>
            <color indexed="81"/>
            <rFont val="Tahoma"/>
            <family val="2"/>
          </rPr>
          <t xml:space="preserve">% to check against if confronted by phobia - Pg 1-15
</t>
        </r>
        <r>
          <rPr>
            <sz val="8"/>
            <color indexed="81"/>
            <rFont val="Tahoma"/>
            <family val="2"/>
          </rPr>
          <t xml:space="preserve">
</t>
        </r>
      </text>
    </comment>
    <comment ref="AD33" authorId="2">
      <text>
        <r>
          <rPr>
            <sz val="8"/>
            <color indexed="81"/>
            <rFont val="Tahoma"/>
            <family val="2"/>
          </rPr>
          <t>R = Rolled/Random
P = Points/Paid for
D = Default</t>
        </r>
      </text>
    </comment>
    <comment ref="AE33" authorId="2">
      <text>
        <r>
          <rPr>
            <sz val="8"/>
            <color indexed="81"/>
            <rFont val="Tahoma"/>
            <family val="2"/>
          </rPr>
          <t xml:space="preserve">Enter the value you rolled/paid
</t>
        </r>
      </text>
    </comment>
    <comment ref="B34" authorId="4">
      <text>
        <r>
          <rPr>
            <b/>
            <sz val="9"/>
            <color indexed="81"/>
            <rFont val="Tahoma"/>
            <family val="2"/>
          </rPr>
          <t xml:space="preserve">roll 1d10 for number of younger siblings </t>
        </r>
      </text>
    </comment>
    <comment ref="M34" authorId="0">
      <text>
        <r>
          <rPr>
            <b/>
            <sz val="8"/>
            <color indexed="81"/>
            <rFont val="Tahoma"/>
            <family val="2"/>
          </rPr>
          <t>Book 1 pg 1-17</t>
        </r>
      </text>
    </comment>
    <comment ref="R34" authorId="2">
      <text>
        <r>
          <rPr>
            <sz val="8"/>
            <color indexed="81"/>
            <rFont val="Tahoma"/>
            <family val="2"/>
          </rPr>
          <t>R = Rolled/Random
P = Points/Paid for
D = Default</t>
        </r>
      </text>
    </comment>
    <comment ref="S34" authorId="0">
      <text>
        <r>
          <rPr>
            <b/>
            <sz val="8"/>
            <color indexed="81"/>
            <rFont val="Tahoma"/>
            <family val="2"/>
          </rPr>
          <t>Default Human Builds:
Male:                Female:
Historic - 6      Historic - 4 
Heroic -7         Heroic - 4
Super - 8          Super - 6</t>
        </r>
        <r>
          <rPr>
            <sz val="8"/>
            <color indexed="81"/>
            <rFont val="Tahoma"/>
            <family val="2"/>
          </rPr>
          <t xml:space="preserve">
</t>
        </r>
        <r>
          <rPr>
            <b/>
            <sz val="8"/>
            <color indexed="81"/>
            <rFont val="Tahoma"/>
            <family val="2"/>
          </rPr>
          <t>Defaul Elven Builds:
Male - 4            Female – 3
Default  Dwarven Builds:
Male - 10           Female - 7
Default Haeflin Builds:
Male:                 Female:
Historic -6        Historic - 5
Heroic - 6          Heroic -  5
Super - 8           Super - 8</t>
        </r>
        <r>
          <rPr>
            <sz val="8"/>
            <color indexed="81"/>
            <rFont val="Tahoma"/>
            <family val="2"/>
          </rPr>
          <t xml:space="preserve">
</t>
        </r>
      </text>
    </comment>
    <comment ref="AA34" authorId="0">
      <text>
        <r>
          <rPr>
            <b/>
            <sz val="8"/>
            <color indexed="81"/>
            <rFont val="Tahoma"/>
            <family val="2"/>
          </rPr>
          <t>Dwarves-3.7 pg 12</t>
        </r>
        <r>
          <rPr>
            <sz val="8"/>
            <color indexed="81"/>
            <rFont val="Tahoma"/>
            <family val="2"/>
          </rPr>
          <t xml:space="preserve">
</t>
        </r>
      </text>
    </comment>
    <comment ref="AD34" authorId="2">
      <text>
        <r>
          <rPr>
            <sz val="8"/>
            <color indexed="81"/>
            <rFont val="Tahoma"/>
            <family val="2"/>
          </rPr>
          <t xml:space="preserve">Enter the value you rolled
</t>
        </r>
      </text>
    </comment>
    <comment ref="B35" authorId="7">
      <text>
        <r>
          <rPr>
            <b/>
            <sz val="8"/>
            <color indexed="81"/>
            <rFont val="Tahoma"/>
            <family val="2"/>
          </rPr>
          <t>This is the number of siblings YOUNGER than the character</t>
        </r>
        <r>
          <rPr>
            <sz val="8"/>
            <color indexed="81"/>
            <rFont val="Tahoma"/>
            <family val="2"/>
          </rPr>
          <t xml:space="preserve">
</t>
        </r>
      </text>
    </comment>
    <comment ref="M35" authorId="0">
      <text>
        <r>
          <rPr>
            <b/>
            <sz val="8"/>
            <color indexed="81"/>
            <rFont val="Tahoma"/>
            <family val="2"/>
          </rPr>
          <t>Book 1 pg 1-17</t>
        </r>
      </text>
    </comment>
    <comment ref="O35" authorId="8">
      <text>
        <r>
          <rPr>
            <b/>
            <sz val="9"/>
            <color indexed="81"/>
            <rFont val="Tahoma"/>
            <family val="2"/>
          </rPr>
          <t>If Dwarven &amp; Alquennas based - this number will increase by 20%</t>
        </r>
        <r>
          <rPr>
            <sz val="9"/>
            <color indexed="81"/>
            <rFont val="Tahoma"/>
            <family val="2"/>
          </rPr>
          <t xml:space="preserve">
</t>
        </r>
      </text>
    </comment>
    <comment ref="AD35" authorId="2">
      <text>
        <r>
          <rPr>
            <sz val="8"/>
            <color indexed="81"/>
            <rFont val="Tahoma"/>
            <family val="2"/>
          </rPr>
          <t>R = Rolled/Random
P = Points/Paid for
D = Default</t>
        </r>
      </text>
    </comment>
    <comment ref="AE35" authorId="2">
      <text>
        <r>
          <rPr>
            <sz val="8"/>
            <color indexed="81"/>
            <rFont val="Tahoma"/>
            <family val="2"/>
          </rPr>
          <t>Enter the value you rolled/paid</t>
        </r>
      </text>
    </comment>
    <comment ref="A37" authorId="0">
      <text>
        <r>
          <rPr>
            <b/>
            <sz val="8"/>
            <color indexed="81"/>
            <rFont val="Tahoma"/>
            <family val="2"/>
          </rPr>
          <t>Book 1 pg 1-11</t>
        </r>
      </text>
    </comment>
    <comment ref="G37" authorId="2">
      <text>
        <r>
          <rPr>
            <b/>
            <sz val="8"/>
            <color indexed="81"/>
            <rFont val="Tahoma"/>
            <family val="2"/>
          </rPr>
          <t>Book 1, pg 1-95 to 1-96</t>
        </r>
      </text>
    </comment>
    <comment ref="M37" authorId="0">
      <text>
        <r>
          <rPr>
            <b/>
            <sz val="8"/>
            <color indexed="81"/>
            <rFont val="Tahoma"/>
            <family val="2"/>
          </rPr>
          <t>Book 1 pg 1-17</t>
        </r>
      </text>
    </comment>
    <comment ref="AA37" authorId="0">
      <text>
        <r>
          <rPr>
            <b/>
            <sz val="8"/>
            <color indexed="81"/>
            <rFont val="Tahoma"/>
            <family val="2"/>
          </rPr>
          <t>Book 1 pg 1-21
Book 3 pg 3-38 - Trolls</t>
        </r>
      </text>
    </comment>
    <comment ref="C38" authorId="2">
      <text>
        <r>
          <rPr>
            <b/>
            <sz val="8"/>
            <color indexed="81"/>
            <rFont val="Tahoma"/>
            <family val="2"/>
          </rPr>
          <t>Family Status:</t>
        </r>
        <r>
          <rPr>
            <sz val="8"/>
            <color indexed="81"/>
            <rFont val="Tahoma"/>
            <family val="2"/>
          </rPr>
          <t xml:space="preserve">
R = Rolled/Random
P = Points/Paid for
D = Default</t>
        </r>
      </text>
    </comment>
    <comment ref="J38" authorId="9">
      <text>
        <r>
          <rPr>
            <b/>
            <sz val="8"/>
            <color indexed="81"/>
            <rFont val="Tahoma"/>
            <family val="2"/>
          </rPr>
          <t>Be Aware, the Base Purse amount may not beaccurate for non-human races</t>
        </r>
      </text>
    </comment>
    <comment ref="K38" authorId="2">
      <text>
        <r>
          <rPr>
            <sz val="8"/>
            <color indexed="81"/>
            <rFont val="Tahoma"/>
            <family val="2"/>
          </rPr>
          <t xml:space="preserve">If Father's Base Status is </t>
        </r>
        <r>
          <rPr>
            <b/>
            <sz val="8"/>
            <color indexed="81"/>
            <rFont val="Tahoma"/>
            <family val="2"/>
          </rPr>
          <t>Serf</t>
        </r>
        <r>
          <rPr>
            <sz val="8"/>
            <color indexed="81"/>
            <rFont val="Tahoma"/>
            <family val="2"/>
          </rPr>
          <t>, or</t>
        </r>
        <r>
          <rPr>
            <b/>
            <sz val="8"/>
            <color indexed="81"/>
            <rFont val="Tahoma"/>
            <family val="2"/>
          </rPr>
          <t xml:space="preserve"> Merchant Prince</t>
        </r>
        <r>
          <rPr>
            <sz val="8"/>
            <color indexed="81"/>
            <rFont val="Tahoma"/>
            <family val="2"/>
          </rPr>
          <t xml:space="preserve">, </t>
        </r>
        <r>
          <rPr>
            <sz val="8"/>
            <color indexed="81"/>
            <rFont val="Tahoma"/>
            <family val="2"/>
          </rPr>
          <t xml:space="preserve">enter 1d10 roll
or if Elven and Lost Blood enter 2d10 roll
or if Dwarven and Outcast enter 1d10 roll.
</t>
        </r>
      </text>
    </comment>
    <comment ref="AD38" authorId="2">
      <text>
        <r>
          <rPr>
            <sz val="8"/>
            <color indexed="81"/>
            <rFont val="Tahoma"/>
            <family val="2"/>
          </rPr>
          <t>R = Rolled/Random
P = Points/Paid for
D = Default</t>
        </r>
      </text>
    </comment>
    <comment ref="K39" authorId="2">
      <text>
        <r>
          <rPr>
            <sz val="8"/>
            <color indexed="81"/>
            <rFont val="Tahoma"/>
            <family val="2"/>
          </rPr>
          <t xml:space="preserve">If Family Status is </t>
        </r>
        <r>
          <rPr>
            <b/>
            <sz val="8"/>
            <color indexed="81"/>
            <rFont val="Tahoma"/>
            <family val="2"/>
          </rPr>
          <t>Credit to Family</t>
        </r>
        <r>
          <rPr>
            <sz val="8"/>
            <color indexed="81"/>
            <rFont val="Tahoma"/>
            <family val="2"/>
          </rPr>
          <t>, enter 1d10 roll.</t>
        </r>
      </text>
    </comment>
    <comment ref="AD39" authorId="7">
      <text>
        <r>
          <rPr>
            <b/>
            <sz val="8"/>
            <color indexed="81"/>
            <rFont val="Tahoma"/>
            <family val="2"/>
          </rPr>
          <t>Percentile roll (or equivalent if paid)</t>
        </r>
        <r>
          <rPr>
            <sz val="8"/>
            <color indexed="81"/>
            <rFont val="Tahoma"/>
            <family val="2"/>
          </rPr>
          <t xml:space="preserve">
</t>
        </r>
      </text>
    </comment>
    <comment ref="A41" authorId="0">
      <text>
        <r>
          <rPr>
            <b/>
            <sz val="8"/>
            <color indexed="81"/>
            <rFont val="Tahoma"/>
            <family val="2"/>
          </rPr>
          <t>Influence - Book 1 pg 1-28
Romance Factor - Knight's 5.3-5.4 - pp  42-43</t>
        </r>
      </text>
    </comment>
    <comment ref="H41" authorId="4">
      <text>
        <r>
          <rPr>
            <sz val="8"/>
            <color indexed="81"/>
            <rFont val="Tahoma"/>
            <family val="2"/>
          </rPr>
          <t xml:space="preserve">As per pg 25 of </t>
        </r>
        <r>
          <rPr>
            <b/>
            <sz val="8"/>
            <color indexed="81"/>
            <rFont val="Tahoma"/>
            <family val="2"/>
          </rPr>
          <t>Knight's Companion,</t>
        </r>
        <r>
          <rPr>
            <sz val="8"/>
            <color indexed="81"/>
            <rFont val="Tahoma"/>
            <family val="2"/>
          </rPr>
          <t xml:space="preserve"> 100  Honour Points can be redeemed to gain ONE of the following:
 +1 status point, 
+1% PSF in a </t>
        </r>
        <r>
          <rPr>
            <b/>
            <sz val="8"/>
            <color indexed="81"/>
            <rFont val="Tahoma"/>
            <family val="2"/>
          </rPr>
          <t>Combat</t>
        </r>
        <r>
          <rPr>
            <sz val="8"/>
            <color indexed="81"/>
            <rFont val="Tahoma"/>
            <family val="2"/>
          </rPr>
          <t xml:space="preserve"> skill previously used in battle or tourney
+2% PSF in </t>
        </r>
        <r>
          <rPr>
            <b/>
            <sz val="8"/>
            <color indexed="81"/>
            <rFont val="Tahoma"/>
            <family val="2"/>
          </rPr>
          <t xml:space="preserve">Leadership, Battlefied Tactics, </t>
        </r>
        <r>
          <rPr>
            <sz val="8"/>
            <color indexed="81"/>
            <rFont val="Tahoma"/>
            <family val="2"/>
          </rPr>
          <t xml:space="preserve">or </t>
        </r>
        <r>
          <rPr>
            <b/>
            <sz val="8"/>
            <color indexed="81"/>
            <rFont val="Tahoma"/>
            <family val="2"/>
          </rPr>
          <t xml:space="preserve">Siegecraft
</t>
        </r>
        <r>
          <rPr>
            <sz val="8"/>
            <color indexed="81"/>
            <rFont val="Tahoma"/>
            <family val="2"/>
          </rPr>
          <t>(IF the points were won for Leadership.)</t>
        </r>
      </text>
    </comment>
    <comment ref="AA41" authorId="0">
      <text>
        <r>
          <rPr>
            <b/>
            <sz val="8"/>
            <color indexed="81"/>
            <rFont val="Tahoma"/>
            <family val="2"/>
          </rPr>
          <t xml:space="preserve">Book 1 pg 1-35
</t>
        </r>
      </text>
    </comment>
    <comment ref="B44" authorId="4">
      <text>
        <r>
          <rPr>
            <b/>
            <sz val="8"/>
            <color indexed="81"/>
            <rFont val="Tahoma"/>
            <family val="2"/>
          </rPr>
          <t>This field is provided so that any increases in status &amp; influence due to gameplay can be calculated. It is based on the character's current status amongst Humans.</t>
        </r>
      </text>
    </comment>
    <comment ref="K44" authorId="4">
      <text>
        <r>
          <rPr>
            <sz val="8"/>
            <color indexed="81"/>
            <rFont val="Tahoma"/>
            <family val="2"/>
          </rPr>
          <t xml:space="preserve">As per pg 25 of </t>
        </r>
        <r>
          <rPr>
            <b/>
            <sz val="8"/>
            <color indexed="81"/>
            <rFont val="Tahoma"/>
            <family val="2"/>
          </rPr>
          <t>Knight's Companion</t>
        </r>
        <r>
          <rPr>
            <sz val="8"/>
            <color indexed="81"/>
            <rFont val="Tahoma"/>
            <family val="2"/>
          </rPr>
          <t xml:space="preserve">, If a Knight or Noble is considered or known to be "Disgraced", their Social Status is effectively halved when dealing with his Peers.  
He cannot enter Tourney and His Challenges of other knights can be ignored without loss of reputation.
</t>
        </r>
      </text>
    </comment>
    <comment ref="K45" authorId="4">
      <text>
        <r>
          <rPr>
            <sz val="8"/>
            <color indexed="81"/>
            <rFont val="Tahoma"/>
            <family val="2"/>
          </rPr>
          <t xml:space="preserve">As per pg 26 of </t>
        </r>
        <r>
          <rPr>
            <b/>
            <sz val="8"/>
            <color indexed="81"/>
            <rFont val="Tahoma"/>
            <family val="2"/>
          </rPr>
          <t>Knight's Companion</t>
        </r>
        <r>
          <rPr>
            <sz val="8"/>
            <color indexed="81"/>
            <rFont val="Tahoma"/>
            <family val="2"/>
          </rPr>
          <t xml:space="preserve">, this is the number of Favours owed TO the character.
</t>
        </r>
      </text>
    </comment>
    <comment ref="K46" authorId="4">
      <text>
        <r>
          <rPr>
            <sz val="8"/>
            <color indexed="81"/>
            <rFont val="Tahoma"/>
            <family val="2"/>
          </rPr>
          <t xml:space="preserve">As per pg 26 of </t>
        </r>
        <r>
          <rPr>
            <b/>
            <sz val="8"/>
            <color indexed="81"/>
            <rFont val="Tahoma"/>
            <family val="2"/>
          </rPr>
          <t>Knight's Companion</t>
        </r>
        <r>
          <rPr>
            <sz val="8"/>
            <color indexed="81"/>
            <rFont val="Tahoma"/>
            <family val="2"/>
          </rPr>
          <t xml:space="preserve">, this is the number of Favours OWED by the character
</t>
        </r>
      </text>
    </comment>
    <comment ref="M46" authorId="4">
      <text>
        <r>
          <rPr>
            <sz val="8"/>
            <color indexed="81"/>
            <rFont val="Tahoma"/>
            <family val="2"/>
          </rPr>
          <t>Book 3, Page 3-53</t>
        </r>
      </text>
    </comment>
  </commentList>
</comments>
</file>

<file path=xl/comments3.xml><?xml version="1.0" encoding="utf-8"?>
<comments xmlns="http://schemas.openxmlformats.org/spreadsheetml/2006/main">
  <authors>
    <author>wininstall</author>
    <author>Aylinn</author>
    <author>LMIT-ODIN</author>
    <author>MSD-Presentation</author>
    <author>Allison Kaese</author>
    <author>Allison E. Kaese</author>
  </authors>
  <commentList>
    <comment ref="CG51" authorId="0">
      <text>
        <r>
          <rPr>
            <b/>
            <sz val="8"/>
            <color indexed="81"/>
            <rFont val="Tahoma"/>
            <family val="2"/>
          </rPr>
          <t>This field's information  is manually entered by the user</t>
        </r>
        <r>
          <rPr>
            <sz val="8"/>
            <color indexed="81"/>
            <rFont val="Tahoma"/>
            <family val="2"/>
          </rPr>
          <t xml:space="preserve">
</t>
        </r>
      </text>
    </comment>
    <comment ref="CG53" authorId="0">
      <text>
        <r>
          <rPr>
            <b/>
            <sz val="8"/>
            <color indexed="81"/>
            <rFont val="Tahoma"/>
            <family val="2"/>
          </rPr>
          <t>Use This formula if your character has starting proficency levels but has not BOUGHT any additional proficency levels</t>
        </r>
      </text>
    </comment>
    <comment ref="CG54" authorId="0">
      <text>
        <r>
          <rPr>
            <b/>
            <sz val="8"/>
            <color indexed="81"/>
            <rFont val="Tahoma"/>
            <family val="2"/>
          </rPr>
          <t>Use This formula if your character has NO starting proficency levels but HAS bought additional proficency levels</t>
        </r>
        <r>
          <rPr>
            <sz val="8"/>
            <color indexed="81"/>
            <rFont val="Tahoma"/>
            <family val="2"/>
          </rPr>
          <t xml:space="preserve">
</t>
        </r>
      </text>
    </comment>
    <comment ref="CG55" authorId="0">
      <text>
        <r>
          <rPr>
            <b/>
            <sz val="8"/>
            <color indexed="81"/>
            <rFont val="Tahoma"/>
            <family val="2"/>
          </rPr>
          <t>Use This formula if your character has starting proficency levels AND has bought additional proficency levels</t>
        </r>
        <r>
          <rPr>
            <sz val="8"/>
            <color indexed="81"/>
            <rFont val="Tahoma"/>
            <family val="2"/>
          </rPr>
          <t xml:space="preserve">
</t>
        </r>
      </text>
    </comment>
    <comment ref="BM65" authorId="1">
      <text>
        <r>
          <rPr>
            <b/>
            <sz val="9"/>
            <color indexed="81"/>
            <rFont val="Tahoma"/>
            <family val="2"/>
          </rPr>
          <t xml:space="preserve">This section can also be used if your game has custom created skills. By adding those to the Skills worksheet after Row 925, you can reference them here by using the instructions above.
</t>
        </r>
        <r>
          <rPr>
            <sz val="9"/>
            <color indexed="81"/>
            <rFont val="Tahoma"/>
            <family val="2"/>
          </rPr>
          <t xml:space="preserve">
</t>
        </r>
      </text>
    </comment>
    <comment ref="H118" authorId="2">
      <text>
        <r>
          <rPr>
            <b/>
            <sz val="8"/>
            <color indexed="81"/>
            <rFont val="Tahoma"/>
            <family val="2"/>
          </rPr>
          <t>Does the Mage have access to this method?</t>
        </r>
        <r>
          <rPr>
            <sz val="8"/>
            <color indexed="81"/>
            <rFont val="Tahoma"/>
            <family val="2"/>
          </rPr>
          <t xml:space="preserve">
</t>
        </r>
      </text>
    </comment>
    <comment ref="CG162" authorId="3">
      <text>
        <r>
          <rPr>
            <b/>
            <sz val="8"/>
            <color indexed="81"/>
            <rFont val="Tahoma"/>
            <family val="2"/>
          </rPr>
          <t xml:space="preserve">Take this from the column heading in column A
</t>
        </r>
        <r>
          <rPr>
            <sz val="8"/>
            <color indexed="81"/>
            <rFont val="Tahoma"/>
            <family val="2"/>
          </rPr>
          <t xml:space="preserve">
</t>
        </r>
      </text>
    </comment>
    <comment ref="A293" authorId="2">
      <text>
        <r>
          <rPr>
            <b/>
            <sz val="8"/>
            <color indexed="81"/>
            <rFont val="Tahoma"/>
            <family val="2"/>
          </rPr>
          <t>Weapons</t>
        </r>
        <r>
          <rPr>
            <sz val="8"/>
            <color indexed="81"/>
            <rFont val="Tahoma"/>
            <family val="2"/>
          </rPr>
          <t xml:space="preserve">
</t>
        </r>
      </text>
    </comment>
    <comment ref="A294" authorId="2">
      <text>
        <r>
          <rPr>
            <b/>
            <sz val="8"/>
            <color indexed="81"/>
            <rFont val="Tahoma"/>
            <family val="2"/>
          </rPr>
          <t>Weapons</t>
        </r>
        <r>
          <rPr>
            <sz val="8"/>
            <color indexed="81"/>
            <rFont val="Tahoma"/>
            <family val="2"/>
          </rPr>
          <t xml:space="preserve">
</t>
        </r>
      </text>
    </comment>
    <comment ref="A295" authorId="2">
      <text>
        <r>
          <rPr>
            <b/>
            <sz val="8"/>
            <color indexed="81"/>
            <rFont val="Tahoma"/>
            <family val="2"/>
          </rPr>
          <t>Weapons</t>
        </r>
        <r>
          <rPr>
            <sz val="8"/>
            <color indexed="81"/>
            <rFont val="Tahoma"/>
            <family val="2"/>
          </rPr>
          <t xml:space="preserve">
</t>
        </r>
      </text>
    </comment>
    <comment ref="A296" authorId="2">
      <text>
        <r>
          <rPr>
            <b/>
            <sz val="8"/>
            <color indexed="81"/>
            <rFont val="Tahoma"/>
            <family val="2"/>
          </rPr>
          <t>Weapons</t>
        </r>
        <r>
          <rPr>
            <sz val="8"/>
            <color indexed="81"/>
            <rFont val="Tahoma"/>
            <family val="2"/>
          </rPr>
          <t xml:space="preserve">
</t>
        </r>
      </text>
    </comment>
    <comment ref="A297" authorId="2">
      <text>
        <r>
          <rPr>
            <b/>
            <sz val="8"/>
            <color indexed="81"/>
            <rFont val="Tahoma"/>
            <family val="2"/>
          </rPr>
          <t>Shield</t>
        </r>
        <r>
          <rPr>
            <sz val="8"/>
            <color indexed="81"/>
            <rFont val="Tahoma"/>
            <family val="2"/>
          </rPr>
          <t xml:space="preserve">
</t>
        </r>
      </text>
    </comment>
    <comment ref="A298" authorId="2">
      <text>
        <r>
          <rPr>
            <b/>
            <sz val="8"/>
            <color indexed="81"/>
            <rFont val="Tahoma"/>
            <family val="2"/>
          </rPr>
          <t>What Type of Bow?</t>
        </r>
        <r>
          <rPr>
            <sz val="8"/>
            <color indexed="81"/>
            <rFont val="Tahoma"/>
            <family val="2"/>
          </rPr>
          <t xml:space="preserve">
</t>
        </r>
      </text>
    </comment>
    <comment ref="Q407" authorId="4">
      <text>
        <r>
          <rPr>
            <sz val="9"/>
            <color indexed="81"/>
            <rFont val="Tahoma"/>
            <family val="2"/>
          </rPr>
          <t xml:space="preserve">Enter % roll to determine quality
</t>
        </r>
      </text>
    </comment>
    <comment ref="AW407" authorId="4">
      <text>
        <r>
          <rPr>
            <sz val="9"/>
            <color indexed="81"/>
            <rFont val="Tahoma"/>
            <family val="2"/>
          </rPr>
          <t xml:space="preserve">Enter % roll to determine quality
</t>
        </r>
      </text>
    </comment>
    <comment ref="CC407" authorId="4">
      <text>
        <r>
          <rPr>
            <sz val="9"/>
            <color indexed="81"/>
            <rFont val="Tahoma"/>
            <family val="2"/>
          </rPr>
          <t xml:space="preserve">Enter % roll to determine quality
</t>
        </r>
      </text>
    </comment>
    <comment ref="E419" authorId="2">
      <text>
        <r>
          <rPr>
            <b/>
            <sz val="8"/>
            <color indexed="81"/>
            <rFont val="Tahoma"/>
            <family val="2"/>
          </rPr>
          <t xml:space="preserve">Enter the amount rolled for "Luck" here on 2D10. 
</t>
        </r>
      </text>
    </comment>
    <comment ref="AK419" authorId="2">
      <text>
        <r>
          <rPr>
            <b/>
            <sz val="8"/>
            <color indexed="81"/>
            <rFont val="Tahoma"/>
            <family val="2"/>
          </rPr>
          <t xml:space="preserve">Enter the amount rolled for "Luck" here on 2D10. 
</t>
        </r>
      </text>
    </comment>
    <comment ref="BQ419" authorId="2">
      <text>
        <r>
          <rPr>
            <b/>
            <sz val="8"/>
            <color indexed="81"/>
            <rFont val="Tahoma"/>
            <family val="2"/>
          </rPr>
          <t xml:space="preserve">Enter the amount rolled for "Luck" here on 2D10. 
</t>
        </r>
      </text>
    </comment>
    <comment ref="P446" authorId="2">
      <text>
        <r>
          <rPr>
            <sz val="8"/>
            <color indexed="81"/>
            <rFont val="Tahoma"/>
            <family val="2"/>
          </rPr>
          <t>if the weight of basic equipment plus rider exceeds 60% of carrying capacity, this will display a warning.</t>
        </r>
      </text>
    </comment>
    <comment ref="AV446" authorId="2">
      <text>
        <r>
          <rPr>
            <sz val="8"/>
            <color indexed="81"/>
            <rFont val="Tahoma"/>
            <family val="2"/>
          </rPr>
          <t>If the weight of equipment carried  exceeds 60% of carrying capacity, this will display a warning.</t>
        </r>
      </text>
    </comment>
    <comment ref="CB446" authorId="2">
      <text>
        <r>
          <rPr>
            <sz val="8"/>
            <color indexed="81"/>
            <rFont val="Tahoma"/>
            <family val="2"/>
          </rPr>
          <t>If the weight of equipment carried  exceeds 60% of carrying capacity, this will display a warning.</t>
        </r>
      </text>
    </comment>
    <comment ref="E449" authorId="2">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AK449" authorId="2">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BQ449" authorId="2">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E450" authorId="2">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AK450" authorId="2">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BQ450" authorId="2">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D451" authorId="2">
      <text>
        <r>
          <rPr>
            <b/>
            <sz val="8"/>
            <color indexed="81"/>
            <rFont val="Tahoma"/>
            <family val="2"/>
          </rPr>
          <t>Type "R" if Riding Saddle
Type "W" if War Saddle</t>
        </r>
        <r>
          <rPr>
            <sz val="8"/>
            <color indexed="81"/>
            <rFont val="Tahoma"/>
            <family val="2"/>
          </rPr>
          <t xml:space="preserve">
</t>
        </r>
      </text>
    </comment>
    <comment ref="E451" authorId="2">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AJ451" authorId="2">
      <text>
        <r>
          <rPr>
            <b/>
            <sz val="8"/>
            <color indexed="81"/>
            <rFont val="Tahoma"/>
            <family val="2"/>
          </rPr>
          <t>Type "R" if Riding Saddle
Type "W" if War Saddle</t>
        </r>
        <r>
          <rPr>
            <sz val="8"/>
            <color indexed="81"/>
            <rFont val="Tahoma"/>
            <family val="2"/>
          </rPr>
          <t xml:space="preserve">
</t>
        </r>
      </text>
    </comment>
    <comment ref="AK451" authorId="2">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BP451" authorId="2">
      <text>
        <r>
          <rPr>
            <b/>
            <sz val="8"/>
            <color indexed="81"/>
            <rFont val="Tahoma"/>
            <family val="2"/>
          </rPr>
          <t>Type "R" if Riding Saddle
Type "W" if War Saddle</t>
        </r>
        <r>
          <rPr>
            <sz val="8"/>
            <color indexed="81"/>
            <rFont val="Tahoma"/>
            <family val="2"/>
          </rPr>
          <t xml:space="preserve">
</t>
        </r>
      </text>
    </comment>
    <comment ref="BQ451" authorId="2">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E452" authorId="2">
      <text>
        <r>
          <rPr>
            <b/>
            <sz val="8"/>
            <color indexed="81"/>
            <rFont val="Tahoma"/>
            <family val="2"/>
          </rPr>
          <t>Type # of Saddle Bags used.</t>
        </r>
        <r>
          <rPr>
            <sz val="8"/>
            <color indexed="81"/>
            <rFont val="Tahoma"/>
            <family val="2"/>
          </rPr>
          <t xml:space="preserve">
</t>
        </r>
      </text>
    </comment>
    <comment ref="AK452" authorId="2">
      <text>
        <r>
          <rPr>
            <b/>
            <sz val="8"/>
            <color indexed="81"/>
            <rFont val="Tahoma"/>
            <family val="2"/>
          </rPr>
          <t>Type # of Saddle Bags used.</t>
        </r>
        <r>
          <rPr>
            <sz val="8"/>
            <color indexed="81"/>
            <rFont val="Tahoma"/>
            <family val="2"/>
          </rPr>
          <t xml:space="preserve">
</t>
        </r>
      </text>
    </comment>
    <comment ref="BQ452" authorId="2">
      <text>
        <r>
          <rPr>
            <b/>
            <sz val="8"/>
            <color indexed="81"/>
            <rFont val="Tahoma"/>
            <family val="2"/>
          </rPr>
          <t>Type # of Saddle Bags used.</t>
        </r>
        <r>
          <rPr>
            <sz val="8"/>
            <color indexed="81"/>
            <rFont val="Tahoma"/>
            <family val="2"/>
          </rPr>
          <t xml:space="preserve">
</t>
        </r>
      </text>
    </comment>
    <comment ref="E453" authorId="2">
      <text>
        <r>
          <rPr>
            <b/>
            <sz val="8"/>
            <color indexed="81"/>
            <rFont val="Tahoma"/>
            <family val="2"/>
          </rPr>
          <t>Type # of Saddle Bags used.</t>
        </r>
        <r>
          <rPr>
            <sz val="8"/>
            <color indexed="81"/>
            <rFont val="Tahoma"/>
            <family val="2"/>
          </rPr>
          <t xml:space="preserve">
</t>
        </r>
      </text>
    </comment>
    <comment ref="AK453" authorId="2">
      <text>
        <r>
          <rPr>
            <b/>
            <sz val="8"/>
            <color indexed="81"/>
            <rFont val="Tahoma"/>
            <family val="2"/>
          </rPr>
          <t>Type # of Saddle Bags used.</t>
        </r>
        <r>
          <rPr>
            <sz val="8"/>
            <color indexed="81"/>
            <rFont val="Tahoma"/>
            <family val="2"/>
          </rPr>
          <t xml:space="preserve">
</t>
        </r>
      </text>
    </comment>
    <comment ref="BQ453" authorId="2">
      <text>
        <r>
          <rPr>
            <b/>
            <sz val="8"/>
            <color indexed="81"/>
            <rFont val="Tahoma"/>
            <family val="2"/>
          </rPr>
          <t>Type # of Saddle Bags used.</t>
        </r>
        <r>
          <rPr>
            <sz val="8"/>
            <color indexed="81"/>
            <rFont val="Tahoma"/>
            <family val="2"/>
          </rPr>
          <t xml:space="preserve">
</t>
        </r>
      </text>
    </comment>
    <comment ref="E454" authorId="2">
      <text>
        <r>
          <rPr>
            <b/>
            <sz val="8"/>
            <color indexed="81"/>
            <rFont val="Tahoma"/>
            <family val="2"/>
          </rPr>
          <t>Type # of Saddle Bags used.</t>
        </r>
        <r>
          <rPr>
            <sz val="8"/>
            <color indexed="81"/>
            <rFont val="Tahoma"/>
            <family val="2"/>
          </rPr>
          <t xml:space="preserve">
</t>
        </r>
      </text>
    </comment>
    <comment ref="AK454" authorId="2">
      <text>
        <r>
          <rPr>
            <b/>
            <sz val="8"/>
            <color indexed="81"/>
            <rFont val="Tahoma"/>
            <family val="2"/>
          </rPr>
          <t>Type # of Saddle Bags used.</t>
        </r>
        <r>
          <rPr>
            <sz val="8"/>
            <color indexed="81"/>
            <rFont val="Tahoma"/>
            <family val="2"/>
          </rPr>
          <t xml:space="preserve">
</t>
        </r>
      </text>
    </comment>
    <comment ref="BQ454" authorId="2">
      <text>
        <r>
          <rPr>
            <b/>
            <sz val="8"/>
            <color indexed="81"/>
            <rFont val="Tahoma"/>
            <family val="2"/>
          </rPr>
          <t>Type # of Saddle Bags used.</t>
        </r>
        <r>
          <rPr>
            <sz val="8"/>
            <color indexed="81"/>
            <rFont val="Tahoma"/>
            <family val="2"/>
          </rPr>
          <t xml:space="preserve">
</t>
        </r>
      </text>
    </comment>
    <comment ref="X472" authorId="4">
      <text>
        <r>
          <rPr>
            <b/>
            <sz val="9"/>
            <color indexed="81"/>
            <rFont val="Tahoma"/>
            <family val="2"/>
          </rPr>
          <t>Same cost for Dismount</t>
        </r>
        <r>
          <rPr>
            <sz val="9"/>
            <color indexed="81"/>
            <rFont val="Tahoma"/>
            <family val="2"/>
          </rPr>
          <t xml:space="preserve">
</t>
        </r>
      </text>
    </comment>
    <comment ref="X473" authorId="4">
      <text>
        <r>
          <rPr>
            <b/>
            <sz val="9"/>
            <color indexed="81"/>
            <rFont val="Tahoma"/>
            <family val="2"/>
          </rPr>
          <t>Same cost for Dismount</t>
        </r>
        <r>
          <rPr>
            <sz val="9"/>
            <color indexed="81"/>
            <rFont val="Tahoma"/>
            <family val="2"/>
          </rPr>
          <t xml:space="preserve">
</t>
        </r>
      </text>
    </comment>
    <comment ref="X474" authorId="4">
      <text>
        <r>
          <rPr>
            <b/>
            <sz val="9"/>
            <color indexed="81"/>
            <rFont val="Tahoma"/>
            <family val="2"/>
          </rPr>
          <t>Same cost for Dismount</t>
        </r>
        <r>
          <rPr>
            <sz val="9"/>
            <color indexed="81"/>
            <rFont val="Tahoma"/>
            <family val="2"/>
          </rPr>
          <t xml:space="preserve">
</t>
        </r>
      </text>
    </comment>
    <comment ref="X475" authorId="4">
      <text>
        <r>
          <rPr>
            <b/>
            <sz val="9"/>
            <color indexed="81"/>
            <rFont val="Tahoma"/>
            <family val="2"/>
          </rPr>
          <t>Same cost for Dismount</t>
        </r>
        <r>
          <rPr>
            <sz val="9"/>
            <color indexed="81"/>
            <rFont val="Tahoma"/>
            <family val="2"/>
          </rPr>
          <t xml:space="preserve">
</t>
        </r>
      </text>
    </comment>
    <comment ref="R505" authorId="2">
      <text>
        <r>
          <rPr>
            <b/>
            <sz val="8"/>
            <color indexed="81"/>
            <rFont val="Tahoma"/>
            <family val="2"/>
          </rPr>
          <t>For Every 10 points of Disc =+10% TSC%</t>
        </r>
        <r>
          <rPr>
            <sz val="8"/>
            <color indexed="81"/>
            <rFont val="Tahoma"/>
            <family val="2"/>
          </rPr>
          <t xml:space="preserve">
</t>
        </r>
      </text>
    </comment>
    <comment ref="C529" authorId="5">
      <text>
        <r>
          <rPr>
            <b/>
            <sz val="8"/>
            <color indexed="81"/>
            <rFont val="Tahoma"/>
            <family val="2"/>
          </rPr>
          <t>odds, left side
evens, right side</t>
        </r>
        <r>
          <rPr>
            <sz val="8"/>
            <color indexed="81"/>
            <rFont val="Tahoma"/>
            <family val="2"/>
          </rPr>
          <t xml:space="preserve">
</t>
        </r>
      </text>
    </comment>
    <comment ref="C530" authorId="5">
      <text>
        <r>
          <rPr>
            <b/>
            <sz val="8"/>
            <color indexed="81"/>
            <rFont val="Tahoma"/>
            <family val="2"/>
          </rPr>
          <t>odds, left side
evens, right side</t>
        </r>
        <r>
          <rPr>
            <sz val="8"/>
            <color indexed="81"/>
            <rFont val="Tahoma"/>
            <family val="2"/>
          </rPr>
          <t xml:space="preserve">
</t>
        </r>
      </text>
    </comment>
    <comment ref="C533" authorId="5">
      <text>
        <r>
          <rPr>
            <b/>
            <sz val="8"/>
            <color indexed="81"/>
            <rFont val="Tahoma"/>
            <family val="2"/>
          </rPr>
          <t>odds, left side
evens, right side</t>
        </r>
        <r>
          <rPr>
            <sz val="8"/>
            <color indexed="81"/>
            <rFont val="Tahoma"/>
            <family val="2"/>
          </rPr>
          <t xml:space="preserve">
</t>
        </r>
      </text>
    </comment>
    <comment ref="C534" authorId="5">
      <text>
        <r>
          <rPr>
            <b/>
            <sz val="8"/>
            <color indexed="81"/>
            <rFont val="Tahoma"/>
            <family val="2"/>
          </rPr>
          <t>odds, left side
evens, right side</t>
        </r>
        <r>
          <rPr>
            <sz val="8"/>
            <color indexed="81"/>
            <rFont val="Tahoma"/>
            <family val="2"/>
          </rPr>
          <t xml:space="preserve">
</t>
        </r>
      </text>
    </comment>
    <comment ref="C535" authorId="5">
      <text>
        <r>
          <rPr>
            <b/>
            <sz val="8"/>
            <color indexed="81"/>
            <rFont val="Tahoma"/>
            <family val="2"/>
          </rPr>
          <t>odds, left side
evens, right side</t>
        </r>
        <r>
          <rPr>
            <sz val="8"/>
            <color indexed="81"/>
            <rFont val="Tahoma"/>
            <family val="2"/>
          </rPr>
          <t xml:space="preserve">
</t>
        </r>
      </text>
    </comment>
  </commentList>
</comments>
</file>

<file path=xl/comments4.xml><?xml version="1.0" encoding="utf-8"?>
<comments xmlns="http://schemas.openxmlformats.org/spreadsheetml/2006/main">
  <authors>
    <author>Allison E. Kaese</author>
    <author>LMIT-ODIN</author>
    <author>Allison Kaese</author>
  </authors>
  <commentList>
    <comment ref="A2" authorId="0">
      <text>
        <r>
          <rPr>
            <b/>
            <sz val="8"/>
            <color indexed="81"/>
            <rFont val="Tahoma"/>
            <family val="2"/>
          </rPr>
          <t>Book1, page 1-5</t>
        </r>
      </text>
    </comment>
    <comment ref="AA2" authorId="1">
      <text>
        <r>
          <rPr>
            <b/>
            <sz val="8"/>
            <color indexed="81"/>
            <rFont val="Tahoma"/>
            <family val="2"/>
          </rPr>
          <t>You can select the Primary Attributes specified for your Vocation from the Pull Down Menus below. This will determine the total number of Mastery Slots available.</t>
        </r>
      </text>
    </comment>
    <comment ref="A3" authorId="0">
      <text>
        <r>
          <rPr>
            <b/>
            <sz val="8"/>
            <color indexed="81"/>
            <rFont val="Tahoma"/>
            <family val="2"/>
          </rPr>
          <t xml:space="preserve">Book 1, Page 1-5
If Female, you may replace Brawling with two skills. One skill MUST be Courtly Manners if you are "Gentry" </t>
        </r>
      </text>
    </comment>
    <comment ref="K3" authorId="0">
      <text>
        <r>
          <rPr>
            <b/>
            <sz val="8"/>
            <color indexed="81"/>
            <rFont val="Tahoma"/>
            <family val="2"/>
          </rPr>
          <t>Book 1, Page 1-11</t>
        </r>
      </text>
    </comment>
    <comment ref="Z3" authorId="1">
      <text>
        <r>
          <rPr>
            <b/>
            <sz val="8"/>
            <color indexed="81"/>
            <rFont val="Tahoma"/>
            <family val="2"/>
          </rPr>
          <t xml:space="preserve">Book 1       - pg 1-28
Book 2       - pg 2-3
Book 3       - pg 3-36
Knight's      - Appendix A - pg 76
Dwarves     - Appendix A - pg 43
Elves          - Appendix A - pg 38
Armourer's - pg 4 </t>
        </r>
      </text>
    </comment>
    <comment ref="Q4" authorId="1">
      <text>
        <r>
          <rPr>
            <b/>
            <sz val="8"/>
            <color indexed="81"/>
            <rFont val="Tahoma"/>
            <family val="2"/>
          </rPr>
          <t xml:space="preserve">Book 1 pg 1-35
</t>
        </r>
      </text>
    </comment>
    <comment ref="U4" authorId="1">
      <text>
        <r>
          <rPr>
            <b/>
            <sz val="8"/>
            <color indexed="81"/>
            <rFont val="Tahoma"/>
            <family val="2"/>
          </rPr>
          <t>How Many Racial Skills?</t>
        </r>
        <r>
          <rPr>
            <sz val="8"/>
            <color indexed="81"/>
            <rFont val="Tahoma"/>
            <family val="2"/>
          </rPr>
          <t xml:space="preserve">
</t>
        </r>
      </text>
    </comment>
    <comment ref="V5" authorId="2">
      <text>
        <r>
          <rPr>
            <b/>
            <sz val="8"/>
            <color indexed="81"/>
            <rFont val="Tahoma"/>
            <family val="2"/>
          </rPr>
          <t>These are the number of skills provided by the character's background</t>
        </r>
      </text>
    </comment>
    <comment ref="A6" authorId="0">
      <text>
        <r>
          <rPr>
            <b/>
            <sz val="8"/>
            <color indexed="81"/>
            <rFont val="Tahoma"/>
            <family val="2"/>
          </rPr>
          <t>As per Book 2, page 2-2 &amp; 2-84</t>
        </r>
      </text>
    </comment>
    <comment ref="A7" authorId="2">
      <text>
        <r>
          <rPr>
            <b/>
            <sz val="9"/>
            <color indexed="81"/>
            <rFont val="Tahoma"/>
            <family val="2"/>
          </rPr>
          <t>Denote these skills by entering "Y" under the class column on the Skills worksheet.</t>
        </r>
        <r>
          <rPr>
            <sz val="9"/>
            <color indexed="81"/>
            <rFont val="Tahoma"/>
            <family val="2"/>
          </rPr>
          <t xml:space="preserve">
</t>
        </r>
      </text>
    </comment>
    <comment ref="V10" authorId="2">
      <text>
        <r>
          <rPr>
            <sz val="9"/>
            <color indexed="81"/>
            <rFont val="Tahoma"/>
            <family val="2"/>
          </rPr>
          <t>Each character starts with</t>
        </r>
        <r>
          <rPr>
            <b/>
            <sz val="9"/>
            <color indexed="81"/>
            <rFont val="Tahoma"/>
            <family val="2"/>
          </rPr>
          <t xml:space="preserve"> 5</t>
        </r>
        <r>
          <rPr>
            <sz val="9"/>
            <color indexed="81"/>
            <rFont val="Tahoma"/>
            <family val="2"/>
          </rPr>
          <t xml:space="preserve"> mastery skills. If the </t>
        </r>
        <r>
          <rPr>
            <b/>
            <sz val="9"/>
            <color indexed="81"/>
            <rFont val="Tahoma"/>
            <family val="2"/>
          </rPr>
          <t>Num.</t>
        </r>
        <r>
          <rPr>
            <sz val="9"/>
            <color indexed="81"/>
            <rFont val="Tahoma"/>
            <family val="2"/>
          </rPr>
          <t xml:space="preserve"> </t>
        </r>
        <r>
          <rPr>
            <b/>
            <sz val="9"/>
            <color indexed="81"/>
            <rFont val="Tahoma"/>
            <family val="2"/>
          </rPr>
          <t>Avail</t>
        </r>
        <r>
          <rPr>
            <sz val="9"/>
            <color indexed="81"/>
            <rFont val="Tahoma"/>
            <family val="2"/>
          </rPr>
          <t xml:space="preserve"> is greater than 5, the character has earned another mastery. See </t>
        </r>
        <r>
          <rPr>
            <b/>
            <sz val="9"/>
            <color indexed="81"/>
            <rFont val="Tahoma"/>
            <family val="2"/>
          </rPr>
          <t>Book 1 Pg 1-37 table 4.2</t>
        </r>
      </text>
    </comment>
    <comment ref="D11" authorId="0">
      <text>
        <r>
          <rPr>
            <sz val="8"/>
            <color indexed="81"/>
            <rFont val="Tahoma"/>
            <family val="2"/>
          </rPr>
          <t xml:space="preserve">Please note:
The Use of Horoscopes is </t>
        </r>
        <r>
          <rPr>
            <b/>
            <sz val="8"/>
            <color indexed="81"/>
            <rFont val="Tahoma"/>
            <family val="2"/>
          </rPr>
          <t xml:space="preserve">OPTIONAL.  </t>
        </r>
        <r>
          <rPr>
            <sz val="8"/>
            <color indexed="81"/>
            <rFont val="Tahoma"/>
            <family val="2"/>
          </rPr>
          <t xml:space="preserve">Use of this option may NOT be permitted by your GM!
</t>
        </r>
        <r>
          <rPr>
            <sz val="8"/>
            <color indexed="81"/>
            <rFont val="Tahoma"/>
            <family val="2"/>
          </rPr>
          <t xml:space="preserve">
</t>
        </r>
      </text>
    </comment>
    <comment ref="V11" authorId="2">
      <text>
        <r>
          <rPr>
            <b/>
            <sz val="8"/>
            <color indexed="81"/>
            <rFont val="Tahoma"/>
            <family val="2"/>
          </rPr>
          <t>This is the TOTAL possible number of skills the character has available for "Free" BEFORE he spends his starting experience.</t>
        </r>
        <r>
          <rPr>
            <sz val="8"/>
            <color indexed="81"/>
            <rFont val="Tahoma"/>
            <family val="2"/>
          </rPr>
          <t xml:space="preserve">
</t>
        </r>
      </text>
    </comment>
    <comment ref="D13" authorId="0">
      <text>
        <r>
          <rPr>
            <sz val="8"/>
            <color indexed="81"/>
            <rFont val="Tahoma"/>
            <family val="2"/>
          </rPr>
          <t xml:space="preserve">Please note:
</t>
        </r>
        <r>
          <rPr>
            <sz val="8"/>
            <color indexed="81"/>
            <rFont val="Tahoma"/>
            <family val="2"/>
          </rPr>
          <t>Use of this option may NOT be permitted by your GM!</t>
        </r>
      </text>
    </comment>
    <comment ref="L13" authorId="1">
      <text>
        <r>
          <rPr>
            <b/>
            <sz val="8"/>
            <color indexed="81"/>
            <rFont val="Tahoma"/>
            <family val="2"/>
          </rPr>
          <t>If the Scholarly option is chosen, the player may opt to replace any additional combat skills they might be "due" according to their status with Learned Lore skills. 
Check with your GM for further info.</t>
        </r>
        <r>
          <rPr>
            <sz val="8"/>
            <color indexed="81"/>
            <rFont val="Tahoma"/>
            <family val="2"/>
          </rPr>
          <t xml:space="preserve">
</t>
        </r>
      </text>
    </comment>
    <comment ref="Q13" authorId="1">
      <text>
        <r>
          <rPr>
            <b/>
            <sz val="8"/>
            <color indexed="81"/>
            <rFont val="Tahoma"/>
            <family val="2"/>
          </rPr>
          <t>Book 1 pg 1-21</t>
        </r>
      </text>
    </comment>
    <comment ref="D15" authorId="0">
      <text>
        <r>
          <rPr>
            <sz val="8"/>
            <color indexed="81"/>
            <rFont val="Tahoma"/>
            <family val="2"/>
          </rPr>
          <t xml:space="preserve">Please note:
</t>
        </r>
        <r>
          <rPr>
            <sz val="8"/>
            <color indexed="81"/>
            <rFont val="Tahoma"/>
            <family val="2"/>
          </rPr>
          <t>Use of this option may NOT be permitted by your GM!</t>
        </r>
      </text>
    </comment>
    <comment ref="B22" authorId="0">
      <text>
        <r>
          <rPr>
            <b/>
            <sz val="8"/>
            <color indexed="81"/>
            <rFont val="Tahoma"/>
            <family val="2"/>
          </rPr>
          <t>Book 1, Page 1-23&amp;1-24</t>
        </r>
      </text>
    </comment>
    <comment ref="Q24" authorId="1">
      <text>
        <r>
          <rPr>
            <b/>
            <sz val="8"/>
            <color indexed="81"/>
            <rFont val="Tahoma"/>
            <family val="2"/>
          </rPr>
          <t>Book 1 pg 1-102 &amp;
Book 3 pg 3-9</t>
        </r>
      </text>
    </comment>
    <comment ref="R24" authorId="0">
      <text>
        <r>
          <rPr>
            <b/>
            <sz val="8"/>
            <color indexed="81"/>
            <rFont val="Tahoma"/>
            <family val="2"/>
          </rPr>
          <t>This is the base downtime experience awarded for every character type. Only those capable of Scholarly research receive extra downtime awards.</t>
        </r>
        <r>
          <rPr>
            <sz val="8"/>
            <color indexed="81"/>
            <rFont val="Tahoma"/>
            <family val="2"/>
          </rPr>
          <t xml:space="preserve">
</t>
        </r>
      </text>
    </comment>
    <comment ref="V24" authorId="0">
      <text>
        <r>
          <rPr>
            <b/>
            <sz val="8"/>
            <color indexed="81"/>
            <rFont val="Tahoma"/>
            <family val="2"/>
          </rPr>
          <t xml:space="preserve">Enter the number of days spent in latest Downtime 
session.
</t>
        </r>
      </text>
    </comment>
    <comment ref="W24" authorId="0">
      <text>
        <r>
          <rPr>
            <b/>
            <sz val="8"/>
            <color indexed="81"/>
            <rFont val="Tahoma"/>
            <family val="2"/>
          </rPr>
          <t>Total number of 
Experience from 
latest Downtime session</t>
        </r>
        <r>
          <rPr>
            <sz val="8"/>
            <color indexed="81"/>
            <rFont val="Tahoma"/>
            <family val="2"/>
          </rPr>
          <t xml:space="preserve">
</t>
        </r>
      </text>
    </comment>
    <comment ref="Z24" authorId="2">
      <text>
        <r>
          <rPr>
            <b/>
            <sz val="9"/>
            <color indexed="81"/>
            <rFont val="Tahoma"/>
            <family val="2"/>
          </rPr>
          <t>As per Book 3, pg. 3-10</t>
        </r>
        <r>
          <rPr>
            <sz val="9"/>
            <color indexed="81"/>
            <rFont val="Tahoma"/>
            <family val="2"/>
          </rPr>
          <t xml:space="preserve">
</t>
        </r>
      </text>
    </comment>
    <comment ref="AD25" authorId="2">
      <text>
        <r>
          <rPr>
            <b/>
            <sz val="9"/>
            <color indexed="81"/>
            <rFont val="Tahoma"/>
            <family val="2"/>
          </rPr>
          <t>To avoid Death</t>
        </r>
      </text>
    </comment>
    <comment ref="S30" authorId="2">
      <text>
        <r>
          <rPr>
            <b/>
            <sz val="8"/>
            <color indexed="81"/>
            <rFont val="Tahoma"/>
            <family val="2"/>
          </rPr>
          <t>Enter the amount awarded by your GM
here.</t>
        </r>
        <r>
          <rPr>
            <sz val="8"/>
            <color indexed="81"/>
            <rFont val="Tahoma"/>
            <family val="2"/>
          </rPr>
          <t xml:space="preserve">
</t>
        </r>
      </text>
    </comment>
    <comment ref="AB31" authorId="2">
      <text>
        <r>
          <rPr>
            <b/>
            <sz val="9"/>
            <color indexed="81"/>
            <rFont val="Tahoma"/>
            <family val="2"/>
          </rPr>
          <t xml:space="preserve">To enhance a skill, as per book 3, Table 1.8
on pg. 3-10
</t>
        </r>
        <r>
          <rPr>
            <sz val="9"/>
            <color indexed="81"/>
            <rFont val="Tahoma"/>
            <family val="2"/>
          </rPr>
          <t xml:space="preserve">
</t>
        </r>
      </text>
    </comment>
    <comment ref="AC31" authorId="1">
      <text>
        <r>
          <rPr>
            <b/>
            <sz val="8"/>
            <color indexed="81"/>
            <rFont val="Tahoma"/>
            <family val="2"/>
          </rPr>
          <t>If the character has at 1 minute or 4 combat rounds to study the task.</t>
        </r>
        <r>
          <rPr>
            <sz val="8"/>
            <color indexed="81"/>
            <rFont val="Tahoma"/>
            <family val="2"/>
          </rPr>
          <t xml:space="preserve">
</t>
        </r>
      </text>
    </comment>
    <comment ref="AD31" authorId="2">
      <text>
        <r>
          <rPr>
            <b/>
            <sz val="9"/>
            <color indexed="81"/>
            <rFont val="Tahoma"/>
            <family val="2"/>
          </rPr>
          <t>If the character has no time to study the task at hand.</t>
        </r>
      </text>
    </comment>
    <comment ref="H32" authorId="2">
      <text>
        <r>
          <rPr>
            <b/>
            <sz val="9"/>
            <color indexed="81"/>
            <rFont val="Tahoma"/>
            <family val="2"/>
          </rPr>
          <t xml:space="preserve">Technically, this should be limited to Zodiac Skills only - At this time, it is calculating only on Crit Die Experience for Success with a Mastery Skill.
</t>
        </r>
        <r>
          <rPr>
            <sz val="9"/>
            <color indexed="81"/>
            <rFont val="Tahoma"/>
            <family val="2"/>
          </rPr>
          <t xml:space="preserve">
</t>
        </r>
      </text>
    </comment>
    <comment ref="H33" authorId="1">
      <text>
        <r>
          <rPr>
            <b/>
            <sz val="8"/>
            <color indexed="81"/>
            <rFont val="Tahoma"/>
            <family val="2"/>
          </rPr>
          <t>When the game is finished, and experience is awarded, add this value to the Awarded Experience field along with whatever amount your GM awards.</t>
        </r>
        <r>
          <rPr>
            <sz val="8"/>
            <color indexed="81"/>
            <rFont val="Tahoma"/>
            <family val="2"/>
          </rPr>
          <t xml:space="preserve">
</t>
        </r>
      </text>
    </comment>
    <comment ref="E36" authorId="1">
      <text>
        <r>
          <rPr>
            <b/>
            <sz val="8"/>
            <color indexed="81"/>
            <rFont val="Tahoma"/>
            <family val="2"/>
          </rPr>
          <t>This section is used during game play to track experience based on critical rolls. This is as per Table 1.1 - Experience Awards on Pg 3-6 of Book 3.</t>
        </r>
        <r>
          <rPr>
            <sz val="8"/>
            <color indexed="81"/>
            <rFont val="Tahoma"/>
            <family val="2"/>
          </rPr>
          <t xml:space="preserve">
</t>
        </r>
      </text>
    </comment>
    <comment ref="D44" authorId="1">
      <text>
        <r>
          <rPr>
            <b/>
            <sz val="8"/>
            <color indexed="81"/>
            <rFont val="Tahoma"/>
            <family val="2"/>
          </rPr>
          <t xml:space="preserve">This section is to assist the player in figuring out if they should try attempting to either learn a skill by trial &amp; error or by taking a chance on it during a game session. </t>
        </r>
        <r>
          <rPr>
            <sz val="8"/>
            <color indexed="81"/>
            <rFont val="Tahoma"/>
            <family val="2"/>
          </rPr>
          <t xml:space="preserve">
</t>
        </r>
      </text>
    </comment>
    <comment ref="R46" authorId="1">
      <text>
        <r>
          <rPr>
            <b/>
            <sz val="8"/>
            <color indexed="81"/>
            <rFont val="Tahoma"/>
            <family val="2"/>
          </rPr>
          <t># of days needed to reach Basic Knowledge</t>
        </r>
      </text>
    </comment>
    <comment ref="S46" authorId="1">
      <text>
        <r>
          <rPr>
            <b/>
            <sz val="8"/>
            <color indexed="81"/>
            <rFont val="Tahoma"/>
            <family val="2"/>
          </rPr>
          <t># of days needed if taught by a teacher</t>
        </r>
        <r>
          <rPr>
            <sz val="8"/>
            <color indexed="81"/>
            <rFont val="Tahoma"/>
            <family val="2"/>
          </rPr>
          <t xml:space="preserve">
</t>
        </r>
      </text>
    </comment>
    <comment ref="T46" authorId="1">
      <text>
        <r>
          <rPr>
            <b/>
            <sz val="8"/>
            <color indexed="81"/>
            <rFont val="Tahoma"/>
            <family val="2"/>
          </rPr>
          <t>Discipline modifiers</t>
        </r>
      </text>
    </comment>
    <comment ref="U46" authorId="1">
      <text>
        <r>
          <rPr>
            <b/>
            <sz val="8"/>
            <color indexed="81"/>
            <rFont val="Tahoma"/>
            <family val="2"/>
          </rPr>
          <t>Actual time needed to learn Basic Knowledge</t>
        </r>
      </text>
    </comment>
    <comment ref="C64" authorId="1">
      <text>
        <r>
          <rPr>
            <b/>
            <sz val="8"/>
            <color indexed="81"/>
            <rFont val="Tahoma"/>
            <family val="2"/>
          </rPr>
          <t>as per Pg 3-10 in Book 3.</t>
        </r>
        <r>
          <rPr>
            <sz val="8"/>
            <color indexed="81"/>
            <rFont val="Tahoma"/>
            <family val="2"/>
          </rPr>
          <t xml:space="preserve">
</t>
        </r>
      </text>
    </comment>
    <comment ref="O65" authorId="0">
      <text>
        <r>
          <rPr>
            <b/>
            <sz val="8"/>
            <color indexed="81"/>
            <rFont val="Tahoma"/>
            <family val="2"/>
          </rPr>
          <t>Regular Success</t>
        </r>
      </text>
    </comment>
    <comment ref="O66" authorId="0">
      <text>
        <r>
          <rPr>
            <b/>
            <sz val="8"/>
            <color indexed="81"/>
            <rFont val="Tahoma"/>
            <family val="2"/>
          </rPr>
          <t>Critical Success</t>
        </r>
      </text>
    </comment>
    <comment ref="O67" authorId="0">
      <text>
        <r>
          <rPr>
            <b/>
            <sz val="8"/>
            <color indexed="81"/>
            <rFont val="Tahoma"/>
            <family val="2"/>
          </rPr>
          <t>Critical Failure</t>
        </r>
      </text>
    </comment>
  </commentList>
</comments>
</file>

<file path=xl/comments5.xml><?xml version="1.0" encoding="utf-8"?>
<comments xmlns="http://schemas.openxmlformats.org/spreadsheetml/2006/main">
  <authors>
    <author>A satisfied Microsoft Office User</author>
    <author>LMIT-ODIN</author>
    <author>Allison Kaese</author>
    <author>Allison &amp; Kory Kaese</author>
    <author>Compaq</author>
    <author>MSD-Presentation</author>
    <author>Allison E. Kaese</author>
    <author>akaese</author>
    <author>Kaese, Allison E. (HQ-LM020)[HP ES]</author>
    <author>Kaese, Allison E. (GSFC-750.0)[HP ES]</author>
  </authors>
  <commentList>
    <comment ref="AI1" authorId="0">
      <text>
        <r>
          <rPr>
            <b/>
            <sz val="8"/>
            <color indexed="81"/>
            <rFont val="Tahoma"/>
            <family val="2"/>
          </rPr>
          <t xml:space="preserve">Character Background?
</t>
        </r>
        <r>
          <rPr>
            <sz val="8"/>
            <color indexed="81"/>
            <rFont val="Tahoma"/>
            <family val="2"/>
          </rPr>
          <t xml:space="preserve">(I.e. From Status Charts)
</t>
        </r>
        <r>
          <rPr>
            <b/>
            <sz val="8"/>
            <color indexed="81"/>
            <rFont val="Tahoma"/>
            <family val="2"/>
          </rPr>
          <t xml:space="preserve">
</t>
        </r>
        <r>
          <rPr>
            <sz val="8"/>
            <color indexed="81"/>
            <rFont val="Tahoma"/>
            <family val="2"/>
          </rPr>
          <t>Y = yes
N = no</t>
        </r>
      </text>
    </comment>
    <comment ref="BH1" authorId="1">
      <text>
        <r>
          <rPr>
            <b/>
            <sz val="8"/>
            <color indexed="81"/>
            <rFont val="Times New Roman"/>
            <family val="1"/>
          </rPr>
          <t xml:space="preserve">Book 1       -  pg 1-42 to 1-78
Book 2       -  pg 2-10 to 2-20
Book 3       -  pg 3-51 to 3-63
Knight's    -  pg  8 to 10, 
                    pg 17 to 19, 
                    pg 22 to 24
Armourer's - pg  6 to 8 </t>
        </r>
      </text>
    </comment>
    <comment ref="A3" authorId="2">
      <text>
        <r>
          <rPr>
            <b/>
            <sz val="9"/>
            <color indexed="81"/>
            <rFont val="Tahoma"/>
            <family val="2"/>
          </rPr>
          <t>If the skill name is italicized, it is a skill that was added to the Rebirth edition by Mystic Station Designs, LLC</t>
        </r>
      </text>
    </comment>
    <comment ref="B3" authorId="3">
      <text>
        <r>
          <rPr>
            <b/>
            <sz val="8"/>
            <color indexed="81"/>
            <rFont val="Tahoma"/>
            <family val="2"/>
          </rPr>
          <t>~</t>
        </r>
        <r>
          <rPr>
            <sz val="8"/>
            <color indexed="81"/>
            <rFont val="Tahoma"/>
            <family val="2"/>
          </rPr>
          <t xml:space="preserve"> means that this skill cannot be performed without first acquiring </t>
        </r>
        <r>
          <rPr>
            <b/>
            <sz val="8"/>
            <color indexed="81"/>
            <rFont val="Tahoma"/>
            <family val="2"/>
          </rPr>
          <t>Basic Knowledge.</t>
        </r>
        <r>
          <rPr>
            <sz val="8"/>
            <color indexed="81"/>
            <rFont val="Tahoma"/>
            <family val="2"/>
          </rPr>
          <t xml:space="preserve">
</t>
        </r>
      </text>
    </comment>
    <comment ref="C3" authorId="3">
      <text>
        <r>
          <rPr>
            <b/>
            <sz val="8"/>
            <color indexed="81"/>
            <rFont val="Tahoma"/>
            <family val="2"/>
          </rPr>
          <t>R</t>
        </r>
        <r>
          <rPr>
            <sz val="8"/>
            <color indexed="81"/>
            <rFont val="Tahoma"/>
            <family val="2"/>
          </rPr>
          <t xml:space="preserve"> means that this skill can be Resisted when performed. 
</t>
        </r>
      </text>
    </comment>
    <comment ref="D3" authorId="4">
      <text>
        <r>
          <rPr>
            <sz val="8"/>
            <color indexed="81"/>
            <rFont val="Tahoma"/>
            <family val="2"/>
          </rPr>
          <t>F = Fighter
K = Knight
&amp; = Both
" " = Any</t>
        </r>
      </text>
    </comment>
    <comment ref="F3" authorId="3">
      <text>
        <r>
          <rPr>
            <sz val="8"/>
            <color indexed="81"/>
            <rFont val="Tahoma"/>
            <family val="2"/>
          </rPr>
          <t xml:space="preserve">Is the </t>
        </r>
        <r>
          <rPr>
            <b/>
            <sz val="8"/>
            <color indexed="81"/>
            <rFont val="Tahoma"/>
            <family val="2"/>
          </rPr>
          <t>Difficulty Factor</t>
        </r>
        <r>
          <rPr>
            <sz val="8"/>
            <color indexed="81"/>
            <rFont val="Tahoma"/>
            <family val="2"/>
          </rPr>
          <t xml:space="preserve"> of this skill modified by Mage or other Packages?
S = Specialist Mages
N = None</t>
        </r>
      </text>
    </comment>
    <comment ref="G3" authorId="4">
      <text>
        <r>
          <rPr>
            <sz val="8"/>
            <color indexed="81"/>
            <rFont val="Tahoma"/>
            <family val="2"/>
          </rPr>
          <t>If you had a teacher for this skill - how many 
Levels of Profiency did
he school you in?</t>
        </r>
      </text>
    </comment>
    <comment ref="H3" authorId="3">
      <text>
        <r>
          <rPr>
            <sz val="8"/>
            <color indexed="81"/>
            <rFont val="Tahoma"/>
            <family val="2"/>
          </rPr>
          <t xml:space="preserve">Have you devoted a </t>
        </r>
        <r>
          <rPr>
            <b/>
            <sz val="8"/>
            <color indexed="81"/>
            <rFont val="Tahoma"/>
            <family val="2"/>
          </rPr>
          <t>Mastery Slot</t>
        </r>
        <r>
          <rPr>
            <sz val="8"/>
            <color indexed="81"/>
            <rFont val="Tahoma"/>
            <family val="2"/>
          </rPr>
          <t xml:space="preserve"> to this skill?
</t>
        </r>
        <r>
          <rPr>
            <sz val="8"/>
            <color indexed="81"/>
            <rFont val="Tahoma"/>
            <family val="2"/>
          </rPr>
          <t>Y = yes
N = no</t>
        </r>
      </text>
    </comment>
    <comment ref="I3" authorId="3">
      <text>
        <r>
          <rPr>
            <sz val="8"/>
            <color indexed="81"/>
            <rFont val="Tahoma"/>
            <family val="2"/>
          </rPr>
          <t xml:space="preserve">Use This column to denote which skills were selected as vocational or background at your </t>
        </r>
        <r>
          <rPr>
            <b/>
            <sz val="8"/>
            <color indexed="81"/>
            <rFont val="Tahoma"/>
            <family val="2"/>
          </rPr>
          <t xml:space="preserve">Character's </t>
        </r>
        <r>
          <rPr>
            <sz val="8"/>
            <color indexed="81"/>
            <rFont val="Tahoma"/>
            <family val="2"/>
          </rPr>
          <t>creation.  Use multiple codes ("FV") if a skill is selected multiple ways.
C = Cultural                      D = Dwarven Clan            E = Elven House                  F = Family                                    G = GM-given                   L = Lore (Scholarship)       R = Racial                            S = Social Class                 V = Vocational                  Z = Zodiac                        N = No</t>
        </r>
      </text>
    </comment>
    <comment ref="J3" authorId="4">
      <text>
        <r>
          <rPr>
            <b/>
            <sz val="8"/>
            <color indexed="81"/>
            <rFont val="Tahoma"/>
            <family val="2"/>
          </rPr>
          <t xml:space="preserve">Social Class enhanced skills
(+1 level)
</t>
        </r>
      </text>
    </comment>
    <comment ref="K3" authorId="4">
      <text>
        <r>
          <rPr>
            <b/>
            <sz val="8"/>
            <color indexed="81"/>
            <rFont val="Tahoma"/>
            <family val="2"/>
          </rPr>
          <t xml:space="preserve">Born with an aptitude for this Skill?
</t>
        </r>
      </text>
    </comment>
    <comment ref="L3" authorId="4">
      <text>
        <r>
          <rPr>
            <b/>
            <sz val="8"/>
            <color indexed="81"/>
            <rFont val="Tahoma"/>
            <family val="2"/>
          </rPr>
          <t>Scholarship Special Ability:
Use 0 for ANY skills not given a specific bonus
Use 1 for Intellect bonus OR Wisdom bonus
Use 2 for Intellect bonus AND Wisdom bonus</t>
        </r>
      </text>
    </comment>
    <comment ref="M3" authorId="4">
      <text>
        <r>
          <rPr>
            <b/>
            <sz val="8"/>
            <color indexed="81"/>
            <rFont val="Tahoma"/>
            <family val="2"/>
          </rPr>
          <t>Is this one of the skills from the character's
Scholarly Option "Bundle"?</t>
        </r>
      </text>
    </comment>
    <comment ref="N3" authorId="3">
      <text>
        <r>
          <rPr>
            <sz val="8"/>
            <color indexed="81"/>
            <rFont val="Tahoma"/>
            <family val="2"/>
          </rPr>
          <t xml:space="preserve">Is this a </t>
        </r>
        <r>
          <rPr>
            <b/>
            <sz val="8"/>
            <color indexed="81"/>
            <rFont val="Tahoma"/>
            <family val="2"/>
          </rPr>
          <t xml:space="preserve">Vocational </t>
        </r>
        <r>
          <rPr>
            <sz val="8"/>
            <color indexed="81"/>
            <rFont val="Tahoma"/>
            <family val="2"/>
          </rPr>
          <t xml:space="preserve">Skill?
P = Primary
S = Secondary
T = Tertiary
</t>
        </r>
      </text>
    </comment>
    <comment ref="P3" authorId="5">
      <text>
        <r>
          <rPr>
            <b/>
            <sz val="8"/>
            <color indexed="81"/>
            <rFont val="Tahoma"/>
            <family val="2"/>
          </rPr>
          <t xml:space="preserve">Please note -these attributes can be modified. </t>
        </r>
        <r>
          <rPr>
            <sz val="8"/>
            <color indexed="81"/>
            <rFont val="Tahoma"/>
            <family val="2"/>
          </rPr>
          <t xml:space="preserve">
Attributes in the column labeled "S" can be replaced with Discipline or Dexterity if applicable</t>
        </r>
      </text>
    </comment>
    <comment ref="AH3" authorId="3">
      <text>
        <r>
          <rPr>
            <b/>
            <sz val="8"/>
            <color indexed="81"/>
            <rFont val="Tahoma"/>
            <family val="2"/>
          </rPr>
          <t xml:space="preserve">If a"*" appears in this column, the skill denoted has a proficiency level which exceeds the character's Experience level. This means that the estimated cost is inaccurate
</t>
        </r>
        <r>
          <rPr>
            <sz val="8"/>
            <color indexed="81"/>
            <rFont val="Tahoma"/>
            <family val="2"/>
          </rPr>
          <t xml:space="preserve">
</t>
        </r>
      </text>
    </comment>
    <comment ref="AI3" authorId="2">
      <text>
        <r>
          <rPr>
            <b/>
            <sz val="8"/>
            <color indexed="81"/>
            <rFont val="Tahoma"/>
            <family val="2"/>
          </rPr>
          <t>Enter the amount of points actually spent on skills in this column.</t>
        </r>
        <r>
          <rPr>
            <sz val="8"/>
            <color indexed="81"/>
            <rFont val="Tahoma"/>
            <family val="2"/>
          </rPr>
          <t xml:space="preserve">
</t>
        </r>
      </text>
    </comment>
    <comment ref="AL3" authorId="3">
      <text>
        <r>
          <rPr>
            <sz val="8"/>
            <color indexed="81"/>
            <rFont val="Tahoma"/>
            <family val="2"/>
          </rPr>
          <t xml:space="preserve">Have you devoted a </t>
        </r>
        <r>
          <rPr>
            <b/>
            <sz val="8"/>
            <color indexed="81"/>
            <rFont val="Tahoma"/>
            <family val="2"/>
          </rPr>
          <t>Mastery Slot</t>
        </r>
        <r>
          <rPr>
            <sz val="8"/>
            <color indexed="81"/>
            <rFont val="Tahoma"/>
            <family val="2"/>
          </rPr>
          <t xml:space="preserve"> to this skill?
</t>
        </r>
        <r>
          <rPr>
            <sz val="8"/>
            <color indexed="81"/>
            <rFont val="Tahoma"/>
            <family val="2"/>
          </rPr>
          <t>Y = yes
N = no</t>
        </r>
      </text>
    </comment>
    <comment ref="AM3" authorId="4">
      <text>
        <r>
          <rPr>
            <b/>
            <sz val="8"/>
            <color indexed="81"/>
            <rFont val="Tahoma"/>
            <family val="2"/>
          </rPr>
          <t xml:space="preserve">Class enhanced skills
</t>
        </r>
      </text>
    </comment>
    <comment ref="AN3" authorId="3">
      <text>
        <r>
          <rPr>
            <sz val="8"/>
            <color indexed="81"/>
            <rFont val="Tahoma"/>
            <family val="2"/>
          </rPr>
          <t xml:space="preserve">Is this a </t>
        </r>
        <r>
          <rPr>
            <b/>
            <sz val="8"/>
            <color indexed="81"/>
            <rFont val="Tahoma"/>
            <family val="2"/>
          </rPr>
          <t xml:space="preserve">Vocational </t>
        </r>
        <r>
          <rPr>
            <sz val="8"/>
            <color indexed="81"/>
            <rFont val="Tahoma"/>
            <family val="2"/>
          </rPr>
          <t xml:space="preserve">Skill?
P = Primary
S = Secondary
T = Tertiary
N = No
</t>
        </r>
      </text>
    </comment>
    <comment ref="AQ3" authorId="5">
      <text>
        <r>
          <rPr>
            <b/>
            <sz val="8"/>
            <color indexed="81"/>
            <rFont val="Tahoma"/>
            <family val="2"/>
          </rPr>
          <t xml:space="preserve">Please remember to Double the cost per level if you exceed your character level
</t>
        </r>
        <r>
          <rPr>
            <sz val="8"/>
            <color indexed="81"/>
            <rFont val="Tahoma"/>
            <family val="2"/>
          </rPr>
          <t xml:space="preserve">
</t>
        </r>
      </text>
    </comment>
    <comment ref="BH3" authorId="5">
      <text>
        <r>
          <rPr>
            <b/>
            <sz val="8"/>
            <color indexed="81"/>
            <rFont val="Tahoma"/>
            <family val="2"/>
          </rPr>
          <t xml:space="preserve">If your GM gives you targeted experience, sum it up in this column. It will be automatically added to the Awarded experience cell - Experience!P31
</t>
        </r>
      </text>
    </comment>
    <comment ref="P4" authorId="5">
      <text>
        <r>
          <rPr>
            <b/>
            <sz val="8"/>
            <color indexed="81"/>
            <rFont val="Tahoma"/>
            <family val="2"/>
          </rPr>
          <t>Primary Skill Attribute</t>
        </r>
        <r>
          <rPr>
            <sz val="8"/>
            <color indexed="81"/>
            <rFont val="Tahoma"/>
            <family val="2"/>
          </rPr>
          <t xml:space="preserve">
</t>
        </r>
      </text>
    </comment>
    <comment ref="S4" authorId="5">
      <text>
        <r>
          <rPr>
            <b/>
            <sz val="8"/>
            <color indexed="81"/>
            <rFont val="Tahoma"/>
            <family val="2"/>
          </rPr>
          <t>Secondary Skill Attribute</t>
        </r>
        <r>
          <rPr>
            <sz val="8"/>
            <color indexed="81"/>
            <rFont val="Tahoma"/>
            <family val="2"/>
          </rPr>
          <t xml:space="preserve">
</t>
        </r>
      </text>
    </comment>
    <comment ref="A16" authorId="2">
      <text>
        <r>
          <rPr>
            <b/>
            <sz val="8"/>
            <color indexed="81"/>
            <rFont val="Tahoma"/>
            <family val="2"/>
          </rPr>
          <t>Starting Characters of appropriate backgrounds will start with 3 Animal Husbandry skills.</t>
        </r>
        <r>
          <rPr>
            <sz val="8"/>
            <color indexed="81"/>
            <rFont val="Tahoma"/>
            <family val="2"/>
          </rPr>
          <t xml:space="preserve">
</t>
        </r>
      </text>
    </comment>
    <comment ref="A173" authorId="3">
      <text>
        <r>
          <rPr>
            <sz val="8"/>
            <color indexed="81"/>
            <rFont val="Tahoma"/>
            <family val="2"/>
          </rPr>
          <t xml:space="preserve">Requires </t>
        </r>
        <r>
          <rPr>
            <b/>
            <sz val="8"/>
            <color indexed="81"/>
            <rFont val="Tahoma"/>
            <family val="2"/>
          </rPr>
          <t>Bow/Shortbow</t>
        </r>
        <r>
          <rPr>
            <sz val="8"/>
            <color indexed="81"/>
            <rFont val="Tahoma"/>
            <family val="2"/>
          </rPr>
          <t xml:space="preserve"> as a prerequisite skill!</t>
        </r>
      </text>
    </comment>
    <comment ref="A174" authorId="3">
      <text>
        <r>
          <rPr>
            <sz val="8"/>
            <color indexed="81"/>
            <rFont val="Tahoma"/>
            <family val="2"/>
          </rPr>
          <t xml:space="preserve">Requires </t>
        </r>
        <r>
          <rPr>
            <b/>
            <sz val="8"/>
            <color indexed="81"/>
            <rFont val="Tahoma"/>
            <family val="2"/>
          </rPr>
          <t>War Axes</t>
        </r>
        <r>
          <rPr>
            <sz val="8"/>
            <color indexed="81"/>
            <rFont val="Tahoma"/>
            <family val="2"/>
          </rPr>
          <t xml:space="preserve"> as a
prerequisite skill!
</t>
        </r>
      </text>
    </comment>
    <comment ref="A175" authorId="3">
      <text>
        <r>
          <rPr>
            <sz val="8"/>
            <color indexed="81"/>
            <rFont val="Tahoma"/>
            <family val="2"/>
          </rPr>
          <t xml:space="preserve">Requires </t>
        </r>
        <r>
          <rPr>
            <b/>
            <sz val="8"/>
            <color indexed="81"/>
            <rFont val="Tahoma"/>
            <family val="2"/>
          </rPr>
          <t>Maces, Hammers &amp; Clubs</t>
        </r>
        <r>
          <rPr>
            <sz val="8"/>
            <color indexed="81"/>
            <rFont val="Tahoma"/>
            <family val="2"/>
          </rPr>
          <t xml:space="preserve"> as a prerequisite skill!</t>
        </r>
      </text>
    </comment>
    <comment ref="A176" authorId="3">
      <text>
        <r>
          <rPr>
            <sz val="8"/>
            <color indexed="81"/>
            <rFont val="Tahoma"/>
            <family val="2"/>
          </rPr>
          <t xml:space="preserve">Requires </t>
        </r>
        <r>
          <rPr>
            <b/>
            <sz val="8"/>
            <color indexed="81"/>
            <rFont val="Tahoma"/>
            <family val="2"/>
          </rPr>
          <t>Spears</t>
        </r>
        <r>
          <rPr>
            <sz val="8"/>
            <color indexed="81"/>
            <rFont val="Tahoma"/>
            <family val="2"/>
          </rPr>
          <t xml:space="preserve"> as a prerequisite skill!</t>
        </r>
      </text>
    </comment>
    <comment ref="A186" authorId="3">
      <text>
        <r>
          <rPr>
            <b/>
            <sz val="8"/>
            <color indexed="81"/>
            <rFont val="Tahoma"/>
            <family val="2"/>
          </rPr>
          <t>Requires Ride horse as a prerequisite skill</t>
        </r>
        <r>
          <rPr>
            <sz val="8"/>
            <color indexed="81"/>
            <rFont val="Tahoma"/>
            <family val="2"/>
          </rPr>
          <t xml:space="preserve">
</t>
        </r>
      </text>
    </comment>
    <comment ref="A200" authorId="3">
      <text>
        <r>
          <rPr>
            <sz val="8"/>
            <color indexed="81"/>
            <rFont val="Tahoma"/>
            <family val="2"/>
          </rPr>
          <t>Requires</t>
        </r>
        <r>
          <rPr>
            <b/>
            <sz val="8"/>
            <color indexed="81"/>
            <rFont val="Tahoma"/>
            <family val="2"/>
          </rPr>
          <t xml:space="preserve"> Knife Fighting</t>
        </r>
        <r>
          <rPr>
            <sz val="8"/>
            <color indexed="81"/>
            <rFont val="Tahoma"/>
            <family val="2"/>
          </rPr>
          <t xml:space="preserve"> as a prerequisite skill!
</t>
        </r>
      </text>
    </comment>
    <comment ref="A297" authorId="6">
      <text>
        <r>
          <rPr>
            <sz val="8"/>
            <color indexed="81"/>
            <rFont val="Tahoma"/>
            <family val="2"/>
          </rPr>
          <t>Be aware that</t>
        </r>
        <r>
          <rPr>
            <b/>
            <sz val="8"/>
            <color indexed="81"/>
            <rFont val="Tahoma"/>
            <family val="2"/>
          </rPr>
          <t xml:space="preserve"> Language Lore</t>
        </r>
        <r>
          <rPr>
            <sz val="8"/>
            <color indexed="81"/>
            <rFont val="Tahoma"/>
            <family val="2"/>
          </rPr>
          <t xml:space="preserve"> skill titles are </t>
        </r>
        <r>
          <rPr>
            <u/>
            <sz val="8"/>
            <color indexed="81"/>
            <rFont val="Tahoma"/>
            <family val="2"/>
          </rPr>
          <t>VAGUE</t>
        </r>
        <r>
          <rPr>
            <sz val="8"/>
            <color indexed="81"/>
            <rFont val="Tahoma"/>
            <family val="2"/>
          </rPr>
          <t xml:space="preserve">. You </t>
        </r>
        <r>
          <rPr>
            <b/>
            <sz val="8"/>
            <color indexed="81"/>
            <rFont val="Tahoma"/>
            <family val="2"/>
          </rPr>
          <t>must</t>
        </r>
        <r>
          <rPr>
            <sz val="8"/>
            <color indexed="81"/>
            <rFont val="Tahoma"/>
            <family val="2"/>
          </rPr>
          <t xml:space="preserve"> consult with your </t>
        </r>
        <r>
          <rPr>
            <b/>
            <sz val="8"/>
            <color indexed="81"/>
            <rFont val="Tahoma"/>
            <family val="2"/>
          </rPr>
          <t>GM</t>
        </r>
        <r>
          <rPr>
            <sz val="8"/>
            <color indexed="81"/>
            <rFont val="Tahoma"/>
            <family val="2"/>
          </rPr>
          <t xml:space="preserve"> to determine the </t>
        </r>
        <r>
          <rPr>
            <u/>
            <sz val="8"/>
            <color indexed="81"/>
            <rFont val="Tahoma"/>
            <family val="2"/>
          </rPr>
          <t>exact</t>
        </r>
        <r>
          <rPr>
            <sz val="8"/>
            <color indexed="81"/>
            <rFont val="Tahoma"/>
            <family val="2"/>
          </rPr>
          <t xml:space="preserve"> languages available in your campaign world.
</t>
        </r>
      </text>
    </comment>
    <comment ref="A599" authorId="3">
      <text>
        <r>
          <rPr>
            <b/>
            <sz val="8"/>
            <color indexed="81"/>
            <rFont val="Tahoma"/>
            <family val="2"/>
          </rPr>
          <t xml:space="preserve">Character may have one Primary method.
Additional methods may be learned for every 2 levels in the skill.
</t>
        </r>
      </text>
    </comment>
    <comment ref="A743" authorId="3">
      <text>
        <r>
          <rPr>
            <sz val="8"/>
            <color indexed="81"/>
            <rFont val="Tahoma"/>
            <family val="2"/>
          </rPr>
          <t>Also known as</t>
        </r>
        <r>
          <rPr>
            <b/>
            <sz val="8"/>
            <color indexed="81"/>
            <rFont val="Tahoma"/>
            <family val="2"/>
          </rPr>
          <t xml:space="preserve"> Healing Lore.</t>
        </r>
        <r>
          <rPr>
            <sz val="8"/>
            <color indexed="81"/>
            <rFont val="Tahoma"/>
            <family val="2"/>
          </rPr>
          <t xml:space="preserve">
</t>
        </r>
      </text>
    </comment>
    <comment ref="A790" authorId="3">
      <text>
        <r>
          <rPr>
            <sz val="8"/>
            <color indexed="81"/>
            <rFont val="Tahoma"/>
            <family val="2"/>
          </rPr>
          <t xml:space="preserve">Also known as </t>
        </r>
        <r>
          <rPr>
            <b/>
            <sz val="8"/>
            <color indexed="81"/>
            <rFont val="Tahoma"/>
            <family val="2"/>
          </rPr>
          <t>Resolution</t>
        </r>
        <r>
          <rPr>
            <sz val="8"/>
            <color indexed="81"/>
            <rFont val="Tahoma"/>
            <family val="2"/>
          </rPr>
          <t xml:space="preserve">.
</t>
        </r>
      </text>
    </comment>
    <comment ref="A878" authorId="1">
      <text>
        <r>
          <rPr>
            <b/>
            <sz val="8"/>
            <color indexed="81"/>
            <rFont val="Tahoma"/>
            <family val="2"/>
          </rPr>
          <t xml:space="preserve">These Skills are included for reference only. - They are NOT included on the pull down Menus.
</t>
        </r>
        <r>
          <rPr>
            <sz val="8"/>
            <color indexed="81"/>
            <rFont val="Tahoma"/>
            <family val="2"/>
          </rPr>
          <t xml:space="preserve">
</t>
        </r>
      </text>
    </comment>
    <comment ref="A886" authorId="1">
      <text>
        <r>
          <rPr>
            <b/>
            <sz val="8"/>
            <color indexed="81"/>
            <rFont val="Tahoma"/>
            <family val="2"/>
          </rPr>
          <t xml:space="preserve">These Skills are included for reference only. - They are NOT included on the pull down Menus.
</t>
        </r>
        <r>
          <rPr>
            <sz val="8"/>
            <color indexed="81"/>
            <rFont val="Tahoma"/>
            <family val="2"/>
          </rPr>
          <t xml:space="preserve">
</t>
        </r>
      </text>
    </comment>
    <comment ref="A897" authorId="1">
      <text>
        <r>
          <rPr>
            <b/>
            <sz val="8"/>
            <color indexed="81"/>
            <rFont val="Tahoma"/>
            <family val="2"/>
          </rPr>
          <t xml:space="preserve">These Skills are included for reference only. - They are NOT included on the pull down Menus.
</t>
        </r>
        <r>
          <rPr>
            <sz val="8"/>
            <color indexed="81"/>
            <rFont val="Tahoma"/>
            <family val="2"/>
          </rPr>
          <t xml:space="preserve">
</t>
        </r>
      </text>
    </comment>
    <comment ref="A905" authorId="7">
      <text>
        <r>
          <rPr>
            <b/>
            <sz val="9"/>
            <color indexed="81"/>
            <rFont val="Tahoma"/>
            <family val="2"/>
          </rPr>
          <t xml:space="preserve">This is Specific Knowledge related to certain individual dragons
</t>
        </r>
        <r>
          <rPr>
            <sz val="9"/>
            <color indexed="81"/>
            <rFont val="Tahoma"/>
            <family val="2"/>
          </rPr>
          <t xml:space="preserve">
</t>
        </r>
      </text>
    </comment>
    <comment ref="A906" authorId="7">
      <text>
        <r>
          <rPr>
            <b/>
            <sz val="9"/>
            <color indexed="81"/>
            <rFont val="Tahoma"/>
            <family val="2"/>
          </rPr>
          <t xml:space="preserve">This is Specific Knowledge related to the newly "created" region of Kent.
</t>
        </r>
        <r>
          <rPr>
            <sz val="9"/>
            <color indexed="81"/>
            <rFont val="Tahoma"/>
            <family val="2"/>
          </rPr>
          <t xml:space="preserve">
</t>
        </r>
      </text>
    </comment>
    <comment ref="P912" authorId="8">
      <text>
        <r>
          <rPr>
            <sz val="9"/>
            <color indexed="81"/>
            <rFont val="Tahoma"/>
            <family val="2"/>
          </rPr>
          <t xml:space="preserve">Type the first of the two attributes used to compute the attribute bonus here
</t>
        </r>
      </text>
    </comment>
    <comment ref="Q912" authorId="9">
      <text>
        <r>
          <rPr>
            <sz val="9"/>
            <color indexed="81"/>
            <rFont val="Tahoma"/>
            <family val="2"/>
          </rPr>
          <t xml:space="preserve">AGILITY - 'Main Creation Page'!E9
APPEARANCE - 'Main Creation Page'!E10
BARDIC VOICE- 'Main Creation Page'!E11
CONSTITUTION- 'Main Creation Page'!E12
DISCIPLINE- 'Main Creation Page'!E13
INTELLECT- 'Main Creation Page'!E14
PIETY- 'Main Creation Page'!E15
STRENGTH- 'Main Creation Page'!E16
WISDOM- 'Main Creation Page'!E17
</t>
        </r>
      </text>
    </comment>
    <comment ref="S912" authorId="8">
      <text>
        <r>
          <rPr>
            <sz val="9"/>
            <color indexed="81"/>
            <rFont val="Tahoma"/>
            <family val="2"/>
          </rPr>
          <t xml:space="preserve">Type the second of the two attributes used to compute the attribute bonus here
</t>
        </r>
      </text>
    </comment>
    <comment ref="T912" authorId="9">
      <text>
        <r>
          <rPr>
            <sz val="9"/>
            <color indexed="81"/>
            <rFont val="Tahoma"/>
            <family val="2"/>
          </rPr>
          <t xml:space="preserve">AGILITY - 'Main Creation Page'!E9
APPEARANCE - 'Main Creation Page'!E10
BARDIC VOICE- 'Main Creation Page'!E11
CONSTITUTION- 'Main Creation Page'!E12
DISCIPLINE- 'Main Creation Page'!E13
INTELLECT- 'Main Creation Page'!E14
PIETY- 'Main Creation Page'!E15
STRENGTH- 'Main Creation Page'!E16
WISDOM- 'Main Creation Page'!E17
</t>
        </r>
      </text>
    </comment>
    <comment ref="U912" authorId="8">
      <text>
        <r>
          <rPr>
            <b/>
            <sz val="9"/>
            <color indexed="81"/>
            <rFont val="Tahoma"/>
            <family val="2"/>
          </rPr>
          <t xml:space="preserve">Type the base DF here
</t>
        </r>
        <r>
          <rPr>
            <sz val="9"/>
            <color indexed="81"/>
            <rFont val="Tahoma"/>
            <family val="2"/>
          </rPr>
          <t xml:space="preserve">
</t>
        </r>
      </text>
    </comment>
    <comment ref="A982" authorId="2">
      <text>
        <r>
          <rPr>
            <b/>
            <sz val="9"/>
            <color indexed="81"/>
            <rFont val="Tahoma"/>
            <family val="2"/>
          </rPr>
          <t>If the skill name is italicized, it is a skill that was added to the Rebirth edition by Mystic Station Designs, LLC</t>
        </r>
      </text>
    </comment>
    <comment ref="B982" authorId="3">
      <text>
        <r>
          <rPr>
            <b/>
            <sz val="8"/>
            <color indexed="81"/>
            <rFont val="Tahoma"/>
            <family val="2"/>
          </rPr>
          <t>~</t>
        </r>
        <r>
          <rPr>
            <sz val="8"/>
            <color indexed="81"/>
            <rFont val="Tahoma"/>
            <family val="2"/>
          </rPr>
          <t xml:space="preserve"> means that this skill cannot be performed without first acquiring </t>
        </r>
        <r>
          <rPr>
            <b/>
            <sz val="8"/>
            <color indexed="81"/>
            <rFont val="Tahoma"/>
            <family val="2"/>
          </rPr>
          <t>Basic Knowledge.</t>
        </r>
        <r>
          <rPr>
            <sz val="8"/>
            <color indexed="81"/>
            <rFont val="Tahoma"/>
            <family val="2"/>
          </rPr>
          <t xml:space="preserve">
</t>
        </r>
      </text>
    </comment>
    <comment ref="C982" authorId="3">
      <text>
        <r>
          <rPr>
            <b/>
            <sz val="8"/>
            <color indexed="81"/>
            <rFont val="Tahoma"/>
            <family val="2"/>
          </rPr>
          <t>R</t>
        </r>
        <r>
          <rPr>
            <sz val="8"/>
            <color indexed="81"/>
            <rFont val="Tahoma"/>
            <family val="2"/>
          </rPr>
          <t xml:space="preserve"> means that this skill can be Resisted when performed. 
</t>
        </r>
      </text>
    </comment>
    <comment ref="D982" authorId="4">
      <text>
        <r>
          <rPr>
            <sz val="8"/>
            <color indexed="81"/>
            <rFont val="Tahoma"/>
            <family val="2"/>
          </rPr>
          <t>F = Fighter
K = Knight
&amp; = Both
" " = Any</t>
        </r>
      </text>
    </comment>
    <comment ref="F982" authorId="3">
      <text>
        <r>
          <rPr>
            <sz val="8"/>
            <color indexed="81"/>
            <rFont val="Tahoma"/>
            <family val="2"/>
          </rPr>
          <t xml:space="preserve">Is the </t>
        </r>
        <r>
          <rPr>
            <b/>
            <sz val="8"/>
            <color indexed="81"/>
            <rFont val="Tahoma"/>
            <family val="2"/>
          </rPr>
          <t>Difficulty Factor</t>
        </r>
        <r>
          <rPr>
            <sz val="8"/>
            <color indexed="81"/>
            <rFont val="Tahoma"/>
            <family val="2"/>
          </rPr>
          <t xml:space="preserve"> of this skill modified by Racial or other Packages?
R = Racial
S = Specialist Mages</t>
        </r>
      </text>
    </comment>
    <comment ref="G982" authorId="4">
      <text>
        <r>
          <rPr>
            <sz val="8"/>
            <color indexed="81"/>
            <rFont val="Tahoma"/>
            <family val="2"/>
          </rPr>
          <t>If you had a teacher for this skill - how many 
Levels of Profiency did
he school you in?</t>
        </r>
      </text>
    </comment>
    <comment ref="H982" authorId="3">
      <text>
        <r>
          <rPr>
            <sz val="8"/>
            <color indexed="81"/>
            <rFont val="Tahoma"/>
            <family val="2"/>
          </rPr>
          <t xml:space="preserve">Have you devoted a </t>
        </r>
        <r>
          <rPr>
            <b/>
            <sz val="8"/>
            <color indexed="81"/>
            <rFont val="Tahoma"/>
            <family val="2"/>
          </rPr>
          <t>Mastery Slot</t>
        </r>
        <r>
          <rPr>
            <sz val="8"/>
            <color indexed="81"/>
            <rFont val="Tahoma"/>
            <family val="2"/>
          </rPr>
          <t xml:space="preserve"> to this skill?
</t>
        </r>
        <r>
          <rPr>
            <sz val="8"/>
            <color indexed="81"/>
            <rFont val="Tahoma"/>
            <family val="2"/>
          </rPr>
          <t>Y = yes
N = no</t>
        </r>
      </text>
    </comment>
    <comment ref="I982" authorId="3">
      <text>
        <r>
          <rPr>
            <sz val="8"/>
            <color indexed="81"/>
            <rFont val="Tahoma"/>
            <family val="2"/>
          </rPr>
          <t xml:space="preserve">Use This column to denote which skills are due to your
</t>
        </r>
        <r>
          <rPr>
            <b/>
            <sz val="8"/>
            <color indexed="81"/>
            <rFont val="Tahoma"/>
            <family val="2"/>
          </rPr>
          <t xml:space="preserve">Character's </t>
        </r>
        <r>
          <rPr>
            <sz val="8"/>
            <color indexed="81"/>
            <rFont val="Tahoma"/>
            <family val="2"/>
          </rPr>
          <t>background.
Y = yes
N = no</t>
        </r>
      </text>
    </comment>
    <comment ref="J982" authorId="4">
      <text>
        <r>
          <rPr>
            <b/>
            <sz val="8"/>
            <color indexed="81"/>
            <rFont val="Tahoma"/>
            <family val="2"/>
          </rPr>
          <t xml:space="preserve">Social Class enhanced skills
(+1 level)
</t>
        </r>
      </text>
    </comment>
    <comment ref="K982" authorId="4">
      <text>
        <r>
          <rPr>
            <b/>
            <sz val="8"/>
            <color indexed="81"/>
            <rFont val="Tahoma"/>
            <family val="2"/>
          </rPr>
          <t xml:space="preserve">Born with an aptitude for this Skill?
</t>
        </r>
      </text>
    </comment>
    <comment ref="L982" authorId="4">
      <text>
        <r>
          <rPr>
            <b/>
            <sz val="8"/>
            <color indexed="81"/>
            <rFont val="Tahoma"/>
            <family val="2"/>
          </rPr>
          <t>Scholarship Special Ability:
Use 0 for ANY skills not given a specific bonus
Use 1 for Intellect bonus OR Wisdom bonus
Use 2 for Intellect bonus AND Wisdom bonus
Use 3 if Intellect 17+ AND Wisdom 17+
Use 4 for the Full Scholarship Bonus of Intellect 17+, Wisdom 17+ &amp; Discipline 15+</t>
        </r>
      </text>
    </comment>
    <comment ref="M982" authorId="4">
      <text>
        <r>
          <rPr>
            <b/>
            <sz val="8"/>
            <color indexed="81"/>
            <rFont val="Tahoma"/>
            <family val="2"/>
          </rPr>
          <t>Is this one of the skills from the character's
Scholarly Option "Bundle"?</t>
        </r>
      </text>
    </comment>
    <comment ref="N982" authorId="3">
      <text>
        <r>
          <rPr>
            <sz val="8"/>
            <color indexed="81"/>
            <rFont val="Tahoma"/>
            <family val="2"/>
          </rPr>
          <t xml:space="preserve">Is this a </t>
        </r>
        <r>
          <rPr>
            <b/>
            <sz val="8"/>
            <color indexed="81"/>
            <rFont val="Tahoma"/>
            <family val="2"/>
          </rPr>
          <t xml:space="preserve">Vocational </t>
        </r>
        <r>
          <rPr>
            <sz val="8"/>
            <color indexed="81"/>
            <rFont val="Tahoma"/>
            <family val="2"/>
          </rPr>
          <t xml:space="preserve">Skill?
P = Primary
S = Secondary
T = Tertiary
</t>
        </r>
      </text>
    </comment>
    <comment ref="P982" authorId="5">
      <text>
        <r>
          <rPr>
            <b/>
            <sz val="8"/>
            <color indexed="81"/>
            <rFont val="Tahoma"/>
            <family val="2"/>
          </rPr>
          <t xml:space="preserve">Please note -these attributes can be modified. </t>
        </r>
        <r>
          <rPr>
            <sz val="8"/>
            <color indexed="81"/>
            <rFont val="Tahoma"/>
            <family val="2"/>
          </rPr>
          <t xml:space="preserve">
Attributes in the column labeled "S" can be replaced with Discipline or Dexterity if applicable</t>
        </r>
      </text>
    </comment>
    <comment ref="AH982" authorId="3">
      <text>
        <r>
          <rPr>
            <b/>
            <sz val="8"/>
            <color indexed="81"/>
            <rFont val="Tahoma"/>
            <family val="2"/>
          </rPr>
          <t xml:space="preserve">If a"*" appears in this column, the skill denoted has a proficiency level which exceeds the character's Experience level. This means that the estimated cost is inaccurate
</t>
        </r>
        <r>
          <rPr>
            <sz val="8"/>
            <color indexed="81"/>
            <rFont val="Tahoma"/>
            <family val="2"/>
          </rPr>
          <t xml:space="preserve">
</t>
        </r>
      </text>
    </comment>
    <comment ref="AI982" authorId="2">
      <text>
        <r>
          <rPr>
            <b/>
            <sz val="8"/>
            <color indexed="81"/>
            <rFont val="Tahoma"/>
            <family val="2"/>
          </rPr>
          <t>Enter the amount of points actually spent on skills in this column.</t>
        </r>
        <r>
          <rPr>
            <sz val="8"/>
            <color indexed="81"/>
            <rFont val="Tahoma"/>
            <family val="2"/>
          </rPr>
          <t xml:space="preserve">
</t>
        </r>
      </text>
    </comment>
    <comment ref="AL982" authorId="3">
      <text>
        <r>
          <rPr>
            <sz val="8"/>
            <color indexed="81"/>
            <rFont val="Tahoma"/>
            <family val="2"/>
          </rPr>
          <t xml:space="preserve">Have you devoted a </t>
        </r>
        <r>
          <rPr>
            <b/>
            <sz val="8"/>
            <color indexed="81"/>
            <rFont val="Tahoma"/>
            <family val="2"/>
          </rPr>
          <t>Mastery Slot</t>
        </r>
        <r>
          <rPr>
            <sz val="8"/>
            <color indexed="81"/>
            <rFont val="Tahoma"/>
            <family val="2"/>
          </rPr>
          <t xml:space="preserve"> to this skill?
</t>
        </r>
        <r>
          <rPr>
            <sz val="8"/>
            <color indexed="81"/>
            <rFont val="Tahoma"/>
            <family val="2"/>
          </rPr>
          <t>Y = yes
N = no</t>
        </r>
      </text>
    </comment>
    <comment ref="AM982" authorId="4">
      <text>
        <r>
          <rPr>
            <b/>
            <sz val="8"/>
            <color indexed="81"/>
            <rFont val="Tahoma"/>
            <family val="2"/>
          </rPr>
          <t xml:space="preserve">Class enhanced skills
</t>
        </r>
      </text>
    </comment>
    <comment ref="AN982" authorId="3">
      <text>
        <r>
          <rPr>
            <sz val="8"/>
            <color indexed="81"/>
            <rFont val="Tahoma"/>
            <family val="2"/>
          </rPr>
          <t xml:space="preserve">Is this a </t>
        </r>
        <r>
          <rPr>
            <b/>
            <sz val="8"/>
            <color indexed="81"/>
            <rFont val="Tahoma"/>
            <family val="2"/>
          </rPr>
          <t xml:space="preserve">Vocational </t>
        </r>
        <r>
          <rPr>
            <sz val="8"/>
            <color indexed="81"/>
            <rFont val="Tahoma"/>
            <family val="2"/>
          </rPr>
          <t xml:space="preserve">Skill?
P = Primary
S = Secondary
T = Tertiary
N = No
</t>
        </r>
      </text>
    </comment>
    <comment ref="AQ982" authorId="5">
      <text>
        <r>
          <rPr>
            <b/>
            <sz val="8"/>
            <color indexed="81"/>
            <rFont val="Tahoma"/>
            <family val="2"/>
          </rPr>
          <t xml:space="preserve">Please remember to Double the cost per level if you exceed your character level
</t>
        </r>
        <r>
          <rPr>
            <sz val="8"/>
            <color indexed="81"/>
            <rFont val="Tahoma"/>
            <family val="2"/>
          </rPr>
          <t xml:space="preserve">
</t>
        </r>
      </text>
    </comment>
  </commentList>
</comments>
</file>

<file path=xl/comments6.xml><?xml version="1.0" encoding="utf-8"?>
<comments xmlns="http://schemas.openxmlformats.org/spreadsheetml/2006/main">
  <authors>
    <author>Allison E. Kaese</author>
    <author>Allison Kaese</author>
    <author>LMIT-ODIN</author>
  </authors>
  <commentList>
    <comment ref="AV1" authorId="0">
      <text>
        <r>
          <rPr>
            <sz val="10"/>
            <color indexed="81"/>
            <rFont val="Tahoma"/>
            <family val="2"/>
          </rPr>
          <t>Book 1, pg 1-81 to 1-94
                 pg 1-95 to 1-100</t>
        </r>
      </text>
    </comment>
    <comment ref="B121" authorId="1">
      <text>
        <r>
          <rPr>
            <b/>
            <sz val="9"/>
            <color indexed="81"/>
            <rFont val="Tahoma"/>
            <family val="2"/>
          </rPr>
          <t>This Sheet is designed to include the Bow Type Bonuses listed in Table 4.2 on pg 27 of the Elves Companion.</t>
        </r>
        <r>
          <rPr>
            <sz val="9"/>
            <color indexed="81"/>
            <rFont val="Tahoma"/>
            <family val="2"/>
          </rPr>
          <t xml:space="preserve">
</t>
        </r>
      </text>
    </comment>
    <comment ref="M121" authorId="1">
      <text>
        <r>
          <rPr>
            <b/>
            <sz val="9"/>
            <color indexed="81"/>
            <rFont val="Tahoma"/>
            <family val="2"/>
          </rPr>
          <t>Enter roll for type of
Elvish Longbow</t>
        </r>
      </text>
    </comment>
    <comment ref="X234" authorId="2">
      <text>
        <r>
          <rPr>
            <b/>
            <sz val="8"/>
            <color indexed="81"/>
            <rFont val="Tahoma"/>
            <family val="2"/>
          </rPr>
          <t>This column contains the values available at the start of combat.</t>
        </r>
        <r>
          <rPr>
            <sz val="8"/>
            <color indexed="81"/>
            <rFont val="Tahoma"/>
            <family val="2"/>
          </rPr>
          <t xml:space="preserve">
</t>
        </r>
      </text>
    </comment>
    <comment ref="Y234" authorId="2">
      <text>
        <r>
          <rPr>
            <b/>
            <sz val="8"/>
            <color indexed="81"/>
            <rFont val="Tahoma"/>
            <family val="2"/>
          </rPr>
          <t>Enter the amount of damage taken during combat in this column</t>
        </r>
        <r>
          <rPr>
            <sz val="8"/>
            <color indexed="81"/>
            <rFont val="Tahoma"/>
            <family val="2"/>
          </rPr>
          <t xml:space="preserve">
</t>
        </r>
      </text>
    </comment>
    <comment ref="Z234" authorId="2">
      <text>
        <r>
          <rPr>
            <b/>
            <sz val="8"/>
            <color indexed="81"/>
            <rFont val="Tahoma"/>
            <family val="2"/>
          </rPr>
          <t>This shows the amount of damage that can still be taken.</t>
        </r>
        <r>
          <rPr>
            <sz val="8"/>
            <color indexed="81"/>
            <rFont val="Tahoma"/>
            <family val="2"/>
          </rPr>
          <t xml:space="preserve">
</t>
        </r>
      </text>
    </comment>
    <comment ref="F235" authorId="2">
      <text>
        <r>
          <rPr>
            <b/>
            <sz val="8"/>
            <color indexed="81"/>
            <rFont val="Tahoma"/>
            <family val="2"/>
          </rPr>
          <t>Please note:
These values are pulled through to the character sheet - However - they assume that all weapons are being used as MELEE Weapons - NOT Thrown.</t>
        </r>
        <r>
          <rPr>
            <sz val="8"/>
            <color indexed="81"/>
            <rFont val="Tahoma"/>
            <family val="2"/>
          </rPr>
          <t xml:space="preserve">
</t>
        </r>
      </text>
    </comment>
    <comment ref="K235" authorId="0">
      <text>
        <r>
          <rPr>
            <b/>
            <sz val="8"/>
            <color indexed="81"/>
            <rFont val="Tahoma"/>
            <family val="2"/>
          </rPr>
          <t>Select the weapon you are using in this combat by typing "Y" in one of the boxes below</t>
        </r>
        <r>
          <rPr>
            <sz val="8"/>
            <color indexed="81"/>
            <rFont val="Tahoma"/>
            <family val="2"/>
          </rPr>
          <t xml:space="preserve">
</t>
        </r>
      </text>
    </comment>
    <comment ref="X237" authorId="2">
      <text>
        <r>
          <rPr>
            <b/>
            <sz val="8"/>
            <color indexed="81"/>
            <rFont val="Tahoma"/>
            <family val="2"/>
          </rPr>
          <t xml:space="preserve">This is the BAP
</t>
        </r>
      </text>
    </comment>
    <comment ref="Y237" authorId="2">
      <text>
        <r>
          <rPr>
            <b/>
            <sz val="8"/>
            <color indexed="81"/>
            <rFont val="Tahoma"/>
            <family val="2"/>
          </rPr>
          <t>Enter the result of your 1d10 INIT Roll.</t>
        </r>
      </text>
    </comment>
    <comment ref="Z237" authorId="2">
      <text>
        <r>
          <rPr>
            <b/>
            <sz val="8"/>
            <color indexed="81"/>
            <rFont val="Tahoma"/>
            <family val="2"/>
          </rPr>
          <t>This is the first Action Phase on which you can start fighting.</t>
        </r>
        <r>
          <rPr>
            <sz val="8"/>
            <color indexed="81"/>
            <rFont val="Tahoma"/>
            <family val="2"/>
          </rPr>
          <t xml:space="preserve">
</t>
        </r>
      </text>
    </comment>
    <comment ref="M241" authorId="0">
      <text>
        <r>
          <rPr>
            <b/>
            <sz val="8"/>
            <color indexed="81"/>
            <rFont val="Tahoma"/>
            <family val="2"/>
          </rPr>
          <t>If you are using a bow for this combat, please type in which arrow type you are using.</t>
        </r>
        <r>
          <rPr>
            <sz val="8"/>
            <color indexed="81"/>
            <rFont val="Tahoma"/>
            <family val="2"/>
          </rPr>
          <t xml:space="preserve">
</t>
        </r>
      </text>
    </comment>
    <comment ref="K242" authorId="2">
      <text>
        <r>
          <rPr>
            <b/>
            <sz val="8"/>
            <color indexed="81"/>
            <rFont val="Tahoma"/>
            <family val="2"/>
          </rPr>
          <t>If the armor being used has some sort of enhancement add the bonus in these columns.</t>
        </r>
        <r>
          <rPr>
            <sz val="8"/>
            <color indexed="81"/>
            <rFont val="Tahoma"/>
            <family val="2"/>
          </rPr>
          <t xml:space="preserve">
</t>
        </r>
      </text>
    </comment>
    <comment ref="K247" authorId="2">
      <text>
        <r>
          <rPr>
            <b/>
            <sz val="8"/>
            <color indexed="81"/>
            <rFont val="Tahoma"/>
            <family val="2"/>
          </rPr>
          <t>If the armor being used has some sort of enhancement add the bonus in these columns.</t>
        </r>
        <r>
          <rPr>
            <sz val="8"/>
            <color indexed="81"/>
            <rFont val="Tahoma"/>
            <family val="2"/>
          </rPr>
          <t xml:space="preserve">
</t>
        </r>
      </text>
    </comment>
    <comment ref="K251" authorId="2">
      <text>
        <r>
          <rPr>
            <b/>
            <sz val="8"/>
            <color indexed="81"/>
            <rFont val="Tahoma"/>
            <family val="2"/>
          </rPr>
          <t>If the armor being used has some sort of enhancement add the bonus in these columns.</t>
        </r>
        <r>
          <rPr>
            <sz val="8"/>
            <color indexed="81"/>
            <rFont val="Tahoma"/>
            <family val="2"/>
          </rPr>
          <t xml:space="preserve">
</t>
        </r>
      </text>
    </comment>
    <comment ref="K255" authorId="2">
      <text>
        <r>
          <rPr>
            <b/>
            <sz val="8"/>
            <color indexed="81"/>
            <rFont val="Tahoma"/>
            <family val="2"/>
          </rPr>
          <t>If the armor being used has some sort of enhancement add the bonus in these columns.</t>
        </r>
        <r>
          <rPr>
            <sz val="8"/>
            <color indexed="81"/>
            <rFont val="Tahoma"/>
            <family val="2"/>
          </rPr>
          <t xml:space="preserve">
</t>
        </r>
      </text>
    </comment>
  </commentList>
</comments>
</file>

<file path=xl/comments7.xml><?xml version="1.0" encoding="utf-8"?>
<comments xmlns="http://schemas.openxmlformats.org/spreadsheetml/2006/main">
  <authors>
    <author>Allison E. Kaese</author>
    <author>LMIT-ODIN</author>
    <author>wininstall</author>
    <author>MSD-Presentation</author>
  </authors>
  <commentList>
    <comment ref="L1" authorId="0">
      <text>
        <r>
          <rPr>
            <sz val="10"/>
            <color indexed="81"/>
            <rFont val="Tahoma"/>
            <family val="2"/>
          </rPr>
          <t>Book 1, pg 1-95 to 1-100
Book 2, pg 2-97 to 2-101
Book 3, pg 3-90 to 3-91</t>
        </r>
      </text>
    </comment>
    <comment ref="N2" authorId="1">
      <text>
        <r>
          <rPr>
            <b/>
            <sz val="8"/>
            <color indexed="81"/>
            <rFont val="Tahoma"/>
            <family val="2"/>
          </rPr>
          <t>Total cost of your possesions except for clothes &amp; mounts</t>
        </r>
        <r>
          <rPr>
            <sz val="8"/>
            <color indexed="81"/>
            <rFont val="Tahoma"/>
            <family val="2"/>
          </rPr>
          <t xml:space="preserve">
</t>
        </r>
      </text>
    </comment>
    <comment ref="N3" authorId="1">
      <text>
        <r>
          <rPr>
            <b/>
            <sz val="8"/>
            <color indexed="81"/>
            <rFont val="Tahoma"/>
            <family val="2"/>
          </rPr>
          <t>Total Worth of the character.</t>
        </r>
        <r>
          <rPr>
            <sz val="8"/>
            <color indexed="81"/>
            <rFont val="Tahoma"/>
            <family val="2"/>
          </rPr>
          <t xml:space="preserve">
</t>
        </r>
      </text>
    </comment>
    <comment ref="A4" authorId="0">
      <text>
        <r>
          <rPr>
            <b/>
            <sz val="8"/>
            <color indexed="81"/>
            <rFont val="Tahoma"/>
            <family val="2"/>
          </rPr>
          <t>Book 1, pg 1-95 to 1-96</t>
        </r>
      </text>
    </comment>
    <comment ref="C4" authorId="0">
      <text>
        <r>
          <rPr>
            <b/>
            <sz val="8"/>
            <color indexed="81"/>
            <rFont val="Tahoma"/>
            <family val="2"/>
          </rPr>
          <t>Book 1, pg 1-95 to 1-96</t>
        </r>
      </text>
    </comment>
    <comment ref="P11" authorId="1">
      <text>
        <r>
          <rPr>
            <b/>
            <sz val="8"/>
            <color indexed="81"/>
            <rFont val="Tahoma"/>
            <family val="2"/>
          </rPr>
          <t>Does the Character OWN the mounts he's using?</t>
        </r>
        <r>
          <rPr>
            <sz val="8"/>
            <color indexed="81"/>
            <rFont val="Tahoma"/>
            <family val="2"/>
          </rPr>
          <t xml:space="preserve">
</t>
        </r>
      </text>
    </comment>
    <comment ref="A22" authorId="1">
      <text>
        <r>
          <rPr>
            <b/>
            <sz val="8"/>
            <color indexed="81"/>
            <rFont val="Tahoma"/>
            <family val="2"/>
          </rPr>
          <t>Set up the character's initial equipment then enter the value from O2 here.</t>
        </r>
        <r>
          <rPr>
            <sz val="8"/>
            <color indexed="81"/>
            <rFont val="Tahoma"/>
            <family val="2"/>
          </rPr>
          <t xml:space="preserve">
</t>
        </r>
      </text>
    </comment>
    <comment ref="A23" authorId="1">
      <text>
        <r>
          <rPr>
            <b/>
            <sz val="8"/>
            <color indexed="81"/>
            <rFont val="Tahoma"/>
            <family val="2"/>
          </rPr>
          <t>Based on the above cost - how much of your purse have you got left?</t>
        </r>
      </text>
    </comment>
    <comment ref="A25" authorId="1">
      <text>
        <r>
          <rPr>
            <b/>
            <sz val="8"/>
            <color indexed="81"/>
            <rFont val="Tahoma"/>
            <family val="2"/>
          </rPr>
          <t>in shillings</t>
        </r>
        <r>
          <rPr>
            <sz val="8"/>
            <color indexed="81"/>
            <rFont val="Tahoma"/>
            <family val="2"/>
          </rPr>
          <t xml:space="preserve">
</t>
        </r>
      </text>
    </comment>
    <comment ref="A26" authorId="1">
      <text>
        <r>
          <rPr>
            <b/>
            <sz val="8"/>
            <color indexed="81"/>
            <rFont val="Tahoma"/>
            <family val="2"/>
          </rPr>
          <t>in shillings</t>
        </r>
        <r>
          <rPr>
            <sz val="8"/>
            <color indexed="81"/>
            <rFont val="Tahoma"/>
            <family val="2"/>
          </rPr>
          <t xml:space="preserve">
</t>
        </r>
      </text>
    </comment>
    <comment ref="A27" authorId="1">
      <text>
        <r>
          <rPr>
            <b/>
            <sz val="8"/>
            <color indexed="81"/>
            <rFont val="Tahoma"/>
            <family val="2"/>
          </rPr>
          <t>in shillings</t>
        </r>
        <r>
          <rPr>
            <sz val="8"/>
            <color indexed="81"/>
            <rFont val="Tahoma"/>
            <family val="2"/>
          </rPr>
          <t xml:space="preserve">
</t>
        </r>
      </text>
    </comment>
    <comment ref="A28" authorId="1">
      <text>
        <r>
          <rPr>
            <b/>
            <sz val="8"/>
            <color indexed="81"/>
            <rFont val="Tahoma"/>
            <family val="2"/>
          </rPr>
          <t>in shillings</t>
        </r>
        <r>
          <rPr>
            <sz val="8"/>
            <color indexed="81"/>
            <rFont val="Tahoma"/>
            <family val="2"/>
          </rPr>
          <t xml:space="preserve">
</t>
        </r>
      </text>
    </comment>
    <comment ref="A30" authorId="1">
      <text>
        <r>
          <rPr>
            <b/>
            <sz val="8"/>
            <color indexed="81"/>
            <rFont val="Tahoma"/>
            <family val="2"/>
          </rPr>
          <t>in shillings</t>
        </r>
        <r>
          <rPr>
            <sz val="8"/>
            <color indexed="81"/>
            <rFont val="Tahoma"/>
            <family val="2"/>
          </rPr>
          <t xml:space="preserve">
</t>
        </r>
      </text>
    </comment>
    <comment ref="A31" authorId="1">
      <text>
        <r>
          <rPr>
            <b/>
            <sz val="8"/>
            <color indexed="81"/>
            <rFont val="Tahoma"/>
            <family val="2"/>
          </rPr>
          <t>in shillings</t>
        </r>
        <r>
          <rPr>
            <sz val="8"/>
            <color indexed="81"/>
            <rFont val="Tahoma"/>
            <family val="2"/>
          </rPr>
          <t xml:space="preserve">
</t>
        </r>
      </text>
    </comment>
    <comment ref="A32" authorId="1">
      <text>
        <r>
          <rPr>
            <b/>
            <sz val="8"/>
            <color indexed="81"/>
            <rFont val="Tahoma"/>
            <family val="2"/>
          </rPr>
          <t>in shillings</t>
        </r>
        <r>
          <rPr>
            <sz val="8"/>
            <color indexed="81"/>
            <rFont val="Tahoma"/>
            <family val="2"/>
          </rPr>
          <t xml:space="preserve">
</t>
        </r>
      </text>
    </comment>
    <comment ref="M32"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A33" authorId="1">
      <text>
        <r>
          <rPr>
            <b/>
            <sz val="8"/>
            <color indexed="81"/>
            <rFont val="Tahoma"/>
            <family val="2"/>
          </rPr>
          <t>in shillings</t>
        </r>
        <r>
          <rPr>
            <sz val="8"/>
            <color indexed="81"/>
            <rFont val="Tahoma"/>
            <family val="2"/>
          </rPr>
          <t xml:space="preserve">
</t>
        </r>
      </text>
    </comment>
    <comment ref="M33"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A34" authorId="0">
      <text>
        <r>
          <rPr>
            <b/>
            <sz val="8"/>
            <color indexed="81"/>
            <rFont val="Tahoma"/>
            <family val="2"/>
          </rPr>
          <t>Based upon Table 2.2
in Book 3, pg 3-18</t>
        </r>
        <r>
          <rPr>
            <sz val="8"/>
            <color indexed="81"/>
            <rFont val="Tahoma"/>
            <family val="2"/>
          </rPr>
          <t xml:space="preserve">
need to add dwarves &amp; elves
</t>
        </r>
      </text>
    </comment>
    <comment ref="M34"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C35" authorId="0">
      <text>
        <r>
          <rPr>
            <b/>
            <sz val="8"/>
            <color indexed="81"/>
            <rFont val="Tahoma"/>
            <family val="2"/>
          </rPr>
          <t>Enter the percentage roll to determine if this person is deceased.</t>
        </r>
        <r>
          <rPr>
            <sz val="8"/>
            <color indexed="81"/>
            <rFont val="Tahoma"/>
            <family val="2"/>
          </rPr>
          <t xml:space="preserve">
</t>
        </r>
      </text>
    </comment>
    <comment ref="D35" authorId="0">
      <text>
        <r>
          <rPr>
            <b/>
            <sz val="8"/>
            <color indexed="81"/>
            <rFont val="Tahoma"/>
            <family val="2"/>
          </rPr>
          <t>Deceased?</t>
        </r>
        <r>
          <rPr>
            <sz val="8"/>
            <color indexed="81"/>
            <rFont val="Tahoma"/>
            <family val="2"/>
          </rPr>
          <t xml:space="preserve">
</t>
        </r>
      </text>
    </comment>
    <comment ref="E35" authorId="0">
      <text>
        <r>
          <rPr>
            <b/>
            <sz val="8"/>
            <color indexed="81"/>
            <rFont val="Tahoma"/>
            <family val="2"/>
          </rPr>
          <t>Age at death?</t>
        </r>
        <r>
          <rPr>
            <sz val="8"/>
            <color indexed="81"/>
            <rFont val="Tahoma"/>
            <family val="2"/>
          </rPr>
          <t xml:space="preserve">
</t>
        </r>
      </text>
    </comment>
    <comment ref="F35" authorId="0">
      <text>
        <r>
          <rPr>
            <b/>
            <sz val="8"/>
            <color indexed="81"/>
            <rFont val="Tahoma"/>
            <family val="2"/>
          </rPr>
          <t>Is the character the current Heir?</t>
        </r>
        <r>
          <rPr>
            <sz val="8"/>
            <color indexed="81"/>
            <rFont val="Tahoma"/>
            <family val="2"/>
          </rPr>
          <t xml:space="preserve">
</t>
        </r>
      </text>
    </comment>
    <comment ref="G35" authorId="0">
      <text>
        <r>
          <rPr>
            <b/>
            <sz val="8"/>
            <color indexed="81"/>
            <rFont val="Tahoma"/>
            <family val="2"/>
          </rPr>
          <t>Number of additional wives</t>
        </r>
        <r>
          <rPr>
            <sz val="8"/>
            <color indexed="81"/>
            <rFont val="Tahoma"/>
            <family val="2"/>
          </rPr>
          <t xml:space="preserve">
</t>
        </r>
      </text>
    </comment>
    <comment ref="M35"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C36" authorId="0">
      <text>
        <r>
          <rPr>
            <b/>
            <sz val="8"/>
            <color indexed="81"/>
            <rFont val="Tahoma"/>
            <family val="2"/>
          </rPr>
          <t>Enter the percentage roll to determine if this person is deceased.</t>
        </r>
        <r>
          <rPr>
            <sz val="8"/>
            <color indexed="81"/>
            <rFont val="Tahoma"/>
            <family val="2"/>
          </rPr>
          <t xml:space="preserve">
</t>
        </r>
      </text>
    </comment>
    <comment ref="D36" authorId="0">
      <text>
        <r>
          <rPr>
            <b/>
            <sz val="8"/>
            <color indexed="81"/>
            <rFont val="Tahoma"/>
            <family val="2"/>
          </rPr>
          <t>Deceased?</t>
        </r>
        <r>
          <rPr>
            <sz val="8"/>
            <color indexed="81"/>
            <rFont val="Tahoma"/>
            <family val="2"/>
          </rPr>
          <t xml:space="preserve">
</t>
        </r>
      </text>
    </comment>
    <comment ref="E36" authorId="0">
      <text>
        <r>
          <rPr>
            <b/>
            <sz val="8"/>
            <color indexed="81"/>
            <rFont val="Tahoma"/>
            <family val="2"/>
          </rPr>
          <t>Age at death?</t>
        </r>
        <r>
          <rPr>
            <sz val="8"/>
            <color indexed="81"/>
            <rFont val="Tahoma"/>
            <family val="2"/>
          </rPr>
          <t xml:space="preserve">
</t>
        </r>
      </text>
    </comment>
    <comment ref="F36" authorId="0">
      <text>
        <r>
          <rPr>
            <b/>
            <sz val="8"/>
            <color indexed="81"/>
            <rFont val="Tahoma"/>
            <family val="2"/>
          </rPr>
          <t>If this child died younger than 13, enter the percentage rolled  to see if that child's mother died.</t>
        </r>
        <r>
          <rPr>
            <sz val="8"/>
            <color indexed="81"/>
            <rFont val="Tahoma"/>
            <family val="2"/>
          </rPr>
          <t xml:space="preserve">
</t>
        </r>
      </text>
    </comment>
    <comment ref="G36" authorId="0">
      <text>
        <r>
          <rPr>
            <b/>
            <sz val="8"/>
            <color indexed="81"/>
            <rFont val="Tahoma"/>
            <family val="2"/>
          </rPr>
          <t>Mother
Deceased?</t>
        </r>
        <r>
          <rPr>
            <sz val="8"/>
            <color indexed="81"/>
            <rFont val="Tahoma"/>
            <family val="2"/>
          </rPr>
          <t xml:space="preserve">
</t>
        </r>
      </text>
    </comment>
    <comment ref="H36" authorId="0">
      <text>
        <r>
          <rPr>
            <b/>
            <sz val="8"/>
            <color indexed="81"/>
            <rFont val="Tahoma"/>
            <family val="2"/>
          </rPr>
          <t>This is the mother's age at time of death.</t>
        </r>
        <r>
          <rPr>
            <sz val="8"/>
            <color indexed="81"/>
            <rFont val="Tahoma"/>
            <family val="2"/>
          </rPr>
          <t xml:space="preserve">
</t>
        </r>
      </text>
    </comment>
    <comment ref="M36"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C37" authorId="0">
      <text>
        <r>
          <rPr>
            <b/>
            <sz val="8"/>
            <color indexed="81"/>
            <rFont val="Tahoma"/>
            <family val="2"/>
          </rPr>
          <t>Enter the percentage roll to determine if this person is deceased.</t>
        </r>
        <r>
          <rPr>
            <sz val="8"/>
            <color indexed="81"/>
            <rFont val="Tahoma"/>
            <family val="2"/>
          </rPr>
          <t xml:space="preserve">
</t>
        </r>
      </text>
    </comment>
    <comment ref="D37" authorId="0">
      <text>
        <r>
          <rPr>
            <b/>
            <sz val="8"/>
            <color indexed="81"/>
            <rFont val="Tahoma"/>
            <family val="2"/>
          </rPr>
          <t>Deceased?</t>
        </r>
        <r>
          <rPr>
            <sz val="8"/>
            <color indexed="81"/>
            <rFont val="Tahoma"/>
            <family val="2"/>
          </rPr>
          <t xml:space="preserve">
</t>
        </r>
      </text>
    </comment>
    <comment ref="E37" authorId="0">
      <text>
        <r>
          <rPr>
            <b/>
            <sz val="8"/>
            <color indexed="81"/>
            <rFont val="Tahoma"/>
            <family val="2"/>
          </rPr>
          <t>Age at death?</t>
        </r>
        <r>
          <rPr>
            <sz val="8"/>
            <color indexed="81"/>
            <rFont val="Tahoma"/>
            <family val="2"/>
          </rPr>
          <t xml:space="preserve">
</t>
        </r>
      </text>
    </comment>
    <comment ref="F37" authorId="0">
      <text>
        <r>
          <rPr>
            <b/>
            <sz val="8"/>
            <color indexed="81"/>
            <rFont val="Tahoma"/>
            <family val="2"/>
          </rPr>
          <t>If this child died younger than 13, enter the percentage rolled  to see if that child's mother died.</t>
        </r>
        <r>
          <rPr>
            <sz val="8"/>
            <color indexed="81"/>
            <rFont val="Tahoma"/>
            <family val="2"/>
          </rPr>
          <t xml:space="preserve">
</t>
        </r>
      </text>
    </comment>
    <comment ref="G37" authorId="0">
      <text>
        <r>
          <rPr>
            <b/>
            <sz val="8"/>
            <color indexed="81"/>
            <rFont val="Tahoma"/>
            <family val="2"/>
          </rPr>
          <t>Mother
Deceased?</t>
        </r>
        <r>
          <rPr>
            <sz val="8"/>
            <color indexed="81"/>
            <rFont val="Tahoma"/>
            <family val="2"/>
          </rPr>
          <t xml:space="preserve">
</t>
        </r>
      </text>
    </comment>
    <comment ref="H37" authorId="0">
      <text>
        <r>
          <rPr>
            <b/>
            <sz val="8"/>
            <color indexed="81"/>
            <rFont val="Tahoma"/>
            <family val="2"/>
          </rPr>
          <t>This is the mother's age at time of death.</t>
        </r>
        <r>
          <rPr>
            <sz val="8"/>
            <color indexed="81"/>
            <rFont val="Tahoma"/>
            <family val="2"/>
          </rPr>
          <t xml:space="preserve">
</t>
        </r>
      </text>
    </comment>
    <comment ref="M37"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C38" authorId="0">
      <text>
        <r>
          <rPr>
            <b/>
            <sz val="8"/>
            <color indexed="81"/>
            <rFont val="Tahoma"/>
            <family val="2"/>
          </rPr>
          <t>Enter the percentage roll to determine if this person is deceased.</t>
        </r>
        <r>
          <rPr>
            <sz val="8"/>
            <color indexed="81"/>
            <rFont val="Tahoma"/>
            <family val="2"/>
          </rPr>
          <t xml:space="preserve">
</t>
        </r>
      </text>
    </comment>
    <comment ref="D38" authorId="0">
      <text>
        <r>
          <rPr>
            <b/>
            <sz val="8"/>
            <color indexed="81"/>
            <rFont val="Tahoma"/>
            <family val="2"/>
          </rPr>
          <t>Deceased?</t>
        </r>
        <r>
          <rPr>
            <sz val="8"/>
            <color indexed="81"/>
            <rFont val="Tahoma"/>
            <family val="2"/>
          </rPr>
          <t xml:space="preserve">
</t>
        </r>
      </text>
    </comment>
    <comment ref="E38" authorId="0">
      <text>
        <r>
          <rPr>
            <b/>
            <sz val="8"/>
            <color indexed="81"/>
            <rFont val="Tahoma"/>
            <family val="2"/>
          </rPr>
          <t>Age at death?</t>
        </r>
        <r>
          <rPr>
            <sz val="8"/>
            <color indexed="81"/>
            <rFont val="Tahoma"/>
            <family val="2"/>
          </rPr>
          <t xml:space="preserve">
</t>
        </r>
      </text>
    </comment>
    <comment ref="F38" authorId="0">
      <text>
        <r>
          <rPr>
            <b/>
            <sz val="8"/>
            <color indexed="81"/>
            <rFont val="Tahoma"/>
            <family val="2"/>
          </rPr>
          <t>If this child died younger than 13, enter the percentage rolled  to see if that child's mother died.</t>
        </r>
        <r>
          <rPr>
            <sz val="8"/>
            <color indexed="81"/>
            <rFont val="Tahoma"/>
            <family val="2"/>
          </rPr>
          <t xml:space="preserve">
</t>
        </r>
      </text>
    </comment>
    <comment ref="G38" authorId="0">
      <text>
        <r>
          <rPr>
            <b/>
            <sz val="8"/>
            <color indexed="81"/>
            <rFont val="Tahoma"/>
            <family val="2"/>
          </rPr>
          <t>Mother
Deceased?</t>
        </r>
        <r>
          <rPr>
            <sz val="8"/>
            <color indexed="81"/>
            <rFont val="Tahoma"/>
            <family val="2"/>
          </rPr>
          <t xml:space="preserve">
</t>
        </r>
      </text>
    </comment>
    <comment ref="H38" authorId="0">
      <text>
        <r>
          <rPr>
            <b/>
            <sz val="8"/>
            <color indexed="81"/>
            <rFont val="Tahoma"/>
            <family val="2"/>
          </rPr>
          <t>This is the mother's age at time of death.</t>
        </r>
        <r>
          <rPr>
            <sz val="8"/>
            <color indexed="81"/>
            <rFont val="Tahoma"/>
            <family val="2"/>
          </rPr>
          <t xml:space="preserve">
</t>
        </r>
      </text>
    </comment>
    <comment ref="M38"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C39" authorId="0">
      <text>
        <r>
          <rPr>
            <b/>
            <sz val="8"/>
            <color indexed="81"/>
            <rFont val="Tahoma"/>
            <family val="2"/>
          </rPr>
          <t>Enter the percentage roll to determine if this person is deceased.</t>
        </r>
        <r>
          <rPr>
            <sz val="8"/>
            <color indexed="81"/>
            <rFont val="Tahoma"/>
            <family val="2"/>
          </rPr>
          <t xml:space="preserve">
</t>
        </r>
      </text>
    </comment>
    <comment ref="D39" authorId="0">
      <text>
        <r>
          <rPr>
            <b/>
            <sz val="8"/>
            <color indexed="81"/>
            <rFont val="Tahoma"/>
            <family val="2"/>
          </rPr>
          <t>Deceased?</t>
        </r>
        <r>
          <rPr>
            <sz val="8"/>
            <color indexed="81"/>
            <rFont val="Tahoma"/>
            <family val="2"/>
          </rPr>
          <t xml:space="preserve">
</t>
        </r>
      </text>
    </comment>
    <comment ref="E39" authorId="0">
      <text>
        <r>
          <rPr>
            <b/>
            <sz val="8"/>
            <color indexed="81"/>
            <rFont val="Tahoma"/>
            <family val="2"/>
          </rPr>
          <t>Age at death?</t>
        </r>
        <r>
          <rPr>
            <sz val="8"/>
            <color indexed="81"/>
            <rFont val="Tahoma"/>
            <family val="2"/>
          </rPr>
          <t xml:space="preserve">
</t>
        </r>
      </text>
    </comment>
    <comment ref="F39" authorId="0">
      <text>
        <r>
          <rPr>
            <b/>
            <sz val="8"/>
            <color indexed="81"/>
            <rFont val="Tahoma"/>
            <family val="2"/>
          </rPr>
          <t>If this child died younger than 13, enter the percentage rolled  to see if that child's mother died.</t>
        </r>
        <r>
          <rPr>
            <sz val="8"/>
            <color indexed="81"/>
            <rFont val="Tahoma"/>
            <family val="2"/>
          </rPr>
          <t xml:space="preserve">
</t>
        </r>
      </text>
    </comment>
    <comment ref="G39" authorId="0">
      <text>
        <r>
          <rPr>
            <b/>
            <sz val="8"/>
            <color indexed="81"/>
            <rFont val="Tahoma"/>
            <family val="2"/>
          </rPr>
          <t>Mother
Deceased?</t>
        </r>
        <r>
          <rPr>
            <sz val="8"/>
            <color indexed="81"/>
            <rFont val="Tahoma"/>
            <family val="2"/>
          </rPr>
          <t xml:space="preserve">
</t>
        </r>
      </text>
    </comment>
    <comment ref="H39" authorId="0">
      <text>
        <r>
          <rPr>
            <b/>
            <sz val="8"/>
            <color indexed="81"/>
            <rFont val="Tahoma"/>
            <family val="2"/>
          </rPr>
          <t>This is the mother's age at time of death.</t>
        </r>
        <r>
          <rPr>
            <sz val="8"/>
            <color indexed="81"/>
            <rFont val="Tahoma"/>
            <family val="2"/>
          </rPr>
          <t xml:space="preserve">
</t>
        </r>
      </text>
    </comment>
    <comment ref="M39"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C40" authorId="0">
      <text>
        <r>
          <rPr>
            <b/>
            <sz val="8"/>
            <color indexed="81"/>
            <rFont val="Tahoma"/>
            <family val="2"/>
          </rPr>
          <t>Enter the percentage roll to determine if this person is deceased.</t>
        </r>
        <r>
          <rPr>
            <sz val="8"/>
            <color indexed="81"/>
            <rFont val="Tahoma"/>
            <family val="2"/>
          </rPr>
          <t xml:space="preserve">
</t>
        </r>
      </text>
    </comment>
    <comment ref="D40" authorId="0">
      <text>
        <r>
          <rPr>
            <b/>
            <sz val="8"/>
            <color indexed="81"/>
            <rFont val="Tahoma"/>
            <family val="2"/>
          </rPr>
          <t>Deceased?</t>
        </r>
        <r>
          <rPr>
            <sz val="8"/>
            <color indexed="81"/>
            <rFont val="Tahoma"/>
            <family val="2"/>
          </rPr>
          <t xml:space="preserve">
</t>
        </r>
      </text>
    </comment>
    <comment ref="E40" authorId="0">
      <text>
        <r>
          <rPr>
            <b/>
            <sz val="8"/>
            <color indexed="81"/>
            <rFont val="Tahoma"/>
            <family val="2"/>
          </rPr>
          <t>Age at death?</t>
        </r>
        <r>
          <rPr>
            <sz val="8"/>
            <color indexed="81"/>
            <rFont val="Tahoma"/>
            <family val="2"/>
          </rPr>
          <t xml:space="preserve">
</t>
        </r>
      </text>
    </comment>
    <comment ref="F40" authorId="0">
      <text>
        <r>
          <rPr>
            <b/>
            <sz val="8"/>
            <color indexed="81"/>
            <rFont val="Tahoma"/>
            <family val="2"/>
          </rPr>
          <t>If this child died younger than 13, enter the percentage rolled  to see if that child's mother died.</t>
        </r>
        <r>
          <rPr>
            <sz val="8"/>
            <color indexed="81"/>
            <rFont val="Tahoma"/>
            <family val="2"/>
          </rPr>
          <t xml:space="preserve">
</t>
        </r>
      </text>
    </comment>
    <comment ref="G40" authorId="0">
      <text>
        <r>
          <rPr>
            <b/>
            <sz val="8"/>
            <color indexed="81"/>
            <rFont val="Tahoma"/>
            <family val="2"/>
          </rPr>
          <t>Mother
Deceased?</t>
        </r>
        <r>
          <rPr>
            <sz val="8"/>
            <color indexed="81"/>
            <rFont val="Tahoma"/>
            <family val="2"/>
          </rPr>
          <t xml:space="preserve">
</t>
        </r>
      </text>
    </comment>
    <comment ref="H40" authorId="0">
      <text>
        <r>
          <rPr>
            <b/>
            <sz val="8"/>
            <color indexed="81"/>
            <rFont val="Tahoma"/>
            <family val="2"/>
          </rPr>
          <t>This is the mother's age at time of death.</t>
        </r>
        <r>
          <rPr>
            <sz val="8"/>
            <color indexed="81"/>
            <rFont val="Tahoma"/>
            <family val="2"/>
          </rPr>
          <t xml:space="preserve">
</t>
        </r>
      </text>
    </comment>
    <comment ref="M40"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C41" authorId="0">
      <text>
        <r>
          <rPr>
            <b/>
            <sz val="8"/>
            <color indexed="81"/>
            <rFont val="Tahoma"/>
            <family val="2"/>
          </rPr>
          <t>Enter the percentage roll to determine if this person is deceased.</t>
        </r>
        <r>
          <rPr>
            <sz val="8"/>
            <color indexed="81"/>
            <rFont val="Tahoma"/>
            <family val="2"/>
          </rPr>
          <t xml:space="preserve">
</t>
        </r>
      </text>
    </comment>
    <comment ref="D41" authorId="0">
      <text>
        <r>
          <rPr>
            <b/>
            <sz val="8"/>
            <color indexed="81"/>
            <rFont val="Tahoma"/>
            <family val="2"/>
          </rPr>
          <t>Deceased?</t>
        </r>
        <r>
          <rPr>
            <sz val="8"/>
            <color indexed="81"/>
            <rFont val="Tahoma"/>
            <family val="2"/>
          </rPr>
          <t xml:space="preserve">
</t>
        </r>
      </text>
    </comment>
    <comment ref="E41" authorId="0">
      <text>
        <r>
          <rPr>
            <b/>
            <sz val="8"/>
            <color indexed="81"/>
            <rFont val="Tahoma"/>
            <family val="2"/>
          </rPr>
          <t>Age at death?</t>
        </r>
        <r>
          <rPr>
            <sz val="8"/>
            <color indexed="81"/>
            <rFont val="Tahoma"/>
            <family val="2"/>
          </rPr>
          <t xml:space="preserve">
</t>
        </r>
      </text>
    </comment>
    <comment ref="F41" authorId="0">
      <text>
        <r>
          <rPr>
            <b/>
            <sz val="8"/>
            <color indexed="81"/>
            <rFont val="Tahoma"/>
            <family val="2"/>
          </rPr>
          <t>If this child died younger than 13, enter the percentage rolled  to see if that child's mother died.</t>
        </r>
        <r>
          <rPr>
            <sz val="8"/>
            <color indexed="81"/>
            <rFont val="Tahoma"/>
            <family val="2"/>
          </rPr>
          <t xml:space="preserve">
</t>
        </r>
      </text>
    </comment>
    <comment ref="G41" authorId="0">
      <text>
        <r>
          <rPr>
            <b/>
            <sz val="8"/>
            <color indexed="81"/>
            <rFont val="Tahoma"/>
            <family val="2"/>
          </rPr>
          <t>Mother
Deceased?</t>
        </r>
        <r>
          <rPr>
            <sz val="8"/>
            <color indexed="81"/>
            <rFont val="Tahoma"/>
            <family val="2"/>
          </rPr>
          <t xml:space="preserve">
</t>
        </r>
      </text>
    </comment>
    <comment ref="H41" authorId="0">
      <text>
        <r>
          <rPr>
            <b/>
            <sz val="8"/>
            <color indexed="81"/>
            <rFont val="Tahoma"/>
            <family val="2"/>
          </rPr>
          <t>This is the mother's age at time of death.</t>
        </r>
        <r>
          <rPr>
            <sz val="8"/>
            <color indexed="81"/>
            <rFont val="Tahoma"/>
            <family val="2"/>
          </rPr>
          <t xml:space="preserve">
</t>
        </r>
      </text>
    </comment>
    <comment ref="M41"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C42" authorId="0">
      <text>
        <r>
          <rPr>
            <b/>
            <sz val="8"/>
            <color indexed="81"/>
            <rFont val="Tahoma"/>
            <family val="2"/>
          </rPr>
          <t>Enter the percentage roll to determine if this person is deceased.</t>
        </r>
        <r>
          <rPr>
            <sz val="8"/>
            <color indexed="81"/>
            <rFont val="Tahoma"/>
            <family val="2"/>
          </rPr>
          <t xml:space="preserve">
</t>
        </r>
      </text>
    </comment>
    <comment ref="D42" authorId="0">
      <text>
        <r>
          <rPr>
            <b/>
            <sz val="8"/>
            <color indexed="81"/>
            <rFont val="Tahoma"/>
            <family val="2"/>
          </rPr>
          <t>Deceased?</t>
        </r>
        <r>
          <rPr>
            <sz val="8"/>
            <color indexed="81"/>
            <rFont val="Tahoma"/>
            <family val="2"/>
          </rPr>
          <t xml:space="preserve">
</t>
        </r>
      </text>
    </comment>
    <comment ref="E42" authorId="0">
      <text>
        <r>
          <rPr>
            <b/>
            <sz val="8"/>
            <color indexed="81"/>
            <rFont val="Tahoma"/>
            <family val="2"/>
          </rPr>
          <t>Age at death?</t>
        </r>
        <r>
          <rPr>
            <sz val="8"/>
            <color indexed="81"/>
            <rFont val="Tahoma"/>
            <family val="2"/>
          </rPr>
          <t xml:space="preserve">
</t>
        </r>
      </text>
    </comment>
    <comment ref="F42" authorId="0">
      <text>
        <r>
          <rPr>
            <b/>
            <sz val="8"/>
            <color indexed="81"/>
            <rFont val="Tahoma"/>
            <family val="2"/>
          </rPr>
          <t>If this child died younger than 13, enter the percentage rolled  to see if that child's mother died.</t>
        </r>
        <r>
          <rPr>
            <sz val="8"/>
            <color indexed="81"/>
            <rFont val="Tahoma"/>
            <family val="2"/>
          </rPr>
          <t xml:space="preserve">
</t>
        </r>
      </text>
    </comment>
    <comment ref="G42" authorId="0">
      <text>
        <r>
          <rPr>
            <b/>
            <sz val="8"/>
            <color indexed="81"/>
            <rFont val="Tahoma"/>
            <family val="2"/>
          </rPr>
          <t>Mother
Deceased?</t>
        </r>
        <r>
          <rPr>
            <sz val="8"/>
            <color indexed="81"/>
            <rFont val="Tahoma"/>
            <family val="2"/>
          </rPr>
          <t xml:space="preserve">
</t>
        </r>
      </text>
    </comment>
    <comment ref="M42"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C43" authorId="0">
      <text>
        <r>
          <rPr>
            <b/>
            <sz val="8"/>
            <color indexed="81"/>
            <rFont val="Tahoma"/>
            <family val="2"/>
          </rPr>
          <t>Enter the percentage roll to determine if this person is deceased.</t>
        </r>
        <r>
          <rPr>
            <sz val="8"/>
            <color indexed="81"/>
            <rFont val="Tahoma"/>
            <family val="2"/>
          </rPr>
          <t xml:space="preserve">
</t>
        </r>
      </text>
    </comment>
    <comment ref="D43" authorId="0">
      <text>
        <r>
          <rPr>
            <b/>
            <sz val="8"/>
            <color indexed="81"/>
            <rFont val="Tahoma"/>
            <family val="2"/>
          </rPr>
          <t>Deceased?</t>
        </r>
        <r>
          <rPr>
            <sz val="8"/>
            <color indexed="81"/>
            <rFont val="Tahoma"/>
            <family val="2"/>
          </rPr>
          <t xml:space="preserve">
</t>
        </r>
      </text>
    </comment>
    <comment ref="E43" authorId="0">
      <text>
        <r>
          <rPr>
            <b/>
            <sz val="8"/>
            <color indexed="81"/>
            <rFont val="Tahoma"/>
            <family val="2"/>
          </rPr>
          <t>Age at death?</t>
        </r>
        <r>
          <rPr>
            <sz val="8"/>
            <color indexed="81"/>
            <rFont val="Tahoma"/>
            <family val="2"/>
          </rPr>
          <t xml:space="preserve">
</t>
        </r>
      </text>
    </comment>
    <comment ref="F43" authorId="0">
      <text>
        <r>
          <rPr>
            <b/>
            <sz val="8"/>
            <color indexed="81"/>
            <rFont val="Tahoma"/>
            <family val="2"/>
          </rPr>
          <t>If this child died younger than 13, enter the percentage rolled  to see if that child's mother died.</t>
        </r>
        <r>
          <rPr>
            <sz val="8"/>
            <color indexed="81"/>
            <rFont val="Tahoma"/>
            <family val="2"/>
          </rPr>
          <t xml:space="preserve">
</t>
        </r>
      </text>
    </comment>
    <comment ref="G43" authorId="0">
      <text>
        <r>
          <rPr>
            <b/>
            <sz val="8"/>
            <color indexed="81"/>
            <rFont val="Tahoma"/>
            <family val="2"/>
          </rPr>
          <t>Mother
Deceased?</t>
        </r>
        <r>
          <rPr>
            <sz val="8"/>
            <color indexed="81"/>
            <rFont val="Tahoma"/>
            <family val="2"/>
          </rPr>
          <t xml:space="preserve">
</t>
        </r>
      </text>
    </comment>
    <comment ref="M43"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44"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45"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46"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L47" authorId="1">
      <text>
        <r>
          <rPr>
            <b/>
            <sz val="8"/>
            <color indexed="81"/>
            <rFont val="Tahoma"/>
            <family val="2"/>
          </rPr>
          <t>These lines are provided for female characters who might prefer a more masculine mode of dress.</t>
        </r>
        <r>
          <rPr>
            <sz val="8"/>
            <color indexed="81"/>
            <rFont val="Tahoma"/>
            <family val="2"/>
          </rPr>
          <t xml:space="preserve">
</t>
        </r>
      </text>
    </comment>
    <comment ref="M48"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49"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O49" authorId="1">
      <text>
        <r>
          <rPr>
            <b/>
            <sz val="8"/>
            <color indexed="81"/>
            <rFont val="Tahoma"/>
            <family val="2"/>
          </rPr>
          <t>This will NOT show up on the character sheet.</t>
        </r>
        <r>
          <rPr>
            <sz val="8"/>
            <color indexed="81"/>
            <rFont val="Tahoma"/>
            <family val="2"/>
          </rPr>
          <t xml:space="preserve">
</t>
        </r>
      </text>
    </comment>
    <comment ref="M50"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51" authorId="1">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D57" authorId="2">
      <text>
        <r>
          <rPr>
            <b/>
            <sz val="8"/>
            <color indexed="81"/>
            <rFont val="Tahoma"/>
            <family val="2"/>
          </rPr>
          <t>Roll 1d10 for Offsprings' gender:
Odd=Male
Even=Female</t>
        </r>
        <r>
          <rPr>
            <sz val="8"/>
            <color indexed="81"/>
            <rFont val="Tahoma"/>
            <family val="2"/>
          </rPr>
          <t xml:space="preserve">
</t>
        </r>
      </text>
    </comment>
    <comment ref="C59" authorId="3">
      <text>
        <r>
          <rPr>
            <sz val="8"/>
            <color indexed="81"/>
            <rFont val="Tahoma"/>
            <family val="2"/>
          </rPr>
          <t xml:space="preserve">Is your Offspring "Legitimate" - If you know about them, we're assuming they are acknowledged.
</t>
        </r>
      </text>
    </comment>
  </commentList>
</comments>
</file>

<file path=xl/comments8.xml><?xml version="1.0" encoding="utf-8"?>
<comments xmlns="http://schemas.openxmlformats.org/spreadsheetml/2006/main">
  <authors>
    <author>Allison &amp; Kory Kaese</author>
    <author>Compaq</author>
    <author>LMIT-ODIN</author>
    <author>Allison E. Kaese</author>
    <author>MSD-Presentation</author>
    <author>Allison Kaese</author>
    <author>wininstall</author>
  </authors>
  <commentList>
    <comment ref="F2" authorId="0">
      <text>
        <r>
          <rPr>
            <sz val="8"/>
            <color indexed="81"/>
            <rFont val="Tahoma"/>
            <family val="2"/>
          </rPr>
          <t xml:space="preserve">If ** is shown choose ONE special ability.
</t>
        </r>
      </text>
    </comment>
    <comment ref="F4" authorId="1">
      <text>
        <r>
          <rPr>
            <sz val="8"/>
            <color indexed="81"/>
            <rFont val="Tahoma"/>
            <family val="2"/>
          </rPr>
          <t xml:space="preserve">Enter The Cost of any
ROLLED abilities for
Proper Calculations
</t>
        </r>
      </text>
    </comment>
    <comment ref="L4" authorId="1">
      <text>
        <r>
          <rPr>
            <sz val="8"/>
            <color indexed="81"/>
            <rFont val="Tahoma"/>
            <family val="2"/>
          </rPr>
          <t xml:space="preserve">Enter The Cost of any
ROLLED Flaws  for
Proper Calculations
</t>
        </r>
      </text>
    </comment>
    <comment ref="F5" authorId="2">
      <text>
        <r>
          <rPr>
            <b/>
            <sz val="8"/>
            <color indexed="81"/>
            <rFont val="Tahoma"/>
            <family val="2"/>
          </rPr>
          <t>Book 1 pg 1-14</t>
        </r>
      </text>
    </comment>
    <comment ref="N5" authorId="2">
      <text>
        <r>
          <rPr>
            <b/>
            <sz val="8"/>
            <color indexed="81"/>
            <rFont val="Tahoma"/>
            <family val="2"/>
          </rPr>
          <t>Book 1 pg 1-15</t>
        </r>
      </text>
    </comment>
    <comment ref="Y5" authorId="2">
      <text>
        <r>
          <rPr>
            <b/>
            <sz val="8"/>
            <color indexed="81"/>
            <rFont val="Tahoma"/>
            <family val="2"/>
          </rPr>
          <t>Book 1 pg 1-15</t>
        </r>
      </text>
    </comment>
    <comment ref="AF5" authorId="2">
      <text>
        <r>
          <rPr>
            <b/>
            <sz val="8"/>
            <color indexed="81"/>
            <rFont val="Tahoma"/>
            <family val="2"/>
          </rPr>
          <t>Book 1 pg 1-12</t>
        </r>
      </text>
    </comment>
    <comment ref="C6" authorId="3">
      <text>
        <r>
          <rPr>
            <sz val="8"/>
            <color indexed="81"/>
            <rFont val="Tahoma"/>
            <family val="2"/>
          </rPr>
          <t>Is this entry available to the character?</t>
        </r>
      </text>
    </comment>
    <comment ref="D6" authorId="3">
      <text>
        <r>
          <rPr>
            <sz val="8"/>
            <color indexed="81"/>
            <rFont val="Tahoma"/>
            <family val="2"/>
          </rPr>
          <t xml:space="preserve">Did this character elect to take this entry?
</t>
        </r>
      </text>
    </comment>
    <comment ref="K6" authorId="3">
      <text>
        <r>
          <rPr>
            <sz val="8"/>
            <color indexed="81"/>
            <rFont val="Tahoma"/>
            <family val="2"/>
          </rPr>
          <t>Is this entry available to the character?</t>
        </r>
      </text>
    </comment>
    <comment ref="L6" authorId="3">
      <text>
        <r>
          <rPr>
            <sz val="8"/>
            <color indexed="81"/>
            <rFont val="Tahoma"/>
            <family val="2"/>
          </rPr>
          <t xml:space="preserve">Did this character elect to take this entry?
</t>
        </r>
      </text>
    </comment>
    <comment ref="AD6" authorId="3">
      <text>
        <r>
          <rPr>
            <sz val="8"/>
            <color indexed="81"/>
            <rFont val="Tahoma"/>
            <family val="2"/>
          </rPr>
          <t>Is this entry available to the character?</t>
        </r>
      </text>
    </comment>
    <comment ref="AE6" authorId="3">
      <text>
        <r>
          <rPr>
            <sz val="8"/>
            <color indexed="81"/>
            <rFont val="Tahoma"/>
            <family val="2"/>
          </rPr>
          <t xml:space="preserve">Did this character elect to take this entry?
</t>
        </r>
      </text>
    </comment>
    <comment ref="B11" authorId="3">
      <text>
        <r>
          <rPr>
            <b/>
            <sz val="8"/>
            <color indexed="81"/>
            <rFont val="Tahoma"/>
            <family val="2"/>
          </rPr>
          <t>AKA Enhanced Sight</t>
        </r>
      </text>
    </comment>
    <comment ref="B12" authorId="3">
      <text>
        <r>
          <rPr>
            <b/>
            <sz val="8"/>
            <color indexed="81"/>
            <rFont val="Tahoma"/>
            <family val="2"/>
          </rPr>
          <t>AKA Keen Hearing</t>
        </r>
        <r>
          <rPr>
            <sz val="8"/>
            <color indexed="81"/>
            <rFont val="Tahoma"/>
            <family val="2"/>
          </rPr>
          <t xml:space="preserve">
</t>
        </r>
      </text>
    </comment>
    <comment ref="AE22" authorId="3">
      <text>
        <r>
          <rPr>
            <sz val="8"/>
            <color indexed="81"/>
            <rFont val="Tahoma"/>
            <family val="2"/>
          </rPr>
          <t xml:space="preserve">Since it is possible to have more than one Allergy, select your Allergies from the list to the left - the sheet will figure out the cost from there for you.
</t>
        </r>
      </text>
    </comment>
    <comment ref="AG22" authorId="4">
      <text>
        <r>
          <rPr>
            <sz val="8"/>
            <color indexed="81"/>
            <rFont val="Tahoma"/>
            <family val="2"/>
          </rPr>
          <t xml:space="preserve">may cause issue if twice or thrice cursed
</t>
        </r>
      </text>
    </comment>
    <comment ref="AE23" authorId="3">
      <text>
        <r>
          <rPr>
            <sz val="8"/>
            <color indexed="81"/>
            <rFont val="Tahoma"/>
            <family val="2"/>
          </rPr>
          <t xml:space="preserve">Since it is possible to have more than one Allergy, select your Allergies from the list to the left - the sheet will figure out the cost from there for you.
</t>
        </r>
      </text>
    </comment>
    <comment ref="AG23" authorId="4">
      <text>
        <r>
          <rPr>
            <sz val="8"/>
            <color indexed="81"/>
            <rFont val="Tahoma"/>
            <family val="2"/>
          </rPr>
          <t xml:space="preserve">may cause issue if twice or thrice cursed
</t>
        </r>
      </text>
    </comment>
    <comment ref="AE24" authorId="3">
      <text>
        <r>
          <rPr>
            <sz val="8"/>
            <color indexed="81"/>
            <rFont val="Tahoma"/>
            <family val="2"/>
          </rPr>
          <t xml:space="preserve">Since it is possible to have more than one Allergy, select your Allergies from the list to the left - the sheet will figure out the cost from there for you.
</t>
        </r>
      </text>
    </comment>
    <comment ref="AG24" authorId="4">
      <text>
        <r>
          <rPr>
            <sz val="8"/>
            <color indexed="81"/>
            <rFont val="Tahoma"/>
            <family val="2"/>
          </rPr>
          <t xml:space="preserve">may cause issue if twice or thrice cursed
</t>
        </r>
      </text>
    </comment>
    <comment ref="B28" authorId="3">
      <text>
        <r>
          <rPr>
            <sz val="8"/>
            <color indexed="81"/>
            <rFont val="Tahoma"/>
            <family val="2"/>
          </rPr>
          <t xml:space="preserve">Player must choose Nature:
</t>
        </r>
        <r>
          <rPr>
            <b/>
            <sz val="8"/>
            <color indexed="81"/>
            <rFont val="Tahoma"/>
            <family val="2"/>
          </rPr>
          <t>Elven</t>
        </r>
        <r>
          <rPr>
            <sz val="8"/>
            <color indexed="81"/>
            <rFont val="Tahoma"/>
            <family val="2"/>
          </rPr>
          <t xml:space="preserve">: Gain </t>
        </r>
        <r>
          <rPr>
            <b/>
            <sz val="8"/>
            <color indexed="81"/>
            <rFont val="Tahoma"/>
            <family val="2"/>
          </rPr>
          <t xml:space="preserve">Night Vision </t>
        </r>
        <r>
          <rPr>
            <sz val="8"/>
            <color indexed="81"/>
            <rFont val="Tahoma"/>
            <family val="2"/>
          </rPr>
          <t xml:space="preserve">or
            </t>
        </r>
        <r>
          <rPr>
            <b/>
            <sz val="8"/>
            <color indexed="81"/>
            <rFont val="Tahoma"/>
            <family val="2"/>
          </rPr>
          <t>Enhanced Sight</t>
        </r>
        <r>
          <rPr>
            <sz val="8"/>
            <color indexed="81"/>
            <rFont val="Tahoma"/>
            <family val="2"/>
          </rPr>
          <t xml:space="preserve">
</t>
        </r>
        <r>
          <rPr>
            <b/>
            <sz val="8"/>
            <color indexed="81"/>
            <rFont val="Tahoma"/>
            <family val="2"/>
          </rPr>
          <t>Human</t>
        </r>
        <r>
          <rPr>
            <sz val="8"/>
            <color indexed="81"/>
            <rFont val="Tahoma"/>
            <family val="2"/>
          </rPr>
          <t>: BMR*30 vs. Faerie 
               Glamour  &amp; Illusions</t>
        </r>
      </text>
    </comment>
    <comment ref="L30" authorId="3">
      <text>
        <r>
          <rPr>
            <sz val="8"/>
            <color indexed="81"/>
            <rFont val="Tahoma"/>
            <family val="2"/>
          </rPr>
          <t xml:space="preserve">Since it is possible to have more than one phobia, select your phobias from the list
at the right - the sheet will figure out the
cost from there for you.
</t>
        </r>
      </text>
    </comment>
    <comment ref="B31" authorId="5">
      <text>
        <r>
          <rPr>
            <b/>
            <sz val="9"/>
            <color indexed="81"/>
            <rFont val="Tahoma"/>
            <family val="2"/>
          </rPr>
          <t>This is an additional Special Ability</t>
        </r>
      </text>
    </comment>
    <comment ref="L33" authorId="3">
      <text>
        <r>
          <rPr>
            <sz val="8"/>
            <color indexed="81"/>
            <rFont val="Tahoma"/>
            <family val="2"/>
          </rPr>
          <t xml:space="preserve">Since it is possible to have more than one phobia, select your phobias from the list
at the right - the sheet will figure out the
cost from there for you.
</t>
        </r>
      </text>
    </comment>
    <comment ref="L36" authorId="3">
      <text>
        <r>
          <rPr>
            <sz val="8"/>
            <color indexed="81"/>
            <rFont val="Tahoma"/>
            <family val="2"/>
          </rPr>
          <t xml:space="preserve">Since it is possible to have more than one phobia, select your phobias from the list
at the right - the sheet will figure out the
cost from there for you.
</t>
        </r>
      </text>
    </comment>
    <comment ref="R41" authorId="5">
      <text>
        <r>
          <rPr>
            <b/>
            <sz val="9"/>
            <color indexed="81"/>
            <rFont val="Tahoma"/>
            <family val="2"/>
          </rPr>
          <t>See the GMTK Vol 1 for additional Phobias.</t>
        </r>
        <r>
          <rPr>
            <sz val="9"/>
            <color indexed="81"/>
            <rFont val="Tahoma"/>
            <family val="2"/>
          </rPr>
          <t xml:space="preserve">
</t>
        </r>
      </text>
    </comment>
    <comment ref="B50" authorId="6">
      <text>
        <r>
          <rPr>
            <b/>
            <sz val="8"/>
            <color indexed="81"/>
            <rFont val="Tahoma"/>
            <family val="2"/>
          </rPr>
          <t>This is a legacy ability from 3rd edition.</t>
        </r>
      </text>
    </comment>
    <comment ref="B57" authorId="5">
      <text>
        <r>
          <rPr>
            <b/>
            <sz val="9"/>
            <color indexed="81"/>
            <rFont val="Tahoma"/>
            <family val="2"/>
          </rPr>
          <t>This is an additional Special Ability</t>
        </r>
        <r>
          <rPr>
            <sz val="9"/>
            <color indexed="81"/>
            <rFont val="Tahoma"/>
            <family val="2"/>
          </rPr>
          <t xml:space="preserve">
</t>
        </r>
      </text>
    </comment>
    <comment ref="B58" authorId="5">
      <text>
        <r>
          <rPr>
            <b/>
            <sz val="9"/>
            <color indexed="81"/>
            <rFont val="Tahoma"/>
            <family val="2"/>
          </rPr>
          <t>This is an additional Special Ability</t>
        </r>
        <r>
          <rPr>
            <sz val="9"/>
            <color indexed="81"/>
            <rFont val="Tahoma"/>
            <family val="2"/>
          </rPr>
          <t xml:space="preserve">
</t>
        </r>
      </text>
    </comment>
    <comment ref="B59" authorId="5">
      <text>
        <r>
          <rPr>
            <b/>
            <sz val="9"/>
            <color indexed="81"/>
            <rFont val="Tahoma"/>
            <family val="2"/>
          </rPr>
          <t>This is an additional Special Ability</t>
        </r>
        <r>
          <rPr>
            <sz val="9"/>
            <color indexed="81"/>
            <rFont val="Tahoma"/>
            <family val="2"/>
          </rPr>
          <t xml:space="preserve">
</t>
        </r>
      </text>
    </comment>
    <comment ref="B66" authorId="5">
      <text>
        <r>
          <rPr>
            <b/>
            <sz val="9"/>
            <color indexed="81"/>
            <rFont val="Tahoma"/>
            <family val="2"/>
          </rPr>
          <t>This is an additional Special Ability</t>
        </r>
        <r>
          <rPr>
            <sz val="9"/>
            <color indexed="81"/>
            <rFont val="Tahoma"/>
            <family val="2"/>
          </rPr>
          <t xml:space="preserve">
</t>
        </r>
      </text>
    </comment>
  </commentList>
</comments>
</file>

<file path=xl/comments9.xml><?xml version="1.0" encoding="utf-8"?>
<comments xmlns="http://schemas.openxmlformats.org/spreadsheetml/2006/main">
  <authors>
    <author>LMIT-ODIN</author>
    <author>Allison E. Kaese</author>
    <author>Allison Kaese</author>
  </authors>
  <commentList>
    <comment ref="Y1" authorId="0">
      <text>
        <r>
          <rPr>
            <b/>
            <sz val="8"/>
            <color indexed="81"/>
            <rFont val="Tahoma"/>
            <family val="2"/>
          </rPr>
          <t>Book 2 - pg 2-83 to 2-96
Book 3 - pg 3-48 to 3-50</t>
        </r>
      </text>
    </comment>
    <comment ref="I2" authorId="1">
      <text>
        <r>
          <rPr>
            <b/>
            <sz val="8"/>
            <color indexed="81"/>
            <rFont val="Tahoma"/>
            <family val="2"/>
          </rPr>
          <t>aka Faith PFF</t>
        </r>
        <r>
          <rPr>
            <sz val="8"/>
            <color indexed="81"/>
            <rFont val="Tahoma"/>
            <family val="2"/>
          </rPr>
          <t xml:space="preserve">
</t>
        </r>
      </text>
    </comment>
    <comment ref="B3" authorId="1">
      <text>
        <r>
          <rPr>
            <b/>
            <sz val="8"/>
            <color indexed="81"/>
            <rFont val="Tahoma"/>
            <family val="2"/>
          </rPr>
          <t>Catholic = One True God
Islam = Faith of Azatar
Judaism = Children of God
"Pagan" = Deities of Alquennas
"Elven"  = "Bright Lady"
"Dwarven" = "God of Thunder"
"Orcish/Horde" = "Goddess of War"
"Draconic"
"Saurian"
Others:
"The Circle"</t>
        </r>
      </text>
    </comment>
    <comment ref="L10" authorId="1">
      <text>
        <r>
          <rPr>
            <b/>
            <sz val="8"/>
            <color indexed="81"/>
            <rFont val="Tahoma"/>
            <family val="2"/>
          </rPr>
          <t>This is time spent meditating upon Acts of Faith.</t>
        </r>
        <r>
          <rPr>
            <sz val="8"/>
            <color indexed="81"/>
            <rFont val="Tahoma"/>
            <family val="2"/>
          </rPr>
          <t xml:space="preserve">
</t>
        </r>
      </text>
    </comment>
    <comment ref="E16" authorId="1">
      <text>
        <r>
          <rPr>
            <b/>
            <sz val="8"/>
            <color indexed="81"/>
            <rFont val="Tahoma"/>
            <family val="2"/>
          </rPr>
          <t>This is the character's belief modified by any Earned Belief Points that he may have won or lost.</t>
        </r>
        <r>
          <rPr>
            <sz val="8"/>
            <color indexed="81"/>
            <rFont val="Tahoma"/>
            <family val="2"/>
          </rPr>
          <t xml:space="preserve">
</t>
        </r>
      </text>
    </comment>
    <comment ref="F16" authorId="1">
      <text>
        <r>
          <rPr>
            <b/>
            <sz val="8"/>
            <color indexed="81"/>
            <rFont val="Tahoma"/>
            <family val="2"/>
          </rPr>
          <t>This is the base PFF attribute determined by the Character's Piety according to Table 7.1 on page 2-84 of Book 2.</t>
        </r>
        <r>
          <rPr>
            <sz val="8"/>
            <color indexed="81"/>
            <rFont val="Tahoma"/>
            <family val="2"/>
          </rPr>
          <t xml:space="preserve">
</t>
        </r>
      </text>
    </comment>
    <comment ref="G16" authorId="1">
      <text>
        <r>
          <rPr>
            <b/>
            <sz val="8"/>
            <color indexed="81"/>
            <rFont val="Tahoma"/>
            <family val="2"/>
          </rPr>
          <t>This is the Base PFF modified by the amount of skill the character has in their Faith</t>
        </r>
        <r>
          <rPr>
            <sz val="8"/>
            <color indexed="81"/>
            <rFont val="Tahoma"/>
            <family val="2"/>
          </rPr>
          <t xml:space="preserve">
</t>
        </r>
      </text>
    </comment>
    <comment ref="H16" authorId="1">
      <text>
        <r>
          <rPr>
            <b/>
            <sz val="8"/>
            <color indexed="81"/>
            <rFont val="Tahoma"/>
            <family val="2"/>
          </rPr>
          <t>These are any Belief Points that the character may have won or lost during play.</t>
        </r>
        <r>
          <rPr>
            <sz val="8"/>
            <color indexed="81"/>
            <rFont val="Tahoma"/>
            <family val="2"/>
          </rPr>
          <t xml:space="preserve">
</t>
        </r>
      </text>
    </comment>
    <comment ref="C17" authorId="1">
      <text>
        <r>
          <rPr>
            <b/>
            <sz val="8"/>
            <color indexed="81"/>
            <rFont val="Tahoma"/>
            <family val="2"/>
          </rPr>
          <t>This is the initial 
value of the character's Belief</t>
        </r>
        <r>
          <rPr>
            <sz val="8"/>
            <color indexed="81"/>
            <rFont val="Tahoma"/>
            <family val="2"/>
          </rPr>
          <t xml:space="preserve">
</t>
        </r>
      </text>
    </comment>
    <comment ref="D17" authorId="1">
      <text>
        <r>
          <rPr>
            <b/>
            <sz val="8"/>
            <color indexed="81"/>
            <rFont val="Tahoma"/>
            <family val="2"/>
          </rPr>
          <t>This is the character's Initial Belief plus any modifiers for his skill in his Faith.</t>
        </r>
        <r>
          <rPr>
            <sz val="8"/>
            <color indexed="81"/>
            <rFont val="Tahoma"/>
            <family val="2"/>
          </rPr>
          <t xml:space="preserve">
</t>
        </r>
      </text>
    </comment>
    <comment ref="B31" authorId="2">
      <text>
        <r>
          <rPr>
            <b/>
            <sz val="8"/>
            <color indexed="81"/>
            <rFont val="Tahoma"/>
            <family val="2"/>
          </rPr>
          <t>Reversible</t>
        </r>
        <r>
          <rPr>
            <sz val="8"/>
            <color indexed="81"/>
            <rFont val="Tahoma"/>
            <family val="2"/>
          </rPr>
          <t xml:space="preserve">
</t>
        </r>
      </text>
    </comment>
    <comment ref="B33" authorId="2">
      <text>
        <r>
          <rPr>
            <b/>
            <sz val="8"/>
            <color indexed="81"/>
            <rFont val="Tahoma"/>
            <family val="2"/>
          </rPr>
          <t>Reversible</t>
        </r>
        <r>
          <rPr>
            <sz val="8"/>
            <color indexed="81"/>
            <rFont val="Tahoma"/>
            <family val="2"/>
          </rPr>
          <t xml:space="preserve">
</t>
        </r>
      </text>
    </comment>
    <comment ref="L38" authorId="2">
      <text>
        <r>
          <rPr>
            <b/>
            <sz val="9"/>
            <color indexed="81"/>
            <rFont val="Tahoma"/>
            <family val="2"/>
          </rPr>
          <t>1D10 roll for the week</t>
        </r>
        <r>
          <rPr>
            <sz val="9"/>
            <color indexed="81"/>
            <rFont val="Tahoma"/>
            <family val="2"/>
          </rPr>
          <t xml:space="preserve">
</t>
        </r>
      </text>
    </comment>
    <comment ref="R38" authorId="2">
      <text>
        <r>
          <rPr>
            <b/>
            <sz val="9"/>
            <color indexed="81"/>
            <rFont val="Tahoma"/>
            <family val="2"/>
          </rPr>
          <t>1D10 roll for the week</t>
        </r>
        <r>
          <rPr>
            <sz val="9"/>
            <color indexed="81"/>
            <rFont val="Tahoma"/>
            <family val="2"/>
          </rPr>
          <t xml:space="preserve">
</t>
        </r>
      </text>
    </comment>
    <comment ref="Q56" authorId="2">
      <text>
        <r>
          <rPr>
            <b/>
            <sz val="8"/>
            <color indexed="81"/>
            <rFont val="Tahoma"/>
            <family val="2"/>
          </rPr>
          <t>Reversible</t>
        </r>
        <r>
          <rPr>
            <sz val="8"/>
            <color indexed="81"/>
            <rFont val="Tahoma"/>
            <family val="2"/>
          </rPr>
          <t xml:space="preserve">
</t>
        </r>
      </text>
    </comment>
    <comment ref="Q58" authorId="2">
      <text>
        <r>
          <rPr>
            <b/>
            <sz val="8"/>
            <color indexed="81"/>
            <rFont val="Tahoma"/>
            <family val="2"/>
          </rPr>
          <t>Reversible</t>
        </r>
        <r>
          <rPr>
            <sz val="8"/>
            <color indexed="81"/>
            <rFont val="Tahoma"/>
            <family val="2"/>
          </rPr>
          <t xml:space="preserve">
</t>
        </r>
      </text>
    </comment>
  </commentList>
</comments>
</file>

<file path=xl/comments10.xml><?xml version="1.0" encoding="utf-8"?>
<comments xmlns="http://schemas.openxmlformats.org/spreadsheetml/2006/main">
  <authors>
    <author>LMIT-ODIN</author>
  </authors>
  <commentList>
    <comment ref="M2"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3"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4"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5"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6"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7"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8"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9"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10"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11"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12"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13"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14"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15"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16"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17"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18"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19"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 ref="M20" authorId="0">
      <text>
        <r>
          <rPr>
            <b/>
            <sz val="8"/>
            <color indexed="81"/>
            <rFont val="Tahoma"/>
            <family val="2"/>
          </rPr>
          <t>Type "A" if Average Quality
Type "G" if Good Quality
Type "F" if Fine Quality
Type "S" if Superb Quality</t>
        </r>
        <r>
          <rPr>
            <sz val="8"/>
            <color indexed="81"/>
            <rFont val="Tahoma"/>
            <family val="2"/>
          </rPr>
          <t xml:space="preserve">
</t>
        </r>
      </text>
    </comment>
  </commentList>
</comments>
</file>

<file path=xl/comments11.xml><?xml version="1.0" encoding="utf-8"?>
<comments xmlns="http://schemas.openxmlformats.org/spreadsheetml/2006/main">
  <authors>
    <author>Allison Kaese</author>
    <author>LMIT-ODIN</author>
    <author>Allison E. Kaese</author>
  </authors>
  <commentList>
    <comment ref="V5" authorId="0">
      <text>
        <r>
          <rPr>
            <b/>
            <sz val="9"/>
            <color indexed="81"/>
            <rFont val="Tahoma"/>
            <family val="2"/>
          </rPr>
          <t>This is the Crit Die Value rolled when the Summoning spell "Call Familiar" was cast.</t>
        </r>
      </text>
    </comment>
    <comment ref="BJ5" authorId="1">
      <text>
        <r>
          <rPr>
            <b/>
            <sz val="8"/>
            <color indexed="81"/>
            <rFont val="Tahoma"/>
            <family val="2"/>
          </rPr>
          <t>Roll 1D10</t>
        </r>
        <r>
          <rPr>
            <sz val="8"/>
            <color indexed="81"/>
            <rFont val="Tahoma"/>
            <family val="2"/>
          </rPr>
          <t xml:space="preserve">
</t>
        </r>
      </text>
    </comment>
    <comment ref="BJ6" authorId="1">
      <text>
        <r>
          <rPr>
            <b/>
            <sz val="8"/>
            <color indexed="81"/>
            <rFont val="Tahoma"/>
            <family val="2"/>
          </rPr>
          <t>Roll 1D10</t>
        </r>
        <r>
          <rPr>
            <sz val="8"/>
            <color indexed="81"/>
            <rFont val="Tahoma"/>
            <family val="2"/>
          </rPr>
          <t xml:space="preserve">
</t>
        </r>
      </text>
    </comment>
    <comment ref="F7" authorId="0">
      <text>
        <r>
          <rPr>
            <b/>
            <sz val="9"/>
            <color indexed="81"/>
            <rFont val="Tahoma"/>
            <family val="2"/>
          </rPr>
          <t>If the character is a Diviner,
they have this ability. 
See page 2-15 for more info.</t>
        </r>
      </text>
    </comment>
    <comment ref="BJ7" authorId="1">
      <text>
        <r>
          <rPr>
            <b/>
            <sz val="8"/>
            <color indexed="81"/>
            <rFont val="Tahoma"/>
            <family val="2"/>
          </rPr>
          <t>Roll 3D10</t>
        </r>
        <r>
          <rPr>
            <sz val="8"/>
            <color indexed="81"/>
            <rFont val="Tahoma"/>
            <family val="2"/>
          </rPr>
          <t xml:space="preserve">
</t>
        </r>
      </text>
    </comment>
    <comment ref="A8" authorId="0">
      <text>
        <r>
          <rPr>
            <b/>
            <sz val="8"/>
            <color indexed="81"/>
            <rFont val="Tahoma"/>
            <family val="2"/>
          </rPr>
          <t xml:space="preserve">Roll %. 
There is a 33% chance the character is naturally "Psychic".
See pgs 2-70 &amp; 2-77 for more info. </t>
        </r>
      </text>
    </comment>
    <comment ref="BJ8" authorId="1">
      <text>
        <r>
          <rPr>
            <b/>
            <sz val="8"/>
            <color indexed="81"/>
            <rFont val="Tahoma"/>
            <family val="2"/>
          </rPr>
          <t>Roll 3D10</t>
        </r>
        <r>
          <rPr>
            <sz val="8"/>
            <color indexed="81"/>
            <rFont val="Tahoma"/>
            <family val="2"/>
          </rPr>
          <t xml:space="preserve">
</t>
        </r>
      </text>
    </comment>
    <comment ref="J11" authorId="2">
      <text>
        <r>
          <rPr>
            <b/>
            <sz val="8"/>
            <color indexed="81"/>
            <rFont val="Tahoma"/>
            <family val="2"/>
          </rPr>
          <t>This is time spent performing various acts of magical research.</t>
        </r>
        <r>
          <rPr>
            <sz val="8"/>
            <color indexed="81"/>
            <rFont val="Tahoma"/>
            <family val="2"/>
          </rPr>
          <t xml:space="preserve">
</t>
        </r>
      </text>
    </comment>
    <comment ref="H14" authorId="0">
      <text>
        <r>
          <rPr>
            <b/>
            <sz val="9"/>
            <color indexed="81"/>
            <rFont val="Tahoma"/>
            <family val="2"/>
          </rPr>
          <t>This is the roll needed to find a master.</t>
        </r>
        <r>
          <rPr>
            <sz val="9"/>
            <color indexed="81"/>
            <rFont val="Tahoma"/>
            <family val="2"/>
          </rPr>
          <t xml:space="preserve">
</t>
        </r>
      </text>
    </comment>
    <comment ref="H16" authorId="0">
      <text>
        <r>
          <rPr>
            <b/>
            <sz val="9"/>
            <color indexed="81"/>
            <rFont val="Tahoma"/>
            <family val="2"/>
          </rPr>
          <t>Does this Character still have a duty to his master?</t>
        </r>
        <r>
          <rPr>
            <sz val="9"/>
            <color indexed="81"/>
            <rFont val="Tahoma"/>
            <family val="2"/>
          </rPr>
          <t xml:space="preserve">
</t>
        </r>
      </text>
    </comment>
    <comment ref="B24" authorId="0">
      <text>
        <r>
          <rPr>
            <sz val="9"/>
            <color indexed="81"/>
            <rFont val="Tahoma"/>
            <family val="2"/>
          </rPr>
          <t xml:space="preserve">If the law of objects is known
</t>
        </r>
      </text>
    </comment>
    <comment ref="A51" authorId="0">
      <text>
        <r>
          <rPr>
            <b/>
            <sz val="9"/>
            <color indexed="81"/>
            <rFont val="Tahoma"/>
            <family val="2"/>
          </rPr>
          <t>Simple Foci require 4 BASE Materials and 3 OTHER Materials in addition to
the Correspondences</t>
        </r>
      </text>
    </comment>
    <comment ref="A52" authorId="0">
      <text>
        <r>
          <rPr>
            <b/>
            <sz val="9"/>
            <color indexed="81"/>
            <rFont val="Tahoma"/>
            <family val="2"/>
          </rPr>
          <t>Lesser Foci require 7 BASE Materials and 6 OTHER Materials in addition to the Correspondences.</t>
        </r>
      </text>
    </comment>
    <comment ref="A53" authorId="0">
      <text>
        <r>
          <rPr>
            <b/>
            <sz val="9"/>
            <color indexed="81"/>
            <rFont val="Tahoma"/>
            <family val="2"/>
          </rPr>
          <t>Greater Foci require 13 BASE Materials and 8 OTHER Materials in addition to the Correspondences.</t>
        </r>
      </text>
    </comment>
    <comment ref="A57" authorId="0">
      <text>
        <r>
          <rPr>
            <b/>
            <sz val="9"/>
            <color indexed="81"/>
            <rFont val="Tahoma"/>
            <family val="2"/>
          </rPr>
          <t>Simple Magical Devices
require 4 BASE Materials 
and 3 OTHER Materials</t>
        </r>
        <r>
          <rPr>
            <sz val="9"/>
            <color indexed="81"/>
            <rFont val="Tahoma"/>
            <family val="2"/>
          </rPr>
          <t xml:space="preserve">
</t>
        </r>
      </text>
    </comment>
    <comment ref="A58" authorId="0">
      <text>
        <r>
          <rPr>
            <b/>
            <sz val="9"/>
            <color indexed="81"/>
            <rFont val="Tahoma"/>
            <family val="2"/>
          </rPr>
          <t>Lesser Devices of Power
require 7 BASE Materials 
and 6 OTHER Materials</t>
        </r>
        <r>
          <rPr>
            <sz val="9"/>
            <color indexed="81"/>
            <rFont val="Tahoma"/>
            <family val="2"/>
          </rPr>
          <t xml:space="preserve">
</t>
        </r>
      </text>
    </comment>
    <comment ref="A59" authorId="0">
      <text>
        <r>
          <rPr>
            <b/>
            <sz val="9"/>
            <color indexed="81"/>
            <rFont val="Tahoma"/>
            <family val="2"/>
          </rPr>
          <t>Greater Devices of Power
require 13 BASE Materials 
and 8 OTHER Materials</t>
        </r>
        <r>
          <rPr>
            <sz val="9"/>
            <color indexed="81"/>
            <rFont val="Tahoma"/>
            <family val="2"/>
          </rPr>
          <t xml:space="preserve">
</t>
        </r>
      </text>
    </comment>
    <comment ref="A87" authorId="2">
      <text>
        <r>
          <rPr>
            <sz val="8"/>
            <color indexed="81"/>
            <rFont val="Tahoma"/>
            <family val="2"/>
          </rPr>
          <t>The following skills are handy to have for any mage who might want to create:
Amulets
New Spells
Perfumes
Potions
Powders
Rings
Scrolls
Spellbooks
Most are not "official" suggestions but are merely  recommended. Some skills are official e.g. Calligraphy</t>
        </r>
      </text>
    </comment>
    <comment ref="I91" authorId="1">
      <text>
        <r>
          <rPr>
            <b/>
            <sz val="8"/>
            <color indexed="81"/>
            <rFont val="Tahoma"/>
            <family val="2"/>
          </rPr>
          <t>Enchanter's penalty</t>
        </r>
        <r>
          <rPr>
            <sz val="8"/>
            <color indexed="81"/>
            <rFont val="Tahoma"/>
            <family val="2"/>
          </rPr>
          <t xml:space="preserve">
</t>
        </r>
      </text>
    </comment>
    <comment ref="I94" authorId="1">
      <text>
        <r>
          <rPr>
            <b/>
            <sz val="8"/>
            <color indexed="81"/>
            <rFont val="Tahoma"/>
            <family val="2"/>
          </rPr>
          <t>Enchanter's penalty</t>
        </r>
        <r>
          <rPr>
            <sz val="8"/>
            <color indexed="81"/>
            <rFont val="Tahoma"/>
            <family val="2"/>
          </rPr>
          <t xml:space="preserve">
</t>
        </r>
      </text>
    </comment>
    <comment ref="I113" authorId="1">
      <text>
        <r>
          <rPr>
            <b/>
            <sz val="8"/>
            <color indexed="81"/>
            <rFont val="Tahoma"/>
            <family val="2"/>
          </rPr>
          <t>Enchanter's penalty</t>
        </r>
        <r>
          <rPr>
            <sz val="8"/>
            <color indexed="81"/>
            <rFont val="Tahoma"/>
            <family val="2"/>
          </rPr>
          <t xml:space="preserve">
</t>
        </r>
      </text>
    </comment>
    <comment ref="I114" authorId="1">
      <text>
        <r>
          <rPr>
            <b/>
            <sz val="8"/>
            <color indexed="81"/>
            <rFont val="Tahoma"/>
            <family val="2"/>
          </rPr>
          <t>Enchanter's penalty</t>
        </r>
        <r>
          <rPr>
            <sz val="8"/>
            <color indexed="81"/>
            <rFont val="Tahoma"/>
            <family val="2"/>
          </rPr>
          <t xml:space="preserve">
</t>
        </r>
      </text>
    </comment>
    <comment ref="I115" authorId="1">
      <text>
        <r>
          <rPr>
            <b/>
            <sz val="8"/>
            <color indexed="81"/>
            <rFont val="Tahoma"/>
            <family val="2"/>
          </rPr>
          <t>Enchanter's penalty</t>
        </r>
        <r>
          <rPr>
            <sz val="8"/>
            <color indexed="81"/>
            <rFont val="Tahoma"/>
            <family val="2"/>
          </rPr>
          <t xml:space="preserve">
</t>
        </r>
      </text>
    </comment>
    <comment ref="I116" authorId="1">
      <text>
        <r>
          <rPr>
            <b/>
            <sz val="8"/>
            <color indexed="81"/>
            <rFont val="Tahoma"/>
            <family val="2"/>
          </rPr>
          <t>Enchanter's penalty</t>
        </r>
        <r>
          <rPr>
            <sz val="8"/>
            <color indexed="81"/>
            <rFont val="Tahoma"/>
            <family val="2"/>
          </rPr>
          <t xml:space="preserve">
</t>
        </r>
      </text>
    </comment>
    <comment ref="I117" authorId="1">
      <text>
        <r>
          <rPr>
            <b/>
            <sz val="8"/>
            <color indexed="81"/>
            <rFont val="Tahoma"/>
            <family val="2"/>
          </rPr>
          <t>Enchanter's penalty</t>
        </r>
        <r>
          <rPr>
            <sz val="8"/>
            <color indexed="81"/>
            <rFont val="Tahoma"/>
            <family val="2"/>
          </rPr>
          <t xml:space="preserve">
</t>
        </r>
      </text>
    </comment>
    <comment ref="I121" authorId="1">
      <text>
        <r>
          <rPr>
            <b/>
            <sz val="8"/>
            <color indexed="81"/>
            <rFont val="Tahoma"/>
            <family val="2"/>
          </rPr>
          <t>Enchanter's penalty</t>
        </r>
        <r>
          <rPr>
            <sz val="8"/>
            <color indexed="81"/>
            <rFont val="Tahoma"/>
            <family val="2"/>
          </rPr>
          <t xml:space="preserve">
</t>
        </r>
      </text>
    </comment>
    <comment ref="I122" authorId="1">
      <text>
        <r>
          <rPr>
            <b/>
            <sz val="8"/>
            <color indexed="81"/>
            <rFont val="Tahoma"/>
            <family val="2"/>
          </rPr>
          <t>Enchanter's penalty</t>
        </r>
        <r>
          <rPr>
            <sz val="8"/>
            <color indexed="81"/>
            <rFont val="Tahoma"/>
            <family val="2"/>
          </rPr>
          <t xml:space="preserve">
</t>
        </r>
      </text>
    </comment>
  </commentList>
</comments>
</file>

<file path=xl/comments12.xml><?xml version="1.0" encoding="utf-8"?>
<comments xmlns="http://schemas.openxmlformats.org/spreadsheetml/2006/main">
  <authors>
    <author>LMIT-ODIN</author>
    <author>Allison E. Kaese</author>
    <author>Allison Kaese</author>
    <author>Kaese, Allison E. (HQ-LM020)[HP ES]</author>
  </authors>
  <commentList>
    <comment ref="A2" authorId="0">
      <text>
        <r>
          <rPr>
            <b/>
            <sz val="8"/>
            <color indexed="81"/>
            <rFont val="Tahoma"/>
            <family val="2"/>
          </rPr>
          <t>Spell Titles in Italics indicate Spells not found in the Core Rule Books.</t>
        </r>
        <r>
          <rPr>
            <sz val="8"/>
            <color indexed="81"/>
            <rFont val="Tahoma"/>
            <family val="2"/>
          </rPr>
          <t xml:space="preserve">
</t>
        </r>
      </text>
    </comment>
    <comment ref="V2" authorId="1">
      <text>
        <r>
          <rPr>
            <b/>
            <sz val="8"/>
            <color indexed="81"/>
            <rFont val="Tahoma"/>
            <family val="2"/>
          </rPr>
          <t>Use this column if your character is a mage that has tangible spell items - like the conjurer, witch or tarocchi</t>
        </r>
        <r>
          <rPr>
            <sz val="8"/>
            <color indexed="81"/>
            <rFont val="Tahoma"/>
            <family val="2"/>
          </rPr>
          <t xml:space="preserve">
</t>
        </r>
      </text>
    </comment>
    <comment ref="A698" authorId="2">
      <text>
        <r>
          <rPr>
            <sz val="9"/>
            <color indexed="81"/>
            <rFont val="Tahoma"/>
            <family val="2"/>
          </rPr>
          <t xml:space="preserve">requires elemental knowledge
</t>
        </r>
      </text>
    </comment>
    <comment ref="F1061" authorId="3">
      <text>
        <r>
          <rPr>
            <b/>
            <sz val="9"/>
            <color indexed="81"/>
            <rFont val="Tahoma"/>
            <family val="2"/>
          </rPr>
          <t>Some GMs may offer "Spell Factors" as rewards for Mages if Special Magic Items are found during an adventure.</t>
        </r>
      </text>
    </comment>
  </commentList>
</comments>
</file>

<file path=xl/comments13.xml><?xml version="1.0" encoding="utf-8"?>
<comments xmlns="http://schemas.openxmlformats.org/spreadsheetml/2006/main">
  <authors>
    <author>Allison E. Kaese</author>
  </authors>
  <commentList>
    <comment ref="AA281" authorId="0">
      <text>
        <r>
          <rPr>
            <b/>
            <sz val="8"/>
            <color indexed="81"/>
            <rFont val="Tahoma"/>
            <family val="2"/>
          </rPr>
          <t>Estimated Current Age</t>
        </r>
        <r>
          <rPr>
            <sz val="8"/>
            <color indexed="81"/>
            <rFont val="Tahoma"/>
            <family val="2"/>
          </rPr>
          <t xml:space="preserve">
</t>
        </r>
      </text>
    </comment>
    <comment ref="AA282" authorId="0">
      <text>
        <r>
          <rPr>
            <b/>
            <sz val="8"/>
            <color indexed="81"/>
            <rFont val="Tahoma"/>
            <family val="2"/>
          </rPr>
          <t>Estimated Current Age</t>
        </r>
        <r>
          <rPr>
            <sz val="8"/>
            <color indexed="81"/>
            <rFont val="Tahoma"/>
            <family val="2"/>
          </rPr>
          <t xml:space="preserve">
</t>
        </r>
      </text>
    </comment>
    <comment ref="AA283" authorId="0">
      <text>
        <r>
          <rPr>
            <b/>
            <sz val="8"/>
            <color indexed="81"/>
            <rFont val="Tahoma"/>
            <family val="2"/>
          </rPr>
          <t>Estimated Current Age</t>
        </r>
        <r>
          <rPr>
            <sz val="8"/>
            <color indexed="81"/>
            <rFont val="Tahoma"/>
            <family val="2"/>
          </rPr>
          <t xml:space="preserve">
</t>
        </r>
      </text>
    </comment>
    <comment ref="AA284" authorId="0">
      <text>
        <r>
          <rPr>
            <b/>
            <sz val="8"/>
            <color indexed="81"/>
            <rFont val="Tahoma"/>
            <family val="2"/>
          </rPr>
          <t>Estimated Current Age</t>
        </r>
        <r>
          <rPr>
            <sz val="8"/>
            <color indexed="81"/>
            <rFont val="Tahoma"/>
            <family val="2"/>
          </rPr>
          <t xml:space="preserve">
</t>
        </r>
      </text>
    </comment>
    <comment ref="AA285" authorId="0">
      <text>
        <r>
          <rPr>
            <b/>
            <sz val="8"/>
            <color indexed="81"/>
            <rFont val="Tahoma"/>
            <family val="2"/>
          </rPr>
          <t>Estimated Current Age</t>
        </r>
        <r>
          <rPr>
            <sz val="8"/>
            <color indexed="81"/>
            <rFont val="Tahoma"/>
            <family val="2"/>
          </rPr>
          <t xml:space="preserve">
</t>
        </r>
      </text>
    </comment>
    <comment ref="AA286" authorId="0">
      <text>
        <r>
          <rPr>
            <b/>
            <sz val="8"/>
            <color indexed="81"/>
            <rFont val="Tahoma"/>
            <family val="2"/>
          </rPr>
          <t>Estimated Current Age</t>
        </r>
        <r>
          <rPr>
            <sz val="8"/>
            <color indexed="81"/>
            <rFont val="Tahoma"/>
            <family val="2"/>
          </rPr>
          <t xml:space="preserve">
</t>
        </r>
      </text>
    </comment>
    <comment ref="AA287" authorId="0">
      <text>
        <r>
          <rPr>
            <b/>
            <sz val="8"/>
            <color indexed="81"/>
            <rFont val="Tahoma"/>
            <family val="2"/>
          </rPr>
          <t>Estimated Current Age</t>
        </r>
        <r>
          <rPr>
            <sz val="8"/>
            <color indexed="81"/>
            <rFont val="Tahoma"/>
            <family val="2"/>
          </rPr>
          <t xml:space="preserve">
</t>
        </r>
      </text>
    </comment>
    <comment ref="AA288" authorId="0">
      <text>
        <r>
          <rPr>
            <b/>
            <sz val="8"/>
            <color indexed="81"/>
            <rFont val="Tahoma"/>
            <family val="2"/>
          </rPr>
          <t>Estimated Current Age</t>
        </r>
        <r>
          <rPr>
            <sz val="8"/>
            <color indexed="81"/>
            <rFont val="Tahoma"/>
            <family val="2"/>
          </rPr>
          <t xml:space="preserve">
</t>
        </r>
      </text>
    </comment>
    <comment ref="AA289" authorId="0">
      <text>
        <r>
          <rPr>
            <b/>
            <sz val="8"/>
            <color indexed="81"/>
            <rFont val="Tahoma"/>
            <family val="2"/>
          </rPr>
          <t>Estimated Current Age</t>
        </r>
        <r>
          <rPr>
            <sz val="8"/>
            <color indexed="81"/>
            <rFont val="Tahoma"/>
            <family val="2"/>
          </rPr>
          <t xml:space="preserve">
</t>
        </r>
      </text>
    </comment>
  </commentList>
</comments>
</file>

<file path=xl/sharedStrings.xml><?xml version="1.0" encoding="utf-8"?>
<sst xmlns="http://schemas.openxmlformats.org/spreadsheetml/2006/main" count="24764" uniqueCount="6191">
  <si>
    <t>Candelabra, Pewter</t>
  </si>
  <si>
    <t>Candelabra, Brass</t>
  </si>
  <si>
    <t>Candlestick, Brass</t>
  </si>
  <si>
    <t>Brazier, Bronze Tripod</t>
  </si>
  <si>
    <t>Brazier, Iron Tripod</t>
  </si>
  <si>
    <t>Curr. Max BODY Level</t>
  </si>
  <si>
    <t>Curr. Max FATIGUE Levels</t>
  </si>
  <si>
    <t>Puff of Dust</t>
  </si>
  <si>
    <t>Singing</t>
  </si>
  <si>
    <t>Sleight of Hand</t>
  </si>
  <si>
    <t>Athletic Skills</t>
  </si>
  <si>
    <t>Climbing</t>
  </si>
  <si>
    <t>Conditioning</t>
  </si>
  <si>
    <t>NS</t>
  </si>
  <si>
    <t>Endurance</t>
  </si>
  <si>
    <t>Jumping</t>
  </si>
  <si>
    <t>Lifting &amp; Carrying Weights</t>
  </si>
  <si>
    <t>Running</t>
  </si>
  <si>
    <t>Swimming</t>
  </si>
  <si>
    <t>Dust</t>
  </si>
  <si>
    <t>Insect bites</t>
  </si>
  <si>
    <t>Common Food</t>
  </si>
  <si>
    <t>Mold</t>
  </si>
  <si>
    <t>Uncommon Food</t>
  </si>
  <si>
    <t>Mild Allergic Reaction</t>
  </si>
  <si>
    <t>Severe Allergic Reaction</t>
  </si>
  <si>
    <t>Hand Carry:</t>
  </si>
  <si>
    <t>Merchant Prince</t>
  </si>
  <si>
    <t>http://www.ronaldo.com</t>
  </si>
  <si>
    <t>Forester's Stealth</t>
  </si>
  <si>
    <t>ALERTNESS-SOUND</t>
  </si>
  <si>
    <t>ALERTNESS-SIGHT</t>
  </si>
  <si>
    <t>Conceal &amp; Find Objects</t>
  </si>
  <si>
    <t>Detecting Thievery</t>
  </si>
  <si>
    <t>Pick Pockets &amp; Cut Purses</t>
  </si>
  <si>
    <t xml:space="preserve">Set &amp; Disarm Mantraps </t>
  </si>
  <si>
    <t xml:space="preserve">Thieves/Assassins' Stealth </t>
  </si>
  <si>
    <t xml:space="preserve">Pole Arms </t>
  </si>
  <si>
    <t>Composite Bows</t>
  </si>
  <si>
    <t xml:space="preserve">Crossbows </t>
  </si>
  <si>
    <t>Resistance to Poison</t>
  </si>
  <si>
    <t>Scholarship</t>
  </si>
  <si>
    <t>Sense Magical Forces</t>
  </si>
  <si>
    <t>Well Conditioned</t>
  </si>
  <si>
    <t>Sense Auras</t>
  </si>
  <si>
    <t>Ambidextrous</t>
  </si>
  <si>
    <t>Premonition</t>
  </si>
  <si>
    <t>Berserker Rage</t>
  </si>
  <si>
    <t>Minor Phobia</t>
  </si>
  <si>
    <t>Major Phobia</t>
  </si>
  <si>
    <t>Deep Sleeper</t>
  </si>
  <si>
    <t>Healing Powers</t>
  </si>
  <si>
    <t>Monster Tongues</t>
  </si>
  <si>
    <t>Written</t>
  </si>
  <si>
    <t>Lore Historical</t>
  </si>
  <si>
    <t>Lore Scientific</t>
  </si>
  <si>
    <t>Zwei-hander</t>
  </si>
  <si>
    <t>Language Lore</t>
  </si>
  <si>
    <t>Spoken</t>
  </si>
  <si>
    <t>Foreign Languages</t>
  </si>
  <si>
    <t>Groom</t>
  </si>
  <si>
    <t>Barber-Chirugeon</t>
  </si>
  <si>
    <t>Hayward</t>
  </si>
  <si>
    <t>Hand Servant / Valet</t>
  </si>
  <si>
    <t>Marshal</t>
  </si>
  <si>
    <t>Arcane Lock</t>
  </si>
  <si>
    <t>Astral Lock</t>
  </si>
  <si>
    <t>Wyvern</t>
  </si>
  <si>
    <t>Cetacean</t>
  </si>
  <si>
    <t xml:space="preserve"> absorption capacity,</t>
  </si>
  <si>
    <t xml:space="preserve"> there is a 10% chance</t>
  </si>
  <si>
    <t xml:space="preserve"> (Cumulative) that that</t>
  </si>
  <si>
    <t xml:space="preserve"> blow will destroy it.</t>
  </si>
  <si>
    <t>Use the boxes below to track total</t>
  </si>
  <si>
    <t>Class</t>
  </si>
  <si>
    <t>Conjuration</t>
  </si>
  <si>
    <t>Shamanic</t>
  </si>
  <si>
    <t>Elemental (air)</t>
  </si>
  <si>
    <t>Elemental (earth)</t>
  </si>
  <si>
    <t>Elemental (fire)</t>
  </si>
  <si>
    <t>Elemental (Water)</t>
  </si>
  <si>
    <t>MR</t>
  </si>
  <si>
    <t>The PC has a 'wandering eye'</t>
  </si>
  <si>
    <t>You easily manage to get your clothes dirty and ripped.</t>
  </si>
  <si>
    <t>You exude a strong unpleasant body odour.</t>
  </si>
  <si>
    <t>Envious</t>
  </si>
  <si>
    <t>Minor Phobia &amp; roll for another flaw</t>
  </si>
  <si>
    <t>Major Phobia &amp; roll for another flaw</t>
  </si>
  <si>
    <t>White Bread</t>
  </si>
  <si>
    <t>Straw</t>
  </si>
  <si>
    <t>Hay</t>
  </si>
  <si>
    <t>Oats</t>
  </si>
  <si>
    <t>Barley</t>
  </si>
  <si>
    <t>Rye</t>
  </si>
  <si>
    <t>Wheat</t>
  </si>
  <si>
    <t>Notes:</t>
  </si>
  <si>
    <t>Blessing %</t>
  </si>
  <si>
    <t>Religious Services:</t>
  </si>
  <si>
    <t>small rural</t>
  </si>
  <si>
    <t xml:space="preserve">Oratory </t>
  </si>
  <si>
    <t xml:space="preserve">Chess </t>
  </si>
  <si>
    <t>Blend into Surroundings</t>
  </si>
  <si>
    <t>Covering Tracks</t>
  </si>
  <si>
    <t>Leatherworking &amp; Tanning</t>
  </si>
  <si>
    <t>Masonry &amp; Stonecutting</t>
  </si>
  <si>
    <t>2+</t>
  </si>
  <si>
    <t>3+2</t>
  </si>
  <si>
    <t>3+</t>
  </si>
  <si>
    <t>5+1</t>
  </si>
  <si>
    <t>6+</t>
  </si>
  <si>
    <t>2-11</t>
  </si>
  <si>
    <t>5/10/20</t>
  </si>
  <si>
    <t>3+3</t>
  </si>
  <si>
    <t>Ritual</t>
  </si>
  <si>
    <t>8+1</t>
  </si>
  <si>
    <t>Objects</t>
  </si>
  <si>
    <t>Association</t>
  </si>
  <si>
    <t>Contact</t>
  </si>
  <si>
    <t>Possession</t>
  </si>
  <si>
    <t>Sympathetic Magick</t>
  </si>
  <si>
    <t>Names</t>
  </si>
  <si>
    <t>Invocation</t>
  </si>
  <si>
    <t>Create Sound</t>
  </si>
  <si>
    <t>Concentrate Sound</t>
  </si>
  <si>
    <t xml:space="preserve">Alter or Command Sound </t>
  </si>
  <si>
    <t xml:space="preserve">Diffuse Sound </t>
  </si>
  <si>
    <t xml:space="preserve">Detach Sound </t>
  </si>
  <si>
    <t>Accelerate Sound</t>
  </si>
  <si>
    <t>Vol. 2</t>
  </si>
  <si>
    <t>VSS</t>
  </si>
  <si>
    <t>ELVES</t>
  </si>
  <si>
    <t>Vol. 3</t>
  </si>
  <si>
    <t>Source Book</t>
  </si>
  <si>
    <t>Slow Sound</t>
  </si>
  <si>
    <t>Create Lesser Sound</t>
  </si>
  <si>
    <t>Create Great Sound</t>
  </si>
  <si>
    <t>Create Scent</t>
  </si>
  <si>
    <t>Detach Scent</t>
  </si>
  <si>
    <t>Affix Scent</t>
  </si>
  <si>
    <t>Accelerate Scent</t>
  </si>
  <si>
    <t>Slow Scent</t>
  </si>
  <si>
    <t>Concentrate Scent</t>
  </si>
  <si>
    <t>Diffuse Scent</t>
  </si>
  <si>
    <t>Create Least Scent</t>
  </si>
  <si>
    <t>Create Lesser Scent</t>
  </si>
  <si>
    <t>Musical Instrument</t>
  </si>
  <si>
    <t>circatore</t>
  </si>
  <si>
    <t>prior</t>
  </si>
  <si>
    <t>abbot</t>
  </si>
  <si>
    <t>Father General</t>
  </si>
  <si>
    <t>Starting money</t>
  </si>
  <si>
    <t>N/A</t>
  </si>
  <si>
    <t xml:space="preserve">Golden </t>
  </si>
  <si>
    <t>Speckled</t>
  </si>
  <si>
    <t>Dappled</t>
  </si>
  <si>
    <t>Spotted</t>
  </si>
  <si>
    <t>Striped</t>
  </si>
  <si>
    <t xml:space="preserve">unsling 2 </t>
  </si>
  <si>
    <t>unsling shield</t>
  </si>
  <si>
    <t>sheath weap</t>
  </si>
  <si>
    <t>rl &amp; fire sling</t>
  </si>
  <si>
    <t>ND&amp;F b (q)</t>
  </si>
  <si>
    <t>Storytelling</t>
  </si>
  <si>
    <t>Holding One's Breath</t>
  </si>
  <si>
    <t>Shortbow/Selfbow</t>
  </si>
  <si>
    <t>ASR</t>
  </si>
  <si>
    <t>Body Armor weight</t>
  </si>
  <si>
    <t>Hydrophobia</t>
  </si>
  <si>
    <t>Hypnophobia</t>
  </si>
  <si>
    <t>Kronophobia</t>
  </si>
  <si>
    <t>Musophobia</t>
  </si>
  <si>
    <t>Summon Ghoul</t>
  </si>
  <si>
    <t>Roman Pilum</t>
  </si>
  <si>
    <t>War Javelin</t>
  </si>
  <si>
    <t>Troll Method</t>
  </si>
  <si>
    <t>Prolong Breathing Underwater</t>
  </si>
  <si>
    <t>Concealment</t>
  </si>
  <si>
    <t>O</t>
  </si>
  <si>
    <t>C</t>
  </si>
  <si>
    <t>Night Vision</t>
  </si>
  <si>
    <t>Sense Good &amp; Evil</t>
  </si>
  <si>
    <t>Sense of  Direction</t>
  </si>
  <si>
    <t>Fey Affinity</t>
  </si>
  <si>
    <t>Light Sleeper</t>
  </si>
  <si>
    <t>Low Metabolic Rate</t>
  </si>
  <si>
    <t>Variable</t>
  </si>
  <si>
    <t>Primary Method?</t>
  </si>
  <si>
    <t>Food</t>
  </si>
  <si>
    <t>Containers</t>
  </si>
  <si>
    <t>Household Goods</t>
  </si>
  <si>
    <t>Read Body Language</t>
  </si>
  <si>
    <t>Geographical Lore: Local</t>
  </si>
  <si>
    <t>Cultural Lore: Own</t>
  </si>
  <si>
    <t>Cart, 1 Horse (1000 lbs.)</t>
  </si>
  <si>
    <t>Wagon, 2 Horse (1 Ton)</t>
  </si>
  <si>
    <t>Coach, 2 Horse (2+4)</t>
  </si>
  <si>
    <t>6' Leather Boat, 2 Seat</t>
  </si>
  <si>
    <t>25' Longboat, 12 Seat</t>
  </si>
  <si>
    <t>Leather Tent (2 man)</t>
  </si>
  <si>
    <t>Wagon, 4 Horse (3 Ton)</t>
  </si>
  <si>
    <t>Coach, 4 Horse (2+6)</t>
  </si>
  <si>
    <t>8' Rowboat, 4 Seat</t>
  </si>
  <si>
    <t>Leather Tent (4 man)</t>
  </si>
  <si>
    <t>12' Rowboat, 6  Seat</t>
  </si>
  <si>
    <t>16' Rowboat, 8 Seat</t>
  </si>
  <si>
    <t>Leather Tent (8 man)</t>
  </si>
  <si>
    <t>Sack (10 lbs. Capacity)</t>
  </si>
  <si>
    <t>Sack (50 lbs. Capacity)</t>
  </si>
  <si>
    <t>Backpack (50 lbs. Capacity)</t>
  </si>
  <si>
    <t>PSF%</t>
  </si>
  <si>
    <t>Special</t>
  </si>
  <si>
    <t>Dodge</t>
  </si>
  <si>
    <t>Stamina</t>
  </si>
  <si>
    <t>Willpower</t>
  </si>
  <si>
    <t>Animate Wood Simulacrum</t>
  </si>
  <si>
    <t xml:space="preserve">Animate  Water / Ice Simulacrum </t>
  </si>
  <si>
    <t>Banish Undead</t>
  </si>
  <si>
    <t>Running Jump:</t>
  </si>
  <si>
    <t>Daily Nutrition for Activity Level</t>
  </si>
  <si>
    <t>Body Recovery Rate</t>
  </si>
  <si>
    <t>Reduces FP costs when spell casting by 1 FP (Minimum cost remains at 1 FP)</t>
  </si>
  <si>
    <t>Allows Crit Die re-rolls on failed Skill Rolls</t>
  </si>
  <si>
    <t>Allows the mage the ability to link spells of opposing elements</t>
  </si>
  <si>
    <t>Castle Chamberlain</t>
  </si>
  <si>
    <t>Scribe/Secretary</t>
  </si>
  <si>
    <t>Sergeant-Commander</t>
  </si>
  <si>
    <t>Sergeant</t>
  </si>
  <si>
    <t>Man-at-Arms</t>
  </si>
  <si>
    <t>Archer</t>
  </si>
  <si>
    <t>Chief Forester &amp; Archery Master</t>
  </si>
  <si>
    <t>Sergeant-Armorer</t>
  </si>
  <si>
    <t>Petit Sergeant</t>
  </si>
  <si>
    <t>Freehold Miller</t>
  </si>
  <si>
    <t>Tailor</t>
  </si>
  <si>
    <t>Chivalry &amp; Sorcery: The Rebirth-Player's Pack: Vols 1 &amp; 2</t>
  </si>
  <si>
    <t>Lesser Ward of Protection vs Basick Magick - Air</t>
  </si>
  <si>
    <t>Lesser Ward of Protection vs Basick Magick - Water</t>
  </si>
  <si>
    <t>Lesser Ward of Protection vs Basick Magick - Earth</t>
  </si>
  <si>
    <t>Lesser Ward of Protection vs Basick Magick - Fire</t>
  </si>
  <si>
    <t>Lesser Ward of Protection vs Arcane</t>
  </si>
  <si>
    <t>Cake</t>
  </si>
  <si>
    <t>Alertness</t>
  </si>
  <si>
    <t>Greater Conceal Body Scent</t>
  </si>
  <si>
    <t>Cloak Aura</t>
  </si>
  <si>
    <t>Change Aura</t>
  </si>
  <si>
    <t>Iron Mine Owner</t>
  </si>
  <si>
    <t>Gold Mine Owner</t>
  </si>
  <si>
    <t>AGE</t>
  </si>
  <si>
    <t>: Starting Experience</t>
  </si>
  <si>
    <t>Greater Area Sleep</t>
  </si>
  <si>
    <t>Enchanted Sleep</t>
  </si>
  <si>
    <t>Animals are uneasy in your presence</t>
  </si>
  <si>
    <t>Brew</t>
  </si>
  <si>
    <t>Cheesemaking</t>
  </si>
  <si>
    <t xml:space="preserve">Dog Breeding </t>
  </si>
  <si>
    <t>Crit Die Experience Tracking</t>
  </si>
  <si>
    <t>Start?</t>
  </si>
  <si>
    <t>Map Reading</t>
  </si>
  <si>
    <t>Roll?</t>
  </si>
  <si>
    <t>Priestly Mage: Druid: Physician</t>
  </si>
  <si>
    <t>Priestly Mage: Druid: Poet</t>
  </si>
  <si>
    <t>Priestly Mage: Druid: Teacher</t>
  </si>
  <si>
    <t>Priestly Mage: Hermit</t>
  </si>
  <si>
    <t>Priestly Mage: Hermit: Archivist</t>
  </si>
  <si>
    <t>Priestly Mage: Hermit: Ascetic</t>
  </si>
  <si>
    <t>Writing Materials</t>
  </si>
  <si>
    <t>Building Tools</t>
  </si>
  <si>
    <t>Mining Tools</t>
  </si>
  <si>
    <t>Agricultural Tools</t>
  </si>
  <si>
    <t>Cordage</t>
  </si>
  <si>
    <t xml:space="preserve">LAC </t>
  </si>
  <si>
    <t>Least Gain Strength from the Storm</t>
  </si>
  <si>
    <t>Fresh Lentils</t>
  </si>
  <si>
    <t>Open Hand Wrestling</t>
  </si>
  <si>
    <t>Days to Learn a New Skill</t>
  </si>
  <si>
    <t>Magical Fletching +6</t>
  </si>
  <si>
    <t>Strike with Power +6</t>
  </si>
  <si>
    <t>Fey Magical Bowery +7</t>
  </si>
  <si>
    <t>Fey Magical Fletching +7</t>
  </si>
  <si>
    <t>Bolo</t>
  </si>
  <si>
    <t>Signed Communication</t>
  </si>
  <si>
    <t>Weather Lore</t>
  </si>
  <si>
    <t>Arachnids</t>
  </si>
  <si>
    <t>Insects</t>
  </si>
  <si>
    <t>Call the Salamander</t>
  </si>
  <si>
    <t>Dull Blade</t>
  </si>
  <si>
    <t>Is Faith a Core/Background Skill?</t>
  </si>
  <si>
    <t>Volume 1: Core Rules</t>
  </si>
  <si>
    <t>Volume 2: Magicks &amp; Miracles</t>
  </si>
  <si>
    <t>Volume 3: Gamemaster's Companion</t>
  </si>
  <si>
    <t>add the Crit Experience calculated below!</t>
  </si>
  <si>
    <t>Prim Attr.</t>
  </si>
  <si>
    <t>Create Air</t>
  </si>
  <si>
    <t>Command Air</t>
  </si>
  <si>
    <t>Create Earth</t>
  </si>
  <si>
    <t>Command Earth</t>
  </si>
  <si>
    <t>Create Natural Fire</t>
  </si>
  <si>
    <t>Bear Raising</t>
  </si>
  <si>
    <t>Average Red Wine (1 Pt.)</t>
  </si>
  <si>
    <t>Poor Red Wine (1 Pt.)</t>
  </si>
  <si>
    <t>Sour Wine (2 Pt.)</t>
  </si>
  <si>
    <t>Red Vinegar (1 Pt.)</t>
  </si>
  <si>
    <t>Grand Cru White (1 Pt.)</t>
  </si>
  <si>
    <t>Fine White (1 Pt.)</t>
  </si>
  <si>
    <t>Fine Port Wine (1 Pt.)</t>
  </si>
  <si>
    <t>Good Port Wine (1 Pt.)</t>
  </si>
  <si>
    <t>Superb Cognac (1 Pt.)</t>
  </si>
  <si>
    <t>Fine Cognac (1 Pt.)</t>
  </si>
  <si>
    <t>Good Cognac (1 Pt.)</t>
  </si>
  <si>
    <t>Average Cognac (1 Pt.)</t>
  </si>
  <si>
    <t>Grain Alcohol (1 Pt.)</t>
  </si>
  <si>
    <t>Stout Beer (1 Pt.)</t>
  </si>
  <si>
    <t>Bitters (1 Pt.)</t>
  </si>
  <si>
    <t>Small Beer (2 Pt.)</t>
  </si>
  <si>
    <t>Wood Glue (1 Pt.)</t>
  </si>
  <si>
    <t>Jug/Pot, Gilded (2 Pt.)</t>
  </si>
  <si>
    <t>Jug/Pot, Gilded (4 Pt.)</t>
  </si>
  <si>
    <t>Jug/Pot, Glass (2 Pt.)</t>
  </si>
  <si>
    <t>Mage: Elven: Bowyer Mage</t>
  </si>
  <si>
    <t>Architecture &amp; Engineering</t>
  </si>
  <si>
    <t>Tracking</t>
  </si>
  <si>
    <t>Detecting Mantraps</t>
  </si>
  <si>
    <t>Cavalry Plate</t>
  </si>
  <si>
    <t>Chivalric Lance</t>
  </si>
  <si>
    <t>Quarterstaff</t>
  </si>
  <si>
    <t>Plate Mail</t>
  </si>
  <si>
    <t>Boar Spareribs</t>
  </si>
  <si>
    <t>combat skills</t>
  </si>
  <si>
    <t>3x1'</t>
  </si>
  <si>
    <t>23+1</t>
  </si>
  <si>
    <t>********</t>
  </si>
  <si>
    <t>Create Greater Sound</t>
  </si>
  <si>
    <t>15x11</t>
  </si>
  <si>
    <t>Keen Smell</t>
  </si>
  <si>
    <t>Keen Taste</t>
  </si>
  <si>
    <t>Keen Touch</t>
  </si>
  <si>
    <t>Keen Situational Awareness</t>
  </si>
  <si>
    <t>Daily Attendance</t>
  </si>
  <si>
    <t>Cordials</t>
  </si>
  <si>
    <t>Chirurgery</t>
  </si>
  <si>
    <t>Fire Ball  - Salamander Fire</t>
  </si>
  <si>
    <t>Fire Ball  - Dragon Fire</t>
  </si>
  <si>
    <t>10+1</t>
  </si>
  <si>
    <t>14+1</t>
  </si>
  <si>
    <t>16+1</t>
  </si>
  <si>
    <t>"Roll"</t>
  </si>
  <si>
    <t>14+3</t>
  </si>
  <si>
    <t>Language Lore: Spoken</t>
  </si>
  <si>
    <t>FAITH</t>
  </si>
  <si>
    <t>BRAWLING</t>
  </si>
  <si>
    <t>Extremely Difficult</t>
  </si>
  <si>
    <t>Nearly Impossible</t>
  </si>
  <si>
    <t>Impossible</t>
  </si>
  <si>
    <t>Flint Knapping</t>
  </si>
  <si>
    <t>Rune Mage (Vitkir)</t>
  </si>
  <si>
    <t>Rune Chants</t>
  </si>
  <si>
    <t>Flint &amp; Steel</t>
  </si>
  <si>
    <t>Spirit Walker (Astral Projection)</t>
  </si>
  <si>
    <t>You lose things only to find them later when they are not required.</t>
  </si>
  <si>
    <t>Master of Hounds</t>
  </si>
  <si>
    <t>Castle Cook</t>
  </si>
  <si>
    <t>Rural Mason</t>
  </si>
  <si>
    <t>Village Blacksmith</t>
  </si>
  <si>
    <t>Peddlar</t>
  </si>
  <si>
    <t>Fisher's Trident</t>
  </si>
  <si>
    <t>LM</t>
  </si>
  <si>
    <t>MH</t>
  </si>
  <si>
    <t>Shod Staff</t>
  </si>
  <si>
    <t>Blackjack</t>
  </si>
  <si>
    <t>Medium Club</t>
  </si>
  <si>
    <t>Large Club</t>
  </si>
  <si>
    <t>Lt Cross Bow</t>
  </si>
  <si>
    <t>Hvy. Crossbow</t>
  </si>
  <si>
    <t>Lead Bullets</t>
  </si>
  <si>
    <t>Protection</t>
  </si>
  <si>
    <t>Hv. Kite Shield</t>
  </si>
  <si>
    <t>Flails, Maces &amp; Hammers</t>
  </si>
  <si>
    <t>Piety</t>
  </si>
  <si>
    <t>Belief</t>
  </si>
  <si>
    <t>Current</t>
  </si>
  <si>
    <t>Fervent</t>
  </si>
  <si>
    <t>War Spears</t>
  </si>
  <si>
    <t>Civilian Spears</t>
  </si>
  <si>
    <t>Fighting Staves</t>
  </si>
  <si>
    <t>Clubs</t>
  </si>
  <si>
    <t>Slingstaff</t>
  </si>
  <si>
    <t>Light Body</t>
  </si>
  <si>
    <t>Clergy: Crooning Priest</t>
  </si>
  <si>
    <t>Action</t>
  </si>
  <si>
    <t>German (Middle)</t>
  </si>
  <si>
    <t>Gaelic (Scots)</t>
  </si>
  <si>
    <t>Arithmetic &amp; Mathematical Lore</t>
  </si>
  <si>
    <t>Astronomical Lore</t>
  </si>
  <si>
    <t>Cartography</t>
  </si>
  <si>
    <t>Geological Lore</t>
  </si>
  <si>
    <t>Materia Magica</t>
  </si>
  <si>
    <t>Demon Lore</t>
  </si>
  <si>
    <t>Faerie Lore</t>
  </si>
  <si>
    <t>Lore of the Dead</t>
  </si>
  <si>
    <t>Magical Beast Lore</t>
  </si>
  <si>
    <t>st</t>
  </si>
  <si>
    <t>rd</t>
  </si>
  <si>
    <t>nd</t>
  </si>
  <si>
    <t>th</t>
  </si>
  <si>
    <t>Character is a "Jonah" and seems to attract bad luck</t>
  </si>
  <si>
    <t>Standing</t>
  </si>
  <si>
    <t>Guildsman</t>
  </si>
  <si>
    <t>Landless Knight</t>
  </si>
  <si>
    <t>Landed Knight</t>
  </si>
  <si>
    <t>climbing/swimming</t>
  </si>
  <si>
    <t>Piloting &amp; Navigation</t>
  </si>
  <si>
    <t>House Skills, if Elven?</t>
  </si>
  <si>
    <t>Clan Skills, If Dwarf?</t>
  </si>
  <si>
    <t>All initial lore levels</t>
  </si>
  <si>
    <t>INT Bonus</t>
  </si>
  <si>
    <t>WIS Bonus</t>
  </si>
  <si>
    <t>any 3 lore</t>
  </si>
  <si>
    <t>Tertiary Skills</t>
  </si>
  <si>
    <t>Primary Skills</t>
  </si>
  <si>
    <t>Secondary Skills</t>
  </si>
  <si>
    <r>
      <t>Chivalry &amp; Sorcery</t>
    </r>
    <r>
      <rPr>
        <b/>
        <sz val="16"/>
        <rFont val="Symbol"/>
        <family val="1"/>
        <charset val="2"/>
      </rPr>
      <t>Ô</t>
    </r>
    <r>
      <rPr>
        <b/>
        <sz val="16"/>
        <rFont val="Times New Roman"/>
        <family val="1"/>
      </rPr>
      <t>Character Combat Matrix</t>
    </r>
  </si>
  <si>
    <t>Armor</t>
  </si>
  <si>
    <t>Shield</t>
  </si>
  <si>
    <t>Poisonous snakes like you &amp; seek you out</t>
  </si>
  <si>
    <r>
      <t>The "</t>
    </r>
    <r>
      <rPr>
        <b/>
        <sz val="8"/>
        <rFont val="Arial"/>
        <family val="2"/>
      </rPr>
      <t>Magick</t>
    </r>
    <r>
      <rPr>
        <sz val="8"/>
        <rFont val="Arial"/>
        <family val="2"/>
      </rPr>
      <t>" worksheet details information for Mages &amp; Priestly Mages. - under re-construction!</t>
    </r>
  </si>
  <si>
    <t>Massage</t>
  </si>
  <si>
    <t>Games</t>
  </si>
  <si>
    <t>Intrigue</t>
  </si>
  <si>
    <t>Bodice</t>
  </si>
  <si>
    <t>Apron</t>
  </si>
  <si>
    <t>Primary Method of Omen Divination?</t>
  </si>
  <si>
    <t>Riding Mount</t>
  </si>
  <si>
    <t>Pack Mount</t>
  </si>
  <si>
    <t>Fey Blood</t>
  </si>
  <si>
    <t xml:space="preserve">Disarm Trigger </t>
  </si>
  <si>
    <t>Small Club</t>
  </si>
  <si>
    <t>Buckler, Rimmed</t>
  </si>
  <si>
    <t>Buckler, Reinforced</t>
  </si>
  <si>
    <t>Target, Wicker</t>
  </si>
  <si>
    <t>Target, Wood</t>
  </si>
  <si>
    <t>Starting  Prof.  Level</t>
  </si>
  <si>
    <t>Estimated Experience</t>
  </si>
  <si>
    <t>CORE SKILL</t>
  </si>
  <si>
    <t>KNOWLEDGE</t>
  </si>
  <si>
    <t>RESISTED</t>
  </si>
  <si>
    <t>Chivalry &amp; Sorcery, 3rd Edition</t>
  </si>
  <si>
    <t>Metal?</t>
  </si>
  <si>
    <t xml:space="preserve">Haeflin Master Magus </t>
  </si>
  <si>
    <t>Tattoo/Painted Mage</t>
  </si>
  <si>
    <t>Haeflin Master Magus</t>
  </si>
  <si>
    <t>Tatoo/Painted</t>
  </si>
  <si>
    <t>Mage: Tatoo/Painted Mage</t>
  </si>
  <si>
    <t>Mage: Haeflin: Master Magus</t>
  </si>
  <si>
    <t>ad2</t>
  </si>
  <si>
    <t>Jug/Pot, Pottery (2 Pt.)</t>
  </si>
  <si>
    <t>Jug/Pot, Pottery (4 Pt.)</t>
  </si>
  <si>
    <t>Total weight</t>
  </si>
  <si>
    <t>Vegetables</t>
  </si>
  <si>
    <t>Fruits</t>
  </si>
  <si>
    <t>Cooking Oils</t>
  </si>
  <si>
    <t>Baking Ingredients</t>
  </si>
  <si>
    <t>Bakery Goods</t>
  </si>
  <si>
    <t>Beer, Mead &amp; Cider</t>
  </si>
  <si>
    <t>Wine (by pint)</t>
  </si>
  <si>
    <t>Least Cloak from Divination</t>
  </si>
  <si>
    <t>Lesser Cloak from Divination</t>
  </si>
  <si>
    <t>Great Cloak from Divination</t>
  </si>
  <si>
    <t>Greater Cloak from Divination</t>
  </si>
  <si>
    <t>Least Pull</t>
  </si>
  <si>
    <t>Lesser Pull</t>
  </si>
  <si>
    <t>Great Pull</t>
  </si>
  <si>
    <t>Greater Pull</t>
  </si>
  <si>
    <t>Greatest Pull</t>
  </si>
  <si>
    <t>Least Push</t>
  </si>
  <si>
    <t>Lesser Push</t>
  </si>
  <si>
    <t>Great Push</t>
  </si>
  <si>
    <t>Greater Push</t>
  </si>
  <si>
    <t>Greatest Push</t>
  </si>
  <si>
    <t>Least Preserve</t>
  </si>
  <si>
    <t>Lesser Preserve</t>
  </si>
  <si>
    <t>Extra "Spells" (MRs)?</t>
  </si>
  <si>
    <t>Haute Cuisine</t>
  </si>
  <si>
    <t>First Aid &amp; Chirurgery</t>
  </si>
  <si>
    <t>Cauterizing</t>
  </si>
  <si>
    <t>Setting Broken Bones</t>
  </si>
  <si>
    <t>vocation</t>
  </si>
  <si>
    <t>status</t>
  </si>
  <si>
    <t>Initial Purse</t>
  </si>
  <si>
    <t>fam Lcap</t>
  </si>
  <si>
    <t>Ferocity:             (FER)</t>
  </si>
  <si>
    <t>Dexterity:           (DEX)</t>
  </si>
  <si>
    <t>Salted Pork</t>
  </si>
  <si>
    <t>Pork Ham</t>
  </si>
  <si>
    <t>Mutton Ham</t>
  </si>
  <si>
    <t>Dark Rye Bread</t>
  </si>
  <si>
    <t>Hard Tack</t>
  </si>
  <si>
    <t>Veal</t>
  </si>
  <si>
    <t>Boar's Head</t>
  </si>
  <si>
    <t>Pork Spareribs</t>
  </si>
  <si>
    <t>Detach Illusionary Contact</t>
  </si>
  <si>
    <t>Affix Illusionary Contact</t>
  </si>
  <si>
    <t>Accelerate Illusionary Contact</t>
  </si>
  <si>
    <t>Slow Illusionary Contact</t>
  </si>
  <si>
    <t>Intensify Illusionary Contact</t>
  </si>
  <si>
    <t>Diffuse Illusionary Contact</t>
  </si>
  <si>
    <t>Forgetfulness</t>
  </si>
  <si>
    <t>Muscle Spasm</t>
  </si>
  <si>
    <t>Clumsiness</t>
  </si>
  <si>
    <t>Deafen</t>
  </si>
  <si>
    <t>Blind</t>
  </si>
  <si>
    <t>Stun</t>
  </si>
  <si>
    <t>Die</t>
  </si>
  <si>
    <t>Detect Hidden Door</t>
  </si>
  <si>
    <t>Chivalry &amp; Sorcery 4th Edition - The Rebirth</t>
  </si>
  <si>
    <t>Become Another</t>
  </si>
  <si>
    <t>Bloom Of Youth</t>
  </si>
  <si>
    <t>Oratory Bonus</t>
  </si>
  <si>
    <t>Illusion Bonus</t>
  </si>
  <si>
    <t>Unusual Features:</t>
  </si>
  <si>
    <t>FRR:</t>
  </si>
  <si>
    <t>Set of Engraving Tools</t>
  </si>
  <si>
    <t>Smith's Hammer</t>
  </si>
  <si>
    <t>Jeweler's Hammer</t>
  </si>
  <si>
    <t>Portable Anvil</t>
  </si>
  <si>
    <t>Smithy Anvil</t>
  </si>
  <si>
    <t>Mason's Mixing Trough</t>
  </si>
  <si>
    <t>HardWood Charcoal</t>
  </si>
  <si>
    <t>Smelting Coal</t>
  </si>
  <si>
    <t>Smelting Crucible (5 lbs)</t>
  </si>
  <si>
    <t>Barge</t>
  </si>
  <si>
    <t>Carrack</t>
  </si>
  <si>
    <t>Galley (40 Oars)</t>
  </si>
  <si>
    <t>Galley (80 Oars &amp; Masted)</t>
  </si>
  <si>
    <t>Net Hammock</t>
  </si>
  <si>
    <t>Vial, Gilded (8 fl oz)</t>
  </si>
  <si>
    <t>Vial, Gilded (1 fl oz)</t>
  </si>
  <si>
    <t>Rushlight (1 hr. x 24)</t>
  </si>
  <si>
    <t>Wooden Plate</t>
  </si>
  <si>
    <t>Sand Blast</t>
  </si>
  <si>
    <t>Shower of Stones</t>
  </si>
  <si>
    <t>Scorpion's Strike</t>
  </si>
  <si>
    <t>Trebuchet</t>
  </si>
  <si>
    <t>Stool, 3-legged Pine/Oak</t>
  </si>
  <si>
    <t>Straight Razor</t>
  </si>
  <si>
    <t>Crochet Needles</t>
  </si>
  <si>
    <t>Maul/Sledge Hammer (Small)</t>
  </si>
  <si>
    <t>Brazier, Bronze, Small</t>
  </si>
  <si>
    <t>Brazier, Iron Small</t>
  </si>
  <si>
    <t xml:space="preserve">Candle Lantern </t>
  </si>
  <si>
    <t>Candle, Tallow (6 hr x4)</t>
  </si>
  <si>
    <t>Tinder Box</t>
  </si>
  <si>
    <r>
      <t xml:space="preserve">Agility:          </t>
    </r>
    <r>
      <rPr>
        <sz val="10"/>
        <rFont val="Times New Roman"/>
        <family val="1"/>
      </rPr>
      <t>(AGIL)</t>
    </r>
  </si>
  <si>
    <t>Whole Goose</t>
  </si>
  <si>
    <t>Whole Duck</t>
  </si>
  <si>
    <t>Whole Chicken</t>
  </si>
  <si>
    <t>NU /LB</t>
  </si>
  <si>
    <t>GM's option</t>
  </si>
  <si>
    <t>Outcast</t>
  </si>
  <si>
    <t>Infirm</t>
  </si>
  <si>
    <t>Draconic</t>
  </si>
  <si>
    <t>Feeble</t>
  </si>
  <si>
    <t>Frail</t>
  </si>
  <si>
    <t>Weak</t>
  </si>
  <si>
    <t>Unsound</t>
  </si>
  <si>
    <t>Fit</t>
  </si>
  <si>
    <t>Lively</t>
  </si>
  <si>
    <t>Energetic</t>
  </si>
  <si>
    <t>Hardy</t>
  </si>
  <si>
    <t>Stalwart</t>
  </si>
  <si>
    <t>Robust</t>
  </si>
  <si>
    <t>Rugged</t>
  </si>
  <si>
    <t>Fishing</t>
  </si>
  <si>
    <t>Forage for Wild Foods</t>
  </si>
  <si>
    <t>Intention of Animals</t>
  </si>
  <si>
    <t>Perception Skills</t>
  </si>
  <si>
    <t>Detect Lie</t>
  </si>
  <si>
    <t>Read Character</t>
  </si>
  <si>
    <t>Seamanship Skills</t>
  </si>
  <si>
    <t>PFF</t>
  </si>
  <si>
    <t>Prayers:</t>
  </si>
  <si>
    <t>Create Acrid Smoke</t>
  </si>
  <si>
    <t>Silvered Bowl</t>
  </si>
  <si>
    <t>Sterling Silver Bowl</t>
  </si>
  <si>
    <t>Sterling Silver Chalice</t>
  </si>
  <si>
    <t>Brown</t>
  </si>
  <si>
    <t>Green</t>
  </si>
  <si>
    <t>Black</t>
  </si>
  <si>
    <t>Red</t>
  </si>
  <si>
    <t>Vengeful</t>
  </si>
  <si>
    <t>A</t>
  </si>
  <si>
    <t>Horoscope</t>
  </si>
  <si>
    <t>Grains</t>
  </si>
  <si>
    <t>Baking</t>
  </si>
  <si>
    <t>Lesser Ward of Protection vs Command</t>
  </si>
  <si>
    <t>Wandering Player (actor/actress)</t>
  </si>
  <si>
    <t>Weapon Smith</t>
  </si>
  <si>
    <t>Sibling Rank?</t>
  </si>
  <si>
    <t>Create Lesser Illusionary Contact</t>
  </si>
  <si>
    <t>Create Great Illusionary Contact</t>
  </si>
  <si>
    <t>Create Greater Illusionary Contact</t>
  </si>
  <si>
    <t>Illusionary Realm</t>
  </si>
  <si>
    <t>Illusionary Scream of the Banshee</t>
  </si>
  <si>
    <t>Illusionary Rain</t>
  </si>
  <si>
    <t>Illusionary Snow</t>
  </si>
  <si>
    <t>Illusionary Storm</t>
  </si>
  <si>
    <t>Illusionary Greater Storm</t>
  </si>
  <si>
    <t>Area of Silence</t>
  </si>
  <si>
    <t>Grindstone</t>
  </si>
  <si>
    <t>Whetstone</t>
  </si>
  <si>
    <t>Mechanical</t>
  </si>
  <si>
    <t>Metalsmith</t>
  </si>
  <si>
    <r>
      <t xml:space="preserve">Intellect:          </t>
    </r>
    <r>
      <rPr>
        <sz val="10"/>
        <rFont val="Times New Roman"/>
        <family val="1"/>
      </rPr>
      <t>(INT)</t>
    </r>
  </si>
  <si>
    <r>
      <t xml:space="preserve">Wisdom:         </t>
    </r>
    <r>
      <rPr>
        <sz val="10"/>
        <rFont val="Times New Roman"/>
        <family val="1"/>
      </rPr>
      <t>(WIS)</t>
    </r>
  </si>
  <si>
    <r>
      <t xml:space="preserve">Discipline:     </t>
    </r>
    <r>
      <rPr>
        <sz val="10"/>
        <rFont val="Times New Roman"/>
        <family val="1"/>
      </rPr>
      <t>(DISC)</t>
    </r>
  </si>
  <si>
    <r>
      <t xml:space="preserve">Bardic Voice:   </t>
    </r>
    <r>
      <rPr>
        <sz val="10"/>
        <rFont val="Times New Roman"/>
        <family val="1"/>
      </rPr>
      <t>(BV)</t>
    </r>
  </si>
  <si>
    <r>
      <t xml:space="preserve">Appearance:   </t>
    </r>
    <r>
      <rPr>
        <sz val="10"/>
        <rFont val="Times New Roman"/>
        <family val="1"/>
      </rPr>
      <t>(APP)</t>
    </r>
  </si>
  <si>
    <r>
      <t>Strength:</t>
    </r>
    <r>
      <rPr>
        <sz val="10"/>
        <rFont val="Times New Roman"/>
        <family val="1"/>
      </rPr>
      <t xml:space="preserve">         (STR)</t>
    </r>
  </si>
  <si>
    <r>
      <t>Ferocity:</t>
    </r>
    <r>
      <rPr>
        <sz val="9"/>
        <rFont val="Times New Roman"/>
        <family val="1"/>
      </rPr>
      <t xml:space="preserve">                   (FER)</t>
    </r>
  </si>
  <si>
    <r>
      <t xml:space="preserve">Absolute Strength:  </t>
    </r>
    <r>
      <rPr>
        <sz val="9"/>
        <rFont val="Times New Roman"/>
        <family val="1"/>
      </rPr>
      <t>(ASR)</t>
    </r>
  </si>
  <si>
    <t>Detect Illusion</t>
  </si>
  <si>
    <t>Detect the Invisible</t>
  </si>
  <si>
    <t>Detect Observation</t>
  </si>
  <si>
    <t>Detect Enemies</t>
  </si>
  <si>
    <t xml:space="preserve">Quadruped </t>
  </si>
  <si>
    <t>Dispel Charm</t>
  </si>
  <si>
    <t>Dispel Charmed Small Animals</t>
  </si>
  <si>
    <t>BAP</t>
  </si>
  <si>
    <t>Family Composition</t>
  </si>
  <si>
    <t xml:space="preserve">If desired, this section can be used to work out the character's family. </t>
  </si>
  <si>
    <t>D?</t>
  </si>
  <si>
    <t>Age?</t>
  </si>
  <si>
    <t>Age D?</t>
  </si>
  <si>
    <t>Make a percentage roll to see if a sibling is deceased at character creation.</t>
  </si>
  <si>
    <t>If a Sibling IS deceased, roll 1d10 and subtract it from the estimated age. This was their age at death.</t>
  </si>
  <si>
    <t xml:space="preserve"> If the result is less than 0, enter a 1 &amp; that child is presumed to have been stillborn.</t>
  </si>
  <si>
    <t>If a sibling dies under the age of 13, make a percentage roll to see if that child's mother died.</t>
  </si>
  <si>
    <t xml:space="preserve">Spring Water </t>
  </si>
  <si>
    <t>6*</t>
  </si>
  <si>
    <t xml:space="preserve">Leopard </t>
  </si>
  <si>
    <t xml:space="preserve">Snake </t>
  </si>
  <si>
    <t xml:space="preserve">Brass </t>
  </si>
  <si>
    <t>Arts &amp; Entertainment</t>
  </si>
  <si>
    <t>Blain</t>
  </si>
  <si>
    <t>Dolgthvari</t>
  </si>
  <si>
    <t>Nyr</t>
  </si>
  <si>
    <t>Ginnar</t>
  </si>
  <si>
    <t xml:space="preserve">The character can obtain a +/-10% modifier to his personal MR by spending 1 FP. </t>
  </si>
  <si>
    <t>"Fuzz"</t>
  </si>
  <si>
    <t>Brush Cut</t>
  </si>
  <si>
    <t>Blue</t>
  </si>
  <si>
    <t>Strawberry Blonde</t>
  </si>
  <si>
    <t>Dark Blue</t>
  </si>
  <si>
    <t>Flaxen Blonde</t>
  </si>
  <si>
    <t>Straight</t>
  </si>
  <si>
    <t>Games of Chance</t>
  </si>
  <si>
    <t>Skilled Games</t>
  </si>
  <si>
    <t>Carving</t>
  </si>
  <si>
    <t>Charcoaling</t>
  </si>
  <si>
    <t>Fiery Arrows - Dragon Fire</t>
  </si>
  <si>
    <t>2+1</t>
  </si>
  <si>
    <t>Dodge:</t>
  </si>
  <si>
    <t>Stamina:</t>
  </si>
  <si>
    <t>Willpower:</t>
  </si>
  <si>
    <t>Armor Type (Worn)</t>
  </si>
  <si>
    <t>FP to Wear</t>
  </si>
  <si>
    <t>ATTACKS</t>
  </si>
  <si>
    <t>Attack Type</t>
  </si>
  <si>
    <t>Attack AP</t>
  </si>
  <si>
    <t>Crit Die Mod</t>
  </si>
  <si>
    <t>Attack Comments</t>
  </si>
  <si>
    <t>This is provided as a backup for missing</t>
  </si>
  <si>
    <r>
      <t xml:space="preserve"> dice. In order to "roll" the dice, press the </t>
    </r>
    <r>
      <rPr>
        <b/>
        <sz val="10"/>
        <rFont val="Arial"/>
        <family val="2"/>
      </rPr>
      <t/>
    </r>
  </si>
  <si>
    <t xml:space="preserve">Shift and F9 Keys at the same time. This </t>
  </si>
  <si>
    <t xml:space="preserve">These values are NOT permanent. </t>
  </si>
  <si>
    <t>will cause ALL of the above cells to</t>
  </si>
  <si>
    <t>generate new values.</t>
  </si>
  <si>
    <t>Increase how many skills by 1 level?</t>
  </si>
  <si>
    <t>large animals</t>
  </si>
  <si>
    <t>dead things</t>
  </si>
  <si>
    <t>Armor Failure Locations</t>
  </si>
  <si>
    <t>When a character's Armor receives either</t>
  </si>
  <si>
    <t>a critical hit or enough damage in one location</t>
  </si>
  <si>
    <r>
      <t xml:space="preserve">the armor will </t>
    </r>
    <r>
      <rPr>
        <b/>
        <sz val="9"/>
        <rFont val="Times New Roman"/>
        <family val="1"/>
      </rPr>
      <t>fail</t>
    </r>
    <r>
      <rPr>
        <sz val="9"/>
        <rFont val="Times New Roman"/>
        <family val="1"/>
      </rPr>
      <t>.  (Double the absorption value)</t>
    </r>
  </si>
  <si>
    <t>The armor at the failed location will not provide</t>
  </si>
  <si>
    <t>Helmet</t>
  </si>
  <si>
    <t>Original Value</t>
  </si>
  <si>
    <t>Current Value</t>
  </si>
  <si>
    <t>Accurate Counting</t>
  </si>
  <si>
    <t>Rejoin Metal</t>
  </si>
  <si>
    <t>secondary  months</t>
  </si>
  <si>
    <t>energizing gem</t>
  </si>
  <si>
    <t>Vial, Silvered (8 fl oz)</t>
  </si>
  <si>
    <t>Beekeeping</t>
  </si>
  <si>
    <t>Veterinary Surgery</t>
  </si>
  <si>
    <t>Helmet:</t>
  </si>
  <si>
    <t>Armor:</t>
  </si>
  <si>
    <t>Shield:</t>
  </si>
  <si>
    <t>Total Armor</t>
  </si>
  <si>
    <t>SR</t>
  </si>
  <si>
    <t>LR</t>
  </si>
  <si>
    <t xml:space="preserve">Elvish Longbows </t>
  </si>
  <si>
    <t xml:space="preserve">Longbows </t>
  </si>
  <si>
    <t xml:space="preserve">Battlefield Tactics </t>
  </si>
  <si>
    <t xml:space="preserve">Chivalric Great Blow </t>
  </si>
  <si>
    <t>Major Physical deformity  (App -3)</t>
  </si>
  <si>
    <t>Create</t>
  </si>
  <si>
    <t>BSC%:</t>
  </si>
  <si>
    <t>3' 10"</t>
  </si>
  <si>
    <t>3' 11"</t>
  </si>
  <si>
    <t>4' 1"</t>
  </si>
  <si>
    <t>4' 2"</t>
  </si>
  <si>
    <t>4' 3"</t>
  </si>
  <si>
    <t>4' 5"</t>
  </si>
  <si>
    <t>4' 6"</t>
  </si>
  <si>
    <t>4' 7"</t>
  </si>
  <si>
    <t>4' 8"</t>
  </si>
  <si>
    <t>4' 9"</t>
  </si>
  <si>
    <t>4' 10"</t>
  </si>
  <si>
    <t>4' 11"</t>
  </si>
  <si>
    <t>4' 0"</t>
  </si>
  <si>
    <t>5' 0"</t>
  </si>
  <si>
    <t>5' 1"</t>
  </si>
  <si>
    <t>Ship's First Mate</t>
  </si>
  <si>
    <t>Spinner (Spinster)</t>
  </si>
  <si>
    <t>Stable Boy</t>
  </si>
  <si>
    <t>Thief: Assassin</t>
  </si>
  <si>
    <t>Thief: Assassin (Archer)</t>
  </si>
  <si>
    <t>There are 7 "hidden" Worksheets and several places on various sheets where columns &amp; rows are hidden - these are for background calculations - Please don't touch!</t>
  </si>
  <si>
    <t>PLEASE check for a formula in the field before entering any data in these fields!</t>
  </si>
  <si>
    <t>*Please note - these sheets break the field design specs listed on the introduction page due to printing needs.</t>
  </si>
  <si>
    <t xml:space="preserve">Bind Great Spirit into a Container </t>
  </si>
  <si>
    <t xml:space="preserve">Great Bind Great Spirit into a Container </t>
  </si>
  <si>
    <t xml:space="preserve">Bind Greater Spirit into a Container </t>
  </si>
  <si>
    <t xml:space="preserve">Greater Bind Greater Spirit into a Container </t>
  </si>
  <si>
    <t xml:space="preserve"> Bind Greatest Spirit into a Container </t>
  </si>
  <si>
    <t>Gallop/Charge AP</t>
  </si>
  <si>
    <t>Gallop Speed</t>
  </si>
  <si>
    <t>Hide</t>
  </si>
  <si>
    <t>Blowgun</t>
  </si>
  <si>
    <t>Dart</t>
  </si>
  <si>
    <t>blowgun</t>
  </si>
  <si>
    <t>sheperds sling</t>
  </si>
  <si>
    <t>slingstaff</t>
  </si>
  <si>
    <t>Method              Att. Bonus</t>
  </si>
  <si>
    <r>
      <t>The "</t>
    </r>
    <r>
      <rPr>
        <b/>
        <sz val="8"/>
        <rFont val="Arial"/>
        <family val="2"/>
      </rPr>
      <t>Master Spell List</t>
    </r>
    <r>
      <rPr>
        <sz val="8"/>
        <rFont val="Arial"/>
        <family val="2"/>
      </rPr>
      <t>" worksheet lists all spells and their relevant information. - under construction</t>
    </r>
  </si>
  <si>
    <t>Bowery &amp; Fletching</t>
  </si>
  <si>
    <t>Carpentry &amp; Cabinetmaking</t>
  </si>
  <si>
    <t>Cartwright &amp; Wheelwright</t>
  </si>
  <si>
    <t>Cooper</t>
  </si>
  <si>
    <t>Glassblowing &amp; Glazing</t>
  </si>
  <si>
    <t>Heavy Body</t>
  </si>
  <si>
    <t>3/4 Battle</t>
  </si>
  <si>
    <t>Heavy Battle</t>
  </si>
  <si>
    <t>Super Heavy</t>
  </si>
  <si>
    <t>Chivalry &amp; Sorcery 3rd Edition Rulebook</t>
  </si>
  <si>
    <t>Mage: Elven: Elven Mage</t>
  </si>
  <si>
    <t>Mage: Elven: Elven Mage - Loremaster</t>
  </si>
  <si>
    <t>Mage: Elven: Elven Mage - Seer</t>
  </si>
  <si>
    <t>Mythic/Legendary Beast</t>
  </si>
  <si>
    <t>War-Horses &amp; Horses</t>
  </si>
  <si>
    <t>Blade</t>
  </si>
  <si>
    <t>Blind Fighting</t>
  </si>
  <si>
    <t>Cooking &amp; Brewing Skills</t>
  </si>
  <si>
    <t>Lumbering</t>
  </si>
  <si>
    <t>Mining &amp; Tunneling</t>
  </si>
  <si>
    <t>LOCAL</t>
  </si>
  <si>
    <t>Regional/National</t>
  </si>
  <si>
    <t>World</t>
  </si>
  <si>
    <t>Local</t>
  </si>
  <si>
    <t>Own</t>
  </si>
  <si>
    <t>Ancient</t>
  </si>
  <si>
    <t>Forgotten</t>
  </si>
  <si>
    <t>Other/Foreign</t>
  </si>
  <si>
    <t>Aquaculture: Animal</t>
  </si>
  <si>
    <t>Natural Charisma</t>
  </si>
  <si>
    <t>Fortifications: Basic</t>
  </si>
  <si>
    <t>Bow Magick</t>
  </si>
  <si>
    <t>Personal Seal (Silvered)</t>
  </si>
  <si>
    <t>Spurs (Silvered: .100 Ag)</t>
  </si>
  <si>
    <t>PTY</t>
  </si>
  <si>
    <t>INT</t>
  </si>
  <si>
    <t>Elven: Goblin Hunter</t>
  </si>
  <si>
    <t>Elven: Guardian</t>
  </si>
  <si>
    <t>Elven: Master of the Hunt</t>
  </si>
  <si>
    <t>Elven: Overseer</t>
  </si>
  <si>
    <t>Exchequer</t>
  </si>
  <si>
    <t>Fighter: Barbarian Warrior</t>
  </si>
  <si>
    <t>Fighter: Church Knight</t>
  </si>
  <si>
    <t>Fighter: Forester</t>
  </si>
  <si>
    <t>Fighter: Holy Man-at-Arms</t>
  </si>
  <si>
    <t>Fighter: Holy Sergeant-at-Arms</t>
  </si>
  <si>
    <t>Fighter: Knight</t>
  </si>
  <si>
    <t>Fighter: Man-At-Arms</t>
  </si>
  <si>
    <t>Fighter: Mounted Warrior</t>
  </si>
  <si>
    <t>Fighter: Petit Sergeant</t>
  </si>
  <si>
    <t>Fighter: Sergeant</t>
  </si>
  <si>
    <t>Fighter: Sergeant-at-Arms</t>
  </si>
  <si>
    <t>Fighter: The Chivalric Knight</t>
  </si>
  <si>
    <t>Garden/Farm Hand</t>
  </si>
  <si>
    <t>Gardener</t>
  </si>
  <si>
    <t>Maces, Hammers &amp; Clubs</t>
  </si>
  <si>
    <t>Lamb, Quality Cut</t>
  </si>
  <si>
    <t>Mutton, Quality Cut</t>
  </si>
  <si>
    <t>Boar, Quality Cut</t>
  </si>
  <si>
    <t>Venison, Quality Cut</t>
  </si>
  <si>
    <t>Suckling Pig</t>
  </si>
  <si>
    <t>Goat Meat</t>
  </si>
  <si>
    <t>Fine Woolen Sheet</t>
  </si>
  <si>
    <t>Linen Sheet</t>
  </si>
  <si>
    <t>Spurs (Plain steel)</t>
  </si>
  <si>
    <t>Spurs (Gilded: .100 Au)</t>
  </si>
  <si>
    <t>Sleeping Furs</t>
  </si>
  <si>
    <t>Wooden Bucket (5 Gal.)</t>
  </si>
  <si>
    <t>Crow Bar Light</t>
  </si>
  <si>
    <t>Cross, Small Wooden</t>
  </si>
  <si>
    <t>Rope, per 50'</t>
  </si>
  <si>
    <t>ReCorder (Internal-Duct-Flute)</t>
  </si>
  <si>
    <t>Book Covers (8.5" x 11")</t>
  </si>
  <si>
    <t>Book Covers (17" x 22")</t>
  </si>
  <si>
    <t>Sterling Silver Spoon</t>
  </si>
  <si>
    <t>Silvered Cup</t>
  </si>
  <si>
    <t>Sterling Silver Cup</t>
  </si>
  <si>
    <t>Greatest Seal of the Ages</t>
  </si>
  <si>
    <t>Greater Seal of the Ages</t>
  </si>
  <si>
    <t>Least Sigil of the Arcane</t>
  </si>
  <si>
    <t>Lesser Sigil of the Arcane</t>
  </si>
  <si>
    <t>Great Sigil of the Arcane</t>
  </si>
  <si>
    <t>Lesser Circle of Protection vs Plant</t>
  </si>
  <si>
    <t>Lesser Circle of Protection vs Transcendental</t>
  </si>
  <si>
    <t>Baking Bread</t>
  </si>
  <si>
    <t>Soups &amp; Stews</t>
  </si>
  <si>
    <t>Herbs, Spices &amp; Seasonings</t>
  </si>
  <si>
    <t>Lbs./casting</t>
  </si>
  <si>
    <t>Max</t>
  </si>
  <si>
    <t>You have a strange birthmark ("Witchmark") on the left shoulder</t>
  </si>
  <si>
    <t>Lesser Gain Strength from the Storm</t>
  </si>
  <si>
    <t>Greater Gain Strength from the Storm</t>
  </si>
  <si>
    <t>Great Gain Strength from the Storm</t>
  </si>
  <si>
    <t>Greatest Gain Strength from the Storm</t>
  </si>
  <si>
    <t>Walk through Metal</t>
  </si>
  <si>
    <t>Earth Mantrap</t>
  </si>
  <si>
    <t>Burning Touch (Fiery Touch)  - Magick Fire</t>
  </si>
  <si>
    <t>Crock/Pot, Gilded (1 Gal.)</t>
  </si>
  <si>
    <t>Crock/Pot, Glass (1 Gal.)</t>
  </si>
  <si>
    <t>Mage: Artificer: Jewelsmith</t>
  </si>
  <si>
    <t>Mage: Artificer: Metalsmith</t>
  </si>
  <si>
    <t>Mage: Artificer: Mechanical</t>
  </si>
  <si>
    <t>Mage: Artificer: Joiner</t>
  </si>
  <si>
    <t>Mage: Artificer: Mason</t>
  </si>
  <si>
    <t>Mage: Dance</t>
  </si>
  <si>
    <t>Animal Veterinary</t>
  </si>
  <si>
    <t>Name:</t>
  </si>
  <si>
    <t>Extraordinary Potential - AGILITY</t>
  </si>
  <si>
    <t>Extraordinary Potential - APPEARANCE</t>
  </si>
  <si>
    <t>Extraordinary Potential - BARDIC VOICE</t>
  </si>
  <si>
    <t>Extraordinary Potential - CONSTITUTION</t>
  </si>
  <si>
    <t>Extraordinary Potential - DISCIPLINE</t>
  </si>
  <si>
    <t>Extraordinary Potential - INTELLECT</t>
  </si>
  <si>
    <t>Extraordinary Potential - PIETY</t>
  </si>
  <si>
    <t>LoS</t>
  </si>
  <si>
    <t>In that case, mother's age will be the current age of the current wife.</t>
  </si>
  <si>
    <t>Current MR</t>
  </si>
  <si>
    <t>Targeting</t>
  </si>
  <si>
    <t>Pain</t>
  </si>
  <si>
    <t>Calm Pain</t>
  </si>
  <si>
    <t>Agony of the Damned</t>
  </si>
  <si>
    <t>Release From Agony</t>
  </si>
  <si>
    <t>Shape Shift</t>
  </si>
  <si>
    <t>Speed</t>
  </si>
  <si>
    <t>Journey in Haste</t>
  </si>
  <si>
    <t>Delay</t>
  </si>
  <si>
    <t>Least Hindsight</t>
  </si>
  <si>
    <t>Lesser Hindsight</t>
  </si>
  <si>
    <t>novice</t>
  </si>
  <si>
    <t>lay brother</t>
  </si>
  <si>
    <t>cellerar</t>
  </si>
  <si>
    <t>Mage: Elven: Warden</t>
  </si>
  <si>
    <t>Animal Husbandry</t>
  </si>
  <si>
    <t>Cattle Herding</t>
  </si>
  <si>
    <t>Horse Breeding</t>
  </si>
  <si>
    <t>Running a Dairy</t>
  </si>
  <si>
    <t>Pig Raising</t>
  </si>
  <si>
    <t>Poultry Raising</t>
  </si>
  <si>
    <t xml:space="preserve">Lesser Summon Object </t>
  </si>
  <si>
    <t xml:space="preserve">Greater Summon Object </t>
  </si>
  <si>
    <t>Great Summon Object</t>
  </si>
  <si>
    <t>Hammered Dulcimer</t>
  </si>
  <si>
    <t>Fyddle &amp; Bow</t>
  </si>
  <si>
    <t>The Guitarra Latina</t>
  </si>
  <si>
    <t xml:space="preserve">Doumbek (Goblet-Shaped Drum Made Of Metal Or Clay) </t>
  </si>
  <si>
    <t>You can sometimes be very uncoordinated</t>
  </si>
  <si>
    <t>Cocoa-Brown</t>
  </si>
  <si>
    <t>Large Nose</t>
  </si>
  <si>
    <t>Hawk Nose</t>
  </si>
  <si>
    <t>Bulbous Nose</t>
  </si>
  <si>
    <t>Long Nose</t>
  </si>
  <si>
    <t>Snub Nose</t>
  </si>
  <si>
    <t>Aquiline Nose</t>
  </si>
  <si>
    <t>Wide Eyed</t>
  </si>
  <si>
    <t>Close-Set Eyes</t>
  </si>
  <si>
    <t>Narrow Eyed</t>
  </si>
  <si>
    <t>Cross-Eyed</t>
  </si>
  <si>
    <t>Receding Jaw</t>
  </si>
  <si>
    <t>Jutting Jaw</t>
  </si>
  <si>
    <t>Overbite</t>
  </si>
  <si>
    <t>Mist &amp; Fog</t>
  </si>
  <si>
    <t>Clouds &amp; Rain</t>
  </si>
  <si>
    <t>Dust Devils</t>
  </si>
  <si>
    <t>Tornado</t>
  </si>
  <si>
    <t>Lesser Ward of Protection vs Lycanthropes</t>
  </si>
  <si>
    <t>Bascinet &amp; Aventail</t>
  </si>
  <si>
    <t>Birthday</t>
  </si>
  <si>
    <t>Lecherous</t>
  </si>
  <si>
    <t>Lustful</t>
  </si>
  <si>
    <t>Manic-Depressive</t>
  </si>
  <si>
    <t>Megalomaniac</t>
  </si>
  <si>
    <t>Overly Trusting</t>
  </si>
  <si>
    <t>Severely Phobic</t>
  </si>
  <si>
    <t>Sev</t>
  </si>
  <si>
    <t>Maj</t>
  </si>
  <si>
    <t>Min</t>
  </si>
  <si>
    <t>Max # of AP aiming</t>
  </si>
  <si>
    <t xml:space="preserve">Total TSC% for aiming. </t>
  </si>
  <si>
    <t>Snap Shots?</t>
  </si>
  <si>
    <t xml:space="preserve">Sea Water </t>
  </si>
  <si>
    <t xml:space="preserve">Dog </t>
  </si>
  <si>
    <t xml:space="preserve">Wolf </t>
  </si>
  <si>
    <t xml:space="preserve">Gold </t>
  </si>
  <si>
    <t>Familiar?</t>
  </si>
  <si>
    <t>Frog, Toad, Salamander</t>
  </si>
  <si>
    <t>Reptile, Viper</t>
  </si>
  <si>
    <t>Mouse, Rat</t>
  </si>
  <si>
    <t>Bird, Small Game Animal</t>
  </si>
  <si>
    <t>Cat, Weasel, Ferret, Small Dog</t>
  </si>
  <si>
    <t>Medium Dog, Monkey, Bird of Prey</t>
  </si>
  <si>
    <t>Diplomat</t>
  </si>
  <si>
    <t>War Leader</t>
  </si>
  <si>
    <t>Lawgiver</t>
  </si>
  <si>
    <t>Master of the Hunt</t>
  </si>
  <si>
    <t>Calendar Keeper</t>
  </si>
  <si>
    <t>Base</t>
  </si>
  <si>
    <t>Type</t>
  </si>
  <si>
    <t>Len.</t>
  </si>
  <si>
    <t>Fresh Meat</t>
  </si>
  <si>
    <r>
      <t>Note</t>
    </r>
    <r>
      <rPr>
        <sz val="10"/>
        <rFont val="Times New Roman"/>
        <family val="1"/>
      </rPr>
      <t xml:space="preserve">:  Type = </t>
    </r>
    <r>
      <rPr>
        <b/>
        <sz val="10"/>
        <rFont val="Times New Roman"/>
        <family val="1"/>
      </rPr>
      <t>M</t>
    </r>
    <r>
      <rPr>
        <sz val="10"/>
        <rFont val="Times New Roman"/>
        <family val="1"/>
      </rPr>
      <t xml:space="preserve"> (Mastered), </t>
    </r>
    <r>
      <rPr>
        <b/>
        <sz val="10"/>
        <rFont val="Times New Roman"/>
        <family val="1"/>
      </rPr>
      <t>P</t>
    </r>
    <r>
      <rPr>
        <sz val="10"/>
        <rFont val="Times New Roman"/>
        <family val="1"/>
      </rPr>
      <t xml:space="preserve"> (Primary), </t>
    </r>
    <r>
      <rPr>
        <b/>
        <sz val="10"/>
        <rFont val="Times New Roman"/>
        <family val="1"/>
      </rPr>
      <t>S</t>
    </r>
    <r>
      <rPr>
        <sz val="10"/>
        <rFont val="Times New Roman"/>
        <family val="1"/>
      </rPr>
      <t xml:space="preserve"> (Secondary), </t>
    </r>
    <r>
      <rPr>
        <b/>
        <sz val="10"/>
        <rFont val="Times New Roman"/>
        <family val="1"/>
      </rPr>
      <t>T</t>
    </r>
    <r>
      <rPr>
        <sz val="10"/>
        <rFont val="Times New Roman"/>
        <family val="1"/>
      </rPr>
      <t xml:space="preserve"> (Tertiary), </t>
    </r>
    <r>
      <rPr>
        <b/>
        <sz val="10"/>
        <rFont val="Times New Roman"/>
        <family val="1"/>
      </rPr>
      <t>C</t>
    </r>
    <r>
      <rPr>
        <sz val="10"/>
        <rFont val="Times New Roman"/>
        <family val="1"/>
      </rPr>
      <t xml:space="preserve"> (Core), </t>
    </r>
    <r>
      <rPr>
        <b/>
        <sz val="10"/>
        <rFont val="Times New Roman"/>
        <family val="1"/>
      </rPr>
      <t>ZM</t>
    </r>
    <r>
      <rPr>
        <sz val="10"/>
        <rFont val="Times New Roman"/>
        <family val="1"/>
      </rPr>
      <t xml:space="preserve"> (Zodiac), </t>
    </r>
    <r>
      <rPr>
        <b/>
        <sz val="10"/>
        <rFont val="Times New Roman"/>
        <family val="1"/>
      </rPr>
      <t>L</t>
    </r>
    <r>
      <rPr>
        <sz val="10"/>
        <rFont val="Times New Roman"/>
        <family val="1"/>
      </rPr>
      <t xml:space="preserve"> (cLass)</t>
    </r>
  </si>
  <si>
    <t>BCS% - Unskilled</t>
  </si>
  <si>
    <t>Flaming Weapon  - Salamander Fire</t>
  </si>
  <si>
    <r>
      <t>Discipline</t>
    </r>
    <r>
      <rPr>
        <sz val="10"/>
        <rFont val="Times New Roman"/>
        <family val="1"/>
      </rPr>
      <t xml:space="preserve"> (DISC):</t>
    </r>
  </si>
  <si>
    <r>
      <t>Appearance</t>
    </r>
    <r>
      <rPr>
        <sz val="10"/>
        <rFont val="Times New Roman"/>
        <family val="1"/>
      </rPr>
      <t xml:space="preserve"> (APP):</t>
    </r>
  </si>
  <si>
    <t>Optional Attributes</t>
  </si>
  <si>
    <t>Foreign Languages (Ancient)</t>
  </si>
  <si>
    <t>Wear</t>
  </si>
  <si>
    <t>Great Helm</t>
  </si>
  <si>
    <t>Radiesthesia</t>
  </si>
  <si>
    <t>Rhabdomancy (Runic / I-Ching)</t>
  </si>
  <si>
    <t>Breath of the Basilisk</t>
  </si>
  <si>
    <t>Gaze of the Basilisk</t>
  </si>
  <si>
    <t>Eyes of Medusa</t>
  </si>
  <si>
    <t>Grow Aged</t>
  </si>
  <si>
    <t>Regenerate</t>
  </si>
  <si>
    <t>Lvl</t>
  </si>
  <si>
    <t>Str</t>
  </si>
  <si>
    <t>Mod</t>
  </si>
  <si>
    <t>Hunting Arrows</t>
  </si>
  <si>
    <t>War Arrows</t>
  </si>
  <si>
    <t>Armor Piercing Arrows</t>
  </si>
  <si>
    <t>Short Range</t>
  </si>
  <si>
    <t>Med. Range</t>
  </si>
  <si>
    <t>Long Range</t>
  </si>
  <si>
    <t>Ext. Range</t>
  </si>
  <si>
    <t>Max. Range</t>
  </si>
  <si>
    <t>(-20% TSC%)</t>
  </si>
  <si>
    <t xml:space="preserve">Name of Bow: </t>
  </si>
  <si>
    <t>ACT OF FAITH LIST</t>
  </si>
  <si>
    <t>Rest/10 minutes</t>
  </si>
  <si>
    <t>Lbs.</t>
  </si>
  <si>
    <t>Feet</t>
  </si>
  <si>
    <t>Body Recovery Rate % (BRR)</t>
  </si>
  <si>
    <t>Household Troops of Landed Knight</t>
  </si>
  <si>
    <t>Household Troops of Bannerette</t>
  </si>
  <si>
    <t>Hair Feature</t>
  </si>
  <si>
    <t>Method BCS%</t>
  </si>
  <si>
    <t>Method PSF%</t>
  </si>
  <si>
    <t>Casting TSC%</t>
  </si>
  <si>
    <t>Targeting TSC%</t>
  </si>
  <si>
    <t>The lefthand set of sheets are 95% compatible with MSD's Character Sheets for C&amp;S: The Rebirth…</t>
  </si>
  <si>
    <t>If law is known, Mages understand how spirits are involved w/magick.This reduces time req'd to learn spells. Subtract 1 day/ML from time req'd to learn spells.</t>
  </si>
  <si>
    <t>Single Camp Bed</t>
  </si>
  <si>
    <t>Canvas Hammock</t>
  </si>
  <si>
    <t>Oil Lantern: 24 hr.</t>
  </si>
  <si>
    <t>Oil Lamp: 8 hr.</t>
  </si>
  <si>
    <t>"Dirty" Blonde</t>
  </si>
  <si>
    <t>Auburn</t>
  </si>
  <si>
    <t>Light Brown</t>
  </si>
  <si>
    <t>Chestnut Brown</t>
  </si>
  <si>
    <t>Salt &amp; Pepper</t>
  </si>
  <si>
    <t>Master Builder</t>
  </si>
  <si>
    <t>Master Goldsmith</t>
  </si>
  <si>
    <t>Gold/Silversmith</t>
  </si>
  <si>
    <t>Jewelsmith</t>
  </si>
  <si>
    <t>Shipowner</t>
  </si>
  <si>
    <t>Mare</t>
  </si>
  <si>
    <r>
      <t>Blue</t>
    </r>
    <r>
      <rPr>
        <b/>
        <sz val="7"/>
        <rFont val="Arial"/>
        <family val="2"/>
      </rPr>
      <t xml:space="preserve"> fields should not be changed-They are calculation fields</t>
    </r>
  </si>
  <si>
    <t>Basic Elemental Magick - Fire</t>
  </si>
  <si>
    <t>S. Bags (25)</t>
  </si>
  <si>
    <t>S. Blanket</t>
  </si>
  <si>
    <t>Feathers</t>
  </si>
  <si>
    <t>Knock</t>
  </si>
  <si>
    <t>Arcane Key</t>
  </si>
  <si>
    <t>Astral Key</t>
  </si>
  <si>
    <t>Wizard's Key</t>
  </si>
  <si>
    <t>Eldritch Light</t>
  </si>
  <si>
    <t>Eldritch Area Light</t>
  </si>
  <si>
    <t>Sunburst</t>
  </si>
  <si>
    <t>Dispel the Night</t>
  </si>
  <si>
    <t>Combination/Designed Spells</t>
  </si>
  <si>
    <t>Great Ward of Protection</t>
  </si>
  <si>
    <t>Time To Learn</t>
  </si>
  <si>
    <t>Time Left?</t>
  </si>
  <si>
    <t>Miracle</t>
  </si>
  <si>
    <t>Greater</t>
  </si>
  <si>
    <t>Vigorous</t>
  </si>
  <si>
    <t>Dynamic</t>
  </si>
  <si>
    <t>Vibrant</t>
  </si>
  <si>
    <t>Steppes</t>
  </si>
  <si>
    <t>Desert</t>
  </si>
  <si>
    <t>Tundra</t>
  </si>
  <si>
    <t>Swamps</t>
  </si>
  <si>
    <t>sex</t>
  </si>
  <si>
    <t>age</t>
  </si>
  <si>
    <t>rank</t>
  </si>
  <si>
    <t>Father</t>
  </si>
  <si>
    <t>are father &amp; siblings deceased?</t>
  </si>
  <si>
    <t>Small Pliers</t>
  </si>
  <si>
    <t>Large Pliers</t>
  </si>
  <si>
    <t>Smith's Leather Apron</t>
  </si>
  <si>
    <t>Elvish Longbow (A.P.)</t>
  </si>
  <si>
    <t>Composite Bow (War)</t>
  </si>
  <si>
    <t>Composite Bow (Hunting)</t>
  </si>
  <si>
    <t>Short Bow</t>
  </si>
  <si>
    <t>Short Bow (A. P.)</t>
  </si>
  <si>
    <t>Short Bow (War)</t>
  </si>
  <si>
    <t>Short Bow (Hunting)</t>
  </si>
  <si>
    <t>t</t>
  </si>
  <si>
    <t>mq</t>
  </si>
  <si>
    <t>mfd</t>
  </si>
  <si>
    <t>Flame Wall</t>
  </si>
  <si>
    <t>Remove Water</t>
  </si>
  <si>
    <t>Wall of Water</t>
  </si>
  <si>
    <t>Flood</t>
  </si>
  <si>
    <t>Spray</t>
  </si>
  <si>
    <t>Jet</t>
  </si>
  <si>
    <t>Water Bomb</t>
  </si>
  <si>
    <t>Water Ram</t>
  </si>
  <si>
    <t>Arrows of Ice</t>
  </si>
  <si>
    <t>Vital</t>
  </si>
  <si>
    <t>Weatherproof</t>
  </si>
  <si>
    <t>Constitution</t>
  </si>
  <si>
    <t xml:space="preserve">to </t>
  </si>
  <si>
    <t>Household Troops of Baron of the Realm</t>
  </si>
  <si>
    <t>Household Troops of Titled Nobleman</t>
  </si>
  <si>
    <t>Household Troops of Royal Family</t>
  </si>
  <si>
    <t>Broken to Saddle</t>
  </si>
  <si>
    <t>Broken to Draught</t>
  </si>
  <si>
    <t>Broken to Pack</t>
  </si>
  <si>
    <t>Guide w/Knees</t>
  </si>
  <si>
    <t>Stand &amp; Wait Quietly</t>
  </si>
  <si>
    <t>Comes on Command</t>
  </si>
  <si>
    <t>Mason</t>
  </si>
  <si>
    <t>Steward</t>
  </si>
  <si>
    <t>Master:</t>
  </si>
  <si>
    <t>Possessions at Home.</t>
  </si>
  <si>
    <t>Oz/ Copper</t>
  </si>
  <si>
    <t>Oz/ Silver</t>
  </si>
  <si>
    <t>Oz/ Gold</t>
  </si>
  <si>
    <t>Sword Belt</t>
  </si>
  <si>
    <r>
      <t>Note</t>
    </r>
    <r>
      <rPr>
        <sz val="10"/>
        <rFont val="Times New Roman"/>
        <family val="1"/>
      </rPr>
      <t xml:space="preserve">:  Type = </t>
    </r>
    <r>
      <rPr>
        <b/>
        <sz val="10"/>
        <rFont val="Times New Roman"/>
        <family val="1"/>
      </rPr>
      <t>M</t>
    </r>
    <r>
      <rPr>
        <sz val="10"/>
        <rFont val="Times New Roman"/>
        <family val="1"/>
      </rPr>
      <t xml:space="preserve"> (Mastered), </t>
    </r>
    <r>
      <rPr>
        <b/>
        <sz val="10"/>
        <rFont val="Times New Roman"/>
        <family val="1"/>
      </rPr>
      <t>P</t>
    </r>
    <r>
      <rPr>
        <sz val="10"/>
        <rFont val="Times New Roman"/>
        <family val="1"/>
      </rPr>
      <t xml:space="preserve"> (Primary), </t>
    </r>
    <r>
      <rPr>
        <b/>
        <sz val="10"/>
        <rFont val="Times New Roman"/>
        <family val="1"/>
      </rPr>
      <t>S</t>
    </r>
    <r>
      <rPr>
        <sz val="10"/>
        <rFont val="Times New Roman"/>
        <family val="1"/>
      </rPr>
      <t xml:space="preserve"> (Secondary), </t>
    </r>
    <r>
      <rPr>
        <b/>
        <sz val="10"/>
        <rFont val="Times New Roman"/>
        <family val="1"/>
      </rPr>
      <t>T</t>
    </r>
    <r>
      <rPr>
        <sz val="10"/>
        <rFont val="Times New Roman"/>
        <family val="1"/>
      </rPr>
      <t xml:space="preserve"> (Tertiary), </t>
    </r>
    <r>
      <rPr>
        <b/>
        <sz val="10"/>
        <rFont val="Times New Roman"/>
        <family val="1"/>
      </rPr>
      <t>C</t>
    </r>
    <r>
      <rPr>
        <sz val="10"/>
        <rFont val="Times New Roman"/>
        <family val="1"/>
      </rPr>
      <t xml:space="preserve"> (Core), </t>
    </r>
    <r>
      <rPr>
        <b/>
        <sz val="10"/>
        <rFont val="Times New Roman"/>
        <family val="1"/>
      </rPr>
      <t>ZM</t>
    </r>
    <r>
      <rPr>
        <sz val="10"/>
        <rFont val="Times New Roman"/>
        <family val="1"/>
      </rPr>
      <t xml:space="preserve"> (Zodiac),</t>
    </r>
  </si>
  <si>
    <r>
      <t xml:space="preserve">                                                 </t>
    </r>
    <r>
      <rPr>
        <b/>
        <sz val="10"/>
        <rFont val="Times New Roman"/>
        <family val="1"/>
      </rPr>
      <t>L</t>
    </r>
    <r>
      <rPr>
        <sz val="10"/>
        <rFont val="Times New Roman"/>
        <family val="1"/>
      </rPr>
      <t xml:space="preserve"> (cLass) </t>
    </r>
    <r>
      <rPr>
        <b/>
        <sz val="10"/>
        <rFont val="Times New Roman"/>
        <family val="1"/>
      </rPr>
      <t>BK</t>
    </r>
    <r>
      <rPr>
        <sz val="10"/>
        <rFont val="Times New Roman"/>
        <family val="1"/>
      </rPr>
      <t xml:space="preserve"> (Background), </t>
    </r>
    <r>
      <rPr>
        <b/>
        <sz val="10"/>
        <rFont val="Times New Roman"/>
        <family val="1"/>
      </rPr>
      <t>SA</t>
    </r>
    <r>
      <rPr>
        <sz val="10"/>
        <rFont val="Times New Roman"/>
        <family val="1"/>
      </rPr>
      <t xml:space="preserve"> (Special Ability), </t>
    </r>
    <r>
      <rPr>
        <b/>
        <sz val="10"/>
        <rFont val="Times New Roman"/>
        <family val="1"/>
      </rPr>
      <t>R</t>
    </r>
    <r>
      <rPr>
        <sz val="10"/>
        <rFont val="Times New Roman"/>
        <family val="1"/>
      </rPr>
      <t xml:space="preserve"> (Racial), </t>
    </r>
    <r>
      <rPr>
        <b/>
        <sz val="10"/>
        <rFont val="Times New Roman"/>
        <family val="1"/>
      </rPr>
      <t>F</t>
    </r>
    <r>
      <rPr>
        <sz val="10"/>
        <rFont val="Times New Roman"/>
        <family val="1"/>
      </rPr>
      <t xml:space="preserve"> (Father) </t>
    </r>
    <r>
      <rPr>
        <b/>
        <sz val="10"/>
        <rFont val="Times New Roman"/>
        <family val="1"/>
      </rPr>
      <t>H</t>
    </r>
    <r>
      <rPr>
        <sz val="10"/>
        <rFont val="Times New Roman"/>
        <family val="1"/>
      </rPr>
      <t xml:space="preserve"> (House/Clan).</t>
    </r>
  </si>
  <si>
    <t>*** End of Pages</t>
  </si>
  <si>
    <t>Total s:</t>
  </si>
  <si>
    <t>Totals:</t>
  </si>
  <si>
    <t>Sainted</t>
  </si>
  <si>
    <t>self</t>
  </si>
  <si>
    <t>Self or 1</t>
  </si>
  <si>
    <t>self +1</t>
  </si>
  <si>
    <t>self+</t>
  </si>
  <si>
    <t>Dried Beans</t>
  </si>
  <si>
    <t>Dexterity</t>
  </si>
  <si>
    <t>Spineless</t>
  </si>
  <si>
    <t>Craven</t>
  </si>
  <si>
    <t>Fainthearted</t>
  </si>
  <si>
    <t>Timid</t>
  </si>
  <si>
    <t>Meek</t>
  </si>
  <si>
    <t>Hesitant</t>
  </si>
  <si>
    <t>Spanish</t>
  </si>
  <si>
    <t>Basic Magick: Fire</t>
  </si>
  <si>
    <t>Basic Magick: Water</t>
  </si>
  <si>
    <t>Methods of Magick</t>
  </si>
  <si>
    <t>Modes of Magick</t>
  </si>
  <si>
    <t>Basic: Air</t>
  </si>
  <si>
    <t>Basic: Earth</t>
  </si>
  <si>
    <t>Basic: Fire</t>
  </si>
  <si>
    <t>Basic: Water</t>
  </si>
  <si>
    <t>Shoes</t>
  </si>
  <si>
    <t>Gown</t>
  </si>
  <si>
    <t xml:space="preserve">Dress   </t>
  </si>
  <si>
    <t>Curr. Skill Weight</t>
  </si>
  <si>
    <t>Max. Lift Skill +</t>
  </si>
  <si>
    <r>
      <t>Armor Type</t>
    </r>
    <r>
      <rPr>
        <sz val="10"/>
        <rFont val="Times New Roman"/>
        <family val="1"/>
      </rPr>
      <t xml:space="preserve"> (Worn)</t>
    </r>
  </si>
  <si>
    <t>BCS%:</t>
  </si>
  <si>
    <t>Armor of Ice</t>
  </si>
  <si>
    <t>Armor of the Glacier</t>
  </si>
  <si>
    <t>Ice Wall</t>
  </si>
  <si>
    <t>Touch of Ice</t>
  </si>
  <si>
    <t>5' 2"</t>
  </si>
  <si>
    <t>5' 3"</t>
  </si>
  <si>
    <t>5' 4"</t>
  </si>
  <si>
    <t>5' 5"</t>
  </si>
  <si>
    <t>5' 6"</t>
  </si>
  <si>
    <t>5' 7"</t>
  </si>
  <si>
    <t>5' 8"</t>
  </si>
  <si>
    <t>5' 9"</t>
  </si>
  <si>
    <t>5' 10"</t>
  </si>
  <si>
    <t>5' 11"</t>
  </si>
  <si>
    <t>6' 0"</t>
  </si>
  <si>
    <t>6' 1"</t>
  </si>
  <si>
    <t>6' 2"</t>
  </si>
  <si>
    <t>6' 3"</t>
  </si>
  <si>
    <t>6' 4"</t>
  </si>
  <si>
    <t>6' 5"</t>
  </si>
  <si>
    <t>6' 6"</t>
  </si>
  <si>
    <t>6' 7"</t>
  </si>
  <si>
    <t>6' 8"</t>
  </si>
  <si>
    <t>6' 9"</t>
  </si>
  <si>
    <t>6' 10"</t>
  </si>
  <si>
    <t>Rock Drill</t>
  </si>
  <si>
    <t>Land Lore</t>
  </si>
  <si>
    <t>Language of Flowers (Selam)</t>
  </si>
  <si>
    <t>Luck Modifier?</t>
  </si>
  <si>
    <t>Gardener Mage</t>
  </si>
  <si>
    <t>Hermit</t>
  </si>
  <si>
    <t>Thunderclap</t>
  </si>
  <si>
    <t>Burning Touch (Vulcan's Touch)  - Salamander Fire</t>
  </si>
  <si>
    <t>WoG</t>
  </si>
  <si>
    <t>Turn Flame  - Normal Fire</t>
  </si>
  <si>
    <t>Turn Flame  - Magick Fire</t>
  </si>
  <si>
    <t>Turn Flame  - Salamander Fire</t>
  </si>
  <si>
    <t>STRENGTH</t>
  </si>
  <si>
    <t>PIETY</t>
  </si>
  <si>
    <t>WISDOM</t>
  </si>
  <si>
    <t>Eye Color</t>
  </si>
  <si>
    <t>Complexion</t>
  </si>
  <si>
    <t>Sleep/Hour</t>
  </si>
  <si>
    <t>Wooden Bowl</t>
  </si>
  <si>
    <t>Combat Skills</t>
  </si>
  <si>
    <t>Archery</t>
  </si>
  <si>
    <t>Brewing</t>
  </si>
  <si>
    <t>Cooking</t>
  </si>
  <si>
    <t>Pray for</t>
  </si>
  <si>
    <t>Air</t>
  </si>
  <si>
    <t>Crit.</t>
  </si>
  <si>
    <t>Military Flail</t>
  </si>
  <si>
    <t>Dwarf Hammer</t>
  </si>
  <si>
    <t>WarHammer</t>
  </si>
  <si>
    <t>Mace</t>
  </si>
  <si>
    <t>Morningstar</t>
  </si>
  <si>
    <t>Maul, Sledge</t>
  </si>
  <si>
    <t>Cautious</t>
  </si>
  <si>
    <t>Prudent</t>
  </si>
  <si>
    <t>Confident</t>
  </si>
  <si>
    <t>Cats arch their backs &amp; hiss malevolently at you</t>
  </si>
  <si>
    <t>An animal you own appears to have the gift of human speech</t>
  </si>
  <si>
    <t>Living plants may wither from your touch</t>
  </si>
  <si>
    <t>You burn very quickly when exposed to the sun</t>
  </si>
  <si>
    <t>Great Healing Sap</t>
  </si>
  <si>
    <t>Greater Healing Sap</t>
  </si>
  <si>
    <t>Summon Great Undead</t>
  </si>
  <si>
    <t>Lesser Circle of Alarm</t>
  </si>
  <si>
    <t>Lesser Ward of Alarm</t>
  </si>
  <si>
    <t>Ailurophobia</t>
  </si>
  <si>
    <t>Astrophobia</t>
  </si>
  <si>
    <t>Autophobia</t>
  </si>
  <si>
    <t>Algophobia</t>
  </si>
  <si>
    <t>Androphobia</t>
  </si>
  <si>
    <t>Arachniphobia</t>
  </si>
  <si>
    <t>Claustrophobia</t>
  </si>
  <si>
    <t>Cynophobia</t>
  </si>
  <si>
    <r>
      <t>Language: Spoken</t>
    </r>
    <r>
      <rPr>
        <sz val="9"/>
        <rFont val="Times New Roman"/>
        <family val="1"/>
      </rPr>
      <t xml:space="preserve"> (Own)</t>
    </r>
  </si>
  <si>
    <t>Crit Die Modifiers</t>
  </si>
  <si>
    <t>Total Damage</t>
  </si>
  <si>
    <t>rural dean</t>
  </si>
  <si>
    <t>canon</t>
  </si>
  <si>
    <t>archdeacon</t>
  </si>
  <si>
    <t>bishop</t>
  </si>
  <si>
    <t>rector</t>
  </si>
  <si>
    <t>archbishop</t>
  </si>
  <si>
    <t>primate</t>
  </si>
  <si>
    <t>cardinal</t>
  </si>
  <si>
    <t>pope</t>
  </si>
  <si>
    <t>Steppe</t>
  </si>
  <si>
    <t>Waste</t>
  </si>
  <si>
    <t>Nutrition/Activity Level</t>
  </si>
  <si>
    <t>Grazing: Min/Max</t>
  </si>
  <si>
    <t>Battle</t>
  </si>
  <si>
    <t>Base Level Intox.%</t>
  </si>
  <si>
    <t>Seal Making, Engraving &amp; Coinage</t>
  </si>
  <si>
    <t>Weaponsmithing &amp; Armorer</t>
  </si>
  <si>
    <t>Weaponsmith</t>
  </si>
  <si>
    <t>Armorer</t>
  </si>
  <si>
    <t>Meditation</t>
  </si>
  <si>
    <t>Riddling</t>
  </si>
  <si>
    <t>WILLPOWER</t>
  </si>
  <si>
    <t>Lesser Eldritch Attack</t>
  </si>
  <si>
    <t>Least Eldritch Attack</t>
  </si>
  <si>
    <t>Great Eldritch Attack</t>
  </si>
  <si>
    <t>Greater Eldritch Attack</t>
  </si>
  <si>
    <t>Greatest Eldritch Attack</t>
  </si>
  <si>
    <t>BAM</t>
  </si>
  <si>
    <t>Least Dry</t>
  </si>
  <si>
    <t>Lesser Dry</t>
  </si>
  <si>
    <t>Great Dry</t>
  </si>
  <si>
    <t>Greater Dry</t>
  </si>
  <si>
    <t>Greatest Dry</t>
  </si>
  <si>
    <t>Least Revitalize (Hydrate)</t>
  </si>
  <si>
    <t>Lesser Revitalize (Hydrate)</t>
  </si>
  <si>
    <t>Great Revitalize (Hydrate)</t>
  </si>
  <si>
    <t>Greater Revitalize (Hydrate)</t>
  </si>
  <si>
    <t>Greatest Revitalize (Hydrate)</t>
  </si>
  <si>
    <t>Least Grind Coarse</t>
  </si>
  <si>
    <t>Lesser Grind Coarse</t>
  </si>
  <si>
    <t>Great Grind Coarse</t>
  </si>
  <si>
    <t>Greater Grind Coarse</t>
  </si>
  <si>
    <t>The sheet below contains no individual formulas, is straight text, and is for additional gear</t>
  </si>
  <si>
    <t>It does sum up the weight &amp; cost at the bottom of the columns.</t>
  </si>
  <si>
    <t>This sheet is here to help you track combat related values</t>
  </si>
  <si>
    <t xml:space="preserve">Moneychanger </t>
  </si>
  <si>
    <t>Pinder</t>
  </si>
  <si>
    <t>Poet</t>
  </si>
  <si>
    <t>Potter/Crocker</t>
  </si>
  <si>
    <t>Italian</t>
  </si>
  <si>
    <t>Welsh</t>
  </si>
  <si>
    <t>Finnish</t>
  </si>
  <si>
    <t xml:space="preserve">1 min. per </t>
  </si>
  <si>
    <t>5 seconds per</t>
  </si>
  <si>
    <t>15 seconds per</t>
  </si>
  <si>
    <t>Animal Training</t>
  </si>
  <si>
    <t xml:space="preserve">Boxing </t>
  </si>
  <si>
    <t xml:space="preserve">Wrestling </t>
  </si>
  <si>
    <t xml:space="preserve">Bargaining </t>
  </si>
  <si>
    <t xml:space="preserve">Begging </t>
  </si>
  <si>
    <t>Charm</t>
  </si>
  <si>
    <t>Entertainment Troop Leader</t>
  </si>
  <si>
    <t>Master of the Hounds</t>
  </si>
  <si>
    <t>Master Brewer</t>
  </si>
  <si>
    <t>Pavilion</t>
  </si>
  <si>
    <t>Armoured Skin - Armour of Guard</t>
  </si>
  <si>
    <t>Prophecy</t>
  </si>
  <si>
    <t>Sight of the Unicorn</t>
  </si>
  <si>
    <t>True Sight</t>
  </si>
  <si>
    <t>Detect Evil</t>
  </si>
  <si>
    <t>Dispel Phantasmal</t>
  </si>
  <si>
    <t>Illusionary True Sight</t>
  </si>
  <si>
    <t>Blurred Image</t>
  </si>
  <si>
    <t>Mass Compel Silence</t>
  </si>
  <si>
    <t>Nightmares</t>
  </si>
  <si>
    <t>Exp.</t>
  </si>
  <si>
    <t>INF:</t>
  </si>
  <si>
    <t>of Spells</t>
  </si>
  <si>
    <t>of Charges</t>
  </si>
  <si>
    <t>Rate</t>
  </si>
  <si>
    <t>Method of Magick</t>
  </si>
  <si>
    <t>Mode Mod.</t>
  </si>
  <si>
    <t>Faith Skills</t>
  </si>
  <si>
    <t>Earned</t>
  </si>
  <si>
    <t>Believer</t>
  </si>
  <si>
    <t>Base Belief</t>
  </si>
  <si>
    <t>Belief Pts.</t>
  </si>
  <si>
    <r>
      <t>Check the "</t>
    </r>
    <r>
      <rPr>
        <b/>
        <sz val="8"/>
        <rFont val="Arial"/>
        <family val="2"/>
      </rPr>
      <t>Combat</t>
    </r>
    <r>
      <rPr>
        <sz val="8"/>
        <rFont val="Arial"/>
        <family val="2"/>
      </rPr>
      <t>" worksheet to choose &amp; set up weapons &amp; damage. Choose your carried weapons &amp; worn armour (including mounts) here. Add any enhancements.</t>
    </r>
  </si>
  <si>
    <t>Unarmed</t>
  </si>
  <si>
    <t>Skill</t>
  </si>
  <si>
    <t>y/n</t>
  </si>
  <si>
    <t>Dam.</t>
  </si>
  <si>
    <t>Bane of the Unrighteous</t>
  </si>
  <si>
    <t>Call Forth Fiery Steel</t>
  </si>
  <si>
    <t>Detect Blood Purity</t>
  </si>
  <si>
    <t>Rite of Exile</t>
  </si>
  <si>
    <t>Animate War Tree Type I</t>
  </si>
  <si>
    <t>Character's Income</t>
  </si>
  <si>
    <t xml:space="preserve"> War-horse?</t>
  </si>
  <si>
    <t xml:space="preserve"> Gear?</t>
  </si>
  <si>
    <t>Lightning Darts</t>
  </si>
  <si>
    <t>Lightning Bolt</t>
  </si>
  <si>
    <t>Thunderbolt</t>
  </si>
  <si>
    <t>Remove Earth</t>
  </si>
  <si>
    <t>Plant Magick Bonuses</t>
  </si>
  <si>
    <t>ATTR</t>
  </si>
  <si>
    <t>LVLS</t>
  </si>
  <si>
    <t>mod</t>
  </si>
  <si>
    <t>Charming Bonus</t>
  </si>
  <si>
    <t>Safe</t>
  </si>
  <si>
    <t>Current Purse:</t>
  </si>
  <si>
    <t>MASTERY</t>
  </si>
  <si>
    <t>Current DF</t>
  </si>
  <si>
    <t>Background</t>
  </si>
  <si>
    <t>Attribute  Bonus</t>
  </si>
  <si>
    <t>Skill Percentage</t>
  </si>
  <si>
    <t>i.e.</t>
  </si>
  <si>
    <t>14+2</t>
  </si>
  <si>
    <t>36+8</t>
  </si>
  <si>
    <t>42+12</t>
  </si>
  <si>
    <t>Greater Transform Self</t>
  </si>
  <si>
    <t>13+2/3</t>
  </si>
  <si>
    <t>19+19</t>
  </si>
  <si>
    <t>11+4/3</t>
  </si>
  <si>
    <t>Least Jeweller’s Tumbler - Coarse</t>
  </si>
  <si>
    <t>Lesser Jeweller’s Tumbler - Medium</t>
  </si>
  <si>
    <t>Great Jeweller’s Tumbler - Fine</t>
  </si>
  <si>
    <t>Greater Jeweller’s Tumbler - Polish</t>
  </si>
  <si>
    <t>Lance: Kontos</t>
  </si>
  <si>
    <t>9'</t>
  </si>
  <si>
    <t>10'</t>
  </si>
  <si>
    <t>Throwing Knife</t>
  </si>
  <si>
    <t>Knife</t>
  </si>
  <si>
    <t>Skean</t>
  </si>
  <si>
    <t>Dirk</t>
  </si>
  <si>
    <t>Sword: Gladius</t>
  </si>
  <si>
    <t>Sword: Saex</t>
  </si>
  <si>
    <t>2H</t>
  </si>
  <si>
    <t>War Axe</t>
  </si>
  <si>
    <t>Battle Axe</t>
  </si>
  <si>
    <t>Pole Axe</t>
  </si>
  <si>
    <t>Halberd</t>
  </si>
  <si>
    <t>WEIGHT INDEX</t>
  </si>
  <si>
    <t>Pierce</t>
  </si>
  <si>
    <t>Shield Type (bash dam.)</t>
  </si>
  <si>
    <t>Animal Riding (Horse, Pony, Mule)</t>
  </si>
  <si>
    <t>Written (Own Language)</t>
  </si>
  <si>
    <t>Lesser Ward of Protection vs Good</t>
  </si>
  <si>
    <t>Lesser Ward of Protection vs Beasts</t>
  </si>
  <si>
    <t>exp/hour</t>
  </si>
  <si>
    <t>exp/10 min</t>
  </si>
  <si>
    <t>total exp used</t>
  </si>
  <si>
    <t xml:space="preserve">: Downtime </t>
  </si>
  <si>
    <t>Curds &amp; Whey</t>
  </si>
  <si>
    <t>Fine Cheese</t>
  </si>
  <si>
    <t>Dried Wild Mushrooms</t>
  </si>
  <si>
    <t>Haeflin</t>
  </si>
  <si>
    <t>Troll</t>
  </si>
  <si>
    <t>Elven Mage</t>
  </si>
  <si>
    <t>Great Shape Wood</t>
  </si>
  <si>
    <t>Greater Shape Wood</t>
  </si>
  <si>
    <t>Greatest Shape Wood</t>
  </si>
  <si>
    <t>Least Shape Tree</t>
  </si>
  <si>
    <t>Lesser Shape Tree</t>
  </si>
  <si>
    <t>Great Shape Tree</t>
  </si>
  <si>
    <t>Greater Shape Tree</t>
  </si>
  <si>
    <t>Greatest Shape Tree</t>
  </si>
  <si>
    <t>Lesser Healing Sap</t>
  </si>
  <si>
    <t>Great Balm</t>
  </si>
  <si>
    <t>Restorative Cordial</t>
  </si>
  <si>
    <t>Elixir of Renewed Vigour</t>
  </si>
  <si>
    <t>time tables</t>
  </si>
  <si>
    <t xml:space="preserve">Hex Master Sage </t>
  </si>
  <si>
    <t>Fear checks:</t>
  </si>
  <si>
    <t>15x7</t>
  </si>
  <si>
    <t>21+1</t>
  </si>
  <si>
    <t>11+1</t>
  </si>
  <si>
    <t>13+1</t>
  </si>
  <si>
    <t>15+1</t>
  </si>
  <si>
    <t>17+1</t>
  </si>
  <si>
    <t>Lesser Circle of Protection vs Evil</t>
  </si>
  <si>
    <t xml:space="preserve">Sage </t>
  </si>
  <si>
    <t xml:space="preserve">Blood </t>
  </si>
  <si>
    <t xml:space="preserve">Sheep </t>
  </si>
  <si>
    <t xml:space="preserve">Ram </t>
  </si>
  <si>
    <t xml:space="preserve">Copper </t>
  </si>
  <si>
    <t xml:space="preserve">Emerald </t>
  </si>
  <si>
    <t xml:space="preserve">Pine </t>
  </si>
  <si>
    <t>Sandalwood</t>
  </si>
  <si>
    <t>Lesser Circle of Protection vs Basick Magick - Fire</t>
  </si>
  <si>
    <t>blood</t>
  </si>
  <si>
    <t>touched by others</t>
  </si>
  <si>
    <t>Vellum (34" x 44")</t>
  </si>
  <si>
    <t>m</t>
  </si>
  <si>
    <t>p</t>
  </si>
  <si>
    <t>h/2h</t>
  </si>
  <si>
    <t>Linen Rag Paper (34" x 44")</t>
  </si>
  <si>
    <t>Crit Die</t>
  </si>
  <si>
    <t>This is provided as a backup for</t>
  </si>
  <si>
    <t>dice, press the Shift and F9 Keys</t>
  </si>
  <si>
    <r>
      <t xml:space="preserve">missing dice. In order to "roll" the </t>
    </r>
    <r>
      <rPr>
        <b/>
        <sz val="10"/>
        <rFont val="Arial"/>
        <family val="2"/>
      </rPr>
      <t/>
    </r>
  </si>
  <si>
    <t>at the same time. This will cause</t>
  </si>
  <si>
    <t>ALL of the above cells to generate</t>
  </si>
  <si>
    <t>new values.</t>
  </si>
  <si>
    <t>Experience</t>
  </si>
  <si>
    <t>Awards</t>
  </si>
  <si>
    <t>D100</t>
  </si>
  <si>
    <t xml:space="preserve">Experience for adventure </t>
  </si>
  <si>
    <t>15 seconds</t>
  </si>
  <si>
    <t>1 month</t>
  </si>
  <si>
    <t>Polarity</t>
  </si>
  <si>
    <t>lay sister</t>
  </si>
  <si>
    <t>prioress</t>
  </si>
  <si>
    <t>abbess</t>
  </si>
  <si>
    <t>Mother Superior</t>
  </si>
  <si>
    <t>deacon</t>
  </si>
  <si>
    <t>postulant</t>
  </si>
  <si>
    <t>Slow (Stunt)</t>
  </si>
  <si>
    <t>Dispel (Plant)</t>
  </si>
  <si>
    <t>Create/Command Plant (Train)</t>
  </si>
  <si>
    <t>Max. Endurance</t>
  </si>
  <si>
    <t>Max. Conditioning</t>
  </si>
  <si>
    <t>Goblin</t>
  </si>
  <si>
    <t>Two-Handed Weapons</t>
  </si>
  <si>
    <t>Bannerette</t>
  </si>
  <si>
    <t>Baronet</t>
  </si>
  <si>
    <t>Animals you own or care for get sick and die.</t>
  </si>
  <si>
    <t>Elven</t>
  </si>
  <si>
    <t>Dwarven</t>
  </si>
  <si>
    <t>Haeflin Tongue</t>
  </si>
  <si>
    <t>Haeflin Tongue (Ancient)</t>
  </si>
  <si>
    <t>Slippers</t>
  </si>
  <si>
    <t>Sandals</t>
  </si>
  <si>
    <t>Dress Boots</t>
  </si>
  <si>
    <t>Oneiromancy</t>
  </si>
  <si>
    <t>Hippomancy</t>
  </si>
  <si>
    <t>Pyromancy</t>
  </si>
  <si>
    <t>Scapulomancy</t>
  </si>
  <si>
    <t>Ornithomancy</t>
  </si>
  <si>
    <t>Sortilege</t>
  </si>
  <si>
    <t>Personal Reality</t>
  </si>
  <si>
    <t>Paradoxes</t>
  </si>
  <si>
    <t>Contrariness</t>
  </si>
  <si>
    <t>Spells</t>
  </si>
  <si>
    <t>Papyrus (34" x 44")</t>
  </si>
  <si>
    <t>Dispel Charmed Large Animals</t>
  </si>
  <si>
    <t>Dispel Charmed Small Predators</t>
  </si>
  <si>
    <t>Dispel Charmed Large Predators</t>
  </si>
  <si>
    <t>Trigger Effect</t>
  </si>
  <si>
    <t>Hold Trigger</t>
  </si>
  <si>
    <t>Trigger When</t>
  </si>
  <si>
    <t>Arm Trigger</t>
  </si>
  <si>
    <r>
      <t>Mr. Nascimento</t>
    </r>
    <r>
      <rPr>
        <sz val="8"/>
        <rFont val="Arial"/>
        <family val="2"/>
      </rPr>
      <t xml:space="preserve"> can be reached at: </t>
    </r>
  </si>
  <si>
    <r>
      <t xml:space="preserve">Mr. Bomhof </t>
    </r>
    <r>
      <rPr>
        <sz val="8"/>
        <rFont val="Arial"/>
        <family val="2"/>
      </rPr>
      <t>can be reached at:</t>
    </r>
  </si>
  <si>
    <r>
      <t>Mr. Timmins</t>
    </r>
    <r>
      <rPr>
        <sz val="8"/>
        <rFont val="Arial"/>
        <family val="2"/>
      </rPr>
      <t xml:space="preserve"> can be reached at:</t>
    </r>
  </si>
  <si>
    <t>Lore Scientific Skills</t>
  </si>
  <si>
    <t>Num. Avail</t>
  </si>
  <si>
    <t>Num. Used</t>
  </si>
  <si>
    <t>Next Every</t>
  </si>
  <si>
    <t>Start Lvls</t>
  </si>
  <si>
    <t>Flirting</t>
  </si>
  <si>
    <t>Create Lesser Arcane Energy</t>
  </si>
  <si>
    <t>Create Great Arcane Energy</t>
  </si>
  <si>
    <t>Create Greater Arcane Energy</t>
  </si>
  <si>
    <t>Discharge (Release)</t>
  </si>
  <si>
    <t>Discharge (Detonate)</t>
  </si>
  <si>
    <t>Dispel Lesser Arcane Energy</t>
  </si>
  <si>
    <t>Dispel Greater Arcane Energy</t>
  </si>
  <si>
    <t xml:space="preserve">Bind </t>
  </si>
  <si>
    <t xml:space="preserve">Detach </t>
  </si>
  <si>
    <t xml:space="preserve">Accelerate </t>
  </si>
  <si>
    <t xml:space="preserve">Color </t>
  </si>
  <si>
    <t xml:space="preserve">Transform </t>
  </si>
  <si>
    <t>Arcane String</t>
  </si>
  <si>
    <t>Determine Ancestor</t>
  </si>
  <si>
    <t>Forecast Weather Imminent</t>
  </si>
  <si>
    <t>Forecast Weather From Afar</t>
  </si>
  <si>
    <t>Forecast Weather for the Land</t>
  </si>
  <si>
    <t>Poetic Composition</t>
  </si>
  <si>
    <t xml:space="preserve">Mounted Combat </t>
  </si>
  <si>
    <t>Enchant the Paste of Terpsichore</t>
  </si>
  <si>
    <t>Lesser Circle of Protection vs Undead</t>
  </si>
  <si>
    <t>Lesser Circle of Protection vs Supernatural</t>
  </si>
  <si>
    <t>Lesser Ward of Protection vs Evil</t>
  </si>
  <si>
    <t>Weeks</t>
  </si>
  <si>
    <t>Medication Research</t>
  </si>
  <si>
    <t>Clothes</t>
  </si>
  <si>
    <t>This Law assists in understanding and preventing Perversity</t>
  </si>
  <si>
    <t>The Law assists in viewing creatures and energies through magical and normal senses</t>
  </si>
  <si>
    <t>Knowledge of this law assists a mage to counter spells</t>
  </si>
  <si>
    <t>Knowledge of this Law allows a mage to augment spells with components to reduce casting or personal cost of the spell.</t>
  </si>
  <si>
    <t>Banish Ghoul</t>
  </si>
  <si>
    <t xml:space="preserve">Banish Great Undead </t>
  </si>
  <si>
    <t>Banish Greater Undead</t>
  </si>
  <si>
    <t xml:space="preserve">Banish the Work </t>
  </si>
  <si>
    <t xml:space="preserve">Banish the Great Work </t>
  </si>
  <si>
    <t xml:space="preserve">Banish Death </t>
  </si>
  <si>
    <t xml:space="preserve">Banish Greater Death </t>
  </si>
  <si>
    <t xml:space="preserve">Banish Least Spirit </t>
  </si>
  <si>
    <t xml:space="preserve">Banish Lesser Spirit </t>
  </si>
  <si>
    <t>Banish Imp</t>
  </si>
  <si>
    <t>Banish Great Spirit</t>
  </si>
  <si>
    <t>Courage of the Righteous</t>
  </si>
  <si>
    <t>Faery (Un-Seelie)</t>
  </si>
  <si>
    <t>Giant</t>
  </si>
  <si>
    <t>Very difficult</t>
  </si>
  <si>
    <t>Vocation</t>
  </si>
  <si>
    <t>Mastery Skills</t>
  </si>
  <si>
    <t>Adventurer</t>
  </si>
  <si>
    <t>Druid</t>
  </si>
  <si>
    <t>Fighter</t>
  </si>
  <si>
    <t>Forester</t>
  </si>
  <si>
    <t>Memorization Penalty?</t>
  </si>
  <si>
    <t>Bonus to Crit Die?</t>
  </si>
  <si>
    <t>Base Climbing Rate</t>
  </si>
  <si>
    <t>points Total</t>
  </si>
  <si>
    <t>FP Reduction</t>
  </si>
  <si>
    <t>Swimming Distance</t>
  </si>
  <si>
    <t>Feet/FP</t>
  </si>
  <si>
    <t>Trial of Strength</t>
  </si>
  <si>
    <t>Affect How Many in a Crowd?</t>
  </si>
  <si>
    <t>How Big a Circle?</t>
  </si>
  <si>
    <t>People</t>
  </si>
  <si>
    <t>Use Heavier Weapons in Off Hand?</t>
  </si>
  <si>
    <t>Number of Specialties?</t>
  </si>
  <si>
    <t>Smelt How Much Metal?</t>
  </si>
  <si>
    <t>Please Note - Additional Lines May Be Needed Here</t>
  </si>
  <si>
    <t>Fatigue Recovery Rate</t>
  </si>
  <si>
    <t>Sleep/one hr.</t>
  </si>
  <si>
    <t>Rest/10 min.</t>
  </si>
  <si>
    <t>Subsistence Diet:</t>
  </si>
  <si>
    <t>Average Diet:</t>
  </si>
  <si>
    <t>Strenuous Diet:</t>
  </si>
  <si>
    <t>Features:</t>
  </si>
  <si>
    <t>Faery (Seelie)</t>
  </si>
  <si>
    <t>Baker</t>
  </si>
  <si>
    <t>Wine Merchant</t>
  </si>
  <si>
    <t>Money Lender</t>
  </si>
  <si>
    <t>I</t>
  </si>
  <si>
    <t>Knight Errant</t>
  </si>
  <si>
    <t>Master Cloth Merchant</t>
  </si>
  <si>
    <t>Weaver</t>
  </si>
  <si>
    <t>Dyer</t>
  </si>
  <si>
    <t>Master Mason</t>
  </si>
  <si>
    <t>Stonemason</t>
  </si>
  <si>
    <t>Situational Awareness</t>
  </si>
  <si>
    <t>Lesser Foresight</t>
  </si>
  <si>
    <t>Foresight</t>
  </si>
  <si>
    <t>Greater Foresight</t>
  </si>
  <si>
    <t xml:space="preserve"># of </t>
  </si>
  <si>
    <t>NU/Day</t>
  </si>
  <si>
    <t>Omens/Aspect:</t>
  </si>
  <si>
    <t>Character Attributes:</t>
  </si>
  <si>
    <t>Influence Factor:</t>
  </si>
  <si>
    <t>Sound</t>
  </si>
  <si>
    <t>Core Skills:</t>
  </si>
  <si>
    <t>Social Status</t>
  </si>
  <si>
    <t>Points Spent:</t>
  </si>
  <si>
    <t>Current Character Rank</t>
  </si>
  <si>
    <t>Master Foundryman</t>
  </si>
  <si>
    <t>Foundryman</t>
  </si>
  <si>
    <t>Mine Owner</t>
  </si>
  <si>
    <t>Miner</t>
  </si>
  <si>
    <t>Short Swords</t>
  </si>
  <si>
    <t>3-4 Quantities</t>
  </si>
  <si>
    <t>3 Quantities</t>
  </si>
  <si>
    <t>Master Armorer Mage/Armourer Magus</t>
  </si>
  <si>
    <t>Dance</t>
  </si>
  <si>
    <t>Dance (Mage)</t>
  </si>
  <si>
    <t>touch</t>
  </si>
  <si>
    <t>Basic Elemental Magick - Air</t>
  </si>
  <si>
    <t>Basic Elemental Magick - Earth</t>
  </si>
  <si>
    <t>Household Troops of the King</t>
  </si>
  <si>
    <t>L</t>
  </si>
  <si>
    <t>Base purse</t>
  </si>
  <si>
    <t>Crowns</t>
  </si>
  <si>
    <t>Shillings</t>
  </si>
  <si>
    <t>Farthings</t>
  </si>
  <si>
    <t>Weapons?</t>
  </si>
  <si>
    <t>"Ransom"</t>
  </si>
  <si>
    <t>Total Armour Value</t>
  </si>
  <si>
    <t>You have a Major Phobia</t>
  </si>
  <si>
    <t>Greater Fey Magical Bowery +10</t>
  </si>
  <si>
    <t>Greater Fey Magical Bowery +11</t>
  </si>
  <si>
    <t>Greater Fey Magical Bowery +12</t>
  </si>
  <si>
    <t>Mage: Armourer Magus</t>
  </si>
  <si>
    <t>Mage: Astrologer</t>
  </si>
  <si>
    <t>Mage: Blade Dancer</t>
  </si>
  <si>
    <t>Mage: Bowyer Magus</t>
  </si>
  <si>
    <t>Mage: Conjuror</t>
  </si>
  <si>
    <t>Mage: Diviner</t>
  </si>
  <si>
    <t>Mage: Dwarven: Hex Master/Mistress</t>
  </si>
  <si>
    <t>Mage: Dwarven: Vitkir</t>
  </si>
  <si>
    <t>Mage: Dwarven: Weaponsmith Magus</t>
  </si>
  <si>
    <t>Kerchief</t>
  </si>
  <si>
    <t>Surcoat</t>
  </si>
  <si>
    <t>Cowl</t>
  </si>
  <si>
    <t>Snood</t>
  </si>
  <si>
    <t>Scapular</t>
  </si>
  <si>
    <t>av</t>
  </si>
  <si>
    <t>Cloak</t>
  </si>
  <si>
    <t>Tunic</t>
  </si>
  <si>
    <t>Chemise</t>
  </si>
  <si>
    <t>Pelisse</t>
  </si>
  <si>
    <t>Pellison</t>
  </si>
  <si>
    <t>Gauntlets</t>
  </si>
  <si>
    <t>Girdle</t>
  </si>
  <si>
    <t>Bliaut</t>
  </si>
  <si>
    <t>Mantle</t>
  </si>
  <si>
    <t>MR         Mod.</t>
  </si>
  <si>
    <t>Changer (Mint Changer)</t>
  </si>
  <si>
    <t>Chanty Man</t>
  </si>
  <si>
    <t>Cheese Maker</t>
  </si>
  <si>
    <t>Clergy: Abbess</t>
  </si>
  <si>
    <t>Clergy: Acolyte</t>
  </si>
  <si>
    <t>Clergy: Friar</t>
  </si>
  <si>
    <t>Clergy: Monastic</t>
  </si>
  <si>
    <t>Clergy: Nun</t>
  </si>
  <si>
    <t>Clergy: Ordained Clergy</t>
  </si>
  <si>
    <t>Clerk</t>
  </si>
  <si>
    <t>Unsk.</t>
  </si>
  <si>
    <t>Harpoon</t>
  </si>
  <si>
    <t>Boar Spear</t>
  </si>
  <si>
    <t>Drink Potion</t>
  </si>
  <si>
    <t>DWVS</t>
  </si>
  <si>
    <t>ARMC</t>
  </si>
  <si>
    <t>VS3</t>
  </si>
  <si>
    <t>VS2</t>
  </si>
  <si>
    <t>Resist Disease/Poison:</t>
  </si>
  <si>
    <t>Word</t>
  </si>
  <si>
    <t>Dwarven: Noble (Thane)</t>
  </si>
  <si>
    <t>Dwarven: Skald</t>
  </si>
  <si>
    <t>Dwarven: Weaponsmith</t>
  </si>
  <si>
    <t>Educator</t>
  </si>
  <si>
    <t>Flaming Weapon  - Dragon Fire</t>
  </si>
  <si>
    <t>Fire Coat</t>
  </si>
  <si>
    <t>Witchcraft</t>
  </si>
  <si>
    <t>Enchantment</t>
  </si>
  <si>
    <t>Necromancy</t>
  </si>
  <si>
    <t>Thaumaturgy</t>
  </si>
  <si>
    <t>Arcane</t>
  </si>
  <si>
    <t>Command</t>
  </si>
  <si>
    <t>Illusion</t>
  </si>
  <si>
    <t>Summoning</t>
  </si>
  <si>
    <t>Transcendental</t>
  </si>
  <si>
    <t>Transmutation</t>
  </si>
  <si>
    <t>Wards</t>
  </si>
  <si>
    <t>Spell Enhancement</t>
  </si>
  <si>
    <t>Spell Research</t>
  </si>
  <si>
    <t>Word of Guard</t>
  </si>
  <si>
    <t>Spindle</t>
  </si>
  <si>
    <t>Sewing Shears</t>
  </si>
  <si>
    <t>Gold Thread</t>
  </si>
  <si>
    <t>Purple Thread</t>
  </si>
  <si>
    <t>Blue Thread</t>
  </si>
  <si>
    <t>Thread (500')</t>
  </si>
  <si>
    <t>9+2</t>
  </si>
  <si>
    <t>Copyright © 2000 by</t>
  </si>
  <si>
    <t>Brittannia Games Designs, LTD</t>
  </si>
  <si>
    <t>Chivalry &amp; Sorcery: The Rebirth</t>
  </si>
  <si>
    <t>Ft.</t>
  </si>
  <si>
    <t>Start</t>
  </si>
  <si>
    <t>Arcane Cloak  (Cloak of Power, Mana Flower)</t>
  </si>
  <si>
    <t>Arcane Wall (Wall of Bright Shadows)</t>
  </si>
  <si>
    <t>Arcane Shield (Shield of Athene)</t>
  </si>
  <si>
    <t>Dazzle (Faerie Dance, Fireflies)</t>
  </si>
  <si>
    <t>Eldritch Area Sunlight</t>
  </si>
  <si>
    <t>typical rural</t>
  </si>
  <si>
    <t xml:space="preserve">Core skills are listed on the first page of the </t>
  </si>
  <si>
    <t xml:space="preserve">character sheet. All Materia Magica Skills are </t>
  </si>
  <si>
    <t>Numerology</t>
  </si>
  <si>
    <t>Geomancy</t>
  </si>
  <si>
    <t>Nature/Weather</t>
  </si>
  <si>
    <t>Butcher</t>
  </si>
  <si>
    <t>Arab Scimitar</t>
  </si>
  <si>
    <t>Knight's Sword</t>
  </si>
  <si>
    <t>Claymore</t>
  </si>
  <si>
    <t xml:space="preserve">The sheet below is here in case you need </t>
  </si>
  <si>
    <t>blank duplicates. It contains no formulas.</t>
  </si>
  <si>
    <t>22 correspondences  - ore imbedded with stones,metals &amp; bone - wrapped in skins, anointed with essence &amp; liquid, burned in fire of woods</t>
  </si>
  <si>
    <t>Earth spells</t>
  </si>
  <si>
    <t>Fire spells</t>
  </si>
  <si>
    <t xml:space="preserve">Arcane Great Sword Blade </t>
  </si>
  <si>
    <t xml:space="preserve">Arcane Great Sword Blade ofGreater Damage </t>
  </si>
  <si>
    <t xml:space="preserve">Arcane Mace Head </t>
  </si>
  <si>
    <t xml:space="preserve">Arcane Mace Head of Greater Damage </t>
  </si>
  <si>
    <t xml:space="preserve">Arcane Axe Head </t>
  </si>
  <si>
    <t>historic</t>
  </si>
  <si>
    <t>heroic</t>
  </si>
  <si>
    <r>
      <t xml:space="preserve">any further protection and the </t>
    </r>
    <r>
      <rPr>
        <b/>
        <sz val="9"/>
        <rFont val="Times New Roman"/>
        <family val="1"/>
      </rPr>
      <t>total</t>
    </r>
    <r>
      <rPr>
        <sz val="9"/>
        <rFont val="Times New Roman"/>
        <family val="1"/>
      </rPr>
      <t xml:space="preserve"> protection</t>
    </r>
  </si>
  <si>
    <t>TSC% Modifier</t>
  </si>
  <si>
    <t>Eye</t>
  </si>
  <si>
    <t>Target Area</t>
  </si>
  <si>
    <t xml:space="preserve">Biped </t>
  </si>
  <si>
    <t>Run 10'</t>
  </si>
  <si>
    <t xml:space="preserve">Every time a shield takes </t>
  </si>
  <si>
    <t>more damage than its</t>
  </si>
  <si>
    <t>Ice Storm</t>
  </si>
  <si>
    <t>Ice Bomb</t>
  </si>
  <si>
    <t>Hold Portal</t>
  </si>
  <si>
    <t>Zodiac</t>
  </si>
  <si>
    <t>Lesser Circle of Alertness</t>
  </si>
  <si>
    <t>Lesser Ward of Alertness</t>
  </si>
  <si>
    <t>Lesser Circle of Warning</t>
  </si>
  <si>
    <t>Lesser Ward of Warning</t>
  </si>
  <si>
    <t>Song Sheets</t>
  </si>
  <si>
    <t>Powder</t>
  </si>
  <si>
    <t xml:space="preserve">Incense </t>
  </si>
  <si>
    <t>Perfume</t>
  </si>
  <si>
    <t>Bullroarer</t>
  </si>
  <si>
    <t>Whistle</t>
  </si>
  <si>
    <t>Fan</t>
  </si>
  <si>
    <t>Lamps</t>
  </si>
  <si>
    <t>Forged</t>
  </si>
  <si>
    <t>Holding Water</t>
  </si>
  <si>
    <t>Water Artefacts</t>
  </si>
  <si>
    <t>Torc</t>
  </si>
  <si>
    <t>Sickle</t>
  </si>
  <si>
    <t>Pestle</t>
  </si>
  <si>
    <t>Strike with Power +4</t>
  </si>
  <si>
    <t>Magical Bowery +5</t>
  </si>
  <si>
    <t>Magical Fletching +5</t>
  </si>
  <si>
    <t>Strike with Power +5</t>
  </si>
  <si>
    <t>6'11"</t>
  </si>
  <si>
    <t>Glade of Dreams</t>
  </si>
  <si>
    <t>Hedge of Thorns</t>
  </si>
  <si>
    <t>Milk curdles around you/Cows will go dry if you are nearby for several days</t>
  </si>
  <si>
    <t>Veterinary Medicine</t>
  </si>
  <si>
    <t>Spells using touch gain a bonus of +10% to targeting by knowing this law. Also gain +5% to targeting items touched.</t>
  </si>
  <si>
    <t xml:space="preserve">Merchant: Stone </t>
  </si>
  <si>
    <t xml:space="preserve">Merchant: Timber </t>
  </si>
  <si>
    <t xml:space="preserve">Merchant: Wine </t>
  </si>
  <si>
    <t>Infantry Spear</t>
  </si>
  <si>
    <t>Billhook</t>
  </si>
  <si>
    <t>Hunting Javelin</t>
  </si>
  <si>
    <t>Dispel Illusion III</t>
  </si>
  <si>
    <t>Dispel Illusion IV</t>
  </si>
  <si>
    <t>Fiery Arrows - Natural Flame</t>
  </si>
  <si>
    <t>closed spaces</t>
  </si>
  <si>
    <t>plants/flowers</t>
  </si>
  <si>
    <t>mice/rodents</t>
  </si>
  <si>
    <t>dirt/filth</t>
  </si>
  <si>
    <t>new things</t>
  </si>
  <si>
    <t>night/darkness</t>
  </si>
  <si>
    <t>poisoning</t>
  </si>
  <si>
    <t>the # 13</t>
  </si>
  <si>
    <t xml:space="preserve">Horse Archery </t>
  </si>
  <si>
    <t>Act.</t>
  </si>
  <si>
    <t>Device</t>
  </si>
  <si>
    <t>Death Shock</t>
  </si>
  <si>
    <t>House</t>
  </si>
  <si>
    <t>Spoken/Written Languages as 1 skill?</t>
  </si>
  <si>
    <t>Crit</t>
  </si>
  <si>
    <t>Skill Name</t>
  </si>
  <si>
    <t>Lesser Illusion</t>
  </si>
  <si>
    <t>Greater Illusion</t>
  </si>
  <si>
    <t>Faerie Glamour</t>
  </si>
  <si>
    <t>Disguise</t>
  </si>
  <si>
    <t>Cloak Self</t>
  </si>
  <si>
    <t>Delusion</t>
  </si>
  <si>
    <t>Diminish</t>
  </si>
  <si>
    <t>Grow</t>
  </si>
  <si>
    <t>Phantasmal Weather</t>
  </si>
  <si>
    <t>The first value is the starting value, the second is the current value.</t>
  </si>
  <si>
    <t>Also:</t>
  </si>
  <si>
    <t>Social Status, Inf &amp; Romance Factor each have 2 values listed.</t>
  </si>
  <si>
    <t>Instruments</t>
  </si>
  <si>
    <t xml:space="preserve">Warpipes </t>
  </si>
  <si>
    <t>Drums Small</t>
  </si>
  <si>
    <t xml:space="preserve">Drums Average </t>
  </si>
  <si>
    <t>Drums Large</t>
  </si>
  <si>
    <t>Tambour Or Timbre (Small One Hand)</t>
  </si>
  <si>
    <t>Tambour Or Timbre (Average)</t>
  </si>
  <si>
    <t>Tambour Or Timbre (Large)</t>
  </si>
  <si>
    <t>Cymbals</t>
  </si>
  <si>
    <t>Kettle Drums</t>
  </si>
  <si>
    <t>Rauschpfeife</t>
  </si>
  <si>
    <t>Hautboy (Medieval Oboe)</t>
  </si>
  <si>
    <t>Mass Peaceful Sleep</t>
  </si>
  <si>
    <t>Individual Ignore</t>
  </si>
  <si>
    <t>Gluttonous</t>
  </si>
  <si>
    <t>CURSES</t>
  </si>
  <si>
    <t>max/max</t>
  </si>
  <si>
    <t>min nu</t>
  </si>
  <si>
    <t>max nu</t>
  </si>
  <si>
    <t>7' 5"</t>
  </si>
  <si>
    <t>7' 6"</t>
  </si>
  <si>
    <t>Invalid</t>
  </si>
  <si>
    <t>Sickly</t>
  </si>
  <si>
    <t xml:space="preserve">Average </t>
  </si>
  <si>
    <t xml:space="preserve">Massive </t>
  </si>
  <si>
    <t>Exotic Animals</t>
  </si>
  <si>
    <t>Hunting Dogs</t>
  </si>
  <si>
    <t>Birds of Prey</t>
  </si>
  <si>
    <t>High &amp; Tight</t>
  </si>
  <si>
    <t>Credit to the Family</t>
  </si>
  <si>
    <t>Blue-Grey</t>
  </si>
  <si>
    <t>Platinum Blonde</t>
  </si>
  <si>
    <t>Stubble</t>
  </si>
  <si>
    <t>Crew Cut</t>
  </si>
  <si>
    <t>Black Sheep</t>
  </si>
  <si>
    <t>Pale Blue</t>
  </si>
  <si>
    <t>Sun-Bleached Blonde</t>
  </si>
  <si>
    <t>steppe</t>
  </si>
  <si>
    <t>waste</t>
  </si>
  <si>
    <t>min/min</t>
  </si>
  <si>
    <t>min/max</t>
  </si>
  <si>
    <t>max/min</t>
  </si>
  <si>
    <t>Theology (Secondary)</t>
  </si>
  <si>
    <t>Is Character a Priestly Mage?</t>
  </si>
  <si>
    <t>Relic</t>
  </si>
  <si>
    <t>Shape Wood</t>
  </si>
  <si>
    <t>Magical Bowery +4</t>
  </si>
  <si>
    <t>Magical Fletching +4</t>
  </si>
  <si>
    <t>Burning Touch (Dragon's Touch)  - Dragon Fire</t>
  </si>
  <si>
    <t>Absolute Direction</t>
  </si>
  <si>
    <t>Hold Breath</t>
  </si>
  <si>
    <t>Ambidexterity</t>
  </si>
  <si>
    <t>Lesser Blending of the Mage</t>
  </si>
  <si>
    <t>Greater Blending of the Mage</t>
  </si>
  <si>
    <t>Reduce Inhibition</t>
  </si>
  <si>
    <t>Mass Reduce Inhibition</t>
  </si>
  <si>
    <t>Compel Truth</t>
  </si>
  <si>
    <t>Mass Compel Truth</t>
  </si>
  <si>
    <t>Compel Lies</t>
  </si>
  <si>
    <t>Mass Compel Lies</t>
  </si>
  <si>
    <t>Horns</t>
  </si>
  <si>
    <t>Painting &amp; Sketching</t>
  </si>
  <si>
    <t>MR%:</t>
  </si>
  <si>
    <t>Attribute:</t>
  </si>
  <si>
    <t>Lt. Act:</t>
  </si>
  <si>
    <t>Total Rest:</t>
  </si>
  <si>
    <t>hooves</t>
  </si>
  <si>
    <t>hooves total</t>
  </si>
  <si>
    <t>hooves damage</t>
  </si>
  <si>
    <t>slash</t>
  </si>
  <si>
    <t>missile</t>
  </si>
  <si>
    <t>energy</t>
  </si>
  <si>
    <t>food nu</t>
  </si>
  <si>
    <t xml:space="preserve">food </t>
  </si>
  <si>
    <t>Core Skill Comments</t>
  </si>
  <si>
    <t>Mage: Enchanter</t>
  </si>
  <si>
    <r>
      <t>Chivalry &amp; Sorcery</t>
    </r>
    <r>
      <rPr>
        <b/>
        <sz val="16"/>
        <rFont val="Symbol"/>
        <family val="1"/>
        <charset val="2"/>
      </rPr>
      <t>Ô</t>
    </r>
    <r>
      <rPr>
        <b/>
        <sz val="16"/>
        <rFont val="Times New Roman"/>
        <family val="1"/>
      </rPr>
      <t>Character Armor Matrix</t>
    </r>
  </si>
  <si>
    <t>Gold &amp; Silversmithing</t>
  </si>
  <si>
    <t>Gem Cutting</t>
  </si>
  <si>
    <t>Weave Rope</t>
  </si>
  <si>
    <t>Chk</t>
  </si>
  <si>
    <t>Assassin</t>
  </si>
  <si>
    <t>Arts &amp; Entertainment Skills</t>
  </si>
  <si>
    <t>Acting</t>
  </si>
  <si>
    <t>Costuming</t>
  </si>
  <si>
    <t>INT+DISC</t>
  </si>
  <si>
    <t>Performance</t>
  </si>
  <si>
    <t>Ventriloquism</t>
  </si>
  <si>
    <t>Character Description:</t>
  </si>
  <si>
    <t>Eye Color:</t>
  </si>
  <si>
    <t xml:space="preserve">Hair Feature:          </t>
  </si>
  <si>
    <t>Transgressor</t>
  </si>
  <si>
    <t>Marginal/Lapsed</t>
  </si>
  <si>
    <t>True</t>
  </si>
  <si>
    <t>Devout</t>
  </si>
  <si>
    <t>Greatest Grind Coarse</t>
  </si>
  <si>
    <t>Least Grind Fine</t>
  </si>
  <si>
    <t>Lesser Grind Fine</t>
  </si>
  <si>
    <t>Great Grind Fine</t>
  </si>
  <si>
    <t>Thief: Assassin (Garroting)</t>
  </si>
  <si>
    <t>Thief: Assassin (Knife Thrower)</t>
  </si>
  <si>
    <t>Thief: Assassin (Poisoner)</t>
  </si>
  <si>
    <t>Thief: Beggar</t>
  </si>
  <si>
    <t xml:space="preserve">Thief: Burglar </t>
  </si>
  <si>
    <t>Thief: Cut-Purse</t>
  </si>
  <si>
    <t>Troll: Crafter</t>
  </si>
  <si>
    <t>Troll: Warrior</t>
  </si>
  <si>
    <t>Vocation of the Armourer</t>
  </si>
  <si>
    <t>Arts &amp; Enter.</t>
  </si>
  <si>
    <t>Lore Sci.</t>
  </si>
  <si>
    <t>Materia Mag.</t>
  </si>
  <si>
    <t>Materia Med.</t>
  </si>
  <si>
    <t>Innkeeping</t>
  </si>
  <si>
    <t>Garroting</t>
  </si>
  <si>
    <t>Cost (Avg.)</t>
  </si>
  <si>
    <t>Cost /lb.</t>
  </si>
  <si>
    <t>Primary Belief Information:</t>
  </si>
  <si>
    <t>Learnable</t>
  </si>
  <si>
    <t>Marching Pace</t>
  </si>
  <si>
    <t>Arrow Quiver</t>
  </si>
  <si>
    <t>Bolt Quiver</t>
  </si>
  <si>
    <t>Boar, Average Cut</t>
  </si>
  <si>
    <t>Boar, Cheap Cut</t>
  </si>
  <si>
    <t>Beef, Quality Cut</t>
  </si>
  <si>
    <t>Pork, Quality Cut</t>
  </si>
  <si>
    <t>Hexmaster Sage Bonuses</t>
  </si>
  <si>
    <t>Poorly Aspected?</t>
  </si>
  <si>
    <t>Necromancer Curse</t>
  </si>
  <si>
    <t>Effect</t>
  </si>
  <si>
    <t>Butler</t>
  </si>
  <si>
    <t>Butter Maker</t>
  </si>
  <si>
    <t>Cabin Boy</t>
  </si>
  <si>
    <t>Caddie</t>
  </si>
  <si>
    <t>Camerist</t>
  </si>
  <si>
    <t>Cartographer</t>
  </si>
  <si>
    <t>Chamberlain</t>
  </si>
  <si>
    <t>Chivalry &amp; Sorcery 3rd Edition GameMaster's Handbook</t>
  </si>
  <si>
    <t>Combat Type</t>
  </si>
  <si>
    <t>Racial</t>
  </si>
  <si>
    <t>Specialist</t>
  </si>
  <si>
    <t>Strength of Righteous</t>
  </si>
  <si>
    <t>Chosen Voc.</t>
  </si>
  <si>
    <t>Arcane Armor of the Dragon</t>
  </si>
  <si>
    <t>Arcane Sculpture</t>
  </si>
  <si>
    <t>Greater Walk in Shadows</t>
  </si>
  <si>
    <t>Walk in Shadows</t>
  </si>
  <si>
    <t>Great Walk in Shadows</t>
  </si>
  <si>
    <t>Greater Wizard's Seal (The Keepsake Seal)</t>
  </si>
  <si>
    <t>Least Seal of the Ages</t>
  </si>
  <si>
    <t>Lesser Seal of the Ages</t>
  </si>
  <si>
    <t>Great Seal of the Ages</t>
  </si>
  <si>
    <t xml:space="preserve">Merchant: Silk </t>
  </si>
  <si>
    <t>Merchant: Slave</t>
  </si>
  <si>
    <t xml:space="preserve">Merchant: Spice </t>
  </si>
  <si>
    <t>monk (brother)</t>
  </si>
  <si>
    <t xml:space="preserve">Recharge  </t>
  </si>
  <si>
    <t>Stonemason's Hammer</t>
  </si>
  <si>
    <t>Throwing Irons</t>
  </si>
  <si>
    <t xml:space="preserve">Throwing Objects </t>
  </si>
  <si>
    <t>Two Weapon Fighting</t>
  </si>
  <si>
    <t>Djinn Creation</t>
  </si>
  <si>
    <t>Can Wield Advanced Magick?</t>
  </si>
  <si>
    <t>Can Learn Advanced Magick?</t>
  </si>
  <si>
    <t>Bold</t>
  </si>
  <si>
    <t>Stout-Hearted</t>
  </si>
  <si>
    <t>Courageous</t>
  </si>
  <si>
    <t>Resolute</t>
  </si>
  <si>
    <t>Dauntless</t>
  </si>
  <si>
    <t>Valiant</t>
  </si>
  <si>
    <t>Orphidophobia</t>
  </si>
  <si>
    <t>Photophobia</t>
  </si>
  <si>
    <t>Thanophobia</t>
  </si>
  <si>
    <t>Lesser Circle of Protection vs Beasts</t>
  </si>
  <si>
    <t>Lesser Circle of Protection vs Basick Magick - Air</t>
  </si>
  <si>
    <t>Lesser Circle of Protection vs Basick Magick - Water</t>
  </si>
  <si>
    <t>Lesser Circle of Protection vs Basick Magick - Earth</t>
  </si>
  <si>
    <t>Wild Game: Fresh Meat</t>
  </si>
  <si>
    <t>Available?</t>
  </si>
  <si>
    <t>Chivalry &amp; Sorcery: The Rebirth-Game Master's Toolkit Vols 1, 2, 3, 4, &amp; 5</t>
  </si>
  <si>
    <t>PCAPW:</t>
  </si>
  <si>
    <t>PCAPD:</t>
  </si>
  <si>
    <r>
      <t>Total Rest</t>
    </r>
    <r>
      <rPr>
        <sz val="8"/>
        <rFont val="Times New Roman"/>
        <family val="1"/>
      </rPr>
      <t>:</t>
    </r>
  </si>
  <si>
    <t>Greater Earth's Cell</t>
  </si>
  <si>
    <t>Levitation</t>
  </si>
  <si>
    <t>Sleep of the Dead</t>
  </si>
  <si>
    <t>Trance</t>
  </si>
  <si>
    <t>~</t>
  </si>
  <si>
    <t>Animal Skills</t>
  </si>
  <si>
    <t xml:space="preserve">Relationship Between Magick &amp; the World </t>
  </si>
  <si>
    <t>Rune Carving in Stone</t>
  </si>
  <si>
    <t>Rune Carving in Wood</t>
  </si>
  <si>
    <t># of Medicines/Day</t>
  </si>
  <si>
    <t>Cauterizing &amp; Staunching Wounds</t>
  </si>
  <si>
    <t>Meditative Healing</t>
  </si>
  <si>
    <t>Meditative Fasting</t>
  </si>
  <si>
    <t>Task Meditation</t>
  </si>
  <si>
    <t>Body Every 3 Days</t>
  </si>
  <si>
    <t>Days</t>
  </si>
  <si>
    <t>Total Benefit =</t>
  </si>
  <si>
    <t>Urban Setting?</t>
  </si>
  <si>
    <t>Number of Animal Types?</t>
  </si>
  <si>
    <t>Non-Urban Settings?</t>
  </si>
  <si>
    <t>Missile Arms</t>
  </si>
  <si>
    <t>Shield Type (Bash Dam.)</t>
  </si>
  <si>
    <t>Leather/Fur Tunic</t>
  </si>
  <si>
    <t>Ringmail Cuirass</t>
  </si>
  <si>
    <t>Infantry Boots</t>
  </si>
  <si>
    <t>Good Cheese</t>
  </si>
  <si>
    <t>Greatest  Summon Object</t>
  </si>
  <si>
    <t xml:space="preserve">Greater Bind the Undead into a Container </t>
  </si>
  <si>
    <t xml:space="preserve">Bind Ghoul into a Container </t>
  </si>
  <si>
    <t xml:space="preserve">Greater Bind Ghoul into a Container </t>
  </si>
  <si>
    <t>Bind the Greater Undead  into a Container</t>
  </si>
  <si>
    <t xml:space="preserve">Greater Bind the Greater Undead into a Container </t>
  </si>
  <si>
    <r>
      <t>Set up any special abilities, defects or disadvantages on the "</t>
    </r>
    <r>
      <rPr>
        <b/>
        <sz val="8"/>
        <rFont val="Arial"/>
        <family val="2"/>
      </rPr>
      <t>SA&amp;DD</t>
    </r>
    <r>
      <rPr>
        <sz val="8"/>
        <rFont val="Arial"/>
        <family val="2"/>
      </rPr>
      <t xml:space="preserve">" worksheet. </t>
    </r>
  </si>
  <si>
    <t xml:space="preserve">Printer Formatting Notes - </t>
  </si>
  <si>
    <t>Mage: Hex Master/Mistress - Sage</t>
  </si>
  <si>
    <t>Mage: Hex Master/Mistress - Wizard</t>
  </si>
  <si>
    <t>Skin Texture:</t>
  </si>
  <si>
    <t>Chainmail Cuirass</t>
  </si>
  <si>
    <t>Priestly Mage?</t>
  </si>
  <si>
    <t>Hand Carry</t>
  </si>
  <si>
    <t>Oxen</t>
  </si>
  <si>
    <t>Poor Senses - Smell</t>
  </si>
  <si>
    <t>Poor Senses - Taste</t>
  </si>
  <si>
    <t>Poor Senses - Touch</t>
  </si>
  <si>
    <t>Smell</t>
  </si>
  <si>
    <t>Taste</t>
  </si>
  <si>
    <t>Touch</t>
  </si>
  <si>
    <t>ALERTNESS-SMELL</t>
  </si>
  <si>
    <t>ALERTNESS-TASTE</t>
  </si>
  <si>
    <t>ALERTNESS-TOUCH</t>
  </si>
  <si>
    <t>TSC</t>
  </si>
  <si>
    <t>Agricultural Skills</t>
  </si>
  <si>
    <t>Field Crops</t>
  </si>
  <si>
    <t>.25" margins</t>
  </si>
  <si>
    <t>top</t>
  </si>
  <si>
    <t>bottom</t>
  </si>
  <si>
    <t>right</t>
  </si>
  <si>
    <t>left</t>
  </si>
  <si>
    <t>.15" footer</t>
  </si>
  <si>
    <t>.00" header</t>
  </si>
  <si>
    <t>Armor Worn</t>
  </si>
  <si>
    <t>Face/Body Marks</t>
  </si>
  <si>
    <t>Weapon</t>
  </si>
  <si>
    <t>Miss.</t>
  </si>
  <si>
    <t>Damage Type Protection</t>
  </si>
  <si>
    <t>crush</t>
  </si>
  <si>
    <t>pierce</t>
  </si>
  <si>
    <t>Energy</t>
  </si>
  <si>
    <t>Bare Head</t>
  </si>
  <si>
    <t>Cloth Hood</t>
  </si>
  <si>
    <t>----</t>
  </si>
  <si>
    <t>Flesh</t>
  </si>
  <si>
    <t xml:space="preserve">Cloth </t>
  </si>
  <si>
    <t>Animal Hide</t>
  </si>
  <si>
    <t>Stone Bullets</t>
  </si>
  <si>
    <t>Detect Injury</t>
  </si>
  <si>
    <t>TSC%</t>
  </si>
  <si>
    <t>Total Weight</t>
  </si>
  <si>
    <t>Tatooing</t>
  </si>
  <si>
    <r>
      <t>The "</t>
    </r>
    <r>
      <rPr>
        <b/>
        <sz val="8"/>
        <rFont val="Arial"/>
        <family val="2"/>
      </rPr>
      <t>Skills</t>
    </r>
    <r>
      <rPr>
        <sz val="8"/>
        <rFont val="Arial"/>
        <family val="2"/>
      </rPr>
      <t xml:space="preserve">" worksheet is where </t>
    </r>
    <r>
      <rPr>
        <b/>
        <sz val="8"/>
        <rFont val="Arial"/>
        <family val="2"/>
      </rPr>
      <t>all</t>
    </r>
    <r>
      <rPr>
        <sz val="8"/>
        <rFont val="Arial"/>
        <family val="2"/>
      </rPr>
      <t xml:space="preserve"> of the character's skills are </t>
    </r>
    <r>
      <rPr>
        <b/>
        <sz val="8"/>
        <rFont val="Arial"/>
        <family val="2"/>
      </rPr>
      <t>detailed</t>
    </r>
    <r>
      <rPr>
        <sz val="8"/>
        <rFont val="Arial"/>
        <family val="2"/>
      </rPr>
      <t xml:space="preserve">. Skill titles in italics are </t>
    </r>
    <r>
      <rPr>
        <i/>
        <sz val="8"/>
        <rFont val="Arial"/>
        <family val="2"/>
      </rPr>
      <t>not</t>
    </r>
    <r>
      <rPr>
        <sz val="8"/>
        <rFont val="Arial"/>
        <family val="2"/>
      </rPr>
      <t xml:space="preserve"> found in either Core Rules or Magicks &amp; Miracles.</t>
    </r>
  </si>
  <si>
    <t>Snake Breeding</t>
  </si>
  <si>
    <t>Animal Performance</t>
  </si>
  <si>
    <t>Bullfighting</t>
  </si>
  <si>
    <t>Bull</t>
  </si>
  <si>
    <t>Slashing Swords</t>
  </si>
  <si>
    <t>Great Swords</t>
  </si>
  <si>
    <t>War Axes</t>
  </si>
  <si>
    <t>Thaumaturge</t>
  </si>
  <si>
    <t>Mathematics</t>
  </si>
  <si>
    <t>Local Overseer</t>
  </si>
  <si>
    <t>True Elves</t>
  </si>
  <si>
    <t>Feudal Overseer</t>
  </si>
  <si>
    <t>Senior Feudal Overseer</t>
  </si>
  <si>
    <t>Lore Master</t>
  </si>
  <si>
    <t>Pure Blood</t>
  </si>
  <si>
    <t>Castle Armourer</t>
  </si>
  <si>
    <t>Minor Craftsman</t>
  </si>
  <si>
    <t>Mercenary Seargeant</t>
  </si>
  <si>
    <t>Goat Herder</t>
  </si>
  <si>
    <t>Builder</t>
  </si>
  <si>
    <t>Sculptor</t>
  </si>
  <si>
    <t>Scholar/Historian</t>
  </si>
  <si>
    <t>Acrobatics</t>
  </si>
  <si>
    <t>Puppetry</t>
  </si>
  <si>
    <t>Tumbling</t>
  </si>
  <si>
    <t>Blow Gun</t>
  </si>
  <si>
    <t xml:space="preserve">Hurling Axes </t>
  </si>
  <si>
    <t xml:space="preserve">Hurling Javelins </t>
  </si>
  <si>
    <t xml:space="preserve">Knife &amp; Dagger Fighting </t>
  </si>
  <si>
    <t>Riding a War Horse</t>
  </si>
  <si>
    <t xml:space="preserve">Throwing Knives </t>
  </si>
  <si>
    <t>8+5</t>
  </si>
  <si>
    <t>6+3</t>
  </si>
  <si>
    <t>5+2</t>
  </si>
  <si>
    <t>3+1</t>
  </si>
  <si>
    <t>6+1</t>
  </si>
  <si>
    <t>7+2</t>
  </si>
  <si>
    <t>8+2</t>
  </si>
  <si>
    <t>9+3</t>
  </si>
  <si>
    <t>10+7</t>
  </si>
  <si>
    <t>11+5</t>
  </si>
  <si>
    <t>13+4</t>
  </si>
  <si>
    <t>Mercenary Crossbowman</t>
  </si>
  <si>
    <t>Master Glassblower</t>
  </si>
  <si>
    <t>Glassblower</t>
  </si>
  <si>
    <t>Master Potter</t>
  </si>
  <si>
    <t>Rough</t>
  </si>
  <si>
    <t>Pitted</t>
  </si>
  <si>
    <t>Lesser Circle of Protection vs Good</t>
  </si>
  <si>
    <t>Interrogation</t>
  </si>
  <si>
    <t>Seduction</t>
  </si>
  <si>
    <t>Double-Quick</t>
  </si>
  <si>
    <t>Derived Attributes:</t>
  </si>
  <si>
    <t>Priestly Mage: Orphic Priestly Mage</t>
  </si>
  <si>
    <t>Priestly Mage: Shaman</t>
  </si>
  <si>
    <t>Priestly Mage: Troll: Shamaness</t>
  </si>
  <si>
    <t>Priestly Mage: Troll: Witch</t>
  </si>
  <si>
    <t>Priestly Mage: Witch</t>
  </si>
  <si>
    <t>Recorder</t>
  </si>
  <si>
    <t>Royal Page</t>
  </si>
  <si>
    <t>Sawyer</t>
  </si>
  <si>
    <t>Scientific Scholar</t>
  </si>
  <si>
    <t>Sheriff</t>
  </si>
  <si>
    <t>Greater Touch of Ice (The Ice Queen's Revenge)</t>
  </si>
  <si>
    <t>Attract</t>
  </si>
  <si>
    <t>Lesser Calm</t>
  </si>
  <si>
    <t>Att. Bonus</t>
  </si>
  <si>
    <t>Magick Skill Name</t>
  </si>
  <si>
    <t>Lesser Ward of Protection vs Illusion</t>
  </si>
  <si>
    <t>Lesser Ward of Protection vs Plant</t>
  </si>
  <si>
    <t>Lesser Ward of Protection vs Transcendental</t>
  </si>
  <si>
    <t>Lesser Ward of Protection vs Transmutational</t>
  </si>
  <si>
    <t>Walking Speed</t>
  </si>
  <si>
    <t>at</t>
  </si>
  <si>
    <t>fp/hr</t>
  </si>
  <si>
    <t>Mount Provided?</t>
  </si>
  <si>
    <t>Absolute STR Rating:</t>
  </si>
  <si>
    <t xml:space="preserve">  Experience</t>
  </si>
  <si>
    <t xml:space="preserve">  Base</t>
  </si>
  <si>
    <t>1-25%</t>
  </si>
  <si>
    <t>26-50%</t>
  </si>
  <si>
    <t>51%+</t>
  </si>
  <si>
    <t>study</t>
  </si>
  <si>
    <t>max %</t>
  </si>
  <si>
    <t>Curr PSF%</t>
  </si>
  <si>
    <t>SKILLS</t>
  </si>
  <si>
    <t>Cooking &amp; Innkeeping Skills</t>
  </si>
  <si>
    <t>Lore Historical Skills</t>
  </si>
  <si>
    <t>Dogs snarl &amp; bark when you approach</t>
  </si>
  <si>
    <t>Atlatl</t>
  </si>
  <si>
    <t>Infantry Naptha Thrower</t>
  </si>
  <si>
    <t>If this law is known, Mages can trade 1 FP for the ability to increase or reduce by 1 ML the effects of a spell</t>
  </si>
  <si>
    <t xml:space="preserve">The Mage gains a bonus of +5% to targeting with Command Spells. </t>
  </si>
  <si>
    <t xml:space="preserve">The Mage gains a bonus of +10% to targeting Individuals </t>
  </si>
  <si>
    <t>Hindsight</t>
  </si>
  <si>
    <t>Greater Hindsight</t>
  </si>
  <si>
    <t>Least Foresight</t>
  </si>
  <si>
    <t>Greater Calm</t>
  </si>
  <si>
    <t>Attention</t>
  </si>
  <si>
    <t>Oblivious</t>
  </si>
  <si>
    <t>Repel</t>
  </si>
  <si>
    <t>Detect Disease</t>
  </si>
  <si>
    <t>Charm Small Predator</t>
  </si>
  <si>
    <t>Charm Large Predator</t>
  </si>
  <si>
    <t>Charm Person</t>
  </si>
  <si>
    <t>Greater Charm Person</t>
  </si>
  <si>
    <t>Mass Charm</t>
  </si>
  <si>
    <t>Hold Small Animal</t>
  </si>
  <si>
    <t>Cure Disease</t>
  </si>
  <si>
    <t>Cure Blindness</t>
  </si>
  <si>
    <t>Cure Deafness</t>
  </si>
  <si>
    <t>Restore Use of Limb</t>
  </si>
  <si>
    <t>Rude</t>
  </si>
  <si>
    <t>Paranoid</t>
  </si>
  <si>
    <t>Pessimistic</t>
  </si>
  <si>
    <t>Slovenly</t>
  </si>
  <si>
    <t>Heavy Rock Drill</t>
  </si>
  <si>
    <t>Mason's Trowel</t>
  </si>
  <si>
    <t>Mason's Hod</t>
  </si>
  <si>
    <t>The Great Transformation</t>
  </si>
  <si>
    <t>Total Missile</t>
  </si>
  <si>
    <t xml:space="preserve"> Weight</t>
  </si>
  <si>
    <t>Average Daily Income</t>
  </si>
  <si>
    <t>Average Monthly Income</t>
  </si>
  <si>
    <t>Average Yearly Income</t>
  </si>
  <si>
    <t>Father's Income</t>
  </si>
  <si>
    <t>letter to ride</t>
  </si>
  <si>
    <t>Crock, Glass (10 Gal.)</t>
  </si>
  <si>
    <t>Crock, Glass (5 Gal.)</t>
  </si>
  <si>
    <t>Crock, Porcelain (10 Gal.)</t>
  </si>
  <si>
    <t>Crock, Porcelain (5 Gal.)</t>
  </si>
  <si>
    <t>Crock, Pottery (10 Gal.)</t>
  </si>
  <si>
    <t>Crock, Pottery (5 Gal.)</t>
  </si>
  <si>
    <t>Crock, Silvered (10 Gal.)</t>
  </si>
  <si>
    <t>Crock, Silvered (5 Gal.)</t>
  </si>
  <si>
    <t>Crock, Sterling Silver (10 Gal.)</t>
  </si>
  <si>
    <t>Crock, Sterling Silver (5 Gal.)</t>
  </si>
  <si>
    <t>Noble Skills</t>
  </si>
  <si>
    <t>Courtly Love</t>
  </si>
  <si>
    <t>Courtly Manners</t>
  </si>
  <si>
    <t>Heraldry</t>
  </si>
  <si>
    <t>Outdoor Skills</t>
  </si>
  <si>
    <t>Zodiac/House/Clan Skills</t>
  </si>
  <si>
    <t>Beginning Skills</t>
  </si>
  <si>
    <t>Armourer's Companion</t>
  </si>
  <si>
    <t>Dwarves' Companion</t>
  </si>
  <si>
    <t>Elves' Companion</t>
  </si>
  <si>
    <t>Knight's Companion</t>
  </si>
  <si>
    <t>aylinn@mysticstation.com</t>
  </si>
  <si>
    <t>Are Horoscopes used?</t>
  </si>
  <si>
    <t>3' 6"</t>
  </si>
  <si>
    <t>3' 7"</t>
  </si>
  <si>
    <t>3' 8"</t>
  </si>
  <si>
    <t>Screen resolution is best set @1024x768 or higher</t>
  </si>
  <si>
    <t>Aptitude</t>
  </si>
  <si>
    <t>3' 9"</t>
  </si>
  <si>
    <t>4+1</t>
  </si>
  <si>
    <t>6+2</t>
  </si>
  <si>
    <t>Create Water</t>
  </si>
  <si>
    <t>Paint (1 Gal.) Yellow</t>
  </si>
  <si>
    <t>Paint (1 Gal.) White wash</t>
  </si>
  <si>
    <t>Paint (1 Gal.) Blue</t>
  </si>
  <si>
    <t>Paint (1 Gal.) Purple</t>
  </si>
  <si>
    <t>Waterskin (1/4 Gal.)</t>
  </si>
  <si>
    <t>Waterskin (1/2 Gal.)</t>
  </si>
  <si>
    <t>DISCIPLINE</t>
  </si>
  <si>
    <t>Command Natural Fire</t>
  </si>
  <si>
    <t>Create Magick Fire</t>
  </si>
  <si>
    <t>Command Magick Fire</t>
  </si>
  <si>
    <t>Create Salamander Fire</t>
  </si>
  <si>
    <t>Freehold Farmer</t>
  </si>
  <si>
    <t>Shield Play</t>
  </si>
  <si>
    <t>Wearing Armor</t>
  </si>
  <si>
    <t>Swords</t>
  </si>
  <si>
    <t>Dancing</t>
  </si>
  <si>
    <t>Court</t>
  </si>
  <si>
    <t>Folk</t>
  </si>
  <si>
    <t>Sewing, Embroidering, Knitting</t>
  </si>
  <si>
    <t>Tailoring</t>
  </si>
  <si>
    <t>Cloth Making</t>
  </si>
  <si>
    <t>Dying</t>
  </si>
  <si>
    <t>Spinning &amp; Weaving</t>
  </si>
  <si>
    <t>Geographical Lore</t>
  </si>
  <si>
    <t>Ancient Geographical Lore</t>
  </si>
  <si>
    <t>History &amp; Legend Lore</t>
  </si>
  <si>
    <t>Clothing</t>
  </si>
  <si>
    <t>Detect Plant</t>
  </si>
  <si>
    <t>Detect Crystal</t>
  </si>
  <si>
    <t>Detect Temperature</t>
  </si>
  <si>
    <t>Weather Sense</t>
  </si>
  <si>
    <t>Detect Weather</t>
  </si>
  <si>
    <t>Time Sense</t>
  </si>
  <si>
    <t>Detect Temporal</t>
  </si>
  <si>
    <t>Time Shadow</t>
  </si>
  <si>
    <t>Tot. cost</t>
  </si>
  <si>
    <t>Tot. nu</t>
  </si>
  <si>
    <t>Metalworking Tools</t>
  </si>
  <si>
    <t>Small Tongs</t>
  </si>
  <si>
    <t>Large Tongs</t>
  </si>
  <si>
    <t>The 4 weapon slots on the first page of the Character Sheet assume Melee use of a weapon NOT the thrown use. To display values for Thrown weapons, select the skill on the skill page.</t>
  </si>
  <si>
    <t>Be aware, there are no actual macros or VBA scripts in this document. The reason the system claims there are macros present is due to the pull down menu control boxes.</t>
  </si>
  <si>
    <t>Character Creation &amp; Management Workbook</t>
  </si>
  <si>
    <t>Letters or Documents</t>
  </si>
  <si>
    <t>Weight Carried:</t>
  </si>
  <si>
    <t>Orcish Scimitar</t>
  </si>
  <si>
    <t>Lance</t>
  </si>
  <si>
    <t>1/2</t>
  </si>
  <si>
    <t xml:space="preserve"> </t>
  </si>
  <si>
    <t>Polearms</t>
  </si>
  <si>
    <t>Greatsword (1h)</t>
  </si>
  <si>
    <t>Visions</t>
  </si>
  <si>
    <t>hours</t>
  </si>
  <si>
    <t xml:space="preserve">Crit </t>
  </si>
  <si>
    <t>Varies</t>
  </si>
  <si>
    <t>-1/hr</t>
  </si>
  <si>
    <t>12+</t>
  </si>
  <si>
    <t>NOTES</t>
  </si>
  <si>
    <t>Fatigue Cost/Hour for Load:</t>
  </si>
  <si>
    <t>Jewels:</t>
  </si>
  <si>
    <t>On Hand:</t>
  </si>
  <si>
    <t>Description of Effect</t>
  </si>
  <si>
    <t>Body Recovery Rate Per Day</t>
  </si>
  <si>
    <t>Used</t>
  </si>
  <si>
    <t>Honour Points</t>
  </si>
  <si>
    <t>Sleep for one hour</t>
  </si>
  <si>
    <t>Rest for 10 minutes</t>
  </si>
  <si>
    <t>in Safe Keeping:</t>
  </si>
  <si>
    <t>MAGICK WORKSHEET</t>
  </si>
  <si>
    <t>Charismatic Skills</t>
  </si>
  <si>
    <t>Balance</t>
  </si>
  <si>
    <t>Senses</t>
  </si>
  <si>
    <t>Words of Guard</t>
  </si>
  <si>
    <t>Beast Tongues</t>
  </si>
  <si>
    <t>Entry</t>
  </si>
  <si>
    <t>Column</t>
  </si>
  <si>
    <t>Example</t>
  </si>
  <si>
    <t>Result</t>
  </si>
  <si>
    <t>Manual</t>
  </si>
  <si>
    <t>BKS</t>
  </si>
  <si>
    <t>Examples are shown to the right.</t>
  </si>
  <si>
    <t>+Skills!A151</t>
  </si>
  <si>
    <t>+Skills!X151</t>
  </si>
  <si>
    <t>+Skills!AB151</t>
  </si>
  <si>
    <t>CONSTITUTION</t>
  </si>
  <si>
    <t>Greatest Wave (Tidal wave, Tsunami)</t>
  </si>
  <si>
    <t>Genophobia</t>
  </si>
  <si>
    <t>Gynophobia</t>
  </si>
  <si>
    <t>Heliophobia</t>
  </si>
  <si>
    <t>Hemophobia</t>
  </si>
  <si>
    <t>Heptaphobia</t>
  </si>
  <si>
    <t>ATT</t>
  </si>
  <si>
    <t>BSC</t>
  </si>
  <si>
    <t>Mage Speech (Ancient)</t>
  </si>
  <si>
    <t>until needed.Be aware that you may have to insert blank lines between "pages" to prevent the forms from "walking" on your specific printer.</t>
  </si>
  <si>
    <r>
      <t xml:space="preserve">Everything should be displayed on the </t>
    </r>
    <r>
      <rPr>
        <b/>
        <sz val="7"/>
        <rFont val="Arial"/>
        <family val="2"/>
      </rPr>
      <t>Character Sheet</t>
    </r>
    <r>
      <rPr>
        <sz val="7"/>
        <rFont val="Arial"/>
        <family val="2"/>
      </rPr>
      <t xml:space="preserve"> worksheet. Print this worksheet out for games. It includes basic assistance pages as well.</t>
    </r>
  </si>
  <si>
    <t>Heavy Warhorse</t>
  </si>
  <si>
    <t xml:space="preserve">grazing </t>
  </si>
  <si>
    <t>rich</t>
  </si>
  <si>
    <t>Hyena, Large Dog, Large Mustelid</t>
  </si>
  <si>
    <t>Candelabra, Sterling Silver</t>
  </si>
  <si>
    <t>Candlestick, Sterling Silver</t>
  </si>
  <si>
    <r>
      <t>provided by the armor will decrease by</t>
    </r>
    <r>
      <rPr>
        <b/>
        <sz val="10"/>
        <rFont val="Times New Roman"/>
        <family val="1"/>
      </rPr>
      <t xml:space="preserve"> -2.</t>
    </r>
  </si>
  <si>
    <t>&lt;</t>
  </si>
  <si>
    <t>Use the boxes to the left to track Armor Failures.</t>
  </si>
  <si>
    <t xml:space="preserve">Skin Texture:           </t>
  </si>
  <si>
    <t>Alertness: Smell</t>
  </si>
  <si>
    <t>Phobias:</t>
  </si>
  <si>
    <t xml:space="preserve">Act of Faith </t>
  </si>
  <si>
    <t>Description or Effect</t>
  </si>
  <si>
    <t>Minor Miracle</t>
  </si>
  <si>
    <t>Greater Miracle</t>
  </si>
  <si>
    <t>Jets Of Flame - Magick Fire</t>
  </si>
  <si>
    <t>Jets Of Flame - Salamander Fire</t>
  </si>
  <si>
    <t>Jets Of Flame - Dragon Fire</t>
  </si>
  <si>
    <t>12+3</t>
  </si>
  <si>
    <t>Fire Ball  - Normal Fire</t>
  </si>
  <si>
    <t>Fire Ball  - Magick Fire</t>
  </si>
  <si>
    <t>Gender:</t>
  </si>
  <si>
    <t>Height:</t>
  </si>
  <si>
    <t>Weight:</t>
  </si>
  <si>
    <t>Build:</t>
  </si>
  <si>
    <t>22 correspondences + contained flame</t>
  </si>
  <si>
    <t xml:space="preserve">22 correspondences </t>
  </si>
  <si>
    <t>Theology (Primary)</t>
  </si>
  <si>
    <t>Heal Grievous Wounds</t>
  </si>
  <si>
    <t>Liturgy</t>
  </si>
  <si>
    <t>Scripture</t>
  </si>
  <si>
    <t>Jug/Pot, Silvered (2 Pt.)</t>
  </si>
  <si>
    <t>Jug/Pot, Silvered (4 Pt.)</t>
  </si>
  <si>
    <t>Jug/Pot, Sterling Silver (2 Pt.)</t>
  </si>
  <si>
    <t>Jug/Pot, Sterling Silver (4 Pt.)</t>
  </si>
  <si>
    <t xml:space="preserve">Bench, (2 Person) Pine/Oak </t>
  </si>
  <si>
    <t>Bench, (4 Person) Pine/Oak</t>
  </si>
  <si>
    <t>Pure Cream 1 Pt</t>
  </si>
  <si>
    <t>Vintage Red Wine ( 1 Pt.)</t>
  </si>
  <si>
    <t>Good Red Wine ( 1 Pt.)</t>
  </si>
  <si>
    <t>Vintage White (1 Pt.)</t>
  </si>
  <si>
    <t>Good White (1 Pt.)</t>
  </si>
  <si>
    <t>Average White (1 Pt.)</t>
  </si>
  <si>
    <t>Poor White Wine  (1 Pt.)</t>
  </si>
  <si>
    <t>White Vinegar (1 Pt.)</t>
  </si>
  <si>
    <t>Superb Port (1 Pt.)</t>
  </si>
  <si>
    <t>Average Port (1 Pt.)</t>
  </si>
  <si>
    <t>Liqueur (1 Pt.)</t>
  </si>
  <si>
    <t>Ale ( 1 Pt.)</t>
  </si>
  <si>
    <t>Lager ( 1 Pt.)</t>
  </si>
  <si>
    <t>Canteen (1 Pt.)</t>
  </si>
  <si>
    <t>Lamp Oil (1 Pt. = 96 hr.)</t>
  </si>
  <si>
    <t>Canteen (2 Pt.)</t>
  </si>
  <si>
    <t>Canteen (4 Pt.)</t>
  </si>
  <si>
    <t>Mount Donkey</t>
  </si>
  <si>
    <t>Self</t>
  </si>
  <si>
    <t>Until Met</t>
  </si>
  <si>
    <t>1 Season</t>
  </si>
  <si>
    <t>See Chart</t>
  </si>
  <si>
    <t xml:space="preserve">Agility </t>
  </si>
  <si>
    <t xml:space="preserve">Strength </t>
  </si>
  <si>
    <t>Intellect</t>
  </si>
  <si>
    <t>Wisdom</t>
  </si>
  <si>
    <t>Lamb, Average Cut</t>
  </si>
  <si>
    <t>Mutton, Average Cut</t>
  </si>
  <si>
    <t>Mutton Cheap Cut</t>
  </si>
  <si>
    <t>Runic: Chants</t>
  </si>
  <si>
    <t>Air:</t>
  </si>
  <si>
    <t>Fire:</t>
  </si>
  <si>
    <t>Water:</t>
  </si>
  <si>
    <t xml:space="preserve">Arcane </t>
  </si>
  <si>
    <t>Bow</t>
  </si>
  <si>
    <t>Forge</t>
  </si>
  <si>
    <t>Runic: Carve in Stone</t>
  </si>
  <si>
    <t>Runic: Carve in Wood</t>
  </si>
  <si>
    <t>Magick</t>
  </si>
  <si>
    <t>Astrologer Mage</t>
  </si>
  <si>
    <t>Artificer: Jewelsmith</t>
  </si>
  <si>
    <t>Lesser Circle of Protection vs Command</t>
  </si>
  <si>
    <t>Lesser Circle of Protection vs Divination</t>
  </si>
  <si>
    <t>Move with the Mind</t>
  </si>
  <si>
    <t>Awaken</t>
  </si>
  <si>
    <t>Greater Awaken</t>
  </si>
  <si>
    <t>Area Awaken</t>
  </si>
  <si>
    <t>Greater Area Awaken</t>
  </si>
  <si>
    <t>Enchanted Awaken</t>
  </si>
  <si>
    <t>Awaken from the Ages</t>
  </si>
  <si>
    <t>Astrology</t>
  </si>
  <si>
    <t>Scrying</t>
  </si>
  <si>
    <t>Other</t>
  </si>
  <si>
    <t>Comments / Notes</t>
  </si>
  <si>
    <t>Baking Pastries &amp; Making Desserts</t>
  </si>
  <si>
    <t>Russian</t>
  </si>
  <si>
    <t>Russian/Cyrillic</t>
  </si>
  <si>
    <t>Greek (Medieval)</t>
  </si>
  <si>
    <t>Piscan</t>
  </si>
  <si>
    <t>Fruit Crops</t>
  </si>
  <si>
    <t>Camp Cooking</t>
  </si>
  <si>
    <t>Lesser Circle of Protection vs Illusion</t>
  </si>
  <si>
    <t>Z101</t>
  </si>
  <si>
    <t>AA101</t>
  </si>
  <si>
    <t>AB101</t>
  </si>
  <si>
    <t>Large Mustelid</t>
  </si>
  <si>
    <t>Large Hunting Cat</t>
  </si>
  <si>
    <t>Compel Silence</t>
  </si>
  <si>
    <t>Earth Meld</t>
  </si>
  <si>
    <t>Child of Durin</t>
  </si>
  <si>
    <t>Until dispelled</t>
  </si>
  <si>
    <t>Until released</t>
  </si>
  <si>
    <t>Alertness: Taste</t>
  </si>
  <si>
    <t>Alertness: Touch</t>
  </si>
  <si>
    <t>Social Status Charts</t>
  </si>
  <si>
    <t>Join Items</t>
  </si>
  <si>
    <t>*Please note - these sheets break the field</t>
  </si>
  <si>
    <t>*Also note - Information for certain characteristics</t>
  </si>
  <si>
    <t>Currently, the print area is set for the 10 pages on the lefthand side only.</t>
  </si>
  <si>
    <t>To print the righthand side sheets, set the print area to print columns AF through BI or BK through CN for the relevant row sections.</t>
  </si>
  <si>
    <t>but there are some spacing issues &amp; formatting quirks. I recommend printing them on blank paper. They are "grouped" so as not to display</t>
  </si>
  <si>
    <t xml:space="preserve">However, if you wish to pull the values from the Skills </t>
  </si>
  <si>
    <t>Basically, the formula is +Skills!Xxxx</t>
  </si>
  <si>
    <t>where X = the column listed in the chart,</t>
  </si>
  <si>
    <t>and xxx = the row number of the skill on the</t>
  </si>
  <si>
    <t>Be aware, the Crit column on the Character Sheet Character Skill page comes from the actual Skills calculation &amp; does not include any weapon or tool modifiers</t>
  </si>
  <si>
    <t>This sheet is here to help you track armor related values</t>
  </si>
  <si>
    <t>Crock, Silvered (2.5 Gal.)</t>
  </si>
  <si>
    <t>Fresh Peapods</t>
  </si>
  <si>
    <t>Fresh Wild Mushrooms</t>
  </si>
  <si>
    <t>Fresh Cooking Herbs</t>
  </si>
  <si>
    <t>Whole Wheat Flour</t>
  </si>
  <si>
    <t>White Wheat Flour</t>
  </si>
  <si>
    <t>Oat Meal</t>
  </si>
  <si>
    <t>Baking Powder</t>
  </si>
  <si>
    <t>White Rolls (x12)</t>
  </si>
  <si>
    <t>Whole Wheat Bread</t>
  </si>
  <si>
    <t>Assorted Pastries (x6)</t>
  </si>
  <si>
    <t>Fruit Pie</t>
  </si>
  <si>
    <t>Fine Mead</t>
  </si>
  <si>
    <t>Good Mead</t>
  </si>
  <si>
    <t>Vial, Glass (1 fl oz)</t>
  </si>
  <si>
    <t>Vial, Glass (8 fl oz)</t>
  </si>
  <si>
    <t>Vial, Pottery (1 fl oz)</t>
  </si>
  <si>
    <t>Vial, Pottery (8 fl oz)</t>
  </si>
  <si>
    <t>Candleholder, Pottery</t>
  </si>
  <si>
    <t>Vial, Porcelain (1 fl oz)</t>
  </si>
  <si>
    <t>Vial, Porcelain (8 fl oz)</t>
  </si>
  <si>
    <t>Candleholder, Pewter</t>
  </si>
  <si>
    <t>Success with a Mastery skill</t>
  </si>
  <si>
    <t>Successful Spell</t>
  </si>
  <si>
    <t>+2 points of protection</t>
  </si>
  <si>
    <t>+13% Fear Modifier</t>
  </si>
  <si>
    <t>+1 point protection</t>
  </si>
  <si>
    <t>+4 points of damage</t>
  </si>
  <si>
    <t>+2 to Crit</t>
  </si>
  <si>
    <t>+6% bonus to Athletic skills</t>
  </si>
  <si>
    <t>+27% to Swimming</t>
  </si>
  <si>
    <t>+1 to Crit</t>
  </si>
  <si>
    <t>+1 point damage vs Unseelie</t>
  </si>
  <si>
    <t>+2 points damage vs Undead/Spirits</t>
  </si>
  <si>
    <t>Hermit Ascetic</t>
  </si>
  <si>
    <t>Hermit Simple</t>
  </si>
  <si>
    <t>Astrologer</t>
  </si>
  <si>
    <t>Repetition</t>
  </si>
  <si>
    <t>Focus Stone</t>
  </si>
  <si>
    <t>22 correspondences + 1lbs gold/silver neck ring</t>
  </si>
  <si>
    <t xml:space="preserve">11 correspondences </t>
  </si>
  <si>
    <t>sacred place</t>
  </si>
  <si>
    <t>Social Status:</t>
  </si>
  <si>
    <t>Belief:</t>
  </si>
  <si>
    <t>Attributes:</t>
  </si>
  <si>
    <t>ML:</t>
  </si>
  <si>
    <t>PMF:</t>
  </si>
  <si>
    <t>PFF:</t>
  </si>
  <si>
    <t>Resist Disease:</t>
  </si>
  <si>
    <t>Brawling</t>
  </si>
  <si>
    <t>Faith</t>
  </si>
  <si>
    <t>Curses:</t>
  </si>
  <si>
    <t>Experience Points</t>
  </si>
  <si>
    <t>D. Arm. Mage</t>
  </si>
  <si>
    <t>D. Hexmaster</t>
  </si>
  <si>
    <t>D. Weapon Mage</t>
  </si>
  <si>
    <t>E. Bowyer Mage</t>
  </si>
  <si>
    <t>Enchanter</t>
  </si>
  <si>
    <t>E. Warden Mage</t>
  </si>
  <si>
    <t>Garden</t>
  </si>
  <si>
    <t>hex sage</t>
  </si>
  <si>
    <t>M. Arm mage</t>
  </si>
  <si>
    <t>Math</t>
  </si>
  <si>
    <t>Power word</t>
  </si>
  <si>
    <t>Unused Exp:</t>
  </si>
  <si>
    <t>Effective</t>
  </si>
  <si>
    <t>Phase</t>
  </si>
  <si>
    <t>Teleport (Lesser)</t>
  </si>
  <si>
    <t>Teleport (Greater)</t>
  </si>
  <si>
    <t>Teleportal</t>
  </si>
  <si>
    <t>Detect Supernatural</t>
  </si>
  <si>
    <t>Crafts &amp; Trades Skills</t>
  </si>
  <si>
    <r>
      <t xml:space="preserve">Skills &amp; Spells transferring to the </t>
    </r>
    <r>
      <rPr>
        <b/>
        <i/>
        <sz val="7"/>
        <rFont val="Arial"/>
        <family val="2"/>
      </rPr>
      <t xml:space="preserve">Character Sheet </t>
    </r>
    <r>
      <rPr>
        <i/>
        <sz val="7"/>
        <rFont val="Arial"/>
        <family val="2"/>
      </rPr>
      <t>are limited due to space - There are 2 blank sheets printable for notes</t>
    </r>
  </si>
  <si>
    <r>
      <t>The "</t>
    </r>
    <r>
      <rPr>
        <b/>
        <sz val="8"/>
        <rFont val="Arial"/>
        <family val="2"/>
      </rPr>
      <t>Faith&amp;AOF</t>
    </r>
    <r>
      <rPr>
        <sz val="8"/>
        <rFont val="Arial"/>
        <family val="2"/>
      </rPr>
      <t>" worksheet details religious information.</t>
    </r>
  </si>
  <si>
    <t>Hv. X-bow Bolts</t>
  </si>
  <si>
    <t>Longbow (War)</t>
  </si>
  <si>
    <t>Longbow (Hunting)</t>
  </si>
  <si>
    <t>Elvish Longbow (Hunting)</t>
  </si>
  <si>
    <t>Composite Bow</t>
  </si>
  <si>
    <t>Longbow (A.P.)</t>
  </si>
  <si>
    <t>Ale Taster</t>
  </si>
  <si>
    <t>Apiarian</t>
  </si>
  <si>
    <t>Artificer</t>
  </si>
  <si>
    <t>Atilliator</t>
  </si>
  <si>
    <t>Avenator</t>
  </si>
  <si>
    <t>Equine</t>
  </si>
  <si>
    <t>Bovine</t>
  </si>
  <si>
    <t>Materia Theologica</t>
  </si>
  <si>
    <t>PTY×2</t>
  </si>
  <si>
    <t>Theology</t>
  </si>
  <si>
    <t>Blacksmithing</t>
  </si>
  <si>
    <t>Foundryman: Smelting &amp; Casting</t>
  </si>
  <si>
    <t>Grey</t>
  </si>
  <si>
    <t>Pink</t>
  </si>
  <si>
    <t>Summon Least Spirit</t>
  </si>
  <si>
    <t>Summon Imp</t>
  </si>
  <si>
    <t>large rural</t>
  </si>
  <si>
    <t>very large rural</t>
  </si>
  <si>
    <t>small town</t>
  </si>
  <si>
    <t>typical town</t>
  </si>
  <si>
    <t>large town</t>
  </si>
  <si>
    <t>very large town</t>
  </si>
  <si>
    <t>home</t>
  </si>
  <si>
    <t>travel</t>
  </si>
  <si>
    <t>Weekly Congregational Belief Pool</t>
  </si>
  <si>
    <t>Cathedral Church</t>
  </si>
  <si>
    <t>Deftness</t>
  </si>
  <si>
    <t>Max. Deftness</t>
  </si>
  <si>
    <t>Curr. Max BAP</t>
  </si>
  <si>
    <t>Concert</t>
  </si>
  <si>
    <t>Locksmithing</t>
  </si>
  <si>
    <t>Mechanical Lore</t>
  </si>
  <si>
    <t>Magnetic Lore (Lore of Magnetism)</t>
  </si>
  <si>
    <t>Scientific Research (Research Methods of Understanding )</t>
  </si>
  <si>
    <t>Thermodynamic Lore (Lore of Thermodynamics)</t>
  </si>
  <si>
    <t>Fluid Lore (Lore of Fluids)</t>
  </si>
  <si>
    <t>Shadow Arrows (Mana Darts)</t>
  </si>
  <si>
    <t>Torch, Pitch (4 hr.)</t>
  </si>
  <si>
    <t>Iron Frying Pan (Large)</t>
  </si>
  <si>
    <t>Iron Frying Pan (Small)</t>
  </si>
  <si>
    <t>Total  Cost</t>
  </si>
  <si>
    <t>Basic Gear</t>
  </si>
  <si>
    <t>FOOD</t>
  </si>
  <si>
    <t>Vial, Sterling Silver (8 fl oz)</t>
  </si>
  <si>
    <t>Vial, Sterling Silver (1 fl oz)</t>
  </si>
  <si>
    <t>Candelabra, Silvered</t>
  </si>
  <si>
    <t>Bon.</t>
  </si>
  <si>
    <t>Attack</t>
  </si>
  <si>
    <t>Pole</t>
  </si>
  <si>
    <t xml:space="preserve">I recommend using the pull downs on the left </t>
  </si>
  <si>
    <t xml:space="preserve">to locate the info, then manually enter it in  </t>
  </si>
  <si>
    <t>the blank cells on the right.</t>
  </si>
  <si>
    <r>
      <t xml:space="preserve">Ferocity: </t>
    </r>
    <r>
      <rPr>
        <sz val="10"/>
        <rFont val="Times New Roman"/>
        <family val="1"/>
      </rPr>
      <t xml:space="preserve">           (FER)</t>
    </r>
  </si>
  <si>
    <t>Arcane Rope</t>
  </si>
  <si>
    <t>Arcane Rope of Steel</t>
  </si>
  <si>
    <t>Glass Instruments</t>
  </si>
  <si>
    <t>Hypnosis</t>
  </si>
  <si>
    <t>Psionic Talents</t>
  </si>
  <si>
    <t>Empower Objects</t>
  </si>
  <si>
    <t>Metals</t>
  </si>
  <si>
    <t>Plants</t>
  </si>
  <si>
    <t>Stones</t>
  </si>
  <si>
    <t>Greater Combination</t>
  </si>
  <si>
    <t>Joiner</t>
  </si>
  <si>
    <t>Elementalists:</t>
  </si>
  <si>
    <t>Master of All Elements</t>
  </si>
  <si>
    <t>Dwarven:</t>
  </si>
  <si>
    <t>Armourer Magus</t>
  </si>
  <si>
    <t>Elven:</t>
  </si>
  <si>
    <t>Bowyer Magus</t>
  </si>
  <si>
    <t>Warden Mage</t>
  </si>
  <si>
    <t>Spinner</t>
  </si>
  <si>
    <t>Tarocchi</t>
  </si>
  <si>
    <t>Trained Jumper</t>
  </si>
  <si>
    <t>Braves Fire</t>
  </si>
  <si>
    <t>Braves Dangerous Beasts</t>
  </si>
  <si>
    <t>Carries Only His Master</t>
  </si>
  <si>
    <t>Deliberately Tramples Enemies</t>
  </si>
  <si>
    <t>Rears, Kicks &amp; Bites</t>
  </si>
  <si>
    <t>Bumps Enemy Mounts</t>
  </si>
  <si>
    <t>Charges Stirrup to Stirrup</t>
  </si>
  <si>
    <t>Stands Watch &amp; Gives Warning</t>
  </si>
  <si>
    <t>"Tricks"</t>
  </si>
  <si>
    <t>Diviner</t>
  </si>
  <si>
    <t>Greater Wave</t>
  </si>
  <si>
    <t>Gather Greatest Amount of Arcane Energy</t>
  </si>
  <si>
    <t>18a</t>
  </si>
  <si>
    <t>Base FATIGUE Levels</t>
  </si>
  <si>
    <t>Wolf, Wolverine, Chimp, Baboon</t>
  </si>
  <si>
    <t>Bear, Large Hunting Cat</t>
  </si>
  <si>
    <t>Sprite, Imp</t>
  </si>
  <si>
    <t>Frog</t>
  </si>
  <si>
    <t>Toad</t>
  </si>
  <si>
    <t>Salamander</t>
  </si>
  <si>
    <t>Reptile</t>
  </si>
  <si>
    <t>Viper</t>
  </si>
  <si>
    <t>Mouse</t>
  </si>
  <si>
    <t>Rat</t>
  </si>
  <si>
    <t>Nourish</t>
  </si>
  <si>
    <t>Remove Plant</t>
  </si>
  <si>
    <t>Blessing of Danu (Mother's Protection)</t>
  </si>
  <si>
    <t>min</t>
  </si>
  <si>
    <t>Learn spells</t>
  </si>
  <si>
    <t>Antidote</t>
  </si>
  <si>
    <t>Anti-venom</t>
  </si>
  <si>
    <t>Circles of Binding</t>
  </si>
  <si>
    <t>medium</t>
  </si>
  <si>
    <t>heavy</t>
  </si>
  <si>
    <t>2-hand</t>
  </si>
  <si>
    <t>polearm</t>
  </si>
  <si>
    <t>drop</t>
  </si>
  <si>
    <t>draw light</t>
  </si>
  <si>
    <t>Birth Aspect:</t>
  </si>
  <si>
    <t>Remove Air</t>
  </si>
  <si>
    <t>Concentrate</t>
  </si>
  <si>
    <t>Diffuse</t>
  </si>
  <si>
    <t>Warm/Cool</t>
  </si>
  <si>
    <t>Puff</t>
  </si>
  <si>
    <t>Airwall</t>
  </si>
  <si>
    <t>Airbolt</t>
  </si>
  <si>
    <t>Air Beam</t>
  </si>
  <si>
    <t>Air Ram</t>
  </si>
  <si>
    <t>Dwarven: Explorer</t>
  </si>
  <si>
    <t>Dwarven: Huscarl</t>
  </si>
  <si>
    <t>Dwarven: Merchant</t>
  </si>
  <si>
    <t>Dwarven: Noble (Jarl)</t>
  </si>
  <si>
    <t>Dwarven: Noble (Konung)</t>
  </si>
  <si>
    <t xml:space="preserve">Sunflower </t>
  </si>
  <si>
    <t xml:space="preserve">Frankincense </t>
  </si>
  <si>
    <t xml:space="preserve">Lion </t>
  </si>
  <si>
    <t xml:space="preserve">Salmon </t>
  </si>
  <si>
    <t xml:space="preserve">Sapphire </t>
  </si>
  <si>
    <t xml:space="preserve">Palm </t>
  </si>
  <si>
    <t xml:space="preserve">Horehound </t>
  </si>
  <si>
    <t xml:space="preserve">Wine </t>
  </si>
  <si>
    <t xml:space="preserve">Squirrel </t>
  </si>
  <si>
    <t xml:space="preserve">Bear </t>
  </si>
  <si>
    <t xml:space="preserve">Opal </t>
  </si>
  <si>
    <t>All</t>
  </si>
  <si>
    <t>9*</t>
  </si>
  <si>
    <t xml:space="preserve">Yew </t>
  </si>
  <si>
    <t xml:space="preserve">Mint </t>
  </si>
  <si>
    <t xml:space="preserve">Sap </t>
  </si>
  <si>
    <t xml:space="preserve">Hare </t>
  </si>
  <si>
    <t xml:space="preserve">Dove </t>
  </si>
  <si>
    <t>Carnelian</t>
  </si>
  <si>
    <t xml:space="preserve">Belladonna </t>
  </si>
  <si>
    <t>Armor Type</t>
  </si>
  <si>
    <t>Quilt Surcoat</t>
  </si>
  <si>
    <t>Leather/fur tunic</t>
  </si>
  <si>
    <t>There is a preliminary Dice Roller included in several places - you will have to manually save any values received from it - there is no way to "stabilize" selected values.</t>
  </si>
  <si>
    <t>Creatures for SkillSkape, Vol. 1 &amp; Vol. 3: Mounts</t>
  </si>
  <si>
    <t>= add to Awarded Experience</t>
  </si>
  <si>
    <t>Anesthesia</t>
  </si>
  <si>
    <t>Itch</t>
  </si>
  <si>
    <t xml:space="preserve"> (Adj.)</t>
  </si>
  <si>
    <t>Movement Rate</t>
  </si>
  <si>
    <t>Spell Factors Spent</t>
  </si>
  <si>
    <t>Factors</t>
  </si>
  <si>
    <t>Cultural Lore</t>
  </si>
  <si>
    <t>Aura Lore</t>
  </si>
  <si>
    <t>Hair Color:</t>
  </si>
  <si>
    <t>Finding Herbs</t>
  </si>
  <si>
    <t>Herb Gardening</t>
  </si>
  <si>
    <t>Quantities found in 3-hour search</t>
  </si>
  <si>
    <t>Preserving Herbs</t>
  </si>
  <si>
    <t>Herbal?</t>
  </si>
  <si>
    <t>Colored Chalk Sticks (6)</t>
  </si>
  <si>
    <t>Chalk Sticks (6)</t>
  </si>
  <si>
    <t>Is Character  Ordained?</t>
  </si>
  <si>
    <t>Sceptical</t>
  </si>
  <si>
    <t>Atheist/Apostate</t>
  </si>
  <si>
    <t>Language Lore: Written</t>
  </si>
  <si>
    <t>Robe</t>
  </si>
  <si>
    <t>Jerked Beef</t>
  </si>
  <si>
    <t>Smoked Salmon</t>
  </si>
  <si>
    <t>Spiced Sausage</t>
  </si>
  <si>
    <t>Moving Area of Silence</t>
  </si>
  <si>
    <t>Solidify Mud</t>
  </si>
  <si>
    <t>Walk through Earth (Dirt)</t>
  </si>
  <si>
    <t>Walk through Porous Rock</t>
  </si>
  <si>
    <t>Walk through Dense Rock</t>
  </si>
  <si>
    <t>Plow</t>
  </si>
  <si>
    <t>Harrow</t>
  </si>
  <si>
    <t>Sow</t>
  </si>
  <si>
    <t>Arcane Drawing</t>
  </si>
  <si>
    <t>Arcane Arrowhead</t>
  </si>
  <si>
    <t>Arcane Arrowhead of Greater Damage</t>
  </si>
  <si>
    <t>Arcane Spear Head (Lance Head)</t>
  </si>
  <si>
    <t>Total  Weight</t>
  </si>
  <si>
    <t>Possessions Weight</t>
  </si>
  <si>
    <t>Total Weapons Weight</t>
  </si>
  <si>
    <t>Total Armour Weight</t>
  </si>
  <si>
    <t xml:space="preserve">Light Shields </t>
  </si>
  <si>
    <t>Slings</t>
  </si>
  <si>
    <t xml:space="preserve">Spears </t>
  </si>
  <si>
    <t>Shipowner/Captain</t>
  </si>
  <si>
    <t>Ship's Captain</t>
  </si>
  <si>
    <t>Ship's Mate</t>
  </si>
  <si>
    <t>Master Carpenter</t>
  </si>
  <si>
    <t>Carpenter</t>
  </si>
  <si>
    <t>Cabinetmaker</t>
  </si>
  <si>
    <t>Advanced Magick?</t>
  </si>
  <si>
    <t>Work Boots</t>
  </si>
  <si>
    <t>Riding Boots</t>
  </si>
  <si>
    <t>Behind the Back Dagger Sheath</t>
  </si>
  <si>
    <t>S. Bags (10)</t>
  </si>
  <si>
    <t>dodge total</t>
  </si>
  <si>
    <t>stamina</t>
  </si>
  <si>
    <t>stamina total</t>
  </si>
  <si>
    <t>will</t>
  </si>
  <si>
    <t>will total</t>
  </si>
  <si>
    <t>sight</t>
  </si>
  <si>
    <t>sight total</t>
  </si>
  <si>
    <t>sound</t>
  </si>
  <si>
    <t>sound total</t>
  </si>
  <si>
    <t>smell total</t>
  </si>
  <si>
    <t>smell</t>
  </si>
  <si>
    <t>bite</t>
  </si>
  <si>
    <t>bite total</t>
  </si>
  <si>
    <t>bite damage</t>
  </si>
  <si>
    <t>Transcendental Bonuses</t>
  </si>
  <si>
    <t>Breaking and Entering</t>
  </si>
  <si>
    <t>Catching Objects</t>
  </si>
  <si>
    <t>Aquaculture: Plant</t>
  </si>
  <si>
    <t>Blade Dancer</t>
  </si>
  <si>
    <t>Administer Drugs &amp; Poisons Undetected</t>
  </si>
  <si>
    <t>Magically Forge Armaments</t>
  </si>
  <si>
    <t>Magically Forge Swords</t>
  </si>
  <si>
    <t>Greater Cloak Self</t>
  </si>
  <si>
    <t>Illusionary Landscape</t>
  </si>
  <si>
    <t>Phantasmal Landscape</t>
  </si>
  <si>
    <t>Shadow Lands</t>
  </si>
  <si>
    <t>Shadow Missiles</t>
  </si>
  <si>
    <t>Greater Disguise</t>
  </si>
  <si>
    <t>Vigil</t>
  </si>
  <si>
    <t>Greater Vigil</t>
  </si>
  <si>
    <t>Dream Awareness (Participation)</t>
  </si>
  <si>
    <t>1 hr</t>
  </si>
  <si>
    <t>+2% to +20%</t>
  </si>
  <si>
    <t>24 hrs</t>
  </si>
  <si>
    <t>Reversible - Varies</t>
  </si>
  <si>
    <t>During prayer</t>
  </si>
  <si>
    <t>Target, Rimmed</t>
  </si>
  <si>
    <t>cmbt</t>
  </si>
  <si>
    <t>pff</t>
  </si>
  <si>
    <t>Attributes</t>
  </si>
  <si>
    <t>Strength of Holy</t>
  </si>
  <si>
    <t>7 parts of 22 correspondences + 21 herbs, 7 flowers, 7 essences, 21 parts ea of 13 liquids. Renew annually w/13 parts ea of 13 liquids &amp; 3 parts ea of 22 correspondences</t>
  </si>
  <si>
    <t>22 correspondences + wood</t>
  </si>
  <si>
    <t>locators</t>
  </si>
  <si>
    <t>Create Great Scent</t>
  </si>
  <si>
    <t>Create Greater  Scent</t>
  </si>
  <si>
    <t>Spook</t>
  </si>
  <si>
    <t>Int</t>
  </si>
  <si>
    <t>Weaver Mage</t>
  </si>
  <si>
    <t xml:space="preserve">Druidic </t>
  </si>
  <si>
    <t xml:space="preserve">Orphic Priestly Mage </t>
  </si>
  <si>
    <t>Hermit Archivist</t>
  </si>
  <si>
    <t>Recognise Evil</t>
  </si>
  <si>
    <t>Remove Curse</t>
  </si>
  <si>
    <t>Smite the Godless II</t>
  </si>
  <si>
    <t>Shaman</t>
  </si>
  <si>
    <t>Father's Holding Type:</t>
  </si>
  <si>
    <t>Item</t>
  </si>
  <si>
    <t>Wt.</t>
  </si>
  <si>
    <t>Travelling Gear</t>
  </si>
  <si>
    <t>Bridle &amp; Bit</t>
  </si>
  <si>
    <t>Cost (Fine)</t>
  </si>
  <si>
    <t>Riding Whip</t>
  </si>
  <si>
    <t>Horseshoe</t>
  </si>
  <si>
    <t>Feed Bag</t>
  </si>
  <si>
    <t>Draft Harness</t>
  </si>
  <si>
    <t>Horse Collar</t>
  </si>
  <si>
    <t>Ox Yoke</t>
  </si>
  <si>
    <t>Calligraphy &amp; Illumination</t>
  </si>
  <si>
    <t>AGIL+DISC</t>
  </si>
  <si>
    <t>Juggling</t>
  </si>
  <si>
    <t>Musical Instruments</t>
  </si>
  <si>
    <t>Bagpipes</t>
  </si>
  <si>
    <t>Drums</t>
  </si>
  <si>
    <t>Hair Color</t>
  </si>
  <si>
    <t>Flutes</t>
  </si>
  <si>
    <t>PMF</t>
  </si>
  <si>
    <t>Mage</t>
  </si>
  <si>
    <t>H</t>
  </si>
  <si>
    <t>Skills Sheet</t>
  </si>
  <si>
    <t>Target/Heater, Reinf.</t>
  </si>
  <si>
    <t>Shield, Wicker</t>
  </si>
  <si>
    <t>Shield, Wood</t>
  </si>
  <si>
    <t>Shield, Hide</t>
  </si>
  <si>
    <t>Shield, Rimmed</t>
  </si>
  <si>
    <t>Shield, Reinforced</t>
  </si>
  <si>
    <t>Leather Hood</t>
  </si>
  <si>
    <t>Ringmail Hood</t>
  </si>
  <si>
    <t>Chainmail Coif</t>
  </si>
  <si>
    <t>Cuirbolli Helm</t>
  </si>
  <si>
    <t>Open Bascinet</t>
  </si>
  <si>
    <t>Pot Helm</t>
  </si>
  <si>
    <t>Punch</t>
  </si>
  <si>
    <t>Kick</t>
  </si>
  <si>
    <t>Body Throw</t>
  </si>
  <si>
    <t>Hunting Bolts</t>
  </si>
  <si>
    <t>Saddle</t>
  </si>
  <si>
    <t>Wooden Clogs</t>
  </si>
  <si>
    <t>Lace Bobbins</t>
  </si>
  <si>
    <t>Tapestry Frame</t>
  </si>
  <si>
    <t>Needlepoint Frame</t>
  </si>
  <si>
    <t>Base Targeting</t>
  </si>
  <si>
    <t>Total MR counts</t>
  </si>
  <si>
    <t>base</t>
  </si>
  <si>
    <t>Book Base MR</t>
  </si>
  <si>
    <t>Mode Starting MR</t>
  </si>
  <si>
    <t>Currently Available to Learn?</t>
  </si>
  <si>
    <t>Targeting w/Focus</t>
  </si>
  <si>
    <t>TargetingW/Laws</t>
  </si>
  <si>
    <t>Clothmaker</t>
  </si>
  <si>
    <t>Tanner</t>
  </si>
  <si>
    <t>Shopkeeper</t>
  </si>
  <si>
    <t>Innkeeper</t>
  </si>
  <si>
    <t>Harnessmaker</t>
  </si>
  <si>
    <t>Stall-keeper</t>
  </si>
  <si>
    <t>Barber</t>
  </si>
  <si>
    <t xml:space="preserve"> ML</t>
  </si>
  <si>
    <t>Mysophobia</t>
  </si>
  <si>
    <t>Shining Paths</t>
  </si>
  <si>
    <t>Invisibility</t>
  </si>
  <si>
    <t>Agricultural</t>
  </si>
  <si>
    <t>Glacier of Time</t>
  </si>
  <si>
    <t>Temporal Shear</t>
  </si>
  <si>
    <t>Temporal Doorway</t>
  </si>
  <si>
    <t>Sight of Ages</t>
  </si>
  <si>
    <t>Avail?</t>
  </si>
  <si>
    <t>SC%</t>
  </si>
  <si>
    <t>Courage</t>
  </si>
  <si>
    <t>Vocation of the Master Armourer Magus</t>
  </si>
  <si>
    <t>9 +3</t>
  </si>
  <si>
    <t>12+1</t>
  </si>
  <si>
    <t>17+3</t>
  </si>
  <si>
    <t>12+4</t>
  </si>
  <si>
    <t>Belt Wallet (3lbs)</t>
  </si>
  <si>
    <t>Ship's Navigator / Pilot</t>
  </si>
  <si>
    <t>Hunter</t>
  </si>
  <si>
    <t>Access</t>
  </si>
  <si>
    <r>
      <t>Constitution:</t>
    </r>
    <r>
      <rPr>
        <sz val="10"/>
        <rFont val="Times New Roman"/>
        <family val="1"/>
      </rPr>
      <t xml:space="preserve"> (CON)</t>
    </r>
  </si>
  <si>
    <r>
      <t xml:space="preserve">Intellect:         </t>
    </r>
    <r>
      <rPr>
        <sz val="10"/>
        <rFont val="Times New Roman"/>
        <family val="1"/>
      </rPr>
      <t>(INT)</t>
    </r>
  </si>
  <si>
    <r>
      <t xml:space="preserve">Wisdom:        </t>
    </r>
    <r>
      <rPr>
        <sz val="10"/>
        <rFont val="Times New Roman"/>
        <family val="1"/>
      </rPr>
      <t>(WIS)</t>
    </r>
  </si>
  <si>
    <r>
      <t xml:space="preserve">Discipline:    </t>
    </r>
    <r>
      <rPr>
        <sz val="10"/>
        <rFont val="Times New Roman"/>
        <family val="1"/>
      </rPr>
      <t>(DISC)</t>
    </r>
  </si>
  <si>
    <t>Lesser Vulcan's Tempering</t>
  </si>
  <si>
    <t>The Secret of Steel</t>
  </si>
  <si>
    <t>Vulcan's Forger</t>
  </si>
  <si>
    <t>Greater Vulcan's Tempering</t>
  </si>
  <si>
    <t>Transfer the Qualities of Fire and Water</t>
  </si>
  <si>
    <t>Inspiration of Vulcan</t>
  </si>
  <si>
    <t>Vulcan's Casting</t>
  </si>
  <si>
    <t>Forge in the Breath of the Salamander</t>
  </si>
  <si>
    <t>Forge with Black Sky &amp; Diamonds</t>
  </si>
  <si>
    <t>Forge with Moonlight &amp; Silver</t>
  </si>
  <si>
    <t>Forge with Sunlight &amp; Gold</t>
  </si>
  <si>
    <t>BCS% - Skilled</t>
  </si>
  <si>
    <t>Head Covering</t>
  </si>
  <si>
    <t>Mathematically Inclined</t>
  </si>
  <si>
    <t>Situational Awareness (Minor)</t>
  </si>
  <si>
    <t>Situational Awareness (Moderate)</t>
  </si>
  <si>
    <t>Situational Awareness (Major)</t>
  </si>
  <si>
    <t>Highly Dextrous</t>
  </si>
  <si>
    <t xml:space="preserve"> Just add '+####' where #### is the amount of</t>
  </si>
  <si>
    <t xml:space="preserve">experience awarded by the GM. Don't forget to </t>
  </si>
  <si>
    <t>Orc/Goblin</t>
  </si>
  <si>
    <t>GF</t>
  </si>
  <si>
    <t>OF</t>
  </si>
  <si>
    <t>GM</t>
  </si>
  <si>
    <t>OM</t>
  </si>
  <si>
    <t>final weight</t>
  </si>
  <si>
    <t>Final Weight</t>
  </si>
  <si>
    <t>Breeches</t>
  </si>
  <si>
    <t>Kilt</t>
  </si>
  <si>
    <t>Hose</t>
  </si>
  <si>
    <t>Ox Goad</t>
  </si>
  <si>
    <t>Create Deadly Vapors</t>
  </si>
  <si>
    <t>Create Sulphur &amp; Brimstone</t>
  </si>
  <si>
    <t>Fuel For the Flames</t>
  </si>
  <si>
    <t>Affix Image</t>
  </si>
  <si>
    <t>Accelerate Light</t>
  </si>
  <si>
    <t>Accelerate Image</t>
  </si>
  <si>
    <t>Diffuse Light</t>
  </si>
  <si>
    <t>Diffuse Image</t>
  </si>
  <si>
    <t>Slow Light</t>
  </si>
  <si>
    <t>Slow Image</t>
  </si>
  <si>
    <t>Japanese</t>
  </si>
  <si>
    <t>Sanskrit</t>
  </si>
  <si>
    <t>Success with a needed skill</t>
  </si>
  <si>
    <t>Minor Speech impairment (Bardic Voice -1)</t>
  </si>
  <si>
    <t>Major Speech impairment (Bardic Voice -2)</t>
  </si>
  <si>
    <t>Minor Physical deformity  (App -1)</t>
  </si>
  <si>
    <t>Moderate Physical deformity  (App -2)</t>
  </si>
  <si>
    <t>Metal Mirror (6"x6")</t>
  </si>
  <si>
    <t>Money Belt (3 lbs.)</t>
  </si>
  <si>
    <t>Soap: Laundry</t>
  </si>
  <si>
    <t>Wooden Ladle</t>
  </si>
  <si>
    <t>Wood Axe</t>
  </si>
  <si>
    <t>Small Casket Pine/Oak</t>
  </si>
  <si>
    <t>wt</t>
  </si>
  <si>
    <t>a</t>
  </si>
  <si>
    <t>f</t>
  </si>
  <si>
    <t>Pick Axe</t>
  </si>
  <si>
    <t>Carding Comb</t>
  </si>
  <si>
    <t xml:space="preserve">Thread: Colored </t>
  </si>
  <si>
    <t>Shovel (Long Handle)</t>
  </si>
  <si>
    <t>Spade (Short Handle)</t>
  </si>
  <si>
    <t>15+7</t>
  </si>
  <si>
    <t>9+5</t>
  </si>
  <si>
    <t>Base Purse</t>
  </si>
  <si>
    <t>Adjusted Purse</t>
  </si>
  <si>
    <t>Starting Funds:</t>
  </si>
  <si>
    <t>illegitimate?</t>
  </si>
  <si>
    <t>Dwarven Hexmaster</t>
  </si>
  <si>
    <t>Jousting Lance</t>
  </si>
  <si>
    <t>12'</t>
  </si>
  <si>
    <t>Bird Of Prey</t>
  </si>
  <si>
    <t>Mage: Magical Healer</t>
  </si>
  <si>
    <t>Mage: Dwarven: Armourer Magus</t>
  </si>
  <si>
    <t>Rose Mage</t>
  </si>
  <si>
    <t>First Aid</t>
  </si>
  <si>
    <t>Herbalism</t>
  </si>
  <si>
    <t>W101</t>
  </si>
  <si>
    <t>X101</t>
  </si>
  <si>
    <t>Y101</t>
  </si>
  <si>
    <t>Greater Sigil of the Arcane</t>
  </si>
  <si>
    <t>Least Invisible Sigil of the Arcane</t>
  </si>
  <si>
    <t>Lesser Invisible Sigil of the Arcane</t>
  </si>
  <si>
    <t>Great InvisibleSigil of the Arcane</t>
  </si>
  <si>
    <t>Greater Invisible Sigil of the Arcane</t>
  </si>
  <si>
    <t>Forget</t>
  </si>
  <si>
    <t>Amnesia</t>
  </si>
  <si>
    <t>Recall</t>
  </si>
  <si>
    <t>Remember</t>
  </si>
  <si>
    <t>Mute</t>
  </si>
  <si>
    <t>Lesser Imbue Music</t>
  </si>
  <si>
    <t>Greater Imbue Music</t>
  </si>
  <si>
    <t>Calibrate (Direction)</t>
  </si>
  <si>
    <t>Detect Distance</t>
  </si>
  <si>
    <t>Calibrate (Distance)</t>
  </si>
  <si>
    <t>Calibrate (Time)</t>
  </si>
  <si>
    <t>Rapids of Time</t>
  </si>
  <si>
    <t>Torrents of Time</t>
  </si>
  <si>
    <t>Tempest of Time</t>
  </si>
  <si>
    <t>Temporal Storm</t>
  </si>
  <si>
    <t>Accelerate (Grow)</t>
  </si>
  <si>
    <t>Detach (Prune)</t>
  </si>
  <si>
    <t>Detach (Harvest)</t>
  </si>
  <si>
    <t>Affix (Root)</t>
  </si>
  <si>
    <t>Create Least Illusionary Contact</t>
  </si>
  <si>
    <t>Resistant to Disease</t>
  </si>
  <si>
    <t>Entomophobia</t>
  </si>
  <si>
    <t xml:space="preserve">Must list on </t>
  </si>
  <si>
    <r>
      <t>Grey</t>
    </r>
    <r>
      <rPr>
        <b/>
        <sz val="7"/>
        <rFont val="Arial"/>
        <family val="2"/>
      </rPr>
      <t xml:space="preserve"> fields are where values should be entered</t>
    </r>
  </si>
  <si>
    <r>
      <t xml:space="preserve">The Designer would like to thank </t>
    </r>
    <r>
      <rPr>
        <b/>
        <sz val="8"/>
        <rFont val="Arial"/>
        <family val="2"/>
      </rPr>
      <t>Ronaldo Nascimento</t>
    </r>
    <r>
      <rPr>
        <sz val="8"/>
        <rFont val="Arial"/>
        <family val="2"/>
      </rPr>
      <t xml:space="preserve"> &amp; </t>
    </r>
    <r>
      <rPr>
        <b/>
        <sz val="8"/>
        <rFont val="Arial"/>
        <family val="2"/>
      </rPr>
      <t>Henk Bomhof</t>
    </r>
    <r>
      <rPr>
        <sz val="8"/>
        <rFont val="Arial"/>
        <family val="2"/>
      </rPr>
      <t xml:space="preserve"> for their unintended challenge. </t>
    </r>
  </si>
  <si>
    <t>The Character gains the ability to use area effect spells on specific individuals.  A maximum of 1 x ML spells.</t>
  </si>
  <si>
    <t>Dried Yeast</t>
  </si>
  <si>
    <t xml:space="preserve">Bind Undead into a Container </t>
  </si>
  <si>
    <t>Bind Death into a Container</t>
  </si>
  <si>
    <t xml:space="preserve">Greater Bind Death into a Container </t>
  </si>
  <si>
    <t>Waterskin (1 Gal.)</t>
  </si>
  <si>
    <t>Waterskin (3 Gal.)</t>
  </si>
  <si>
    <t>Crock, Gilded (2.5 Gal.)</t>
  </si>
  <si>
    <t>Crock, Glass (2.5 Gal.)</t>
  </si>
  <si>
    <t>Crock, Porcelain (2.5 Gal.)</t>
  </si>
  <si>
    <t>Crock, Pottery (2.5 Gal.)</t>
  </si>
  <si>
    <t>Total Costs of Abilities</t>
  </si>
  <si>
    <t>Total Costs of Flaws</t>
  </si>
  <si>
    <t>Acrophobia</t>
  </si>
  <si>
    <t>Writing Tablet, Wax</t>
  </si>
  <si>
    <t>s block - heater</t>
  </si>
  <si>
    <t>Enchanted Objects</t>
  </si>
  <si>
    <t>Quantity</t>
  </si>
  <si>
    <t>Personal Attunement</t>
  </si>
  <si>
    <t>Causation</t>
  </si>
  <si>
    <t>Focus</t>
  </si>
  <si>
    <t>Discharge &amp; Recharge</t>
  </si>
  <si>
    <t>Resistance</t>
  </si>
  <si>
    <t>Personalities</t>
  </si>
  <si>
    <t>Reciprocity</t>
  </si>
  <si>
    <t>Harmony</t>
  </si>
  <si>
    <t>INTELLECT</t>
  </si>
  <si>
    <t>Equipment</t>
  </si>
  <si>
    <t>Lineage of the Mount / Notes</t>
  </si>
  <si>
    <t xml:space="preserve">Walk </t>
  </si>
  <si>
    <t>AP:</t>
  </si>
  <si>
    <t>Spd:</t>
  </si>
  <si>
    <t>Sprint</t>
  </si>
  <si>
    <t>Dbl. Time</t>
  </si>
  <si>
    <t>Special Abilities/Tricks</t>
  </si>
  <si>
    <t>Skill Comments</t>
  </si>
  <si>
    <t>Familiar Character Sheet</t>
  </si>
  <si>
    <t>Notes</t>
  </si>
  <si>
    <t>Description of the Familiar</t>
  </si>
  <si>
    <t>Hide Texture:</t>
  </si>
  <si>
    <t>Hair/Fur Color:</t>
  </si>
  <si>
    <t>Magical Damage Enhancement</t>
  </si>
  <si>
    <t>Lendable FP If Within 10'</t>
  </si>
  <si>
    <t>Avg.</t>
  </si>
  <si>
    <t>Strenuous</t>
  </si>
  <si>
    <t>Tonsured (Clerical)</t>
  </si>
  <si>
    <t>Beauty Mark</t>
  </si>
  <si>
    <t>Floor-Length</t>
  </si>
  <si>
    <t>Waist-Length</t>
  </si>
  <si>
    <t>Unkempt</t>
  </si>
  <si>
    <t>Clean-Shaven</t>
  </si>
  <si>
    <t>Squint-Eyed</t>
  </si>
  <si>
    <t>Race:</t>
  </si>
  <si>
    <t xml:space="preserve">Age: </t>
  </si>
  <si>
    <t>Standing Jump:</t>
  </si>
  <si>
    <t>DOB:</t>
  </si>
  <si>
    <t>MR:</t>
  </si>
  <si>
    <t>Research Time</t>
  </si>
  <si>
    <t>Rabbit</t>
  </si>
  <si>
    <t>Whole Swan</t>
  </si>
  <si>
    <t>Fatted Goose</t>
  </si>
  <si>
    <t>Shadow Bolt (Mana Bolt)</t>
  </si>
  <si>
    <t>Shadow Bomb (Mana Ball)</t>
  </si>
  <si>
    <t>Hold Small Predators</t>
  </si>
  <si>
    <t>max time</t>
  </si>
  <si>
    <t>day inc</t>
  </si>
  <si>
    <t>mth inc</t>
  </si>
  <si>
    <t>yr inc</t>
  </si>
  <si>
    <t>Heavy Shields</t>
  </si>
  <si>
    <t>DF</t>
  </si>
  <si>
    <t>Bonus</t>
  </si>
  <si>
    <t>Summon Greater Spirit</t>
  </si>
  <si>
    <t>Spurs (Silver: .925 Ag)</t>
  </si>
  <si>
    <t>Spurs (Gold: .916 Au)</t>
  </si>
  <si>
    <t>Personal Seal (Gilt)</t>
  </si>
  <si>
    <t>Cross, Small Silvered</t>
  </si>
  <si>
    <t>Cross, Small Silver</t>
  </si>
  <si>
    <t>Cross, Small Gilt</t>
  </si>
  <si>
    <t>Cross, Small Gold</t>
  </si>
  <si>
    <t>Good</t>
  </si>
  <si>
    <t>Boar, Poor Cut</t>
  </si>
  <si>
    <t>Venison, Average Cut</t>
  </si>
  <si>
    <t>Venison, Cheap Cut</t>
  </si>
  <si>
    <t>Venison, Poor Cut</t>
  </si>
  <si>
    <t>Beef, Average Cut</t>
  </si>
  <si>
    <t>Beef, Cheap Cut</t>
  </si>
  <si>
    <t>Beef, Poor Cut</t>
  </si>
  <si>
    <t>Pork, Average Cut</t>
  </si>
  <si>
    <t>Pork, Cheap Cut</t>
  </si>
  <si>
    <t>Pork, Poor Cut</t>
  </si>
  <si>
    <t>Learned Experience</t>
  </si>
  <si>
    <t>Cast Experience</t>
  </si>
  <si>
    <t>Berries of the Sprites</t>
  </si>
  <si>
    <t>Faerie Bread</t>
  </si>
  <si>
    <t>Fodder of the Fair Folk</t>
  </si>
  <si>
    <t>Flesh of the Earth</t>
  </si>
  <si>
    <t>Strength of the Wild Hunt</t>
  </si>
  <si>
    <t>Name</t>
  </si>
  <si>
    <t>min time</t>
  </si>
  <si>
    <t>Luck</t>
  </si>
  <si>
    <t>Create Greatest Arcane Energy</t>
  </si>
  <si>
    <t>Arcane Armor</t>
  </si>
  <si>
    <t>Arcane Armor of Protection</t>
  </si>
  <si>
    <t>Arcane Armor of Greater Protection</t>
  </si>
  <si>
    <t>Knight</t>
  </si>
  <si>
    <t>Power Word</t>
  </si>
  <si>
    <t>Thief</t>
  </si>
  <si>
    <t>*</t>
  </si>
  <si>
    <t>Attr Bonus</t>
  </si>
  <si>
    <t>Base DF</t>
  </si>
  <si>
    <t>Level</t>
  </si>
  <si>
    <t>PSF</t>
  </si>
  <si>
    <t>Honor Points Used:</t>
  </si>
  <si>
    <t>Lesser Ward of Protection vs Undead</t>
  </si>
  <si>
    <t>Lesser Ward of Protection vs Supernatural</t>
  </si>
  <si>
    <t>This Law allows a Mage to make items specific to a person, so only the named person can activate spells within item</t>
  </si>
  <si>
    <t xml:space="preserve">The Character gains a bonus of +10% to targeting </t>
  </si>
  <si>
    <t>Can Instruct Others?</t>
  </si>
  <si>
    <t>Vial, Silvered (1 fl oz)</t>
  </si>
  <si>
    <t>Forge Magick</t>
  </si>
  <si>
    <t>Mercenary Man-at-Arms</t>
  </si>
  <si>
    <t>Mercenary Archer</t>
  </si>
  <si>
    <t>Herculean Strength</t>
  </si>
  <si>
    <t>Highly Resistant to Disease</t>
  </si>
  <si>
    <t>Highly Resistant to Poison</t>
  </si>
  <si>
    <t>Incredibly Lucky</t>
  </si>
  <si>
    <t>Flaws (Deficiencies &amp; Defects)</t>
  </si>
  <si>
    <t>Very Light</t>
  </si>
  <si>
    <t>Light</t>
  </si>
  <si>
    <t>Heavy</t>
  </si>
  <si>
    <t>Massive</t>
  </si>
  <si>
    <t>Arcane Magick</t>
  </si>
  <si>
    <t>Command Magick</t>
  </si>
  <si>
    <t>Divination Magick</t>
  </si>
  <si>
    <t>Illusion Magick</t>
  </si>
  <si>
    <t>Plant Magick</t>
  </si>
  <si>
    <t>Using?</t>
  </si>
  <si>
    <t>Arrow Type?</t>
  </si>
  <si>
    <t>rem</t>
  </si>
  <si>
    <t>taken</t>
  </si>
  <si>
    <t>INIT</t>
  </si>
  <si>
    <t>Greatest Earth's Cell</t>
  </si>
  <si>
    <t>22 correspondences + structural + thread made from mage's hair</t>
  </si>
  <si>
    <t>"Pot"</t>
  </si>
  <si>
    <t>4' 4 "</t>
  </si>
  <si>
    <t>Baron/Viscount</t>
  </si>
  <si>
    <t>Count/Earl</t>
  </si>
  <si>
    <t>Marquis</t>
  </si>
  <si>
    <t>Duke</t>
  </si>
  <si>
    <t>King</t>
  </si>
  <si>
    <t>Lesser Circle of Protection vs Arcane</t>
  </si>
  <si>
    <t>Blurred Script</t>
  </si>
  <si>
    <t>Projected Image</t>
  </si>
  <si>
    <t>Faerie Gold</t>
  </si>
  <si>
    <t>Backpack (100 lbs. Capacity)</t>
  </si>
  <si>
    <t>20' Longboat, 10 Seat</t>
  </si>
  <si>
    <t>Sack (25 lbs. Capacity)</t>
  </si>
  <si>
    <t>Backpack (25 lbs. Capacity)</t>
  </si>
  <si>
    <t>Waterskin (5 Gal.)</t>
  </si>
  <si>
    <t>Block &amp; Tackle, 3:1 MA, 250 lbs. Lift</t>
  </si>
  <si>
    <t>Writing Desk, Pine/Oak</t>
  </si>
  <si>
    <t>Bed &amp; Mattress Pine/Oak</t>
  </si>
  <si>
    <t>Large Chest Pine/Oak</t>
  </si>
  <si>
    <t>Bed Hangings</t>
  </si>
  <si>
    <t>CrossCut Saw (2 man)</t>
  </si>
  <si>
    <t>Carpenter's Hammer</t>
  </si>
  <si>
    <t>Whole Milk 1 Qt..</t>
  </si>
  <si>
    <t>Buttermilk 1 Qt..</t>
  </si>
  <si>
    <t>QtY</t>
  </si>
  <si>
    <t>Neophobia</t>
  </si>
  <si>
    <t>Nyctophobia</t>
  </si>
  <si>
    <t>Total Rest</t>
  </si>
  <si>
    <t>Light Activity</t>
  </si>
  <si>
    <t>Minotaur</t>
  </si>
  <si>
    <t>Total Honor Points:</t>
  </si>
  <si>
    <t>Romance Factor:</t>
  </si>
  <si>
    <t>Summoning Magick</t>
  </si>
  <si>
    <t>Transcendental Magick</t>
  </si>
  <si>
    <t>Transmutation Magick</t>
  </si>
  <si>
    <t>Troll Magick</t>
  </si>
  <si>
    <r>
      <t>Send questions, error data, &amp; compliments to:</t>
    </r>
    <r>
      <rPr>
        <sz val="9"/>
        <color indexed="12"/>
        <rFont val="Arial"/>
        <family val="2"/>
      </rPr>
      <t xml:space="preserve"> </t>
    </r>
  </si>
  <si>
    <t>hazelwood?</t>
  </si>
  <si>
    <t>Doses/day</t>
  </si>
  <si>
    <t>Potion?</t>
  </si>
  <si>
    <t>Divining Rod</t>
  </si>
  <si>
    <t>22 correspondences set into instrument</t>
  </si>
  <si>
    <t>Amulet</t>
  </si>
  <si>
    <t>22 correspondences set into amulet</t>
  </si>
  <si>
    <t>1 qty paper/vellum per mr</t>
  </si>
  <si>
    <t>Incense Burner</t>
  </si>
  <si>
    <t>22 correspondences + 2lbs brass</t>
  </si>
  <si>
    <t>5 correspondences + limb bone + 4 qty blood</t>
  </si>
  <si>
    <t>Has</t>
  </si>
  <si>
    <t>Black Candles</t>
  </si>
  <si>
    <t xml:space="preserve">Command Light/Create Image </t>
  </si>
  <si>
    <t>Command Image</t>
  </si>
  <si>
    <t>Color Light</t>
  </si>
  <si>
    <t>Color Image</t>
  </si>
  <si>
    <t>Shade Light</t>
  </si>
  <si>
    <t>Shade Image</t>
  </si>
  <si>
    <t>Detach Light</t>
  </si>
  <si>
    <t>Detach Image</t>
  </si>
  <si>
    <t>Affix Light</t>
  </si>
  <si>
    <t>Slow</t>
  </si>
  <si>
    <t>Dispel</t>
  </si>
  <si>
    <t>Casting</t>
  </si>
  <si>
    <t>AP</t>
  </si>
  <si>
    <t>Range</t>
  </si>
  <si>
    <t>Duration</t>
  </si>
  <si>
    <t>Arming Doublet</t>
  </si>
  <si>
    <t>Cuirbolli Cuirass</t>
  </si>
  <si>
    <t>Ringmail cuirass</t>
  </si>
  <si>
    <t>Reinforced Cuirbolli</t>
  </si>
  <si>
    <t>To create a character for Heroes of Marakush, please download the Zip file of criteria from BGD's website</t>
  </si>
  <si>
    <t>Attr. Bon./Pen.</t>
  </si>
  <si>
    <t>Attr. Roll</t>
  </si>
  <si>
    <t xml:space="preserve"> DF</t>
  </si>
  <si>
    <t>Desc.</t>
  </si>
  <si>
    <t>Un. BC%</t>
  </si>
  <si>
    <t>S. BC%</t>
  </si>
  <si>
    <t>Clerical Acts of Faith:</t>
  </si>
  <si>
    <t>auto</t>
  </si>
  <si>
    <t>Priestly Magicks:</t>
  </si>
  <si>
    <t>Sacraments:</t>
  </si>
  <si>
    <t>Fisherman</t>
  </si>
  <si>
    <t>Mariner</t>
  </si>
  <si>
    <t>Sail &amp; Cordage Making</t>
  </si>
  <si>
    <t>Sailing Small Boats</t>
  </si>
  <si>
    <t>Ship's Carpenter</t>
  </si>
  <si>
    <t>Thievish Skills</t>
  </si>
  <si>
    <t>Backstabbing</t>
  </si>
  <si>
    <t>Circe's Touch</t>
  </si>
  <si>
    <t>Wither</t>
  </si>
  <si>
    <t>Gaseous Form</t>
  </si>
  <si>
    <t>Turn To Stone</t>
  </si>
  <si>
    <t>Basic Magick: Air</t>
  </si>
  <si>
    <t>Basic Magick: Earth</t>
  </si>
  <si>
    <t>Priestly Mage: Druid</t>
  </si>
  <si>
    <t>Priestly Mage: Druid: Judges (Brithem)</t>
  </si>
  <si>
    <t>Artificer: Mechanical</t>
  </si>
  <si>
    <t>Artificer: Metalsmith</t>
  </si>
  <si>
    <t>Methods</t>
  </si>
  <si>
    <t>TSC % MOD</t>
  </si>
  <si>
    <t>MR MOD</t>
  </si>
  <si>
    <t>Elven Bowyer Mage</t>
  </si>
  <si>
    <t>Elementalist Air</t>
  </si>
  <si>
    <t>Elementalist Earth</t>
  </si>
  <si>
    <t>Elementalist Fire</t>
  </si>
  <si>
    <t>Elementalist Water</t>
  </si>
  <si>
    <t>Bind Lesser Spirit into a Container</t>
  </si>
  <si>
    <t xml:space="preserve">Greater Bind Lesser Spirits into a container </t>
  </si>
  <si>
    <t xml:space="preserve">Bind Imp into a container </t>
  </si>
  <si>
    <t xml:space="preserve">Greater Bind Imp into a Container </t>
  </si>
  <si>
    <t>Greater Grind Fine</t>
  </si>
  <si>
    <t>Greatest Grind Fine</t>
  </si>
  <si>
    <t>9+8</t>
  </si>
  <si>
    <t>11+9</t>
  </si>
  <si>
    <t>10+6</t>
  </si>
  <si>
    <t>14+9</t>
  </si>
  <si>
    <t>18+10</t>
  </si>
  <si>
    <t>Lesser Shave Enchanted Metals</t>
  </si>
  <si>
    <t>Great Shave Enchanted Metals</t>
  </si>
  <si>
    <t>Greater Shave Enchanted Metals</t>
  </si>
  <si>
    <t>Lesser Shave Non-Enchanted Metals</t>
  </si>
  <si>
    <t>Great Shave Non-Enchanted Metals</t>
  </si>
  <si>
    <t>Greater Shave Non-Enchanted Metals</t>
  </si>
  <si>
    <t>Lesser Powder Enchanted Metals</t>
  </si>
  <si>
    <t>Great Powder Enchanted Metals</t>
  </si>
  <si>
    <t>Greater Powder Enchanted Metals</t>
  </si>
  <si>
    <t>Lesser Powder Non-Enchanted Metals</t>
  </si>
  <si>
    <t>Great Powder Non-Enchanted Metals</t>
  </si>
  <si>
    <t>Greater Powder Non-Enchanted Metals</t>
  </si>
  <si>
    <t>13+1x</t>
  </si>
  <si>
    <t>15+1x</t>
  </si>
  <si>
    <t>17+1x</t>
  </si>
  <si>
    <t>16+1x</t>
  </si>
  <si>
    <t>18+1x</t>
  </si>
  <si>
    <t>21+1x</t>
  </si>
  <si>
    <t>14+1x</t>
  </si>
  <si>
    <t>19+1x</t>
  </si>
  <si>
    <t>23+1x</t>
  </si>
  <si>
    <t>26+1x</t>
  </si>
  <si>
    <t>I.E./Permanent</t>
  </si>
  <si>
    <t>Combat Matrix Chart</t>
  </si>
  <si>
    <t>Blessing</t>
  </si>
  <si>
    <t>Forgiveness</t>
  </si>
  <si>
    <t>Guidance</t>
  </si>
  <si>
    <t>Insight</t>
  </si>
  <si>
    <t>Skill/Craft</t>
  </si>
  <si>
    <t>"Strength"</t>
  </si>
  <si>
    <t>Wooden Bridge</t>
  </si>
  <si>
    <t>The Greenway</t>
  </si>
  <si>
    <t>The Greenwood</t>
  </si>
  <si>
    <t>The New Forest</t>
  </si>
  <si>
    <t>Thorn Darts</t>
  </si>
  <si>
    <t>Tangle Weeds</t>
  </si>
  <si>
    <t>Warp Wood</t>
  </si>
  <si>
    <t>Old Man Willow</t>
  </si>
  <si>
    <t>almoner</t>
  </si>
  <si>
    <t>Vulcan's Circle of Protection</t>
  </si>
  <si>
    <t>Multiple Images</t>
  </si>
  <si>
    <t>Duplicate</t>
  </si>
  <si>
    <t>Mirror Image</t>
  </si>
  <si>
    <t>Command Arcane Energy</t>
  </si>
  <si>
    <t>Gather Least Amount of Arcane Energy</t>
  </si>
  <si>
    <t>Gather Lesser Amount of Arcane Energy</t>
  </si>
  <si>
    <t>Gather Great Amount of Arcane Energy</t>
  </si>
  <si>
    <t>Max MR Time</t>
  </si>
  <si>
    <t>Days/MR</t>
  </si>
  <si>
    <t xml:space="preserve">Enchant How Many </t>
  </si>
  <si>
    <t>Spells/Day?</t>
  </si>
  <si>
    <t>Gaelic (Irish)</t>
  </si>
  <si>
    <t>Philosophy</t>
  </si>
  <si>
    <t>Ethics</t>
  </si>
  <si>
    <t>: Total Experience Pile</t>
  </si>
  <si>
    <t>&amp;</t>
  </si>
  <si>
    <t>Shape Shift-Attack Animal</t>
  </si>
  <si>
    <t>Shape Shift-Attack Bird</t>
  </si>
  <si>
    <t>Spare Clothing</t>
  </si>
  <si>
    <t>concentration</t>
  </si>
  <si>
    <t>1 hour</t>
  </si>
  <si>
    <t>Diagnosis</t>
  </si>
  <si>
    <t>Components</t>
  </si>
  <si>
    <t>Summon Lesser Totem</t>
  </si>
  <si>
    <t>Hobgoblin</t>
  </si>
  <si>
    <t>Mere Folk</t>
  </si>
  <si>
    <t>10 ft</t>
  </si>
  <si>
    <t>5 ft</t>
  </si>
  <si>
    <t>Bash</t>
  </si>
  <si>
    <t>Iron Pot (1 Gal.)</t>
  </si>
  <si>
    <t>Paint (1 Gal.) Forest Green</t>
  </si>
  <si>
    <t>Paint (1 Gal.) Tan</t>
  </si>
  <si>
    <t>Earth</t>
  </si>
  <si>
    <t>Troll Shamaness</t>
  </si>
  <si>
    <t>Troll Witch</t>
  </si>
  <si>
    <t>Mount Character Sheet (Riding)</t>
  </si>
  <si>
    <t>Mount Character Sheet (Pack)</t>
  </si>
  <si>
    <t>Load light</t>
  </si>
  <si>
    <t>load med</t>
  </si>
  <si>
    <t>load heavy</t>
  </si>
  <si>
    <t>fire cb</t>
  </si>
  <si>
    <t>draw &amp; throw</t>
  </si>
  <si>
    <t>set pole</t>
  </si>
  <si>
    <t>set lance</t>
  </si>
  <si>
    <t>dodge</t>
  </si>
  <si>
    <t>parry light</t>
  </si>
  <si>
    <t>parry med</t>
  </si>
  <si>
    <t>parry heavy</t>
  </si>
  <si>
    <t>Parry 2</t>
  </si>
  <si>
    <t>Select your Vocational Attributes below:</t>
  </si>
  <si>
    <t>Strength Bonus</t>
  </si>
  <si>
    <t>Marriage Arranger</t>
  </si>
  <si>
    <t>Disguises</t>
  </si>
  <si>
    <t>Evaluating Loot</t>
  </si>
  <si>
    <t>Chivalry &amp; Sorcery 3rd Edition Creatures Bestiary</t>
  </si>
  <si>
    <t>Agil</t>
  </si>
  <si>
    <t>agil ar</t>
  </si>
  <si>
    <t>con</t>
  </si>
  <si>
    <t>conar</t>
  </si>
  <si>
    <t>Chicken Eggs (x6)</t>
  </si>
  <si>
    <t>Hearing Rumors</t>
  </si>
  <si>
    <t>Mugging</t>
  </si>
  <si>
    <t>Picking Locks</t>
  </si>
  <si>
    <t>57-60</t>
  </si>
  <si>
    <t>61-85</t>
  </si>
  <si>
    <t>86-90</t>
  </si>
  <si>
    <t>99-100</t>
  </si>
  <si>
    <t>Head</t>
  </si>
  <si>
    <t>Eyes</t>
  </si>
  <si>
    <t>91-94</t>
  </si>
  <si>
    <t>95-98</t>
  </si>
  <si>
    <t>Neck</t>
  </si>
  <si>
    <t>Chest</t>
  </si>
  <si>
    <t>Arm</t>
  </si>
  <si>
    <t>Hand</t>
  </si>
  <si>
    <t>Abdomen</t>
  </si>
  <si>
    <t>Groin</t>
  </si>
  <si>
    <t>Upper Leg</t>
  </si>
  <si>
    <t>Lower Leg</t>
  </si>
  <si>
    <t>Foot</t>
  </si>
  <si>
    <t>Shield Failure</t>
  </si>
  <si>
    <t>Personal Skill Factor</t>
  </si>
  <si>
    <t>Total Skill Chance</t>
  </si>
  <si>
    <t>Crit Die Modifier</t>
  </si>
  <si>
    <t>Skill Title</t>
  </si>
  <si>
    <t>This Law allows a Mage to further study a fully learned spell.  For every additional period spent studying a spell (equal to the total time need to study the spell) a Mage can select to either -1 AP to casting time, -1 FP loss, a bonus of +10% to targeting or +1 to the Crit Die.</t>
  </si>
  <si>
    <t>This is the ability to trigger spells in a focus at a distance of 10 yards per ML.</t>
  </si>
  <si>
    <t>This Law is required to create items with the automatic recharge ability</t>
  </si>
  <si>
    <t>nun (sister)</t>
  </si>
  <si>
    <t>precentrix</t>
  </si>
  <si>
    <t>canoness</t>
  </si>
  <si>
    <t>priestess</t>
  </si>
  <si>
    <t>sacristaness</t>
  </si>
  <si>
    <t>sacristan</t>
  </si>
  <si>
    <t>vicar</t>
  </si>
  <si>
    <t>deaconess</t>
  </si>
  <si>
    <t>Aeromancy</t>
  </si>
  <si>
    <t>Critomancy</t>
  </si>
  <si>
    <t>Daphnomancy</t>
  </si>
  <si>
    <t>Haruspication</t>
  </si>
  <si>
    <t>Hydromancy</t>
  </si>
  <si>
    <t>Scry the Ends of the Earth</t>
  </si>
  <si>
    <t>Mount Armor (Riding)</t>
  </si>
  <si>
    <t>Mount Armor (Pack)</t>
  </si>
  <si>
    <t>Rennaissance Plate</t>
  </si>
  <si>
    <t>Platemail</t>
  </si>
  <si>
    <t>Scalemail</t>
  </si>
  <si>
    <t>1 Lb.</t>
  </si>
  <si>
    <t xml:space="preserve">Arcane Training Lance </t>
  </si>
  <si>
    <t xml:space="preserve">Arcane Dagger Blade </t>
  </si>
  <si>
    <t xml:space="preserve">Arcane Dagger Blade of Greater Damage </t>
  </si>
  <si>
    <t xml:space="preserve">Arcane Short Sword Blade </t>
  </si>
  <si>
    <t>Candlestick, Silvered</t>
  </si>
  <si>
    <t>inch</t>
  </si>
  <si>
    <t>Lbs</t>
  </si>
  <si>
    <t>Dwarven Armourer Magus</t>
  </si>
  <si>
    <t>Dwarven Weaponsmith Magus</t>
  </si>
  <si>
    <t>Black Olives</t>
  </si>
  <si>
    <t>Green Olives</t>
  </si>
  <si>
    <t>Squash</t>
  </si>
  <si>
    <t>Cucumber Pickles</t>
  </si>
  <si>
    <t>Cucumbers</t>
  </si>
  <si>
    <t>Rutabaga</t>
  </si>
  <si>
    <t>Radishes</t>
  </si>
  <si>
    <t>Parsnips</t>
  </si>
  <si>
    <t>Carrots</t>
  </si>
  <si>
    <t>Shallots</t>
  </si>
  <si>
    <t>Garlic</t>
  </si>
  <si>
    <t>Onions</t>
  </si>
  <si>
    <t>Scallions</t>
  </si>
  <si>
    <t>Ferocity table</t>
  </si>
  <si>
    <t>Dried Lentils</t>
  </si>
  <si>
    <t>Sauerkraut</t>
  </si>
  <si>
    <t>Lettuce</t>
  </si>
  <si>
    <t>Fresh Cabbage</t>
  </si>
  <si>
    <t>Fresh Beans</t>
  </si>
  <si>
    <t>Dried Figs</t>
  </si>
  <si>
    <t>Fresh Figs</t>
  </si>
  <si>
    <t>Melons</t>
  </si>
  <si>
    <t>Table Grapes</t>
  </si>
  <si>
    <t>Wild Berries</t>
  </si>
  <si>
    <t>Gooseberries</t>
  </si>
  <si>
    <t>Raspberries</t>
  </si>
  <si>
    <t>Strawberries</t>
  </si>
  <si>
    <t>Oranges</t>
  </si>
  <si>
    <t>Lemons</t>
  </si>
  <si>
    <t>Plums</t>
  </si>
  <si>
    <t>Pomegranates</t>
  </si>
  <si>
    <t>Apricots</t>
  </si>
  <si>
    <t>Peaches</t>
  </si>
  <si>
    <t>Pears</t>
  </si>
  <si>
    <t>Apples</t>
  </si>
  <si>
    <t>Crabapples</t>
  </si>
  <si>
    <t>Finding Direction</t>
  </si>
  <si>
    <t>Finding One's Location</t>
  </si>
  <si>
    <t>Finding Water</t>
  </si>
  <si>
    <t>Darkness</t>
  </si>
  <si>
    <t>Shadowcast</t>
  </si>
  <si>
    <t>Darkness of the Pit</t>
  </si>
  <si>
    <t>Area Darkness</t>
  </si>
  <si>
    <t>Dispel Darkness</t>
  </si>
  <si>
    <t>Leather Tent (6 man)</t>
  </si>
  <si>
    <t>Pulley, per 100 lbs. Add Lift</t>
  </si>
  <si>
    <t>Rope Cable, 2", per 10'</t>
  </si>
  <si>
    <t>Duct Flute</t>
  </si>
  <si>
    <t>Wooden Threshing Flail</t>
  </si>
  <si>
    <t>Walking Plough Frame</t>
  </si>
  <si>
    <t>Iron Plough Blade</t>
  </si>
  <si>
    <t>Pitchfork (Metal Tines)</t>
  </si>
  <si>
    <t>Pitchfork (Wood Tines)</t>
  </si>
  <si>
    <t>Wire Puller &amp; Die</t>
  </si>
  <si>
    <t>Iron Clamp</t>
  </si>
  <si>
    <t>Small Smelting Ladle</t>
  </si>
  <si>
    <t>Smelting Crucible (25 lbs.)</t>
  </si>
  <si>
    <t>Large Smelting Ladle</t>
  </si>
  <si>
    <t>Large Bellows</t>
  </si>
  <si>
    <t>Small Bellows</t>
  </si>
  <si>
    <t>Pallise (Straw Pallet)</t>
  </si>
  <si>
    <t>Wooden Mallet</t>
  </si>
  <si>
    <t>Carpenter's Plane</t>
  </si>
  <si>
    <t>Wood Gauge Large</t>
  </si>
  <si>
    <t>Shingling Knife</t>
  </si>
  <si>
    <t>Copper Flashing Nails (100)</t>
  </si>
  <si>
    <t>Copper Flashing (4' x 4')</t>
  </si>
  <si>
    <t>Iron Wedge (Large)</t>
  </si>
  <si>
    <t>Maul or Sledge Hammer Small</t>
  </si>
  <si>
    <t>Maul or Sledge Hammer Large</t>
  </si>
  <si>
    <t>The Mages gains the ability to invoke Spirits to assist in spell casting. See page 2-24 for more details</t>
  </si>
  <si>
    <t>Flexible Weapons</t>
  </si>
  <si>
    <t>Whip</t>
  </si>
  <si>
    <t>Net</t>
  </si>
  <si>
    <t>Chakram</t>
  </si>
  <si>
    <t>6' 11"</t>
  </si>
  <si>
    <t>7' 0"</t>
  </si>
  <si>
    <t>7' 1"</t>
  </si>
  <si>
    <t>7' 2"</t>
  </si>
  <si>
    <t>Engraver</t>
  </si>
  <si>
    <t>Skald</t>
  </si>
  <si>
    <t>Explorer</t>
  </si>
  <si>
    <t>Armourer</t>
  </si>
  <si>
    <t>Huscarl to Thane</t>
  </si>
  <si>
    <t>nat light</t>
  </si>
  <si>
    <t>nat med</t>
  </si>
  <si>
    <t>nat heavy</t>
  </si>
  <si>
    <t>light</t>
  </si>
  <si>
    <t>Studded Leather/Ring Mail</t>
  </si>
  <si>
    <t>Quilted</t>
  </si>
  <si>
    <t>size</t>
  </si>
  <si>
    <t>Scales</t>
  </si>
  <si>
    <t>Monkey</t>
  </si>
  <si>
    <t>claws</t>
  </si>
  <si>
    <t>claw total</t>
  </si>
  <si>
    <t>claws damage</t>
  </si>
  <si>
    <t>claws type</t>
  </si>
  <si>
    <t>Claws Crit</t>
  </si>
  <si>
    <t>2 per</t>
  </si>
  <si>
    <t>1 per</t>
  </si>
  <si>
    <t>5 per</t>
  </si>
  <si>
    <t>3 per</t>
  </si>
  <si>
    <t>Mount Warhorse</t>
  </si>
  <si>
    <t>spells</t>
  </si>
  <si>
    <t>Cartomancy</t>
  </si>
  <si>
    <t>Bibliomancy</t>
  </si>
  <si>
    <t>Dowsing</t>
  </si>
  <si>
    <t>Rural Freeman</t>
  </si>
  <si>
    <t>Born with an aptitude for a skill</t>
  </si>
  <si>
    <t>Clairvoyance</t>
  </si>
  <si>
    <t>Extra Magical Spells (MRs)</t>
  </si>
  <si>
    <t>Phantom Monster</t>
  </si>
  <si>
    <t>Spectral Monster</t>
  </si>
  <si>
    <t>Plant</t>
  </si>
  <si>
    <t>Demeter's Touch</t>
  </si>
  <si>
    <t>Restore Plants</t>
  </si>
  <si>
    <t>Blight/Wither</t>
  </si>
  <si>
    <t>War Darts</t>
  </si>
  <si>
    <t>Mdm. Crossbow</t>
  </si>
  <si>
    <t>Long</t>
  </si>
  <si>
    <t>Short</t>
  </si>
  <si>
    <t>Extended</t>
  </si>
  <si>
    <t>Maximum</t>
  </si>
  <si>
    <t>Medium</t>
  </si>
  <si>
    <t>1/2 Rennaissance Plate Armour</t>
  </si>
  <si>
    <t>1/2 Cavalry Plate</t>
  </si>
  <si>
    <t>1/2 Platemail</t>
  </si>
  <si>
    <t>1/2 Scalemail</t>
  </si>
  <si>
    <t>1/2 Brigandine (Splint)</t>
  </si>
  <si>
    <t>Fatigue Recovery Rate (FRR)</t>
  </si>
  <si>
    <t>super heroic</t>
  </si>
  <si>
    <t>Elven Steeds</t>
  </si>
  <si>
    <t>Dwarven War Horses</t>
  </si>
  <si>
    <t>Elven Steed</t>
  </si>
  <si>
    <t>Dwarven War Horse</t>
  </si>
  <si>
    <t>Small Game Animal</t>
  </si>
  <si>
    <t>weasel</t>
  </si>
  <si>
    <t>ferret</t>
  </si>
  <si>
    <t>Materia magica &amp; Lore Skills</t>
  </si>
  <si>
    <t xml:space="preserve">Conjuror's </t>
  </si>
  <si>
    <t>Wis</t>
  </si>
  <si>
    <t>Number of Skills</t>
  </si>
  <si>
    <t>Skill PSF %</t>
  </si>
  <si>
    <t>Hold Large Animal</t>
  </si>
  <si>
    <t>Hold Person</t>
  </si>
  <si>
    <t>Hold Enchanted Beast</t>
  </si>
  <si>
    <t>Hold Enchanted Being</t>
  </si>
  <si>
    <t>Hold Lesser Undead</t>
  </si>
  <si>
    <t>Demophobia</t>
  </si>
  <si>
    <t>Florophobia</t>
  </si>
  <si>
    <t>Salt Making</t>
  </si>
  <si>
    <t>Bestiary Lore</t>
  </si>
  <si>
    <t>Botany Lore</t>
  </si>
  <si>
    <t>Genealogical Lore</t>
  </si>
  <si>
    <t>Buttery</t>
  </si>
  <si>
    <t>Fired Weapon</t>
  </si>
  <si>
    <t>Satires?</t>
  </si>
  <si>
    <t>Player's Name:</t>
  </si>
  <si>
    <t>Character's Vocation:</t>
  </si>
  <si>
    <t>Character's Level:</t>
  </si>
  <si>
    <t>Animal Handling &amp; Drover</t>
  </si>
  <si>
    <t>Whips</t>
  </si>
  <si>
    <t>Mental Fortitude Skills</t>
  </si>
  <si>
    <t>Maintaining Concentration</t>
  </si>
  <si>
    <t>Shipbuilder: Maritime Architect</t>
  </si>
  <si>
    <t>Magical/Enchanted Races Lore</t>
  </si>
  <si>
    <t>Actual</t>
  </si>
  <si>
    <t>Est.</t>
  </si>
  <si>
    <t>Act Exp Lvl</t>
  </si>
  <si>
    <t>Est Exp Lvl</t>
  </si>
  <si>
    <t>Rust (Tarnish)</t>
  </si>
  <si>
    <t>Cloud of Steam</t>
  </si>
  <si>
    <t>Att</t>
  </si>
  <si>
    <t>BCS</t>
  </si>
  <si>
    <t>Still</t>
  </si>
  <si>
    <t>Need</t>
  </si>
  <si>
    <t>The pulldowns to the right will appear on the Character Sheet in the appropriate pages/places.</t>
  </si>
  <si>
    <t>Hold Greater Undead</t>
  </si>
  <si>
    <t>Hold Lycanthrope</t>
  </si>
  <si>
    <t>Suggestion</t>
  </si>
  <si>
    <t>Mesmerize</t>
  </si>
  <si>
    <t>Necromantic Bindings</t>
  </si>
  <si>
    <t>Base Damage</t>
  </si>
  <si>
    <t>Stable Owner</t>
  </si>
  <si>
    <t>Cobbler</t>
  </si>
  <si>
    <t>Magical Research</t>
  </si>
  <si>
    <t>SkillSkape Psionics</t>
  </si>
  <si>
    <t>Create Light</t>
  </si>
  <si>
    <t>Concentrate Light</t>
  </si>
  <si>
    <t>Ferocity</t>
  </si>
  <si>
    <t>PWD</t>
  </si>
  <si>
    <t>SPD</t>
  </si>
  <si>
    <t>SWP</t>
  </si>
  <si>
    <t>**</t>
  </si>
  <si>
    <t>Special abilities</t>
  </si>
  <si>
    <t>Deficiency Check req?</t>
  </si>
  <si>
    <t>Was "Scholarly Option" Chosen?</t>
  </si>
  <si>
    <t>Poignard</t>
  </si>
  <si>
    <t>Paddle</t>
  </si>
  <si>
    <t>Oar</t>
  </si>
  <si>
    <t>Camp Equipment</t>
  </si>
  <si>
    <t>Clergy?</t>
  </si>
  <si>
    <t>Ordained?</t>
  </si>
  <si>
    <t>Priestly mage?</t>
  </si>
  <si>
    <t>Pray For</t>
  </si>
  <si>
    <t>Clothing Available</t>
  </si>
  <si>
    <t>Total Cost</t>
  </si>
  <si>
    <t xml:space="preserve">Extra Clothing </t>
  </si>
  <si>
    <t>Owned</t>
  </si>
  <si>
    <t>Scalemail Cuirass</t>
  </si>
  <si>
    <t>Brigandine</t>
  </si>
  <si>
    <t>Cowardice</t>
  </si>
  <si>
    <t>Confusion</t>
  </si>
  <si>
    <t>Bravery</t>
  </si>
  <si>
    <t>Infatuation</t>
  </si>
  <si>
    <t>Love</t>
  </si>
  <si>
    <t>Master of all Elemental</t>
  </si>
  <si>
    <t>Tattoo</t>
  </si>
  <si>
    <r>
      <t>Chivalry &amp; Sorcery</t>
    </r>
    <r>
      <rPr>
        <b/>
        <sz val="16"/>
        <rFont val="Symbol"/>
        <family val="1"/>
        <charset val="2"/>
      </rPr>
      <t>Ô</t>
    </r>
    <r>
      <rPr>
        <b/>
        <sz val="16"/>
        <rFont val="Times New Roman"/>
        <family val="1"/>
      </rPr>
      <t>Character Archery Matrix</t>
    </r>
  </si>
  <si>
    <t>Aimed Shots/Blows TSC% Mod</t>
  </si>
  <si>
    <t>BOW TYPE / NAME</t>
  </si>
  <si>
    <t xml:space="preserve"> PSF%</t>
  </si>
  <si>
    <t>Bash Chance</t>
  </si>
  <si>
    <t>Stringing a Short / composite bow</t>
  </si>
  <si>
    <t>Stringing a Longbow</t>
  </si>
  <si>
    <t>Stringing an Elven Longbow  (elves only)</t>
  </si>
  <si>
    <t>ADDITIONAL NOTES</t>
  </si>
  <si>
    <t>ADDITIONAL POSSESSIONS</t>
  </si>
  <si>
    <t>Sanctification</t>
  </si>
  <si>
    <t>Is Character  Clergy?</t>
  </si>
  <si>
    <t>Required Prayer:</t>
  </si>
  <si>
    <t>Druid AOF = Rituals AOF</t>
  </si>
  <si>
    <t>Holy Barrier of Guard</t>
  </si>
  <si>
    <t>Smite the Godless</t>
  </si>
  <si>
    <t>Detect Magical Forces</t>
  </si>
  <si>
    <t>Find the Open Way</t>
  </si>
  <si>
    <t>SKILL</t>
  </si>
  <si>
    <t>Vegetable Crops</t>
  </si>
  <si>
    <t>Key/Helpful Skills</t>
  </si>
  <si>
    <t>wis</t>
  </si>
  <si>
    <t>Rolls</t>
  </si>
  <si>
    <t>Artefact Lore</t>
  </si>
  <si>
    <t>Cauldron</t>
  </si>
  <si>
    <t>22 correspondences + 50lbs copper -&gt; 10 gallon</t>
  </si>
  <si>
    <t>22 correspondences + 5lbs copper -&gt; 8 gallon</t>
  </si>
  <si>
    <t>Potion</t>
  </si>
  <si>
    <t xml:space="preserve">1 qty liquid &amp; 1qty herbs per mr </t>
  </si>
  <si>
    <t xml:space="preserve"> stored for how many years if not enchanted?</t>
  </si>
  <si>
    <t>Divining Waters</t>
  </si>
  <si>
    <t>8 qty of pure water + 1 drop blood</t>
  </si>
  <si>
    <t>Luck:</t>
  </si>
  <si>
    <t>AP Cost</t>
  </si>
  <si>
    <t>FP Cost</t>
  </si>
  <si>
    <t>Description</t>
  </si>
  <si>
    <t>Weapon Type</t>
  </si>
  <si>
    <t>Type of Bow:</t>
  </si>
  <si>
    <t>Elf</t>
  </si>
  <si>
    <t>Dwarf</t>
  </si>
  <si>
    <t>AGIL</t>
  </si>
  <si>
    <t>BV</t>
  </si>
  <si>
    <t>DISC</t>
  </si>
  <si>
    <t>CON</t>
  </si>
  <si>
    <t>STR</t>
  </si>
  <si>
    <t>WIS</t>
  </si>
  <si>
    <t>Sight</t>
  </si>
  <si>
    <t>Min%</t>
  </si>
  <si>
    <t>Max%</t>
  </si>
  <si>
    <t>Very simple</t>
  </si>
  <si>
    <t>Simple</t>
  </si>
  <si>
    <t>Average</t>
  </si>
  <si>
    <t>Challenging</t>
  </si>
  <si>
    <t>Command Small Animal</t>
  </si>
  <si>
    <t>Command Large Animal</t>
  </si>
  <si>
    <t>Command Small Predator</t>
  </si>
  <si>
    <t>Command Large Predator</t>
  </si>
  <si>
    <t>Command Person</t>
  </si>
  <si>
    <t>Command Enchanted Beast</t>
  </si>
  <si>
    <t>Command Enchanted Being</t>
  </si>
  <si>
    <t>Command Lesser Undead</t>
  </si>
  <si>
    <t>Command Greater Undead</t>
  </si>
  <si>
    <t>Command Lycanthrope</t>
  </si>
  <si>
    <t>Geas</t>
  </si>
  <si>
    <t>Death occurs at</t>
  </si>
  <si>
    <t>Gold/Silver Smith</t>
  </si>
  <si>
    <t>Sailor (Seaman)</t>
  </si>
  <si>
    <t>Yellow</t>
  </si>
  <si>
    <t>Braided (Plaits)</t>
  </si>
  <si>
    <t>Tonsured (Other)</t>
  </si>
  <si>
    <t>Thin</t>
  </si>
  <si>
    <t>Thick</t>
  </si>
  <si>
    <t>Status Lock</t>
  </si>
  <si>
    <t>Headdress</t>
  </si>
  <si>
    <t>Pinned Up</t>
  </si>
  <si>
    <t>Wart</t>
  </si>
  <si>
    <t>Pock Marked</t>
  </si>
  <si>
    <t>Plain</t>
  </si>
  <si>
    <t>Burned</t>
  </si>
  <si>
    <t>Bun/Topknot</t>
  </si>
  <si>
    <t>Orange</t>
  </si>
  <si>
    <t>Dark Green</t>
  </si>
  <si>
    <t>Streaked</t>
  </si>
  <si>
    <t>Light Blue</t>
  </si>
  <si>
    <t>Light Green</t>
  </si>
  <si>
    <t>Lazy-Eyed</t>
  </si>
  <si>
    <t>Divination</t>
  </si>
  <si>
    <t>Detect Water</t>
  </si>
  <si>
    <t>Detect Tracks</t>
  </si>
  <si>
    <t>Detect Traps</t>
  </si>
  <si>
    <t>Find The Path</t>
  </si>
  <si>
    <t>Scry the Imminent</t>
  </si>
  <si>
    <t>Shepherd's Sling</t>
  </si>
  <si>
    <t>Greater Fey Magical Bowery +13</t>
  </si>
  <si>
    <t>Firing &amp; Tending the Forge</t>
  </si>
  <si>
    <t>Elegant</t>
  </si>
  <si>
    <t>Rich</t>
  </si>
  <si>
    <r>
      <t xml:space="preserve">In order for some functions of this sheet to work properly, the </t>
    </r>
    <r>
      <rPr>
        <b/>
        <i/>
        <u/>
        <sz val="8"/>
        <color indexed="9"/>
        <rFont val="Arial"/>
        <family val="2"/>
      </rPr>
      <t>Analysis Toolpak</t>
    </r>
    <r>
      <rPr>
        <b/>
        <i/>
        <sz val="8"/>
        <color indexed="9"/>
        <rFont val="Arial"/>
        <family val="2"/>
      </rPr>
      <t xml:space="preserve"> </t>
    </r>
    <r>
      <rPr>
        <b/>
        <i/>
        <u/>
        <sz val="8"/>
        <color indexed="9"/>
        <rFont val="Arial"/>
        <family val="2"/>
      </rPr>
      <t>must</t>
    </r>
    <r>
      <rPr>
        <b/>
        <i/>
        <sz val="8"/>
        <color indexed="9"/>
        <rFont val="Arial"/>
        <family val="2"/>
      </rPr>
      <t xml:space="preserve"> be enabled under "Tools, Add-Ins"</t>
    </r>
  </si>
  <si>
    <t>Summon Lesser Spirit</t>
  </si>
  <si>
    <t>Lesser Mind Speak</t>
  </si>
  <si>
    <t>Greater Mind Speak</t>
  </si>
  <si>
    <t>Nightvision - Dark Sight</t>
  </si>
  <si>
    <t>7+1</t>
  </si>
  <si>
    <t>3 days</t>
  </si>
  <si>
    <t>24 hours</t>
  </si>
  <si>
    <t>Period/Style /World?</t>
  </si>
  <si>
    <t>Circle of Protection</t>
  </si>
  <si>
    <t>Greater Circle of Protection</t>
  </si>
  <si>
    <t>Greater Wards</t>
  </si>
  <si>
    <t>Great Circle of Protection</t>
  </si>
  <si>
    <t>Detect Curse</t>
  </si>
  <si>
    <t>Detect Defect</t>
  </si>
  <si>
    <t>Detect Command or Geas</t>
  </si>
  <si>
    <t>Detect Aspect</t>
  </si>
  <si>
    <t>Detect Truth</t>
  </si>
  <si>
    <t>Detect Direction</t>
  </si>
  <si>
    <t>Battering Ram</t>
  </si>
  <si>
    <t>Incredibly Strong</t>
  </si>
  <si>
    <t>Naturally Charismatic</t>
  </si>
  <si>
    <t>Primitive Talent Magical Powers</t>
  </si>
  <si>
    <t>Superbly Conditioned</t>
  </si>
  <si>
    <t>Unerring Sense of Direction</t>
  </si>
  <si>
    <t>Very Persuasive</t>
  </si>
  <si>
    <t>RR</t>
  </si>
  <si>
    <t>Angry</t>
  </si>
  <si>
    <t>Argumentative</t>
  </si>
  <si>
    <t>Avaricious</t>
  </si>
  <si>
    <t>Clumsy</t>
  </si>
  <si>
    <t>Disrespectful</t>
  </si>
  <si>
    <t>Drunkard</t>
  </si>
  <si>
    <t>Hypochondriac</t>
  </si>
  <si>
    <t>Impatient</t>
  </si>
  <si>
    <t>Kleptomaniac</t>
  </si>
  <si>
    <t>Lazy</t>
  </si>
  <si>
    <r>
      <t xml:space="preserve">Appearance:  </t>
    </r>
    <r>
      <rPr>
        <sz val="10"/>
        <rFont val="Times New Roman"/>
        <family val="1"/>
      </rPr>
      <t>(APP)</t>
    </r>
  </si>
  <si>
    <r>
      <t xml:space="preserve">Piety:             </t>
    </r>
    <r>
      <rPr>
        <sz val="10"/>
        <rFont val="Times New Roman"/>
        <family val="1"/>
      </rPr>
      <t xml:space="preserve"> (PTY)</t>
    </r>
  </si>
  <si>
    <t>Hazel</t>
  </si>
  <si>
    <t>Mousy Brown</t>
  </si>
  <si>
    <t>Hip-Length</t>
  </si>
  <si>
    <t>Braided (Single)</t>
  </si>
  <si>
    <t>Long Beard</t>
  </si>
  <si>
    <t>Knee-Length</t>
  </si>
  <si>
    <t>Braided (Multi)</t>
  </si>
  <si>
    <t>Braided Beard</t>
  </si>
  <si>
    <t>Block, per 100 lbs. added lift</t>
  </si>
  <si>
    <t>Seasoning/Sweeteners</t>
  </si>
  <si>
    <t>APP</t>
  </si>
  <si>
    <t>INTEL</t>
  </si>
  <si>
    <t>Point costs</t>
  </si>
  <si>
    <t>Avg/Fine</t>
  </si>
  <si>
    <t>Tot.</t>
  </si>
  <si>
    <t># of Drinks</t>
  </si>
  <si>
    <t>Sorcery</t>
  </si>
  <si>
    <t xml:space="preserve">Word </t>
  </si>
  <si>
    <t>I.E.</t>
  </si>
  <si>
    <t>Paper &amp; Ink Making</t>
  </si>
  <si>
    <t>Perfumery</t>
  </si>
  <si>
    <t>Pottery Making</t>
  </si>
  <si>
    <t>Tinker</t>
  </si>
  <si>
    <t>Character Sheets</t>
  </si>
  <si>
    <t>Anoint Wounded</t>
  </si>
  <si>
    <t>Mass</t>
  </si>
  <si>
    <t>Matrimony</t>
  </si>
  <si>
    <t>Exp</t>
  </si>
  <si>
    <t>Extra</t>
  </si>
  <si>
    <t>total</t>
  </si>
  <si>
    <t>Mat.</t>
  </si>
  <si>
    <t>no time</t>
  </si>
  <si>
    <t>reader</t>
  </si>
  <si>
    <t>priest, curate, chaplain</t>
  </si>
  <si>
    <t>Monastic Rank</t>
  </si>
  <si>
    <t>Ordained Rank</t>
  </si>
  <si>
    <t>Conditioning Special Abilities</t>
  </si>
  <si>
    <t>Scholarly Special Abilities</t>
  </si>
  <si>
    <t>Con Bonus</t>
  </si>
  <si>
    <t>Bless Item</t>
  </si>
  <si>
    <t>Light Arabian Warhorse</t>
  </si>
  <si>
    <t>jump h</t>
  </si>
  <si>
    <t>jump l</t>
  </si>
  <si>
    <t>walk mph</t>
  </si>
  <si>
    <t>dt mph</t>
  </si>
  <si>
    <t>sprint mph</t>
  </si>
  <si>
    <t>bite crit</t>
  </si>
  <si>
    <t>hooves crit</t>
  </si>
  <si>
    <t>Charcoal</t>
  </si>
  <si>
    <t>Sealing Ribbon (72")</t>
  </si>
  <si>
    <t>Seal Wax (red)</t>
  </si>
  <si>
    <t>Seal Wax (brown)</t>
  </si>
  <si>
    <t>Book Covers (34" x 44")</t>
  </si>
  <si>
    <t>Preserving Food</t>
  </si>
  <si>
    <t>Parchment (24" x 44")</t>
  </si>
  <si>
    <t>Reload AP:</t>
  </si>
  <si>
    <t>Quickdraw AP:</t>
  </si>
  <si>
    <t>Distance</t>
  </si>
  <si>
    <t>Damage</t>
  </si>
  <si>
    <t>"Main Page"</t>
  </si>
  <si>
    <t xml:space="preserve">OTHER - </t>
  </si>
  <si>
    <t>GM  DEFINED</t>
  </si>
  <si>
    <t>Dice Roller</t>
  </si>
  <si>
    <t>Percentile</t>
  </si>
  <si>
    <t>3d10</t>
  </si>
  <si>
    <t>2d10</t>
  </si>
  <si>
    <t>Discipline</t>
  </si>
  <si>
    <t>Strength</t>
  </si>
  <si>
    <t>cost</t>
  </si>
  <si>
    <t>Fmin</t>
  </si>
  <si>
    <t>Fmax</t>
  </si>
  <si>
    <t>Mmin</t>
  </si>
  <si>
    <t>Mmax</t>
  </si>
  <si>
    <t>Build</t>
  </si>
  <si>
    <t>Body</t>
  </si>
  <si>
    <t>Parental Status</t>
  </si>
  <si>
    <t>Rate of</t>
  </si>
  <si>
    <t>Simple Focus?</t>
  </si>
  <si>
    <t>Required:</t>
  </si>
  <si>
    <t>Book?</t>
  </si>
  <si>
    <t>Rsrch?</t>
  </si>
  <si>
    <t>/day</t>
  </si>
  <si>
    <t>/week</t>
  </si>
  <si>
    <t>Recharge</t>
  </si>
  <si>
    <t>Target</t>
  </si>
  <si>
    <t>Downtime Experience</t>
  </si>
  <si>
    <t>Have?</t>
  </si>
  <si>
    <t>Faith levels</t>
  </si>
  <si>
    <t>Required Prayer?</t>
  </si>
  <si>
    <t>Call Back the Dying</t>
  </si>
  <si>
    <t>Confirmation</t>
  </si>
  <si>
    <t>Last Rites</t>
  </si>
  <si>
    <t>Anoint Sick</t>
  </si>
  <si>
    <t>Fuller</t>
  </si>
  <si>
    <t>Huscarl to Jarl</t>
  </si>
  <si>
    <t>Huscarl to Konung</t>
  </si>
  <si>
    <t>Hauld</t>
  </si>
  <si>
    <t>Carried Weapons (Melee)</t>
  </si>
  <si>
    <t>Crush</t>
  </si>
  <si>
    <t>9-10</t>
  </si>
  <si>
    <t xml:space="preserve">Total </t>
  </si>
  <si>
    <t>Spatha</t>
  </si>
  <si>
    <t>exp bloc</t>
  </si>
  <si>
    <t>: Experience Block</t>
  </si>
  <si>
    <t>Specific act</t>
  </si>
  <si>
    <t>I. E.</t>
  </si>
  <si>
    <t>Recipient</t>
  </si>
  <si>
    <t>Varies - see pg 2-92</t>
  </si>
  <si>
    <t>Varies - see pg 2-93</t>
  </si>
  <si>
    <t>Varies - see pg 2-88</t>
  </si>
  <si>
    <t>% to religious checks</t>
  </si>
  <si>
    <t>to track Shield Failures</t>
  </si>
  <si>
    <t>Use the boxes to the left</t>
  </si>
  <si>
    <t>Golden</t>
  </si>
  <si>
    <t>Amber</t>
  </si>
  <si>
    <t>Sandy</t>
  </si>
  <si>
    <t>Tan</t>
  </si>
  <si>
    <t>Bull Whip</t>
  </si>
  <si>
    <t>Seamed</t>
  </si>
  <si>
    <t>Leathery</t>
  </si>
  <si>
    <t>Tough</t>
  </si>
  <si>
    <t>Wrinkled</t>
  </si>
  <si>
    <t>Very Wrinkled</t>
  </si>
  <si>
    <t>Extremely wrinkled</t>
  </si>
  <si>
    <t>Papery</t>
  </si>
  <si>
    <t>Wide Nostrils</t>
  </si>
  <si>
    <t>Narrow Nostrils</t>
  </si>
  <si>
    <t>Large Eyed</t>
  </si>
  <si>
    <r>
      <t>Intellect</t>
    </r>
    <r>
      <rPr>
        <sz val="10"/>
        <rFont val="Times New Roman"/>
        <family val="1"/>
      </rPr>
      <t xml:space="preserve"> (INT):</t>
    </r>
  </si>
  <si>
    <r>
      <t>Wisdom</t>
    </r>
    <r>
      <rPr>
        <sz val="10"/>
        <rFont val="Times New Roman"/>
        <family val="1"/>
      </rPr>
      <t xml:space="preserve"> (WIS):</t>
    </r>
  </si>
  <si>
    <t>Special Abilities/Talents</t>
  </si>
  <si>
    <t>Flaws, Defiencies &amp; Defects</t>
  </si>
  <si>
    <t>Father's Class</t>
  </si>
  <si>
    <t>Father's Social Status:</t>
  </si>
  <si>
    <t>Mass Nightmares</t>
  </si>
  <si>
    <t>Peaceful Sleep</t>
  </si>
  <si>
    <t>Priestly Mage: Dance</t>
  </si>
  <si>
    <t>A P Pool</t>
  </si>
  <si>
    <t>Starting</t>
  </si>
  <si>
    <t>Skill TCS%</t>
  </si>
  <si>
    <t>A R %</t>
  </si>
  <si>
    <t>Fatigue</t>
  </si>
  <si>
    <t>Action Point Matrix</t>
  </si>
  <si>
    <t>Brawling (Kick)</t>
  </si>
  <si>
    <t>Brawling (Punch)</t>
  </si>
  <si>
    <t>Others are uncomfortable near you (Charisma penalties may apply)</t>
  </si>
  <si>
    <t>Creation Method:</t>
  </si>
  <si>
    <t>Curr.</t>
  </si>
  <si>
    <t>Age:</t>
  </si>
  <si>
    <t>Enhanced Sense  - Hearing</t>
  </si>
  <si>
    <t>Enhanced Sense  -     Sight</t>
  </si>
  <si>
    <t>Enhanced Sense  -     Smell</t>
  </si>
  <si>
    <t>Enhanced Sense  -    Taste</t>
  </si>
  <si>
    <t>Enhanced Sense  -   Touch</t>
  </si>
  <si>
    <t>Poor Senses - Sight</t>
  </si>
  <si>
    <t>Poor Senses - Hearing</t>
  </si>
  <si>
    <t>Scry From Afar</t>
  </si>
  <si>
    <t>Scry the Land</t>
  </si>
  <si>
    <t>Awarded Experience:</t>
  </si>
  <si>
    <t>Starting Spell MR Base</t>
  </si>
  <si>
    <t>Current Spell MR Base</t>
  </si>
  <si>
    <t>w/Laws</t>
  </si>
  <si>
    <t>Mode Targeting</t>
  </si>
  <si>
    <t>Detect Astral Being</t>
  </si>
  <si>
    <t>Detect Magick</t>
  </si>
  <si>
    <t>Greater Gift of Understanding</t>
  </si>
  <si>
    <t>Lesser Conceal Body Scent</t>
  </si>
  <si>
    <t>Lard</t>
  </si>
  <si>
    <t>Lump Sugar</t>
  </si>
  <si>
    <t>Honey</t>
  </si>
  <si>
    <t>Sea Salt</t>
  </si>
  <si>
    <t>Rock Salt</t>
  </si>
  <si>
    <t>Meat Pie</t>
  </si>
  <si>
    <t>Hours</t>
  </si>
  <si>
    <r>
      <t xml:space="preserve">                                                                   </t>
    </r>
    <r>
      <rPr>
        <b/>
        <sz val="10"/>
        <rFont val="Times New Roman"/>
        <family val="1"/>
      </rPr>
      <t>BK</t>
    </r>
    <r>
      <rPr>
        <sz val="10"/>
        <rFont val="Times New Roman"/>
        <family val="1"/>
      </rPr>
      <t xml:space="preserve"> (Background), </t>
    </r>
    <r>
      <rPr>
        <b/>
        <sz val="10"/>
        <rFont val="Times New Roman"/>
        <family val="1"/>
      </rPr>
      <t>SA</t>
    </r>
    <r>
      <rPr>
        <sz val="10"/>
        <rFont val="Times New Roman"/>
        <family val="1"/>
      </rPr>
      <t xml:space="preserve"> (Special Ability), </t>
    </r>
    <r>
      <rPr>
        <b/>
        <sz val="10"/>
        <rFont val="Times New Roman"/>
        <family val="1"/>
      </rPr>
      <t>R</t>
    </r>
    <r>
      <rPr>
        <sz val="10"/>
        <rFont val="Times New Roman"/>
        <family val="1"/>
      </rPr>
      <t xml:space="preserve"> (Racial), </t>
    </r>
    <r>
      <rPr>
        <b/>
        <sz val="10"/>
        <rFont val="Times New Roman"/>
        <family val="1"/>
      </rPr>
      <t>F</t>
    </r>
    <r>
      <rPr>
        <sz val="10"/>
        <rFont val="Times New Roman"/>
        <family val="1"/>
      </rPr>
      <t xml:space="preserve"> (Father) </t>
    </r>
    <r>
      <rPr>
        <b/>
        <sz val="10"/>
        <rFont val="Times New Roman"/>
        <family val="1"/>
      </rPr>
      <t>H</t>
    </r>
    <r>
      <rPr>
        <sz val="10"/>
        <rFont val="Times New Roman"/>
        <family val="1"/>
      </rPr>
      <t xml:space="preserve"> (House/Clan).</t>
    </r>
  </si>
  <si>
    <t>Magick Mode</t>
  </si>
  <si>
    <t>Att. Bonus%</t>
  </si>
  <si>
    <t>If law is known, Mages understand how spirits are involved w/magick. This reduces time req'd to enchant materials. Subtracting 1 day/ML from time req'd.</t>
  </si>
  <si>
    <t>w/Focus</t>
  </si>
  <si>
    <t xml:space="preserve">Crit Die </t>
  </si>
  <si>
    <t>Core</t>
  </si>
  <si>
    <t xml:space="preserve">Att.   </t>
  </si>
  <si>
    <t>Cherries</t>
  </si>
  <si>
    <t>Wooden Spoon</t>
  </si>
  <si>
    <t>Dispel Mass Charm</t>
  </si>
  <si>
    <t>Dispel Greater Charm</t>
  </si>
  <si>
    <t>Elvish Long Knife</t>
  </si>
  <si>
    <t>Hurling Axe</t>
  </si>
  <si>
    <t>Hurling Hammer</t>
  </si>
  <si>
    <t>War Hammer</t>
  </si>
  <si>
    <t>Head Butt</t>
  </si>
  <si>
    <t>Guten Tag</t>
  </si>
  <si>
    <t>Silver</t>
  </si>
  <si>
    <t>Wavy</t>
  </si>
  <si>
    <t>Curly</t>
  </si>
  <si>
    <t>Bald</t>
  </si>
  <si>
    <t>Preserving Meat</t>
  </si>
  <si>
    <t>Cooking Seafood</t>
  </si>
  <si>
    <t>Potions &amp; Unguents</t>
  </si>
  <si>
    <t>Medicinal Drugs</t>
  </si>
  <si>
    <t>Knowledge of Toxins</t>
  </si>
  <si>
    <t>Dimpled</t>
  </si>
  <si>
    <t>Cleft Chin</t>
  </si>
  <si>
    <t>Mole</t>
  </si>
  <si>
    <t>Birthmark</t>
  </si>
  <si>
    <t>Long Mustache</t>
  </si>
  <si>
    <t>Full Beard</t>
  </si>
  <si>
    <t>Full Mustache</t>
  </si>
  <si>
    <t>Mustache</t>
  </si>
  <si>
    <t>Short Beard</t>
  </si>
  <si>
    <t>Goatee</t>
  </si>
  <si>
    <t>Thin Beard</t>
  </si>
  <si>
    <t>Stubbled</t>
  </si>
  <si>
    <t>Well-Kept</t>
  </si>
  <si>
    <t>Clean</t>
  </si>
  <si>
    <t>Rumpled</t>
  </si>
  <si>
    <t>Dusty</t>
  </si>
  <si>
    <t>Dirty</t>
  </si>
  <si>
    <t>Torn</t>
  </si>
  <si>
    <t>Shoddy</t>
  </si>
  <si>
    <t>Patched</t>
  </si>
  <si>
    <t>Holes</t>
  </si>
  <si>
    <t>Normal</t>
  </si>
  <si>
    <t>Facial Features</t>
  </si>
  <si>
    <t>Tattoos</t>
  </si>
  <si>
    <t>Hair Length</t>
  </si>
  <si>
    <t>Skin Color</t>
  </si>
  <si>
    <t>Spun Yarn</t>
  </si>
  <si>
    <t>Extra Gear</t>
  </si>
  <si>
    <t>Baptism</t>
  </si>
  <si>
    <t>-12+</t>
  </si>
  <si>
    <t>-6+</t>
  </si>
  <si>
    <t>-24+</t>
  </si>
  <si>
    <t>FP/BP</t>
  </si>
  <si>
    <t>Crit +</t>
  </si>
  <si>
    <t>Benefit</t>
  </si>
  <si>
    <t>Service Benefits</t>
  </si>
  <si>
    <t>Times</t>
  </si>
  <si>
    <t>Sign</t>
  </si>
  <si>
    <t>Metal</t>
  </si>
  <si>
    <t>Gem</t>
  </si>
  <si>
    <t>Wood / Plant</t>
  </si>
  <si>
    <t>Essence</t>
  </si>
  <si>
    <t>Liquid</t>
  </si>
  <si>
    <t>Skin</t>
  </si>
  <si>
    <t>Bone / Teeth</t>
  </si>
  <si>
    <t>Aff-</t>
  </si>
  <si>
    <t>inity</t>
  </si>
  <si>
    <t xml:space="preserve">Iron </t>
  </si>
  <si>
    <t xml:space="preserve">Ruby </t>
  </si>
  <si>
    <t xml:space="preserve">Oak </t>
  </si>
  <si>
    <t>Thievery</t>
  </si>
  <si>
    <t>Outdoors</t>
  </si>
  <si>
    <t>Lore</t>
  </si>
  <si>
    <t>Crafts</t>
  </si>
  <si>
    <t>Charismatic</t>
  </si>
  <si>
    <t>Combat</t>
  </si>
  <si>
    <t>Athletic</t>
  </si>
  <si>
    <t>Agriculture</t>
  </si>
  <si>
    <t>Perception</t>
  </si>
  <si>
    <t>Seafaring</t>
  </si>
  <si>
    <t>Castle Armorer</t>
  </si>
  <si>
    <t>Castle Blacksmith</t>
  </si>
  <si>
    <t>Falconer</t>
  </si>
  <si>
    <t>Horse Trainer</t>
  </si>
  <si>
    <t>Thrown Weapon</t>
  </si>
  <si>
    <t>Acts of Faith</t>
  </si>
  <si>
    <t>Clergy/Priests:</t>
  </si>
  <si>
    <t>Doses</t>
  </si>
  <si>
    <t>Psychometry</t>
  </si>
  <si>
    <t>Weight</t>
  </si>
  <si>
    <t>LCAP</t>
  </si>
  <si>
    <t>CCAP</t>
  </si>
  <si>
    <t>Fearless</t>
  </si>
  <si>
    <t>Heroic</t>
  </si>
  <si>
    <t>Fearful</t>
  </si>
  <si>
    <t>Rest/1 hour</t>
  </si>
  <si>
    <t>Total Life Force</t>
  </si>
  <si>
    <t>Leadership</t>
  </si>
  <si>
    <t>Chess</t>
  </si>
  <si>
    <t>Basic Math Skill?</t>
  </si>
  <si>
    <t>Female?</t>
  </si>
  <si>
    <t>Jug/Pot, Glass (4 Pt.)</t>
  </si>
  <si>
    <t>Special Talents, Abilities/Flaws, Deficiencies &amp; Defects</t>
  </si>
  <si>
    <t>ACT OF FAITH WORKSHEET</t>
  </si>
  <si>
    <t>CORE SKILLS</t>
  </si>
  <si>
    <t>Magick Resistance</t>
  </si>
  <si>
    <t>Resistant to Magick</t>
  </si>
  <si>
    <t>Quicken</t>
  </si>
  <si>
    <t>1/2  Studded Leather</t>
  </si>
  <si>
    <t>1/2 Quilted</t>
  </si>
  <si>
    <r>
      <t xml:space="preserve">You must select skills &amp; spells from the pull down menus on the </t>
    </r>
    <r>
      <rPr>
        <b/>
        <i/>
        <sz val="8"/>
        <rFont val="Arial"/>
        <family val="2"/>
      </rPr>
      <t>Character Sheet</t>
    </r>
    <r>
      <rPr>
        <i/>
        <sz val="8"/>
        <rFont val="Arial"/>
        <family val="2"/>
      </rPr>
      <t xml:space="preserve"> worksheet.</t>
    </r>
  </si>
  <si>
    <t>Discern Metal Object's History</t>
  </si>
  <si>
    <t>Magical Sharpness</t>
  </si>
  <si>
    <t>Total Weapon</t>
  </si>
  <si>
    <t>points</t>
  </si>
  <si>
    <t>Adj.</t>
  </si>
  <si>
    <t>Agility</t>
  </si>
  <si>
    <t>constitution</t>
  </si>
  <si>
    <t>Bardic Voice</t>
  </si>
  <si>
    <t>Appearance</t>
  </si>
  <si>
    <t>River Valleys</t>
  </si>
  <si>
    <t>Lt. Bolts</t>
  </si>
  <si>
    <t>Hv. Bolts</t>
  </si>
  <si>
    <t>Mdm. Bolts</t>
  </si>
  <si>
    <t>4'</t>
  </si>
  <si>
    <t>R. Mod</t>
  </si>
  <si>
    <t>Boring Auger</t>
  </si>
  <si>
    <t>Detect Life</t>
  </si>
  <si>
    <t>Arcane Spear Head (Lance Head) of Greater Damage</t>
  </si>
  <si>
    <t>4-8</t>
  </si>
  <si>
    <t>special</t>
  </si>
  <si>
    <t>9+1</t>
  </si>
  <si>
    <t>7+</t>
  </si>
  <si>
    <t>9+</t>
  </si>
  <si>
    <t>4+3</t>
  </si>
  <si>
    <t>9+4</t>
  </si>
  <si>
    <t>11+7</t>
  </si>
  <si>
    <t>7+3</t>
  </si>
  <si>
    <t>Hat</t>
  </si>
  <si>
    <t>Gloves</t>
  </si>
  <si>
    <t>Belt</t>
  </si>
  <si>
    <t>Sword Sheath</t>
  </si>
  <si>
    <t>Cooking &amp; Brewing</t>
  </si>
  <si>
    <t>Crafts &amp; Trades</t>
  </si>
  <si>
    <t>Mental Fortitude</t>
  </si>
  <si>
    <t>Thievish</t>
  </si>
  <si>
    <t>Enhanced</t>
  </si>
  <si>
    <t>Enhance</t>
  </si>
  <si>
    <t>Exorcise Demons</t>
  </si>
  <si>
    <t>Purify Food &amp; Water</t>
  </si>
  <si>
    <t>Restore the Faithful</t>
  </si>
  <si>
    <t>Cure the Wounded</t>
  </si>
  <si>
    <t>Neutralise Toxins</t>
  </si>
  <si>
    <t>Restoration</t>
  </si>
  <si>
    <t>Poultry/Game Birds</t>
  </si>
  <si>
    <t>Dairy</t>
  </si>
  <si>
    <t>Tying, Using and Releasing Knots</t>
  </si>
  <si>
    <t>Rhetoric</t>
  </si>
  <si>
    <t>Hyena</t>
  </si>
  <si>
    <t>Wolf</t>
  </si>
  <si>
    <t>Wolverine</t>
  </si>
  <si>
    <t>Chimp</t>
  </si>
  <si>
    <t>Baboon</t>
  </si>
  <si>
    <t>Bear</t>
  </si>
  <si>
    <t>Hunting Cat</t>
  </si>
  <si>
    <t>Sprite</t>
  </si>
  <si>
    <t>Imp</t>
  </si>
  <si>
    <t>Select the specific familiar that appeared here.</t>
  </si>
  <si>
    <t>height</t>
  </si>
  <si>
    <t>Wards Magick</t>
  </si>
  <si>
    <t>Mage Speech (Spoken)</t>
  </si>
  <si>
    <t>Mage Speech (Written)</t>
  </si>
  <si>
    <t>Primary</t>
  </si>
  <si>
    <t>Secondary</t>
  </si>
  <si>
    <t>Common Elemental</t>
  </si>
  <si>
    <t>Common Prayer</t>
  </si>
  <si>
    <t>Prayer for Blessing</t>
  </si>
  <si>
    <t>in Feet</t>
  </si>
  <si>
    <t>Character Skills</t>
  </si>
  <si>
    <t>Aspect %</t>
  </si>
  <si>
    <t>PMF%</t>
  </si>
  <si>
    <t>Focus Type:</t>
  </si>
  <si>
    <t>Materia  Magica - Master Spell List</t>
  </si>
  <si>
    <t>Bone Wand</t>
  </si>
  <si>
    <t>Astral Gate</t>
  </si>
  <si>
    <t>Shadow Beast</t>
  </si>
  <si>
    <t>Spectral Servant</t>
  </si>
  <si>
    <t>Sleep</t>
  </si>
  <si>
    <t>Greater Sleep</t>
  </si>
  <si>
    <t>Area Sleep</t>
  </si>
  <si>
    <t>ND&amp;F b (fd)</t>
  </si>
  <si>
    <t>Lesser Stealth of the Mage</t>
  </si>
  <si>
    <t>Greater Stealth of the Mage</t>
  </si>
  <si>
    <t>Lesser Gift of Understanding</t>
  </si>
  <si>
    <t>Goblinoid: Mounted Shock Troops (Partahal)</t>
  </si>
  <si>
    <t>Goblinoid: Mounted Troops (Tanahal)</t>
  </si>
  <si>
    <t>Goblinoid: Officer's Guard (Ushbal)</t>
  </si>
  <si>
    <t>Roman Tower Shield</t>
  </si>
  <si>
    <t>Dagger</t>
  </si>
  <si>
    <t>Jousting Helm</t>
  </si>
  <si>
    <t>Visored Helm</t>
  </si>
  <si>
    <t xml:space="preserve"> Quilted Hood</t>
  </si>
  <si>
    <t>Composite Helm</t>
  </si>
  <si>
    <t>Conical Helm</t>
  </si>
  <si>
    <t>If an "Elder sibling's mother" has died, and the character is legitimate, presume the father remarried.</t>
  </si>
  <si>
    <t xml:space="preserve">After character creation, make an annual check to see if the siblings or father have died as per pg 3-18. </t>
  </si>
  <si>
    <t>Simply record their age at death in the appropriate column.</t>
  </si>
  <si>
    <t>Venom of Hel</t>
  </si>
  <si>
    <t>Stormblast</t>
  </si>
  <si>
    <t>Enchantment of Skin</t>
  </si>
  <si>
    <t>Summon Totem</t>
  </si>
  <si>
    <t>Baron</t>
  </si>
  <si>
    <t xml:space="preserve">Banish Greater Spirit </t>
  </si>
  <si>
    <t>beeswax, black dye, 1 qty crushed walnut, 1 qty wormwood flowers</t>
  </si>
  <si>
    <t>Staff</t>
  </si>
  <si>
    <t>22 correspondences +4lbs wood</t>
  </si>
  <si>
    <t>Bag</t>
  </si>
  <si>
    <t>Jar</t>
  </si>
  <si>
    <t>22 correspondences + structural</t>
  </si>
  <si>
    <t>1 material per mr + base</t>
  </si>
  <si>
    <t xml:space="preserve">Psionic Lore </t>
  </si>
  <si>
    <t>Psionic Conditioning</t>
  </si>
  <si>
    <t>Psionic Endurance</t>
  </si>
  <si>
    <t>Basic Gifts</t>
  </si>
  <si>
    <t>Clairsentience</t>
  </si>
  <si>
    <t xml:space="preserve">Extra-Sensory Perception </t>
  </si>
  <si>
    <t>Psychokinesis</t>
  </si>
  <si>
    <t>Wild Talent</t>
  </si>
  <si>
    <t>Magical Ethics</t>
  </si>
  <si>
    <t xml:space="preserve">Magical Philosophy </t>
  </si>
  <si>
    <t>Magical Theory</t>
  </si>
  <si>
    <t>History of Magick</t>
  </si>
  <si>
    <t xml:space="preserve">Advanced Magick </t>
  </si>
  <si>
    <t>Flames glow blue in your presence</t>
  </si>
  <si>
    <r>
      <t>Agility</t>
    </r>
    <r>
      <rPr>
        <sz val="10"/>
        <rFont val="Times New Roman"/>
        <family val="1"/>
      </rPr>
      <t xml:space="preserve"> (AGIL):</t>
    </r>
  </si>
  <si>
    <r>
      <t>Strength</t>
    </r>
    <r>
      <rPr>
        <sz val="10"/>
        <rFont val="Times New Roman"/>
        <family val="1"/>
      </rPr>
      <t xml:space="preserve"> (STR):</t>
    </r>
  </si>
  <si>
    <t>Master Engraver</t>
  </si>
  <si>
    <t>Master Thief</t>
  </si>
  <si>
    <t>Scribe/Clerk</t>
  </si>
  <si>
    <t>Physician</t>
  </si>
  <si>
    <t>Scholar</t>
  </si>
  <si>
    <t>Arcane (Mage)</t>
  </si>
  <si>
    <t>Mercenary Sergeant</t>
  </si>
  <si>
    <t>Townsmen</t>
  </si>
  <si>
    <t>Guildsmen</t>
  </si>
  <si>
    <t>Nobility</t>
  </si>
  <si>
    <t>Straight Lookups</t>
  </si>
  <si>
    <t>Math Lookups</t>
  </si>
  <si>
    <t>Shawm (Double-Reed Wood Wind)</t>
  </si>
  <si>
    <t>Reed Flute Or Chalumeau</t>
  </si>
  <si>
    <t>Bard/Entertainer</t>
  </si>
  <si>
    <t>Animal Trainer</t>
  </si>
  <si>
    <t>Lost blood</t>
  </si>
  <si>
    <t>Guardian</t>
  </si>
  <si>
    <t>Warden</t>
  </si>
  <si>
    <t>Healer</t>
  </si>
  <si>
    <t>Bard</t>
  </si>
  <si>
    <t>Bowyer</t>
  </si>
  <si>
    <t>Wild Beast Tamer</t>
  </si>
  <si>
    <t>Plant Tender</t>
  </si>
  <si>
    <t>Seer</t>
  </si>
  <si>
    <t>Lore Keeper</t>
  </si>
  <si>
    <t>Noble Guard</t>
  </si>
  <si>
    <t>Prayer for Strength</t>
  </si>
  <si>
    <t>Crossbows</t>
  </si>
  <si>
    <t>Camel</t>
  </si>
  <si>
    <t>Donkey</t>
  </si>
  <si>
    <t>Exotic Animal</t>
  </si>
  <si>
    <t>Horse, Pony, Mule</t>
  </si>
  <si>
    <t>precentor</t>
  </si>
  <si>
    <t>Bow Type</t>
  </si>
  <si>
    <t>Yew</t>
  </si>
  <si>
    <t>Pine</t>
  </si>
  <si>
    <t>Rowan</t>
  </si>
  <si>
    <t>Willow</t>
  </si>
  <si>
    <t>Oak</t>
  </si>
  <si>
    <t>Ash</t>
  </si>
  <si>
    <t>Cypress</t>
  </si>
  <si>
    <t>Undead/Spirits</t>
  </si>
  <si>
    <t>Wood Saw</t>
  </si>
  <si>
    <t>Alertness: Sight</t>
  </si>
  <si>
    <t>Alertness: Sound</t>
  </si>
  <si>
    <t xml:space="preserve">If this law is known, Mages are able to cast spells in magically dead areas. Max MR &lt;= 1/2 ML (round down) </t>
  </si>
  <si>
    <t>A Mage familiar with this law can reduce the cost of enchanting materials by 1 FP</t>
  </si>
  <si>
    <t xml:space="preserve">Character's Race: </t>
  </si>
  <si>
    <t>Character Name:</t>
  </si>
  <si>
    <t>Player Name:</t>
  </si>
  <si>
    <t># of younger siblings:</t>
  </si>
  <si>
    <t>Severe</t>
  </si>
  <si>
    <t>Agoraphobia</t>
  </si>
  <si>
    <t>Dispel Illusion I</t>
  </si>
  <si>
    <t>Dispel Illusion II</t>
  </si>
  <si>
    <t>Composer</t>
  </si>
  <si>
    <t>Courier</t>
  </si>
  <si>
    <t>Court Fool</t>
  </si>
  <si>
    <t>Court Herald</t>
  </si>
  <si>
    <t>Court Scribe</t>
  </si>
  <si>
    <t>Courtesan</t>
  </si>
  <si>
    <t>Demon Hunter</t>
  </si>
  <si>
    <t>Drover</t>
  </si>
  <si>
    <t>Dwarven: Armourer</t>
  </si>
  <si>
    <t>Evocation</t>
  </si>
  <si>
    <t>Words of Power</t>
  </si>
  <si>
    <t>Energy Control</t>
  </si>
  <si>
    <t>Knitting Needles</t>
  </si>
  <si>
    <t>Sewing Needle</t>
  </si>
  <si>
    <t>Sewing, Spinning &amp; Weaving</t>
  </si>
  <si>
    <t>Base Materials</t>
  </si>
  <si>
    <t>Other Materials</t>
  </si>
  <si>
    <t>Materials</t>
  </si>
  <si>
    <t>Mastery Bonus</t>
  </si>
  <si>
    <t>Psychic Bonus</t>
  </si>
  <si>
    <t>Command Magic Bonuses</t>
  </si>
  <si>
    <t>Merchant: Cheese</t>
  </si>
  <si>
    <t xml:space="preserve">Merchant: Cloth </t>
  </si>
  <si>
    <t xml:space="preserve">Merchant: Gem </t>
  </si>
  <si>
    <t xml:space="preserve">Merchant: Grain </t>
  </si>
  <si>
    <t xml:space="preserve">Merchant: Holy Relic </t>
  </si>
  <si>
    <t>This workbook takes its information from these sources:</t>
  </si>
  <si>
    <t>The above field is designed as a running total field.</t>
  </si>
  <si>
    <t>Unskilled Skill Tracking</t>
  </si>
  <si>
    <t>Attribute Bonus</t>
  </si>
  <si>
    <t>Calculations</t>
  </si>
  <si>
    <t>BK</t>
  </si>
  <si>
    <t>Teach</t>
  </si>
  <si>
    <t>Disc.</t>
  </si>
  <si>
    <t>Discipline modifiers</t>
  </si>
  <si>
    <t>This page is designed to help with Point Based character design - Please be aware that the table values om the Main Page pull from this worksheet.</t>
  </si>
  <si>
    <t>The "Charts" are based on those printed in Book 1. However, they have been modified slightly to include additional Abilities &amp; Flaws</t>
  </si>
  <si>
    <t>If you need a percentage value to enter into sections 9-12, click the + on the top of the screen.</t>
  </si>
  <si>
    <t>Expending Awarded Experience</t>
  </si>
  <si>
    <t>Silvered Plate</t>
  </si>
  <si>
    <t>Sterling Silver Plate</t>
  </si>
  <si>
    <t>Cord Heavy, per 100'</t>
  </si>
  <si>
    <t>Cord, Light, per 100'</t>
  </si>
  <si>
    <t>Silver Bar</t>
  </si>
  <si>
    <t>Gold Bar</t>
  </si>
  <si>
    <t>Crow Bar Heavy</t>
  </si>
  <si>
    <t>White Turnips</t>
  </si>
  <si>
    <t>Mast, Sail, and Rigging (for above)</t>
  </si>
  <si>
    <t>Bindery Glue (1 pt.)</t>
  </si>
  <si>
    <t>Gold Leaf (4" x 4")</t>
  </si>
  <si>
    <t>Personal Seal (Brass)</t>
  </si>
  <si>
    <t>Personal Seal (Silver)</t>
  </si>
  <si>
    <t>Personal Seal (Gold)</t>
  </si>
  <si>
    <t>Black Ink &amp; Pot</t>
  </si>
  <si>
    <t>Colored Ink &amp; Pot</t>
  </si>
  <si>
    <t>Stylus (for Wax Tablet)</t>
  </si>
  <si>
    <t>Portable Writing Desk</t>
  </si>
  <si>
    <t>Singleweight Wool Blanket</t>
  </si>
  <si>
    <t>Doubleweight Wool Blanket</t>
  </si>
  <si>
    <t>8'x8' Mosquito Netting</t>
  </si>
  <si>
    <t>Palisse w/o Straw</t>
  </si>
  <si>
    <t>Grappling Hook</t>
  </si>
  <si>
    <t>Pulley, 5:1MA,250 lbs. Lift</t>
  </si>
  <si>
    <t>Rope Cable 3", per 10"</t>
  </si>
  <si>
    <t>Rope Cable, 1", per 10'</t>
  </si>
  <si>
    <t>You are haunted by evil dreams</t>
  </si>
  <si>
    <t>Animals will not let you ride them</t>
  </si>
  <si>
    <t>It is rumored that you are demon-sired</t>
  </si>
  <si>
    <t>Shadow Monster</t>
  </si>
  <si>
    <t xml:space="preserve">Beer/Ale </t>
  </si>
  <si>
    <t>3*</t>
  </si>
  <si>
    <t xml:space="preserve">Bull </t>
  </si>
  <si>
    <t xml:space="preserve">Beaver </t>
  </si>
  <si>
    <t xml:space="preserve">Mercury </t>
  </si>
  <si>
    <t xml:space="preserve">Pearl </t>
  </si>
  <si>
    <t xml:space="preserve">Willow </t>
  </si>
  <si>
    <t>4*</t>
  </si>
  <si>
    <t xml:space="preserve">Lavender </t>
  </si>
  <si>
    <t xml:space="preserve">Rain Water </t>
  </si>
  <si>
    <t xml:space="preserve">Deer </t>
  </si>
  <si>
    <t xml:space="preserve">Silver </t>
  </si>
  <si>
    <t xml:space="preserve">Moonstone </t>
  </si>
  <si>
    <t xml:space="preserve">Lotus </t>
  </si>
  <si>
    <t>2*</t>
  </si>
  <si>
    <t xml:space="preserve">Myrrh </t>
  </si>
  <si>
    <t>Detect Metal</t>
  </si>
  <si>
    <t>+ Birth Sign Experience Bonuses</t>
  </si>
  <si>
    <t>Fire Making</t>
  </si>
  <si>
    <t>Rope &amp; Cordage Making</t>
  </si>
  <si>
    <t>45 seconds</t>
  </si>
  <si>
    <t>Time</t>
  </si>
  <si>
    <t>Downtime Exp.</t>
  </si>
  <si>
    <t>AOF</t>
  </si>
  <si>
    <t>Research</t>
  </si>
  <si>
    <t>mat.</t>
  </si>
  <si>
    <t>ldp</t>
  </si>
  <si>
    <t>smd</t>
  </si>
  <si>
    <t>gdp</t>
  </si>
  <si>
    <t>Basic Elemental Magick - Water</t>
  </si>
  <si>
    <t>Least Earth's Cell</t>
  </si>
  <si>
    <t>Lesser Earth's Cell</t>
  </si>
  <si>
    <t>Weaponsmith Magus</t>
  </si>
  <si>
    <t>Field Rations</t>
  </si>
  <si>
    <t>l</t>
  </si>
  <si>
    <t>String Bow AP:</t>
  </si>
  <si>
    <r>
      <t>Check values on the "</t>
    </r>
    <r>
      <rPr>
        <b/>
        <sz val="8"/>
        <rFont val="Arial"/>
        <family val="2"/>
      </rPr>
      <t>Experience</t>
    </r>
    <r>
      <rPr>
        <sz val="8"/>
        <rFont val="Arial"/>
        <family val="2"/>
      </rPr>
      <t>" worksheet. This displays starting skills &amp; experience information.</t>
    </r>
  </si>
  <si>
    <t>Strength of the Smith</t>
  </si>
  <si>
    <t>Strings &amp; Harps</t>
  </si>
  <si>
    <t>Axes</t>
  </si>
  <si>
    <t>Miller</t>
  </si>
  <si>
    <t>Fashioning Arrowheads</t>
  </si>
  <si>
    <t>Source</t>
  </si>
  <si>
    <t>Background Skills</t>
  </si>
  <si>
    <t>Primate</t>
  </si>
  <si>
    <t>Rodent</t>
  </si>
  <si>
    <t>Reptilian</t>
  </si>
  <si>
    <t>Mustelid</t>
  </si>
  <si>
    <t>ER</t>
  </si>
  <si>
    <t>01-04</t>
  </si>
  <si>
    <t>05</t>
  </si>
  <si>
    <t>06-10</t>
  </si>
  <si>
    <t>11-50</t>
  </si>
  <si>
    <t>51-56</t>
  </si>
  <si>
    <t>Least Summon Object</t>
  </si>
  <si>
    <t>Saurian (Salamons) (Ancient)</t>
  </si>
  <si>
    <t>Elven Tongue (Eastern)</t>
  </si>
  <si>
    <t>Extraordinary Beauty</t>
  </si>
  <si>
    <t>Mass Individual Ignore</t>
  </si>
  <si>
    <t>Great Mass Individual Ignore</t>
  </si>
  <si>
    <t>Group Ignore</t>
  </si>
  <si>
    <t>Draw Attention</t>
  </si>
  <si>
    <t>Mass Group Ignore</t>
  </si>
  <si>
    <t>Great Mass Group Ignore</t>
  </si>
  <si>
    <t>Mass Draw Attention</t>
  </si>
  <si>
    <t>Resist Poison/Drug</t>
  </si>
  <si>
    <t>Luck Bonus</t>
  </si>
  <si>
    <t>Great Preserve</t>
  </si>
  <si>
    <t>Greatest Preserve</t>
  </si>
  <si>
    <t>Least Enhancement</t>
  </si>
  <si>
    <t>Lesser Enhancement</t>
  </si>
  <si>
    <t>Great Enhancement</t>
  </si>
  <si>
    <t>Greatest Enhancement</t>
  </si>
  <si>
    <t>Least Transform Self</t>
  </si>
  <si>
    <t>Lesser Transform Self</t>
  </si>
  <si>
    <t>Great Transform Self</t>
  </si>
  <si>
    <t>Item?</t>
  </si>
  <si>
    <t>Carry</t>
  </si>
  <si>
    <t>value</t>
  </si>
  <si>
    <t>Longbow</t>
  </si>
  <si>
    <t>Elvish Longbow</t>
  </si>
  <si>
    <t>Butchering Fresh Meat</t>
  </si>
  <si>
    <r>
      <t xml:space="preserve">List </t>
    </r>
    <r>
      <rPr>
        <i/>
        <sz val="9"/>
        <rFont val="Times New Roman"/>
        <family val="1"/>
      </rPr>
      <t>your</t>
    </r>
    <r>
      <rPr>
        <sz val="9"/>
        <rFont val="Times New Roman"/>
        <family val="1"/>
      </rPr>
      <t xml:space="preserve"> </t>
    </r>
    <r>
      <rPr>
        <u/>
        <sz val="9"/>
        <rFont val="Times New Roman"/>
        <family val="1"/>
      </rPr>
      <t>Vocation</t>
    </r>
    <r>
      <rPr>
        <sz val="9"/>
        <rFont val="Times New Roman"/>
        <family val="1"/>
      </rPr>
      <t xml:space="preserve">'s </t>
    </r>
    <r>
      <rPr>
        <b/>
        <sz val="9"/>
        <rFont val="Times New Roman"/>
        <family val="1"/>
      </rPr>
      <t>Primary Skills</t>
    </r>
    <r>
      <rPr>
        <sz val="9"/>
        <rFont val="Times New Roman"/>
        <family val="1"/>
      </rPr>
      <t xml:space="preserve"> here.</t>
    </r>
  </si>
  <si>
    <r>
      <t xml:space="preserve">List </t>
    </r>
    <r>
      <rPr>
        <i/>
        <sz val="9"/>
        <rFont val="Times New Roman"/>
        <family val="1"/>
      </rPr>
      <t>your</t>
    </r>
    <r>
      <rPr>
        <sz val="9"/>
        <rFont val="Times New Roman"/>
        <family val="1"/>
      </rPr>
      <t xml:space="preserve"> </t>
    </r>
    <r>
      <rPr>
        <u/>
        <sz val="9"/>
        <rFont val="Times New Roman"/>
        <family val="1"/>
      </rPr>
      <t>Vocation</t>
    </r>
    <r>
      <rPr>
        <sz val="9"/>
        <rFont val="Times New Roman"/>
        <family val="1"/>
      </rPr>
      <t xml:space="preserve">'s </t>
    </r>
    <r>
      <rPr>
        <b/>
        <sz val="9"/>
        <rFont val="Times New Roman"/>
        <family val="1"/>
      </rPr>
      <t>Secondary Skills</t>
    </r>
    <r>
      <rPr>
        <sz val="9"/>
        <rFont val="Times New Roman"/>
        <family val="1"/>
      </rPr>
      <t xml:space="preserve"> here.</t>
    </r>
  </si>
  <si>
    <r>
      <t>Tertiary Skills</t>
    </r>
    <r>
      <rPr>
        <sz val="9"/>
        <rFont val="Times New Roman"/>
        <family val="1"/>
      </rPr>
      <t xml:space="preserve"> go here</t>
    </r>
  </si>
  <si>
    <r>
      <t>Horoscope/ House</t>
    </r>
    <r>
      <rPr>
        <sz val="9"/>
        <rFont val="Times New Roman"/>
        <family val="1"/>
      </rPr>
      <t xml:space="preserve"> skills go here</t>
    </r>
  </si>
  <si>
    <t>Own Language (Ancient)</t>
  </si>
  <si>
    <t>Dwarven Tongue (Ancient)</t>
  </si>
  <si>
    <t>Elven Tongue (Ancient)</t>
  </si>
  <si>
    <t>Mage: Necromancer</t>
  </si>
  <si>
    <t>Mage: Power Word Mage</t>
  </si>
  <si>
    <t>Mage: Rose Mage</t>
  </si>
  <si>
    <t>Mage: Rune Mages</t>
  </si>
  <si>
    <t>Mage: Symbolist Mage</t>
  </si>
  <si>
    <t>Mage: Thaumaturge</t>
  </si>
  <si>
    <t>Mage: The Medium</t>
  </si>
  <si>
    <t>Mage: Weaponsmith Magus</t>
  </si>
  <si>
    <t>Mage: Weaver Mage</t>
  </si>
  <si>
    <t>Master Butter Maker</t>
  </si>
  <si>
    <t>Master Cheese Maker</t>
  </si>
  <si>
    <t>Master Dyer</t>
  </si>
  <si>
    <t xml:space="preserve">Master Ship Builder </t>
  </si>
  <si>
    <t>Master Weaver</t>
  </si>
  <si>
    <t>Match Maker</t>
  </si>
  <si>
    <t>Merchant: Artifact/Antiquities</t>
  </si>
  <si>
    <t xml:space="preserve">Merchant: Beer </t>
  </si>
  <si>
    <t>Extend</t>
  </si>
  <si>
    <t>Prepare Combination</t>
  </si>
  <si>
    <t>Trigger</t>
  </si>
  <si>
    <t>Channelling</t>
  </si>
  <si>
    <t>Detach</t>
  </si>
  <si>
    <t>Affix</t>
  </si>
  <si>
    <t>Accelerate</t>
  </si>
  <si>
    <t>Greater Temporal Wave</t>
  </si>
  <si>
    <t>Temporal Sidestep</t>
  </si>
  <si>
    <t>Read Lips</t>
  </si>
  <si>
    <t>Encoding and Decoding</t>
  </si>
  <si>
    <t>Substitution Cipher</t>
  </si>
  <si>
    <t>Polyalphabetic Cipher</t>
  </si>
  <si>
    <t>Mechanical Cipher</t>
  </si>
  <si>
    <t>Whole Peacock</t>
  </si>
  <si>
    <t>Beetroot</t>
  </si>
  <si>
    <t>Sleep into the Ages</t>
  </si>
  <si>
    <t>Charm Small Animals</t>
  </si>
  <si>
    <t>Charm Large Animals</t>
  </si>
  <si>
    <t>Royal Guard</t>
  </si>
  <si>
    <t>Beast Trainer</t>
  </si>
  <si>
    <t>Merchant</t>
  </si>
  <si>
    <t>Crafter</t>
  </si>
  <si>
    <t>Brewer</t>
  </si>
  <si>
    <t>Herald</t>
  </si>
  <si>
    <t>Goblin Hunter</t>
  </si>
  <si>
    <t>Stinging Insects like you &amp; seek you out</t>
  </si>
  <si>
    <t>Emerald Green</t>
  </si>
  <si>
    <t>Dark Brown</t>
  </si>
  <si>
    <t>Intense Brown</t>
  </si>
  <si>
    <t>Intense Blue</t>
  </si>
  <si>
    <t>Grey-Green</t>
  </si>
  <si>
    <t>Severe Speech impairment (Bardic Voice -3)</t>
  </si>
  <si>
    <t>Turn Flame  - Dragon Fire</t>
  </si>
  <si>
    <t>Flaming Weapon  - Normal Fire</t>
  </si>
  <si>
    <t>Flaming Weapon  - Magick Fire</t>
  </si>
  <si>
    <t>Command Salamander Fire</t>
  </si>
  <si>
    <t>Create Dragon Fire</t>
  </si>
  <si>
    <t>Command Dragon Fire</t>
  </si>
  <si>
    <t>AB</t>
  </si>
  <si>
    <t>page, you must enter the formulas listed into their cells.</t>
  </si>
  <si>
    <t>feet for gems</t>
  </si>
  <si>
    <t>feet for metals</t>
  </si>
  <si>
    <t xml:space="preserve">Fighting Staves </t>
  </si>
  <si>
    <t>Flails</t>
  </si>
  <si>
    <t>Ordination</t>
  </si>
  <si>
    <t>Penance/Confession</t>
  </si>
  <si>
    <t>Average Mead</t>
  </si>
  <si>
    <t>Cheap Mead</t>
  </si>
  <si>
    <t>Fermented Cider</t>
  </si>
  <si>
    <t>Fresh Cider</t>
  </si>
  <si>
    <t>WT</t>
  </si>
  <si>
    <t>COST</t>
  </si>
  <si>
    <t>Con</t>
  </si>
  <si>
    <t>inactive</t>
  </si>
  <si>
    <t>active</t>
  </si>
  <si>
    <t>avg</t>
  </si>
  <si>
    <t>stren</t>
  </si>
  <si>
    <t>Elves</t>
  </si>
  <si>
    <t>Subsist.</t>
  </si>
  <si>
    <t xml:space="preserve">Avg. </t>
  </si>
  <si>
    <t>Stren.</t>
  </si>
  <si>
    <t>Food needs:</t>
  </si>
  <si>
    <t>Base BODY Level</t>
  </si>
  <si>
    <t>Shirt</t>
  </si>
  <si>
    <t>INF</t>
  </si>
  <si>
    <t>Scalemail Coif</t>
  </si>
  <si>
    <t>Lt. X-bow Bolts</t>
  </si>
  <si>
    <t>Mdm X-bow Bolts</t>
  </si>
  <si>
    <t>This Law allows the Mage to double any of the bonuses gained for Summoning Spells</t>
  </si>
  <si>
    <t>The Mage gains the ability to use a person’s name in targeting. If successful LoM roll, bonus = +2% x Crit Die</t>
  </si>
  <si>
    <t>INT+WIS</t>
  </si>
  <si>
    <t>Viniculture</t>
  </si>
  <si>
    <t>Annealed Mail</t>
  </si>
  <si>
    <t>Platemail Cuirass</t>
  </si>
  <si>
    <t>Plate Cuirass</t>
  </si>
  <si>
    <t>Ringmail Hauberk</t>
  </si>
  <si>
    <t>Scalemail Hauberk</t>
  </si>
  <si>
    <t>Chainmail</t>
  </si>
  <si>
    <t>Annealed Mail Hauberk</t>
  </si>
  <si>
    <t>Field Plate</t>
  </si>
  <si>
    <t>Cool Cloak (Mantle of Borealis)</t>
  </si>
  <si>
    <t>Warm Cloak (Mantle of Helios)</t>
  </si>
  <si>
    <r>
      <t xml:space="preserve">Agility:           </t>
    </r>
    <r>
      <rPr>
        <sz val="10"/>
        <rFont val="Times New Roman"/>
        <family val="1"/>
      </rPr>
      <t>(AGL)</t>
    </r>
  </si>
  <si>
    <r>
      <t>Strength:</t>
    </r>
    <r>
      <rPr>
        <sz val="10"/>
        <rFont val="Times New Roman"/>
        <family val="1"/>
      </rPr>
      <t xml:space="preserve">        (STR)</t>
    </r>
  </si>
  <si>
    <r>
      <t>Natural Charisma:</t>
    </r>
    <r>
      <rPr>
        <sz val="9"/>
        <rFont val="Times New Roman"/>
        <family val="1"/>
      </rPr>
      <t xml:space="preserve">  (NCR)</t>
    </r>
  </si>
  <si>
    <r>
      <t>Dexterity:</t>
    </r>
    <r>
      <rPr>
        <sz val="9"/>
        <rFont val="Times New Roman"/>
        <family val="1"/>
      </rPr>
      <t xml:space="preserve">                 (DEX)</t>
    </r>
  </si>
  <si>
    <t>Accumulated Exp:</t>
  </si>
  <si>
    <t>Total Exp:</t>
  </si>
  <si>
    <t>Successful AOF</t>
  </si>
  <si>
    <t>Mage/Priest</t>
  </si>
  <si>
    <t>Magically Fashion Armour</t>
  </si>
  <si>
    <t>Sovereign Prince</t>
  </si>
  <si>
    <t>henk@pnc.com.au</t>
  </si>
  <si>
    <t>Copyright © 1996 by</t>
  </si>
  <si>
    <t xml:space="preserve"> Highlander Designs,</t>
  </si>
  <si>
    <t>All Rights Reserved</t>
  </si>
  <si>
    <t>Light Bow-Firing Catapult</t>
  </si>
  <si>
    <t>Quilted Hood</t>
  </si>
  <si>
    <t>Enhance Fear</t>
  </si>
  <si>
    <t>Pan Flute</t>
  </si>
  <si>
    <t xml:space="preserve">Flageolets </t>
  </si>
  <si>
    <t xml:space="preserve">Pipe Whistles (Small) </t>
  </si>
  <si>
    <t>Hunting Horn</t>
  </si>
  <si>
    <t>Shepherd’s Pipe</t>
  </si>
  <si>
    <t>Sackbut (Early Trombone)</t>
  </si>
  <si>
    <t xml:space="preserve">Serpent </t>
  </si>
  <si>
    <t>Hurdy-Gurdies Or The Wheel Fiddle</t>
  </si>
  <si>
    <t>Psaltérion</t>
  </si>
  <si>
    <t>Travel Harp</t>
  </si>
  <si>
    <t>Harp</t>
  </si>
  <si>
    <t>Lyre</t>
  </si>
  <si>
    <t>Zither: Light</t>
  </si>
  <si>
    <t>Zither: Medium</t>
  </si>
  <si>
    <t>Zither: Large</t>
  </si>
  <si>
    <t xml:space="preserve">Lute Average </t>
  </si>
  <si>
    <t>Lute Large</t>
  </si>
  <si>
    <t>Mandolin (Lute) Smallest Member Of The Lute Family</t>
  </si>
  <si>
    <t>Average Cheese</t>
  </si>
  <si>
    <t>Cheap Cheese</t>
  </si>
  <si>
    <t>Goat Cheese</t>
  </si>
  <si>
    <t>Butter, Salted</t>
  </si>
  <si>
    <t xml:space="preserve">Butter, Unsalted </t>
  </si>
  <si>
    <t>Bantam Eggs (x12)</t>
  </si>
  <si>
    <t>Duck Eggs (x6)</t>
  </si>
  <si>
    <t>Status</t>
  </si>
  <si>
    <t>Lesser Ward of Protection vs Divination</t>
  </si>
  <si>
    <t>Illegitimate &amp; Acknowledged</t>
  </si>
  <si>
    <t>Illegitimate &amp; Unacknowledged</t>
  </si>
  <si>
    <t>Magical and Enchanted Realms</t>
  </si>
  <si>
    <t>Enchant Metals Skill</t>
  </si>
  <si>
    <t>Max MR</t>
  </si>
  <si>
    <t>Quantity of metals</t>
  </si>
  <si>
    <t>LBS</t>
  </si>
  <si>
    <t>Oz</t>
  </si>
  <si>
    <t>Enchant Metals / MR</t>
  </si>
  <si>
    <t>Enchant Metals to 0</t>
  </si>
  <si>
    <t>Total Weapons Value</t>
  </si>
  <si>
    <t>Bows:</t>
  </si>
  <si>
    <t>Crossbows:</t>
  </si>
  <si>
    <t>Other:</t>
  </si>
  <si>
    <t>Symbol, Clay</t>
  </si>
  <si>
    <t>Symbol, Wooden</t>
  </si>
  <si>
    <t>Symbol, Pewter</t>
  </si>
  <si>
    <t>Symbol, Silver Plate</t>
  </si>
  <si>
    <t>Symbol, Silver</t>
  </si>
  <si>
    <t>Symbol, Gilt</t>
  </si>
  <si>
    <t>Symbol, Gold</t>
  </si>
  <si>
    <t>Symbol, Stone</t>
  </si>
  <si>
    <t>Symbol, Silver Jewelled</t>
  </si>
  <si>
    <t>Symbol, Gold Jewelled</t>
  </si>
  <si>
    <t>Mortar</t>
  </si>
  <si>
    <t>Cement</t>
  </si>
  <si>
    <t>Choreography</t>
  </si>
  <si>
    <t>Whistling</t>
  </si>
  <si>
    <t>Bury the Dead</t>
  </si>
  <si>
    <t>Local Saint's Shrine</t>
  </si>
  <si>
    <t>Regional Saint's Shrine</t>
  </si>
  <si>
    <t>National Saint's Shrine</t>
  </si>
  <si>
    <t xml:space="preserve">Building </t>
  </si>
  <si>
    <t># of Task Rolls</t>
  </si>
  <si>
    <t>FP Cost of</t>
  </si>
  <si>
    <t xml:space="preserve">This allows the Mage to reduce the casting time of spells for the cost of -5% to the targeting or the cost of 2 FP he/she can reduced the casting time by 1 AP off of the casting Time. However, in times of need he could reduce casting time by 2 AP but at a cost of 4 FP and -10% to targeting </t>
  </si>
  <si>
    <t>Spray of the Undine</t>
  </si>
  <si>
    <t>Spray of the Sea Drake</t>
  </si>
  <si>
    <t>Magical Cell of Ice (Ice Queens Defense)</t>
  </si>
  <si>
    <t>Prison of the Undine</t>
  </si>
  <si>
    <t>Cell of Ice</t>
  </si>
  <si>
    <t>Prison of the Sea Drake</t>
  </si>
  <si>
    <t>Mist &amp; Fog of Magick Water</t>
  </si>
  <si>
    <t>Mist &amp; Fog of the Undine</t>
  </si>
  <si>
    <t>Mist &amp; Fog of the Sea Drake</t>
  </si>
  <si>
    <t>Ice Bomb of Magick Water</t>
  </si>
  <si>
    <t>Ice Bomb of the Undine</t>
  </si>
  <si>
    <t>Ice Bomb of the Sea Drake</t>
  </si>
  <si>
    <t>Prison of Ice</t>
  </si>
  <si>
    <t>Shards of the Ice Queen (Magick Water)</t>
  </si>
  <si>
    <t>Shards of the Undine</t>
  </si>
  <si>
    <t>Shards of the Sea Drake</t>
  </si>
  <si>
    <t>Shards of Ice</t>
  </si>
  <si>
    <t>Lesser Wave</t>
  </si>
  <si>
    <t>Great Wave</t>
  </si>
  <si>
    <t>Defects:</t>
  </si>
  <si>
    <t xml:space="preserve">listed on the Magick Worksheet. All others must </t>
  </si>
  <si>
    <t xml:space="preserve">be selected from the pull down menus on the </t>
  </si>
  <si>
    <t>Character Skill sheet.</t>
  </si>
  <si>
    <t>Dwarven: Armourer Magus</t>
  </si>
  <si>
    <t>Dwarven: Artisan</t>
  </si>
  <si>
    <t>Porter (Gate Keeper)</t>
  </si>
  <si>
    <t>Strings</t>
  </si>
  <si>
    <t>Winds</t>
  </si>
  <si>
    <t>Bakery</t>
  </si>
  <si>
    <t>"QTY"</t>
  </si>
  <si>
    <t>"1/2"</t>
  </si>
  <si>
    <t>"1/4"</t>
  </si>
  <si>
    <t>"1/8"</t>
  </si>
  <si>
    <t>worth</t>
  </si>
  <si>
    <t>Initial Cost of Equipment</t>
  </si>
  <si>
    <t>Remaining Initial Purse</t>
  </si>
  <si>
    <t>Own?</t>
  </si>
  <si>
    <t>Creatures for SkillSkape</t>
  </si>
  <si>
    <t>is based on averages of data provided by:</t>
  </si>
  <si>
    <t>Variant</t>
  </si>
  <si>
    <t>Quail Eggs (x12)</t>
  </si>
  <si>
    <t>Goose Eggs (x4)</t>
  </si>
  <si>
    <t>Enhanced Damage Protection?</t>
  </si>
  <si>
    <t xml:space="preserve">Gardener/Farm Hand </t>
  </si>
  <si>
    <t>Clan Dwarf</t>
  </si>
  <si>
    <t>Thane</t>
  </si>
  <si>
    <t>Jarl</t>
  </si>
  <si>
    <t>Konung</t>
  </si>
  <si>
    <t>Lost Blood</t>
  </si>
  <si>
    <t>Half Blood</t>
  </si>
  <si>
    <t>Great Elf</t>
  </si>
  <si>
    <t>True Elf</t>
  </si>
  <si>
    <t>6th child</t>
  </si>
  <si>
    <t>5th child</t>
  </si>
  <si>
    <t>4th child</t>
  </si>
  <si>
    <t>3rd child</t>
  </si>
  <si>
    <t>2nd child</t>
  </si>
  <si>
    <t>1st child</t>
  </si>
  <si>
    <t>Herbalist</t>
  </si>
  <si>
    <t>Brigand</t>
  </si>
  <si>
    <t>Scout</t>
  </si>
  <si>
    <t>Toxicophobia</t>
  </si>
  <si>
    <t>Zoophobia</t>
  </si>
  <si>
    <t>Triskedekophobia</t>
  </si>
  <si>
    <t>Xenophobia</t>
  </si>
  <si>
    <t>Bright sunlight bothers you</t>
  </si>
  <si>
    <t>Braided (Warrior's)</t>
  </si>
  <si>
    <t>Ringlets</t>
  </si>
  <si>
    <t>Balding</t>
  </si>
  <si>
    <t>Albino</t>
  </si>
  <si>
    <t>Translucent</t>
  </si>
  <si>
    <t>Wan</t>
  </si>
  <si>
    <t>Very Pale</t>
  </si>
  <si>
    <t>Milky</t>
  </si>
  <si>
    <t>Pale</t>
  </si>
  <si>
    <t>Untanned</t>
  </si>
  <si>
    <t>Freckled</t>
  </si>
  <si>
    <t>Tawny</t>
  </si>
  <si>
    <t>Swarthy</t>
  </si>
  <si>
    <t>Olive</t>
  </si>
  <si>
    <t>Number</t>
  </si>
  <si>
    <t>Comments</t>
  </si>
  <si>
    <t>Reduction</t>
  </si>
  <si>
    <t>Permanent</t>
  </si>
  <si>
    <t>Hex</t>
  </si>
  <si>
    <t>Cantrip</t>
  </si>
  <si>
    <t>Faith/Magic modifier</t>
  </si>
  <si>
    <t>The Character gains a bonus of +10% to his TSC% when using Illusion &amp; Transcendental Methods of Magick</t>
  </si>
  <si>
    <t>Very Heavy Warhorse</t>
  </si>
  <si>
    <t>Canon</t>
  </si>
  <si>
    <t>Primary Belief</t>
  </si>
  <si>
    <t>Secondary Belief</t>
  </si>
  <si>
    <t>Skill %</t>
  </si>
  <si>
    <t>Brothel Worker</t>
  </si>
  <si>
    <t>Dented Chin</t>
  </si>
  <si>
    <t>Thin-Lipped</t>
  </si>
  <si>
    <t>Thick-Lipped</t>
  </si>
  <si>
    <t>Full-Lipped</t>
  </si>
  <si>
    <t>Shoulder-Length</t>
  </si>
  <si>
    <t>Mid-Back</t>
  </si>
  <si>
    <t>If Fighter/Knight, were these given?</t>
  </si>
  <si>
    <t>In "Feudal Service"?</t>
  </si>
  <si>
    <t>B</t>
  </si>
  <si>
    <t>D</t>
  </si>
  <si>
    <t>E</t>
  </si>
  <si>
    <t>F</t>
  </si>
  <si>
    <t>G</t>
  </si>
  <si>
    <t>J</t>
  </si>
  <si>
    <t>K</t>
  </si>
  <si>
    <t>P</t>
  </si>
  <si>
    <t>Q</t>
  </si>
  <si>
    <t>R</t>
  </si>
  <si>
    <t>S</t>
  </si>
  <si>
    <t>T</t>
  </si>
  <si>
    <t>U</t>
  </si>
  <si>
    <t>W</t>
  </si>
  <si>
    <t>X</t>
  </si>
  <si>
    <t>Z</t>
  </si>
  <si>
    <t>AA</t>
  </si>
  <si>
    <t>BB</t>
  </si>
  <si>
    <t>CC</t>
  </si>
  <si>
    <t>DD</t>
  </si>
  <si>
    <t>EE</t>
  </si>
  <si>
    <t>FF</t>
  </si>
  <si>
    <t>Copper Mine Owner</t>
  </si>
  <si>
    <t>Coal Mine Owner</t>
  </si>
  <si>
    <t>Lead Mine Owner</t>
  </si>
  <si>
    <t>Tin Mine Owner</t>
  </si>
  <si>
    <t>Gem Mine Owner</t>
  </si>
  <si>
    <t>Silver Mine Owner</t>
  </si>
  <si>
    <t>Fort. Wine/Spirits (by pint)</t>
  </si>
  <si>
    <t>Alcohol %</t>
  </si>
  <si>
    <t>Cavalry Lances</t>
  </si>
  <si>
    <t>app</t>
  </si>
  <si>
    <t>app ar</t>
  </si>
  <si>
    <t>Steppes War Pony</t>
  </si>
  <si>
    <t>Light Riding Horse</t>
  </si>
  <si>
    <t>Light Pony</t>
  </si>
  <si>
    <t>Medium Mule</t>
  </si>
  <si>
    <t>Mule</t>
  </si>
  <si>
    <t>Riding Pony</t>
  </si>
  <si>
    <t>battle</t>
  </si>
  <si>
    <t>Front</t>
  </si>
  <si>
    <t>Side/Rear</t>
  </si>
  <si>
    <t>Bite</t>
  </si>
  <si>
    <t>Hooves</t>
  </si>
  <si>
    <t>AE3</t>
  </si>
  <si>
    <t>AF3</t>
  </si>
  <si>
    <t>AG3</t>
  </si>
  <si>
    <t>AH3</t>
  </si>
  <si>
    <t>Letter to Ride?</t>
  </si>
  <si>
    <t>AD3</t>
  </si>
  <si>
    <t>Walk/March AP</t>
  </si>
  <si>
    <t>Trot AP</t>
  </si>
  <si>
    <t>Trot Speed</t>
  </si>
  <si>
    <t>Aries/The Ram</t>
  </si>
  <si>
    <t>Taurus/The Bull</t>
  </si>
  <si>
    <t>Gemini/The Twins</t>
  </si>
  <si>
    <t>Cancer/The Crab</t>
  </si>
  <si>
    <t>Leo/The Lion</t>
  </si>
  <si>
    <t>Virgo/The Maiden</t>
  </si>
  <si>
    <t>Libra/The Scales</t>
  </si>
  <si>
    <t>Scorpio/The Eagle</t>
  </si>
  <si>
    <t>Sagittarius/The Archer</t>
  </si>
  <si>
    <t>Capricorn/The Goat</t>
  </si>
  <si>
    <t>Aquarius/The Amphorae</t>
  </si>
  <si>
    <t>Pisces/The Fish</t>
  </si>
  <si>
    <t>Lore of Correspondences</t>
  </si>
  <si>
    <t>Dagger Sheath</t>
  </si>
  <si>
    <t>Detect Hidden Object</t>
  </si>
  <si>
    <t>strenuous</t>
  </si>
  <si>
    <t>human</t>
  </si>
  <si>
    <t>wood elves</t>
  </si>
  <si>
    <t>Great Elves</t>
  </si>
  <si>
    <t>Dwarves</t>
  </si>
  <si>
    <t>Longsword</t>
  </si>
  <si>
    <t>Major (Serious) Allergic Reaction</t>
  </si>
  <si>
    <t>Sheet of Waters of the Sea Drake</t>
  </si>
  <si>
    <t>Jet of Magick Water</t>
  </si>
  <si>
    <t>Spray of Magick Water</t>
  </si>
  <si>
    <t>Water Bomb of Magick Water</t>
  </si>
  <si>
    <t>Water Bomb of the Undine</t>
  </si>
  <si>
    <t>Water Bomb of the Sea Drake</t>
  </si>
  <si>
    <t>Jet of the Undine</t>
  </si>
  <si>
    <t>Jet of the Sea Drake</t>
  </si>
  <si>
    <t>Engraver (Mint Engraver)</t>
  </si>
  <si>
    <t>Farrier</t>
  </si>
  <si>
    <t>Painter</t>
  </si>
  <si>
    <t>Peddler</t>
  </si>
  <si>
    <t>Street Kid</t>
  </si>
  <si>
    <t>Clothing &amp; equipment selected in this section will appear on the relevant Character Sheet pages.</t>
  </si>
  <si>
    <t>Wt</t>
  </si>
  <si>
    <t>Field/Dried Rations</t>
  </si>
  <si>
    <t>Fresh Rations</t>
  </si>
  <si>
    <t>Extras</t>
  </si>
  <si>
    <t>Total NU</t>
  </si>
  <si>
    <t>Totals</t>
  </si>
  <si>
    <t>Days Food</t>
  </si>
  <si>
    <t>Seasoning</t>
  </si>
  <si>
    <t>Dried Fish</t>
  </si>
  <si>
    <t>Fire-Walking</t>
  </si>
  <si>
    <t>FP</t>
  </si>
  <si>
    <t>spd.</t>
  </si>
  <si>
    <t>rat.</t>
  </si>
  <si>
    <t>Wooden Mug</t>
  </si>
  <si>
    <t>Pewter Bowl</t>
  </si>
  <si>
    <t>Pewter Chalice</t>
  </si>
  <si>
    <t>Soap: Bath</t>
  </si>
  <si>
    <t>Bailiff</t>
  </si>
  <si>
    <t>Birth Sign:</t>
  </si>
  <si>
    <t>LCAP:</t>
  </si>
  <si>
    <t>CCAP:</t>
  </si>
  <si>
    <t>Jump:</t>
  </si>
  <si>
    <t>BCS%</t>
  </si>
  <si>
    <t>Body:</t>
  </si>
  <si>
    <t>Fatigue:</t>
  </si>
  <si>
    <t>Active:</t>
  </si>
  <si>
    <t>BAP:</t>
  </si>
  <si>
    <t>Father's Social Class:</t>
  </si>
  <si>
    <t>Father's Vocation:</t>
  </si>
  <si>
    <t>Sibling Rank:</t>
  </si>
  <si>
    <t>Family Status:</t>
  </si>
  <si>
    <t>Missile</t>
  </si>
  <si>
    <t>Modifier</t>
  </si>
  <si>
    <t>Skirt</t>
  </si>
  <si>
    <t>Wimple</t>
  </si>
  <si>
    <t>Total</t>
  </si>
  <si>
    <t>Frivolous</t>
  </si>
  <si>
    <t>Overconfident</t>
  </si>
  <si>
    <t>Success with a Primary skill</t>
  </si>
  <si>
    <t>Mages</t>
  </si>
  <si>
    <t>Priestly Mages</t>
  </si>
  <si>
    <t>Pharmacology &amp; Medicine</t>
  </si>
  <si>
    <t>Law</t>
  </si>
  <si>
    <t>Debate</t>
  </si>
  <si>
    <t>Character's Name:</t>
  </si>
  <si>
    <t>Character's Race:</t>
  </si>
  <si>
    <t>Trollish</t>
  </si>
  <si>
    <t>Ogre</t>
  </si>
  <si>
    <t>Avian</t>
  </si>
  <si>
    <t>Canine</t>
  </si>
  <si>
    <t>Feline</t>
  </si>
  <si>
    <t>Hooven</t>
  </si>
  <si>
    <t>Mage: Gardener Mage</t>
  </si>
  <si>
    <t>Mage: Hex Master/Mistress</t>
  </si>
  <si>
    <t>Barley Flour</t>
  </si>
  <si>
    <t>Rye Flour</t>
  </si>
  <si>
    <t>Method  Level</t>
  </si>
  <si>
    <t>bite type</t>
  </si>
  <si>
    <t>hooves type</t>
  </si>
  <si>
    <t>Unbeliever</t>
  </si>
  <si>
    <t>Spell List</t>
  </si>
  <si>
    <t>Spell Name</t>
  </si>
  <si>
    <t>Method</t>
  </si>
  <si>
    <t>Available</t>
  </si>
  <si>
    <t>Success</t>
  </si>
  <si>
    <t>(Y / N)</t>
  </si>
  <si>
    <t>Chance%</t>
  </si>
  <si>
    <t>Money</t>
  </si>
  <si>
    <t>GG</t>
  </si>
  <si>
    <t>HH</t>
  </si>
  <si>
    <t>PR</t>
  </si>
  <si>
    <t>KG</t>
  </si>
  <si>
    <t>None</t>
  </si>
  <si>
    <t>Holding</t>
  </si>
  <si>
    <t>base $</t>
  </si>
  <si>
    <t>Status $</t>
  </si>
  <si>
    <t>House?</t>
  </si>
  <si>
    <t>Clan?</t>
  </si>
  <si>
    <t>Base Attribute Cost:</t>
  </si>
  <si>
    <t>Accumulated Experience Cost:</t>
  </si>
  <si>
    <t>Current Experience Level:</t>
  </si>
  <si>
    <t xml:space="preserve">Romance </t>
  </si>
  <si>
    <t>Conjuror</t>
  </si>
  <si>
    <t>Hexmaster</t>
  </si>
  <si>
    <t>Lugh</t>
  </si>
  <si>
    <t>Manannan</t>
  </si>
  <si>
    <t>(Base)</t>
  </si>
  <si>
    <t>Hex Master/Wizard/ Magical Healer</t>
  </si>
  <si>
    <t>Mathematics Mage</t>
  </si>
  <si>
    <t>Medium Mage</t>
  </si>
  <si>
    <t>Symbolist</t>
  </si>
  <si>
    <t>Mother(s)</t>
  </si>
  <si>
    <t>Pork Dripping</t>
  </si>
  <si>
    <t>Beef Dripping</t>
  </si>
  <si>
    <t>Tallow</t>
  </si>
  <si>
    <t>Social Status Bonus Skills -</t>
  </si>
  <si>
    <t>chgs</t>
  </si>
  <si>
    <t>Create spells</t>
  </si>
  <si>
    <t>Completing a minor quest</t>
  </si>
  <si>
    <t>Completing a major quest</t>
  </si>
  <si>
    <t>Role playing in character</t>
  </si>
  <si>
    <t>Surviving an adventure</t>
  </si>
  <si>
    <t>Lesser Salve</t>
  </si>
  <si>
    <t>Greater Salve</t>
  </si>
  <si>
    <t>Interpret the Omens</t>
  </si>
  <si>
    <t>Fire</t>
  </si>
  <si>
    <t>Transmutational</t>
  </si>
  <si>
    <t>Water</t>
  </si>
  <si>
    <t>Druidic</t>
  </si>
  <si>
    <t>Necromantic</t>
  </si>
  <si>
    <t>Common</t>
  </si>
  <si>
    <t>Svelte</t>
  </si>
  <si>
    <t>Nightvision - Cat's Eyes</t>
  </si>
  <si>
    <t>Greater Fright</t>
  </si>
  <si>
    <t>Fear</t>
  </si>
  <si>
    <t>Absolute Str Rating:</t>
  </si>
  <si>
    <t>Skill Name:</t>
  </si>
  <si>
    <t>Bird</t>
  </si>
  <si>
    <t>Cat</t>
  </si>
  <si>
    <t>Weasel</t>
  </si>
  <si>
    <t>Ferret</t>
  </si>
  <si>
    <t>Dog</t>
  </si>
  <si>
    <t>Game Animal</t>
  </si>
  <si>
    <t>Bird of Prey</t>
  </si>
  <si>
    <t>superior</t>
  </si>
  <si>
    <t>superb</t>
  </si>
  <si>
    <t>great</t>
  </si>
  <si>
    <t>Medium Warhorse</t>
  </si>
  <si>
    <t>Light Warhorse</t>
  </si>
  <si>
    <t>Character's Holding Type:</t>
  </si>
  <si>
    <t>"Tourney Ransom"</t>
  </si>
  <si>
    <t>Wandering Strongman</t>
  </si>
  <si>
    <t>Wheelwright</t>
  </si>
  <si>
    <t>Keeper of the Wardrobe</t>
  </si>
  <si>
    <t>Kite Maker</t>
  </si>
  <si>
    <t>Charcoaler</t>
  </si>
  <si>
    <t>Knife Thrower Entertainer</t>
  </si>
  <si>
    <t>Language Scholar</t>
  </si>
  <si>
    <t>Limner</t>
  </si>
  <si>
    <t>Siege Engineer</t>
  </si>
  <si>
    <t>Ship Builder</t>
  </si>
  <si>
    <t>Usher</t>
  </si>
  <si>
    <t>Seneschal</t>
  </si>
  <si>
    <t>Town Crier</t>
  </si>
  <si>
    <t>Town Beadle</t>
  </si>
  <si>
    <t>Tax Collector</t>
  </si>
  <si>
    <t>Tavern/Inn Cook</t>
  </si>
  <si>
    <t>Bind Fear</t>
  </si>
  <si>
    <t>Roll</t>
  </si>
  <si>
    <t>Burning Touch - Normal Fire</t>
  </si>
  <si>
    <t>Fire Devil</t>
  </si>
  <si>
    <t>Great Fire Devil</t>
  </si>
  <si>
    <t>Greatest Fire Tornado (F5) (Holocaust Storm )</t>
  </si>
  <si>
    <t>Great Fire Tornado (F2) (Fire Storm)</t>
  </si>
  <si>
    <t>Command Magick Water</t>
  </si>
  <si>
    <t>Create Magick Water</t>
  </si>
  <si>
    <t>Command Waters of the Undine</t>
  </si>
  <si>
    <t>Create Waters of the Undine</t>
  </si>
  <si>
    <t>Command Waters of the Sea Drake</t>
  </si>
  <si>
    <t>Create Waters of the Sea Drake</t>
  </si>
  <si>
    <t>Remove Magick Water</t>
  </si>
  <si>
    <t>Wall of Magick Water</t>
  </si>
  <si>
    <t>Wall of Waters of the Undine</t>
  </si>
  <si>
    <t>Wall of Waters of the Sea Drake</t>
  </si>
  <si>
    <t>Sheet of Magick Water</t>
  </si>
  <si>
    <t>Sheet of Waters of the Undine</t>
  </si>
  <si>
    <t>Metal Mirror Large (2' x 6')</t>
  </si>
  <si>
    <t>Chair, Pine/Oak</t>
  </si>
  <si>
    <t>Dwarven Tongue (Formal)</t>
  </si>
  <si>
    <t>Demonic (Challenge)</t>
  </si>
  <si>
    <t>Draconic (Ancient)</t>
  </si>
  <si>
    <t>Arkon</t>
  </si>
  <si>
    <t>Nagas (Black)</t>
  </si>
  <si>
    <t>Nagas (White)</t>
  </si>
  <si>
    <t>Saurian (Lizardmen)</t>
  </si>
  <si>
    <t>Scorpion Men</t>
  </si>
  <si>
    <t>Saurian (Dragon Kin) (Native)</t>
  </si>
  <si>
    <t>Saurian (Dragon Kin) (Ancient)</t>
  </si>
  <si>
    <t>Saurian (Salamons) (Common)</t>
  </si>
  <si>
    <t>Saurian (Salamons) (Native)</t>
  </si>
  <si>
    <t>Sheep Herding</t>
  </si>
  <si>
    <t>Animal Riding</t>
  </si>
  <si>
    <t>BV+DISC</t>
  </si>
  <si>
    <t>Active Duty</t>
  </si>
  <si>
    <t>Father's Vocation</t>
  </si>
  <si>
    <t>Curses</t>
  </si>
  <si>
    <t>Phobias</t>
  </si>
  <si>
    <t>Special Abilities</t>
  </si>
  <si>
    <t>AGILITY</t>
  </si>
  <si>
    <t>APPEARANCE</t>
  </si>
  <si>
    <t>Master Miller</t>
  </si>
  <si>
    <t>Master of the Mint</t>
  </si>
  <si>
    <t>Master Vintner</t>
  </si>
  <si>
    <t>Silvered Chalice</t>
  </si>
  <si>
    <t>Coat of The Fire Drake</t>
  </si>
  <si>
    <t>Walk on Water</t>
  </si>
  <si>
    <t>6+4</t>
  </si>
  <si>
    <t>Whirlpool</t>
  </si>
  <si>
    <t>Small Dog</t>
  </si>
  <si>
    <t>Medium Dog</t>
  </si>
  <si>
    <t>Dance Mage</t>
  </si>
  <si>
    <t xml:space="preserve">Dance Priestly Mage </t>
  </si>
  <si>
    <t>/Day</t>
  </si>
  <si>
    <t>Sex</t>
  </si>
  <si>
    <t>Heir?</t>
  </si>
  <si>
    <t>Javelin of Ice</t>
  </si>
  <si>
    <t>Table, Pine/Oak</t>
  </si>
  <si>
    <t>Large Table, Pine/Oak</t>
  </si>
  <si>
    <t>Wardrobe Pine/Oak</t>
  </si>
  <si>
    <t>Bed with Canopy Pine/Oak</t>
  </si>
  <si>
    <t>Great Seat, Pine/Oak</t>
  </si>
  <si>
    <t>Iron Drill Bits (6)</t>
  </si>
  <si>
    <t>Small Game Bird</t>
  </si>
  <si>
    <t>4'x6' Ground Sheet</t>
  </si>
  <si>
    <t>Pony Cart (500 lbs. Capacity)</t>
  </si>
  <si>
    <t>Leather Bucket (5 Gal.)</t>
  </si>
  <si>
    <t>Amphora (25 Gal.)</t>
  </si>
  <si>
    <t>Amphora (50 Gal.)</t>
  </si>
  <si>
    <t>Barrel, Wood (25 Gal.)</t>
  </si>
  <si>
    <t>Barrel, Wood (50 Gal.)</t>
  </si>
  <si>
    <t>Cask, Wood (10 Gal.)</t>
  </si>
  <si>
    <t>Cask. Wood (2.5 Gal.)</t>
  </si>
  <si>
    <t>Crock, Gilded (10 Gal.)</t>
  </si>
  <si>
    <t>Crock, Gilded (5 Gal.)</t>
  </si>
  <si>
    <t>Animate War Tree Type II</t>
  </si>
  <si>
    <t>Animate War Tree Type III</t>
  </si>
  <si>
    <t>Animate War Tree Type IV</t>
  </si>
  <si>
    <t>Elven Warden Mage</t>
  </si>
  <si>
    <t>Master Armourer Magus</t>
  </si>
  <si>
    <t>Wall</t>
  </si>
  <si>
    <t>Sheet</t>
  </si>
  <si>
    <t>Landslide</t>
  </si>
  <si>
    <t>Quake</t>
  </si>
  <si>
    <t>Remove Fire</t>
  </si>
  <si>
    <t>Intensify Fire</t>
  </si>
  <si>
    <t>Create Smoke</t>
  </si>
  <si>
    <t>Shape Shift-Large Attack Animal</t>
  </si>
  <si>
    <t>Shape Shift-Small Animal</t>
  </si>
  <si>
    <t>Shape Shift-Small Bird</t>
  </si>
  <si>
    <t>Speak with Birds</t>
  </si>
  <si>
    <t>Speak with Canines and Foxes</t>
  </si>
  <si>
    <t>Speak with Felines</t>
  </si>
  <si>
    <t>Speak with Hooved Animals</t>
  </si>
  <si>
    <t>Speak with Small Wild Creatures</t>
  </si>
  <si>
    <t>Rust Metal</t>
  </si>
  <si>
    <t>Shaved</t>
  </si>
  <si>
    <t>Pageboy</t>
  </si>
  <si>
    <t>Rope Cable, 3", per 10'</t>
  </si>
  <si>
    <t>Rope Ladder, per 10'</t>
  </si>
  <si>
    <t>Wire, per 10'</t>
  </si>
  <si>
    <t>Stonemason's Chisel</t>
  </si>
  <si>
    <t>Wood Chisel</t>
  </si>
  <si>
    <t>Construction Nails Iron (40)</t>
  </si>
  <si>
    <t>Seat Cushion</t>
  </si>
  <si>
    <t>Mosquito Net for Bed</t>
  </si>
  <si>
    <t>(Not all Worksheets are displayed.)</t>
  </si>
  <si>
    <t>Orphic</t>
  </si>
  <si>
    <t>Poetic Recitation</t>
  </si>
  <si>
    <t>Sculpting</t>
  </si>
  <si>
    <t>Summon Greater Totem</t>
  </si>
  <si>
    <t>Crock, Sterling Silver (2.5 Gal.)</t>
  </si>
  <si>
    <t>Paint (1 Gal.) Green</t>
  </si>
  <si>
    <t>Paint (1 Gal.) Brown</t>
  </si>
  <si>
    <t>Paint (1 Gal.) black</t>
  </si>
  <si>
    <t>Silver Thread</t>
  </si>
  <si>
    <t>Spinning Wheel</t>
  </si>
  <si>
    <t>Weaving Loom</t>
  </si>
  <si>
    <t>Rake</t>
  </si>
  <si>
    <t>Hoe</t>
  </si>
  <si>
    <t>Digging Fork</t>
  </si>
  <si>
    <t xml:space="preserve">Mattock </t>
  </si>
  <si>
    <t>Scythe</t>
  </si>
  <si>
    <t>Lead Ingot</t>
  </si>
  <si>
    <t>Copper Ingot</t>
  </si>
  <si>
    <t>Iron Ingot</t>
  </si>
  <si>
    <t>Tin Ingot</t>
  </si>
  <si>
    <t>The Great Elixir</t>
  </si>
  <si>
    <t>Potion vs Illness</t>
  </si>
  <si>
    <t>Lore or Diplomacy &amp; Politics</t>
  </si>
  <si>
    <t>Create/Command Plant (Sprout)</t>
  </si>
  <si>
    <t>Create/Command Plant (Create)</t>
  </si>
  <si>
    <t>Draw Shafts</t>
  </si>
  <si>
    <t>Draw Stave</t>
  </si>
  <si>
    <t>Least Shape Wood</t>
  </si>
  <si>
    <t>Lesser Shape Wood</t>
  </si>
  <si>
    <t>Thekk</t>
  </si>
  <si>
    <t>Iamskjaldi</t>
  </si>
  <si>
    <t>Har</t>
  </si>
  <si>
    <t>Radsvid</t>
  </si>
  <si>
    <t>Gannddverg</t>
  </si>
  <si>
    <t>Mjodvitnir</t>
  </si>
  <si>
    <t>Vinnddverg</t>
  </si>
  <si>
    <t>Minor</t>
  </si>
  <si>
    <t>Major</t>
  </si>
  <si>
    <t>Great</t>
  </si>
  <si>
    <t>Heavy Shield Play</t>
  </si>
  <si>
    <t>Materia  Magica</t>
  </si>
  <si>
    <t xml:space="preserve">Bronze </t>
  </si>
  <si>
    <t xml:space="preserve">Lapis Lazuli </t>
  </si>
  <si>
    <t xml:space="preserve">Beech </t>
  </si>
  <si>
    <t xml:space="preserve">Orchid </t>
  </si>
  <si>
    <t xml:space="preserve">Lake Water </t>
  </si>
  <si>
    <t xml:space="preserve">Seal </t>
  </si>
  <si>
    <t xml:space="preserve">Ox </t>
  </si>
  <si>
    <t># Of Qty.</t>
  </si>
  <si>
    <t>2-4 Quantities</t>
  </si>
  <si>
    <t>10 Quantities</t>
  </si>
  <si>
    <t>1 Quantity</t>
  </si>
  <si>
    <t>Snake Performing</t>
  </si>
  <si>
    <t>War Dog Training &amp; Handler</t>
  </si>
  <si>
    <t>Chemical Lore</t>
  </si>
  <si>
    <t>Handwriting Analysis</t>
  </si>
  <si>
    <t>Jets Of Flame - Normal Fire</t>
  </si>
  <si>
    <t>Child</t>
  </si>
  <si>
    <t>weight</t>
  </si>
  <si>
    <t>subsist</t>
  </si>
  <si>
    <t>average</t>
  </si>
  <si>
    <t>Music (Read/Write)</t>
  </si>
  <si>
    <t>Battlefield Meditation</t>
  </si>
  <si>
    <t>Late Cav. Plate</t>
  </si>
  <si>
    <t>Jousting Armor</t>
  </si>
  <si>
    <t>parry pole</t>
  </si>
  <si>
    <t>s block - buckler</t>
  </si>
  <si>
    <t>s  bash - buckler</t>
  </si>
  <si>
    <t>s block - target</t>
  </si>
  <si>
    <t>s  bash - target</t>
  </si>
  <si>
    <t>water</t>
  </si>
  <si>
    <t>sleeping/dreaming</t>
  </si>
  <si>
    <t>aging</t>
  </si>
  <si>
    <t>snakes</t>
  </si>
  <si>
    <t>intense light</t>
  </si>
  <si>
    <t>personal death</t>
  </si>
  <si>
    <t>strangers</t>
  </si>
  <si>
    <t>Rolled Special abilities?</t>
  </si>
  <si>
    <t>#</t>
  </si>
  <si>
    <t>Dried Cooking Herbs</t>
  </si>
  <si>
    <t>Dried Peas</t>
  </si>
  <si>
    <t>Smoked Sausage</t>
  </si>
  <si>
    <t>Various Dried Fruits</t>
  </si>
  <si>
    <t>Well-Cured Bacon</t>
  </si>
  <si>
    <t>Goblinoid: Scout (Takri)</t>
  </si>
  <si>
    <t>Goblinoid: Warrior (Ahal)</t>
  </si>
  <si>
    <t>Grocer</t>
  </si>
  <si>
    <t>Herder</t>
  </si>
  <si>
    <t>Historical Scholar</t>
  </si>
  <si>
    <t xml:space="preserve">The Mage can enchant specific materials at half the normal time. Specify a material for each ML </t>
  </si>
  <si>
    <t xml:space="preserve">Knowledge of this Law allows the Mage to reduce the FP cost by 1 FP for every 5 FP a spell costs . </t>
  </si>
  <si>
    <t>Psychic Powers?</t>
  </si>
  <si>
    <t>spells per day</t>
  </si>
  <si>
    <t xml:space="preserve"> Arab Scimitar</t>
  </si>
  <si>
    <t xml:space="preserve"> Knight's Sword</t>
  </si>
  <si>
    <t xml:space="preserve"> Longsword</t>
  </si>
  <si>
    <t>Yataghan</t>
  </si>
  <si>
    <t>Falchon</t>
  </si>
  <si>
    <t xml:space="preserve"> Claymore</t>
  </si>
  <si>
    <t>Knight's Great</t>
  </si>
  <si>
    <t>2-Hand Scimitar</t>
  </si>
  <si>
    <t xml:space="preserve"> Zwei-hander</t>
  </si>
  <si>
    <t>Slash</t>
  </si>
  <si>
    <t>8-10</t>
  </si>
  <si>
    <t>Lucerne Hammer</t>
  </si>
  <si>
    <t>Cavalry Flail</t>
  </si>
  <si>
    <t>Writing Tablet, Slate</t>
  </si>
  <si>
    <t>Quill Pen</t>
  </si>
  <si>
    <t>Grain &amp; Feed: Farm</t>
  </si>
  <si>
    <t>Human</t>
  </si>
  <si>
    <t>Armoured Skin - Armour of Preservation</t>
  </si>
  <si>
    <t>Farmer</t>
  </si>
  <si>
    <t>Horse Handler</t>
  </si>
  <si>
    <t>Cowherd</t>
  </si>
  <si>
    <t>Shepherd</t>
  </si>
  <si>
    <t>Castle Servant</t>
  </si>
  <si>
    <t>Cook</t>
  </si>
  <si>
    <t>Blacksmith</t>
  </si>
  <si>
    <t>Laborer</t>
  </si>
  <si>
    <t>Materia Medicina</t>
  </si>
  <si>
    <t>AR%</t>
  </si>
  <si>
    <t>Curr DF</t>
  </si>
  <si>
    <t>ML</t>
  </si>
  <si>
    <t>Lesser Focus?</t>
  </si>
  <si>
    <t>Greater Focus?</t>
  </si>
  <si>
    <t>Curr</t>
  </si>
  <si>
    <t>Max.  MRF</t>
  </si>
  <si>
    <t>=</t>
  </si>
  <si>
    <t>Duty?</t>
  </si>
  <si>
    <t>Skillskape Difficulty Levels</t>
  </si>
  <si>
    <t>Winemaking</t>
  </si>
  <si>
    <t>Vision of the Ancients</t>
  </si>
  <si>
    <t>Walk of Ages</t>
  </si>
  <si>
    <t>Cave of Ages</t>
  </si>
  <si>
    <t>draw med</t>
  </si>
  <si>
    <t>unsling heavy</t>
  </si>
  <si>
    <t>Torch (4 hr.)</t>
  </si>
  <si>
    <t>Candle, Wax (6 hr x 4)</t>
  </si>
  <si>
    <t>Enchant Materials</t>
  </si>
  <si>
    <t>Transfer</t>
  </si>
  <si>
    <t>Link</t>
  </si>
  <si>
    <t>design notes on the introduction page</t>
  </si>
  <si>
    <t>Laws of Magick</t>
  </si>
  <si>
    <t>Dislike</t>
  </si>
  <si>
    <t>Hate</t>
  </si>
  <si>
    <t>Arrogant</t>
  </si>
  <si>
    <t>Absent-Minded</t>
  </si>
  <si>
    <t>Twice-Cursed</t>
  </si>
  <si>
    <t>Cowardly</t>
  </si>
  <si>
    <t>Cannot Hold Liquor</t>
  </si>
  <si>
    <t>Compulsive Gambler</t>
  </si>
  <si>
    <t>Compulsive Liar</t>
  </si>
  <si>
    <t>Larcenous</t>
  </si>
  <si>
    <t xml:space="preserve">Intimidation </t>
  </si>
  <si>
    <t xml:space="preserve">Leadership </t>
  </si>
  <si>
    <t>Cloak of Shadows (Mantle of Darkness)</t>
  </si>
  <si>
    <t>Walk Unhindered</t>
  </si>
  <si>
    <t>Materia Medicina: Healing Lore Skills</t>
  </si>
  <si>
    <t>Materia Theologia Skills</t>
  </si>
  <si>
    <t>Prayer for Forgiveness</t>
  </si>
  <si>
    <t>Prayer for Guidance</t>
  </si>
  <si>
    <t>Prayer for Insight</t>
  </si>
  <si>
    <t>Prayer for Luck</t>
  </si>
  <si>
    <t>Prayer for Protection</t>
  </si>
  <si>
    <t>Prayer for Skill or Craft</t>
  </si>
  <si>
    <t>Artificers:</t>
  </si>
  <si>
    <t>Cantor</t>
  </si>
  <si>
    <t>Tarocchi (Tarock)</t>
  </si>
  <si>
    <t># carried (if applicable)</t>
  </si>
  <si>
    <t>Finding &amp; Building Campsites</t>
  </si>
  <si>
    <t>Artificer: joiner</t>
  </si>
  <si>
    <t>Artificer: mason</t>
  </si>
  <si>
    <t>Titled Noble</t>
  </si>
  <si>
    <t>Royalty</t>
  </si>
  <si>
    <t>Serf</t>
  </si>
  <si>
    <t>Noble</t>
  </si>
  <si>
    <t>Townsman</t>
  </si>
  <si>
    <t>Factor</t>
  </si>
  <si>
    <t>Skills</t>
  </si>
  <si>
    <t>Constitution Table</t>
  </si>
  <si>
    <t>Basic Chivalric Training?</t>
  </si>
  <si>
    <t>birth month</t>
  </si>
  <si>
    <t>Description of the Mount</t>
  </si>
  <si>
    <r>
      <t>Constitution</t>
    </r>
    <r>
      <rPr>
        <sz val="10"/>
        <rFont val="Times New Roman"/>
        <family val="1"/>
      </rPr>
      <t xml:space="preserve"> (CON):</t>
    </r>
  </si>
  <si>
    <t>Antidotes</t>
  </si>
  <si>
    <t>Some of the "points paid for" options on "Main Page" do not work. Some do but require a percentile value to determine the relevant number of points.</t>
  </si>
  <si>
    <t>http://www.aedificium.org/</t>
  </si>
  <si>
    <t>circatrix</t>
  </si>
  <si>
    <t>Trews</t>
  </si>
  <si>
    <t>Hood</t>
  </si>
  <si>
    <t>Pouch</t>
  </si>
  <si>
    <t>Pocket</t>
  </si>
  <si>
    <t>Veil</t>
  </si>
  <si>
    <t>Vest</t>
  </si>
  <si>
    <t>Jerkin</t>
  </si>
  <si>
    <t>Tabard</t>
  </si>
  <si>
    <t>Fey Magical Bowery +8</t>
  </si>
  <si>
    <t>Fey Magical Fletching +8</t>
  </si>
  <si>
    <t>Strike with Power +8</t>
  </si>
  <si>
    <t>Greater Fey Magical Bowery +9</t>
  </si>
  <si>
    <t>Ruddy</t>
  </si>
  <si>
    <t>Red-Brown</t>
  </si>
  <si>
    <t>Jet Black</t>
  </si>
  <si>
    <t>Silky</t>
  </si>
  <si>
    <t>Satiny</t>
  </si>
  <si>
    <t>Smooth</t>
  </si>
  <si>
    <t>Worn</t>
  </si>
  <si>
    <t xml:space="preserve">Arcane Short Sword Blade of Greater Damage </t>
  </si>
  <si>
    <t xml:space="preserve">Arcane Long Sword Blade </t>
  </si>
  <si>
    <t xml:space="preserve">Arcane Long Sword Blade of Greater Damage </t>
  </si>
  <si>
    <t>Large Dog</t>
  </si>
  <si>
    <t>B101</t>
  </si>
  <si>
    <t>C101</t>
  </si>
  <si>
    <t>D101</t>
  </si>
  <si>
    <t>E101</t>
  </si>
  <si>
    <t>F101</t>
  </si>
  <si>
    <t>G101</t>
  </si>
  <si>
    <t>H101</t>
  </si>
  <si>
    <t>I101</t>
  </si>
  <si>
    <t>J101</t>
  </si>
  <si>
    <t>K101</t>
  </si>
  <si>
    <t>L101</t>
  </si>
  <si>
    <t>M101</t>
  </si>
  <si>
    <t>N101</t>
  </si>
  <si>
    <t>O101</t>
  </si>
  <si>
    <t>P101</t>
  </si>
  <si>
    <t>Q101</t>
  </si>
  <si>
    <t>R101</t>
  </si>
  <si>
    <t>S101</t>
  </si>
  <si>
    <t>T101</t>
  </si>
  <si>
    <t>U101</t>
  </si>
  <si>
    <t>V101</t>
  </si>
  <si>
    <t>Keen Sight</t>
  </si>
  <si>
    <t>Keen Hearing</t>
  </si>
  <si>
    <t>Far Sight</t>
  </si>
  <si>
    <t>Breathe Water</t>
  </si>
  <si>
    <t>Evaluate Steel Weapons &amp; Armour</t>
  </si>
  <si>
    <t>Sharpen Blade</t>
  </si>
  <si>
    <t>Heal Rust</t>
  </si>
  <si>
    <t>Highly Resistant to Magick</t>
  </si>
  <si>
    <t>Cure Blight</t>
  </si>
  <si>
    <t>Grow in Haste</t>
  </si>
  <si>
    <t>Speak with Plants</t>
  </si>
  <si>
    <t>Insect Pests</t>
  </si>
  <si>
    <t>Animal Pests</t>
  </si>
  <si>
    <t>Rowan Grove</t>
  </si>
  <si>
    <t>Open Way</t>
  </si>
  <si>
    <t>Faerie Ring</t>
  </si>
  <si>
    <t>Overgrown Path</t>
  </si>
  <si>
    <t xml:space="preserve">Banish  Greatest Spirit </t>
  </si>
  <si>
    <t>Streetwise</t>
  </si>
  <si>
    <t>%</t>
  </si>
  <si>
    <t>Cost</t>
  </si>
  <si>
    <t>Costs</t>
  </si>
  <si>
    <t>STAMINA</t>
  </si>
  <si>
    <t>OWN LANGUAGE</t>
  </si>
  <si>
    <t>M</t>
  </si>
  <si>
    <t>Y</t>
  </si>
  <si>
    <t>V</t>
  </si>
  <si>
    <t>N</t>
  </si>
  <si>
    <t>Aspect</t>
  </si>
  <si>
    <t>Height</t>
  </si>
  <si>
    <t>if druid</t>
  </si>
  <si>
    <t>Number Known?</t>
  </si>
  <si>
    <t>of 29 Laws</t>
  </si>
  <si>
    <t>Banded</t>
  </si>
  <si>
    <t>Mottled</t>
  </si>
  <si>
    <t>Chain, Heavy, per Foot</t>
  </si>
  <si>
    <t>Chain, Light per Foot</t>
  </si>
  <si>
    <t>Portable Forge</t>
  </si>
  <si>
    <t>Smithy Forge</t>
  </si>
  <si>
    <t>Armorer's Forge</t>
  </si>
  <si>
    <t>Sunflower Oil (1 Pt.)</t>
  </si>
  <si>
    <t>Olive Oil (1 Pt.)</t>
  </si>
  <si>
    <t>Virgin Olive Oil (1 Pt.)</t>
  </si>
  <si>
    <t>Extra Virgin Olive Oil (1 Pt.)</t>
  </si>
  <si>
    <t>Grand Cru Red Wine (1 Pt.)</t>
  </si>
  <si>
    <t>Fine Red Wine (1 Pt.)</t>
  </si>
  <si>
    <t>open spaces</t>
  </si>
  <si>
    <t>thunder/lightning</t>
  </si>
  <si>
    <t>2 Quantities</t>
  </si>
  <si>
    <t>Weight Req’d</t>
  </si>
  <si>
    <t>0.1 Lb.</t>
  </si>
  <si>
    <t>0.005 Lb.</t>
  </si>
  <si>
    <t>being alone</t>
  </si>
  <si>
    <t>dogs</t>
  </si>
  <si>
    <t>large crowds</t>
  </si>
  <si>
    <t>having sex</t>
  </si>
  <si>
    <t>women</t>
  </si>
  <si>
    <t>sunlight</t>
  </si>
  <si>
    <t>Wings of Flight</t>
  </si>
  <si>
    <t>Fleece</t>
  </si>
  <si>
    <t>Trial &amp; Error Learning</t>
  </si>
  <si>
    <t>EXP</t>
  </si>
  <si>
    <t>Mental Fugue</t>
  </si>
  <si>
    <t>Increase Inhibition</t>
  </si>
  <si>
    <t>Mass Increase Inhibition</t>
  </si>
  <si>
    <t>Haunting Voices</t>
  </si>
  <si>
    <t>Mass Haunting Voices</t>
  </si>
  <si>
    <t>disc</t>
  </si>
  <si>
    <t>disc ar</t>
  </si>
  <si>
    <t>int</t>
  </si>
  <si>
    <t>int ar</t>
  </si>
  <si>
    <t>wis ar</t>
  </si>
  <si>
    <t>str</t>
  </si>
  <si>
    <t>str ar</t>
  </si>
  <si>
    <t>shoulder height</t>
  </si>
  <si>
    <t>ccap</t>
  </si>
  <si>
    <t>lcap</t>
  </si>
  <si>
    <t>pcap drag</t>
  </si>
  <si>
    <t>pcap wheeled</t>
  </si>
  <si>
    <t>body</t>
  </si>
  <si>
    <t>fatigue</t>
  </si>
  <si>
    <t>bap</t>
  </si>
  <si>
    <t>walk</t>
  </si>
  <si>
    <t>dbl time</t>
  </si>
  <si>
    <t>sprint</t>
  </si>
  <si>
    <t>mrf</t>
  </si>
  <si>
    <t xml:space="preserve">Heavy </t>
  </si>
  <si>
    <t xml:space="preserve">Light </t>
  </si>
  <si>
    <t>CV</t>
  </si>
  <si>
    <t>: Experience Level</t>
  </si>
  <si>
    <t>7' 3"</t>
  </si>
  <si>
    <t>7' 4"</t>
  </si>
  <si>
    <t>Strike with Power +7</t>
  </si>
  <si>
    <t>Chandler</t>
  </si>
  <si>
    <t>Triton</t>
  </si>
  <si>
    <t>Centaur</t>
  </si>
  <si>
    <t>Draft &amp; Pack Animals</t>
  </si>
  <si>
    <t xml:space="preserve">Arcane Axe Head of Greater Damage </t>
  </si>
  <si>
    <t>Daze</t>
  </si>
  <si>
    <t>Mass Daze</t>
  </si>
  <si>
    <t>Good Son/Daughter</t>
  </si>
  <si>
    <t>Violet</t>
  </si>
  <si>
    <t>White</t>
  </si>
  <si>
    <t>Crock/Pot, Porcelain (1 Gal.)</t>
  </si>
  <si>
    <t>Crock/Pot, Pottery (1 Gal.)</t>
  </si>
  <si>
    <t>Crock/Pot, Silvered (1 Gal.)</t>
  </si>
  <si>
    <t>Crock/Pot, Sterling Silver (1 Gal.)</t>
  </si>
  <si>
    <t>Iron Kettle (2 Gal.)</t>
  </si>
  <si>
    <t>Iron Kettle (5 Gal.)</t>
  </si>
  <si>
    <t>check for a formula in the field before</t>
  </si>
  <si>
    <t>entering data!</t>
  </si>
  <si>
    <t>Master of Elements</t>
  </si>
  <si>
    <t>Bought Prof. Level</t>
  </si>
  <si>
    <t>Extraordinary Potential - STRENGTH</t>
  </si>
  <si>
    <t>Extraordinary Potential - WISDOM</t>
  </si>
  <si>
    <t>Command Water</t>
  </si>
  <si>
    <t>Seal of Suleiman the Magnificent</t>
  </si>
  <si>
    <t>Miracles:</t>
  </si>
  <si>
    <t>Is Character Able to be Ordained?</t>
  </si>
  <si>
    <r>
      <t>The "</t>
    </r>
    <r>
      <rPr>
        <b/>
        <sz val="8"/>
        <rFont val="Arial"/>
        <family val="2"/>
      </rPr>
      <t>Familiar</t>
    </r>
    <r>
      <rPr>
        <sz val="8"/>
        <rFont val="Arial"/>
        <family val="2"/>
      </rPr>
      <t>" worksheet details info about the character's companions. - under construction</t>
    </r>
  </si>
  <si>
    <t>Pewter Plate</t>
  </si>
  <si>
    <t>Pewter Spoon</t>
  </si>
  <si>
    <t>Pewter Cup</t>
  </si>
  <si>
    <t>Pewter Mug</t>
  </si>
  <si>
    <t>Potter</t>
  </si>
  <si>
    <t>Master Perfumer</t>
  </si>
  <si>
    <t>Perfumer</t>
  </si>
  <si>
    <t>Apothecary</t>
  </si>
  <si>
    <t>Entertainer</t>
  </si>
  <si>
    <t>Master Artist</t>
  </si>
  <si>
    <t>Master Sculptor</t>
  </si>
  <si>
    <t>Dodge Blow</t>
  </si>
  <si>
    <t>Shield Bash</t>
  </si>
  <si>
    <t>Shield Block</t>
  </si>
  <si>
    <t>Drop Weapon</t>
  </si>
  <si>
    <t>Draw Sheathed</t>
  </si>
  <si>
    <t>Unsling</t>
  </si>
  <si>
    <t>Sheath/Sling</t>
  </si>
  <si>
    <t>Mount Horse</t>
  </si>
  <si>
    <t>Mount Camel</t>
  </si>
  <si>
    <t>Brothel Keeper</t>
  </si>
  <si>
    <t>Stable Hand</t>
  </si>
  <si>
    <t>+</t>
  </si>
  <si>
    <t>INITIATIVE</t>
  </si>
  <si>
    <t>(1D10 roll)</t>
  </si>
  <si>
    <t>Remaining</t>
  </si>
  <si>
    <t xml:space="preserve">ACTION POINT POOL </t>
  </si>
  <si>
    <t>ARMOR MODIFIERS</t>
  </si>
  <si>
    <t>Magical Bowery +6</t>
  </si>
  <si>
    <t>Create Sulphurous Fumes</t>
  </si>
  <si>
    <t>Thowing Iron</t>
  </si>
  <si>
    <t>Gauntlet Bow</t>
  </si>
  <si>
    <t>A. P. Bolts</t>
  </si>
  <si>
    <t>Bolts</t>
  </si>
  <si>
    <t>Forest</t>
  </si>
  <si>
    <t>Lesser Circle of Protection vs Transmutational</t>
  </si>
  <si>
    <t>Lesser Circle of Protection vs Lycanthropes</t>
  </si>
  <si>
    <t>Arming Doublet /Quilted Surcoat</t>
  </si>
  <si>
    <t>Swineherd</t>
  </si>
  <si>
    <t>Rural Carpenter</t>
  </si>
  <si>
    <t>Freehold Stockman</t>
  </si>
  <si>
    <t>Mark</t>
  </si>
  <si>
    <t>Ha'penny</t>
  </si>
  <si>
    <t>Penny</t>
  </si>
  <si>
    <t>Shilling</t>
  </si>
  <si>
    <t>Crown</t>
  </si>
  <si>
    <t>Farthing</t>
  </si>
  <si>
    <t>Coastal Waters</t>
  </si>
  <si>
    <t>Mountains</t>
  </si>
  <si>
    <t>1d10</t>
  </si>
  <si>
    <t>1/2d10</t>
  </si>
  <si>
    <t>Min.</t>
  </si>
  <si>
    <t>Max.</t>
  </si>
  <si>
    <t>Attribute</t>
  </si>
  <si>
    <t>Demanding</t>
  </si>
  <si>
    <t>Difficult</t>
  </si>
  <si>
    <t>Cooking Meat</t>
  </si>
  <si>
    <t>Baking Meat Pies</t>
  </si>
  <si>
    <t>Orc</t>
  </si>
  <si>
    <t>Weather-Beaten</t>
  </si>
  <si>
    <t>Golden Tan</t>
  </si>
  <si>
    <t>Deep Tan</t>
  </si>
  <si>
    <t>Copper-Brown</t>
  </si>
  <si>
    <t>Knives</t>
  </si>
  <si>
    <t>Resist Disease</t>
  </si>
  <si>
    <t>Initial</t>
  </si>
  <si>
    <t xml:space="preserve"> Points</t>
  </si>
  <si>
    <t>Secondary Belief Information:</t>
  </si>
  <si>
    <t>Faith          (Primary)</t>
  </si>
  <si>
    <t>Faith       (Secondary)</t>
  </si>
  <si>
    <t>Midwife</t>
  </si>
  <si>
    <t>Next Action Phases</t>
  </si>
  <si>
    <t>Special (Take the mean of the above 5 alertness skills)</t>
  </si>
  <si>
    <t>The Book of Additional Magick</t>
  </si>
  <si>
    <t xml:space="preserve">Amber </t>
  </si>
  <si>
    <t xml:space="preserve">Poplar </t>
  </si>
  <si>
    <t xml:space="preserve">Cloves </t>
  </si>
  <si>
    <t xml:space="preserve">Milk </t>
  </si>
  <si>
    <t xml:space="preserve">Horse </t>
  </si>
  <si>
    <t xml:space="preserve">Lead </t>
  </si>
  <si>
    <t xml:space="preserve">Garnet </t>
  </si>
  <si>
    <t xml:space="preserve">Ash </t>
  </si>
  <si>
    <t>Musk</t>
  </si>
  <si>
    <t>5*</t>
  </si>
  <si>
    <t xml:space="preserve">Oil </t>
  </si>
  <si>
    <t xml:space="preserve">Goose </t>
  </si>
  <si>
    <t xml:space="preserve">Goat </t>
  </si>
  <si>
    <t xml:space="preserve">Tin </t>
  </si>
  <si>
    <t xml:space="preserve">Amethyst </t>
  </si>
  <si>
    <t xml:space="preserve">Elm </t>
  </si>
  <si>
    <t xml:space="preserve">River Water </t>
  </si>
  <si>
    <t xml:space="preserve">Otter </t>
  </si>
  <si>
    <t>3-8</t>
  </si>
  <si>
    <t>Composite Bow (A.P.)</t>
  </si>
  <si>
    <t>Elvish Longbow (War)</t>
  </si>
  <si>
    <t>Ailil</t>
  </si>
  <si>
    <t>Belenus</t>
  </si>
  <si>
    <t>Morrigan</t>
  </si>
  <si>
    <t>Dance( Priestly)</t>
  </si>
  <si>
    <t>Mage: Elementalist: Air</t>
  </si>
  <si>
    <t>Mage: Elementalist: Earth</t>
  </si>
  <si>
    <t>Mage: Elementalist: Fire</t>
  </si>
  <si>
    <t>Mage: Elementalist: Water</t>
  </si>
  <si>
    <t>Mage: Elementalist: Master of All</t>
  </si>
  <si>
    <t>Mage: Spinner Mage</t>
  </si>
  <si>
    <t>Priestly Mage: Artificer</t>
  </si>
  <si>
    <t>Priestly Mage: Cantor</t>
  </si>
  <si>
    <t>Mage: Mathematics Mage</t>
  </si>
  <si>
    <t>Mage: Tarocchi (Tarock) Mage</t>
  </si>
  <si>
    <t>fp/mi</t>
  </si>
  <si>
    <t>BARDIC VOICE</t>
  </si>
  <si>
    <t>Wizard's Seal</t>
  </si>
  <si>
    <t>Forge coal</t>
  </si>
  <si>
    <t>CORE skills</t>
  </si>
  <si>
    <t>Fiery Arrows - Magick Fire</t>
  </si>
  <si>
    <t>Jug/Pot, Porcelain (2 Pt.)</t>
  </si>
  <si>
    <t>Jug/Pot, Porcelain (4 Pt.)</t>
  </si>
  <si>
    <r>
      <t xml:space="preserve">In order for </t>
    </r>
    <r>
      <rPr>
        <b/>
        <sz val="8"/>
        <color indexed="9"/>
        <rFont val="Arial"/>
        <family val="2"/>
      </rPr>
      <t xml:space="preserve">Character Sheet </t>
    </r>
    <r>
      <rPr>
        <sz val="8"/>
        <color indexed="9"/>
        <rFont val="Arial"/>
        <family val="2"/>
      </rPr>
      <t>to print properly, you may have to adjust the margins &amp;/or blank lines between pages. There are TEN main pages.</t>
    </r>
  </si>
  <si>
    <t>Lesser Fright</t>
  </si>
  <si>
    <t>Wandering Eye</t>
  </si>
  <si>
    <t>Scar(s)</t>
  </si>
  <si>
    <t>Age Spots</t>
  </si>
  <si>
    <t>Splotches</t>
  </si>
  <si>
    <t>Tanned</t>
  </si>
  <si>
    <t>Deflect Missile</t>
  </si>
  <si>
    <t>Fly</t>
  </si>
  <si>
    <t>Otherwordly</t>
  </si>
  <si>
    <t>Grand Audience</t>
  </si>
  <si>
    <t>Crush the Defiant</t>
  </si>
  <si>
    <t>Kinship</t>
  </si>
  <si>
    <t>Enchant Materials / MR</t>
  </si>
  <si>
    <t>Enchant Materials to 0</t>
  </si>
  <si>
    <t>Siege Engine Construction</t>
  </si>
  <si>
    <t>Fortifications: Advanced</t>
  </si>
  <si>
    <t>Hold Large Predators</t>
  </si>
  <si>
    <t>Places of Mystery (Hallucinatory Landscape)</t>
  </si>
  <si>
    <t>Clairaudience</t>
  </si>
  <si>
    <t>Armoured Skin - Armour of Stout Leather</t>
  </si>
  <si>
    <t>Beet Pickles</t>
  </si>
  <si>
    <t>Leeks</t>
  </si>
  <si>
    <t>Fresh Dates</t>
  </si>
  <si>
    <t>Dried Dates</t>
  </si>
  <si>
    <t>Arcane Thread</t>
  </si>
  <si>
    <t>Slothful</t>
  </si>
  <si>
    <t>Tactless</t>
  </si>
  <si>
    <t>Thrice-Cursed</t>
  </si>
  <si>
    <t>Cursed</t>
  </si>
  <si>
    <t>Necrophobia</t>
  </si>
  <si>
    <t>Pyrophobia</t>
  </si>
  <si>
    <t>Allergies</t>
  </si>
  <si>
    <t>Fur/Hair</t>
  </si>
  <si>
    <t>Type:</t>
  </si>
  <si>
    <t>Fiery Arrows - Salamander Fire</t>
  </si>
  <si>
    <t>JUMP</t>
  </si>
  <si>
    <t>Capacity:</t>
  </si>
  <si>
    <t>Lifting</t>
  </si>
  <si>
    <t>Carrying</t>
  </si>
  <si>
    <t># of Creation Points?</t>
  </si>
  <si>
    <t>heights</t>
  </si>
  <si>
    <t>felines</t>
  </si>
  <si>
    <t>pain</t>
  </si>
  <si>
    <t>men</t>
  </si>
  <si>
    <t>spiders</t>
  </si>
  <si>
    <t>Animate Stone Simulacrum</t>
  </si>
  <si>
    <t>Animate Metal Simulacrum</t>
  </si>
  <si>
    <t>Animate the Dead</t>
  </si>
  <si>
    <t>Awaken the Dead</t>
  </si>
  <si>
    <t>Summon Greater Undead</t>
  </si>
  <si>
    <t>The Great Work</t>
  </si>
  <si>
    <t>Call Familiar</t>
  </si>
  <si>
    <t>Summon Small Birds</t>
  </si>
  <si>
    <t>Summon Birds of Prey</t>
  </si>
  <si>
    <t>Summon Small Animals</t>
  </si>
  <si>
    <t>Summon Large Animals</t>
  </si>
  <si>
    <t>Speak with the Dead</t>
  </si>
  <si>
    <t xml:space="preserve">  </t>
  </si>
  <si>
    <t>oak, yew, rowan</t>
  </si>
  <si>
    <t>mistletoe</t>
  </si>
  <si>
    <t>Herbs gathered on Equinox</t>
  </si>
  <si>
    <t>Medicine Pouch</t>
  </si>
  <si>
    <t>name</t>
  </si>
  <si>
    <t>mr</t>
  </si>
  <si>
    <t>tsc</t>
  </si>
  <si>
    <t>book?</t>
  </si>
  <si>
    <t>levels</t>
  </si>
  <si>
    <t>start</t>
  </si>
  <si>
    <t>curr</t>
  </si>
  <si>
    <t>working</t>
  </si>
  <si>
    <t>Please note:</t>
  </si>
  <si>
    <t>Steel Drill Bits (6)</t>
  </si>
  <si>
    <t>Adze</t>
  </si>
  <si>
    <t>Drawing Knife</t>
  </si>
  <si>
    <t>H, M</t>
  </si>
  <si>
    <t>of Bash</t>
  </si>
  <si>
    <t>Chance</t>
  </si>
  <si>
    <t>Parry</t>
  </si>
  <si>
    <t>Master Bowman</t>
  </si>
  <si>
    <t>Bindings of the Arcane</t>
  </si>
  <si>
    <t>Arcane Whip</t>
  </si>
  <si>
    <t>Arcane Web</t>
  </si>
  <si>
    <t>Arcane Net</t>
  </si>
  <si>
    <t>Arcane Cell</t>
  </si>
  <si>
    <t>Drain Arcane Energy</t>
  </si>
  <si>
    <t>Arcane Rope Bridge</t>
  </si>
  <si>
    <t>Falconry &amp; Hawking</t>
  </si>
  <si>
    <t>Bird of Prey Raising</t>
  </si>
  <si>
    <t>Diplomacy &amp; Politics</t>
  </si>
  <si>
    <t>decreased armor protection due to failure.</t>
  </si>
  <si>
    <t>Beggar</t>
  </si>
  <si>
    <t>Prof. Lvl</t>
  </si>
  <si>
    <t>Lesser Temporal Wave</t>
  </si>
  <si>
    <t>Bran</t>
  </si>
  <si>
    <t>Borno</t>
  </si>
  <si>
    <t>Cernunnos</t>
  </si>
  <si>
    <t>Epona</t>
  </si>
  <si>
    <t>Taranis</t>
  </si>
  <si>
    <t>Ogmios</t>
  </si>
  <si>
    <t>Dianecht</t>
  </si>
  <si>
    <t>Brigit</t>
  </si>
  <si>
    <t>Craft</t>
  </si>
  <si>
    <t>Seamanship</t>
  </si>
  <si>
    <t>Metalworking</t>
  </si>
  <si>
    <t>Outdoor</t>
  </si>
  <si>
    <t>Animal</t>
  </si>
  <si>
    <t>s  bash - heater</t>
  </si>
  <si>
    <t>s block - large</t>
  </si>
  <si>
    <t>s  bash - large</t>
  </si>
  <si>
    <t>Prod.</t>
  </si>
  <si>
    <t>-</t>
  </si>
  <si>
    <t>Goblin Scimitar</t>
  </si>
  <si>
    <t>Small Priory</t>
  </si>
  <si>
    <t>Typical Priory</t>
  </si>
  <si>
    <t>Large Priory</t>
  </si>
  <si>
    <t>Major Monastic House</t>
  </si>
  <si>
    <t>Barrelwright</t>
  </si>
  <si>
    <t>Cartwright</t>
  </si>
  <si>
    <t>Master Shipbulder</t>
  </si>
  <si>
    <t>Shipbuilder</t>
  </si>
  <si>
    <t>Master Armorer</t>
  </si>
  <si>
    <t>Mercenary Captain</t>
  </si>
  <si>
    <t>Siegecraft</t>
  </si>
  <si>
    <t>Other Races</t>
  </si>
  <si>
    <t>Carry While Running</t>
  </si>
  <si>
    <t>Inactive/Active</t>
  </si>
  <si>
    <t>Center horizontally and vertically on page</t>
  </si>
  <si>
    <t>.00" margins</t>
  </si>
  <si>
    <t>Description/Effect</t>
  </si>
  <si>
    <t>Funds, Possessions Carried, etc.</t>
  </si>
  <si>
    <t>An error message of "Too Many Cell Formats" may appear on some worksheets - most notably the Character Sheet and Skills. This means your system may not have enough memory to properly display this workbook.</t>
  </si>
  <si>
    <t>Is "Common" a Core Background Skill?</t>
  </si>
  <si>
    <t>Ice Skating</t>
  </si>
  <si>
    <t>Skiing</t>
  </si>
  <si>
    <t>Administration</t>
  </si>
  <si>
    <t>Torture Devices</t>
  </si>
  <si>
    <t>Entanglement Rope</t>
  </si>
  <si>
    <t>Military Science</t>
  </si>
  <si>
    <t>Siege Machine Operations</t>
  </si>
  <si>
    <t>Swiss Arrow</t>
  </si>
  <si>
    <t>Basket Weaving</t>
  </si>
  <si>
    <t>Gluemaking</t>
  </si>
  <si>
    <t>Paint Making</t>
  </si>
  <si>
    <t>Courtly Cultural Lore</t>
  </si>
  <si>
    <t>Puzzles: Creating &amp; Solving</t>
  </si>
  <si>
    <t>Calm &amp; Attract Animals</t>
  </si>
  <si>
    <t>Detecting Snares</t>
  </si>
  <si>
    <t>Setting &amp; Disarming Snares</t>
  </si>
  <si>
    <t>Archeology</t>
  </si>
  <si>
    <t>Naturalism</t>
  </si>
  <si>
    <t>Elven Magus</t>
  </si>
  <si>
    <t>Anatomy</t>
  </si>
  <si>
    <t>Saurian: Dragon Kin</t>
  </si>
  <si>
    <t>Orcish</t>
  </si>
  <si>
    <t>Trolls</t>
  </si>
  <si>
    <t>MereFolk</t>
  </si>
  <si>
    <t>Military Historical Lore</t>
  </si>
  <si>
    <t>http://chivalrysorcery.myfastforum.org/</t>
  </si>
  <si>
    <t>http://www.facebook.com/group.php?gid=29848474982</t>
  </si>
  <si>
    <t>can be reached at either of these two links:</t>
  </si>
  <si>
    <t>http://www.facebook.com/group.php?gid=34685152121</t>
  </si>
  <si>
    <t>http://www.alquennas.com/</t>
  </si>
  <si>
    <t xml:space="preserve">Members of the Loyal Order of Chivalry &amp; Sorcery </t>
  </si>
  <si>
    <t>Racial /Specialist</t>
  </si>
  <si>
    <t>Forging One's Hand</t>
  </si>
  <si>
    <t>Accumulated</t>
  </si>
  <si>
    <t>Disgraced?</t>
  </si>
  <si>
    <t>Favours Rec'd</t>
  </si>
  <si>
    <t>Favours Owed</t>
  </si>
  <si>
    <t>Perception Skills:</t>
  </si>
  <si>
    <t>dice. In order to "roll the dice",</t>
  </si>
  <si>
    <t>press the Shift and F9 Keys at the same</t>
  </si>
  <si>
    <t xml:space="preserve">This will cause all of the cells to </t>
  </si>
  <si>
    <t>generate new random values.</t>
  </si>
  <si>
    <t>Clothing/Appearance</t>
  </si>
  <si>
    <t>.</t>
  </si>
  <si>
    <r>
      <t xml:space="preserve">Wes Foard, Will Kennard, Daniel Heistand, Chris Bennett, Belinda Conway, Geoff Depew, Andre Fernandes, Misha, Bear Field, Mark Danison, Hunter Fowler &amp; Richard Glendinning for being her </t>
    </r>
    <r>
      <rPr>
        <strike/>
        <sz val="8"/>
        <rFont val="Arial"/>
        <family val="2"/>
      </rPr>
      <t>primary victims</t>
    </r>
    <r>
      <rPr>
        <sz val="8"/>
        <rFont val="Arial"/>
        <family val="2"/>
      </rPr>
      <t xml:space="preserve"> Alpha Testers.</t>
    </r>
  </si>
  <si>
    <r>
      <t>Red</t>
    </r>
    <r>
      <rPr>
        <b/>
        <sz val="7"/>
        <rFont val="Arial"/>
        <family val="2"/>
      </rPr>
      <t xml:space="preserve"> triangles are "comments" and are an attempt to  provide contextual help</t>
    </r>
  </si>
  <si>
    <t>y</t>
  </si>
  <si>
    <t>timmypaddins@googlemail.com</t>
  </si>
  <si>
    <r>
      <t>Start entering data on the  "</t>
    </r>
    <r>
      <rPr>
        <b/>
        <sz val="8"/>
        <rFont val="Arial"/>
        <family val="2"/>
      </rPr>
      <t>Main Creation Page</t>
    </r>
    <r>
      <rPr>
        <sz val="8"/>
        <rFont val="Arial"/>
        <family val="2"/>
      </rPr>
      <t>" worksheet. Follow the numbered steps. Use the "</t>
    </r>
    <r>
      <rPr>
        <b/>
        <sz val="8"/>
        <rFont val="Arial"/>
        <family val="2"/>
      </rPr>
      <t>Dice Roller"</t>
    </r>
    <r>
      <rPr>
        <sz val="8"/>
        <rFont val="Arial"/>
        <family val="2"/>
      </rPr>
      <t xml:space="preserve"> provided if you don't have dice handy.</t>
    </r>
  </si>
  <si>
    <t>The Book of Vocations, Skills &amp; Spells: Vols 1, 2, 3, &amp; 4</t>
  </si>
  <si>
    <r>
      <t xml:space="preserve">She would </t>
    </r>
    <r>
      <rPr>
        <i/>
        <sz val="8"/>
        <rFont val="Arial"/>
        <family val="2"/>
      </rPr>
      <t>especially</t>
    </r>
    <r>
      <rPr>
        <sz val="8"/>
        <rFont val="Arial"/>
        <family val="2"/>
      </rPr>
      <t xml:space="preserve"> like to thank </t>
    </r>
    <r>
      <rPr>
        <b/>
        <sz val="8"/>
        <rFont val="Arial"/>
        <family val="2"/>
      </rPr>
      <t>Padraig Timmins</t>
    </r>
    <r>
      <rPr>
        <sz val="8"/>
        <rFont val="Arial"/>
        <family val="2"/>
      </rPr>
      <t xml:space="preserve"> for programming tips, inspiration, &amp; his POV.</t>
    </r>
  </si>
  <si>
    <t>Latest Update Date</t>
  </si>
  <si>
    <t>Original Creation Date</t>
  </si>
  <si>
    <t>Main Creation Page (Start creating your character here!)</t>
  </si>
  <si>
    <t>Starting Skills  &amp; Experience Calculations</t>
  </si>
  <si>
    <t>Materia Theologica (Acts of Faith, Devotions, Etc.)</t>
  </si>
  <si>
    <t>Combat - Equip your character's Weapons &amp; Armor here! Track Combat Actions Here as well.</t>
  </si>
  <si>
    <t>Click the + to the left to reveal &amp; select Weapons &amp; Armor</t>
  </si>
  <si>
    <t>Paper Folding Craft</t>
  </si>
  <si>
    <t>Digging</t>
  </si>
  <si>
    <t>Alquennas Specific Skills</t>
  </si>
  <si>
    <t>Operations</t>
  </si>
  <si>
    <t>Historical</t>
  </si>
  <si>
    <t>Design</t>
  </si>
  <si>
    <t>Construction</t>
  </si>
  <si>
    <t>Theory</t>
  </si>
  <si>
    <t>New Edo</t>
  </si>
  <si>
    <t>Gate Portal Lore</t>
  </si>
  <si>
    <t>Dragon</t>
  </si>
  <si>
    <t>Grafting</t>
  </si>
  <si>
    <t>Hybrid Creation</t>
  </si>
  <si>
    <t>Plant Training</t>
  </si>
  <si>
    <t>Military Communications</t>
  </si>
  <si>
    <t>Whip-Hammer</t>
  </si>
  <si>
    <t xml:space="preserve"> Food Carving &amp; Presentation</t>
  </si>
  <si>
    <t>cooking styles?</t>
  </si>
  <si>
    <t>Appraising</t>
  </si>
  <si>
    <t>Bookbinding</t>
  </si>
  <si>
    <t>Crafting Flies</t>
  </si>
  <si>
    <t>Sowing Salt</t>
  </si>
  <si>
    <t>Salt Panning</t>
  </si>
  <si>
    <t>Salt Raking</t>
  </si>
  <si>
    <t>Salt Welling</t>
  </si>
  <si>
    <t>Skulking in Shadows</t>
  </si>
  <si>
    <t>Methods of Discovery (Experimentation)</t>
  </si>
  <si>
    <t>Brick Making</t>
  </si>
  <si>
    <t>Brush Making</t>
  </si>
  <si>
    <t>Language of Fans</t>
  </si>
  <si>
    <t>Language of Lapidary (Stones)</t>
  </si>
  <si>
    <t>Unused Experience</t>
  </si>
  <si>
    <t>Clergy: Knight Chaplain</t>
  </si>
  <si>
    <t>Commedia Del'Arte</t>
  </si>
  <si>
    <t>Fly Fishing</t>
  </si>
  <si>
    <t>Regional Cooking</t>
  </si>
  <si>
    <t>Acupressure</t>
  </si>
  <si>
    <t>Acupuncture</t>
  </si>
  <si>
    <t>Bonus to Backstabbing?</t>
  </si>
  <si>
    <t>Status Class</t>
  </si>
  <si>
    <t>Status_Serf</t>
  </si>
  <si>
    <t>Status_Freeman</t>
  </si>
  <si>
    <t>Status_Townsman</t>
  </si>
  <si>
    <t>Status_Guildsman</t>
  </si>
  <si>
    <t>Status_Knight</t>
  </si>
  <si>
    <t>Status_Bannerette</t>
  </si>
  <si>
    <t>Status_Baron</t>
  </si>
  <si>
    <t>Status_Noble</t>
  </si>
  <si>
    <t>Status_Royalty</t>
  </si>
  <si>
    <t>Alquennas-specific</t>
  </si>
  <si>
    <t>Alquennas specific Skills</t>
  </si>
  <si>
    <t>EOL</t>
  </si>
  <si>
    <t>Handling:</t>
  </si>
  <si>
    <t>Riding:</t>
  </si>
  <si>
    <t>Training:</t>
  </si>
  <si>
    <t>Acting:</t>
  </si>
  <si>
    <t>Dancing:</t>
  </si>
  <si>
    <t>Instrument:</t>
  </si>
  <si>
    <t>Archery:</t>
  </si>
  <si>
    <t>Shield Play:</t>
  </si>
  <si>
    <t>Swords:</t>
  </si>
  <si>
    <t>Wearing Armor:</t>
  </si>
  <si>
    <t>Cooking:</t>
  </si>
  <si>
    <t>Cloth Making:</t>
  </si>
  <si>
    <t>Clothes:</t>
  </si>
  <si>
    <t>Language: Spoken (</t>
  </si>
  <si>
    <t>Foreign:</t>
  </si>
  <si>
    <t>Foreign (Anc.):</t>
  </si>
  <si>
    <t>Beast:</t>
  </si>
  <si>
    <t>Monster:</t>
  </si>
  <si>
    <t>Geo.:</t>
  </si>
  <si>
    <t xml:space="preserve">Geographical Lore: </t>
  </si>
  <si>
    <t>Anc. Geo.:</t>
  </si>
  <si>
    <t>Hist. &amp; Leg.:</t>
  </si>
  <si>
    <t xml:space="preserve">Cultural Lore: </t>
  </si>
  <si>
    <t>Cult. Lore:</t>
  </si>
  <si>
    <t xml:space="preserve">Cult. Lore: Anc. </t>
  </si>
  <si>
    <t xml:space="preserve">Cult. Lore: For: </t>
  </si>
  <si>
    <t>E&amp;D:</t>
  </si>
  <si>
    <t>L L:</t>
  </si>
  <si>
    <t>Anatomy:</t>
  </si>
  <si>
    <t>F&amp;BC:</t>
  </si>
  <si>
    <t>Selectable?</t>
  </si>
  <si>
    <t>Materia Theologica Skills</t>
  </si>
  <si>
    <t>Materia Magica Skills</t>
  </si>
  <si>
    <t>DODGE</t>
  </si>
  <si>
    <t>Gate Lore:</t>
  </si>
  <si>
    <t>Scholarly skills for Master Guildsmen:</t>
  </si>
  <si>
    <t>Elven Class</t>
  </si>
  <si>
    <t>Dwarven Class</t>
  </si>
  <si>
    <t>AEK/JKT</t>
  </si>
  <si>
    <t xml:space="preserve"> April 12, 1997 9:18 AM</t>
  </si>
  <si>
    <t>The Library of Spells, Volumes 1, 2, 3, 4, &amp; 5</t>
  </si>
  <si>
    <t>Discern Traps</t>
  </si>
  <si>
    <t>Dscern Magical Traps</t>
  </si>
  <si>
    <t>Discern Correspondences</t>
  </si>
  <si>
    <t>Discern Laws of Magick</t>
  </si>
  <si>
    <t>Discern Anointing Material</t>
  </si>
  <si>
    <t>Discern Device Components</t>
  </si>
  <si>
    <t>Discern Foci Components</t>
  </si>
  <si>
    <t>Least Discern Trigger</t>
  </si>
  <si>
    <t>Lesser Discern Trigger</t>
  </si>
  <si>
    <t>Great Discern Trigger</t>
  </si>
  <si>
    <t>Greater Discern Trigger</t>
  </si>
  <si>
    <t>Greatest Discern Trigger</t>
  </si>
  <si>
    <t>Least Discern Magick</t>
  </si>
  <si>
    <t>Lesser Discern Magick</t>
  </si>
  <si>
    <t>Great Discern Magick</t>
  </si>
  <si>
    <t>Greater Discern Magick</t>
  </si>
  <si>
    <t>Greatest Discern Magick</t>
  </si>
  <si>
    <t>Battlefield Formations</t>
  </si>
  <si>
    <t>Soap Making</t>
  </si>
  <si>
    <t>Block Printing</t>
  </si>
  <si>
    <r>
      <t xml:space="preserve">This part is pulled from the </t>
    </r>
    <r>
      <rPr>
        <u/>
        <sz val="8"/>
        <rFont val="Arial"/>
        <family val="2"/>
      </rPr>
      <t>Funds</t>
    </r>
    <r>
      <rPr>
        <sz val="8"/>
        <rFont val="Arial"/>
        <family val="2"/>
      </rPr>
      <t xml:space="preserve"> Sheet</t>
    </r>
  </si>
  <si>
    <t>No Data - straight text</t>
  </si>
  <si>
    <t>Campaign Notes</t>
  </si>
  <si>
    <t>Title of Event:</t>
  </si>
  <si>
    <t>Game Master:</t>
  </si>
  <si>
    <t>General EXP:</t>
  </si>
  <si>
    <t>Methods:</t>
  </si>
  <si>
    <t>Targeted EXP:</t>
  </si>
  <si>
    <t>Skill Targeted:</t>
  </si>
  <si>
    <t>Additional Campaign Notes:</t>
  </si>
  <si>
    <t>Date of Event:</t>
  </si>
  <si>
    <t>MR received:</t>
  </si>
  <si>
    <t>Honor Points:</t>
  </si>
  <si>
    <t xml:space="preserve">Please be careful about formatting information </t>
  </si>
  <si>
    <t>Items Discovered (Treasure, Weapons, Money, Magical Materials, Horses, Silk, etc.)</t>
  </si>
  <si>
    <t>Please be careful about formatting information in the various Notes sections - Numbers or symbols can cause problems with "Too Many Cell Formats" - always lead with a letter or space.</t>
  </si>
  <si>
    <t>Numbers/symbols cause problems w/"Too Many Cell Formats"</t>
  </si>
  <si>
    <r>
      <t xml:space="preserve">She also would like to thank </t>
    </r>
    <r>
      <rPr>
        <b/>
        <sz val="8"/>
        <rFont val="Arial"/>
        <family val="2"/>
      </rPr>
      <t>Kory Kaese, Lea Hall,</t>
    </r>
    <r>
      <rPr>
        <sz val="8"/>
        <rFont val="Arial"/>
        <family val="2"/>
      </rPr>
      <t xml:space="preserve"> Keith McComb, &amp; Rob Martin for their invaluable assistance in data setup.</t>
    </r>
  </si>
  <si>
    <t>Turquoise tabs are Generation , Blue tabs are Maintenance</t>
  </si>
  <si>
    <t xml:space="preserve">Least Deflect Arcane Energy   </t>
  </si>
  <si>
    <t xml:space="preserve">Lesser Deflect Arcane Energy   </t>
  </si>
  <si>
    <t xml:space="preserve">Great Deflect Arcane Energy   </t>
  </si>
  <si>
    <t xml:space="preserve">Greater Deflect Arcane Energy   </t>
  </si>
  <si>
    <t xml:space="preserve">Greatest Deflect Arcane Energy   </t>
  </si>
  <si>
    <t xml:space="preserve">Least Repulse Arcane Energy   </t>
  </si>
  <si>
    <t xml:space="preserve">Lesser Repulse Arcane Energy   </t>
  </si>
  <si>
    <t xml:space="preserve">Great Repulse Arcane Energy   </t>
  </si>
  <si>
    <t xml:space="preserve">Greater Repulse Arcane Energy   </t>
  </si>
  <si>
    <t xml:space="preserve">Greatest Repulse Arcane Energy   </t>
  </si>
  <si>
    <t xml:space="preserve">Least Healing Touch of Apollo   </t>
  </si>
  <si>
    <t xml:space="preserve">Lesser Healing Touch of Apollo   </t>
  </si>
  <si>
    <t xml:space="preserve">Great Healing Touch of Apollo   </t>
  </si>
  <si>
    <t xml:space="preserve">Greater Healing Touch of Apollo   </t>
  </si>
  <si>
    <t xml:space="preserve">Greatest Healing Touch of Apollo   </t>
  </si>
  <si>
    <t xml:space="preserve">Apollo's Healing Embrace    </t>
  </si>
  <si>
    <t xml:space="preserve">Least Arcane Beast of Burden    </t>
  </si>
  <si>
    <t xml:space="preserve">Lesser Arcane Beast of Burden    </t>
  </si>
  <si>
    <t xml:space="preserve">Great Arcane Beast of Burden    </t>
  </si>
  <si>
    <t xml:space="preserve">Greater Arcane Beast of Burden    </t>
  </si>
  <si>
    <t xml:space="preserve">Greatest Arcane Beast of Burden    </t>
  </si>
  <si>
    <t xml:space="preserve">The Great Beast of Burden    </t>
  </si>
  <si>
    <t>LoS4</t>
  </si>
  <si>
    <t>12x3</t>
  </si>
  <si>
    <t>18x3</t>
  </si>
  <si>
    <t>20x3</t>
  </si>
  <si>
    <t>24x3</t>
  </si>
  <si>
    <t>Eye of the Wizard</t>
  </si>
  <si>
    <t>LoS2</t>
  </si>
  <si>
    <r>
      <t xml:space="preserve">She also would like to thank </t>
    </r>
    <r>
      <rPr>
        <b/>
        <sz val="8"/>
        <rFont val="Arial"/>
        <family val="2"/>
      </rPr>
      <t>Jim &amp; Rachel Trigg</t>
    </r>
    <r>
      <rPr>
        <sz val="8"/>
        <rFont val="Arial"/>
        <family val="2"/>
      </rPr>
      <t>, Dave &amp; April Perlowski, Chris &amp; Heather Dennie, David Wood, Frank Comito, Jason Valenzuela, Lea Hall, Jim &amp; Aynne Morison, Mark Rose, Frank Huminski,  Paul Spoltore,</t>
    </r>
  </si>
  <si>
    <t>Age Comparison for the Living World</t>
  </si>
  <si>
    <t>Human Age</t>
  </si>
  <si>
    <t>Age</t>
  </si>
  <si>
    <t xml:space="preserve">True </t>
  </si>
  <si>
    <t>Dwarven Age</t>
  </si>
  <si>
    <t>Saurian Dragon Kin Age</t>
  </si>
  <si>
    <t xml:space="preserve">Saurian </t>
  </si>
  <si>
    <t>Lizard Man Age</t>
  </si>
  <si>
    <t>Saurian</t>
  </si>
  <si>
    <t xml:space="preserve"> Sand Kin</t>
  </si>
  <si>
    <t xml:space="preserve"> Age</t>
  </si>
  <si>
    <t>Swamp Kin</t>
  </si>
  <si>
    <t>Centaur Primion Age</t>
  </si>
  <si>
    <t>Centaur Plains Age</t>
  </si>
  <si>
    <t>48i</t>
  </si>
  <si>
    <t>?</t>
  </si>
  <si>
    <t>Cottonwood</t>
  </si>
  <si>
    <t>Apple Wood</t>
  </si>
  <si>
    <t>An Elf wielding a bow made of Apple  wood gains a + 27% in foraging for wild foods,  and +1 damage to all targets</t>
  </si>
  <si>
    <t>An Elf wielding a bow made of Bamboo wood gains +35 feet to all ranges</t>
  </si>
  <si>
    <t xml:space="preserve">An Elf wielding a bow of Black Locust wood gains a +13% to their MR, in addition they gains a +13% to hit magical creatures, objects and items. </t>
  </si>
  <si>
    <t xml:space="preserve">An Elf wielding a bow made of Cedar wood gains a + 13% protection against insects and reptiles and gains+2 damage to all targets at all ranges. </t>
  </si>
  <si>
    <t>An Elf wielding a bow made of Cherry wood gains a +13% to foraging for wild foods.</t>
  </si>
  <si>
    <t xml:space="preserve">An Elf wielding a bow made of Hickory wood gains +45 feet to all ranges, and a +2 to damage against all targets. </t>
  </si>
  <si>
    <t>An Elf wielding a bow made of Lemonwood gains a +25%to their TSC% to all undead targets, a + 45% to their TSC% for Ghouls, and a +4 damage against all undead</t>
  </si>
  <si>
    <t>An Elf wielding a bow made of Maple wood gains +2 levels in Charismatic Skills and gains a +2 in protection</t>
  </si>
  <si>
    <t xml:space="preserve">An Elf wielding a bow made of Olive wood gains a +13% in stealth and gains a +13% in their archery. </t>
  </si>
  <si>
    <t xml:space="preserve">An Elf wielding a bow made of Horse Apple wood gains a +13% to their intimidation roll and a +1 damage against insects. </t>
  </si>
  <si>
    <t>White Dogwood</t>
  </si>
  <si>
    <t>No Longbow</t>
  </si>
  <si>
    <t xml:space="preserve">The heart tree refused to give the Elf a longbow.  -10 social points in the elven community.  The elf can ask again for a longbow from the Heart Tree once they have proven themselves worthy. </t>
  </si>
  <si>
    <t xml:space="preserve">Maple </t>
  </si>
  <si>
    <t xml:space="preserve">Bamboo </t>
  </si>
  <si>
    <t xml:space="preserve">Black Locust </t>
  </si>
  <si>
    <t xml:space="preserve">Black Mulberry </t>
  </si>
  <si>
    <t xml:space="preserve">Brazil wood </t>
  </si>
  <si>
    <t xml:space="preserve">Cedar </t>
  </si>
  <si>
    <t xml:space="preserve">Cherry </t>
  </si>
  <si>
    <t xml:space="preserve">Fringe </t>
  </si>
  <si>
    <t xml:space="preserve">Hickory </t>
  </si>
  <si>
    <t xml:space="preserve">Lemonwood </t>
  </si>
  <si>
    <t xml:space="preserve">Olive </t>
  </si>
  <si>
    <t xml:space="preserve">Osage-Orange </t>
  </si>
  <si>
    <t xml:space="preserve">Red Mulberry </t>
  </si>
  <si>
    <t xml:space="preserve">White Mulberry </t>
  </si>
  <si>
    <t>+7% to all Animal skills</t>
  </si>
  <si>
    <t>+13% to all combat skills</t>
  </si>
  <si>
    <t>+13% to Perception skills</t>
  </si>
  <si>
    <t>+13% to hitting shadow creatures</t>
  </si>
  <si>
    <t>stealth</t>
  </si>
  <si>
    <t>charismatic</t>
  </si>
  <si>
    <t>+13% to stealth</t>
  </si>
  <si>
    <t>+13% to archery</t>
  </si>
  <si>
    <t xml:space="preserve">An Elf wielding a bow of Poplar wood gains a +13% to resist diseases and poisons. </t>
  </si>
  <si>
    <t>+7% to craft &amp; trades skills</t>
  </si>
  <si>
    <t>+25% to perception skills</t>
  </si>
  <si>
    <t>+4 points damage vs shadow &amp; Magical Creatures</t>
  </si>
  <si>
    <t>+7% to Outdoor skills</t>
  </si>
  <si>
    <t>Haeflin Class</t>
  </si>
  <si>
    <t xml:space="preserve"> Lower Freeman</t>
  </si>
  <si>
    <t>Protector of Lore</t>
  </si>
  <si>
    <t>Protector</t>
  </si>
  <si>
    <t>Haeflin Controller</t>
  </si>
  <si>
    <t>Language Trader</t>
  </si>
  <si>
    <t>Dominion ruler</t>
  </si>
  <si>
    <t>Titled Nobility</t>
  </si>
  <si>
    <t>Bonded Servant/Bonded Farmer</t>
  </si>
  <si>
    <t>Bonded House Servant</t>
  </si>
  <si>
    <t>Bonded Field Farmer</t>
  </si>
  <si>
    <t>Bonded Cook</t>
  </si>
  <si>
    <t>Bonded Castle Servant</t>
  </si>
  <si>
    <t>Bonded Stable Hand</t>
  </si>
  <si>
    <t>Bonded Tutor</t>
  </si>
  <si>
    <t>Bonded Animal caretaker</t>
  </si>
  <si>
    <t>Bonded Worker</t>
  </si>
  <si>
    <t>Bonded Hand Servant</t>
  </si>
  <si>
    <t>Bonded Child’s Guardian</t>
  </si>
  <si>
    <t>Lower Freeman</t>
  </si>
  <si>
    <t>Educated (High) Freeman</t>
  </si>
  <si>
    <t>Farmer Minor Land Owner</t>
  </si>
  <si>
    <t>ree Animal caretaker</t>
  </si>
  <si>
    <t>Animal trainer</t>
  </si>
  <si>
    <t>Seaman</t>
  </si>
  <si>
    <t>Farm Hand</t>
  </si>
  <si>
    <t>Keeper of Forests</t>
  </si>
  <si>
    <t>Keeper of Prairies</t>
  </si>
  <si>
    <t>Keeper of Rivers</t>
  </si>
  <si>
    <t>Keeper of Mountains</t>
  </si>
  <si>
    <t>House Servant</t>
  </si>
  <si>
    <t>Butcher’s Apprentice</t>
  </si>
  <si>
    <t>Builder laborer</t>
  </si>
  <si>
    <t>Miner Laborer</t>
  </si>
  <si>
    <t>Caravan Worker</t>
  </si>
  <si>
    <t>High Freeman</t>
  </si>
  <si>
    <t>Herd Owner</t>
  </si>
  <si>
    <t>Land Owner</t>
  </si>
  <si>
    <t>Teacher of Lore</t>
  </si>
  <si>
    <t>Grain Merchant</t>
  </si>
  <si>
    <t>Cloth Merchant</t>
  </si>
  <si>
    <t>Lore Merchant</t>
  </si>
  <si>
    <t>Master Teacher of Lore</t>
  </si>
  <si>
    <t>Ship Owner</t>
  </si>
  <si>
    <t>Apprentice Healer</t>
  </si>
  <si>
    <t>Mater Healer</t>
  </si>
  <si>
    <t>Caravan Owner</t>
  </si>
  <si>
    <t>Tavern/Inn Owner</t>
  </si>
  <si>
    <t>Master Baker</t>
  </si>
  <si>
    <t>Dominion Merchant</t>
  </si>
  <si>
    <t>Apprentice Protector of Lore</t>
  </si>
  <si>
    <t>Protector Lore Crafter</t>
  </si>
  <si>
    <t>Master Protector Lore Crafter</t>
  </si>
  <si>
    <t>Elder of Lore</t>
  </si>
  <si>
    <t>Prin-Protector of Lore</t>
  </si>
  <si>
    <t>Master Protector of Lore</t>
  </si>
  <si>
    <t>Master Elder Protector of Lore</t>
  </si>
  <si>
    <t>Protectors</t>
  </si>
  <si>
    <t>Apprentice Protector</t>
  </si>
  <si>
    <t>Archer Protector</t>
  </si>
  <si>
    <t>Infiltrator Protector</t>
  </si>
  <si>
    <t>Protector at Arms</t>
  </si>
  <si>
    <t>Weapons Maker (Blades)</t>
  </si>
  <si>
    <t>Armor Maker</t>
  </si>
  <si>
    <t>Weapons Maker (Archery)</t>
  </si>
  <si>
    <t>Master Arms Maker</t>
  </si>
  <si>
    <t>Elder Arms Maker</t>
  </si>
  <si>
    <t>Prin-Protector</t>
  </si>
  <si>
    <t>Master Protector</t>
  </si>
  <si>
    <t>Elder Protector</t>
  </si>
  <si>
    <t>Controllers</t>
  </si>
  <si>
    <t>Language Traders</t>
  </si>
  <si>
    <r>
      <t xml:space="preserve">She would </t>
    </r>
    <r>
      <rPr>
        <i/>
        <sz val="8"/>
        <rFont val="Arial"/>
        <family val="2"/>
      </rPr>
      <t>especially</t>
    </r>
    <r>
      <rPr>
        <sz val="8"/>
        <rFont val="Arial"/>
        <family val="2"/>
      </rPr>
      <t xml:space="preserve"> like to thank </t>
    </r>
    <r>
      <rPr>
        <b/>
        <sz val="8"/>
        <rFont val="Arial"/>
        <family val="2"/>
      </rPr>
      <t>Jim Trigg</t>
    </r>
    <r>
      <rPr>
        <sz val="8"/>
        <rFont val="Arial"/>
        <family val="2"/>
      </rPr>
      <t xml:space="preserve"> (blaise@scadian.net) for Major programming assistance &amp; challenges, Open Office Testing, general debugging , and dogged relentlessness. :)</t>
    </r>
  </si>
  <si>
    <t>Basic skill tracking is included on the Skills Worksheet for the skills listed in Skillskape Psionics. An actual Psionics character sheet is not likely to be added at this time.</t>
  </si>
  <si>
    <t>For any damage done by any missile other than "regular" arrows, refer to the appropriate section of the Combat Worksheet. This is ESPECIALLY relevant for Slings and similar weapons.</t>
  </si>
  <si>
    <r>
      <t xml:space="preserve">This workbook has been designed since 1997 entirely in Microsoft Excel on a PC. It has been tested on both Macs &amp; PCs in Office 2010/2007. </t>
    </r>
    <r>
      <rPr>
        <b/>
        <i/>
        <u/>
        <sz val="9"/>
        <rFont val="Arial"/>
        <family val="2"/>
      </rPr>
      <t xml:space="preserve"> IT IS NOT GUARANTEED TO BE BACKWARDS COMPATIBLE!</t>
    </r>
  </si>
  <si>
    <t>This workbook is NOT recommended for use with Open Office. Older versions of Open Office do not handle its intricate cell formatting correctly. Others will require recreation of the pull down menus - Use Open Office at your own risk.</t>
  </si>
  <si>
    <r>
      <rPr>
        <b/>
        <u/>
        <sz val="9"/>
        <rFont val="Arial"/>
        <family val="2"/>
      </rPr>
      <t>If</t>
    </r>
    <r>
      <rPr>
        <sz val="9"/>
        <rFont val="Arial"/>
        <family val="2"/>
      </rPr>
      <t xml:space="preserve"> you are determined to use this in Open Office, the designer recommends contacting </t>
    </r>
    <r>
      <rPr>
        <b/>
        <sz val="9"/>
        <rFont val="Arial"/>
        <family val="2"/>
      </rPr>
      <t xml:space="preserve">Jim Trigg </t>
    </r>
    <r>
      <rPr>
        <sz val="9"/>
        <rFont val="Arial"/>
        <family val="2"/>
      </rPr>
      <t>through</t>
    </r>
    <r>
      <rPr>
        <b/>
        <sz val="9"/>
        <rFont val="Arial"/>
        <family val="2"/>
      </rPr>
      <t xml:space="preserve"> blaise@scadian.net</t>
    </r>
    <r>
      <rPr>
        <sz val="9"/>
        <rFont val="Arial"/>
        <family val="2"/>
      </rPr>
      <t xml:space="preserve"> for tips. He seems to be bound &amp; determined to port it over and he has done his best to make it workable.</t>
    </r>
  </si>
  <si>
    <t>Haeflin Racial Rules</t>
  </si>
  <si>
    <t>http://mysticstation.com/downloads.html</t>
  </si>
  <si>
    <t>Info on the Living World of Alquennas &amp; creating characters for it can be found at:</t>
  </si>
  <si>
    <t>Some sections/values are tweaked for the designer's local "Alquennas" campaign &amp; other MSD Playtesting purposes. Most notably the generation of Special Abilites &amp; Flaws and Haeflin characters</t>
  </si>
  <si>
    <t xml:space="preserve">Known Issues/Important Notes: </t>
  </si>
  <si>
    <t>Bonded</t>
  </si>
  <si>
    <t>Educated Freeman</t>
  </si>
  <si>
    <r>
      <t xml:space="preserve">List any </t>
    </r>
    <r>
      <rPr>
        <b/>
        <sz val="8"/>
        <rFont val="Times New Roman"/>
        <family val="1"/>
      </rPr>
      <t>Background Skills</t>
    </r>
    <r>
      <rPr>
        <sz val="8"/>
        <rFont val="Times New Roman"/>
        <family val="1"/>
      </rPr>
      <t xml:space="preserve"> from your father's vocation &amp; any Racial Benefits here.</t>
    </r>
  </si>
  <si>
    <t xml:space="preserve"> Custom/World Specific Skills worksheet.</t>
  </si>
  <si>
    <t>Add any Campaign specific skills below this point for manual pulls to the Character Sheet Worksheet Section BL64+</t>
  </si>
  <si>
    <t>If you need to add a skill that isn't in this workbook already, see 'Skills'!A925 &amp; 'Character Sheet'!BL64</t>
  </si>
  <si>
    <t>copy the cells outlined below to create a new skill line:</t>
  </si>
  <si>
    <t>Mage: Aurummancer</t>
  </si>
  <si>
    <t>Life Expectancy of the members of the Horde</t>
  </si>
  <si>
    <t>Race</t>
  </si>
  <si>
    <t>Infant</t>
  </si>
  <si>
    <t>Young</t>
  </si>
  <si>
    <t>Adult</t>
  </si>
  <si>
    <t>Elderly</t>
  </si>
  <si>
    <t>Average Life Span</t>
  </si>
  <si>
    <t>Orcs</t>
  </si>
  <si>
    <t>0-2</t>
  </si>
  <si>
    <t>50+</t>
  </si>
  <si>
    <t>60 years</t>
  </si>
  <si>
    <t>Goblins</t>
  </si>
  <si>
    <t>0-4</t>
  </si>
  <si>
    <t>55+</t>
  </si>
  <si>
    <t>Gnolls</t>
  </si>
  <si>
    <t>0-5</t>
  </si>
  <si>
    <t>46+</t>
  </si>
  <si>
    <t>50 years</t>
  </si>
  <si>
    <t>Hobgoblins</t>
  </si>
  <si>
    <t>Kobolds</t>
  </si>
  <si>
    <t>65+</t>
  </si>
  <si>
    <t>80 years</t>
  </si>
  <si>
    <t>Bugbears</t>
  </si>
  <si>
    <t>44+</t>
  </si>
  <si>
    <t>5-8</t>
  </si>
  <si>
    <t>6-9</t>
  </si>
  <si>
    <t>6-10</t>
  </si>
  <si>
    <t>9-49</t>
  </si>
  <si>
    <t>9-44</t>
  </si>
  <si>
    <t>11-64</t>
  </si>
  <si>
    <t>10-45</t>
  </si>
  <si>
    <t>Bugbear</t>
  </si>
  <si>
    <t>Kobold</t>
  </si>
  <si>
    <t>Gnoll</t>
  </si>
  <si>
    <t>11-15</t>
  </si>
  <si>
    <t>16-300</t>
  </si>
  <si>
    <t>301-600</t>
  </si>
  <si>
    <t>600+</t>
  </si>
  <si>
    <t>teen</t>
  </si>
  <si>
    <t>Wood Elf Age</t>
  </si>
  <si>
    <t>Haeflins Age</t>
  </si>
  <si>
    <t>Troll Age</t>
  </si>
  <si>
    <t>Orc Age</t>
  </si>
  <si>
    <t xml:space="preserve"> Goblin Age</t>
  </si>
  <si>
    <t>Protector Controller</t>
  </si>
  <si>
    <t>Harbor Controller</t>
  </si>
  <si>
    <t>Ship's Controller</t>
  </si>
  <si>
    <t>Lore Controller</t>
  </si>
  <si>
    <t>Lord Mayor</t>
  </si>
  <si>
    <t>Master of Languages</t>
  </si>
  <si>
    <t>Elder of Languages</t>
  </si>
  <si>
    <t>Elder Master of Languages</t>
  </si>
  <si>
    <t>Master Engineer</t>
  </si>
  <si>
    <t>Master Crafter</t>
  </si>
  <si>
    <t>Elder Crafter</t>
  </si>
  <si>
    <t>Elder Master Crafter</t>
  </si>
  <si>
    <t>Priestly Mage: Hermit: Imam</t>
  </si>
  <si>
    <t>Clergy: Rabbi</t>
  </si>
  <si>
    <t>Clergy: Imam</t>
  </si>
  <si>
    <t>Painted</t>
  </si>
  <si>
    <t>"Carrot Red"</t>
  </si>
  <si>
    <t>Reddish Brown</t>
  </si>
  <si>
    <t>Roan</t>
  </si>
  <si>
    <t>Partial Growth</t>
  </si>
  <si>
    <t>Bowl Cut</t>
  </si>
  <si>
    <t>Pixie Cut</t>
  </si>
  <si>
    <t>Hacked Off</t>
  </si>
  <si>
    <t>Gold/Silversmoth</t>
  </si>
  <si>
    <t>Gem Cutter</t>
  </si>
  <si>
    <t>Cloth Maker</t>
  </si>
  <si>
    <t>Cloth Dyer</t>
  </si>
  <si>
    <t>Master Ship Builder</t>
  </si>
  <si>
    <t>Master Cobbler</t>
  </si>
  <si>
    <t>Master Cartwright</t>
  </si>
  <si>
    <t>Master Wheelwright</t>
  </si>
  <si>
    <t>Designer of Structures</t>
  </si>
  <si>
    <t>Leather Worker</t>
  </si>
  <si>
    <t>Master Leasther Worker</t>
  </si>
  <si>
    <t>Stone Cutter</t>
  </si>
  <si>
    <t>Master Stone Cutter</t>
  </si>
  <si>
    <t>Mine Builder</t>
  </si>
  <si>
    <t>Master Miner</t>
  </si>
  <si>
    <t>Crafter of Lore</t>
  </si>
  <si>
    <t>Apprentice Engineer</t>
  </si>
  <si>
    <t>Engineer</t>
  </si>
  <si>
    <t>Relationship?</t>
  </si>
  <si>
    <t>Betrothed</t>
  </si>
  <si>
    <t>Married</t>
  </si>
  <si>
    <t>Current Companionship Status?</t>
  </si>
  <si>
    <t>Offspring?</t>
  </si>
  <si>
    <t>Legitimate?</t>
  </si>
  <si>
    <t>Rank</t>
  </si>
  <si>
    <r>
      <t>Check the "</t>
    </r>
    <r>
      <rPr>
        <b/>
        <sz val="8"/>
        <rFont val="Arial"/>
        <family val="2"/>
      </rPr>
      <t>Funds</t>
    </r>
    <r>
      <rPr>
        <sz val="8"/>
        <rFont val="Arial"/>
        <family val="2"/>
      </rPr>
      <t>" worksheet and set up carried possessions via pull down menus. You can also use this page to detail the character's family &amp; offspring.</t>
    </r>
  </si>
  <si>
    <t>Skill Attributes</t>
  </si>
  <si>
    <t>****</t>
  </si>
  <si>
    <t>X+Y</t>
  </si>
  <si>
    <t>+Skills!Y151</t>
  </si>
  <si>
    <t>+Skills!X151+Skills!Y151</t>
  </si>
  <si>
    <t>+Skills!Z151</t>
  </si>
  <si>
    <t>AE</t>
  </si>
  <si>
    <t>AF</t>
  </si>
  <si>
    <t>+Skills!AE151</t>
  </si>
  <si>
    <t>+Skills!AF151</t>
  </si>
  <si>
    <t>d</t>
  </si>
  <si>
    <t>Dry, Flaky</t>
  </si>
  <si>
    <t>Utilitarian</t>
  </si>
  <si>
    <t>Uniform</t>
  </si>
  <si>
    <t>Habit</t>
  </si>
  <si>
    <t>Scaly</t>
  </si>
  <si>
    <t>Lesions</t>
  </si>
  <si>
    <t>Wigged</t>
  </si>
  <si>
    <t>Clear</t>
  </si>
  <si>
    <t xml:space="preserve">Zabnmmmm.///////.,mnjb     </t>
  </si>
  <si>
    <t>Earned Spell Factors</t>
  </si>
  <si>
    <t>Unused Spell Factors</t>
  </si>
  <si>
    <t>Least Arcane Pocket</t>
  </si>
  <si>
    <t>LoS3</t>
  </si>
  <si>
    <t>17+8</t>
  </si>
  <si>
    <t>19+8</t>
  </si>
  <si>
    <t>Great Arcane Pocket</t>
  </si>
  <si>
    <t>26+8</t>
  </si>
  <si>
    <t>22+8</t>
  </si>
  <si>
    <t>Greatest Arcane Pocket</t>
  </si>
  <si>
    <t>30+8</t>
  </si>
  <si>
    <t>Least Aport an Object</t>
  </si>
  <si>
    <t>Lesser Aport an Object</t>
  </si>
  <si>
    <t>Great Aport an Object</t>
  </si>
  <si>
    <t>Greater Aport an Object</t>
  </si>
  <si>
    <t>Least Blink</t>
  </si>
  <si>
    <t>Lesser Blink</t>
  </si>
  <si>
    <t>Great Blink</t>
  </si>
  <si>
    <t>Greatest Aport an Object</t>
  </si>
  <si>
    <t>Actual Experience Spent</t>
  </si>
  <si>
    <t>Base Exp. Cost Per Level</t>
  </si>
  <si>
    <t>Basically, the formula is +'Master Spell List'!Xxxx</t>
  </si>
  <si>
    <t>Targeted Experience</t>
  </si>
  <si>
    <t>+'Master Spell List'!A3</t>
  </si>
  <si>
    <t>+'Master Spell List'!A9</t>
  </si>
  <si>
    <t>+'Master Spell List'!C9</t>
  </si>
  <si>
    <t>+'Master Spell List'!M9</t>
  </si>
  <si>
    <t>+'Master Spell List'!F9</t>
  </si>
  <si>
    <t>+'Master Spell List'!R9</t>
  </si>
  <si>
    <t>+'Master Spell List'!S9</t>
  </si>
  <si>
    <t>+'Master Spell List'!T9</t>
  </si>
  <si>
    <t>One True God</t>
  </si>
  <si>
    <t>Dull Eyes</t>
  </si>
  <si>
    <t>FAITH (Secondary)</t>
  </si>
  <si>
    <t>Suspension</t>
  </si>
  <si>
    <t>Least Create Scented Air</t>
  </si>
  <si>
    <t>Lesser Create Scented Air</t>
  </si>
  <si>
    <t>Great Create Scented Air</t>
  </si>
  <si>
    <t>Greater Create Scented Air</t>
  </si>
  <si>
    <t>Greatest Create Scented Air</t>
  </si>
  <si>
    <t>Least Divide</t>
  </si>
  <si>
    <t>Lesser Divide</t>
  </si>
  <si>
    <t>Great Divide</t>
  </si>
  <si>
    <t>Greater Divide</t>
  </si>
  <si>
    <t>Greatest Divide</t>
  </si>
  <si>
    <t>Least Refine Metal Ore</t>
  </si>
  <si>
    <t>Lesser Refine Metal Ore</t>
  </si>
  <si>
    <t>Great Refine Metal Ore</t>
  </si>
  <si>
    <t>Greater Refine Metal Ore</t>
  </si>
  <si>
    <t>Greatest Refine Metal Ore</t>
  </si>
  <si>
    <t>Least Refine Gem Ore</t>
  </si>
  <si>
    <t>Lesser Refine Gem Ore</t>
  </si>
  <si>
    <t>Great Refine GemOre</t>
  </si>
  <si>
    <t>Greater Refine Gem Ore</t>
  </si>
  <si>
    <t>Greatest Refine Gem Ore</t>
  </si>
  <si>
    <t>Create Clay</t>
  </si>
  <si>
    <t>Command Clay</t>
  </si>
  <si>
    <t>Dry Clay</t>
  </si>
  <si>
    <t>Wedge Clay</t>
  </si>
  <si>
    <t>Refine Clay</t>
  </si>
  <si>
    <t>Create Slip</t>
  </si>
  <si>
    <t>Command Slip</t>
  </si>
  <si>
    <t>Create Glass</t>
  </si>
  <si>
    <t>Command Glass</t>
  </si>
  <si>
    <t>Create Perfect Glass</t>
  </si>
  <si>
    <t>Command Perfect Glass</t>
  </si>
  <si>
    <t>Create Stained Glass</t>
  </si>
  <si>
    <t>Command Stained Glass</t>
  </si>
  <si>
    <t>Create Imperfect Glass Wand</t>
  </si>
  <si>
    <t>Create Imperfect Glass Scepter</t>
  </si>
  <si>
    <t>Create Imperfect Glass Sphere</t>
  </si>
  <si>
    <t>Create Perfect Glass Wand</t>
  </si>
  <si>
    <t>Create Perfect Glass Scepter</t>
  </si>
  <si>
    <t>Create Perfect Glass Sphere</t>
  </si>
  <si>
    <t>additional levels</t>
  </si>
  <si>
    <t>how many skills</t>
  </si>
  <si>
    <t>Cooking Skills: Baking Bread &amp; Meat Pies, Butchering &amp; Cooking Meat, Camp Cooking, Soups &amp; Stews, Herbs Spices &amp; Seasonings</t>
  </si>
  <si>
    <t>Flakes</t>
  </si>
  <si>
    <t>Shedding</t>
  </si>
  <si>
    <t>Patchy</t>
  </si>
  <si>
    <t>Indigo</t>
  </si>
  <si>
    <t>Swamp</t>
  </si>
  <si>
    <t>Kinky</t>
  </si>
  <si>
    <t>Wooly</t>
  </si>
  <si>
    <t>Bushy</t>
  </si>
  <si>
    <t>Braided (Cornrows)</t>
  </si>
  <si>
    <t>Dread Locks</t>
  </si>
  <si>
    <t>Faith of Azatar</t>
  </si>
  <si>
    <t>+Skills!W151</t>
  </si>
  <si>
    <t>Imposing</t>
  </si>
  <si>
    <t>Solid</t>
  </si>
  <si>
    <t>The steps on "Main Creation Page" have been slightly re-numbered &amp; re-arranged to mesh better with the MSD internal "Character Workshop" document. Where applicable, page number annotations from the core rules have been added.</t>
  </si>
  <si>
    <t>Lucid Dreaming</t>
  </si>
  <si>
    <t>Lang, Spoken</t>
  </si>
  <si>
    <t>Lang. Written</t>
  </si>
  <si>
    <t>SPELLS</t>
  </si>
  <si>
    <t>Char vocation</t>
  </si>
  <si>
    <t>Special Skill Bonuses</t>
  </si>
  <si>
    <t>Train</t>
  </si>
  <si>
    <t>Callig</t>
  </si>
  <si>
    <t>Sleight</t>
  </si>
  <si>
    <t>Haute</t>
  </si>
  <si>
    <t>Psychic</t>
  </si>
  <si>
    <t>blank1</t>
  </si>
  <si>
    <t>blank2</t>
  </si>
  <si>
    <t>blank3</t>
  </si>
  <si>
    <t>Skillskape Psionics</t>
  </si>
  <si>
    <t>Selectable</t>
  </si>
  <si>
    <t>Variance</t>
  </si>
  <si>
    <t>blank5</t>
  </si>
  <si>
    <t>Effective Level</t>
  </si>
  <si>
    <t>Skill Type</t>
  </si>
  <si>
    <t>Background Skill</t>
  </si>
  <si>
    <t>Primary Skill</t>
  </si>
  <si>
    <t>Secondary Skill</t>
  </si>
  <si>
    <t>Tertiary Skill</t>
  </si>
  <si>
    <t>Horoscope Bonus</t>
  </si>
  <si>
    <t>Skill extension</t>
  </si>
  <si>
    <t>Lore skill</t>
  </si>
  <si>
    <t>Skill Category</t>
  </si>
  <si>
    <t>Targeted XP</t>
  </si>
  <si>
    <t>blank6</t>
  </si>
  <si>
    <t>Mastery</t>
  </si>
  <si>
    <t>Specialist Chk</t>
  </si>
  <si>
    <t>MASTERY Chk</t>
  </si>
  <si>
    <t>Class Chk</t>
  </si>
  <si>
    <t>SkillSkape Alchemy Lore</t>
  </si>
  <si>
    <t>Skillskape Alchemy Lore</t>
  </si>
  <si>
    <t>Alchemy Lore</t>
  </si>
  <si>
    <t>Psionics</t>
  </si>
  <si>
    <t>Elementalist:</t>
  </si>
  <si>
    <t>Method:</t>
  </si>
  <si>
    <t xml:space="preserve">Law of </t>
  </si>
  <si>
    <t xml:space="preserve">Enchant </t>
  </si>
  <si>
    <t>Racial Skills</t>
  </si>
  <si>
    <t>blank0</t>
  </si>
  <si>
    <t>Bonus to Crit Die</t>
  </si>
  <si>
    <t>Starting/Background Skills</t>
  </si>
  <si>
    <t>Zodiac Mastery</t>
  </si>
  <si>
    <r>
      <t>Version</t>
    </r>
    <r>
      <rPr>
        <i/>
        <sz val="8"/>
        <rFont val="Arial"/>
        <family val="2"/>
      </rPr>
      <t xml:space="preserve">: </t>
    </r>
    <r>
      <rPr>
        <i/>
        <sz val="8"/>
        <color indexed="48"/>
        <rFont val="Arial"/>
        <family val="2"/>
      </rPr>
      <t>10.4</t>
    </r>
  </si>
  <si>
    <r>
      <t xml:space="preserve">© 1997-2016 by </t>
    </r>
    <r>
      <rPr>
        <sz val="8"/>
        <color indexed="23"/>
        <rFont val="Arial"/>
        <family val="2"/>
      </rPr>
      <t>Allison E. Kaese</t>
    </r>
    <r>
      <rPr>
        <sz val="8"/>
        <rFont val="Arial"/>
        <family val="2"/>
      </rPr>
      <t>, All Rights Reserved</t>
    </r>
  </si>
  <si>
    <r>
      <t>Zodiac/House</t>
    </r>
    <r>
      <rPr>
        <sz val="9"/>
        <rFont val="Times New Roman"/>
        <family val="1"/>
      </rPr>
      <t xml:space="preserve"> skills go here</t>
    </r>
  </si>
</sst>
</file>

<file path=xl/styles.xml><?xml version="1.0" encoding="utf-8"?>
<styleSheet xmlns="http://schemas.openxmlformats.org/spreadsheetml/2006/main">
  <numFmts count="8">
    <numFmt numFmtId="43" formatCode="_(* #,##0.00_);_(* \(#,##0.00\);_(* &quot;-&quot;??_);_(@_)"/>
    <numFmt numFmtId="164" formatCode="0.0"/>
    <numFmt numFmtId="165" formatCode="\+0%;\-0%"/>
    <numFmt numFmtId="166" formatCode="_(* #,##0_);_(* \(#,##0\);_(* &quot;-&quot;??_);_(@_)"/>
    <numFmt numFmtId="167" formatCode="0.000"/>
    <numFmt numFmtId="168" formatCode="0.0000"/>
    <numFmt numFmtId="169" formatCode="0.00000"/>
    <numFmt numFmtId="170" formatCode="[$-409]m/d/yy\ h:mm\ AM/PM;@"/>
  </numFmts>
  <fonts count="159">
    <font>
      <sz val="10"/>
      <name val="Arial"/>
    </font>
    <font>
      <sz val="10"/>
      <name val="Arial"/>
      <family val="2"/>
    </font>
    <font>
      <b/>
      <sz val="10"/>
      <name val="Arial"/>
      <family val="2"/>
    </font>
    <font>
      <sz val="8"/>
      <name val="Arial"/>
      <family val="2"/>
    </font>
    <font>
      <b/>
      <sz val="8"/>
      <name val="Arial"/>
      <family val="2"/>
    </font>
    <font>
      <i/>
      <sz val="8"/>
      <name val="Arial"/>
      <family val="2"/>
    </font>
    <font>
      <u/>
      <sz val="10"/>
      <color indexed="12"/>
      <name val="Arial"/>
      <family val="2"/>
    </font>
    <font>
      <u/>
      <sz val="8"/>
      <name val="Arial"/>
      <family val="2"/>
    </font>
    <font>
      <sz val="10"/>
      <name val="Arial"/>
      <family val="2"/>
    </font>
    <font>
      <sz val="8"/>
      <color indexed="81"/>
      <name val="Tahoma"/>
      <family val="2"/>
    </font>
    <font>
      <b/>
      <sz val="8"/>
      <color indexed="81"/>
      <name val="Tahoma"/>
      <family val="2"/>
    </font>
    <font>
      <b/>
      <u/>
      <sz val="8"/>
      <name val="Arial"/>
      <family val="2"/>
    </font>
    <font>
      <b/>
      <i/>
      <sz val="8"/>
      <name val="Arial"/>
      <family val="2"/>
    </font>
    <font>
      <sz val="9"/>
      <name val="Arial"/>
      <family val="2"/>
    </font>
    <font>
      <u/>
      <sz val="8"/>
      <color indexed="81"/>
      <name val="Tahoma"/>
      <family val="2"/>
    </font>
    <font>
      <sz val="8"/>
      <color indexed="8"/>
      <name val="Arial"/>
      <family val="2"/>
    </font>
    <font>
      <i/>
      <sz val="8"/>
      <color indexed="23"/>
      <name val="Arial"/>
      <family val="2"/>
    </font>
    <font>
      <sz val="8"/>
      <name val="Arial"/>
      <family val="2"/>
    </font>
    <font>
      <b/>
      <sz val="9"/>
      <name val="Arial"/>
      <family val="2"/>
    </font>
    <font>
      <sz val="7"/>
      <name val="Arial"/>
      <family val="2"/>
    </font>
    <font>
      <sz val="6"/>
      <name val="Arial"/>
      <family val="2"/>
    </font>
    <font>
      <b/>
      <sz val="6"/>
      <name val="Arial"/>
      <family val="2"/>
    </font>
    <font>
      <u/>
      <sz val="9"/>
      <color indexed="12"/>
      <name val="Arial"/>
      <family val="2"/>
    </font>
    <font>
      <b/>
      <sz val="7"/>
      <name val="Arial"/>
      <family val="2"/>
    </font>
    <font>
      <sz val="10"/>
      <name val="Times New Roman"/>
      <family val="1"/>
    </font>
    <font>
      <b/>
      <sz val="10"/>
      <name val="Times New Roman"/>
      <family val="1"/>
    </font>
    <font>
      <b/>
      <sz val="8"/>
      <name val="Times New Roman"/>
      <family val="1"/>
    </font>
    <font>
      <sz val="9"/>
      <name val="Times New Roman"/>
      <family val="1"/>
    </font>
    <font>
      <sz val="10"/>
      <name val="Times New Roman"/>
      <family val="1"/>
    </font>
    <font>
      <b/>
      <i/>
      <sz val="10"/>
      <name val="Times New Roman"/>
      <family val="1"/>
    </font>
    <font>
      <sz val="10"/>
      <color indexed="9"/>
      <name val="Arial"/>
      <family val="2"/>
    </font>
    <font>
      <sz val="8"/>
      <name val="Times New Roman"/>
      <family val="1"/>
    </font>
    <font>
      <sz val="8"/>
      <name val="Times New Roman"/>
      <family val="1"/>
    </font>
    <font>
      <sz val="6"/>
      <name val="Times New Roman"/>
      <family val="1"/>
    </font>
    <font>
      <i/>
      <sz val="7"/>
      <name val="Arial"/>
      <family val="2"/>
    </font>
    <font>
      <sz val="8"/>
      <color indexed="9"/>
      <name val="Arial"/>
      <family val="2"/>
    </font>
    <font>
      <b/>
      <sz val="8"/>
      <color indexed="8"/>
      <name val="Times New Roman"/>
      <family val="1"/>
    </font>
    <font>
      <b/>
      <sz val="6"/>
      <name val="Times New Roman"/>
      <family val="1"/>
    </font>
    <font>
      <sz val="6"/>
      <name val="Arial"/>
      <family val="2"/>
    </font>
    <font>
      <sz val="10"/>
      <color indexed="9"/>
      <name val="Times New Roman"/>
      <family val="1"/>
    </font>
    <font>
      <sz val="6"/>
      <name val="Times New Roman"/>
      <family val="1"/>
    </font>
    <font>
      <sz val="11"/>
      <color indexed="9"/>
      <name val="Arial"/>
      <family val="2"/>
    </font>
    <font>
      <sz val="22"/>
      <color indexed="9"/>
      <name val="CloisterBlack BT"/>
      <family val="4"/>
    </font>
    <font>
      <sz val="22"/>
      <color indexed="9"/>
      <name val="Arial"/>
      <family val="2"/>
    </font>
    <font>
      <sz val="10"/>
      <color indexed="9"/>
      <name val="Arial"/>
      <family val="2"/>
    </font>
    <font>
      <b/>
      <sz val="8"/>
      <color indexed="9"/>
      <name val="Arial"/>
      <family val="2"/>
    </font>
    <font>
      <b/>
      <sz val="16"/>
      <color indexed="9"/>
      <name val="Times New Roman"/>
      <family val="1"/>
    </font>
    <font>
      <b/>
      <sz val="10"/>
      <color indexed="9"/>
      <name val="Arial"/>
      <family val="2"/>
    </font>
    <font>
      <b/>
      <sz val="14"/>
      <name val="Times New Roman"/>
      <family val="1"/>
    </font>
    <font>
      <b/>
      <sz val="10"/>
      <color indexed="8"/>
      <name val="Times New Roman"/>
      <family val="1"/>
    </font>
    <font>
      <sz val="10"/>
      <name val="Arial"/>
      <family val="2"/>
    </font>
    <font>
      <sz val="9"/>
      <name val="Arial"/>
      <family val="2"/>
    </font>
    <font>
      <b/>
      <sz val="9"/>
      <name val="Times New Roman"/>
      <family val="1"/>
    </font>
    <font>
      <sz val="9"/>
      <color indexed="81"/>
      <name val="Tahoma"/>
      <family val="2"/>
    </font>
    <font>
      <b/>
      <sz val="9"/>
      <color indexed="81"/>
      <name val="Tahoma"/>
      <family val="2"/>
    </font>
    <font>
      <u/>
      <sz val="7"/>
      <name val="Arial"/>
      <family val="2"/>
    </font>
    <font>
      <sz val="10"/>
      <color indexed="10"/>
      <name val="Times New Roman"/>
      <family val="1"/>
    </font>
    <font>
      <sz val="10"/>
      <color indexed="10"/>
      <name val="Arial"/>
      <family val="2"/>
    </font>
    <font>
      <sz val="9"/>
      <name val="Times New Roman"/>
      <family val="1"/>
    </font>
    <font>
      <sz val="9"/>
      <color indexed="10"/>
      <name val="Times New Roman"/>
      <family val="1"/>
    </font>
    <font>
      <b/>
      <sz val="7"/>
      <name val="Times New Roman"/>
      <family val="1"/>
    </font>
    <font>
      <sz val="7"/>
      <name val="Arial"/>
      <family val="2"/>
    </font>
    <font>
      <sz val="7"/>
      <name val="Times New Roman"/>
      <family val="1"/>
    </font>
    <font>
      <b/>
      <sz val="9"/>
      <name val="Arial"/>
      <family val="2"/>
    </font>
    <font>
      <b/>
      <sz val="16"/>
      <name val="Times New Roman"/>
      <family val="1"/>
    </font>
    <font>
      <b/>
      <sz val="16"/>
      <name val="Symbol"/>
      <family val="1"/>
      <charset val="2"/>
    </font>
    <font>
      <b/>
      <sz val="8"/>
      <name val="Arial"/>
      <family val="2"/>
    </font>
    <font>
      <b/>
      <sz val="10"/>
      <name val="Times New Roman"/>
      <family val="1"/>
    </font>
    <font>
      <b/>
      <sz val="10"/>
      <name val="Arial"/>
      <family val="2"/>
    </font>
    <font>
      <sz val="5"/>
      <color indexed="8"/>
      <name val="Arial"/>
      <family val="2"/>
    </font>
    <font>
      <sz val="7"/>
      <color indexed="8"/>
      <name val="Arial"/>
      <family val="2"/>
    </font>
    <font>
      <b/>
      <sz val="8"/>
      <color indexed="10"/>
      <name val="Arial"/>
      <family val="2"/>
    </font>
    <font>
      <i/>
      <sz val="9"/>
      <name val="Arial"/>
      <family val="2"/>
    </font>
    <font>
      <sz val="9"/>
      <color indexed="8"/>
      <name val="Arial"/>
      <family val="2"/>
    </font>
    <font>
      <sz val="9"/>
      <color indexed="12"/>
      <name val="Arial"/>
      <family val="2"/>
    </font>
    <font>
      <b/>
      <sz val="7"/>
      <color indexed="15"/>
      <name val="Arial"/>
      <family val="2"/>
    </font>
    <font>
      <b/>
      <sz val="7"/>
      <color indexed="55"/>
      <name val="Arial"/>
      <family val="2"/>
    </font>
    <font>
      <b/>
      <sz val="7"/>
      <color indexed="60"/>
      <name val="Arial"/>
      <family val="2"/>
    </font>
    <font>
      <b/>
      <sz val="9"/>
      <color indexed="12"/>
      <name val="Arial"/>
      <family val="2"/>
    </font>
    <font>
      <sz val="8"/>
      <color indexed="48"/>
      <name val="Arial"/>
      <family val="2"/>
    </font>
    <font>
      <sz val="8"/>
      <color indexed="9"/>
      <name val="Arial"/>
      <family val="2"/>
    </font>
    <font>
      <b/>
      <sz val="8"/>
      <color indexed="9"/>
      <name val="Arial"/>
      <family val="2"/>
    </font>
    <font>
      <sz val="14"/>
      <name val="Arial"/>
      <family val="2"/>
    </font>
    <font>
      <sz val="8"/>
      <color indexed="10"/>
      <name val="Arial"/>
      <family val="2"/>
    </font>
    <font>
      <b/>
      <sz val="7"/>
      <color indexed="10"/>
      <name val="Arial"/>
      <family val="2"/>
    </font>
    <font>
      <b/>
      <sz val="8"/>
      <name val="Times New Roman"/>
      <family val="1"/>
    </font>
    <font>
      <b/>
      <i/>
      <sz val="7"/>
      <name val="Arial"/>
      <family val="2"/>
    </font>
    <font>
      <b/>
      <i/>
      <sz val="8"/>
      <color indexed="9"/>
      <name val="Arial"/>
      <family val="2"/>
    </font>
    <font>
      <b/>
      <i/>
      <u/>
      <sz val="8"/>
      <color indexed="9"/>
      <name val="Arial"/>
      <family val="2"/>
    </font>
    <font>
      <b/>
      <sz val="5"/>
      <name val="Times New Roman"/>
      <family val="1"/>
    </font>
    <font>
      <sz val="7"/>
      <name val="Times New Roman"/>
      <family val="1"/>
    </font>
    <font>
      <sz val="16"/>
      <name val="Arial"/>
      <family val="2"/>
    </font>
    <font>
      <sz val="20"/>
      <name val="Times New Roman"/>
      <family val="1"/>
    </font>
    <font>
      <i/>
      <sz val="7"/>
      <name val="Times New Roman"/>
      <family val="1"/>
    </font>
    <font>
      <b/>
      <sz val="12"/>
      <color indexed="9"/>
      <name val="Arial"/>
      <family val="2"/>
    </font>
    <font>
      <sz val="16"/>
      <name val="Times New Roman"/>
      <family val="1"/>
    </font>
    <font>
      <b/>
      <i/>
      <sz val="20"/>
      <color indexed="9"/>
      <name val="Times New Roman"/>
      <family val="1"/>
    </font>
    <font>
      <i/>
      <sz val="9"/>
      <name val="Times New Roman"/>
      <family val="1"/>
    </font>
    <font>
      <u/>
      <sz val="9"/>
      <name val="Times New Roman"/>
      <family val="1"/>
    </font>
    <font>
      <b/>
      <i/>
      <sz val="9"/>
      <name val="Times New Roman"/>
      <family val="1"/>
    </font>
    <font>
      <i/>
      <sz val="9"/>
      <name val="Arial"/>
      <family val="2"/>
    </font>
    <font>
      <b/>
      <i/>
      <sz val="8"/>
      <color indexed="81"/>
      <name val="Tahoma"/>
      <family val="2"/>
    </font>
    <font>
      <strike/>
      <sz val="8"/>
      <name val="Arial"/>
      <family val="2"/>
    </font>
    <font>
      <b/>
      <sz val="10"/>
      <color indexed="81"/>
      <name val="Tahoma"/>
      <family val="2"/>
    </font>
    <font>
      <i/>
      <sz val="8"/>
      <color indexed="48"/>
      <name val="Arial"/>
      <family val="2"/>
    </font>
    <font>
      <u/>
      <sz val="8"/>
      <color indexed="12"/>
      <name val="Arial"/>
      <family val="2"/>
    </font>
    <font>
      <sz val="8"/>
      <color indexed="23"/>
      <name val="Arial"/>
      <family val="2"/>
    </font>
    <font>
      <sz val="10"/>
      <color theme="0"/>
      <name val="Times New Roman"/>
      <family val="1"/>
    </font>
    <font>
      <sz val="10"/>
      <color indexed="81"/>
      <name val="Tahoma"/>
      <family val="2"/>
    </font>
    <font>
      <b/>
      <sz val="10"/>
      <color indexed="9"/>
      <name val="Times New Roman"/>
      <family val="1"/>
    </font>
    <font>
      <b/>
      <i/>
      <u/>
      <sz val="9"/>
      <name val="Arial"/>
      <family val="2"/>
    </font>
    <font>
      <b/>
      <u/>
      <sz val="9"/>
      <name val="Arial"/>
      <family val="2"/>
    </font>
    <font>
      <sz val="8"/>
      <name val="Garamond"/>
      <family val="1"/>
    </font>
    <font>
      <sz val="10"/>
      <name val="Garamond"/>
      <family val="1"/>
    </font>
    <font>
      <b/>
      <sz val="16"/>
      <color indexed="9"/>
      <name val="Garamond"/>
      <family val="1"/>
    </font>
    <font>
      <b/>
      <sz val="12"/>
      <color indexed="9"/>
      <name val="Garamond"/>
      <family val="1"/>
    </font>
    <font>
      <b/>
      <sz val="7"/>
      <name val="Garamond"/>
      <family val="1"/>
    </font>
    <font>
      <b/>
      <sz val="8"/>
      <name val="Garamond"/>
      <family val="1"/>
    </font>
    <font>
      <sz val="8"/>
      <color indexed="9"/>
      <name val="Garamond"/>
      <family val="1"/>
    </font>
    <font>
      <b/>
      <sz val="7"/>
      <color indexed="9"/>
      <name val="Garamond"/>
      <family val="1"/>
    </font>
    <font>
      <b/>
      <u/>
      <sz val="8"/>
      <name val="Garamond"/>
      <family val="1"/>
    </font>
    <font>
      <i/>
      <sz val="8"/>
      <name val="Garamond"/>
      <family val="1"/>
    </font>
    <font>
      <u/>
      <sz val="8"/>
      <name val="Garamond"/>
      <family val="1"/>
    </font>
    <font>
      <b/>
      <i/>
      <sz val="8"/>
      <name val="Garamond"/>
      <family val="1"/>
    </font>
    <font>
      <b/>
      <sz val="8"/>
      <color indexed="9"/>
      <name val="Garamond"/>
      <family val="1"/>
    </font>
    <font>
      <sz val="16"/>
      <name val="Garamond"/>
      <family val="1"/>
    </font>
    <font>
      <sz val="7"/>
      <name val="Garamond"/>
      <family val="1"/>
    </font>
    <font>
      <b/>
      <i/>
      <sz val="6"/>
      <name val="Garamond"/>
      <family val="1"/>
    </font>
    <font>
      <sz val="8"/>
      <color indexed="17"/>
      <name val="Garamond"/>
      <family val="1"/>
    </font>
    <font>
      <b/>
      <sz val="12"/>
      <name val="Garamond"/>
      <family val="1"/>
    </font>
    <font>
      <sz val="6"/>
      <name val="Garamond"/>
      <family val="1"/>
    </font>
    <font>
      <sz val="8"/>
      <color indexed="22"/>
      <name val="Garamond"/>
      <family val="1"/>
    </font>
    <font>
      <b/>
      <u/>
      <sz val="12"/>
      <color indexed="9"/>
      <name val="Garamond"/>
      <family val="1"/>
    </font>
    <font>
      <b/>
      <sz val="10"/>
      <name val="Garamond"/>
      <family val="1"/>
    </font>
    <font>
      <b/>
      <sz val="10"/>
      <color indexed="9"/>
      <name val="Garamond"/>
      <family val="1"/>
    </font>
    <font>
      <sz val="9"/>
      <name val="Garamond"/>
      <family val="1"/>
    </font>
    <font>
      <i/>
      <sz val="7"/>
      <name val="Garamond"/>
      <family val="1"/>
    </font>
    <font>
      <b/>
      <sz val="9"/>
      <color indexed="12"/>
      <name val="Garamond"/>
      <family val="1"/>
    </font>
    <font>
      <sz val="10"/>
      <color indexed="9"/>
      <name val="Garamond"/>
      <family val="1"/>
    </font>
    <font>
      <b/>
      <sz val="6"/>
      <name val="Garamond"/>
      <family val="1"/>
    </font>
    <font>
      <b/>
      <sz val="8"/>
      <color rgb="FFFFFFFF"/>
      <name val="Times New Roman"/>
      <family val="1"/>
    </font>
    <font>
      <u/>
      <sz val="7"/>
      <color indexed="12"/>
      <name val="Arial"/>
      <family val="2"/>
    </font>
    <font>
      <sz val="8.5"/>
      <color theme="0"/>
      <name val="Arial"/>
      <family val="2"/>
    </font>
    <font>
      <sz val="9"/>
      <color theme="0"/>
      <name val="Arial"/>
      <family val="2"/>
    </font>
    <font>
      <sz val="8"/>
      <color theme="0"/>
      <name val="Cambria"/>
      <family val="1"/>
    </font>
    <font>
      <b/>
      <sz val="12"/>
      <color indexed="9"/>
      <name val="Times New Roman"/>
      <family val="1"/>
    </font>
    <font>
      <b/>
      <sz val="8"/>
      <color indexed="9"/>
      <name val="Times New Roman"/>
      <family val="1"/>
    </font>
    <font>
      <b/>
      <sz val="8"/>
      <color indexed="81"/>
      <name val="Times New Roman"/>
      <family val="1"/>
    </font>
    <font>
      <sz val="8"/>
      <color rgb="FF000000"/>
      <name val="Tahoma"/>
      <family val="2"/>
    </font>
    <font>
      <b/>
      <u/>
      <sz val="8"/>
      <name val="Times New Roman"/>
      <family val="1"/>
    </font>
    <font>
      <i/>
      <sz val="8"/>
      <name val="Times New Roman"/>
      <family val="1"/>
    </font>
    <font>
      <u/>
      <sz val="8"/>
      <name val="Times New Roman"/>
      <family val="1"/>
    </font>
    <font>
      <b/>
      <sz val="8"/>
      <color indexed="48"/>
      <name val="Times New Roman"/>
      <family val="1"/>
    </font>
    <font>
      <i/>
      <sz val="10"/>
      <name val="Times New Roman"/>
      <family val="1"/>
    </font>
    <font>
      <i/>
      <u/>
      <sz val="8"/>
      <name val="Times New Roman"/>
      <family val="1"/>
    </font>
    <font>
      <sz val="8"/>
      <color indexed="18"/>
      <name val="Times New Roman"/>
      <family val="1"/>
    </font>
    <font>
      <b/>
      <i/>
      <sz val="8"/>
      <color indexed="48"/>
      <name val="Times New Roman"/>
      <family val="1"/>
    </font>
    <font>
      <b/>
      <i/>
      <sz val="8"/>
      <name val="Times New Roman"/>
      <family val="1"/>
    </font>
    <font>
      <b/>
      <i/>
      <u/>
      <sz val="8"/>
      <name val="Times New Roman"/>
      <family val="1"/>
    </font>
  </fonts>
  <fills count="26">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indexed="9"/>
        <bgColor indexed="64"/>
      </patternFill>
    </fill>
    <fill>
      <patternFill patternType="solid">
        <fgColor indexed="17"/>
        <bgColor indexed="64"/>
      </patternFill>
    </fill>
    <fill>
      <patternFill patternType="solid">
        <fgColor indexed="55"/>
        <bgColor indexed="64"/>
      </patternFill>
    </fill>
    <fill>
      <patternFill patternType="solid">
        <fgColor indexed="21"/>
        <bgColor indexed="64"/>
      </patternFill>
    </fill>
    <fill>
      <patternFill patternType="solid">
        <fgColor indexed="49"/>
        <bgColor indexed="64"/>
      </patternFill>
    </fill>
    <fill>
      <patternFill patternType="solid">
        <fgColor indexed="10"/>
        <bgColor indexed="64"/>
      </patternFill>
    </fill>
    <fill>
      <patternFill patternType="solid">
        <fgColor indexed="12"/>
        <bgColor indexed="64"/>
      </patternFill>
    </fill>
    <fill>
      <patternFill patternType="solid">
        <fgColor indexed="48"/>
        <bgColor indexed="64"/>
      </patternFill>
    </fill>
    <fill>
      <patternFill patternType="solid">
        <fgColor indexed="8"/>
        <bgColor indexed="64"/>
      </patternFill>
    </fill>
    <fill>
      <patternFill patternType="solid">
        <fgColor indexed="40"/>
        <bgColor indexed="64"/>
      </patternFill>
    </fill>
    <fill>
      <patternFill patternType="solid">
        <fgColor theme="0" tint="-0.24994659260841701"/>
        <bgColor indexed="64"/>
      </patternFill>
    </fill>
    <fill>
      <patternFill patternType="solid">
        <fgColor rgb="FF000000"/>
        <bgColor indexed="64"/>
      </patternFill>
    </fill>
    <fill>
      <patternFill patternType="solid">
        <fgColor theme="3" tint="-0.249977111117893"/>
        <bgColor indexed="64"/>
      </patternFill>
    </fill>
    <fill>
      <patternFill patternType="solid">
        <fgColor rgb="FF92D050"/>
        <bgColor indexed="64"/>
      </patternFill>
    </fill>
    <fill>
      <patternFill patternType="solid">
        <fgColor theme="0" tint="-0.14996795556505021"/>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theme="8" tint="0.39994506668294322"/>
        <bgColor indexed="64"/>
      </patternFill>
    </fill>
    <fill>
      <patternFill patternType="solid">
        <fgColor theme="8" tint="0.79998168889431442"/>
        <bgColor indexed="64"/>
      </patternFill>
    </fill>
    <fill>
      <patternFill patternType="solid">
        <fgColor theme="8" tint="0.59996337778862885"/>
        <bgColor indexed="64"/>
      </patternFill>
    </fill>
    <fill>
      <patternFill patternType="solid">
        <fgColor rgb="FF99CCFF"/>
        <bgColor indexed="64"/>
      </patternFill>
    </fill>
  </fills>
  <borders count="16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style="thick">
        <color indexed="64"/>
      </left>
      <right style="thin">
        <color indexed="64"/>
      </right>
      <top/>
      <bottom/>
      <diagonal/>
    </border>
    <border>
      <left style="thin">
        <color indexed="64"/>
      </left>
      <right style="thick">
        <color indexed="64"/>
      </right>
      <top/>
      <bottom/>
      <diagonal/>
    </border>
    <border>
      <left style="thick">
        <color indexed="64"/>
      </left>
      <right style="thin">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n">
        <color indexed="64"/>
      </left>
      <right style="thin">
        <color indexed="64"/>
      </right>
      <top style="thick">
        <color indexed="64"/>
      </top>
      <bottom/>
      <diagonal/>
    </border>
    <border>
      <left/>
      <right style="thin">
        <color indexed="64"/>
      </right>
      <top style="thick">
        <color indexed="64"/>
      </top>
      <bottom/>
      <diagonal/>
    </border>
    <border>
      <left style="thick">
        <color indexed="64"/>
      </left>
      <right/>
      <top/>
      <bottom/>
      <diagonal/>
    </border>
    <border>
      <left/>
      <right/>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double">
        <color indexed="64"/>
      </right>
      <top style="thick">
        <color indexed="64"/>
      </top>
      <bottom style="double">
        <color indexed="64"/>
      </bottom>
      <diagonal/>
    </border>
    <border>
      <left style="double">
        <color indexed="64"/>
      </left>
      <right style="double">
        <color indexed="64"/>
      </right>
      <top style="thick">
        <color indexed="64"/>
      </top>
      <bottom style="double">
        <color indexed="64"/>
      </bottom>
      <diagonal/>
    </border>
    <border>
      <left style="double">
        <color indexed="64"/>
      </left>
      <right style="thick">
        <color indexed="64"/>
      </right>
      <top style="thick">
        <color indexed="64"/>
      </top>
      <bottom style="double">
        <color indexed="64"/>
      </bottom>
      <diagonal/>
    </border>
    <border>
      <left style="thick">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double">
        <color indexed="64"/>
      </left>
      <right style="thick">
        <color indexed="64"/>
      </right>
      <top style="double">
        <color indexed="64"/>
      </top>
      <bottom style="double">
        <color indexed="64"/>
      </bottom>
      <diagonal/>
    </border>
    <border diagonalDown="1">
      <left/>
      <right/>
      <top/>
      <bottom/>
      <diagonal style="thick">
        <color indexed="64"/>
      </diagonal>
    </border>
    <border>
      <left style="double">
        <color indexed="64"/>
      </left>
      <right style="double">
        <color indexed="64"/>
      </right>
      <top style="double">
        <color indexed="64"/>
      </top>
      <bottom style="thick">
        <color indexed="64"/>
      </bottom>
      <diagonal/>
    </border>
    <border diagonalUp="1">
      <left style="double">
        <color indexed="64"/>
      </left>
      <right/>
      <top style="double">
        <color indexed="64"/>
      </top>
      <bottom/>
      <diagonal style="thick">
        <color indexed="64"/>
      </diagonal>
    </border>
    <border>
      <left/>
      <right style="thick">
        <color indexed="64"/>
      </right>
      <top style="thin">
        <color indexed="64"/>
      </top>
      <bottom style="thin">
        <color indexed="64"/>
      </bottom>
      <diagonal/>
    </border>
    <border>
      <left style="thick">
        <color indexed="64"/>
      </left>
      <right style="thin">
        <color indexed="64"/>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ck">
        <color indexed="64"/>
      </right>
      <top style="double">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double">
        <color indexed="64"/>
      </top>
      <bottom/>
      <diagonal/>
    </border>
    <border>
      <left/>
      <right/>
      <top style="thick">
        <color indexed="64"/>
      </top>
      <bottom/>
      <diagonal/>
    </border>
    <border>
      <left/>
      <right/>
      <top/>
      <bottom style="double">
        <color indexed="64"/>
      </bottom>
      <diagonal/>
    </border>
    <border>
      <left/>
      <right style="thick">
        <color indexed="64"/>
      </right>
      <top style="thin">
        <color indexed="64"/>
      </top>
      <bottom/>
      <diagonal/>
    </border>
    <border>
      <left style="thin">
        <color indexed="64"/>
      </left>
      <right style="thick">
        <color indexed="64"/>
      </right>
      <top style="thick">
        <color indexed="64"/>
      </top>
      <bottom style="thin">
        <color indexed="64"/>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top style="thick">
        <color indexed="64"/>
      </top>
      <bottom style="thin">
        <color indexed="64"/>
      </bottom>
      <diagonal/>
    </border>
    <border>
      <left/>
      <right/>
      <top style="medium">
        <color indexed="64"/>
      </top>
      <bottom/>
      <diagonal/>
    </border>
    <border>
      <left style="double">
        <color indexed="64"/>
      </left>
      <right/>
      <top/>
      <bottom/>
      <diagonal/>
    </border>
    <border>
      <left style="medium">
        <color indexed="58"/>
      </left>
      <right/>
      <top style="medium">
        <color indexed="58"/>
      </top>
      <bottom/>
      <diagonal/>
    </border>
    <border>
      <left/>
      <right/>
      <top style="medium">
        <color indexed="58"/>
      </top>
      <bottom/>
      <diagonal/>
    </border>
    <border>
      <left/>
      <right style="medium">
        <color indexed="58"/>
      </right>
      <top style="medium">
        <color indexed="58"/>
      </top>
      <bottom/>
      <diagonal/>
    </border>
    <border>
      <left style="medium">
        <color indexed="58"/>
      </left>
      <right/>
      <top/>
      <bottom/>
      <diagonal/>
    </border>
    <border>
      <left/>
      <right style="medium">
        <color indexed="58"/>
      </right>
      <top/>
      <bottom/>
      <diagonal/>
    </border>
    <border>
      <left style="medium">
        <color indexed="58"/>
      </left>
      <right/>
      <top/>
      <bottom style="medium">
        <color indexed="58"/>
      </bottom>
      <diagonal/>
    </border>
    <border>
      <left/>
      <right/>
      <top/>
      <bottom style="medium">
        <color indexed="58"/>
      </bottom>
      <diagonal/>
    </border>
    <border>
      <left/>
      <right style="medium">
        <color indexed="58"/>
      </right>
      <top/>
      <bottom style="medium">
        <color indexed="58"/>
      </bottom>
      <diagonal/>
    </border>
    <border>
      <left style="thin">
        <color indexed="64"/>
      </left>
      <right style="thick">
        <color indexed="64"/>
      </right>
      <top style="thick">
        <color indexed="64"/>
      </top>
      <bottom/>
      <diagonal/>
    </border>
    <border>
      <left style="thin">
        <color indexed="64"/>
      </left>
      <right style="thick">
        <color indexed="64"/>
      </right>
      <top style="thick">
        <color indexed="64"/>
      </top>
      <bottom style="thick">
        <color indexed="64"/>
      </bottom>
      <diagonal/>
    </border>
    <border>
      <left style="thick">
        <color indexed="64"/>
      </left>
      <right/>
      <top style="thin">
        <color indexed="64"/>
      </top>
      <bottom/>
      <diagonal/>
    </border>
    <border>
      <left style="thick">
        <color indexed="64"/>
      </left>
      <right/>
      <top style="thin">
        <color indexed="64"/>
      </top>
      <bottom style="thin">
        <color indexed="64"/>
      </bottom>
      <diagonal/>
    </border>
    <border>
      <left style="thick">
        <color indexed="64"/>
      </left>
      <right/>
      <top style="thick">
        <color indexed="64"/>
      </top>
      <bottom style="thin">
        <color indexed="64"/>
      </bottom>
      <diagonal/>
    </border>
    <border>
      <left style="thin">
        <color indexed="64"/>
      </left>
      <right/>
      <top style="thick">
        <color indexed="64"/>
      </top>
      <bottom style="thin">
        <color indexed="64"/>
      </bottom>
      <diagonal/>
    </border>
    <border>
      <left style="thick">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style="thin">
        <color indexed="64"/>
      </right>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style="double">
        <color indexed="64"/>
      </top>
      <bottom style="thin">
        <color indexed="64"/>
      </bottom>
      <diagonal/>
    </border>
    <border>
      <left style="thin">
        <color indexed="64"/>
      </left>
      <right/>
      <top style="thin">
        <color indexed="64"/>
      </top>
      <bottom style="thick">
        <color indexed="64"/>
      </bottom>
      <diagonal/>
    </border>
    <border>
      <left/>
      <right/>
      <top style="thin">
        <color indexed="64"/>
      </top>
      <bottom style="thick">
        <color indexed="64"/>
      </bottom>
      <diagonal/>
    </border>
    <border>
      <left/>
      <right style="thin">
        <color indexed="64"/>
      </right>
      <top style="thin">
        <color indexed="64"/>
      </top>
      <bottom style="thick">
        <color indexed="64"/>
      </bottom>
      <diagonal/>
    </border>
    <border>
      <left style="thick">
        <color indexed="64"/>
      </left>
      <right/>
      <top style="thin">
        <color indexed="64"/>
      </top>
      <bottom style="thick">
        <color indexed="64"/>
      </bottom>
      <diagonal/>
    </border>
    <border>
      <left style="medium">
        <color indexed="64"/>
      </left>
      <right style="thin">
        <color indexed="64"/>
      </right>
      <top style="thin">
        <color indexed="64"/>
      </top>
      <bottom style="medium">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style="thick">
        <color indexed="64"/>
      </left>
      <right/>
      <top style="thick">
        <color indexed="64"/>
      </top>
      <bottom style="double">
        <color indexed="64"/>
      </bottom>
      <diagonal/>
    </border>
    <border>
      <left/>
      <right/>
      <top style="thick">
        <color indexed="64"/>
      </top>
      <bottom style="double">
        <color indexed="64"/>
      </bottom>
      <diagonal/>
    </border>
    <border>
      <left/>
      <right style="thick">
        <color indexed="64"/>
      </right>
      <top style="thick">
        <color indexed="64"/>
      </top>
      <bottom style="double">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ck">
        <color indexed="64"/>
      </left>
      <right style="thin">
        <color indexed="64"/>
      </right>
      <top style="thick">
        <color indexed="64"/>
      </top>
      <bottom style="double">
        <color indexed="64"/>
      </bottom>
      <diagonal/>
    </border>
    <border>
      <left style="thin">
        <color indexed="64"/>
      </left>
      <right style="thin">
        <color indexed="64"/>
      </right>
      <top style="thick">
        <color indexed="64"/>
      </top>
      <bottom style="double">
        <color indexed="64"/>
      </bottom>
      <diagonal/>
    </border>
    <border>
      <left style="thin">
        <color indexed="64"/>
      </left>
      <right style="thick">
        <color indexed="64"/>
      </right>
      <top style="thick">
        <color indexed="64"/>
      </top>
      <bottom style="double">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ck">
        <color indexed="64"/>
      </top>
      <bottom style="thick">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double">
        <color indexed="64"/>
      </top>
      <bottom style="thick">
        <color indexed="64"/>
      </bottom>
      <diagonal/>
    </border>
    <border>
      <left style="thin">
        <color indexed="64"/>
      </left>
      <right style="thick">
        <color indexed="64"/>
      </right>
      <top style="double">
        <color indexed="64"/>
      </top>
      <bottom style="thick">
        <color indexed="64"/>
      </bottom>
      <diagonal/>
    </border>
    <border>
      <left style="thick">
        <color indexed="64"/>
      </left>
      <right style="thin">
        <color indexed="64"/>
      </right>
      <top style="double">
        <color indexed="64"/>
      </top>
      <bottom style="thick">
        <color indexed="64"/>
      </bottom>
      <diagonal/>
    </border>
    <border>
      <left style="thick">
        <color indexed="64"/>
      </left>
      <right/>
      <top/>
      <bottom style="thin">
        <color indexed="64"/>
      </bottom>
      <diagonal/>
    </border>
    <border>
      <left/>
      <right style="thick">
        <color indexed="64"/>
      </right>
      <top style="thin">
        <color indexed="64"/>
      </top>
      <bottom style="thick">
        <color indexed="64"/>
      </bottom>
      <diagonal/>
    </border>
    <border>
      <left style="thick">
        <color indexed="64"/>
      </left>
      <right style="thin">
        <color indexed="64"/>
      </right>
      <top style="thick">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ck">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DashDot">
        <color auto="1"/>
      </top>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s>
  <cellStyleXfs count="6">
    <xf numFmtId="0" fontId="0" fillId="0" borderId="0"/>
    <xf numFmtId="43" fontId="1" fillId="0" borderId="0" applyFont="0" applyFill="0" applyBorder="0" applyAlignment="0" applyProtection="0"/>
    <xf numFmtId="0" fontId="6" fillId="0" borderId="0" applyNumberFormat="0" applyFill="0" applyBorder="0" applyAlignment="0" applyProtection="0">
      <alignment vertical="top"/>
      <protection locked="0"/>
    </xf>
    <xf numFmtId="0" fontId="24" fillId="0" borderId="0"/>
    <xf numFmtId="0" fontId="24" fillId="0" borderId="0"/>
    <xf numFmtId="9" fontId="1" fillId="0" borderId="0" applyFont="0" applyFill="0" applyBorder="0" applyAlignment="0" applyProtection="0"/>
  </cellStyleXfs>
  <cellXfs count="2925">
    <xf numFmtId="0" fontId="0" fillId="0" borderId="0" xfId="0"/>
    <xf numFmtId="0" fontId="3" fillId="0" borderId="0" xfId="0" applyFont="1"/>
    <xf numFmtId="0" fontId="4" fillId="0" borderId="0" xfId="0" applyFont="1"/>
    <xf numFmtId="0" fontId="3" fillId="0" borderId="0" xfId="0" applyFont="1" applyAlignment="1">
      <alignment horizontal="right"/>
    </xf>
    <xf numFmtId="0" fontId="7" fillId="0" borderId="0" xfId="0" applyFont="1"/>
    <xf numFmtId="0" fontId="3" fillId="0" borderId="0" xfId="0" applyFont="1" applyAlignment="1">
      <alignment horizontal="left"/>
    </xf>
    <xf numFmtId="0" fontId="3" fillId="0" borderId="0" xfId="0"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right"/>
    </xf>
    <xf numFmtId="0" fontId="0" fillId="0" borderId="0" xfId="0" applyAlignment="1">
      <alignment horizontal="left"/>
    </xf>
    <xf numFmtId="0" fontId="0" fillId="0" borderId="0" xfId="0" applyAlignment="1">
      <alignment horizontal="right"/>
    </xf>
    <xf numFmtId="0" fontId="4" fillId="0" borderId="0" xfId="0" applyFont="1" applyAlignment="1">
      <alignment horizontal="left"/>
    </xf>
    <xf numFmtId="0" fontId="3" fillId="0" borderId="0" xfId="0" applyFont="1" applyBorder="1"/>
    <xf numFmtId="0" fontId="3" fillId="2" borderId="1" xfId="0" applyFont="1" applyFill="1" applyBorder="1"/>
    <xf numFmtId="0" fontId="3" fillId="3" borderId="1" xfId="0" applyFont="1" applyFill="1" applyBorder="1"/>
    <xf numFmtId="0" fontId="4" fillId="0" borderId="0" xfId="0" applyFont="1" applyBorder="1" applyAlignment="1">
      <alignment horizontal="right"/>
    </xf>
    <xf numFmtId="0" fontId="3" fillId="2" borderId="1" xfId="5" applyNumberFormat="1" applyFont="1" applyFill="1" applyBorder="1" applyAlignment="1" applyProtection="1">
      <alignment horizontal="center"/>
      <protection locked="0"/>
    </xf>
    <xf numFmtId="0" fontId="3" fillId="2" borderId="1" xfId="0" applyFont="1" applyFill="1" applyBorder="1" applyAlignment="1">
      <alignment horizontal="center"/>
    </xf>
    <xf numFmtId="9" fontId="3" fillId="2" borderId="1" xfId="5" applyFont="1" applyFill="1" applyBorder="1" applyAlignment="1">
      <alignment horizontal="center"/>
    </xf>
    <xf numFmtId="9" fontId="3" fillId="2" borderId="1" xfId="5" applyNumberFormat="1" applyFont="1" applyFill="1" applyBorder="1" applyAlignment="1">
      <alignment horizontal="center"/>
    </xf>
    <xf numFmtId="9" fontId="3" fillId="2" borderId="1" xfId="0" applyNumberFormat="1" applyFont="1" applyFill="1" applyBorder="1" applyAlignment="1">
      <alignment horizontal="center"/>
    </xf>
    <xf numFmtId="0" fontId="3" fillId="2" borderId="1" xfId="0" applyFont="1" applyFill="1" applyBorder="1" applyAlignment="1">
      <alignment horizontal="center" wrapText="1"/>
    </xf>
    <xf numFmtId="1" fontId="4" fillId="0" borderId="0" xfId="0" applyNumberFormat="1" applyFont="1" applyAlignment="1">
      <alignment horizontal="center"/>
    </xf>
    <xf numFmtId="0" fontId="7" fillId="0" borderId="0" xfId="0" applyFont="1" applyAlignment="1">
      <alignment shrinkToFit="1"/>
    </xf>
    <xf numFmtId="0" fontId="3" fillId="0" borderId="0" xfId="0" applyFont="1" applyAlignment="1">
      <alignment horizontal="right" shrinkToFit="1"/>
    </xf>
    <xf numFmtId="0" fontId="3" fillId="0" borderId="0" xfId="0" applyFont="1" applyBorder="1" applyAlignment="1">
      <alignment horizontal="right"/>
    </xf>
    <xf numFmtId="0" fontId="16" fillId="0" borderId="0" xfId="0" applyFont="1"/>
    <xf numFmtId="0" fontId="17" fillId="0" borderId="0" xfId="0" applyFont="1"/>
    <xf numFmtId="0" fontId="0" fillId="3" borderId="1" xfId="0" applyFill="1" applyBorder="1"/>
    <xf numFmtId="0" fontId="18" fillId="0" borderId="0" xfId="0" applyFont="1"/>
    <xf numFmtId="0" fontId="19" fillId="0" borderId="0" xfId="0" applyFont="1"/>
    <xf numFmtId="0" fontId="3" fillId="0" borderId="1" xfId="0" applyFont="1" applyBorder="1"/>
    <xf numFmtId="0" fontId="3" fillId="4" borderId="1" xfId="0" applyFont="1" applyFill="1" applyBorder="1"/>
    <xf numFmtId="0" fontId="4" fillId="0" borderId="0" xfId="0" applyFont="1" applyAlignment="1">
      <alignment horizontal="right" shrinkToFit="1"/>
    </xf>
    <xf numFmtId="9" fontId="3" fillId="0" borderId="0" xfId="0" applyNumberFormat="1" applyFont="1" applyAlignment="1">
      <alignment horizontal="right" shrinkToFit="1"/>
    </xf>
    <xf numFmtId="9" fontId="3" fillId="2" borderId="1" xfId="0" applyNumberFormat="1" applyFont="1" applyFill="1" applyBorder="1"/>
    <xf numFmtId="0" fontId="0" fillId="0" borderId="0" xfId="0" applyAlignment="1">
      <alignment horizontal="center"/>
    </xf>
    <xf numFmtId="0" fontId="3" fillId="3" borderId="1" xfId="0" applyFont="1" applyFill="1" applyBorder="1" applyAlignment="1">
      <alignment horizontal="center"/>
    </xf>
    <xf numFmtId="0" fontId="22" fillId="0" borderId="0" xfId="2" applyFont="1" applyAlignment="1" applyProtection="1"/>
    <xf numFmtId="1" fontId="3" fillId="2" borderId="1" xfId="0" applyNumberFormat="1" applyFont="1" applyFill="1" applyBorder="1" applyAlignment="1">
      <alignment horizontal="center"/>
    </xf>
    <xf numFmtId="0" fontId="3" fillId="0" borderId="1" xfId="0" applyFont="1" applyBorder="1" applyAlignment="1">
      <alignment horizontal="center"/>
    </xf>
    <xf numFmtId="0" fontId="3" fillId="2" borderId="4" xfId="0" applyFont="1" applyFill="1" applyBorder="1" applyAlignment="1">
      <alignment horizontal="center"/>
    </xf>
    <xf numFmtId="0" fontId="4" fillId="3" borderId="1" xfId="0" applyFont="1" applyFill="1" applyBorder="1" applyAlignment="1">
      <alignment horizontal="center"/>
    </xf>
    <xf numFmtId="2" fontId="3" fillId="3" borderId="1" xfId="0" applyNumberFormat="1" applyFont="1" applyFill="1" applyBorder="1" applyAlignment="1">
      <alignment horizontal="center" shrinkToFit="1"/>
    </xf>
    <xf numFmtId="2" fontId="3" fillId="2" borderId="1" xfId="0" applyNumberFormat="1" applyFont="1" applyFill="1" applyBorder="1" applyAlignment="1">
      <alignment horizontal="center" shrinkToFit="1"/>
    </xf>
    <xf numFmtId="1" fontId="3" fillId="0" borderId="0" xfId="0" applyNumberFormat="1" applyFont="1"/>
    <xf numFmtId="0" fontId="23" fillId="0" borderId="0" xfId="0" applyFont="1" applyAlignment="1">
      <alignment horizontal="right"/>
    </xf>
    <xf numFmtId="0" fontId="19" fillId="3" borderId="1" xfId="0" applyFont="1" applyFill="1" applyBorder="1"/>
    <xf numFmtId="0" fontId="17" fillId="0" borderId="0" xfId="0" applyFont="1" applyAlignment="1">
      <alignment horizontal="center"/>
    </xf>
    <xf numFmtId="0" fontId="0" fillId="0" borderId="0" xfId="0" applyAlignment="1"/>
    <xf numFmtId="0" fontId="3" fillId="3" borderId="1" xfId="5" applyNumberFormat="1" applyFont="1" applyFill="1" applyBorder="1" applyAlignment="1" applyProtection="1">
      <alignment horizontal="center"/>
      <protection locked="0"/>
    </xf>
    <xf numFmtId="1" fontId="3" fillId="2" borderId="7" xfId="0" applyNumberFormat="1" applyFont="1" applyFill="1" applyBorder="1" applyAlignment="1">
      <alignment horizontal="center"/>
    </xf>
    <xf numFmtId="0" fontId="3" fillId="0" borderId="0" xfId="0" applyFont="1" applyAlignment="1"/>
    <xf numFmtId="0" fontId="3" fillId="0" borderId="0" xfId="0" applyFont="1" applyAlignment="1">
      <alignment horizontal="center" wrapText="1"/>
    </xf>
    <xf numFmtId="1" fontId="3" fillId="2" borderId="2" xfId="0" applyNumberFormat="1" applyFont="1" applyFill="1" applyBorder="1" applyAlignment="1">
      <alignment horizontal="center" shrinkToFit="1"/>
    </xf>
    <xf numFmtId="1" fontId="4" fillId="0" borderId="0" xfId="0" applyNumberFormat="1" applyFont="1"/>
    <xf numFmtId="0" fontId="30" fillId="6" borderId="0" xfId="0" applyFont="1" applyFill="1"/>
    <xf numFmtId="0" fontId="0" fillId="0" borderId="8" xfId="0" applyBorder="1" applyAlignment="1"/>
    <xf numFmtId="0" fontId="3" fillId="2" borderId="2" xfId="0" applyFont="1" applyFill="1" applyBorder="1" applyAlignment="1">
      <alignment horizontal="center"/>
    </xf>
    <xf numFmtId="0" fontId="0" fillId="0" borderId="0" xfId="0" applyBorder="1"/>
    <xf numFmtId="0" fontId="24" fillId="0" borderId="0" xfId="3"/>
    <xf numFmtId="0" fontId="24" fillId="0" borderId="0" xfId="3" applyBorder="1"/>
    <xf numFmtId="0" fontId="25" fillId="3" borderId="1" xfId="3" applyFont="1" applyFill="1" applyBorder="1" applyAlignment="1">
      <alignment horizontal="left"/>
    </xf>
    <xf numFmtId="0" fontId="27" fillId="0" borderId="0" xfId="3" applyFont="1" applyAlignment="1">
      <alignment horizontal="left"/>
    </xf>
    <xf numFmtId="0" fontId="24" fillId="0" borderId="0" xfId="3" applyAlignment="1">
      <alignment horizontal="left"/>
    </xf>
    <xf numFmtId="0" fontId="19" fillId="0" borderId="0" xfId="0" applyFont="1" applyAlignment="1"/>
    <xf numFmtId="0" fontId="19" fillId="0" borderId="0" xfId="0" applyFont="1" applyAlignment="1">
      <alignment horizontal="center"/>
    </xf>
    <xf numFmtId="0" fontId="19" fillId="0" borderId="0" xfId="0" applyFont="1" applyAlignment="1">
      <alignment horizontal="left"/>
    </xf>
    <xf numFmtId="1" fontId="19" fillId="0" borderId="0" xfId="0" applyNumberFormat="1" applyFont="1" applyAlignment="1">
      <alignment horizontal="center"/>
    </xf>
    <xf numFmtId="0" fontId="19" fillId="0" borderId="0" xfId="0" quotePrefix="1" applyFont="1" applyAlignment="1">
      <alignment horizontal="left"/>
    </xf>
    <xf numFmtId="0" fontId="19" fillId="0" borderId="0" xfId="0" quotePrefix="1" applyFont="1" applyAlignment="1">
      <alignment horizontal="center"/>
    </xf>
    <xf numFmtId="9" fontId="19" fillId="0" borderId="0" xfId="0" applyNumberFormat="1" applyFont="1" applyAlignment="1">
      <alignment horizontal="center"/>
    </xf>
    <xf numFmtId="0" fontId="3" fillId="2" borderId="3" xfId="0" applyFont="1" applyFill="1" applyBorder="1" applyAlignment="1">
      <alignment horizontal="center"/>
    </xf>
    <xf numFmtId="0" fontId="3" fillId="2" borderId="1" xfId="0" quotePrefix="1" applyFont="1" applyFill="1" applyBorder="1" applyAlignment="1">
      <alignment horizontal="center"/>
    </xf>
    <xf numFmtId="16" fontId="19" fillId="0" borderId="0" xfId="0" quotePrefix="1" applyNumberFormat="1" applyFont="1" applyAlignment="1">
      <alignment horizontal="center"/>
    </xf>
    <xf numFmtId="0" fontId="19" fillId="3" borderId="1" xfId="0" applyFont="1" applyFill="1" applyBorder="1" applyAlignment="1">
      <alignment horizontal="center" wrapText="1"/>
    </xf>
    <xf numFmtId="0" fontId="19" fillId="0" borderId="0" xfId="0" applyFont="1" applyAlignment="1">
      <alignment horizontal="center" wrapText="1"/>
    </xf>
    <xf numFmtId="0" fontId="33" fillId="0" borderId="0" xfId="3" applyFont="1"/>
    <xf numFmtId="0" fontId="25" fillId="3" borderId="16" xfId="3" applyFont="1" applyFill="1" applyBorder="1"/>
    <xf numFmtId="0" fontId="29" fillId="3" borderId="17" xfId="3" applyFont="1" applyFill="1" applyBorder="1"/>
    <xf numFmtId="0" fontId="25" fillId="3" borderId="18" xfId="3" applyFont="1" applyFill="1" applyBorder="1"/>
    <xf numFmtId="0" fontId="24" fillId="0" borderId="0" xfId="3" applyFont="1"/>
    <xf numFmtId="0" fontId="34" fillId="0" borderId="0" xfId="0" applyFont="1"/>
    <xf numFmtId="0" fontId="3" fillId="0" borderId="17" xfId="0" applyFont="1" applyBorder="1"/>
    <xf numFmtId="0" fontId="6" fillId="0" borderId="0" xfId="2" applyAlignment="1" applyProtection="1"/>
    <xf numFmtId="0" fontId="20" fillId="0" borderId="0" xfId="0" applyFont="1" applyFill="1" applyBorder="1"/>
    <xf numFmtId="0" fontId="28" fillId="0" borderId="1" xfId="3" applyFont="1" applyBorder="1" applyAlignment="1">
      <alignment horizontal="center"/>
    </xf>
    <xf numFmtId="0" fontId="25" fillId="3" borderId="1" xfId="3" applyFont="1" applyFill="1" applyBorder="1" applyAlignment="1">
      <alignment horizontal="center"/>
    </xf>
    <xf numFmtId="0" fontId="28" fillId="3" borderId="1" xfId="3" applyFont="1" applyFill="1" applyBorder="1" applyAlignment="1">
      <alignment horizontal="left"/>
    </xf>
    <xf numFmtId="0" fontId="28" fillId="0" borderId="0" xfId="0" applyFont="1"/>
    <xf numFmtId="0" fontId="28" fillId="0" borderId="0" xfId="3" applyFont="1" applyFill="1" applyBorder="1" applyAlignment="1">
      <alignment horizontal="center"/>
    </xf>
    <xf numFmtId="9" fontId="28" fillId="0" borderId="0" xfId="3" applyNumberFormat="1" applyFont="1" applyFill="1" applyBorder="1" applyAlignment="1">
      <alignment horizontal="center"/>
    </xf>
    <xf numFmtId="0" fontId="28" fillId="0" borderId="0" xfId="0" applyFont="1" applyFill="1" applyBorder="1" applyAlignment="1">
      <alignment horizontal="center"/>
    </xf>
    <xf numFmtId="0" fontId="28" fillId="0" borderId="0" xfId="0" applyFont="1" applyBorder="1" applyAlignment="1"/>
    <xf numFmtId="0" fontId="28" fillId="3" borderId="17" xfId="3" applyFont="1" applyFill="1" applyBorder="1"/>
    <xf numFmtId="0" fontId="28" fillId="3" borderId="19" xfId="3" applyFont="1" applyFill="1" applyBorder="1"/>
    <xf numFmtId="0" fontId="28" fillId="3" borderId="18" xfId="3" applyFont="1" applyFill="1" applyBorder="1"/>
    <xf numFmtId="0" fontId="28" fillId="3" borderId="6" xfId="3" applyFont="1" applyFill="1" applyBorder="1"/>
    <xf numFmtId="0" fontId="28" fillId="3" borderId="20" xfId="3" applyFont="1" applyFill="1" applyBorder="1"/>
    <xf numFmtId="0" fontId="28" fillId="3" borderId="16" xfId="3" applyFont="1" applyFill="1" applyBorder="1"/>
    <xf numFmtId="0" fontId="28" fillId="0" borderId="9" xfId="3" applyFont="1" applyBorder="1"/>
    <xf numFmtId="0" fontId="28" fillId="0" borderId="0" xfId="3" applyFont="1"/>
    <xf numFmtId="0" fontId="39" fillId="0" borderId="1" xfId="3" applyFont="1" applyBorder="1" applyAlignment="1">
      <alignment horizontal="left"/>
    </xf>
    <xf numFmtId="1" fontId="3" fillId="2" borderId="3" xfId="0" applyNumberFormat="1" applyFont="1" applyFill="1" applyBorder="1" applyAlignment="1">
      <alignment horizontal="center"/>
    </xf>
    <xf numFmtId="0" fontId="42" fillId="6" borderId="0" xfId="0" applyFont="1" applyFill="1"/>
    <xf numFmtId="0" fontId="43" fillId="6" borderId="0" xfId="0" applyFont="1" applyFill="1"/>
    <xf numFmtId="0" fontId="8" fillId="0" borderId="0" xfId="0" applyFont="1"/>
    <xf numFmtId="0" fontId="12" fillId="0" borderId="0" xfId="0" applyFont="1" applyAlignment="1">
      <alignment horizontal="right"/>
    </xf>
    <xf numFmtId="0" fontId="44" fillId="0" borderId="0" xfId="0" applyFont="1"/>
    <xf numFmtId="9" fontId="3" fillId="2" borderId="2" xfId="0" applyNumberFormat="1" applyFont="1" applyFill="1" applyBorder="1" applyAlignment="1">
      <alignment horizontal="center"/>
    </xf>
    <xf numFmtId="1" fontId="44" fillId="0" borderId="0" xfId="0" applyNumberFormat="1" applyFont="1" applyAlignment="1">
      <alignment horizontal="center"/>
    </xf>
    <xf numFmtId="1" fontId="4" fillId="2" borderId="3" xfId="0" applyNumberFormat="1" applyFont="1" applyFill="1" applyBorder="1" applyAlignment="1">
      <alignment horizontal="center"/>
    </xf>
    <xf numFmtId="0" fontId="4" fillId="3" borderId="3" xfId="0" applyFont="1" applyFill="1" applyBorder="1" applyAlignment="1">
      <alignment horizontal="center"/>
    </xf>
    <xf numFmtId="0" fontId="3" fillId="4" borderId="1" xfId="0" applyFont="1" applyFill="1" applyBorder="1" applyAlignment="1">
      <alignment horizontal="right" shrinkToFit="1"/>
    </xf>
    <xf numFmtId="2" fontId="0" fillId="0" borderId="0" xfId="0" applyNumberFormat="1" applyAlignment="1"/>
    <xf numFmtId="0" fontId="15" fillId="3" borderId="8" xfId="0" applyFont="1" applyFill="1" applyBorder="1" applyAlignment="1">
      <alignment horizontal="center" wrapText="1"/>
    </xf>
    <xf numFmtId="0" fontId="15" fillId="3" borderId="26" xfId="0" applyFont="1" applyFill="1" applyBorder="1" applyAlignment="1">
      <alignment horizontal="center" wrapText="1"/>
    </xf>
    <xf numFmtId="0" fontId="15" fillId="3" borderId="27" xfId="0" applyFont="1" applyFill="1" applyBorder="1" applyAlignment="1">
      <alignment horizontal="center" wrapText="1"/>
    </xf>
    <xf numFmtId="0" fontId="15" fillId="3" borderId="14" xfId="0" applyFont="1" applyFill="1" applyBorder="1" applyAlignment="1">
      <alignment horizontal="center" wrapText="1"/>
    </xf>
    <xf numFmtId="0" fontId="15" fillId="3" borderId="13" xfId="0" applyFont="1" applyFill="1" applyBorder="1" applyAlignment="1">
      <alignment horizontal="center" wrapText="1"/>
    </xf>
    <xf numFmtId="1" fontId="3" fillId="2" borderId="1" xfId="0" quotePrefix="1" applyNumberFormat="1" applyFont="1" applyFill="1" applyBorder="1" applyAlignment="1">
      <alignment horizontal="center"/>
    </xf>
    <xf numFmtId="0" fontId="15" fillId="0" borderId="0" xfId="0" applyFont="1" applyBorder="1" applyAlignment="1">
      <alignment horizontal="center" wrapText="1"/>
    </xf>
    <xf numFmtId="0" fontId="3" fillId="0" borderId="0" xfId="0" applyFont="1" applyAlignment="1">
      <alignment horizontal="right" wrapText="1"/>
    </xf>
    <xf numFmtId="0" fontId="5" fillId="0" borderId="0" xfId="0" applyFont="1"/>
    <xf numFmtId="0" fontId="19" fillId="7" borderId="1" xfId="0" applyFont="1" applyFill="1" applyBorder="1"/>
    <xf numFmtId="0" fontId="3" fillId="0" borderId="0" xfId="0" applyFont="1" applyFill="1"/>
    <xf numFmtId="0" fontId="25" fillId="0" borderId="0" xfId="3" applyFont="1"/>
    <xf numFmtId="0" fontId="28" fillId="0" borderId="1" xfId="0" applyFont="1" applyBorder="1" applyAlignment="1">
      <alignment horizontal="center"/>
    </xf>
    <xf numFmtId="0" fontId="25" fillId="3" borderId="1" xfId="0" applyFont="1" applyFill="1" applyBorder="1" applyAlignment="1">
      <alignment vertical="top" wrapText="1"/>
    </xf>
    <xf numFmtId="0" fontId="25" fillId="3" borderId="3" xfId="0" applyFont="1" applyFill="1" applyBorder="1" applyAlignment="1">
      <alignment vertical="top" wrapText="1"/>
    </xf>
    <xf numFmtId="0" fontId="0" fillId="3" borderId="7" xfId="0" applyFill="1" applyBorder="1" applyAlignment="1">
      <alignment vertical="top"/>
    </xf>
    <xf numFmtId="0" fontId="25" fillId="3" borderId="1" xfId="0" applyFont="1" applyFill="1" applyBorder="1" applyAlignment="1">
      <alignment vertical="top"/>
    </xf>
    <xf numFmtId="0" fontId="0" fillId="3" borderId="0" xfId="0" applyFill="1" applyBorder="1"/>
    <xf numFmtId="9" fontId="31" fillId="0" borderId="1" xfId="3" applyNumberFormat="1" applyFont="1" applyBorder="1"/>
    <xf numFmtId="0" fontId="26" fillId="3" borderId="1" xfId="3" applyFont="1" applyFill="1" applyBorder="1" applyAlignment="1"/>
    <xf numFmtId="0" fontId="31" fillId="0" borderId="1" xfId="3" applyFont="1" applyBorder="1" applyAlignment="1">
      <alignment horizontal="center"/>
    </xf>
    <xf numFmtId="0" fontId="20" fillId="0" borderId="0" xfId="0" applyFont="1" applyFill="1" applyBorder="1" applyAlignment="1">
      <alignment horizontal="center"/>
    </xf>
    <xf numFmtId="0" fontId="52" fillId="0" borderId="0" xfId="3" applyFont="1"/>
    <xf numFmtId="0" fontId="3" fillId="0" borderId="6" xfId="0" applyFont="1" applyBorder="1" applyAlignment="1">
      <alignment horizontal="center"/>
    </xf>
    <xf numFmtId="0" fontId="20" fillId="0" borderId="0" xfId="0" applyFont="1" applyFill="1"/>
    <xf numFmtId="0" fontId="0" fillId="0" borderId="0" xfId="0" applyBorder="1" applyAlignment="1">
      <alignment horizontal="center"/>
    </xf>
    <xf numFmtId="0" fontId="3" fillId="0" borderId="0" xfId="0" quotePrefix="1" applyFont="1" applyAlignment="1">
      <alignment horizontal="left"/>
    </xf>
    <xf numFmtId="3" fontId="3" fillId="0" borderId="0" xfId="0" applyNumberFormat="1" applyFont="1" applyAlignment="1"/>
    <xf numFmtId="0" fontId="3" fillId="0" borderId="0" xfId="0" applyFont="1" applyFill="1" applyBorder="1" applyAlignment="1">
      <alignment horizontal="center"/>
    </xf>
    <xf numFmtId="9" fontId="3" fillId="0" borderId="0" xfId="0" applyNumberFormat="1" applyFont="1" applyFill="1" applyBorder="1" applyAlignment="1">
      <alignment horizontal="center"/>
    </xf>
    <xf numFmtId="1" fontId="3" fillId="0" borderId="0" xfId="0" applyNumberFormat="1" applyFont="1" applyFill="1" applyBorder="1" applyAlignment="1">
      <alignment horizontal="center" shrinkToFit="1"/>
    </xf>
    <xf numFmtId="1" fontId="3" fillId="0" borderId="0" xfId="0" applyNumberFormat="1" applyFont="1" applyFill="1" applyBorder="1" applyAlignment="1">
      <alignment horizontal="center"/>
    </xf>
    <xf numFmtId="0" fontId="19" fillId="0" borderId="1" xfId="0" applyFont="1" applyBorder="1" applyAlignment="1">
      <alignment horizontal="center"/>
    </xf>
    <xf numFmtId="0" fontId="19" fillId="3" borderId="4" xfId="0" applyFont="1" applyFill="1" applyBorder="1" applyAlignment="1">
      <alignment horizontal="center" wrapText="1"/>
    </xf>
    <xf numFmtId="0" fontId="19" fillId="3" borderId="7" xfId="0" applyFont="1" applyFill="1" applyBorder="1" applyAlignment="1">
      <alignment horizontal="center" wrapText="1"/>
    </xf>
    <xf numFmtId="0" fontId="19" fillId="7" borderId="7" xfId="0" applyFont="1" applyFill="1" applyBorder="1" applyAlignment="1">
      <alignment horizontal="center"/>
    </xf>
    <xf numFmtId="0" fontId="19" fillId="0" borderId="0" xfId="0" applyFont="1" applyBorder="1" applyAlignment="1">
      <alignment horizontal="center"/>
    </xf>
    <xf numFmtId="0" fontId="55" fillId="0" borderId="0" xfId="0" applyFont="1"/>
    <xf numFmtId="0" fontId="55" fillId="0" borderId="0" xfId="0" applyFont="1" applyAlignment="1">
      <alignment horizontal="center"/>
    </xf>
    <xf numFmtId="0" fontId="55" fillId="0" borderId="0" xfId="0" applyFont="1" applyAlignment="1">
      <alignment horizontal="center" wrapText="1"/>
    </xf>
    <xf numFmtId="0" fontId="55" fillId="0" borderId="1" xfId="0" applyFont="1" applyBorder="1" applyAlignment="1">
      <alignment horizontal="center"/>
    </xf>
    <xf numFmtId="9" fontId="55" fillId="0" borderId="0" xfId="0" applyNumberFormat="1" applyFont="1" applyAlignment="1">
      <alignment horizontal="center"/>
    </xf>
    <xf numFmtId="0" fontId="55" fillId="7" borderId="1" xfId="0" applyFont="1" applyFill="1" applyBorder="1"/>
    <xf numFmtId="0" fontId="56" fillId="0" borderId="0" xfId="3" applyFont="1"/>
    <xf numFmtId="0" fontId="57" fillId="0" borderId="0" xfId="0" applyFont="1"/>
    <xf numFmtId="0" fontId="27" fillId="0" borderId="1" xfId="3" applyFont="1" applyBorder="1" applyAlignment="1">
      <alignment horizontal="center"/>
    </xf>
    <xf numFmtId="0" fontId="58" fillId="0" borderId="0" xfId="3" applyFont="1"/>
    <xf numFmtId="0" fontId="59" fillId="0" borderId="0" xfId="3" applyFont="1"/>
    <xf numFmtId="0" fontId="27" fillId="0" borderId="1" xfId="0" applyFont="1" applyBorder="1" applyAlignment="1">
      <alignment horizontal="center"/>
    </xf>
    <xf numFmtId="0" fontId="52" fillId="0" borderId="1" xfId="0" applyFont="1" applyBorder="1" applyAlignment="1">
      <alignment horizontal="center" vertical="top" wrapText="1"/>
    </xf>
    <xf numFmtId="1" fontId="28" fillId="0" borderId="0" xfId="3" applyNumberFormat="1" applyFont="1" applyFill="1" applyBorder="1" applyAlignment="1">
      <alignment horizontal="center"/>
    </xf>
    <xf numFmtId="0" fontId="27" fillId="0" borderId="0" xfId="0" applyFont="1"/>
    <xf numFmtId="0" fontId="27" fillId="0" borderId="0" xfId="3" applyFont="1"/>
    <xf numFmtId="0" fontId="52" fillId="0" borderId="0" xfId="3" applyFont="1" applyFill="1" applyBorder="1"/>
    <xf numFmtId="0" fontId="52" fillId="0" borderId="0" xfId="0" applyFont="1"/>
    <xf numFmtId="0" fontId="24" fillId="0" borderId="1" xfId="3" applyBorder="1" applyAlignment="1">
      <alignment horizontal="center"/>
    </xf>
    <xf numFmtId="0" fontId="27" fillId="0" borderId="22" xfId="3" applyFont="1" applyBorder="1" applyAlignment="1">
      <alignment horizontal="center"/>
    </xf>
    <xf numFmtId="0" fontId="27" fillId="0" borderId="23" xfId="3" applyFont="1" applyBorder="1" applyAlignment="1">
      <alignment horizontal="center"/>
    </xf>
    <xf numFmtId="0" fontId="28" fillId="0" borderId="31" xfId="3" applyFont="1" applyBorder="1" applyAlignment="1">
      <alignment horizontal="center"/>
    </xf>
    <xf numFmtId="0" fontId="28" fillId="0" borderId="30" xfId="3" applyFont="1" applyBorder="1" applyAlignment="1">
      <alignment horizontal="center"/>
    </xf>
    <xf numFmtId="0" fontId="28" fillId="0" borderId="32" xfId="3" applyFont="1" applyBorder="1" applyAlignment="1">
      <alignment horizontal="center"/>
    </xf>
    <xf numFmtId="0" fontId="28" fillId="0" borderId="22" xfId="3" applyFont="1" applyBorder="1" applyAlignment="1">
      <alignment horizontal="center"/>
    </xf>
    <xf numFmtId="0" fontId="28" fillId="0" borderId="23" xfId="3" applyFont="1" applyBorder="1" applyAlignment="1">
      <alignment horizontal="center"/>
    </xf>
    <xf numFmtId="0" fontId="27" fillId="3" borderId="24" xfId="3" applyFont="1" applyFill="1" applyBorder="1" applyAlignment="1">
      <alignment horizontal="center"/>
    </xf>
    <xf numFmtId="0" fontId="27" fillId="3" borderId="3" xfId="3" applyFont="1" applyFill="1" applyBorder="1" applyAlignment="1">
      <alignment horizontal="center"/>
    </xf>
    <xf numFmtId="0" fontId="27" fillId="3" borderId="25" xfId="3" applyFont="1" applyFill="1" applyBorder="1" applyAlignment="1">
      <alignment horizontal="center"/>
    </xf>
    <xf numFmtId="0" fontId="28" fillId="0" borderId="0" xfId="3" applyFont="1" applyAlignment="1">
      <alignment horizontal="left"/>
    </xf>
    <xf numFmtId="0" fontId="27" fillId="0" borderId="33" xfId="3" applyFont="1" applyBorder="1"/>
    <xf numFmtId="0" fontId="27" fillId="0" borderId="34" xfId="3" applyFont="1" applyBorder="1"/>
    <xf numFmtId="0" fontId="27" fillId="0" borderId="35" xfId="3" applyFont="1" applyBorder="1"/>
    <xf numFmtId="0" fontId="27" fillId="0" borderId="36" xfId="3" applyFont="1" applyBorder="1"/>
    <xf numFmtId="0" fontId="27" fillId="0" borderId="37" xfId="3" applyFont="1" applyBorder="1"/>
    <xf numFmtId="0" fontId="27" fillId="0" borderId="38" xfId="3" applyFont="1" applyBorder="1"/>
    <xf numFmtId="0" fontId="24" fillId="0" borderId="39" xfId="3" applyBorder="1"/>
    <xf numFmtId="0" fontId="27" fillId="0" borderId="40" xfId="3" applyFont="1" applyBorder="1"/>
    <xf numFmtId="0" fontId="24" fillId="0" borderId="41" xfId="3" applyBorder="1"/>
    <xf numFmtId="0" fontId="23" fillId="0" borderId="0" xfId="0" applyFont="1"/>
    <xf numFmtId="0" fontId="35" fillId="0" borderId="0" xfId="0" applyFont="1" applyAlignment="1">
      <alignment horizontal="center"/>
    </xf>
    <xf numFmtId="0" fontId="35" fillId="8" borderId="1" xfId="0" applyFont="1" applyFill="1" applyBorder="1" applyAlignment="1">
      <alignment horizontal="center"/>
    </xf>
    <xf numFmtId="0" fontId="35" fillId="9" borderId="1" xfId="0" applyFont="1" applyFill="1" applyBorder="1" applyAlignment="1">
      <alignment horizontal="center"/>
    </xf>
    <xf numFmtId="0" fontId="35" fillId="10" borderId="1" xfId="0" applyFont="1" applyFill="1" applyBorder="1" applyAlignment="1">
      <alignment horizontal="center"/>
    </xf>
    <xf numFmtId="0" fontId="19" fillId="0" borderId="0" xfId="0" applyFont="1" applyAlignment="1">
      <alignment horizontal="right"/>
    </xf>
    <xf numFmtId="0" fontId="3" fillId="0" borderId="43" xfId="0" applyFont="1" applyBorder="1"/>
    <xf numFmtId="0" fontId="3" fillId="0" borderId="22" xfId="0" applyFont="1" applyBorder="1"/>
    <xf numFmtId="0" fontId="3" fillId="0" borderId="31" xfId="0" applyFont="1" applyBorder="1"/>
    <xf numFmtId="0" fontId="3" fillId="0" borderId="43" xfId="0" applyFont="1" applyBorder="1" applyAlignment="1">
      <alignment horizontal="center"/>
    </xf>
    <xf numFmtId="9" fontId="3" fillId="2" borderId="1" xfId="0" applyNumberFormat="1" applyFont="1" applyFill="1" applyBorder="1" applyAlignment="1">
      <alignment horizontal="right"/>
    </xf>
    <xf numFmtId="9" fontId="35" fillId="11" borderId="1" xfId="0" applyNumberFormat="1" applyFont="1" applyFill="1" applyBorder="1" applyAlignment="1">
      <alignment horizontal="center"/>
    </xf>
    <xf numFmtId="1" fontId="35" fillId="11" borderId="1" xfId="0" applyNumberFormat="1" applyFont="1" applyFill="1" applyBorder="1" applyAlignment="1">
      <alignment horizontal="center"/>
    </xf>
    <xf numFmtId="9" fontId="35" fillId="12" borderId="1" xfId="0" applyNumberFormat="1" applyFont="1" applyFill="1" applyBorder="1" applyAlignment="1">
      <alignment horizontal="center"/>
    </xf>
    <xf numFmtId="1" fontId="35" fillId="12" borderId="1" xfId="0" applyNumberFormat="1" applyFont="1" applyFill="1" applyBorder="1" applyAlignment="1">
      <alignment horizontal="center"/>
    </xf>
    <xf numFmtId="9" fontId="35" fillId="9" borderId="1" xfId="0" applyNumberFormat="1" applyFont="1" applyFill="1" applyBorder="1" applyAlignment="1">
      <alignment horizontal="center"/>
    </xf>
    <xf numFmtId="1" fontId="35" fillId="9" borderId="1" xfId="0" applyNumberFormat="1" applyFont="1" applyFill="1" applyBorder="1" applyAlignment="1">
      <alignment horizontal="center"/>
    </xf>
    <xf numFmtId="0" fontId="15" fillId="0" borderId="44" xfId="0" applyFont="1" applyBorder="1" applyAlignment="1">
      <alignment horizontal="center" vertical="top"/>
    </xf>
    <xf numFmtId="0" fontId="15" fillId="0" borderId="45" xfId="0" applyFont="1" applyBorder="1" applyAlignment="1">
      <alignment horizontal="center" vertical="top"/>
    </xf>
    <xf numFmtId="0" fontId="15" fillId="0" borderId="45" xfId="0" applyFont="1" applyFill="1" applyBorder="1" applyAlignment="1">
      <alignment horizontal="center" vertical="top"/>
    </xf>
    <xf numFmtId="0" fontId="69" fillId="0" borderId="20" xfId="0" applyFont="1" applyBorder="1" applyAlignment="1">
      <alignment vertical="top"/>
    </xf>
    <xf numFmtId="0" fontId="69" fillId="0" borderId="46" xfId="0" applyFont="1" applyBorder="1" applyAlignment="1">
      <alignment vertical="top"/>
    </xf>
    <xf numFmtId="0" fontId="69" fillId="0" borderId="20" xfId="0" applyFont="1" applyFill="1" applyBorder="1" applyAlignment="1">
      <alignment vertical="top"/>
    </xf>
    <xf numFmtId="0" fontId="70" fillId="0" borderId="46" xfId="0" applyFont="1" applyBorder="1" applyAlignment="1">
      <alignment vertical="top"/>
    </xf>
    <xf numFmtId="0" fontId="70" fillId="0" borderId="20" xfId="0" applyFont="1" applyBorder="1" applyAlignment="1">
      <alignment vertical="top"/>
    </xf>
    <xf numFmtId="0" fontId="70" fillId="0" borderId="20" xfId="0" applyFont="1" applyFill="1" applyBorder="1" applyAlignment="1">
      <alignment vertical="top"/>
    </xf>
    <xf numFmtId="0" fontId="70" fillId="0" borderId="47" xfId="0" applyFont="1" applyBorder="1" applyAlignment="1">
      <alignment vertical="top"/>
    </xf>
    <xf numFmtId="0" fontId="70" fillId="0" borderId="1" xfId="0" applyFont="1" applyBorder="1" applyAlignment="1">
      <alignment vertical="top"/>
    </xf>
    <xf numFmtId="0" fontId="70" fillId="0" borderId="1" xfId="0" applyFont="1" applyFill="1" applyBorder="1" applyAlignment="1">
      <alignment vertical="top"/>
    </xf>
    <xf numFmtId="0" fontId="19" fillId="0" borderId="8" xfId="0" applyFont="1" applyBorder="1" applyAlignment="1">
      <alignment wrapText="1"/>
    </xf>
    <xf numFmtId="9" fontId="19" fillId="3" borderId="1" xfId="0" applyNumberFormat="1" applyFont="1" applyFill="1" applyBorder="1" applyAlignment="1">
      <alignment horizontal="center" wrapText="1"/>
    </xf>
    <xf numFmtId="0" fontId="19" fillId="0" borderId="1" xfId="0" applyFont="1" applyFill="1" applyBorder="1" applyAlignment="1">
      <alignment horizontal="center"/>
    </xf>
    <xf numFmtId="0" fontId="71" fillId="0" borderId="0" xfId="0" applyFont="1" applyAlignment="1">
      <alignment horizontal="right"/>
    </xf>
    <xf numFmtId="0" fontId="13" fillId="0" borderId="0" xfId="0" applyFont="1"/>
    <xf numFmtId="0" fontId="73" fillId="0" borderId="0" xfId="0" applyFont="1"/>
    <xf numFmtId="0" fontId="13" fillId="0" borderId="0" xfId="0" applyFont="1" applyAlignment="1"/>
    <xf numFmtId="0" fontId="72" fillId="0" borderId="0" xfId="0" applyFont="1"/>
    <xf numFmtId="0" fontId="78" fillId="0" borderId="0" xfId="0" applyFont="1"/>
    <xf numFmtId="0" fontId="79" fillId="0" borderId="0" xfId="0" applyFont="1" applyAlignment="1">
      <alignment horizontal="right"/>
    </xf>
    <xf numFmtId="1" fontId="17" fillId="0" borderId="0" xfId="0" applyNumberFormat="1" applyFont="1"/>
    <xf numFmtId="0" fontId="26" fillId="3" borderId="4" xfId="3" applyFont="1" applyFill="1" applyBorder="1" applyAlignment="1">
      <alignment horizontal="center"/>
    </xf>
    <xf numFmtId="0" fontId="80" fillId="0" borderId="0" xfId="0" applyFont="1" applyAlignment="1">
      <alignment horizontal="center"/>
    </xf>
    <xf numFmtId="0" fontId="17" fillId="2" borderId="1" xfId="0" applyFont="1" applyFill="1" applyBorder="1"/>
    <xf numFmtId="0" fontId="17" fillId="3" borderId="1" xfId="0" applyFont="1" applyFill="1" applyBorder="1"/>
    <xf numFmtId="0" fontId="17" fillId="3" borderId="1" xfId="0" applyFont="1" applyFill="1" applyBorder="1" applyAlignment="1">
      <alignment shrinkToFit="1"/>
    </xf>
    <xf numFmtId="0" fontId="17" fillId="2" borderId="1" xfId="0" applyFont="1" applyFill="1" applyBorder="1" applyAlignment="1">
      <alignment shrinkToFit="1"/>
    </xf>
    <xf numFmtId="0" fontId="17" fillId="13" borderId="1" xfId="0" applyFont="1" applyFill="1" applyBorder="1" applyAlignment="1">
      <alignment shrinkToFit="1"/>
    </xf>
    <xf numFmtId="0" fontId="17" fillId="13" borderId="2" xfId="0" applyFont="1" applyFill="1" applyBorder="1" applyAlignment="1">
      <alignment shrinkToFit="1"/>
    </xf>
    <xf numFmtId="0" fontId="17" fillId="0" borderId="0" xfId="0" applyFont="1" applyFill="1" applyBorder="1" applyAlignment="1">
      <alignment shrinkToFit="1"/>
    </xf>
    <xf numFmtId="0" fontId="17" fillId="3" borderId="1" xfId="0" applyFont="1" applyFill="1" applyBorder="1" applyAlignment="1">
      <alignment horizontal="center"/>
    </xf>
    <xf numFmtId="0" fontId="17" fillId="3" borderId="1" xfId="0" applyFont="1" applyFill="1" applyBorder="1" applyAlignment="1">
      <alignment horizontal="center" shrinkToFit="1"/>
    </xf>
    <xf numFmtId="168" fontId="17" fillId="2" borderId="1" xfId="0" applyNumberFormat="1" applyFont="1" applyFill="1" applyBorder="1" applyAlignment="1">
      <alignment shrinkToFit="1"/>
    </xf>
    <xf numFmtId="0" fontId="66" fillId="2" borderId="1" xfId="0" applyFont="1" applyFill="1" applyBorder="1" applyAlignment="1">
      <alignment horizontal="center"/>
    </xf>
    <xf numFmtId="1" fontId="17" fillId="2" borderId="1" xfId="0" applyNumberFormat="1" applyFont="1" applyFill="1" applyBorder="1" applyAlignment="1">
      <alignment shrinkToFit="1"/>
    </xf>
    <xf numFmtId="2" fontId="17" fillId="2" borderId="1" xfId="0" applyNumberFormat="1" applyFont="1" applyFill="1" applyBorder="1" applyAlignment="1">
      <alignment shrinkToFit="1"/>
    </xf>
    <xf numFmtId="2" fontId="17" fillId="2" borderId="1" xfId="0" applyNumberFormat="1" applyFont="1" applyFill="1" applyBorder="1"/>
    <xf numFmtId="0" fontId="3" fillId="0" borderId="0" xfId="0" applyFont="1" applyFill="1" applyBorder="1" applyAlignment="1">
      <alignment horizontal="right"/>
    </xf>
    <xf numFmtId="0" fontId="17" fillId="2" borderId="1" xfId="0" applyFont="1" applyFill="1" applyBorder="1" applyAlignment="1">
      <alignment horizontal="center"/>
    </xf>
    <xf numFmtId="0" fontId="3" fillId="0" borderId="8" xfId="0" applyFont="1" applyBorder="1"/>
    <xf numFmtId="0" fontId="17" fillId="0" borderId="0" xfId="0" applyFont="1" applyAlignment="1">
      <alignment horizontal="right"/>
    </xf>
    <xf numFmtId="0" fontId="0" fillId="2" borderId="1" xfId="0" applyFill="1" applyBorder="1" applyAlignment="1">
      <alignment horizontal="center"/>
    </xf>
    <xf numFmtId="0" fontId="0" fillId="0" borderId="7" xfId="0" applyBorder="1" applyAlignment="1"/>
    <xf numFmtId="0" fontId="26" fillId="3" borderId="1" xfId="3" applyFont="1" applyFill="1" applyBorder="1" applyAlignment="1">
      <alignment horizontal="center"/>
    </xf>
    <xf numFmtId="0" fontId="0" fillId="3" borderId="21" xfId="0" applyFill="1" applyBorder="1" applyAlignment="1">
      <alignment horizontal="left"/>
    </xf>
    <xf numFmtId="0" fontId="83" fillId="0" borderId="0" xfId="0" applyFont="1" applyAlignment="1">
      <alignment horizontal="right"/>
    </xf>
    <xf numFmtId="0" fontId="84" fillId="0" borderId="0" xfId="0" applyFont="1"/>
    <xf numFmtId="0" fontId="25" fillId="3" borderId="4" xfId="0" applyFont="1" applyFill="1" applyBorder="1" applyAlignment="1">
      <alignment horizontal="left"/>
    </xf>
    <xf numFmtId="0" fontId="0" fillId="3" borderId="21" xfId="0" applyFill="1" applyBorder="1" applyAlignment="1">
      <alignment horizontal="center"/>
    </xf>
    <xf numFmtId="0" fontId="0" fillId="3" borderId="7" xfId="0" applyFill="1" applyBorder="1" applyAlignment="1">
      <alignment horizontal="center"/>
    </xf>
    <xf numFmtId="0" fontId="17" fillId="0" borderId="21" xfId="0" applyFont="1" applyBorder="1" applyAlignment="1">
      <alignment horizontal="left"/>
    </xf>
    <xf numFmtId="0" fontId="17" fillId="0" borderId="7" xfId="0" applyFont="1" applyBorder="1" applyAlignment="1">
      <alignment horizontal="center"/>
    </xf>
    <xf numFmtId="0" fontId="0" fillId="3" borderId="17" xfId="0" applyFill="1" applyBorder="1" applyAlignment="1">
      <alignment horizontal="center"/>
    </xf>
    <xf numFmtId="0" fontId="17" fillId="0" borderId="7" xfId="0" applyFont="1" applyBorder="1" applyAlignment="1">
      <alignment horizontal="left"/>
    </xf>
    <xf numFmtId="0" fontId="26" fillId="0" borderId="4" xfId="0" applyFont="1" applyFill="1" applyBorder="1" applyAlignment="1">
      <alignment horizontal="left"/>
    </xf>
    <xf numFmtId="0" fontId="17" fillId="0" borderId="0" xfId="0" applyFont="1" applyFill="1" applyBorder="1" applyAlignment="1">
      <alignment horizontal="left"/>
    </xf>
    <xf numFmtId="0" fontId="17" fillId="0" borderId="7" xfId="0" applyFont="1" applyFill="1" applyBorder="1" applyAlignment="1">
      <alignment horizontal="center"/>
    </xf>
    <xf numFmtId="0" fontId="24" fillId="0" borderId="1" xfId="3" applyFill="1" applyBorder="1" applyAlignment="1">
      <alignment horizontal="center"/>
    </xf>
    <xf numFmtId="0" fontId="0" fillId="3" borderId="19" xfId="0" applyFill="1" applyBorder="1" applyAlignment="1">
      <alignment horizontal="center"/>
    </xf>
    <xf numFmtId="9" fontId="17" fillId="0" borderId="1" xfId="0" applyNumberFormat="1" applyFont="1" applyBorder="1" applyAlignment="1">
      <alignment horizontal="center"/>
    </xf>
    <xf numFmtId="9" fontId="32" fillId="0" borderId="1" xfId="3" applyNumberFormat="1" applyFont="1" applyBorder="1" applyAlignment="1">
      <alignment horizontal="center"/>
    </xf>
    <xf numFmtId="0" fontId="32" fillId="0" borderId="0" xfId="3" applyFont="1"/>
    <xf numFmtId="0" fontId="17" fillId="0" borderId="1" xfId="0" applyFont="1" applyFill="1" applyBorder="1" applyAlignment="1">
      <alignment horizontal="center"/>
    </xf>
    <xf numFmtId="0" fontId="17" fillId="0" borderId="0" xfId="0" applyFont="1" applyFill="1" applyBorder="1" applyAlignment="1">
      <alignment horizontal="right"/>
    </xf>
    <xf numFmtId="0" fontId="61" fillId="0" borderId="1" xfId="0" applyFont="1" applyFill="1" applyBorder="1" applyAlignment="1">
      <alignment horizontal="center"/>
    </xf>
    <xf numFmtId="0" fontId="24" fillId="0" borderId="3" xfId="3" applyFill="1" applyBorder="1" applyAlignment="1">
      <alignment horizontal="center"/>
    </xf>
    <xf numFmtId="0" fontId="3" fillId="0" borderId="1" xfId="0" applyFont="1" applyFill="1" applyBorder="1" applyAlignment="1">
      <alignment horizontal="center"/>
    </xf>
    <xf numFmtId="0" fontId="3" fillId="0" borderId="3" xfId="0" applyFont="1" applyFill="1" applyBorder="1" applyAlignment="1">
      <alignment horizontal="center"/>
    </xf>
    <xf numFmtId="0" fontId="24" fillId="0" borderId="1" xfId="3" applyFont="1" applyBorder="1" applyAlignment="1">
      <alignment horizontal="center"/>
    </xf>
    <xf numFmtId="0" fontId="28" fillId="3" borderId="1" xfId="3" applyFont="1" applyFill="1" applyBorder="1" applyAlignment="1">
      <alignment horizontal="center"/>
    </xf>
    <xf numFmtId="0" fontId="28" fillId="0" borderId="1" xfId="3" applyFont="1" applyFill="1" applyBorder="1" applyAlignment="1">
      <alignment horizontal="center"/>
    </xf>
    <xf numFmtId="0" fontId="28" fillId="3" borderId="21" xfId="3" applyFont="1" applyFill="1" applyBorder="1" applyAlignment="1">
      <alignment horizontal="center"/>
    </xf>
    <xf numFmtId="0" fontId="28" fillId="3" borderId="7" xfId="3" applyFont="1" applyFill="1" applyBorder="1" applyAlignment="1">
      <alignment horizontal="center"/>
    </xf>
    <xf numFmtId="0" fontId="62" fillId="3" borderId="4" xfId="3" applyFont="1" applyFill="1" applyBorder="1" applyAlignment="1">
      <alignment horizontal="left"/>
    </xf>
    <xf numFmtId="0" fontId="31" fillId="3" borderId="7" xfId="3" applyFont="1" applyFill="1" applyBorder="1" applyAlignment="1">
      <alignment horizontal="center"/>
    </xf>
    <xf numFmtId="1" fontId="4" fillId="0" borderId="0" xfId="0" applyNumberFormat="1" applyFont="1" applyFill="1" applyBorder="1" applyAlignment="1">
      <alignment horizontal="right"/>
    </xf>
    <xf numFmtId="0" fontId="31" fillId="3" borderId="1" xfId="3" applyFont="1" applyFill="1" applyBorder="1" applyAlignment="1">
      <alignment horizontal="center"/>
    </xf>
    <xf numFmtId="1" fontId="31" fillId="3" borderId="1" xfId="3" applyNumberFormat="1" applyFont="1" applyFill="1" applyBorder="1" applyAlignment="1">
      <alignment horizontal="center"/>
    </xf>
    <xf numFmtId="0" fontId="24" fillId="0" borderId="0" xfId="3" applyFill="1"/>
    <xf numFmtId="1" fontId="17" fillId="0" borderId="0" xfId="0" applyNumberFormat="1" applyFont="1" applyAlignment="1">
      <alignment horizontal="center"/>
    </xf>
    <xf numFmtId="0" fontId="27" fillId="0" borderId="0" xfId="3" applyFont="1" applyBorder="1"/>
    <xf numFmtId="0" fontId="34" fillId="0" borderId="0" xfId="0" applyFont="1" applyAlignment="1">
      <alignment horizontal="left"/>
    </xf>
    <xf numFmtId="0" fontId="13" fillId="0" borderId="0" xfId="0" applyFont="1" applyAlignment="1">
      <alignment horizontal="left"/>
    </xf>
    <xf numFmtId="0" fontId="61" fillId="0" borderId="0" xfId="0" applyFont="1" applyAlignment="1">
      <alignment horizontal="center"/>
    </xf>
    <xf numFmtId="0" fontId="25" fillId="3" borderId="1" xfId="0" applyFont="1" applyFill="1" applyBorder="1" applyAlignment="1">
      <alignment horizontal="center"/>
    </xf>
    <xf numFmtId="0" fontId="4" fillId="0" borderId="0" xfId="0" applyFont="1" applyAlignment="1">
      <alignment horizontal="left" wrapText="1"/>
    </xf>
    <xf numFmtId="0" fontId="4" fillId="0" borderId="6" xfId="0" applyFont="1" applyBorder="1" applyAlignment="1">
      <alignment horizontal="left" wrapText="1"/>
    </xf>
    <xf numFmtId="0" fontId="61" fillId="0" borderId="1" xfId="0" applyFont="1" applyBorder="1" applyAlignment="1">
      <alignment horizontal="center"/>
    </xf>
    <xf numFmtId="0" fontId="90" fillId="0" borderId="1" xfId="3" applyFont="1" applyBorder="1" applyAlignment="1">
      <alignment horizontal="center"/>
    </xf>
    <xf numFmtId="9" fontId="61" fillId="0" borderId="1" xfId="0" applyNumberFormat="1" applyFont="1" applyBorder="1" applyAlignment="1">
      <alignment horizontal="center"/>
    </xf>
    <xf numFmtId="0" fontId="4" fillId="0" borderId="6" xfId="0" applyFont="1" applyBorder="1" applyAlignment="1">
      <alignment horizontal="left"/>
    </xf>
    <xf numFmtId="0" fontId="4" fillId="3" borderId="2" xfId="0" applyFont="1" applyFill="1" applyBorder="1" applyAlignment="1">
      <alignment horizontal="center"/>
    </xf>
    <xf numFmtId="0" fontId="3" fillId="0" borderId="5" xfId="0" applyFont="1" applyBorder="1"/>
    <xf numFmtId="0" fontId="4" fillId="0" borderId="5" xfId="0" applyFont="1" applyBorder="1" applyAlignment="1">
      <alignment horizontal="center"/>
    </xf>
    <xf numFmtId="0" fontId="4" fillId="0" borderId="0" xfId="0" applyFont="1" applyBorder="1" applyAlignment="1"/>
    <xf numFmtId="0" fontId="3" fillId="2" borderId="7" xfId="0" applyFont="1" applyFill="1" applyBorder="1" applyAlignment="1">
      <alignment horizontal="center"/>
    </xf>
    <xf numFmtId="0" fontId="0" fillId="3" borderId="1" xfId="0" applyFill="1" applyBorder="1" applyAlignment="1">
      <alignment horizontal="center"/>
    </xf>
    <xf numFmtId="0" fontId="3" fillId="4" borderId="1" xfId="0" applyFont="1" applyFill="1" applyBorder="1" applyAlignment="1">
      <alignment horizontal="left"/>
    </xf>
    <xf numFmtId="0" fontId="3" fillId="4" borderId="1" xfId="0" applyFont="1" applyFill="1" applyBorder="1" applyAlignment="1">
      <alignment horizontal="left" shrinkToFit="1"/>
    </xf>
    <xf numFmtId="9" fontId="0" fillId="0" borderId="0" xfId="0" applyNumberFormat="1"/>
    <xf numFmtId="0" fontId="0" fillId="2" borderId="1" xfId="0" applyFill="1" applyBorder="1"/>
    <xf numFmtId="0" fontId="0" fillId="3" borderId="30" xfId="0" applyFill="1" applyBorder="1" applyAlignment="1">
      <alignment horizontal="center"/>
    </xf>
    <xf numFmtId="0" fontId="24" fillId="0" borderId="5" xfId="3" applyBorder="1"/>
    <xf numFmtId="1" fontId="19" fillId="0" borderId="0" xfId="0" quotePrefix="1" applyNumberFormat="1" applyFont="1" applyAlignment="1">
      <alignment horizontal="center"/>
    </xf>
    <xf numFmtId="0" fontId="61" fillId="3" borderId="1" xfId="0" applyFont="1" applyFill="1" applyBorder="1" applyAlignment="1">
      <alignment horizontal="left"/>
    </xf>
    <xf numFmtId="2" fontId="3" fillId="3" borderId="2" xfId="0" applyNumberFormat="1" applyFont="1" applyFill="1" applyBorder="1" applyAlignment="1">
      <alignment horizontal="center" shrinkToFit="1"/>
    </xf>
    <xf numFmtId="2" fontId="3" fillId="3" borderId="3" xfId="0" applyNumberFormat="1" applyFont="1" applyFill="1" applyBorder="1" applyAlignment="1">
      <alignment horizontal="center" shrinkToFit="1"/>
    </xf>
    <xf numFmtId="1" fontId="3" fillId="2" borderId="1" xfId="0" applyNumberFormat="1" applyFont="1" applyFill="1" applyBorder="1" applyAlignment="1">
      <alignment horizontal="center" shrinkToFit="1"/>
    </xf>
    <xf numFmtId="0" fontId="0" fillId="0" borderId="1" xfId="0" applyBorder="1" applyAlignment="1"/>
    <xf numFmtId="0" fontId="31" fillId="0" borderId="48" xfId="3" applyFont="1" applyBorder="1"/>
    <xf numFmtId="0" fontId="31" fillId="0" borderId="49" xfId="3" applyFont="1" applyBorder="1"/>
    <xf numFmtId="0" fontId="31" fillId="0" borderId="50" xfId="3" applyFont="1" applyBorder="1"/>
    <xf numFmtId="0" fontId="31" fillId="0" borderId="22" xfId="3" applyFont="1" applyBorder="1"/>
    <xf numFmtId="0" fontId="31" fillId="0" borderId="1" xfId="3" applyFont="1" applyBorder="1"/>
    <xf numFmtId="0" fontId="31" fillId="0" borderId="23" xfId="3" applyFont="1" applyBorder="1"/>
    <xf numFmtId="0" fontId="31" fillId="0" borderId="31" xfId="3" applyFont="1" applyBorder="1"/>
    <xf numFmtId="0" fontId="31" fillId="0" borderId="30" xfId="3" applyFont="1" applyBorder="1"/>
    <xf numFmtId="0" fontId="31" fillId="0" borderId="32" xfId="3" applyFont="1" applyBorder="1"/>
    <xf numFmtId="0" fontId="27" fillId="0" borderId="0" xfId="3" quotePrefix="1" applyFont="1" applyAlignment="1">
      <alignment horizontal="right"/>
    </xf>
    <xf numFmtId="0" fontId="27" fillId="0" borderId="0" xfId="0" applyFont="1" applyAlignment="1">
      <alignment horizontal="right"/>
    </xf>
    <xf numFmtId="0" fontId="32" fillId="0" borderId="0" xfId="3" applyFont="1" applyBorder="1" applyAlignment="1">
      <alignment horizontal="center"/>
    </xf>
    <xf numFmtId="0" fontId="60" fillId="3" borderId="51" xfId="0" applyFont="1" applyFill="1" applyBorder="1" applyAlignment="1">
      <alignment horizontal="center"/>
    </xf>
    <xf numFmtId="0" fontId="60" fillId="3" borderId="52" xfId="0" applyFont="1" applyFill="1" applyBorder="1" applyAlignment="1">
      <alignment horizontal="center"/>
    </xf>
    <xf numFmtId="0" fontId="27" fillId="0" borderId="53" xfId="0" applyFont="1" applyBorder="1" applyAlignment="1">
      <alignment horizontal="center"/>
    </xf>
    <xf numFmtId="0" fontId="52" fillId="0" borderId="53" xfId="0" applyFont="1" applyBorder="1" applyAlignment="1">
      <alignment horizontal="center" vertical="top" wrapText="1"/>
    </xf>
    <xf numFmtId="0" fontId="25" fillId="3" borderId="54" xfId="0" applyFont="1" applyFill="1" applyBorder="1" applyAlignment="1">
      <alignment horizontal="center"/>
    </xf>
    <xf numFmtId="0" fontId="25" fillId="3" borderId="55" xfId="0" applyFont="1" applyFill="1" applyBorder="1" applyAlignment="1">
      <alignment horizontal="center"/>
    </xf>
    <xf numFmtId="0" fontId="61" fillId="0" borderId="56" xfId="0" applyFont="1" applyBorder="1" applyAlignment="1">
      <alignment horizontal="center"/>
    </xf>
    <xf numFmtId="0" fontId="90" fillId="0" borderId="56" xfId="3" applyFont="1" applyBorder="1" applyAlignment="1">
      <alignment horizontal="center"/>
    </xf>
    <xf numFmtId="0" fontId="61" fillId="0" borderId="53" xfId="0" applyFont="1" applyBorder="1" applyAlignment="1">
      <alignment horizontal="center"/>
    </xf>
    <xf numFmtId="0" fontId="90" fillId="0" borderId="57" xfId="3" applyFont="1" applyBorder="1" applyAlignment="1">
      <alignment horizontal="center"/>
    </xf>
    <xf numFmtId="0" fontId="31" fillId="0" borderId="0" xfId="3" applyFont="1" applyBorder="1" applyAlignment="1">
      <alignment horizontal="left"/>
    </xf>
    <xf numFmtId="1" fontId="32" fillId="0" borderId="0" xfId="3" applyNumberFormat="1" applyFont="1" applyBorder="1" applyAlignment="1">
      <alignment horizontal="center"/>
    </xf>
    <xf numFmtId="0" fontId="31" fillId="0" borderId="0" xfId="3" applyFont="1" applyBorder="1" applyAlignment="1">
      <alignment horizontal="center"/>
    </xf>
    <xf numFmtId="0" fontId="17" fillId="0" borderId="0" xfId="0" applyFont="1" applyBorder="1" applyAlignment="1">
      <alignment horizontal="center"/>
    </xf>
    <xf numFmtId="9" fontId="28" fillId="0" borderId="0" xfId="3" applyNumberFormat="1" applyFont="1" applyFill="1" applyBorder="1" applyAlignment="1">
      <alignment horizontal="center" shrinkToFit="1"/>
    </xf>
    <xf numFmtId="0" fontId="28" fillId="0" borderId="0" xfId="0" applyFont="1" applyFill="1" applyBorder="1" applyAlignment="1">
      <alignment horizontal="center" shrinkToFit="1"/>
    </xf>
    <xf numFmtId="0" fontId="31" fillId="0" borderId="0" xfId="3" applyFont="1" applyFill="1" applyBorder="1" applyAlignment="1">
      <alignment horizontal="center" shrinkToFit="1"/>
    </xf>
    <xf numFmtId="1" fontId="31" fillId="0" borderId="0" xfId="3" applyNumberFormat="1" applyFont="1" applyFill="1" applyBorder="1" applyAlignment="1">
      <alignment horizontal="center" shrinkToFit="1"/>
    </xf>
    <xf numFmtId="0" fontId="31" fillId="0" borderId="0" xfId="0" applyFont="1" applyFill="1" applyBorder="1" applyAlignment="1">
      <alignment horizontal="center" shrinkToFit="1"/>
    </xf>
    <xf numFmtId="0" fontId="31" fillId="0" borderId="0" xfId="3" applyFont="1" applyFill="1" applyBorder="1" applyAlignment="1">
      <alignment horizontal="center"/>
    </xf>
    <xf numFmtId="0" fontId="27" fillId="0" borderId="0" xfId="3" applyFont="1" applyFill="1" applyBorder="1" applyAlignment="1">
      <alignment horizontal="center" shrinkToFit="1"/>
    </xf>
    <xf numFmtId="0" fontId="27" fillId="0" borderId="0" xfId="0" applyFont="1" applyBorder="1" applyAlignment="1">
      <alignment horizontal="center" shrinkToFit="1"/>
    </xf>
    <xf numFmtId="0" fontId="92" fillId="0" borderId="58" xfId="0" applyFont="1" applyBorder="1" applyAlignment="1">
      <alignment horizontal="center" vertical="top" wrapText="1"/>
    </xf>
    <xf numFmtId="0" fontId="92" fillId="0" borderId="0" xfId="0" applyFont="1" applyBorder="1" applyAlignment="1">
      <alignment horizontal="center" vertical="top" wrapText="1"/>
    </xf>
    <xf numFmtId="0" fontId="28" fillId="0" borderId="0" xfId="3" applyFont="1" applyBorder="1" applyAlignment="1">
      <alignment horizontal="center"/>
    </xf>
    <xf numFmtId="0" fontId="24" fillId="0" borderId="0" xfId="3" applyBorder="1" applyAlignment="1">
      <alignment horizontal="center"/>
    </xf>
    <xf numFmtId="0" fontId="50" fillId="0" borderId="0" xfId="0" applyFont="1" applyAlignment="1"/>
    <xf numFmtId="0" fontId="24" fillId="0" borderId="0" xfId="3" applyFont="1" applyAlignment="1"/>
    <xf numFmtId="0" fontId="24" fillId="0" borderId="0" xfId="3" applyFont="1" applyBorder="1" applyAlignment="1"/>
    <xf numFmtId="0" fontId="51" fillId="0" borderId="0" xfId="0" applyFont="1" applyBorder="1" applyAlignment="1">
      <alignment horizontal="center"/>
    </xf>
    <xf numFmtId="0" fontId="32" fillId="0" borderId="58" xfId="3" applyFont="1" applyBorder="1" applyAlignment="1">
      <alignment horizontal="center"/>
    </xf>
    <xf numFmtId="0" fontId="32" fillId="3" borderId="58" xfId="3" applyFont="1" applyFill="1" applyBorder="1"/>
    <xf numFmtId="0" fontId="0" fillId="0" borderId="0" xfId="0" applyNumberFormat="1"/>
    <xf numFmtId="0" fontId="28" fillId="0" borderId="58" xfId="0" applyFont="1" applyBorder="1" applyAlignment="1">
      <alignment horizontal="center" shrinkToFit="1"/>
    </xf>
    <xf numFmtId="0" fontId="0" fillId="0" borderId="61" xfId="0" applyBorder="1"/>
    <xf numFmtId="0" fontId="3" fillId="0" borderId="61" xfId="0" applyFont="1" applyBorder="1"/>
    <xf numFmtId="0" fontId="17" fillId="0" borderId="61" xfId="0" applyFont="1" applyBorder="1"/>
    <xf numFmtId="0" fontId="17" fillId="0" borderId="61" xfId="0" applyFont="1" applyBorder="1" applyAlignment="1">
      <alignment horizontal="center"/>
    </xf>
    <xf numFmtId="1" fontId="17" fillId="0" borderId="61" xfId="0" applyNumberFormat="1" applyFont="1" applyBorder="1" applyAlignment="1">
      <alignment horizontal="center"/>
    </xf>
    <xf numFmtId="1" fontId="11" fillId="0" borderId="0" xfId="0" applyNumberFormat="1" applyFont="1" applyFill="1" applyBorder="1" applyAlignment="1">
      <alignment horizontal="right"/>
    </xf>
    <xf numFmtId="0" fontId="24" fillId="0" borderId="6" xfId="3" applyBorder="1"/>
    <xf numFmtId="0" fontId="32" fillId="3" borderId="58" xfId="3" applyFont="1" applyFill="1" applyBorder="1" applyAlignment="1">
      <alignment shrinkToFit="1"/>
    </xf>
    <xf numFmtId="0" fontId="28" fillId="0" borderId="58" xfId="0" applyFont="1" applyBorder="1" applyAlignment="1">
      <alignment horizontal="center"/>
    </xf>
    <xf numFmtId="0" fontId="24" fillId="0" borderId="58" xfId="3" applyBorder="1"/>
    <xf numFmtId="9" fontId="28" fillId="0" borderId="58" xfId="0" applyNumberFormat="1" applyFont="1" applyBorder="1" applyAlignment="1">
      <alignment horizontal="center"/>
    </xf>
    <xf numFmtId="0" fontId="93" fillId="0" borderId="0" xfId="0" applyFont="1"/>
    <xf numFmtId="0" fontId="19" fillId="0" borderId="0" xfId="0" applyFont="1" applyAlignment="1">
      <alignment shrinkToFit="1"/>
    </xf>
    <xf numFmtId="0" fontId="93" fillId="0" borderId="0" xfId="0" applyFont="1" applyBorder="1" applyAlignment="1">
      <alignment shrinkToFit="1"/>
    </xf>
    <xf numFmtId="0" fontId="23" fillId="0" borderId="0" xfId="0" applyFont="1" applyAlignment="1">
      <alignment shrinkToFit="1"/>
    </xf>
    <xf numFmtId="0" fontId="34" fillId="0" borderId="0" xfId="0" applyFont="1" applyAlignment="1">
      <alignment shrinkToFit="1"/>
    </xf>
    <xf numFmtId="0" fontId="86" fillId="0" borderId="0" xfId="0" applyFont="1" applyAlignment="1">
      <alignment shrinkToFit="1"/>
    </xf>
    <xf numFmtId="0" fontId="3" fillId="0" borderId="1" xfId="0" applyFont="1" applyBorder="1" applyAlignment="1">
      <alignment horizontal="left"/>
    </xf>
    <xf numFmtId="0" fontId="13" fillId="0" borderId="63" xfId="0" applyFont="1" applyBorder="1"/>
    <xf numFmtId="0" fontId="3" fillId="0" borderId="63" xfId="0" applyFont="1" applyBorder="1"/>
    <xf numFmtId="0" fontId="78" fillId="0" borderId="63" xfId="0" applyFont="1" applyBorder="1"/>
    <xf numFmtId="0" fontId="3" fillId="0" borderId="61" xfId="0" applyFont="1" applyBorder="1" applyAlignment="1">
      <alignment horizontal="left"/>
    </xf>
    <xf numFmtId="0" fontId="17" fillId="0" borderId="7" xfId="0" applyFont="1" applyBorder="1" applyAlignment="1"/>
    <xf numFmtId="0" fontId="0" fillId="0" borderId="47" xfId="0" applyBorder="1" applyAlignment="1"/>
    <xf numFmtId="9" fontId="0" fillId="0" borderId="7" xfId="0" applyNumberFormat="1" applyBorder="1" applyAlignment="1"/>
    <xf numFmtId="0" fontId="24" fillId="0" borderId="3" xfId="3" applyFont="1" applyBorder="1" applyAlignment="1">
      <alignment horizontal="center"/>
    </xf>
    <xf numFmtId="9" fontId="0" fillId="0" borderId="20" xfId="0" applyNumberFormat="1" applyBorder="1" applyAlignment="1"/>
    <xf numFmtId="0" fontId="24" fillId="0" borderId="47" xfId="3" applyFont="1" applyBorder="1" applyAlignment="1">
      <alignment horizontal="center"/>
    </xf>
    <xf numFmtId="0" fontId="0" fillId="0" borderId="44" xfId="0" applyBorder="1" applyAlignment="1"/>
    <xf numFmtId="9" fontId="0" fillId="0" borderId="42" xfId="0" applyNumberFormat="1" applyBorder="1" applyAlignment="1"/>
    <xf numFmtId="0" fontId="24" fillId="0" borderId="3" xfId="3" applyFont="1" applyFill="1" applyBorder="1" applyAlignment="1">
      <alignment horizontal="center"/>
    </xf>
    <xf numFmtId="0" fontId="24" fillId="0" borderId="1" xfId="3" applyFont="1" applyFill="1" applyBorder="1" applyAlignment="1">
      <alignment horizontal="center"/>
    </xf>
    <xf numFmtId="0" fontId="24" fillId="3" borderId="3" xfId="3" applyFont="1" applyFill="1" applyBorder="1" applyAlignment="1">
      <alignment horizontal="center"/>
    </xf>
    <xf numFmtId="0" fontId="24" fillId="3" borderId="1" xfId="3" applyFont="1" applyFill="1" applyBorder="1" applyAlignment="1">
      <alignment horizontal="center"/>
    </xf>
    <xf numFmtId="0" fontId="24" fillId="0" borderId="2" xfId="3" applyFont="1" applyBorder="1" applyAlignment="1">
      <alignment horizontal="center"/>
    </xf>
    <xf numFmtId="9" fontId="0" fillId="0" borderId="64" xfId="0" applyNumberFormat="1" applyBorder="1" applyAlignment="1"/>
    <xf numFmtId="0" fontId="24" fillId="3" borderId="47" xfId="3" applyFont="1" applyFill="1" applyBorder="1" applyAlignment="1">
      <alignment horizontal="center"/>
    </xf>
    <xf numFmtId="0" fontId="32" fillId="0" borderId="0" xfId="3" applyFont="1" applyAlignment="1">
      <alignment shrinkToFit="1"/>
    </xf>
    <xf numFmtId="0" fontId="17" fillId="0" borderId="4" xfId="0" applyFont="1" applyFill="1" applyBorder="1" applyAlignment="1">
      <alignment horizontal="left"/>
    </xf>
    <xf numFmtId="0" fontId="17" fillId="0" borderId="0" xfId="0" applyFont="1" applyAlignment="1"/>
    <xf numFmtId="0" fontId="2" fillId="0" borderId="0" xfId="0" applyFont="1"/>
    <xf numFmtId="0" fontId="3" fillId="2" borderId="2" xfId="0" applyFont="1" applyFill="1" applyBorder="1"/>
    <xf numFmtId="0" fontId="17" fillId="0" borderId="1" xfId="0" applyFont="1" applyBorder="1" applyAlignment="1">
      <alignment horizontal="right"/>
    </xf>
    <xf numFmtId="2" fontId="0" fillId="2" borderId="1" xfId="0" applyNumberFormat="1" applyFill="1" applyBorder="1" applyAlignment="1">
      <alignment horizontal="center"/>
    </xf>
    <xf numFmtId="164" fontId="0" fillId="2" borderId="1" xfId="0" applyNumberFormat="1" applyFill="1" applyBorder="1" applyAlignment="1">
      <alignment horizontal="center"/>
    </xf>
    <xf numFmtId="0" fontId="61" fillId="0" borderId="0" xfId="0" applyFont="1"/>
    <xf numFmtId="164" fontId="17" fillId="2" borderId="1" xfId="0" applyNumberFormat="1" applyFont="1" applyFill="1" applyBorder="1"/>
    <xf numFmtId="0" fontId="0" fillId="3" borderId="2" xfId="0" applyFill="1" applyBorder="1" applyAlignment="1">
      <alignment horizontal="center"/>
    </xf>
    <xf numFmtId="1" fontId="30" fillId="0" borderId="0" xfId="0" applyNumberFormat="1" applyFont="1" applyBorder="1" applyAlignment="1">
      <alignment horizontal="left"/>
    </xf>
    <xf numFmtId="0" fontId="0" fillId="0" borderId="0" xfId="0" applyBorder="1" applyAlignment="1"/>
    <xf numFmtId="0" fontId="31" fillId="0" borderId="1" xfId="3" applyFont="1" applyFill="1" applyBorder="1" applyAlignment="1">
      <alignment horizontal="center"/>
    </xf>
    <xf numFmtId="0" fontId="0" fillId="0" borderId="0" xfId="0" applyBorder="1" applyAlignment="1">
      <alignment horizontal="left"/>
    </xf>
    <xf numFmtId="0" fontId="0" fillId="0" borderId="0" xfId="0" applyBorder="1" applyAlignment="1">
      <alignment wrapText="1"/>
    </xf>
    <xf numFmtId="0" fontId="18" fillId="0" borderId="0" xfId="0" applyFont="1" applyAlignment="1">
      <alignment wrapText="1"/>
    </xf>
    <xf numFmtId="0" fontId="2" fillId="0" borderId="0" xfId="0" applyFont="1" applyAlignment="1">
      <alignment horizontal="center"/>
    </xf>
    <xf numFmtId="167" fontId="0" fillId="2" borderId="2" xfId="0" applyNumberFormat="1" applyFill="1" applyBorder="1" applyAlignment="1">
      <alignment horizontal="center"/>
    </xf>
    <xf numFmtId="164" fontId="0" fillId="2" borderId="2" xfId="0" applyNumberFormat="1" applyFill="1" applyBorder="1" applyAlignment="1">
      <alignment horizontal="center"/>
    </xf>
    <xf numFmtId="0" fontId="0" fillId="2" borderId="3" xfId="0" applyFill="1" applyBorder="1" applyAlignment="1">
      <alignment horizontal="center"/>
    </xf>
    <xf numFmtId="164" fontId="0" fillId="2" borderId="3" xfId="0" applyNumberFormat="1" applyFill="1" applyBorder="1" applyAlignment="1">
      <alignment horizontal="center"/>
    </xf>
    <xf numFmtId="164" fontId="17" fillId="2" borderId="3" xfId="0" applyNumberFormat="1" applyFont="1" applyFill="1" applyBorder="1"/>
    <xf numFmtId="2" fontId="31" fillId="3" borderId="1" xfId="3" applyNumberFormat="1" applyFont="1" applyFill="1" applyBorder="1" applyAlignment="1">
      <alignment horizontal="center"/>
    </xf>
    <xf numFmtId="2" fontId="31" fillId="0" borderId="1" xfId="3" applyNumberFormat="1" applyFont="1" applyFill="1" applyBorder="1" applyAlignment="1">
      <alignment horizontal="center"/>
    </xf>
    <xf numFmtId="0" fontId="32" fillId="3" borderId="1" xfId="3" applyFont="1" applyFill="1" applyBorder="1" applyAlignment="1">
      <alignment horizontal="center"/>
    </xf>
    <xf numFmtId="0" fontId="32" fillId="0" borderId="1" xfId="3" applyFont="1" applyFill="1" applyBorder="1" applyAlignment="1">
      <alignment horizontal="center"/>
    </xf>
    <xf numFmtId="0" fontId="32" fillId="0" borderId="2" xfId="3" applyFont="1" applyFill="1" applyBorder="1" applyAlignment="1">
      <alignment horizontal="center"/>
    </xf>
    <xf numFmtId="0" fontId="25" fillId="3" borderId="65" xfId="3" applyFont="1" applyFill="1" applyBorder="1" applyAlignment="1">
      <alignment horizontal="center"/>
    </xf>
    <xf numFmtId="0" fontId="32" fillId="3" borderId="23" xfId="3" applyFont="1" applyFill="1" applyBorder="1" applyAlignment="1">
      <alignment horizontal="center"/>
    </xf>
    <xf numFmtId="0" fontId="32" fillId="0" borderId="23" xfId="3" applyFont="1" applyFill="1" applyBorder="1" applyAlignment="1">
      <alignment horizontal="center"/>
    </xf>
    <xf numFmtId="0" fontId="32" fillId="0" borderId="3" xfId="3" applyFont="1" applyFill="1" applyBorder="1" applyAlignment="1">
      <alignment horizontal="center"/>
    </xf>
    <xf numFmtId="2" fontId="31" fillId="3" borderId="30" xfId="3" applyNumberFormat="1" applyFont="1" applyFill="1" applyBorder="1" applyAlignment="1">
      <alignment horizontal="center"/>
    </xf>
    <xf numFmtId="0" fontId="32" fillId="3" borderId="32" xfId="3" applyFont="1" applyFill="1" applyBorder="1" applyAlignment="1">
      <alignment horizontal="center"/>
    </xf>
    <xf numFmtId="0" fontId="31" fillId="3" borderId="30" xfId="3" applyFont="1" applyFill="1" applyBorder="1" applyAlignment="1">
      <alignment horizontal="center"/>
    </xf>
    <xf numFmtId="0" fontId="3" fillId="14" borderId="1" xfId="0" applyFont="1" applyFill="1" applyBorder="1" applyAlignment="1">
      <alignment horizontal="center"/>
    </xf>
    <xf numFmtId="0" fontId="94" fillId="13" borderId="0" xfId="0" applyFont="1" applyFill="1" applyAlignment="1">
      <alignment horizontal="center"/>
    </xf>
    <xf numFmtId="0" fontId="4" fillId="0" borderId="0" xfId="0" applyFont="1" applyBorder="1" applyAlignment="1">
      <alignment wrapText="1"/>
    </xf>
    <xf numFmtId="0" fontId="4" fillId="0" borderId="0" xfId="0" applyFont="1" applyFill="1" applyBorder="1" applyAlignment="1">
      <alignment wrapText="1"/>
    </xf>
    <xf numFmtId="0" fontId="4" fillId="0" borderId="5" xfId="0" applyFont="1" applyBorder="1" applyAlignment="1">
      <alignment wrapText="1"/>
    </xf>
    <xf numFmtId="0" fontId="96" fillId="6" borderId="0" xfId="0" applyFont="1" applyFill="1"/>
    <xf numFmtId="0" fontId="91" fillId="0" borderId="0" xfId="0" applyFont="1" applyAlignment="1"/>
    <xf numFmtId="0" fontId="94" fillId="13" borderId="66" xfId="0" applyFont="1" applyFill="1" applyBorder="1" applyAlignment="1">
      <alignment horizontal="center"/>
    </xf>
    <xf numFmtId="0" fontId="28" fillId="0" borderId="4" xfId="0" applyFont="1" applyFill="1" applyBorder="1" applyAlignment="1">
      <alignment vertical="top" wrapText="1"/>
    </xf>
    <xf numFmtId="9" fontId="31" fillId="0" borderId="4" xfId="0" applyNumberFormat="1" applyFont="1" applyBorder="1" applyAlignment="1">
      <alignment horizontal="center" vertical="top" wrapText="1"/>
    </xf>
    <xf numFmtId="167" fontId="17" fillId="0" borderId="0" xfId="0" applyNumberFormat="1" applyFont="1"/>
    <xf numFmtId="2" fontId="17" fillId="0" borderId="0" xfId="0" applyNumberFormat="1" applyFont="1"/>
    <xf numFmtId="167" fontId="3" fillId="0" borderId="1" xfId="0" applyNumberFormat="1" applyFont="1" applyBorder="1"/>
    <xf numFmtId="2" fontId="3" fillId="0" borderId="1" xfId="0" applyNumberFormat="1" applyFont="1" applyBorder="1"/>
    <xf numFmtId="2" fontId="0" fillId="2" borderId="1" xfId="0" applyNumberFormat="1" applyFill="1" applyBorder="1"/>
    <xf numFmtId="2" fontId="17" fillId="3" borderId="1" xfId="0" applyNumberFormat="1" applyFont="1" applyFill="1" applyBorder="1"/>
    <xf numFmtId="168" fontId="17" fillId="0" borderId="1" xfId="0" applyNumberFormat="1" applyFont="1" applyFill="1" applyBorder="1" applyAlignment="1">
      <alignment horizontal="right" shrinkToFit="1"/>
    </xf>
    <xf numFmtId="0" fontId="0" fillId="0" borderId="70" xfId="0" applyBorder="1"/>
    <xf numFmtId="0" fontId="32" fillId="3" borderId="47" xfId="3" applyFont="1" applyFill="1" applyBorder="1" applyAlignment="1">
      <alignment horizontal="center"/>
    </xf>
    <xf numFmtId="0" fontId="31" fillId="0" borderId="4" xfId="0" applyFont="1" applyBorder="1" applyAlignment="1">
      <alignment vertical="top" wrapText="1"/>
    </xf>
    <xf numFmtId="0" fontId="31" fillId="0" borderId="21" xfId="0" applyFont="1" applyBorder="1" applyAlignment="1">
      <alignment vertical="top" wrapText="1"/>
    </xf>
    <xf numFmtId="0" fontId="31" fillId="0" borderId="7" xfId="0" applyFont="1" applyBorder="1" applyAlignment="1">
      <alignment vertical="top" wrapText="1"/>
    </xf>
    <xf numFmtId="0" fontId="31" fillId="3" borderId="1" xfId="3" applyFont="1" applyFill="1" applyBorder="1" applyAlignment="1">
      <alignment horizontal="left"/>
    </xf>
    <xf numFmtId="1" fontId="27" fillId="0" borderId="1" xfId="3" applyNumberFormat="1" applyFont="1" applyBorder="1" applyAlignment="1">
      <alignment horizontal="center"/>
    </xf>
    <xf numFmtId="1" fontId="27" fillId="3" borderId="1" xfId="3" applyNumberFormat="1" applyFont="1" applyFill="1" applyBorder="1" applyAlignment="1">
      <alignment horizontal="center"/>
    </xf>
    <xf numFmtId="0" fontId="24" fillId="0" borderId="0" xfId="3" applyFont="1" applyAlignment="1">
      <alignment horizontal="right"/>
    </xf>
    <xf numFmtId="0" fontId="4" fillId="0" borderId="16" xfId="0" applyFont="1" applyBorder="1" applyAlignment="1">
      <alignment horizontal="right"/>
    </xf>
    <xf numFmtId="0" fontId="24" fillId="0" borderId="1" xfId="3" applyBorder="1"/>
    <xf numFmtId="1" fontId="27" fillId="0" borderId="7" xfId="0" applyNumberFormat="1" applyFont="1" applyBorder="1" applyAlignment="1">
      <alignment horizontal="center"/>
    </xf>
    <xf numFmtId="1" fontId="27" fillId="3" borderId="7" xfId="0" applyNumberFormat="1" applyFont="1" applyFill="1" applyBorder="1" applyAlignment="1">
      <alignment horizontal="center"/>
    </xf>
    <xf numFmtId="0" fontId="17" fillId="0" borderId="5" xfId="0" applyFont="1" applyFill="1" applyBorder="1" applyAlignment="1">
      <alignment horizontal="right" shrinkToFit="1"/>
    </xf>
    <xf numFmtId="2" fontId="0" fillId="0" borderId="0" xfId="0" applyNumberFormat="1"/>
    <xf numFmtId="2" fontId="17" fillId="0" borderId="0" xfId="0" applyNumberFormat="1" applyFont="1" applyAlignment="1"/>
    <xf numFmtId="167" fontId="0" fillId="2" borderId="1" xfId="0" applyNumberFormat="1" applyFill="1" applyBorder="1" applyAlignment="1">
      <alignment horizontal="center"/>
    </xf>
    <xf numFmtId="167" fontId="0" fillId="2" borderId="3" xfId="0" applyNumberFormat="1" applyFill="1" applyBorder="1" applyAlignment="1">
      <alignment horizontal="center"/>
    </xf>
    <xf numFmtId="167" fontId="0" fillId="0" borderId="0" xfId="0" applyNumberFormat="1"/>
    <xf numFmtId="167" fontId="0" fillId="0" borderId="1" xfId="0" applyNumberFormat="1" applyBorder="1" applyAlignment="1">
      <alignment horizontal="left"/>
    </xf>
    <xf numFmtId="167" fontId="0" fillId="0" borderId="0" xfId="0" applyNumberFormat="1" applyAlignment="1">
      <alignment horizontal="left"/>
    </xf>
    <xf numFmtId="167" fontId="0" fillId="0" borderId="0" xfId="0" applyNumberFormat="1" applyAlignment="1">
      <alignment horizontal="center"/>
    </xf>
    <xf numFmtId="167" fontId="0" fillId="3" borderId="1" xfId="0" applyNumberFormat="1" applyFill="1" applyBorder="1" applyAlignment="1">
      <alignment horizontal="center"/>
    </xf>
    <xf numFmtId="167" fontId="17" fillId="0" borderId="0" xfId="0" applyNumberFormat="1" applyFont="1" applyAlignment="1"/>
    <xf numFmtId="167" fontId="0" fillId="0" borderId="0" xfId="0" applyNumberFormat="1" applyBorder="1" applyAlignment="1">
      <alignment wrapText="1"/>
    </xf>
    <xf numFmtId="167" fontId="0" fillId="0" borderId="0" xfId="0" applyNumberFormat="1" applyBorder="1" applyAlignment="1">
      <alignment horizontal="left"/>
    </xf>
    <xf numFmtId="2" fontId="0" fillId="0" borderId="5" xfId="0" applyNumberFormat="1" applyBorder="1" applyAlignment="1"/>
    <xf numFmtId="1" fontId="28" fillId="0" borderId="7" xfId="3" applyNumberFormat="1" applyFont="1" applyFill="1" applyBorder="1" applyAlignment="1">
      <alignment horizontal="center"/>
    </xf>
    <xf numFmtId="0" fontId="17" fillId="2" borderId="2" xfId="0" applyFont="1" applyFill="1" applyBorder="1" applyAlignment="1">
      <alignment shrinkToFit="1"/>
    </xf>
    <xf numFmtId="0" fontId="17" fillId="2" borderId="4" xfId="0" applyFont="1" applyFill="1" applyBorder="1" applyAlignment="1">
      <alignment shrinkToFit="1"/>
    </xf>
    <xf numFmtId="168" fontId="17" fillId="2" borderId="4" xfId="0" applyNumberFormat="1" applyFont="1" applyFill="1" applyBorder="1" applyAlignment="1">
      <alignment shrinkToFit="1"/>
    </xf>
    <xf numFmtId="169" fontId="17" fillId="2" borderId="4" xfId="0" applyNumberFormat="1" applyFont="1" applyFill="1" applyBorder="1" applyAlignment="1">
      <alignment shrinkToFit="1"/>
    </xf>
    <xf numFmtId="0" fontId="2" fillId="0" borderId="0" xfId="0" applyFont="1" applyAlignment="1">
      <alignment wrapText="1"/>
    </xf>
    <xf numFmtId="0" fontId="29" fillId="0" borderId="0" xfId="3" applyFont="1" applyBorder="1" applyAlignment="1"/>
    <xf numFmtId="0" fontId="29" fillId="0" borderId="0" xfId="3" applyFont="1" applyAlignment="1"/>
    <xf numFmtId="9" fontId="17" fillId="2" borderId="1" xfId="0" applyNumberFormat="1" applyFont="1" applyFill="1" applyBorder="1" applyAlignment="1">
      <alignment horizontal="center"/>
    </xf>
    <xf numFmtId="0" fontId="28" fillId="3" borderId="0" xfId="3" applyFont="1" applyFill="1" applyBorder="1"/>
    <xf numFmtId="9" fontId="3" fillId="2" borderId="4" xfId="0" applyNumberFormat="1" applyFont="1" applyFill="1" applyBorder="1" applyAlignment="1">
      <alignment horizontal="center"/>
    </xf>
    <xf numFmtId="0" fontId="0" fillId="0" borderId="71" xfId="0" applyBorder="1"/>
    <xf numFmtId="0" fontId="58" fillId="0" borderId="0" xfId="3" applyFont="1" applyAlignment="1">
      <alignment horizontal="left"/>
    </xf>
    <xf numFmtId="0" fontId="24" fillId="0" borderId="0" xfId="3" applyBorder="1" applyAlignment="1">
      <alignment horizontal="left"/>
    </xf>
    <xf numFmtId="0" fontId="24" fillId="0" borderId="0" xfId="3" applyAlignment="1">
      <alignment horizontal="center"/>
    </xf>
    <xf numFmtId="0" fontId="58" fillId="0" borderId="0" xfId="3" applyFont="1" applyAlignment="1">
      <alignment horizontal="center"/>
    </xf>
    <xf numFmtId="0" fontId="27" fillId="0" borderId="0" xfId="3" applyFont="1" applyAlignment="1">
      <alignment horizontal="center"/>
    </xf>
    <xf numFmtId="0" fontId="24" fillId="0" borderId="71" xfId="3" applyBorder="1"/>
    <xf numFmtId="0" fontId="24" fillId="0" borderId="71" xfId="3" applyBorder="1" applyAlignment="1">
      <alignment horizontal="left"/>
    </xf>
    <xf numFmtId="164" fontId="3" fillId="2" borderId="1" xfId="0" applyNumberFormat="1" applyFont="1" applyFill="1" applyBorder="1" applyAlignment="1">
      <alignment horizontal="center"/>
    </xf>
    <xf numFmtId="0" fontId="24" fillId="0" borderId="9" xfId="3" applyBorder="1"/>
    <xf numFmtId="0" fontId="27" fillId="3" borderId="4" xfId="3" applyFont="1" applyFill="1" applyBorder="1" applyAlignment="1">
      <alignment horizontal="center"/>
    </xf>
    <xf numFmtId="0" fontId="17" fillId="0" borderId="0" xfId="0" applyFont="1" applyAlignment="1">
      <alignment horizontal="left"/>
    </xf>
    <xf numFmtId="0" fontId="17" fillId="0" borderId="4" xfId="0" applyFont="1" applyBorder="1" applyAlignment="1">
      <alignment horizontal="center"/>
    </xf>
    <xf numFmtId="0" fontId="17" fillId="0" borderId="21" xfId="0" applyFont="1" applyBorder="1" applyAlignment="1">
      <alignment horizontal="center"/>
    </xf>
    <xf numFmtId="1" fontId="24" fillId="0" borderId="1" xfId="3" applyNumberFormat="1" applyBorder="1" applyAlignment="1">
      <alignment horizontal="center"/>
    </xf>
    <xf numFmtId="0" fontId="25" fillId="0" borderId="15" xfId="3" applyFont="1" applyBorder="1" applyAlignment="1">
      <alignment horizontal="left" vertical="top" textRotation="90"/>
    </xf>
    <xf numFmtId="0" fontId="17" fillId="0" borderId="1" xfId="0" applyFont="1" applyBorder="1" applyAlignment="1">
      <alignment horizontal="center"/>
    </xf>
    <xf numFmtId="0" fontId="3" fillId="2" borderId="1" xfId="0" applyFont="1" applyFill="1" applyBorder="1" applyAlignment="1">
      <alignment horizontal="right"/>
    </xf>
    <xf numFmtId="0" fontId="3" fillId="0" borderId="1" xfId="0" applyFont="1" applyBorder="1" applyAlignment="1">
      <alignment horizontal="right"/>
    </xf>
    <xf numFmtId="0" fontId="80" fillId="7" borderId="1" xfId="0" applyFont="1" applyFill="1" applyBorder="1" applyAlignment="1">
      <alignment horizontal="center"/>
    </xf>
    <xf numFmtId="0" fontId="17" fillId="14" borderId="1" xfId="0" applyFont="1" applyFill="1" applyBorder="1" applyAlignment="1">
      <alignment horizontal="center"/>
    </xf>
    <xf numFmtId="0" fontId="17" fillId="0" borderId="17" xfId="0" applyFont="1" applyBorder="1"/>
    <xf numFmtId="0" fontId="19" fillId="7" borderId="1" xfId="0" applyFont="1" applyFill="1" applyBorder="1" applyAlignment="1">
      <alignment horizontal="center"/>
    </xf>
    <xf numFmtId="0" fontId="17" fillId="0" borderId="0" xfId="0" applyFont="1" applyFill="1"/>
    <xf numFmtId="9" fontId="17" fillId="0" borderId="0" xfId="0" applyNumberFormat="1" applyFont="1" applyAlignment="1">
      <alignment horizontal="center"/>
    </xf>
    <xf numFmtId="0" fontId="8" fillId="0" borderId="0" xfId="3" applyFont="1"/>
    <xf numFmtId="0" fontId="3" fillId="0" borderId="0" xfId="0" applyFont="1" applyFill="1" applyBorder="1"/>
    <xf numFmtId="0" fontId="105" fillId="0" borderId="63" xfId="2" applyFont="1" applyBorder="1" applyAlignment="1" applyProtection="1"/>
    <xf numFmtId="0" fontId="105" fillId="0" borderId="0" xfId="2" applyFont="1" applyAlignment="1" applyProtection="1"/>
    <xf numFmtId="0" fontId="1" fillId="0" borderId="0" xfId="0" applyFont="1"/>
    <xf numFmtId="0" fontId="19" fillId="0" borderId="1" xfId="0" applyFont="1" applyFill="1" applyBorder="1" applyAlignment="1">
      <alignment horizontal="center" wrapText="1"/>
    </xf>
    <xf numFmtId="0" fontId="19" fillId="0" borderId="2" xfId="0" applyFont="1" applyFill="1" applyBorder="1" applyAlignment="1">
      <alignment horizontal="center" wrapText="1"/>
    </xf>
    <xf numFmtId="0" fontId="19" fillId="0" borderId="0" xfId="0" applyFont="1" applyFill="1" applyAlignment="1">
      <alignment horizontal="center" wrapText="1"/>
    </xf>
    <xf numFmtId="0" fontId="3" fillId="0" borderId="0" xfId="0" applyFont="1" applyAlignment="1">
      <alignment wrapText="1"/>
    </xf>
    <xf numFmtId="2" fontId="3" fillId="0" borderId="0" xfId="0" applyNumberFormat="1" applyFont="1" applyAlignment="1">
      <alignment wrapText="1"/>
    </xf>
    <xf numFmtId="0" fontId="24" fillId="0" borderId="0" xfId="3" quotePrefix="1" applyFont="1"/>
    <xf numFmtId="0" fontId="3" fillId="3" borderId="1" xfId="0" applyFont="1" applyFill="1" applyBorder="1" applyAlignment="1">
      <alignment horizontal="center"/>
    </xf>
    <xf numFmtId="0" fontId="25" fillId="3" borderId="1" xfId="3" applyFont="1" applyFill="1" applyBorder="1" applyAlignment="1">
      <alignment horizontal="center"/>
    </xf>
    <xf numFmtId="9" fontId="27" fillId="0" borderId="1" xfId="3" applyNumberFormat="1" applyFont="1" applyBorder="1" applyAlignment="1">
      <alignment horizontal="center"/>
    </xf>
    <xf numFmtId="0" fontId="0" fillId="0" borderId="0" xfId="0" applyAlignment="1">
      <alignment horizontal="center"/>
    </xf>
    <xf numFmtId="0" fontId="27" fillId="0" borderId="1" xfId="3" applyFont="1" applyBorder="1" applyAlignment="1">
      <alignment horizontal="center"/>
    </xf>
    <xf numFmtId="0" fontId="3" fillId="0" borderId="0" xfId="0" applyFont="1" applyAlignment="1">
      <alignment horizontal="right" shrinkToFit="1"/>
    </xf>
    <xf numFmtId="0" fontId="1" fillId="3" borderId="1" xfId="0" applyFont="1" applyFill="1" applyBorder="1"/>
    <xf numFmtId="0" fontId="25" fillId="15" borderId="1" xfId="3" applyFont="1" applyFill="1" applyBorder="1" applyAlignment="1">
      <alignment horizontal="center"/>
    </xf>
    <xf numFmtId="0" fontId="4" fillId="15" borderId="1" xfId="0" applyFont="1" applyFill="1" applyBorder="1" applyAlignment="1">
      <alignment horizontal="center" wrapText="1"/>
    </xf>
    <xf numFmtId="1" fontId="3" fillId="0" borderId="1" xfId="0" applyNumberFormat="1" applyFont="1" applyBorder="1" applyAlignment="1">
      <alignment horizontal="center" wrapText="1"/>
    </xf>
    <xf numFmtId="0" fontId="3" fillId="0" borderId="1" xfId="0" applyFont="1" applyBorder="1" applyAlignment="1">
      <alignment horizontal="center" wrapText="1"/>
    </xf>
    <xf numFmtId="0" fontId="25" fillId="3" borderId="1" xfId="3" applyFont="1" applyFill="1" applyBorder="1" applyAlignment="1">
      <alignment horizontal="left" wrapText="1"/>
    </xf>
    <xf numFmtId="0" fontId="28" fillId="0" borderId="43" xfId="0" applyFont="1" applyBorder="1" applyAlignment="1">
      <alignment vertical="top" wrapText="1"/>
    </xf>
    <xf numFmtId="0" fontId="0" fillId="0" borderId="65" xfId="0" applyBorder="1"/>
    <xf numFmtId="0" fontId="31" fillId="2" borderId="22" xfId="0" applyFont="1" applyFill="1" applyBorder="1" applyAlignment="1">
      <alignment horizontal="center" vertical="top" wrapText="1"/>
    </xf>
    <xf numFmtId="1" fontId="3" fillId="2" borderId="23" xfId="0" applyNumberFormat="1" applyFont="1" applyFill="1" applyBorder="1" applyAlignment="1">
      <alignment horizontal="center"/>
    </xf>
    <xf numFmtId="0" fontId="0" fillId="0" borderId="23" xfId="0" applyBorder="1"/>
    <xf numFmtId="0" fontId="3" fillId="2" borderId="23" xfId="0" applyFont="1" applyFill="1" applyBorder="1" applyAlignment="1">
      <alignment horizontal="center"/>
    </xf>
    <xf numFmtId="0" fontId="31" fillId="2" borderId="31" xfId="0" applyFont="1" applyFill="1" applyBorder="1" applyAlignment="1">
      <alignment horizontal="center" vertical="top" wrapText="1"/>
    </xf>
    <xf numFmtId="0" fontId="0" fillId="0" borderId="32" xfId="0" applyBorder="1"/>
    <xf numFmtId="0" fontId="0" fillId="0" borderId="0" xfId="0" applyAlignment="1">
      <alignment horizontal="left"/>
    </xf>
    <xf numFmtId="1" fontId="28" fillId="0" borderId="1" xfId="3" applyNumberFormat="1" applyFont="1" applyBorder="1" applyAlignment="1">
      <alignment horizontal="center"/>
    </xf>
    <xf numFmtId="0" fontId="28" fillId="0" borderId="1" xfId="3" applyFont="1" applyBorder="1" applyAlignment="1">
      <alignment horizontal="center"/>
    </xf>
    <xf numFmtId="0" fontId="28" fillId="0" borderId="4" xfId="3" applyFont="1" applyBorder="1" applyAlignment="1">
      <alignment horizontal="center"/>
    </xf>
    <xf numFmtId="0" fontId="0" fillId="0" borderId="0" xfId="0" applyAlignment="1">
      <alignment horizontal="center"/>
    </xf>
    <xf numFmtId="0" fontId="25" fillId="3" borderId="1" xfId="3" applyFont="1" applyFill="1" applyBorder="1" applyAlignment="1">
      <alignment horizontal="left"/>
    </xf>
    <xf numFmtId="0" fontId="31" fillId="0" borderId="7" xfId="3" applyFont="1" applyBorder="1" applyAlignment="1">
      <alignment horizontal="center"/>
    </xf>
    <xf numFmtId="9" fontId="31" fillId="0" borderId="1" xfId="3" applyNumberFormat="1" applyFont="1" applyBorder="1" applyAlignment="1">
      <alignment horizontal="center"/>
    </xf>
    <xf numFmtId="0" fontId="28" fillId="0" borderId="4" xfId="3" applyFont="1" applyFill="1" applyBorder="1" applyAlignment="1">
      <alignment horizontal="center"/>
    </xf>
    <xf numFmtId="0" fontId="28" fillId="0" borderId="21" xfId="3" applyFont="1" applyFill="1" applyBorder="1" applyAlignment="1">
      <alignment horizontal="center"/>
    </xf>
    <xf numFmtId="0" fontId="52" fillId="3" borderId="3" xfId="3" applyFont="1" applyFill="1" applyBorder="1" applyAlignment="1">
      <alignment horizontal="center"/>
    </xf>
    <xf numFmtId="9" fontId="28" fillId="0" borderId="1" xfId="3" applyNumberFormat="1" applyFont="1" applyBorder="1" applyAlignment="1">
      <alignment horizontal="center"/>
    </xf>
    <xf numFmtId="0" fontId="52" fillId="3" borderId="2" xfId="3" applyFont="1" applyFill="1" applyBorder="1" applyAlignment="1">
      <alignment horizontal="center"/>
    </xf>
    <xf numFmtId="1" fontId="28" fillId="0" borderId="4" xfId="3" applyNumberFormat="1" applyFont="1" applyBorder="1" applyAlignment="1">
      <alignment horizontal="center"/>
    </xf>
    <xf numFmtId="0" fontId="52" fillId="3" borderId="1" xfId="3" applyFont="1" applyFill="1" applyBorder="1" applyAlignment="1">
      <alignment horizontal="center"/>
    </xf>
    <xf numFmtId="0" fontId="28" fillId="0" borderId="1" xfId="0" applyFont="1" applyBorder="1" applyAlignment="1">
      <alignment horizontal="center"/>
    </xf>
    <xf numFmtId="0" fontId="0" fillId="0" borderId="0" xfId="0"/>
    <xf numFmtId="0" fontId="28" fillId="0" borderId="4" xfId="3" applyFont="1" applyFill="1" applyBorder="1" applyAlignment="1">
      <alignment horizontal="right"/>
    </xf>
    <xf numFmtId="0" fontId="24" fillId="3" borderId="18" xfId="3" applyFont="1" applyFill="1" applyBorder="1"/>
    <xf numFmtId="0" fontId="8" fillId="0" borderId="7" xfId="0" applyFont="1" applyBorder="1" applyAlignment="1">
      <alignment horizontal="left"/>
    </xf>
    <xf numFmtId="1" fontId="107" fillId="0" borderId="0" xfId="3" applyNumberFormat="1" applyFont="1" applyFill="1" applyBorder="1" applyAlignment="1">
      <alignment horizontal="center"/>
    </xf>
    <xf numFmtId="0" fontId="33" fillId="0" borderId="0" xfId="3" applyFont="1" applyBorder="1"/>
    <xf numFmtId="0" fontId="3" fillId="0" borderId="0" xfId="0" applyFont="1" applyAlignment="1"/>
    <xf numFmtId="0" fontId="0" fillId="0" borderId="0" xfId="0" applyAlignment="1">
      <alignment horizontal="left"/>
    </xf>
    <xf numFmtId="0" fontId="28" fillId="0" borderId="1" xfId="0" applyFont="1" applyBorder="1" applyAlignment="1">
      <alignment horizontal="center"/>
    </xf>
    <xf numFmtId="0" fontId="0" fillId="0" borderId="0" xfId="0"/>
    <xf numFmtId="0" fontId="27" fillId="0" borderId="0" xfId="3" applyFont="1" applyAlignment="1">
      <alignment horizontal="left"/>
    </xf>
    <xf numFmtId="0" fontId="3" fillId="3" borderId="1" xfId="0" applyFont="1" applyFill="1" applyBorder="1" applyAlignment="1">
      <alignment horizontal="center"/>
    </xf>
    <xf numFmtId="0" fontId="58" fillId="0" borderId="5" xfId="3" applyFont="1" applyBorder="1" applyAlignment="1">
      <alignment horizontal="left" vertical="center" textRotation="90" wrapText="1"/>
    </xf>
    <xf numFmtId="0" fontId="52" fillId="0" borderId="5" xfId="3" applyFont="1" applyBorder="1" applyAlignment="1">
      <alignment horizontal="left" textRotation="88" wrapText="1"/>
    </xf>
    <xf numFmtId="0" fontId="58" fillId="0" borderId="5" xfId="3" applyFont="1" applyBorder="1" applyAlignment="1">
      <alignment horizontal="left" textRotation="88" wrapText="1"/>
    </xf>
    <xf numFmtId="0" fontId="51" fillId="0" borderId="5" xfId="0" applyFont="1" applyBorder="1" applyAlignment="1">
      <alignment horizontal="left" textRotation="88" wrapText="1"/>
    </xf>
    <xf numFmtId="0" fontId="51" fillId="0" borderId="5" xfId="0" applyFont="1" applyBorder="1" applyAlignment="1">
      <alignment horizontal="left"/>
    </xf>
    <xf numFmtId="0" fontId="0" fillId="0" borderId="5" xfId="0" applyBorder="1" applyAlignment="1">
      <alignment horizontal="left" wrapText="1"/>
    </xf>
    <xf numFmtId="0" fontId="32" fillId="0" borderId="0" xfId="3" applyFont="1" applyBorder="1" applyAlignment="1">
      <alignment horizontal="left" vertical="center" textRotation="90" wrapText="1"/>
    </xf>
    <xf numFmtId="0" fontId="52" fillId="0" borderId="0" xfId="3" applyFont="1" applyBorder="1" applyAlignment="1">
      <alignment horizontal="left" textRotation="88" wrapText="1"/>
    </xf>
    <xf numFmtId="0" fontId="58" fillId="0" borderId="0" xfId="3" applyFont="1" applyBorder="1" applyAlignment="1">
      <alignment horizontal="left" textRotation="88" wrapText="1"/>
    </xf>
    <xf numFmtId="0" fontId="51" fillId="0" borderId="0" xfId="0" applyFont="1" applyBorder="1" applyAlignment="1">
      <alignment horizontal="left" textRotation="88" wrapText="1"/>
    </xf>
    <xf numFmtId="0" fontId="51" fillId="0" borderId="0" xfId="0" applyFont="1" applyBorder="1" applyAlignment="1">
      <alignment horizontal="left"/>
    </xf>
    <xf numFmtId="0" fontId="58" fillId="0" borderId="0" xfId="3" applyFont="1" applyBorder="1" applyAlignment="1">
      <alignment horizontal="left" vertical="center" textRotation="90" wrapText="1"/>
    </xf>
    <xf numFmtId="0" fontId="25" fillId="0" borderId="0" xfId="3" applyFont="1" applyBorder="1" applyAlignment="1">
      <alignment horizontal="left" vertical="top" textRotation="90"/>
    </xf>
    <xf numFmtId="0" fontId="0" fillId="0" borderId="0" xfId="0" applyAlignment="1">
      <alignment horizontal="left" textRotation="90"/>
    </xf>
    <xf numFmtId="0" fontId="24" fillId="0" borderId="0" xfId="3" applyAlignment="1">
      <alignment horizontal="left" textRotation="90"/>
    </xf>
    <xf numFmtId="0" fontId="30" fillId="0" borderId="0" xfId="0" applyFont="1" applyFill="1" applyBorder="1" applyAlignment="1">
      <alignment horizontal="left"/>
    </xf>
    <xf numFmtId="0" fontId="30" fillId="0" borderId="5" xfId="0" applyFont="1" applyFill="1" applyBorder="1" applyAlignment="1">
      <alignment horizontal="left"/>
    </xf>
    <xf numFmtId="0" fontId="24" fillId="0" borderId="5" xfId="3" applyBorder="1" applyAlignment="1">
      <alignment horizontal="left"/>
    </xf>
    <xf numFmtId="0" fontId="3" fillId="0" borderId="0" xfId="0" applyFont="1" applyAlignment="1">
      <alignment horizontal="left"/>
    </xf>
    <xf numFmtId="0" fontId="4" fillId="0" borderId="0" xfId="0" applyFont="1" applyAlignment="1">
      <alignment horizontal="left"/>
    </xf>
    <xf numFmtId="0" fontId="4" fillId="0" borderId="0" xfId="0" applyFont="1" applyAlignment="1">
      <alignment horizontal="right"/>
    </xf>
    <xf numFmtId="0" fontId="112" fillId="0" borderId="0" xfId="0" applyFont="1"/>
    <xf numFmtId="0" fontId="112" fillId="0" borderId="0" xfId="0" applyFont="1" applyFill="1"/>
    <xf numFmtId="1" fontId="112" fillId="0" borderId="0" xfId="0" applyNumberFormat="1" applyFont="1"/>
    <xf numFmtId="0" fontId="17" fillId="3" borderId="1" xfId="0" applyFont="1" applyFill="1" applyBorder="1" applyAlignment="1">
      <alignment shrinkToFit="1"/>
    </xf>
    <xf numFmtId="0" fontId="113" fillId="0" borderId="0" xfId="0" applyFont="1"/>
    <xf numFmtId="0" fontId="112" fillId="0" borderId="0" xfId="0" applyFont="1" applyAlignment="1"/>
    <xf numFmtId="0" fontId="115" fillId="13" borderId="66" xfId="0" applyFont="1" applyFill="1" applyBorder="1" applyAlignment="1">
      <alignment horizontal="center"/>
    </xf>
    <xf numFmtId="0" fontId="112" fillId="2" borderId="1" xfId="0" applyFont="1" applyFill="1" applyBorder="1" applyAlignment="1">
      <alignment shrinkToFit="1"/>
    </xf>
    <xf numFmtId="0" fontId="112" fillId="2" borderId="1" xfId="0" applyFont="1" applyFill="1" applyBorder="1" applyAlignment="1">
      <alignment horizontal="center" shrinkToFit="1"/>
    </xf>
    <xf numFmtId="1" fontId="113" fillId="0" borderId="0" xfId="0" applyNumberFormat="1" applyFont="1"/>
    <xf numFmtId="0" fontId="113" fillId="0" borderId="0" xfId="0" applyFont="1" applyAlignment="1">
      <alignment horizontal="center"/>
    </xf>
    <xf numFmtId="0" fontId="112" fillId="0" borderId="0" xfId="0" applyFont="1" applyAlignment="1">
      <alignment horizontal="center"/>
    </xf>
    <xf numFmtId="0" fontId="117" fillId="0" borderId="0" xfId="0" applyFont="1" applyAlignment="1">
      <alignment shrinkToFit="1"/>
    </xf>
    <xf numFmtId="0" fontId="112" fillId="0" borderId="0" xfId="0" applyFont="1" applyAlignment="1">
      <alignment horizontal="right"/>
    </xf>
    <xf numFmtId="0" fontId="112" fillId="0" borderId="0" xfId="0" applyFont="1" applyAlignment="1">
      <alignment horizontal="right" shrinkToFit="1"/>
    </xf>
    <xf numFmtId="0" fontId="112" fillId="0" borderId="0" xfId="0" applyFont="1" applyAlignment="1">
      <alignment shrinkToFit="1"/>
    </xf>
    <xf numFmtId="0" fontId="113" fillId="0" borderId="0" xfId="0" applyFont="1" applyAlignment="1">
      <alignment shrinkToFit="1"/>
    </xf>
    <xf numFmtId="0" fontId="117" fillId="0" borderId="0" xfId="0" applyFont="1" applyAlignment="1">
      <alignment horizontal="right"/>
    </xf>
    <xf numFmtId="0" fontId="117" fillId="0" borderId="0" xfId="0" applyFont="1" applyAlignment="1">
      <alignment horizontal="right" shrinkToFit="1"/>
    </xf>
    <xf numFmtId="0" fontId="121" fillId="0" borderId="0" xfId="0" applyFont="1" applyAlignment="1">
      <alignment horizontal="right" shrinkToFit="1"/>
    </xf>
    <xf numFmtId="0" fontId="112" fillId="0" borderId="0" xfId="0" applyFont="1" applyBorder="1" applyAlignment="1">
      <alignment horizontal="right"/>
    </xf>
    <xf numFmtId="0" fontId="112" fillId="0" borderId="0" xfId="0" applyFont="1" applyAlignment="1">
      <alignment horizontal="left"/>
    </xf>
    <xf numFmtId="1" fontId="112" fillId="2" borderId="1" xfId="0" applyNumberFormat="1" applyFont="1" applyFill="1" applyBorder="1" applyAlignment="1">
      <alignment horizontal="center"/>
    </xf>
    <xf numFmtId="1" fontId="112" fillId="2" borderId="2" xfId="0" applyNumberFormat="1" applyFont="1" applyFill="1" applyBorder="1" applyAlignment="1">
      <alignment horizontal="center"/>
    </xf>
    <xf numFmtId="0" fontId="112" fillId="2" borderId="1" xfId="0" applyFont="1" applyFill="1" applyBorder="1" applyAlignment="1">
      <alignment horizontal="center"/>
    </xf>
    <xf numFmtId="0" fontId="123" fillId="0" borderId="0" xfId="0" applyFont="1" applyAlignment="1">
      <alignment horizontal="right"/>
    </xf>
    <xf numFmtId="0" fontId="112" fillId="0" borderId="0" xfId="0" applyFont="1" applyFill="1" applyBorder="1"/>
    <xf numFmtId="0" fontId="117" fillId="0" borderId="0" xfId="0" applyFont="1" applyAlignment="1">
      <alignment horizontal="center"/>
    </xf>
    <xf numFmtId="0" fontId="112" fillId="2" borderId="7" xfId="0" applyFont="1" applyFill="1" applyBorder="1" applyAlignment="1">
      <alignment horizontal="center"/>
    </xf>
    <xf numFmtId="0" fontId="112" fillId="0" borderId="0" xfId="0" applyFont="1" applyAlignment="1">
      <alignment horizontal="center" shrinkToFit="1"/>
    </xf>
    <xf numFmtId="0" fontId="112" fillId="3" borderId="1" xfId="0" applyFont="1" applyFill="1" applyBorder="1" applyAlignment="1">
      <alignment horizontal="center"/>
    </xf>
    <xf numFmtId="0" fontId="112" fillId="0" borderId="1" xfId="0" applyFont="1" applyBorder="1" applyAlignment="1">
      <alignment horizontal="center"/>
    </xf>
    <xf numFmtId="0" fontId="112" fillId="3" borderId="1" xfId="0" applyFont="1" applyFill="1" applyBorder="1" applyAlignment="1">
      <alignment horizontal="center" shrinkToFit="1"/>
    </xf>
    <xf numFmtId="0" fontId="117" fillId="0" borderId="5" xfId="0" applyFont="1" applyBorder="1" applyAlignment="1">
      <alignment horizontal="right" shrinkToFit="1"/>
    </xf>
    <xf numFmtId="0" fontId="117" fillId="0" borderId="0" xfId="0" applyFont="1"/>
    <xf numFmtId="0" fontId="126" fillId="0" borderId="0" xfId="0" applyFont="1" applyAlignment="1">
      <alignment horizontal="center"/>
    </xf>
    <xf numFmtId="0" fontId="113" fillId="0" borderId="0" xfId="0" applyFont="1" applyAlignment="1">
      <alignment horizontal="center"/>
    </xf>
    <xf numFmtId="0" fontId="123" fillId="0" borderId="0" xfId="0" applyFont="1" applyAlignment="1">
      <alignment shrinkToFit="1"/>
    </xf>
    <xf numFmtId="0" fontId="113" fillId="0" borderId="0" xfId="0" applyFont="1" applyAlignment="1"/>
    <xf numFmtId="0" fontId="123" fillId="0" borderId="0" xfId="0" applyFont="1" applyAlignment="1">
      <alignment horizontal="center"/>
    </xf>
    <xf numFmtId="0" fontId="126" fillId="0" borderId="0" xfId="0" applyFont="1"/>
    <xf numFmtId="0" fontId="112" fillId="3" borderId="1" xfId="0" quotePrefix="1" applyFont="1" applyFill="1" applyBorder="1" applyAlignment="1">
      <alignment horizontal="center"/>
    </xf>
    <xf numFmtId="0" fontId="121" fillId="2" borderId="1" xfId="0" applyFont="1" applyFill="1" applyBorder="1" applyAlignment="1">
      <alignment horizontal="center"/>
    </xf>
    <xf numFmtId="0" fontId="121" fillId="3" borderId="1" xfId="0" applyFont="1" applyFill="1" applyBorder="1" applyAlignment="1">
      <alignment horizontal="center"/>
    </xf>
    <xf numFmtId="0" fontId="123" fillId="0" borderId="0" xfId="0" applyFont="1" applyAlignment="1">
      <alignment horizontal="right" shrinkToFit="1"/>
    </xf>
    <xf numFmtId="9" fontId="112" fillId="0" borderId="0" xfId="0" applyNumberFormat="1" applyFont="1" applyAlignment="1">
      <alignment shrinkToFit="1"/>
    </xf>
    <xf numFmtId="1" fontId="112" fillId="3" borderId="1" xfId="0" applyNumberFormat="1" applyFont="1" applyFill="1" applyBorder="1" applyAlignment="1">
      <alignment shrinkToFit="1"/>
    </xf>
    <xf numFmtId="0" fontId="112" fillId="3" borderId="1" xfId="0" applyFont="1" applyFill="1" applyBorder="1" applyAlignment="1">
      <alignment shrinkToFit="1"/>
    </xf>
    <xf numFmtId="0" fontId="112" fillId="0" borderId="9" xfId="0" applyFont="1" applyBorder="1" applyAlignment="1">
      <alignment horizontal="center" shrinkToFit="1"/>
    </xf>
    <xf numFmtId="0" fontId="112" fillId="0" borderId="0" xfId="0" quotePrefix="1" applyFont="1" applyAlignment="1">
      <alignment horizontal="right" shrinkToFit="1"/>
    </xf>
    <xf numFmtId="0" fontId="121" fillId="0" borderId="0" xfId="0" applyFont="1" applyAlignment="1">
      <alignment horizontal="center" shrinkToFit="1"/>
    </xf>
    <xf numFmtId="1" fontId="112" fillId="3" borderId="1" xfId="0" applyNumberFormat="1" applyFont="1" applyFill="1" applyBorder="1" applyAlignment="1">
      <alignment horizontal="center" shrinkToFit="1"/>
    </xf>
    <xf numFmtId="0" fontId="127" fillId="0" borderId="0" xfId="0" applyFont="1" applyBorder="1" applyAlignment="1">
      <alignment horizontal="right"/>
    </xf>
    <xf numFmtId="0" fontId="123" fillId="0" borderId="5" xfId="0" applyFont="1" applyBorder="1" applyAlignment="1">
      <alignment horizontal="left"/>
    </xf>
    <xf numFmtId="0" fontId="123" fillId="0" borderId="0" xfId="0" applyFont="1" applyBorder="1" applyAlignment="1">
      <alignment shrinkToFit="1"/>
    </xf>
    <xf numFmtId="0" fontId="123" fillId="0" borderId="0" xfId="0" applyFont="1" applyAlignment="1"/>
    <xf numFmtId="0" fontId="128" fillId="0" borderId="0" xfId="0" applyFont="1" applyAlignment="1">
      <alignment horizontal="right" shrinkToFit="1"/>
    </xf>
    <xf numFmtId="0" fontId="128" fillId="2" borderId="1" xfId="0" applyFont="1" applyFill="1" applyBorder="1" applyAlignment="1">
      <alignment horizontal="center"/>
    </xf>
    <xf numFmtId="0" fontId="128" fillId="0" borderId="0" xfId="0" applyFont="1"/>
    <xf numFmtId="0" fontId="128" fillId="0" borderId="0" xfId="0" applyFont="1" applyAlignment="1">
      <alignment horizontal="center" shrinkToFit="1"/>
    </xf>
    <xf numFmtId="0" fontId="128" fillId="0" borderId="0" xfId="0" applyFont="1" applyAlignment="1">
      <alignment shrinkToFit="1"/>
    </xf>
    <xf numFmtId="1" fontId="112" fillId="2" borderId="1" xfId="0" applyNumberFormat="1" applyFont="1" applyFill="1" applyBorder="1" applyAlignment="1">
      <alignment shrinkToFit="1"/>
    </xf>
    <xf numFmtId="0" fontId="117" fillId="0" borderId="0" xfId="0" applyFont="1" applyBorder="1" applyAlignment="1">
      <alignment horizontal="left"/>
    </xf>
    <xf numFmtId="164" fontId="112" fillId="0" borderId="0" xfId="0" applyNumberFormat="1" applyFont="1"/>
    <xf numFmtId="0" fontId="112" fillId="0" borderId="0" xfId="0" applyFont="1" applyBorder="1"/>
    <xf numFmtId="0" fontId="129" fillId="0" borderId="0" xfId="0" applyFont="1" applyAlignment="1">
      <alignment horizontal="center"/>
    </xf>
    <xf numFmtId="0" fontId="117" fillId="0" borderId="2" xfId="0" applyFont="1" applyBorder="1"/>
    <xf numFmtId="0" fontId="117" fillId="0" borderId="5" xfId="0" applyFont="1" applyBorder="1" applyAlignment="1">
      <alignment horizontal="right" wrapText="1"/>
    </xf>
    <xf numFmtId="0" fontId="112" fillId="3" borderId="46" xfId="0" applyFont="1" applyFill="1" applyBorder="1" applyAlignment="1" applyProtection="1">
      <alignment horizontal="left"/>
      <protection locked="0"/>
    </xf>
    <xf numFmtId="0" fontId="115" fillId="13" borderId="0" xfId="0" applyFont="1" applyFill="1" applyAlignment="1">
      <alignment horizontal="center"/>
    </xf>
    <xf numFmtId="0" fontId="112" fillId="0" borderId="6" xfId="0" applyFont="1" applyBorder="1" applyAlignment="1"/>
    <xf numFmtId="0" fontId="117" fillId="0" borderId="9" xfId="0" applyFont="1" applyBorder="1" applyAlignment="1"/>
    <xf numFmtId="0" fontId="112" fillId="3" borderId="2" xfId="0" applyFont="1" applyFill="1" applyBorder="1" applyAlignment="1" applyProtection="1">
      <alignment horizontal="right"/>
      <protection locked="0"/>
    </xf>
    <xf numFmtId="0" fontId="112" fillId="3" borderId="0" xfId="0" applyFont="1" applyFill="1" applyBorder="1" applyAlignment="1"/>
    <xf numFmtId="0" fontId="112" fillId="0" borderId="0" xfId="0" applyFont="1" applyBorder="1" applyAlignment="1"/>
    <xf numFmtId="0" fontId="112" fillId="0" borderId="0" xfId="0" applyFont="1" applyBorder="1" applyAlignment="1">
      <alignment horizontal="left"/>
    </xf>
    <xf numFmtId="0" fontId="113" fillId="0" borderId="0" xfId="0" applyFont="1" applyBorder="1" applyAlignment="1"/>
    <xf numFmtId="0" fontId="117" fillId="0" borderId="1" xfId="0" applyFont="1" applyBorder="1" applyAlignment="1"/>
    <xf numFmtId="0" fontId="116" fillId="0" borderId="0" xfId="0" applyFont="1" applyAlignment="1">
      <alignment horizontal="right"/>
    </xf>
    <xf numFmtId="0" fontId="112" fillId="4" borderId="1" xfId="0" applyFont="1" applyFill="1" applyBorder="1" applyAlignment="1">
      <alignment horizontal="center"/>
    </xf>
    <xf numFmtId="166" fontId="112" fillId="2" borderId="1" xfId="1" applyNumberFormat="1" applyFont="1" applyFill="1" applyBorder="1" applyAlignment="1">
      <alignment horizontal="center"/>
    </xf>
    <xf numFmtId="0" fontId="117" fillId="2" borderId="1" xfId="0" applyFont="1" applyFill="1" applyBorder="1" applyAlignment="1">
      <alignment horizontal="center"/>
    </xf>
    <xf numFmtId="1" fontId="112" fillId="4" borderId="1" xfId="0" applyNumberFormat="1" applyFont="1" applyFill="1" applyBorder="1" applyAlignment="1">
      <alignment horizontal="center"/>
    </xf>
    <xf numFmtId="166" fontId="112" fillId="2" borderId="1" xfId="1" applyNumberFormat="1" applyFont="1" applyFill="1" applyBorder="1" applyAlignment="1"/>
    <xf numFmtId="0" fontId="117" fillId="0" borderId="18" xfId="0" applyFont="1" applyBorder="1" applyAlignment="1">
      <alignment horizontal="left"/>
    </xf>
    <xf numFmtId="0" fontId="112" fillId="3" borderId="3" xfId="0" applyFont="1" applyFill="1" applyBorder="1" applyAlignment="1">
      <alignment horizontal="center"/>
    </xf>
    <xf numFmtId="0" fontId="113" fillId="0" borderId="0" xfId="0" applyFont="1" applyBorder="1"/>
    <xf numFmtId="0" fontId="117" fillId="0" borderId="0" xfId="0" applyFont="1" applyBorder="1" applyAlignment="1">
      <alignment horizontal="right"/>
    </xf>
    <xf numFmtId="0" fontId="117" fillId="0" borderId="0" xfId="0" applyFont="1" applyAlignment="1">
      <alignment horizontal="left"/>
    </xf>
    <xf numFmtId="0" fontId="112" fillId="3" borderId="21" xfId="0" applyFont="1" applyFill="1" applyBorder="1" applyAlignment="1">
      <alignment horizontal="left"/>
    </xf>
    <xf numFmtId="0" fontId="112" fillId="0" borderId="7" xfId="0" applyFont="1" applyBorder="1" applyAlignment="1"/>
    <xf numFmtId="0" fontId="117" fillId="0" borderId="1" xfId="0" applyFont="1" applyBorder="1" applyAlignment="1">
      <alignment horizontal="left"/>
    </xf>
    <xf numFmtId="0" fontId="117" fillId="0" borderId="1" xfId="0" applyFont="1" applyBorder="1"/>
    <xf numFmtId="0" fontId="117" fillId="0" borderId="1" xfId="0" applyFont="1" applyBorder="1" applyAlignment="1">
      <alignment horizontal="center"/>
    </xf>
    <xf numFmtId="0" fontId="115" fillId="0" borderId="0" xfId="0" applyFont="1" applyAlignment="1">
      <alignment horizontal="center"/>
    </xf>
    <xf numFmtId="0" fontId="112" fillId="2" borderId="3" xfId="0" applyFont="1" applyFill="1" applyBorder="1" applyAlignment="1" applyProtection="1">
      <alignment horizontal="center"/>
      <protection locked="0"/>
    </xf>
    <xf numFmtId="0" fontId="118" fillId="7" borderId="3" xfId="0" applyFont="1" applyFill="1" applyBorder="1" applyAlignment="1" applyProtection="1">
      <alignment horizontal="center"/>
      <protection locked="0"/>
    </xf>
    <xf numFmtId="0" fontId="118" fillId="7" borderId="3" xfId="0" applyFont="1" applyFill="1" applyBorder="1" applyAlignment="1">
      <alignment horizontal="center"/>
    </xf>
    <xf numFmtId="9" fontId="112" fillId="2" borderId="3" xfId="5" applyFont="1" applyFill="1" applyBorder="1" applyAlignment="1">
      <alignment horizontal="center"/>
    </xf>
    <xf numFmtId="0" fontId="112" fillId="2" borderId="3" xfId="0" applyFont="1" applyFill="1" applyBorder="1" applyAlignment="1">
      <alignment horizontal="center"/>
    </xf>
    <xf numFmtId="0" fontId="112" fillId="3" borderId="23" xfId="0" applyFont="1" applyFill="1" applyBorder="1" applyAlignment="1">
      <alignment horizontal="center"/>
    </xf>
    <xf numFmtId="0" fontId="117" fillId="0" borderId="5" xfId="0" applyFont="1" applyBorder="1" applyAlignment="1">
      <alignment horizontal="left"/>
    </xf>
    <xf numFmtId="0" fontId="112" fillId="3" borderId="1" xfId="0" applyFont="1" applyFill="1" applyBorder="1" applyAlignment="1" applyProtection="1">
      <alignment horizontal="center"/>
      <protection locked="0"/>
    </xf>
    <xf numFmtId="0" fontId="112" fillId="2" borderId="1" xfId="0" applyFont="1" applyFill="1" applyBorder="1" applyAlignment="1" applyProtection="1">
      <alignment horizontal="center"/>
      <protection locked="0"/>
    </xf>
    <xf numFmtId="0" fontId="118" fillId="7" borderId="1" xfId="0" applyFont="1" applyFill="1" applyBorder="1" applyAlignment="1" applyProtection="1">
      <alignment horizontal="center"/>
      <protection locked="0"/>
    </xf>
    <xf numFmtId="0" fontId="118" fillId="7" borderId="1" xfId="0" applyFont="1" applyFill="1" applyBorder="1" applyAlignment="1">
      <alignment horizontal="center"/>
    </xf>
    <xf numFmtId="9" fontId="112" fillId="2" borderId="1" xfId="5" applyFont="1" applyFill="1" applyBorder="1" applyAlignment="1">
      <alignment horizontal="center"/>
    </xf>
    <xf numFmtId="0" fontId="115" fillId="13" borderId="1" xfId="0" applyFont="1" applyFill="1" applyBorder="1" applyAlignment="1">
      <alignment horizontal="center"/>
    </xf>
    <xf numFmtId="0" fontId="112" fillId="3" borderId="2" xfId="0" applyFont="1" applyFill="1" applyBorder="1" applyAlignment="1">
      <alignment horizontal="center"/>
    </xf>
    <xf numFmtId="0" fontId="130" fillId="0" borderId="0" xfId="0" applyFont="1"/>
    <xf numFmtId="0" fontId="117" fillId="0" borderId="5" xfId="0" applyFont="1" applyBorder="1" applyAlignment="1">
      <alignment horizontal="right"/>
    </xf>
    <xf numFmtId="0" fontId="113" fillId="0" borderId="8" xfId="0" applyFont="1" applyBorder="1" applyAlignment="1">
      <alignment shrinkToFit="1"/>
    </xf>
    <xf numFmtId="0" fontId="112" fillId="0" borderId="6" xfId="0" applyFont="1" applyBorder="1"/>
    <xf numFmtId="1" fontId="112" fillId="2" borderId="1" xfId="5" applyNumberFormat="1" applyFont="1" applyFill="1" applyBorder="1" applyAlignment="1">
      <alignment horizontal="center"/>
    </xf>
    <xf numFmtId="0" fontId="120" fillId="0" borderId="0" xfId="0" applyFont="1" applyAlignment="1">
      <alignment horizontal="center"/>
    </xf>
    <xf numFmtId="0" fontId="126" fillId="0" borderId="0" xfId="0" applyFont="1" applyAlignment="1"/>
    <xf numFmtId="9" fontId="112" fillId="2" borderId="1" xfId="0" applyNumberFormat="1" applyFont="1" applyFill="1" applyBorder="1"/>
    <xf numFmtId="0" fontId="112" fillId="0" borderId="5" xfId="0" applyFont="1" applyBorder="1" applyAlignment="1"/>
    <xf numFmtId="0" fontId="112" fillId="0" borderId="1" xfId="0" applyFont="1" applyBorder="1" applyAlignment="1"/>
    <xf numFmtId="0" fontId="112" fillId="2" borderId="1" xfId="0" applyFont="1" applyFill="1" applyBorder="1" applyAlignment="1">
      <alignment horizontal="center"/>
    </xf>
    <xf numFmtId="0" fontId="112" fillId="2" borderId="4" xfId="0" applyFont="1" applyFill="1" applyBorder="1" applyAlignment="1">
      <alignment horizontal="center"/>
    </xf>
    <xf numFmtId="1" fontId="112" fillId="2" borderId="3" xfId="0" applyNumberFormat="1" applyFont="1" applyFill="1" applyBorder="1" applyAlignment="1">
      <alignment horizontal="center"/>
    </xf>
    <xf numFmtId="0" fontId="117" fillId="0" borderId="1" xfId="0" applyFont="1" applyBorder="1" applyAlignment="1">
      <alignment horizontal="left" vertical="center"/>
    </xf>
    <xf numFmtId="0" fontId="112" fillId="0" borderId="0" xfId="3" applyFont="1" applyAlignment="1"/>
    <xf numFmtId="2" fontId="113" fillId="0" borderId="0" xfId="0" applyNumberFormat="1" applyFont="1"/>
    <xf numFmtId="0" fontId="117" fillId="0" borderId="1" xfId="0" applyFont="1" applyFill="1" applyBorder="1" applyAlignment="1">
      <alignment horizontal="left"/>
    </xf>
    <xf numFmtId="0" fontId="117" fillId="0" borderId="1" xfId="0" applyFont="1" applyBorder="1" applyAlignment="1">
      <alignment horizontal="right"/>
    </xf>
    <xf numFmtId="0" fontId="116" fillId="0" borderId="1" xfId="0" applyFont="1" applyBorder="1" applyAlignment="1">
      <alignment horizontal="left"/>
    </xf>
    <xf numFmtId="0" fontId="117" fillId="0" borderId="8" xfId="0" applyFont="1" applyBorder="1" applyAlignment="1">
      <alignment horizontal="right"/>
    </xf>
    <xf numFmtId="0" fontId="131" fillId="3" borderId="4" xfId="0" applyFont="1" applyFill="1" applyBorder="1" applyAlignment="1"/>
    <xf numFmtId="0" fontId="112" fillId="3" borderId="1" xfId="0" applyFont="1" applyFill="1" applyBorder="1" applyAlignment="1">
      <alignment horizontal="right"/>
    </xf>
    <xf numFmtId="0" fontId="113" fillId="0" borderId="17" xfId="0" applyFont="1" applyBorder="1" applyAlignment="1"/>
    <xf numFmtId="0" fontId="112" fillId="3" borderId="3" xfId="0" applyFont="1" applyFill="1" applyBorder="1" applyAlignment="1">
      <alignment horizontal="right"/>
    </xf>
    <xf numFmtId="0" fontId="117" fillId="0" borderId="4" xfId="0" applyFont="1" applyBorder="1" applyAlignment="1">
      <alignment horizontal="left"/>
    </xf>
    <xf numFmtId="0" fontId="117" fillId="0" borderId="0" xfId="0" applyFont="1" applyAlignment="1">
      <alignment horizontal="left" shrinkToFit="1"/>
    </xf>
    <xf numFmtId="0" fontId="115" fillId="0" borderId="0" xfId="0" applyFont="1" applyBorder="1" applyAlignment="1">
      <alignment horizontal="center"/>
    </xf>
    <xf numFmtId="0" fontId="112" fillId="14" borderId="1" xfId="0" applyFont="1" applyFill="1" applyBorder="1" applyAlignment="1">
      <alignment horizontal="center"/>
    </xf>
    <xf numFmtId="0" fontId="132" fillId="13" borderId="0" xfId="0" applyFont="1" applyFill="1" applyAlignment="1">
      <alignment horizontal="center"/>
    </xf>
    <xf numFmtId="0" fontId="133" fillId="0" borderId="0" xfId="0" applyFont="1"/>
    <xf numFmtId="0" fontId="117" fillId="0" borderId="6" xfId="0" applyFont="1" applyBorder="1" applyAlignment="1">
      <alignment horizontal="center"/>
    </xf>
    <xf numFmtId="0" fontId="116" fillId="0" borderId="0" xfId="0" applyFont="1" applyAlignment="1">
      <alignment horizontal="left"/>
    </xf>
    <xf numFmtId="0" fontId="112" fillId="2" borderId="1" xfId="0" applyFont="1" applyFill="1" applyBorder="1"/>
    <xf numFmtId="0" fontId="113" fillId="2" borderId="1" xfId="0" applyFont="1" applyFill="1" applyBorder="1"/>
    <xf numFmtId="0" fontId="116" fillId="0" borderId="8" xfId="0" applyFont="1" applyBorder="1" applyAlignment="1">
      <alignment horizontal="left"/>
    </xf>
    <xf numFmtId="0" fontId="113" fillId="2" borderId="2" xfId="0" applyFont="1" applyFill="1" applyBorder="1"/>
    <xf numFmtId="9" fontId="112" fillId="2" borderId="1" xfId="0" applyNumberFormat="1" applyFont="1" applyFill="1" applyBorder="1" applyAlignment="1">
      <alignment horizontal="center"/>
    </xf>
    <xf numFmtId="164" fontId="115" fillId="13" borderId="0" xfId="0" applyNumberFormat="1" applyFont="1" applyFill="1" applyAlignment="1">
      <alignment horizontal="center"/>
    </xf>
    <xf numFmtId="0" fontId="113" fillId="0" borderId="1" xfId="0" applyFont="1" applyBorder="1"/>
    <xf numFmtId="9" fontId="112" fillId="2" borderId="3" xfId="0" applyNumberFormat="1" applyFont="1" applyFill="1" applyBorder="1" applyAlignment="1">
      <alignment horizontal="center"/>
    </xf>
    <xf numFmtId="0" fontId="112" fillId="3" borderId="1" xfId="0" applyFont="1" applyFill="1" applyBorder="1" applyAlignment="1">
      <alignment horizontal="center"/>
    </xf>
    <xf numFmtId="0" fontId="117" fillId="0" borderId="2" xfId="0" applyFont="1" applyBorder="1" applyAlignment="1">
      <alignment horizontal="right"/>
    </xf>
    <xf numFmtId="0" fontId="117" fillId="0" borderId="5" xfId="0" applyFont="1" applyBorder="1" applyAlignment="1"/>
    <xf numFmtId="0" fontId="118" fillId="0" borderId="0" xfId="0" applyFont="1" applyFill="1" applyBorder="1" applyAlignment="1">
      <alignment horizontal="center"/>
    </xf>
    <xf numFmtId="0" fontId="117" fillId="0" borderId="0" xfId="0" applyFont="1" applyFill="1" applyBorder="1" applyAlignment="1">
      <alignment horizontal="right"/>
    </xf>
    <xf numFmtId="0" fontId="113" fillId="0" borderId="0" xfId="0" applyFont="1" applyAlignment="1">
      <alignment horizontal="left"/>
    </xf>
    <xf numFmtId="0" fontId="112" fillId="0" borderId="0" xfId="0" applyFont="1" applyBorder="1" applyAlignment="1">
      <alignment shrinkToFit="1"/>
    </xf>
    <xf numFmtId="2" fontId="112" fillId="3" borderId="1" xfId="0" applyNumberFormat="1" applyFont="1" applyFill="1" applyBorder="1" applyAlignment="1">
      <alignment shrinkToFit="1"/>
    </xf>
    <xf numFmtId="0" fontId="112" fillId="3" borderId="1" xfId="0" applyFont="1" applyFill="1" applyBorder="1"/>
    <xf numFmtId="2" fontId="112" fillId="3" borderId="2" xfId="0" applyNumberFormat="1" applyFont="1" applyFill="1" applyBorder="1" applyAlignment="1">
      <alignment horizontal="center" shrinkToFit="1"/>
    </xf>
    <xf numFmtId="2" fontId="112" fillId="3" borderId="2" xfId="0" applyNumberFormat="1" applyFont="1" applyFill="1" applyBorder="1" applyAlignment="1">
      <alignment shrinkToFit="1"/>
    </xf>
    <xf numFmtId="0" fontId="112" fillId="3" borderId="2" xfId="0" applyFont="1" applyFill="1" applyBorder="1"/>
    <xf numFmtId="0" fontId="112" fillId="3" borderId="2" xfId="0" applyFont="1" applyFill="1" applyBorder="1" applyAlignment="1">
      <alignment shrinkToFit="1"/>
    </xf>
    <xf numFmtId="2" fontId="112" fillId="3" borderId="3" xfId="0" applyNumberFormat="1" applyFont="1" applyFill="1" applyBorder="1" applyAlignment="1">
      <alignment shrinkToFit="1"/>
    </xf>
    <xf numFmtId="0" fontId="112" fillId="3" borderId="3" xfId="0" applyFont="1" applyFill="1" applyBorder="1"/>
    <xf numFmtId="2" fontId="112" fillId="3" borderId="3" xfId="0" applyNumberFormat="1" applyFont="1" applyFill="1" applyBorder="1" applyAlignment="1">
      <alignment horizontal="center" shrinkToFit="1"/>
    </xf>
    <xf numFmtId="0" fontId="112" fillId="3" borderId="3" xfId="0" applyFont="1" applyFill="1" applyBorder="1" applyAlignment="1">
      <alignment shrinkToFit="1"/>
    </xf>
    <xf numFmtId="0" fontId="113" fillId="0" borderId="0" xfId="0" quotePrefix="1" applyNumberFormat="1" applyFont="1" applyAlignment="1">
      <alignment horizontal="center"/>
    </xf>
    <xf numFmtId="0" fontId="113" fillId="0" borderId="0" xfId="0" applyNumberFormat="1" applyFont="1" applyAlignment="1">
      <alignment horizontal="center"/>
    </xf>
    <xf numFmtId="0" fontId="113" fillId="0" borderId="0" xfId="0" applyNumberFormat="1" applyFont="1" applyAlignment="1">
      <alignment horizontal="left"/>
    </xf>
    <xf numFmtId="0" fontId="117" fillId="3" borderId="0" xfId="0" applyFont="1" applyFill="1" applyBorder="1" applyAlignment="1">
      <alignment shrinkToFit="1"/>
    </xf>
    <xf numFmtId="2" fontId="112" fillId="0" borderId="1" xfId="0" applyNumberFormat="1" applyFont="1" applyBorder="1" applyAlignment="1">
      <alignment shrinkToFit="1"/>
    </xf>
    <xf numFmtId="0" fontId="112" fillId="0" borderId="1" xfId="0" applyFont="1" applyBorder="1"/>
    <xf numFmtId="1" fontId="112" fillId="0" borderId="1" xfId="0" applyNumberFormat="1" applyFont="1" applyBorder="1" applyAlignment="1">
      <alignment horizontal="center" shrinkToFit="1"/>
    </xf>
    <xf numFmtId="1" fontId="112" fillId="0" borderId="1" xfId="0" applyNumberFormat="1" applyFont="1" applyBorder="1" applyAlignment="1">
      <alignment shrinkToFit="1"/>
    </xf>
    <xf numFmtId="0" fontId="112" fillId="0" borderId="1" xfId="0" applyFont="1" applyBorder="1" applyAlignment="1">
      <alignment shrinkToFit="1"/>
    </xf>
    <xf numFmtId="0" fontId="112" fillId="3" borderId="0" xfId="0" applyFont="1" applyFill="1" applyBorder="1" applyAlignment="1">
      <alignment horizontal="right" shrinkToFit="1"/>
    </xf>
    <xf numFmtId="1" fontId="112" fillId="0" borderId="1" xfId="5" applyNumberFormat="1" applyFont="1" applyBorder="1" applyAlignment="1">
      <alignment horizontal="center"/>
    </xf>
    <xf numFmtId="1" fontId="112" fillId="2" borderId="1" xfId="0" quotePrefix="1" applyNumberFormat="1" applyFont="1" applyFill="1" applyBorder="1" applyAlignment="1">
      <alignment horizontal="center"/>
    </xf>
    <xf numFmtId="0" fontId="112" fillId="0" borderId="1" xfId="0" quotePrefix="1" applyNumberFormat="1" applyFont="1" applyBorder="1" applyAlignment="1">
      <alignment horizontal="center"/>
    </xf>
    <xf numFmtId="9" fontId="112" fillId="2" borderId="1" xfId="0" applyNumberFormat="1" applyFont="1" applyFill="1" applyBorder="1" applyAlignment="1">
      <alignment shrinkToFit="1"/>
    </xf>
    <xf numFmtId="0" fontId="112" fillId="3" borderId="0" xfId="0" applyFont="1" applyFill="1" applyAlignment="1">
      <alignment horizontal="left" shrinkToFit="1"/>
    </xf>
    <xf numFmtId="0" fontId="112" fillId="3" borderId="0" xfId="0" applyFont="1" applyFill="1" applyAlignment="1">
      <alignment shrinkToFit="1"/>
    </xf>
    <xf numFmtId="0" fontId="112" fillId="3" borderId="0" xfId="0" applyFont="1" applyFill="1" applyAlignment="1">
      <alignment horizontal="right" shrinkToFit="1"/>
    </xf>
    <xf numFmtId="0" fontId="112" fillId="3" borderId="29" xfId="0" applyFont="1" applyFill="1" applyBorder="1" applyAlignment="1">
      <alignment horizontal="right" shrinkToFit="1"/>
    </xf>
    <xf numFmtId="0" fontId="112" fillId="0" borderId="30" xfId="0" applyFont="1" applyBorder="1" applyAlignment="1">
      <alignment horizontal="center"/>
    </xf>
    <xf numFmtId="2" fontId="112" fillId="0" borderId="30" xfId="0" applyNumberFormat="1" applyFont="1" applyBorder="1" applyAlignment="1">
      <alignment shrinkToFit="1"/>
    </xf>
    <xf numFmtId="0" fontId="112" fillId="0" borderId="30" xfId="0" applyFont="1" applyBorder="1"/>
    <xf numFmtId="0" fontId="117" fillId="3" borderId="0" xfId="0" applyFont="1" applyFill="1" applyAlignment="1">
      <alignment shrinkToFit="1"/>
    </xf>
    <xf numFmtId="0" fontId="112" fillId="0" borderId="3" xfId="0" applyFont="1" applyBorder="1" applyAlignment="1">
      <alignment horizontal="center"/>
    </xf>
    <xf numFmtId="2" fontId="112" fillId="0" borderId="3" xfId="0" applyNumberFormat="1" applyFont="1" applyBorder="1" applyAlignment="1">
      <alignment shrinkToFit="1"/>
    </xf>
    <xf numFmtId="0" fontId="112" fillId="0" borderId="3" xfId="0" applyFont="1" applyBorder="1"/>
    <xf numFmtId="1" fontId="113" fillId="0" borderId="1" xfId="0" applyNumberFormat="1" applyFont="1" applyBorder="1" applyAlignment="1">
      <alignment horizontal="center"/>
    </xf>
    <xf numFmtId="0" fontId="113" fillId="0" borderId="0" xfId="0" applyFont="1" applyAlignment="1">
      <alignment horizontal="right"/>
    </xf>
    <xf numFmtId="0" fontId="121" fillId="3" borderId="0" xfId="0" applyFont="1" applyFill="1" applyAlignment="1">
      <alignment shrinkToFit="1"/>
    </xf>
    <xf numFmtId="0" fontId="121" fillId="3" borderId="0" xfId="0" applyFont="1" applyFill="1" applyAlignment="1">
      <alignment horizontal="left" shrinkToFit="1"/>
    </xf>
    <xf numFmtId="0" fontId="121" fillId="3" borderId="0" xfId="0" applyFont="1" applyFill="1" applyAlignment="1">
      <alignment horizontal="right" shrinkToFit="1"/>
    </xf>
    <xf numFmtId="0" fontId="112" fillId="3" borderId="0" xfId="0" applyFont="1" applyFill="1" applyAlignment="1">
      <alignment horizontal="left"/>
    </xf>
    <xf numFmtId="0" fontId="121" fillId="3" borderId="29" xfId="0" applyFont="1" applyFill="1" applyBorder="1" applyAlignment="1">
      <alignment horizontal="right" shrinkToFit="1"/>
    </xf>
    <xf numFmtId="0" fontId="112" fillId="0" borderId="9" xfId="0" applyFont="1" applyBorder="1" applyAlignment="1">
      <alignment horizontal="center"/>
    </xf>
    <xf numFmtId="2" fontId="112" fillId="0" borderId="9" xfId="0" applyNumberFormat="1" applyFont="1" applyBorder="1" applyAlignment="1">
      <alignment shrinkToFit="1"/>
    </xf>
    <xf numFmtId="0" fontId="112" fillId="0" borderId="9" xfId="0" applyFont="1" applyBorder="1"/>
    <xf numFmtId="0" fontId="112" fillId="3" borderId="8" xfId="0" applyFont="1" applyFill="1" applyBorder="1" applyAlignment="1">
      <alignment horizontal="right" shrinkToFit="1"/>
    </xf>
    <xf numFmtId="0" fontId="112" fillId="0" borderId="14" xfId="0" applyFont="1" applyBorder="1" applyAlignment="1">
      <alignment horizontal="center"/>
    </xf>
    <xf numFmtId="2" fontId="112" fillId="0" borderId="14" xfId="0" quotePrefix="1" applyNumberFormat="1" applyFont="1" applyBorder="1" applyAlignment="1">
      <alignment shrinkToFit="1"/>
    </xf>
    <xf numFmtId="0" fontId="112" fillId="0" borderId="14" xfId="0" applyFont="1" applyBorder="1"/>
    <xf numFmtId="1" fontId="112" fillId="3" borderId="1" xfId="0" quotePrefix="1" applyNumberFormat="1" applyFont="1" applyFill="1" applyBorder="1" applyAlignment="1">
      <alignment horizontal="center" shrinkToFit="1"/>
    </xf>
    <xf numFmtId="2" fontId="112" fillId="0" borderId="14" xfId="0" applyNumberFormat="1" applyFont="1" applyBorder="1" applyAlignment="1">
      <alignment shrinkToFit="1"/>
    </xf>
    <xf numFmtId="0" fontId="113" fillId="0" borderId="59" xfId="0" applyFont="1" applyBorder="1" applyAlignment="1">
      <alignment vertical="top" wrapText="1"/>
    </xf>
    <xf numFmtId="0" fontId="135" fillId="0" borderId="60" xfId="0" applyFont="1" applyBorder="1" applyAlignment="1">
      <alignment horizontal="center" vertical="top" wrapText="1"/>
    </xf>
    <xf numFmtId="0" fontId="123" fillId="3" borderId="0" xfId="0" applyFont="1" applyFill="1" applyAlignment="1">
      <alignment shrinkToFit="1"/>
    </xf>
    <xf numFmtId="1" fontId="112" fillId="3" borderId="30" xfId="0" applyNumberFormat="1" applyFont="1" applyFill="1" applyBorder="1" applyAlignment="1">
      <alignment horizontal="center" shrinkToFit="1"/>
    </xf>
    <xf numFmtId="1" fontId="112" fillId="0" borderId="30" xfId="0" applyNumberFormat="1" applyFont="1" applyBorder="1" applyAlignment="1">
      <alignment shrinkToFit="1"/>
    </xf>
    <xf numFmtId="1" fontId="112" fillId="0" borderId="30" xfId="5" applyNumberFormat="1" applyFont="1" applyBorder="1" applyAlignment="1">
      <alignment horizontal="center"/>
    </xf>
    <xf numFmtId="1" fontId="112" fillId="2" borderId="30" xfId="0" applyNumberFormat="1" applyFont="1" applyFill="1" applyBorder="1" applyAlignment="1">
      <alignment horizontal="center"/>
    </xf>
    <xf numFmtId="1" fontId="112" fillId="2" borderId="30" xfId="0" quotePrefix="1" applyNumberFormat="1" applyFont="1" applyFill="1" applyBorder="1" applyAlignment="1">
      <alignment horizontal="center"/>
    </xf>
    <xf numFmtId="0" fontId="112" fillId="0" borderId="30" xfId="0" quotePrefix="1" applyNumberFormat="1" applyFont="1" applyBorder="1" applyAlignment="1">
      <alignment horizontal="center"/>
    </xf>
    <xf numFmtId="9" fontId="112" fillId="2" borderId="30" xfId="0" applyNumberFormat="1" applyFont="1" applyFill="1" applyBorder="1" applyAlignment="1">
      <alignment horizontal="center"/>
    </xf>
    <xf numFmtId="9" fontId="112" fillId="2" borderId="30" xfId="0" applyNumberFormat="1" applyFont="1" applyFill="1" applyBorder="1"/>
    <xf numFmtId="9" fontId="112" fillId="2" borderId="30" xfId="0" applyNumberFormat="1" applyFont="1" applyFill="1" applyBorder="1" applyAlignment="1">
      <alignment shrinkToFit="1"/>
    </xf>
    <xf numFmtId="0" fontId="112" fillId="2" borderId="30" xfId="0" applyFont="1" applyFill="1" applyBorder="1" applyAlignment="1">
      <alignment horizontal="center"/>
    </xf>
    <xf numFmtId="0" fontId="117" fillId="3" borderId="0" xfId="0" applyFont="1" applyFill="1" applyAlignment="1">
      <alignment horizontal="right" shrinkToFit="1"/>
    </xf>
    <xf numFmtId="0" fontId="112" fillId="0" borderId="5" xfId="0" applyFont="1" applyFill="1" applyBorder="1"/>
    <xf numFmtId="0" fontId="112" fillId="2" borderId="30" xfId="0" quotePrefix="1" applyNumberFormat="1" applyFont="1" applyFill="1" applyBorder="1" applyAlignment="1">
      <alignment horizontal="center"/>
    </xf>
    <xf numFmtId="1" fontId="112" fillId="0" borderId="30" xfId="0" applyNumberFormat="1" applyFont="1" applyFill="1" applyBorder="1" applyAlignment="1">
      <alignment horizontal="center"/>
    </xf>
    <xf numFmtId="1" fontId="112" fillId="0" borderId="3" xfId="0" applyNumberFormat="1" applyFont="1" applyBorder="1" applyAlignment="1">
      <alignment horizontal="center" shrinkToFit="1"/>
    </xf>
    <xf numFmtId="1" fontId="112" fillId="0" borderId="3" xfId="0" applyNumberFormat="1" applyFont="1" applyBorder="1" applyAlignment="1">
      <alignment shrinkToFit="1"/>
    </xf>
    <xf numFmtId="0" fontId="112" fillId="0" borderId="3" xfId="0" applyFont="1" applyBorder="1" applyAlignment="1">
      <alignment shrinkToFit="1"/>
    </xf>
    <xf numFmtId="0" fontId="117" fillId="0" borderId="11" xfId="0" applyFont="1" applyFill="1" applyBorder="1" applyAlignment="1">
      <alignment shrinkToFit="1"/>
    </xf>
    <xf numFmtId="0" fontId="113" fillId="0" borderId="25" xfId="0" applyFont="1" applyBorder="1"/>
    <xf numFmtId="0" fontId="121" fillId="3" borderId="42" xfId="0" applyFont="1" applyFill="1" applyBorder="1" applyAlignment="1">
      <alignment shrinkToFit="1"/>
    </xf>
    <xf numFmtId="0" fontId="112" fillId="3" borderId="24" xfId="0" applyFont="1" applyFill="1" applyBorder="1" applyAlignment="1">
      <alignment horizontal="center"/>
    </xf>
    <xf numFmtId="0" fontId="112" fillId="3" borderId="25" xfId="0" applyFont="1" applyFill="1" applyBorder="1" applyAlignment="1">
      <alignment horizontal="center"/>
    </xf>
    <xf numFmtId="16" fontId="112" fillId="0" borderId="1" xfId="0" quotePrefix="1" applyNumberFormat="1" applyFont="1" applyBorder="1" applyAlignment="1">
      <alignment horizontal="center"/>
    </xf>
    <xf numFmtId="0" fontId="112" fillId="0" borderId="10" xfId="0" applyFont="1" applyBorder="1" applyAlignment="1">
      <alignment horizontal="center"/>
    </xf>
    <xf numFmtId="1" fontId="112" fillId="2" borderId="9" xfId="0" applyNumberFormat="1" applyFont="1" applyFill="1" applyBorder="1" applyAlignment="1">
      <alignment horizontal="center"/>
    </xf>
    <xf numFmtId="1" fontId="112" fillId="0" borderId="11" xfId="0" quotePrefix="1" applyNumberFormat="1" applyFont="1" applyBorder="1" applyAlignment="1">
      <alignment horizontal="center"/>
    </xf>
    <xf numFmtId="0" fontId="112" fillId="0" borderId="8" xfId="0" applyFont="1" applyBorder="1" applyAlignment="1">
      <alignment horizontal="center"/>
    </xf>
    <xf numFmtId="0" fontId="112" fillId="0" borderId="11" xfId="0" applyFont="1" applyBorder="1" applyAlignment="1">
      <alignment horizontal="center"/>
    </xf>
    <xf numFmtId="0" fontId="121" fillId="3" borderId="0" xfId="0" applyFont="1" applyFill="1" applyBorder="1" applyAlignment="1">
      <alignment horizontal="right" shrinkToFit="1"/>
    </xf>
    <xf numFmtId="1" fontId="113" fillId="0" borderId="3" xfId="0" applyNumberFormat="1" applyFont="1" applyBorder="1" applyAlignment="1">
      <alignment horizontal="center"/>
    </xf>
    <xf numFmtId="0" fontId="112" fillId="3" borderId="22" xfId="0" applyFont="1" applyFill="1" applyBorder="1" applyAlignment="1">
      <alignment horizontal="center"/>
    </xf>
    <xf numFmtId="0" fontId="112" fillId="3" borderId="10" xfId="0" applyFont="1" applyFill="1" applyBorder="1" applyAlignment="1">
      <alignment horizontal="center"/>
    </xf>
    <xf numFmtId="0" fontId="112" fillId="3" borderId="9" xfId="0" applyFont="1" applyFill="1" applyBorder="1" applyAlignment="1">
      <alignment horizontal="center"/>
    </xf>
    <xf numFmtId="0" fontId="112" fillId="3" borderId="11" xfId="0" applyFont="1" applyFill="1" applyBorder="1" applyAlignment="1">
      <alignment horizontal="center"/>
    </xf>
    <xf numFmtId="0" fontId="112" fillId="3" borderId="8" xfId="0" applyFont="1" applyFill="1" applyBorder="1" applyAlignment="1">
      <alignment horizontal="center"/>
    </xf>
    <xf numFmtId="1" fontId="112" fillId="0" borderId="11" xfId="0" applyNumberFormat="1" applyFont="1" applyBorder="1" applyAlignment="1">
      <alignment horizontal="center"/>
    </xf>
    <xf numFmtId="0" fontId="113" fillId="0" borderId="1" xfId="0" applyFont="1" applyBorder="1" applyAlignment="1">
      <alignment horizontal="center"/>
    </xf>
    <xf numFmtId="0" fontId="113" fillId="0" borderId="28" xfId="0" applyFont="1" applyBorder="1"/>
    <xf numFmtId="0" fontId="112" fillId="0" borderId="11" xfId="0" quotePrefix="1" applyFont="1" applyBorder="1" applyAlignment="1">
      <alignment horizontal="center"/>
    </xf>
    <xf numFmtId="9" fontId="113" fillId="0" borderId="0" xfId="0" quotePrefix="1" applyNumberFormat="1" applyFont="1"/>
    <xf numFmtId="0" fontId="113" fillId="0" borderId="0" xfId="0" quotePrefix="1" applyFont="1"/>
    <xf numFmtId="0" fontId="113" fillId="0" borderId="0" xfId="0" quotePrefix="1" applyFont="1" applyAlignment="1">
      <alignment horizontal="left"/>
    </xf>
    <xf numFmtId="0" fontId="112" fillId="3" borderId="0" xfId="0" applyFont="1" applyFill="1" applyBorder="1" applyAlignment="1">
      <alignment shrinkToFit="1"/>
    </xf>
    <xf numFmtId="0" fontId="113" fillId="0" borderId="0" xfId="0" applyFont="1" applyBorder="1" applyAlignment="1">
      <alignment horizontal="center"/>
    </xf>
    <xf numFmtId="0" fontId="112" fillId="0" borderId="1" xfId="0" applyFont="1" applyBorder="1" applyAlignment="1">
      <alignment horizontal="center" shrinkToFit="1"/>
    </xf>
    <xf numFmtId="0" fontId="112" fillId="0" borderId="1" xfId="0" applyFont="1" applyBorder="1" applyAlignment="1">
      <alignment horizontal="left"/>
    </xf>
    <xf numFmtId="0" fontId="112" fillId="3" borderId="29" xfId="0" applyFont="1" applyFill="1" applyBorder="1" applyAlignment="1">
      <alignment shrinkToFit="1"/>
    </xf>
    <xf numFmtId="0" fontId="112" fillId="0" borderId="30" xfId="0" applyFont="1" applyBorder="1" applyAlignment="1">
      <alignment shrinkToFit="1"/>
    </xf>
    <xf numFmtId="1" fontId="112" fillId="2" borderId="30" xfId="0" applyNumberFormat="1" applyFont="1" applyFill="1" applyBorder="1" applyAlignment="1">
      <alignment horizontal="center" shrinkToFit="1"/>
    </xf>
    <xf numFmtId="1" fontId="112" fillId="2" borderId="3" xfId="0" applyNumberFormat="1" applyFont="1" applyFill="1" applyBorder="1" applyAlignment="1">
      <alignment horizontal="center" shrinkToFit="1"/>
    </xf>
    <xf numFmtId="0" fontId="121" fillId="3" borderId="0" xfId="0" applyFont="1" applyFill="1" applyBorder="1" applyAlignment="1">
      <alignment shrinkToFit="1"/>
    </xf>
    <xf numFmtId="1" fontId="112" fillId="2" borderId="1" xfId="0" applyNumberFormat="1" applyFont="1" applyFill="1" applyBorder="1" applyAlignment="1">
      <alignment horizontal="center" shrinkToFit="1"/>
    </xf>
    <xf numFmtId="0" fontId="136" fillId="3" borderId="0" xfId="0" applyFont="1" applyFill="1" applyAlignment="1">
      <alignment shrinkToFit="1"/>
    </xf>
    <xf numFmtId="0" fontId="121" fillId="3" borderId="29" xfId="0" applyFont="1" applyFill="1" applyBorder="1" applyAlignment="1">
      <alignment shrinkToFit="1"/>
    </xf>
    <xf numFmtId="1" fontId="112" fillId="3" borderId="3" xfId="0" applyNumberFormat="1" applyFont="1" applyFill="1" applyBorder="1" applyAlignment="1">
      <alignment horizontal="center" shrinkToFit="1"/>
    </xf>
    <xf numFmtId="0" fontId="112" fillId="0" borderId="11" xfId="0" quotePrefix="1" applyNumberFormat="1" applyFont="1" applyBorder="1" applyAlignment="1">
      <alignment horizontal="center"/>
    </xf>
    <xf numFmtId="0" fontId="112" fillId="0" borderId="4" xfId="0" applyFont="1" applyBorder="1" applyAlignment="1">
      <alignment horizontal="center"/>
    </xf>
    <xf numFmtId="0" fontId="112" fillId="0" borderId="12" xfId="0" applyFont="1" applyBorder="1" applyAlignment="1">
      <alignment horizontal="center"/>
    </xf>
    <xf numFmtId="1" fontId="112" fillId="2" borderId="14" xfId="0" applyNumberFormat="1" applyFont="1" applyFill="1" applyBorder="1" applyAlignment="1">
      <alignment horizontal="center"/>
    </xf>
    <xf numFmtId="1" fontId="112" fillId="0" borderId="15" xfId="0" quotePrefix="1" applyNumberFormat="1" applyFont="1" applyBorder="1" applyAlignment="1">
      <alignment horizontal="center"/>
    </xf>
    <xf numFmtId="0" fontId="112" fillId="0" borderId="13" xfId="0" applyFont="1" applyBorder="1" applyAlignment="1">
      <alignment horizontal="center"/>
    </xf>
    <xf numFmtId="0" fontId="112" fillId="0" borderId="15" xfId="0" quotePrefix="1" applyNumberFormat="1" applyFont="1" applyBorder="1" applyAlignment="1">
      <alignment horizontal="center"/>
    </xf>
    <xf numFmtId="0" fontId="112" fillId="0" borderId="15" xfId="0" quotePrefix="1" applyFont="1" applyBorder="1" applyAlignment="1">
      <alignment horizontal="center"/>
    </xf>
    <xf numFmtId="0" fontId="112" fillId="0" borderId="15" xfId="0" applyFont="1" applyBorder="1" applyAlignment="1">
      <alignment horizontal="center"/>
    </xf>
    <xf numFmtId="0" fontId="112" fillId="3" borderId="8" xfId="0" applyFont="1" applyFill="1" applyBorder="1" applyAlignment="1">
      <alignment shrinkToFit="1"/>
    </xf>
    <xf numFmtId="2" fontId="113" fillId="0" borderId="0" xfId="0" applyNumberFormat="1" applyFont="1" applyAlignment="1">
      <alignment shrinkToFit="1"/>
    </xf>
    <xf numFmtId="0" fontId="112" fillId="0" borderId="2" xfId="0" applyFont="1" applyFill="1" applyBorder="1"/>
    <xf numFmtId="2" fontId="112" fillId="3" borderId="1" xfId="0" applyNumberFormat="1" applyFont="1" applyFill="1" applyBorder="1" applyAlignment="1">
      <alignment horizontal="center" shrinkToFit="1"/>
    </xf>
    <xf numFmtId="0" fontId="117" fillId="3" borderId="1" xfId="0" applyFont="1" applyFill="1" applyBorder="1" applyAlignment="1">
      <alignment shrinkToFit="1"/>
    </xf>
    <xf numFmtId="0" fontId="112" fillId="0" borderId="1" xfId="0" quotePrefix="1" applyFont="1" applyBorder="1" applyAlignment="1">
      <alignment horizontal="center"/>
    </xf>
    <xf numFmtId="0" fontId="112" fillId="0" borderId="0" xfId="0" applyFont="1" applyBorder="1" applyAlignment="1">
      <alignment horizontal="center"/>
    </xf>
    <xf numFmtId="2" fontId="112" fillId="3" borderId="0" xfId="0" applyNumberFormat="1" applyFont="1" applyFill="1"/>
    <xf numFmtId="2" fontId="112" fillId="3" borderId="0" xfId="0" applyNumberFormat="1" applyFont="1" applyFill="1" applyAlignment="1">
      <alignment shrinkToFit="1"/>
    </xf>
    <xf numFmtId="0" fontId="112" fillId="5" borderId="1" xfId="0" quotePrefix="1" applyFont="1" applyFill="1" applyBorder="1"/>
    <xf numFmtId="0" fontId="112" fillId="5" borderId="1" xfId="0" applyFont="1" applyFill="1" applyBorder="1"/>
    <xf numFmtId="2" fontId="112" fillId="5" borderId="1" xfId="0" applyNumberFormat="1" applyFont="1" applyFill="1" applyBorder="1"/>
    <xf numFmtId="2" fontId="112" fillId="2" borderId="1" xfId="0" applyNumberFormat="1" applyFont="1" applyFill="1" applyBorder="1" applyAlignment="1">
      <alignment shrinkToFit="1"/>
    </xf>
    <xf numFmtId="0" fontId="113" fillId="0" borderId="0" xfId="0" applyFont="1" applyAlignment="1">
      <alignment horizontal="center" shrinkToFit="1"/>
    </xf>
    <xf numFmtId="0" fontId="112" fillId="0" borderId="63" xfId="0" applyFont="1" applyBorder="1" applyAlignment="1">
      <alignment wrapText="1"/>
    </xf>
    <xf numFmtId="0" fontId="112" fillId="0" borderId="63" xfId="0" applyFont="1" applyBorder="1"/>
    <xf numFmtId="0" fontId="135" fillId="0" borderId="63" xfId="0" applyFont="1" applyBorder="1"/>
    <xf numFmtId="0" fontId="137" fillId="0" borderId="63" xfId="0" applyFont="1" applyBorder="1"/>
    <xf numFmtId="1" fontId="113" fillId="2" borderId="1" xfId="0" applyNumberFormat="1" applyFont="1" applyFill="1" applyBorder="1" applyAlignment="1">
      <alignment horizontal="center"/>
    </xf>
    <xf numFmtId="0" fontId="113" fillId="3" borderId="1" xfId="0" applyFont="1" applyFill="1" applyBorder="1" applyAlignment="1">
      <alignment horizontal="center"/>
    </xf>
    <xf numFmtId="0" fontId="138" fillId="0" borderId="0" xfId="0" applyFont="1" applyAlignment="1">
      <alignment shrinkToFit="1"/>
    </xf>
    <xf numFmtId="1" fontId="135" fillId="3" borderId="1" xfId="0" applyNumberFormat="1" applyFont="1" applyFill="1" applyBorder="1" applyAlignment="1">
      <alignment horizontal="center" vertical="center"/>
    </xf>
    <xf numFmtId="0" fontId="135" fillId="3" borderId="1" xfId="0" applyFont="1" applyFill="1" applyBorder="1" applyAlignment="1">
      <alignment horizontal="center" vertical="center"/>
    </xf>
    <xf numFmtId="0" fontId="113" fillId="2" borderId="1" xfId="0" applyFont="1" applyFill="1" applyBorder="1" applyAlignment="1">
      <alignment horizontal="center"/>
    </xf>
    <xf numFmtId="0" fontId="112" fillId="3" borderId="7" xfId="0" applyFont="1" applyFill="1" applyBorder="1" applyAlignment="1">
      <alignment horizontal="center"/>
    </xf>
    <xf numFmtId="0" fontId="135" fillId="0" borderId="0" xfId="0" applyFont="1" applyAlignment="1">
      <alignment vertical="center"/>
    </xf>
    <xf numFmtId="1" fontId="113" fillId="0" borderId="0" xfId="0" applyNumberFormat="1" applyFont="1" applyAlignment="1">
      <alignment horizontal="center" shrinkToFit="1"/>
    </xf>
    <xf numFmtId="1" fontId="113" fillId="0" borderId="0" xfId="0" applyNumberFormat="1" applyFont="1" applyAlignment="1">
      <alignment shrinkToFit="1"/>
    </xf>
    <xf numFmtId="1" fontId="112" fillId="0" borderId="0" xfId="0" applyNumberFormat="1" applyFont="1" applyAlignment="1">
      <alignment horizontal="right"/>
    </xf>
    <xf numFmtId="2" fontId="113" fillId="0" borderId="0" xfId="0" applyNumberFormat="1" applyFont="1" applyAlignment="1">
      <alignment horizontal="center"/>
    </xf>
    <xf numFmtId="1" fontId="117" fillId="0" borderId="0" xfId="0" applyNumberFormat="1" applyFont="1" applyAlignment="1"/>
    <xf numFmtId="1" fontId="112" fillId="0" borderId="0" xfId="0" applyNumberFormat="1" applyFont="1" applyAlignment="1"/>
    <xf numFmtId="2" fontId="113" fillId="0" borderId="0" xfId="0" applyNumberFormat="1" applyFont="1" applyAlignment="1">
      <alignment horizontal="center" shrinkToFit="1"/>
    </xf>
    <xf numFmtId="0" fontId="112" fillId="0" borderId="17" xfId="0" applyFont="1" applyBorder="1"/>
    <xf numFmtId="0" fontId="112" fillId="2" borderId="1" xfId="0" applyFont="1" applyFill="1" applyBorder="1" applyAlignment="1">
      <alignment horizontal="center" vertical="center"/>
    </xf>
    <xf numFmtId="0" fontId="130" fillId="2" borderId="5" xfId="0" applyFont="1" applyFill="1" applyBorder="1" applyAlignment="1"/>
    <xf numFmtId="0" fontId="113" fillId="0" borderId="8" xfId="0" applyFont="1" applyBorder="1" applyAlignment="1"/>
    <xf numFmtId="0" fontId="124" fillId="13" borderId="66" xfId="0" applyFont="1" applyFill="1" applyBorder="1" applyAlignment="1">
      <alignment horizontal="center"/>
    </xf>
    <xf numFmtId="164" fontId="124" fillId="13" borderId="0" xfId="0" applyNumberFormat="1" applyFont="1" applyFill="1" applyAlignment="1">
      <alignment horizontal="center"/>
    </xf>
    <xf numFmtId="0" fontId="112" fillId="2" borderId="20" xfId="0" applyFont="1" applyFill="1" applyBorder="1" applyAlignment="1">
      <alignment horizontal="center"/>
    </xf>
    <xf numFmtId="0" fontId="112" fillId="7" borderId="1" xfId="0" applyFont="1" applyFill="1" applyBorder="1" applyAlignment="1">
      <alignment horizontal="center"/>
    </xf>
    <xf numFmtId="164" fontId="124" fillId="13" borderId="66" xfId="0" applyNumberFormat="1" applyFont="1" applyFill="1" applyBorder="1" applyAlignment="1">
      <alignment horizontal="center"/>
    </xf>
    <xf numFmtId="164" fontId="119" fillId="13" borderId="66" xfId="0" applyNumberFormat="1" applyFont="1" applyFill="1" applyBorder="1" applyAlignment="1">
      <alignment horizontal="center"/>
    </xf>
    <xf numFmtId="2" fontId="124" fillId="13" borderId="66" xfId="0" applyNumberFormat="1" applyFont="1" applyFill="1" applyBorder="1" applyAlignment="1">
      <alignment horizontal="center"/>
    </xf>
    <xf numFmtId="0" fontId="113" fillId="0" borderId="0" xfId="0" applyFont="1"/>
    <xf numFmtId="0" fontId="112" fillId="0" borderId="0" xfId="0" applyFont="1"/>
    <xf numFmtId="0" fontId="122" fillId="0" borderId="0" xfId="0" applyFont="1" applyBorder="1"/>
    <xf numFmtId="0" fontId="122" fillId="0" borderId="0" xfId="0" applyFont="1"/>
    <xf numFmtId="0" fontId="112" fillId="4" borderId="1" xfId="0" applyFont="1" applyFill="1" applyBorder="1"/>
    <xf numFmtId="0" fontId="130" fillId="0" borderId="0" xfId="0" applyFont="1" applyAlignment="1">
      <alignment horizontal="center"/>
    </xf>
    <xf numFmtId="0" fontId="112" fillId="2" borderId="4" xfId="0" applyFont="1" applyFill="1" applyBorder="1"/>
    <xf numFmtId="0" fontId="112" fillId="2" borderId="7" xfId="0" applyFont="1" applyFill="1" applyBorder="1"/>
    <xf numFmtId="0" fontId="112" fillId="0" borderId="0" xfId="0" applyFont="1" applyBorder="1" applyAlignment="1">
      <alignment horizontal="right" shrinkToFit="1"/>
    </xf>
    <xf numFmtId="0" fontId="112" fillId="2" borderId="2" xfId="0" applyFont="1" applyFill="1" applyBorder="1"/>
    <xf numFmtId="0" fontId="112" fillId="2" borderId="16" xfId="0" applyFont="1" applyFill="1" applyBorder="1"/>
    <xf numFmtId="0" fontId="112" fillId="2" borderId="19" xfId="0" applyFont="1" applyFill="1" applyBorder="1"/>
    <xf numFmtId="0" fontId="130" fillId="0" borderId="0" xfId="0" applyFont="1" applyBorder="1" applyAlignment="1">
      <alignment horizontal="right" shrinkToFit="1"/>
    </xf>
    <xf numFmtId="0" fontId="117" fillId="7" borderId="1" xfId="0" applyFont="1" applyFill="1" applyBorder="1" applyAlignment="1">
      <alignment horizontal="center"/>
    </xf>
    <xf numFmtId="0" fontId="126" fillId="2" borderId="7" xfId="0" applyFont="1" applyFill="1" applyBorder="1"/>
    <xf numFmtId="0" fontId="126" fillId="2" borderId="1" xfId="0" applyFont="1" applyFill="1" applyBorder="1"/>
    <xf numFmtId="0" fontId="112" fillId="0" borderId="0" xfId="0" quotePrefix="1" applyFont="1" applyAlignment="1"/>
    <xf numFmtId="9" fontId="112" fillId="4" borderId="1" xfId="0" applyNumberFormat="1" applyFont="1" applyFill="1" applyBorder="1"/>
    <xf numFmtId="0" fontId="117" fillId="0" borderId="0" xfId="0" applyFont="1" applyAlignment="1"/>
    <xf numFmtId="0" fontId="139" fillId="0" borderId="0" xfId="0" applyFont="1" applyFill="1" applyBorder="1" applyAlignment="1">
      <alignment vertical="top" wrapText="1"/>
    </xf>
    <xf numFmtId="0" fontId="139" fillId="0" borderId="0" xfId="0" applyFont="1" applyFill="1" applyBorder="1" applyAlignment="1">
      <alignment horizontal="center" vertical="top" wrapText="1"/>
    </xf>
    <xf numFmtId="0" fontId="139" fillId="0" borderId="0" xfId="0" applyFont="1" applyFill="1" applyBorder="1" applyAlignment="1">
      <alignment horizontal="right" vertical="top" wrapText="1"/>
    </xf>
    <xf numFmtId="0" fontId="116" fillId="0" borderId="0" xfId="0" applyFont="1" applyFill="1" applyBorder="1" applyAlignment="1">
      <alignment horizontal="center" vertical="top" wrapText="1"/>
    </xf>
    <xf numFmtId="0" fontId="116" fillId="0" borderId="0" xfId="0" applyFont="1" applyFill="1" applyBorder="1" applyAlignment="1">
      <alignment vertical="top" wrapText="1"/>
    </xf>
    <xf numFmtId="0" fontId="117" fillId="0" borderId="72" xfId="0" applyFont="1" applyBorder="1" applyAlignment="1">
      <alignment horizontal="center"/>
    </xf>
    <xf numFmtId="0" fontId="112" fillId="0" borderId="0" xfId="0" applyFont="1" applyBorder="1" applyAlignment="1">
      <alignment vertical="top" wrapText="1"/>
    </xf>
    <xf numFmtId="9" fontId="112" fillId="0" borderId="0" xfId="0" applyNumberFormat="1" applyFont="1" applyBorder="1" applyAlignment="1">
      <alignment horizontal="center" vertical="top" wrapText="1"/>
    </xf>
    <xf numFmtId="1" fontId="112" fillId="0" borderId="72" xfId="0" applyNumberFormat="1" applyFont="1" applyFill="1" applyBorder="1" applyAlignment="1">
      <alignment horizontal="center" vertical="top" wrapText="1"/>
    </xf>
    <xf numFmtId="1" fontId="112" fillId="0" borderId="0" xfId="0" applyNumberFormat="1" applyFont="1" applyFill="1" applyBorder="1" applyAlignment="1">
      <alignment horizontal="center" vertical="top" wrapText="1"/>
    </xf>
    <xf numFmtId="0" fontId="112" fillId="0" borderId="0" xfId="0" applyFont="1" applyAlignment="1">
      <alignment horizontal="center"/>
    </xf>
    <xf numFmtId="0" fontId="116" fillId="0" borderId="0" xfId="0" applyFont="1" applyBorder="1" applyAlignment="1">
      <alignment horizontal="right"/>
    </xf>
    <xf numFmtId="0" fontId="112" fillId="0" borderId="6" xfId="0" applyFont="1" applyBorder="1" applyAlignment="1">
      <alignment horizontal="center"/>
    </xf>
    <xf numFmtId="0" fontId="112" fillId="0" borderId="4" xfId="3" applyFont="1" applyBorder="1" applyAlignment="1">
      <alignment horizontal="center"/>
    </xf>
    <xf numFmtId="9" fontId="112" fillId="0" borderId="7" xfId="3" applyNumberFormat="1" applyFont="1" applyBorder="1" applyAlignment="1">
      <alignment horizontal="center"/>
    </xf>
    <xf numFmtId="1" fontId="112" fillId="0" borderId="21" xfId="0" applyNumberFormat="1" applyFont="1" applyBorder="1" applyAlignment="1">
      <alignment horizontal="center"/>
    </xf>
    <xf numFmtId="0" fontId="113" fillId="2" borderId="1" xfId="0" applyFont="1" applyFill="1" applyBorder="1" applyAlignment="1"/>
    <xf numFmtId="0" fontId="112" fillId="2" borderId="21" xfId="0" applyFont="1" applyFill="1" applyBorder="1" applyAlignment="1">
      <alignment horizontal="center"/>
    </xf>
    <xf numFmtId="0" fontId="17" fillId="0" borderId="1" xfId="0" applyFont="1" applyBorder="1" applyAlignment="1">
      <alignment horizontal="center"/>
    </xf>
    <xf numFmtId="0" fontId="0" fillId="0" borderId="0" xfId="0"/>
    <xf numFmtId="9" fontId="19" fillId="0" borderId="1" xfId="0" applyNumberFormat="1" applyFont="1" applyBorder="1" applyAlignment="1">
      <alignment horizontal="center"/>
    </xf>
    <xf numFmtId="0" fontId="3" fillId="0" borderId="0" xfId="0" applyFont="1" applyAlignment="1">
      <alignment vertical="center"/>
    </xf>
    <xf numFmtId="0" fontId="4"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right" vertical="center"/>
    </xf>
    <xf numFmtId="0" fontId="105" fillId="0" borderId="0" xfId="2" applyFont="1" applyAlignment="1" applyProtection="1">
      <alignment vertical="center"/>
    </xf>
    <xf numFmtId="0" fontId="17" fillId="0" borderId="1" xfId="0" applyFont="1" applyBorder="1" applyAlignment="1">
      <alignment horizontal="center"/>
    </xf>
    <xf numFmtId="0" fontId="0" fillId="0" borderId="0" xfId="0"/>
    <xf numFmtId="0" fontId="112" fillId="3" borderId="1" xfId="0" applyFont="1" applyFill="1" applyBorder="1" applyAlignment="1">
      <alignment horizontal="center"/>
    </xf>
    <xf numFmtId="0" fontId="115" fillId="13" borderId="0" xfId="0" applyFont="1" applyFill="1" applyAlignment="1">
      <alignment horizontal="center"/>
    </xf>
    <xf numFmtId="0" fontId="34" fillId="0" borderId="0" xfId="0" applyFont="1" applyAlignment="1">
      <alignment horizontal="justify" vertical="center"/>
    </xf>
    <xf numFmtId="0" fontId="112" fillId="0" borderId="0" xfId="0" applyFont="1" applyAlignment="1">
      <alignment horizontal="left"/>
    </xf>
    <xf numFmtId="0" fontId="112" fillId="0" borderId="0" xfId="0" applyFont="1"/>
    <xf numFmtId="0" fontId="3" fillId="0" borderId="1" xfId="0" applyFont="1" applyBorder="1" applyAlignment="1">
      <alignment horizontal="right"/>
    </xf>
    <xf numFmtId="0" fontId="17" fillId="2" borderId="1" xfId="0" applyFont="1" applyFill="1" applyBorder="1" applyAlignment="1">
      <alignment horizontal="center"/>
    </xf>
    <xf numFmtId="0" fontId="113" fillId="0" borderId="0" xfId="0" applyFont="1" applyAlignment="1">
      <alignment horizontal="center"/>
    </xf>
    <xf numFmtId="0" fontId="31" fillId="0" borderId="59" xfId="0" applyFont="1" applyBorder="1" applyAlignment="1">
      <alignment horizontal="center" vertical="center" wrapText="1"/>
    </xf>
    <xf numFmtId="0" fontId="31" fillId="0" borderId="60" xfId="0" applyFont="1" applyBorder="1" applyAlignment="1">
      <alignment horizontal="center" vertical="center" wrapText="1"/>
    </xf>
    <xf numFmtId="0" fontId="25" fillId="0" borderId="0" xfId="0" applyFont="1" applyAlignment="1">
      <alignment horizontal="left" vertical="center"/>
    </xf>
    <xf numFmtId="0" fontId="31" fillId="0" borderId="59" xfId="0" applyFont="1" applyBorder="1" applyAlignment="1">
      <alignment vertical="center" wrapText="1"/>
    </xf>
    <xf numFmtId="0" fontId="113" fillId="0" borderId="0" xfId="0" quotePrefix="1" applyFont="1" applyAlignment="1">
      <alignment horizontal="center"/>
    </xf>
    <xf numFmtId="0" fontId="31" fillId="0" borderId="60" xfId="0" applyFont="1" applyBorder="1" applyAlignment="1">
      <alignment horizontal="left" vertical="center" wrapText="1"/>
    </xf>
    <xf numFmtId="0" fontId="112" fillId="0" borderId="0" xfId="0" applyFont="1"/>
    <xf numFmtId="0" fontId="0" fillId="0" borderId="0" xfId="0" applyBorder="1" applyAlignment="1"/>
    <xf numFmtId="0" fontId="0" fillId="0" borderId="0" xfId="0"/>
    <xf numFmtId="0" fontId="113" fillId="0" borderId="0" xfId="0" applyFont="1"/>
    <xf numFmtId="1" fontId="31" fillId="0" borderId="0" xfId="3" applyNumberFormat="1" applyFont="1" applyFill="1" applyBorder="1" applyAlignment="1">
      <alignment horizontal="center"/>
    </xf>
    <xf numFmtId="1" fontId="31" fillId="0" borderId="0" xfId="0" applyNumberFormat="1" applyFont="1" applyFill="1" applyBorder="1" applyAlignment="1">
      <alignment horizontal="center"/>
    </xf>
    <xf numFmtId="0" fontId="27" fillId="0" borderId="0" xfId="3" applyFont="1" applyFill="1" applyBorder="1" applyAlignment="1">
      <alignment horizontal="center"/>
    </xf>
    <xf numFmtId="0" fontId="27" fillId="0" borderId="0" xfId="0" applyFont="1" applyBorder="1" applyAlignment="1"/>
    <xf numFmtId="0" fontId="26" fillId="0" borderId="0" xfId="3" applyFont="1" applyBorder="1" applyAlignment="1">
      <alignment horizontal="left"/>
    </xf>
    <xf numFmtId="0" fontId="31" fillId="0" borderId="0" xfId="3" quotePrefix="1" applyFont="1" applyBorder="1" applyAlignment="1">
      <alignment horizontal="left"/>
    </xf>
    <xf numFmtId="9" fontId="31" fillId="0" borderId="0" xfId="3" applyNumberFormat="1" applyFont="1" applyBorder="1" applyAlignment="1">
      <alignment horizontal="left"/>
    </xf>
    <xf numFmtId="0" fontId="112" fillId="0" borderId="0" xfId="0" applyFont="1" applyAlignment="1">
      <alignment horizontal="center"/>
    </xf>
    <xf numFmtId="0" fontId="17" fillId="2" borderId="1" xfId="0" applyFont="1" applyFill="1" applyBorder="1" applyAlignment="1">
      <alignment horizontal="center"/>
    </xf>
    <xf numFmtId="0" fontId="141" fillId="0" borderId="0" xfId="2" applyFont="1" applyAlignment="1" applyProtection="1"/>
    <xf numFmtId="0" fontId="142" fillId="17" borderId="0" xfId="0" applyFont="1" applyFill="1" applyAlignment="1"/>
    <xf numFmtId="0" fontId="143" fillId="17" borderId="0" xfId="0" applyFont="1" applyFill="1" applyAlignment="1"/>
    <xf numFmtId="0" fontId="143" fillId="17" borderId="0" xfId="0" applyFont="1" applyFill="1"/>
    <xf numFmtId="0" fontId="117" fillId="0" borderId="1" xfId="0" applyFont="1" applyBorder="1" applyAlignment="1">
      <alignment horizontal="center"/>
    </xf>
    <xf numFmtId="0" fontId="113" fillId="0" borderId="0" xfId="0" applyFont="1"/>
    <xf numFmtId="0" fontId="112" fillId="0" borderId="0" xfId="0" applyFont="1"/>
    <xf numFmtId="0" fontId="1" fillId="0" borderId="0" xfId="3" applyFont="1"/>
    <xf numFmtId="0" fontId="11" fillId="18" borderId="0" xfId="0" applyFont="1" applyFill="1"/>
    <xf numFmtId="0" fontId="13" fillId="18" borderId="0" xfId="0" applyFont="1" applyFill="1"/>
    <xf numFmtId="0" fontId="112" fillId="0" borderId="0" xfId="0" applyFont="1"/>
    <xf numFmtId="0" fontId="113" fillId="0" borderId="1" xfId="0" applyFont="1" applyBorder="1" applyAlignment="1">
      <alignment shrinkToFit="1"/>
    </xf>
    <xf numFmtId="0" fontId="31" fillId="19" borderId="59" xfId="0" applyFont="1" applyFill="1" applyBorder="1" applyAlignment="1">
      <alignment horizontal="center" vertical="center" wrapText="1"/>
    </xf>
    <xf numFmtId="0" fontId="31" fillId="19" borderId="60" xfId="0" applyFont="1" applyFill="1" applyBorder="1" applyAlignment="1">
      <alignment horizontal="center" vertical="center" wrapText="1"/>
    </xf>
    <xf numFmtId="0" fontId="112" fillId="19" borderId="0" xfId="0" applyFont="1" applyFill="1"/>
    <xf numFmtId="49" fontId="112" fillId="0" borderId="0" xfId="0" applyNumberFormat="1" applyFont="1"/>
    <xf numFmtId="49" fontId="112" fillId="0" borderId="0" xfId="0" quotePrefix="1" applyNumberFormat="1" applyFont="1"/>
    <xf numFmtId="0" fontId="144" fillId="21" borderId="59" xfId="0" applyFont="1" applyFill="1" applyBorder="1" applyAlignment="1">
      <alignment horizontal="center" vertical="center" wrapText="1"/>
    </xf>
    <xf numFmtId="0" fontId="144" fillId="21" borderId="60" xfId="0" applyFont="1" applyFill="1" applyBorder="1" applyAlignment="1">
      <alignment horizontal="center" vertical="center" wrapText="1"/>
    </xf>
    <xf numFmtId="0" fontId="144" fillId="21" borderId="0" xfId="0" applyFont="1" applyFill="1"/>
    <xf numFmtId="0" fontId="140" fillId="16" borderId="58" xfId="0" applyFont="1" applyFill="1" applyBorder="1" applyAlignment="1">
      <alignment horizontal="center" vertical="center" wrapText="1"/>
    </xf>
    <xf numFmtId="0" fontId="140" fillId="16" borderId="58" xfId="0" applyFont="1" applyFill="1" applyBorder="1" applyAlignment="1">
      <alignment vertical="center" wrapText="1"/>
    </xf>
    <xf numFmtId="0" fontId="0" fillId="16" borderId="58" xfId="0" applyFill="1" applyBorder="1" applyAlignment="1">
      <alignment vertical="top" wrapText="1"/>
    </xf>
    <xf numFmtId="0" fontId="112" fillId="3" borderId="1" xfId="0" applyFont="1" applyFill="1" applyBorder="1" applyAlignment="1">
      <alignment horizontal="center"/>
    </xf>
    <xf numFmtId="0" fontId="112" fillId="2" borderId="1" xfId="0" applyFont="1" applyFill="1" applyBorder="1" applyAlignment="1">
      <alignment horizontal="center"/>
    </xf>
    <xf numFmtId="0" fontId="17" fillId="20" borderId="0" xfId="0" applyFont="1" applyFill="1"/>
    <xf numFmtId="0" fontId="3" fillId="0" borderId="0" xfId="0" applyFont="1" applyFill="1" applyAlignment="1">
      <alignment shrinkToFit="1"/>
    </xf>
    <xf numFmtId="0" fontId="17" fillId="2" borderId="1" xfId="0" applyFont="1" applyFill="1" applyBorder="1" applyAlignment="1">
      <alignment horizontal="center"/>
    </xf>
    <xf numFmtId="0" fontId="112" fillId="3" borderId="1" xfId="0" applyFont="1" applyFill="1" applyBorder="1" applyAlignment="1">
      <alignment horizontal="center"/>
    </xf>
    <xf numFmtId="0" fontId="112" fillId="3" borderId="2" xfId="0" applyFont="1" applyFill="1" applyBorder="1" applyAlignment="1">
      <alignment horizontal="center"/>
    </xf>
    <xf numFmtId="0" fontId="112" fillId="2" borderId="1" xfId="0" applyFont="1" applyFill="1" applyBorder="1" applyAlignment="1">
      <alignment horizontal="center"/>
    </xf>
    <xf numFmtId="0" fontId="113" fillId="0" borderId="0" xfId="0" applyFont="1" applyBorder="1" applyAlignment="1"/>
    <xf numFmtId="0" fontId="113" fillId="0" borderId="0" xfId="0" applyFont="1"/>
    <xf numFmtId="0" fontId="112" fillId="0" borderId="0" xfId="0" applyFont="1"/>
    <xf numFmtId="0" fontId="113" fillId="0" borderId="0" xfId="0" applyFont="1"/>
    <xf numFmtId="0" fontId="17" fillId="0" borderId="1" xfId="0" applyFont="1" applyBorder="1" applyAlignment="1">
      <alignment horizontal="center"/>
    </xf>
    <xf numFmtId="0" fontId="0" fillId="0" borderId="0" xfId="0"/>
    <xf numFmtId="0" fontId="31" fillId="0" borderId="0" xfId="0" applyFont="1" applyAlignment="1">
      <alignment horizontal="center"/>
    </xf>
    <xf numFmtId="0" fontId="31" fillId="0" borderId="0" xfId="0" applyFont="1" applyAlignment="1">
      <alignment horizontal="right" shrinkToFit="1"/>
    </xf>
    <xf numFmtId="0" fontId="112" fillId="2" borderId="1" xfId="0" applyFont="1" applyFill="1" applyBorder="1" applyAlignment="1">
      <alignment horizontal="center"/>
    </xf>
    <xf numFmtId="0" fontId="0" fillId="0" borderId="7" xfId="0" applyBorder="1" applyAlignment="1"/>
    <xf numFmtId="0" fontId="0" fillId="0" borderId="21" xfId="0" applyBorder="1" applyAlignment="1"/>
    <xf numFmtId="0" fontId="31" fillId="0" borderId="4" xfId="3" quotePrefix="1" applyFont="1" applyBorder="1" applyAlignment="1">
      <alignment horizontal="left"/>
    </xf>
    <xf numFmtId="0" fontId="113" fillId="0" borderId="0" xfId="0" applyFont="1" applyBorder="1" applyAlignment="1"/>
    <xf numFmtId="0" fontId="24" fillId="0" borderId="0" xfId="0" applyFont="1"/>
    <xf numFmtId="0" fontId="145" fillId="13" borderId="66" xfId="0" applyFont="1" applyFill="1" applyBorder="1" applyAlignment="1">
      <alignment horizontal="center"/>
    </xf>
    <xf numFmtId="1" fontId="31" fillId="0" borderId="0" xfId="0" applyNumberFormat="1" applyFont="1" applyAlignment="1">
      <alignment horizontal="left"/>
    </xf>
    <xf numFmtId="0" fontId="24" fillId="0" borderId="4" xfId="0" applyFont="1" applyBorder="1" applyAlignment="1" applyProtection="1"/>
    <xf numFmtId="0" fontId="24" fillId="0" borderId="21" xfId="0" applyFont="1" applyBorder="1" applyAlignment="1">
      <alignment horizontal="center"/>
    </xf>
    <xf numFmtId="0" fontId="31" fillId="2" borderId="1" xfId="0" applyFont="1" applyFill="1" applyBorder="1" applyAlignment="1">
      <alignment horizontal="center" shrinkToFit="1"/>
    </xf>
    <xf numFmtId="1" fontId="24" fillId="0" borderId="7" xfId="0" applyNumberFormat="1" applyFont="1" applyBorder="1" applyAlignment="1">
      <alignment horizontal="center"/>
    </xf>
    <xf numFmtId="0" fontId="60" fillId="0" borderId="0" xfId="0" applyFont="1" applyAlignment="1"/>
    <xf numFmtId="0" fontId="31" fillId="0" borderId="0" xfId="0" applyFont="1" applyAlignment="1">
      <alignment textRotation="90" wrapText="1"/>
    </xf>
    <xf numFmtId="0" fontId="24" fillId="0" borderId="0" xfId="0" applyFont="1" applyAlignment="1">
      <alignment horizontal="center"/>
    </xf>
    <xf numFmtId="0" fontId="146" fillId="0" borderId="0" xfId="0" applyFont="1" applyAlignment="1">
      <alignment horizontal="left" textRotation="90" wrapText="1"/>
    </xf>
    <xf numFmtId="0" fontId="17" fillId="0" borderId="1" xfId="0" applyFont="1" applyBorder="1" applyAlignment="1">
      <alignment horizontal="center"/>
    </xf>
    <xf numFmtId="0" fontId="0" fillId="0" borderId="0" xfId="0"/>
    <xf numFmtId="0" fontId="17" fillId="0" borderId="1" xfId="0" applyFont="1" applyBorder="1" applyAlignment="1">
      <alignment horizontal="center"/>
    </xf>
    <xf numFmtId="0" fontId="0" fillId="0" borderId="0" xfId="0"/>
    <xf numFmtId="0" fontId="113" fillId="0" borderId="0" xfId="0" applyFont="1" applyAlignment="1">
      <alignment horizontal="center"/>
    </xf>
    <xf numFmtId="0" fontId="112" fillId="0" borderId="0" xfId="0" applyFont="1"/>
    <xf numFmtId="0" fontId="112" fillId="3" borderId="1" xfId="0" applyFont="1" applyFill="1" applyBorder="1" applyAlignment="1">
      <alignment horizontal="center"/>
    </xf>
    <xf numFmtId="0" fontId="112" fillId="0" borderId="0" xfId="0" applyFont="1"/>
    <xf numFmtId="1" fontId="112" fillId="2" borderId="4" xfId="0" applyNumberFormat="1" applyFont="1" applyFill="1" applyBorder="1" applyAlignment="1">
      <alignment horizontal="center"/>
    </xf>
    <xf numFmtId="0" fontId="0" fillId="0" borderId="0" xfId="0"/>
    <xf numFmtId="0" fontId="112" fillId="0" borderId="0" xfId="0" applyFont="1"/>
    <xf numFmtId="1" fontId="28" fillId="0" borderId="4" xfId="3" applyNumberFormat="1" applyFont="1" applyBorder="1" applyAlignment="1">
      <alignment horizontal="center"/>
    </xf>
    <xf numFmtId="0" fontId="28" fillId="0" borderId="1" xfId="3" applyFont="1" applyBorder="1" applyAlignment="1">
      <alignment horizontal="center"/>
    </xf>
    <xf numFmtId="1" fontId="28" fillId="0" borderId="1" xfId="3" applyNumberFormat="1" applyFont="1" applyBorder="1" applyAlignment="1">
      <alignment horizontal="center"/>
    </xf>
    <xf numFmtId="0" fontId="112" fillId="0" borderId="0" xfId="0" applyFont="1" applyAlignment="1">
      <alignment horizontal="right" shrinkToFit="1"/>
    </xf>
    <xf numFmtId="0" fontId="112" fillId="0" borderId="0" xfId="0" applyFont="1" applyAlignment="1">
      <alignment horizontal="center"/>
    </xf>
    <xf numFmtId="0" fontId="113" fillId="0" borderId="0" xfId="0" applyFont="1" applyAlignment="1">
      <alignment horizontal="center"/>
    </xf>
    <xf numFmtId="0" fontId="112" fillId="0" borderId="0" xfId="0" applyFont="1" applyAlignment="1">
      <alignment horizontal="left"/>
    </xf>
    <xf numFmtId="0" fontId="112" fillId="0" borderId="0" xfId="0" applyFont="1"/>
    <xf numFmtId="0" fontId="112" fillId="0" borderId="0" xfId="0" applyFont="1" applyAlignment="1">
      <alignment horizontal="right"/>
    </xf>
    <xf numFmtId="0" fontId="113" fillId="0" borderId="0" xfId="0" applyFont="1"/>
    <xf numFmtId="0" fontId="112" fillId="0" borderId="0" xfId="0" applyFont="1"/>
    <xf numFmtId="0" fontId="112" fillId="2" borderId="1" xfId="0" applyFont="1" applyFill="1" applyBorder="1" applyAlignment="1">
      <alignment horizontal="center"/>
    </xf>
    <xf numFmtId="0" fontId="112" fillId="3" borderId="1" xfId="0" applyFont="1" applyFill="1" applyBorder="1" applyAlignment="1">
      <alignment horizontal="center"/>
    </xf>
    <xf numFmtId="0" fontId="112" fillId="0" borderId="0" xfId="0" applyFont="1"/>
    <xf numFmtId="0" fontId="26" fillId="0" borderId="0" xfId="0" applyFont="1" applyAlignment="1">
      <alignment wrapText="1"/>
    </xf>
    <xf numFmtId="9" fontId="112" fillId="0" borderId="4" xfId="5" applyFont="1" applyBorder="1" applyAlignment="1">
      <alignment horizontal="center"/>
    </xf>
    <xf numFmtId="0" fontId="0" fillId="0" borderId="0" xfId="0"/>
    <xf numFmtId="0" fontId="24" fillId="0" borderId="17" xfId="0" applyFont="1" applyBorder="1" applyAlignment="1">
      <alignment vertical="center" wrapText="1"/>
    </xf>
    <xf numFmtId="0" fontId="19" fillId="3" borderId="5" xfId="0" applyFont="1" applyFill="1" applyBorder="1" applyAlignment="1">
      <alignment horizontal="center" wrapText="1"/>
    </xf>
    <xf numFmtId="0" fontId="112" fillId="2" borderId="1" xfId="0" applyFont="1" applyFill="1" applyBorder="1" applyAlignment="1">
      <alignment horizontal="center"/>
    </xf>
    <xf numFmtId="0" fontId="112" fillId="3" borderId="1" xfId="0" applyFont="1" applyFill="1" applyBorder="1" applyAlignment="1">
      <alignment horizontal="center"/>
    </xf>
    <xf numFmtId="0" fontId="112" fillId="3" borderId="1" xfId="0" applyFont="1" applyFill="1" applyBorder="1" applyAlignment="1">
      <alignment horizontal="center"/>
    </xf>
    <xf numFmtId="1" fontId="0" fillId="0" borderId="0" xfId="0" applyNumberFormat="1"/>
    <xf numFmtId="1" fontId="24" fillId="0" borderId="0" xfId="0" applyNumberFormat="1" applyFont="1" applyBorder="1" applyAlignment="1">
      <alignment horizontal="center"/>
    </xf>
    <xf numFmtId="0" fontId="31" fillId="0" borderId="0" xfId="0" applyFont="1"/>
    <xf numFmtId="0" fontId="31" fillId="0" borderId="0" xfId="0" applyFont="1" applyAlignment="1"/>
    <xf numFmtId="0" fontId="46" fillId="6" borderId="0" xfId="0" applyFont="1" applyFill="1" applyAlignment="1"/>
    <xf numFmtId="0" fontId="31" fillId="0" borderId="5" xfId="0" applyFont="1" applyBorder="1" applyAlignment="1"/>
    <xf numFmtId="0" fontId="31" fillId="2" borderId="1" xfId="0" applyFont="1" applyFill="1" applyBorder="1" applyAlignment="1">
      <alignment shrinkToFit="1"/>
    </xf>
    <xf numFmtId="0" fontId="26" fillId="0" borderId="0" xfId="0" applyFont="1" applyAlignment="1">
      <alignment horizontal="center"/>
    </xf>
    <xf numFmtId="0" fontId="26" fillId="0" borderId="0" xfId="0" applyFont="1" applyAlignment="1">
      <alignment horizontal="center" shrinkToFit="1"/>
    </xf>
    <xf numFmtId="0" fontId="149" fillId="0" borderId="0" xfId="0" applyFont="1" applyAlignment="1">
      <alignment shrinkToFit="1"/>
    </xf>
    <xf numFmtId="1" fontId="26" fillId="0" borderId="0" xfId="0" applyNumberFormat="1" applyFont="1" applyAlignment="1">
      <alignment horizontal="center" wrapText="1"/>
    </xf>
    <xf numFmtId="0" fontId="26" fillId="0" borderId="0" xfId="0" applyFont="1" applyAlignment="1">
      <alignment horizontal="center" wrapText="1"/>
    </xf>
    <xf numFmtId="0" fontId="26" fillId="0" borderId="0" xfId="0" applyFont="1" applyAlignment="1">
      <alignment shrinkToFit="1"/>
    </xf>
    <xf numFmtId="1" fontId="26" fillId="0" borderId="0" xfId="0" applyNumberFormat="1" applyFont="1" applyAlignment="1">
      <alignment horizontal="center"/>
    </xf>
    <xf numFmtId="0" fontId="31" fillId="0" borderId="0" xfId="0" applyFont="1" applyAlignment="1">
      <alignment horizontal="right"/>
    </xf>
    <xf numFmtId="0" fontId="150" fillId="0" borderId="0" xfId="0" applyFont="1" applyAlignment="1">
      <alignment horizontal="right" shrinkToFit="1"/>
    </xf>
    <xf numFmtId="1" fontId="31" fillId="0" borderId="0" xfId="0" applyNumberFormat="1" applyFont="1" applyAlignment="1">
      <alignment horizontal="center"/>
    </xf>
    <xf numFmtId="0" fontId="31" fillId="2" borderId="0" xfId="5" applyNumberFormat="1" applyFont="1" applyFill="1" applyAlignment="1" applyProtection="1">
      <alignment horizontal="center"/>
      <protection locked="0"/>
    </xf>
    <xf numFmtId="0" fontId="31" fillId="3" borderId="0" xfId="5" applyNumberFormat="1" applyFont="1" applyFill="1" applyAlignment="1" applyProtection="1">
      <alignment horizontal="center"/>
      <protection locked="0"/>
    </xf>
    <xf numFmtId="0" fontId="31" fillId="0" borderId="0" xfId="0" applyFont="1" applyAlignment="1">
      <alignment horizontal="center" shrinkToFit="1"/>
    </xf>
    <xf numFmtId="0" fontId="31" fillId="2" borderId="0" xfId="0" applyFont="1" applyFill="1" applyAlignment="1">
      <alignment horizontal="right" shrinkToFit="1"/>
    </xf>
    <xf numFmtId="0" fontId="31" fillId="3" borderId="0" xfId="5" applyNumberFormat="1" applyFont="1" applyFill="1" applyAlignment="1" applyProtection="1">
      <alignment horizontal="right"/>
      <protection locked="0"/>
    </xf>
    <xf numFmtId="9" fontId="31" fillId="23" borderId="0" xfId="5" applyFont="1" applyFill="1" applyAlignment="1">
      <alignment horizontal="right" shrinkToFit="1"/>
    </xf>
    <xf numFmtId="9" fontId="31" fillId="24" borderId="0" xfId="5" applyNumberFormat="1" applyFont="1" applyFill="1" applyAlignment="1">
      <alignment horizontal="right" shrinkToFit="1"/>
    </xf>
    <xf numFmtId="9" fontId="31" fillId="0" borderId="0" xfId="5" applyFont="1" applyAlignment="1">
      <alignment horizontal="right" shrinkToFit="1"/>
    </xf>
    <xf numFmtId="9" fontId="31" fillId="0" borderId="0" xfId="5" applyFont="1" applyFill="1" applyAlignment="1">
      <alignment horizontal="right" shrinkToFit="1"/>
    </xf>
    <xf numFmtId="9" fontId="31" fillId="22" borderId="0" xfId="0" applyNumberFormat="1" applyFont="1" applyFill="1" applyAlignment="1">
      <alignment horizontal="right" shrinkToFit="1"/>
    </xf>
    <xf numFmtId="0" fontId="31" fillId="0" borderId="0" xfId="0" applyFont="1" applyFill="1"/>
    <xf numFmtId="0" fontId="24" fillId="0" borderId="0" xfId="0" applyFont="1" applyFill="1"/>
    <xf numFmtId="0" fontId="31" fillId="0" borderId="0" xfId="0" applyFont="1" applyFill="1" applyAlignment="1">
      <alignment horizontal="right" shrinkToFit="1"/>
    </xf>
    <xf numFmtId="1" fontId="31" fillId="0" borderId="0" xfId="0" applyNumberFormat="1" applyFont="1" applyFill="1" applyAlignment="1">
      <alignment horizontal="center"/>
    </xf>
    <xf numFmtId="0" fontId="31" fillId="0" borderId="0" xfId="0" applyFont="1" applyFill="1" applyAlignment="1">
      <alignment horizontal="center"/>
    </xf>
    <xf numFmtId="0" fontId="31" fillId="0" borderId="0" xfId="0" applyFont="1" applyFill="1" applyAlignment="1">
      <alignment horizontal="right"/>
    </xf>
    <xf numFmtId="1" fontId="24" fillId="0" borderId="0" xfId="0" applyNumberFormat="1" applyFont="1" applyAlignment="1">
      <alignment horizontal="center"/>
    </xf>
    <xf numFmtId="0" fontId="24" fillId="0" borderId="0" xfId="0" applyFont="1" applyAlignment="1">
      <alignment shrinkToFit="1"/>
    </xf>
    <xf numFmtId="0" fontId="26" fillId="0" borderId="0" xfId="0" applyFont="1" applyAlignment="1">
      <alignment horizontal="right" shrinkToFit="1"/>
    </xf>
    <xf numFmtId="0" fontId="26" fillId="0" borderId="0" xfId="0" applyFont="1" applyAlignment="1">
      <alignment horizontal="right"/>
    </xf>
    <xf numFmtId="0" fontId="151" fillId="0" borderId="0" xfId="0" applyFont="1" applyAlignment="1">
      <alignment shrinkToFit="1"/>
    </xf>
    <xf numFmtId="1" fontId="151" fillId="0" borderId="0" xfId="0" applyNumberFormat="1" applyFont="1" applyAlignment="1">
      <alignment horizontal="center"/>
    </xf>
    <xf numFmtId="0" fontId="31" fillId="0" borderId="0" xfId="0" applyFont="1" applyAlignment="1">
      <alignment horizontal="left" shrinkToFit="1"/>
    </xf>
    <xf numFmtId="1" fontId="24" fillId="0" borderId="0" xfId="0" applyNumberFormat="1" applyFont="1"/>
    <xf numFmtId="0" fontId="150" fillId="0" borderId="0" xfId="0" applyFont="1" applyAlignment="1">
      <alignment shrinkToFit="1"/>
    </xf>
    <xf numFmtId="1" fontId="31" fillId="2" borderId="0" xfId="0" applyNumberFormat="1" applyFont="1" applyFill="1" applyBorder="1" applyAlignment="1">
      <alignment horizontal="center"/>
    </xf>
    <xf numFmtId="1" fontId="31" fillId="0" borderId="0" xfId="0" applyNumberFormat="1" applyFont="1" applyBorder="1" applyAlignment="1">
      <alignment horizontal="center"/>
    </xf>
    <xf numFmtId="0" fontId="150" fillId="0" borderId="0" xfId="0" applyFont="1" applyFill="1" applyBorder="1" applyAlignment="1">
      <alignment horizontal="left" shrinkToFit="1"/>
    </xf>
    <xf numFmtId="0" fontId="150" fillId="0" borderId="0" xfId="0" applyFont="1" applyAlignment="1">
      <alignment horizontal="left" shrinkToFit="1"/>
    </xf>
    <xf numFmtId="0" fontId="151" fillId="0" borderId="0" xfId="0" applyFont="1" applyAlignment="1">
      <alignment horizontal="left" shrinkToFit="1"/>
    </xf>
    <xf numFmtId="1" fontId="31" fillId="0" borderId="0" xfId="0" applyNumberFormat="1" applyFont="1"/>
    <xf numFmtId="0" fontId="152" fillId="0" borderId="0" xfId="0" applyFont="1" applyAlignment="1">
      <alignment horizontal="left" shrinkToFit="1"/>
    </xf>
    <xf numFmtId="0" fontId="31" fillId="0" borderId="0" xfId="5" applyNumberFormat="1" applyFont="1" applyFill="1" applyAlignment="1" applyProtection="1">
      <protection locked="0"/>
    </xf>
    <xf numFmtId="0" fontId="31" fillId="0" borderId="0" xfId="0" applyFont="1" applyBorder="1" applyAlignment="1">
      <alignment horizontal="right"/>
    </xf>
    <xf numFmtId="1" fontId="31" fillId="0" borderId="0" xfId="0" applyNumberFormat="1" applyFont="1" applyAlignment="1">
      <alignment horizontal="right" shrinkToFit="1"/>
    </xf>
    <xf numFmtId="9" fontId="31" fillId="24" borderId="0" xfId="5" applyFont="1" applyFill="1" applyAlignment="1">
      <alignment horizontal="right" shrinkToFit="1"/>
    </xf>
    <xf numFmtId="1" fontId="31" fillId="2" borderId="1" xfId="0" applyNumberFormat="1" applyFont="1" applyFill="1" applyBorder="1" applyAlignment="1">
      <alignment horizontal="center"/>
    </xf>
    <xf numFmtId="0" fontId="24" fillId="0" borderId="0" xfId="0" applyFont="1" applyBorder="1" applyAlignment="1">
      <alignment horizontal="center"/>
    </xf>
    <xf numFmtId="1" fontId="31" fillId="2" borderId="2" xfId="0" applyNumberFormat="1" applyFont="1" applyFill="1" applyBorder="1" applyAlignment="1">
      <alignment horizontal="center"/>
    </xf>
    <xf numFmtId="0" fontId="31" fillId="0" borderId="0" xfId="0" applyFont="1" applyAlignment="1">
      <alignment shrinkToFit="1"/>
    </xf>
    <xf numFmtId="1" fontId="150" fillId="0" borderId="0" xfId="0" applyNumberFormat="1" applyFont="1" applyAlignment="1">
      <alignment horizontal="center"/>
    </xf>
    <xf numFmtId="0" fontId="150" fillId="0" borderId="0" xfId="0" applyFont="1"/>
    <xf numFmtId="0" fontId="153" fillId="0" borderId="0" xfId="0" applyFont="1"/>
    <xf numFmtId="0" fontId="154" fillId="0" borderId="0" xfId="0" applyFont="1" applyAlignment="1">
      <alignment horizontal="left" shrinkToFit="1"/>
    </xf>
    <xf numFmtId="0" fontId="152" fillId="0" borderId="0" xfId="0" applyFont="1" applyAlignment="1">
      <alignment horizontal="right" shrinkToFit="1"/>
    </xf>
    <xf numFmtId="0" fontId="155" fillId="0" borderId="0" xfId="0" applyFont="1" applyAlignment="1">
      <alignment horizontal="left"/>
    </xf>
    <xf numFmtId="0" fontId="155" fillId="0" borderId="0" xfId="0" applyFont="1" applyAlignment="1">
      <alignment horizontal="center"/>
    </xf>
    <xf numFmtId="0" fontId="149" fillId="0" borderId="0" xfId="0" applyFont="1" applyAlignment="1">
      <alignment horizontal="left" shrinkToFit="1"/>
    </xf>
    <xf numFmtId="0" fontId="154" fillId="0" borderId="0" xfId="0" applyFont="1" applyAlignment="1">
      <alignment shrinkToFit="1"/>
    </xf>
    <xf numFmtId="0" fontId="156" fillId="0" borderId="0" xfId="0" applyFont="1" applyAlignment="1">
      <alignment horizontal="center" shrinkToFit="1"/>
    </xf>
    <xf numFmtId="0" fontId="157" fillId="0" borderId="0" xfId="0" applyFont="1" applyAlignment="1">
      <alignment horizontal="center" shrinkToFit="1"/>
    </xf>
    <xf numFmtId="0" fontId="150" fillId="0" borderId="0" xfId="0" applyFont="1" applyAlignment="1">
      <alignment horizontal="left"/>
    </xf>
    <xf numFmtId="0" fontId="31" fillId="2" borderId="0" xfId="5" applyNumberFormat="1" applyFont="1" applyFill="1" applyAlignment="1" applyProtection="1">
      <alignment horizontal="center"/>
    </xf>
    <xf numFmtId="0" fontId="150" fillId="0" borderId="0" xfId="0" applyFont="1" applyAlignment="1">
      <alignment horizontal="right"/>
    </xf>
    <xf numFmtId="0" fontId="157" fillId="0" borderId="0" xfId="0" applyFont="1" applyAlignment="1">
      <alignment horizontal="left"/>
    </xf>
    <xf numFmtId="0" fontId="24" fillId="0" borderId="0" xfId="0" applyFont="1" applyAlignment="1" applyProtection="1">
      <alignment horizontal="center"/>
    </xf>
    <xf numFmtId="1" fontId="31" fillId="3" borderId="3" xfId="5" applyNumberFormat="1" applyFont="1" applyFill="1" applyBorder="1" applyAlignment="1" applyProtection="1">
      <alignment horizontal="center"/>
      <protection locked="0"/>
    </xf>
    <xf numFmtId="0" fontId="24" fillId="23" borderId="0" xfId="0" applyFont="1" applyFill="1"/>
    <xf numFmtId="0" fontId="156" fillId="0" borderId="0" xfId="0" applyFont="1" applyAlignment="1">
      <alignment horizontal="left" shrinkToFit="1"/>
    </xf>
    <xf numFmtId="0" fontId="158" fillId="0" borderId="0" xfId="0" applyFont="1"/>
    <xf numFmtId="0" fontId="154" fillId="0" borderId="0" xfId="0" applyFont="1"/>
    <xf numFmtId="0" fontId="24" fillId="0" borderId="160" xfId="0" applyFont="1" applyBorder="1"/>
    <xf numFmtId="0" fontId="24" fillId="0" borderId="160" xfId="0" applyFont="1" applyBorder="1" applyAlignment="1">
      <alignment horizontal="center"/>
    </xf>
    <xf numFmtId="0" fontId="24" fillId="0" borderId="160" xfId="0" applyFont="1" applyFill="1" applyBorder="1"/>
    <xf numFmtId="0" fontId="153" fillId="0" borderId="161" xfId="0" applyFont="1" applyBorder="1"/>
    <xf numFmtId="1" fontId="31" fillId="0" borderId="162" xfId="0" applyNumberFormat="1" applyFont="1" applyBorder="1" applyAlignment="1">
      <alignment horizontal="center"/>
    </xf>
    <xf numFmtId="0" fontId="31" fillId="2" borderId="162" xfId="5" applyNumberFormat="1" applyFont="1" applyFill="1" applyBorder="1" applyAlignment="1" applyProtection="1">
      <alignment horizontal="center"/>
      <protection locked="0"/>
    </xf>
    <xf numFmtId="0" fontId="31" fillId="3" borderId="162" xfId="5" applyNumberFormat="1" applyFont="1" applyFill="1" applyBorder="1" applyAlignment="1" applyProtection="1">
      <alignment horizontal="center"/>
      <protection locked="0"/>
    </xf>
    <xf numFmtId="0" fontId="31" fillId="0" borderId="162" xfId="0" applyFont="1" applyBorder="1" applyAlignment="1">
      <alignment horizontal="right" shrinkToFit="1"/>
    </xf>
    <xf numFmtId="0" fontId="31" fillId="0" borderId="162" xfId="0" quotePrefix="1" applyFont="1" applyBorder="1" applyAlignment="1">
      <alignment horizontal="right" shrinkToFit="1"/>
    </xf>
    <xf numFmtId="0" fontId="31" fillId="0" borderId="162" xfId="0" applyFont="1" applyBorder="1" applyAlignment="1">
      <alignment horizontal="center"/>
    </xf>
    <xf numFmtId="9" fontId="31" fillId="22" borderId="162" xfId="0" applyNumberFormat="1" applyFont="1" applyFill="1" applyBorder="1" applyAlignment="1">
      <alignment horizontal="right" shrinkToFit="1"/>
    </xf>
    <xf numFmtId="0" fontId="31" fillId="3" borderId="162" xfId="5" applyNumberFormat="1" applyFont="1" applyFill="1" applyBorder="1" applyAlignment="1" applyProtection="1">
      <alignment horizontal="right"/>
      <protection locked="0"/>
    </xf>
    <xf numFmtId="9" fontId="31" fillId="23" borderId="162" xfId="5" applyFont="1" applyFill="1" applyBorder="1" applyAlignment="1">
      <alignment horizontal="right" shrinkToFit="1"/>
    </xf>
    <xf numFmtId="9" fontId="31" fillId="24" borderId="162" xfId="5" applyNumberFormat="1" applyFont="1" applyFill="1" applyBorder="1" applyAlignment="1">
      <alignment horizontal="right" shrinkToFit="1"/>
    </xf>
    <xf numFmtId="9" fontId="31" fillId="0" borderId="162" xfId="5" applyFont="1" applyBorder="1" applyAlignment="1">
      <alignment horizontal="right" shrinkToFit="1"/>
    </xf>
    <xf numFmtId="9" fontId="31" fillId="0" borderId="162" xfId="5" applyFont="1" applyFill="1" applyBorder="1" applyAlignment="1">
      <alignment horizontal="right" shrinkToFit="1"/>
    </xf>
    <xf numFmtId="0" fontId="31" fillId="0" borderId="162" xfId="0" applyFont="1" applyBorder="1" applyAlignment="1">
      <alignment horizontal="right"/>
    </xf>
    <xf numFmtId="0" fontId="31" fillId="0" borderId="162" xfId="0" applyFont="1" applyBorder="1"/>
    <xf numFmtId="0" fontId="34" fillId="0" borderId="0" xfId="0" applyFont="1" applyAlignment="1"/>
    <xf numFmtId="0" fontId="0" fillId="0" borderId="0" xfId="0" applyAlignment="1"/>
    <xf numFmtId="0" fontId="18" fillId="0" borderId="78" xfId="0" applyFont="1" applyBorder="1" applyAlignment="1">
      <alignment vertical="center"/>
    </xf>
    <xf numFmtId="0" fontId="0" fillId="0" borderId="79" xfId="0" applyBorder="1" applyAlignment="1">
      <alignment vertical="center"/>
    </xf>
    <xf numFmtId="0" fontId="0" fillId="0" borderId="80" xfId="0" applyBorder="1" applyAlignment="1">
      <alignment vertical="center"/>
    </xf>
    <xf numFmtId="170" fontId="13" fillId="0" borderId="0" xfId="0" applyNumberFormat="1" applyFont="1" applyAlignment="1"/>
    <xf numFmtId="0" fontId="41" fillId="6" borderId="0" xfId="0" applyFont="1" applyFill="1" applyAlignment="1">
      <alignment horizontal="left"/>
    </xf>
    <xf numFmtId="0" fontId="0" fillId="0" borderId="0" xfId="0" applyAlignment="1">
      <alignment horizontal="left"/>
    </xf>
    <xf numFmtId="0" fontId="3" fillId="0" borderId="0" xfId="0" applyFont="1" applyAlignment="1"/>
    <xf numFmtId="0" fontId="75" fillId="0" borderId="73" xfId="0" applyFont="1" applyBorder="1" applyAlignment="1">
      <alignment vertical="center"/>
    </xf>
    <xf numFmtId="0" fontId="0" fillId="0" borderId="74" xfId="0" applyBorder="1" applyAlignment="1">
      <alignment vertical="center"/>
    </xf>
    <xf numFmtId="0" fontId="0" fillId="0" borderId="75" xfId="0" applyBorder="1" applyAlignment="1">
      <alignment vertical="center"/>
    </xf>
    <xf numFmtId="0" fontId="76" fillId="0" borderId="76" xfId="0" applyFont="1" applyBorder="1" applyAlignment="1">
      <alignment vertical="center"/>
    </xf>
    <xf numFmtId="0" fontId="0" fillId="0" borderId="0" xfId="0" applyBorder="1" applyAlignment="1">
      <alignment vertical="center"/>
    </xf>
    <xf numFmtId="0" fontId="0" fillId="0" borderId="77" xfId="0" applyBorder="1" applyAlignment="1">
      <alignment vertical="center"/>
    </xf>
    <xf numFmtId="0" fontId="77" fillId="0" borderId="76" xfId="0" applyFont="1" applyBorder="1" applyAlignment="1">
      <alignment vertical="center"/>
    </xf>
    <xf numFmtId="0" fontId="4" fillId="0" borderId="76" xfId="0" applyFont="1" applyBorder="1" applyAlignment="1">
      <alignment vertical="center"/>
    </xf>
    <xf numFmtId="0" fontId="3" fillId="0" borderId="0" xfId="0" applyFont="1" applyBorder="1" applyAlignment="1">
      <alignment vertical="center"/>
    </xf>
    <xf numFmtId="0" fontId="3" fillId="0" borderId="77" xfId="0" applyFont="1" applyBorder="1" applyAlignment="1">
      <alignment vertical="center"/>
    </xf>
    <xf numFmtId="0" fontId="35" fillId="12" borderId="0" xfId="0" applyFont="1" applyFill="1" applyAlignment="1"/>
    <xf numFmtId="0" fontId="87" fillId="10" borderId="0" xfId="0" applyFont="1" applyFill="1" applyAlignment="1">
      <alignment horizontal="left"/>
    </xf>
    <xf numFmtId="170" fontId="13" fillId="0" borderId="0" xfId="0" applyNumberFormat="1" applyFont="1" applyAlignment="1">
      <alignment horizontal="right"/>
    </xf>
    <xf numFmtId="0" fontId="3" fillId="0" borderId="0" xfId="0" applyFont="1" applyAlignment="1">
      <alignment vertical="center" shrinkToFit="1"/>
    </xf>
    <xf numFmtId="0" fontId="0" fillId="0" borderId="0" xfId="0" applyAlignment="1">
      <alignment vertical="center"/>
    </xf>
    <xf numFmtId="0" fontId="3" fillId="0" borderId="63" xfId="0" applyFont="1" applyBorder="1" applyAlignment="1">
      <alignment vertical="center" shrinkToFit="1"/>
    </xf>
    <xf numFmtId="0" fontId="0" fillId="0" borderId="63" xfId="0" applyBorder="1" applyAlignment="1">
      <alignment vertical="center"/>
    </xf>
    <xf numFmtId="0" fontId="0" fillId="0" borderId="63" xfId="0" applyBorder="1" applyAlignment="1"/>
    <xf numFmtId="0" fontId="117" fillId="0" borderId="1" xfId="0" applyFont="1" applyBorder="1" applyAlignment="1">
      <alignment horizontal="center" wrapText="1"/>
    </xf>
    <xf numFmtId="0" fontId="113" fillId="0" borderId="1" xfId="0" applyFont="1" applyBorder="1" applyAlignment="1">
      <alignment wrapText="1"/>
    </xf>
    <xf numFmtId="0" fontId="117" fillId="2" borderId="1" xfId="0" applyFont="1" applyFill="1" applyBorder="1" applyAlignment="1">
      <alignment horizontal="center" shrinkToFit="1"/>
    </xf>
    <xf numFmtId="0" fontId="112" fillId="0" borderId="1" xfId="0" applyFont="1" applyBorder="1" applyAlignment="1">
      <alignment shrinkToFit="1"/>
    </xf>
    <xf numFmtId="0" fontId="117" fillId="0" borderId="0" xfId="0" applyFont="1" applyBorder="1" applyAlignment="1">
      <alignment horizontal="right"/>
    </xf>
    <xf numFmtId="0" fontId="113" fillId="0" borderId="8" xfId="0" applyFont="1" applyBorder="1" applyAlignment="1"/>
    <xf numFmtId="0" fontId="112" fillId="0" borderId="0" xfId="0" applyFont="1" applyAlignment="1"/>
    <xf numFmtId="0" fontId="112" fillId="0" borderId="8" xfId="0" applyFont="1" applyBorder="1" applyAlignment="1"/>
    <xf numFmtId="0" fontId="117" fillId="0" borderId="1" xfId="0" applyFont="1" applyBorder="1" applyAlignment="1">
      <alignment horizontal="center"/>
    </xf>
    <xf numFmtId="0" fontId="112" fillId="0" borderId="1" xfId="0" applyFont="1" applyBorder="1" applyAlignment="1"/>
    <xf numFmtId="0" fontId="117" fillId="0" borderId="4" xfId="0" applyFont="1" applyBorder="1" applyAlignment="1">
      <alignment horizontal="center"/>
    </xf>
    <xf numFmtId="0" fontId="112" fillId="0" borderId="21" xfId="0" applyFont="1" applyBorder="1" applyAlignment="1">
      <alignment horizontal="center"/>
    </xf>
    <xf numFmtId="0" fontId="112" fillId="0" borderId="7" xfId="0" applyFont="1" applyBorder="1" applyAlignment="1">
      <alignment horizontal="center"/>
    </xf>
    <xf numFmtId="0" fontId="112" fillId="2" borderId="1" xfId="0" applyFont="1" applyFill="1" applyBorder="1" applyAlignment="1"/>
    <xf numFmtId="0" fontId="112" fillId="2" borderId="1" xfId="0" applyFont="1" applyFill="1" applyBorder="1" applyAlignment="1">
      <alignment shrinkToFit="1"/>
    </xf>
    <xf numFmtId="0" fontId="113" fillId="0" borderId="1" xfId="0" applyFont="1" applyBorder="1" applyAlignment="1"/>
    <xf numFmtId="9" fontId="112" fillId="2" borderId="4" xfId="5" applyFont="1" applyFill="1" applyBorder="1" applyAlignment="1">
      <alignment horizontal="center"/>
    </xf>
    <xf numFmtId="9" fontId="112" fillId="2" borderId="21" xfId="5" applyFont="1" applyFill="1" applyBorder="1" applyAlignment="1">
      <alignment horizontal="center"/>
    </xf>
    <xf numFmtId="9" fontId="112" fillId="2" borderId="7" xfId="5" applyFont="1" applyFill="1" applyBorder="1" applyAlignment="1">
      <alignment horizontal="center"/>
    </xf>
    <xf numFmtId="0" fontId="113" fillId="0" borderId="5" xfId="0" applyFont="1" applyBorder="1" applyAlignment="1"/>
    <xf numFmtId="0" fontId="113" fillId="0" borderId="0" xfId="0" applyFont="1" applyAlignment="1"/>
    <xf numFmtId="0" fontId="114" fillId="6" borderId="0" xfId="0" applyFont="1" applyFill="1" applyAlignment="1"/>
    <xf numFmtId="0" fontId="125" fillId="6" borderId="0" xfId="0" applyFont="1" applyFill="1" applyAlignment="1"/>
    <xf numFmtId="0" fontId="112" fillId="3" borderId="5" xfId="0" applyFont="1" applyFill="1" applyBorder="1" applyAlignment="1">
      <alignment horizontal="left"/>
    </xf>
    <xf numFmtId="0" fontId="112" fillId="0" borderId="0" xfId="0" applyFont="1" applyBorder="1" applyAlignment="1">
      <alignment horizontal="left"/>
    </xf>
    <xf numFmtId="0" fontId="117" fillId="0" borderId="0" xfId="0" applyFont="1" applyBorder="1" applyAlignment="1">
      <alignment horizontal="center"/>
    </xf>
    <xf numFmtId="0" fontId="112" fillId="0" borderId="16" xfId="0" applyFont="1" applyBorder="1" applyAlignment="1">
      <alignment horizontal="left" wrapText="1"/>
    </xf>
    <xf numFmtId="0" fontId="112" fillId="0" borderId="17" xfId="0" applyFont="1" applyBorder="1" applyAlignment="1">
      <alignment horizontal="left" wrapText="1"/>
    </xf>
    <xf numFmtId="0" fontId="112" fillId="0" borderId="19" xfId="0" applyFont="1" applyBorder="1" applyAlignment="1"/>
    <xf numFmtId="0" fontId="112" fillId="0" borderId="5" xfId="0" applyFont="1" applyBorder="1" applyAlignment="1">
      <alignment horizontal="left" wrapText="1"/>
    </xf>
    <xf numFmtId="0" fontId="112" fillId="0" borderId="0" xfId="0" applyFont="1" applyBorder="1" applyAlignment="1">
      <alignment horizontal="left" wrapText="1"/>
    </xf>
    <xf numFmtId="0" fontId="112" fillId="0" borderId="18" xfId="0" applyFont="1" applyBorder="1" applyAlignment="1"/>
    <xf numFmtId="0" fontId="112" fillId="0" borderId="6" xfId="0" applyFont="1" applyBorder="1" applyAlignment="1"/>
    <xf numFmtId="0" fontId="112" fillId="0" borderId="20" xfId="0" applyFont="1" applyBorder="1" applyAlignment="1"/>
    <xf numFmtId="0" fontId="112" fillId="3" borderId="16" xfId="0" applyFont="1" applyFill="1" applyBorder="1" applyAlignment="1"/>
    <xf numFmtId="0" fontId="112" fillId="3" borderId="17" xfId="0" applyFont="1" applyFill="1" applyBorder="1" applyAlignment="1"/>
    <xf numFmtId="0" fontId="112" fillId="0" borderId="17" xfId="0" applyFont="1" applyBorder="1" applyAlignment="1"/>
    <xf numFmtId="0" fontId="117" fillId="2" borderId="1" xfId="0" applyFont="1" applyFill="1" applyBorder="1" applyAlignment="1">
      <alignment horizontal="center"/>
    </xf>
    <xf numFmtId="0" fontId="112" fillId="0" borderId="1" xfId="0" applyFont="1" applyBorder="1" applyAlignment="1">
      <alignment horizontal="center"/>
    </xf>
    <xf numFmtId="0" fontId="117" fillId="0" borderId="0" xfId="0" applyFont="1" applyBorder="1" applyAlignment="1">
      <alignment horizontal="left" shrinkToFit="1"/>
    </xf>
    <xf numFmtId="0" fontId="113" fillId="0" borderId="0" xfId="0" applyFont="1" applyAlignment="1">
      <alignment shrinkToFit="1"/>
    </xf>
    <xf numFmtId="0" fontId="117" fillId="0" borderId="5" xfId="0" applyFont="1" applyBorder="1" applyAlignment="1">
      <alignment vertical="center"/>
    </xf>
    <xf numFmtId="0" fontId="113" fillId="0" borderId="154" xfId="0" applyFont="1" applyBorder="1" applyAlignment="1"/>
    <xf numFmtId="0" fontId="117" fillId="0" borderId="0" xfId="0" applyFont="1" applyAlignment="1">
      <alignment shrinkToFit="1"/>
    </xf>
    <xf numFmtId="0" fontId="117" fillId="0" borderId="1" xfId="0" applyFont="1" applyBorder="1" applyAlignment="1"/>
    <xf numFmtId="0" fontId="112" fillId="2" borderId="1" xfId="0" applyFont="1" applyFill="1" applyBorder="1" applyAlignment="1">
      <alignment horizontal="center"/>
    </xf>
    <xf numFmtId="0" fontId="113" fillId="0" borderId="1" xfId="0" applyFont="1" applyBorder="1" applyAlignment="1">
      <alignment horizontal="center"/>
    </xf>
    <xf numFmtId="0" fontId="116" fillId="0" borderId="0" xfId="0" applyFont="1" applyAlignment="1">
      <alignment horizontal="right" shrinkToFit="1"/>
    </xf>
    <xf numFmtId="0" fontId="113" fillId="0" borderId="8" xfId="0" applyFont="1" applyBorder="1" applyAlignment="1">
      <alignment shrinkToFit="1"/>
    </xf>
    <xf numFmtId="0" fontId="112" fillId="2" borderId="4" xfId="0" applyNumberFormat="1" applyFont="1" applyFill="1" applyBorder="1" applyAlignment="1">
      <alignment horizontal="left"/>
    </xf>
    <xf numFmtId="0" fontId="112" fillId="0" borderId="21" xfId="0" applyFont="1" applyBorder="1" applyAlignment="1"/>
    <xf numFmtId="0" fontId="113" fillId="0" borderId="7" xfId="0" applyFont="1" applyBorder="1" applyAlignment="1"/>
    <xf numFmtId="0" fontId="117" fillId="0" borderId="4" xfId="0" applyFont="1" applyBorder="1" applyAlignment="1"/>
    <xf numFmtId="9" fontId="112" fillId="2" borderId="4" xfId="5" applyFont="1" applyFill="1" applyBorder="1" applyAlignment="1">
      <alignment horizontal="left"/>
    </xf>
    <xf numFmtId="0" fontId="112" fillId="0" borderId="7" xfId="0" applyFont="1" applyBorder="1" applyAlignment="1"/>
    <xf numFmtId="0" fontId="117" fillId="0" borderId="16" xfId="0" applyFont="1" applyBorder="1" applyAlignment="1">
      <alignment wrapText="1"/>
    </xf>
    <xf numFmtId="0" fontId="112" fillId="0" borderId="17" xfId="0" applyFont="1" applyBorder="1" applyAlignment="1">
      <alignment wrapText="1"/>
    </xf>
    <xf numFmtId="0" fontId="113" fillId="0" borderId="19" xfId="0" applyFont="1" applyBorder="1" applyAlignment="1">
      <alignment wrapText="1"/>
    </xf>
    <xf numFmtId="0" fontId="112" fillId="0" borderId="18" xfId="0" applyFont="1" applyBorder="1" applyAlignment="1">
      <alignment wrapText="1"/>
    </xf>
    <xf numFmtId="0" fontId="112" fillId="0" borderId="6" xfId="0" applyFont="1" applyBorder="1" applyAlignment="1">
      <alignment wrapText="1"/>
    </xf>
    <xf numFmtId="0" fontId="113" fillId="0" borderId="20" xfId="0" applyFont="1" applyBorder="1" applyAlignment="1">
      <alignment wrapText="1"/>
    </xf>
    <xf numFmtId="0" fontId="116" fillId="0" borderId="4" xfId="0" applyFont="1" applyBorder="1" applyAlignment="1">
      <alignment wrapText="1"/>
    </xf>
    <xf numFmtId="0" fontId="126" fillId="0" borderId="21" xfId="0" applyFont="1" applyBorder="1" applyAlignment="1">
      <alignment wrapText="1"/>
    </xf>
    <xf numFmtId="0" fontId="113" fillId="0" borderId="7" xfId="0" applyFont="1" applyBorder="1" applyAlignment="1">
      <alignment wrapText="1"/>
    </xf>
    <xf numFmtId="1" fontId="117" fillId="2" borderId="4" xfId="0" applyNumberFormat="1" applyFont="1" applyFill="1" applyBorder="1" applyAlignment="1">
      <alignment horizontal="center"/>
    </xf>
    <xf numFmtId="0" fontId="117" fillId="0" borderId="4" xfId="0" applyFont="1" applyBorder="1" applyAlignment="1">
      <alignment horizontal="left"/>
    </xf>
    <xf numFmtId="165" fontId="112" fillId="2" borderId="4" xfId="0" applyNumberFormat="1" applyFont="1" applyFill="1" applyBorder="1" applyAlignment="1" applyProtection="1">
      <alignment horizontal="center"/>
      <protection locked="0"/>
    </xf>
    <xf numFmtId="165" fontId="112" fillId="2" borderId="7" xfId="0" applyNumberFormat="1" applyFont="1" applyFill="1" applyBorder="1" applyAlignment="1" applyProtection="1">
      <alignment horizontal="center"/>
      <protection locked="0"/>
    </xf>
    <xf numFmtId="0" fontId="112" fillId="3" borderId="2" xfId="0" quotePrefix="1" applyFont="1" applyFill="1" applyBorder="1" applyAlignment="1">
      <alignment horizontal="center" vertical="center"/>
    </xf>
    <xf numFmtId="0" fontId="113" fillId="0" borderId="3" xfId="0" applyFont="1" applyBorder="1" applyAlignment="1"/>
    <xf numFmtId="0" fontId="112" fillId="2" borderId="16" xfId="0" applyFont="1" applyFill="1" applyBorder="1" applyAlignment="1">
      <alignment horizontal="center" vertical="center" wrapText="1"/>
    </xf>
    <xf numFmtId="0" fontId="113" fillId="0" borderId="17" xfId="0" applyFont="1" applyBorder="1" applyAlignment="1">
      <alignment wrapText="1"/>
    </xf>
    <xf numFmtId="0" fontId="113" fillId="0" borderId="18" xfId="0" applyFont="1" applyBorder="1" applyAlignment="1">
      <alignment wrapText="1"/>
    </xf>
    <xf numFmtId="0" fontId="113" fillId="0" borderId="6" xfId="0" applyFont="1" applyBorder="1" applyAlignment="1">
      <alignment wrapText="1"/>
    </xf>
    <xf numFmtId="0" fontId="112" fillId="2" borderId="2" xfId="0" applyFont="1" applyFill="1" applyBorder="1" applyAlignment="1">
      <alignment horizontal="center" vertical="center" wrapText="1"/>
    </xf>
    <xf numFmtId="0" fontId="113" fillId="0" borderId="3" xfId="0" applyFont="1" applyBorder="1" applyAlignment="1">
      <alignment wrapText="1"/>
    </xf>
    <xf numFmtId="0" fontId="117" fillId="0" borderId="1" xfId="0" applyFont="1" applyBorder="1" applyAlignment="1">
      <alignment shrinkToFit="1"/>
    </xf>
    <xf numFmtId="0" fontId="112" fillId="3" borderId="1" xfId="0" applyFont="1" applyFill="1" applyBorder="1" applyAlignment="1">
      <alignment horizontal="center"/>
    </xf>
    <xf numFmtId="0" fontId="117" fillId="0" borderId="4" xfId="0" applyFont="1" applyBorder="1" applyAlignment="1">
      <alignment wrapText="1"/>
    </xf>
    <xf numFmtId="0" fontId="113" fillId="0" borderId="21" xfId="0" applyFont="1" applyBorder="1" applyAlignment="1">
      <alignment wrapText="1"/>
    </xf>
    <xf numFmtId="0" fontId="112" fillId="3" borderId="1" xfId="0" quotePrefix="1" applyFont="1" applyFill="1" applyBorder="1" applyAlignment="1">
      <alignment horizontal="center"/>
    </xf>
    <xf numFmtId="0" fontId="112" fillId="2" borderId="4" xfId="0" applyFont="1" applyFill="1" applyBorder="1" applyAlignment="1">
      <alignment horizontal="center" shrinkToFit="1"/>
    </xf>
    <xf numFmtId="0" fontId="113" fillId="0" borderId="21" xfId="0" applyFont="1" applyBorder="1" applyAlignment="1">
      <alignment horizontal="center"/>
    </xf>
    <xf numFmtId="0" fontId="113" fillId="0" borderId="7" xfId="0" applyFont="1" applyBorder="1" applyAlignment="1">
      <alignment horizontal="center"/>
    </xf>
    <xf numFmtId="0" fontId="112" fillId="3" borderId="2" xfId="0" applyFont="1" applyFill="1" applyBorder="1" applyAlignment="1">
      <alignment horizontal="center"/>
    </xf>
    <xf numFmtId="0" fontId="112" fillId="0" borderId="3" xfId="0" applyFont="1" applyBorder="1" applyAlignment="1">
      <alignment horizontal="center"/>
    </xf>
    <xf numFmtId="0" fontId="112" fillId="2" borderId="2" xfId="0" applyFont="1" applyFill="1" applyBorder="1" applyAlignment="1">
      <alignment horizontal="center"/>
    </xf>
    <xf numFmtId="0" fontId="112" fillId="2" borderId="3" xfId="0" applyFont="1" applyFill="1" applyBorder="1" applyAlignment="1">
      <alignment horizontal="center"/>
    </xf>
    <xf numFmtId="0" fontId="116" fillId="0" borderId="5" xfId="0" applyFont="1" applyBorder="1" applyAlignment="1">
      <alignment horizontal="right"/>
    </xf>
    <xf numFmtId="0" fontId="126" fillId="0" borderId="8" xfId="0" applyFont="1" applyBorder="1" applyAlignment="1">
      <alignment horizontal="right"/>
    </xf>
    <xf numFmtId="0" fontId="112" fillId="0" borderId="0" xfId="0" applyFont="1" applyAlignment="1">
      <alignment shrinkToFit="1"/>
    </xf>
    <xf numFmtId="0" fontId="119" fillId="6" borderId="4" xfId="0" applyFont="1" applyFill="1" applyBorder="1" applyAlignment="1"/>
    <xf numFmtId="0" fontId="119" fillId="6" borderId="7" xfId="0" applyFont="1" applyFill="1" applyBorder="1" applyAlignment="1"/>
    <xf numFmtId="0" fontId="112" fillId="3" borderId="1" xfId="0" applyFont="1" applyFill="1" applyBorder="1" applyAlignment="1"/>
    <xf numFmtId="16" fontId="112" fillId="3" borderId="1" xfId="0" applyNumberFormat="1" applyFont="1" applyFill="1" applyBorder="1" applyAlignment="1">
      <alignment horizontal="right"/>
    </xf>
    <xf numFmtId="0" fontId="0" fillId="0" borderId="7" xfId="0" applyBorder="1" applyAlignment="1"/>
    <xf numFmtId="0" fontId="117" fillId="0" borderId="4" xfId="0" applyFont="1" applyBorder="1" applyAlignment="1">
      <alignment horizontal="right"/>
    </xf>
    <xf numFmtId="0" fontId="0" fillId="0" borderId="21" xfId="0" applyBorder="1" applyAlignment="1"/>
    <xf numFmtId="0" fontId="117" fillId="0" borderId="18" xfId="0" applyFont="1" applyBorder="1" applyAlignment="1">
      <alignment horizontal="right"/>
    </xf>
    <xf numFmtId="0" fontId="0" fillId="0" borderId="20" xfId="0" applyBorder="1" applyAlignment="1">
      <alignment horizontal="right"/>
    </xf>
    <xf numFmtId="0" fontId="0" fillId="0" borderId="8" xfId="0" applyBorder="1" applyAlignment="1">
      <alignment horizontal="right"/>
    </xf>
    <xf numFmtId="0" fontId="112" fillId="2" borderId="4" xfId="0" applyFont="1" applyFill="1" applyBorder="1" applyAlignment="1"/>
    <xf numFmtId="0" fontId="112" fillId="2" borderId="1" xfId="0" applyFont="1" applyFill="1" applyBorder="1" applyAlignment="1">
      <alignment horizontal="left"/>
    </xf>
    <xf numFmtId="0" fontId="112" fillId="2" borderId="4" xfId="0" applyFont="1" applyFill="1" applyBorder="1" applyAlignment="1">
      <alignment horizontal="left"/>
    </xf>
    <xf numFmtId="0" fontId="112" fillId="2" borderId="4" xfId="0" applyFont="1" applyFill="1" applyBorder="1" applyAlignment="1">
      <alignment horizontal="center"/>
    </xf>
    <xf numFmtId="16" fontId="112" fillId="2" borderId="4" xfId="0" applyNumberFormat="1" applyFont="1" applyFill="1" applyBorder="1" applyAlignment="1">
      <alignment horizontal="center"/>
    </xf>
    <xf numFmtId="16" fontId="112" fillId="2" borderId="7" xfId="0" applyNumberFormat="1" applyFont="1" applyFill="1" applyBorder="1" applyAlignment="1">
      <alignment horizontal="center"/>
    </xf>
    <xf numFmtId="16" fontId="112" fillId="2" borderId="21" xfId="0" applyNumberFormat="1" applyFont="1" applyFill="1" applyBorder="1" applyAlignment="1">
      <alignment horizontal="center"/>
    </xf>
    <xf numFmtId="0" fontId="117" fillId="0" borderId="5" xfId="0" applyFont="1" applyBorder="1" applyAlignment="1">
      <alignment shrinkToFit="1"/>
    </xf>
    <xf numFmtId="0" fontId="24" fillId="0" borderId="4" xfId="3" applyBorder="1" applyAlignment="1">
      <alignment horizontal="center"/>
    </xf>
    <xf numFmtId="0" fontId="0" fillId="0" borderId="7" xfId="0" applyBorder="1" applyAlignment="1">
      <alignment horizontal="center"/>
    </xf>
    <xf numFmtId="0" fontId="28" fillId="0" borderId="4" xfId="3" applyFont="1" applyBorder="1" applyAlignment="1">
      <alignment horizontal="center"/>
    </xf>
    <xf numFmtId="0" fontId="28" fillId="0" borderId="7" xfId="3" applyFont="1" applyBorder="1" applyAlignment="1">
      <alignment horizontal="center"/>
    </xf>
    <xf numFmtId="0" fontId="28" fillId="0" borderId="1" xfId="3" applyFont="1" applyBorder="1" applyAlignment="1">
      <alignment horizontal="center"/>
    </xf>
    <xf numFmtId="0" fontId="0" fillId="0" borderId="1" xfId="0" applyBorder="1" applyAlignment="1"/>
    <xf numFmtId="0" fontId="26" fillId="0" borderId="1" xfId="3" applyFont="1" applyBorder="1" applyAlignment="1">
      <alignment horizontal="left"/>
    </xf>
    <xf numFmtId="0" fontId="2" fillId="0" borderId="1" xfId="0" applyFont="1" applyBorder="1" applyAlignment="1"/>
    <xf numFmtId="0" fontId="31" fillId="0" borderId="4" xfId="3" applyFont="1" applyBorder="1" applyAlignment="1">
      <alignment horizontal="center"/>
    </xf>
    <xf numFmtId="9" fontId="31" fillId="0" borderId="4" xfId="3" applyNumberFormat="1" applyFont="1" applyBorder="1" applyAlignment="1">
      <alignment horizontal="left"/>
    </xf>
    <xf numFmtId="1" fontId="31" fillId="0" borderId="4" xfId="3" applyNumberFormat="1" applyFont="1" applyBorder="1" applyAlignment="1">
      <alignment horizontal="left"/>
    </xf>
    <xf numFmtId="1" fontId="0" fillId="0" borderId="21" xfId="0" applyNumberFormat="1" applyBorder="1" applyAlignment="1"/>
    <xf numFmtId="1" fontId="0" fillId="0" borderId="7" xfId="0" applyNumberFormat="1" applyBorder="1" applyAlignment="1"/>
    <xf numFmtId="0" fontId="31" fillId="0" borderId="4" xfId="3" applyFont="1" applyBorder="1" applyAlignment="1">
      <alignment horizontal="left"/>
    </xf>
    <xf numFmtId="9" fontId="27" fillId="0" borderId="1" xfId="3" applyNumberFormat="1" applyFont="1" applyBorder="1" applyAlignment="1">
      <alignment horizontal="center"/>
    </xf>
    <xf numFmtId="0" fontId="27" fillId="0" borderId="1" xfId="0" applyFont="1" applyBorder="1" applyAlignment="1"/>
    <xf numFmtId="9" fontId="27" fillId="3" borderId="1" xfId="3" applyNumberFormat="1" applyFont="1" applyFill="1" applyBorder="1" applyAlignment="1">
      <alignment horizontal="center"/>
    </xf>
    <xf numFmtId="0" fontId="27" fillId="3" borderId="1" xfId="0" applyFont="1" applyFill="1" applyBorder="1" applyAlignment="1"/>
    <xf numFmtId="1" fontId="28" fillId="0" borderId="4" xfId="3" applyNumberFormat="1" applyFont="1" applyFill="1" applyBorder="1" applyAlignment="1">
      <alignment horizontal="right"/>
    </xf>
    <xf numFmtId="1" fontId="0" fillId="0" borderId="21" xfId="0" applyNumberFormat="1" applyFill="1" applyBorder="1" applyAlignment="1"/>
    <xf numFmtId="1" fontId="0" fillId="0" borderId="21" xfId="0" applyNumberFormat="1" applyFill="1" applyBorder="1" applyAlignment="1">
      <alignment horizontal="right"/>
    </xf>
    <xf numFmtId="0" fontId="27" fillId="0" borderId="4" xfId="3" applyFont="1" applyBorder="1" applyAlignment="1">
      <alignment horizontal="center"/>
    </xf>
    <xf numFmtId="0" fontId="27" fillId="0" borderId="7" xfId="3" applyFont="1" applyBorder="1" applyAlignment="1">
      <alignment horizontal="center"/>
    </xf>
    <xf numFmtId="0" fontId="27" fillId="3" borderId="4" xfId="3" applyFont="1" applyFill="1" applyBorder="1" applyAlignment="1">
      <alignment horizontal="center"/>
    </xf>
    <xf numFmtId="0" fontId="27" fillId="3" borderId="7" xfId="3" applyFont="1" applyFill="1" applyBorder="1" applyAlignment="1">
      <alignment horizontal="center"/>
    </xf>
    <xf numFmtId="9" fontId="27" fillId="3" borderId="4" xfId="3" applyNumberFormat="1" applyFont="1" applyFill="1" applyBorder="1" applyAlignment="1">
      <alignment horizontal="center"/>
    </xf>
    <xf numFmtId="0" fontId="27" fillId="0" borderId="21" xfId="0" applyFont="1" applyBorder="1"/>
    <xf numFmtId="0" fontId="27" fillId="0" borderId="7" xfId="0" applyFont="1" applyBorder="1"/>
    <xf numFmtId="1" fontId="28" fillId="0" borderId="4" xfId="3" applyNumberFormat="1" applyFont="1" applyBorder="1" applyAlignment="1">
      <alignment horizontal="center"/>
    </xf>
    <xf numFmtId="0" fontId="25" fillId="3" borderId="4" xfId="3" applyFont="1" applyFill="1" applyBorder="1" applyAlignment="1">
      <alignment horizontal="left"/>
    </xf>
    <xf numFmtId="0" fontId="0" fillId="3" borderId="21" xfId="0" applyFill="1" applyBorder="1" applyAlignment="1"/>
    <xf numFmtId="0" fontId="0" fillId="3" borderId="7" xfId="0" applyFill="1" applyBorder="1" applyAlignment="1"/>
    <xf numFmtId="0" fontId="3" fillId="0" borderId="1" xfId="0" applyFont="1" applyBorder="1" applyAlignment="1"/>
    <xf numFmtId="0" fontId="27" fillId="0" borderId="1" xfId="3" applyFont="1" applyFill="1" applyBorder="1" applyAlignment="1">
      <alignment horizontal="center"/>
    </xf>
    <xf numFmtId="0" fontId="0" fillId="0" borderId="21" xfId="0" applyBorder="1" applyAlignment="1">
      <alignment horizontal="left"/>
    </xf>
    <xf numFmtId="0" fontId="0" fillId="0" borderId="7" xfId="0" applyBorder="1" applyAlignment="1">
      <alignment horizontal="left"/>
    </xf>
    <xf numFmtId="0" fontId="47" fillId="6" borderId="1" xfId="0" applyFont="1" applyFill="1" applyBorder="1" applyAlignment="1"/>
    <xf numFmtId="0" fontId="8" fillId="0" borderId="1" xfId="0" applyFont="1" applyBorder="1" applyAlignment="1"/>
    <xf numFmtId="0" fontId="2" fillId="2" borderId="1" xfId="0" applyFont="1" applyFill="1" applyBorder="1" applyAlignment="1"/>
    <xf numFmtId="9" fontId="28" fillId="0" borderId="4" xfId="3" applyNumberFormat="1" applyFont="1" applyBorder="1" applyAlignment="1">
      <alignment horizontal="center"/>
    </xf>
    <xf numFmtId="0" fontId="46" fillId="6" borderId="5" xfId="3" applyFont="1" applyFill="1" applyBorder="1" applyAlignment="1">
      <alignment horizontal="center" vertical="center"/>
    </xf>
    <xf numFmtId="0" fontId="0" fillId="0" borderId="5" xfId="0" applyBorder="1" applyAlignment="1"/>
    <xf numFmtId="0" fontId="52" fillId="0" borderId="118" xfId="3" applyFont="1" applyFill="1" applyBorder="1" applyAlignment="1">
      <alignment horizontal="left"/>
    </xf>
    <xf numFmtId="0" fontId="0" fillId="0" borderId="119" xfId="0" applyBorder="1" applyAlignment="1">
      <alignment horizontal="left"/>
    </xf>
    <xf numFmtId="0" fontId="0" fillId="0" borderId="122" xfId="0" applyBorder="1" applyAlignment="1">
      <alignment horizontal="left"/>
    </xf>
    <xf numFmtId="0" fontId="31" fillId="0" borderId="1" xfId="3" applyFont="1" applyBorder="1" applyAlignment="1">
      <alignment horizontal="left" shrinkToFit="1"/>
    </xf>
    <xf numFmtId="1" fontId="0" fillId="0" borderId="4" xfId="0" applyNumberFormat="1" applyBorder="1" applyAlignment="1">
      <alignment horizontal="center"/>
    </xf>
    <xf numFmtId="1" fontId="0" fillId="0" borderId="7" xfId="0" applyNumberFormat="1" applyBorder="1" applyAlignment="1">
      <alignment horizontal="center"/>
    </xf>
    <xf numFmtId="0" fontId="31" fillId="0" borderId="4" xfId="3" applyFont="1" applyBorder="1" applyAlignment="1">
      <alignment horizontal="left" shrinkToFit="1"/>
    </xf>
    <xf numFmtId="0" fontId="0" fillId="0" borderId="21" xfId="0" applyBorder="1" applyAlignment="1">
      <alignment horizontal="left" shrinkToFit="1"/>
    </xf>
    <xf numFmtId="0" fontId="0" fillId="0" borderId="7" xfId="0" applyBorder="1" applyAlignment="1">
      <alignment horizontal="left" shrinkToFit="1"/>
    </xf>
    <xf numFmtId="0" fontId="31" fillId="0" borderId="1" xfId="3" applyFont="1" applyFill="1" applyBorder="1" applyAlignment="1">
      <alignment horizontal="center"/>
    </xf>
    <xf numFmtId="0" fontId="0" fillId="0" borderId="1" xfId="0" applyBorder="1" applyAlignment="1">
      <alignment horizontal="center"/>
    </xf>
    <xf numFmtId="0" fontId="31" fillId="3" borderId="1" xfId="3" applyFont="1" applyFill="1" applyBorder="1" applyAlignment="1">
      <alignment horizontal="center"/>
    </xf>
    <xf numFmtId="0" fontId="31" fillId="0" borderId="4" xfId="3" applyFont="1" applyFill="1" applyBorder="1" applyAlignment="1">
      <alignment horizontal="left"/>
    </xf>
    <xf numFmtId="0" fontId="52" fillId="3" borderId="1" xfId="3" applyFont="1" applyFill="1" applyBorder="1" applyAlignment="1">
      <alignment horizontal="left"/>
    </xf>
    <xf numFmtId="0" fontId="0" fillId="3" borderId="1" xfId="0" applyFill="1" applyBorder="1" applyAlignment="1"/>
    <xf numFmtId="0" fontId="52" fillId="3" borderId="4" xfId="3" applyFont="1" applyFill="1" applyBorder="1" applyAlignment="1">
      <alignment horizontal="center"/>
    </xf>
    <xf numFmtId="0" fontId="52" fillId="3" borderId="4" xfId="3" applyFont="1" applyFill="1" applyBorder="1" applyAlignment="1">
      <alignment horizontal="left"/>
    </xf>
    <xf numFmtId="0" fontId="31" fillId="3" borderId="4" xfId="3" applyFont="1" applyFill="1" applyBorder="1" applyAlignment="1">
      <alignment horizontal="left"/>
    </xf>
    <xf numFmtId="0" fontId="27" fillId="0" borderId="4" xfId="3" applyFont="1" applyBorder="1" applyAlignment="1">
      <alignment horizontal="left"/>
    </xf>
    <xf numFmtId="0" fontId="27" fillId="0" borderId="21" xfId="0" applyFont="1" applyBorder="1" applyAlignment="1"/>
    <xf numFmtId="0" fontId="27" fillId="0" borderId="7" xfId="0" applyFont="1" applyBorder="1" applyAlignment="1"/>
    <xf numFmtId="0" fontId="31" fillId="3" borderId="2" xfId="3" applyFont="1" applyFill="1" applyBorder="1" applyAlignment="1">
      <alignment horizontal="center"/>
    </xf>
    <xf numFmtId="0" fontId="0" fillId="0" borderId="2" xfId="0" applyBorder="1" applyAlignment="1">
      <alignment horizontal="center"/>
    </xf>
    <xf numFmtId="0" fontId="31" fillId="0" borderId="4" xfId="3" applyFont="1" applyFill="1" applyBorder="1" applyAlignment="1">
      <alignment horizontal="right"/>
    </xf>
    <xf numFmtId="0" fontId="0" fillId="0" borderId="21" xfId="0" applyBorder="1" applyAlignment="1">
      <alignment horizontal="right"/>
    </xf>
    <xf numFmtId="0" fontId="0" fillId="0" borderId="7" xfId="0" applyBorder="1" applyAlignment="1">
      <alignment horizontal="right"/>
    </xf>
    <xf numFmtId="0" fontId="31" fillId="0" borderId="21" xfId="3" applyFont="1" applyFill="1" applyBorder="1" applyAlignment="1">
      <alignment horizontal="right"/>
    </xf>
    <xf numFmtId="0" fontId="31" fillId="0" borderId="7" xfId="3" applyFont="1" applyFill="1" applyBorder="1" applyAlignment="1">
      <alignment horizontal="right"/>
    </xf>
    <xf numFmtId="0" fontId="25" fillId="3" borderId="4" xfId="3" applyFont="1" applyFill="1" applyBorder="1" applyAlignment="1">
      <alignment horizontal="center"/>
    </xf>
    <xf numFmtId="0" fontId="25" fillId="3" borderId="21" xfId="3" applyFont="1" applyFill="1" applyBorder="1" applyAlignment="1">
      <alignment horizontal="center"/>
    </xf>
    <xf numFmtId="0" fontId="0" fillId="0" borderId="21" xfId="0" applyBorder="1" applyAlignment="1">
      <alignment horizontal="center"/>
    </xf>
    <xf numFmtId="0" fontId="25" fillId="3" borderId="4" xfId="0" applyFont="1" applyFill="1" applyBorder="1" applyAlignment="1">
      <alignment horizontal="left"/>
    </xf>
    <xf numFmtId="0" fontId="0" fillId="3" borderId="7" xfId="0" applyFill="1" applyBorder="1" applyAlignment="1">
      <alignment horizontal="left"/>
    </xf>
    <xf numFmtId="0" fontId="0" fillId="0" borderId="4" xfId="0" applyBorder="1" applyAlignment="1">
      <alignment horizontal="center"/>
    </xf>
    <xf numFmtId="0" fontId="31" fillId="3" borderId="16" xfId="3" applyFont="1" applyFill="1" applyBorder="1" applyAlignment="1">
      <alignment horizontal="left"/>
    </xf>
    <xf numFmtId="0" fontId="0" fillId="0" borderId="17" xfId="0" applyBorder="1" applyAlignment="1"/>
    <xf numFmtId="0" fontId="0" fillId="0" borderId="19" xfId="0" applyBorder="1" applyAlignment="1"/>
    <xf numFmtId="0" fontId="52" fillId="3" borderId="4" xfId="0" applyFont="1" applyFill="1" applyBorder="1" applyAlignment="1">
      <alignment horizontal="left"/>
    </xf>
    <xf numFmtId="0" fontId="51" fillId="0" borderId="7" xfId="0" applyFont="1" applyBorder="1" applyAlignment="1">
      <alignment horizontal="left"/>
    </xf>
    <xf numFmtId="0" fontId="40" fillId="0" borderId="4" xfId="0" applyFont="1" applyFill="1" applyBorder="1" applyAlignment="1">
      <alignment horizontal="center" wrapText="1"/>
    </xf>
    <xf numFmtId="0" fontId="28" fillId="0" borderId="7" xfId="0" applyFont="1" applyBorder="1" applyAlignment="1">
      <alignment horizontal="center"/>
    </xf>
    <xf numFmtId="0" fontId="51" fillId="0" borderId="21" xfId="0" applyFont="1" applyBorder="1" applyAlignment="1">
      <alignment horizontal="center"/>
    </xf>
    <xf numFmtId="0" fontId="51" fillId="0" borderId="7" xfId="0" applyFont="1" applyBorder="1" applyAlignment="1">
      <alignment horizontal="center"/>
    </xf>
    <xf numFmtId="0" fontId="51" fillId="0" borderId="4" xfId="0" applyFont="1" applyBorder="1" applyAlignment="1">
      <alignment horizontal="center"/>
    </xf>
    <xf numFmtId="0" fontId="25" fillId="3" borderId="7" xfId="3" applyFont="1" applyFill="1" applyBorder="1" applyAlignment="1">
      <alignment horizontal="center"/>
    </xf>
    <xf numFmtId="0" fontId="51" fillId="3" borderId="21" xfId="0" applyFont="1" applyFill="1" applyBorder="1" applyAlignment="1">
      <alignment horizontal="center"/>
    </xf>
    <xf numFmtId="0" fontId="51" fillId="3" borderId="7" xfId="0" applyFont="1" applyFill="1" applyBorder="1" applyAlignment="1">
      <alignment horizontal="center"/>
    </xf>
    <xf numFmtId="0" fontId="51" fillId="3" borderId="4" xfId="0" applyFont="1" applyFill="1" applyBorder="1" applyAlignment="1">
      <alignment horizontal="center"/>
    </xf>
    <xf numFmtId="0" fontId="25" fillId="3" borderId="1" xfId="3" applyFont="1" applyFill="1" applyBorder="1" applyAlignment="1">
      <alignment horizontal="center"/>
    </xf>
    <xf numFmtId="0" fontId="27" fillId="0" borderId="16" xfId="3" applyFont="1" applyBorder="1" applyAlignment="1">
      <alignment horizontal="left"/>
    </xf>
    <xf numFmtId="0" fontId="27" fillId="0" borderId="17" xfId="0" applyFont="1" applyBorder="1" applyAlignment="1"/>
    <xf numFmtId="0" fontId="27" fillId="0" borderId="19" xfId="0" applyFont="1" applyBorder="1" applyAlignment="1"/>
    <xf numFmtId="9" fontId="27" fillId="0" borderId="4" xfId="3" applyNumberFormat="1" applyFont="1" applyBorder="1" applyAlignment="1">
      <alignment horizontal="center"/>
    </xf>
    <xf numFmtId="9" fontId="27" fillId="0" borderId="7" xfId="3" applyNumberFormat="1" applyFont="1" applyBorder="1" applyAlignment="1">
      <alignment horizontal="center"/>
    </xf>
    <xf numFmtId="9" fontId="27" fillId="3" borderId="7" xfId="3" applyNumberFormat="1" applyFont="1" applyFill="1" applyBorder="1" applyAlignment="1">
      <alignment horizontal="center"/>
    </xf>
    <xf numFmtId="0" fontId="40" fillId="3" borderId="4" xfId="0" applyFont="1" applyFill="1" applyBorder="1" applyAlignment="1">
      <alignment horizontal="center" wrapText="1"/>
    </xf>
    <xf numFmtId="0" fontId="28" fillId="3" borderId="7" xfId="0" applyFont="1" applyFill="1" applyBorder="1" applyAlignment="1">
      <alignment horizontal="center"/>
    </xf>
    <xf numFmtId="0" fontId="17" fillId="3" borderId="4" xfId="0" applyFont="1" applyFill="1" applyBorder="1" applyAlignment="1">
      <alignment horizontal="center"/>
    </xf>
    <xf numFmtId="0" fontId="17" fillId="3" borderId="7" xfId="0" applyFont="1" applyFill="1" applyBorder="1" applyAlignment="1">
      <alignment horizontal="center"/>
    </xf>
    <xf numFmtId="0" fontId="31" fillId="3" borderId="4" xfId="3" applyFont="1" applyFill="1" applyBorder="1" applyAlignment="1">
      <alignment horizontal="center"/>
    </xf>
    <xf numFmtId="0" fontId="27" fillId="3" borderId="4" xfId="3" applyFont="1" applyFill="1" applyBorder="1" applyAlignment="1">
      <alignment horizontal="left"/>
    </xf>
    <xf numFmtId="0" fontId="27" fillId="0" borderId="21" xfId="3" applyFont="1" applyBorder="1" applyAlignment="1">
      <alignment horizontal="center"/>
    </xf>
    <xf numFmtId="0" fontId="25" fillId="3" borderId="18" xfId="3" applyFont="1" applyFill="1" applyBorder="1" applyAlignment="1">
      <alignment horizontal="center"/>
    </xf>
    <xf numFmtId="0" fontId="25" fillId="3" borderId="6" xfId="3" applyFont="1" applyFill="1" applyBorder="1" applyAlignment="1">
      <alignment horizontal="center"/>
    </xf>
    <xf numFmtId="0" fontId="25" fillId="3" borderId="20" xfId="3" applyFont="1" applyFill="1" applyBorder="1" applyAlignment="1">
      <alignment horizontal="center"/>
    </xf>
    <xf numFmtId="0" fontId="25" fillId="3" borderId="16" xfId="3" applyFont="1" applyFill="1" applyBorder="1" applyAlignment="1">
      <alignment horizontal="center"/>
    </xf>
    <xf numFmtId="0" fontId="25" fillId="3" borderId="17" xfId="3" applyFont="1" applyFill="1" applyBorder="1" applyAlignment="1">
      <alignment horizontal="center"/>
    </xf>
    <xf numFmtId="0" fontId="25" fillId="3" borderId="19" xfId="3" applyFont="1" applyFill="1" applyBorder="1" applyAlignment="1">
      <alignment horizontal="center"/>
    </xf>
    <xf numFmtId="0" fontId="31" fillId="0" borderId="21" xfId="3" applyFont="1" applyBorder="1" applyAlignment="1">
      <alignment horizontal="center"/>
    </xf>
    <xf numFmtId="0" fontId="31" fillId="0" borderId="7" xfId="3" applyFont="1" applyBorder="1" applyAlignment="1">
      <alignment horizontal="center"/>
    </xf>
    <xf numFmtId="9" fontId="31" fillId="0" borderId="4" xfId="3" applyNumberFormat="1" applyFont="1" applyFill="1" applyBorder="1" applyAlignment="1">
      <alignment horizontal="center"/>
    </xf>
    <xf numFmtId="9" fontId="31" fillId="0" borderId="21" xfId="3" applyNumberFormat="1" applyFont="1" applyFill="1" applyBorder="1" applyAlignment="1">
      <alignment horizontal="center"/>
    </xf>
    <xf numFmtId="9" fontId="31" fillId="0" borderId="7" xfId="3" applyNumberFormat="1" applyFont="1" applyFill="1" applyBorder="1" applyAlignment="1">
      <alignment horizontal="center"/>
    </xf>
    <xf numFmtId="0" fontId="32" fillId="3" borderId="4" xfId="3" applyFont="1" applyFill="1" applyBorder="1" applyAlignment="1">
      <alignment horizontal="center"/>
    </xf>
    <xf numFmtId="0" fontId="17" fillId="3" borderId="21" xfId="0" applyFont="1" applyFill="1" applyBorder="1" applyAlignment="1">
      <alignment horizontal="center"/>
    </xf>
    <xf numFmtId="9" fontId="31" fillId="3" borderId="4" xfId="3" applyNumberFormat="1" applyFont="1" applyFill="1" applyBorder="1" applyAlignment="1">
      <alignment horizontal="center"/>
    </xf>
    <xf numFmtId="0" fontId="31" fillId="0" borderId="21" xfId="0" applyFont="1" applyFill="1" applyBorder="1" applyAlignment="1"/>
    <xf numFmtId="0" fontId="31" fillId="0" borderId="7" xfId="0" applyFont="1" applyFill="1" applyBorder="1" applyAlignment="1"/>
    <xf numFmtId="0" fontId="25" fillId="0" borderId="4" xfId="3" applyFont="1" applyBorder="1" applyAlignment="1">
      <alignment horizontal="left"/>
    </xf>
    <xf numFmtId="0" fontId="25" fillId="0" borderId="21" xfId="3" applyFont="1" applyBorder="1" applyAlignment="1">
      <alignment horizontal="left"/>
    </xf>
    <xf numFmtId="0" fontId="25" fillId="0" borderId="7" xfId="3" applyFont="1" applyBorder="1" applyAlignment="1">
      <alignment horizontal="left"/>
    </xf>
    <xf numFmtId="0" fontId="31" fillId="3" borderId="47" xfId="3" applyFont="1" applyFill="1" applyBorder="1" applyAlignment="1">
      <alignment horizontal="left" shrinkToFit="1"/>
    </xf>
    <xf numFmtId="0" fontId="17" fillId="3" borderId="47" xfId="0" applyFont="1" applyFill="1" applyBorder="1" applyAlignment="1">
      <alignment shrinkToFit="1"/>
    </xf>
    <xf numFmtId="2" fontId="17" fillId="0" borderId="2" xfId="0" applyNumberFormat="1" applyFont="1" applyFill="1" applyBorder="1" applyAlignment="1">
      <alignment horizontal="center" shrinkToFit="1"/>
    </xf>
    <xf numFmtId="0" fontId="51" fillId="3" borderId="1" xfId="0" applyFont="1" applyFill="1" applyBorder="1" applyAlignment="1">
      <alignment horizontal="center"/>
    </xf>
    <xf numFmtId="0" fontId="28" fillId="0" borderId="1" xfId="0" applyFont="1" applyBorder="1" applyAlignment="1">
      <alignment horizontal="center"/>
    </xf>
    <xf numFmtId="0" fontId="31" fillId="0" borderId="4" xfId="3" applyFont="1" applyFill="1" applyBorder="1" applyAlignment="1">
      <alignment horizontal="center"/>
    </xf>
    <xf numFmtId="0" fontId="31" fillId="0" borderId="7" xfId="3" applyFont="1" applyFill="1" applyBorder="1" applyAlignment="1">
      <alignment horizontal="center"/>
    </xf>
    <xf numFmtId="0" fontId="31" fillId="0" borderId="21" xfId="3" applyFont="1" applyFill="1" applyBorder="1" applyAlignment="1">
      <alignment horizontal="center"/>
    </xf>
    <xf numFmtId="0" fontId="31" fillId="0" borderId="21" xfId="3" applyFont="1" applyBorder="1" applyAlignment="1">
      <alignment horizontal="left"/>
    </xf>
    <xf numFmtId="0" fontId="31" fillId="0" borderId="7" xfId="3" applyFont="1" applyBorder="1" applyAlignment="1">
      <alignment horizontal="left"/>
    </xf>
    <xf numFmtId="0" fontId="52" fillId="0" borderId="82" xfId="3" applyFont="1" applyBorder="1" applyAlignment="1">
      <alignment horizontal="left" textRotation="90" wrapText="1"/>
    </xf>
    <xf numFmtId="0" fontId="0" fillId="0" borderId="82" xfId="0" applyBorder="1" applyAlignment="1">
      <alignment horizontal="left" textRotation="90" wrapText="1"/>
    </xf>
    <xf numFmtId="0" fontId="28" fillId="0" borderId="1" xfId="3" applyFont="1" applyFill="1" applyBorder="1" applyAlignment="1">
      <alignment horizontal="center"/>
    </xf>
    <xf numFmtId="0" fontId="31" fillId="3" borderId="47" xfId="3" applyFont="1" applyFill="1" applyBorder="1" applyAlignment="1">
      <alignment horizontal="center" shrinkToFit="1"/>
    </xf>
    <xf numFmtId="0" fontId="17" fillId="3" borderId="47" xfId="0" applyFont="1" applyFill="1" applyBorder="1" applyAlignment="1">
      <alignment horizontal="center" shrinkToFit="1"/>
    </xf>
    <xf numFmtId="0" fontId="31" fillId="0" borderId="2" xfId="3" applyFont="1" applyFill="1" applyBorder="1" applyAlignment="1">
      <alignment horizontal="left" shrinkToFit="1"/>
    </xf>
    <xf numFmtId="0" fontId="17" fillId="0" borderId="2" xfId="0" applyFont="1" applyFill="1" applyBorder="1" applyAlignment="1">
      <alignment shrinkToFit="1"/>
    </xf>
    <xf numFmtId="0" fontId="0" fillId="0" borderId="7" xfId="0" applyFill="1" applyBorder="1" applyAlignment="1">
      <alignment horizontal="center"/>
    </xf>
    <xf numFmtId="0" fontId="28" fillId="0" borderId="86" xfId="0" applyFont="1" applyFill="1" applyBorder="1" applyAlignment="1">
      <alignment horizontal="center"/>
    </xf>
    <xf numFmtId="0" fontId="0" fillId="0" borderId="70" xfId="0" applyFill="1" applyBorder="1" applyAlignment="1">
      <alignment horizontal="center"/>
    </xf>
    <xf numFmtId="0" fontId="0" fillId="0" borderId="44" xfId="0" applyFill="1" applyBorder="1" applyAlignment="1">
      <alignment horizontal="center"/>
    </xf>
    <xf numFmtId="0" fontId="28" fillId="0" borderId="1" xfId="0" applyFont="1" applyFill="1" applyBorder="1" applyAlignment="1">
      <alignment horizontal="center"/>
    </xf>
    <xf numFmtId="0" fontId="0" fillId="0" borderId="1" xfId="0" applyFill="1" applyBorder="1" applyAlignment="1">
      <alignment horizontal="center"/>
    </xf>
    <xf numFmtId="0" fontId="28" fillId="0" borderId="22" xfId="0" applyFont="1" applyFill="1" applyBorder="1" applyAlignment="1">
      <alignment horizontal="left"/>
    </xf>
    <xf numFmtId="0" fontId="0" fillId="0" borderId="1" xfId="0" applyBorder="1" applyAlignment="1">
      <alignment horizontal="left"/>
    </xf>
    <xf numFmtId="0" fontId="0" fillId="0" borderId="23" xfId="0" applyBorder="1" applyAlignment="1">
      <alignment horizontal="center"/>
    </xf>
    <xf numFmtId="0" fontId="25" fillId="3" borderId="4" xfId="0" applyFont="1" applyFill="1" applyBorder="1" applyAlignment="1"/>
    <xf numFmtId="9" fontId="28" fillId="0" borderId="4" xfId="0" applyNumberFormat="1" applyFont="1" applyFill="1" applyBorder="1" applyAlignment="1">
      <alignment horizontal="center"/>
    </xf>
    <xf numFmtId="9" fontId="28" fillId="0" borderId="21" xfId="0" applyNumberFormat="1" applyFont="1" applyFill="1" applyBorder="1" applyAlignment="1">
      <alignment horizontal="center"/>
    </xf>
    <xf numFmtId="9" fontId="28" fillId="0" borderId="7" xfId="0" applyNumberFormat="1" applyFont="1" applyFill="1" applyBorder="1" applyAlignment="1">
      <alignment horizontal="center"/>
    </xf>
    <xf numFmtId="0" fontId="24" fillId="0" borderId="21" xfId="3" applyBorder="1" applyAlignment="1"/>
    <xf numFmtId="0" fontId="24" fillId="0" borderId="7" xfId="3" applyBorder="1" applyAlignment="1"/>
    <xf numFmtId="0" fontId="25" fillId="0" borderId="4" xfId="0" applyFont="1" applyBorder="1" applyAlignment="1">
      <alignment horizontal="left"/>
    </xf>
    <xf numFmtId="9" fontId="0" fillId="0" borderId="21" xfId="0" applyNumberFormat="1" applyFill="1" applyBorder="1" applyAlignment="1">
      <alignment horizontal="center"/>
    </xf>
    <xf numFmtId="0" fontId="0" fillId="0" borderId="7" xfId="0" applyFill="1" applyBorder="1" applyAlignment="1">
      <alignment horizontal="left"/>
    </xf>
    <xf numFmtId="0" fontId="28" fillId="0" borderId="84" xfId="0" applyFont="1" applyFill="1" applyBorder="1" applyAlignment="1">
      <alignment horizontal="left"/>
    </xf>
    <xf numFmtId="0" fontId="0" fillId="0" borderId="21" xfId="0" applyFill="1" applyBorder="1" applyAlignment="1">
      <alignment horizontal="left"/>
    </xf>
    <xf numFmtId="0" fontId="28" fillId="0" borderId="4" xfId="0" applyFont="1" applyFill="1" applyBorder="1" applyAlignment="1">
      <alignment horizontal="center"/>
    </xf>
    <xf numFmtId="0" fontId="0" fillId="0" borderId="21" xfId="0" applyFill="1" applyBorder="1" applyAlignment="1">
      <alignment horizontal="center"/>
    </xf>
    <xf numFmtId="0" fontId="0" fillId="0" borderId="42" xfId="0" applyFill="1" applyBorder="1" applyAlignment="1">
      <alignment horizontal="center"/>
    </xf>
    <xf numFmtId="0" fontId="0" fillId="0" borderId="1" xfId="0" applyFill="1" applyBorder="1" applyAlignment="1">
      <alignment horizontal="left"/>
    </xf>
    <xf numFmtId="9" fontId="17" fillId="0" borderId="4" xfId="0" applyNumberFormat="1" applyFont="1" applyBorder="1" applyAlignment="1">
      <alignment horizontal="center"/>
    </xf>
    <xf numFmtId="9" fontId="17" fillId="0" borderId="21" xfId="0" applyNumberFormat="1" applyFont="1" applyBorder="1" applyAlignment="1">
      <alignment horizontal="center"/>
    </xf>
    <xf numFmtId="9" fontId="17" fillId="0" borderId="7" xfId="0" applyNumberFormat="1" applyFont="1" applyBorder="1" applyAlignment="1">
      <alignment horizontal="center"/>
    </xf>
    <xf numFmtId="0" fontId="17" fillId="0" borderId="1" xfId="0" applyFont="1" applyBorder="1" applyAlignment="1">
      <alignment horizontal="center"/>
    </xf>
    <xf numFmtId="9" fontId="0" fillId="0" borderId="4" xfId="0" applyNumberFormat="1" applyBorder="1" applyAlignment="1">
      <alignment horizontal="center"/>
    </xf>
    <xf numFmtId="9" fontId="0" fillId="0" borderId="21" xfId="0" applyNumberFormat="1" applyBorder="1" applyAlignment="1">
      <alignment horizontal="center"/>
    </xf>
    <xf numFmtId="9" fontId="0" fillId="0" borderId="7" xfId="0" applyNumberFormat="1" applyBorder="1" applyAlignment="1">
      <alignment horizontal="center"/>
    </xf>
    <xf numFmtId="0" fontId="31" fillId="0" borderId="4" xfId="0" applyFont="1" applyBorder="1" applyAlignment="1">
      <alignment horizontal="left"/>
    </xf>
    <xf numFmtId="0" fontId="17" fillId="0" borderId="21" xfId="0" applyFont="1" applyBorder="1" applyAlignment="1">
      <alignment horizontal="left"/>
    </xf>
    <xf numFmtId="9" fontId="0" fillId="0" borderId="7" xfId="0" applyNumberFormat="1" applyFill="1" applyBorder="1" applyAlignment="1">
      <alignment horizontal="center"/>
    </xf>
    <xf numFmtId="0" fontId="24" fillId="0" borderId="4" xfId="3" applyBorder="1" applyAlignment="1"/>
    <xf numFmtId="0" fontId="17" fillId="0" borderId="4" xfId="0" applyFont="1" applyBorder="1" applyAlignment="1"/>
    <xf numFmtId="0" fontId="17" fillId="0" borderId="21" xfId="0" applyFont="1" applyBorder="1" applyAlignment="1"/>
    <xf numFmtId="0" fontId="17" fillId="0" borderId="4" xfId="0" applyFont="1" applyBorder="1" applyAlignment="1">
      <alignment horizontal="center"/>
    </xf>
    <xf numFmtId="0" fontId="17" fillId="0" borderId="21" xfId="0" applyFont="1" applyBorder="1" applyAlignment="1">
      <alignment horizontal="center"/>
    </xf>
    <xf numFmtId="0" fontId="17" fillId="0" borderId="7" xfId="0" applyFont="1" applyBorder="1" applyAlignment="1">
      <alignment horizontal="center"/>
    </xf>
    <xf numFmtId="1" fontId="31" fillId="0" borderId="1" xfId="0" applyNumberFormat="1" applyFont="1" applyBorder="1" applyAlignment="1">
      <alignment horizontal="center"/>
    </xf>
    <xf numFmtId="1" fontId="17" fillId="0" borderId="1" xfId="0" applyNumberFormat="1" applyFont="1" applyBorder="1" applyAlignment="1">
      <alignment horizontal="center"/>
    </xf>
    <xf numFmtId="0" fontId="31" fillId="0" borderId="1" xfId="0" applyFont="1" applyFill="1" applyBorder="1" applyAlignment="1">
      <alignment horizontal="center"/>
    </xf>
    <xf numFmtId="0" fontId="17" fillId="0" borderId="1" xfId="0" applyFont="1" applyFill="1" applyBorder="1" applyAlignment="1">
      <alignment horizontal="center"/>
    </xf>
    <xf numFmtId="0" fontId="26" fillId="3" borderId="1" xfId="0" applyFont="1" applyFill="1" applyBorder="1" applyAlignment="1">
      <alignment horizontal="center"/>
    </xf>
    <xf numFmtId="0" fontId="17" fillId="3" borderId="1" xfId="0" applyFont="1" applyFill="1" applyBorder="1" applyAlignment="1">
      <alignment horizontal="center"/>
    </xf>
    <xf numFmtId="0" fontId="17" fillId="0" borderId="1" xfId="0" quotePrefix="1" applyFont="1" applyFill="1" applyBorder="1" applyAlignment="1">
      <alignment horizontal="center"/>
    </xf>
    <xf numFmtId="0" fontId="24" fillId="0" borderId="17" xfId="3" applyBorder="1" applyAlignment="1"/>
    <xf numFmtId="0" fontId="0" fillId="0" borderId="4" xfId="0" applyBorder="1" applyAlignment="1"/>
    <xf numFmtId="0" fontId="28" fillId="0" borderId="4" xfId="0" applyFont="1" applyFill="1" applyBorder="1" applyAlignment="1">
      <alignment horizontal="left"/>
    </xf>
    <xf numFmtId="0" fontId="28" fillId="0" borderId="83" xfId="0" applyFont="1" applyFill="1" applyBorder="1" applyAlignment="1">
      <alignment horizontal="left"/>
    </xf>
    <xf numFmtId="0" fontId="0" fillId="0" borderId="17" xfId="0" applyBorder="1" applyAlignment="1">
      <alignment horizontal="left"/>
    </xf>
    <xf numFmtId="0" fontId="0" fillId="0" borderId="19" xfId="0" applyBorder="1" applyAlignment="1">
      <alignment horizontal="left"/>
    </xf>
    <xf numFmtId="0" fontId="28" fillId="0" borderId="31" xfId="0" applyFont="1" applyFill="1" applyBorder="1" applyAlignment="1">
      <alignment horizontal="left"/>
    </xf>
    <xf numFmtId="0" fontId="0" fillId="0" borderId="30" xfId="0" applyBorder="1" applyAlignment="1">
      <alignment horizontal="left"/>
    </xf>
    <xf numFmtId="0" fontId="28" fillId="0" borderId="30" xfId="0" applyFont="1" applyFill="1" applyBorder="1" applyAlignment="1">
      <alignment horizontal="center"/>
    </xf>
    <xf numFmtId="0" fontId="28" fillId="0" borderId="32" xfId="0" applyFont="1" applyFill="1" applyBorder="1" applyAlignment="1">
      <alignment horizontal="center"/>
    </xf>
    <xf numFmtId="0" fontId="28" fillId="0" borderId="16" xfId="0" applyFont="1" applyFill="1" applyBorder="1" applyAlignment="1">
      <alignment horizontal="center"/>
    </xf>
    <xf numFmtId="0" fontId="28" fillId="0" borderId="17" xfId="0" applyFont="1" applyFill="1" applyBorder="1" applyAlignment="1">
      <alignment horizontal="center"/>
    </xf>
    <xf numFmtId="0" fontId="28" fillId="0" borderId="64" xfId="0" applyFont="1" applyFill="1" applyBorder="1" applyAlignment="1">
      <alignment horizontal="center"/>
    </xf>
    <xf numFmtId="0" fontId="28" fillId="0" borderId="19" xfId="0" applyFont="1" applyFill="1" applyBorder="1" applyAlignment="1">
      <alignment horizontal="center"/>
    </xf>
    <xf numFmtId="0" fontId="25" fillId="3" borderId="4" xfId="0" applyFont="1" applyFill="1" applyBorder="1" applyAlignment="1">
      <alignment horizontal="center"/>
    </xf>
    <xf numFmtId="0" fontId="0" fillId="0" borderId="17" xfId="0" applyBorder="1" applyAlignment="1">
      <alignment horizontal="center"/>
    </xf>
    <xf numFmtId="0" fontId="0" fillId="0" borderId="19" xfId="0" applyBorder="1" applyAlignment="1">
      <alignment horizontal="center"/>
    </xf>
    <xf numFmtId="0" fontId="25" fillId="3" borderId="5" xfId="0" applyFont="1"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25" fillId="3" borderId="16" xfId="0" applyFont="1" applyFill="1" applyBorder="1" applyAlignment="1">
      <alignment horizontal="center"/>
    </xf>
    <xf numFmtId="0" fontId="0" fillId="3" borderId="17" xfId="0" applyFill="1" applyBorder="1" applyAlignment="1">
      <alignment horizontal="center"/>
    </xf>
    <xf numFmtId="0" fontId="0" fillId="3" borderId="19" xfId="0" applyFill="1" applyBorder="1" applyAlignment="1">
      <alignment horizontal="center"/>
    </xf>
    <xf numFmtId="0" fontId="25" fillId="3" borderId="2" xfId="0" applyFont="1" applyFill="1" applyBorder="1" applyAlignment="1">
      <alignment horizontal="center"/>
    </xf>
    <xf numFmtId="0" fontId="0" fillId="0" borderId="4" xfId="0" applyFill="1" applyBorder="1" applyAlignment="1">
      <alignment horizontal="center"/>
    </xf>
    <xf numFmtId="0" fontId="28" fillId="0" borderId="85" xfId="0" applyFont="1" applyFill="1" applyBorder="1" applyAlignment="1">
      <alignment horizontal="left"/>
    </xf>
    <xf numFmtId="0" fontId="0" fillId="0" borderId="70" xfId="0" applyFill="1" applyBorder="1" applyAlignment="1">
      <alignment horizontal="left"/>
    </xf>
    <xf numFmtId="0" fontId="0" fillId="0" borderId="46" xfId="0" applyFill="1" applyBorder="1" applyAlignment="1">
      <alignment horizontal="left"/>
    </xf>
    <xf numFmtId="0" fontId="0" fillId="0" borderId="46" xfId="0" applyFill="1" applyBorder="1" applyAlignment="1">
      <alignment horizontal="center"/>
    </xf>
    <xf numFmtId="0" fontId="26" fillId="3" borderId="16" xfId="0" applyFont="1" applyFill="1" applyBorder="1" applyAlignment="1">
      <alignment horizontal="center"/>
    </xf>
    <xf numFmtId="0" fontId="32" fillId="0" borderId="17" xfId="3" applyFont="1" applyBorder="1" applyAlignment="1">
      <alignment horizontal="center"/>
    </xf>
    <xf numFmtId="0" fontId="26" fillId="3" borderId="19" xfId="0" applyFont="1" applyFill="1" applyBorder="1" applyAlignment="1">
      <alignment horizontal="center"/>
    </xf>
    <xf numFmtId="0" fontId="0" fillId="0" borderId="18" xfId="0" applyBorder="1" applyAlignment="1">
      <alignment horizontal="center"/>
    </xf>
    <xf numFmtId="0" fontId="0" fillId="0" borderId="6" xfId="0" applyBorder="1" applyAlignment="1">
      <alignment horizontal="center"/>
    </xf>
    <xf numFmtId="0" fontId="0" fillId="0" borderId="20" xfId="0" applyBorder="1" applyAlignment="1">
      <alignment horizontal="center"/>
    </xf>
    <xf numFmtId="0" fontId="28" fillId="0" borderId="1" xfId="3" applyFont="1" applyBorder="1" applyAlignment="1">
      <alignment horizontal="left"/>
    </xf>
    <xf numFmtId="0" fontId="17" fillId="0" borderId="17" xfId="0" applyFont="1" applyBorder="1" applyAlignment="1">
      <alignment horizontal="center"/>
    </xf>
    <xf numFmtId="0" fontId="0" fillId="0" borderId="18" xfId="0" applyBorder="1" applyAlignment="1"/>
    <xf numFmtId="0" fontId="0" fillId="0" borderId="6" xfId="0" applyBorder="1" applyAlignment="1"/>
    <xf numFmtId="0" fontId="0" fillId="0" borderId="20" xfId="0" applyBorder="1" applyAlignment="1"/>
    <xf numFmtId="0" fontId="26" fillId="3" borderId="16" xfId="0" applyFont="1" applyFill="1" applyBorder="1" applyAlignment="1">
      <alignment horizontal="center" wrapText="1"/>
    </xf>
    <xf numFmtId="0" fontId="0" fillId="0" borderId="17" xfId="0" applyBorder="1" applyAlignment="1">
      <alignment horizontal="center" wrapText="1"/>
    </xf>
    <xf numFmtId="0" fontId="0" fillId="0" borderId="19" xfId="0" applyBorder="1" applyAlignment="1">
      <alignment horizontal="center" wrapText="1"/>
    </xf>
    <xf numFmtId="0" fontId="0" fillId="0" borderId="18" xfId="0" applyBorder="1" applyAlignment="1">
      <alignment horizontal="center" wrapText="1"/>
    </xf>
    <xf numFmtId="0" fontId="0" fillId="0" borderId="6" xfId="0" applyBorder="1" applyAlignment="1">
      <alignment horizontal="center" wrapText="1"/>
    </xf>
    <xf numFmtId="0" fontId="0" fillId="0" borderId="20" xfId="0" applyBorder="1" applyAlignment="1">
      <alignment horizontal="center" wrapText="1"/>
    </xf>
    <xf numFmtId="0" fontId="26" fillId="3" borderId="17" xfId="0" applyFont="1" applyFill="1" applyBorder="1" applyAlignment="1">
      <alignment horizontal="center"/>
    </xf>
    <xf numFmtId="9" fontId="31" fillId="0" borderId="4" xfId="0" applyNumberFormat="1" applyFont="1" applyFill="1" applyBorder="1" applyAlignment="1">
      <alignment horizontal="center"/>
    </xf>
    <xf numFmtId="9" fontId="17" fillId="0" borderId="21" xfId="0" applyNumberFormat="1" applyFont="1" applyFill="1" applyBorder="1" applyAlignment="1">
      <alignment horizontal="center"/>
    </xf>
    <xf numFmtId="0" fontId="31" fillId="0" borderId="1" xfId="3" applyFont="1" applyBorder="1" applyAlignment="1">
      <alignment horizontal="center"/>
    </xf>
    <xf numFmtId="0" fontId="40" fillId="0" borderId="4" xfId="0" applyFont="1" applyBorder="1" applyAlignment="1">
      <alignment horizontal="left"/>
    </xf>
    <xf numFmtId="0" fontId="38" fillId="0" borderId="21" xfId="0" applyFont="1" applyBorder="1" applyAlignment="1">
      <alignment horizontal="left"/>
    </xf>
    <xf numFmtId="0" fontId="31" fillId="0" borderId="1" xfId="0" applyFont="1" applyBorder="1" applyAlignment="1">
      <alignment horizontal="center"/>
    </xf>
    <xf numFmtId="0" fontId="85" fillId="3" borderId="1" xfId="3" applyFont="1" applyFill="1" applyBorder="1" applyAlignment="1">
      <alignment horizontal="center"/>
    </xf>
    <xf numFmtId="0" fontId="66" fillId="3" borderId="1" xfId="0" applyFont="1" applyFill="1" applyBorder="1" applyAlignment="1">
      <alignment horizontal="center"/>
    </xf>
    <xf numFmtId="0" fontId="25" fillId="3" borderId="21" xfId="0" applyFont="1" applyFill="1" applyBorder="1" applyAlignment="1">
      <alignment horizontal="center"/>
    </xf>
    <xf numFmtId="0" fontId="50" fillId="3" borderId="21" xfId="0" applyFont="1" applyFill="1" applyBorder="1" applyAlignment="1">
      <alignment horizontal="center"/>
    </xf>
    <xf numFmtId="0" fontId="37" fillId="3" borderId="1" xfId="0" applyFont="1" applyFill="1" applyBorder="1" applyAlignment="1">
      <alignment horizontal="center"/>
    </xf>
    <xf numFmtId="0" fontId="38" fillId="0" borderId="1" xfId="0" applyFont="1" applyBorder="1" applyAlignment="1">
      <alignment horizontal="center"/>
    </xf>
    <xf numFmtId="0" fontId="0" fillId="0" borderId="4" xfId="0" applyFill="1" applyBorder="1" applyAlignment="1">
      <alignment horizontal="left"/>
    </xf>
    <xf numFmtId="0" fontId="61" fillId="0" borderId="1" xfId="0" applyFont="1" applyBorder="1" applyAlignment="1"/>
    <xf numFmtId="0" fontId="61" fillId="0" borderId="4" xfId="0" applyFont="1" applyBorder="1" applyAlignment="1"/>
    <xf numFmtId="0" fontId="61" fillId="0" borderId="21" xfId="0" applyFont="1" applyBorder="1" applyAlignment="1"/>
    <xf numFmtId="0" fontId="61" fillId="0" borderId="7" xfId="0" applyFont="1" applyBorder="1" applyAlignment="1"/>
    <xf numFmtId="0" fontId="49" fillId="3" borderId="4" xfId="0" applyFont="1" applyFill="1" applyBorder="1" applyAlignment="1">
      <alignment horizontal="center"/>
    </xf>
    <xf numFmtId="0" fontId="49" fillId="3" borderId="21" xfId="0" applyFont="1" applyFill="1" applyBorder="1" applyAlignment="1">
      <alignment horizontal="center"/>
    </xf>
    <xf numFmtId="0" fontId="49" fillId="3" borderId="7" xfId="0" applyFont="1" applyFill="1" applyBorder="1" applyAlignment="1">
      <alignment horizontal="center"/>
    </xf>
    <xf numFmtId="0" fontId="61" fillId="0" borderId="3" xfId="0" applyFont="1" applyBorder="1" applyAlignment="1"/>
    <xf numFmtId="0" fontId="25" fillId="0" borderId="4" xfId="0" applyFont="1" applyFill="1" applyBorder="1" applyAlignment="1">
      <alignment horizontal="left"/>
    </xf>
    <xf numFmtId="0" fontId="26" fillId="0" borderId="4" xfId="0" applyFont="1" applyFill="1" applyBorder="1" applyAlignment="1">
      <alignment horizontal="left"/>
    </xf>
    <xf numFmtId="0" fontId="17" fillId="0" borderId="7" xfId="0" applyFont="1" applyBorder="1" applyAlignment="1">
      <alignment horizontal="left"/>
    </xf>
    <xf numFmtId="1" fontId="28" fillId="0" borderId="4" xfId="0" applyNumberFormat="1" applyFont="1" applyFill="1" applyBorder="1" applyAlignment="1">
      <alignment horizontal="center"/>
    </xf>
    <xf numFmtId="1" fontId="0" fillId="0" borderId="21" xfId="0" applyNumberFormat="1" applyFill="1" applyBorder="1" applyAlignment="1">
      <alignment horizontal="center"/>
    </xf>
    <xf numFmtId="1" fontId="0" fillId="0" borderId="7" xfId="0" applyNumberFormat="1" applyFill="1" applyBorder="1" applyAlignment="1">
      <alignment horizontal="center"/>
    </xf>
    <xf numFmtId="0" fontId="25" fillId="0" borderId="1" xfId="3" applyFont="1" applyBorder="1" applyAlignment="1">
      <alignment horizontal="left"/>
    </xf>
    <xf numFmtId="0" fontId="31" fillId="0" borderId="16" xfId="0" applyFont="1" applyBorder="1" applyAlignment="1">
      <alignment vertical="top" wrapText="1"/>
    </xf>
    <xf numFmtId="0" fontId="31" fillId="0" borderId="17" xfId="0" applyFont="1" applyBorder="1" applyAlignment="1">
      <alignment vertical="top" wrapText="1"/>
    </xf>
    <xf numFmtId="0" fontId="31" fillId="0" borderId="19" xfId="0" applyFont="1" applyBorder="1" applyAlignment="1">
      <alignment vertical="top" wrapText="1"/>
    </xf>
    <xf numFmtId="0" fontId="37" fillId="3" borderId="4" xfId="0" applyFont="1" applyFill="1" applyBorder="1" applyAlignment="1">
      <alignment horizontal="left"/>
    </xf>
    <xf numFmtId="0" fontId="38" fillId="3" borderId="21" xfId="0" applyFont="1" applyFill="1" applyBorder="1" applyAlignment="1">
      <alignment horizontal="left"/>
    </xf>
    <xf numFmtId="0" fontId="38" fillId="3" borderId="7" xfId="0" applyFont="1" applyFill="1" applyBorder="1" applyAlignment="1">
      <alignment horizontal="left"/>
    </xf>
    <xf numFmtId="0" fontId="26" fillId="0" borderId="4" xfId="0" applyFont="1" applyBorder="1" applyAlignment="1">
      <alignment horizontal="left"/>
    </xf>
    <xf numFmtId="0" fontId="61" fillId="0" borderId="22" xfId="0" applyFont="1" applyBorder="1" applyAlignment="1"/>
    <xf numFmtId="0" fontId="28" fillId="0" borderId="4" xfId="3" applyFont="1" applyFill="1" applyBorder="1" applyAlignment="1">
      <alignment horizontal="left"/>
    </xf>
    <xf numFmtId="0" fontId="17" fillId="0" borderId="5" xfId="0" applyFont="1" applyFill="1" applyBorder="1" applyAlignment="1"/>
    <xf numFmtId="0" fontId="0" fillId="0" borderId="0" xfId="0" applyBorder="1" applyAlignment="1"/>
    <xf numFmtId="0" fontId="61" fillId="0" borderId="43" xfId="0" applyFont="1" applyBorder="1" applyAlignment="1"/>
    <xf numFmtId="0" fontId="61" fillId="0" borderId="47" xfId="0" applyFont="1" applyBorder="1" applyAlignment="1"/>
    <xf numFmtId="0" fontId="31" fillId="0" borderId="4" xfId="0" applyFont="1" applyBorder="1" applyAlignment="1">
      <alignment vertical="top" wrapText="1"/>
    </xf>
    <xf numFmtId="0" fontId="31" fillId="0" borderId="21" xfId="0" applyFont="1" applyBorder="1" applyAlignment="1">
      <alignment vertical="top" wrapText="1"/>
    </xf>
    <xf numFmtId="0" fontId="31" fillId="0" borderId="7" xfId="0" applyFont="1" applyBorder="1" applyAlignment="1">
      <alignment vertical="top" wrapText="1"/>
    </xf>
    <xf numFmtId="0" fontId="67" fillId="0" borderId="1" xfId="3" applyFont="1" applyFill="1" applyBorder="1" applyAlignment="1"/>
    <xf numFmtId="0" fontId="68" fillId="0" borderId="1" xfId="0" applyFont="1" applyFill="1" applyBorder="1" applyAlignment="1"/>
    <xf numFmtId="0" fontId="0" fillId="3" borderId="21" xfId="0" applyFill="1" applyBorder="1" applyAlignment="1">
      <alignment horizontal="center"/>
    </xf>
    <xf numFmtId="0" fontId="0" fillId="3" borderId="7" xfId="0" applyFill="1" applyBorder="1" applyAlignment="1">
      <alignment horizontal="center"/>
    </xf>
    <xf numFmtId="0" fontId="61" fillId="0" borderId="87" xfId="0" applyFont="1" applyBorder="1" applyAlignment="1"/>
    <xf numFmtId="0" fontId="61" fillId="0" borderId="2" xfId="0" applyFont="1" applyBorder="1" applyAlignment="1"/>
    <xf numFmtId="0" fontId="17" fillId="0" borderId="18" xfId="0" applyFont="1" applyFill="1" applyBorder="1" applyAlignment="1"/>
    <xf numFmtId="0" fontId="0" fillId="0" borderId="4" xfId="0" applyBorder="1" applyAlignment="1">
      <alignment horizontal="left"/>
    </xf>
    <xf numFmtId="0" fontId="26" fillId="3" borderId="4" xfId="0" applyFont="1" applyFill="1" applyBorder="1" applyAlignment="1">
      <alignment horizontal="center"/>
    </xf>
    <xf numFmtId="0" fontId="25" fillId="3" borderId="21" xfId="0" applyFont="1" applyFill="1" applyBorder="1" applyAlignment="1"/>
    <xf numFmtId="0" fontId="25" fillId="3" borderId="7" xfId="0" applyFont="1" applyFill="1" applyBorder="1" applyAlignment="1"/>
    <xf numFmtId="0" fontId="67" fillId="0" borderId="18" xfId="3" applyFont="1" applyFill="1" applyBorder="1" applyAlignment="1"/>
    <xf numFmtId="0" fontId="68" fillId="0" borderId="20" xfId="0" applyFont="1" applyFill="1" applyBorder="1" applyAlignment="1"/>
    <xf numFmtId="0" fontId="67" fillId="3" borderId="4" xfId="3" applyFont="1" applyFill="1" applyBorder="1" applyAlignment="1">
      <alignment horizontal="left"/>
    </xf>
    <xf numFmtId="9" fontId="38" fillId="0" borderId="4" xfId="0" applyNumberFormat="1" applyFont="1" applyFill="1" applyBorder="1" applyAlignment="1">
      <alignment horizontal="center"/>
    </xf>
    <xf numFmtId="0" fontId="25" fillId="3" borderId="18" xfId="0" applyFont="1" applyFill="1" applyBorder="1" applyAlignment="1">
      <alignment horizontal="center"/>
    </xf>
    <xf numFmtId="0" fontId="25" fillId="3" borderId="18" xfId="0" applyFont="1" applyFill="1" applyBorder="1" applyAlignment="1">
      <alignment horizontal="left"/>
    </xf>
    <xf numFmtId="0" fontId="0" fillId="3" borderId="6" xfId="0" applyFill="1" applyBorder="1" applyAlignment="1">
      <alignment horizontal="left"/>
    </xf>
    <xf numFmtId="0" fontId="0" fillId="3" borderId="20" xfId="0" applyFill="1" applyBorder="1" applyAlignment="1">
      <alignment horizontal="left"/>
    </xf>
    <xf numFmtId="0" fontId="24" fillId="0" borderId="4" xfId="3" applyFont="1" applyFill="1" applyBorder="1" applyAlignment="1">
      <alignment horizontal="left"/>
    </xf>
    <xf numFmtId="0" fontId="67" fillId="3" borderId="21" xfId="0" applyFont="1" applyFill="1" applyBorder="1" applyAlignment="1">
      <alignment horizontal="left"/>
    </xf>
    <xf numFmtId="0" fontId="67" fillId="3" borderId="7" xfId="0" applyFont="1" applyFill="1" applyBorder="1" applyAlignment="1">
      <alignment horizontal="left"/>
    </xf>
    <xf numFmtId="9" fontId="58" fillId="0" borderId="4" xfId="3" applyNumberFormat="1" applyFont="1" applyFill="1" applyBorder="1" applyAlignment="1">
      <alignment horizontal="center"/>
    </xf>
    <xf numFmtId="9" fontId="58" fillId="0" borderId="21" xfId="3" applyNumberFormat="1" applyFont="1" applyFill="1" applyBorder="1" applyAlignment="1">
      <alignment horizontal="center"/>
    </xf>
    <xf numFmtId="9" fontId="58" fillId="0" borderId="4" xfId="3" applyNumberFormat="1" applyFont="1" applyBorder="1" applyAlignment="1">
      <alignment horizontal="center"/>
    </xf>
    <xf numFmtId="0" fontId="0" fillId="3" borderId="21" xfId="0" applyFill="1" applyBorder="1" applyAlignment="1">
      <alignment horizontal="left"/>
    </xf>
    <xf numFmtId="9" fontId="24" fillId="0" borderId="4" xfId="3" applyNumberFormat="1" applyFill="1" applyBorder="1" applyAlignment="1">
      <alignment horizontal="center"/>
    </xf>
    <xf numFmtId="0" fontId="24" fillId="0" borderId="22" xfId="3" applyBorder="1" applyAlignment="1">
      <alignment horizontal="center"/>
    </xf>
    <xf numFmtId="0" fontId="24" fillId="0" borderId="1" xfId="3" applyBorder="1" applyAlignment="1">
      <alignment horizontal="center"/>
    </xf>
    <xf numFmtId="0" fontId="24" fillId="0" borderId="31" xfId="3" applyBorder="1" applyAlignment="1">
      <alignment horizontal="center"/>
    </xf>
    <xf numFmtId="0" fontId="0" fillId="0" borderId="30" xfId="0" applyBorder="1" applyAlignment="1"/>
    <xf numFmtId="0" fontId="24" fillId="0" borderId="30" xfId="3" applyBorder="1" applyAlignment="1">
      <alignment horizontal="center"/>
    </xf>
    <xf numFmtId="0" fontId="48" fillId="0" borderId="6" xfId="0" applyFont="1" applyBorder="1" applyAlignment="1">
      <alignment horizontal="center" vertical="top"/>
    </xf>
    <xf numFmtId="0" fontId="0" fillId="0" borderId="6" xfId="0" applyBorder="1" applyAlignment="1">
      <alignment horizontal="center" vertical="top"/>
    </xf>
    <xf numFmtId="0" fontId="27" fillId="0" borderId="0" xfId="3" applyFont="1" applyAlignment="1">
      <alignment horizontal="left"/>
    </xf>
    <xf numFmtId="0" fontId="0" fillId="0" borderId="32" xfId="0" applyBorder="1" applyAlignment="1"/>
    <xf numFmtId="0" fontId="27" fillId="0" borderId="86" xfId="3" applyFont="1" applyBorder="1" applyAlignment="1">
      <alignment horizontal="center"/>
    </xf>
    <xf numFmtId="0" fontId="0" fillId="0" borderId="44" xfId="0" applyBorder="1" applyAlignment="1">
      <alignment horizontal="center"/>
    </xf>
    <xf numFmtId="0" fontId="27" fillId="0" borderId="18" xfId="3" applyFont="1" applyBorder="1" applyAlignment="1">
      <alignment horizontal="center"/>
    </xf>
    <xf numFmtId="0" fontId="0" fillId="0" borderId="23" xfId="0" applyBorder="1" applyAlignment="1"/>
    <xf numFmtId="0" fontId="27" fillId="3" borderId="145" xfId="3" applyFont="1" applyFill="1" applyBorder="1" applyAlignment="1">
      <alignment horizontal="center"/>
    </xf>
    <xf numFmtId="0" fontId="0" fillId="0" borderId="145" xfId="0" applyBorder="1" applyAlignment="1">
      <alignment horizontal="center"/>
    </xf>
    <xf numFmtId="0" fontId="0" fillId="0" borderId="146" xfId="0" applyBorder="1" applyAlignment="1">
      <alignment horizontal="center"/>
    </xf>
    <xf numFmtId="0" fontId="27" fillId="3" borderId="135" xfId="3" applyFont="1" applyFill="1" applyBorder="1" applyAlignment="1">
      <alignment horizontal="center"/>
    </xf>
    <xf numFmtId="0" fontId="0" fillId="0" borderId="136" xfId="0" applyBorder="1" applyAlignment="1">
      <alignment horizontal="center"/>
    </xf>
    <xf numFmtId="0" fontId="0" fillId="0" borderId="137" xfId="0" applyBorder="1" applyAlignment="1">
      <alignment horizontal="center"/>
    </xf>
    <xf numFmtId="0" fontId="27" fillId="0" borderId="0" xfId="3" quotePrefix="1" applyFont="1" applyAlignment="1">
      <alignment horizontal="right"/>
    </xf>
    <xf numFmtId="0" fontId="27" fillId="0" borderId="0" xfId="0" applyFont="1" applyAlignment="1">
      <alignment horizontal="right"/>
    </xf>
    <xf numFmtId="16" fontId="27" fillId="0" borderId="0" xfId="3" quotePrefix="1" applyNumberFormat="1" applyFont="1" applyAlignment="1">
      <alignment horizontal="right"/>
    </xf>
    <xf numFmtId="0" fontId="31" fillId="0" borderId="53" xfId="3" applyFont="1" applyFill="1" applyBorder="1" applyAlignment="1">
      <alignment horizontal="center" shrinkToFit="1"/>
    </xf>
    <xf numFmtId="1" fontId="31" fillId="0" borderId="53" xfId="3" applyNumberFormat="1" applyFont="1" applyFill="1" applyBorder="1" applyAlignment="1">
      <alignment horizontal="center" shrinkToFit="1"/>
    </xf>
    <xf numFmtId="0" fontId="27" fillId="0" borderId="148" xfId="3" applyFont="1" applyBorder="1" applyAlignment="1">
      <alignment horizontal="center"/>
    </xf>
    <xf numFmtId="0" fontId="27" fillId="3" borderId="147" xfId="3" applyFont="1" applyFill="1" applyBorder="1" applyAlignment="1">
      <alignment horizontal="center"/>
    </xf>
    <xf numFmtId="0" fontId="24" fillId="0" borderId="4" xfId="3" applyFont="1" applyBorder="1" applyAlignment="1"/>
    <xf numFmtId="9" fontId="28" fillId="0" borderId="127" xfId="3" applyNumberFormat="1" applyFont="1" applyFill="1" applyBorder="1" applyAlignment="1">
      <alignment horizontal="center" shrinkToFit="1"/>
    </xf>
    <xf numFmtId="0" fontId="28" fillId="0" borderId="53" xfId="0" applyFont="1" applyFill="1" applyBorder="1" applyAlignment="1">
      <alignment horizontal="center" shrinkToFit="1"/>
    </xf>
    <xf numFmtId="1" fontId="31" fillId="0" borderId="1" xfId="3" applyNumberFormat="1" applyFont="1" applyFill="1" applyBorder="1" applyAlignment="1">
      <alignment horizontal="center" shrinkToFit="1"/>
    </xf>
    <xf numFmtId="0" fontId="27" fillId="0" borderId="43" xfId="3" applyFont="1" applyBorder="1" applyAlignment="1">
      <alignment horizontal="center"/>
    </xf>
    <xf numFmtId="0" fontId="0" fillId="0" borderId="47" xfId="0" applyBorder="1" applyAlignment="1"/>
    <xf numFmtId="0" fontId="32" fillId="0" borderId="4" xfId="3" applyFont="1" applyBorder="1" applyAlignment="1">
      <alignment horizontal="center"/>
    </xf>
    <xf numFmtId="0" fontId="25" fillId="3" borderId="88" xfId="0" applyFont="1" applyFill="1" applyBorder="1" applyAlignment="1">
      <alignment horizontal="left" vertical="top"/>
    </xf>
    <xf numFmtId="0" fontId="0" fillId="0" borderId="89" xfId="0" applyBorder="1" applyAlignment="1">
      <alignment horizontal="left" vertical="top"/>
    </xf>
    <xf numFmtId="0" fontId="0" fillId="0" borderId="90" xfId="0" applyBorder="1" applyAlignment="1">
      <alignment horizontal="left" vertical="top"/>
    </xf>
    <xf numFmtId="0" fontId="27" fillId="0" borderId="47" xfId="3" applyFont="1" applyBorder="1" applyAlignment="1">
      <alignment horizontal="center"/>
    </xf>
    <xf numFmtId="0" fontId="0" fillId="0" borderId="65" xfId="0" applyBorder="1" applyAlignment="1"/>
    <xf numFmtId="0" fontId="0" fillId="0" borderId="88" xfId="0" applyBorder="1" applyAlignment="1"/>
    <xf numFmtId="0" fontId="0" fillId="0" borderId="89" xfId="0" applyBorder="1" applyAlignment="1"/>
    <xf numFmtId="0" fontId="0" fillId="0" borderId="90" xfId="0" applyBorder="1" applyAlignment="1"/>
    <xf numFmtId="0" fontId="25" fillId="3" borderId="58" xfId="3" applyFont="1" applyFill="1" applyBorder="1" applyAlignment="1">
      <alignment horizontal="left" shrinkToFit="1"/>
    </xf>
    <xf numFmtId="0" fontId="28" fillId="0" borderId="58" xfId="0" applyFont="1" applyBorder="1" applyAlignment="1">
      <alignment shrinkToFit="1"/>
    </xf>
    <xf numFmtId="0" fontId="0" fillId="0" borderId="58" xfId="0" applyBorder="1" applyAlignment="1"/>
    <xf numFmtId="0" fontId="25" fillId="3" borderId="88" xfId="0" applyFont="1" applyFill="1" applyBorder="1" applyAlignment="1">
      <alignment horizontal="center" wrapText="1"/>
    </xf>
    <xf numFmtId="0" fontId="28" fillId="0" borderId="89" xfId="0" applyFont="1" applyBorder="1" applyAlignment="1">
      <alignment horizontal="center" wrapText="1"/>
    </xf>
    <xf numFmtId="1" fontId="0" fillId="0" borderId="57" xfId="0" applyNumberFormat="1" applyBorder="1" applyAlignment="1">
      <alignment horizontal="center" shrinkToFit="1"/>
    </xf>
    <xf numFmtId="0" fontId="28" fillId="3" borderId="88" xfId="3" applyFont="1" applyFill="1" applyBorder="1" applyAlignment="1">
      <alignment horizontal="center" shrinkToFit="1"/>
    </xf>
    <xf numFmtId="0" fontId="0" fillId="0" borderId="89" xfId="0" applyBorder="1" applyAlignment="1">
      <alignment shrinkToFit="1"/>
    </xf>
    <xf numFmtId="0" fontId="0" fillId="0" borderId="90" xfId="0" applyBorder="1" applyAlignment="1">
      <alignment shrinkToFit="1"/>
    </xf>
    <xf numFmtId="0" fontId="25" fillId="3" borderId="99" xfId="0" applyFont="1" applyFill="1" applyBorder="1" applyAlignment="1">
      <alignment horizontal="center" wrapText="1"/>
    </xf>
    <xf numFmtId="0" fontId="0" fillId="0" borderId="71" xfId="0" applyBorder="1" applyAlignment="1"/>
    <xf numFmtId="0" fontId="27" fillId="0" borderId="112" xfId="3" applyFont="1" applyFill="1" applyBorder="1" applyAlignment="1">
      <alignment horizontal="center" shrinkToFit="1"/>
    </xf>
    <xf numFmtId="0" fontId="27" fillId="0" borderId="53" xfId="0" applyFont="1" applyBorder="1" applyAlignment="1">
      <alignment horizontal="center" shrinkToFit="1"/>
    </xf>
    <xf numFmtId="0" fontId="27" fillId="0" borderId="57" xfId="0" applyFont="1" applyBorder="1" applyAlignment="1">
      <alignment horizontal="center" shrinkToFit="1"/>
    </xf>
    <xf numFmtId="0" fontId="25" fillId="3" borderId="88" xfId="0" applyFont="1" applyFill="1" applyBorder="1" applyAlignment="1">
      <alignment horizontal="center" shrinkToFit="1"/>
    </xf>
    <xf numFmtId="0" fontId="25" fillId="3" borderId="88" xfId="0" applyFont="1" applyFill="1" applyBorder="1" applyAlignment="1">
      <alignment horizontal="center" vertical="top" wrapText="1"/>
    </xf>
    <xf numFmtId="0" fontId="25" fillId="3" borderId="89" xfId="0" applyFont="1" applyFill="1" applyBorder="1" applyAlignment="1">
      <alignment horizontal="center" vertical="top" wrapText="1"/>
    </xf>
    <xf numFmtId="0" fontId="25" fillId="3" borderId="90" xfId="0" applyFont="1" applyFill="1" applyBorder="1" applyAlignment="1">
      <alignment horizontal="center" vertical="top" wrapText="1"/>
    </xf>
    <xf numFmtId="0" fontId="31" fillId="0" borderId="88" xfId="0" applyFont="1" applyBorder="1" applyAlignment="1">
      <alignment horizontal="center" wrapText="1"/>
    </xf>
    <xf numFmtId="0" fontId="50" fillId="0" borderId="89" xfId="0" applyFont="1" applyBorder="1" applyAlignment="1">
      <alignment horizontal="center"/>
    </xf>
    <xf numFmtId="0" fontId="50" fillId="0" borderId="90" xfId="0" applyFont="1" applyBorder="1" applyAlignment="1">
      <alignment horizontal="center"/>
    </xf>
    <xf numFmtId="0" fontId="60" fillId="3" borderId="99" xfId="0" applyFont="1" applyFill="1" applyBorder="1" applyAlignment="1">
      <alignment horizontal="center" wrapText="1"/>
    </xf>
    <xf numFmtId="0" fontId="0" fillId="0" borderId="71" xfId="0" applyBorder="1"/>
    <xf numFmtId="0" fontId="0" fillId="0" borderId="100" xfId="0" applyBorder="1"/>
    <xf numFmtId="0" fontId="0" fillId="0" borderId="101" xfId="0" applyBorder="1"/>
    <xf numFmtId="0" fontId="0" fillId="0" borderId="102" xfId="0" applyBorder="1"/>
    <xf numFmtId="0" fontId="0" fillId="0" borderId="60" xfId="0" applyBorder="1"/>
    <xf numFmtId="0" fontId="24" fillId="3" borderId="135" xfId="3" applyFont="1" applyFill="1" applyBorder="1" applyAlignment="1">
      <alignment horizontal="center"/>
    </xf>
    <xf numFmtId="0" fontId="0" fillId="0" borderId="145" xfId="0" applyBorder="1" applyAlignment="1"/>
    <xf numFmtId="9" fontId="28" fillId="0" borderId="104" xfId="3" applyNumberFormat="1" applyFont="1" applyFill="1" applyBorder="1" applyAlignment="1">
      <alignment horizontal="center" shrinkToFit="1"/>
    </xf>
    <xf numFmtId="0" fontId="28" fillId="0" borderId="1" xfId="0" applyFont="1" applyFill="1" applyBorder="1" applyAlignment="1">
      <alignment horizontal="center" shrinkToFit="1"/>
    </xf>
    <xf numFmtId="0" fontId="31" fillId="0" borderId="1" xfId="3" applyFont="1" applyFill="1" applyBorder="1" applyAlignment="1">
      <alignment horizontal="center" shrinkToFit="1"/>
    </xf>
    <xf numFmtId="0" fontId="64" fillId="0" borderId="0" xfId="0" applyFont="1" applyBorder="1" applyAlignment="1">
      <alignment horizontal="center" vertical="top"/>
    </xf>
    <xf numFmtId="0" fontId="91" fillId="0" borderId="0" xfId="0" applyFont="1" applyAlignment="1">
      <alignment horizontal="center" vertical="top"/>
    </xf>
    <xf numFmtId="0" fontId="0" fillId="0" borderId="0" xfId="0"/>
    <xf numFmtId="9" fontId="31" fillId="0" borderId="88" xfId="0" applyNumberFormat="1" applyFont="1" applyBorder="1" applyAlignment="1">
      <alignment horizontal="center" wrapText="1"/>
    </xf>
    <xf numFmtId="0" fontId="0" fillId="0" borderId="89" xfId="0" applyBorder="1"/>
    <xf numFmtId="0" fontId="0" fillId="0" borderId="90" xfId="0" applyBorder="1"/>
    <xf numFmtId="0" fontId="61" fillId="0" borderId="71" xfId="0" applyFont="1" applyBorder="1" applyAlignment="1">
      <alignment horizontal="center"/>
    </xf>
    <xf numFmtId="0" fontId="61" fillId="0" borderId="71" xfId="0" applyFont="1" applyBorder="1" applyAlignment="1"/>
    <xf numFmtId="0" fontId="0" fillId="0" borderId="100" xfId="0" applyBorder="1" applyAlignment="1"/>
    <xf numFmtId="0" fontId="61" fillId="0" borderId="101" xfId="0" applyFont="1" applyBorder="1" applyAlignment="1"/>
    <xf numFmtId="0" fontId="61" fillId="0" borderId="102" xfId="0" applyFont="1" applyBorder="1" applyAlignment="1"/>
    <xf numFmtId="0" fontId="0" fillId="0" borderId="60" xfId="0" applyBorder="1" applyAlignment="1"/>
    <xf numFmtId="0" fontId="27" fillId="0" borderId="7" xfId="3" applyFont="1" applyFill="1" applyBorder="1" applyAlignment="1">
      <alignment horizontal="center" shrinkToFit="1"/>
    </xf>
    <xf numFmtId="0" fontId="27" fillId="0" borderId="1" xfId="0" applyFont="1" applyBorder="1" applyAlignment="1">
      <alignment horizontal="center" shrinkToFit="1"/>
    </xf>
    <xf numFmtId="0" fontId="27" fillId="0" borderId="56" xfId="0" applyFont="1" applyBorder="1" applyAlignment="1">
      <alignment horizontal="center" shrinkToFit="1"/>
    </xf>
    <xf numFmtId="1" fontId="0" fillId="0" borderId="56" xfId="0" applyNumberFormat="1" applyBorder="1" applyAlignment="1">
      <alignment horizontal="center" shrinkToFit="1"/>
    </xf>
    <xf numFmtId="0" fontId="50" fillId="0" borderId="89" xfId="0" applyFont="1" applyBorder="1" applyAlignment="1"/>
    <xf numFmtId="0" fontId="50" fillId="0" borderId="90" xfId="0" applyFont="1" applyBorder="1" applyAlignment="1"/>
    <xf numFmtId="0" fontId="28" fillId="0" borderId="47" xfId="0" applyFont="1" applyFill="1" applyBorder="1" applyAlignment="1">
      <alignment horizontal="center"/>
    </xf>
    <xf numFmtId="0" fontId="0" fillId="0" borderId="47" xfId="0" applyFill="1" applyBorder="1" applyAlignment="1">
      <alignment horizontal="center"/>
    </xf>
    <xf numFmtId="0" fontId="0" fillId="0" borderId="65" xfId="0" applyFill="1" applyBorder="1" applyAlignment="1">
      <alignment horizontal="center"/>
    </xf>
    <xf numFmtId="0" fontId="0" fillId="0" borderId="23" xfId="0" applyFill="1" applyBorder="1" applyAlignment="1">
      <alignment horizontal="center"/>
    </xf>
    <xf numFmtId="0" fontId="60" fillId="0" borderId="2" xfId="0" applyFont="1" applyBorder="1" applyAlignment="1">
      <alignment horizontal="center" vertical="center" wrapText="1"/>
    </xf>
    <xf numFmtId="0" fontId="62" fillId="0" borderId="2" xfId="0" applyFont="1" applyBorder="1" applyAlignment="1">
      <alignment horizontal="center" vertical="center"/>
    </xf>
    <xf numFmtId="0" fontId="60" fillId="0" borderId="2" xfId="0" applyFont="1" applyBorder="1" applyAlignment="1">
      <alignment horizontal="center" vertical="center"/>
    </xf>
    <xf numFmtId="0" fontId="60" fillId="3" borderId="93" xfId="0" applyFont="1" applyFill="1" applyBorder="1" applyAlignment="1">
      <alignment horizontal="center"/>
    </xf>
    <xf numFmtId="0" fontId="0" fillId="0" borderId="51" xfId="0" applyBorder="1" applyAlignment="1">
      <alignment horizontal="center"/>
    </xf>
    <xf numFmtId="0" fontId="0" fillId="0" borderId="111" xfId="0" applyBorder="1" applyAlignment="1">
      <alignment horizontal="center"/>
    </xf>
    <xf numFmtId="0" fontId="31" fillId="0" borderId="16" xfId="3" applyFont="1" applyFill="1" applyBorder="1" applyAlignment="1">
      <alignment horizontal="center" wrapText="1"/>
    </xf>
    <xf numFmtId="0" fontId="31" fillId="0" borderId="19" xfId="0" applyFont="1" applyBorder="1" applyAlignment="1">
      <alignment horizontal="center" wrapText="1"/>
    </xf>
    <xf numFmtId="0" fontId="17" fillId="0" borderId="18" xfId="0" applyFont="1" applyBorder="1" applyAlignment="1">
      <alignment horizontal="center" wrapText="1"/>
    </xf>
    <xf numFmtId="0" fontId="17" fillId="0" borderId="20" xfId="0" applyFont="1" applyBorder="1" applyAlignment="1">
      <alignment horizontal="center" wrapText="1"/>
    </xf>
    <xf numFmtId="1" fontId="31" fillId="0" borderId="1" xfId="3" applyNumberFormat="1" applyFont="1" applyFill="1" applyBorder="1" applyAlignment="1">
      <alignment horizontal="center"/>
    </xf>
    <xf numFmtId="0" fontId="0" fillId="0" borderId="21" xfId="0" applyBorder="1"/>
    <xf numFmtId="0" fontId="0" fillId="0" borderId="7" xfId="0" applyBorder="1"/>
    <xf numFmtId="9" fontId="28" fillId="0" borderId="1" xfId="3" applyNumberFormat="1" applyFont="1" applyFill="1" applyBorder="1" applyAlignment="1">
      <alignment horizontal="center"/>
    </xf>
    <xf numFmtId="0" fontId="31" fillId="0" borderId="104" xfId="0" applyFont="1" applyBorder="1" applyAlignment="1">
      <alignment horizontal="left"/>
    </xf>
    <xf numFmtId="0" fontId="31" fillId="0" borderId="106" xfId="3" applyFont="1" applyFill="1" applyBorder="1" applyAlignment="1">
      <alignment horizontal="center" shrinkToFit="1"/>
    </xf>
    <xf numFmtId="0" fontId="31" fillId="0" borderId="107" xfId="0" applyFont="1" applyFill="1" applyBorder="1" applyAlignment="1">
      <alignment horizontal="center" shrinkToFit="1"/>
    </xf>
    <xf numFmtId="0" fontId="31" fillId="0" borderId="54" xfId="3" applyFont="1" applyFill="1" applyBorder="1" applyAlignment="1">
      <alignment horizontal="center" vertical="top" shrinkToFit="1"/>
    </xf>
    <xf numFmtId="0" fontId="31" fillId="0" borderId="93" xfId="0" applyFont="1" applyFill="1" applyBorder="1" applyAlignment="1">
      <alignment horizontal="center" vertical="top" shrinkToFit="1"/>
    </xf>
    <xf numFmtId="0" fontId="31" fillId="0" borderId="53" xfId="0" applyFont="1" applyFill="1" applyBorder="1" applyAlignment="1">
      <alignment horizontal="center" vertical="top" shrinkToFit="1"/>
    </xf>
    <xf numFmtId="0" fontId="31" fillId="0" borderId="91" xfId="0" applyFont="1" applyFill="1" applyBorder="1" applyAlignment="1">
      <alignment horizontal="center" vertical="top" shrinkToFit="1"/>
    </xf>
    <xf numFmtId="0" fontId="31" fillId="0" borderId="54" xfId="3" applyFont="1" applyFill="1" applyBorder="1" applyAlignment="1">
      <alignment horizontal="center" shrinkToFit="1"/>
    </xf>
    <xf numFmtId="9" fontId="31" fillId="0" borderId="1" xfId="0" applyNumberFormat="1" applyFont="1" applyBorder="1" applyAlignment="1">
      <alignment horizontal="center"/>
    </xf>
    <xf numFmtId="0" fontId="17" fillId="0" borderId="56" xfId="0" applyFont="1" applyBorder="1" applyAlignment="1">
      <alignment horizontal="center"/>
    </xf>
    <xf numFmtId="9" fontId="28" fillId="0" borderId="103" xfId="3" applyNumberFormat="1" applyFont="1" applyFill="1" applyBorder="1" applyAlignment="1">
      <alignment horizontal="center" shrinkToFit="1"/>
    </xf>
    <xf numFmtId="0" fontId="28" fillId="0" borderId="54" xfId="0" applyFont="1" applyFill="1" applyBorder="1" applyAlignment="1">
      <alignment horizontal="center" shrinkToFit="1"/>
    </xf>
    <xf numFmtId="1" fontId="28" fillId="3" borderId="4" xfId="3" applyNumberFormat="1" applyFont="1" applyFill="1" applyBorder="1" applyAlignment="1">
      <alignment horizontal="center"/>
    </xf>
    <xf numFmtId="1" fontId="0" fillId="3" borderId="7" xfId="0" applyNumberFormat="1" applyFill="1" applyBorder="1" applyAlignment="1">
      <alignment horizontal="center"/>
    </xf>
    <xf numFmtId="0" fontId="31" fillId="3" borderId="21" xfId="3" applyFont="1" applyFill="1" applyBorder="1" applyAlignment="1">
      <alignment horizontal="left"/>
    </xf>
    <xf numFmtId="0" fontId="31" fillId="3" borderId="7" xfId="3" applyFont="1" applyFill="1" applyBorder="1" applyAlignment="1">
      <alignment horizontal="left"/>
    </xf>
    <xf numFmtId="0" fontId="28" fillId="0" borderId="4" xfId="3" applyFont="1" applyBorder="1" applyAlignment="1">
      <alignment horizontal="left"/>
    </xf>
    <xf numFmtId="0" fontId="28" fillId="0" borderId="21" xfId="3" applyFont="1" applyBorder="1" applyAlignment="1">
      <alignment horizontal="left"/>
    </xf>
    <xf numFmtId="0" fontId="28" fillId="0" borderId="7" xfId="0" applyFont="1" applyBorder="1" applyAlignment="1"/>
    <xf numFmtId="0" fontId="28" fillId="0" borderId="4" xfId="3" applyFont="1" applyFill="1" applyBorder="1" applyAlignment="1">
      <alignment horizontal="center"/>
    </xf>
    <xf numFmtId="2" fontId="17" fillId="3" borderId="1" xfId="0" applyNumberFormat="1" applyFont="1" applyFill="1" applyBorder="1" applyAlignment="1">
      <alignment horizontal="center" shrinkToFit="1"/>
    </xf>
    <xf numFmtId="0" fontId="31" fillId="0" borderId="1" xfId="3" applyFont="1" applyFill="1" applyBorder="1" applyAlignment="1">
      <alignment horizontal="left" shrinkToFit="1"/>
    </xf>
    <xf numFmtId="0" fontId="17" fillId="0" borderId="1" xfId="0" applyFont="1" applyFill="1" applyBorder="1" applyAlignment="1">
      <alignment shrinkToFit="1"/>
    </xf>
    <xf numFmtId="9" fontId="28" fillId="3" borderId="4" xfId="3" applyNumberFormat="1" applyFont="1" applyFill="1" applyBorder="1" applyAlignment="1">
      <alignment horizontal="center"/>
    </xf>
    <xf numFmtId="9" fontId="28" fillId="0" borderId="4" xfId="3" applyNumberFormat="1" applyFont="1" applyFill="1" applyBorder="1" applyAlignment="1">
      <alignment horizontal="center"/>
    </xf>
    <xf numFmtId="9" fontId="31" fillId="0" borderId="4" xfId="3" applyNumberFormat="1" applyFont="1" applyFill="1" applyBorder="1" applyAlignment="1">
      <alignment horizontal="left"/>
    </xf>
    <xf numFmtId="0" fontId="31" fillId="0" borderId="21" xfId="3" applyFont="1" applyFill="1" applyBorder="1" applyAlignment="1">
      <alignment horizontal="left"/>
    </xf>
    <xf numFmtId="0" fontId="31" fillId="0" borderId="7" xfId="3" applyFont="1" applyFill="1" applyBorder="1" applyAlignment="1">
      <alignment horizontal="left"/>
    </xf>
    <xf numFmtId="0" fontId="52" fillId="3" borderId="16" xfId="0" applyFont="1" applyFill="1" applyBorder="1" applyAlignment="1">
      <alignment horizontal="center"/>
    </xf>
    <xf numFmtId="0" fontId="63" fillId="3" borderId="19" xfId="0" applyFont="1" applyFill="1" applyBorder="1" applyAlignment="1">
      <alignment horizontal="center"/>
    </xf>
    <xf numFmtId="9" fontId="27" fillId="0" borderId="16" xfId="3" applyNumberFormat="1" applyFont="1" applyBorder="1" applyAlignment="1">
      <alignment horizontal="center"/>
    </xf>
    <xf numFmtId="0" fontId="27" fillId="0" borderId="16" xfId="3" applyFont="1" applyBorder="1" applyAlignment="1">
      <alignment horizontal="center"/>
    </xf>
    <xf numFmtId="0" fontId="27" fillId="0" borderId="19" xfId="3" applyFont="1" applyBorder="1" applyAlignment="1">
      <alignment horizontal="center"/>
    </xf>
    <xf numFmtId="0" fontId="31" fillId="0" borderId="4" xfId="3" applyNumberFormat="1" applyFont="1" applyBorder="1" applyAlignment="1">
      <alignment horizontal="left"/>
    </xf>
    <xf numFmtId="0" fontId="31" fillId="0" borderId="21" xfId="3" applyNumberFormat="1" applyFont="1" applyBorder="1" applyAlignment="1">
      <alignment horizontal="left"/>
    </xf>
    <xf numFmtId="0" fontId="31" fillId="0" borderId="7" xfId="3" applyNumberFormat="1" applyFont="1" applyBorder="1" applyAlignment="1">
      <alignment horizontal="left"/>
    </xf>
    <xf numFmtId="0" fontId="31" fillId="0" borderId="1" xfId="3" applyFont="1" applyBorder="1" applyAlignment="1">
      <alignment horizontal="left"/>
    </xf>
    <xf numFmtId="0" fontId="0" fillId="0" borderId="17" xfId="0" applyBorder="1"/>
    <xf numFmtId="0" fontId="0" fillId="0" borderId="19" xfId="0" applyBorder="1"/>
    <xf numFmtId="0" fontId="52" fillId="0" borderId="4" xfId="3" applyFont="1" applyFill="1" applyBorder="1" applyAlignment="1">
      <alignment horizontal="left"/>
    </xf>
    <xf numFmtId="0" fontId="27" fillId="0" borderId="16" xfId="0" applyFont="1" applyBorder="1" applyAlignment="1"/>
    <xf numFmtId="0" fontId="27" fillId="0" borderId="5" xfId="3" applyFont="1" applyBorder="1" applyAlignment="1"/>
    <xf numFmtId="0" fontId="0" fillId="0" borderId="8" xfId="0" applyBorder="1" applyAlignment="1"/>
    <xf numFmtId="0" fontId="27" fillId="0" borderId="1" xfId="3" applyFont="1" applyBorder="1" applyAlignment="1"/>
    <xf numFmtId="0" fontId="27" fillId="0" borderId="4" xfId="0" applyFont="1" applyBorder="1" applyAlignment="1">
      <alignment horizontal="center"/>
    </xf>
    <xf numFmtId="0" fontId="27" fillId="0" borderId="21" xfId="0" applyFont="1" applyBorder="1" applyAlignment="1">
      <alignment horizontal="center"/>
    </xf>
    <xf numFmtId="0" fontId="27" fillId="0" borderId="7" xfId="0" applyFont="1" applyBorder="1" applyAlignment="1">
      <alignment horizontal="center"/>
    </xf>
    <xf numFmtId="0" fontId="31" fillId="3" borderId="21" xfId="3" applyFont="1" applyFill="1" applyBorder="1" applyAlignment="1">
      <alignment horizontal="center"/>
    </xf>
    <xf numFmtId="0" fontId="31" fillId="3" borderId="7" xfId="3" applyFont="1" applyFill="1" applyBorder="1" applyAlignment="1">
      <alignment horizontal="center"/>
    </xf>
    <xf numFmtId="0" fontId="28" fillId="3" borderId="16" xfId="3" applyFont="1" applyFill="1" applyBorder="1" applyAlignment="1">
      <alignment horizontal="center"/>
    </xf>
    <xf numFmtId="0" fontId="28" fillId="3" borderId="19" xfId="3" applyFont="1" applyFill="1" applyBorder="1" applyAlignment="1">
      <alignment horizontal="center"/>
    </xf>
    <xf numFmtId="0" fontId="27" fillId="3" borderId="4" xfId="0" applyFont="1" applyFill="1" applyBorder="1" applyAlignment="1">
      <alignment horizontal="center"/>
    </xf>
    <xf numFmtId="0" fontId="27" fillId="3" borderId="21" xfId="0" applyFont="1" applyFill="1" applyBorder="1" applyAlignment="1">
      <alignment horizontal="center"/>
    </xf>
    <xf numFmtId="0" fontId="27" fillId="3" borderId="7" xfId="0" applyFont="1" applyFill="1" applyBorder="1" applyAlignment="1">
      <alignment horizontal="center"/>
    </xf>
    <xf numFmtId="0" fontId="31" fillId="3" borderId="4" xfId="3" applyFont="1" applyFill="1" applyBorder="1" applyAlignment="1">
      <alignment horizontal="right"/>
    </xf>
    <xf numFmtId="0" fontId="31" fillId="3" borderId="21" xfId="3" applyFont="1" applyFill="1" applyBorder="1" applyAlignment="1">
      <alignment horizontal="right"/>
    </xf>
    <xf numFmtId="0" fontId="31" fillId="3" borderId="7" xfId="3" applyFont="1" applyFill="1" applyBorder="1" applyAlignment="1">
      <alignment horizontal="right"/>
    </xf>
    <xf numFmtId="9" fontId="31" fillId="3" borderId="21" xfId="3" applyNumberFormat="1" applyFont="1" applyFill="1" applyBorder="1" applyAlignment="1">
      <alignment horizontal="center"/>
    </xf>
    <xf numFmtId="9" fontId="31" fillId="3" borderId="7" xfId="3" applyNumberFormat="1" applyFont="1" applyFill="1" applyBorder="1" applyAlignment="1">
      <alignment horizontal="center"/>
    </xf>
    <xf numFmtId="0" fontId="28" fillId="0" borderId="7" xfId="3" applyFont="1" applyBorder="1" applyAlignment="1">
      <alignment horizontal="left"/>
    </xf>
    <xf numFmtId="1" fontId="28" fillId="0" borderId="4" xfId="3" applyNumberFormat="1" applyFont="1" applyFill="1" applyBorder="1" applyAlignment="1">
      <alignment horizontal="center"/>
    </xf>
    <xf numFmtId="0" fontId="31" fillId="3" borderId="4" xfId="3" quotePrefix="1" applyFont="1" applyFill="1" applyBorder="1" applyAlignment="1">
      <alignment horizontal="center"/>
    </xf>
    <xf numFmtId="0" fontId="31" fillId="3" borderId="7" xfId="3" quotePrefix="1" applyFont="1" applyFill="1" applyBorder="1" applyAlignment="1">
      <alignment horizontal="center"/>
    </xf>
    <xf numFmtId="0" fontId="28" fillId="3" borderId="4" xfId="3" applyFont="1" applyFill="1" applyBorder="1" applyAlignment="1">
      <alignment horizontal="center"/>
    </xf>
    <xf numFmtId="0" fontId="31" fillId="3" borderId="1" xfId="3" applyFont="1" applyFill="1" applyBorder="1" applyAlignment="1">
      <alignment horizontal="left"/>
    </xf>
    <xf numFmtId="0" fontId="28" fillId="0" borderId="21" xfId="3" applyFont="1" applyFill="1" applyBorder="1" applyAlignment="1">
      <alignment horizontal="center"/>
    </xf>
    <xf numFmtId="0" fontId="28" fillId="0" borderId="7" xfId="3" applyFont="1" applyFill="1" applyBorder="1" applyAlignment="1">
      <alignment horizontal="center"/>
    </xf>
    <xf numFmtId="0" fontId="31" fillId="0" borderId="1" xfId="3" applyFont="1" applyFill="1" applyBorder="1" applyAlignment="1">
      <alignment horizontal="right"/>
    </xf>
    <xf numFmtId="0" fontId="28" fillId="0" borderId="6" xfId="0" applyFont="1" applyBorder="1" applyAlignment="1">
      <alignment horizontal="center"/>
    </xf>
    <xf numFmtId="0" fontId="28" fillId="0" borderId="20" xfId="0" applyFont="1" applyBorder="1" applyAlignment="1">
      <alignment horizontal="center"/>
    </xf>
    <xf numFmtId="0" fontId="27" fillId="3" borderId="21" xfId="3" applyFont="1" applyFill="1" applyBorder="1" applyAlignment="1">
      <alignment horizontal="center"/>
    </xf>
    <xf numFmtId="2" fontId="31" fillId="3" borderId="1" xfId="3" applyNumberFormat="1" applyFont="1" applyFill="1" applyBorder="1" applyAlignment="1">
      <alignment horizontal="center"/>
    </xf>
    <xf numFmtId="0" fontId="31" fillId="3" borderId="1" xfId="3" applyFont="1" applyFill="1" applyBorder="1" applyAlignment="1">
      <alignment horizontal="left" shrinkToFit="1"/>
    </xf>
    <xf numFmtId="0" fontId="17" fillId="0" borderId="1" xfId="0" applyFont="1" applyBorder="1" applyAlignment="1">
      <alignment horizontal="left" shrinkToFit="1"/>
    </xf>
    <xf numFmtId="0" fontId="31" fillId="3" borderId="84" xfId="3" applyFont="1" applyFill="1" applyBorder="1" applyAlignment="1">
      <alignment horizontal="left" shrinkToFit="1"/>
    </xf>
    <xf numFmtId="0" fontId="31" fillId="3" borderId="21" xfId="3" applyFont="1" applyFill="1" applyBorder="1" applyAlignment="1">
      <alignment horizontal="left" shrinkToFit="1"/>
    </xf>
    <xf numFmtId="0" fontId="31" fillId="3" borderId="7" xfId="3" applyFont="1" applyFill="1" applyBorder="1" applyAlignment="1">
      <alignment horizontal="left" shrinkToFit="1"/>
    </xf>
    <xf numFmtId="2" fontId="17" fillId="0" borderId="1" xfId="0" applyNumberFormat="1" applyFont="1" applyFill="1" applyBorder="1" applyAlignment="1">
      <alignment horizontal="center" shrinkToFit="1"/>
    </xf>
    <xf numFmtId="0" fontId="17" fillId="0" borderId="1" xfId="0" applyFont="1" applyFill="1" applyBorder="1" applyAlignment="1"/>
    <xf numFmtId="0" fontId="17" fillId="0" borderId="1" xfId="0" applyFont="1" applyBorder="1" applyAlignment="1"/>
    <xf numFmtId="2" fontId="31" fillId="0" borderId="1" xfId="3" applyNumberFormat="1" applyFont="1" applyFill="1" applyBorder="1" applyAlignment="1">
      <alignment horizontal="center"/>
    </xf>
    <xf numFmtId="0" fontId="31" fillId="0" borderId="84" xfId="3" applyFont="1" applyFill="1" applyBorder="1" applyAlignment="1">
      <alignment horizontal="left" shrinkToFit="1"/>
    </xf>
    <xf numFmtId="0" fontId="31" fillId="0" borderId="21" xfId="3" applyFont="1" applyFill="1" applyBorder="1" applyAlignment="1">
      <alignment horizontal="left" shrinkToFit="1"/>
    </xf>
    <xf numFmtId="0" fontId="31" fillId="0" borderId="7" xfId="3" applyFont="1" applyFill="1" applyBorder="1" applyAlignment="1">
      <alignment horizontal="left" shrinkToFit="1"/>
    </xf>
    <xf numFmtId="0" fontId="31" fillId="0" borderId="3" xfId="3" applyFont="1" applyFill="1" applyBorder="1" applyAlignment="1">
      <alignment horizontal="left" shrinkToFit="1"/>
    </xf>
    <xf numFmtId="0" fontId="17" fillId="0" borderId="3" xfId="0" applyFont="1" applyFill="1" applyBorder="1" applyAlignment="1">
      <alignment shrinkToFit="1"/>
    </xf>
    <xf numFmtId="0" fontId="28" fillId="0" borderId="17" xfId="0" applyFont="1" applyBorder="1" applyAlignment="1">
      <alignment horizontal="center"/>
    </xf>
    <xf numFmtId="0" fontId="28" fillId="0" borderId="19" xfId="0" applyFont="1" applyBorder="1" applyAlignment="1">
      <alignment horizontal="center"/>
    </xf>
    <xf numFmtId="0" fontId="25" fillId="0" borderId="4" xfId="3" applyFont="1" applyFill="1" applyBorder="1" applyAlignment="1">
      <alignment horizontal="left"/>
    </xf>
    <xf numFmtId="0" fontId="25" fillId="0" borderId="21" xfId="3" applyFont="1" applyFill="1" applyBorder="1" applyAlignment="1">
      <alignment horizontal="left"/>
    </xf>
    <xf numFmtId="0" fontId="25" fillId="0" borderId="7" xfId="3" applyFont="1" applyFill="1" applyBorder="1" applyAlignment="1">
      <alignment horizontal="left"/>
    </xf>
    <xf numFmtId="0" fontId="31" fillId="0" borderId="143" xfId="3" applyFont="1" applyFill="1" applyBorder="1" applyAlignment="1">
      <alignment horizontal="center"/>
    </xf>
    <xf numFmtId="0" fontId="17" fillId="0" borderId="143" xfId="0" applyFont="1" applyBorder="1" applyAlignment="1">
      <alignment horizontal="center"/>
    </xf>
    <xf numFmtId="0" fontId="31" fillId="3" borderId="4" xfId="3" applyFont="1" applyFill="1" applyBorder="1" applyAlignment="1">
      <alignment horizontal="center" shrinkToFit="1"/>
    </xf>
    <xf numFmtId="0" fontId="17" fillId="3" borderId="7" xfId="0" applyFont="1" applyFill="1" applyBorder="1" applyAlignment="1">
      <alignment horizontal="center" shrinkToFit="1"/>
    </xf>
    <xf numFmtId="0" fontId="17" fillId="3" borderId="1" xfId="0" applyFont="1" applyFill="1" applyBorder="1" applyAlignment="1">
      <alignment shrinkToFit="1"/>
    </xf>
    <xf numFmtId="0" fontId="17" fillId="0" borderId="1" xfId="0" applyFont="1" applyFill="1" applyBorder="1" applyAlignment="1">
      <alignment horizontal="left" shrinkToFit="1"/>
    </xf>
    <xf numFmtId="2" fontId="31" fillId="3" borderId="3" xfId="3" applyNumberFormat="1" applyFont="1" applyFill="1" applyBorder="1" applyAlignment="1">
      <alignment horizontal="center" shrinkToFit="1"/>
    </xf>
    <xf numFmtId="2" fontId="31" fillId="3" borderId="18" xfId="3" applyNumberFormat="1" applyFont="1" applyFill="1" applyBorder="1" applyAlignment="1">
      <alignment horizontal="center" shrinkToFit="1"/>
    </xf>
    <xf numFmtId="2" fontId="31" fillId="3" borderId="20" xfId="3" applyNumberFormat="1" applyFont="1" applyFill="1" applyBorder="1" applyAlignment="1">
      <alignment horizontal="center" shrinkToFit="1"/>
    </xf>
    <xf numFmtId="0" fontId="31" fillId="3" borderId="126" xfId="3" applyFont="1" applyFill="1" applyBorder="1" applyAlignment="1">
      <alignment horizontal="left" shrinkToFit="1"/>
    </xf>
    <xf numFmtId="0" fontId="31" fillId="3" borderId="124" xfId="3" applyFont="1" applyFill="1" applyBorder="1" applyAlignment="1">
      <alignment horizontal="left" shrinkToFit="1"/>
    </xf>
    <xf numFmtId="0" fontId="31" fillId="3" borderId="125" xfId="3" applyFont="1" applyFill="1" applyBorder="1" applyAlignment="1">
      <alignment horizontal="left" shrinkToFit="1"/>
    </xf>
    <xf numFmtId="0" fontId="17" fillId="0" borderId="1" xfId="0" applyFont="1" applyBorder="1" applyAlignment="1">
      <alignment shrinkToFit="1"/>
    </xf>
    <xf numFmtId="0" fontId="28" fillId="3" borderId="1" xfId="3" applyFont="1" applyFill="1" applyBorder="1" applyAlignment="1">
      <alignment horizontal="center"/>
    </xf>
    <xf numFmtId="0" fontId="17" fillId="3" borderId="1" xfId="0" applyFont="1" applyFill="1" applyBorder="1" applyAlignment="1">
      <alignment horizontal="center" shrinkToFit="1"/>
    </xf>
    <xf numFmtId="2" fontId="31" fillId="0" borderId="4" xfId="3" applyNumberFormat="1" applyFont="1" applyFill="1" applyBorder="1" applyAlignment="1">
      <alignment horizontal="center" shrinkToFit="1"/>
    </xf>
    <xf numFmtId="2" fontId="31" fillId="0" borderId="21" xfId="3" applyNumberFormat="1" applyFont="1" applyFill="1" applyBorder="1" applyAlignment="1">
      <alignment horizontal="center" shrinkToFit="1"/>
    </xf>
    <xf numFmtId="2" fontId="31" fillId="0" borderId="7" xfId="3" applyNumberFormat="1" applyFont="1" applyFill="1" applyBorder="1" applyAlignment="1">
      <alignment horizontal="center" shrinkToFit="1"/>
    </xf>
    <xf numFmtId="2" fontId="31" fillId="0" borderId="4" xfId="3" applyNumberFormat="1" applyFont="1" applyBorder="1" applyAlignment="1">
      <alignment horizontal="center"/>
    </xf>
    <xf numFmtId="2" fontId="31" fillId="0" borderId="21" xfId="3" applyNumberFormat="1" applyFont="1" applyBorder="1" applyAlignment="1">
      <alignment horizontal="center"/>
    </xf>
    <xf numFmtId="2" fontId="31" fillId="0" borderId="7" xfId="3" applyNumberFormat="1" applyFont="1" applyBorder="1" applyAlignment="1">
      <alignment horizontal="center"/>
    </xf>
    <xf numFmtId="0" fontId="31" fillId="0" borderId="4" xfId="3" applyFont="1" applyFill="1" applyBorder="1" applyAlignment="1">
      <alignment horizontal="center" shrinkToFit="1"/>
    </xf>
    <xf numFmtId="0" fontId="17" fillId="0" borderId="7" xfId="0" applyFont="1" applyFill="1" applyBorder="1" applyAlignment="1">
      <alignment horizontal="center" shrinkToFit="1"/>
    </xf>
    <xf numFmtId="2" fontId="31" fillId="0" borderId="1" xfId="3" applyNumberFormat="1" applyFont="1" applyFill="1" applyBorder="1" applyAlignment="1">
      <alignment horizontal="center" shrinkToFit="1"/>
    </xf>
    <xf numFmtId="2" fontId="31" fillId="3" borderId="4" xfId="3" applyNumberFormat="1" applyFont="1" applyFill="1" applyBorder="1" applyAlignment="1">
      <alignment horizontal="center" shrinkToFit="1"/>
    </xf>
    <xf numFmtId="2" fontId="17" fillId="3" borderId="21" xfId="0" applyNumberFormat="1" applyFont="1" applyFill="1" applyBorder="1" applyAlignment="1">
      <alignment horizontal="center" shrinkToFit="1"/>
    </xf>
    <xf numFmtId="2" fontId="17" fillId="3" borderId="7" xfId="0" applyNumberFormat="1" applyFont="1" applyFill="1" applyBorder="1" applyAlignment="1">
      <alignment horizontal="center" shrinkToFit="1"/>
    </xf>
    <xf numFmtId="2" fontId="17" fillId="0" borderId="21" xfId="0" applyNumberFormat="1" applyFont="1" applyFill="1" applyBorder="1" applyAlignment="1">
      <alignment horizontal="center" shrinkToFit="1"/>
    </xf>
    <xf numFmtId="2" fontId="17" fillId="0" borderId="7" xfId="0" applyNumberFormat="1" applyFont="1" applyFill="1" applyBorder="1" applyAlignment="1">
      <alignment horizontal="center" shrinkToFit="1"/>
    </xf>
    <xf numFmtId="2" fontId="17" fillId="0" borderId="3" xfId="0" applyNumberFormat="1" applyFont="1" applyFill="1" applyBorder="1" applyAlignment="1">
      <alignment horizontal="center" shrinkToFit="1"/>
    </xf>
    <xf numFmtId="0" fontId="31" fillId="3" borderId="1" xfId="0" applyFont="1" applyFill="1" applyBorder="1" applyAlignment="1">
      <alignment horizontal="right"/>
    </xf>
    <xf numFmtId="0" fontId="17" fillId="0" borderId="21" xfId="0" applyFont="1" applyFill="1" applyBorder="1" applyAlignment="1">
      <alignment horizontal="center"/>
    </xf>
    <xf numFmtId="0" fontId="17" fillId="0" borderId="7" xfId="0" applyFont="1" applyFill="1" applyBorder="1" applyAlignment="1">
      <alignment horizontal="center"/>
    </xf>
    <xf numFmtId="0" fontId="25" fillId="0" borderId="4" xfId="0" applyFont="1" applyFill="1" applyBorder="1" applyAlignment="1"/>
    <xf numFmtId="0" fontId="25" fillId="0" borderId="21" xfId="0" applyFont="1" applyFill="1" applyBorder="1" applyAlignment="1"/>
    <xf numFmtId="0" fontId="25" fillId="0" borderId="7" xfId="0" applyFont="1" applyFill="1" applyBorder="1" applyAlignment="1"/>
    <xf numFmtId="0" fontId="28" fillId="0" borderId="21" xfId="0" applyFont="1" applyBorder="1" applyAlignment="1">
      <alignment horizontal="left"/>
    </xf>
    <xf numFmtId="0" fontId="28" fillId="0" borderId="7" xfId="0" applyFont="1" applyBorder="1" applyAlignment="1">
      <alignment horizontal="left"/>
    </xf>
    <xf numFmtId="0" fontId="28" fillId="0" borderId="21" xfId="0" applyFont="1" applyBorder="1" applyAlignment="1"/>
    <xf numFmtId="1" fontId="28" fillId="0" borderId="21" xfId="3" applyNumberFormat="1" applyFont="1" applyBorder="1" applyAlignment="1">
      <alignment horizontal="center"/>
    </xf>
    <xf numFmtId="0" fontId="28" fillId="0" borderId="21" xfId="0" applyFont="1" applyBorder="1" applyAlignment="1">
      <alignment horizontal="center"/>
    </xf>
    <xf numFmtId="1" fontId="28" fillId="3" borderId="21" xfId="3" applyNumberFormat="1" applyFont="1" applyFill="1" applyBorder="1" applyAlignment="1">
      <alignment horizontal="center"/>
    </xf>
    <xf numFmtId="0" fontId="25" fillId="3" borderId="1" xfId="3" applyFont="1" applyFill="1" applyBorder="1" applyAlignment="1">
      <alignment horizontal="left"/>
    </xf>
    <xf numFmtId="0" fontId="28" fillId="3" borderId="7" xfId="3" applyFont="1" applyFill="1" applyBorder="1" applyAlignment="1">
      <alignment horizontal="center"/>
    </xf>
    <xf numFmtId="0" fontId="25" fillId="0" borderId="1" xfId="3" applyFont="1" applyFill="1" applyBorder="1" applyAlignment="1">
      <alignment horizontal="left"/>
    </xf>
    <xf numFmtId="1" fontId="28" fillId="0" borderId="1" xfId="3" applyNumberFormat="1" applyFont="1" applyBorder="1" applyAlignment="1">
      <alignment horizontal="center"/>
    </xf>
    <xf numFmtId="0" fontId="28" fillId="0" borderId="6" xfId="0" applyFont="1" applyBorder="1" applyAlignment="1"/>
    <xf numFmtId="0" fontId="28" fillId="0" borderId="20" xfId="0" applyFont="1" applyBorder="1" applyAlignment="1"/>
    <xf numFmtId="0" fontId="28" fillId="3" borderId="21" xfId="3" applyFont="1" applyFill="1" applyBorder="1" applyAlignment="1">
      <alignment horizontal="center"/>
    </xf>
    <xf numFmtId="0" fontId="28" fillId="0" borderId="21" xfId="3" applyFont="1" applyBorder="1" applyAlignment="1">
      <alignment horizontal="center"/>
    </xf>
    <xf numFmtId="2" fontId="31" fillId="0" borderId="1" xfId="3" applyNumberFormat="1" applyFont="1" applyBorder="1" applyAlignment="1">
      <alignment horizontal="center"/>
    </xf>
    <xf numFmtId="0" fontId="31" fillId="0" borderId="30" xfId="3" applyFont="1" applyFill="1" applyBorder="1" applyAlignment="1">
      <alignment horizontal="center"/>
    </xf>
    <xf numFmtId="0" fontId="17" fillId="0" borderId="30" xfId="0" applyFont="1" applyBorder="1" applyAlignment="1">
      <alignment horizontal="center"/>
    </xf>
    <xf numFmtId="0" fontId="17" fillId="0" borderId="3" xfId="0" applyFont="1" applyFill="1" applyBorder="1" applyAlignment="1">
      <alignment horizontal="center" shrinkToFit="1"/>
    </xf>
    <xf numFmtId="0" fontId="51" fillId="0" borderId="1" xfId="0" applyFont="1" applyBorder="1" applyAlignment="1">
      <alignment horizontal="center"/>
    </xf>
    <xf numFmtId="0" fontId="28" fillId="3" borderId="16" xfId="3" applyFont="1" applyFill="1" applyBorder="1" applyAlignment="1"/>
    <xf numFmtId="0" fontId="28" fillId="3" borderId="17" xfId="3" applyFont="1" applyFill="1" applyBorder="1" applyAlignment="1"/>
    <xf numFmtId="0" fontId="28" fillId="0" borderId="19" xfId="0" applyFont="1" applyBorder="1" applyAlignment="1"/>
    <xf numFmtId="0" fontId="27" fillId="0" borderId="1" xfId="3" applyFont="1" applyBorder="1" applyAlignment="1">
      <alignment horizontal="center"/>
    </xf>
    <xf numFmtId="0" fontId="51" fillId="0" borderId="1" xfId="0" applyFont="1" applyBorder="1" applyAlignment="1"/>
    <xf numFmtId="0" fontId="31" fillId="3" borderId="3" xfId="3" applyFont="1" applyFill="1" applyBorder="1" applyAlignment="1">
      <alignment horizontal="center"/>
    </xf>
    <xf numFmtId="0" fontId="17" fillId="0" borderId="3" xfId="0" applyFont="1" applyBorder="1" applyAlignment="1">
      <alignment horizontal="center"/>
    </xf>
    <xf numFmtId="0" fontId="31" fillId="0" borderId="3" xfId="3" applyFont="1" applyFill="1" applyBorder="1" applyAlignment="1">
      <alignment horizontal="center"/>
    </xf>
    <xf numFmtId="0" fontId="58" fillId="0" borderId="4" xfId="3" applyFont="1" applyBorder="1" applyAlignment="1"/>
    <xf numFmtId="0" fontId="51" fillId="0" borderId="21" xfId="0" applyFont="1" applyBorder="1" applyAlignment="1"/>
    <xf numFmtId="0" fontId="51" fillId="0" borderId="7" xfId="0" applyFont="1" applyBorder="1" applyAlignment="1"/>
    <xf numFmtId="0" fontId="17" fillId="0" borderId="1" xfId="0" applyFont="1" applyFill="1" applyBorder="1" applyAlignment="1">
      <alignment horizontal="center" shrinkToFit="1"/>
    </xf>
    <xf numFmtId="0" fontId="26" fillId="3" borderId="88" xfId="0" applyFont="1" applyFill="1" applyBorder="1" applyAlignment="1">
      <alignment horizontal="center" wrapText="1"/>
    </xf>
    <xf numFmtId="0" fontId="0" fillId="0" borderId="89" xfId="0" applyBorder="1" applyAlignment="1">
      <alignment horizontal="center"/>
    </xf>
    <xf numFmtId="0" fontId="0" fillId="0" borderId="90" xfId="0" applyBorder="1" applyAlignment="1">
      <alignment horizontal="center"/>
    </xf>
    <xf numFmtId="0" fontId="40" fillId="0" borderId="53" xfId="3" applyFont="1" applyBorder="1" applyAlignment="1"/>
    <xf numFmtId="0" fontId="0" fillId="0" borderId="53" xfId="0" applyBorder="1" applyAlignment="1"/>
    <xf numFmtId="0" fontId="52" fillId="0" borderId="2" xfId="0" applyFont="1" applyBorder="1" applyAlignment="1">
      <alignment horizontal="center" vertical="center" wrapText="1"/>
    </xf>
    <xf numFmtId="0" fontId="52" fillId="0" borderId="3" xfId="0" applyFont="1" applyBorder="1" applyAlignment="1">
      <alignment horizontal="center" vertical="center" wrapText="1"/>
    </xf>
    <xf numFmtId="0" fontId="37" fillId="0" borderId="2" xfId="0" applyFont="1" applyBorder="1" applyAlignment="1">
      <alignment horizontal="center" vertical="center" wrapText="1"/>
    </xf>
    <xf numFmtId="0" fontId="40" fillId="0" borderId="2" xfId="0" applyFont="1" applyBorder="1" applyAlignment="1">
      <alignment horizontal="center" vertical="center"/>
    </xf>
    <xf numFmtId="1" fontId="52" fillId="0" borderId="104" xfId="0" applyNumberFormat="1" applyFont="1" applyBorder="1" applyAlignment="1">
      <alignment horizontal="center" vertical="top" wrapText="1"/>
    </xf>
    <xf numFmtId="0" fontId="27" fillId="0" borderId="1" xfId="0" applyFont="1" applyBorder="1" applyAlignment="1">
      <alignment horizontal="center"/>
    </xf>
    <xf numFmtId="1" fontId="31" fillId="0" borderId="1" xfId="3" applyNumberFormat="1" applyFont="1" applyBorder="1" applyAlignment="1">
      <alignment horizontal="center"/>
    </xf>
    <xf numFmtId="0" fontId="32" fillId="3" borderId="97" xfId="3" applyFont="1" applyFill="1" applyBorder="1" applyAlignment="1">
      <alignment horizontal="center" vertical="center"/>
    </xf>
    <xf numFmtId="9" fontId="31" fillId="0" borderId="1" xfId="3" applyNumberFormat="1" applyFont="1" applyBorder="1" applyAlignment="1">
      <alignment horizontal="center"/>
    </xf>
    <xf numFmtId="9" fontId="31" fillId="0" borderId="56" xfId="3" applyNumberFormat="1" applyFont="1" applyBorder="1" applyAlignment="1">
      <alignment horizontal="center"/>
    </xf>
    <xf numFmtId="0" fontId="26" fillId="3" borderId="3" xfId="3" applyFont="1" applyFill="1" applyBorder="1" applyAlignment="1">
      <alignment horizontal="center" vertical="center"/>
    </xf>
    <xf numFmtId="0" fontId="31" fillId="3" borderId="134" xfId="0" applyFont="1" applyFill="1" applyBorder="1" applyAlignment="1">
      <alignment horizontal="center" vertical="center"/>
    </xf>
    <xf numFmtId="1" fontId="52" fillId="0" borderId="1" xfId="3" applyNumberFormat="1" applyFont="1" applyBorder="1" applyAlignment="1">
      <alignment horizontal="center"/>
    </xf>
    <xf numFmtId="0" fontId="63" fillId="0" borderId="1" xfId="0" applyFont="1" applyBorder="1" applyAlignment="1">
      <alignment horizontal="center"/>
    </xf>
    <xf numFmtId="0" fontId="26" fillId="3" borderId="114" xfId="3" applyFont="1" applyFill="1" applyBorder="1" applyAlignment="1">
      <alignment horizontal="center" vertical="center"/>
    </xf>
    <xf numFmtId="0" fontId="31" fillId="3" borderId="97" xfId="0" applyFont="1" applyFill="1" applyBorder="1" applyAlignment="1">
      <alignment horizontal="center" vertical="center"/>
    </xf>
    <xf numFmtId="0" fontId="27" fillId="0" borderId="4" xfId="0" applyFont="1" applyBorder="1" applyAlignment="1">
      <alignment horizontal="center" vertical="top" wrapText="1"/>
    </xf>
    <xf numFmtId="0" fontId="27" fillId="0" borderId="21" xfId="0" applyFont="1" applyBorder="1" applyAlignment="1">
      <alignment horizontal="center" vertical="top" wrapText="1"/>
    </xf>
    <xf numFmtId="0" fontId="27" fillId="0" borderId="7" xfId="0" applyFont="1" applyBorder="1" applyAlignment="1">
      <alignment horizontal="center" vertical="top" wrapText="1"/>
    </xf>
    <xf numFmtId="0" fontId="64" fillId="0" borderId="0" xfId="0" applyFont="1" applyAlignment="1">
      <alignment horizontal="center" vertical="top"/>
    </xf>
    <xf numFmtId="0" fontId="60" fillId="0" borderId="138" xfId="0" applyFont="1" applyBorder="1" applyAlignment="1">
      <alignment horizontal="center" vertical="center" wrapText="1"/>
    </xf>
    <xf numFmtId="0" fontId="62" fillId="0" borderId="19" xfId="0" applyFont="1" applyBorder="1" applyAlignment="1">
      <alignment horizontal="center" vertical="center"/>
    </xf>
    <xf numFmtId="0" fontId="60" fillId="0" borderId="139" xfId="0" applyFont="1" applyBorder="1" applyAlignment="1">
      <alignment horizontal="center" vertical="center" wrapText="1"/>
    </xf>
    <xf numFmtId="0" fontId="62" fillId="0" borderId="20" xfId="0" applyFont="1" applyBorder="1" applyAlignment="1">
      <alignment horizontal="center" vertical="center"/>
    </xf>
    <xf numFmtId="0" fontId="62" fillId="0" borderId="3" xfId="0" applyFont="1" applyBorder="1" applyAlignment="1">
      <alignment horizontal="center" vertical="center"/>
    </xf>
    <xf numFmtId="0" fontId="67" fillId="3" borderId="135" xfId="3" applyFont="1" applyFill="1" applyBorder="1" applyAlignment="1">
      <alignment horizontal="center"/>
    </xf>
    <xf numFmtId="0" fontId="68" fillId="0" borderId="136" xfId="0" applyFont="1" applyBorder="1" applyAlignment="1">
      <alignment horizontal="center"/>
    </xf>
    <xf numFmtId="0" fontId="68" fillId="0" borderId="137" xfId="0" applyFont="1" applyBorder="1" applyAlignment="1">
      <alignment horizontal="center"/>
    </xf>
    <xf numFmtId="0" fontId="28" fillId="0" borderId="18" xfId="0" applyFont="1" applyFill="1" applyBorder="1" applyAlignment="1">
      <alignment horizontal="left"/>
    </xf>
    <xf numFmtId="0" fontId="0" fillId="0" borderId="6" xfId="0" applyFill="1" applyBorder="1" applyAlignment="1">
      <alignment horizontal="left"/>
    </xf>
    <xf numFmtId="0" fontId="28" fillId="0" borderId="126" xfId="0" applyFont="1" applyFill="1" applyBorder="1" applyAlignment="1">
      <alignment horizontal="left"/>
    </xf>
    <xf numFmtId="0" fontId="0" fillId="0" borderId="124" xfId="0" applyBorder="1" applyAlignment="1">
      <alignment horizontal="left"/>
    </xf>
    <xf numFmtId="0" fontId="0" fillId="0" borderId="125" xfId="0" applyBorder="1" applyAlignment="1">
      <alignment horizontal="left"/>
    </xf>
    <xf numFmtId="0" fontId="60" fillId="0" borderId="3" xfId="0" applyFont="1" applyBorder="1" applyAlignment="1">
      <alignment horizontal="center" vertical="center" wrapText="1"/>
    </xf>
    <xf numFmtId="1" fontId="52" fillId="0" borderId="1" xfId="0" applyNumberFormat="1" applyFont="1" applyBorder="1" applyAlignment="1">
      <alignment horizontal="center" vertical="top" wrapText="1"/>
    </xf>
    <xf numFmtId="0" fontId="51" fillId="0" borderId="56" xfId="0" applyFont="1" applyBorder="1" applyAlignment="1">
      <alignment horizontal="center"/>
    </xf>
    <xf numFmtId="0" fontId="26" fillId="3" borderId="99" xfId="0" applyFont="1" applyFill="1" applyBorder="1" applyAlignment="1">
      <alignment horizontal="center" vertical="center" wrapText="1"/>
    </xf>
    <xf numFmtId="0" fontId="0" fillId="0" borderId="71" xfId="0" applyBorder="1" applyAlignment="1">
      <alignment horizontal="center" vertical="center"/>
    </xf>
    <xf numFmtId="0" fontId="0" fillId="0" borderId="100" xfId="0" applyBorder="1" applyAlignment="1">
      <alignment horizontal="center" vertical="center"/>
    </xf>
    <xf numFmtId="0" fontId="0" fillId="0" borderId="101" xfId="0" applyBorder="1" applyAlignment="1">
      <alignment horizontal="center" vertical="center"/>
    </xf>
    <xf numFmtId="0" fontId="0" fillId="0" borderId="102" xfId="0" applyBorder="1" applyAlignment="1">
      <alignment horizontal="center" vertical="center"/>
    </xf>
    <xf numFmtId="0" fontId="0" fillId="0" borderId="60" xfId="0" applyBorder="1" applyAlignment="1">
      <alignment horizontal="center" vertical="center"/>
    </xf>
    <xf numFmtId="0" fontId="31" fillId="0" borderId="129" xfId="3" applyFont="1" applyBorder="1" applyAlignment="1">
      <alignment horizontal="left"/>
    </xf>
    <xf numFmtId="0" fontId="40" fillId="0" borderId="1" xfId="3" applyFont="1" applyBorder="1" applyAlignment="1"/>
    <xf numFmtId="0" fontId="38" fillId="0" borderId="1" xfId="0" applyFont="1" applyBorder="1" applyAlignment="1"/>
    <xf numFmtId="0" fontId="26" fillId="3" borderId="18" xfId="3" applyFont="1" applyFill="1" applyBorder="1" applyAlignment="1">
      <alignment horizontal="center"/>
    </xf>
    <xf numFmtId="9" fontId="31" fillId="0" borderId="90" xfId="0" applyNumberFormat="1" applyFont="1" applyBorder="1" applyAlignment="1">
      <alignment horizontal="center" wrapText="1"/>
    </xf>
    <xf numFmtId="0" fontId="26" fillId="3" borderId="58" xfId="0" applyFont="1" applyFill="1" applyBorder="1" applyAlignment="1">
      <alignment horizontal="left" wrapText="1"/>
    </xf>
    <xf numFmtId="0" fontId="17" fillId="0" borderId="58" xfId="0" applyFont="1" applyBorder="1" applyAlignment="1">
      <alignment horizontal="left"/>
    </xf>
    <xf numFmtId="0" fontId="26" fillId="3" borderId="90" xfId="0" applyFont="1" applyFill="1" applyBorder="1" applyAlignment="1">
      <alignment horizontal="center" wrapText="1"/>
    </xf>
    <xf numFmtId="0" fontId="31" fillId="0" borderId="58" xfId="0" applyFont="1" applyBorder="1" applyAlignment="1">
      <alignment horizontal="left" wrapText="1"/>
    </xf>
    <xf numFmtId="0" fontId="25" fillId="3" borderId="103" xfId="0" applyFont="1" applyFill="1" applyBorder="1" applyAlignment="1">
      <alignment horizontal="center"/>
    </xf>
    <xf numFmtId="0" fontId="25" fillId="3" borderId="54" xfId="0" applyFont="1" applyFill="1" applyBorder="1" applyAlignment="1">
      <alignment horizontal="center"/>
    </xf>
    <xf numFmtId="0" fontId="40" fillId="0" borderId="1" xfId="0" applyFont="1" applyBorder="1" applyAlignment="1"/>
    <xf numFmtId="0" fontId="0" fillId="0" borderId="54" xfId="0" applyBorder="1" applyAlignment="1">
      <alignment horizontal="center"/>
    </xf>
    <xf numFmtId="0" fontId="27" fillId="0" borderId="53" xfId="3" applyFont="1" applyBorder="1" applyAlignment="1">
      <alignment horizontal="center"/>
    </xf>
    <xf numFmtId="0" fontId="51" fillId="0" borderId="53" xfId="0" applyFont="1" applyBorder="1" applyAlignment="1">
      <alignment horizontal="center"/>
    </xf>
    <xf numFmtId="9" fontId="31" fillId="0" borderId="53" xfId="0" applyNumberFormat="1" applyFont="1" applyBorder="1" applyAlignment="1">
      <alignment horizontal="center"/>
    </xf>
    <xf numFmtId="0" fontId="17" fillId="0" borderId="53" xfId="0" applyFont="1" applyBorder="1" applyAlignment="1">
      <alignment horizontal="center"/>
    </xf>
    <xf numFmtId="0" fontId="17" fillId="0" borderId="57" xfId="0" applyFont="1" applyBorder="1" applyAlignment="1">
      <alignment horizontal="center"/>
    </xf>
    <xf numFmtId="1" fontId="31" fillId="0" borderId="54" xfId="3" applyNumberFormat="1" applyFont="1" applyFill="1" applyBorder="1" applyAlignment="1">
      <alignment horizontal="center" shrinkToFit="1"/>
    </xf>
    <xf numFmtId="0" fontId="52" fillId="3" borderId="54" xfId="0" applyFont="1" applyFill="1" applyBorder="1" applyAlignment="1">
      <alignment horizontal="center"/>
    </xf>
    <xf numFmtId="0" fontId="52" fillId="3" borderId="55" xfId="0" applyFont="1" applyFill="1" applyBorder="1" applyAlignment="1">
      <alignment horizontal="center"/>
    </xf>
    <xf numFmtId="0" fontId="31" fillId="0" borderId="94" xfId="3" applyFont="1" applyBorder="1" applyAlignment="1">
      <alignment horizontal="left"/>
    </xf>
    <xf numFmtId="0" fontId="31" fillId="0" borderId="92" xfId="3" applyFont="1" applyBorder="1" applyAlignment="1">
      <alignment horizontal="left"/>
    </xf>
    <xf numFmtId="0" fontId="31" fillId="0" borderId="112" xfId="3" applyFont="1" applyBorder="1" applyAlignment="1">
      <alignment horizontal="left"/>
    </xf>
    <xf numFmtId="1" fontId="32" fillId="0" borderId="91" xfId="3" applyNumberFormat="1" applyFont="1" applyBorder="1" applyAlignment="1">
      <alignment horizontal="center"/>
    </xf>
    <xf numFmtId="1" fontId="32" fillId="0" borderId="112" xfId="3" applyNumberFormat="1" applyFont="1" applyBorder="1" applyAlignment="1">
      <alignment horizontal="center"/>
    </xf>
    <xf numFmtId="0" fontId="17" fillId="3" borderId="3" xfId="0" applyFont="1" applyFill="1" applyBorder="1" applyAlignment="1">
      <alignment horizontal="center" vertical="center"/>
    </xf>
    <xf numFmtId="1" fontId="32" fillId="0" borderId="4" xfId="3" applyNumberFormat="1" applyFont="1" applyBorder="1" applyAlignment="1">
      <alignment horizontal="center"/>
    </xf>
    <xf numFmtId="1" fontId="32" fillId="0" borderId="7" xfId="3" applyNumberFormat="1" applyFont="1" applyBorder="1" applyAlignment="1">
      <alignment horizontal="center"/>
    </xf>
    <xf numFmtId="0" fontId="40" fillId="0" borderId="53" xfId="0" applyFont="1" applyBorder="1" applyAlignment="1"/>
    <xf numFmtId="0" fontId="38" fillId="0" borderId="53" xfId="0" applyFont="1" applyBorder="1" applyAlignment="1"/>
    <xf numFmtId="0" fontId="40" fillId="0" borderId="127" xfId="0" applyFont="1" applyBorder="1" applyAlignment="1"/>
    <xf numFmtId="1" fontId="52" fillId="0" borderId="127" xfId="0" applyNumberFormat="1" applyFont="1" applyBorder="1" applyAlignment="1">
      <alignment horizontal="center" vertical="top" wrapText="1"/>
    </xf>
    <xf numFmtId="0" fontId="27" fillId="0" borderId="53" xfId="0" applyFont="1" applyBorder="1" applyAlignment="1">
      <alignment horizontal="center"/>
    </xf>
    <xf numFmtId="1" fontId="31" fillId="0" borderId="4" xfId="3" applyNumberFormat="1" applyFont="1" applyBorder="1" applyAlignment="1">
      <alignment horizontal="center"/>
    </xf>
    <xf numFmtId="1" fontId="31" fillId="0" borderId="7" xfId="3" applyNumberFormat="1" applyFont="1" applyBorder="1" applyAlignment="1">
      <alignment horizontal="center"/>
    </xf>
    <xf numFmtId="0" fontId="26" fillId="3" borderId="20" xfId="3" applyFont="1" applyFill="1" applyBorder="1" applyAlignment="1">
      <alignment horizontal="center" vertical="center"/>
    </xf>
    <xf numFmtId="0" fontId="26" fillId="3" borderId="18" xfId="3" applyFont="1" applyFill="1" applyBorder="1" applyAlignment="1">
      <alignment horizontal="center" vertical="center"/>
    </xf>
    <xf numFmtId="0" fontId="26" fillId="3" borderId="6" xfId="3" applyFont="1" applyFill="1" applyBorder="1" applyAlignment="1">
      <alignment horizontal="center" vertical="center"/>
    </xf>
    <xf numFmtId="0" fontId="26" fillId="3" borderId="128" xfId="3" applyFont="1" applyFill="1" applyBorder="1" applyAlignment="1">
      <alignment horizontal="center" vertical="center"/>
    </xf>
    <xf numFmtId="0" fontId="26" fillId="3" borderId="97" xfId="3" applyFont="1" applyFill="1" applyBorder="1" applyAlignment="1">
      <alignment horizontal="center" vertical="center"/>
    </xf>
    <xf numFmtId="0" fontId="0" fillId="0" borderId="92" xfId="0" applyBorder="1" applyAlignment="1">
      <alignment horizontal="left"/>
    </xf>
    <xf numFmtId="0" fontId="0" fillId="0" borderId="112" xfId="0" applyBorder="1" applyAlignment="1">
      <alignment horizontal="left"/>
    </xf>
    <xf numFmtId="0" fontId="31" fillId="0" borderId="107" xfId="3" applyFont="1" applyFill="1" applyBorder="1" applyAlignment="1">
      <alignment horizontal="center" shrinkToFit="1"/>
    </xf>
    <xf numFmtId="0" fontId="32" fillId="0" borderId="58" xfId="3" applyFont="1" applyBorder="1" applyAlignment="1"/>
    <xf numFmtId="0" fontId="17" fillId="0" borderId="58" xfId="0" applyFont="1" applyBorder="1" applyAlignment="1"/>
    <xf numFmtId="0" fontId="25" fillId="3" borderId="117" xfId="3" applyFont="1" applyFill="1" applyBorder="1" applyAlignment="1">
      <alignment horizontal="center" shrinkToFit="1"/>
    </xf>
    <xf numFmtId="0" fontId="28" fillId="0" borderId="9" xfId="0" applyFont="1" applyBorder="1" applyAlignment="1">
      <alignment horizontal="center" shrinkToFit="1"/>
    </xf>
    <xf numFmtId="0" fontId="28" fillId="0" borderId="5" xfId="0" applyFont="1" applyBorder="1" applyAlignment="1">
      <alignment horizontal="center" shrinkToFit="1"/>
    </xf>
    <xf numFmtId="0" fontId="52" fillId="3" borderId="96" xfId="3" applyFont="1" applyFill="1" applyBorder="1" applyAlignment="1">
      <alignment horizontal="center"/>
    </xf>
    <xf numFmtId="0" fontId="26" fillId="3" borderId="113" xfId="3" applyFont="1" applyFill="1" applyBorder="1" applyAlignment="1">
      <alignment horizontal="center" vertical="center"/>
    </xf>
    <xf numFmtId="0" fontId="26" fillId="3" borderId="71" xfId="3" applyFont="1" applyFill="1" applyBorder="1" applyAlignment="1">
      <alignment horizontal="center" vertical="center"/>
    </xf>
    <xf numFmtId="0" fontId="26" fillId="3" borderId="100" xfId="3" applyFont="1" applyFill="1" applyBorder="1" applyAlignment="1">
      <alignment horizontal="center" vertical="center"/>
    </xf>
    <xf numFmtId="0" fontId="17" fillId="0" borderId="91" xfId="0" applyFont="1" applyBorder="1" applyAlignment="1">
      <alignment horizontal="center"/>
    </xf>
    <xf numFmtId="0" fontId="17" fillId="0" borderId="112" xfId="0" applyFont="1" applyBorder="1" applyAlignment="1">
      <alignment horizontal="center"/>
    </xf>
    <xf numFmtId="0" fontId="31" fillId="0" borderId="127" xfId="0" applyFont="1" applyBorder="1" applyAlignment="1">
      <alignment horizontal="left"/>
    </xf>
    <xf numFmtId="0" fontId="0" fillId="0" borderId="53" xfId="0" applyBorder="1" applyAlignment="1">
      <alignment horizontal="left"/>
    </xf>
    <xf numFmtId="0" fontId="31" fillId="0" borderId="113" xfId="3" applyFont="1" applyFill="1" applyBorder="1" applyAlignment="1">
      <alignment horizontal="center" vertical="top" shrinkToFit="1"/>
    </xf>
    <xf numFmtId="0" fontId="31" fillId="0" borderId="114" xfId="0" applyFont="1" applyBorder="1" applyAlignment="1">
      <alignment horizontal="center" vertical="top" shrinkToFit="1"/>
    </xf>
    <xf numFmtId="0" fontId="17" fillId="0" borderId="115" xfId="0" applyFont="1" applyBorder="1" applyAlignment="1">
      <alignment horizontal="center" vertical="top" shrinkToFit="1"/>
    </xf>
    <xf numFmtId="0" fontId="17" fillId="0" borderId="116" xfId="0" applyFont="1" applyBorder="1" applyAlignment="1">
      <alignment horizontal="center" vertical="top" shrinkToFit="1"/>
    </xf>
    <xf numFmtId="0" fontId="31" fillId="0" borderId="108" xfId="3" applyFont="1" applyFill="1" applyBorder="1" applyAlignment="1">
      <alignment horizontal="center" shrinkToFit="1"/>
    </xf>
    <xf numFmtId="0" fontId="31" fillId="0" borderId="97" xfId="0" applyFont="1" applyFill="1" applyBorder="1" applyAlignment="1">
      <alignment horizontal="center" shrinkToFit="1"/>
    </xf>
    <xf numFmtId="0" fontId="31" fillId="0" borderId="97" xfId="3" applyFont="1" applyFill="1" applyBorder="1" applyAlignment="1">
      <alignment horizontal="center" shrinkToFit="1"/>
    </xf>
    <xf numFmtId="0" fontId="25" fillId="3" borderId="96" xfId="3" applyFont="1" applyFill="1" applyBorder="1" applyAlignment="1">
      <alignment horizontal="center"/>
    </xf>
    <xf numFmtId="0" fontId="25" fillId="3" borderId="51" xfId="3" applyFont="1" applyFill="1" applyBorder="1" applyAlignment="1">
      <alignment horizontal="center"/>
    </xf>
    <xf numFmtId="0" fontId="25" fillId="3" borderId="52" xfId="3" applyFont="1" applyFill="1" applyBorder="1" applyAlignment="1">
      <alignment horizontal="center"/>
    </xf>
    <xf numFmtId="0" fontId="25" fillId="0" borderId="109" xfId="3" applyFont="1" applyBorder="1" applyAlignment="1">
      <alignment horizontal="center" shrinkToFit="1"/>
    </xf>
    <xf numFmtId="0" fontId="0" fillId="0" borderId="109" xfId="0" applyBorder="1" applyAlignment="1"/>
    <xf numFmtId="0" fontId="0" fillId="0" borderId="110" xfId="0" applyBorder="1" applyAlignment="1"/>
    <xf numFmtId="0" fontId="31" fillId="0" borderId="111" xfId="0" applyFont="1" applyBorder="1" applyAlignment="1">
      <alignment horizontal="center" shrinkToFit="1"/>
    </xf>
    <xf numFmtId="0" fontId="31" fillId="0" borderId="54" xfId="0" applyFont="1" applyBorder="1" applyAlignment="1">
      <alignment horizontal="center" shrinkToFit="1"/>
    </xf>
    <xf numFmtId="0" fontId="31" fillId="0" borderId="55" xfId="0" applyFont="1" applyBorder="1" applyAlignment="1">
      <alignment horizontal="center" shrinkToFit="1"/>
    </xf>
    <xf numFmtId="0" fontId="31" fillId="0" borderId="112" xfId="0" applyFont="1" applyBorder="1" applyAlignment="1">
      <alignment horizontal="center" shrinkToFit="1"/>
    </xf>
    <xf numFmtId="0" fontId="31" fillId="0" borderId="53" xfId="0" applyFont="1" applyBorder="1" applyAlignment="1">
      <alignment horizontal="center" shrinkToFit="1"/>
    </xf>
    <xf numFmtId="0" fontId="31" fillId="0" borderId="57" xfId="0" applyFont="1" applyBorder="1" applyAlignment="1">
      <alignment horizontal="center" shrinkToFit="1"/>
    </xf>
    <xf numFmtId="1" fontId="0" fillId="0" borderId="55" xfId="0" applyNumberFormat="1" applyBorder="1" applyAlignment="1">
      <alignment horizontal="center" shrinkToFit="1"/>
    </xf>
    <xf numFmtId="0" fontId="85" fillId="3" borderId="58" xfId="3" applyFont="1" applyFill="1" applyBorder="1" applyAlignment="1"/>
    <xf numFmtId="0" fontId="66" fillId="3" borderId="58" xfId="0" applyFont="1" applyFill="1" applyBorder="1" applyAlignment="1"/>
    <xf numFmtId="0" fontId="27" fillId="0" borderId="20" xfId="3" applyFont="1" applyFill="1" applyBorder="1" applyAlignment="1">
      <alignment horizontal="center" shrinkToFit="1"/>
    </xf>
    <xf numFmtId="0" fontId="27" fillId="0" borderId="3" xfId="0" applyFont="1" applyBorder="1" applyAlignment="1">
      <alignment horizontal="center" shrinkToFit="1"/>
    </xf>
    <xf numFmtId="0" fontId="27" fillId="0" borderId="134" xfId="0" applyFont="1" applyBorder="1" applyAlignment="1">
      <alignment horizontal="center" shrinkToFit="1"/>
    </xf>
    <xf numFmtId="0" fontId="31" fillId="0" borderId="115" xfId="3" applyFont="1" applyFill="1" applyBorder="1" applyAlignment="1">
      <alignment horizontal="center" shrinkToFit="1"/>
    </xf>
    <xf numFmtId="0" fontId="31" fillId="0" borderId="102" xfId="3" applyFont="1" applyFill="1" applyBorder="1" applyAlignment="1">
      <alignment horizontal="center" shrinkToFit="1"/>
    </xf>
    <xf numFmtId="0" fontId="31" fillId="0" borderId="116" xfId="3" applyFont="1" applyFill="1" applyBorder="1" applyAlignment="1">
      <alignment horizontal="center" shrinkToFit="1"/>
    </xf>
    <xf numFmtId="0" fontId="17" fillId="3" borderId="97" xfId="0" applyFont="1" applyFill="1" applyBorder="1" applyAlignment="1">
      <alignment horizontal="center" vertical="center"/>
    </xf>
    <xf numFmtId="0" fontId="0" fillId="0" borderId="52" xfId="0" applyBorder="1" applyAlignment="1">
      <alignment horizontal="center"/>
    </xf>
    <xf numFmtId="0" fontId="28" fillId="0" borderId="109" xfId="3" applyFont="1" applyBorder="1" applyAlignment="1">
      <alignment horizontal="center" shrinkToFit="1"/>
    </xf>
    <xf numFmtId="0" fontId="28" fillId="0" borderId="109" xfId="0" applyFont="1" applyBorder="1" applyAlignment="1">
      <alignment horizontal="center" shrinkToFit="1"/>
    </xf>
    <xf numFmtId="0" fontId="25" fillId="3" borderId="144" xfId="3" applyFont="1" applyFill="1" applyBorder="1" applyAlignment="1">
      <alignment horizontal="left" shrinkToFit="1"/>
    </xf>
    <xf numFmtId="0" fontId="25" fillId="3" borderId="109" xfId="3" applyFont="1" applyFill="1" applyBorder="1" applyAlignment="1">
      <alignment horizontal="left" shrinkToFit="1"/>
    </xf>
    <xf numFmtId="9" fontId="31" fillId="0" borderId="53" xfId="3" applyNumberFormat="1" applyFont="1" applyBorder="1" applyAlignment="1">
      <alignment horizontal="center"/>
    </xf>
    <xf numFmtId="0" fontId="52" fillId="3" borderId="103" xfId="0" applyFont="1" applyFill="1" applyBorder="1" applyAlignment="1">
      <alignment horizontal="center"/>
    </xf>
    <xf numFmtId="0" fontId="0" fillId="0" borderId="54" xfId="0" applyBorder="1" applyAlignment="1"/>
    <xf numFmtId="0" fontId="26" fillId="3" borderId="113" xfId="0" applyFont="1" applyFill="1" applyBorder="1" applyAlignment="1">
      <alignment horizontal="center"/>
    </xf>
    <xf numFmtId="0" fontId="0" fillId="0" borderId="114" xfId="0" applyBorder="1" applyAlignment="1">
      <alignment horizontal="center"/>
    </xf>
    <xf numFmtId="0" fontId="32" fillId="0" borderId="112" xfId="3" applyFont="1" applyBorder="1" applyAlignment="1">
      <alignment horizontal="center"/>
    </xf>
    <xf numFmtId="0" fontId="32" fillId="0" borderId="7" xfId="3" applyFont="1" applyBorder="1" applyAlignment="1">
      <alignment horizontal="center"/>
    </xf>
    <xf numFmtId="0" fontId="31" fillId="0" borderId="91" xfId="3" applyFont="1" applyBorder="1" applyAlignment="1">
      <alignment horizontal="center"/>
    </xf>
    <xf numFmtId="0" fontId="0" fillId="0" borderId="112" xfId="0" applyBorder="1" applyAlignment="1">
      <alignment horizontal="center"/>
    </xf>
    <xf numFmtId="1" fontId="52" fillId="0" borderId="53" xfId="3" applyNumberFormat="1" applyFont="1" applyBorder="1" applyAlignment="1">
      <alignment horizontal="center"/>
    </xf>
    <xf numFmtId="0" fontId="63" fillId="0" borderId="53" xfId="0" applyFont="1" applyBorder="1" applyAlignment="1">
      <alignment horizontal="center"/>
    </xf>
    <xf numFmtId="0" fontId="27" fillId="0" borderId="91" xfId="0" applyFont="1" applyBorder="1" applyAlignment="1">
      <alignment horizontal="center" vertical="top" wrapText="1"/>
    </xf>
    <xf numFmtId="0" fontId="27" fillId="0" borderId="92" xfId="0" applyFont="1" applyBorder="1" applyAlignment="1">
      <alignment horizontal="center" vertical="top" wrapText="1"/>
    </xf>
    <xf numFmtId="0" fontId="27" fillId="0" borderId="112" xfId="0" applyFont="1" applyBorder="1" applyAlignment="1">
      <alignment horizontal="center" vertical="top" wrapText="1"/>
    </xf>
    <xf numFmtId="1" fontId="28" fillId="0" borderId="94" xfId="3" applyNumberFormat="1" applyFont="1" applyFill="1" applyBorder="1" applyAlignment="1">
      <alignment horizontal="center"/>
    </xf>
    <xf numFmtId="0" fontId="0" fillId="0" borderId="92" xfId="0" applyBorder="1" applyAlignment="1">
      <alignment horizontal="center"/>
    </xf>
    <xf numFmtId="0" fontId="0" fillId="0" borderId="95" xfId="0" applyBorder="1" applyAlignment="1">
      <alignment horizontal="center"/>
    </xf>
    <xf numFmtId="0" fontId="32" fillId="3" borderId="98" xfId="3" applyFont="1" applyFill="1" applyBorder="1" applyAlignment="1">
      <alignment horizontal="center" vertical="center"/>
    </xf>
    <xf numFmtId="0" fontId="52" fillId="3" borderId="93" xfId="3" applyFont="1" applyFill="1" applyBorder="1" applyAlignment="1">
      <alignment horizontal="center"/>
    </xf>
    <xf numFmtId="0" fontId="52" fillId="3" borderId="51" xfId="3" applyFont="1" applyFill="1" applyBorder="1" applyAlignment="1">
      <alignment horizontal="center"/>
    </xf>
    <xf numFmtId="0" fontId="52" fillId="3" borderId="52" xfId="3" applyFont="1" applyFill="1" applyBorder="1" applyAlignment="1">
      <alignment horizontal="center"/>
    </xf>
    <xf numFmtId="9" fontId="31" fillId="0" borderId="91" xfId="3" applyNumberFormat="1" applyFont="1" applyBorder="1" applyAlignment="1">
      <alignment horizontal="center"/>
    </xf>
    <xf numFmtId="0" fontId="17" fillId="0" borderId="95" xfId="0" applyFont="1" applyBorder="1" applyAlignment="1"/>
    <xf numFmtId="0" fontId="27" fillId="3" borderId="130" xfId="3" applyFont="1" applyFill="1" applyBorder="1" applyAlignment="1">
      <alignment horizontal="center"/>
    </xf>
    <xf numFmtId="0" fontId="27" fillId="3" borderId="131" xfId="3" applyFont="1" applyFill="1" applyBorder="1" applyAlignment="1">
      <alignment horizontal="center"/>
    </xf>
    <xf numFmtId="0" fontId="27" fillId="3" borderId="132" xfId="3" applyFont="1" applyFill="1" applyBorder="1" applyAlignment="1">
      <alignment horizontal="center"/>
    </xf>
    <xf numFmtId="0" fontId="28" fillId="0" borderId="88" xfId="0" applyFont="1" applyBorder="1" applyAlignment="1">
      <alignment horizontal="center"/>
    </xf>
    <xf numFmtId="9" fontId="50" fillId="0" borderId="89" xfId="0" applyNumberFormat="1" applyFont="1" applyBorder="1" applyAlignment="1"/>
    <xf numFmtId="9" fontId="50" fillId="0" borderId="90" xfId="0" applyNumberFormat="1" applyFont="1" applyBorder="1" applyAlignment="1"/>
    <xf numFmtId="0" fontId="28" fillId="0" borderId="43" xfId="0" applyFont="1" applyFill="1" applyBorder="1" applyAlignment="1">
      <alignment horizontal="left"/>
    </xf>
    <xf numFmtId="0" fontId="0" fillId="0" borderId="47" xfId="0" applyFill="1" applyBorder="1" applyAlignment="1">
      <alignment horizontal="left"/>
    </xf>
    <xf numFmtId="0" fontId="31" fillId="0" borderId="4" xfId="3" applyFont="1" applyFill="1" applyBorder="1" applyAlignment="1">
      <alignment horizontal="left" shrinkToFit="1"/>
    </xf>
    <xf numFmtId="0" fontId="17" fillId="0" borderId="21" xfId="0" applyFont="1" applyFill="1" applyBorder="1" applyAlignment="1">
      <alignment horizontal="left" shrinkToFit="1"/>
    </xf>
    <xf numFmtId="0" fontId="17" fillId="0" borderId="21" xfId="0" applyFont="1" applyFill="1" applyBorder="1" applyAlignment="1"/>
    <xf numFmtId="0" fontId="17" fillId="0" borderId="7" xfId="0" applyFont="1" applyFill="1" applyBorder="1" applyAlignment="1"/>
    <xf numFmtId="0" fontId="31" fillId="3" borderId="16" xfId="3" applyFont="1" applyFill="1" applyBorder="1" applyAlignment="1">
      <alignment horizontal="left" shrinkToFit="1"/>
    </xf>
    <xf numFmtId="0" fontId="31" fillId="3" borderId="17" xfId="3" applyFont="1" applyFill="1" applyBorder="1" applyAlignment="1">
      <alignment horizontal="left" shrinkToFit="1"/>
    </xf>
    <xf numFmtId="0" fontId="17" fillId="3" borderId="17" xfId="0" applyFont="1" applyFill="1" applyBorder="1" applyAlignment="1"/>
    <xf numFmtId="0" fontId="17" fillId="3" borderId="19" xfId="0" applyFont="1" applyFill="1" applyBorder="1" applyAlignment="1"/>
    <xf numFmtId="2" fontId="31" fillId="3" borderId="1" xfId="3" applyNumberFormat="1" applyFont="1" applyFill="1" applyBorder="1" applyAlignment="1">
      <alignment horizontal="center" shrinkToFit="1"/>
    </xf>
    <xf numFmtId="0" fontId="31" fillId="3" borderId="4" xfId="3" applyFont="1" applyFill="1" applyBorder="1" applyAlignment="1">
      <alignment horizontal="left" shrinkToFit="1"/>
    </xf>
    <xf numFmtId="0" fontId="17" fillId="3" borderId="21" xfId="0" applyFont="1" applyFill="1" applyBorder="1" applyAlignment="1">
      <alignment horizontal="left" shrinkToFit="1"/>
    </xf>
    <xf numFmtId="0" fontId="17" fillId="3" borderId="21" xfId="0" applyFont="1" applyFill="1" applyBorder="1" applyAlignment="1"/>
    <xf numFmtId="0" fontId="17" fillId="3" borderId="7" xfId="0" applyFont="1" applyFill="1" applyBorder="1" applyAlignment="1"/>
    <xf numFmtId="0" fontId="31" fillId="0" borderId="47" xfId="3" applyFont="1" applyFill="1" applyBorder="1" applyAlignment="1">
      <alignment horizontal="center"/>
    </xf>
    <xf numFmtId="0" fontId="31" fillId="3" borderId="86" xfId="3" applyFont="1" applyFill="1" applyBorder="1" applyAlignment="1">
      <alignment horizontal="center"/>
    </xf>
    <xf numFmtId="0" fontId="31" fillId="3" borderId="70" xfId="3" applyFont="1" applyFill="1" applyBorder="1" applyAlignment="1">
      <alignment horizontal="center"/>
    </xf>
    <xf numFmtId="0" fontId="31" fillId="3" borderId="46" xfId="3" applyFont="1" applyFill="1" applyBorder="1" applyAlignment="1">
      <alignment horizontal="center"/>
    </xf>
    <xf numFmtId="0" fontId="17" fillId="0" borderId="7" xfId="0" applyFont="1" applyFill="1" applyBorder="1" applyAlignment="1">
      <alignment horizontal="left" shrinkToFit="1"/>
    </xf>
    <xf numFmtId="2" fontId="31" fillId="0" borderId="4" xfId="3" applyNumberFormat="1" applyFont="1" applyFill="1" applyBorder="1" applyAlignment="1">
      <alignment horizontal="center"/>
    </xf>
    <xf numFmtId="2" fontId="31" fillId="0" borderId="21" xfId="3" applyNumberFormat="1" applyFont="1" applyFill="1" applyBorder="1" applyAlignment="1">
      <alignment horizontal="center"/>
    </xf>
    <xf numFmtId="2" fontId="31" fillId="0" borderId="7" xfId="3" applyNumberFormat="1" applyFont="1" applyFill="1" applyBorder="1" applyAlignment="1">
      <alignment horizontal="center"/>
    </xf>
    <xf numFmtId="0" fontId="17" fillId="3" borderId="7" xfId="0" applyFont="1" applyFill="1" applyBorder="1" applyAlignment="1">
      <alignment horizontal="left" shrinkToFit="1"/>
    </xf>
    <xf numFmtId="0" fontId="31" fillId="3" borderId="3" xfId="3" applyFont="1" applyFill="1" applyBorder="1" applyAlignment="1">
      <alignment horizontal="left" shrinkToFit="1"/>
    </xf>
    <xf numFmtId="0" fontId="17" fillId="0" borderId="3" xfId="0" applyFont="1" applyBorder="1" applyAlignment="1"/>
    <xf numFmtId="0" fontId="31" fillId="0" borderId="47" xfId="3" applyFont="1" applyFill="1" applyBorder="1" applyAlignment="1">
      <alignment horizontal="left" shrinkToFit="1"/>
    </xf>
    <xf numFmtId="0" fontId="17" fillId="0" borderId="47" xfId="0" applyFont="1" applyFill="1" applyBorder="1" applyAlignment="1"/>
    <xf numFmtId="0" fontId="31" fillId="3" borderId="86" xfId="3" applyFont="1" applyFill="1" applyBorder="1" applyAlignment="1">
      <alignment horizontal="left" shrinkToFit="1"/>
    </xf>
    <xf numFmtId="0" fontId="31" fillId="3" borderId="70" xfId="3" applyFont="1" applyFill="1" applyBorder="1" applyAlignment="1">
      <alignment horizontal="left" shrinkToFit="1"/>
    </xf>
    <xf numFmtId="0" fontId="31" fillId="3" borderId="46" xfId="3" applyFont="1" applyFill="1" applyBorder="1" applyAlignment="1">
      <alignment horizontal="left" shrinkToFit="1"/>
    </xf>
    <xf numFmtId="0" fontId="31" fillId="3" borderId="16" xfId="3" applyFont="1" applyFill="1" applyBorder="1" applyAlignment="1">
      <alignment horizontal="center"/>
    </xf>
    <xf numFmtId="0" fontId="17" fillId="3" borderId="19" xfId="0" applyFont="1" applyFill="1" applyBorder="1" applyAlignment="1">
      <alignment horizontal="center"/>
    </xf>
    <xf numFmtId="0" fontId="31" fillId="0" borderId="2" xfId="3" applyFont="1" applyFill="1" applyBorder="1" applyAlignment="1">
      <alignment horizontal="center"/>
    </xf>
    <xf numFmtId="2" fontId="31" fillId="0" borderId="2" xfId="3" applyNumberFormat="1" applyFont="1" applyFill="1" applyBorder="1" applyAlignment="1">
      <alignment horizontal="center"/>
    </xf>
    <xf numFmtId="2" fontId="31" fillId="3" borderId="16" xfId="3" applyNumberFormat="1" applyFont="1" applyFill="1" applyBorder="1" applyAlignment="1">
      <alignment horizontal="center"/>
    </xf>
    <xf numFmtId="2" fontId="31" fillId="3" borderId="17" xfId="3" applyNumberFormat="1" applyFont="1" applyFill="1" applyBorder="1" applyAlignment="1">
      <alignment horizontal="center"/>
    </xf>
    <xf numFmtId="2" fontId="31" fillId="3" borderId="19" xfId="3" applyNumberFormat="1" applyFont="1" applyFill="1" applyBorder="1" applyAlignment="1">
      <alignment horizontal="center"/>
    </xf>
    <xf numFmtId="0" fontId="31" fillId="3" borderId="18" xfId="3" applyFont="1" applyFill="1" applyBorder="1" applyAlignment="1">
      <alignment horizontal="left" shrinkToFit="1"/>
    </xf>
    <xf numFmtId="0" fontId="17" fillId="3" borderId="6" xfId="0" applyFont="1" applyFill="1" applyBorder="1" applyAlignment="1">
      <alignment horizontal="left" shrinkToFit="1"/>
    </xf>
    <xf numFmtId="0" fontId="17" fillId="3" borderId="20" xfId="0" applyFont="1" applyFill="1" applyBorder="1" applyAlignment="1">
      <alignment horizontal="left" shrinkToFit="1"/>
    </xf>
    <xf numFmtId="0" fontId="25" fillId="3" borderId="3" xfId="3" applyFont="1" applyFill="1" applyBorder="1" applyAlignment="1">
      <alignment horizontal="center"/>
    </xf>
    <xf numFmtId="9" fontId="27" fillId="3" borderId="4" xfId="3" applyNumberFormat="1" applyFont="1" applyFill="1" applyBorder="1" applyAlignment="1">
      <alignment horizontal="center" wrapText="1"/>
    </xf>
    <xf numFmtId="0" fontId="51" fillId="0" borderId="7" xfId="0" applyFont="1" applyBorder="1" applyAlignment="1">
      <alignment horizontal="center" wrapText="1"/>
    </xf>
    <xf numFmtId="1" fontId="27" fillId="0" borderId="4" xfId="3" applyNumberFormat="1" applyFont="1" applyBorder="1" applyAlignment="1">
      <alignment horizontal="center"/>
    </xf>
    <xf numFmtId="1" fontId="51" fillId="0" borderId="7" xfId="0" applyNumberFormat="1" applyFont="1" applyBorder="1" applyAlignment="1">
      <alignment horizontal="center"/>
    </xf>
    <xf numFmtId="0" fontId="27" fillId="3" borderId="1" xfId="3" applyFont="1" applyFill="1" applyBorder="1" applyAlignment="1">
      <alignment horizontal="center"/>
    </xf>
    <xf numFmtId="9" fontId="27" fillId="0" borderId="4" xfId="3" applyNumberFormat="1" applyFont="1" applyFill="1" applyBorder="1" applyAlignment="1">
      <alignment horizontal="center"/>
    </xf>
    <xf numFmtId="9" fontId="27" fillId="0" borderId="7" xfId="3" applyNumberFormat="1" applyFont="1" applyFill="1" applyBorder="1" applyAlignment="1">
      <alignment horizontal="center"/>
    </xf>
    <xf numFmtId="0" fontId="31" fillId="3" borderId="4" xfId="3" quotePrefix="1" applyFont="1" applyFill="1" applyBorder="1" applyAlignment="1">
      <alignment horizontal="left"/>
    </xf>
    <xf numFmtId="0" fontId="26" fillId="3" borderId="1" xfId="3" applyFont="1" applyFill="1" applyBorder="1" applyAlignment="1">
      <alignment horizontal="right"/>
    </xf>
    <xf numFmtId="0" fontId="26" fillId="3" borderId="4" xfId="3" applyFont="1" applyFill="1" applyBorder="1" applyAlignment="1">
      <alignment horizontal="left"/>
    </xf>
    <xf numFmtId="0" fontId="26" fillId="3" borderId="21" xfId="3" applyFont="1" applyFill="1" applyBorder="1" applyAlignment="1">
      <alignment horizontal="left"/>
    </xf>
    <xf numFmtId="0" fontId="26" fillId="3" borderId="7" xfId="3" applyFont="1" applyFill="1" applyBorder="1" applyAlignment="1">
      <alignment horizontal="left"/>
    </xf>
    <xf numFmtId="0" fontId="26" fillId="0" borderId="4" xfId="3" applyFont="1" applyFill="1" applyBorder="1" applyAlignment="1">
      <alignment horizontal="left"/>
    </xf>
    <xf numFmtId="0" fontId="26" fillId="0" borderId="21" xfId="3" applyFont="1" applyFill="1" applyBorder="1" applyAlignment="1">
      <alignment horizontal="left"/>
    </xf>
    <xf numFmtId="0" fontId="26" fillId="0" borderId="7" xfId="3" applyFont="1" applyFill="1" applyBorder="1" applyAlignment="1">
      <alignment horizontal="left"/>
    </xf>
    <xf numFmtId="1" fontId="31" fillId="0" borderId="1" xfId="0" applyNumberFormat="1" applyFont="1" applyFill="1" applyBorder="1" applyAlignment="1">
      <alignment horizontal="center"/>
    </xf>
    <xf numFmtId="1" fontId="27" fillId="3" borderId="4" xfId="3" applyNumberFormat="1" applyFont="1" applyFill="1" applyBorder="1" applyAlignment="1">
      <alignment horizontal="center"/>
    </xf>
    <xf numFmtId="1" fontId="51" fillId="3" borderId="7" xfId="0" applyNumberFormat="1" applyFont="1" applyFill="1" applyBorder="1" applyAlignment="1">
      <alignment horizontal="center"/>
    </xf>
    <xf numFmtId="0" fontId="28" fillId="0" borderId="17" xfId="0" applyFont="1" applyBorder="1" applyAlignment="1"/>
    <xf numFmtId="0" fontId="26" fillId="3" borderId="1" xfId="3" applyFont="1" applyFill="1" applyBorder="1" applyAlignment="1">
      <alignment horizontal="center" wrapText="1"/>
    </xf>
    <xf numFmtId="0" fontId="48" fillId="0" borderId="1" xfId="3" applyFont="1" applyBorder="1" applyAlignment="1">
      <alignment horizontal="center"/>
    </xf>
    <xf numFmtId="0" fontId="24" fillId="3" borderId="16" xfId="3" applyFill="1" applyBorder="1" applyAlignment="1"/>
    <xf numFmtId="0" fontId="0" fillId="3" borderId="17" xfId="0" applyFill="1" applyBorder="1" applyAlignment="1"/>
    <xf numFmtId="0" fontId="0" fillId="3" borderId="19" xfId="0" applyFill="1" applyBorder="1" applyAlignment="1"/>
    <xf numFmtId="0" fontId="62" fillId="3" borderId="4" xfId="3" applyFont="1" applyFill="1" applyBorder="1" applyAlignment="1">
      <alignment horizontal="center"/>
    </xf>
    <xf numFmtId="0" fontId="62" fillId="3" borderId="7" xfId="3" applyFont="1" applyFill="1" applyBorder="1" applyAlignment="1">
      <alignment horizontal="center"/>
    </xf>
    <xf numFmtId="0" fontId="62" fillId="3" borderId="1" xfId="3" applyFont="1" applyFill="1" applyBorder="1" applyAlignment="1">
      <alignment horizontal="center"/>
    </xf>
    <xf numFmtId="0" fontId="52" fillId="0" borderId="21" xfId="3" applyFont="1" applyFill="1" applyBorder="1" applyAlignment="1">
      <alignment horizontal="left"/>
    </xf>
    <xf numFmtId="0" fontId="52" fillId="0" borderId="7" xfId="3" applyFont="1" applyFill="1" applyBorder="1" applyAlignment="1">
      <alignment horizontal="left"/>
    </xf>
    <xf numFmtId="0" fontId="52" fillId="3" borderId="21" xfId="3" applyFont="1" applyFill="1" applyBorder="1" applyAlignment="1">
      <alignment horizontal="left"/>
    </xf>
    <xf numFmtId="0" fontId="52" fillId="3" borderId="7" xfId="3" applyFont="1" applyFill="1" applyBorder="1" applyAlignment="1">
      <alignment horizontal="left"/>
    </xf>
    <xf numFmtId="0" fontId="52" fillId="0" borderId="4" xfId="3" applyFont="1" applyBorder="1" applyAlignment="1">
      <alignment horizontal="left"/>
    </xf>
    <xf numFmtId="0" fontId="52" fillId="0" borderId="21" xfId="3" applyFont="1" applyBorder="1" applyAlignment="1">
      <alignment horizontal="left"/>
    </xf>
    <xf numFmtId="0" fontId="52" fillId="0" borderId="7" xfId="3" applyFont="1" applyBorder="1" applyAlignment="1">
      <alignment horizontal="left"/>
    </xf>
    <xf numFmtId="0" fontId="25" fillId="3" borderId="21" xfId="3" applyFont="1" applyFill="1" applyBorder="1" applyAlignment="1">
      <alignment horizontal="left"/>
    </xf>
    <xf numFmtId="0" fontId="25" fillId="3" borderId="7" xfId="3" applyFont="1" applyFill="1" applyBorder="1" applyAlignment="1">
      <alignment horizontal="left"/>
    </xf>
    <xf numFmtId="0" fontId="52" fillId="3" borderId="1" xfId="0" applyFont="1" applyFill="1" applyBorder="1" applyAlignment="1">
      <alignment horizontal="left"/>
    </xf>
    <xf numFmtId="0" fontId="52" fillId="0" borderId="1" xfId="3" applyFont="1" applyBorder="1" applyAlignment="1">
      <alignment horizontal="left" shrinkToFit="1"/>
    </xf>
    <xf numFmtId="0" fontId="52" fillId="0" borderId="1" xfId="3" applyFont="1" applyFill="1" applyBorder="1" applyAlignment="1">
      <alignment horizontal="left" shrinkToFit="1"/>
    </xf>
    <xf numFmtId="0" fontId="52" fillId="3" borderId="1" xfId="3" applyFont="1" applyFill="1" applyBorder="1" applyAlignment="1">
      <alignment horizontal="left" shrinkToFit="1"/>
    </xf>
    <xf numFmtId="9" fontId="28" fillId="0" borderId="7" xfId="3" applyNumberFormat="1" applyFont="1" applyBorder="1" applyAlignment="1">
      <alignment horizontal="center"/>
    </xf>
    <xf numFmtId="0" fontId="25" fillId="3" borderId="2" xfId="3" applyFont="1" applyFill="1" applyBorder="1" applyAlignment="1">
      <alignment horizontal="center"/>
    </xf>
    <xf numFmtId="9" fontId="31" fillId="0" borderId="4" xfId="3" applyNumberFormat="1" applyFont="1" applyBorder="1" applyAlignment="1">
      <alignment horizontal="center"/>
    </xf>
    <xf numFmtId="9" fontId="31" fillId="0" borderId="7" xfId="3" applyNumberFormat="1" applyFont="1" applyBorder="1" applyAlignment="1">
      <alignment horizontal="center"/>
    </xf>
    <xf numFmtId="0" fontId="31" fillId="0" borderId="21" xfId="0" applyFont="1" applyBorder="1" applyAlignment="1"/>
    <xf numFmtId="0" fontId="31" fillId="0" borderId="7" xfId="0" applyFont="1" applyBorder="1" applyAlignment="1"/>
    <xf numFmtId="0" fontId="31" fillId="3" borderId="17" xfId="0" applyFont="1" applyFill="1" applyBorder="1" applyAlignment="1"/>
    <xf numFmtId="0" fontId="31" fillId="3" borderId="19" xfId="0" applyFont="1" applyFill="1" applyBorder="1" applyAlignment="1"/>
    <xf numFmtId="1" fontId="27" fillId="0" borderId="7" xfId="3" applyNumberFormat="1" applyFont="1" applyBorder="1" applyAlignment="1">
      <alignment horizontal="center"/>
    </xf>
    <xf numFmtId="0" fontId="62" fillId="0" borderId="1" xfId="0" applyFont="1" applyFill="1" applyBorder="1" applyAlignment="1">
      <alignment horizontal="center"/>
    </xf>
    <xf numFmtId="0" fontId="62" fillId="3" borderId="1" xfId="0" applyFont="1" applyFill="1" applyBorder="1" applyAlignment="1">
      <alignment horizontal="center"/>
    </xf>
    <xf numFmtId="0" fontId="27" fillId="3" borderId="4" xfId="3" applyFont="1" applyFill="1" applyBorder="1" applyAlignment="1">
      <alignment horizontal="center" wrapText="1"/>
    </xf>
    <xf numFmtId="0" fontId="51" fillId="0" borderId="21" xfId="0" applyFont="1" applyBorder="1" applyAlignment="1">
      <alignment horizontal="center" wrapText="1"/>
    </xf>
    <xf numFmtId="0" fontId="62" fillId="0" borderId="1" xfId="3" applyFont="1" applyFill="1" applyBorder="1" applyAlignment="1">
      <alignment horizontal="center"/>
    </xf>
    <xf numFmtId="0" fontId="52" fillId="0" borderId="1" xfId="0" applyFont="1" applyBorder="1" applyAlignment="1">
      <alignment horizontal="left"/>
    </xf>
    <xf numFmtId="0" fontId="32" fillId="3" borderId="7" xfId="3" applyFont="1" applyFill="1" applyBorder="1" applyAlignment="1">
      <alignment horizontal="center"/>
    </xf>
    <xf numFmtId="0" fontId="27" fillId="0" borderId="4" xfId="3" applyFont="1" applyBorder="1" applyAlignment="1">
      <alignment horizontal="center" wrapText="1"/>
    </xf>
    <xf numFmtId="1" fontId="27" fillId="0" borderId="1" xfId="3" applyNumberFormat="1" applyFont="1" applyBorder="1" applyAlignment="1">
      <alignment horizontal="center"/>
    </xf>
    <xf numFmtId="0" fontId="26" fillId="3" borderId="16" xfId="3" applyFont="1" applyFill="1" applyBorder="1" applyAlignment="1">
      <alignment horizontal="center" vertical="top" wrapText="1"/>
    </xf>
    <xf numFmtId="0" fontId="26" fillId="3" borderId="17" xfId="3" applyFont="1" applyFill="1" applyBorder="1" applyAlignment="1">
      <alignment horizontal="center" vertical="top" wrapText="1"/>
    </xf>
    <xf numFmtId="0" fontId="0" fillId="0" borderId="19" xfId="0" applyBorder="1" applyAlignment="1">
      <alignment horizontal="center" vertical="top" wrapText="1"/>
    </xf>
    <xf numFmtId="0" fontId="17" fillId="0" borderId="18" xfId="0" applyFont="1" applyBorder="1" applyAlignment="1">
      <alignment horizontal="center" vertical="top" wrapText="1"/>
    </xf>
    <xf numFmtId="0" fontId="17" fillId="0" borderId="6" xfId="0" applyFont="1" applyBorder="1" applyAlignment="1">
      <alignment horizontal="center" vertical="top" wrapText="1"/>
    </xf>
    <xf numFmtId="0" fontId="0" fillId="0" borderId="20" xfId="0" applyBorder="1" applyAlignment="1">
      <alignment horizontal="center" vertical="top" wrapText="1"/>
    </xf>
    <xf numFmtId="0" fontId="25" fillId="3" borderId="1" xfId="3" applyFont="1" applyFill="1" applyBorder="1" applyAlignment="1">
      <alignment horizontal="center" wrapText="1"/>
    </xf>
    <xf numFmtId="0" fontId="0" fillId="0" borderId="1" xfId="0" applyBorder="1" applyAlignment="1">
      <alignment horizontal="center" wrapText="1"/>
    </xf>
    <xf numFmtId="0" fontId="26" fillId="3" borderId="1" xfId="3" applyFont="1" applyFill="1" applyBorder="1" applyAlignment="1">
      <alignment horizontal="center" vertical="top" wrapText="1"/>
    </xf>
    <xf numFmtId="0" fontId="17" fillId="0" borderId="1" xfId="0" applyFont="1" applyBorder="1" applyAlignment="1">
      <alignment horizontal="center" vertical="top" wrapText="1"/>
    </xf>
    <xf numFmtId="9" fontId="27" fillId="0" borderId="4" xfId="3" applyNumberFormat="1" applyFont="1" applyBorder="1" applyAlignment="1">
      <alignment horizontal="center" wrapText="1"/>
    </xf>
    <xf numFmtId="0" fontId="52" fillId="0" borderId="1" xfId="0" applyFont="1" applyFill="1" applyBorder="1" applyAlignment="1">
      <alignment horizontal="left"/>
    </xf>
    <xf numFmtId="0" fontId="27" fillId="0" borderId="1" xfId="3" applyFont="1" applyBorder="1" applyAlignment="1">
      <alignment horizontal="left"/>
    </xf>
    <xf numFmtId="0" fontId="25" fillId="3" borderId="1" xfId="3" applyFont="1" applyFill="1" applyBorder="1" applyAlignment="1">
      <alignment horizontal="center" vertical="top"/>
    </xf>
    <xf numFmtId="0" fontId="28" fillId="0" borderId="1" xfId="0" applyFont="1" applyBorder="1" applyAlignment="1">
      <alignment horizontal="center" vertical="top"/>
    </xf>
    <xf numFmtId="0" fontId="85" fillId="3" borderId="16" xfId="3" applyFont="1" applyFill="1" applyBorder="1" applyAlignment="1">
      <alignment horizontal="center" vertical="top" shrinkToFit="1"/>
    </xf>
    <xf numFmtId="0" fontId="68" fillId="0" borderId="19" xfId="0" applyFont="1" applyBorder="1" applyAlignment="1">
      <alignment horizontal="center" vertical="top" shrinkToFit="1"/>
    </xf>
    <xf numFmtId="0" fontId="66" fillId="0" borderId="18" xfId="0" applyFont="1" applyBorder="1" applyAlignment="1">
      <alignment horizontal="center" vertical="top" shrinkToFit="1"/>
    </xf>
    <xf numFmtId="0" fontId="68" fillId="0" borderId="20" xfId="0" applyFont="1" applyBorder="1" applyAlignment="1">
      <alignment horizontal="center" vertical="top" shrinkToFit="1"/>
    </xf>
    <xf numFmtId="9" fontId="28" fillId="0" borderId="1" xfId="3" applyNumberFormat="1" applyFont="1" applyBorder="1" applyAlignment="1">
      <alignment horizontal="center"/>
    </xf>
    <xf numFmtId="9" fontId="28" fillId="0" borderId="21" xfId="3" applyNumberFormat="1" applyFont="1" applyBorder="1" applyAlignment="1">
      <alignment horizontal="center"/>
    </xf>
    <xf numFmtId="0" fontId="52" fillId="3" borderId="1" xfId="3" applyFont="1" applyFill="1" applyBorder="1" applyAlignment="1">
      <alignment horizontal="center"/>
    </xf>
    <xf numFmtId="0" fontId="31" fillId="0" borderId="16" xfId="3" applyFont="1" applyFill="1" applyBorder="1" applyAlignment="1">
      <alignment horizontal="center"/>
    </xf>
    <xf numFmtId="0" fontId="31" fillId="0" borderId="19" xfId="3" applyFont="1" applyFill="1" applyBorder="1" applyAlignment="1">
      <alignment horizontal="center"/>
    </xf>
    <xf numFmtId="0" fontId="31" fillId="0" borderId="18" xfId="0" applyFont="1" applyFill="1" applyBorder="1" applyAlignment="1">
      <alignment horizontal="center"/>
    </xf>
    <xf numFmtId="0" fontId="31" fillId="0" borderId="20" xfId="0" applyFont="1" applyFill="1" applyBorder="1" applyAlignment="1">
      <alignment horizontal="center"/>
    </xf>
    <xf numFmtId="0" fontId="31" fillId="0" borderId="19" xfId="0" applyFont="1" applyFill="1" applyBorder="1" applyAlignment="1">
      <alignment horizontal="center"/>
    </xf>
    <xf numFmtId="0" fontId="48" fillId="0" borderId="6" xfId="3" applyFont="1" applyBorder="1" applyAlignment="1">
      <alignment horizontal="center"/>
    </xf>
    <xf numFmtId="0" fontId="82" fillId="0" borderId="6" xfId="0" applyFont="1" applyBorder="1" applyAlignment="1">
      <alignment horizontal="center"/>
    </xf>
    <xf numFmtId="0" fontId="26" fillId="0" borderId="1" xfId="3" applyFont="1" applyFill="1" applyBorder="1" applyAlignment="1">
      <alignment horizontal="right"/>
    </xf>
    <xf numFmtId="0" fontId="26" fillId="0" borderId="4" xfId="3" applyFont="1" applyFill="1" applyBorder="1" applyAlignment="1">
      <alignment horizontal="right"/>
    </xf>
    <xf numFmtId="0" fontId="26" fillId="0" borderId="21" xfId="3" applyFont="1" applyFill="1" applyBorder="1" applyAlignment="1">
      <alignment horizontal="right"/>
    </xf>
    <xf numFmtId="0" fontId="26" fillId="0" borderId="7" xfId="3" applyFont="1" applyFill="1" applyBorder="1" applyAlignment="1">
      <alignment horizontal="right"/>
    </xf>
    <xf numFmtId="9" fontId="17" fillId="0" borderId="7" xfId="0" applyNumberFormat="1" applyFont="1" applyFill="1" applyBorder="1" applyAlignment="1">
      <alignment horizontal="center"/>
    </xf>
    <xf numFmtId="0" fontId="31" fillId="3" borderId="1" xfId="3" applyFont="1" applyFill="1" applyBorder="1" applyAlignment="1">
      <alignment horizontal="right"/>
    </xf>
    <xf numFmtId="0" fontId="31" fillId="0" borderId="1" xfId="0" applyFont="1" applyFill="1" applyBorder="1" applyAlignment="1">
      <alignment horizontal="right"/>
    </xf>
    <xf numFmtId="0" fontId="25" fillId="0" borderId="1" xfId="3" applyFont="1" applyFill="1" applyBorder="1" applyAlignment="1">
      <alignment horizontal="right"/>
    </xf>
    <xf numFmtId="0" fontId="28" fillId="0" borderId="1" xfId="0" applyFont="1" applyFill="1" applyBorder="1" applyAlignment="1">
      <alignment horizontal="right"/>
    </xf>
    <xf numFmtId="0" fontId="28" fillId="0" borderId="1" xfId="0" applyFont="1" applyFill="1" applyBorder="1" applyAlignment="1"/>
    <xf numFmtId="0" fontId="25" fillId="3" borderId="43" xfId="3" applyFont="1" applyFill="1" applyBorder="1" applyAlignment="1">
      <alignment horizontal="center"/>
    </xf>
    <xf numFmtId="0" fontId="25" fillId="3" borderId="47" xfId="3" applyFont="1" applyFill="1" applyBorder="1" applyAlignment="1">
      <alignment horizontal="center"/>
    </xf>
    <xf numFmtId="0" fontId="17" fillId="3" borderId="1" xfId="0" applyFont="1" applyFill="1" applyBorder="1" applyAlignment="1">
      <alignment horizontal="left" shrinkToFit="1"/>
    </xf>
    <xf numFmtId="2" fontId="31" fillId="3" borderId="4" xfId="3" applyNumberFormat="1" applyFont="1" applyFill="1" applyBorder="1" applyAlignment="1">
      <alignment horizontal="center"/>
    </xf>
    <xf numFmtId="2" fontId="31" fillId="3" borderId="21" xfId="3" applyNumberFormat="1" applyFont="1" applyFill="1" applyBorder="1" applyAlignment="1">
      <alignment horizontal="center"/>
    </xf>
    <xf numFmtId="2" fontId="31" fillId="3" borderId="7" xfId="3" applyNumberFormat="1" applyFont="1" applyFill="1" applyBorder="1" applyAlignment="1">
      <alignment horizontal="center"/>
    </xf>
    <xf numFmtId="0" fontId="31" fillId="3" borderId="123" xfId="3" applyFont="1" applyFill="1" applyBorder="1" applyAlignment="1">
      <alignment horizontal="left"/>
    </xf>
    <xf numFmtId="0" fontId="31" fillId="3" borderId="124" xfId="3" applyFont="1" applyFill="1" applyBorder="1" applyAlignment="1">
      <alignment horizontal="left"/>
    </xf>
    <xf numFmtId="0" fontId="31" fillId="3" borderId="125" xfId="3" applyFont="1" applyFill="1" applyBorder="1" applyAlignment="1">
      <alignment horizontal="left"/>
    </xf>
    <xf numFmtId="2" fontId="31" fillId="3" borderId="123" xfId="3" applyNumberFormat="1" applyFont="1" applyFill="1" applyBorder="1" applyAlignment="1">
      <alignment horizontal="center"/>
    </xf>
    <xf numFmtId="2" fontId="31" fillId="3" borderId="124" xfId="3" applyNumberFormat="1" applyFont="1" applyFill="1" applyBorder="1" applyAlignment="1">
      <alignment horizontal="center"/>
    </xf>
    <xf numFmtId="2" fontId="31" fillId="3" borderId="125" xfId="3" applyNumberFormat="1" applyFont="1" applyFill="1" applyBorder="1" applyAlignment="1">
      <alignment horizontal="center"/>
    </xf>
    <xf numFmtId="1" fontId="31" fillId="0" borderId="4" xfId="3" applyNumberFormat="1" applyFont="1" applyFill="1" applyBorder="1" applyAlignment="1">
      <alignment horizontal="center"/>
    </xf>
    <xf numFmtId="0" fontId="26" fillId="3" borderId="1" xfId="3" applyFont="1" applyFill="1" applyBorder="1" applyAlignment="1">
      <alignment horizontal="left"/>
    </xf>
    <xf numFmtId="0" fontId="32" fillId="0" borderId="4" xfId="3" applyFont="1" applyBorder="1" applyAlignment="1"/>
    <xf numFmtId="0" fontId="32" fillId="0" borderId="21" xfId="3" applyFont="1" applyBorder="1" applyAlignment="1"/>
    <xf numFmtId="0" fontId="17" fillId="0" borderId="7" xfId="0" applyFont="1" applyBorder="1" applyAlignment="1"/>
    <xf numFmtId="9" fontId="27" fillId="0" borderId="21" xfId="3" applyNumberFormat="1" applyFont="1" applyBorder="1" applyAlignment="1">
      <alignment horizontal="center"/>
    </xf>
    <xf numFmtId="0" fontId="51" fillId="0" borderId="7" xfId="0" applyFont="1" applyBorder="1"/>
    <xf numFmtId="0" fontId="31" fillId="0" borderId="16" xfId="3" applyFont="1" applyBorder="1" applyAlignment="1">
      <alignment horizontal="left"/>
    </xf>
    <xf numFmtId="0" fontId="31" fillId="0" borderId="17" xfId="0" applyFont="1" applyBorder="1" applyAlignment="1"/>
    <xf numFmtId="0" fontId="31" fillId="0" borderId="19" xfId="0" applyFont="1" applyBorder="1" applyAlignment="1"/>
    <xf numFmtId="0" fontId="28" fillId="3" borderId="4" xfId="3" applyFont="1" applyFill="1" applyBorder="1" applyAlignment="1">
      <alignment horizontal="left"/>
    </xf>
    <xf numFmtId="0" fontId="28" fillId="3" borderId="21" xfId="0" applyFont="1" applyFill="1" applyBorder="1" applyAlignment="1"/>
    <xf numFmtId="0" fontId="28" fillId="3" borderId="7" xfId="0" applyFont="1" applyFill="1" applyBorder="1" applyAlignment="1"/>
    <xf numFmtId="0" fontId="48" fillId="3" borderId="3" xfId="3" applyFont="1" applyFill="1" applyBorder="1" applyAlignment="1">
      <alignment horizontal="center"/>
    </xf>
    <xf numFmtId="1" fontId="27" fillId="0" borderId="4" xfId="3" applyNumberFormat="1" applyFont="1" applyFill="1" applyBorder="1" applyAlignment="1">
      <alignment horizontal="center"/>
    </xf>
    <xf numFmtId="1" fontId="51" fillId="0" borderId="7" xfId="0" applyNumberFormat="1" applyFont="1" applyFill="1" applyBorder="1" applyAlignment="1">
      <alignment horizontal="center"/>
    </xf>
    <xf numFmtId="9" fontId="27" fillId="0" borderId="1" xfId="3" applyNumberFormat="1" applyFont="1" applyFill="1" applyBorder="1" applyAlignment="1">
      <alignment horizontal="center"/>
    </xf>
    <xf numFmtId="0" fontId="51" fillId="0" borderId="1" xfId="0" applyFont="1" applyFill="1" applyBorder="1" applyAlignment="1">
      <alignment horizontal="center"/>
    </xf>
    <xf numFmtId="0" fontId="28" fillId="0" borderId="4" xfId="0" applyFont="1" applyBorder="1" applyAlignment="1">
      <alignment horizontal="center" shrinkToFit="1"/>
    </xf>
    <xf numFmtId="0" fontId="31" fillId="0" borderId="2" xfId="0" applyFont="1" applyFill="1" applyBorder="1"/>
    <xf numFmtId="0" fontId="99" fillId="3" borderId="4" xfId="3" applyFont="1" applyFill="1" applyBorder="1" applyAlignment="1">
      <alignment horizontal="left"/>
    </xf>
    <xf numFmtId="0" fontId="99" fillId="3" borderId="21" xfId="3" applyFont="1" applyFill="1" applyBorder="1" applyAlignment="1">
      <alignment horizontal="left"/>
    </xf>
    <xf numFmtId="0" fontId="99" fillId="3" borderId="7" xfId="3" applyFont="1" applyFill="1" applyBorder="1" applyAlignment="1">
      <alignment horizontal="left"/>
    </xf>
    <xf numFmtId="0" fontId="31" fillId="0" borderId="3" xfId="0" applyFont="1" applyFill="1" applyBorder="1" applyAlignment="1">
      <alignment horizontal="center"/>
    </xf>
    <xf numFmtId="0" fontId="52" fillId="3" borderId="18" xfId="3" applyFont="1" applyFill="1" applyBorder="1" applyAlignment="1">
      <alignment horizontal="right"/>
    </xf>
    <xf numFmtId="0" fontId="27" fillId="0" borderId="6" xfId="0" applyFont="1" applyBorder="1" applyAlignment="1">
      <alignment horizontal="right"/>
    </xf>
    <xf numFmtId="0" fontId="27" fillId="0" borderId="20" xfId="0" applyFont="1" applyBorder="1" applyAlignment="1">
      <alignment horizontal="right"/>
    </xf>
    <xf numFmtId="0" fontId="52" fillId="3" borderId="4" xfId="3" applyFont="1" applyFill="1" applyBorder="1" applyAlignment="1">
      <alignment horizontal="left" shrinkToFit="1"/>
    </xf>
    <xf numFmtId="0" fontId="0" fillId="0" borderId="21" xfId="0" applyBorder="1" applyAlignment="1">
      <alignment shrinkToFit="1"/>
    </xf>
    <xf numFmtId="0" fontId="0" fillId="0" borderId="7" xfId="0" applyBorder="1" applyAlignment="1">
      <alignment shrinkToFit="1"/>
    </xf>
    <xf numFmtId="0" fontId="31" fillId="0" borderId="16" xfId="3" applyFont="1" applyFill="1" applyBorder="1" applyAlignment="1">
      <alignment horizontal="left" wrapText="1"/>
    </xf>
    <xf numFmtId="0" fontId="31" fillId="0" borderId="19" xfId="0" applyFont="1" applyBorder="1" applyAlignment="1">
      <alignment horizontal="left" wrapText="1"/>
    </xf>
    <xf numFmtId="0" fontId="17" fillId="0" borderId="18" xfId="0" applyFont="1" applyBorder="1" applyAlignment="1">
      <alignment horizontal="left" wrapText="1"/>
    </xf>
    <xf numFmtId="0" fontId="17" fillId="0" borderId="20" xfId="0" applyFont="1" applyBorder="1" applyAlignment="1">
      <alignment horizontal="left" wrapText="1"/>
    </xf>
    <xf numFmtId="0" fontId="52" fillId="3" borderId="21" xfId="3" applyFont="1" applyFill="1" applyBorder="1" applyAlignment="1">
      <alignment horizontal="center"/>
    </xf>
    <xf numFmtId="0" fontId="52" fillId="0" borderId="1" xfId="3" applyFont="1" applyBorder="1" applyAlignment="1">
      <alignment horizontal="left"/>
    </xf>
    <xf numFmtId="0" fontId="27" fillId="0" borderId="1" xfId="0" applyFont="1" applyBorder="1" applyAlignment="1">
      <alignment horizontal="left"/>
    </xf>
    <xf numFmtId="0" fontId="26" fillId="0" borderId="4" xfId="3" applyFont="1" applyBorder="1" applyAlignment="1">
      <alignment horizontal="left" shrinkToFit="1"/>
    </xf>
    <xf numFmtId="0" fontId="26" fillId="0" borderId="7" xfId="3" applyFont="1" applyBorder="1" applyAlignment="1">
      <alignment horizontal="left" shrinkToFit="1"/>
    </xf>
    <xf numFmtId="0" fontId="25" fillId="0" borderId="21" xfId="3" applyFont="1" applyBorder="1" applyAlignment="1">
      <alignment horizontal="center"/>
    </xf>
    <xf numFmtId="9" fontId="28" fillId="0" borderId="1" xfId="4" applyNumberFormat="1" applyFont="1" applyBorder="1" applyAlignment="1">
      <alignment horizontal="center"/>
    </xf>
    <xf numFmtId="0" fontId="28" fillId="0" borderId="1" xfId="4" applyFont="1" applyBorder="1" applyAlignment="1">
      <alignment horizontal="center"/>
    </xf>
    <xf numFmtId="0" fontId="52" fillId="0" borderId="4" xfId="3" applyFont="1" applyFill="1" applyBorder="1" applyAlignment="1">
      <alignment horizontal="center"/>
    </xf>
    <xf numFmtId="0" fontId="52" fillId="3" borderId="118" xfId="3" applyFont="1" applyFill="1" applyBorder="1" applyAlignment="1">
      <alignment horizontal="left"/>
    </xf>
    <xf numFmtId="0" fontId="52" fillId="3" borderId="119" xfId="3" applyFont="1" applyFill="1" applyBorder="1" applyAlignment="1">
      <alignment horizontal="left"/>
    </xf>
    <xf numFmtId="0" fontId="52" fillId="3" borderId="122" xfId="3" applyFont="1" applyFill="1" applyBorder="1" applyAlignment="1">
      <alignment horizontal="left"/>
    </xf>
    <xf numFmtId="0" fontId="52" fillId="0" borderId="2" xfId="3" applyFont="1" applyBorder="1" applyAlignment="1">
      <alignment horizontal="left"/>
    </xf>
    <xf numFmtId="0" fontId="27" fillId="0" borderId="2" xfId="0" applyFont="1" applyBorder="1" applyAlignment="1">
      <alignment horizontal="left"/>
    </xf>
    <xf numFmtId="0" fontId="27" fillId="0" borderId="18" xfId="3" applyFont="1" applyBorder="1" applyAlignment="1"/>
    <xf numFmtId="0" fontId="52" fillId="3" borderId="49" xfId="3" applyFont="1" applyFill="1" applyBorder="1" applyAlignment="1">
      <alignment horizontal="center"/>
    </xf>
    <xf numFmtId="0" fontId="28" fillId="0" borderId="5" xfId="3" applyFont="1" applyBorder="1" applyAlignment="1">
      <alignment horizontal="left"/>
    </xf>
    <xf numFmtId="0" fontId="28" fillId="0" borderId="0" xfId="0" applyFont="1" applyBorder="1" applyAlignment="1">
      <alignment horizontal="left"/>
    </xf>
    <xf numFmtId="0" fontId="28" fillId="0" borderId="8" xfId="0" applyFont="1" applyBorder="1" applyAlignment="1">
      <alignment horizontal="left"/>
    </xf>
    <xf numFmtId="0" fontId="25" fillId="3" borderId="4" xfId="3" applyFont="1" applyFill="1" applyBorder="1" applyAlignment="1">
      <alignment horizontal="center" shrinkToFit="1"/>
    </xf>
    <xf numFmtId="0" fontId="0" fillId="0" borderId="21" xfId="0" applyBorder="1" applyAlignment="1">
      <alignment horizontal="center" shrinkToFit="1"/>
    </xf>
    <xf numFmtId="0" fontId="0" fillId="0" borderId="7" xfId="0" applyBorder="1" applyAlignment="1">
      <alignment horizontal="center" shrinkToFit="1"/>
    </xf>
    <xf numFmtId="0" fontId="31" fillId="0" borderId="16" xfId="3" applyFont="1" applyBorder="1" applyAlignment="1">
      <alignment horizontal="left" wrapText="1"/>
    </xf>
    <xf numFmtId="0" fontId="17" fillId="0" borderId="17" xfId="0" applyFont="1" applyBorder="1" applyAlignment="1">
      <alignment horizontal="left" wrapText="1"/>
    </xf>
    <xf numFmtId="0" fontId="17" fillId="0" borderId="6" xfId="0" applyFont="1" applyBorder="1" applyAlignment="1">
      <alignment horizontal="left" wrapText="1"/>
    </xf>
    <xf numFmtId="0" fontId="52" fillId="0" borderId="7" xfId="3" applyFont="1" applyFill="1" applyBorder="1" applyAlignment="1">
      <alignment horizontal="center"/>
    </xf>
    <xf numFmtId="0" fontId="36" fillId="3" borderId="1" xfId="0" applyFont="1" applyFill="1" applyBorder="1" applyAlignment="1">
      <alignment vertical="top"/>
    </xf>
    <xf numFmtId="0" fontId="17" fillId="3" borderId="1" xfId="0" applyFont="1" applyFill="1" applyBorder="1" applyAlignment="1"/>
    <xf numFmtId="0" fontId="28" fillId="0" borderId="4" xfId="3" applyFont="1" applyBorder="1" applyAlignment="1">
      <alignment horizontal="center" shrinkToFit="1"/>
    </xf>
    <xf numFmtId="0" fontId="52" fillId="0" borderId="1" xfId="3" applyFont="1" applyFill="1" applyBorder="1" applyAlignment="1">
      <alignment horizontal="center"/>
    </xf>
    <xf numFmtId="0" fontId="27" fillId="0" borderId="1" xfId="0" applyFont="1" applyFill="1" applyBorder="1" applyAlignment="1"/>
    <xf numFmtId="0" fontId="32" fillId="0" borderId="4" xfId="3" applyFont="1" applyBorder="1" applyAlignment="1">
      <alignment horizontal="left" shrinkToFit="1"/>
    </xf>
    <xf numFmtId="9" fontId="62" fillId="0" borderId="4" xfId="3" applyNumberFormat="1" applyFont="1" applyBorder="1" applyAlignment="1">
      <alignment horizontal="center"/>
    </xf>
    <xf numFmtId="0" fontId="31" fillId="0" borderId="1" xfId="3" applyFont="1" applyBorder="1" applyAlignment="1"/>
    <xf numFmtId="0" fontId="32" fillId="0" borderId="1" xfId="3" applyFont="1" applyBorder="1" applyAlignment="1">
      <alignment horizontal="left" shrinkToFit="1"/>
    </xf>
    <xf numFmtId="0" fontId="0" fillId="0" borderId="1" xfId="0" applyBorder="1" applyAlignment="1">
      <alignment horizontal="left" shrinkToFit="1"/>
    </xf>
    <xf numFmtId="0" fontId="31" fillId="0" borderId="21" xfId="3" applyFont="1" applyBorder="1" applyAlignment="1">
      <alignment horizontal="left" shrinkToFit="1"/>
    </xf>
    <xf numFmtId="0" fontId="31" fillId="0" borderId="7" xfId="3" applyFont="1" applyBorder="1" applyAlignment="1">
      <alignment horizontal="left" shrinkToFit="1"/>
    </xf>
    <xf numFmtId="0" fontId="28" fillId="0" borderId="4" xfId="3" applyFont="1" applyFill="1" applyBorder="1" applyAlignment="1">
      <alignment horizontal="right"/>
    </xf>
    <xf numFmtId="0" fontId="0" fillId="0" borderId="21" xfId="0" applyFill="1" applyBorder="1" applyAlignment="1">
      <alignment horizontal="right"/>
    </xf>
    <xf numFmtId="0" fontId="0" fillId="0" borderId="7" xfId="0" applyFill="1" applyBorder="1" applyAlignment="1">
      <alignment horizontal="right"/>
    </xf>
    <xf numFmtId="1" fontId="58" fillId="0" borderId="4" xfId="3" applyNumberFormat="1" applyFont="1" applyBorder="1" applyAlignment="1">
      <alignment horizontal="center"/>
    </xf>
    <xf numFmtId="0" fontId="28" fillId="0" borderId="4" xfId="3" applyFont="1" applyFill="1" applyBorder="1" applyAlignment="1">
      <alignment horizontal="left" shrinkToFit="1"/>
    </xf>
    <xf numFmtId="0" fontId="28" fillId="0" borderId="21" xfId="0" applyFont="1" applyBorder="1" applyAlignment="1">
      <alignment horizontal="left" shrinkToFit="1"/>
    </xf>
    <xf numFmtId="0" fontId="28" fillId="0" borderId="7" xfId="0" applyFont="1" applyBorder="1" applyAlignment="1">
      <alignment horizontal="left" shrinkToFit="1"/>
    </xf>
    <xf numFmtId="0" fontId="28" fillId="0" borderId="1" xfId="0" applyFont="1" applyBorder="1" applyAlignment="1"/>
    <xf numFmtId="0" fontId="25" fillId="0" borderId="21" xfId="3" applyFont="1" applyFill="1" applyBorder="1" applyAlignment="1">
      <alignment horizontal="center"/>
    </xf>
    <xf numFmtId="0" fontId="28" fillId="0" borderId="21" xfId="0" applyFont="1" applyFill="1" applyBorder="1" applyAlignment="1">
      <alignment horizontal="center"/>
    </xf>
    <xf numFmtId="0" fontId="28" fillId="0" borderId="7" xfId="0" applyFont="1" applyFill="1" applyBorder="1" applyAlignment="1">
      <alignment horizontal="center"/>
    </xf>
    <xf numFmtId="0" fontId="28" fillId="0" borderId="21" xfId="3" applyFont="1" applyFill="1" applyBorder="1" applyAlignment="1">
      <alignment horizontal="left" shrinkToFit="1"/>
    </xf>
    <xf numFmtId="0" fontId="28" fillId="0" borderId="21" xfId="0" applyFont="1" applyFill="1" applyBorder="1"/>
    <xf numFmtId="0" fontId="28" fillId="0" borderId="7" xfId="0" applyFont="1" applyFill="1" applyBorder="1"/>
    <xf numFmtId="0" fontId="28" fillId="0" borderId="7" xfId="3" applyFont="1" applyFill="1" applyBorder="1" applyAlignment="1">
      <alignment horizontal="left" shrinkToFit="1"/>
    </xf>
    <xf numFmtId="0" fontId="28" fillId="0" borderId="1" xfId="0" applyFont="1" applyFill="1" applyBorder="1" applyAlignment="1">
      <alignment horizontal="left" shrinkToFit="1"/>
    </xf>
    <xf numFmtId="0" fontId="25" fillId="0" borderId="1" xfId="3" applyFont="1" applyFill="1" applyBorder="1" applyAlignment="1">
      <alignment shrinkToFit="1"/>
    </xf>
    <xf numFmtId="0" fontId="28" fillId="0" borderId="4" xfId="0" applyFont="1" applyFill="1" applyBorder="1" applyAlignment="1">
      <alignment shrinkToFit="1"/>
    </xf>
    <xf numFmtId="0" fontId="25" fillId="0" borderId="4" xfId="3" applyFont="1" applyFill="1" applyBorder="1" applyAlignment="1"/>
    <xf numFmtId="0" fontId="28" fillId="0" borderId="21" xfId="0" applyFont="1" applyFill="1" applyBorder="1" applyAlignment="1"/>
    <xf numFmtId="0" fontId="52" fillId="0" borderId="21" xfId="3" applyFont="1" applyFill="1" applyBorder="1" applyAlignment="1">
      <alignment horizontal="center"/>
    </xf>
    <xf numFmtId="0" fontId="0" fillId="0" borderId="21" xfId="0" applyFill="1" applyBorder="1" applyAlignment="1"/>
    <xf numFmtId="0" fontId="0" fillId="0" borderId="7" xfId="0" applyFill="1" applyBorder="1" applyAlignment="1"/>
    <xf numFmtId="0" fontId="28" fillId="0" borderId="1" xfId="0" applyFont="1" applyBorder="1" applyAlignment="1">
      <alignment horizontal="left"/>
    </xf>
    <xf numFmtId="0" fontId="28" fillId="0" borderId="4" xfId="3" applyFont="1" applyBorder="1" applyAlignment="1">
      <alignment horizontal="left" shrinkToFit="1"/>
    </xf>
    <xf numFmtId="1" fontId="27" fillId="0" borderId="4" xfId="0" applyNumberFormat="1" applyFont="1" applyBorder="1" applyAlignment="1">
      <alignment horizontal="center"/>
    </xf>
    <xf numFmtId="0" fontId="28" fillId="0" borderId="1" xfId="3" applyFont="1" applyFill="1" applyBorder="1" applyAlignment="1">
      <alignment horizontal="left"/>
    </xf>
    <xf numFmtId="0" fontId="37" fillId="3" borderId="4" xfId="3" applyFont="1" applyFill="1" applyBorder="1" applyAlignment="1">
      <alignment horizontal="left"/>
    </xf>
    <xf numFmtId="0" fontId="38" fillId="0" borderId="21" xfId="0" applyFont="1" applyBorder="1" applyAlignment="1"/>
    <xf numFmtId="0" fontId="62" fillId="0" borderId="4" xfId="3" applyFont="1" applyBorder="1" applyAlignment="1">
      <alignment horizontal="center"/>
    </xf>
    <xf numFmtId="0" fontId="62" fillId="0" borderId="7" xfId="3" applyFont="1" applyBorder="1" applyAlignment="1">
      <alignment horizontal="center"/>
    </xf>
    <xf numFmtId="0" fontId="99" fillId="0" borderId="1" xfId="0" applyFont="1" applyFill="1" applyBorder="1" applyAlignment="1">
      <alignment horizontal="left" shrinkToFit="1"/>
    </xf>
    <xf numFmtId="0" fontId="100" fillId="0" borderId="1" xfId="0" applyFont="1" applyFill="1" applyBorder="1" applyAlignment="1">
      <alignment horizontal="left" shrinkToFit="1"/>
    </xf>
    <xf numFmtId="0" fontId="62" fillId="0" borderId="1" xfId="3" applyFont="1" applyBorder="1" applyAlignment="1">
      <alignment horizontal="center"/>
    </xf>
    <xf numFmtId="0" fontId="48" fillId="3" borderId="1" xfId="3" applyFont="1" applyFill="1" applyBorder="1" applyAlignment="1">
      <alignment horizontal="center"/>
    </xf>
    <xf numFmtId="0" fontId="31" fillId="0" borderId="1" xfId="3" applyFont="1" applyFill="1" applyBorder="1" applyAlignment="1">
      <alignment horizontal="left"/>
    </xf>
    <xf numFmtId="0" fontId="52" fillId="0" borderId="1" xfId="0" applyFont="1" applyFill="1" applyBorder="1" applyAlignment="1">
      <alignment horizontal="left" shrinkToFit="1"/>
    </xf>
    <xf numFmtId="0" fontId="51" fillId="0" borderId="1" xfId="0" applyFont="1" applyFill="1" applyBorder="1" applyAlignment="1">
      <alignment horizontal="left" shrinkToFit="1"/>
    </xf>
    <xf numFmtId="0" fontId="51" fillId="0" borderId="21" xfId="0" applyFont="1" applyFill="1" applyBorder="1" applyAlignment="1">
      <alignment horizontal="center"/>
    </xf>
    <xf numFmtId="0" fontId="51" fillId="0" borderId="7" xfId="0" applyFont="1" applyFill="1" applyBorder="1" applyAlignment="1">
      <alignment horizontal="center"/>
    </xf>
    <xf numFmtId="0" fontId="52" fillId="0" borderId="1" xfId="0" applyFont="1" applyBorder="1" applyAlignment="1">
      <alignment horizontal="left" shrinkToFit="1"/>
    </xf>
    <xf numFmtId="0" fontId="51" fillId="0" borderId="1" xfId="0" applyFont="1" applyBorder="1" applyAlignment="1">
      <alignment horizontal="left" shrinkToFit="1"/>
    </xf>
    <xf numFmtId="0" fontId="52" fillId="3" borderId="1" xfId="0" applyFont="1" applyFill="1" applyBorder="1" applyAlignment="1">
      <alignment horizontal="left" shrinkToFit="1"/>
    </xf>
    <xf numFmtId="0" fontId="51" fillId="3" borderId="1" xfId="0" applyFont="1" applyFill="1" applyBorder="1" applyAlignment="1">
      <alignment horizontal="left" shrinkToFit="1"/>
    </xf>
    <xf numFmtId="0" fontId="99" fillId="3" borderId="1" xfId="0" applyFont="1" applyFill="1" applyBorder="1" applyAlignment="1">
      <alignment horizontal="left" shrinkToFit="1"/>
    </xf>
    <xf numFmtId="0" fontId="62" fillId="0" borderId="4" xfId="3" applyFont="1" applyFill="1" applyBorder="1" applyAlignment="1">
      <alignment horizontal="center"/>
    </xf>
    <xf numFmtId="0" fontId="62" fillId="0" borderId="7" xfId="3" applyFont="1" applyFill="1" applyBorder="1" applyAlignment="1">
      <alignment horizontal="center"/>
    </xf>
    <xf numFmtId="0" fontId="99" fillId="0" borderId="1" xfId="0" applyFont="1" applyBorder="1" applyAlignment="1">
      <alignment horizontal="left" shrinkToFit="1"/>
    </xf>
    <xf numFmtId="0" fontId="100" fillId="0" borderId="1" xfId="0" applyFont="1" applyBorder="1" applyAlignment="1">
      <alignment horizontal="left" shrinkToFit="1"/>
    </xf>
    <xf numFmtId="0" fontId="28" fillId="3" borderId="19" xfId="3" applyFont="1" applyFill="1" applyBorder="1" applyAlignment="1"/>
    <xf numFmtId="0" fontId="89" fillId="0" borderId="4" xfId="3" applyFont="1" applyFill="1" applyBorder="1" applyAlignment="1">
      <alignment horizontal="left" wrapText="1"/>
    </xf>
    <xf numFmtId="0" fontId="0" fillId="0" borderId="7" xfId="0" applyFill="1" applyBorder="1"/>
    <xf numFmtId="0" fontId="28" fillId="3" borderId="1" xfId="3" applyFont="1" applyFill="1" applyBorder="1" applyAlignment="1">
      <alignment horizontal="left"/>
    </xf>
    <xf numFmtId="0" fontId="31" fillId="0" borderId="4" xfId="3" quotePrefix="1" applyFont="1" applyBorder="1" applyAlignment="1">
      <alignment horizontal="center"/>
    </xf>
    <xf numFmtId="1" fontId="28" fillId="0" borderId="4" xfId="0" applyNumberFormat="1" applyFont="1" applyBorder="1" applyAlignment="1"/>
    <xf numFmtId="0" fontId="28" fillId="0" borderId="3" xfId="3" applyFont="1" applyBorder="1" applyAlignment="1"/>
    <xf numFmtId="0" fontId="28" fillId="0" borderId="1" xfId="3" applyFont="1" applyBorder="1" applyAlignment="1"/>
    <xf numFmtId="1" fontId="28" fillId="0" borderId="16" xfId="3" applyNumberFormat="1" applyFont="1" applyBorder="1" applyAlignment="1">
      <alignment horizontal="center"/>
    </xf>
    <xf numFmtId="0" fontId="25" fillId="3" borderId="4" xfId="3" applyFont="1" applyFill="1" applyBorder="1" applyAlignment="1"/>
    <xf numFmtId="0" fontId="28" fillId="0" borderId="18" xfId="3" applyFont="1" applyBorder="1" applyAlignment="1">
      <alignment horizontal="left"/>
    </xf>
    <xf numFmtId="0" fontId="28" fillId="0" borderId="6" xfId="0" applyFont="1" applyBorder="1" applyAlignment="1">
      <alignment horizontal="left"/>
    </xf>
    <xf numFmtId="0" fontId="28" fillId="0" borderId="20" xfId="0" applyFont="1" applyBorder="1" applyAlignment="1">
      <alignment horizontal="left"/>
    </xf>
    <xf numFmtId="0" fontId="27" fillId="0" borderId="4" xfId="3" applyFont="1" applyFill="1" applyBorder="1" applyAlignment="1">
      <alignment horizontal="left" shrinkToFit="1"/>
    </xf>
    <xf numFmtId="0" fontId="27" fillId="0" borderId="21" xfId="3" applyFont="1" applyFill="1" applyBorder="1" applyAlignment="1">
      <alignment horizontal="left" shrinkToFit="1"/>
    </xf>
    <xf numFmtId="0" fontId="27" fillId="0" borderId="7" xfId="3" applyFont="1" applyFill="1" applyBorder="1" applyAlignment="1">
      <alignment horizontal="left" shrinkToFit="1"/>
    </xf>
    <xf numFmtId="0" fontId="27" fillId="3" borderId="21" xfId="3" applyFont="1" applyFill="1" applyBorder="1" applyAlignment="1">
      <alignment horizontal="left"/>
    </xf>
    <xf numFmtId="0" fontId="27" fillId="3" borderId="7" xfId="3" applyFont="1" applyFill="1" applyBorder="1" applyAlignment="1">
      <alignment horizontal="left"/>
    </xf>
    <xf numFmtId="0" fontId="27" fillId="3" borderId="4" xfId="3" applyFont="1" applyFill="1" applyBorder="1" applyAlignment="1">
      <alignment horizontal="left" shrinkToFit="1"/>
    </xf>
    <xf numFmtId="0" fontId="27" fillId="3" borderId="21" xfId="3" applyFont="1" applyFill="1" applyBorder="1" applyAlignment="1">
      <alignment horizontal="left" shrinkToFit="1"/>
    </xf>
    <xf numFmtId="0" fontId="27" fillId="3" borderId="7" xfId="3" applyFont="1" applyFill="1" applyBorder="1" applyAlignment="1">
      <alignment horizontal="left" shrinkToFit="1"/>
    </xf>
    <xf numFmtId="0" fontId="89" fillId="3" borderId="4" xfId="3" applyFont="1" applyFill="1" applyBorder="1" applyAlignment="1">
      <alignment horizontal="left" wrapText="1"/>
    </xf>
    <xf numFmtId="0" fontId="37" fillId="3" borderId="4" xfId="3" applyFont="1" applyFill="1" applyBorder="1" applyAlignment="1">
      <alignment horizontal="left" wrapText="1"/>
    </xf>
    <xf numFmtId="0" fontId="37" fillId="3" borderId="7" xfId="3" applyFont="1" applyFill="1" applyBorder="1" applyAlignment="1">
      <alignment horizontal="left" wrapText="1"/>
    </xf>
    <xf numFmtId="0" fontId="17" fillId="0" borderId="1" xfId="0" applyFont="1" applyBorder="1" applyAlignment="1">
      <alignment horizontal="center" wrapText="1"/>
    </xf>
    <xf numFmtId="0" fontId="51" fillId="3" borderId="1" xfId="0" applyFont="1" applyFill="1" applyBorder="1" applyAlignment="1"/>
    <xf numFmtId="0" fontId="26" fillId="3" borderId="2" xfId="3" applyFont="1" applyFill="1" applyBorder="1" applyAlignment="1">
      <alignment horizontal="center" wrapText="1"/>
    </xf>
    <xf numFmtId="0" fontId="0" fillId="0" borderId="3" xfId="0" applyBorder="1" applyAlignment="1">
      <alignment horizontal="center" wrapText="1"/>
    </xf>
    <xf numFmtId="0" fontId="0" fillId="0" borderId="3" xfId="0" applyBorder="1"/>
    <xf numFmtId="0" fontId="0" fillId="0" borderId="2" xfId="0" applyBorder="1"/>
    <xf numFmtId="1" fontId="27" fillId="0" borderId="21" xfId="3" applyNumberFormat="1" applyFont="1" applyBorder="1" applyAlignment="1">
      <alignment horizontal="center"/>
    </xf>
    <xf numFmtId="0" fontId="26" fillId="3" borderId="16" xfId="3" applyFont="1" applyFill="1" applyBorder="1" applyAlignment="1">
      <alignment horizontal="center" wrapText="1"/>
    </xf>
    <xf numFmtId="0" fontId="17" fillId="0" borderId="17" xfId="0" applyFont="1" applyBorder="1" applyAlignment="1">
      <alignment horizontal="center" wrapText="1"/>
    </xf>
    <xf numFmtId="0" fontId="17" fillId="0" borderId="19" xfId="0" applyFont="1" applyBorder="1" applyAlignment="1">
      <alignment horizontal="center" wrapText="1"/>
    </xf>
    <xf numFmtId="0" fontId="17" fillId="0" borderId="6" xfId="0" applyFont="1" applyBorder="1" applyAlignment="1">
      <alignment horizontal="center" wrapText="1"/>
    </xf>
    <xf numFmtId="0" fontId="52" fillId="3" borderId="4" xfId="3" applyFont="1" applyFill="1" applyBorder="1" applyAlignment="1">
      <alignment horizontal="right"/>
    </xf>
    <xf numFmtId="0" fontId="27" fillId="0" borderId="21" xfId="0" applyFont="1" applyBorder="1" applyAlignment="1">
      <alignment horizontal="right"/>
    </xf>
    <xf numFmtId="0" fontId="27" fillId="0" borderId="7" xfId="0" applyFont="1" applyBorder="1" applyAlignment="1">
      <alignment horizontal="right"/>
    </xf>
    <xf numFmtId="0" fontId="31" fillId="0" borderId="2" xfId="0" applyFont="1" applyFill="1" applyBorder="1" applyAlignment="1">
      <alignment horizontal="center"/>
    </xf>
    <xf numFmtId="0" fontId="28" fillId="3" borderId="17" xfId="3" applyFont="1" applyFill="1" applyBorder="1" applyAlignment="1">
      <alignment horizontal="center"/>
    </xf>
    <xf numFmtId="0" fontId="28" fillId="3" borderId="18" xfId="3" applyFont="1" applyFill="1" applyBorder="1" applyAlignment="1">
      <alignment horizontal="center"/>
    </xf>
    <xf numFmtId="0" fontId="28" fillId="3" borderId="6" xfId="3" applyFont="1" applyFill="1" applyBorder="1" applyAlignment="1">
      <alignment horizontal="center"/>
    </xf>
    <xf numFmtId="0" fontId="28" fillId="3" borderId="20" xfId="3" applyFont="1" applyFill="1" applyBorder="1" applyAlignment="1">
      <alignment horizontal="center"/>
    </xf>
    <xf numFmtId="0" fontId="0" fillId="0" borderId="119" xfId="0" applyBorder="1" applyAlignment="1"/>
    <xf numFmtId="0" fontId="27" fillId="0" borderId="120" xfId="0" applyFont="1" applyBorder="1" applyAlignment="1"/>
    <xf numFmtId="0" fontId="0" fillId="0" borderId="61" xfId="0" applyBorder="1" applyAlignment="1"/>
    <xf numFmtId="0" fontId="0" fillId="0" borderId="121" xfId="0" applyBorder="1" applyAlignment="1"/>
    <xf numFmtId="0" fontId="52" fillId="3" borderId="3" xfId="3" applyFont="1" applyFill="1" applyBorder="1" applyAlignment="1">
      <alignment horizontal="center"/>
    </xf>
    <xf numFmtId="0" fontId="51" fillId="0" borderId="3" xfId="0" applyFont="1" applyBorder="1" applyAlignment="1">
      <alignment horizontal="center"/>
    </xf>
    <xf numFmtId="1" fontId="0" fillId="0" borderId="16" xfId="0" applyNumberFormat="1" applyBorder="1" applyAlignment="1">
      <alignment horizontal="center"/>
    </xf>
    <xf numFmtId="1" fontId="0" fillId="0" borderId="19" xfId="0" applyNumberFormat="1" applyBorder="1" applyAlignment="1">
      <alignment horizontal="center"/>
    </xf>
    <xf numFmtId="1" fontId="50" fillId="0" borderId="7" xfId="0" applyNumberFormat="1" applyFont="1" applyBorder="1" applyAlignment="1">
      <alignment horizontal="center"/>
    </xf>
    <xf numFmtId="0" fontId="52" fillId="3" borderId="2" xfId="3" applyFont="1" applyFill="1" applyBorder="1" applyAlignment="1">
      <alignment horizontal="center"/>
    </xf>
    <xf numFmtId="0" fontId="27" fillId="0" borderId="2" xfId="0" applyFont="1" applyBorder="1" applyAlignment="1">
      <alignment horizontal="center"/>
    </xf>
    <xf numFmtId="0" fontId="26" fillId="0" borderId="155" xfId="3" applyFont="1" applyBorder="1" applyAlignment="1">
      <alignment horizontal="left" shrinkToFit="1"/>
    </xf>
    <xf numFmtId="0" fontId="26" fillId="0" borderId="156" xfId="3" applyFont="1" applyBorder="1" applyAlignment="1">
      <alignment horizontal="left" shrinkToFit="1"/>
    </xf>
    <xf numFmtId="0" fontId="24" fillId="0" borderId="4" xfId="3" applyFont="1" applyBorder="1" applyAlignment="1">
      <alignment horizontal="center"/>
    </xf>
    <xf numFmtId="0" fontId="24" fillId="0" borderId="21" xfId="3" applyBorder="1" applyAlignment="1">
      <alignment horizontal="center"/>
    </xf>
    <xf numFmtId="0" fontId="52" fillId="3" borderId="18" xfId="3" applyFont="1" applyFill="1" applyBorder="1" applyAlignment="1">
      <alignment horizontal="center"/>
    </xf>
    <xf numFmtId="0" fontId="51" fillId="0" borderId="20" xfId="0" applyFont="1" applyBorder="1" applyAlignment="1">
      <alignment horizontal="center"/>
    </xf>
    <xf numFmtId="0" fontId="40" fillId="0" borderId="4" xfId="3" applyFont="1" applyBorder="1" applyAlignment="1">
      <alignment horizontal="center" wrapText="1"/>
    </xf>
    <xf numFmtId="0" fontId="0" fillId="0" borderId="7" xfId="0" applyBorder="1" applyAlignment="1">
      <alignment horizontal="center" wrapText="1"/>
    </xf>
    <xf numFmtId="0" fontId="52" fillId="3" borderId="16" xfId="3" applyFont="1" applyFill="1" applyBorder="1" applyAlignment="1">
      <alignment horizontal="center"/>
    </xf>
    <xf numFmtId="0" fontId="52" fillId="3" borderId="19" xfId="3" applyFont="1" applyFill="1" applyBorder="1" applyAlignment="1">
      <alignment horizontal="center"/>
    </xf>
    <xf numFmtId="0" fontId="52" fillId="3" borderId="4" xfId="3" applyFont="1" applyFill="1" applyBorder="1" applyAlignment="1">
      <alignment horizontal="center" shrinkToFit="1"/>
    </xf>
    <xf numFmtId="0" fontId="60" fillId="3" borderId="96" xfId="0" applyFont="1" applyFill="1" applyBorder="1" applyAlignment="1">
      <alignment horizontal="center" vertical="center" wrapText="1"/>
    </xf>
    <xf numFmtId="0" fontId="61" fillId="0" borderId="51" xfId="0" applyFont="1" applyBorder="1" applyAlignment="1">
      <alignment horizontal="center" vertical="center" wrapText="1"/>
    </xf>
    <xf numFmtId="0" fontId="61" fillId="0" borderId="111" xfId="0" applyFont="1" applyBorder="1" applyAlignment="1">
      <alignment horizontal="center" vertical="center" wrapText="1"/>
    </xf>
    <xf numFmtId="0" fontId="61" fillId="0" borderId="3" xfId="0" applyFont="1" applyBorder="1" applyAlignment="1">
      <alignment horizontal="center" vertical="center"/>
    </xf>
    <xf numFmtId="1" fontId="52" fillId="0" borderId="2" xfId="0" applyNumberFormat="1" applyFont="1" applyBorder="1" applyAlignment="1">
      <alignment horizontal="center" vertical="top" wrapText="1"/>
    </xf>
    <xf numFmtId="0" fontId="51" fillId="0" borderId="2" xfId="0" applyFont="1" applyBorder="1" applyAlignment="1">
      <alignment horizontal="center"/>
    </xf>
    <xf numFmtId="0" fontId="51" fillId="0" borderId="142" xfId="0" applyFont="1" applyBorder="1" applyAlignment="1">
      <alignment horizontal="center"/>
    </xf>
    <xf numFmtId="1" fontId="52" fillId="0" borderId="3" xfId="0" applyNumberFormat="1" applyFont="1" applyBorder="1" applyAlignment="1">
      <alignment horizontal="center" vertical="top" wrapText="1"/>
    </xf>
    <xf numFmtId="0" fontId="51" fillId="0" borderId="134" xfId="0" applyFont="1" applyBorder="1" applyAlignment="1">
      <alignment horizontal="center"/>
    </xf>
    <xf numFmtId="0" fontId="31" fillId="0" borderId="30" xfId="3" applyFont="1" applyFill="1" applyBorder="1" applyAlignment="1">
      <alignment horizontal="left" shrinkToFit="1"/>
    </xf>
    <xf numFmtId="0" fontId="17" fillId="0" borderId="30" xfId="0" applyFont="1" applyBorder="1" applyAlignment="1"/>
    <xf numFmtId="2" fontId="28" fillId="0" borderId="1" xfId="3" applyNumberFormat="1" applyFont="1" applyBorder="1" applyAlignment="1">
      <alignment horizontal="center"/>
    </xf>
    <xf numFmtId="1" fontId="28" fillId="0" borderId="1" xfId="0" applyNumberFormat="1" applyFont="1" applyBorder="1" applyAlignment="1">
      <alignment horizontal="center"/>
    </xf>
    <xf numFmtId="2" fontId="28" fillId="0" borderId="4" xfId="3" applyNumberFormat="1" applyFont="1" applyFill="1" applyBorder="1" applyAlignment="1">
      <alignment horizontal="center"/>
    </xf>
    <xf numFmtId="2" fontId="0" fillId="0" borderId="21" xfId="0" applyNumberFormat="1" applyBorder="1" applyAlignment="1"/>
    <xf numFmtId="2" fontId="0" fillId="0" borderId="7" xfId="0" applyNumberFormat="1" applyBorder="1" applyAlignment="1"/>
    <xf numFmtId="9" fontId="31" fillId="0" borderId="1" xfId="3" applyNumberFormat="1" applyFont="1" applyFill="1" applyBorder="1" applyAlignment="1">
      <alignment horizontal="center"/>
    </xf>
    <xf numFmtId="0" fontId="26" fillId="3" borderId="20" xfId="3" applyFont="1" applyFill="1" applyBorder="1" applyAlignment="1">
      <alignment horizontal="center"/>
    </xf>
    <xf numFmtId="0" fontId="26" fillId="3" borderId="16" xfId="3" applyFont="1" applyFill="1" applyBorder="1" applyAlignment="1">
      <alignment horizontal="center"/>
    </xf>
    <xf numFmtId="0" fontId="26" fillId="3" borderId="17" xfId="3" applyFont="1" applyFill="1" applyBorder="1" applyAlignment="1">
      <alignment horizontal="center"/>
    </xf>
    <xf numFmtId="0" fontId="26" fillId="3" borderId="19" xfId="3" applyFont="1" applyFill="1" applyBorder="1" applyAlignment="1">
      <alignment horizontal="center"/>
    </xf>
    <xf numFmtId="0" fontId="26" fillId="3" borderId="6" xfId="3" applyFont="1" applyFill="1" applyBorder="1" applyAlignment="1">
      <alignment horizontal="center"/>
    </xf>
    <xf numFmtId="0" fontId="26" fillId="0" borderId="4" xfId="0" applyFont="1" applyFill="1" applyBorder="1" applyAlignment="1"/>
    <xf numFmtId="0" fontId="26" fillId="0" borderId="21" xfId="0" applyFont="1" applyFill="1" applyBorder="1" applyAlignment="1"/>
    <xf numFmtId="0" fontId="26" fillId="0" borderId="7" xfId="0" applyFont="1" applyFill="1" applyBorder="1" applyAlignment="1"/>
    <xf numFmtId="0" fontId="31" fillId="3" borderId="123" xfId="3" applyFont="1" applyFill="1" applyBorder="1" applyAlignment="1">
      <alignment horizontal="center"/>
    </xf>
    <xf numFmtId="0" fontId="31" fillId="3" borderId="125" xfId="3" applyFont="1" applyFill="1" applyBorder="1" applyAlignment="1">
      <alignment horizontal="center"/>
    </xf>
    <xf numFmtId="0" fontId="31" fillId="0" borderId="143" xfId="3" applyFont="1" applyFill="1" applyBorder="1" applyAlignment="1">
      <alignment horizontal="left" shrinkToFit="1"/>
    </xf>
    <xf numFmtId="0" fontId="17" fillId="0" borderId="143" xfId="0" applyFont="1" applyBorder="1" applyAlignment="1"/>
    <xf numFmtId="0" fontId="31" fillId="0" borderId="1" xfId="0" applyFont="1" applyBorder="1" applyAlignment="1">
      <alignment horizontal="center" vertical="top"/>
    </xf>
    <xf numFmtId="0" fontId="24" fillId="0" borderId="1" xfId="3" applyBorder="1" applyAlignment="1">
      <alignment horizontal="center" vertical="center"/>
    </xf>
    <xf numFmtId="0" fontId="0" fillId="0" borderId="1" xfId="0" applyBorder="1" applyAlignment="1">
      <alignment horizontal="center" vertical="center"/>
    </xf>
    <xf numFmtId="0" fontId="31" fillId="0" borderId="1" xfId="0" applyFont="1" applyBorder="1" applyAlignment="1">
      <alignment vertical="top"/>
    </xf>
    <xf numFmtId="0" fontId="20" fillId="0" borderId="157" xfId="3" applyFont="1" applyBorder="1" applyAlignment="1">
      <alignment horizontal="left" vertical="top" textRotation="255" wrapText="1"/>
    </xf>
    <xf numFmtId="0" fontId="20" fillId="0" borderId="5" xfId="3" applyFont="1" applyBorder="1" applyAlignment="1">
      <alignment horizontal="left" vertical="top" textRotation="255" wrapText="1"/>
    </xf>
    <xf numFmtId="0" fontId="3" fillId="0" borderId="0" xfId="0" applyFont="1" applyBorder="1" applyAlignment="1">
      <alignment horizontal="left" vertical="top" textRotation="255" wrapText="1"/>
    </xf>
    <xf numFmtId="0" fontId="3" fillId="0" borderId="0" xfId="0" applyFont="1" applyBorder="1" applyAlignment="1">
      <alignment vertical="top" wrapText="1"/>
    </xf>
    <xf numFmtId="0" fontId="3" fillId="0" borderId="0" xfId="0" applyFont="1" applyAlignment="1">
      <alignment wrapText="1"/>
    </xf>
    <xf numFmtId="0" fontId="31" fillId="0" borderId="55" xfId="3" applyFont="1" applyFill="1" applyBorder="1" applyAlignment="1">
      <alignment horizontal="center" vertical="top" shrinkToFit="1"/>
    </xf>
    <xf numFmtId="0" fontId="31" fillId="0" borderId="57" xfId="0" applyFont="1" applyFill="1" applyBorder="1" applyAlignment="1">
      <alignment horizontal="center" vertical="top" shrinkToFit="1"/>
    </xf>
    <xf numFmtId="0" fontId="25" fillId="3" borderId="99" xfId="3" applyFont="1" applyFill="1" applyBorder="1" applyAlignment="1">
      <alignment horizontal="center" shrinkToFit="1"/>
    </xf>
    <xf numFmtId="0" fontId="25" fillId="3" borderId="71" xfId="3" applyFont="1" applyFill="1" applyBorder="1" applyAlignment="1">
      <alignment horizontal="center" shrinkToFit="1"/>
    </xf>
    <xf numFmtId="0" fontId="25" fillId="3" borderId="100" xfId="3" applyFont="1" applyFill="1" applyBorder="1" applyAlignment="1">
      <alignment horizontal="center" shrinkToFit="1"/>
    </xf>
    <xf numFmtId="0" fontId="31" fillId="0" borderId="113" xfId="3" applyFont="1" applyFill="1" applyBorder="1" applyAlignment="1">
      <alignment horizontal="center" shrinkToFit="1"/>
    </xf>
    <xf numFmtId="0" fontId="31" fillId="0" borderId="71" xfId="3" applyFont="1" applyFill="1" applyBorder="1" applyAlignment="1">
      <alignment horizontal="center" shrinkToFit="1"/>
    </xf>
    <xf numFmtId="0" fontId="31" fillId="0" borderId="114" xfId="3" applyFont="1" applyFill="1" applyBorder="1" applyAlignment="1">
      <alignment horizontal="center" shrinkToFit="1"/>
    </xf>
    <xf numFmtId="0" fontId="25" fillId="3" borderId="99" xfId="3" applyFont="1" applyFill="1" applyBorder="1" applyAlignment="1">
      <alignment horizontal="center"/>
    </xf>
    <xf numFmtId="0" fontId="0" fillId="0" borderId="71" xfId="0" applyBorder="1" applyAlignment="1">
      <alignment horizontal="center"/>
    </xf>
    <xf numFmtId="0" fontId="0" fillId="0" borderId="100" xfId="0" applyBorder="1" applyAlignment="1">
      <alignment horizontal="center"/>
    </xf>
    <xf numFmtId="0" fontId="25" fillId="3" borderId="8" xfId="0" applyFont="1" applyFill="1" applyBorder="1" applyAlignment="1">
      <alignment shrinkToFit="1"/>
    </xf>
    <xf numFmtId="0" fontId="25" fillId="0" borderId="9" xfId="0" applyFont="1" applyBorder="1" applyAlignment="1">
      <alignment shrinkToFit="1"/>
    </xf>
    <xf numFmtId="0" fontId="25" fillId="0" borderId="105" xfId="0" applyFont="1" applyBorder="1" applyAlignment="1">
      <alignment shrinkToFit="1"/>
    </xf>
    <xf numFmtId="0" fontId="31" fillId="0" borderId="115" xfId="3" applyFont="1" applyFill="1" applyBorder="1" applyAlignment="1">
      <alignment horizontal="center"/>
    </xf>
    <xf numFmtId="0" fontId="17" fillId="0" borderId="102" xfId="0" applyFont="1" applyBorder="1" applyAlignment="1">
      <alignment horizontal="center"/>
    </xf>
    <xf numFmtId="0" fontId="17" fillId="0" borderId="116" xfId="0" applyFont="1" applyBorder="1" applyAlignment="1">
      <alignment horizontal="center"/>
    </xf>
    <xf numFmtId="0" fontId="31" fillId="0" borderId="113" xfId="3" applyFont="1" applyFill="1" applyBorder="1" applyAlignment="1">
      <alignment horizontal="center"/>
    </xf>
    <xf numFmtId="0" fontId="17" fillId="0" borderId="71" xfId="0" applyFont="1" applyBorder="1" applyAlignment="1">
      <alignment horizontal="center"/>
    </xf>
    <xf numFmtId="0" fontId="17" fillId="0" borderId="114" xfId="0" applyFont="1" applyBorder="1" applyAlignment="1">
      <alignment horizontal="center"/>
    </xf>
    <xf numFmtId="0" fontId="32" fillId="3" borderId="58" xfId="3" applyFont="1" applyFill="1" applyBorder="1" applyAlignment="1"/>
    <xf numFmtId="0" fontId="17" fillId="3" borderId="58" xfId="0" applyFont="1" applyFill="1" applyBorder="1" applyAlignment="1"/>
    <xf numFmtId="9" fontId="31" fillId="0" borderId="88" xfId="3" applyNumberFormat="1" applyFont="1" applyBorder="1" applyAlignment="1">
      <alignment horizontal="center"/>
    </xf>
    <xf numFmtId="0" fontId="24" fillId="0" borderId="99" xfId="3" applyBorder="1" applyAlignment="1"/>
    <xf numFmtId="0" fontId="0" fillId="0" borderId="140" xfId="0" applyBorder="1" applyAlignment="1"/>
    <xf numFmtId="0" fontId="0" fillId="0" borderId="141" xfId="0" applyBorder="1" applyAlignment="1"/>
    <xf numFmtId="0" fontId="0" fillId="0" borderId="101" xfId="0" applyBorder="1" applyAlignment="1"/>
    <xf numFmtId="0" fontId="0" fillId="0" borderId="102" xfId="0" applyBorder="1" applyAlignment="1"/>
    <xf numFmtId="1" fontId="52" fillId="0" borderId="53" xfId="0" applyNumberFormat="1" applyFont="1" applyBorder="1" applyAlignment="1">
      <alignment horizontal="center" vertical="top" wrapText="1"/>
    </xf>
    <xf numFmtId="0" fontId="51" fillId="0" borderId="57" xfId="0" applyFont="1" applyBorder="1" applyAlignment="1">
      <alignment horizontal="center"/>
    </xf>
    <xf numFmtId="0" fontId="40" fillId="0" borderId="104" xfId="0" applyFont="1" applyBorder="1" applyAlignment="1"/>
    <xf numFmtId="0" fontId="17" fillId="0" borderId="92" xfId="0" applyFont="1" applyBorder="1" applyAlignment="1"/>
    <xf numFmtId="0" fontId="31" fillId="0" borderId="90" xfId="0" applyFont="1" applyBorder="1" applyAlignment="1">
      <alignment horizontal="center" wrapText="1"/>
    </xf>
    <xf numFmtId="0" fontId="17" fillId="0" borderId="133" xfId="0" applyFont="1" applyBorder="1" applyAlignment="1"/>
    <xf numFmtId="0" fontId="58" fillId="0" borderId="82" xfId="3" applyFont="1" applyBorder="1" applyAlignment="1">
      <alignment horizontal="left" vertical="center" textRotation="90" wrapText="1"/>
    </xf>
    <xf numFmtId="1" fontId="25" fillId="3" borderId="4" xfId="3" applyNumberFormat="1" applyFont="1" applyFill="1" applyBorder="1" applyAlignment="1">
      <alignment horizontal="center"/>
    </xf>
    <xf numFmtId="0" fontId="31" fillId="0" borderId="82" xfId="3" applyFont="1" applyBorder="1" applyAlignment="1">
      <alignment horizontal="left" vertical="center" textRotation="90" wrapText="1"/>
    </xf>
    <xf numFmtId="0" fontId="32" fillId="0" borderId="82" xfId="3" applyFont="1" applyBorder="1" applyAlignment="1">
      <alignment horizontal="left" vertical="center" textRotation="90" wrapText="1"/>
    </xf>
    <xf numFmtId="0" fontId="58" fillId="0" borderId="82" xfId="3" applyFont="1" applyBorder="1" applyAlignment="1">
      <alignment horizontal="left" textRotation="90" wrapText="1"/>
    </xf>
    <xf numFmtId="0" fontId="51" fillId="0" borderId="82" xfId="0" applyFont="1" applyBorder="1" applyAlignment="1">
      <alignment horizontal="left" textRotation="90" wrapText="1"/>
    </xf>
    <xf numFmtId="0" fontId="51" fillId="0" borderId="82" xfId="0" applyFont="1" applyBorder="1" applyAlignment="1">
      <alignment horizontal="left" textRotation="90"/>
    </xf>
    <xf numFmtId="0" fontId="31" fillId="0" borderId="4" xfId="3" quotePrefix="1" applyFont="1" applyBorder="1" applyAlignment="1">
      <alignment horizontal="left"/>
    </xf>
    <xf numFmtId="1" fontId="27" fillId="3" borderId="4" xfId="0" applyNumberFormat="1" applyFont="1" applyFill="1" applyBorder="1" applyAlignment="1">
      <alignment horizontal="center"/>
    </xf>
    <xf numFmtId="0" fontId="51" fillId="0" borderId="21" xfId="0" applyFont="1" applyBorder="1"/>
    <xf numFmtId="0" fontId="51" fillId="0" borderId="21" xfId="0" applyFont="1" applyBorder="1" applyAlignment="1">
      <alignment horizontal="left"/>
    </xf>
    <xf numFmtId="0" fontId="51" fillId="3" borderId="21" xfId="0" applyFont="1" applyFill="1" applyBorder="1" applyAlignment="1">
      <alignment horizontal="left"/>
    </xf>
    <xf numFmtId="0" fontId="51" fillId="3" borderId="7" xfId="0" applyFont="1" applyFill="1" applyBorder="1" applyAlignment="1">
      <alignment horizontal="left"/>
    </xf>
    <xf numFmtId="0" fontId="27" fillId="0" borderId="4" xfId="3" applyFont="1" applyFill="1" applyBorder="1" applyAlignment="1">
      <alignment horizontal="center"/>
    </xf>
    <xf numFmtId="0" fontId="27" fillId="0" borderId="7" xfId="3" applyFont="1" applyFill="1" applyBorder="1" applyAlignment="1">
      <alignment horizontal="center"/>
    </xf>
    <xf numFmtId="0" fontId="27" fillId="0" borderId="21" xfId="0" applyFont="1" applyFill="1" applyBorder="1" applyAlignment="1">
      <alignment horizontal="center"/>
    </xf>
    <xf numFmtId="0" fontId="27" fillId="0" borderId="7" xfId="0" applyFont="1" applyFill="1" applyBorder="1" applyAlignment="1">
      <alignment horizontal="center"/>
    </xf>
    <xf numFmtId="0" fontId="25" fillId="3" borderId="1" xfId="0" applyFont="1" applyFill="1" applyBorder="1" applyAlignment="1">
      <alignment horizontal="left"/>
    </xf>
    <xf numFmtId="0" fontId="0" fillId="3" borderId="1" xfId="0" applyFill="1" applyBorder="1" applyAlignment="1">
      <alignment horizontal="left"/>
    </xf>
    <xf numFmtId="0" fontId="28" fillId="0" borderId="1" xfId="0" applyFont="1" applyFill="1" applyBorder="1" applyAlignment="1">
      <alignment horizontal="left"/>
    </xf>
    <xf numFmtId="0" fontId="48" fillId="0" borderId="0" xfId="0" applyFont="1" applyBorder="1" applyAlignment="1">
      <alignment horizontal="center" vertical="top"/>
    </xf>
    <xf numFmtId="0" fontId="0" fillId="0" borderId="0" xfId="0" applyBorder="1" applyAlignment="1">
      <alignment horizontal="center" vertical="top"/>
    </xf>
    <xf numFmtId="0" fontId="67" fillId="3" borderId="1" xfId="3" applyFont="1" applyFill="1" applyBorder="1" applyAlignment="1">
      <alignment horizontal="left"/>
    </xf>
    <xf numFmtId="0" fontId="67" fillId="3" borderId="1" xfId="0" applyFont="1" applyFill="1" applyBorder="1" applyAlignment="1">
      <alignment horizontal="left"/>
    </xf>
    <xf numFmtId="0" fontId="49" fillId="3" borderId="1" xfId="0" applyFont="1" applyFill="1" applyBorder="1" applyAlignment="1">
      <alignment horizontal="center"/>
    </xf>
    <xf numFmtId="0" fontId="0" fillId="3" borderId="1" xfId="0" applyFill="1" applyBorder="1" applyAlignment="1">
      <alignment horizontal="center"/>
    </xf>
    <xf numFmtId="9" fontId="38" fillId="0" borderId="1" xfId="0" applyNumberFormat="1" applyFont="1" applyFill="1" applyBorder="1" applyAlignment="1">
      <alignment horizontal="center"/>
    </xf>
    <xf numFmtId="1" fontId="17" fillId="0" borderId="4" xfId="0" applyNumberFormat="1" applyFont="1" applyBorder="1" applyAlignment="1">
      <alignment horizontal="center"/>
    </xf>
    <xf numFmtId="1" fontId="17" fillId="0" borderId="7" xfId="0" applyNumberFormat="1" applyFont="1" applyBorder="1" applyAlignment="1">
      <alignment horizontal="center"/>
    </xf>
    <xf numFmtId="1" fontId="31" fillId="0" borderId="4" xfId="0" applyNumberFormat="1" applyFont="1" applyBorder="1" applyAlignment="1">
      <alignment horizontal="center"/>
    </xf>
    <xf numFmtId="1" fontId="31" fillId="0" borderId="7" xfId="0" applyNumberFormat="1" applyFont="1" applyBorder="1" applyAlignment="1">
      <alignment horizontal="center"/>
    </xf>
    <xf numFmtId="0" fontId="31" fillId="0" borderId="4" xfId="0" applyFont="1" applyFill="1" applyBorder="1" applyAlignment="1">
      <alignment horizontal="center"/>
    </xf>
    <xf numFmtId="0" fontId="31" fillId="0" borderId="7" xfId="0" applyFont="1" applyFill="1" applyBorder="1" applyAlignment="1">
      <alignment horizontal="center"/>
    </xf>
    <xf numFmtId="0" fontId="17" fillId="0" borderId="4" xfId="0" applyFont="1" applyFill="1" applyBorder="1" applyAlignment="1">
      <alignment horizontal="center"/>
    </xf>
    <xf numFmtId="0" fontId="27" fillId="0" borderId="21" xfId="3" applyFont="1" applyFill="1" applyBorder="1" applyAlignment="1">
      <alignment horizontal="center"/>
    </xf>
    <xf numFmtId="0" fontId="31" fillId="0" borderId="2" xfId="3" applyFont="1" applyBorder="1" applyAlignment="1">
      <alignment horizontal="left" shrinkToFit="1"/>
    </xf>
    <xf numFmtId="0" fontId="31" fillId="0" borderId="1" xfId="0" applyFont="1" applyBorder="1" applyAlignment="1"/>
    <xf numFmtId="0" fontId="52" fillId="3" borderId="20" xfId="3" applyFont="1" applyFill="1" applyBorder="1" applyAlignment="1">
      <alignment horizontal="center"/>
    </xf>
    <xf numFmtId="0" fontId="52" fillId="3" borderId="1" xfId="0" applyFont="1" applyFill="1" applyBorder="1" applyAlignment="1">
      <alignment horizontal="center"/>
    </xf>
    <xf numFmtId="0" fontId="52" fillId="0" borderId="1" xfId="0" applyFont="1" applyBorder="1" applyAlignment="1">
      <alignment horizontal="center"/>
    </xf>
    <xf numFmtId="9" fontId="25" fillId="15" borderId="4" xfId="3" applyNumberFormat="1" applyFont="1" applyFill="1" applyBorder="1" applyAlignment="1"/>
    <xf numFmtId="0" fontId="2" fillId="0" borderId="7" xfId="0" applyFont="1" applyBorder="1" applyAlignment="1"/>
    <xf numFmtId="0" fontId="25" fillId="3" borderId="16" xfId="3" applyFont="1" applyFill="1" applyBorder="1" applyAlignment="1">
      <alignment horizontal="center" wrapText="1"/>
    </xf>
    <xf numFmtId="0" fontId="52" fillId="0" borderId="81" xfId="3" applyFont="1" applyBorder="1" applyAlignment="1">
      <alignment horizontal="left" textRotation="90" wrapText="1"/>
    </xf>
    <xf numFmtId="0" fontId="0" fillId="0" borderId="11" xfId="0" applyBorder="1" applyAlignment="1">
      <alignment textRotation="90"/>
    </xf>
    <xf numFmtId="0" fontId="28" fillId="0" borderId="4" xfId="0" applyFont="1" applyBorder="1" applyAlignment="1">
      <alignment horizontal="center"/>
    </xf>
    <xf numFmtId="0" fontId="31" fillId="0" borderId="1" xfId="3" applyFont="1" applyBorder="1" applyAlignment="1">
      <alignment horizontal="left" vertical="top"/>
    </xf>
    <xf numFmtId="0" fontId="0" fillId="0" borderId="1" xfId="0" applyBorder="1" applyAlignment="1">
      <alignment horizontal="left" vertical="top"/>
    </xf>
    <xf numFmtId="0" fontId="0" fillId="0" borderId="1" xfId="0" applyBorder="1" applyAlignment="1">
      <alignment vertical="top"/>
    </xf>
    <xf numFmtId="0" fontId="31" fillId="0" borderId="1" xfId="0" applyFont="1" applyBorder="1" applyAlignment="1">
      <alignment horizontal="center" vertical="center"/>
    </xf>
    <xf numFmtId="0" fontId="31" fillId="0" borderId="1" xfId="0" applyFont="1" applyBorder="1" applyAlignment="1">
      <alignment horizontal="left" vertical="center"/>
    </xf>
    <xf numFmtId="0" fontId="0" fillId="0" borderId="1" xfId="0" applyBorder="1" applyAlignment="1">
      <alignment horizontal="left" vertical="center"/>
    </xf>
    <xf numFmtId="0" fontId="31" fillId="3" borderId="1" xfId="3" applyFont="1" applyFill="1" applyBorder="1" applyAlignment="1">
      <alignment horizontal="center" vertical="center"/>
    </xf>
    <xf numFmtId="0" fontId="0" fillId="0" borderId="102" xfId="0" applyBorder="1" applyAlignment="1">
      <alignment horizontal="center" vertical="top"/>
    </xf>
    <xf numFmtId="0" fontId="31" fillId="3" borderId="1" xfId="3" applyFont="1" applyFill="1" applyBorder="1" applyAlignment="1">
      <alignment horizontal="center" vertical="top"/>
    </xf>
    <xf numFmtId="0" fontId="0" fillId="0" borderId="1" xfId="0" applyBorder="1" applyAlignment="1">
      <alignment horizontal="center" vertical="top"/>
    </xf>
    <xf numFmtId="0" fontId="24" fillId="0" borderId="1" xfId="3" applyBorder="1" applyAlignment="1">
      <alignment vertical="top"/>
    </xf>
    <xf numFmtId="0" fontId="31" fillId="0" borderId="4" xfId="0" applyFont="1" applyBorder="1" applyAlignment="1">
      <alignment horizontal="left" vertical="center"/>
    </xf>
    <xf numFmtId="0" fontId="31" fillId="3" borderId="4" xfId="3" applyFont="1" applyFill="1" applyBorder="1" applyAlignment="1">
      <alignment horizontal="left" vertical="center"/>
    </xf>
    <xf numFmtId="0" fontId="31" fillId="0" borderId="4" xfId="0" applyFont="1" applyBorder="1" applyAlignment="1">
      <alignment vertical="top"/>
    </xf>
    <xf numFmtId="0" fontId="31" fillId="3" borderId="1" xfId="3" applyFont="1" applyFill="1" applyBorder="1" applyAlignment="1">
      <alignment horizontal="left" vertical="top"/>
    </xf>
    <xf numFmtId="0" fontId="31" fillId="3" borderId="4" xfId="3" applyFont="1" applyFill="1" applyBorder="1" applyAlignment="1">
      <alignment horizontal="center" vertical="top"/>
    </xf>
    <xf numFmtId="0" fontId="31" fillId="3" borderId="1" xfId="3" applyFont="1" applyFill="1" applyBorder="1" applyAlignment="1">
      <alignment horizontal="left" vertical="center"/>
    </xf>
    <xf numFmtId="0" fontId="0" fillId="0" borderId="21" xfId="0" applyBorder="1" applyAlignment="1">
      <alignment horizontal="center" vertical="top"/>
    </xf>
    <xf numFmtId="0" fontId="0" fillId="0" borderId="7" xfId="0" applyBorder="1" applyAlignment="1">
      <alignment horizontal="center" vertical="top"/>
    </xf>
    <xf numFmtId="0" fontId="31" fillId="0" borderId="18" xfId="3" applyFont="1" applyBorder="1" applyAlignment="1">
      <alignment horizontal="left"/>
    </xf>
    <xf numFmtId="0" fontId="31" fillId="0" borderId="6" xfId="3" applyFont="1" applyBorder="1" applyAlignment="1">
      <alignment horizontal="left"/>
    </xf>
    <xf numFmtId="0" fontId="31" fillId="0" borderId="20" xfId="3" applyFont="1" applyBorder="1" applyAlignment="1">
      <alignment horizontal="left"/>
    </xf>
    <xf numFmtId="0" fontId="31" fillId="0" borderId="5" xfId="3" applyFont="1" applyBorder="1" applyAlignment="1">
      <alignment horizontal="left" vertical="top" textRotation="255" wrapText="1"/>
    </xf>
    <xf numFmtId="0" fontId="3" fillId="0" borderId="5" xfId="0" applyFont="1" applyBorder="1" applyAlignment="1">
      <alignment horizontal="left" vertical="top" textRotation="255" wrapText="1"/>
    </xf>
    <xf numFmtId="0" fontId="62" fillId="0" borderId="0" xfId="3" applyFont="1" applyAlignment="1">
      <alignment horizontal="left" vertical="top" textRotation="255" wrapText="1"/>
    </xf>
    <xf numFmtId="0" fontId="19" fillId="0" borderId="0" xfId="0" applyFont="1" applyAlignment="1">
      <alignment horizontal="left" vertical="top" textRotation="255" wrapText="1"/>
    </xf>
    <xf numFmtId="0" fontId="112" fillId="0" borderId="4" xfId="3" applyFont="1" applyBorder="1" applyAlignment="1">
      <alignment horizontal="left"/>
    </xf>
    <xf numFmtId="0" fontId="113" fillId="0" borderId="21" xfId="0" applyFont="1" applyBorder="1" applyAlignment="1">
      <alignment horizontal="left"/>
    </xf>
    <xf numFmtId="0" fontId="112" fillId="0" borderId="21" xfId="3" applyFont="1" applyBorder="1" applyAlignment="1">
      <alignment horizontal="left"/>
    </xf>
    <xf numFmtId="0" fontId="113" fillId="0" borderId="21" xfId="0" applyFont="1" applyBorder="1" applyAlignment="1"/>
    <xf numFmtId="0" fontId="112" fillId="2" borderId="1" xfId="0" applyFont="1" applyFill="1" applyBorder="1" applyAlignment="1">
      <alignment horizontal="right"/>
    </xf>
    <xf numFmtId="0" fontId="134" fillId="6" borderId="1" xfId="0" applyFont="1" applyFill="1" applyBorder="1" applyAlignment="1">
      <alignment vertical="center"/>
    </xf>
    <xf numFmtId="0" fontId="112" fillId="0" borderId="0" xfId="0" applyFont="1" applyAlignment="1">
      <alignment horizontal="right" shrinkToFit="1"/>
    </xf>
    <xf numFmtId="0" fontId="112" fillId="0" borderId="8" xfId="0" applyFont="1" applyBorder="1" applyAlignment="1">
      <alignment shrinkToFit="1"/>
    </xf>
    <xf numFmtId="0" fontId="126" fillId="0" borderId="0" xfId="0" applyFont="1" applyAlignment="1">
      <alignment horizontal="right" vertical="center" wrapText="1"/>
    </xf>
    <xf numFmtId="0" fontId="130" fillId="2" borderId="4" xfId="0" applyFont="1" applyFill="1" applyBorder="1" applyAlignment="1">
      <alignment horizontal="left" shrinkToFit="1"/>
    </xf>
    <xf numFmtId="0" fontId="130" fillId="2" borderId="7" xfId="0" applyFont="1" applyFill="1" applyBorder="1" applyAlignment="1">
      <alignment horizontal="left" shrinkToFit="1"/>
    </xf>
    <xf numFmtId="0" fontId="112" fillId="0" borderId="0" xfId="0" applyFont="1" applyAlignment="1">
      <alignment horizontal="center"/>
    </xf>
    <xf numFmtId="0" fontId="113" fillId="0" borderId="0" xfId="0" applyFont="1" applyAlignment="1">
      <alignment horizontal="center"/>
    </xf>
    <xf numFmtId="0" fontId="112" fillId="4" borderId="4" xfId="0" applyFont="1" applyFill="1" applyBorder="1" applyAlignment="1"/>
    <xf numFmtId="0" fontId="112" fillId="4" borderId="7" xfId="0" applyFont="1" applyFill="1" applyBorder="1" applyAlignment="1"/>
    <xf numFmtId="0" fontId="112" fillId="4" borderId="16" xfId="0" applyFont="1" applyFill="1" applyBorder="1" applyAlignment="1"/>
    <xf numFmtId="0" fontId="112" fillId="4" borderId="19" xfId="0" applyFont="1" applyFill="1" applyBorder="1" applyAlignment="1"/>
    <xf numFmtId="0" fontId="117" fillId="0" borderId="0" xfId="0" applyFont="1" applyAlignment="1">
      <alignment horizontal="right" vertical="top" textRotation="255" shrinkToFit="1"/>
    </xf>
    <xf numFmtId="0" fontId="117" fillId="0" borderId="0" xfId="0" applyFont="1" applyAlignment="1">
      <alignment vertical="top" textRotation="255" shrinkToFit="1"/>
    </xf>
    <xf numFmtId="0" fontId="117" fillId="0" borderId="0" xfId="0" applyFont="1" applyAlignment="1">
      <alignment horizontal="center"/>
    </xf>
    <xf numFmtId="0" fontId="112" fillId="0" borderId="0" xfId="3" applyFont="1" applyAlignment="1"/>
    <xf numFmtId="0" fontId="112" fillId="0" borderId="0" xfId="0" applyFont="1" applyBorder="1" applyAlignment="1">
      <alignment horizontal="right" shrinkToFit="1"/>
    </xf>
    <xf numFmtId="0" fontId="112" fillId="0" borderId="8" xfId="0" applyFont="1" applyBorder="1" applyAlignment="1">
      <alignment horizontal="right" shrinkToFit="1"/>
    </xf>
    <xf numFmtId="0" fontId="112" fillId="0" borderId="0" xfId="0" applyFont="1" applyAlignment="1">
      <alignment horizontal="left"/>
    </xf>
    <xf numFmtId="0" fontId="112" fillId="0" borderId="0" xfId="0" applyFont="1" applyBorder="1" applyAlignment="1"/>
    <xf numFmtId="0" fontId="133" fillId="2" borderId="1" xfId="0" applyFont="1" applyFill="1" applyBorder="1" applyAlignment="1">
      <alignment horizontal="center"/>
    </xf>
    <xf numFmtId="0" fontId="0" fillId="0" borderId="8" xfId="0" applyBorder="1"/>
    <xf numFmtId="0" fontId="117" fillId="4" borderId="4" xfId="0" applyFont="1" applyFill="1" applyBorder="1" applyAlignment="1">
      <alignment horizontal="center"/>
    </xf>
    <xf numFmtId="0" fontId="112" fillId="4" borderId="7" xfId="0" applyFont="1" applyFill="1" applyBorder="1" applyAlignment="1">
      <alignment horizontal="center"/>
    </xf>
    <xf numFmtId="0" fontId="112" fillId="0" borderId="5" xfId="0" applyFont="1" applyBorder="1" applyAlignment="1">
      <alignment horizontal="left"/>
    </xf>
    <xf numFmtId="0" fontId="113" fillId="0" borderId="0" xfId="0" applyFont="1"/>
    <xf numFmtId="0" fontId="118" fillId="7" borderId="4" xfId="0" applyFont="1" applyFill="1" applyBorder="1" applyAlignment="1"/>
    <xf numFmtId="0" fontId="118" fillId="7" borderId="21" xfId="0" applyFont="1" applyFill="1" applyBorder="1" applyAlignment="1"/>
    <xf numFmtId="0" fontId="118" fillId="7" borderId="7" xfId="0" applyFont="1" applyFill="1" applyBorder="1" applyAlignment="1"/>
    <xf numFmtId="0" fontId="116" fillId="0" borderId="4" xfId="0" applyFont="1" applyBorder="1" applyAlignment="1">
      <alignment horizontal="center"/>
    </xf>
    <xf numFmtId="0" fontId="116" fillId="0" borderId="21" xfId="0" applyFont="1" applyBorder="1" applyAlignment="1">
      <alignment horizontal="center"/>
    </xf>
    <xf numFmtId="0" fontId="116" fillId="0" borderId="7" xfId="0" applyFont="1" applyBorder="1" applyAlignment="1">
      <alignment horizontal="center"/>
    </xf>
    <xf numFmtId="0" fontId="117" fillId="2" borderId="4" xfId="0" applyFont="1" applyFill="1" applyBorder="1" applyAlignment="1">
      <alignment horizontal="center"/>
    </xf>
    <xf numFmtId="0" fontId="117" fillId="2" borderId="7" xfId="0" applyFont="1" applyFill="1" applyBorder="1" applyAlignment="1">
      <alignment horizontal="center"/>
    </xf>
    <xf numFmtId="0" fontId="130" fillId="2" borderId="1" xfId="0" applyFont="1" applyFill="1" applyBorder="1" applyAlignment="1">
      <alignment horizontal="center" shrinkToFit="1"/>
    </xf>
    <xf numFmtId="0" fontId="112" fillId="0" borderId="0" xfId="0" applyFont="1" applyAlignment="1">
      <alignment horizontal="right"/>
    </xf>
    <xf numFmtId="0" fontId="116" fillId="0" borderId="0" xfId="0" applyFont="1" applyAlignment="1">
      <alignment horizontal="right" vertical="top" textRotation="255" shrinkToFit="1"/>
    </xf>
    <xf numFmtId="0" fontId="116" fillId="0" borderId="0" xfId="0" applyFont="1" applyAlignment="1">
      <alignment vertical="top" textRotation="255" shrinkToFit="1"/>
    </xf>
    <xf numFmtId="0" fontId="133" fillId="0" borderId="0" xfId="0" applyFont="1" applyAlignment="1">
      <alignment vertical="top" textRotation="255" shrinkToFit="1"/>
    </xf>
    <xf numFmtId="0" fontId="112" fillId="0" borderId="8" xfId="0" applyFont="1" applyBorder="1" applyAlignment="1">
      <alignment horizontal="right"/>
    </xf>
    <xf numFmtId="0" fontId="130" fillId="2" borderId="1" xfId="0" applyFont="1" applyFill="1" applyBorder="1" applyAlignment="1">
      <alignment horizontal="left" shrinkToFit="1"/>
    </xf>
    <xf numFmtId="0" fontId="112" fillId="0" borderId="0" xfId="0" applyFont="1" applyAlignment="1">
      <alignment wrapText="1"/>
    </xf>
    <xf numFmtId="0" fontId="112" fillId="0" borderId="0" xfId="0" applyFont="1" applyBorder="1" applyAlignment="1">
      <alignment wrapText="1"/>
    </xf>
    <xf numFmtId="0" fontId="112" fillId="0" borderId="8" xfId="0" applyFont="1" applyBorder="1" applyAlignment="1">
      <alignment wrapText="1"/>
    </xf>
    <xf numFmtId="0" fontId="130" fillId="2" borderId="1" xfId="0" applyFont="1" applyFill="1" applyBorder="1" applyAlignment="1">
      <alignment shrinkToFit="1"/>
    </xf>
    <xf numFmtId="0" fontId="113" fillId="0" borderId="0" xfId="0" applyFont="1" applyBorder="1" applyAlignment="1"/>
    <xf numFmtId="0" fontId="117" fillId="0" borderId="0" xfId="0" applyFont="1" applyAlignment="1">
      <alignment horizontal="right" shrinkToFit="1"/>
    </xf>
    <xf numFmtId="0" fontId="130" fillId="2" borderId="4" xfId="0" applyFont="1" applyFill="1" applyBorder="1" applyAlignment="1">
      <alignment horizontal="center"/>
    </xf>
    <xf numFmtId="0" fontId="130" fillId="2" borderId="21" xfId="0" applyFont="1" applyFill="1" applyBorder="1" applyAlignment="1">
      <alignment horizontal="center"/>
    </xf>
    <xf numFmtId="0" fontId="130" fillId="0" borderId="7" xfId="0" applyFont="1" applyBorder="1" applyAlignment="1"/>
    <xf numFmtId="0" fontId="126" fillId="0" borderId="17" xfId="0" applyFont="1" applyBorder="1" applyAlignment="1">
      <alignment wrapText="1"/>
    </xf>
    <xf numFmtId="0" fontId="112" fillId="0" borderId="0" xfId="0" applyFont="1" applyFill="1" applyBorder="1" applyAlignment="1">
      <alignment horizontal="left"/>
    </xf>
    <xf numFmtId="0" fontId="122" fillId="0" borderId="0" xfId="0" applyFont="1"/>
    <xf numFmtId="0" fontId="1" fillId="0" borderId="0" xfId="0" applyFont="1"/>
    <xf numFmtId="0" fontId="1" fillId="0" borderId="8" xfId="0" applyFont="1" applyBorder="1"/>
    <xf numFmtId="0" fontId="112" fillId="0" borderId="0" xfId="0" applyFont="1" applyBorder="1" applyAlignment="1">
      <alignment shrinkToFit="1"/>
    </xf>
    <xf numFmtId="9" fontId="31" fillId="2" borderId="4" xfId="0" applyNumberFormat="1" applyFont="1" applyFill="1" applyBorder="1" applyAlignment="1"/>
    <xf numFmtId="9" fontId="31" fillId="2" borderId="7" xfId="0" applyNumberFormat="1" applyFont="1" applyFill="1" applyBorder="1" applyAlignment="1"/>
    <xf numFmtId="0" fontId="31" fillId="2" borderId="4" xfId="0" applyFont="1" applyFill="1" applyBorder="1" applyAlignment="1">
      <alignment horizontal="center"/>
    </xf>
    <xf numFmtId="0" fontId="31" fillId="2" borderId="7" xfId="0" applyFont="1" applyFill="1" applyBorder="1" applyAlignment="1">
      <alignment horizontal="center"/>
    </xf>
    <xf numFmtId="1" fontId="26" fillId="0" borderId="17" xfId="0" applyNumberFormat="1" applyFont="1" applyBorder="1" applyAlignment="1">
      <alignment horizontal="center" textRotation="90" wrapText="1"/>
    </xf>
    <xf numFmtId="1" fontId="26" fillId="0" borderId="0" xfId="0" applyNumberFormat="1" applyFont="1" applyAlignment="1">
      <alignment horizontal="center" textRotation="90" wrapText="1"/>
    </xf>
    <xf numFmtId="0" fontId="31" fillId="0" borderId="0" xfId="0" applyFont="1" applyAlignment="1">
      <alignment horizontal="center" shrinkToFit="1"/>
    </xf>
    <xf numFmtId="0" fontId="24" fillId="0" borderId="0" xfId="0" applyFont="1" applyAlignment="1">
      <alignment horizontal="center"/>
    </xf>
    <xf numFmtId="0" fontId="26" fillId="15" borderId="17" xfId="0" applyFont="1" applyFill="1" applyBorder="1" applyAlignment="1">
      <alignment horizontal="center" textRotation="90" shrinkToFit="1"/>
    </xf>
    <xf numFmtId="0" fontId="26" fillId="15" borderId="0" xfId="0" applyFont="1" applyFill="1" applyAlignment="1">
      <alignment horizontal="center" textRotation="90" shrinkToFit="1"/>
    </xf>
    <xf numFmtId="0" fontId="26" fillId="15" borderId="17" xfId="0" applyFont="1" applyFill="1" applyBorder="1" applyAlignment="1">
      <alignment horizontal="center" textRotation="90" wrapText="1"/>
    </xf>
    <xf numFmtId="0" fontId="26" fillId="15" borderId="0" xfId="0" applyFont="1" applyFill="1" applyAlignment="1">
      <alignment horizontal="center" textRotation="90" wrapText="1"/>
    </xf>
    <xf numFmtId="0" fontId="26" fillId="18" borderId="17" xfId="0" applyFont="1" applyFill="1" applyBorder="1" applyAlignment="1">
      <alignment horizontal="center" textRotation="90" shrinkToFit="1"/>
    </xf>
    <xf numFmtId="0" fontId="26" fillId="18" borderId="0" xfId="0" applyFont="1" applyFill="1" applyAlignment="1">
      <alignment horizontal="center" textRotation="90" shrinkToFit="1"/>
    </xf>
    <xf numFmtId="0" fontId="24" fillId="2" borderId="21" xfId="0" applyFont="1" applyFill="1" applyBorder="1" applyAlignment="1">
      <alignment horizontal="center"/>
    </xf>
    <xf numFmtId="0" fontId="24" fillId="0" borderId="21" xfId="0" applyFont="1" applyBorder="1" applyAlignment="1">
      <alignment horizontal="center"/>
    </xf>
    <xf numFmtId="0" fontId="24" fillId="0" borderId="7" xfId="0" applyFont="1" applyBorder="1" applyAlignment="1">
      <alignment horizontal="center"/>
    </xf>
    <xf numFmtId="0" fontId="31" fillId="2" borderId="4" xfId="0" applyFont="1" applyFill="1" applyBorder="1" applyAlignment="1">
      <alignment horizontal="center" shrinkToFit="1"/>
    </xf>
    <xf numFmtId="0" fontId="24" fillId="0" borderId="21" xfId="0" applyFont="1" applyBorder="1" applyAlignment="1">
      <alignment horizontal="center" shrinkToFit="1"/>
    </xf>
    <xf numFmtId="0" fontId="24" fillId="0" borderId="7" xfId="0" applyFont="1" applyBorder="1" applyAlignment="1">
      <alignment horizontal="center" shrinkToFit="1"/>
    </xf>
    <xf numFmtId="0" fontId="26" fillId="15" borderId="17" xfId="0" applyFont="1" applyFill="1" applyBorder="1" applyAlignment="1">
      <alignment horizontal="center" textRotation="90" wrapText="1" shrinkToFit="1"/>
    </xf>
    <xf numFmtId="0" fontId="26" fillId="15" borderId="0" xfId="0" applyFont="1" applyFill="1" applyAlignment="1">
      <alignment horizontal="center" textRotation="90" wrapText="1" shrinkToFit="1"/>
    </xf>
    <xf numFmtId="0" fontId="25" fillId="0" borderId="0" xfId="0" applyFont="1" applyAlignment="1">
      <alignment textRotation="90" wrapText="1"/>
    </xf>
    <xf numFmtId="0" fontId="26" fillId="0" borderId="17" xfId="0" applyFont="1" applyBorder="1" applyAlignment="1">
      <alignment horizontal="center" vertical="center" wrapText="1"/>
    </xf>
    <xf numFmtId="0" fontId="26" fillId="0" borderId="17" xfId="0" applyFont="1" applyBorder="1" applyAlignment="1">
      <alignment horizontal="center" textRotation="90" wrapText="1"/>
    </xf>
    <xf numFmtId="0" fontId="26" fillId="0" borderId="0" xfId="0" applyFont="1" applyAlignment="1">
      <alignment horizontal="center" textRotation="90" wrapText="1"/>
    </xf>
    <xf numFmtId="0" fontId="26" fillId="0" borderId="17" xfId="0" applyFont="1" applyFill="1" applyBorder="1" applyAlignment="1">
      <alignment horizontal="center" textRotation="90" wrapText="1"/>
    </xf>
    <xf numFmtId="0" fontId="26" fillId="0" borderId="0" xfId="0" applyFont="1" applyFill="1" applyAlignment="1">
      <alignment horizontal="center" textRotation="90" wrapText="1"/>
    </xf>
    <xf numFmtId="0" fontId="26" fillId="25" borderId="17" xfId="0" applyFont="1" applyFill="1" applyBorder="1" applyAlignment="1">
      <alignment horizontal="center" textRotation="90" wrapText="1"/>
    </xf>
    <xf numFmtId="0" fontId="26" fillId="25" borderId="0" xfId="0" applyFont="1" applyFill="1" applyAlignment="1">
      <alignment horizontal="center" textRotation="90" wrapText="1"/>
    </xf>
    <xf numFmtId="0" fontId="26" fillId="23" borderId="17" xfId="0" applyFont="1" applyFill="1" applyBorder="1" applyAlignment="1">
      <alignment horizontal="center" textRotation="90" wrapText="1"/>
    </xf>
    <xf numFmtId="0" fontId="26" fillId="23" borderId="0" xfId="0" applyFont="1" applyFill="1" applyAlignment="1">
      <alignment horizontal="center" textRotation="90" wrapText="1"/>
    </xf>
    <xf numFmtId="0" fontId="26" fillId="22" borderId="17" xfId="0" applyFont="1" applyFill="1" applyBorder="1" applyAlignment="1">
      <alignment horizontal="center" textRotation="90" wrapText="1"/>
    </xf>
    <xf numFmtId="0" fontId="26" fillId="22" borderId="0" xfId="0" applyFont="1" applyFill="1" applyAlignment="1">
      <alignment horizontal="center" textRotation="90" wrapText="1"/>
    </xf>
    <xf numFmtId="0" fontId="31" fillId="0" borderId="0" xfId="0" applyFont="1" applyAlignment="1">
      <alignment horizontal="center" textRotation="90"/>
    </xf>
    <xf numFmtId="0" fontId="31" fillId="0" borderId="0" xfId="0" applyFont="1"/>
    <xf numFmtId="0" fontId="26" fillId="0" borderId="0" xfId="0" applyFont="1" applyAlignment="1">
      <alignment textRotation="90" wrapText="1"/>
    </xf>
    <xf numFmtId="0" fontId="31" fillId="0" borderId="0" xfId="0" applyFont="1" applyAlignment="1">
      <alignment textRotation="90"/>
    </xf>
    <xf numFmtId="0" fontId="31" fillId="0" borderId="0" xfId="0" applyFont="1" applyAlignment="1"/>
    <xf numFmtId="0" fontId="24" fillId="0" borderId="0" xfId="0" applyFont="1" applyAlignment="1"/>
    <xf numFmtId="0" fontId="31" fillId="2" borderId="1" xfId="0" applyFont="1" applyFill="1" applyBorder="1" applyAlignment="1" applyProtection="1">
      <alignment shrinkToFit="1"/>
    </xf>
    <xf numFmtId="0" fontId="24" fillId="0" borderId="1" xfId="0" applyFont="1" applyBorder="1" applyAlignment="1" applyProtection="1"/>
    <xf numFmtId="0" fontId="26" fillId="24" borderId="17" xfId="0" applyFont="1" applyFill="1" applyBorder="1" applyAlignment="1">
      <alignment horizontal="center" textRotation="90" wrapText="1"/>
    </xf>
    <xf numFmtId="0" fontId="26" fillId="24" borderId="0" xfId="0" applyFont="1" applyFill="1" applyAlignment="1">
      <alignment horizontal="center" textRotation="90" wrapText="1"/>
    </xf>
    <xf numFmtId="0" fontId="26" fillId="0" borderId="17" xfId="0" applyFont="1" applyBorder="1" applyAlignment="1">
      <alignment horizontal="center" textRotation="90" wrapText="1" shrinkToFit="1"/>
    </xf>
    <xf numFmtId="0" fontId="26" fillId="0" borderId="0" xfId="0" applyFont="1" applyAlignment="1">
      <alignment horizontal="center" textRotation="90" wrapText="1" shrinkToFit="1"/>
    </xf>
    <xf numFmtId="0" fontId="31" fillId="0" borderId="4" xfId="0" applyFont="1" applyBorder="1" applyAlignment="1">
      <alignment shrinkToFit="1"/>
    </xf>
    <xf numFmtId="0" fontId="24" fillId="0" borderId="21" xfId="0" applyFont="1" applyBorder="1" applyAlignment="1">
      <alignment shrinkToFit="1"/>
    </xf>
    <xf numFmtId="0" fontId="31" fillId="0" borderId="17" xfId="0" applyFont="1" applyBorder="1" applyAlignment="1">
      <alignment wrapText="1" shrinkToFit="1"/>
    </xf>
    <xf numFmtId="0" fontId="31" fillId="0" borderId="0" xfId="0" applyFont="1" applyAlignment="1">
      <alignment wrapText="1" shrinkToFit="1"/>
    </xf>
    <xf numFmtId="1" fontId="31" fillId="2" borderId="4" xfId="0" applyNumberFormat="1" applyFont="1" applyFill="1" applyBorder="1" applyAlignment="1">
      <alignment horizontal="center"/>
    </xf>
    <xf numFmtId="1" fontId="24" fillId="2" borderId="21" xfId="0" applyNumberFormat="1" applyFont="1" applyFill="1" applyBorder="1" applyAlignment="1">
      <alignment horizontal="center"/>
    </xf>
    <xf numFmtId="1" fontId="24" fillId="0" borderId="7" xfId="0" applyNumberFormat="1" applyFont="1" applyBorder="1" applyAlignment="1">
      <alignment horizontal="center"/>
    </xf>
    <xf numFmtId="1" fontId="24" fillId="0" borderId="21" xfId="0" applyNumberFormat="1" applyFont="1" applyBorder="1" applyAlignment="1">
      <alignment horizontal="center"/>
    </xf>
    <xf numFmtId="1" fontId="31" fillId="2" borderId="21" xfId="0" applyNumberFormat="1" applyFont="1" applyFill="1" applyBorder="1" applyAlignment="1">
      <alignment horizontal="center"/>
    </xf>
    <xf numFmtId="0" fontId="31" fillId="2" borderId="21" xfId="0" applyFont="1" applyFill="1" applyBorder="1" applyAlignment="1">
      <alignment horizontal="center"/>
    </xf>
    <xf numFmtId="1" fontId="31" fillId="2" borderId="7" xfId="0" applyNumberFormat="1" applyFont="1" applyFill="1" applyBorder="1" applyAlignment="1">
      <alignment horizontal="center"/>
    </xf>
    <xf numFmtId="9" fontId="31" fillId="2" borderId="4" xfId="0" applyNumberFormat="1" applyFont="1" applyFill="1" applyBorder="1" applyAlignment="1">
      <alignment horizontal="center"/>
    </xf>
    <xf numFmtId="9" fontId="24" fillId="0" borderId="21" xfId="0" applyNumberFormat="1" applyFont="1" applyBorder="1" applyAlignment="1">
      <alignment horizontal="center"/>
    </xf>
    <xf numFmtId="9" fontId="24" fillId="0" borderId="7" xfId="0" applyNumberFormat="1" applyFont="1" applyBorder="1" applyAlignment="1">
      <alignment horizontal="center"/>
    </xf>
    <xf numFmtId="9" fontId="24" fillId="2" borderId="21" xfId="0" applyNumberFormat="1" applyFont="1" applyFill="1" applyBorder="1" applyAlignment="1">
      <alignment horizontal="center"/>
    </xf>
    <xf numFmtId="0" fontId="31" fillId="0" borderId="7" xfId="0" applyFont="1" applyBorder="1" applyAlignment="1">
      <alignment horizontal="left"/>
    </xf>
    <xf numFmtId="0" fontId="24" fillId="0" borderId="1" xfId="0" applyFont="1" applyBorder="1" applyAlignment="1"/>
    <xf numFmtId="0" fontId="31" fillId="0" borderId="5" xfId="0" applyFont="1" applyBorder="1" applyAlignment="1">
      <alignment horizontal="center" shrinkToFit="1"/>
    </xf>
    <xf numFmtId="1" fontId="31" fillId="2" borderId="4" xfId="5" applyNumberFormat="1" applyFont="1" applyFill="1" applyBorder="1" applyAlignment="1">
      <alignment horizontal="center"/>
    </xf>
    <xf numFmtId="0" fontId="112" fillId="3" borderId="66" xfId="0" applyFont="1" applyFill="1" applyBorder="1" applyAlignment="1">
      <alignment horizontal="center"/>
    </xf>
    <xf numFmtId="0" fontId="113" fillId="0" borderId="62" xfId="0" applyFont="1" applyBorder="1" applyAlignment="1">
      <alignment horizontal="center"/>
    </xf>
    <xf numFmtId="0" fontId="113" fillId="0" borderId="67" xfId="0" applyFont="1" applyBorder="1" applyAlignment="1">
      <alignment horizontal="center"/>
    </xf>
    <xf numFmtId="0" fontId="112" fillId="3" borderId="68" xfId="0" applyFont="1" applyFill="1" applyBorder="1" applyAlignment="1">
      <alignment horizontal="center"/>
    </xf>
    <xf numFmtId="0" fontId="113" fillId="0" borderId="29" xfId="0" applyFont="1" applyBorder="1" applyAlignment="1">
      <alignment horizontal="center"/>
    </xf>
    <xf numFmtId="0" fontId="113" fillId="0" borderId="69" xfId="0" applyFont="1" applyBorder="1" applyAlignment="1">
      <alignment horizontal="center"/>
    </xf>
    <xf numFmtId="2" fontId="112" fillId="0" borderId="0" xfId="0" applyNumberFormat="1" applyFont="1" applyBorder="1" applyAlignment="1">
      <alignment horizontal="left"/>
    </xf>
    <xf numFmtId="2" fontId="112" fillId="0" borderId="0" xfId="0" applyNumberFormat="1" applyFont="1" applyBorder="1" applyAlignment="1"/>
    <xf numFmtId="2" fontId="112" fillId="0" borderId="17" xfId="0" applyNumberFormat="1" applyFont="1" applyBorder="1" applyAlignment="1">
      <alignment horizontal="left"/>
    </xf>
    <xf numFmtId="0" fontId="112" fillId="0" borderId="17" xfId="0" applyFont="1" applyBorder="1" applyAlignment="1">
      <alignment horizontal="left"/>
    </xf>
    <xf numFmtId="2" fontId="112" fillId="0" borderId="17" xfId="0" applyNumberFormat="1" applyFont="1" applyBorder="1" applyAlignment="1"/>
    <xf numFmtId="0" fontId="112" fillId="3" borderId="4" xfId="0" applyFont="1" applyFill="1" applyBorder="1" applyAlignment="1">
      <alignment horizontal="center"/>
    </xf>
    <xf numFmtId="0" fontId="112" fillId="0" borderId="0" xfId="0" applyFont="1" applyBorder="1" applyAlignment="1">
      <alignment horizontal="right"/>
    </xf>
    <xf numFmtId="0" fontId="113" fillId="0" borderId="0" xfId="0" applyFont="1" applyAlignment="1">
      <alignment horizontal="right"/>
    </xf>
    <xf numFmtId="0" fontId="112" fillId="3" borderId="7" xfId="0" applyFont="1" applyFill="1" applyBorder="1" applyAlignment="1">
      <alignment horizontal="center"/>
    </xf>
    <xf numFmtId="0" fontId="126" fillId="3" borderId="4" xfId="0" applyFont="1" applyFill="1" applyBorder="1" applyAlignment="1">
      <alignment horizontal="center"/>
    </xf>
    <xf numFmtId="0" fontId="126" fillId="0" borderId="21" xfId="0" applyFont="1" applyBorder="1" applyAlignment="1">
      <alignment horizontal="center"/>
    </xf>
    <xf numFmtId="0" fontId="126" fillId="0" borderId="7" xfId="0" applyFont="1" applyBorder="1" applyAlignment="1">
      <alignment horizontal="center"/>
    </xf>
    <xf numFmtId="0" fontId="112" fillId="0" borderId="0" xfId="0" applyFont="1" applyAlignment="1">
      <alignment horizontal="left" vertical="center" wrapText="1"/>
    </xf>
    <xf numFmtId="0" fontId="116" fillId="0" borderId="0" xfId="0" applyFont="1" applyAlignment="1"/>
    <xf numFmtId="0" fontId="126" fillId="0" borderId="0" xfId="0" applyFont="1" applyAlignment="1"/>
    <xf numFmtId="1" fontId="117" fillId="0" borderId="0" xfId="0" applyNumberFormat="1" applyFont="1" applyAlignment="1"/>
    <xf numFmtId="1" fontId="112" fillId="0" borderId="0" xfId="0" applyNumberFormat="1" applyFont="1" applyAlignment="1"/>
    <xf numFmtId="0" fontId="109" fillId="6" borderId="0" xfId="0" applyFont="1" applyFill="1" applyAlignment="1">
      <alignment vertical="center" wrapText="1"/>
    </xf>
    <xf numFmtId="0" fontId="1" fillId="6" borderId="0" xfId="0" applyFont="1" applyFill="1" applyAlignment="1">
      <alignment vertical="center" wrapText="1"/>
    </xf>
    <xf numFmtId="0" fontId="17" fillId="2" borderId="4" xfId="0" applyFont="1" applyFill="1" applyBorder="1" applyAlignment="1">
      <alignment horizontal="center"/>
    </xf>
    <xf numFmtId="0" fontId="81" fillId="6" borderId="0" xfId="0" applyFont="1" applyFill="1" applyAlignment="1">
      <alignment vertical="center"/>
    </xf>
    <xf numFmtId="0" fontId="17" fillId="0" borderId="0" xfId="0" applyFont="1" applyAlignment="1"/>
    <xf numFmtId="0" fontId="17" fillId="3" borderId="2" xfId="0" applyFont="1" applyFill="1" applyBorder="1" applyAlignment="1">
      <alignment wrapText="1" shrinkToFit="1"/>
    </xf>
    <xf numFmtId="0" fontId="17" fillId="3" borderId="3" xfId="0" applyFont="1" applyFill="1" applyBorder="1" applyAlignment="1">
      <alignment wrapText="1" shrinkToFit="1"/>
    </xf>
    <xf numFmtId="167" fontId="0" fillId="0" borderId="1" xfId="0" applyNumberFormat="1" applyBorder="1" applyAlignment="1">
      <alignment wrapText="1"/>
    </xf>
    <xf numFmtId="0" fontId="18" fillId="0" borderId="0" xfId="0" applyFont="1" applyAlignment="1">
      <alignment wrapText="1"/>
    </xf>
    <xf numFmtId="0" fontId="13" fillId="0" borderId="0" xfId="0" applyFont="1" applyBorder="1" applyAlignment="1"/>
    <xf numFmtId="0" fontId="17" fillId="2" borderId="1" xfId="0" applyFont="1" applyFill="1" applyBorder="1" applyAlignment="1"/>
    <xf numFmtId="0" fontId="2" fillId="0" borderId="4" xfId="0" applyFont="1" applyBorder="1" applyAlignment="1">
      <alignment horizontal="right"/>
    </xf>
    <xf numFmtId="0" fontId="2" fillId="0" borderId="7" xfId="0" applyFont="1" applyBorder="1" applyAlignment="1">
      <alignment horizontal="right"/>
    </xf>
    <xf numFmtId="0" fontId="2" fillId="0" borderId="16" xfId="0" applyFont="1" applyBorder="1" applyAlignment="1">
      <alignment horizontal="center" vertical="center" wrapText="1"/>
    </xf>
    <xf numFmtId="0" fontId="0" fillId="0" borderId="17" xfId="0" applyBorder="1" applyAlignment="1">
      <alignment wrapText="1"/>
    </xf>
    <xf numFmtId="0" fontId="0" fillId="0" borderId="19" xfId="0" applyBorder="1" applyAlignment="1">
      <alignment wrapText="1"/>
    </xf>
    <xf numFmtId="0" fontId="2" fillId="0" borderId="5" xfId="0" applyFont="1" applyBorder="1" applyAlignment="1">
      <alignment horizontal="center" vertical="center" wrapText="1"/>
    </xf>
    <xf numFmtId="0" fontId="0" fillId="0" borderId="0" xfId="0" applyBorder="1" applyAlignment="1">
      <alignment wrapText="1"/>
    </xf>
    <xf numFmtId="0" fontId="0" fillId="0" borderId="8" xfId="0" applyBorder="1" applyAlignment="1">
      <alignment wrapText="1"/>
    </xf>
    <xf numFmtId="0" fontId="0" fillId="0" borderId="5" xfId="0" applyBorder="1" applyAlignment="1">
      <alignment wrapText="1"/>
    </xf>
    <xf numFmtId="0" fontId="123" fillId="0" borderId="0" xfId="0" applyFont="1" applyAlignment="1">
      <alignment horizontal="left"/>
    </xf>
    <xf numFmtId="0" fontId="112" fillId="0" borderId="0" xfId="0" applyFont="1" applyFill="1" applyBorder="1" applyAlignment="1">
      <alignment horizontal="right" shrinkToFit="1"/>
    </xf>
    <xf numFmtId="0" fontId="112" fillId="0" borderId="8" xfId="0" applyFont="1" applyFill="1" applyBorder="1" applyAlignment="1">
      <alignment horizontal="right" shrinkToFit="1"/>
    </xf>
    <xf numFmtId="0" fontId="123" fillId="0" borderId="0" xfId="0" applyFont="1" applyAlignment="1">
      <alignment horizontal="center"/>
    </xf>
    <xf numFmtId="0" fontId="115" fillId="13" borderId="0" xfId="0" applyFont="1" applyFill="1" applyAlignment="1">
      <alignment horizontal="center"/>
    </xf>
    <xf numFmtId="0" fontId="115" fillId="13" borderId="0" xfId="0" applyFont="1" applyFill="1" applyBorder="1" applyAlignment="1">
      <alignment horizontal="center"/>
    </xf>
    <xf numFmtId="0" fontId="3" fillId="0" borderId="0" xfId="0" applyFont="1" applyAlignment="1">
      <alignment horizontal="right"/>
    </xf>
    <xf numFmtId="0" fontId="4" fillId="0" borderId="0" xfId="0" applyFont="1" applyAlignment="1">
      <alignment horizontal="right"/>
    </xf>
    <xf numFmtId="0" fontId="2" fillId="0" borderId="0" xfId="0" applyFont="1" applyAlignment="1"/>
    <xf numFmtId="0" fontId="4" fillId="0" borderId="17" xfId="0" applyFont="1" applyBorder="1" applyAlignment="1">
      <alignment horizontal="left"/>
    </xf>
    <xf numFmtId="0" fontId="4" fillId="0" borderId="0" xfId="0" applyFont="1" applyBorder="1" applyAlignment="1">
      <alignment wrapText="1"/>
    </xf>
    <xf numFmtId="0" fontId="46" fillId="6" borderId="0" xfId="0" applyFont="1" applyFill="1" applyAlignment="1">
      <alignment wrapText="1"/>
    </xf>
    <xf numFmtId="0" fontId="0" fillId="6" borderId="8" xfId="0" applyFill="1" applyBorder="1" applyAlignment="1"/>
    <xf numFmtId="0" fontId="0" fillId="6" borderId="0" xfId="0" applyFill="1" applyAlignment="1"/>
    <xf numFmtId="0" fontId="4" fillId="0" borderId="0" xfId="0" applyFont="1" applyBorder="1" applyAlignment="1">
      <alignment horizontal="right"/>
    </xf>
    <xf numFmtId="0" fontId="4" fillId="0" borderId="16" xfId="0" applyFont="1" applyBorder="1" applyAlignment="1"/>
    <xf numFmtId="0" fontId="4" fillId="3" borderId="4" xfId="0" applyFont="1" applyFill="1" applyBorder="1" applyAlignment="1">
      <alignment horizontal="center" shrinkToFit="1"/>
    </xf>
    <xf numFmtId="0" fontId="3" fillId="0" borderId="21" xfId="0" applyFont="1" applyBorder="1" applyAlignment="1">
      <alignment horizontal="center" shrinkToFit="1"/>
    </xf>
    <xf numFmtId="0" fontId="3" fillId="0" borderId="7" xfId="0" applyFont="1" applyBorder="1" applyAlignment="1">
      <alignment horizontal="center" shrinkToFit="1"/>
    </xf>
    <xf numFmtId="0" fontId="61" fillId="0" borderId="0" xfId="0" applyFont="1" applyAlignment="1">
      <alignment horizontal="right"/>
    </xf>
    <xf numFmtId="0" fontId="4" fillId="0" borderId="0" xfId="0" applyFont="1" applyAlignment="1">
      <alignment horizontal="center"/>
    </xf>
    <xf numFmtId="0" fontId="17" fillId="0" borderId="0" xfId="0" applyFont="1" applyAlignment="1">
      <alignment horizontal="right"/>
    </xf>
    <xf numFmtId="0" fontId="4" fillId="0" borderId="0" xfId="0" applyFont="1" applyBorder="1" applyAlignment="1"/>
    <xf numFmtId="0" fontId="3" fillId="0" borderId="0" xfId="0" applyFont="1" applyAlignment="1">
      <alignment horizontal="right" shrinkToFit="1"/>
    </xf>
    <xf numFmtId="0" fontId="0" fillId="0" borderId="8" xfId="0" applyBorder="1" applyAlignment="1">
      <alignment shrinkToFit="1"/>
    </xf>
    <xf numFmtId="0" fontId="3" fillId="2" borderId="4" xfId="0" applyFont="1" applyFill="1" applyBorder="1" applyAlignment="1"/>
    <xf numFmtId="0" fontId="3" fillId="2" borderId="21" xfId="0" applyFont="1" applyFill="1" applyBorder="1" applyAlignment="1"/>
    <xf numFmtId="0" fontId="3" fillId="2" borderId="7" xfId="0" applyFont="1" applyFill="1" applyBorder="1" applyAlignment="1"/>
    <xf numFmtId="0" fontId="4" fillId="0" borderId="17" xfId="0" applyFont="1" applyBorder="1" applyAlignment="1">
      <alignment horizontal="left" vertical="center"/>
    </xf>
    <xf numFmtId="0" fontId="2" fillId="0" borderId="17" xfId="0" applyFont="1" applyBorder="1" applyAlignment="1">
      <alignment horizontal="left"/>
    </xf>
    <xf numFmtId="0" fontId="4" fillId="3" borderId="1" xfId="0" applyFont="1" applyFill="1" applyBorder="1" applyAlignment="1">
      <alignment horizontal="right"/>
    </xf>
    <xf numFmtId="0" fontId="3" fillId="0" borderId="1" xfId="0" applyFont="1" applyBorder="1" applyAlignment="1">
      <alignment horizontal="right"/>
    </xf>
    <xf numFmtId="0" fontId="4" fillId="0" borderId="0" xfId="0" applyFont="1" applyAlignment="1">
      <alignment horizontal="left"/>
    </xf>
    <xf numFmtId="0" fontId="3" fillId="0" borderId="0" xfId="0" applyFont="1" applyAlignment="1">
      <alignment horizontal="left"/>
    </xf>
    <xf numFmtId="0" fontId="62" fillId="0" borderId="1" xfId="0" applyFont="1" applyBorder="1" applyAlignment="1">
      <alignment vertical="top" wrapText="1"/>
    </xf>
    <xf numFmtId="0" fontId="3" fillId="3" borderId="1" xfId="0" applyFont="1" applyFill="1" applyBorder="1" applyAlignment="1">
      <alignment horizontal="right"/>
    </xf>
    <xf numFmtId="0" fontId="46" fillId="6" borderId="0" xfId="0" applyFont="1" applyFill="1" applyAlignment="1"/>
    <xf numFmtId="0" fontId="95" fillId="6" borderId="0" xfId="0" applyFont="1" applyFill="1" applyAlignment="1"/>
    <xf numFmtId="0" fontId="91" fillId="6" borderId="0" xfId="0" applyFont="1" applyFill="1" applyAlignment="1"/>
    <xf numFmtId="0" fontId="15" fillId="3" borderId="10" xfId="0" applyFont="1" applyFill="1" applyBorder="1" applyAlignment="1">
      <alignment horizontal="center" wrapText="1"/>
    </xf>
    <xf numFmtId="0" fontId="15" fillId="3" borderId="12" xfId="0" applyFont="1" applyFill="1" applyBorder="1" applyAlignment="1">
      <alignment horizontal="center" wrapText="1"/>
    </xf>
    <xf numFmtId="0" fontId="15" fillId="3" borderId="11" xfId="0" applyFont="1" applyFill="1" applyBorder="1" applyAlignment="1">
      <alignment horizontal="center" wrapText="1"/>
    </xf>
    <xf numFmtId="0" fontId="15" fillId="3" borderId="15" xfId="0" applyFont="1" applyFill="1" applyBorder="1" applyAlignment="1">
      <alignment horizontal="center" wrapText="1"/>
    </xf>
    <xf numFmtId="0" fontId="61" fillId="0" borderId="16" xfId="0" applyFont="1" applyBorder="1" applyAlignment="1">
      <alignment horizontal="left" wrapText="1"/>
    </xf>
    <xf numFmtId="0" fontId="61" fillId="0" borderId="17" xfId="0" applyFont="1" applyBorder="1" applyAlignment="1">
      <alignment horizontal="left" wrapText="1"/>
    </xf>
    <xf numFmtId="0" fontId="61" fillId="0" borderId="19" xfId="0" applyFont="1" applyBorder="1" applyAlignment="1">
      <alignment horizontal="left" wrapText="1"/>
    </xf>
    <xf numFmtId="0" fontId="61" fillId="0" borderId="18" xfId="0" applyFont="1" applyBorder="1" applyAlignment="1">
      <alignment horizontal="left" wrapText="1"/>
    </xf>
    <xf numFmtId="0" fontId="61" fillId="0" borderId="6" xfId="0" applyFont="1" applyBorder="1" applyAlignment="1">
      <alignment horizontal="left" wrapText="1"/>
    </xf>
    <xf numFmtId="0" fontId="61" fillId="0" borderId="20" xfId="0" applyFont="1" applyBorder="1" applyAlignment="1">
      <alignment horizontal="left" wrapText="1"/>
    </xf>
    <xf numFmtId="0" fontId="45" fillId="3" borderId="151" xfId="0" applyFont="1" applyFill="1" applyBorder="1" applyAlignment="1">
      <alignment horizontal="center" wrapText="1"/>
    </xf>
    <xf numFmtId="0" fontId="45" fillId="3" borderId="152" xfId="0" applyFont="1" applyFill="1" applyBorder="1" applyAlignment="1">
      <alignment horizontal="center" wrapText="1"/>
    </xf>
    <xf numFmtId="0" fontId="45" fillId="3" borderId="153" xfId="0" applyFont="1" applyFill="1" applyBorder="1" applyAlignment="1">
      <alignment horizontal="center" wrapText="1"/>
    </xf>
    <xf numFmtId="0" fontId="19" fillId="0" borderId="0" xfId="0" applyFont="1" applyAlignment="1">
      <alignment horizontal="right"/>
    </xf>
    <xf numFmtId="0" fontId="19" fillId="0" borderId="8" xfId="0" applyFont="1" applyBorder="1" applyAlignment="1"/>
    <xf numFmtId="0" fontId="19" fillId="0" borderId="4" xfId="0" applyFont="1" applyFill="1" applyBorder="1" applyAlignment="1">
      <alignment horizontal="right" shrinkToFit="1"/>
    </xf>
    <xf numFmtId="0" fontId="35" fillId="3" borderId="84" xfId="0" applyFont="1" applyFill="1" applyBorder="1" applyAlignment="1">
      <alignment horizontal="right"/>
    </xf>
    <xf numFmtId="0" fontId="35" fillId="3" borderId="42" xfId="0" applyFont="1" applyFill="1" applyBorder="1" applyAlignment="1">
      <alignment horizontal="right"/>
    </xf>
    <xf numFmtId="0" fontId="61" fillId="2" borderId="16" xfId="0" applyFont="1" applyFill="1" applyBorder="1" applyAlignment="1">
      <alignment horizontal="left" wrapText="1"/>
    </xf>
    <xf numFmtId="0" fontId="61" fillId="0" borderId="17" xfId="0" applyFont="1" applyBorder="1" applyAlignment="1">
      <alignment wrapText="1"/>
    </xf>
    <xf numFmtId="0" fontId="61" fillId="0" borderId="19" xfId="0" applyFont="1" applyBorder="1" applyAlignment="1"/>
    <xf numFmtId="0" fontId="61" fillId="0" borderId="18" xfId="0" applyFont="1" applyBorder="1" applyAlignment="1">
      <alignment wrapText="1"/>
    </xf>
    <xf numFmtId="0" fontId="61" fillId="0" borderId="6" xfId="0" applyFont="1" applyBorder="1" applyAlignment="1">
      <alignment wrapText="1"/>
    </xf>
    <xf numFmtId="0" fontId="61" fillId="0" borderId="20" xfId="0" applyFont="1" applyBorder="1" applyAlignment="1"/>
    <xf numFmtId="0" fontId="61" fillId="0" borderId="0" xfId="0" applyFont="1" applyAlignment="1">
      <alignment horizontal="left" wrapText="1"/>
    </xf>
    <xf numFmtId="0" fontId="0" fillId="0" borderId="0" xfId="0" applyAlignment="1">
      <alignment wrapText="1"/>
    </xf>
    <xf numFmtId="0" fontId="45" fillId="3" borderId="66" xfId="0" applyFont="1" applyFill="1" applyBorder="1" applyAlignment="1">
      <alignment horizontal="right" wrapText="1"/>
    </xf>
    <xf numFmtId="0" fontId="0" fillId="0" borderId="67" xfId="0" applyBorder="1" applyAlignment="1">
      <alignment horizontal="right"/>
    </xf>
    <xf numFmtId="0" fontId="0" fillId="0" borderId="28" xfId="0" applyBorder="1" applyAlignment="1">
      <alignment horizontal="right"/>
    </xf>
    <xf numFmtId="0" fontId="0" fillId="0" borderId="154" xfId="0" applyBorder="1" applyAlignment="1">
      <alignment horizontal="right"/>
    </xf>
    <xf numFmtId="0" fontId="0" fillId="0" borderId="68" xfId="0" applyBorder="1" applyAlignment="1">
      <alignment horizontal="right"/>
    </xf>
    <xf numFmtId="0" fontId="0" fillId="0" borderId="69" xfId="0" applyBorder="1" applyAlignment="1">
      <alignment horizontal="right"/>
    </xf>
    <xf numFmtId="0" fontId="3" fillId="3" borderId="4" xfId="0" applyFont="1" applyFill="1" applyBorder="1" applyAlignment="1">
      <alignment horizontal="center" shrinkToFit="1"/>
    </xf>
    <xf numFmtId="0" fontId="19" fillId="3" borderId="0" xfId="0" applyFont="1" applyFill="1" applyAlignment="1">
      <alignment horizontal="right" wrapText="1"/>
    </xf>
    <xf numFmtId="0" fontId="19" fillId="0" borderId="8" xfId="0" applyFont="1" applyBorder="1" applyAlignment="1">
      <alignment horizontal="right" wrapText="1"/>
    </xf>
    <xf numFmtId="1" fontId="19" fillId="0" borderId="0" xfId="0" applyNumberFormat="1" applyFont="1" applyAlignment="1">
      <alignment horizontal="right"/>
    </xf>
    <xf numFmtId="0" fontId="15" fillId="3" borderId="150" xfId="0" applyFont="1" applyFill="1" applyBorder="1" applyAlignment="1">
      <alignment horizontal="center" wrapText="1"/>
    </xf>
    <xf numFmtId="0" fontId="15" fillId="3" borderId="81" xfId="0" applyFont="1" applyFill="1" applyBorder="1" applyAlignment="1">
      <alignment horizontal="center" wrapText="1"/>
    </xf>
    <xf numFmtId="0" fontId="45" fillId="3" borderId="148" xfId="0" applyFont="1" applyFill="1" applyBorder="1" applyAlignment="1">
      <alignment horizontal="center" wrapText="1"/>
    </xf>
    <xf numFmtId="0" fontId="0" fillId="0" borderId="45" xfId="0" applyBorder="1" applyAlignment="1"/>
    <xf numFmtId="0" fontId="3" fillId="7" borderId="1" xfId="0" applyFont="1" applyFill="1" applyBorder="1" applyAlignment="1">
      <alignment horizontal="center"/>
    </xf>
    <xf numFmtId="0" fontId="3" fillId="7" borderId="23" xfId="0" applyFont="1" applyFill="1" applyBorder="1" applyAlignment="1">
      <alignment horizontal="center"/>
    </xf>
    <xf numFmtId="0" fontId="15" fillId="0" borderId="84" xfId="0" applyFont="1" applyBorder="1" applyAlignment="1">
      <alignment horizontal="center" wrapText="1"/>
    </xf>
    <xf numFmtId="0" fontId="15" fillId="0" borderId="21" xfId="0" applyFont="1" applyBorder="1" applyAlignment="1">
      <alignment horizontal="center" wrapText="1"/>
    </xf>
    <xf numFmtId="0" fontId="15" fillId="0" borderId="42" xfId="0" applyFont="1" applyBorder="1" applyAlignment="1">
      <alignment horizontal="center" wrapText="1"/>
    </xf>
    <xf numFmtId="0" fontId="15" fillId="0" borderId="126" xfId="0" applyFont="1" applyBorder="1" applyAlignment="1">
      <alignment horizontal="center" wrapText="1"/>
    </xf>
    <xf numFmtId="0" fontId="15" fillId="0" borderId="124" xfId="0" applyFont="1" applyBorder="1" applyAlignment="1">
      <alignment horizontal="center" wrapText="1"/>
    </xf>
    <xf numFmtId="0" fontId="15" fillId="0" borderId="149" xfId="0" applyFont="1" applyBorder="1" applyAlignment="1">
      <alignment horizontal="center" wrapText="1"/>
    </xf>
    <xf numFmtId="0" fontId="35" fillId="3" borderId="85" xfId="0" applyFont="1" applyFill="1" applyBorder="1" applyAlignment="1">
      <alignment horizontal="right"/>
    </xf>
    <xf numFmtId="0" fontId="35" fillId="3" borderId="44" xfId="0" applyFont="1" applyFill="1" applyBorder="1" applyAlignment="1">
      <alignment horizontal="right"/>
    </xf>
    <xf numFmtId="0" fontId="25" fillId="0" borderId="47" xfId="0" applyFont="1" applyBorder="1" applyAlignment="1">
      <alignment vertical="top" wrapText="1"/>
    </xf>
    <xf numFmtId="0" fontId="3" fillId="7" borderId="4" xfId="0" applyFont="1" applyFill="1" applyBorder="1" applyAlignment="1">
      <alignment horizontal="center"/>
    </xf>
    <xf numFmtId="0" fontId="45" fillId="3" borderId="126" xfId="0" applyFont="1" applyFill="1" applyBorder="1" applyAlignment="1">
      <alignment horizontal="center" wrapText="1"/>
    </xf>
    <xf numFmtId="0" fontId="0" fillId="0" borderId="149" xfId="0" applyBorder="1" applyAlignment="1"/>
    <xf numFmtId="0" fontId="61" fillId="2" borderId="1" xfId="0" applyFont="1" applyFill="1" applyBorder="1" applyAlignment="1">
      <alignment horizontal="center" wrapText="1"/>
    </xf>
    <xf numFmtId="0" fontId="61" fillId="2" borderId="1" xfId="0" applyFont="1" applyFill="1" applyBorder="1" applyAlignment="1">
      <alignment wrapText="1"/>
    </xf>
    <xf numFmtId="0" fontId="3" fillId="0" borderId="1" xfId="0" applyFont="1" applyBorder="1" applyAlignment="1">
      <alignment horizontal="center"/>
    </xf>
    <xf numFmtId="0" fontId="3" fillId="0" borderId="23" xfId="0" applyFont="1" applyBorder="1" applyAlignment="1">
      <alignment horizontal="center"/>
    </xf>
    <xf numFmtId="0" fontId="3" fillId="0" borderId="47" xfId="0" applyFont="1" applyBorder="1" applyAlignment="1">
      <alignment horizontal="center"/>
    </xf>
    <xf numFmtId="0" fontId="3" fillId="0" borderId="86" xfId="0" applyFont="1" applyBorder="1" applyAlignment="1">
      <alignment horizontal="center"/>
    </xf>
    <xf numFmtId="0" fontId="3" fillId="0" borderId="65" xfId="0" applyFont="1" applyBorder="1" applyAlignment="1">
      <alignment horizontal="center"/>
    </xf>
    <xf numFmtId="0" fontId="3" fillId="0" borderId="30" xfId="0" applyFont="1" applyBorder="1" applyAlignment="1">
      <alignment horizontal="center"/>
    </xf>
    <xf numFmtId="0" fontId="3" fillId="0" borderId="32" xfId="0" applyFont="1" applyBorder="1" applyAlignment="1">
      <alignment horizontal="center"/>
    </xf>
    <xf numFmtId="0" fontId="62" fillId="0" borderId="30" xfId="0" applyFont="1" applyBorder="1" applyAlignment="1">
      <alignment vertical="top" wrapText="1"/>
    </xf>
    <xf numFmtId="0" fontId="17" fillId="2" borderId="1" xfId="0" applyFont="1" applyFill="1" applyBorder="1" applyAlignment="1">
      <alignment horizontal="center"/>
    </xf>
    <xf numFmtId="0" fontId="0" fillId="2" borderId="1" xfId="0" applyFill="1" applyBorder="1" applyAlignment="1"/>
    <xf numFmtId="0" fontId="3" fillId="7" borderId="30" xfId="0" applyFont="1" applyFill="1" applyBorder="1" applyAlignment="1">
      <alignment horizontal="center"/>
    </xf>
    <xf numFmtId="0" fontId="3" fillId="7" borderId="123" xfId="0" applyFont="1" applyFill="1" applyBorder="1" applyAlignment="1">
      <alignment horizontal="center"/>
    </xf>
    <xf numFmtId="0" fontId="0" fillId="0" borderId="0" xfId="0" applyAlignment="1">
      <alignment shrinkToFit="1"/>
    </xf>
    <xf numFmtId="0" fontId="46" fillId="6" borderId="6" xfId="0" applyFont="1" applyFill="1" applyBorder="1" applyAlignment="1"/>
    <xf numFmtId="0" fontId="0" fillId="6" borderId="6" xfId="0" applyFill="1" applyBorder="1" applyAlignment="1"/>
    <xf numFmtId="0" fontId="26" fillId="0" borderId="4" xfId="0" applyFont="1" applyFill="1" applyBorder="1" applyAlignment="1">
      <alignment horizontal="center" vertical="top" wrapText="1"/>
    </xf>
    <xf numFmtId="0" fontId="31" fillId="0" borderId="21" xfId="0" applyFont="1" applyBorder="1" applyAlignment="1">
      <alignment horizontal="center" vertical="top" wrapText="1"/>
    </xf>
    <xf numFmtId="0" fontId="31" fillId="0" borderId="7" xfId="0" applyFont="1" applyBorder="1" applyAlignment="1">
      <alignment horizontal="center" vertical="top" wrapText="1"/>
    </xf>
    <xf numFmtId="0" fontId="31" fillId="0" borderId="4" xfId="0" applyFont="1" applyBorder="1" applyAlignment="1"/>
    <xf numFmtId="0" fontId="31" fillId="0" borderId="4" xfId="0" applyFont="1" applyBorder="1" applyAlignment="1">
      <alignment horizontal="center" vertical="top" wrapText="1"/>
    </xf>
    <xf numFmtId="0" fontId="31" fillId="3" borderId="4" xfId="0" applyFont="1" applyFill="1" applyBorder="1" applyAlignment="1">
      <alignment horizontal="center"/>
    </xf>
    <xf numFmtId="0" fontId="31" fillId="3" borderId="21" xfId="0" applyFont="1" applyFill="1" applyBorder="1" applyAlignment="1">
      <alignment horizontal="center"/>
    </xf>
    <xf numFmtId="9" fontId="31" fillId="0" borderId="4" xfId="0" applyNumberFormat="1" applyFont="1" applyBorder="1" applyAlignment="1">
      <alignment horizontal="center" wrapText="1"/>
    </xf>
    <xf numFmtId="9" fontId="31" fillId="0" borderId="21" xfId="0" applyNumberFormat="1" applyFont="1" applyBorder="1" applyAlignment="1">
      <alignment horizontal="center" wrapText="1"/>
    </xf>
    <xf numFmtId="9" fontId="31" fillId="0" borderId="7" xfId="0" applyNumberFormat="1" applyFont="1" applyBorder="1" applyAlignment="1">
      <alignment horizontal="center" wrapText="1"/>
    </xf>
    <xf numFmtId="0" fontId="25" fillId="3" borderId="1" xfId="0" applyFont="1" applyFill="1" applyBorder="1" applyAlignment="1">
      <alignment horizontal="center" vertical="top" wrapText="1"/>
    </xf>
    <xf numFmtId="0" fontId="25" fillId="3" borderId="4" xfId="0" applyFont="1" applyFill="1" applyBorder="1" applyAlignment="1">
      <alignment horizontal="center" vertical="top" wrapText="1"/>
    </xf>
    <xf numFmtId="0" fontId="25" fillId="3" borderId="21" xfId="0" applyFont="1" applyFill="1" applyBorder="1" applyAlignment="1">
      <alignment horizontal="center" vertical="top" wrapText="1"/>
    </xf>
    <xf numFmtId="0" fontId="25" fillId="3" borderId="7" xfId="0" applyFont="1" applyFill="1" applyBorder="1" applyAlignment="1">
      <alignment horizontal="center" vertical="top" wrapText="1"/>
    </xf>
    <xf numFmtId="0" fontId="31" fillId="0" borderId="1" xfId="0" applyFont="1" applyBorder="1" applyAlignment="1">
      <alignment vertical="top" wrapText="1"/>
    </xf>
    <xf numFmtId="0" fontId="3" fillId="3" borderId="1" xfId="0" applyFont="1" applyFill="1" applyBorder="1" applyAlignment="1">
      <alignment horizontal="left"/>
    </xf>
    <xf numFmtId="9" fontId="31" fillId="3" borderId="1" xfId="0" applyNumberFormat="1" applyFont="1" applyFill="1" applyBorder="1" applyAlignment="1">
      <alignment horizontal="center"/>
    </xf>
    <xf numFmtId="0" fontId="31" fillId="3" borderId="1" xfId="0" applyFont="1" applyFill="1" applyBorder="1" applyAlignment="1">
      <alignment horizontal="center"/>
    </xf>
    <xf numFmtId="0" fontId="25" fillId="0" borderId="4" xfId="0" applyFont="1" applyFill="1" applyBorder="1" applyAlignment="1">
      <alignment horizontal="center" vertical="top" wrapText="1"/>
    </xf>
    <xf numFmtId="0" fontId="31" fillId="3" borderId="4" xfId="0" applyFont="1" applyFill="1" applyBorder="1" applyAlignment="1">
      <alignment horizontal="left"/>
    </xf>
    <xf numFmtId="0" fontId="31" fillId="3" borderId="7" xfId="0" applyFont="1" applyFill="1" applyBorder="1" applyAlignment="1"/>
    <xf numFmtId="0" fontId="49" fillId="3" borderId="4" xfId="0" applyFont="1" applyFill="1" applyBorder="1" applyAlignment="1">
      <alignment horizontal="center" vertical="top" wrapText="1"/>
    </xf>
    <xf numFmtId="0" fontId="49" fillId="3" borderId="21" xfId="0" applyFont="1" applyFill="1" applyBorder="1" applyAlignment="1">
      <alignment horizontal="center" vertical="top" wrapText="1"/>
    </xf>
    <xf numFmtId="0" fontId="49" fillId="3" borderId="7" xfId="0" applyFont="1" applyFill="1" applyBorder="1" applyAlignment="1">
      <alignment horizontal="center" vertical="top" wrapText="1"/>
    </xf>
    <xf numFmtId="0" fontId="25" fillId="3" borderId="1" xfId="0" applyFont="1" applyFill="1" applyBorder="1" applyAlignment="1">
      <alignment vertical="top"/>
    </xf>
    <xf numFmtId="0" fontId="25" fillId="0" borderId="4" xfId="0" applyFont="1" applyBorder="1" applyAlignment="1">
      <alignment vertical="top" wrapText="1"/>
    </xf>
    <xf numFmtId="0" fontId="25" fillId="0" borderId="21" xfId="0" applyFont="1" applyBorder="1" applyAlignment="1">
      <alignment vertical="top" wrapText="1"/>
    </xf>
    <xf numFmtId="0" fontId="25" fillId="0" borderId="7" xfId="0" applyFont="1" applyBorder="1" applyAlignment="1">
      <alignment vertical="top" wrapText="1"/>
    </xf>
    <xf numFmtId="9" fontId="31" fillId="0" borderId="4" xfId="0" applyNumberFormat="1" applyFont="1" applyBorder="1" applyAlignment="1">
      <alignment horizontal="center" vertical="top" wrapText="1"/>
    </xf>
    <xf numFmtId="9" fontId="31" fillId="0" borderId="21" xfId="0" applyNumberFormat="1" applyFont="1" applyBorder="1" applyAlignment="1">
      <alignment horizontal="center" vertical="top" wrapText="1"/>
    </xf>
    <xf numFmtId="9" fontId="31" fillId="0" borderId="7" xfId="0" applyNumberFormat="1" applyFont="1" applyBorder="1" applyAlignment="1">
      <alignment horizontal="center" vertical="top" wrapText="1"/>
    </xf>
    <xf numFmtId="0" fontId="25" fillId="3" borderId="4" xfId="0" applyFont="1" applyFill="1" applyBorder="1" applyAlignment="1">
      <alignment vertical="top" wrapText="1"/>
    </xf>
    <xf numFmtId="0" fontId="25" fillId="3" borderId="21" xfId="0" applyFont="1" applyFill="1" applyBorder="1" applyAlignment="1">
      <alignment vertical="top" wrapText="1"/>
    </xf>
    <xf numFmtId="0" fontId="25" fillId="3" borderId="7" xfId="0" applyFont="1" applyFill="1" applyBorder="1" applyAlignment="1">
      <alignment vertical="top" wrapText="1"/>
    </xf>
    <xf numFmtId="0" fontId="1" fillId="0" borderId="21" xfId="0" applyFont="1" applyBorder="1" applyAlignment="1">
      <alignment horizontal="center" vertical="top" wrapText="1"/>
    </xf>
    <xf numFmtId="0" fontId="1" fillId="0" borderId="7" xfId="0" applyFont="1" applyBorder="1" applyAlignment="1">
      <alignment horizontal="center" vertical="top" wrapText="1"/>
    </xf>
    <xf numFmtId="0" fontId="25" fillId="3" borderId="1" xfId="0" applyFont="1" applyFill="1" applyBorder="1" applyAlignment="1">
      <alignment vertical="top" wrapText="1"/>
    </xf>
    <xf numFmtId="0" fontId="0" fillId="0" borderId="1" xfId="0" applyBorder="1" applyAlignment="1">
      <alignment vertical="top" wrapText="1"/>
    </xf>
    <xf numFmtId="0" fontId="25" fillId="3" borderId="16" xfId="0" applyFont="1" applyFill="1" applyBorder="1" applyAlignment="1">
      <alignment horizontal="center" vertical="center" wrapText="1"/>
    </xf>
    <xf numFmtId="0" fontId="0" fillId="0" borderId="19"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31" fillId="0" borderId="4" xfId="0" applyFont="1" applyFill="1" applyBorder="1" applyAlignment="1">
      <alignment horizontal="center" vertical="top"/>
    </xf>
    <xf numFmtId="0" fontId="31" fillId="0" borderId="4" xfId="0" applyFont="1" applyFill="1" applyBorder="1" applyAlignment="1">
      <alignment horizontal="center" vertical="top" wrapText="1"/>
    </xf>
    <xf numFmtId="0" fontId="0" fillId="0" borderId="7" xfId="0" applyBorder="1" applyAlignment="1">
      <alignment vertical="top" wrapText="1"/>
    </xf>
    <xf numFmtId="9" fontId="31" fillId="0" borderId="21" xfId="0" applyNumberFormat="1" applyFont="1" applyBorder="1" applyAlignment="1"/>
    <xf numFmtId="9" fontId="31" fillId="0" borderId="7" xfId="0" applyNumberFormat="1" applyFont="1" applyBorder="1" applyAlignment="1"/>
    <xf numFmtId="0" fontId="31" fillId="0" borderId="21" xfId="0" applyFont="1" applyBorder="1"/>
    <xf numFmtId="0" fontId="31" fillId="0" borderId="7" xfId="0" applyFont="1" applyBorder="1"/>
    <xf numFmtId="0" fontId="26" fillId="3" borderId="4" xfId="3" applyFont="1" applyFill="1" applyBorder="1" applyAlignment="1"/>
    <xf numFmtId="0" fontId="25" fillId="3" borderId="4" xfId="0" applyFont="1" applyFill="1" applyBorder="1" applyAlignment="1">
      <alignment vertical="top"/>
    </xf>
    <xf numFmtId="0" fontId="0" fillId="3" borderId="21" xfId="0" applyFill="1" applyBorder="1" applyAlignment="1">
      <alignment vertical="top"/>
    </xf>
    <xf numFmtId="0" fontId="0" fillId="3" borderId="7" xfId="0" applyFill="1" applyBorder="1" applyAlignment="1">
      <alignment vertical="top"/>
    </xf>
    <xf numFmtId="0" fontId="25" fillId="0" borderId="4" xfId="0" applyFont="1" applyBorder="1" applyAlignment="1">
      <alignment horizontal="center" vertical="top" wrapText="1"/>
    </xf>
    <xf numFmtId="0" fontId="31" fillId="0" borderId="17" xfId="0" applyFont="1" applyFill="1" applyBorder="1" applyAlignment="1">
      <alignment horizontal="center" vertical="top"/>
    </xf>
    <xf numFmtId="0" fontId="31" fillId="0" borderId="19" xfId="0" applyFont="1" applyBorder="1" applyAlignment="1">
      <alignment horizontal="center" vertical="top"/>
    </xf>
    <xf numFmtId="0" fontId="31" fillId="0" borderId="0" xfId="0" applyFont="1" applyBorder="1" applyAlignment="1">
      <alignment horizontal="center" vertical="top"/>
    </xf>
    <xf numFmtId="0" fontId="31" fillId="0" borderId="8" xfId="0" applyFont="1" applyBorder="1" applyAlignment="1">
      <alignment horizontal="center" vertical="top"/>
    </xf>
    <xf numFmtId="0" fontId="31" fillId="0" borderId="6" xfId="0" applyFont="1" applyBorder="1" applyAlignment="1">
      <alignment horizontal="center" vertical="top"/>
    </xf>
    <xf numFmtId="0" fontId="31" fillId="0" borderId="20" xfId="0" applyFont="1" applyBorder="1" applyAlignment="1">
      <alignment horizontal="center" vertical="top"/>
    </xf>
    <xf numFmtId="0" fontId="31" fillId="0" borderId="1" xfId="0" applyFont="1" applyFill="1" applyBorder="1" applyAlignment="1">
      <alignment horizontal="left" shrinkToFit="1"/>
    </xf>
    <xf numFmtId="0" fontId="31" fillId="0" borderId="5" xfId="0" applyFont="1" applyBorder="1" applyAlignment="1">
      <alignment vertical="top" wrapText="1"/>
    </xf>
    <xf numFmtId="0" fontId="31" fillId="0" borderId="0" xfId="0" applyFont="1" applyBorder="1" applyAlignment="1">
      <alignment vertical="top" wrapText="1"/>
    </xf>
    <xf numFmtId="0" fontId="31" fillId="0" borderId="8" xfId="0" applyFont="1" applyBorder="1" applyAlignment="1">
      <alignment vertical="top" wrapText="1"/>
    </xf>
    <xf numFmtId="0" fontId="0" fillId="0" borderId="21" xfId="0" applyBorder="1" applyAlignment="1">
      <alignment horizontal="center" vertical="top" wrapText="1"/>
    </xf>
    <xf numFmtId="0" fontId="0" fillId="0" borderId="7" xfId="0" applyBorder="1" applyAlignment="1">
      <alignment horizontal="center" vertical="top" wrapText="1"/>
    </xf>
    <xf numFmtId="0" fontId="26" fillId="3" borderId="1" xfId="3" applyFont="1" applyFill="1" applyBorder="1" applyAlignment="1">
      <alignment shrinkToFit="1"/>
    </xf>
    <xf numFmtId="0" fontId="31" fillId="0" borderId="1" xfId="0" applyFont="1" applyBorder="1" applyAlignment="1">
      <alignment shrinkToFit="1"/>
    </xf>
    <xf numFmtId="0" fontId="17" fillId="0" borderId="7" xfId="0" applyFont="1" applyBorder="1" applyAlignment="1">
      <alignment horizontal="center" vertical="top" wrapText="1"/>
    </xf>
    <xf numFmtId="0" fontId="0" fillId="0" borderId="21" xfId="0" applyBorder="1" applyAlignment="1">
      <alignment vertical="top" wrapText="1"/>
    </xf>
    <xf numFmtId="0" fontId="26" fillId="3" borderId="4" xfId="0" applyFont="1" applyFill="1" applyBorder="1" applyAlignment="1">
      <alignment vertical="top" wrapText="1"/>
    </xf>
    <xf numFmtId="0" fontId="17" fillId="0" borderId="21" xfId="0" applyFont="1" applyBorder="1" applyAlignment="1">
      <alignment vertical="top" wrapText="1"/>
    </xf>
    <xf numFmtId="0" fontId="25" fillId="3" borderId="4" xfId="0" applyFont="1" applyFill="1" applyBorder="1" applyAlignment="1">
      <alignment horizontal="center" vertical="top"/>
    </xf>
    <xf numFmtId="1" fontId="31" fillId="0" borderId="4" xfId="0" applyNumberFormat="1" applyFont="1" applyBorder="1" applyAlignment="1">
      <alignment horizontal="center" vertical="top" wrapText="1"/>
    </xf>
    <xf numFmtId="1" fontId="31" fillId="0" borderId="21" xfId="0" applyNumberFormat="1" applyFont="1" applyBorder="1" applyAlignment="1">
      <alignment horizontal="center" vertical="top" wrapText="1"/>
    </xf>
    <xf numFmtId="1" fontId="31" fillId="0" borderId="7" xfId="0" applyNumberFormat="1" applyFont="1" applyBorder="1" applyAlignment="1">
      <alignment horizontal="center" vertical="top" wrapText="1"/>
    </xf>
    <xf numFmtId="0" fontId="17" fillId="0" borderId="21" xfId="0" applyFont="1" applyBorder="1"/>
    <xf numFmtId="0" fontId="17" fillId="0" borderId="7" xfId="0" applyFont="1" applyBorder="1"/>
    <xf numFmtId="0" fontId="31" fillId="0" borderId="4" xfId="0" applyFont="1" applyBorder="1" applyAlignment="1">
      <alignment vertical="top" shrinkToFit="1"/>
    </xf>
    <xf numFmtId="0" fontId="31" fillId="0" borderId="21" xfId="0" applyFont="1" applyBorder="1" applyAlignment="1">
      <alignment vertical="top" shrinkToFit="1"/>
    </xf>
    <xf numFmtId="0" fontId="31" fillId="0" borderId="7" xfId="0" applyFont="1" applyBorder="1" applyAlignment="1">
      <alignment vertical="top" shrinkToFit="1"/>
    </xf>
    <xf numFmtId="0" fontId="31" fillId="0" borderId="16" xfId="0" applyFont="1" applyBorder="1" applyAlignment="1"/>
    <xf numFmtId="0" fontId="31" fillId="0" borderId="5" xfId="0" applyFont="1" applyBorder="1" applyAlignment="1"/>
    <xf numFmtId="0" fontId="31" fillId="0" borderId="18" xfId="0" applyFont="1" applyBorder="1" applyAlignment="1"/>
    <xf numFmtId="0" fontId="31" fillId="0" borderId="6" xfId="0" applyFont="1" applyBorder="1" applyAlignment="1"/>
    <xf numFmtId="0" fontId="31" fillId="0" borderId="18" xfId="0" applyFont="1" applyBorder="1" applyAlignment="1">
      <alignment vertical="top" wrapText="1"/>
    </xf>
    <xf numFmtId="0" fontId="31" fillId="0" borderId="6" xfId="0" applyFont="1" applyBorder="1" applyAlignment="1">
      <alignment vertical="top" wrapText="1"/>
    </xf>
    <xf numFmtId="0" fontId="31" fillId="0" borderId="20" xfId="0" applyFont="1" applyBorder="1" applyAlignment="1">
      <alignment vertical="top" wrapText="1"/>
    </xf>
    <xf numFmtId="0" fontId="48" fillId="0" borderId="6" xfId="0" applyFont="1" applyBorder="1" applyAlignment="1">
      <alignment horizontal="center"/>
    </xf>
    <xf numFmtId="0" fontId="0" fillId="0" borderId="6" xfId="0" applyBorder="1"/>
    <xf numFmtId="0" fontId="26" fillId="0" borderId="4" xfId="0" applyFont="1" applyFill="1" applyBorder="1" applyAlignment="1">
      <alignment vertical="top" wrapText="1"/>
    </xf>
    <xf numFmtId="9" fontId="26" fillId="3" borderId="4" xfId="0" applyNumberFormat="1" applyFont="1" applyFill="1" applyBorder="1" applyAlignment="1">
      <alignment horizontal="center"/>
    </xf>
    <xf numFmtId="0" fontId="25" fillId="0" borderId="21" xfId="0" applyFont="1" applyBorder="1" applyAlignment="1">
      <alignment horizontal="center"/>
    </xf>
    <xf numFmtId="0" fontId="25" fillId="0" borderId="7" xfId="0" applyFont="1" applyBorder="1" applyAlignment="1">
      <alignment horizontal="center"/>
    </xf>
    <xf numFmtId="9" fontId="31" fillId="0" borderId="16" xfId="0" applyNumberFormat="1" applyFont="1" applyBorder="1" applyAlignment="1">
      <alignment horizontal="center" vertical="top" wrapText="1"/>
    </xf>
    <xf numFmtId="9" fontId="31" fillId="0" borderId="17" xfId="0" applyNumberFormat="1" applyFont="1" applyBorder="1" applyAlignment="1"/>
    <xf numFmtId="9" fontId="31" fillId="0" borderId="19" xfId="0" applyNumberFormat="1" applyFont="1" applyBorder="1" applyAlignment="1"/>
    <xf numFmtId="0" fontId="31" fillId="0" borderId="4" xfId="0" applyFont="1" applyBorder="1" applyAlignment="1">
      <alignment horizontal="center" vertical="top"/>
    </xf>
    <xf numFmtId="0" fontId="31" fillId="0" borderId="7" xfId="0" applyFont="1" applyBorder="1" applyAlignment="1">
      <alignment horizontal="center" vertical="top"/>
    </xf>
    <xf numFmtId="0" fontId="31" fillId="0" borderId="21" xfId="0" applyFont="1" applyFill="1" applyBorder="1" applyAlignment="1">
      <alignment horizontal="center" vertical="top" wrapText="1"/>
    </xf>
    <xf numFmtId="0" fontId="26" fillId="0" borderId="21" xfId="0" applyFont="1" applyFill="1" applyBorder="1" applyAlignment="1">
      <alignment horizontal="center" vertical="top" wrapText="1"/>
    </xf>
    <xf numFmtId="0" fontId="26" fillId="0" borderId="7" xfId="0" applyFont="1" applyFill="1" applyBorder="1" applyAlignment="1">
      <alignment horizontal="center" vertical="top" wrapText="1"/>
    </xf>
    <xf numFmtId="0" fontId="25" fillId="3" borderId="21" xfId="0" applyFont="1" applyFill="1" applyBorder="1" applyAlignment="1">
      <alignment horizontal="center" vertical="top"/>
    </xf>
    <xf numFmtId="0" fontId="25" fillId="3" borderId="7" xfId="0" applyFont="1" applyFill="1" applyBorder="1" applyAlignment="1">
      <alignment horizontal="center" vertical="top"/>
    </xf>
    <xf numFmtId="1" fontId="3" fillId="3" borderId="4" xfId="0" quotePrefix="1" applyNumberFormat="1" applyFont="1" applyFill="1" applyBorder="1" applyAlignment="1">
      <alignment horizontal="center"/>
    </xf>
    <xf numFmtId="0" fontId="25" fillId="3" borderId="16" xfId="0" applyFont="1" applyFill="1" applyBorder="1" applyAlignment="1">
      <alignment horizontal="center" vertical="top" wrapText="1"/>
    </xf>
    <xf numFmtId="0" fontId="0" fillId="0" borderId="17" xfId="0" applyBorder="1" applyAlignment="1">
      <alignment horizontal="center" vertical="top" wrapText="1"/>
    </xf>
    <xf numFmtId="0" fontId="0" fillId="0" borderId="18" xfId="0" applyBorder="1" applyAlignment="1">
      <alignment horizontal="center" vertical="top" wrapText="1"/>
    </xf>
    <xf numFmtId="0" fontId="0" fillId="0" borderId="6" xfId="0" applyBorder="1" applyAlignment="1">
      <alignment horizontal="center" vertical="top" wrapText="1"/>
    </xf>
    <xf numFmtId="0" fontId="140" fillId="20" borderId="58" xfId="0" applyFont="1" applyFill="1" applyBorder="1" applyAlignment="1">
      <alignment horizontal="center" vertical="center" wrapText="1"/>
    </xf>
    <xf numFmtId="0" fontId="140" fillId="20" borderId="158" xfId="0" applyFont="1" applyFill="1" applyBorder="1" applyAlignment="1">
      <alignment horizontal="center" vertical="center" wrapText="1"/>
    </xf>
    <xf numFmtId="0" fontId="0" fillId="0" borderId="159" xfId="0" applyBorder="1" applyAlignment="1">
      <alignment horizontal="center" vertical="center" wrapText="1"/>
    </xf>
    <xf numFmtId="0" fontId="0" fillId="0" borderId="59" xfId="0" applyBorder="1" applyAlignment="1">
      <alignment horizontal="center" vertical="center" wrapText="1"/>
    </xf>
    <xf numFmtId="0" fontId="140" fillId="16" borderId="58" xfId="0" applyFont="1" applyFill="1" applyBorder="1" applyAlignment="1">
      <alignment horizontal="center" vertical="center" wrapText="1"/>
    </xf>
    <xf numFmtId="0" fontId="0" fillId="0" borderId="159" xfId="0" applyBorder="1" applyAlignment="1">
      <alignment wrapText="1"/>
    </xf>
    <xf numFmtId="0" fontId="0" fillId="0" borderId="59" xfId="0" applyBorder="1" applyAlignment="1">
      <alignment wrapText="1"/>
    </xf>
  </cellXfs>
  <cellStyles count="6">
    <cellStyle name="Comma" xfId="1" builtinId="3"/>
    <cellStyle name="Hyperlink" xfId="2" builtinId="8"/>
    <cellStyle name="Normal" xfId="0" builtinId="0"/>
    <cellStyle name="Normal_CS4%5fCS" xfId="3"/>
    <cellStyle name="Normal_New Blank" xfId="4"/>
    <cellStyle name="Percent" xfId="5" builtinId="5"/>
  </cellStyles>
  <dxfs count="345">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ont>
        <condense val="0"/>
        <extend val="0"/>
        <color indexed="9"/>
      </font>
      <fill>
        <patternFill>
          <bgColor indexed="9"/>
        </patternFill>
      </fill>
      <border>
        <left style="thin">
          <color indexed="9"/>
        </left>
        <right style="thin">
          <color indexed="9"/>
        </right>
        <top style="thin">
          <color indexed="9"/>
        </top>
        <bottom style="thin">
          <color indexed="9"/>
        </bottom>
      </border>
    </dxf>
    <dxf>
      <font>
        <condense val="0"/>
        <extend val="0"/>
        <color indexed="9"/>
      </font>
      <fill>
        <patternFill patternType="none">
          <bgColor indexed="65"/>
        </patternFill>
      </fill>
      <border>
        <left style="thin">
          <color indexed="9"/>
        </left>
        <right style="thin">
          <color indexed="9"/>
        </right>
        <top style="thin">
          <color indexed="9"/>
        </top>
        <bottom style="thin">
          <color indexed="9"/>
        </bottom>
      </border>
    </dxf>
    <dxf>
      <font>
        <condense val="0"/>
        <extend val="0"/>
        <color indexed="9"/>
      </font>
      <border>
        <left style="thin">
          <color indexed="9"/>
        </left>
        <right style="thin">
          <color indexed="9"/>
        </right>
        <top style="thin">
          <color indexed="9"/>
        </top>
        <bottom style="thin">
          <color indexed="9"/>
        </bottom>
      </border>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10"/>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21"/>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48"/>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49"/>
        </patternFill>
      </fill>
      <border>
        <left style="thin">
          <color indexed="64"/>
        </left>
        <right style="thin">
          <color indexed="64"/>
        </right>
        <top style="thin">
          <color indexed="64"/>
        </top>
        <bottom style="thin">
          <color indexed="64"/>
        </bottom>
      </border>
    </dxf>
    <dxf>
      <font>
        <condense val="0"/>
        <extend val="0"/>
        <color indexed="9"/>
      </font>
      <fill>
        <patternFill>
          <bgColor indexed="48"/>
        </patternFill>
      </fill>
      <border>
        <left style="thin">
          <color indexed="64"/>
        </left>
        <right style="thin">
          <color indexed="64"/>
        </right>
        <top style="thin">
          <color indexed="64"/>
        </top>
        <bottom style="thin">
          <color indexed="64"/>
        </bottom>
      </border>
    </dxf>
    <dxf>
      <font>
        <condense val="0"/>
        <extend val="0"/>
        <color indexed="9"/>
      </font>
      <fill>
        <patternFill>
          <bgColor indexed="12"/>
        </patternFill>
      </fill>
      <border>
        <left style="thin">
          <color indexed="64"/>
        </left>
        <right style="thin">
          <color indexed="64"/>
        </right>
        <top style="thin">
          <color indexed="64"/>
        </top>
        <bottom style="thin">
          <color indexed="64"/>
        </bottom>
      </border>
    </dxf>
    <dxf>
      <font>
        <condense val="0"/>
        <extend val="0"/>
        <color indexed="9"/>
      </font>
      <fill>
        <patternFill patternType="none">
          <bgColor indexed="65"/>
        </patternFill>
      </fill>
      <border>
        <left style="thin">
          <color indexed="9"/>
        </left>
        <right style="thin">
          <color indexed="9"/>
        </right>
        <top style="thin">
          <color indexed="9"/>
        </top>
        <bottom style="thin">
          <color indexed="9"/>
        </bottom>
      </border>
    </dxf>
    <dxf>
      <font>
        <condense val="0"/>
        <extend val="0"/>
        <color indexed="9"/>
      </font>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48"/>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57"/>
        </patternFill>
      </fill>
    </dxf>
    <dxf>
      <font>
        <condense val="0"/>
        <extend val="0"/>
        <color indexed="9"/>
      </font>
      <fill>
        <patternFill>
          <bgColor indexed="48"/>
        </patternFill>
      </fill>
    </dxf>
    <dxf>
      <font>
        <condense val="0"/>
        <extend val="0"/>
        <color indexed="9"/>
      </font>
      <fill>
        <patternFill>
          <bgColor indexed="48"/>
        </patternFill>
      </fill>
    </dxf>
    <dxf>
      <font>
        <condense val="0"/>
        <extend val="0"/>
        <color indexed="9"/>
      </font>
      <fill>
        <patternFill>
          <bgColor indexed="48"/>
        </patternFill>
      </fill>
    </dxf>
    <dxf>
      <font>
        <condense val="0"/>
        <extend val="0"/>
        <color indexed="9"/>
      </font>
      <fill>
        <patternFill>
          <bgColor indexed="48"/>
        </patternFill>
      </fill>
    </dxf>
    <dxf>
      <font>
        <condense val="0"/>
        <extend val="0"/>
        <color indexed="9"/>
      </font>
      <fill>
        <patternFill>
          <bgColor indexed="48"/>
        </patternFill>
      </fill>
    </dxf>
    <dxf>
      <font>
        <condense val="0"/>
        <extend val="0"/>
        <color indexed="9"/>
      </font>
      <fill>
        <patternFill>
          <bgColor indexed="48"/>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border>
        <left style="thin">
          <color indexed="64"/>
        </left>
        <right style="thin">
          <color indexed="64"/>
        </right>
        <top style="thin">
          <color indexed="64"/>
        </top>
        <bottom style="thin">
          <color indexed="64"/>
        </bottom>
      </border>
    </dxf>
    <dxf>
      <font>
        <condense val="0"/>
        <extend val="0"/>
        <color auto="1"/>
      </font>
      <fill>
        <patternFill>
          <bgColor indexed="22"/>
        </patternFill>
      </fill>
      <border>
        <left style="thin">
          <color indexed="64"/>
        </left>
        <right style="thin">
          <color indexed="64"/>
        </right>
        <top style="thin">
          <color indexed="64"/>
        </top>
        <bottom style="thin">
          <color indexed="64"/>
        </bottom>
      </border>
    </dxf>
    <dxf>
      <font>
        <condense val="0"/>
        <extend val="0"/>
        <color auto="1"/>
      </font>
      <fill>
        <patternFill>
          <bgColor indexed="22"/>
        </patternFill>
      </fill>
      <border>
        <left style="thin">
          <color indexed="64"/>
        </left>
        <right style="thin">
          <color indexed="64"/>
        </right>
        <top style="thin">
          <color indexed="64"/>
        </top>
        <bottom style="thin">
          <color indexed="64"/>
        </bottom>
      </border>
    </dxf>
    <dxf>
      <font>
        <condense val="0"/>
        <extend val="0"/>
        <color auto="1"/>
      </font>
      <fill>
        <patternFill>
          <bgColor indexed="22"/>
        </patternFill>
      </fill>
      <border>
        <left style="thin">
          <color indexed="64"/>
        </left>
        <right style="thin">
          <color indexed="64"/>
        </right>
        <top style="thin">
          <color indexed="64"/>
        </top>
        <bottom style="thin">
          <color indexed="64"/>
        </bottom>
      </border>
    </dxf>
    <dxf>
      <font>
        <condense val="0"/>
        <extend val="0"/>
        <color auto="1"/>
      </font>
      <fill>
        <patternFill>
          <bgColor indexed="22"/>
        </patternFill>
      </fill>
      <border>
        <left style="thin">
          <color indexed="64"/>
        </left>
        <right style="thin">
          <color indexed="64"/>
        </right>
        <top style="thin">
          <color indexed="64"/>
        </top>
        <bottom style="thin">
          <color indexed="64"/>
        </bottom>
      </border>
    </dxf>
    <dxf>
      <font>
        <condense val="0"/>
        <extend val="0"/>
        <color auto="1"/>
      </font>
      <fill>
        <patternFill>
          <bgColor indexed="22"/>
        </patternFill>
      </fill>
      <border>
        <left style="thin">
          <color indexed="64"/>
        </left>
        <right style="thin">
          <color indexed="64"/>
        </right>
        <top style="thin">
          <color indexed="64"/>
        </top>
        <bottom style="thin">
          <color indexed="64"/>
        </bottom>
      </border>
    </dxf>
    <dxf>
      <font>
        <condense val="0"/>
        <extend val="0"/>
        <color auto="1"/>
      </font>
      <fill>
        <patternFill>
          <bgColor indexed="22"/>
        </patternFill>
      </fill>
      <border>
        <left style="thin">
          <color indexed="64"/>
        </left>
        <right style="thin">
          <color indexed="64"/>
        </right>
        <top style="thin">
          <color indexed="64"/>
        </top>
        <bottom style="thin">
          <color indexed="64"/>
        </bottom>
      </border>
    </dxf>
    <dxf>
      <font>
        <condense val="0"/>
        <extend val="0"/>
        <color auto="1"/>
      </font>
      <fill>
        <patternFill>
          <bgColor indexed="22"/>
        </patternFill>
      </fill>
      <border>
        <left style="thin">
          <color indexed="64"/>
        </left>
        <right style="thin">
          <color indexed="64"/>
        </right>
        <top style="thin">
          <color indexed="64"/>
        </top>
        <bottom style="thin">
          <color indexed="64"/>
        </bottom>
      </border>
    </dxf>
    <dxf>
      <font>
        <condense val="0"/>
        <extend val="0"/>
        <color auto="1"/>
      </font>
      <fill>
        <patternFill>
          <bgColor indexed="22"/>
        </patternFill>
      </fill>
      <border>
        <left style="thin">
          <color indexed="64"/>
        </left>
        <right style="thin">
          <color indexed="64"/>
        </right>
        <top style="thin">
          <color indexed="64"/>
        </top>
        <bottom style="thin">
          <color indexed="64"/>
        </bottom>
      </border>
    </dxf>
    <dxf>
      <fill>
        <patternFill>
          <bgColor indexed="44"/>
        </patternFill>
      </fill>
      <border>
        <left style="thin">
          <color indexed="64"/>
        </left>
        <right style="thin">
          <color indexed="64"/>
        </right>
        <top style="thin">
          <color indexed="64"/>
        </top>
        <bottom style="thin">
          <color indexed="64"/>
        </bottom>
      </border>
    </dxf>
    <dxf>
      <font>
        <condense val="0"/>
        <extend val="0"/>
        <color indexed="9"/>
      </font>
      <fill>
        <patternFill patternType="none">
          <bgColor indexed="65"/>
        </patternFill>
      </fill>
      <border>
        <left/>
        <right/>
        <top/>
        <bottom/>
      </border>
    </dxf>
    <dxf>
      <fill>
        <patternFill>
          <bgColor indexed="44"/>
        </patternFill>
      </fill>
      <border>
        <left style="thin">
          <color indexed="64"/>
        </left>
        <right style="thin">
          <color indexed="64"/>
        </right>
        <top style="thin">
          <color indexed="64"/>
        </top>
        <bottom style="thin">
          <color indexed="64"/>
        </bottom>
      </border>
    </dxf>
    <dxf>
      <font>
        <condense val="0"/>
        <extend val="0"/>
        <color indexed="44"/>
      </font>
      <fill>
        <patternFill>
          <bgColor indexed="44"/>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4"/>
        </patternFill>
      </fill>
      <border>
        <left style="thin">
          <color indexed="64"/>
        </left>
        <right style="thin">
          <color indexed="64"/>
        </right>
        <top style="thin">
          <color indexed="64"/>
        </top>
        <bottom style="thin">
          <color indexed="64"/>
        </bottom>
      </border>
    </dxf>
    <dxf>
      <font>
        <condense val="0"/>
        <extend val="0"/>
        <color indexed="9"/>
      </font>
      <fill>
        <patternFill>
          <bgColor indexed="23"/>
        </patternFill>
      </fill>
    </dxf>
    <dxf>
      <font>
        <condense val="0"/>
        <extend val="0"/>
        <color indexed="9"/>
      </font>
      <fill>
        <patternFill>
          <bgColor indexed="19"/>
        </patternFill>
      </fill>
    </dxf>
    <dxf>
      <font>
        <condense val="0"/>
        <extend val="0"/>
        <color indexed="9"/>
      </font>
      <fill>
        <patternFill>
          <bgColor indexed="57"/>
        </patternFill>
      </fill>
    </dxf>
    <dxf>
      <font>
        <condense val="0"/>
        <extend val="0"/>
        <color indexed="9"/>
      </font>
      <fill>
        <patternFill>
          <bgColor indexed="50"/>
        </patternFill>
      </fill>
    </dxf>
    <dxf>
      <font>
        <condense val="0"/>
        <extend val="0"/>
        <color indexed="18"/>
      </font>
      <fill>
        <patternFill>
          <bgColor indexed="41"/>
        </patternFill>
      </fill>
    </dxf>
    <dxf>
      <font>
        <condense val="0"/>
        <extend val="0"/>
        <color indexed="18"/>
      </font>
      <fill>
        <patternFill>
          <bgColor indexed="41"/>
        </patternFill>
      </fill>
    </dxf>
    <dxf>
      <font>
        <condense val="0"/>
        <extend val="0"/>
        <color indexed="18"/>
      </font>
      <fill>
        <patternFill>
          <bgColor indexed="41"/>
        </patternFill>
      </fill>
    </dxf>
    <dxf>
      <font>
        <condense val="0"/>
        <extend val="0"/>
        <color indexed="18"/>
      </font>
      <fill>
        <patternFill>
          <bgColor indexed="41"/>
        </patternFill>
      </fill>
    </dxf>
    <dxf>
      <fill>
        <patternFill>
          <bgColor indexed="41"/>
        </patternFill>
      </fill>
    </dxf>
    <dxf>
      <fill>
        <patternFill>
          <bgColor indexed="41"/>
        </patternFill>
      </fill>
    </dxf>
    <dxf>
      <font>
        <color theme="0"/>
      </font>
      <fill>
        <patternFill patternType="none">
          <bgColor auto="1"/>
        </patternFill>
      </fill>
      <border>
        <left/>
        <right/>
        <top/>
        <bottom/>
        <vertical/>
        <horizontal/>
      </border>
    </dxf>
    <dxf>
      <font>
        <condense val="0"/>
        <extend val="0"/>
        <color indexed="9"/>
      </font>
    </dxf>
    <dxf>
      <fill>
        <patternFill>
          <bgColor indexed="22"/>
        </patternFill>
      </fill>
    </dxf>
    <dxf>
      <fill>
        <patternFill>
          <bgColor indexed="22"/>
        </patternFill>
      </fill>
    </dxf>
    <dxf>
      <fill>
        <patternFill>
          <bgColor indexed="22"/>
        </patternFill>
      </fill>
    </dxf>
    <dxf>
      <font>
        <b/>
        <i val="0"/>
        <condense val="0"/>
        <extend val="0"/>
      </font>
    </dxf>
    <dxf>
      <font>
        <condense val="0"/>
        <extend val="0"/>
        <color indexed="9"/>
      </font>
      <fill>
        <patternFill>
          <bgColor indexed="9"/>
        </patternFill>
      </fill>
      <border>
        <left style="thin">
          <color indexed="9"/>
        </left>
        <right style="thin">
          <color indexed="9"/>
        </right>
        <top style="thin">
          <color indexed="9"/>
        </top>
        <bottom style="thin">
          <color indexed="9"/>
        </bottom>
      </border>
    </dxf>
    <dxf>
      <font>
        <condense val="0"/>
        <extend val="0"/>
        <color indexed="9"/>
      </font>
      <border>
        <left style="thin">
          <color indexed="9"/>
        </left>
        <right style="thin">
          <color indexed="9"/>
        </right>
        <top style="thin">
          <color indexed="9"/>
        </top>
        <bottom style="thin">
          <color indexed="9"/>
        </bottom>
      </border>
    </dxf>
    <dxf>
      <font>
        <condense val="0"/>
        <extend val="0"/>
        <color indexed="9"/>
      </font>
      <fill>
        <patternFill>
          <bgColor indexed="48"/>
        </patternFill>
      </fill>
    </dxf>
    <dxf>
      <font>
        <condense val="0"/>
        <extend val="0"/>
        <color indexed="9"/>
      </font>
      <fill>
        <patternFill>
          <bgColor indexed="48"/>
        </patternFill>
      </fill>
    </dxf>
    <dxf>
      <font>
        <condense val="0"/>
        <extend val="0"/>
        <color indexed="9"/>
      </font>
      <fill>
        <patternFill>
          <bgColor indexed="48"/>
        </patternFill>
      </fill>
    </dxf>
    <dxf>
      <font>
        <b/>
        <i val="0"/>
        <condense val="0"/>
        <extend val="0"/>
        <color indexed="9"/>
      </font>
      <fill>
        <patternFill>
          <bgColor indexed="9"/>
        </patternFill>
      </fill>
      <border>
        <left style="thin">
          <color indexed="9"/>
        </left>
        <right style="thin">
          <color indexed="9"/>
        </right>
        <top style="thin">
          <color indexed="9"/>
        </top>
        <bottom style="thin">
          <color indexed="9"/>
        </bottom>
      </border>
    </dxf>
    <dxf>
      <font>
        <condense val="0"/>
        <extend val="0"/>
        <color indexed="9"/>
      </font>
      <fill>
        <patternFill patternType="none">
          <bgColor indexed="65"/>
        </patternFill>
      </fill>
      <border>
        <left style="thin">
          <color indexed="9"/>
        </left>
        <right style="thin">
          <color indexed="9"/>
        </right>
        <top style="thin">
          <color indexed="9"/>
        </top>
        <bottom style="thin">
          <color indexed="9"/>
        </bottom>
      </border>
    </dxf>
    <dxf>
      <font>
        <condense val="0"/>
        <extend val="0"/>
        <color indexed="9"/>
      </font>
      <fill>
        <patternFill>
          <bgColor indexed="48"/>
        </patternFill>
      </fill>
    </dxf>
    <dxf>
      <font>
        <condense val="0"/>
        <extend val="0"/>
        <color indexed="9"/>
      </font>
      <fill>
        <patternFill>
          <bgColor indexed="48"/>
        </patternFill>
      </fill>
    </dxf>
    <dxf>
      <font>
        <condense val="0"/>
        <extend val="0"/>
        <color indexed="9"/>
      </font>
      <fill>
        <patternFill>
          <bgColor indexed="48"/>
        </patternFill>
      </fill>
    </dxf>
    <dxf>
      <font>
        <condense val="0"/>
        <extend val="0"/>
        <color indexed="9"/>
      </font>
      <fill>
        <patternFill>
          <bgColor indexed="48"/>
        </patternFill>
      </fill>
    </dxf>
    <dxf>
      <font>
        <condense val="0"/>
        <extend val="0"/>
        <color indexed="9"/>
      </font>
      <fill>
        <patternFill>
          <bgColor indexed="48"/>
        </patternFill>
      </fill>
    </dxf>
    <dxf>
      <font>
        <condense val="0"/>
        <extend val="0"/>
        <color indexed="9"/>
      </font>
      <fill>
        <patternFill>
          <bgColor indexed="9"/>
        </patternFill>
      </fill>
      <border>
        <left/>
        <right/>
        <top/>
        <bottom/>
      </border>
    </dxf>
    <dxf>
      <font>
        <condense val="0"/>
        <extend val="0"/>
        <color indexed="9"/>
      </font>
      <fill>
        <patternFill patternType="none">
          <bgColor indexed="65"/>
        </patternFill>
      </fill>
      <border>
        <left style="thin">
          <color indexed="9"/>
        </left>
        <right style="thin">
          <color indexed="9"/>
        </right>
        <top style="thin">
          <color indexed="9"/>
        </top>
        <bottom style="thin">
          <color indexed="9"/>
        </bottom>
      </border>
    </dxf>
    <dxf>
      <font>
        <condense val="0"/>
        <extend val="0"/>
        <color indexed="9"/>
      </font>
      <fill>
        <patternFill>
          <bgColor indexed="9"/>
        </patternFill>
      </fill>
      <border>
        <left style="thin">
          <color indexed="9"/>
        </left>
        <right style="thin">
          <color indexed="9"/>
        </right>
        <top style="thin">
          <color indexed="9"/>
        </top>
        <bottom style="thin">
          <color indexed="9"/>
        </bottom>
      </border>
    </dxf>
    <dxf>
      <font>
        <condense val="0"/>
        <extend val="0"/>
        <color indexed="9"/>
      </font>
      <fill>
        <patternFill>
          <bgColor indexed="9"/>
        </patternFill>
      </fill>
      <border>
        <left/>
        <right/>
        <top/>
        <bottom/>
      </border>
    </dxf>
    <dxf>
      <font>
        <b/>
        <i val="0"/>
        <condense val="0"/>
        <extend val="0"/>
        <color indexed="9"/>
      </font>
      <fill>
        <patternFill>
          <bgColor indexed="9"/>
        </patternFill>
      </fill>
      <border>
        <left style="thin">
          <color indexed="9"/>
        </left>
        <right style="thin">
          <color indexed="9"/>
        </right>
        <top style="thin">
          <color indexed="9"/>
        </top>
        <bottom style="thin">
          <color indexed="9"/>
        </bottom>
      </border>
    </dxf>
    <dxf>
      <font>
        <b/>
        <i val="0"/>
        <condense val="0"/>
        <extend val="0"/>
        <color indexed="9"/>
      </font>
      <fill>
        <patternFill>
          <bgColor indexed="9"/>
        </patternFill>
      </fill>
      <border>
        <left/>
        <right/>
        <top/>
        <bottom/>
      </border>
    </dxf>
    <dxf>
      <font>
        <b/>
        <i val="0"/>
        <condense val="0"/>
        <extend val="0"/>
        <color indexed="9"/>
      </font>
      <fill>
        <patternFill>
          <bgColor indexed="9"/>
        </patternFill>
      </fill>
      <border>
        <left/>
        <right/>
        <top/>
        <bottom/>
      </border>
    </dxf>
    <dxf>
      <font>
        <condense val="0"/>
        <extend val="0"/>
        <color indexed="9"/>
      </font>
      <fill>
        <patternFill>
          <bgColor indexed="17"/>
        </patternFill>
      </fill>
    </dxf>
    <dxf>
      <font>
        <condense val="0"/>
        <extend val="0"/>
        <color indexed="9"/>
      </font>
      <fill>
        <patternFill>
          <bgColor indexed="21"/>
        </patternFill>
      </fill>
    </dxf>
  </dxfs>
  <tableStyles count="0" defaultTableStyle="TableStyleMedium9" defaultPivotStyle="PivotStyleLight16"/>
  <colors>
    <mruColors>
      <color rgb="FF99CCFF"/>
      <color rgb="FFCCE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absolute">
    <xdr:from>
      <xdr:col>42</xdr:col>
      <xdr:colOff>277949</xdr:colOff>
      <xdr:row>2</xdr:row>
      <xdr:rowOff>127488</xdr:rowOff>
    </xdr:from>
    <xdr:to>
      <xdr:col>45</xdr:col>
      <xdr:colOff>336072</xdr:colOff>
      <xdr:row>2</xdr:row>
      <xdr:rowOff>689463</xdr:rowOff>
    </xdr:to>
    <xdr:sp macro="" textlink="">
      <xdr:nvSpPr>
        <xdr:cNvPr id="5151" name="Text Box 31" hidden="1"/>
        <xdr:cNvSpPr txBox="1">
          <a:spLocks noChangeArrowheads="1"/>
        </xdr:cNvSpPr>
      </xdr:nvSpPr>
      <xdr:spPr bwMode="auto">
        <a:xfrm>
          <a:off x="5981700" y="552450"/>
          <a:ext cx="762000" cy="5619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xmlns="" val="1"/>
          </a:ext>
        </a:extLst>
      </xdr:spPr>
    </xdr:sp>
    <xdr:clientData/>
  </xdr:twoCellAnchor>
  <xdr:twoCellAnchor editAs="absolute">
    <xdr:from>
      <xdr:col>45</xdr:col>
      <xdr:colOff>336072</xdr:colOff>
      <xdr:row>2</xdr:row>
      <xdr:rowOff>127488</xdr:rowOff>
    </xdr:from>
    <xdr:to>
      <xdr:col>46</xdr:col>
      <xdr:colOff>599075</xdr:colOff>
      <xdr:row>2</xdr:row>
      <xdr:rowOff>565638</xdr:rowOff>
    </xdr:to>
    <xdr:sp macro="" textlink="">
      <xdr:nvSpPr>
        <xdr:cNvPr id="5153" name="Text Box 33" hidden="1"/>
        <xdr:cNvSpPr txBox="1">
          <a:spLocks noChangeArrowheads="1"/>
        </xdr:cNvSpPr>
      </xdr:nvSpPr>
      <xdr:spPr bwMode="auto">
        <a:xfrm>
          <a:off x="6743700" y="552450"/>
          <a:ext cx="647700" cy="4381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xmlns="" val="1"/>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facebook.com/group.php?gid=29848474982" TargetMode="External"/><Relationship Id="rId13" Type="http://schemas.openxmlformats.org/officeDocument/2006/relationships/printerSettings" Target="../printerSettings/printerSettings1.bin"/><Relationship Id="rId3" Type="http://schemas.openxmlformats.org/officeDocument/2006/relationships/hyperlink" Target="mailto:aylinn@mysticstation.com" TargetMode="External"/><Relationship Id="rId7" Type="http://schemas.openxmlformats.org/officeDocument/2006/relationships/hyperlink" Target="mailto:timmypaddins@googlemail.com" TargetMode="External"/><Relationship Id="rId12" Type="http://schemas.openxmlformats.org/officeDocument/2006/relationships/hyperlink" Target="http://mysticstation.com/downloads.html" TargetMode="External"/><Relationship Id="rId2" Type="http://schemas.openxmlformats.org/officeDocument/2006/relationships/hyperlink" Target="mailto:henk@pnc.com.au" TargetMode="External"/><Relationship Id="rId1" Type="http://schemas.openxmlformats.org/officeDocument/2006/relationships/hyperlink" Target="http://www.ronaldo.com/" TargetMode="External"/><Relationship Id="rId6" Type="http://schemas.openxmlformats.org/officeDocument/2006/relationships/hyperlink" Target="http://www.britgamedesigns.co.uk/" TargetMode="External"/><Relationship Id="rId11" Type="http://schemas.openxmlformats.org/officeDocument/2006/relationships/hyperlink" Target="http://mysticstation.com/downloads.html" TargetMode="External"/><Relationship Id="rId5" Type="http://schemas.openxmlformats.org/officeDocument/2006/relationships/hyperlink" Target="http://chivalrysorcery.myfastforum.org/" TargetMode="External"/><Relationship Id="rId15" Type="http://schemas.openxmlformats.org/officeDocument/2006/relationships/comments" Target="../comments1.xml"/><Relationship Id="rId10" Type="http://schemas.openxmlformats.org/officeDocument/2006/relationships/hyperlink" Target="http://www.alquennas.com/" TargetMode="External"/><Relationship Id="rId4" Type="http://schemas.openxmlformats.org/officeDocument/2006/relationships/hyperlink" Target="http://www.britgamedesigns.co.uk/" TargetMode="External"/><Relationship Id="rId9" Type="http://schemas.openxmlformats.org/officeDocument/2006/relationships/hyperlink" Target="http://www.facebook.com/group.php?gid=34685152121" TargetMode="External"/><Relationship Id="rId1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Sheet12"/>
  <dimension ref="A1:AC52"/>
  <sheetViews>
    <sheetView workbookViewId="0">
      <pane ySplit="1" topLeftCell="A11" activePane="bottomLeft" state="frozen"/>
      <selection pane="bottomLeft" activeCell="A36" sqref="A36"/>
    </sheetView>
  </sheetViews>
  <sheetFormatPr defaultColWidth="0" defaultRowHeight="12.75" zeroHeight="1"/>
  <cols>
    <col min="1" max="1" width="12.42578125" customWidth="1"/>
    <col min="2" max="2" width="8" customWidth="1"/>
    <col min="3" max="4" width="9.7109375" customWidth="1"/>
    <col min="5" max="5" width="7.7109375" customWidth="1"/>
    <col min="6" max="6" width="2.28515625" customWidth="1"/>
    <col min="7" max="7" width="15.7109375" customWidth="1"/>
    <col min="8" max="12" width="8.7109375" customWidth="1"/>
    <col min="13" max="13" width="10" customWidth="1"/>
    <col min="14" max="14" width="10.7109375" customWidth="1"/>
    <col min="15" max="15" width="9.5703125" customWidth="1"/>
    <col min="16" max="20" width="9.7109375" customWidth="1"/>
    <col min="21" max="21" width="9.140625" customWidth="1"/>
    <col min="22" max="26" width="9.140625" hidden="1" customWidth="1"/>
    <col min="27" max="16384" width="9.140625" hidden="1"/>
  </cols>
  <sheetData>
    <row r="1" spans="1:20" ht="25.5" customHeight="1">
      <c r="A1" s="443" t="s">
        <v>513</v>
      </c>
      <c r="B1" s="105"/>
      <c r="C1" s="105"/>
      <c r="D1" s="106"/>
      <c r="E1" s="106"/>
      <c r="F1" s="106"/>
      <c r="G1" s="106"/>
      <c r="H1" s="106"/>
      <c r="I1" s="106"/>
      <c r="J1" s="57"/>
      <c r="K1" s="1180" t="s">
        <v>2219</v>
      </c>
      <c r="L1" s="1181"/>
      <c r="M1" s="1181"/>
      <c r="N1" s="1181"/>
      <c r="O1" s="1181"/>
    </row>
    <row r="2" spans="1:20" s="225" customFormat="1" ht="12.95" customHeight="1">
      <c r="A2" s="27" t="s">
        <v>6188</v>
      </c>
      <c r="B2" s="27" t="s">
        <v>5715</v>
      </c>
      <c r="C2" s="27" t="s">
        <v>4964</v>
      </c>
      <c r="D2" s="1"/>
      <c r="E2" s="1"/>
      <c r="F2" s="1"/>
      <c r="G2" s="226" t="s">
        <v>3116</v>
      </c>
      <c r="H2"/>
      <c r="I2" s="226"/>
      <c r="K2" s="521" t="s">
        <v>2166</v>
      </c>
      <c r="N2" s="1195">
        <v>42634.976023726849</v>
      </c>
      <c r="O2" s="1195"/>
      <c r="P2" s="225" t="s">
        <v>5618</v>
      </c>
    </row>
    <row r="3" spans="1:20" s="225" customFormat="1" ht="12.95" customHeight="1">
      <c r="A3" s="1" t="s">
        <v>6189</v>
      </c>
      <c r="B3" s="1"/>
      <c r="C3" s="1"/>
      <c r="D3" s="1"/>
      <c r="E3" s="1"/>
      <c r="F3" s="1"/>
      <c r="G3" s="225" t="s">
        <v>5597</v>
      </c>
      <c r="H3" s="226"/>
      <c r="K3" s="521" t="s">
        <v>5592</v>
      </c>
      <c r="N3" s="1195" t="s">
        <v>5716</v>
      </c>
      <c r="O3" s="1195"/>
      <c r="P3" s="225" t="s">
        <v>5619</v>
      </c>
    </row>
    <row r="4" spans="1:20" s="225" customFormat="1" ht="12.95" customHeight="1">
      <c r="A4" t="s">
        <v>445</v>
      </c>
      <c r="B4" s="1"/>
      <c r="C4" s="1"/>
      <c r="D4" s="1"/>
      <c r="E4" s="1"/>
      <c r="F4" s="1"/>
      <c r="G4" s="225" t="s">
        <v>5594</v>
      </c>
      <c r="K4" s="521" t="s">
        <v>5593</v>
      </c>
    </row>
    <row r="5" spans="1:20" s="225" customFormat="1" ht="12.95" customHeight="1">
      <c r="A5" t="s">
        <v>4449</v>
      </c>
      <c r="B5" s="1"/>
      <c r="C5" s="85" t="s">
        <v>4450</v>
      </c>
      <c r="G5" s="225" t="s">
        <v>4451</v>
      </c>
      <c r="N5" s="1179">
        <f ca="1">NOW()</f>
        <v>42634.98128576389</v>
      </c>
      <c r="O5" s="1179"/>
    </row>
    <row r="6" spans="1:20" s="225" customFormat="1" ht="12.95" customHeight="1">
      <c r="A6" t="s">
        <v>1649</v>
      </c>
    </row>
    <row r="7" spans="1:20" s="225" customFormat="1" ht="12.95" customHeight="1">
      <c r="A7" t="s">
        <v>1647</v>
      </c>
      <c r="C7" s="39" t="s">
        <v>1648</v>
      </c>
      <c r="G7" s="225" t="s">
        <v>4451</v>
      </c>
    </row>
    <row r="8" spans="1:20" s="225" customFormat="1" ht="3" customHeight="1" thickBot="1">
      <c r="A8" s="385"/>
      <c r="B8" s="385"/>
      <c r="C8" s="520"/>
      <c r="D8" s="385"/>
      <c r="E8" s="385"/>
      <c r="F8" s="385"/>
      <c r="G8" s="385"/>
      <c r="H8" s="385"/>
      <c r="I8" s="385"/>
      <c r="J8" s="385"/>
      <c r="K8" s="385"/>
      <c r="L8" s="385"/>
      <c r="M8" s="384"/>
      <c r="N8" s="384"/>
      <c r="O8" s="384"/>
      <c r="P8" s="384"/>
      <c r="Q8" s="384"/>
      <c r="R8" s="384"/>
      <c r="S8" s="384"/>
      <c r="T8" s="384"/>
    </row>
    <row r="9" spans="1:20" s="225" customFormat="1" ht="13.5" thickTop="1" thickBot="1">
      <c r="A9" s="571" t="s">
        <v>2935</v>
      </c>
      <c r="B9" s="1"/>
      <c r="C9" s="1"/>
      <c r="D9" s="1"/>
      <c r="E9" s="1"/>
      <c r="F9" s="1"/>
      <c r="G9" s="1"/>
      <c r="H9" s="1"/>
      <c r="I9" s="1"/>
      <c r="J9" s="1"/>
      <c r="K9" s="1"/>
      <c r="L9" s="1"/>
      <c r="M9" s="1"/>
    </row>
    <row r="10" spans="1:20" s="225" customFormat="1" ht="9.9499999999999993" customHeight="1">
      <c r="A10" s="2" t="s">
        <v>1442</v>
      </c>
      <c r="B10" s="1"/>
      <c r="C10" s="1"/>
      <c r="D10" s="521" t="s">
        <v>28</v>
      </c>
      <c r="E10" s="521"/>
      <c r="F10" s="53"/>
      <c r="G10" s="1"/>
      <c r="H10" s="1"/>
      <c r="I10" s="596"/>
      <c r="J10" s="595"/>
      <c r="K10" s="597" t="s">
        <v>1443</v>
      </c>
      <c r="L10" s="521" t="s">
        <v>4448</v>
      </c>
      <c r="M10" s="53"/>
      <c r="N10" s="66"/>
      <c r="O10" s="1183" t="s">
        <v>1002</v>
      </c>
      <c r="P10" s="1184"/>
      <c r="Q10" s="1184"/>
      <c r="R10" s="1184"/>
      <c r="S10" s="1184"/>
      <c r="T10" s="1185"/>
    </row>
    <row r="11" spans="1:20" s="225" customFormat="1" ht="9.9499999999999993" customHeight="1">
      <c r="A11" s="956" t="s">
        <v>5617</v>
      </c>
      <c r="B11" s="956"/>
      <c r="C11" s="956"/>
      <c r="D11" s="956"/>
      <c r="E11" s="956"/>
      <c r="F11" s="956"/>
      <c r="G11" s="956"/>
      <c r="H11" s="956"/>
      <c r="I11" s="957"/>
      <c r="J11" s="958"/>
      <c r="K11" s="959" t="s">
        <v>1444</v>
      </c>
      <c r="L11" s="960" t="s">
        <v>5614</v>
      </c>
      <c r="M11" s="956"/>
      <c r="N11" s="31"/>
      <c r="O11" s="1186" t="s">
        <v>2934</v>
      </c>
      <c r="P11" s="1187"/>
      <c r="Q11" s="1187"/>
      <c r="R11" s="1187"/>
      <c r="S11" s="1187"/>
      <c r="T11" s="1188"/>
    </row>
    <row r="12" spans="1:20" s="1" customFormat="1" ht="9.9499999999999993" customHeight="1">
      <c r="A12" s="1196" t="s">
        <v>5917</v>
      </c>
      <c r="B12" s="1196"/>
      <c r="C12" s="1196"/>
      <c r="D12" s="1196"/>
      <c r="E12" s="1196"/>
      <c r="F12" s="1196"/>
      <c r="G12" s="1196"/>
      <c r="H12" s="1196"/>
      <c r="I12" s="1196"/>
      <c r="J12" s="1196"/>
      <c r="K12" s="1196"/>
      <c r="L12" s="1196"/>
      <c r="M12" s="1197"/>
      <c r="O12" s="1189" t="s">
        <v>5612</v>
      </c>
      <c r="P12" s="1187"/>
      <c r="Q12" s="1187"/>
      <c r="R12" s="1187"/>
      <c r="S12" s="1187"/>
      <c r="T12" s="1188"/>
    </row>
    <row r="13" spans="1:20" s="1" customFormat="1" ht="9.9499999999999993" customHeight="1">
      <c r="A13" s="956" t="s">
        <v>5755</v>
      </c>
      <c r="B13" s="956"/>
      <c r="C13" s="956"/>
      <c r="D13" s="956"/>
      <c r="E13" s="956"/>
      <c r="F13" s="956"/>
      <c r="G13" s="956"/>
      <c r="H13" s="956"/>
      <c r="I13" s="956"/>
      <c r="J13" s="956"/>
      <c r="K13" s="956"/>
      <c r="L13" s="956"/>
      <c r="M13" s="956"/>
      <c r="O13" s="1190" t="s">
        <v>5756</v>
      </c>
      <c r="P13" s="1191"/>
      <c r="Q13" s="1191"/>
      <c r="R13" s="1191"/>
      <c r="S13" s="1191"/>
      <c r="T13" s="1192"/>
    </row>
    <row r="14" spans="1:20" s="1" customFormat="1" ht="9.9499999999999993" customHeight="1" thickBot="1">
      <c r="A14" s="1196" t="s">
        <v>5786</v>
      </c>
      <c r="B14" s="1196"/>
      <c r="C14" s="1196"/>
      <c r="D14" s="1196"/>
      <c r="E14" s="1196"/>
      <c r="F14" s="1196"/>
      <c r="G14" s="1196"/>
      <c r="H14" s="1196"/>
      <c r="I14" s="1196"/>
      <c r="J14" s="1196"/>
      <c r="K14" s="1196"/>
      <c r="L14" s="1196"/>
      <c r="M14" s="1197"/>
      <c r="N14" s="1175"/>
      <c r="O14" s="1176" t="s">
        <v>2171</v>
      </c>
      <c r="P14" s="1177"/>
      <c r="Q14" s="1177"/>
      <c r="R14" s="1177"/>
      <c r="S14" s="1177"/>
      <c r="T14" s="1178"/>
    </row>
    <row r="15" spans="1:20" s="1" customFormat="1" ht="9.9499999999999993" customHeight="1" thickBot="1">
      <c r="A15" s="1198" t="s">
        <v>5611</v>
      </c>
      <c r="B15" s="1198"/>
      <c r="C15" s="1198"/>
      <c r="D15" s="1198"/>
      <c r="E15" s="1198"/>
      <c r="F15" s="1198"/>
      <c r="G15" s="1198"/>
      <c r="H15" s="1198"/>
      <c r="I15" s="1198"/>
      <c r="J15" s="1198"/>
      <c r="K15" s="1198"/>
      <c r="L15" s="1198"/>
      <c r="M15" s="1199"/>
      <c r="N15" s="1200"/>
    </row>
    <row r="16" spans="1:20" s="1" customFormat="1" ht="3" customHeight="1" thickTop="1">
      <c r="A16" s="367"/>
      <c r="B16" s="367"/>
      <c r="C16" s="367"/>
      <c r="D16" s="367"/>
      <c r="E16" s="367"/>
      <c r="F16" s="367"/>
      <c r="G16" s="387"/>
      <c r="H16" s="367"/>
      <c r="I16" s="367"/>
      <c r="J16" s="367"/>
      <c r="K16" s="367"/>
      <c r="L16" s="367"/>
      <c r="M16" s="367"/>
      <c r="N16" s="367"/>
      <c r="O16" s="367"/>
      <c r="P16" s="367"/>
      <c r="Q16" s="367"/>
      <c r="R16" s="367"/>
      <c r="S16" s="367"/>
      <c r="T16" s="367"/>
    </row>
    <row r="17" spans="1:29" s="225" customFormat="1" ht="11.1" customHeight="1">
      <c r="A17" s="1" t="s">
        <v>4206</v>
      </c>
      <c r="F17" s="224"/>
      <c r="G17" s="1194" t="s">
        <v>3668</v>
      </c>
      <c r="H17" s="1175"/>
      <c r="I17" s="1175"/>
      <c r="J17" s="1175"/>
      <c r="K17" s="1175"/>
      <c r="L17" s="1175"/>
      <c r="M17" s="1175"/>
      <c r="N17" s="1175"/>
      <c r="O17" s="1175"/>
      <c r="P17" s="1175"/>
      <c r="Q17" s="1175"/>
    </row>
    <row r="18" spans="1:29" s="225" customFormat="1" ht="11.1" customHeight="1">
      <c r="A18" s="2" t="s">
        <v>1649</v>
      </c>
      <c r="B18" s="30"/>
      <c r="C18" s="30"/>
      <c r="D18" s="30"/>
      <c r="E18" s="30"/>
      <c r="F18" s="230" t="s">
        <v>3546</v>
      </c>
      <c r="G18" s="31" t="s">
        <v>2272</v>
      </c>
    </row>
    <row r="19" spans="1:29" s="225" customFormat="1" ht="11.1" customHeight="1">
      <c r="A19" s="2"/>
      <c r="B19" s="2" t="s">
        <v>287</v>
      </c>
      <c r="C19" s="30"/>
      <c r="D19" s="30"/>
      <c r="E19" s="30"/>
      <c r="F19" s="230" t="s">
        <v>3546</v>
      </c>
      <c r="G19" s="292" t="s">
        <v>2470</v>
      </c>
      <c r="H19" s="293"/>
      <c r="I19" s="293"/>
      <c r="J19" s="293"/>
      <c r="K19" s="293"/>
      <c r="L19" s="293"/>
      <c r="M19" s="293"/>
      <c r="N19" s="293"/>
      <c r="O19" s="293"/>
    </row>
    <row r="20" spans="1:29" s="225" customFormat="1" ht="11.1" customHeight="1">
      <c r="A20" s="2"/>
      <c r="B20" s="2" t="s">
        <v>288</v>
      </c>
      <c r="C20" s="30"/>
      <c r="D20" s="30"/>
      <c r="E20" s="30"/>
      <c r="F20" s="1"/>
      <c r="G20" s="124" t="s">
        <v>3998</v>
      </c>
    </row>
    <row r="21" spans="1:29" s="225" customFormat="1" ht="11.1" customHeight="1">
      <c r="A21" s="2"/>
      <c r="B21" s="2" t="s">
        <v>289</v>
      </c>
      <c r="C21" s="30"/>
      <c r="D21" s="30"/>
      <c r="E21" s="30"/>
      <c r="F21" s="1"/>
      <c r="G21" s="1193" t="s">
        <v>5434</v>
      </c>
      <c r="H21" s="1175"/>
      <c r="I21" s="1175"/>
      <c r="J21" s="1175"/>
      <c r="K21" s="1175"/>
      <c r="L21" s="1175"/>
      <c r="M21" s="1175"/>
      <c r="N21" s="1175"/>
      <c r="O21" s="1175"/>
      <c r="P21" s="1175"/>
      <c r="Q21" s="1175"/>
    </row>
    <row r="22" spans="1:29" s="225" customFormat="1" ht="11.1" customHeight="1">
      <c r="A22" s="2" t="s">
        <v>2164</v>
      </c>
      <c r="B22" s="30"/>
      <c r="C22" s="2" t="s">
        <v>2163</v>
      </c>
      <c r="D22" s="30"/>
      <c r="E22" s="30"/>
      <c r="F22" s="1"/>
      <c r="G22" s="1" t="s">
        <v>5615</v>
      </c>
      <c r="U22" s="1"/>
      <c r="V22" s="1"/>
      <c r="W22" s="1"/>
      <c r="X22" s="1"/>
      <c r="Y22" s="1"/>
      <c r="Z22" s="5"/>
      <c r="AA22" s="1"/>
      <c r="AB22" s="1"/>
      <c r="AC22" s="1"/>
    </row>
    <row r="23" spans="1:29" s="225" customFormat="1" ht="11.1" customHeight="1">
      <c r="A23" s="2" t="s">
        <v>2165</v>
      </c>
      <c r="B23" s="30"/>
      <c r="C23" s="2" t="s">
        <v>2162</v>
      </c>
      <c r="D23" s="30"/>
      <c r="E23" s="30"/>
      <c r="F23" s="1"/>
      <c r="G23" s="1182" t="s">
        <v>1970</v>
      </c>
      <c r="H23" s="1175"/>
      <c r="I23" s="1175"/>
      <c r="J23" s="1175"/>
      <c r="K23" s="1175"/>
      <c r="L23" s="1175"/>
    </row>
    <row r="24" spans="1:29" s="225" customFormat="1" ht="11.1" customHeight="1">
      <c r="A24" s="83" t="s">
        <v>5923</v>
      </c>
      <c r="B24" s="83"/>
      <c r="C24" s="990" t="s">
        <v>5924</v>
      </c>
      <c r="E24" s="228"/>
      <c r="F24" s="1"/>
      <c r="G24" s="1" t="s">
        <v>4285</v>
      </c>
    </row>
    <row r="25" spans="1:29" s="225" customFormat="1" ht="11.1" customHeight="1">
      <c r="A25" s="83" t="s">
        <v>5616</v>
      </c>
      <c r="B25" s="228"/>
      <c r="C25" s="228"/>
      <c r="D25" s="228"/>
      <c r="E25" s="228"/>
      <c r="F25" s="256"/>
      <c r="G25" s="1" t="s">
        <v>2017</v>
      </c>
    </row>
    <row r="26" spans="1:29" s="225" customFormat="1" ht="11.1" customHeight="1">
      <c r="A26" s="83" t="s">
        <v>5390</v>
      </c>
      <c r="B26" s="228"/>
      <c r="C26" s="228"/>
      <c r="D26" s="228"/>
      <c r="E26" s="228"/>
      <c r="F26" s="256"/>
      <c r="G26" s="1" t="s">
        <v>1277</v>
      </c>
    </row>
    <row r="27" spans="1:29" s="225" customFormat="1" ht="11.1" customHeight="1">
      <c r="A27" s="1174" t="s">
        <v>5717</v>
      </c>
      <c r="B27" s="1175"/>
      <c r="C27" s="1175"/>
      <c r="D27" s="228"/>
      <c r="E27" s="228"/>
      <c r="F27"/>
      <c r="G27" s="1" t="s">
        <v>6028</v>
      </c>
    </row>
    <row r="28" spans="1:29" s="225" customFormat="1" ht="11.1" customHeight="1">
      <c r="A28" s="83" t="s">
        <v>234</v>
      </c>
      <c r="B28" s="228"/>
      <c r="C28" s="228"/>
      <c r="D28" s="228"/>
      <c r="E28" s="228"/>
      <c r="F28" s="1"/>
      <c r="G28" s="1" t="s">
        <v>2471</v>
      </c>
    </row>
    <row r="29" spans="1:29" s="225" customFormat="1" ht="11.1" customHeight="1">
      <c r="A29" s="83" t="s">
        <v>1934</v>
      </c>
      <c r="B29" s="228"/>
      <c r="C29" s="228"/>
      <c r="D29" s="228"/>
      <c r="E29" s="228"/>
      <c r="F29" s="1"/>
      <c r="G29" s="1" t="s">
        <v>424</v>
      </c>
    </row>
    <row r="30" spans="1:29" s="225" customFormat="1" ht="11.1" customHeight="1">
      <c r="A30" s="83" t="s">
        <v>754</v>
      </c>
      <c r="B30" s="228"/>
      <c r="C30" s="228"/>
      <c r="D30" s="228"/>
      <c r="F30" s="256"/>
      <c r="G30" s="1" t="s">
        <v>744</v>
      </c>
    </row>
    <row r="31" spans="1:29" s="225" customFormat="1" ht="11.1" customHeight="1">
      <c r="A31" s="83" t="s">
        <v>1892</v>
      </c>
      <c r="F31" s="1"/>
      <c r="G31" s="1" t="s">
        <v>5316</v>
      </c>
    </row>
    <row r="32" spans="1:29" s="225" customFormat="1" ht="11.1" customHeight="1">
      <c r="A32" s="83" t="s">
        <v>3290</v>
      </c>
      <c r="F32" s="1"/>
      <c r="G32" s="998" t="s">
        <v>5933</v>
      </c>
      <c r="H32" s="999"/>
      <c r="I32" s="999"/>
      <c r="J32" s="999"/>
      <c r="K32" s="999"/>
      <c r="L32" s="999"/>
      <c r="M32" s="999"/>
      <c r="N32" s="999"/>
      <c r="O32" s="999"/>
    </row>
    <row r="33" spans="1:20" s="225" customFormat="1" ht="11.1" customHeight="1">
      <c r="A33" s="83" t="s">
        <v>2629</v>
      </c>
      <c r="F33" s="1"/>
      <c r="G33" s="257"/>
    </row>
    <row r="34" spans="1:20" s="1" customFormat="1" ht="3" customHeight="1" thickBot="1">
      <c r="A34" s="385"/>
      <c r="B34" s="385"/>
      <c r="C34" s="385"/>
      <c r="D34" s="385"/>
      <c r="E34" s="385"/>
      <c r="F34" s="384"/>
      <c r="G34" s="386"/>
      <c r="H34" s="384"/>
      <c r="I34" s="384"/>
      <c r="J34" s="384"/>
      <c r="K34" s="384"/>
      <c r="L34" s="384"/>
      <c r="M34" s="384"/>
      <c r="N34" s="384"/>
      <c r="O34" s="384"/>
      <c r="P34" s="384"/>
      <c r="Q34" s="384"/>
      <c r="R34" s="384"/>
      <c r="S34" s="384"/>
      <c r="T34" s="384"/>
    </row>
    <row r="35" spans="1:20" s="1" customFormat="1" ht="11.1" customHeight="1" thickTop="1">
      <c r="A35" s="30" t="s">
        <v>5927</v>
      </c>
      <c r="F35" s="225"/>
      <c r="G35" s="229"/>
      <c r="H35" s="225"/>
      <c r="I35" s="225"/>
      <c r="J35" s="225"/>
      <c r="K35" s="225"/>
      <c r="L35" s="225"/>
      <c r="M35" s="225"/>
      <c r="N35" s="225"/>
      <c r="O35" s="225"/>
      <c r="P35" s="31" t="s">
        <v>5925</v>
      </c>
    </row>
    <row r="36" spans="1:20" s="225" customFormat="1" ht="12">
      <c r="A36" s="991" t="s">
        <v>5926</v>
      </c>
      <c r="B36" s="992"/>
      <c r="C36" s="992"/>
      <c r="D36" s="992"/>
      <c r="E36" s="992"/>
      <c r="F36" s="992"/>
      <c r="G36" s="992"/>
      <c r="H36" s="992"/>
      <c r="I36" s="992"/>
      <c r="J36" s="992"/>
      <c r="K36" s="992"/>
      <c r="L36" s="993"/>
      <c r="M36" s="993"/>
      <c r="N36" s="993"/>
      <c r="O36" s="993"/>
      <c r="Q36" s="521" t="s">
        <v>5595</v>
      </c>
    </row>
    <row r="37" spans="1:20" s="225" customFormat="1" ht="12">
      <c r="A37" s="225" t="s">
        <v>5150</v>
      </c>
      <c r="B37" s="227"/>
      <c r="C37" s="227"/>
      <c r="D37" s="227"/>
      <c r="E37" s="227"/>
      <c r="F37" s="227"/>
      <c r="G37" s="227"/>
      <c r="H37" s="227"/>
      <c r="I37" s="227"/>
      <c r="J37" s="227"/>
      <c r="K37" s="227"/>
      <c r="L37" s="227"/>
      <c r="Q37" s="521" t="s">
        <v>5596</v>
      </c>
    </row>
    <row r="38" spans="1:20" s="225" customFormat="1" ht="12">
      <c r="A38" s="225" t="s">
        <v>727</v>
      </c>
      <c r="B38" s="227"/>
      <c r="C38" s="227"/>
      <c r="D38" s="227"/>
      <c r="E38" s="227"/>
      <c r="F38" s="227"/>
      <c r="G38" s="227"/>
      <c r="H38" s="227"/>
      <c r="I38" s="227"/>
      <c r="J38" s="227"/>
      <c r="K38" s="227"/>
      <c r="Q38" s="990" t="s">
        <v>5924</v>
      </c>
      <c r="S38" s="228"/>
    </row>
    <row r="39" spans="1:20" s="225" customFormat="1" ht="12">
      <c r="A39" s="225" t="s">
        <v>2628</v>
      </c>
      <c r="B39" s="227"/>
      <c r="C39" s="227"/>
      <c r="D39" s="227"/>
      <c r="E39" s="227"/>
      <c r="F39" s="227"/>
      <c r="G39" s="227"/>
      <c r="H39" s="227"/>
      <c r="I39" s="227"/>
      <c r="J39" s="227"/>
    </row>
    <row r="40" spans="1:20" s="225" customFormat="1" ht="12">
      <c r="A40" s="225" t="s">
        <v>2218</v>
      </c>
      <c r="B40" s="227"/>
      <c r="C40" s="227"/>
      <c r="D40" s="227"/>
      <c r="E40" s="227"/>
      <c r="F40" s="227"/>
      <c r="G40" s="227"/>
      <c r="H40" s="227"/>
      <c r="I40" s="227"/>
      <c r="J40" s="227"/>
      <c r="K40" s="227"/>
    </row>
    <row r="41" spans="1:20" s="225" customFormat="1" ht="12">
      <c r="A41" s="225" t="s">
        <v>5918</v>
      </c>
      <c r="B41" s="227"/>
      <c r="C41" s="227"/>
      <c r="D41" s="227"/>
      <c r="E41" s="227"/>
      <c r="F41" s="227"/>
      <c r="G41" s="227"/>
      <c r="H41" s="227"/>
      <c r="I41" s="227"/>
      <c r="J41" s="227"/>
      <c r="K41" s="227"/>
    </row>
    <row r="42" spans="1:20" s="225" customFormat="1" ht="12">
      <c r="A42" s="225" t="s">
        <v>2396</v>
      </c>
      <c r="B42" s="227"/>
      <c r="C42" s="227"/>
      <c r="D42" s="227"/>
      <c r="E42" s="227"/>
      <c r="F42" s="227"/>
      <c r="G42" s="227"/>
      <c r="H42" s="227"/>
      <c r="I42" s="227"/>
      <c r="J42" s="227"/>
      <c r="K42" s="227"/>
    </row>
    <row r="43" spans="1:20" s="225" customFormat="1" ht="12">
      <c r="A43" s="30" t="s">
        <v>2217</v>
      </c>
    </row>
    <row r="44" spans="1:20" s="225" customFormat="1" ht="12">
      <c r="A44" s="30" t="s">
        <v>5919</v>
      </c>
    </row>
    <row r="45" spans="1:20" s="225" customFormat="1" ht="12">
      <c r="A45" s="225" t="s">
        <v>5565</v>
      </c>
    </row>
    <row r="46" spans="1:20" s="225" customFormat="1" ht="12">
      <c r="A46" s="225" t="s">
        <v>5920</v>
      </c>
    </row>
    <row r="47" spans="1:20" s="225" customFormat="1" ht="12">
      <c r="A47" s="225" t="s">
        <v>5921</v>
      </c>
    </row>
    <row r="48" spans="1:20">
      <c r="A48" s="225" t="s">
        <v>5922</v>
      </c>
    </row>
    <row r="49" spans="1:1">
      <c r="A49" s="225" t="s">
        <v>6140</v>
      </c>
    </row>
    <row r="50" spans="1:1"/>
    <row r="51" spans="1:1" hidden="1"/>
    <row r="52" spans="1:1" hidden="1"/>
  </sheetData>
  <mergeCells count="16">
    <mergeCell ref="A27:C27"/>
    <mergeCell ref="O14:T14"/>
    <mergeCell ref="N5:O5"/>
    <mergeCell ref="K1:O1"/>
    <mergeCell ref="G23:L23"/>
    <mergeCell ref="O10:T10"/>
    <mergeCell ref="O11:T11"/>
    <mergeCell ref="O12:T12"/>
    <mergeCell ref="O13:T13"/>
    <mergeCell ref="G21:Q21"/>
    <mergeCell ref="G17:Q17"/>
    <mergeCell ref="N3:O3"/>
    <mergeCell ref="A12:M12"/>
    <mergeCell ref="N2:O2"/>
    <mergeCell ref="A14:N14"/>
    <mergeCell ref="A15:N15"/>
  </mergeCells>
  <phoneticPr fontId="17" type="noConversion"/>
  <hyperlinks>
    <hyperlink ref="D10" r:id="rId1" display="http://www.ronaldo.com/"/>
    <hyperlink ref="L10" r:id="rId2" display="mailto:henk@pnc.com.au"/>
    <hyperlink ref="K2" r:id="rId3"/>
    <hyperlink ref="C5" r:id="rId4"/>
    <hyperlink ref="K3" r:id="rId5"/>
    <hyperlink ref="C7" r:id="rId6"/>
    <hyperlink ref="L11" r:id="rId7"/>
    <hyperlink ref="K4" r:id="rId8"/>
    <hyperlink ref="Q36" r:id="rId9"/>
    <hyperlink ref="Q37" r:id="rId10"/>
    <hyperlink ref="C24" r:id="rId11"/>
    <hyperlink ref="Q38" r:id="rId12"/>
  </hyperlinks>
  <pageMargins left="0.75" right="0.75" top="1" bottom="1" header="0.5" footer="0.5"/>
  <pageSetup orientation="landscape" horizontalDpi="4294967295" verticalDpi="96" r:id="rId13"/>
  <headerFooter alignWithMargins="0"/>
  <legacyDrawing r:id="rId14"/>
</worksheet>
</file>

<file path=xl/worksheets/sheet2.xml><?xml version="1.0" encoding="utf-8"?>
<worksheet xmlns="http://schemas.openxmlformats.org/spreadsheetml/2006/main" xmlns:r="http://schemas.openxmlformats.org/officeDocument/2006/relationships">
  <sheetPr codeName="Sheet1">
    <tabColor theme="4" tint="0.59999389629810485"/>
  </sheetPr>
  <dimension ref="A1:OZZ269"/>
  <sheetViews>
    <sheetView workbookViewId="0">
      <pane ySplit="2" topLeftCell="A3" activePane="bottomLeft" state="frozen"/>
      <selection activeCell="A2" sqref="A2"/>
      <selection pane="bottomLeft" activeCell="C2" sqref="C2:M2"/>
    </sheetView>
  </sheetViews>
  <sheetFormatPr defaultRowHeight="15.75"/>
  <cols>
    <col min="1" max="1" width="4.7109375" style="663" customWidth="1"/>
    <col min="2" max="2" width="22.140625" style="602" bestFit="1" customWidth="1"/>
    <col min="3" max="6" width="5.7109375" style="602" customWidth="1"/>
    <col min="7" max="7" width="5.5703125" style="602" customWidth="1"/>
    <col min="8" max="8" width="5.7109375" style="602" customWidth="1"/>
    <col min="9" max="9" width="8.42578125" style="602" customWidth="1"/>
    <col min="10" max="10" width="7.5703125" style="602" customWidth="1"/>
    <col min="11" max="12" width="5.7109375" style="602" customWidth="1"/>
    <col min="13" max="13" width="7" style="602" customWidth="1"/>
    <col min="14" max="14" width="8.7109375" style="602" customWidth="1"/>
    <col min="15" max="15" width="5.7109375" style="602" customWidth="1"/>
    <col min="16" max="22" width="5.7109375" style="608" customWidth="1"/>
    <col min="23" max="23" width="5.7109375" style="663" customWidth="1"/>
    <col min="24" max="24" width="6.7109375" style="608" customWidth="1"/>
    <col min="25" max="26" width="4.7109375" style="602" customWidth="1"/>
    <col min="27" max="27" width="5.7109375" style="602" customWidth="1"/>
    <col min="28" max="28" width="8.7109375" style="602" customWidth="1"/>
    <col min="29" max="30" width="4.7109375" style="602" customWidth="1"/>
    <col min="31" max="31" width="4.28515625" style="602" customWidth="1"/>
    <col min="32" max="32" width="4.7109375" style="602" customWidth="1"/>
    <col min="33" max="34" width="3.7109375" style="602" customWidth="1"/>
    <col min="35" max="36" width="4.7109375" style="602" customWidth="1"/>
    <col min="37" max="41" width="3.7109375" style="602" customWidth="1"/>
    <col min="42" max="42" width="8.7109375" style="602" bestFit="1" customWidth="1"/>
    <col min="43" max="45" width="3.7109375" style="602" customWidth="1"/>
    <col min="46" max="46" width="5.28515625" style="602" bestFit="1" customWidth="1"/>
    <col min="47" max="47" width="3.7109375" style="602" customWidth="1"/>
    <col min="48" max="48" width="3.85546875" style="602" customWidth="1"/>
    <col min="49" max="49" width="1.5703125" style="598" customWidth="1"/>
    <col min="50" max="50" width="5.7109375" style="661" customWidth="1"/>
    <col min="51" max="51" width="5.7109375" style="598" customWidth="1"/>
    <col min="52" max="52" width="5.7109375" style="662" customWidth="1"/>
    <col min="53" max="62" width="5.7109375" style="598" customWidth="1"/>
    <col min="63" max="63" width="9.28515625" style="598" bestFit="1" customWidth="1"/>
    <col min="64" max="64" width="7.5703125" style="598" bestFit="1" customWidth="1"/>
    <col min="65" max="65" width="2.7109375" style="598" bestFit="1" customWidth="1"/>
    <col min="66" max="66" width="3.85546875" style="598" bestFit="1" customWidth="1"/>
    <col min="67" max="67" width="4.42578125" style="598" bestFit="1" customWidth="1"/>
    <col min="68" max="68" width="3.7109375" style="598" bestFit="1" customWidth="1"/>
    <col min="69" max="69" width="5.42578125" style="598" bestFit="1" customWidth="1"/>
    <col min="70" max="70" width="8.7109375" style="598" customWidth="1"/>
    <col min="71" max="71" width="8.7109375" style="602" customWidth="1"/>
    <col min="72" max="105" width="9.140625" style="602" customWidth="1"/>
    <col min="106" max="10842" width="9.140625" style="602" hidden="1" customWidth="1"/>
    <col min="10843" max="16384" width="0" style="602" hidden="1" customWidth="1"/>
  </cols>
  <sheetData>
    <row r="1" spans="1:69" ht="20.25" customHeight="1" thickBot="1">
      <c r="A1" s="1222" t="s">
        <v>5620</v>
      </c>
      <c r="B1" s="1223"/>
      <c r="C1" s="1223"/>
      <c r="D1" s="1223"/>
      <c r="E1" s="1223"/>
      <c r="F1" s="1223"/>
      <c r="G1" s="1223"/>
      <c r="H1" s="1223"/>
      <c r="I1" s="1223"/>
      <c r="J1" s="1223"/>
      <c r="K1" s="1223"/>
      <c r="L1" s="1223"/>
      <c r="M1" s="1223"/>
      <c r="N1" s="1223"/>
      <c r="O1" s="1223"/>
      <c r="P1" s="1223"/>
      <c r="Q1" s="1223"/>
      <c r="R1" s="1223"/>
      <c r="S1" s="1223"/>
      <c r="T1" s="1223"/>
      <c r="U1" s="1223"/>
      <c r="V1" s="1223"/>
      <c r="W1" s="1223"/>
      <c r="X1" s="1223"/>
      <c r="Y1" s="1223"/>
      <c r="Z1" s="1223"/>
      <c r="AA1" s="1223"/>
      <c r="AB1" s="1223"/>
      <c r="AC1" s="1223"/>
      <c r="AD1" s="1223"/>
      <c r="AE1" s="1223"/>
      <c r="AF1" s="1223"/>
      <c r="AG1" s="1223"/>
      <c r="AH1" s="1223"/>
      <c r="AI1" s="1223"/>
      <c r="AJ1" s="660" t="s">
        <v>5609</v>
      </c>
      <c r="AO1" s="660" t="s">
        <v>3930</v>
      </c>
    </row>
    <row r="2" spans="1:69" ht="23.25" customHeight="1" thickTop="1">
      <c r="B2" s="664" t="s">
        <v>4173</v>
      </c>
      <c r="C2" s="1235"/>
      <c r="D2" s="1236"/>
      <c r="E2" s="1237"/>
      <c r="F2" s="1237"/>
      <c r="G2" s="1237"/>
      <c r="H2" s="1237"/>
      <c r="I2" s="1237"/>
      <c r="J2" s="1237"/>
      <c r="K2" s="1237"/>
      <c r="L2" s="1237"/>
      <c r="M2" s="1229"/>
      <c r="N2" s="665" t="s">
        <v>4174</v>
      </c>
      <c r="O2" s="1224"/>
      <c r="P2" s="1225"/>
      <c r="Q2" s="1225"/>
      <c r="R2" s="1225"/>
      <c r="S2" s="1225"/>
      <c r="T2" s="1207"/>
      <c r="U2" s="1221"/>
      <c r="V2" s="1221"/>
      <c r="W2" s="604">
        <v>25</v>
      </c>
      <c r="X2" s="1242" t="s">
        <v>3511</v>
      </c>
      <c r="Y2" s="1221"/>
      <c r="Z2" s="1221"/>
      <c r="AA2" s="1243"/>
      <c r="AB2" s="666">
        <f>INDEX($AX$5:$AX$269,$AH$2)</f>
        <v>33</v>
      </c>
      <c r="AC2" s="1220" t="str">
        <f>VLOOKUP(AB2,$AX$5:$BQ$265,3)</f>
        <v>Clergy: Knight Chaplain</v>
      </c>
      <c r="AD2" s="1221"/>
      <c r="AE2" s="1221"/>
      <c r="AF2" s="1221"/>
      <c r="AG2" s="1221"/>
      <c r="AH2" s="602">
        <v>33</v>
      </c>
      <c r="AJ2" s="667">
        <v>22</v>
      </c>
      <c r="AK2" s="668">
        <v>5</v>
      </c>
      <c r="AL2" s="603"/>
      <c r="AM2" s="603"/>
      <c r="AO2" s="602">
        <v>1</v>
      </c>
      <c r="AR2" s="598"/>
      <c r="AS2" s="598"/>
      <c r="AT2" s="598"/>
      <c r="AU2" s="598"/>
    </row>
    <row r="3" spans="1:69" ht="18" customHeight="1">
      <c r="A3" s="667">
        <v>1</v>
      </c>
      <c r="B3" s="669" t="s">
        <v>4172</v>
      </c>
      <c r="C3" s="670">
        <v>1</v>
      </c>
      <c r="D3" s="671"/>
      <c r="E3" s="672"/>
      <c r="F3" s="672"/>
      <c r="G3" s="672"/>
      <c r="H3" s="672"/>
      <c r="I3" s="672"/>
      <c r="J3" s="672"/>
      <c r="K3" s="672"/>
      <c r="L3" s="672"/>
      <c r="P3" s="602"/>
      <c r="Q3" s="673"/>
      <c r="R3" s="673"/>
      <c r="S3" s="673"/>
      <c r="T3" s="603"/>
      <c r="U3" s="603"/>
      <c r="V3" s="603"/>
      <c r="W3" s="602"/>
      <c r="X3" s="602"/>
      <c r="AA3" s="667">
        <v>16</v>
      </c>
      <c r="AC3" s="1240" t="s">
        <v>3482</v>
      </c>
      <c r="AD3" s="1241"/>
      <c r="AE3" s="1241"/>
      <c r="AF3" s="1241"/>
      <c r="AG3" s="1241"/>
      <c r="AH3" s="1241"/>
      <c r="AI3" s="1241"/>
      <c r="AJ3" s="663"/>
      <c r="AK3" s="668">
        <v>1</v>
      </c>
      <c r="AL3" s="603"/>
      <c r="AM3" s="603"/>
      <c r="AO3" s="602">
        <v>27</v>
      </c>
      <c r="AW3" s="674"/>
      <c r="AX3" s="600">
        <v>1</v>
      </c>
      <c r="AY3" s="598">
        <v>2</v>
      </c>
      <c r="AZ3" s="662">
        <v>3</v>
      </c>
      <c r="BA3" s="598">
        <v>4</v>
      </c>
      <c r="BB3" s="598">
        <v>5</v>
      </c>
      <c r="BC3" s="598">
        <v>6</v>
      </c>
      <c r="BD3" s="598">
        <v>7</v>
      </c>
      <c r="BE3" s="598">
        <v>8</v>
      </c>
      <c r="BF3" s="598">
        <v>9</v>
      </c>
      <c r="BG3" s="598">
        <v>10</v>
      </c>
      <c r="BH3" s="598">
        <v>11</v>
      </c>
      <c r="BI3" s="598">
        <v>12</v>
      </c>
      <c r="BJ3" s="598">
        <v>13</v>
      </c>
      <c r="BK3" s="598">
        <v>14</v>
      </c>
      <c r="BL3" s="598">
        <v>15</v>
      </c>
      <c r="BM3" s="598">
        <v>16</v>
      </c>
    </row>
    <row r="4" spans="1:69" ht="12.95" customHeight="1">
      <c r="A4" s="667">
        <v>2</v>
      </c>
      <c r="B4" s="675" t="s">
        <v>3853</v>
      </c>
      <c r="C4" s="1209" t="s">
        <v>5474</v>
      </c>
      <c r="D4" s="1239"/>
      <c r="E4" s="1239"/>
      <c r="F4" s="1239"/>
      <c r="G4" s="1239"/>
      <c r="H4" s="1201" t="s">
        <v>3676</v>
      </c>
      <c r="I4" s="1202"/>
      <c r="J4" s="1202"/>
      <c r="K4" s="628">
        <v>6</v>
      </c>
      <c r="L4" s="1203" t="str">
        <f>IF(K4=7, "High Fantasy", IF(K4=6, "Middle Fantasy", IF(K4=5, "Low Fantasy", IF(K4=4,"Heroic/Arthurian", IF(K4=3, "Historic-Late Feudal", IF(K4=2, "Historic-Middle Ages", IF(K4=1,"Historic-Early Feudal"," ")))))))</f>
        <v>Middle Fantasy</v>
      </c>
      <c r="M4" s="1204"/>
      <c r="N4" s="1204"/>
      <c r="O4" s="1204"/>
      <c r="P4" s="1227" t="s">
        <v>3149</v>
      </c>
      <c r="Q4" s="1228"/>
      <c r="R4" s="1228"/>
      <c r="S4" s="1228"/>
      <c r="T4" s="1228"/>
      <c r="U4" s="1228"/>
      <c r="V4" s="1228"/>
      <c r="W4" s="1229"/>
      <c r="AB4" s="676" t="s">
        <v>2565</v>
      </c>
      <c r="AC4" s="677">
        <f>IF((+E12+E16)&gt;(+E12+E13),(+E12+E16),(+E12+E13))+IF('SA&amp;DD'!D30="N",0,'SA&amp;DD'!G30)</f>
        <v>35</v>
      </c>
      <c r="AD4" s="678">
        <f>VLOOKUP($E$12,'System Lookups'!$F$30:$N$50,7)+IF('SA&amp;DD'!D38="Y",'SA&amp;DD'!H38,0)</f>
        <v>5</v>
      </c>
      <c r="AE4" s="598" t="s">
        <v>4002</v>
      </c>
      <c r="AF4" s="1244" t="s">
        <v>1152</v>
      </c>
      <c r="AG4" s="1241"/>
      <c r="AH4" s="1241"/>
      <c r="AI4" s="1241"/>
      <c r="AJ4" s="663"/>
      <c r="AK4" s="608"/>
      <c r="AR4" s="598"/>
      <c r="AS4" s="598"/>
      <c r="AW4" s="674"/>
    </row>
    <row r="5" spans="1:69" ht="12.95" customHeight="1">
      <c r="B5" s="679" t="str">
        <f>IF(C5&gt;=5,"GM Special/Custom",IF($C$5=4,"Super-heroic",IF($C$5=3,"Heroic ",IF($C$5=2,"Historic",IF($C$5=1,"Random")))))</f>
        <v xml:space="preserve">Heroic </v>
      </c>
      <c r="C5" s="628">
        <v>3</v>
      </c>
      <c r="D5" s="1238" t="str">
        <f>IF(C5=1," ","Maximum")</f>
        <v>Maximum</v>
      </c>
      <c r="E5" s="1239"/>
      <c r="F5" s="1239"/>
      <c r="G5" s="679">
        <f>IF(C5=1," ",IF(C5=2,125,IF(C5=3,150,175)))</f>
        <v>150</v>
      </c>
      <c r="H5" s="1202"/>
      <c r="I5" s="1202"/>
      <c r="J5" s="1202"/>
      <c r="K5" s="628">
        <v>3</v>
      </c>
      <c r="L5" s="1203" t="str">
        <f>IF(K5=6,"GM-Created",IF(K5=5,"Tannoth-Based",IF(K5=4,"Arden-Based",IF(K5=3,"Alquennas-Based",IF(K5=2,"Marakush-Based",IF(K5=1,"Earth-Based"," "))))))</f>
        <v>Alquennas-Based</v>
      </c>
      <c r="M5" s="1204"/>
      <c r="N5" s="1204"/>
      <c r="O5" s="1204"/>
      <c r="P5" s="1230"/>
      <c r="Q5" s="1231"/>
      <c r="R5" s="1231"/>
      <c r="S5" s="1231"/>
      <c r="T5" s="1231"/>
      <c r="U5" s="1231"/>
      <c r="V5" s="1231"/>
      <c r="W5" s="1208"/>
      <c r="AB5" s="676" t="s">
        <v>1410</v>
      </c>
      <c r="AC5" s="680">
        <f>AC4/2</f>
        <v>17.5</v>
      </c>
      <c r="AD5" s="681">
        <f>VLOOKUP($E$12,'System Lookups'!$F$30:$N$50,8)+IF('SA&amp;DD'!D38="Y",1,0)</f>
        <v>2</v>
      </c>
      <c r="AE5" s="598" t="s">
        <v>4002</v>
      </c>
      <c r="AF5" s="1244" t="s">
        <v>974</v>
      </c>
      <c r="AG5" s="1241"/>
      <c r="AH5" s="1241"/>
      <c r="AI5" s="1241"/>
      <c r="AJ5" s="663"/>
      <c r="AK5" s="668">
        <v>16</v>
      </c>
      <c r="AL5" s="603"/>
      <c r="AM5" s="603"/>
      <c r="AO5" s="660" t="s">
        <v>1999</v>
      </c>
      <c r="AR5" s="598"/>
      <c r="AS5" s="598"/>
      <c r="AT5" s="598"/>
      <c r="AU5" s="598"/>
      <c r="AW5" s="674"/>
      <c r="AX5" s="661">
        <v>1</v>
      </c>
      <c r="AY5" s="598" t="s">
        <v>5074</v>
      </c>
      <c r="AZ5" s="624" t="s">
        <v>1498</v>
      </c>
      <c r="BA5" s="598" t="s">
        <v>5297</v>
      </c>
      <c r="BB5" s="598" t="s">
        <v>5139</v>
      </c>
      <c r="BC5" s="598" t="s">
        <v>5298</v>
      </c>
      <c r="BD5" s="598" t="s">
        <v>2490</v>
      </c>
      <c r="BE5" s="598" t="s">
        <v>3902</v>
      </c>
      <c r="BF5" s="598" t="s">
        <v>1789</v>
      </c>
      <c r="BG5" s="624" t="s">
        <v>2986</v>
      </c>
      <c r="BH5" s="598" t="s">
        <v>5168</v>
      </c>
      <c r="BI5" s="598" t="s">
        <v>4587</v>
      </c>
      <c r="BJ5" s="598" t="s">
        <v>3929</v>
      </c>
      <c r="BK5" s="624" t="s">
        <v>3908</v>
      </c>
      <c r="BL5" s="624" t="s">
        <v>3666</v>
      </c>
      <c r="BM5" s="624" t="s">
        <v>400</v>
      </c>
      <c r="BN5" s="609" t="s">
        <v>940</v>
      </c>
      <c r="BO5" s="609" t="s">
        <v>3543</v>
      </c>
      <c r="BP5" s="609" t="s">
        <v>3544</v>
      </c>
      <c r="BQ5" s="609" t="s">
        <v>3545</v>
      </c>
    </row>
    <row r="6" spans="1:69" ht="12.95" customHeight="1">
      <c r="A6" s="667">
        <v>3</v>
      </c>
      <c r="B6" s="682" t="s">
        <v>1541</v>
      </c>
      <c r="C6" s="683">
        <v>10</v>
      </c>
      <c r="D6" s="683" t="s">
        <v>4629</v>
      </c>
      <c r="E6" s="1250" t="str">
        <f>IF(C3="2","Well",IF(C3="3","Neutral",IF(D6="D","Neutral",IF(D6="P",IF(C6&lt;0,"Poor",IF(C6&gt;0,"Well","Neutral")),IF(C6&lt;16,"Well",IF(C6&lt;86,"Neutral","Poor"))))))</f>
        <v>Well</v>
      </c>
      <c r="F6" s="1251"/>
      <c r="G6" s="1252"/>
      <c r="J6" s="684"/>
      <c r="K6" s="684"/>
      <c r="L6" s="684"/>
      <c r="P6" s="1232"/>
      <c r="Q6" s="1233"/>
      <c r="R6" s="1233"/>
      <c r="S6" s="1233"/>
      <c r="T6" s="1233"/>
      <c r="U6" s="1233"/>
      <c r="V6" s="1233"/>
      <c r="W6" s="1234"/>
      <c r="AB6" s="676" t="s">
        <v>6</v>
      </c>
      <c r="AC6" s="680">
        <f>AC4+MIN(AC5,IF(ISNA(Skills!$AU$114),0,Skills!$AU$114+1))</f>
        <v>37</v>
      </c>
      <c r="AD6" s="681">
        <f>AD5+(5*IF(E12&gt;15,2,1))</f>
        <v>7</v>
      </c>
      <c r="AE6" s="598" t="s">
        <v>4002</v>
      </c>
      <c r="AF6" s="1244" t="s">
        <v>3983</v>
      </c>
      <c r="AG6" s="1291"/>
      <c r="AH6" s="1291"/>
      <c r="AI6" s="1241"/>
      <c r="AJ6" s="663"/>
      <c r="AK6" s="608"/>
      <c r="AL6" s="609"/>
      <c r="AM6" s="609"/>
      <c r="AN6" s="598"/>
      <c r="AO6" s="598"/>
      <c r="AP6" s="598"/>
      <c r="AQ6" s="598"/>
      <c r="AR6" s="598"/>
      <c r="AS6" s="598"/>
      <c r="AT6" s="598"/>
      <c r="AU6" s="598"/>
      <c r="AW6" s="602"/>
      <c r="AX6" s="661">
        <v>2</v>
      </c>
      <c r="AY6" s="598" t="s">
        <v>3609</v>
      </c>
      <c r="AZ6" s="599" t="s">
        <v>2478</v>
      </c>
      <c r="BA6" s="598" t="s">
        <v>1785</v>
      </c>
      <c r="BB6" s="598" t="s">
        <v>3460</v>
      </c>
      <c r="BC6" s="598" t="s">
        <v>1786</v>
      </c>
      <c r="BD6" s="598" t="s">
        <v>5299</v>
      </c>
      <c r="BE6" s="598" t="s">
        <v>4954</v>
      </c>
      <c r="BF6" s="598" t="s">
        <v>648</v>
      </c>
      <c r="BG6" s="624" t="s">
        <v>3919</v>
      </c>
      <c r="BH6" s="598" t="s">
        <v>5169</v>
      </c>
      <c r="BI6" s="598" t="s">
        <v>4588</v>
      </c>
      <c r="BJ6" s="598" t="s">
        <v>892</v>
      </c>
      <c r="BK6" s="624" t="s">
        <v>3931</v>
      </c>
      <c r="BL6" s="624" t="s">
        <v>3667</v>
      </c>
      <c r="BM6" s="624" t="s">
        <v>402</v>
      </c>
      <c r="BN6" s="620">
        <f>CEILING((IF($E$16&gt;10,IF($E$16&gt;14,($E$16+($E$16-14)),$E$16),0)+IF($E$17&gt;10,IF($E$17&gt;14,($E$17+($E$17-14)),$E$17),0)+IF($E$13&gt;10,IF($E$13&gt;14,($E$13+($E$13-14)),$E$13),0)+$E$18+IF($E$6="well",3,IF($E$6="poor",-3,1)))/4,1)</f>
        <v>20</v>
      </c>
      <c r="BO6" s="620">
        <f>CEILING((IF(E15&gt;10,IF($E$15&gt;14,($E$15+($E$15-14)),$E$16),0)+IF($E$17&gt;10,IF($E$17&gt;14,($E$17+($E$17-14)),$E$17),0)+IF($E$13&gt;10,IF($E$13&gt;14,($E$13+($E$13-14)),$E$13),0)+$E$18+IF($E$6="well",3,IF($E$6="poor",-3,1)))/4,1)</f>
        <v>20</v>
      </c>
      <c r="BP6" s="620">
        <f>CEILING((IF($E$16&gt;10,IF($E$16&gt;14,($E$16+($E$16-14)),$E$16),0)+IF($E$15&gt;10,IF($E$15&gt;14,($E$15+($E$15-14)),$E$15),0)+IF($E$13&gt;10,IF($E$13&gt;14,($E$13+($E$13-14)),$E$13),0)+$E$18+IF($E$6="well",3,IF($E$6="poor",-3,1)))/4,1)</f>
        <v>21</v>
      </c>
      <c r="BQ6" s="620">
        <f>CEILING((IF($E$16&gt;10,IF($E$16&gt;14,($E$16+($E$16-14)),$E$16),0)+IF($E$17&gt;10,IF($E$17&gt;14,($E$17+($E$17-14)),$E$17),0)+IF($E$15&gt;10,IF($E$15&gt;14,($E$15+($E$15-14)),$E$15),0)+$E$18+IF($E$6="well",3,IF($E$6="poor",-3,1)))/4,1)</f>
        <v>22</v>
      </c>
    </row>
    <row r="7" spans="1:69" ht="12.95" customHeight="1">
      <c r="I7" s="1226" t="s">
        <v>5370</v>
      </c>
      <c r="J7" s="1226"/>
      <c r="AA7" s="667">
        <v>17</v>
      </c>
      <c r="AD7" s="685" t="s">
        <v>5471</v>
      </c>
      <c r="AE7" s="609"/>
      <c r="AF7" s="686" t="s">
        <v>1106</v>
      </c>
      <c r="AG7" s="609"/>
      <c r="AI7" s="609"/>
      <c r="AJ7" s="663"/>
      <c r="AK7" s="687">
        <v>4</v>
      </c>
      <c r="AL7" s="688"/>
      <c r="AM7" s="672"/>
      <c r="AO7" s="660" t="s">
        <v>1151</v>
      </c>
      <c r="AP7" s="603"/>
      <c r="AQ7" s="603"/>
      <c r="AR7" s="603"/>
      <c r="AS7" s="603"/>
      <c r="AT7" s="598"/>
      <c r="AU7" s="598"/>
      <c r="AW7" s="602"/>
      <c r="AX7" s="661">
        <v>3</v>
      </c>
      <c r="AY7" s="598" t="s">
        <v>3610</v>
      </c>
      <c r="AZ7" s="599" t="s">
        <v>2479</v>
      </c>
      <c r="BA7" s="598" t="s">
        <v>1790</v>
      </c>
      <c r="BB7" s="598" t="s">
        <v>5141</v>
      </c>
      <c r="BC7" s="598" t="s">
        <v>1791</v>
      </c>
      <c r="BD7" s="598" t="s">
        <v>1787</v>
      </c>
      <c r="BE7" s="598" t="s">
        <v>1788</v>
      </c>
      <c r="BF7" s="598" t="s">
        <v>1784</v>
      </c>
      <c r="BG7" s="624" t="s">
        <v>5999</v>
      </c>
      <c r="BH7" s="598" t="s">
        <v>5170</v>
      </c>
      <c r="BI7" s="598" t="s">
        <v>4589</v>
      </c>
      <c r="BJ7" s="598" t="s">
        <v>893</v>
      </c>
      <c r="BK7" s="624" t="s">
        <v>5437</v>
      </c>
      <c r="BL7" s="624" t="s">
        <v>4820</v>
      </c>
      <c r="BM7" s="624" t="s">
        <v>401</v>
      </c>
      <c r="BN7" s="1069" t="s">
        <v>3773</v>
      </c>
      <c r="BO7" s="598">
        <f>DISC+MAX(DISC-14,0)</f>
        <v>16</v>
      </c>
      <c r="BP7" s="1069" t="s">
        <v>780</v>
      </c>
      <c r="BQ7" s="598">
        <f>IF(INT&gt;10,INT+MAX(0,INT-16),0)</f>
        <v>18</v>
      </c>
    </row>
    <row r="8" spans="1:69" ht="12.95" customHeight="1">
      <c r="A8" s="667">
        <v>4</v>
      </c>
      <c r="B8" s="689" t="s">
        <v>1542</v>
      </c>
      <c r="C8" s="690" t="s">
        <v>940</v>
      </c>
      <c r="D8" s="690" t="s">
        <v>4003</v>
      </c>
      <c r="E8" s="690" t="s">
        <v>5090</v>
      </c>
      <c r="F8" s="690"/>
      <c r="G8" s="691" t="s">
        <v>5085</v>
      </c>
      <c r="H8" s="691" t="s">
        <v>5217</v>
      </c>
      <c r="I8" s="690" t="s">
        <v>5368</v>
      </c>
      <c r="J8" s="690" t="s">
        <v>5369</v>
      </c>
      <c r="K8" s="598"/>
      <c r="L8" s="598"/>
      <c r="M8" s="667">
        <v>10</v>
      </c>
      <c r="N8" s="691" t="s">
        <v>4857</v>
      </c>
      <c r="O8" s="1245" t="s">
        <v>4894</v>
      </c>
      <c r="P8" s="1245"/>
      <c r="Q8" s="1245"/>
      <c r="R8" s="1245"/>
      <c r="S8" s="1245"/>
      <c r="T8" s="1245"/>
      <c r="U8" s="1245"/>
      <c r="V8" s="1245"/>
      <c r="W8" s="1245"/>
      <c r="X8" s="747" t="s">
        <v>5222</v>
      </c>
      <c r="Y8" s="717">
        <f>IF(X8="Y",IF(COUNTIF('SA&amp;DD'!AF7:AF41,"Y")&gt;0,-5,0)," ")</f>
        <v>0</v>
      </c>
      <c r="AC8" s="615" t="s">
        <v>5472</v>
      </c>
      <c r="AD8" s="620">
        <f>VLOOKUP(E16,'System Lookups'!H151:J174,2)+AF8</f>
        <v>333.09999999999997</v>
      </c>
      <c r="AE8" s="609" t="s">
        <v>975</v>
      </c>
      <c r="AF8" s="620">
        <f>(IF((IF(ISNA(Skills!$W$117),0,(Skills!$W$117+1)*4))&gt;AC$5,AC$5,(IF(ISNA(Skills!$W$117),0,(Skills!$W$117+1)*4))))+(IF((IF(ISBLANK(Skills!$X$117),0,(Skills!$X$117+1)*4))&gt;AC$5,AC$5,(IF(ISBLANK(Skills!$X$117),0,(Skills!$X$117+1)*4))))</f>
        <v>0</v>
      </c>
      <c r="AG8" s="608"/>
      <c r="AI8" s="608"/>
      <c r="AJ8" s="663"/>
      <c r="AK8" s="608"/>
      <c r="AW8" s="602"/>
      <c r="AX8" s="661">
        <v>4</v>
      </c>
      <c r="AY8" s="598" t="s">
        <v>1346</v>
      </c>
      <c r="AZ8" s="599" t="s">
        <v>5324</v>
      </c>
      <c r="BA8" s="598" t="s">
        <v>2225</v>
      </c>
      <c r="BB8" s="598" t="s">
        <v>406</v>
      </c>
      <c r="BC8" s="598" t="s">
        <v>649</v>
      </c>
      <c r="BD8" s="598" t="s">
        <v>1792</v>
      </c>
      <c r="BE8" s="598" t="s">
        <v>647</v>
      </c>
      <c r="BF8" s="598" t="s">
        <v>653</v>
      </c>
      <c r="BG8" s="624" t="s">
        <v>3918</v>
      </c>
      <c r="BH8" s="598" t="s">
        <v>3622</v>
      </c>
      <c r="BI8" s="598" t="s">
        <v>4590</v>
      </c>
      <c r="BJ8" s="598" t="s">
        <v>894</v>
      </c>
      <c r="BK8" s="624" t="s">
        <v>2982</v>
      </c>
      <c r="BL8" s="624" t="s">
        <v>3920</v>
      </c>
      <c r="BM8" s="624" t="s">
        <v>403</v>
      </c>
      <c r="BN8" s="1069" t="s">
        <v>2336</v>
      </c>
      <c r="BO8" s="598">
        <f>WIS+MAX(WIS-14,0)</f>
        <v>20</v>
      </c>
      <c r="BP8" s="1069" t="s">
        <v>3616</v>
      </c>
      <c r="BQ8" s="1069">
        <f>IF(WIS&gt;10,WIS+MAX(0,WIS-16),0)</f>
        <v>18</v>
      </c>
    </row>
    <row r="9" spans="1:69" ht="12.95" customHeight="1">
      <c r="A9" s="692">
        <v>1</v>
      </c>
      <c r="B9" s="615" t="s">
        <v>4897</v>
      </c>
      <c r="C9" s="700">
        <v>15</v>
      </c>
      <c r="D9" s="693">
        <f>C9+IF(E26="Townsman",3,0)+IF(AF33="True Elf",4,IF(AF33="Great Elf",2,0))+IF('SA&amp;DD'!D18="Y",'SA&amp;DD'!H18,0)+IF(AND(C3=4,E26="Protector"),3,0)+IF(AND(C3=4,E26="Lower Freeman"),1,0)+IF(AND(C3=4,E26="Educated Freeman"),2,0)</f>
        <v>15</v>
      </c>
      <c r="E9" s="694">
        <v>15</v>
      </c>
      <c r="F9" s="695" t="s">
        <v>4627</v>
      </c>
      <c r="G9" s="696">
        <f>VLOOKUP(E9,'System Lookups'!$F$4:$G$27,2)</f>
        <v>0.76</v>
      </c>
      <c r="H9" s="697">
        <f>IF(F9="r",0,IF($C$3=3,'System Lookups'!D152,IF($C$3=2,'System Lookups'!C152,'System Lookups'!B152)))</f>
        <v>15</v>
      </c>
      <c r="I9" s="625">
        <f>IF($C$3=2,13,IF(OR($C$3=7,$C$3=4),14,2))</f>
        <v>2</v>
      </c>
      <c r="J9" s="625">
        <f>IF($C$3=2,25,IF(C3=4,IF($C$5&lt;3,21,IF($C$5&lt;4,23,27)),IF($C$5&lt;3,20,IF($C$5&lt;4,22,25))+IF('SA&amp;DD'!D18="Y",5,0)))</f>
        <v>22</v>
      </c>
      <c r="K9" s="598"/>
      <c r="L9" s="598"/>
      <c r="M9" s="663"/>
      <c r="N9" s="717" t="str">
        <f ca="1">IF('SA&amp;DD'!AE22&gt;0,'SA&amp;DD'!Z22,IF('SA&amp;DD'!AE23&gt;0,'SA&amp;DD'!Z23,IF('SA&amp;DD'!AE24&gt;0,'SA&amp;DD'!Z24,IF(ISNA(MATCH("Y",'SA&amp;DD'!$AE$7:$AE$69,0)),"",INDIRECT("'sa&amp;dd'!z"&amp;MATCH("y",'SA&amp;DD'!$AE$7:$AE$69,0)+6)))))</f>
        <v/>
      </c>
      <c r="O9" s="1215" t="str">
        <f ca="1">IF('SA&amp;DD'!AE22&gt;0,'SA&amp;DD'!AA22,IF('SA&amp;DD'!AE23&gt;0,'SA&amp;DD'!AA23,IF('SA&amp;DD'!AE24&gt;0,'SA&amp;DD'!AA24,IF(ISNUMBER(N9),VLOOKUP(N9,'SA&amp;DD'!$Z$7:$AA$41,2)," "))))</f>
        <v xml:space="preserve"> </v>
      </c>
      <c r="P9" s="1215"/>
      <c r="Q9" s="1215"/>
      <c r="R9" s="1215"/>
      <c r="S9" s="1215"/>
      <c r="T9" s="1215"/>
      <c r="U9" s="1215"/>
      <c r="V9" s="1215"/>
      <c r="W9" s="1215"/>
      <c r="X9" s="1215"/>
      <c r="Y9" s="1215"/>
      <c r="AC9" s="615" t="s">
        <v>5473</v>
      </c>
      <c r="AD9" s="620">
        <f>AD8*0.5</f>
        <v>166.54999999999998</v>
      </c>
      <c r="AE9" s="609" t="s">
        <v>975</v>
      </c>
      <c r="AF9" s="620">
        <f>SQRT(AD8)</f>
        <v>18.251027368342857</v>
      </c>
      <c r="AG9" s="699" t="s">
        <v>165</v>
      </c>
      <c r="AI9" s="608"/>
      <c r="AJ9" s="663"/>
      <c r="AK9" s="668">
        <v>8</v>
      </c>
      <c r="AL9" s="609"/>
      <c r="AM9" s="609"/>
      <c r="AO9" s="660" t="s">
        <v>3933</v>
      </c>
      <c r="AW9" s="1022" t="s">
        <v>6048</v>
      </c>
      <c r="AX9" s="661">
        <v>5</v>
      </c>
      <c r="AY9" s="598" t="s">
        <v>1347</v>
      </c>
      <c r="AZ9" s="599" t="s">
        <v>3435</v>
      </c>
      <c r="BA9" s="598" t="s">
        <v>2225</v>
      </c>
      <c r="BB9" s="598" t="s">
        <v>407</v>
      </c>
      <c r="BC9" s="598" t="s">
        <v>651</v>
      </c>
      <c r="BD9" s="598" t="s">
        <v>650</v>
      </c>
      <c r="BE9" s="598" t="s">
        <v>3473</v>
      </c>
      <c r="BF9" s="598" t="s">
        <v>3900</v>
      </c>
      <c r="BG9" s="624" t="s">
        <v>3917</v>
      </c>
      <c r="BH9" s="598" t="s">
        <v>5171</v>
      </c>
      <c r="BI9" s="598" t="s">
        <v>4592</v>
      </c>
      <c r="BJ9" s="624" t="s">
        <v>895</v>
      </c>
      <c r="BK9" s="624" t="s">
        <v>3910</v>
      </c>
      <c r="BL9" s="624" t="s">
        <v>3921</v>
      </c>
      <c r="BM9" s="624"/>
      <c r="BN9" s="1069" t="s">
        <v>3774</v>
      </c>
      <c r="BO9" s="598">
        <f>STR+MAX(STR-14,0)</f>
        <v>26</v>
      </c>
      <c r="BP9" s="1069" t="s">
        <v>3717</v>
      </c>
      <c r="BQ9" s="1069">
        <f>IF(APP&gt;10,APP+MAX(0,APP-16),0)</f>
        <v>0</v>
      </c>
    </row>
    <row r="10" spans="1:69" ht="12.95" customHeight="1">
      <c r="A10" s="692">
        <v>2</v>
      </c>
      <c r="B10" s="615" t="s">
        <v>4898</v>
      </c>
      <c r="C10" s="700">
        <v>10</v>
      </c>
      <c r="D10" s="701">
        <f>C10+IF(AF33="True Elf",4,IF(AF33="Great Elf",2,0))+IF(C3=5,-7,0)+IF('SA&amp;DD'!D17="Y",'SA&amp;DD'!H17,0)+IF('SA&amp;DD'!D19="Y",'SA&amp;DD'!H19,0)</f>
        <v>10</v>
      </c>
      <c r="E10" s="702">
        <v>10</v>
      </c>
      <c r="F10" s="703" t="s">
        <v>4627</v>
      </c>
      <c r="G10" s="704">
        <f>VLOOKUP(E10,'System Lookups'!$F$4:$G$27,2)</f>
        <v>0.57999999999999996</v>
      </c>
      <c r="H10" s="622">
        <f>IF(F10="r",0,IF($C$3=3,'System Lookups'!D153,IF($C$3=2,'System Lookups'!C153,'System Lookups'!B153)))</f>
        <v>10</v>
      </c>
      <c r="I10" s="625">
        <f>IF($C$3=2,14,2)</f>
        <v>2</v>
      </c>
      <c r="J10" s="625">
        <f>IF(C3=4,IF($C$5&lt;3,18,IF($C$5&lt;4,20,25)),IF($C$5&lt;3,20,IF($C$5&lt;4,22,25))+IF('SA&amp;DD'!D18="Y",5,0))</f>
        <v>22</v>
      </c>
      <c r="K10" s="598"/>
      <c r="L10" s="598"/>
      <c r="M10" s="663"/>
      <c r="N10" s="717" t="str">
        <f ca="1">IF('SA&amp;DD'!L53="Y",(IF(ISNUMBER(N9),IF(ISNA(MATCH("Y",INDIRECT("'SA&amp;DD'!$ae$"&amp;(MATCH(N9,'SA&amp;DD'!$Z$7:$Z$69,0)+7)&amp;":$ae$69"),0)),INDIRECT(CONCATENATE("'SA&amp;DD'!$Z$",(MATCH(N9,'SA&amp;DD'!$Z$7:$Z$69,0)+6))),INDIRECT("'sa&amp;dd'!z"&amp;MATCH("y",INDIRECT("'SA&amp;DD'!$ae$"&amp;(MATCH(N9,'SA&amp;DD'!$Z$7:$Z$69,0)+7)&amp;":$ae$69"),0)+MATCH(N9,'SA&amp;DD'!$Z$7:$Z$69,0)+6)),"")),IF('SA&amp;DD'!L52="Y",(IF(ISNUMBER(N9),IF(ISNA(MATCH("Y",INDIRECT("'SA&amp;DD'!$ae$"&amp;(MATCH(N9,'SA&amp;DD'!$Z$7:$Z$69,0)+7)&amp;":$ae$69"),0)),INDIRECT(CONCATENATE("'SA&amp;DD'!$Z$",(MATCH(N9,'SA&amp;DD'!$Z$7:$Z$69,0)+6))),INDIRECT("'sa&amp;dd'!z"&amp;MATCH("y",INDIRECT("'SA&amp;DD'!$ae$"&amp;(MATCH(N9,'SA&amp;DD'!$Z$7:$Z$69,0)+7)&amp;":$ae$69"),0)+MATCH(N9,'SA&amp;DD'!$Z$7:$Z$69,0)+6)),"")),""))</f>
        <v/>
      </c>
      <c r="O10" s="1215" t="str">
        <f ca="1">IF(ISNUMBER(N10),VLOOKUP(N10,'SA&amp;DD'!$Z$7:$AA$41,2)," ")</f>
        <v xml:space="preserve"> </v>
      </c>
      <c r="P10" s="1215"/>
      <c r="Q10" s="1215"/>
      <c r="R10" s="1215"/>
      <c r="S10" s="1215"/>
      <c r="T10" s="1215"/>
      <c r="U10" s="1215"/>
      <c r="V10" s="1215"/>
      <c r="W10" s="1215"/>
      <c r="X10" s="1215"/>
      <c r="Y10" s="1215"/>
      <c r="AC10" s="615" t="s">
        <v>3475</v>
      </c>
      <c r="AD10" s="620">
        <f>AD8+100</f>
        <v>433.09999999999997</v>
      </c>
      <c r="AE10" s="609" t="s">
        <v>975</v>
      </c>
      <c r="AF10" s="625" t="s">
        <v>5509</v>
      </c>
      <c r="AG10" s="625" t="s">
        <v>1563</v>
      </c>
      <c r="AI10" s="608"/>
      <c r="AJ10" s="663"/>
      <c r="AK10" s="608"/>
      <c r="AW10" s="602"/>
      <c r="AX10" s="661">
        <v>6</v>
      </c>
      <c r="AY10" s="598" t="s">
        <v>5375</v>
      </c>
      <c r="AZ10" s="599" t="s">
        <v>2480</v>
      </c>
      <c r="BA10" s="598" t="s">
        <v>2225</v>
      </c>
      <c r="BB10" s="598" t="s">
        <v>408</v>
      </c>
      <c r="BC10" s="598" t="s">
        <v>4385</v>
      </c>
      <c r="BD10" s="598" t="s">
        <v>652</v>
      </c>
      <c r="BE10" s="598" t="s">
        <v>3476</v>
      </c>
      <c r="BF10" s="598" t="s">
        <v>3901</v>
      </c>
      <c r="BG10" s="624" t="s">
        <v>3916</v>
      </c>
      <c r="BH10" s="598" t="s">
        <v>2064</v>
      </c>
      <c r="BI10" s="598" t="s">
        <v>4591</v>
      </c>
      <c r="BJ10" s="624" t="s">
        <v>896</v>
      </c>
      <c r="BK10" s="624" t="s">
        <v>3911</v>
      </c>
      <c r="BL10" s="624" t="s">
        <v>3648</v>
      </c>
      <c r="BM10" s="624"/>
      <c r="BN10" s="1069" t="s">
        <v>377</v>
      </c>
      <c r="BO10" s="598">
        <f>PTY+MAX(PTY-14,0)</f>
        <v>26</v>
      </c>
      <c r="BP10" s="1069" t="s">
        <v>3612</v>
      </c>
      <c r="BQ10" s="1069">
        <f>IF(BV&gt;10,BV+MAX(0,BV-16),0)</f>
        <v>0</v>
      </c>
    </row>
    <row r="11" spans="1:69" ht="12.95" customHeight="1">
      <c r="A11" s="692">
        <v>3</v>
      </c>
      <c r="B11" s="615" t="s">
        <v>5427</v>
      </c>
      <c r="C11" s="700">
        <v>10</v>
      </c>
      <c r="D11" s="701">
        <f>C11+IF(AF33="True Elf",4,IF(AF33="Great Elf",2,0))+IF('SA&amp;DD'!D20="Y",'SA&amp;DD'!H20,0)</f>
        <v>10</v>
      </c>
      <c r="E11" s="702">
        <v>10</v>
      </c>
      <c r="F11" s="703" t="s">
        <v>4627</v>
      </c>
      <c r="G11" s="704">
        <f>VLOOKUP(E11,'System Lookups'!$F$4:$G$27,2)</f>
        <v>0.57999999999999996</v>
      </c>
      <c r="H11" s="622">
        <f>IF(F11="r",0,IF($C$3=3,'System Lookups'!D154,IF($C$3=2,'System Lookups'!C154,'System Lookups'!B154)))</f>
        <v>10</v>
      </c>
      <c r="I11" s="625">
        <f>IF($C$3=2,10,IF($C$3=4,15,2))</f>
        <v>2</v>
      </c>
      <c r="J11" s="625">
        <f>IF(C3=4,IF($C$5&lt;3,18,IF($C$5&lt;4,20,25)),IF($C$5&lt;3,20,IF($C$5&lt;4,22,25))+IF('SA&amp;DD'!D18="Y",5,0))</f>
        <v>22</v>
      </c>
      <c r="K11" s="598"/>
      <c r="L11" s="598"/>
      <c r="M11" s="663"/>
      <c r="N11" s="717" t="str">
        <f ca="1">IF('SA&amp;DD'!L53="Y",IF(ISNUMBER(N10),IF(ISNA(MATCH("Y",INDIRECT("'SA&amp;DD'!$ae$"&amp;(MATCH(N10,'SA&amp;DD'!$Z$7:$Z$69,0)+7)&amp;":$ae$69"),0)),"",INDIRECT("'sa&amp;dd'!z"&amp;MATCH("y",INDIRECT("'SA&amp;DD'!$ae$"&amp;(MATCH(N10,'SA&amp;DD'!$Z$7:$Z$69,0)+7)&amp;":$ae$69"),0)+MATCH(N10,'SA&amp;DD'!$Z$7:$Z$69,0)+6)),""),"")</f>
        <v/>
      </c>
      <c r="O11" s="1215" t="str">
        <f ca="1">IF(ISNUMBER(N11),VLOOKUP(N11,'SA&amp;DD'!$Z$7:$AA$41,2)," ")</f>
        <v xml:space="preserve"> </v>
      </c>
      <c r="P11" s="1215"/>
      <c r="Q11" s="1215"/>
      <c r="R11" s="1215"/>
      <c r="S11" s="1215"/>
      <c r="T11" s="1215"/>
      <c r="U11" s="1215"/>
      <c r="V11" s="1215"/>
      <c r="W11" s="1215"/>
      <c r="X11" s="1215"/>
      <c r="Y11" s="1215"/>
      <c r="AC11" s="615" t="s">
        <v>1977</v>
      </c>
      <c r="AD11" s="620">
        <f>AD9/2</f>
        <v>83.274999999999991</v>
      </c>
      <c r="AE11" s="609" t="s">
        <v>975</v>
      </c>
      <c r="AF11" s="620">
        <f>IF((E16/2)&gt;(AF9/2),(E16/2),(AF9/2))+IF('SA&amp;DD'!$D$30="Y",INT('SA&amp;DD'!$G$30/2),0)</f>
        <v>10</v>
      </c>
      <c r="AG11" s="620">
        <f>IF((E16/4)&gt;(AF9/4),(E16/4),(AF9/4))+IF('SA&amp;DD'!$D$30="Y",INT('SA&amp;DD'!$G$30/2),0)</f>
        <v>5</v>
      </c>
      <c r="AI11" s="609"/>
      <c r="AJ11" s="663"/>
      <c r="AK11" s="687">
        <v>11</v>
      </c>
      <c r="AL11" s="688"/>
      <c r="AM11" s="672"/>
      <c r="AO11" s="660" t="s">
        <v>1150</v>
      </c>
      <c r="AP11" s="603"/>
      <c r="AQ11" s="603"/>
      <c r="AR11" s="603"/>
      <c r="AS11" s="603"/>
      <c r="AW11" s="602"/>
      <c r="AX11" s="661">
        <v>7</v>
      </c>
      <c r="AY11" s="598" t="s">
        <v>1412</v>
      </c>
      <c r="AZ11" s="599" t="s">
        <v>2481</v>
      </c>
      <c r="BA11" s="598" t="s">
        <v>2225</v>
      </c>
      <c r="BB11" s="598" t="s">
        <v>1414</v>
      </c>
      <c r="BC11" s="598" t="s">
        <v>4382</v>
      </c>
      <c r="BD11" s="598" t="s">
        <v>152</v>
      </c>
      <c r="BE11" s="598" t="s">
        <v>4616</v>
      </c>
      <c r="BF11" s="598" t="s">
        <v>4585</v>
      </c>
      <c r="BG11" s="624" t="s">
        <v>3915</v>
      </c>
      <c r="BH11" s="598" t="s">
        <v>2065</v>
      </c>
      <c r="BI11" s="598" t="s">
        <v>4593</v>
      </c>
      <c r="BJ11" s="624" t="s">
        <v>897</v>
      </c>
      <c r="BK11" s="598" t="s">
        <v>3647</v>
      </c>
      <c r="BL11" s="624" t="s">
        <v>3621</v>
      </c>
      <c r="BM11" s="624"/>
    </row>
    <row r="12" spans="1:69" ht="12.95" customHeight="1">
      <c r="A12" s="692">
        <v>4</v>
      </c>
      <c r="B12" s="615" t="s">
        <v>2261</v>
      </c>
      <c r="C12" s="700">
        <v>15</v>
      </c>
      <c r="D12" s="701">
        <f>C12+IF(C3=5,2,0)+IF(Experience!D19="Y",Experience!E19,0)+IF('SA&amp;DD'!D21="Y",'SA&amp;DD'!H21,0)</f>
        <v>15</v>
      </c>
      <c r="E12" s="702">
        <v>15</v>
      </c>
      <c r="F12" s="703" t="s">
        <v>4627</v>
      </c>
      <c r="G12" s="704">
        <f>VLOOKUP(E12,'System Lookups'!$F$4:$G$27,2)</f>
        <v>0.76</v>
      </c>
      <c r="H12" s="622">
        <f>IF(F12="r",0,IF($C$3=3,'System Lookups'!D156,IF($C$3=2,'System Lookups'!C156,'System Lookups'!B156)))</f>
        <v>15</v>
      </c>
      <c r="I12" s="625">
        <f>IF($C$3=3,14,IF($C$3=6,13,2))</f>
        <v>2</v>
      </c>
      <c r="J12" s="625">
        <f>IF($C$3=3,25,IF($C$3=7,18,IF(C3=4,IF($C$5&lt;3,15,IF($C$5&lt;4,17,19)),IF($C$5&lt;3,20,IF($C$5&lt;4,22,25))+IF('SA&amp;DD'!D18="Y",5,0))))</f>
        <v>22</v>
      </c>
      <c r="K12" s="598"/>
      <c r="L12" s="598"/>
      <c r="M12" s="663"/>
      <c r="P12" s="602"/>
      <c r="Q12" s="602"/>
      <c r="R12" s="602"/>
      <c r="S12" s="602"/>
      <c r="U12" s="602"/>
      <c r="V12" s="602"/>
      <c r="W12" s="602"/>
      <c r="X12" s="602"/>
      <c r="AC12" s="615" t="s">
        <v>1107</v>
      </c>
      <c r="AD12" s="620">
        <f>AD8*0.75</f>
        <v>249.82499999999999</v>
      </c>
      <c r="AE12" s="609" t="s">
        <v>975</v>
      </c>
      <c r="AF12" s="699" t="s">
        <v>3286</v>
      </c>
      <c r="AG12" s="609"/>
      <c r="AI12" s="609"/>
      <c r="AJ12" s="663"/>
      <c r="AW12" s="602"/>
      <c r="AX12" s="661">
        <v>8</v>
      </c>
      <c r="AZ12" s="599" t="s">
        <v>2482</v>
      </c>
      <c r="BA12" s="598" t="s">
        <v>2225</v>
      </c>
      <c r="BB12" s="598" t="s">
        <v>4099</v>
      </c>
      <c r="BC12" s="598" t="s">
        <v>4386</v>
      </c>
      <c r="BD12" s="598" t="s">
        <v>991</v>
      </c>
      <c r="BE12" s="598" t="s">
        <v>3472</v>
      </c>
      <c r="BF12" s="598" t="s">
        <v>4955</v>
      </c>
      <c r="BG12" s="624" t="s">
        <v>3914</v>
      </c>
      <c r="BH12" s="598" t="s">
        <v>3825</v>
      </c>
      <c r="BI12" s="598" t="s">
        <v>3622</v>
      </c>
      <c r="BJ12" s="624" t="s">
        <v>3832</v>
      </c>
      <c r="BK12" s="598" t="s">
        <v>3646</v>
      </c>
      <c r="BL12" s="624" t="s">
        <v>3922</v>
      </c>
    </row>
    <row r="13" spans="1:69" ht="12.95" customHeight="1">
      <c r="A13" s="692">
        <v>5</v>
      </c>
      <c r="B13" s="615" t="s">
        <v>2183</v>
      </c>
      <c r="C13" s="700">
        <v>15</v>
      </c>
      <c r="D13" s="701">
        <f>C13+IF(C3=5,-5,0)+IF('SA&amp;DD'!D22="Y",'SA&amp;DD'!H22,0)</f>
        <v>15</v>
      </c>
      <c r="E13" s="702">
        <v>15</v>
      </c>
      <c r="F13" s="703" t="s">
        <v>4627</v>
      </c>
      <c r="G13" s="704">
        <f>VLOOKUP(E13,'System Lookups'!$F$4:$G$27,2)</f>
        <v>0.76</v>
      </c>
      <c r="H13" s="622">
        <f>IF(F13="r",0,IF($C$3=3,'System Lookups'!D155,IF($C$3=2,'System Lookups'!C155,'System Lookups'!B155)))</f>
        <v>15</v>
      </c>
      <c r="I13" s="625">
        <f>IF($C$3=2,2,2)</f>
        <v>2</v>
      </c>
      <c r="J13" s="625">
        <f>IF($C$3=2,15,IF($C$5&lt;3,20,IF(C3=4,IF($C$5&lt;3,15,IF($C$5&lt;4,17,19)),IF($C$5&lt;3,20,IF($C$5&lt;4,22,25))+IF('SA&amp;DD'!D18="Y",5,0))))</f>
        <v>22</v>
      </c>
      <c r="K13" s="598"/>
      <c r="L13" s="598"/>
      <c r="M13" s="705">
        <v>11</v>
      </c>
      <c r="N13" s="691" t="s">
        <v>4857</v>
      </c>
      <c r="O13" s="1277" t="s">
        <v>3837</v>
      </c>
      <c r="P13" s="1277"/>
      <c r="Q13" s="1277"/>
      <c r="R13" s="1277"/>
      <c r="S13" s="1277"/>
      <c r="T13" s="1277"/>
      <c r="U13" s="1277"/>
      <c r="V13" s="1277"/>
      <c r="W13" s="1277"/>
      <c r="X13" s="747" t="s">
        <v>5222</v>
      </c>
      <c r="Y13" s="717">
        <f>IF(X13="Y",'SA&amp;DD'!C4," ")</f>
        <v>0</v>
      </c>
      <c r="Z13" s="707"/>
      <c r="AC13" s="598"/>
      <c r="AD13" s="632" t="s">
        <v>4795</v>
      </c>
      <c r="AE13" s="625"/>
      <c r="AF13" s="625" t="s">
        <v>2633</v>
      </c>
      <c r="AG13" s="609"/>
      <c r="AK13" s="602">
        <v>21</v>
      </c>
      <c r="AL13" s="688"/>
      <c r="AM13" s="672"/>
      <c r="AO13" s="602">
        <v>45</v>
      </c>
      <c r="AQ13" s="598"/>
      <c r="AR13" s="660" t="s">
        <v>2759</v>
      </c>
      <c r="AW13" s="602"/>
      <c r="AX13" s="661">
        <v>9</v>
      </c>
      <c r="AZ13" s="599" t="s">
        <v>4726</v>
      </c>
      <c r="BA13" s="598" t="s">
        <v>2225</v>
      </c>
      <c r="BB13" s="598" t="s">
        <v>5137</v>
      </c>
      <c r="BC13" s="598" t="s">
        <v>585</v>
      </c>
      <c r="BD13" s="598" t="s">
        <v>3638</v>
      </c>
      <c r="BE13" s="598" t="s">
        <v>4617</v>
      </c>
      <c r="BF13" s="1000" t="s">
        <v>6000</v>
      </c>
      <c r="BG13" s="624" t="s">
        <v>3913</v>
      </c>
      <c r="BH13" s="598" t="s">
        <v>5376</v>
      </c>
      <c r="BI13" s="598" t="s">
        <v>5440</v>
      </c>
      <c r="BJ13" s="624" t="s">
        <v>3833</v>
      </c>
      <c r="BK13" s="598" t="s">
        <v>5439</v>
      </c>
      <c r="BL13" s="624" t="s">
        <v>3828</v>
      </c>
    </row>
    <row r="14" spans="1:69" ht="12.95" customHeight="1">
      <c r="A14" s="692">
        <v>6</v>
      </c>
      <c r="B14" s="615" t="s">
        <v>2962</v>
      </c>
      <c r="C14" s="700">
        <v>17</v>
      </c>
      <c r="D14" s="701">
        <f>C14+IF('SA&amp;DD'!D23="Y",'SA&amp;DD'!H23,0)</f>
        <v>17</v>
      </c>
      <c r="E14" s="702">
        <v>17</v>
      </c>
      <c r="F14" s="703" t="s">
        <v>4627</v>
      </c>
      <c r="G14" s="704">
        <f>VLOOKUP(E14,'System Lookups'!$F$4:$G$27,2)</f>
        <v>0.82</v>
      </c>
      <c r="H14" s="622">
        <f>IF(F14="r",0,IF($C$3=3,'System Lookups'!D157,IF($C$3=2,'System Lookups'!C157,'System Lookups'!B157)))</f>
        <v>19</v>
      </c>
      <c r="I14" s="625">
        <f>IF($C$3=4,10,2)</f>
        <v>2</v>
      </c>
      <c r="J14" s="625">
        <f>IF($C$3=6,16,IF(C3=4,IF($C$5&lt;3,18,IF($C$5&lt;4,20,25)),IF($C$5&lt;3,20,IF($C$5&lt;4,22,25))+IF('SA&amp;DD'!D18="Y",5,0)))</f>
        <v>22</v>
      </c>
      <c r="K14" s="598"/>
      <c r="L14" s="598"/>
      <c r="M14" s="663"/>
      <c r="N14" s="717">
        <f ca="1">IF(ISNA(MATCH("Y",'SA&amp;DD'!$D$7:$D$69,0)),"",INDIRECT("'sa&amp;dd'!a"&amp;MATCH("y",'SA&amp;DD'!$D$7:$D$69,0)+6))</f>
        <v>71</v>
      </c>
      <c r="O14" s="1214" t="str">
        <f ca="1">IF(ISNUMBER(N14),VLOOKUP(N14,'SA&amp;DD'!$A$7:$B$69,2)," ")</f>
        <v>Scholarship</v>
      </c>
      <c r="P14" s="1214"/>
      <c r="Q14" s="1214"/>
      <c r="R14" s="1214"/>
      <c r="S14" s="1214"/>
      <c r="T14" s="1214"/>
      <c r="U14" s="1214"/>
      <c r="V14" s="1214"/>
      <c r="W14" s="1214"/>
      <c r="X14" s="1216"/>
      <c r="Y14" s="1216"/>
      <c r="Z14" s="674"/>
      <c r="AA14" s="667">
        <v>18</v>
      </c>
      <c r="AC14" s="615" t="s">
        <v>5470</v>
      </c>
      <c r="AD14" s="620">
        <f>(+E16+E9)*0.25</f>
        <v>8.75</v>
      </c>
      <c r="AE14" s="609" t="s">
        <v>1650</v>
      </c>
      <c r="AF14" s="620">
        <f>IF((C3=2),(AD14+3),(IF((C3=1),(AD14+2),(AD14))))+Skills!X116+IF(ISNA(Skills!W116),0,Skills!W116)</f>
        <v>10.75</v>
      </c>
      <c r="AG14" s="598" t="s">
        <v>1650</v>
      </c>
      <c r="AL14" s="598"/>
      <c r="AM14" s="598"/>
      <c r="AN14" s="598"/>
      <c r="AO14" s="598"/>
      <c r="AP14" s="598"/>
      <c r="AQ14" s="598"/>
      <c r="AW14" s="707"/>
      <c r="AX14" s="661">
        <v>10</v>
      </c>
      <c r="AZ14" s="599" t="s">
        <v>61</v>
      </c>
      <c r="BA14" s="598" t="s">
        <v>2225</v>
      </c>
      <c r="BB14" s="598" t="s">
        <v>2225</v>
      </c>
      <c r="BC14" s="598" t="s">
        <v>3707</v>
      </c>
      <c r="BD14" s="598" t="s">
        <v>4595</v>
      </c>
      <c r="BE14" s="598" t="s">
        <v>2984</v>
      </c>
      <c r="BF14" s="1000" t="s">
        <v>6001</v>
      </c>
      <c r="BG14" s="624" t="s">
        <v>3912</v>
      </c>
      <c r="BH14" s="598" t="s">
        <v>3826</v>
      </c>
      <c r="BI14" s="598" t="s">
        <v>4594</v>
      </c>
      <c r="BJ14" s="624" t="s">
        <v>3834</v>
      </c>
      <c r="BK14" s="598" t="s">
        <v>5438</v>
      </c>
      <c r="BL14" s="624" t="s">
        <v>5171</v>
      </c>
    </row>
    <row r="15" spans="1:69" ht="12.95" customHeight="1">
      <c r="A15" s="692">
        <v>7</v>
      </c>
      <c r="B15" s="615" t="s">
        <v>1148</v>
      </c>
      <c r="C15" s="700">
        <v>20</v>
      </c>
      <c r="D15" s="701">
        <f>C15+IF(C3=5,-3,0)+IF('SA&amp;DD'!D24="Y",'SA&amp;DD'!H24,0)</f>
        <v>20</v>
      </c>
      <c r="E15" s="702">
        <v>20</v>
      </c>
      <c r="F15" s="703" t="s">
        <v>4627</v>
      </c>
      <c r="G15" s="704">
        <f>VLOOKUP(E15,'System Lookups'!$F$4:$G$27,2)</f>
        <v>0.9</v>
      </c>
      <c r="H15" s="622">
        <f>IF(F15="r",0,IF($C$3=3,'System Lookups'!D159,IF($C$3=2,'System Lookups'!C159,'System Lookups'!B159)))</f>
        <v>25</v>
      </c>
      <c r="I15" s="625">
        <f>IF($C$3=2,2,2)</f>
        <v>2</v>
      </c>
      <c r="J15" s="625">
        <f>IF($C$3=2,15,IF(C3=4,IF($C$5&lt;3,18,IF($C$5&lt;4,20,25)),IF($C$5&lt;3,20,IF($C$5&lt;4,22,25))+IF('SA&amp;DD'!D18="Y",5,0)))</f>
        <v>22</v>
      </c>
      <c r="K15" s="598"/>
      <c r="L15" s="598"/>
      <c r="M15" s="663"/>
      <c r="N15" s="717">
        <f ca="1">IF(ISNUMBER(N14),IF(ISNA(MATCH("Y",INDIRECT("'SA&amp;DD'!$D$"&amp;(MATCH(N14,'SA&amp;DD'!$A$7:$A$69,0)+7)&amp;":$D$69"),0)),"",INDIRECT("'sa&amp;dd'!a"&amp;MATCH("y",INDIRECT("'SA&amp;DD'!$D$"&amp;(MATCH(N14,'SA&amp;DD'!$A$7:$A$69,0)+7)&amp;":$D$69"),0)+MATCH(N14,'SA&amp;DD'!$A$7:$A$69,0)+6)),"")</f>
        <v>88</v>
      </c>
      <c r="O15" s="1214" t="str">
        <f ca="1">IF(ISNUMBER(N15),VLOOKUP(N15,'SA&amp;DD'!$A$7:$B$69,2)," ")</f>
        <v>Situational Awareness (Major)</v>
      </c>
      <c r="P15" s="1214"/>
      <c r="Q15" s="1214"/>
      <c r="R15" s="1214"/>
      <c r="S15" s="1214"/>
      <c r="T15" s="1214"/>
      <c r="U15" s="1214"/>
      <c r="V15" s="1214"/>
      <c r="W15" s="1214"/>
      <c r="X15" s="1216"/>
      <c r="Y15" s="1216"/>
      <c r="Z15" s="674"/>
      <c r="AA15" s="598"/>
      <c r="AC15" s="615" t="s">
        <v>17</v>
      </c>
      <c r="AD15" s="620">
        <f>AF14+1</f>
        <v>11.75</v>
      </c>
      <c r="AE15" s="609" t="s">
        <v>1058</v>
      </c>
      <c r="AF15" s="620">
        <f>AF14+10</f>
        <v>20.75</v>
      </c>
      <c r="AG15" s="598" t="s">
        <v>1650</v>
      </c>
      <c r="AK15" s="687">
        <v>4</v>
      </c>
      <c r="AL15" s="688"/>
      <c r="AM15" s="672"/>
      <c r="AO15" s="602">
        <v>9</v>
      </c>
      <c r="AR15" s="660" t="s">
        <v>980</v>
      </c>
      <c r="AW15" s="707"/>
      <c r="AX15" s="661">
        <v>11</v>
      </c>
      <c r="AZ15" s="599" t="s">
        <v>5082</v>
      </c>
      <c r="BA15" s="598" t="s">
        <v>2225</v>
      </c>
      <c r="BB15" s="598" t="s">
        <v>2225</v>
      </c>
      <c r="BC15" s="598" t="s">
        <v>584</v>
      </c>
      <c r="BD15" s="598" t="s">
        <v>3651</v>
      </c>
      <c r="BE15" s="598" t="s">
        <v>3709</v>
      </c>
      <c r="BF15" s="1000" t="s">
        <v>6002</v>
      </c>
      <c r="BG15" s="624" t="s">
        <v>3711</v>
      </c>
      <c r="BH15" s="598" t="s">
        <v>3831</v>
      </c>
      <c r="BI15" s="598" t="s">
        <v>4595</v>
      </c>
      <c r="BJ15" s="624" t="s">
        <v>898</v>
      </c>
      <c r="BK15" s="1023" t="s">
        <v>6045</v>
      </c>
      <c r="BL15" s="624" t="s">
        <v>3923</v>
      </c>
    </row>
    <row r="16" spans="1:69" ht="12.95" customHeight="1">
      <c r="A16" s="692">
        <v>8</v>
      </c>
      <c r="B16" s="615" t="s">
        <v>1147</v>
      </c>
      <c r="C16" s="700">
        <v>20</v>
      </c>
      <c r="D16" s="701">
        <f>C16+IF($E$26="Serf",2,0)+IF(C3=5,10,0)+IF('SA&amp;DD'!D36="Y",ROUNDUP('SA&amp;DD'!G36/2,0),0)+IF('SA&amp;DD'!D30="Y",'SA&amp;DD'!G30+2,0)+IF('SA&amp;DD'!D25="Y",'SA&amp;DD'!H25,0)+IF(AND(C3=4,E26="Bonded"),1,0)</f>
        <v>20</v>
      </c>
      <c r="E16" s="702">
        <v>20</v>
      </c>
      <c r="F16" s="703" t="s">
        <v>4627</v>
      </c>
      <c r="G16" s="704">
        <f>VLOOKUP(E16,'System Lookups'!$F$4:$G$27,2)</f>
        <v>0.9</v>
      </c>
      <c r="H16" s="622">
        <f>IF(F16="r",0,IF($C$3=3,'System Lookups'!D158,IF($C$3=2,'System Lookups'!C158,'System Lookups'!B158)))</f>
        <v>25</v>
      </c>
      <c r="I16" s="625">
        <f>IF($C$3=3,12,IF($C$3=6,14,2))</f>
        <v>2</v>
      </c>
      <c r="J16" s="625">
        <f>IF($C$3=6,25,IF($C$3=7,17,IF(C3=4,IF($C$5&lt;3,15,IF($C$5&lt;4,17,20)),IF($C$5&lt;3,20,IF($C$5&lt;4,22,25))+IF('SA&amp;DD'!D18="Y",5,0))))</f>
        <v>22</v>
      </c>
      <c r="K16" s="598"/>
      <c r="L16" s="598"/>
      <c r="M16" s="663"/>
      <c r="N16" s="1020" t="str">
        <f ca="1">IF(ISNUMBER(N15),IF(ISNA(MATCH("Y",INDIRECT("'SA&amp;DD'!$D$"&amp;(MATCH(N15,'SA&amp;DD'!$A$7:$A$69,0)+7)&amp;":$D$69"),0)),"",INDIRECT("'sa&amp;dd'!a"&amp;MATCH("y",INDIRECT("'SA&amp;DD'!$D$"&amp;(MATCH(N15,'SA&amp;DD'!$A$7:$A$69,0)+7)&amp;":$D$69"),0)+MATCH(N15,'SA&amp;DD'!$A$7:$A$69,0)+6)),"")</f>
        <v/>
      </c>
      <c r="O16" s="1214" t="str">
        <f ca="1">IF(ISNUMBER(N16),VLOOKUP(N16,'SA&amp;DD'!$A$7:$B$69,2)," ")</f>
        <v xml:space="preserve"> </v>
      </c>
      <c r="P16" s="1214"/>
      <c r="Q16" s="1214"/>
      <c r="R16" s="1214"/>
      <c r="S16" s="1214"/>
      <c r="T16" s="1214"/>
      <c r="U16" s="1214"/>
      <c r="V16" s="1214"/>
      <c r="W16" s="1214"/>
      <c r="X16" s="1216"/>
      <c r="Y16" s="1216"/>
      <c r="Z16" s="1021"/>
      <c r="AA16" s="598"/>
      <c r="AC16" s="615" t="s">
        <v>405</v>
      </c>
      <c r="AD16" s="620">
        <f>AF14/2</f>
        <v>5.375</v>
      </c>
      <c r="AE16" s="609" t="s">
        <v>1650</v>
      </c>
      <c r="AF16" s="609"/>
      <c r="AG16" s="609"/>
      <c r="AJ16" s="663"/>
      <c r="AK16" s="608"/>
      <c r="AW16" s="602"/>
      <c r="AX16" s="661">
        <v>12</v>
      </c>
      <c r="AZ16" s="599" t="s">
        <v>5337</v>
      </c>
      <c r="BA16" s="598" t="s">
        <v>2225</v>
      </c>
      <c r="BB16" s="598" t="s">
        <v>2225</v>
      </c>
      <c r="BC16" s="598" t="s">
        <v>4383</v>
      </c>
      <c r="BD16" s="1000" t="s">
        <v>5996</v>
      </c>
      <c r="BE16" s="598" t="s">
        <v>3712</v>
      </c>
      <c r="BF16" s="598" t="s">
        <v>3710</v>
      </c>
      <c r="BG16" s="624" t="s">
        <v>3714</v>
      </c>
      <c r="BH16" s="598" t="s">
        <v>3827</v>
      </c>
      <c r="BI16" s="598" t="s">
        <v>5377</v>
      </c>
      <c r="BJ16" s="624" t="s">
        <v>899</v>
      </c>
      <c r="BK16" s="1023" t="s">
        <v>6047</v>
      </c>
      <c r="BL16" s="624" t="s">
        <v>3924</v>
      </c>
    </row>
    <row r="17" spans="1:64" ht="12.95" customHeight="1">
      <c r="A17" s="692">
        <v>9</v>
      </c>
      <c r="B17" s="615" t="s">
        <v>1149</v>
      </c>
      <c r="C17" s="700">
        <v>17</v>
      </c>
      <c r="D17" s="701">
        <f>C17+IF('SA&amp;DD'!D26="Y",'SA&amp;DD'!H26,0)</f>
        <v>17</v>
      </c>
      <c r="E17" s="702">
        <v>17</v>
      </c>
      <c r="F17" s="703" t="s">
        <v>4627</v>
      </c>
      <c r="G17" s="704">
        <f>VLOOKUP(E17,'System Lookups'!$F$4:$G$27,2)</f>
        <v>0.82</v>
      </c>
      <c r="H17" s="622">
        <f>IF(F17="r",0,IF($C$3=3,'System Lookups'!D160,IF($C$3=2,'System Lookups'!C160,'System Lookups'!B160)))</f>
        <v>19</v>
      </c>
      <c r="I17" s="625">
        <f>IF($C$3=2,2,2)</f>
        <v>2</v>
      </c>
      <c r="J17" s="625">
        <f>IF(C3=4,IF($C$5&lt;3,18,IF($C$5&lt;4,20,25)),IF($C$5&lt;3,20,IF($C$5&lt;4,22,25))+IF('SA&amp;DD'!D18="Y",5,0))</f>
        <v>22</v>
      </c>
      <c r="K17" s="598"/>
      <c r="L17" s="598"/>
      <c r="M17" s="663"/>
      <c r="N17" s="1029" t="str">
        <f ca="1">IF(ISNUMBER(N16),IF(ISNA(MATCH("Y",INDIRECT("'SA&amp;DD'!$D$"&amp;(MATCH(N16,'SA&amp;DD'!$A$7:$A$69,0)+7)&amp;":$D$69"),0)),"",INDIRECT("'sa&amp;dd'!a"&amp;MATCH("y",INDIRECT("'SA&amp;DD'!$D$"&amp;(MATCH(N16,'SA&amp;DD'!$A$7:$A$69,0)+7)&amp;":$D$69"),0)+MATCH(N16,'SA&amp;DD'!$A$7:$A$69,0)+6)),"")</f>
        <v/>
      </c>
      <c r="O17" s="1214" t="str">
        <f ca="1">IF(ISNUMBER(N17),VLOOKUP(N17,'SA&amp;DD'!$A$7:$B$69,2)," ")</f>
        <v xml:space="preserve"> </v>
      </c>
      <c r="P17" s="1214"/>
      <c r="Q17" s="1214"/>
      <c r="R17" s="1214"/>
      <c r="S17" s="1214"/>
      <c r="T17" s="1214"/>
      <c r="U17" s="1214"/>
      <c r="V17" s="1214"/>
      <c r="W17" s="1214"/>
      <c r="X17" s="1216"/>
      <c r="Y17" s="1216"/>
      <c r="Z17" s="674"/>
      <c r="AJ17" s="663"/>
      <c r="AK17" s="668">
        <v>5</v>
      </c>
      <c r="AL17" s="603"/>
      <c r="AM17" s="603"/>
      <c r="AO17" s="660" t="s">
        <v>3932</v>
      </c>
      <c r="AW17" s="602"/>
      <c r="AX17" s="661">
        <v>13</v>
      </c>
      <c r="AZ17" s="599" t="s">
        <v>4611</v>
      </c>
      <c r="BA17" s="598" t="s">
        <v>2225</v>
      </c>
      <c r="BB17" s="598" t="s">
        <v>2225</v>
      </c>
      <c r="BC17" s="598" t="s">
        <v>4384</v>
      </c>
      <c r="BD17" s="598" t="s">
        <v>587</v>
      </c>
      <c r="BE17" s="598" t="s">
        <v>2983</v>
      </c>
      <c r="BF17" s="598" t="s">
        <v>3639</v>
      </c>
      <c r="BG17" s="598" t="s">
        <v>2225</v>
      </c>
      <c r="BH17" s="598" t="s">
        <v>3828</v>
      </c>
      <c r="BI17" s="598" t="s">
        <v>5378</v>
      </c>
      <c r="BJ17" s="624" t="s">
        <v>900</v>
      </c>
      <c r="BK17" s="598" t="s">
        <v>3444</v>
      </c>
      <c r="BL17" s="624" t="s">
        <v>2985</v>
      </c>
    </row>
    <row r="18" spans="1:64" ht="12.95" customHeight="1">
      <c r="A18" s="667">
        <v>5</v>
      </c>
      <c r="B18" s="615" t="s">
        <v>3035</v>
      </c>
      <c r="C18" s="628">
        <v>10</v>
      </c>
      <c r="D18" s="701">
        <f>C18</f>
        <v>10</v>
      </c>
      <c r="E18" s="622">
        <f>C18+2</f>
        <v>12</v>
      </c>
      <c r="F18" s="598"/>
      <c r="G18" s="704">
        <f>VLOOKUP(E18,'System Lookups'!$F$4:$G$27,2)</f>
        <v>0.66</v>
      </c>
      <c r="H18" s="598"/>
      <c r="I18" s="598"/>
      <c r="J18" s="598"/>
      <c r="K18" s="598"/>
      <c r="L18" s="598"/>
      <c r="M18" s="663"/>
      <c r="N18" s="717" t="str">
        <f ca="1">IF(ISNUMBER(N17),IF(ISNA(MATCH("Y",INDIRECT("'SA&amp;DD'!$D$"&amp;(MATCH(N17,'SA&amp;DD'!$A$7:$A$69,0)+7)&amp;":$D$69"),0)),"",INDIRECT("'sa&amp;dd'!a"&amp;MATCH("y",INDIRECT("'SA&amp;DD'!$D$"&amp;(MATCH(N17,'SA&amp;DD'!$A$7:$A$69,0)+7)&amp;":$D$69"),0)+MATCH(N17,'SA&amp;DD'!$A$7:$A$69,0)+6)),"")</f>
        <v/>
      </c>
      <c r="O18" s="1214" t="str">
        <f ca="1">IF(ISNUMBER(N18),VLOOKUP(N18,'SA&amp;DD'!$A$7:$B$69,2)," ")</f>
        <v xml:space="preserve"> </v>
      </c>
      <c r="P18" s="1214"/>
      <c r="Q18" s="1214"/>
      <c r="R18" s="1214"/>
      <c r="S18" s="1214"/>
      <c r="T18" s="1214"/>
      <c r="U18" s="1214"/>
      <c r="V18" s="1214"/>
      <c r="W18" s="1214"/>
      <c r="X18" s="1216"/>
      <c r="Y18" s="1216"/>
      <c r="Z18" s="1021"/>
      <c r="AA18" s="667">
        <v>19</v>
      </c>
      <c r="AC18" s="708" t="s">
        <v>626</v>
      </c>
      <c r="AD18" s="620">
        <f>(E9+MIN(20,MAX(E12,E14)))/2+IF(E26="Serf",3,IF(E26="Rural freeman",2,IF(E26="townsman",0,IF(E26="guildsman",0,3))))+IF(AND(C3=4,E26="Lower Freeman"),1,0)</f>
        <v>19</v>
      </c>
      <c r="AE18" s="608"/>
      <c r="AF18" s="636"/>
      <c r="AG18" s="636"/>
      <c r="AJ18" s="663"/>
      <c r="AK18" s="608"/>
      <c r="AW18" s="602"/>
      <c r="AX18" s="661">
        <v>14</v>
      </c>
      <c r="AZ18" s="599" t="s">
        <v>1885</v>
      </c>
      <c r="BA18" s="598" t="s">
        <v>2225</v>
      </c>
      <c r="BB18" s="598" t="s">
        <v>2225</v>
      </c>
      <c r="BC18" s="598" t="s">
        <v>586</v>
      </c>
      <c r="BD18" s="1000" t="s">
        <v>992</v>
      </c>
      <c r="BE18" s="598" t="s">
        <v>2225</v>
      </c>
      <c r="BF18" s="598" t="s">
        <v>3713</v>
      </c>
      <c r="BG18" s="598" t="s">
        <v>2225</v>
      </c>
      <c r="BH18" s="598" t="s">
        <v>3829</v>
      </c>
      <c r="BI18" s="598" t="s">
        <v>4596</v>
      </c>
      <c r="BJ18" s="624" t="s">
        <v>2987</v>
      </c>
      <c r="BK18" s="598" t="s">
        <v>6126</v>
      </c>
      <c r="BL18" s="624" t="s">
        <v>3925</v>
      </c>
    </row>
    <row r="19" spans="1:64" ht="12.95" customHeight="1">
      <c r="B19" s="615" t="s">
        <v>1087</v>
      </c>
      <c r="C19" s="639">
        <v>5</v>
      </c>
      <c r="D19" s="701">
        <f>C19</f>
        <v>5</v>
      </c>
      <c r="E19" s="622">
        <f>IF(C19=10,D9+3,IF(C19=9,D9+2,IF(C19&gt;6,D9+1,IF(C19&gt;3,D9,IF(C19=3,D9-1,IF(C19=2,D9-2,D9-3))))))</f>
        <v>15</v>
      </c>
      <c r="F19" s="598"/>
      <c r="G19" s="704">
        <f>VLOOKUP(E19,'System Lookups'!$F$4:$G$27,2)</f>
        <v>0.76</v>
      </c>
      <c r="H19" s="632"/>
      <c r="I19" s="632"/>
      <c r="J19" s="598"/>
      <c r="K19" s="598"/>
      <c r="L19" s="598"/>
      <c r="M19" s="663"/>
      <c r="N19" s="1020" t="str">
        <f ca="1">IF(ISNUMBER(N18),IF(ISNA(MATCH("Y",INDIRECT("'SA&amp;DD'!$D$"&amp;(MATCH(N18,'SA&amp;DD'!$A$7:$A$69,0)+7)&amp;":$D$69"),0)),"",INDIRECT("'sa&amp;dd'!a"&amp;MATCH("y",INDIRECT("'SA&amp;DD'!$D$"&amp;(MATCH(N18,'SA&amp;DD'!$A$7:$A$69,0)+7)&amp;":$D$69"),0)+MATCH(N18,'SA&amp;DD'!$A$7:$A$69,0)+6)),"")</f>
        <v/>
      </c>
      <c r="O19" s="1214" t="str">
        <f ca="1">IF(ISNUMBER(N19),VLOOKUP(N19,'SA&amp;DD'!$A$7:$B$69,2)," ")</f>
        <v xml:space="preserve"> </v>
      </c>
      <c r="P19" s="1214"/>
      <c r="Q19" s="1214"/>
      <c r="R19" s="1214"/>
      <c r="S19" s="1214"/>
      <c r="T19" s="1214"/>
      <c r="U19" s="1214"/>
      <c r="V19" s="1214"/>
      <c r="W19" s="1214"/>
      <c r="X19" s="1216"/>
      <c r="Y19" s="1216"/>
      <c r="Z19" s="1033"/>
      <c r="AC19" s="708" t="s">
        <v>2505</v>
      </c>
      <c r="AD19" s="680">
        <f>AD18/5</f>
        <v>3.8</v>
      </c>
      <c r="AE19" s="608"/>
      <c r="AF19" s="636"/>
      <c r="AG19" s="636"/>
      <c r="AJ19" s="663"/>
      <c r="AW19" s="602"/>
      <c r="AX19" s="661">
        <v>15</v>
      </c>
      <c r="AZ19" s="599" t="s">
        <v>1886</v>
      </c>
      <c r="BB19" s="598" t="s">
        <v>2225</v>
      </c>
      <c r="BC19" s="598" t="s">
        <v>2490</v>
      </c>
      <c r="BD19" s="1000" t="s">
        <v>5997</v>
      </c>
      <c r="BE19" s="598" t="s">
        <v>2225</v>
      </c>
      <c r="BF19" s="598" t="s">
        <v>4584</v>
      </c>
      <c r="BG19" s="598" t="s">
        <v>2225</v>
      </c>
      <c r="BH19" s="598" t="s">
        <v>3830</v>
      </c>
      <c r="BI19" s="598" t="s">
        <v>4597</v>
      </c>
      <c r="BJ19" s="624" t="s">
        <v>901</v>
      </c>
      <c r="BK19" s="598" t="s">
        <v>6127</v>
      </c>
      <c r="BL19" s="624" t="s">
        <v>3926</v>
      </c>
    </row>
    <row r="20" spans="1:64" ht="12.95" customHeight="1">
      <c r="B20" s="685" t="s">
        <v>774</v>
      </c>
      <c r="C20" s="685"/>
      <c r="D20" s="598"/>
      <c r="E20" s="620">
        <f>CEILING((SUM(BQ7:BQ10)+E18)/5,1)</f>
        <v>10</v>
      </c>
      <c r="F20" s="598"/>
      <c r="G20" s="704">
        <f>VLOOKUP(E20,'System Lookups'!$F$4:$G$27,2)</f>
        <v>0.57999999999999996</v>
      </c>
      <c r="H20" s="686"/>
      <c r="I20" s="598"/>
      <c r="J20" s="710"/>
      <c r="K20" s="598"/>
      <c r="L20" s="598"/>
      <c r="M20" s="663"/>
      <c r="N20" s="608"/>
      <c r="P20" s="602"/>
      <c r="Q20" s="602"/>
      <c r="R20" s="602"/>
      <c r="S20" s="602"/>
      <c r="T20" s="602"/>
      <c r="U20" s="602"/>
      <c r="V20" s="602"/>
      <c r="W20" s="602"/>
      <c r="X20" s="602"/>
      <c r="AA20" s="663"/>
      <c r="AC20" s="708" t="s">
        <v>2506</v>
      </c>
      <c r="AD20" s="620">
        <f>AD18+MIN(AD19,IF(ISNA(Skills!$AU$112),0,Skills!$AU$112+1))</f>
        <v>19</v>
      </c>
      <c r="AE20" s="608"/>
      <c r="AF20" s="636"/>
      <c r="AG20" s="636"/>
      <c r="AW20" s="602"/>
      <c r="AX20" s="661">
        <v>16</v>
      </c>
      <c r="AZ20" s="599" t="s">
        <v>1887</v>
      </c>
      <c r="BB20" s="598" t="s">
        <v>2225</v>
      </c>
      <c r="BC20" s="598" t="s">
        <v>3899</v>
      </c>
      <c r="BD20" s="598" t="s">
        <v>5998</v>
      </c>
      <c r="BE20" s="598" t="s">
        <v>2225</v>
      </c>
      <c r="BF20" s="1050" t="s">
        <v>6134</v>
      </c>
      <c r="BG20" s="598" t="s">
        <v>2225</v>
      </c>
      <c r="BH20" s="1023" t="s">
        <v>6040</v>
      </c>
      <c r="BI20" s="598" t="s">
        <v>585</v>
      </c>
      <c r="BJ20" s="624" t="s">
        <v>3656</v>
      </c>
      <c r="BL20" s="624" t="s">
        <v>3927</v>
      </c>
    </row>
    <row r="21" spans="1:64" ht="12.95" customHeight="1">
      <c r="B21" s="685" t="s">
        <v>3542</v>
      </c>
      <c r="C21" s="618"/>
      <c r="D21" s="598"/>
      <c r="E21" s="622">
        <f>CEILING(SUM(BO7:BO10,-MIN(BO7:BO10),LUCK,IF(E6="Well",3,IF(E6="Neutral",1,-3)))/4,1)</f>
        <v>22</v>
      </c>
      <c r="F21" s="598"/>
      <c r="G21" s="704">
        <f>VLOOKUP(CEILING(E21,1),'System Lookups'!$F$4:$G$27,2)</f>
        <v>0.94</v>
      </c>
      <c r="H21" s="711">
        <f>VLOOKUP($E$21,'System Lookups'!$P$20:$R$43,3)</f>
        <v>6</v>
      </c>
      <c r="I21" s="1254" t="str">
        <f>VLOOKUP($E$21,'System Lookups'!$P$20:$R$43,2)</f>
        <v>Heroic</v>
      </c>
      <c r="J21" s="1255"/>
      <c r="K21" s="598"/>
      <c r="L21" s="598"/>
      <c r="M21" s="667">
        <v>12</v>
      </c>
      <c r="N21" s="691" t="s">
        <v>4857</v>
      </c>
      <c r="O21" s="1277" t="s">
        <v>3838</v>
      </c>
      <c r="P21" s="1277"/>
      <c r="Q21" s="1277"/>
      <c r="R21" s="1277"/>
      <c r="S21" s="1277"/>
      <c r="T21" s="1277"/>
      <c r="U21" s="1277"/>
      <c r="V21" s="1277"/>
      <c r="W21" s="1277"/>
      <c r="X21" s="747" t="s">
        <v>5222</v>
      </c>
      <c r="Y21" s="717">
        <f>IF(X21="Y",'SA&amp;DD'!K4-('SA&amp;DD'!N30+'SA&amp;DD'!N33+'SA&amp;DD'!N36)," ")</f>
        <v>0</v>
      </c>
      <c r="AA21" s="663"/>
      <c r="AC21" s="598"/>
      <c r="AD21" s="632" t="s">
        <v>940</v>
      </c>
      <c r="AE21" s="712"/>
      <c r="AF21" s="625" t="s">
        <v>2968</v>
      </c>
      <c r="AG21" s="609"/>
      <c r="AW21" s="602"/>
      <c r="AX21" s="661">
        <v>17</v>
      </c>
      <c r="AZ21" s="599" t="s">
        <v>1888</v>
      </c>
      <c r="BB21" s="598" t="s">
        <v>2225</v>
      </c>
      <c r="BC21" s="598" t="s">
        <v>3820</v>
      </c>
      <c r="BD21" s="598" t="s">
        <v>993</v>
      </c>
      <c r="BE21" s="598" t="s">
        <v>2225</v>
      </c>
      <c r="BF21" s="598" t="s">
        <v>6135</v>
      </c>
      <c r="BG21" s="598" t="s">
        <v>2225</v>
      </c>
      <c r="BH21" s="1023" t="s">
        <v>6044</v>
      </c>
      <c r="BI21" s="598" t="s">
        <v>2490</v>
      </c>
      <c r="BJ21" s="624" t="s">
        <v>5436</v>
      </c>
      <c r="BL21" s="624" t="s">
        <v>3928</v>
      </c>
    </row>
    <row r="22" spans="1:64" ht="12.95" customHeight="1">
      <c r="B22" s="598"/>
      <c r="C22" s="598"/>
      <c r="D22" s="615" t="s">
        <v>4787</v>
      </c>
      <c r="E22" s="622">
        <f>SUM(H9:H17)</f>
        <v>153</v>
      </c>
      <c r="F22" s="619" t="str">
        <f>IF(E23&gt;G5,IF(C5&lt;&gt;5,"Unbal."," ")," ")</f>
        <v xml:space="preserve"> </v>
      </c>
      <c r="K22" s="713"/>
      <c r="L22" s="713"/>
      <c r="M22" s="709"/>
      <c r="N22" s="717" t="str">
        <f ca="1">IF(ISNA(MATCH("Y",'SA&amp;DD'!$L$7:$L$69,0)),"",INDIRECT("'sa&amp;dd'!i"&amp;MATCH("y",'SA&amp;DD'!$L$7:$L$69,0)+6))</f>
        <v/>
      </c>
      <c r="O22" s="1214" t="str">
        <f ca="1">IF(ISNUMBER(N22),VLOOKUP(N22,'SA&amp;DD'!$I$7:$J$53,2)," ")</f>
        <v xml:space="preserve"> </v>
      </c>
      <c r="P22" s="1214"/>
      <c r="Q22" s="1214"/>
      <c r="R22" s="1214"/>
      <c r="S22" s="1214"/>
      <c r="T22" s="1214"/>
      <c r="U22" s="1214"/>
      <c r="V22" s="1214"/>
      <c r="W22" s="1214"/>
      <c r="X22" s="1214"/>
      <c r="Y22" s="1214"/>
      <c r="AA22" s="663"/>
      <c r="AC22" s="685" t="s">
        <v>2634</v>
      </c>
      <c r="AD22" s="622">
        <f>IF((C3=1),(5),(IF((C3=2),(6),((IF((C3=3),(4),3))))))</f>
        <v>5</v>
      </c>
      <c r="AE22" s="598" t="s">
        <v>976</v>
      </c>
      <c r="AF22" s="622">
        <f>IF((C3=1),(8),(IF((C3=2),(9),((IF((C3=3),(7),6))))))</f>
        <v>8</v>
      </c>
      <c r="AG22" s="598" t="s">
        <v>976</v>
      </c>
      <c r="AK22" s="598"/>
      <c r="AW22" s="602"/>
      <c r="AX22" s="661">
        <v>18</v>
      </c>
      <c r="AZ22" s="599" t="s">
        <v>1889</v>
      </c>
      <c r="BB22" s="598" t="s">
        <v>2225</v>
      </c>
      <c r="BC22" s="598" t="s">
        <v>3821</v>
      </c>
      <c r="BD22" s="598" t="s">
        <v>3822</v>
      </c>
      <c r="BF22" s="1050" t="s">
        <v>3643</v>
      </c>
      <c r="BH22" s="598" t="s">
        <v>6128</v>
      </c>
      <c r="BI22" s="598" t="s">
        <v>3649</v>
      </c>
      <c r="BJ22" s="624" t="s">
        <v>902</v>
      </c>
      <c r="BL22" s="1023" t="s">
        <v>6041</v>
      </c>
    </row>
    <row r="23" spans="1:64" ht="12.95" customHeight="1">
      <c r="B23" s="598"/>
      <c r="C23" s="598"/>
      <c r="D23" s="615" t="s">
        <v>1547</v>
      </c>
      <c r="E23" s="622">
        <f>E22+('SA&amp;DD'!C4+'SA&amp;DD'!K4)+'System Lookups'!L182</f>
        <v>150</v>
      </c>
      <c r="F23" s="609"/>
      <c r="K23" s="713"/>
      <c r="L23" s="713"/>
      <c r="M23" s="614"/>
      <c r="N23" s="717" t="str">
        <f ca="1">IF(ISNUMBER(N22),IF(ISNA(MATCH("Y",INDIRECT("'SA&amp;DD'!$l$"&amp;(MATCH(N22,'SA&amp;DD'!$I$7:$I$69,0)+7)&amp;":$l$69"),0)),"",INDIRECT("'sa&amp;dd'!i"&amp;MATCH("y",INDIRECT("'SA&amp;DD'!$l$"&amp;(MATCH(N22,'SA&amp;DD'!$I$7:$I$69,0)+7)&amp;":$l$69"),0)+MATCH(N22,'SA&amp;DD'!$I$7:$I$69,0)+6)),"")</f>
        <v/>
      </c>
      <c r="O23" s="1214" t="str">
        <f ca="1">IF(ISNUMBER(N23),VLOOKUP(N23,'SA&amp;DD'!$I$7:$J$53,2)," ")</f>
        <v xml:space="preserve"> </v>
      </c>
      <c r="P23" s="1214"/>
      <c r="Q23" s="1214"/>
      <c r="R23" s="1214"/>
      <c r="S23" s="1214"/>
      <c r="T23" s="1214"/>
      <c r="U23" s="1214"/>
      <c r="V23" s="1214"/>
      <c r="W23" s="1214"/>
      <c r="X23" s="1214"/>
      <c r="Y23" s="1214"/>
      <c r="AF23" s="672" t="s">
        <v>673</v>
      </c>
      <c r="AH23" s="603"/>
      <c r="AI23" s="598"/>
      <c r="AJ23" s="598"/>
      <c r="AK23" s="598"/>
      <c r="AW23" s="602"/>
      <c r="AX23" s="661">
        <v>19</v>
      </c>
      <c r="AZ23" s="599" t="s">
        <v>2678</v>
      </c>
      <c r="BB23" s="598" t="s">
        <v>2225</v>
      </c>
      <c r="BC23" s="598" t="s">
        <v>3638</v>
      </c>
      <c r="BD23" s="598" t="s">
        <v>3823</v>
      </c>
      <c r="BF23" s="1050" t="s">
        <v>3641</v>
      </c>
      <c r="BH23" s="598" t="s">
        <v>2225</v>
      </c>
      <c r="BI23" s="598" t="s">
        <v>5165</v>
      </c>
      <c r="BJ23" s="624" t="s">
        <v>903</v>
      </c>
      <c r="BL23" s="1023" t="s">
        <v>6042</v>
      </c>
    </row>
    <row r="24" spans="1:64" ht="12.95" customHeight="1">
      <c r="B24" s="603"/>
      <c r="C24" s="598"/>
      <c r="D24" s="615" t="s">
        <v>4788</v>
      </c>
      <c r="E24" s="606">
        <f>Experience!R16</f>
        <v>0</v>
      </c>
      <c r="F24" s="609"/>
      <c r="I24" s="1256" t="s">
        <v>3840</v>
      </c>
      <c r="J24" s="1257"/>
      <c r="K24" s="1257"/>
      <c r="L24" s="1258"/>
      <c r="M24" s="709"/>
      <c r="N24" s="717" t="str">
        <f ca="1">IF(ISNUMBER(N23),IF(ISNA(MATCH("Y",INDIRECT("'SA&amp;DD'!$l$"&amp;(MATCH(N23,'SA&amp;DD'!$I$7:$I$69,0)+7)&amp;":$l$69"),0)),"",INDIRECT("'sa&amp;dd'!i"&amp;MATCH("y",INDIRECT("'SA&amp;DD'!$l$"&amp;(MATCH(N23,'SA&amp;DD'!$I$7:$I$69,0)+7)&amp;":$l$69"),0)+MATCH(N23,'SA&amp;DD'!$I$7:$I$69,0)+6)),"")</f>
        <v/>
      </c>
      <c r="O24" s="1214" t="str">
        <f ca="1">IF(ISNUMBER(N24),VLOOKUP(N24,'SA&amp;DD'!$I$7:$J$53,2)," ")</f>
        <v xml:space="preserve"> </v>
      </c>
      <c r="P24" s="1214"/>
      <c r="Q24" s="1214"/>
      <c r="R24" s="1214"/>
      <c r="S24" s="1214"/>
      <c r="T24" s="1214"/>
      <c r="U24" s="1214"/>
      <c r="V24" s="1214"/>
      <c r="W24" s="1214"/>
      <c r="X24" s="1214"/>
      <c r="Y24" s="1214"/>
      <c r="AD24" s="1292" t="s">
        <v>3769</v>
      </c>
      <c r="AE24" s="1293"/>
      <c r="AF24" s="603" t="s">
        <v>670</v>
      </c>
      <c r="AH24" s="603"/>
      <c r="AI24" s="636"/>
      <c r="AJ24" s="636"/>
      <c r="AK24" s="598"/>
      <c r="AP24" s="1024"/>
      <c r="AX24" s="661">
        <v>20</v>
      </c>
      <c r="AZ24" s="599" t="s">
        <v>1890</v>
      </c>
      <c r="BB24" s="598" t="s">
        <v>2225</v>
      </c>
      <c r="BC24" s="598" t="s">
        <v>587</v>
      </c>
      <c r="BD24" s="598" t="s">
        <v>3708</v>
      </c>
      <c r="BF24" s="1050" t="s">
        <v>3642</v>
      </c>
      <c r="BI24" s="598" t="s">
        <v>5166</v>
      </c>
      <c r="BJ24" s="624" t="s">
        <v>904</v>
      </c>
      <c r="BL24" s="1023" t="s">
        <v>6043</v>
      </c>
    </row>
    <row r="25" spans="1:64" ht="12.95" customHeight="1">
      <c r="B25" s="603"/>
      <c r="C25" s="598"/>
      <c r="D25" s="685" t="s">
        <v>4789</v>
      </c>
      <c r="E25" s="622">
        <f>Experience!R15</f>
        <v>1</v>
      </c>
      <c r="F25" s="598"/>
      <c r="G25" s="598"/>
      <c r="H25" s="598"/>
      <c r="I25" s="1259"/>
      <c r="J25" s="1260"/>
      <c r="K25" s="1260"/>
      <c r="L25" s="1261"/>
      <c r="M25" s="663"/>
      <c r="N25" s="717" t="str">
        <f ca="1">IF(ISNUMBER(N24),IF(ISNA(MATCH("Y",INDIRECT("'SA&amp;DD'!$l$"&amp;(MATCH(N24,'SA&amp;DD'!$I$7:$I$69,0)+7)&amp;":$l$69"),0)),"",INDIRECT("'sa&amp;dd'!i"&amp;MATCH("y",INDIRECT("'SA&amp;DD'!$l$"&amp;(MATCH(N24,'SA&amp;DD'!$I$7:$I$69,0)+7)&amp;":$l$69"),0)+MATCH(N24,'SA&amp;DD'!$I$7:$I$69,0)+6)),"")</f>
        <v/>
      </c>
      <c r="O25" s="1214" t="str">
        <f ca="1">IF(ISNUMBER(N25),VLOOKUP(N25,'SA&amp;DD'!$I$7:$J$53,2)," ")</f>
        <v xml:space="preserve"> </v>
      </c>
      <c r="P25" s="1214"/>
      <c r="Q25" s="1214"/>
      <c r="R25" s="1214"/>
      <c r="S25" s="1214"/>
      <c r="T25" s="1214"/>
      <c r="U25" s="1214"/>
      <c r="V25" s="1214"/>
      <c r="W25" s="1214"/>
      <c r="X25" s="1214"/>
      <c r="Y25" s="1214"/>
      <c r="Z25" s="672"/>
      <c r="AD25" s="716" t="s">
        <v>1396</v>
      </c>
      <c r="AE25" s="679">
        <f ca="1">INT(RAND()*100)</f>
        <v>89</v>
      </c>
      <c r="AF25" s="603" t="s">
        <v>5605</v>
      </c>
      <c r="AH25" s="598"/>
      <c r="AI25" s="636"/>
      <c r="AJ25" s="636"/>
      <c r="AK25" s="598"/>
      <c r="AL25" s="598"/>
      <c r="AM25" s="598"/>
      <c r="AX25" s="661">
        <v>21</v>
      </c>
      <c r="AZ25" s="599" t="s">
        <v>5552</v>
      </c>
      <c r="BB25" s="598" t="s">
        <v>2225</v>
      </c>
      <c r="BC25" s="598" t="s">
        <v>2491</v>
      </c>
      <c r="BD25" s="598" t="s">
        <v>584</v>
      </c>
      <c r="BF25" s="1050" t="s">
        <v>4586</v>
      </c>
      <c r="BI25" s="598" t="s">
        <v>5379</v>
      </c>
      <c r="BJ25" s="624" t="s">
        <v>4612</v>
      </c>
    </row>
    <row r="26" spans="1:64" ht="12.95" customHeight="1">
      <c r="A26" s="667">
        <v>6.2</v>
      </c>
      <c r="B26" s="689" t="s">
        <v>3839</v>
      </c>
      <c r="C26" s="628">
        <v>95</v>
      </c>
      <c r="D26" s="1077" t="s">
        <v>4629</v>
      </c>
      <c r="E26" s="1246" t="str">
        <f>IF(C3=2,'System Lookups'!I186,IF(C3=3,'System Lookups'!J186,IF(C3=4,'System Lookups'!K186,'System Lookups'!H186)))</f>
        <v>Baron</v>
      </c>
      <c r="F26" s="1247"/>
      <c r="G26" s="1247"/>
      <c r="H26" s="718" t="str">
        <f>IF(D26="P",'System Lookups'!I187," ")</f>
        <v xml:space="preserve"> </v>
      </c>
      <c r="I26" s="719">
        <f ca="1">IF(C28&lt;10,(INT(0.25*(IF($C$3=1,'System Lookups'!$I$192,IF($C$3=2,'System Lookups'!$J$192,'System Lookups'!$K$192))))), IF(AND(C28&gt;10,C28&lt;21),INT(0.75*(IF($C$3=1,'System Lookups'!$I$192,IF($C$3=2,'System Lookups'!$J$192,IF($C$3=4,'System Lookups'!$L$192,'System Lookups'!$K$192))))), (IF($C$3=1,'System Lookups'!$I$192,IF($C$3=2,'System Lookups'!$J$192,'System Lookups'!$K$192)))))</f>
        <v>23</v>
      </c>
      <c r="J26" s="1279" t="s">
        <v>940</v>
      </c>
      <c r="K26" s="1280"/>
      <c r="L26" s="1264"/>
      <c r="M26" s="663"/>
      <c r="N26" s="608"/>
      <c r="P26" s="602"/>
      <c r="Q26" s="602"/>
      <c r="R26" s="602"/>
      <c r="S26" s="602"/>
      <c r="T26" s="602"/>
      <c r="U26" s="602"/>
      <c r="V26" s="602"/>
      <c r="W26" s="602"/>
      <c r="X26" s="672"/>
      <c r="Y26" s="672"/>
      <c r="AD26" s="716" t="s">
        <v>3772</v>
      </c>
      <c r="AE26" s="679">
        <f ca="1">INT(RAND()*10)+INT(RAND()*10)</f>
        <v>10</v>
      </c>
      <c r="AF26" s="603" t="s">
        <v>5606</v>
      </c>
      <c r="AH26" s="598"/>
      <c r="AI26" s="598"/>
      <c r="AJ26" s="598"/>
      <c r="AX26" s="661">
        <v>22</v>
      </c>
      <c r="AZ26" s="599" t="s">
        <v>3968</v>
      </c>
      <c r="BB26" s="598" t="s">
        <v>2225</v>
      </c>
      <c r="BC26" s="598" t="s">
        <v>3651</v>
      </c>
      <c r="BD26" s="598" t="s">
        <v>5379</v>
      </c>
      <c r="BF26" s="1050" t="s">
        <v>2981</v>
      </c>
      <c r="BI26" s="598" t="s">
        <v>891</v>
      </c>
      <c r="BJ26" s="624" t="s">
        <v>3909</v>
      </c>
    </row>
    <row r="27" spans="1:64" ht="12.95" customHeight="1">
      <c r="A27" s="667">
        <v>6.3</v>
      </c>
      <c r="B27" s="720" t="s">
        <v>4893</v>
      </c>
      <c r="C27" s="1077">
        <v>50</v>
      </c>
      <c r="D27" s="1076" t="s">
        <v>4621</v>
      </c>
      <c r="E27" s="1246" t="str">
        <f ca="1">IF($C$3=1,'System Lookups'!I191,IF($C$3=2,'System Lookups'!J191,IF(C$3=3,'System Lookups'!K191,IF(C$3=4,'System Lookups'!L191,'System Lookups'!I191))))</f>
        <v>Baronet</v>
      </c>
      <c r="F27" s="1247"/>
      <c r="G27" s="1247"/>
      <c r="H27" s="622">
        <f>'Racial Lookups'!AA281</f>
        <v>48</v>
      </c>
      <c r="I27" s="620">
        <f ca="1">IF(B38=3,INT(0.75*I26),I26)</f>
        <v>23</v>
      </c>
      <c r="J27" s="1262" t="s">
        <v>2463</v>
      </c>
      <c r="K27" s="1263"/>
      <c r="L27" s="1264"/>
      <c r="M27" s="667">
        <v>13</v>
      </c>
      <c r="N27" s="691" t="s">
        <v>4857</v>
      </c>
      <c r="O27" s="1245" t="s">
        <v>4895</v>
      </c>
      <c r="P27" s="1245"/>
      <c r="Q27" s="1245"/>
      <c r="R27" s="1245"/>
      <c r="S27" s="1245"/>
      <c r="T27" s="1245"/>
      <c r="U27" s="1245"/>
      <c r="V27" s="1245"/>
      <c r="W27" s="1245"/>
      <c r="X27" s="747" t="s">
        <v>5222</v>
      </c>
      <c r="Y27" s="717">
        <f>IF(X27="Y",'SA&amp;DD'!N30+'SA&amp;DD'!N33+'SA&amp;DD'!N36," ")</f>
        <v>0</v>
      </c>
      <c r="AD27" s="716" t="s">
        <v>5366</v>
      </c>
      <c r="AE27" s="679">
        <f ca="1">INT(RAND()*10)+1</f>
        <v>5</v>
      </c>
      <c r="AF27" s="721" t="s">
        <v>5607</v>
      </c>
      <c r="AH27" s="598"/>
      <c r="AI27" s="598"/>
      <c r="AT27" s="722"/>
      <c r="AX27" s="661">
        <v>23</v>
      </c>
      <c r="AZ27" s="599" t="s">
        <v>3969</v>
      </c>
      <c r="BB27" s="598" t="s">
        <v>5492</v>
      </c>
      <c r="BC27" s="598" t="s">
        <v>6129</v>
      </c>
      <c r="BD27" s="598" t="s">
        <v>891</v>
      </c>
      <c r="BF27" s="1050" t="s">
        <v>3640</v>
      </c>
      <c r="BI27" s="598" t="s">
        <v>584</v>
      </c>
      <c r="BJ27" s="624" t="s">
        <v>4613</v>
      </c>
    </row>
    <row r="28" spans="1:64" ht="12.95" customHeight="1">
      <c r="A28" s="667">
        <v>7</v>
      </c>
      <c r="B28" s="723" t="s">
        <v>596</v>
      </c>
      <c r="C28" s="628">
        <v>15</v>
      </c>
      <c r="D28" s="1077" t="s">
        <v>4627</v>
      </c>
      <c r="E28" s="1282" t="str">
        <f>IF(D28="d","6th child", VLOOKUP(C28,'System Lookups'!M$190:N$197,2))</f>
        <v>Illegitimate &amp; Acknowledged</v>
      </c>
      <c r="F28" s="1283"/>
      <c r="G28" s="1284"/>
      <c r="H28" s="622">
        <f>IF(D28="P",IF(C28&lt;20,IF(C28&lt;11,-5,-3),IF(C28&gt;85,5,IF(C28&gt;70,4,IF(C28&gt;55,3,IF(C28&gt;40,2,IF(C28&gt;40,1,0))))))," ")</f>
        <v>-3</v>
      </c>
      <c r="I28" s="628"/>
      <c r="M28" s="663"/>
      <c r="N28" s="717" t="str">
        <f ca="1">IF(ISNA(MATCH("Y",'SA&amp;DD'!$U$7:$U$41,0)),"",INDIRECT("'sa&amp;dd'!q"&amp;MATCH("y",'SA&amp;DD'!$U$7:$U$41,0)+6))</f>
        <v/>
      </c>
      <c r="O28" s="1214" t="str">
        <f ca="1">IF(ISNUMBER(N28),VLOOKUP(N28,'SA&amp;DD'!$Q$7:$U$41,2)," ")</f>
        <v xml:space="preserve"> </v>
      </c>
      <c r="P28" s="1214"/>
      <c r="Q28" s="1214"/>
      <c r="R28" s="1214"/>
      <c r="S28" s="1214"/>
      <c r="T28" s="1214"/>
      <c r="U28" s="1214"/>
      <c r="V28" s="1214"/>
      <c r="W28" s="1214"/>
      <c r="X28" s="1214"/>
      <c r="Y28" s="1214"/>
      <c r="AD28" s="716" t="s">
        <v>5367</v>
      </c>
      <c r="AE28" s="679">
        <f ca="1">(INT((RAND()*10)/2)+1)</f>
        <v>1</v>
      </c>
      <c r="AF28" s="721" t="s">
        <v>5608</v>
      </c>
      <c r="AH28" s="598"/>
      <c r="AX28" s="661">
        <v>24</v>
      </c>
      <c r="AZ28" s="599" t="s">
        <v>360</v>
      </c>
      <c r="BC28" s="598" t="s">
        <v>2225</v>
      </c>
      <c r="BD28" s="598" t="s">
        <v>994</v>
      </c>
      <c r="BF28" s="1050" t="s">
        <v>3644</v>
      </c>
      <c r="BI28" s="598" t="s">
        <v>4383</v>
      </c>
      <c r="BJ28" s="624" t="s">
        <v>4614</v>
      </c>
    </row>
    <row r="29" spans="1:64" ht="12.95" customHeight="1">
      <c r="A29" s="602"/>
      <c r="I29" s="964">
        <v>6.1</v>
      </c>
      <c r="M29" s="663"/>
      <c r="N29" s="717" t="str">
        <f ca="1">IF(ISNA(MATCH("Y",'SA&amp;DD'!$T$7:$T$41,0)),"",INDIRECT("'sa&amp;dd'!q"&amp;MATCH("y",'SA&amp;DD'!$T$7:$T$41,0)+6))</f>
        <v/>
      </c>
      <c r="O29" s="1214" t="str">
        <f ca="1">IF(ISNUMBER(N29),VLOOKUP(N29,'SA&amp;DD'!$Q$7:$U$41,2)," ")</f>
        <v xml:space="preserve"> </v>
      </c>
      <c r="P29" s="1214"/>
      <c r="Q29" s="1214"/>
      <c r="R29" s="1214"/>
      <c r="S29" s="1214"/>
      <c r="T29" s="1214"/>
      <c r="U29" s="1214"/>
      <c r="V29" s="1214"/>
      <c r="W29" s="1214"/>
      <c r="X29" s="1214"/>
      <c r="Y29" s="1214"/>
      <c r="AX29" s="661">
        <v>25</v>
      </c>
      <c r="AZ29" s="599" t="s">
        <v>1891</v>
      </c>
      <c r="BC29" s="598" t="s">
        <v>2225</v>
      </c>
      <c r="BD29" s="598" t="s">
        <v>4383</v>
      </c>
      <c r="BF29" s="1050" t="s">
        <v>3645</v>
      </c>
      <c r="BI29" s="598" t="s">
        <v>586</v>
      </c>
      <c r="BJ29" s="624" t="s">
        <v>4615</v>
      </c>
    </row>
    <row r="30" spans="1:64" ht="12.95" customHeight="1">
      <c r="C30" s="724" t="s">
        <v>1030</v>
      </c>
      <c r="D30" s="628">
        <v>1</v>
      </c>
      <c r="E30" s="628">
        <v>2</v>
      </c>
      <c r="F30" s="628">
        <v>3</v>
      </c>
      <c r="G30" s="628">
        <v>4</v>
      </c>
      <c r="H30" s="628">
        <v>5</v>
      </c>
      <c r="I30" s="725" t="s">
        <v>4912</v>
      </c>
      <c r="J30" s="1253" t="s">
        <v>4913</v>
      </c>
      <c r="K30" s="1252"/>
      <c r="L30" s="674"/>
      <c r="M30" s="663"/>
      <c r="N30" s="717" t="str">
        <f ca="1">IF(ISNA(MATCH("Y",'SA&amp;DD'!$S$7:$S$41,0)),"",INDIRECT("'sa&amp;dd'!q"&amp;MATCH("y",'SA&amp;DD'!$S$7:$S$41,0)+6))</f>
        <v/>
      </c>
      <c r="O30" s="1214" t="str">
        <f ca="1">IF(ISNUMBER(N30),VLOOKUP(N30,'SA&amp;DD'!$Q$7:$U$41,2)," ")</f>
        <v xml:space="preserve"> </v>
      </c>
      <c r="P30" s="1214"/>
      <c r="Q30" s="1214"/>
      <c r="R30" s="1214"/>
      <c r="S30" s="1214"/>
      <c r="T30" s="1214"/>
      <c r="U30" s="1214"/>
      <c r="V30" s="1214"/>
      <c r="W30" s="1214"/>
      <c r="X30" s="1214"/>
      <c r="Y30" s="1214"/>
      <c r="AA30" s="667">
        <v>20</v>
      </c>
      <c r="AB30" s="1289" t="s">
        <v>911</v>
      </c>
      <c r="AC30" s="1290"/>
      <c r="AD30" s="1295">
        <v>41562</v>
      </c>
      <c r="AE30" s="1216"/>
      <c r="AF30" s="1306">
        <f>VLOOKUP($AD$31,'System Lookups'!$O$4:$T$15,3)</f>
        <v>36061</v>
      </c>
      <c r="AG30" s="1307"/>
      <c r="AH30" s="1306">
        <f>VLOOKUP($AD$31,'System Lookups'!$O$4:$T$15,4)</f>
        <v>36090</v>
      </c>
      <c r="AI30" s="1308"/>
      <c r="AJ30" s="1307"/>
      <c r="AV30" s="598"/>
      <c r="AX30" s="661">
        <v>26</v>
      </c>
      <c r="AY30" s="599"/>
      <c r="AZ30" s="599" t="s">
        <v>1600</v>
      </c>
      <c r="BB30" s="598" t="s">
        <v>2225</v>
      </c>
      <c r="BC30"/>
      <c r="BD30" s="598" t="s">
        <v>586</v>
      </c>
      <c r="BF30" s="1050" t="s">
        <v>3650</v>
      </c>
      <c r="BI30" s="598" t="s">
        <v>5167</v>
      </c>
      <c r="BJ30" s="598" t="s">
        <v>6081</v>
      </c>
    </row>
    <row r="31" spans="1:64" ht="12.95" customHeight="1">
      <c r="C31" s="724" t="s">
        <v>1028</v>
      </c>
      <c r="D31" s="622" t="s">
        <v>5221</v>
      </c>
      <c r="E31" s="622" t="str">
        <f>IF(ISBLANK(E30)," ",IF(ISEVEN(E30),"F","M"))</f>
        <v>F</v>
      </c>
      <c r="F31" s="622" t="str">
        <f>IF(ISBLANK(F30)," ",IF(ISEVEN(F30),"F","M"))</f>
        <v>M</v>
      </c>
      <c r="G31" s="622" t="str">
        <f>IF(ISBLANK(G30)," ",IF(ISEVEN(G30),"F","M"))</f>
        <v>F</v>
      </c>
      <c r="H31" s="622" t="str">
        <f>IF(ISBLANK(H30)," ",IF(ISEVEN(H30),"F","M"))</f>
        <v>M</v>
      </c>
      <c r="I31" s="963" t="s">
        <v>5221</v>
      </c>
      <c r="J31" s="727" t="b">
        <v>0</v>
      </c>
      <c r="K31" s="622" t="str">
        <f>Funds!F35</f>
        <v>N</v>
      </c>
      <c r="L31" s="674"/>
      <c r="M31" s="663"/>
      <c r="N31" s="1294"/>
      <c r="O31" s="1294"/>
      <c r="P31" s="1294"/>
      <c r="Q31" s="1294"/>
      <c r="R31" s="1294"/>
      <c r="S31" s="1294"/>
      <c r="T31" s="1294"/>
      <c r="U31" s="1294"/>
      <c r="V31" s="1294"/>
      <c r="W31" s="1294"/>
      <c r="X31" s="1294"/>
      <c r="Y31" s="1294"/>
      <c r="AA31" s="1205" t="s">
        <v>590</v>
      </c>
      <c r="AB31" s="1207"/>
      <c r="AC31" s="1208"/>
      <c r="AD31" s="728">
        <v>50</v>
      </c>
      <c r="AE31" s="1018" t="s">
        <v>4621</v>
      </c>
      <c r="AF31" s="1305" t="str">
        <f>VLOOKUP($AD$31,'System Lookups'!$O$4:$T$15,2)</f>
        <v>Libra/The Scales</v>
      </c>
      <c r="AG31" s="1212"/>
      <c r="AH31" s="1283"/>
      <c r="AI31" s="1283"/>
      <c r="AJ31" s="1284"/>
      <c r="AX31" s="661">
        <v>27</v>
      </c>
      <c r="AZ31" s="599" t="s">
        <v>1601</v>
      </c>
      <c r="BC31" s="598" t="s">
        <v>2225</v>
      </c>
      <c r="BD31" s="598" t="s">
        <v>5167</v>
      </c>
      <c r="BF31" s="1050" t="s">
        <v>6046</v>
      </c>
      <c r="BI31" s="598" t="s">
        <v>3822</v>
      </c>
      <c r="BJ31" s="598" t="s">
        <v>2225</v>
      </c>
    </row>
    <row r="32" spans="1:64" ht="12.95" customHeight="1">
      <c r="C32" s="724" t="s">
        <v>1029</v>
      </c>
      <c r="D32" s="622">
        <f>IF(Funds!E36&gt;0,Funds!E36,'Racial Lookups'!AA282)</f>
        <v>28</v>
      </c>
      <c r="E32" s="622">
        <f>IF(Funds!E37&gt;0,Funds!E37,'Racial Lookups'!AA283)</f>
        <v>26</v>
      </c>
      <c r="F32" s="622">
        <f>IF(Funds!E38&gt;0,Funds!E38,'Racial Lookups'!AA284)</f>
        <v>24</v>
      </c>
      <c r="G32" s="622">
        <f>IF(Funds!E39&gt;0,Funds!E39,'Racial Lookups'!AA285)</f>
        <v>22</v>
      </c>
      <c r="H32" s="622">
        <f>IF(Funds!E40&gt;0,Funds!E40,'Racial Lookups'!AA286)</f>
        <v>20</v>
      </c>
      <c r="K32" s="729"/>
      <c r="L32" s="674"/>
      <c r="P32" s="602"/>
      <c r="Q32" s="602"/>
      <c r="R32" s="602"/>
      <c r="S32" s="602"/>
      <c r="T32" s="602"/>
      <c r="U32" s="602"/>
      <c r="V32" s="602"/>
      <c r="W32" s="602"/>
      <c r="X32" s="602"/>
      <c r="AA32" s="692" t="s">
        <v>2564</v>
      </c>
      <c r="AB32" s="1299" t="s">
        <v>4785</v>
      </c>
      <c r="AC32" s="1300"/>
      <c r="AD32" s="730">
        <v>50</v>
      </c>
      <c r="AE32" s="697">
        <f>VLOOKUP($AD$32,'Racial Lookups'!B30:E42,4)</f>
        <v>1</v>
      </c>
      <c r="AF32" s="1304" t="str">
        <f>VLOOKUP($AD$32,'Racial Lookups'!B30:E42,2)</f>
        <v>Borno</v>
      </c>
      <c r="AG32" s="1233"/>
      <c r="AH32" s="1234"/>
      <c r="AI32" s="608"/>
      <c r="AJ32" s="608"/>
      <c r="AK32" s="608"/>
      <c r="AW32" s="602"/>
      <c r="AX32" s="661">
        <v>28</v>
      </c>
      <c r="AZ32" s="599" t="s">
        <v>4844</v>
      </c>
      <c r="BC32" s="598" t="s">
        <v>2225</v>
      </c>
      <c r="BD32" s="598" t="s">
        <v>995</v>
      </c>
      <c r="BF32" s="1050" t="s">
        <v>6131</v>
      </c>
      <c r="BI32" s="598" t="s">
        <v>5231</v>
      </c>
    </row>
    <row r="33" spans="1:61" ht="12.95" customHeight="1">
      <c r="A33" s="667">
        <v>7.2</v>
      </c>
      <c r="B33" s="731" t="s">
        <v>4175</v>
      </c>
      <c r="C33" s="724" t="s">
        <v>1030</v>
      </c>
      <c r="D33" s="683">
        <v>7</v>
      </c>
      <c r="E33" s="683">
        <v>8</v>
      </c>
      <c r="F33" s="683">
        <v>9</v>
      </c>
      <c r="M33" s="667">
        <v>14.1</v>
      </c>
      <c r="N33" s="726" t="s">
        <v>5226</v>
      </c>
      <c r="O33" s="718" t="str">
        <f>IF(C3=1,'Racial Lookups'!R251,IF(C3=2,'Racial Lookups'!N25,IF(C3=3,'Racial Lookups'!N109,IF(C3=5,'Racial Lookups'!Q177,IF(C3&lt;&gt;4,'Racial Lookups'!Q193,'Racial Lookups'!B201)))))</f>
        <v>6ft. 1 in.</v>
      </c>
      <c r="P33" s="952"/>
      <c r="Q33" s="626"/>
      <c r="R33" s="896" t="s">
        <v>4621</v>
      </c>
      <c r="S33" s="747">
        <v>11</v>
      </c>
      <c r="T33" s="917"/>
      <c r="U33" s="602"/>
      <c r="V33" s="602"/>
      <c r="W33" s="615"/>
      <c r="X33" s="615" t="s">
        <v>1363</v>
      </c>
      <c r="Y33" s="916"/>
      <c r="AB33" s="995"/>
      <c r="AD33" s="628" t="s">
        <v>4621</v>
      </c>
      <c r="AE33" s="728"/>
      <c r="AF33" s="1302" t="str">
        <f>IF(AD33="D","Half Blood",IF( AE33&lt;6,"Lost Blood",IF(AE33&lt;71,"Half Blood", IF(AE33&lt;96,"Great Elf","True Elf"))))</f>
        <v>Half Blood</v>
      </c>
      <c r="AG33" s="1251"/>
      <c r="AH33" s="1252"/>
      <c r="AI33" s="608"/>
      <c r="AJ33" s="608"/>
      <c r="AK33" s="608"/>
      <c r="AM33" s="1221"/>
      <c r="AN33" s="1221"/>
      <c r="AW33" s="602"/>
      <c r="AX33" s="661">
        <v>29</v>
      </c>
      <c r="AZ33" s="599" t="s">
        <v>1602</v>
      </c>
      <c r="BC33" s="598" t="s">
        <v>2225</v>
      </c>
      <c r="BD33" s="598" t="s">
        <v>3899</v>
      </c>
      <c r="BF33" s="1050" t="s">
        <v>6132</v>
      </c>
      <c r="BI33" s="598" t="s">
        <v>1025</v>
      </c>
    </row>
    <row r="34" spans="1:61" ht="13.5" customHeight="1">
      <c r="B34" s="628">
        <v>10</v>
      </c>
      <c r="C34" s="724" t="s">
        <v>1028</v>
      </c>
      <c r="D34" s="622" t="str">
        <f>IF(ISBLANK(D33)," ",IF(ISEVEN(D33),"F","M"))</f>
        <v>M</v>
      </c>
      <c r="E34" s="622" t="str">
        <f>IF(ISBLANK(E33)," ",IF(ISEVEN(E33),"F","M"))</f>
        <v>F</v>
      </c>
      <c r="F34" s="622" t="str">
        <f>IF(ISBLANK(F33)," ",IF(ISEVEN(F33),"F","M"))</f>
        <v>M</v>
      </c>
      <c r="M34" s="667">
        <v>14.2</v>
      </c>
      <c r="N34" s="726" t="s">
        <v>3780</v>
      </c>
      <c r="O34" s="718" t="str">
        <f>IF(C3=1,VLOOKUP($S$34,'Racial Lookups'!$K$227:$M$240,2),IF(C3=2,VLOOKUP($S$34,'Racial Lookups'!$K$227:$M$240,2),IF(C3=3,VLOOKUP($S$34,'Racial Lookups'!$G$85:$J$105,2),IF(C3=5,VLOOKUP('Racial Lookups'!O178,'Racial Lookups'!G85:J98,2),IF(C3&lt;&gt;4,VLOOKUP('Racial Lookups'!O195,'Racial Lookups'!G85:J98,2),VLOOKUP($S$34,'Racial Lookups'!F202:G215,2))))))</f>
        <v>Heavy</v>
      </c>
      <c r="P34" s="952"/>
      <c r="Q34" s="626"/>
      <c r="R34" s="896" t="s">
        <v>4621</v>
      </c>
      <c r="S34" s="1051">
        <v>7</v>
      </c>
      <c r="T34" s="917"/>
      <c r="U34" s="602"/>
      <c r="V34" s="672" t="s">
        <v>5001</v>
      </c>
      <c r="W34" s="714">
        <f ca="1">AD44*0.75+IF('Main Creation Page'!$C$3=2,IF(Combat!M121&gt;79,IF(Combat!M121&lt;87,0.13,0),0),0)</f>
        <v>0.34500000000000003</v>
      </c>
      <c r="X34" s="715" t="s">
        <v>213</v>
      </c>
      <c r="Y34" s="636"/>
      <c r="AA34" s="733" t="s">
        <v>2564</v>
      </c>
      <c r="AB34" s="1205" t="s">
        <v>4786</v>
      </c>
      <c r="AC34" s="1301"/>
      <c r="AD34" s="728">
        <v>50</v>
      </c>
      <c r="AE34" s="622">
        <f>VLOOKUP($AD$34,'Racial Lookups'!A109:E120,5)</f>
        <v>2</v>
      </c>
      <c r="AF34" s="1303" t="str">
        <f>VLOOKUP($AD$34,'Racial Lookups'!A109:E120,2)</f>
        <v>Vinnddverg</v>
      </c>
      <c r="AG34" s="1210"/>
      <c r="AH34" s="1210"/>
      <c r="AI34" s="608"/>
      <c r="AJ34" s="608"/>
      <c r="AK34" s="608"/>
      <c r="AW34" s="602"/>
      <c r="AX34" s="661">
        <v>30</v>
      </c>
      <c r="AZ34" s="599" t="s">
        <v>1603</v>
      </c>
      <c r="BD34" s="598" t="s">
        <v>585</v>
      </c>
      <c r="BF34" s="1050" t="s">
        <v>6133</v>
      </c>
      <c r="BI34" s="598" t="s">
        <v>6130</v>
      </c>
    </row>
    <row r="35" spans="1:61" ht="12.95" customHeight="1">
      <c r="B35" s="734">
        <f>INT(+B34/3)+IF(H28=1,4,IF(H28=2,3,IF(H28=3,2,IF(H28=2,1,0))))</f>
        <v>3</v>
      </c>
      <c r="C35" s="724" t="s">
        <v>1029</v>
      </c>
      <c r="D35" s="622">
        <f>IF(Funds!E41&gt;0,Funds!E41,'Racial Lookups'!AA287)</f>
        <v>16</v>
      </c>
      <c r="E35" s="622">
        <f>IF(Funds!E42&gt;0,Funds!E42,'Racial Lookups'!AA288)</f>
        <v>14</v>
      </c>
      <c r="F35" s="622">
        <f>IF(Funds!E43&gt;0,Funds!E43,'Racial Lookups'!AA289)</f>
        <v>12</v>
      </c>
      <c r="G35" s="686"/>
      <c r="M35" s="667">
        <v>14.3</v>
      </c>
      <c r="N35" s="726" t="s">
        <v>3977</v>
      </c>
      <c r="O35" s="1053">
        <f>IF(C3=1,+'Racial Lookups'!S253,IF(C3=2,'Racial Lookups'!O27,IF(C3=3,IF(K5=3,'Racial Lookups'!O111*1.2,'Racial Lookups'!O111),IF(C3=5,'Racial Lookups'!K186,IF(C3&lt;&gt;4,'Racial Lookups'!O194,'Racial Lookups'!B202)))))</f>
        <v>193</v>
      </c>
      <c r="P35" s="952"/>
      <c r="Q35" s="626"/>
      <c r="R35" s="916"/>
      <c r="S35" s="917"/>
      <c r="T35" s="917"/>
      <c r="U35" s="602"/>
      <c r="V35" s="672" t="s">
        <v>5002</v>
      </c>
      <c r="W35" s="714">
        <f>IF(E13&gt;15,G13*0.75, 0)+IF('Main Creation Page'!$C$3=2,IF(Combat!M121&gt;79,IF(Combat!M121&lt;87,0.13,0),0),0)</f>
        <v>0</v>
      </c>
      <c r="X35" s="715" t="s">
        <v>3773</v>
      </c>
      <c r="Y35" s="636"/>
      <c r="AD35" s="628" t="s">
        <v>4621</v>
      </c>
      <c r="AE35" s="728"/>
      <c r="AF35" s="1302" t="str">
        <f>IF(AD35="D","Clan Dwarf",(IF( AE35&lt;3,"Outcast",IF(AE35&lt;91,"Clan Dwarf", IF(AE35&lt;96,"Thane",IF(AE35&lt;100,"Jarl","Konung"))))))</f>
        <v>Clan Dwarf</v>
      </c>
      <c r="AG35" s="1251"/>
      <c r="AH35" s="1252"/>
      <c r="AI35" s="608"/>
      <c r="AJ35" s="608"/>
      <c r="AK35" s="608"/>
      <c r="AW35" s="602"/>
      <c r="AX35" s="661">
        <v>31</v>
      </c>
      <c r="AZ35" s="599" t="s">
        <v>1604</v>
      </c>
      <c r="BD35" s="598" t="s">
        <v>3655</v>
      </c>
    </row>
    <row r="36" spans="1:61" ht="12.95" customHeight="1">
      <c r="A36" s="602"/>
      <c r="O36" s="916"/>
      <c r="P36" s="634"/>
      <c r="Q36" s="634"/>
      <c r="R36" s="634"/>
      <c r="S36" s="634"/>
      <c r="T36" s="634"/>
      <c r="U36" s="602"/>
      <c r="V36" s="672" t="s">
        <v>4176</v>
      </c>
      <c r="W36" s="714">
        <f>IF(E15&gt;12,G13*0.66, 0)+IF('Main Creation Page'!$C$3=2,IF(Combat!M121&gt;79,IF(Combat!M121&lt;87,0.13,0),0),0)</f>
        <v>0.50160000000000005</v>
      </c>
      <c r="X36" s="715" t="s">
        <v>377</v>
      </c>
      <c r="Y36" s="636"/>
      <c r="AA36" s="663"/>
      <c r="AF36" s="608"/>
      <c r="AG36" s="608"/>
      <c r="AH36" s="608"/>
      <c r="AI36" s="608"/>
      <c r="AT36" s="609"/>
      <c r="AX36" s="661">
        <v>32</v>
      </c>
      <c r="AZ36" s="599" t="s">
        <v>1605</v>
      </c>
      <c r="BD36" s="598" t="s">
        <v>3652</v>
      </c>
    </row>
    <row r="37" spans="1:61" ht="12.95" customHeight="1">
      <c r="A37" s="735">
        <v>8</v>
      </c>
      <c r="B37" s="689" t="s">
        <v>4739</v>
      </c>
      <c r="G37" s="667">
        <v>9</v>
      </c>
      <c r="H37" s="736" t="s">
        <v>2892</v>
      </c>
      <c r="M37" s="667">
        <v>15</v>
      </c>
      <c r="O37" s="732" t="s">
        <v>977</v>
      </c>
      <c r="P37" s="732"/>
      <c r="Q37" s="732"/>
      <c r="R37" s="732"/>
      <c r="S37" s="732"/>
      <c r="T37" s="732"/>
      <c r="U37" s="602"/>
      <c r="V37" s="672" t="s">
        <v>2363</v>
      </c>
      <c r="W37" s="916"/>
      <c r="X37" s="916"/>
      <c r="Y37" s="916"/>
      <c r="AA37" s="667">
        <v>21</v>
      </c>
      <c r="AB37" s="994" t="s">
        <v>3855</v>
      </c>
      <c r="AF37" s="737" t="s">
        <v>1651</v>
      </c>
      <c r="AG37" s="738" t="s">
        <v>379</v>
      </c>
      <c r="AI37" s="608"/>
      <c r="AW37" s="609"/>
      <c r="AX37" s="661">
        <v>33</v>
      </c>
      <c r="AZ37" s="599" t="s">
        <v>5657</v>
      </c>
      <c r="BD37" s="598" t="s">
        <v>4386</v>
      </c>
      <c r="BI37" s="624"/>
    </row>
    <row r="38" spans="1:61" ht="12.95" customHeight="1">
      <c r="B38" s="739">
        <v>1</v>
      </c>
      <c r="C38" s="628" t="s">
        <v>4629</v>
      </c>
      <c r="D38" s="622" t="str">
        <f>IF(C38="P",IF(B38=1,5,IF(B38=3,-5,0))," ")</f>
        <v xml:space="preserve"> </v>
      </c>
      <c r="H38" s="1207" t="s">
        <v>2890</v>
      </c>
      <c r="I38" s="1208"/>
      <c r="J38" s="740">
        <f ca="1">IF('Main Creation Page'!C3=3,'System Lookups'!K195,IF('Main Creation Page'!C3=2,'System Lookups'!J195,'System Lookups'!I195))</f>
        <v>517</v>
      </c>
      <c r="K38" s="628">
        <v>0</v>
      </c>
      <c r="M38" s="1248" t="s">
        <v>4418</v>
      </c>
      <c r="N38" s="1249"/>
      <c r="O38" s="680">
        <f>IF('Main Creation Page'!C3=5,'Racial Lookups'!K187,(VLOOKUP(O35,'Racial Lookups'!R255:S278,2))+1)+E12+INT(E16/2)+IF('SA&amp;DD'!D30="N",0,'SA&amp;DD'!G30)</f>
        <v>46</v>
      </c>
      <c r="P38" s="704">
        <f>VLOOKUP($E$12,'System Lookups'!$F$30:$N$50,3)</f>
        <v>7.0000000000000007E-2</v>
      </c>
      <c r="Q38" s="598" t="s">
        <v>4911</v>
      </c>
      <c r="R38" s="620">
        <f>P38*($O$40)</f>
        <v>3.3600000000000003</v>
      </c>
      <c r="S38" s="1309" t="s">
        <v>3107</v>
      </c>
      <c r="T38" s="1221"/>
      <c r="U38" s="1221"/>
      <c r="AD38" s="1019" t="s">
        <v>4621</v>
      </c>
      <c r="AE38" s="1287" t="str">
        <f>IF(AD38="P",VLOOKUP(AD39, 'Racial Lookups'!A286:X298,24)," ")</f>
        <v xml:space="preserve"> </v>
      </c>
      <c r="AF38" s="1287">
        <f>IF(AD38="D",VLOOKUP(42, 'Racial Lookups'!A286:X298,(1+'Main Creation Page'!C3)),VLOOKUP(AD39, 'Racial Lookups'!A286:X298,(1+'Main Creation Page'!C3)))</f>
        <v>18</v>
      </c>
      <c r="AG38" s="1285">
        <v>18</v>
      </c>
      <c r="AI38" s="608"/>
      <c r="AW38" s="609"/>
      <c r="AX38" s="661">
        <v>34</v>
      </c>
      <c r="AZ38" s="599" t="s">
        <v>1606</v>
      </c>
      <c r="BD38" s="598" t="s">
        <v>649</v>
      </c>
      <c r="BI38" s="624"/>
    </row>
    <row r="39" spans="1:61" ht="12.95" customHeight="1">
      <c r="A39" s="602"/>
      <c r="H39" s="1207" t="s">
        <v>2891</v>
      </c>
      <c r="I39" s="1208"/>
      <c r="J39" s="742">
        <f ca="1">IF('Main Creation Page'!B38=3,J38/2,IF('Main Creation Page'!B38=2,+J38+((0.05*K39)*J38),J38*2))</f>
        <v>1034</v>
      </c>
      <c r="K39" s="706">
        <v>5</v>
      </c>
      <c r="M39" s="1248" t="s">
        <v>1411</v>
      </c>
      <c r="N39" s="1249"/>
      <c r="O39" s="680">
        <f>O38/4</f>
        <v>11.5</v>
      </c>
      <c r="P39" s="704">
        <f>VLOOKUP($E$12,'System Lookups'!$F$30:$N$50,4)</f>
        <v>0.04</v>
      </c>
      <c r="Q39" s="598" t="s">
        <v>4911</v>
      </c>
      <c r="R39" s="620">
        <f>P39*($O$40)</f>
        <v>1.92</v>
      </c>
      <c r="S39" s="1309" t="s">
        <v>3108</v>
      </c>
      <c r="T39" s="1241"/>
      <c r="U39" s="1241"/>
      <c r="AD39" s="628">
        <v>50</v>
      </c>
      <c r="AE39" s="1288"/>
      <c r="AF39" s="1288"/>
      <c r="AG39" s="1286"/>
      <c r="AW39" s="609"/>
      <c r="AX39" s="661">
        <v>35</v>
      </c>
      <c r="AZ39" s="599" t="s">
        <v>1607</v>
      </c>
      <c r="BD39" s="598" t="s">
        <v>3654</v>
      </c>
      <c r="BI39" s="624"/>
    </row>
    <row r="40" spans="1:61" ht="12.95" customHeight="1">
      <c r="A40" s="602"/>
      <c r="M40" s="1248" t="s">
        <v>5</v>
      </c>
      <c r="N40" s="1249"/>
      <c r="O40" s="680">
        <f>O38+MIN(O39,IF(ISNA(Skills!$AU$111),0,Skills!$AU$111+1))</f>
        <v>48</v>
      </c>
      <c r="P40" s="704">
        <f>VLOOKUP($E$12,'System Lookups'!$F$30:$N$50,5)</f>
        <v>0.02</v>
      </c>
      <c r="Q40" s="598" t="s">
        <v>4911</v>
      </c>
      <c r="R40" s="620">
        <f>P40*($O$40)</f>
        <v>0.96</v>
      </c>
      <c r="S40" s="1309" t="s">
        <v>4892</v>
      </c>
      <c r="T40" s="1241"/>
      <c r="U40" s="1241"/>
      <c r="AX40" s="661">
        <v>36</v>
      </c>
      <c r="AZ40" s="599" t="s">
        <v>1608</v>
      </c>
      <c r="BD40" s="598" t="s">
        <v>651</v>
      </c>
      <c r="BI40" s="624"/>
    </row>
    <row r="41" spans="1:61" ht="12.95" customHeight="1">
      <c r="A41" s="667">
        <v>23</v>
      </c>
      <c r="B41" s="689" t="s">
        <v>1543</v>
      </c>
      <c r="C41" s="1211" t="s">
        <v>4420</v>
      </c>
      <c r="D41" s="1255"/>
      <c r="E41" s="1266" t="s">
        <v>4790</v>
      </c>
      <c r="F41" s="1255"/>
      <c r="G41" s="598"/>
      <c r="H41" s="1211" t="s">
        <v>2241</v>
      </c>
      <c r="I41" s="1212"/>
      <c r="J41" s="1212"/>
      <c r="K41" s="1213"/>
      <c r="N41" s="741" t="s">
        <v>1057</v>
      </c>
      <c r="O41" s="1217" t="str">
        <f>VLOOKUP($E$12,'System Lookups'!$F$30:$N$50,2)</f>
        <v>Robust</v>
      </c>
      <c r="P41" s="1218"/>
      <c r="Q41" s="1219"/>
      <c r="AA41" s="744">
        <v>25.1</v>
      </c>
      <c r="AB41" s="1253" t="s">
        <v>1545</v>
      </c>
      <c r="AC41" s="1296"/>
      <c r="AD41" s="1001" t="s">
        <v>2014</v>
      </c>
      <c r="AE41" s="1297" t="s">
        <v>5604</v>
      </c>
      <c r="AF41" s="1298"/>
      <c r="AG41" s="1298"/>
      <c r="AH41" s="1296"/>
      <c r="AI41" s="689" t="s">
        <v>241</v>
      </c>
      <c r="AJ41" s="745"/>
      <c r="AX41" s="661">
        <v>37</v>
      </c>
      <c r="AZ41" s="624" t="s">
        <v>387</v>
      </c>
      <c r="BD41" s="598" t="s">
        <v>5230</v>
      </c>
    </row>
    <row r="42" spans="1:61" ht="12.95" customHeight="1">
      <c r="B42" s="685" t="s">
        <v>3845</v>
      </c>
      <c r="C42" s="1265">
        <f ca="1">(+C14+C17+C11+C10)/4+I27</f>
        <v>36.5</v>
      </c>
      <c r="D42" s="1252"/>
      <c r="E42" s="1265">
        <f ca="1">IF(I31="M",E20+I27,E20+E10+E14+I27)</f>
        <v>33</v>
      </c>
      <c r="F42" s="1252"/>
      <c r="H42" s="1209" t="s">
        <v>5600</v>
      </c>
      <c r="I42" s="1210"/>
      <c r="J42" s="1209" t="s">
        <v>2240</v>
      </c>
      <c r="K42" s="1210"/>
      <c r="O42" s="704">
        <f>VLOOKUP($E$12,'System Lookups'!$F$30:$N$50,6)+IF('SA&amp;DD'!D32="Y",0.1+'SA&amp;DD'!G32/100,IF('SA&amp;DD'!D44="Y",0.03+'SA&amp;DD'!G44/100,0))</f>
        <v>0.9</v>
      </c>
      <c r="P42" s="699" t="s">
        <v>5381</v>
      </c>
      <c r="S42" s="609"/>
      <c r="AA42" s="663"/>
      <c r="AC42" s="615" t="s">
        <v>211</v>
      </c>
      <c r="AD42" s="746">
        <f ca="1">Skills!$AD$169</f>
        <v>0.48000000000000004</v>
      </c>
      <c r="AF42" s="685" t="s">
        <v>3617</v>
      </c>
      <c r="AG42" s="1267">
        <f>IF(('SA&amp;DD'!D11="Y"),0.07+'SA&amp;DD'!G12/100,(IF(('SA&amp;DD'!L38="Y"),-'SA&amp;DD'!O39/100,0)))+IF('SA&amp;DD'!D57="Y",'SA&amp;DD'!H57/100,0)+IF('SA&amp;DD'!D58="Y",'SA&amp;DD'!H58/100,0)+IF('SA&amp;DD'!D59="Y",'SA&amp;DD'!H59/100,0)+IF('SA&amp;DD'!L43="Y",0.21,0)</f>
        <v>0.17</v>
      </c>
      <c r="AH42" s="1268"/>
      <c r="AI42" s="746">
        <f ca="1">Skills!$AD$838</f>
        <v>0.29000000000000004</v>
      </c>
      <c r="AX42" s="661">
        <v>37.4</v>
      </c>
      <c r="AY42" s="1000"/>
      <c r="AZ42" s="599" t="s">
        <v>5993</v>
      </c>
      <c r="BD42" s="598" t="s">
        <v>154</v>
      </c>
    </row>
    <row r="43" spans="1:61" ht="12.95" customHeight="1">
      <c r="A43" s="602"/>
      <c r="B43" s="685" t="s">
        <v>379</v>
      </c>
      <c r="C43" s="1265">
        <f ca="1">(+E14+E17+E11+E10)/4+G45</f>
        <v>33.5</v>
      </c>
      <c r="D43" s="1252"/>
      <c r="E43" s="1265">
        <f ca="1">IF(I31="M",E20+G45,E20+E10+E14+G45)</f>
        <v>30</v>
      </c>
      <c r="F43" s="1252"/>
      <c r="H43" s="1278"/>
      <c r="I43" s="1210"/>
      <c r="J43" s="1281"/>
      <c r="K43" s="1210"/>
      <c r="O43" s="743">
        <f>G12+IF('SA&amp;DD'!D46="Y",'SA&amp;DD'!G46/100+0.03,0)+IF('SA&amp;DD'!D34="Y",'SA&amp;DD'!G34/100+0.11,0)</f>
        <v>0.76</v>
      </c>
      <c r="P43" s="699" t="s">
        <v>4314</v>
      </c>
      <c r="S43" s="609"/>
      <c r="AA43" s="663"/>
      <c r="AC43" s="615" t="s">
        <v>212</v>
      </c>
      <c r="AD43" s="743">
        <f ca="1">Skills!$AD$122</f>
        <v>0.62</v>
      </c>
      <c r="AF43" s="685" t="s">
        <v>1544</v>
      </c>
      <c r="AG43" s="1267">
        <f>IF(('SA&amp;DD'!D12="Y"),0.07+'SA&amp;DD'!G11/100,(IF(('SA&amp;DD'!L39="Y"),-'SA&amp;DD'!O38/100,0)))+IF('SA&amp;DD'!D57="Y",'SA&amp;DD'!H57/100,0)+IF('SA&amp;DD'!D58="Y",'SA&amp;DD'!H58/100,0)+IF('SA&amp;DD'!D59="Y",'SA&amp;DD'!H59/100,0)+IF('SA&amp;DD'!L43="Y",0.21,0)</f>
        <v>0.17</v>
      </c>
      <c r="AH43" s="1268"/>
      <c r="AI43" s="743">
        <f ca="1">Skills!$AD$840</f>
        <v>0.29000000000000004</v>
      </c>
      <c r="AX43" s="661">
        <v>37.799999999999997</v>
      </c>
      <c r="AY43" s="1000"/>
      <c r="AZ43" s="599" t="s">
        <v>5994</v>
      </c>
      <c r="BD43" s="598" t="s">
        <v>5231</v>
      </c>
    </row>
    <row r="44" spans="1:61" ht="12.95" customHeight="1">
      <c r="B44" s="748" t="s">
        <v>1548</v>
      </c>
      <c r="C44" s="691" t="s">
        <v>345</v>
      </c>
      <c r="H44" s="685" t="s">
        <v>1546</v>
      </c>
      <c r="I44" s="1209" t="s">
        <v>5601</v>
      </c>
      <c r="J44" s="1210"/>
      <c r="K44" s="628" t="s">
        <v>5224</v>
      </c>
      <c r="M44" s="1205" t="s">
        <v>3635</v>
      </c>
      <c r="N44" s="1206"/>
      <c r="O44" s="680">
        <f>-(+E12)</f>
        <v>-15</v>
      </c>
      <c r="Q44" s="622">
        <f>ROUNDUP(IF($C$3=3,VLOOKUP($O$35,'Racial Lookups'!$C$103:$F$104,2),IF($C$3=2,VLOOKUP($O$35,'Racial Lookups'!$B$20:$E$21,2),VLOOKUP($O$35,'Racial Lookups'!C245:F253,2))),0)</f>
        <v>7</v>
      </c>
      <c r="R44" s="622">
        <f>ROUNDUP(IF($C$3=3,VLOOKUP($O$35,'Racial Lookups'!$C$103:$F$104,3),IF($C$3=2,VLOOKUP($O$35,'Racial Lookups'!$B$20:$E$21,3),VLOOKUP($O$35,'Racial Lookups'!C245:F253,3))),0)</f>
        <v>9</v>
      </c>
      <c r="S44" s="622">
        <f>ROUNDUP(IF($C$3=3,VLOOKUP($O$35,'Racial Lookups'!$C$103:$F$104,4),IF($C$3=2,VLOOKUP($O$35,'Racial Lookups'!$B$20:$E$21,4),VLOOKUP($O$35,'Racial Lookups'!C245:F253,4))),0)</f>
        <v>12</v>
      </c>
      <c r="T44" s="699" t="s">
        <v>1539</v>
      </c>
      <c r="AA44" s="663"/>
      <c r="AC44" s="615" t="s">
        <v>213</v>
      </c>
      <c r="AD44" s="743">
        <f ca="1">Skills!$AD$799</f>
        <v>0.46</v>
      </c>
      <c r="AF44" s="685" t="s">
        <v>1982</v>
      </c>
      <c r="AG44" s="1267">
        <f>IF(('SA&amp;DD'!D13="Y"),0.07+'SA&amp;DD'!G13/100,(IF(('SA&amp;DD'!L40="Y"),-'SA&amp;DD'!O40/100,0)))+IF('SA&amp;DD'!D57="Y",'SA&amp;DD'!H57/100,0)+IF('SA&amp;DD'!D58="Y",'SA&amp;DD'!H58/100,0)+IF('SA&amp;DD'!D59="Y",'SA&amp;DD'!H59/100,0)+IF('SA&amp;DD'!L43="Y",0.21,0)</f>
        <v>0.17</v>
      </c>
      <c r="AH44" s="1268"/>
      <c r="AI44" s="743">
        <f ca="1">Skills!$AD$839</f>
        <v>0.29000000000000004</v>
      </c>
      <c r="AX44" s="661">
        <v>38</v>
      </c>
      <c r="AZ44" s="599" t="s">
        <v>1609</v>
      </c>
      <c r="BD44" s="1000" t="s">
        <v>5995</v>
      </c>
    </row>
    <row r="45" spans="1:61" ht="12.95" customHeight="1">
      <c r="B45" s="750">
        <v>5</v>
      </c>
      <c r="C45" s="1269">
        <v>1</v>
      </c>
      <c r="D45" s="1271" t="str">
        <f ca="1">'System Lookups'!L157</f>
        <v>Knight Errant</v>
      </c>
      <c r="E45" s="1272"/>
      <c r="F45" s="1258"/>
      <c r="G45" s="1275">
        <f ca="1">'System Lookups'!L158</f>
        <v>20</v>
      </c>
      <c r="I45" s="1209" t="s">
        <v>5602</v>
      </c>
      <c r="J45" s="1210"/>
      <c r="K45" s="628">
        <v>0</v>
      </c>
      <c r="M45" s="1205" t="s">
        <v>3984</v>
      </c>
      <c r="N45" s="1206"/>
      <c r="O45" s="680">
        <f>AC6+O40-O44</f>
        <v>100</v>
      </c>
      <c r="Q45" s="611" t="s">
        <v>4414</v>
      </c>
      <c r="R45" s="627" t="s">
        <v>4415</v>
      </c>
      <c r="S45" s="619" t="s">
        <v>4416</v>
      </c>
      <c r="T45" s="686" t="s">
        <v>1540</v>
      </c>
      <c r="AA45" s="663"/>
      <c r="AC45" s="751" t="s">
        <v>2447</v>
      </c>
      <c r="AD45" s="743">
        <f ca="1">Skills!$AD$165</f>
        <v>0.52</v>
      </c>
      <c r="AF45" s="685" t="s">
        <v>1984</v>
      </c>
      <c r="AG45" s="1267">
        <f>IF(('SA&amp;DD'!D15="Y"),0.07+'SA&amp;DD'!G14/100,(IF(('SA&amp;DD'!L42="Y"),-'SA&amp;DD'!O41/100,0)))+IF('SA&amp;DD'!D57="Y",'SA&amp;DD'!H57/100,0)+IF('SA&amp;DD'!D58="Y",'SA&amp;DD'!H58/100,0)+IF('SA&amp;DD'!D59="Y",'SA&amp;DD'!H59/100,0)+IF('SA&amp;DD'!L43="Y",0.21,0)</f>
        <v>0.17</v>
      </c>
      <c r="AH45" s="1268"/>
      <c r="AI45" s="743">
        <f ca="1">Skills!$AD$842</f>
        <v>0.24</v>
      </c>
      <c r="AX45" s="661">
        <v>39</v>
      </c>
      <c r="AZ45" s="599" t="s">
        <v>3537</v>
      </c>
      <c r="BD45" s="598" t="s">
        <v>153</v>
      </c>
    </row>
    <row r="46" spans="1:61" ht="12.95" customHeight="1">
      <c r="C46" s="1270"/>
      <c r="D46" s="1273"/>
      <c r="E46" s="1274"/>
      <c r="F46" s="1261"/>
      <c r="G46" s="1276"/>
      <c r="I46" s="1209" t="s">
        <v>5603</v>
      </c>
      <c r="J46" s="1210"/>
      <c r="K46" s="628">
        <v>0</v>
      </c>
      <c r="L46" s="608"/>
      <c r="M46" s="667">
        <v>24</v>
      </c>
      <c r="O46" s="743">
        <f>((+$O$35*$E$12)/100)/100</f>
        <v>0.28949999999999998</v>
      </c>
      <c r="P46" s="699" t="s">
        <v>1204</v>
      </c>
      <c r="AA46" s="663"/>
      <c r="AC46" s="685" t="s">
        <v>3993</v>
      </c>
      <c r="AD46" s="743">
        <f>IF($E$6="Well",0,IF($E$6="Neutral",0.1,0))+IF('SA&amp;DD'!$D$33="Y",0.11+'SA&amp;DD'!$G$33/100,IF('SA&amp;DD'!$D$45="Y",0.03+'SA&amp;DD'!$G$45/100,0))</f>
        <v>0</v>
      </c>
      <c r="AF46" s="685" t="s">
        <v>1983</v>
      </c>
      <c r="AG46" s="1267">
        <f>IF(('SA&amp;DD'!D14="Y"),0.07+'SA&amp;DD'!G15/100,(IF(('SA&amp;DD'!L41="Y"),-'SA&amp;DD'!O42/100,0)))+IF('SA&amp;DD'!D57="Y",'SA&amp;DD'!H57/100,0)+IF('SA&amp;DD'!D58="Y",'SA&amp;DD'!H58/100,0)+IF('SA&amp;DD'!D59="Y",'SA&amp;DD'!H59/100,0)+IF('SA&amp;DD'!L43="Y",0.21,0)</f>
        <v>0.17</v>
      </c>
      <c r="AH46" s="1268"/>
      <c r="AI46" s="743">
        <f ca="1">Skills!$AD$841</f>
        <v>0.25</v>
      </c>
      <c r="AX46" s="661">
        <v>40</v>
      </c>
      <c r="AZ46" s="599" t="s">
        <v>4180</v>
      </c>
      <c r="BD46" s="598" t="s">
        <v>155</v>
      </c>
    </row>
    <row r="47" spans="1:61" ht="12.95" customHeight="1">
      <c r="L47" s="609"/>
      <c r="O47" s="622">
        <f>INT(+E12/2)</f>
        <v>7</v>
      </c>
      <c r="P47" s="749" t="s">
        <v>3722</v>
      </c>
      <c r="AX47" s="661">
        <v>41</v>
      </c>
      <c r="AZ47" s="599" t="s">
        <v>748</v>
      </c>
      <c r="BD47" s="598" t="s">
        <v>156</v>
      </c>
    </row>
    <row r="48" spans="1:61" ht="12.95" customHeight="1">
      <c r="L48" s="609"/>
      <c r="AX48" s="661">
        <v>42</v>
      </c>
      <c r="AZ48" s="599" t="s">
        <v>4181</v>
      </c>
      <c r="BD48" s="598" t="s">
        <v>3653</v>
      </c>
    </row>
    <row r="49" spans="12:56" ht="12.95" customHeight="1">
      <c r="L49" s="609"/>
      <c r="AX49" s="661">
        <v>43</v>
      </c>
      <c r="AZ49" s="599" t="s">
        <v>4182</v>
      </c>
      <c r="BD49" s="598" t="s">
        <v>2225</v>
      </c>
    </row>
    <row r="50" spans="12:56" ht="12.95" customHeight="1">
      <c r="L50" s="609"/>
      <c r="V50" s="1049"/>
      <c r="AX50" s="661">
        <v>44</v>
      </c>
      <c r="AZ50" s="599" t="s">
        <v>4183</v>
      </c>
    </row>
    <row r="51" spans="12:56" ht="12.95" customHeight="1">
      <c r="L51" s="609"/>
      <c r="AX51" s="661">
        <v>45</v>
      </c>
      <c r="AZ51" s="599" t="s">
        <v>4184</v>
      </c>
    </row>
    <row r="52" spans="12:56" ht="12.95" customHeight="1">
      <c r="L52" s="609"/>
      <c r="AX52" s="661">
        <v>46</v>
      </c>
      <c r="AZ52" s="599" t="s">
        <v>4185</v>
      </c>
    </row>
    <row r="53" spans="12:56" ht="12.95" customHeight="1">
      <c r="L53" s="609"/>
      <c r="AX53" s="661">
        <v>47</v>
      </c>
      <c r="AZ53" s="599" t="s">
        <v>4186</v>
      </c>
    </row>
    <row r="54" spans="12:56" ht="12.95" customHeight="1">
      <c r="L54" s="609"/>
      <c r="AX54" s="661">
        <v>48</v>
      </c>
      <c r="AZ54" s="599" t="s">
        <v>935</v>
      </c>
    </row>
    <row r="55" spans="12:56" ht="12.95" customHeight="1">
      <c r="L55" s="609"/>
      <c r="AX55" s="661">
        <v>49</v>
      </c>
      <c r="AZ55" s="599" t="s">
        <v>4187</v>
      </c>
    </row>
    <row r="56" spans="12:56" ht="12.95" customHeight="1">
      <c r="L56" s="609"/>
      <c r="AX56" s="661">
        <v>50</v>
      </c>
      <c r="AZ56" s="599" t="s">
        <v>4188</v>
      </c>
    </row>
    <row r="57" spans="12:56" ht="12.95" customHeight="1">
      <c r="L57" s="609"/>
      <c r="AX57" s="661">
        <v>51</v>
      </c>
      <c r="AZ57" s="599" t="s">
        <v>4541</v>
      </c>
    </row>
    <row r="58" spans="12:56" ht="12.95" customHeight="1">
      <c r="L58" s="609"/>
      <c r="AX58" s="661">
        <v>52</v>
      </c>
      <c r="AZ58" s="599" t="s">
        <v>4542</v>
      </c>
    </row>
    <row r="59" spans="12:56" ht="12.95" customHeight="1">
      <c r="L59" s="609"/>
      <c r="AX59" s="661">
        <v>53</v>
      </c>
      <c r="AZ59" s="599" t="s">
        <v>2600</v>
      </c>
    </row>
    <row r="60" spans="12:56" ht="12.95" customHeight="1">
      <c r="L60" s="609"/>
      <c r="AX60" s="661">
        <v>54</v>
      </c>
      <c r="AZ60" s="599" t="s">
        <v>2601</v>
      </c>
    </row>
    <row r="61" spans="12:56" ht="12.95" customHeight="1">
      <c r="L61" s="609"/>
      <c r="AX61" s="661">
        <v>55</v>
      </c>
      <c r="AZ61" s="599" t="s">
        <v>2602</v>
      </c>
    </row>
    <row r="62" spans="12:56" ht="12.95" customHeight="1">
      <c r="L62" s="609"/>
      <c r="AX62" s="661">
        <v>56</v>
      </c>
      <c r="AZ62" s="599" t="s">
        <v>2603</v>
      </c>
    </row>
    <row r="63" spans="12:56" ht="12.95" customHeight="1">
      <c r="L63" s="609"/>
      <c r="AX63" s="661">
        <v>57</v>
      </c>
      <c r="AZ63" s="599" t="s">
        <v>2604</v>
      </c>
    </row>
    <row r="64" spans="12:56" ht="12.95" customHeight="1">
      <c r="L64" s="609"/>
      <c r="AX64" s="661">
        <v>58</v>
      </c>
      <c r="AZ64" s="599" t="s">
        <v>1620</v>
      </c>
    </row>
    <row r="65" spans="12:52" ht="12.95" customHeight="1">
      <c r="L65" s="609"/>
      <c r="AX65" s="661">
        <v>59</v>
      </c>
      <c r="AZ65" s="599" t="s">
        <v>1621</v>
      </c>
    </row>
    <row r="66" spans="12:52" ht="12.95" customHeight="1">
      <c r="L66" s="609"/>
      <c r="AX66" s="661">
        <v>60</v>
      </c>
      <c r="AZ66" s="599" t="s">
        <v>1622</v>
      </c>
    </row>
    <row r="67" spans="12:52" ht="12.95" customHeight="1">
      <c r="L67" s="609"/>
      <c r="AX67" s="661">
        <v>61</v>
      </c>
      <c r="AZ67" s="599" t="s">
        <v>1623</v>
      </c>
    </row>
    <row r="68" spans="12:52" ht="12.95" customHeight="1">
      <c r="L68" s="609"/>
      <c r="AX68" s="661">
        <v>62</v>
      </c>
      <c r="AZ68" s="599" t="s">
        <v>781</v>
      </c>
    </row>
    <row r="69" spans="12:52" ht="12.95" customHeight="1">
      <c r="L69" s="609"/>
      <c r="AX69" s="661">
        <v>63</v>
      </c>
      <c r="AZ69" s="599" t="s">
        <v>782</v>
      </c>
    </row>
    <row r="70" spans="12:52" ht="12.95" customHeight="1">
      <c r="L70" s="609"/>
      <c r="AX70" s="661">
        <v>64</v>
      </c>
      <c r="AZ70" s="599" t="s">
        <v>783</v>
      </c>
    </row>
    <row r="71" spans="12:52" ht="12.95" customHeight="1">
      <c r="L71" s="609"/>
      <c r="AX71" s="661">
        <v>65</v>
      </c>
      <c r="AZ71" s="599" t="s">
        <v>784</v>
      </c>
    </row>
    <row r="72" spans="12:52" ht="12.95" customHeight="1">
      <c r="L72" s="609"/>
      <c r="AX72" s="661">
        <v>66</v>
      </c>
      <c r="AZ72" s="599" t="s">
        <v>4703</v>
      </c>
    </row>
    <row r="73" spans="12:52" ht="12.95" customHeight="1">
      <c r="L73" s="609"/>
      <c r="AX73" s="661">
        <v>67</v>
      </c>
      <c r="AZ73" s="599" t="s">
        <v>1251</v>
      </c>
    </row>
    <row r="74" spans="12:52" ht="12.95" customHeight="1">
      <c r="L74" s="609"/>
      <c r="AX74" s="661">
        <v>68</v>
      </c>
      <c r="AZ74" s="599" t="s">
        <v>785</v>
      </c>
    </row>
    <row r="75" spans="12:52" ht="12.95" customHeight="1">
      <c r="L75" s="609"/>
      <c r="AD75" s="1022" t="s">
        <v>6039</v>
      </c>
      <c r="AX75" s="661">
        <v>69</v>
      </c>
      <c r="AZ75" s="599" t="s">
        <v>5076</v>
      </c>
    </row>
    <row r="76" spans="12:52" ht="12.95" customHeight="1">
      <c r="L76" s="609"/>
      <c r="AX76" s="661">
        <v>70</v>
      </c>
      <c r="AZ76" s="599" t="s">
        <v>4704</v>
      </c>
    </row>
    <row r="77" spans="12:52" ht="12.95" customHeight="1">
      <c r="L77" s="609"/>
      <c r="AX77" s="661">
        <v>71</v>
      </c>
      <c r="AZ77" s="624" t="s">
        <v>1500</v>
      </c>
    </row>
    <row r="78" spans="12:52" ht="12.95" customHeight="1">
      <c r="L78" s="609"/>
      <c r="AX78" s="661">
        <v>72</v>
      </c>
      <c r="AZ78" s="599" t="s">
        <v>786</v>
      </c>
    </row>
    <row r="79" spans="12:52" ht="12.95" customHeight="1">
      <c r="L79" s="609"/>
      <c r="AX79" s="661">
        <v>73</v>
      </c>
      <c r="AZ79" s="599" t="s">
        <v>787</v>
      </c>
    </row>
    <row r="80" spans="12:52" ht="12.95" customHeight="1">
      <c r="L80" s="609"/>
      <c r="AX80" s="661">
        <v>74</v>
      </c>
      <c r="AZ80" s="599" t="s">
        <v>788</v>
      </c>
    </row>
    <row r="81" spans="11:52" ht="12.95" customHeight="1">
      <c r="L81" s="609"/>
      <c r="AX81" s="661">
        <v>75</v>
      </c>
      <c r="AZ81" s="599" t="s">
        <v>789</v>
      </c>
    </row>
    <row r="82" spans="11:52" ht="12.95" customHeight="1">
      <c r="L82" s="609"/>
      <c r="AX82" s="661">
        <v>76</v>
      </c>
      <c r="AZ82" s="599" t="s">
        <v>790</v>
      </c>
    </row>
    <row r="83" spans="11:52" ht="12.95" customHeight="1">
      <c r="L83" s="609"/>
      <c r="AX83" s="661">
        <v>77</v>
      </c>
      <c r="AZ83" s="599" t="s">
        <v>791</v>
      </c>
    </row>
    <row r="84" spans="11:52" ht="12.95" customHeight="1">
      <c r="L84" s="609"/>
      <c r="AX84" s="661">
        <v>78</v>
      </c>
      <c r="AZ84" s="599" t="s">
        <v>792</v>
      </c>
    </row>
    <row r="85" spans="11:52" ht="12.95" customHeight="1">
      <c r="L85" s="609"/>
      <c r="AX85" s="661">
        <v>79</v>
      </c>
      <c r="AZ85" s="599" t="s">
        <v>793</v>
      </c>
    </row>
    <row r="86" spans="11:52" ht="12.95" customHeight="1">
      <c r="L86" s="609"/>
      <c r="AX86" s="661">
        <v>80</v>
      </c>
      <c r="AZ86" s="599" t="s">
        <v>794</v>
      </c>
    </row>
    <row r="87" spans="11:52" ht="12.95" customHeight="1">
      <c r="L87" s="609"/>
      <c r="AX87" s="661">
        <v>81</v>
      </c>
      <c r="AZ87" s="599" t="s">
        <v>795</v>
      </c>
    </row>
    <row r="88" spans="11:52" ht="12.95" customHeight="1">
      <c r="L88" s="609"/>
      <c r="AX88" s="661">
        <v>82</v>
      </c>
      <c r="AZ88" s="599" t="s">
        <v>796</v>
      </c>
    </row>
    <row r="89" spans="11:52" ht="12.95" customHeight="1">
      <c r="L89" s="609"/>
      <c r="AX89" s="661">
        <v>83</v>
      </c>
      <c r="AZ89" s="599" t="s">
        <v>797</v>
      </c>
    </row>
    <row r="90" spans="11:52" ht="12.95" customHeight="1">
      <c r="L90" s="609"/>
      <c r="AX90" s="661">
        <v>84</v>
      </c>
      <c r="AZ90" s="599" t="s">
        <v>3160</v>
      </c>
    </row>
    <row r="91" spans="11:52" ht="12.95" customHeight="1">
      <c r="L91" s="609"/>
      <c r="AX91" s="661">
        <v>85</v>
      </c>
      <c r="AZ91" s="599" t="s">
        <v>798</v>
      </c>
    </row>
    <row r="92" spans="11:52" ht="12.95" customHeight="1">
      <c r="L92" s="609"/>
      <c r="AX92" s="661">
        <v>86</v>
      </c>
      <c r="AZ92" s="599" t="s">
        <v>799</v>
      </c>
    </row>
    <row r="93" spans="11:52" ht="12.95" customHeight="1">
      <c r="L93" s="609"/>
      <c r="AX93" s="661">
        <v>87</v>
      </c>
      <c r="AZ93" s="624" t="s">
        <v>4561</v>
      </c>
    </row>
    <row r="94" spans="11:52" ht="12.95" customHeight="1">
      <c r="L94" s="609"/>
      <c r="AX94" s="661">
        <v>88</v>
      </c>
      <c r="AZ94" s="599" t="s">
        <v>2062</v>
      </c>
    </row>
    <row r="95" spans="11:52" ht="12.95" customHeight="1">
      <c r="L95" s="609"/>
      <c r="AX95" s="661">
        <v>89</v>
      </c>
      <c r="AZ95" s="599" t="s">
        <v>4082</v>
      </c>
    </row>
    <row r="96" spans="11:52" ht="17.100000000000001" customHeight="1">
      <c r="K96" s="609"/>
      <c r="L96" s="684"/>
      <c r="AC96" s="598"/>
      <c r="AX96" s="661">
        <v>90</v>
      </c>
      <c r="AZ96" s="599" t="s">
        <v>4083</v>
      </c>
    </row>
    <row r="97" spans="1:52" ht="17.100000000000001" customHeight="1">
      <c r="K97" s="684"/>
      <c r="AX97" s="661">
        <v>91</v>
      </c>
      <c r="AZ97" s="599" t="s">
        <v>4084</v>
      </c>
    </row>
    <row r="98" spans="1:52" ht="17.100000000000001" customHeight="1">
      <c r="A98" s="598"/>
      <c r="D98" s="608"/>
      <c r="E98" s="608"/>
      <c r="F98" s="608"/>
      <c r="H98" s="636"/>
      <c r="I98" s="636"/>
      <c r="J98" s="608"/>
      <c r="K98" s="663"/>
      <c r="AX98" s="661">
        <v>92</v>
      </c>
      <c r="AZ98" s="599" t="s">
        <v>5049</v>
      </c>
    </row>
    <row r="99" spans="1:52" ht="17.100000000000001" customHeight="1">
      <c r="H99" s="636"/>
      <c r="I99" s="636"/>
      <c r="J99" s="608"/>
      <c r="K99" s="663"/>
      <c r="P99" s="602"/>
      <c r="Q99" s="602"/>
      <c r="R99" s="602"/>
      <c r="S99" s="602"/>
      <c r="T99" s="602"/>
      <c r="U99" s="602"/>
      <c r="V99" s="602"/>
      <c r="AX99" s="661">
        <v>93</v>
      </c>
      <c r="AZ99" s="599" t="s">
        <v>5050</v>
      </c>
    </row>
    <row r="100" spans="1:52" ht="17.100000000000001" customHeight="1">
      <c r="H100" s="636"/>
      <c r="I100" s="636"/>
      <c r="J100" s="608"/>
      <c r="K100" s="663"/>
      <c r="AX100" s="661">
        <v>94</v>
      </c>
      <c r="AZ100" s="599" t="s">
        <v>3636</v>
      </c>
    </row>
    <row r="101" spans="1:52">
      <c r="H101" s="636"/>
      <c r="I101" s="636"/>
      <c r="J101" s="608"/>
      <c r="K101" s="663"/>
      <c r="AX101" s="661">
        <v>95</v>
      </c>
      <c r="AZ101" s="599" t="s">
        <v>5051</v>
      </c>
    </row>
    <row r="102" spans="1:52">
      <c r="H102" s="609"/>
      <c r="I102" s="609"/>
      <c r="J102" s="608"/>
      <c r="K102" s="663"/>
      <c r="AX102" s="661">
        <v>96</v>
      </c>
      <c r="AZ102" s="599" t="s">
        <v>60</v>
      </c>
    </row>
    <row r="103" spans="1:52">
      <c r="A103" s="602"/>
      <c r="D103" s="608"/>
      <c r="E103" s="608"/>
      <c r="F103" s="608"/>
      <c r="H103" s="609"/>
      <c r="I103" s="609"/>
      <c r="J103" s="608"/>
      <c r="K103" s="663"/>
      <c r="AX103" s="661">
        <v>97</v>
      </c>
      <c r="AZ103" s="599" t="s">
        <v>63</v>
      </c>
    </row>
    <row r="104" spans="1:52">
      <c r="G104" s="603"/>
      <c r="H104" s="608"/>
      <c r="I104" s="608"/>
      <c r="J104" s="608"/>
      <c r="K104" s="663"/>
      <c r="T104" s="602"/>
      <c r="U104" s="602"/>
      <c r="V104" s="602"/>
      <c r="AX104" s="661">
        <v>98</v>
      </c>
      <c r="AZ104" s="599" t="s">
        <v>2798</v>
      </c>
    </row>
    <row r="105" spans="1:52">
      <c r="G105" s="636"/>
      <c r="H105" s="608"/>
      <c r="I105" s="608"/>
      <c r="J105" s="608"/>
      <c r="K105" s="663"/>
      <c r="T105" s="602"/>
      <c r="U105" s="602"/>
      <c r="V105" s="602"/>
      <c r="AL105" s="1221"/>
      <c r="AM105" s="1221"/>
      <c r="AN105" s="1221"/>
      <c r="AX105" s="661">
        <v>99</v>
      </c>
      <c r="AZ105" s="599" t="s">
        <v>62</v>
      </c>
    </row>
    <row r="106" spans="1:52">
      <c r="G106" s="636"/>
      <c r="H106" s="608"/>
      <c r="I106" s="608"/>
      <c r="J106" s="608"/>
      <c r="K106" s="663"/>
      <c r="T106" s="602"/>
      <c r="U106" s="602"/>
      <c r="V106" s="602"/>
      <c r="AX106" s="661">
        <v>100</v>
      </c>
      <c r="AZ106" s="599" t="s">
        <v>4379</v>
      </c>
    </row>
    <row r="107" spans="1:52">
      <c r="G107" s="609"/>
      <c r="H107" s="608"/>
      <c r="I107" s="608"/>
      <c r="J107" s="608"/>
      <c r="K107" s="663"/>
      <c r="T107" s="602"/>
      <c r="U107" s="602"/>
      <c r="V107" s="602"/>
      <c r="AX107" s="661">
        <v>101</v>
      </c>
      <c r="AZ107" s="599" t="s">
        <v>5052</v>
      </c>
    </row>
    <row r="108" spans="1:52">
      <c r="G108" s="608"/>
      <c r="H108" s="609"/>
      <c r="I108" s="609"/>
      <c r="J108" s="608"/>
      <c r="K108" s="663"/>
      <c r="AX108" s="661">
        <v>102</v>
      </c>
      <c r="AZ108" s="599" t="s">
        <v>5053</v>
      </c>
    </row>
    <row r="109" spans="1:52">
      <c r="D109" s="608"/>
      <c r="E109" s="608"/>
      <c r="F109" s="608"/>
      <c r="G109" s="598"/>
      <c r="H109" s="609"/>
      <c r="I109" s="609"/>
      <c r="J109" s="608"/>
      <c r="K109" s="663"/>
      <c r="AI109" s="663"/>
      <c r="AX109" s="661">
        <v>103</v>
      </c>
      <c r="AZ109" s="599" t="s">
        <v>3971</v>
      </c>
    </row>
    <row r="110" spans="1:52">
      <c r="K110" s="663"/>
      <c r="AI110" s="663"/>
      <c r="AX110" s="661">
        <v>104</v>
      </c>
      <c r="AZ110" s="599" t="s">
        <v>2820</v>
      </c>
    </row>
    <row r="111" spans="1:52">
      <c r="K111" s="663"/>
      <c r="AI111" s="663"/>
      <c r="AX111" s="661">
        <v>105</v>
      </c>
      <c r="AZ111" s="599" t="s">
        <v>2797</v>
      </c>
    </row>
    <row r="112" spans="1:52">
      <c r="K112" s="663"/>
      <c r="AX112" s="661">
        <v>106</v>
      </c>
      <c r="AZ112" s="599" t="s">
        <v>999</v>
      </c>
    </row>
    <row r="113" spans="11:52">
      <c r="K113" s="663"/>
      <c r="AX113" s="661">
        <v>107</v>
      </c>
      <c r="AZ113" s="599" t="s">
        <v>4842</v>
      </c>
    </row>
    <row r="114" spans="11:52">
      <c r="K114" s="663"/>
      <c r="AX114" s="661">
        <v>108</v>
      </c>
      <c r="AZ114" s="599" t="s">
        <v>4843</v>
      </c>
    </row>
    <row r="115" spans="11:52">
      <c r="K115" s="663"/>
      <c r="AX115" s="661">
        <v>109</v>
      </c>
      <c r="AZ115" s="599" t="s">
        <v>4845</v>
      </c>
    </row>
    <row r="116" spans="11:52">
      <c r="K116" s="663"/>
      <c r="AF116" s="608"/>
      <c r="AX116" s="661">
        <v>110</v>
      </c>
      <c r="AZ116" s="599" t="s">
        <v>4846</v>
      </c>
    </row>
    <row r="117" spans="11:52">
      <c r="K117" s="663"/>
      <c r="AF117" s="598"/>
      <c r="AX117" s="661">
        <v>111</v>
      </c>
      <c r="AZ117" s="599" t="s">
        <v>4847</v>
      </c>
    </row>
    <row r="118" spans="11:52">
      <c r="K118" s="663"/>
      <c r="AX118" s="661">
        <v>112</v>
      </c>
      <c r="AZ118" s="599" t="s">
        <v>1576</v>
      </c>
    </row>
    <row r="119" spans="11:52">
      <c r="AE119" s="598"/>
      <c r="AX119" s="661">
        <v>113</v>
      </c>
      <c r="AZ119" s="599" t="s">
        <v>844</v>
      </c>
    </row>
    <row r="120" spans="11:52">
      <c r="AX120" s="661">
        <v>114</v>
      </c>
      <c r="AZ120" s="599" t="s">
        <v>847</v>
      </c>
    </row>
    <row r="121" spans="11:52">
      <c r="AX121" s="661">
        <v>115</v>
      </c>
      <c r="AZ121" s="599" t="s">
        <v>848</v>
      </c>
    </row>
    <row r="122" spans="11:52">
      <c r="AX122" s="661">
        <v>116</v>
      </c>
      <c r="AZ122" s="599" t="s">
        <v>845</v>
      </c>
    </row>
    <row r="123" spans="11:52">
      <c r="AX123" s="661">
        <v>117</v>
      </c>
      <c r="AZ123" s="599" t="s">
        <v>846</v>
      </c>
    </row>
    <row r="124" spans="11:52">
      <c r="AX124" s="661">
        <v>117.5</v>
      </c>
      <c r="AZ124" s="599" t="s">
        <v>5935</v>
      </c>
    </row>
    <row r="125" spans="11:52">
      <c r="AX125" s="661">
        <v>118</v>
      </c>
      <c r="AZ125" s="599" t="s">
        <v>1577</v>
      </c>
    </row>
    <row r="126" spans="11:52">
      <c r="AX126" s="661">
        <v>119</v>
      </c>
      <c r="AZ126" s="599" t="s">
        <v>1579</v>
      </c>
    </row>
    <row r="127" spans="11:52">
      <c r="AX127" s="661">
        <v>120</v>
      </c>
      <c r="AZ127" s="599" t="s">
        <v>849</v>
      </c>
    </row>
    <row r="128" spans="11:52">
      <c r="AX128" s="661">
        <v>121</v>
      </c>
      <c r="AZ128" s="599" t="s">
        <v>1580</v>
      </c>
    </row>
    <row r="129" spans="50:52">
      <c r="AX129" s="661">
        <v>122</v>
      </c>
      <c r="AZ129" s="599" t="s">
        <v>1581</v>
      </c>
    </row>
    <row r="130" spans="50:52">
      <c r="AX130" s="661">
        <v>123</v>
      </c>
      <c r="AZ130" s="599" t="s">
        <v>2899</v>
      </c>
    </row>
    <row r="131" spans="50:52">
      <c r="AX131" s="661">
        <v>124</v>
      </c>
      <c r="AZ131" s="599" t="s">
        <v>1583</v>
      </c>
    </row>
    <row r="132" spans="50:52">
      <c r="AX132" s="661">
        <v>125</v>
      </c>
      <c r="AZ132" s="599" t="s">
        <v>1831</v>
      </c>
    </row>
    <row r="133" spans="50:52">
      <c r="AX133" s="661">
        <v>126</v>
      </c>
      <c r="AZ133" s="624" t="s">
        <v>5416</v>
      </c>
    </row>
    <row r="134" spans="50:52">
      <c r="AX134" s="661">
        <v>127</v>
      </c>
      <c r="AZ134" s="624" t="s">
        <v>5417</v>
      </c>
    </row>
    <row r="135" spans="50:52">
      <c r="AX135" s="661">
        <v>128</v>
      </c>
      <c r="AZ135" s="624" t="s">
        <v>5418</v>
      </c>
    </row>
    <row r="136" spans="50:52">
      <c r="AX136" s="661">
        <v>129</v>
      </c>
      <c r="AZ136" s="624" t="s">
        <v>5419</v>
      </c>
    </row>
    <row r="137" spans="50:52">
      <c r="AX137" s="661">
        <v>130</v>
      </c>
      <c r="AZ137" s="624" t="s">
        <v>5420</v>
      </c>
    </row>
    <row r="138" spans="50:52">
      <c r="AX138" s="661">
        <v>131</v>
      </c>
      <c r="AZ138" s="599" t="s">
        <v>755</v>
      </c>
    </row>
    <row r="139" spans="50:52">
      <c r="AX139" s="661">
        <v>132</v>
      </c>
      <c r="AZ139" s="624" t="s">
        <v>756</v>
      </c>
    </row>
    <row r="140" spans="50:52">
      <c r="AX140" s="661">
        <v>133</v>
      </c>
      <c r="AZ140" s="624" t="s">
        <v>757</v>
      </c>
    </row>
    <row r="141" spans="50:52">
      <c r="AX141" s="661">
        <v>134</v>
      </c>
      <c r="AZ141" s="624" t="s">
        <v>1578</v>
      </c>
    </row>
    <row r="142" spans="50:52">
      <c r="AX142" s="661">
        <v>135</v>
      </c>
      <c r="AZ142" s="599" t="s">
        <v>318</v>
      </c>
    </row>
    <row r="143" spans="50:52">
      <c r="AX143" s="661">
        <v>136</v>
      </c>
      <c r="AZ143" s="599" t="s">
        <v>876</v>
      </c>
    </row>
    <row r="144" spans="50:52">
      <c r="AX144" s="661">
        <v>137</v>
      </c>
      <c r="AZ144" s="599" t="s">
        <v>4761</v>
      </c>
    </row>
    <row r="145" spans="50:52">
      <c r="AX145" s="661">
        <v>138</v>
      </c>
      <c r="AZ145" s="599" t="s">
        <v>4340</v>
      </c>
    </row>
    <row r="146" spans="50:52">
      <c r="AX146" s="661">
        <v>139</v>
      </c>
      <c r="AZ146" s="599" t="s">
        <v>452</v>
      </c>
    </row>
    <row r="147" spans="50:52">
      <c r="AX147" s="661">
        <v>140</v>
      </c>
      <c r="AZ147" s="599" t="s">
        <v>4762</v>
      </c>
    </row>
    <row r="148" spans="50:52">
      <c r="AX148" s="661">
        <v>141</v>
      </c>
      <c r="AZ148" s="624" t="s">
        <v>1972</v>
      </c>
    </row>
    <row r="149" spans="50:52">
      <c r="AX149" s="661">
        <v>142</v>
      </c>
      <c r="AZ149" s="624" t="s">
        <v>1973</v>
      </c>
    </row>
    <row r="150" spans="50:52">
      <c r="AX150" s="661">
        <v>143</v>
      </c>
      <c r="AZ150" s="624" t="s">
        <v>2898</v>
      </c>
    </row>
    <row r="151" spans="50:52">
      <c r="AX151" s="661">
        <v>144</v>
      </c>
      <c r="AZ151" s="624" t="s">
        <v>1575</v>
      </c>
    </row>
    <row r="152" spans="50:52">
      <c r="AX152" s="661">
        <v>145</v>
      </c>
      <c r="AZ152" s="624" t="s">
        <v>4345</v>
      </c>
    </row>
    <row r="153" spans="50:52">
      <c r="AX153" s="661">
        <v>146</v>
      </c>
      <c r="AZ153" s="599" t="s">
        <v>5424</v>
      </c>
    </row>
    <row r="154" spans="50:52">
      <c r="AX154" s="661">
        <v>147</v>
      </c>
      <c r="AZ154" s="599" t="s">
        <v>4344</v>
      </c>
    </row>
    <row r="155" spans="50:52">
      <c r="AX155" s="661">
        <v>148</v>
      </c>
      <c r="AZ155" s="599" t="s">
        <v>4338</v>
      </c>
    </row>
    <row r="156" spans="50:52">
      <c r="AX156" s="661">
        <v>149</v>
      </c>
      <c r="AZ156" s="599" t="s">
        <v>4339</v>
      </c>
    </row>
    <row r="157" spans="50:52">
      <c r="AX157" s="661">
        <v>150</v>
      </c>
      <c r="AZ157" s="599" t="s">
        <v>1582</v>
      </c>
    </row>
    <row r="158" spans="50:52">
      <c r="AX158" s="661">
        <v>151</v>
      </c>
      <c r="AZ158" s="599" t="s">
        <v>4341</v>
      </c>
    </row>
    <row r="159" spans="50:52">
      <c r="AX159" s="661">
        <v>152</v>
      </c>
      <c r="AZ159" s="599" t="s">
        <v>5421</v>
      </c>
    </row>
    <row r="160" spans="50:52">
      <c r="AX160" s="661">
        <v>153</v>
      </c>
      <c r="AZ160" s="599" t="s">
        <v>4342</v>
      </c>
    </row>
    <row r="161" spans="50:52">
      <c r="AX161" s="661">
        <v>154</v>
      </c>
      <c r="AZ161" s="599" t="s">
        <v>5425</v>
      </c>
    </row>
    <row r="162" spans="50:52">
      <c r="AX162" s="661">
        <v>155</v>
      </c>
      <c r="AZ162" s="599" t="s">
        <v>451</v>
      </c>
    </row>
    <row r="163" spans="50:52">
      <c r="AX163" s="661">
        <v>156</v>
      </c>
      <c r="AZ163" s="599" t="s">
        <v>4343</v>
      </c>
    </row>
    <row r="164" spans="50:52">
      <c r="AX164" s="661">
        <v>157</v>
      </c>
      <c r="AZ164" s="599" t="s">
        <v>4346</v>
      </c>
    </row>
    <row r="165" spans="50:52">
      <c r="AX165" s="661">
        <v>158</v>
      </c>
      <c r="AZ165" s="599" t="s">
        <v>64</v>
      </c>
    </row>
    <row r="166" spans="50:52">
      <c r="AX166" s="661">
        <v>159</v>
      </c>
      <c r="AZ166" s="599" t="s">
        <v>1068</v>
      </c>
    </row>
    <row r="167" spans="50:52">
      <c r="AX167" s="661">
        <v>160</v>
      </c>
      <c r="AZ167" s="599" t="s">
        <v>5513</v>
      </c>
    </row>
    <row r="168" spans="50:52">
      <c r="AX168" s="661">
        <v>161</v>
      </c>
      <c r="AZ168" s="599" t="s">
        <v>1253</v>
      </c>
    </row>
    <row r="169" spans="50:52">
      <c r="AX169" s="661">
        <v>162</v>
      </c>
      <c r="AZ169" s="599" t="s">
        <v>4347</v>
      </c>
    </row>
    <row r="170" spans="50:52">
      <c r="AX170" s="661">
        <v>163</v>
      </c>
      <c r="AZ170" s="599" t="s">
        <v>4348</v>
      </c>
    </row>
    <row r="171" spans="50:52">
      <c r="AX171" s="661">
        <v>164</v>
      </c>
      <c r="AZ171" s="599" t="s">
        <v>4349</v>
      </c>
    </row>
    <row r="172" spans="50:52">
      <c r="AX172" s="661">
        <v>165</v>
      </c>
      <c r="AZ172" s="599" t="s">
        <v>2061</v>
      </c>
    </row>
    <row r="173" spans="50:52">
      <c r="AX173" s="661">
        <v>166</v>
      </c>
      <c r="AZ173" s="599" t="s">
        <v>1533</v>
      </c>
    </row>
    <row r="174" spans="50:52">
      <c r="AX174" s="661">
        <v>167</v>
      </c>
      <c r="AZ174" s="599" t="s">
        <v>4899</v>
      </c>
    </row>
    <row r="175" spans="50:52">
      <c r="AX175" s="661">
        <v>168</v>
      </c>
      <c r="AZ175" s="599" t="s">
        <v>1252</v>
      </c>
    </row>
    <row r="176" spans="50:52">
      <c r="AX176" s="661">
        <v>169</v>
      </c>
      <c r="AZ176" s="599" t="s">
        <v>4900</v>
      </c>
    </row>
    <row r="177" spans="50:52">
      <c r="AX177" s="661">
        <v>170</v>
      </c>
      <c r="AZ177" s="599" t="s">
        <v>5322</v>
      </c>
    </row>
    <row r="178" spans="50:52">
      <c r="AX178" s="661">
        <v>171</v>
      </c>
      <c r="AZ178" s="599" t="s">
        <v>4350</v>
      </c>
    </row>
    <row r="179" spans="50:52">
      <c r="AX179" s="661">
        <v>172</v>
      </c>
      <c r="AZ179" s="599" t="s">
        <v>4901</v>
      </c>
    </row>
    <row r="180" spans="50:52">
      <c r="AX180" s="661">
        <v>173</v>
      </c>
      <c r="AZ180" s="599" t="s">
        <v>4351</v>
      </c>
    </row>
    <row r="181" spans="50:52">
      <c r="AX181" s="661">
        <v>174</v>
      </c>
      <c r="AZ181" s="599" t="s">
        <v>4352</v>
      </c>
    </row>
    <row r="182" spans="50:52">
      <c r="AX182" s="661">
        <v>175</v>
      </c>
      <c r="AZ182" s="624" t="s">
        <v>4376</v>
      </c>
    </row>
    <row r="183" spans="50:52">
      <c r="AX183" s="661">
        <v>176</v>
      </c>
      <c r="AZ183" s="599" t="s">
        <v>4353</v>
      </c>
    </row>
    <row r="184" spans="50:52">
      <c r="AX184" s="661">
        <v>177</v>
      </c>
      <c r="AZ184" s="599" t="s">
        <v>4354</v>
      </c>
    </row>
    <row r="185" spans="50:52">
      <c r="AX185" s="661">
        <v>178</v>
      </c>
      <c r="AZ185" s="599" t="s">
        <v>4201</v>
      </c>
    </row>
    <row r="186" spans="50:52">
      <c r="AX186" s="661">
        <v>179</v>
      </c>
      <c r="AZ186" s="599" t="s">
        <v>4202</v>
      </c>
    </row>
    <row r="187" spans="50:52">
      <c r="AX187" s="661">
        <v>180</v>
      </c>
      <c r="AZ187" s="599" t="s">
        <v>4203</v>
      </c>
    </row>
    <row r="188" spans="50:52">
      <c r="AX188" s="661">
        <v>181</v>
      </c>
      <c r="AZ188" s="599" t="s">
        <v>4204</v>
      </c>
    </row>
    <row r="189" spans="50:52">
      <c r="AX189" s="661">
        <v>182</v>
      </c>
      <c r="AZ189" s="599" t="s">
        <v>4205</v>
      </c>
    </row>
    <row r="190" spans="50:52">
      <c r="AX190" s="661">
        <v>183</v>
      </c>
      <c r="AZ190" s="624" t="s">
        <v>1907</v>
      </c>
    </row>
    <row r="191" spans="50:52">
      <c r="AX191" s="661">
        <v>184</v>
      </c>
      <c r="AZ191" s="599" t="s">
        <v>1908</v>
      </c>
    </row>
    <row r="192" spans="50:52">
      <c r="AX192" s="661">
        <v>185</v>
      </c>
      <c r="AZ192" s="599" t="s">
        <v>1909</v>
      </c>
    </row>
    <row r="193" spans="50:52">
      <c r="AX193" s="661">
        <v>186</v>
      </c>
      <c r="AZ193" s="599" t="s">
        <v>1719</v>
      </c>
    </row>
    <row r="194" spans="50:52">
      <c r="AX194" s="661">
        <v>187</v>
      </c>
      <c r="AZ194" s="599" t="s">
        <v>1720</v>
      </c>
    </row>
    <row r="195" spans="50:52">
      <c r="AX195" s="661">
        <v>188</v>
      </c>
      <c r="AZ195" s="599" t="s">
        <v>1721</v>
      </c>
    </row>
    <row r="196" spans="50:52">
      <c r="AX196" s="661">
        <v>189</v>
      </c>
      <c r="AZ196" s="599" t="s">
        <v>5387</v>
      </c>
    </row>
    <row r="197" spans="50:52">
      <c r="AX197" s="661">
        <v>190</v>
      </c>
      <c r="AZ197" s="599" t="s">
        <v>4289</v>
      </c>
    </row>
    <row r="198" spans="50:52">
      <c r="AX198" s="661">
        <v>191</v>
      </c>
      <c r="AZ198" s="599" t="s">
        <v>1551</v>
      </c>
    </row>
    <row r="199" spans="50:52">
      <c r="AX199" s="661">
        <v>192</v>
      </c>
      <c r="AZ199" s="599" t="s">
        <v>1552</v>
      </c>
    </row>
    <row r="200" spans="50:52">
      <c r="AX200" s="661">
        <v>193</v>
      </c>
      <c r="AZ200" s="599" t="s">
        <v>1527</v>
      </c>
    </row>
    <row r="201" spans="50:52">
      <c r="AX201" s="661">
        <v>194</v>
      </c>
      <c r="AZ201" s="599" t="s">
        <v>1235</v>
      </c>
    </row>
    <row r="202" spans="50:52">
      <c r="AX202" s="661">
        <v>195</v>
      </c>
      <c r="AZ202" s="599" t="s">
        <v>4705</v>
      </c>
    </row>
    <row r="203" spans="50:52">
      <c r="AX203" s="661">
        <v>196</v>
      </c>
      <c r="AZ203" s="599" t="s">
        <v>4706</v>
      </c>
    </row>
    <row r="204" spans="50:52">
      <c r="AX204" s="661">
        <v>197</v>
      </c>
      <c r="AZ204" s="599" t="s">
        <v>4127</v>
      </c>
    </row>
    <row r="205" spans="50:52">
      <c r="AX205" s="661">
        <v>198</v>
      </c>
      <c r="AZ205" s="599" t="s">
        <v>1236</v>
      </c>
    </row>
    <row r="206" spans="50:52">
      <c r="AX206" s="661">
        <v>199</v>
      </c>
      <c r="AZ206" s="599" t="s">
        <v>1237</v>
      </c>
    </row>
    <row r="207" spans="50:52">
      <c r="AX207" s="661">
        <v>200</v>
      </c>
      <c r="AZ207" s="599" t="s">
        <v>4543</v>
      </c>
    </row>
    <row r="208" spans="50:52">
      <c r="AX208" s="661">
        <v>201</v>
      </c>
      <c r="AZ208" s="599" t="s">
        <v>1238</v>
      </c>
    </row>
    <row r="209" spans="50:52">
      <c r="AX209" s="661">
        <v>202</v>
      </c>
      <c r="AZ209" s="599" t="s">
        <v>5422</v>
      </c>
    </row>
    <row r="210" spans="50:52">
      <c r="AX210" s="661">
        <v>203</v>
      </c>
      <c r="AZ210" s="599" t="s">
        <v>5423</v>
      </c>
    </row>
    <row r="211" spans="50:52">
      <c r="AX211" s="661">
        <v>204</v>
      </c>
      <c r="AZ211" s="599" t="s">
        <v>3843</v>
      </c>
    </row>
    <row r="212" spans="50:52">
      <c r="AX212" s="661">
        <v>205</v>
      </c>
      <c r="AZ212" s="599" t="s">
        <v>3173</v>
      </c>
    </row>
    <row r="213" spans="50:52">
      <c r="AX213" s="661">
        <v>206</v>
      </c>
      <c r="AZ213" s="624" t="s">
        <v>3174</v>
      </c>
    </row>
    <row r="214" spans="50:52">
      <c r="AX214" s="661">
        <v>207</v>
      </c>
      <c r="AZ214" s="624" t="s">
        <v>259</v>
      </c>
    </row>
    <row r="215" spans="50:52">
      <c r="AX215" s="661">
        <v>208</v>
      </c>
      <c r="AZ215" s="624" t="s">
        <v>260</v>
      </c>
    </row>
    <row r="216" spans="50:52">
      <c r="AX216" s="661">
        <v>209</v>
      </c>
      <c r="AZ216" s="624" t="s">
        <v>261</v>
      </c>
    </row>
    <row r="217" spans="50:52">
      <c r="AX217" s="661">
        <v>210</v>
      </c>
      <c r="AZ217" s="599" t="s">
        <v>262</v>
      </c>
    </row>
    <row r="218" spans="50:52">
      <c r="AX218" s="661">
        <v>211</v>
      </c>
      <c r="AZ218" s="624" t="s">
        <v>263</v>
      </c>
    </row>
    <row r="219" spans="50:52">
      <c r="AX219" s="661">
        <v>212</v>
      </c>
      <c r="AZ219" s="624" t="s">
        <v>264</v>
      </c>
    </row>
    <row r="220" spans="50:52">
      <c r="AX220" s="661">
        <v>212.4</v>
      </c>
      <c r="AY220" s="1000"/>
      <c r="AZ220" s="624" t="s">
        <v>5992</v>
      </c>
    </row>
    <row r="221" spans="50:52">
      <c r="AX221" s="661">
        <v>213</v>
      </c>
      <c r="AZ221" s="624" t="s">
        <v>2071</v>
      </c>
    </row>
    <row r="222" spans="50:52">
      <c r="AX222" s="661">
        <v>214</v>
      </c>
      <c r="AZ222" s="599" t="s">
        <v>2072</v>
      </c>
    </row>
    <row r="223" spans="50:52">
      <c r="AX223" s="661">
        <v>215</v>
      </c>
      <c r="AZ223" s="599" t="s">
        <v>2073</v>
      </c>
    </row>
    <row r="224" spans="50:52">
      <c r="AX224" s="661">
        <v>216</v>
      </c>
      <c r="AZ224" s="599" t="s">
        <v>2074</v>
      </c>
    </row>
    <row r="225" spans="50:52">
      <c r="AX225" s="661">
        <v>217</v>
      </c>
      <c r="AZ225" s="599" t="s">
        <v>2075</v>
      </c>
    </row>
    <row r="226" spans="50:52">
      <c r="AX226" s="661">
        <v>218</v>
      </c>
      <c r="AZ226" s="599" t="s">
        <v>2076</v>
      </c>
    </row>
    <row r="227" spans="50:52">
      <c r="AX227" s="661">
        <v>219</v>
      </c>
      <c r="AZ227" s="599" t="s">
        <v>2077</v>
      </c>
    </row>
    <row r="228" spans="50:52">
      <c r="AX228" s="661">
        <v>220</v>
      </c>
      <c r="AZ228" s="599" t="s">
        <v>3637</v>
      </c>
    </row>
    <row r="229" spans="50:52">
      <c r="AX229" s="661">
        <v>221</v>
      </c>
      <c r="AZ229" s="599" t="s">
        <v>2078</v>
      </c>
    </row>
    <row r="230" spans="50:52">
      <c r="AX230" s="661">
        <v>222</v>
      </c>
      <c r="AZ230" s="599" t="s">
        <v>2079</v>
      </c>
    </row>
    <row r="231" spans="50:52">
      <c r="AX231" s="661">
        <v>223</v>
      </c>
      <c r="AZ231" s="599" t="s">
        <v>4578</v>
      </c>
    </row>
    <row r="232" spans="50:52">
      <c r="AX232" s="661">
        <v>224</v>
      </c>
      <c r="AZ232" s="599" t="s">
        <v>2038</v>
      </c>
    </row>
    <row r="233" spans="50:52">
      <c r="AX233" s="661">
        <v>225</v>
      </c>
      <c r="AZ233" s="599" t="s">
        <v>4851</v>
      </c>
    </row>
    <row r="234" spans="50:52">
      <c r="AX234" s="661">
        <v>226</v>
      </c>
      <c r="AZ234" s="599" t="s">
        <v>2080</v>
      </c>
    </row>
    <row r="235" spans="50:52">
      <c r="AX235" s="661">
        <v>227</v>
      </c>
      <c r="AZ235" s="599" t="s">
        <v>4849</v>
      </c>
    </row>
    <row r="236" spans="50:52">
      <c r="AX236" s="661">
        <v>228</v>
      </c>
      <c r="AZ236" s="599" t="s">
        <v>2675</v>
      </c>
    </row>
    <row r="237" spans="50:52">
      <c r="AX237" s="661">
        <v>229</v>
      </c>
      <c r="AZ237" s="599" t="s">
        <v>3164</v>
      </c>
    </row>
    <row r="238" spans="50:52">
      <c r="AX238" s="661">
        <v>230</v>
      </c>
      <c r="AZ238" s="599" t="s">
        <v>722</v>
      </c>
    </row>
    <row r="239" spans="50:52">
      <c r="AX239" s="661">
        <v>231</v>
      </c>
      <c r="AZ239" s="599" t="s">
        <v>2819</v>
      </c>
    </row>
    <row r="240" spans="50:52">
      <c r="AX240" s="661">
        <v>232</v>
      </c>
      <c r="AZ240" s="599" t="s">
        <v>4848</v>
      </c>
    </row>
    <row r="241" spans="50:52">
      <c r="AX241" s="661">
        <v>233</v>
      </c>
      <c r="AZ241" s="599" t="s">
        <v>723</v>
      </c>
    </row>
    <row r="242" spans="50:52">
      <c r="AX242" s="661">
        <v>234</v>
      </c>
      <c r="AZ242" s="599" t="s">
        <v>724</v>
      </c>
    </row>
    <row r="243" spans="50:52">
      <c r="AX243" s="661">
        <v>235</v>
      </c>
      <c r="AZ243" s="599" t="s">
        <v>5338</v>
      </c>
    </row>
    <row r="244" spans="50:52">
      <c r="AX244" s="661">
        <v>236</v>
      </c>
      <c r="AZ244" s="599" t="s">
        <v>3536</v>
      </c>
    </row>
    <row r="245" spans="50:52">
      <c r="AX245" s="661">
        <v>237</v>
      </c>
      <c r="AZ245" s="599" t="s">
        <v>1069</v>
      </c>
    </row>
    <row r="246" spans="50:52">
      <c r="AX246" s="661">
        <v>238</v>
      </c>
      <c r="AZ246" s="599" t="s">
        <v>4707</v>
      </c>
    </row>
    <row r="247" spans="50:52">
      <c r="AX247" s="661">
        <v>239</v>
      </c>
      <c r="AZ247" s="599" t="s">
        <v>233</v>
      </c>
    </row>
    <row r="248" spans="50:52">
      <c r="AX248" s="661">
        <v>240</v>
      </c>
      <c r="AZ248" s="599" t="s">
        <v>4855</v>
      </c>
    </row>
    <row r="249" spans="50:52">
      <c r="AX249" s="661">
        <v>241</v>
      </c>
      <c r="AZ249" s="599" t="s">
        <v>4854</v>
      </c>
    </row>
    <row r="250" spans="50:52">
      <c r="AX250" s="661">
        <v>242</v>
      </c>
      <c r="AZ250" s="599" t="s">
        <v>725</v>
      </c>
    </row>
    <row r="251" spans="50:52">
      <c r="AX251" s="661">
        <v>243</v>
      </c>
      <c r="AZ251" s="599" t="s">
        <v>726</v>
      </c>
    </row>
    <row r="252" spans="50:52">
      <c r="AX252" s="661">
        <v>244</v>
      </c>
      <c r="AZ252" s="599" t="s">
        <v>1855</v>
      </c>
    </row>
    <row r="253" spans="50:52">
      <c r="AX253" s="661">
        <v>245</v>
      </c>
      <c r="AZ253" s="599" t="s">
        <v>1856</v>
      </c>
    </row>
    <row r="254" spans="50:52">
      <c r="AX254" s="661">
        <v>246</v>
      </c>
      <c r="AZ254" s="599" t="s">
        <v>1857</v>
      </c>
    </row>
    <row r="255" spans="50:52">
      <c r="AX255" s="661">
        <v>247</v>
      </c>
      <c r="AZ255" s="599" t="s">
        <v>1858</v>
      </c>
    </row>
    <row r="256" spans="50:52">
      <c r="AX256" s="661">
        <v>248</v>
      </c>
      <c r="AZ256" s="599" t="s">
        <v>1859</v>
      </c>
    </row>
    <row r="257" spans="50:52">
      <c r="AX257" s="661">
        <v>249</v>
      </c>
      <c r="AZ257" s="599" t="s">
        <v>1860</v>
      </c>
    </row>
    <row r="258" spans="50:52">
      <c r="AX258" s="661">
        <v>250</v>
      </c>
      <c r="AZ258" s="599" t="s">
        <v>3729</v>
      </c>
    </row>
    <row r="259" spans="50:52">
      <c r="AX259" s="661">
        <v>251</v>
      </c>
      <c r="AZ259" s="599" t="s">
        <v>4853</v>
      </c>
    </row>
    <row r="260" spans="50:52">
      <c r="AX260" s="661">
        <v>252</v>
      </c>
      <c r="AZ260" s="599" t="s">
        <v>4852</v>
      </c>
    </row>
    <row r="261" spans="50:52">
      <c r="AX261" s="661">
        <v>253</v>
      </c>
      <c r="AZ261" s="599" t="s">
        <v>1861</v>
      </c>
    </row>
    <row r="262" spans="50:52">
      <c r="AX262" s="661">
        <v>254</v>
      </c>
      <c r="AZ262" s="599" t="s">
        <v>1862</v>
      </c>
    </row>
    <row r="263" spans="50:52">
      <c r="AX263" s="661">
        <v>255</v>
      </c>
      <c r="AZ263" s="599" t="s">
        <v>4850</v>
      </c>
    </row>
    <row r="264" spans="50:52">
      <c r="AX264" s="661">
        <v>256</v>
      </c>
      <c r="AZ264" s="599" t="s">
        <v>1863</v>
      </c>
    </row>
    <row r="265" spans="50:52">
      <c r="AX265" s="661">
        <v>257</v>
      </c>
      <c r="AZ265" s="599" t="s">
        <v>2813</v>
      </c>
    </row>
    <row r="266" spans="50:52">
      <c r="AX266" s="661">
        <v>258</v>
      </c>
      <c r="AZ266" s="599" t="s">
        <v>594</v>
      </c>
    </row>
    <row r="267" spans="50:52">
      <c r="AX267" s="661">
        <v>259</v>
      </c>
      <c r="AZ267" s="599" t="s">
        <v>4840</v>
      </c>
    </row>
    <row r="268" spans="50:52">
      <c r="AX268" s="661">
        <v>260</v>
      </c>
      <c r="AZ268" s="599" t="s">
        <v>595</v>
      </c>
    </row>
    <row r="269" spans="50:52">
      <c r="AX269" s="661">
        <v>261</v>
      </c>
      <c r="AZ269" s="599" t="s">
        <v>4841</v>
      </c>
    </row>
  </sheetData>
  <sortState ref="A36:K36">
    <sortCondition ref="K36"/>
  </sortState>
  <mergeCells count="99">
    <mergeCell ref="AB41:AC41"/>
    <mergeCell ref="AE41:AH41"/>
    <mergeCell ref="AB32:AC32"/>
    <mergeCell ref="AB34:AC34"/>
    <mergeCell ref="O27:W27"/>
    <mergeCell ref="AF35:AH35"/>
    <mergeCell ref="AF33:AH33"/>
    <mergeCell ref="AF34:AH34"/>
    <mergeCell ref="AF32:AH32"/>
    <mergeCell ref="AF31:AJ31"/>
    <mergeCell ref="AF30:AG30"/>
    <mergeCell ref="AH30:AJ30"/>
    <mergeCell ref="S39:U39"/>
    <mergeCell ref="S40:U40"/>
    <mergeCell ref="S38:U38"/>
    <mergeCell ref="AA31:AC31"/>
    <mergeCell ref="AB30:AC30"/>
    <mergeCell ref="AF6:AI6"/>
    <mergeCell ref="AD24:AE24"/>
    <mergeCell ref="O30:Y30"/>
    <mergeCell ref="N31:Y31"/>
    <mergeCell ref="O28:Y28"/>
    <mergeCell ref="AD30:AE30"/>
    <mergeCell ref="O17:Y17"/>
    <mergeCell ref="AM33:AN33"/>
    <mergeCell ref="I46:J46"/>
    <mergeCell ref="G45:G46"/>
    <mergeCell ref="O21:W21"/>
    <mergeCell ref="O13:W13"/>
    <mergeCell ref="O14:Y14"/>
    <mergeCell ref="O18:Y18"/>
    <mergeCell ref="H43:I43"/>
    <mergeCell ref="O29:Y29"/>
    <mergeCell ref="J26:L26"/>
    <mergeCell ref="J43:K43"/>
    <mergeCell ref="E28:G28"/>
    <mergeCell ref="M45:N45"/>
    <mergeCell ref="AG38:AG39"/>
    <mergeCell ref="AF38:AF39"/>
    <mergeCell ref="AE38:AE39"/>
    <mergeCell ref="AL105:AN105"/>
    <mergeCell ref="C43:D43"/>
    <mergeCell ref="C42:D42"/>
    <mergeCell ref="C41:D41"/>
    <mergeCell ref="E41:F41"/>
    <mergeCell ref="E42:F42"/>
    <mergeCell ref="AG44:AH44"/>
    <mergeCell ref="AG45:AH45"/>
    <mergeCell ref="AG46:AH46"/>
    <mergeCell ref="C45:C46"/>
    <mergeCell ref="E43:F43"/>
    <mergeCell ref="D45:F46"/>
    <mergeCell ref="I44:J44"/>
    <mergeCell ref="I45:J45"/>
    <mergeCell ref="AG42:AH42"/>
    <mergeCell ref="AG43:AH43"/>
    <mergeCell ref="E27:G27"/>
    <mergeCell ref="E26:G26"/>
    <mergeCell ref="M38:N38"/>
    <mergeCell ref="J42:K42"/>
    <mergeCell ref="E6:G6"/>
    <mergeCell ref="J30:K30"/>
    <mergeCell ref="M39:N39"/>
    <mergeCell ref="M40:N40"/>
    <mergeCell ref="I21:J21"/>
    <mergeCell ref="I24:L25"/>
    <mergeCell ref="J27:L27"/>
    <mergeCell ref="AC2:AG2"/>
    <mergeCell ref="A1:AI1"/>
    <mergeCell ref="O15:Y15"/>
    <mergeCell ref="O2:V2"/>
    <mergeCell ref="I7:J7"/>
    <mergeCell ref="P4:W6"/>
    <mergeCell ref="C2:M2"/>
    <mergeCell ref="D5:F5"/>
    <mergeCell ref="C4:G4"/>
    <mergeCell ref="AC3:AI3"/>
    <mergeCell ref="X2:AA2"/>
    <mergeCell ref="L4:O4"/>
    <mergeCell ref="AF5:AI5"/>
    <mergeCell ref="AF4:AI4"/>
    <mergeCell ref="O8:W8"/>
    <mergeCell ref="O9:Y9"/>
    <mergeCell ref="H4:J5"/>
    <mergeCell ref="L5:O5"/>
    <mergeCell ref="M44:N44"/>
    <mergeCell ref="H38:I38"/>
    <mergeCell ref="H39:I39"/>
    <mergeCell ref="H42:I42"/>
    <mergeCell ref="H41:K41"/>
    <mergeCell ref="O22:Y22"/>
    <mergeCell ref="O23:Y23"/>
    <mergeCell ref="O24:Y24"/>
    <mergeCell ref="O25:Y25"/>
    <mergeCell ref="O10:Y10"/>
    <mergeCell ref="O11:Y11"/>
    <mergeCell ref="O16:Y16"/>
    <mergeCell ref="O19:Y19"/>
    <mergeCell ref="O41:Q41"/>
  </mergeCells>
  <phoneticPr fontId="17" type="noConversion"/>
  <conditionalFormatting sqref="AA34">
    <cfRule type="expression" dxfId="344" priority="2" stopIfTrue="1">
      <formula>$C$3=3</formula>
    </cfRule>
  </conditionalFormatting>
  <conditionalFormatting sqref="AA32">
    <cfRule type="expression" dxfId="343" priority="3" stopIfTrue="1">
      <formula>$C$3=2</formula>
    </cfRule>
  </conditionalFormatting>
  <conditionalFormatting sqref="AD35:AE35 AE34">
    <cfRule type="expression" dxfId="342" priority="4" stopIfTrue="1">
      <formula>$C$3&lt;&gt;3</formula>
    </cfRule>
  </conditionalFormatting>
  <conditionalFormatting sqref="AE32:AE33">
    <cfRule type="expression" dxfId="341" priority="5" stopIfTrue="1">
      <formula>$C$3&lt;&gt;2</formula>
    </cfRule>
  </conditionalFormatting>
  <conditionalFormatting sqref="AD33 AF33:AH33">
    <cfRule type="expression" dxfId="340" priority="6" stopIfTrue="1">
      <formula>$C$3&lt;&gt;2</formula>
    </cfRule>
  </conditionalFormatting>
  <conditionalFormatting sqref="AD34">
    <cfRule type="expression" dxfId="339" priority="7" stopIfTrue="1">
      <formula>$C$3&lt;&gt;3</formula>
    </cfRule>
  </conditionalFormatting>
  <conditionalFormatting sqref="AB34">
    <cfRule type="expression" dxfId="338" priority="8" stopIfTrue="1">
      <formula>$C$3&lt;&gt;3</formula>
    </cfRule>
  </conditionalFormatting>
  <conditionalFormatting sqref="AF32:AH32">
    <cfRule type="expression" dxfId="337" priority="9" stopIfTrue="1">
      <formula>$C$3&lt;&gt;2</formula>
    </cfRule>
  </conditionalFormatting>
  <conditionalFormatting sqref="AD32">
    <cfRule type="expression" dxfId="336" priority="10" stopIfTrue="1">
      <formula>$C$3&lt;&gt;2</formula>
    </cfRule>
  </conditionalFormatting>
  <conditionalFormatting sqref="D31">
    <cfRule type="expression" dxfId="335" priority="12" stopIfTrue="1">
      <formula>#REF!&gt;0</formula>
    </cfRule>
  </conditionalFormatting>
  <conditionalFormatting sqref="E31">
    <cfRule type="expression" dxfId="334" priority="13" stopIfTrue="1">
      <formula>#REF!&gt;1</formula>
    </cfRule>
  </conditionalFormatting>
  <conditionalFormatting sqref="F31">
    <cfRule type="expression" dxfId="333" priority="14" stopIfTrue="1">
      <formula>#REF!&gt;2</formula>
    </cfRule>
  </conditionalFormatting>
  <conditionalFormatting sqref="G31">
    <cfRule type="expression" dxfId="332" priority="15" stopIfTrue="1">
      <formula>#REF!&gt;3</formula>
    </cfRule>
  </conditionalFormatting>
  <conditionalFormatting sqref="H31:H32 D32:G32 D35:F35">
    <cfRule type="expression" dxfId="331" priority="16" stopIfTrue="1">
      <formula>#REF!&gt;4</formula>
    </cfRule>
  </conditionalFormatting>
  <conditionalFormatting sqref="AF34:AH34">
    <cfRule type="expression" dxfId="330" priority="17" stopIfTrue="1">
      <formula>$C$3&lt;&gt;3</formula>
    </cfRule>
  </conditionalFormatting>
  <conditionalFormatting sqref="AF35:AH35">
    <cfRule type="expression" dxfId="329" priority="18" stopIfTrue="1">
      <formula>$C$3&lt;&gt;3</formula>
    </cfRule>
  </conditionalFormatting>
  <conditionalFormatting sqref="D34">
    <cfRule type="expression" dxfId="328" priority="19" stopIfTrue="1">
      <formula>($B$35&gt;0)</formula>
    </cfRule>
  </conditionalFormatting>
  <conditionalFormatting sqref="F34">
    <cfRule type="expression" dxfId="327" priority="20" stopIfTrue="1">
      <formula>($B$35&gt;2)</formula>
    </cfRule>
  </conditionalFormatting>
  <conditionalFormatting sqref="E34">
    <cfRule type="expression" dxfId="326" priority="21" stopIfTrue="1">
      <formula>($B$35&gt;1)</formula>
    </cfRule>
  </conditionalFormatting>
  <conditionalFormatting sqref="P4:W6">
    <cfRule type="expression" dxfId="325" priority="22" stopIfTrue="1">
      <formula>$K$5&lt;&gt;2</formula>
    </cfRule>
  </conditionalFormatting>
  <conditionalFormatting sqref="AB32">
    <cfRule type="expression" dxfId="324" priority="1" stopIfTrue="1">
      <formula>$C$3&lt;&gt;2</formula>
    </cfRule>
  </conditionalFormatting>
  <pageMargins left="0.5" right="0.5" top="0.5" bottom="0.5" header="0" footer="0"/>
  <pageSetup scale="65" orientation="landscape" horizontalDpi="300" verticalDpi="300" r:id="rId1"/>
  <headerFooter alignWithMargins="0"/>
  <legacyDrawing r:id="rId2"/>
</worksheet>
</file>

<file path=xl/worksheets/sheet3.xml><?xml version="1.0" encoding="utf-8"?>
<worksheet xmlns="http://schemas.openxmlformats.org/spreadsheetml/2006/main" xmlns:r="http://schemas.openxmlformats.org/officeDocument/2006/relationships">
  <sheetPr codeName="Sheet7">
    <tabColor rgb="FF0070C0"/>
  </sheetPr>
  <dimension ref="A1:CS863"/>
  <sheetViews>
    <sheetView tabSelected="1" topLeftCell="F76" workbookViewId="0">
      <selection activeCell="AA76" sqref="AA76:AC76"/>
    </sheetView>
  </sheetViews>
  <sheetFormatPr defaultColWidth="8" defaultRowHeight="12.75" outlineLevelRow="1" outlineLevelCol="1"/>
  <cols>
    <col min="1" max="1" width="2.7109375" style="61" customWidth="1"/>
    <col min="2" max="2" width="3.28515625" style="61" customWidth="1"/>
    <col min="3" max="3" width="2.5703125" style="61" bestFit="1" customWidth="1"/>
    <col min="4" max="10" width="2.7109375" style="61" customWidth="1"/>
    <col min="11" max="11" width="3.28515625" style="61" customWidth="1"/>
    <col min="12" max="12" width="2.7109375" style="61" customWidth="1"/>
    <col min="13" max="13" width="1.7109375" style="61" customWidth="1"/>
    <col min="14" max="14" width="3.42578125" style="61" customWidth="1"/>
    <col min="15" max="15" width="2.7109375" style="61" customWidth="1"/>
    <col min="16" max="25" width="3.7109375" style="61" customWidth="1"/>
    <col min="26" max="26" width="4.7109375" style="61" customWidth="1"/>
    <col min="27" max="27" width="3.7109375" style="61" customWidth="1"/>
    <col min="28" max="28" width="2.7109375" style="61" customWidth="1"/>
    <col min="29" max="29" width="3.7109375" style="61" customWidth="1"/>
    <col min="30" max="30" width="5.7109375" style="61" customWidth="1"/>
    <col min="31" max="31" width="4.7109375" style="61" customWidth="1"/>
    <col min="32" max="32" width="1.7109375" style="61" customWidth="1"/>
    <col min="33" max="44" width="2.7109375" style="61" customWidth="1"/>
    <col min="45" max="45" width="1.7109375" style="61" customWidth="1"/>
    <col min="46" max="60" width="3.7109375" style="61" customWidth="1"/>
    <col min="61" max="62" width="2.7109375" style="61" customWidth="1"/>
    <col min="63" max="63" width="4.7109375" style="65" customWidth="1"/>
    <col min="64" max="64" width="1.7109375" style="65" customWidth="1" outlineLevel="1"/>
    <col min="65" max="65" width="2.7109375" style="496" customWidth="1" outlineLevel="1"/>
    <col min="66" max="67" width="2.7109375" style="65" customWidth="1" outlineLevel="1"/>
    <col min="68" max="76" width="2.7109375" style="61" customWidth="1" outlineLevel="1"/>
    <col min="77" max="77" width="1.7109375" style="61" customWidth="1" outlineLevel="1"/>
    <col min="78" max="92" width="3.7109375" style="61" customWidth="1" outlineLevel="1"/>
    <col min="93" max="94" width="2.7109375" style="61" customWidth="1" outlineLevel="1"/>
    <col min="95" max="95" width="4.7109375" style="61" customWidth="1" outlineLevel="1"/>
    <col min="96" max="96" width="1.7109375" style="61" customWidth="1"/>
    <col min="97" max="104" width="8" style="61" customWidth="1"/>
    <col min="105" max="16384" width="8" style="61"/>
  </cols>
  <sheetData>
    <row r="1" spans="1:64" ht="12.75" customHeight="1">
      <c r="A1" s="1857" t="s">
        <v>4753</v>
      </c>
      <c r="B1" s="1857"/>
      <c r="C1" s="1857"/>
      <c r="D1" s="1857"/>
      <c r="E1" s="1857"/>
      <c r="F1" s="1857"/>
      <c r="G1" s="2298" t="str">
        <f>IF(ISBLANK('Main Creation Page'!C2)," ",'Main Creation Page'!C2)</f>
        <v xml:space="preserve"> </v>
      </c>
      <c r="H1" s="2279"/>
      <c r="I1" s="2279"/>
      <c r="J1" s="2279"/>
      <c r="K1" s="2279"/>
      <c r="L1" s="2279"/>
      <c r="M1" s="2279"/>
      <c r="N1" s="2279"/>
      <c r="O1" s="1339" t="s">
        <v>3510</v>
      </c>
      <c r="P1" s="1298"/>
      <c r="Q1" s="1298"/>
      <c r="R1" s="1298"/>
      <c r="S1" s="1740" t="str">
        <f>IF(ISBLANK('Main Creation Page'!O2)," ",'Main Creation Page'!O2)</f>
        <v xml:space="preserve"> </v>
      </c>
      <c r="T1" s="1298"/>
      <c r="U1" s="1298"/>
      <c r="V1" s="1298"/>
      <c r="W1" s="1298"/>
      <c r="X1" s="1296"/>
      <c r="Y1" s="1339" t="s">
        <v>3512</v>
      </c>
      <c r="Z1" s="1344"/>
      <c r="AA1" s="1344"/>
      <c r="AB1" s="1345"/>
      <c r="AC1" s="566">
        <f>Experience!R15</f>
        <v>1</v>
      </c>
      <c r="AD1" s="568" t="str">
        <f>VLOOKUP(AC1,'Main Creation Page'!AX5:BM8,16)</f>
        <v>st</v>
      </c>
      <c r="AG1" s="1350" t="s">
        <v>3730</v>
      </c>
      <c r="AH1" s="1175"/>
      <c r="AI1" s="1175"/>
      <c r="AJ1" s="1175"/>
      <c r="AK1" s="1175"/>
      <c r="AL1" s="1175"/>
      <c r="AM1" s="1175"/>
      <c r="AN1" s="1175"/>
      <c r="AO1" s="1175"/>
      <c r="AP1" s="1175"/>
      <c r="AQ1" s="1175"/>
      <c r="AR1" s="1175"/>
      <c r="AS1" s="1175"/>
      <c r="AT1" s="1175"/>
      <c r="AU1" s="1175"/>
      <c r="AV1" s="1175"/>
      <c r="AW1" s="1175"/>
      <c r="AX1" s="1175"/>
      <c r="AY1" s="1175"/>
      <c r="AZ1" s="1175"/>
      <c r="BA1" s="1175"/>
      <c r="BB1" s="1175"/>
      <c r="BC1" s="1175"/>
      <c r="BD1" s="1175"/>
      <c r="BE1" s="1175"/>
      <c r="BF1" s="1175"/>
      <c r="BG1" s="1175"/>
      <c r="BH1" s="1175"/>
      <c r="BI1" s="1175"/>
      <c r="BJ1" s="1175"/>
      <c r="BK1" s="10"/>
      <c r="BL1" s="572"/>
    </row>
    <row r="2" spans="1:64" ht="12.75" customHeight="1">
      <c r="A2" s="1365" t="s">
        <v>3511</v>
      </c>
      <c r="B2" s="2236"/>
      <c r="C2" s="2236"/>
      <c r="D2" s="2236"/>
      <c r="E2" s="2236"/>
      <c r="F2" s="2236"/>
      <c r="G2" s="2276" t="str">
        <f>'Main Creation Page'!AC2</f>
        <v>Clergy: Knight Chaplain</v>
      </c>
      <c r="H2" s="2277"/>
      <c r="I2" s="2277"/>
      <c r="J2" s="2277"/>
      <c r="K2" s="2277"/>
      <c r="L2" s="2277"/>
      <c r="M2" s="2277"/>
      <c r="N2" s="2278"/>
      <c r="O2" s="1857" t="s">
        <v>2296</v>
      </c>
      <c r="P2" s="1457"/>
      <c r="Q2" s="1457"/>
      <c r="R2" s="1315"/>
      <c r="S2" s="2272" t="str">
        <f>'Main Creation Page'!O33</f>
        <v>6ft. 1 in.</v>
      </c>
      <c r="T2" s="2273"/>
      <c r="U2" s="2273"/>
      <c r="V2" s="2273"/>
      <c r="W2" s="2273"/>
      <c r="X2" s="2274"/>
      <c r="Y2" s="1339" t="s">
        <v>1818</v>
      </c>
      <c r="Z2" s="1340"/>
      <c r="AA2" s="1340"/>
      <c r="AB2" s="1341"/>
      <c r="AC2" s="1349">
        <f>'Main Creation Page'!AD46</f>
        <v>0</v>
      </c>
      <c r="AD2" s="1296"/>
      <c r="AG2" s="1351"/>
      <c r="AH2" s="1175"/>
      <c r="AI2" s="1175"/>
      <c r="AJ2" s="1175"/>
      <c r="AK2" s="1175"/>
      <c r="AL2" s="1175"/>
      <c r="AM2" s="1175"/>
      <c r="AN2" s="1175"/>
      <c r="AO2" s="1175"/>
      <c r="AP2" s="1175"/>
      <c r="AQ2" s="1175"/>
      <c r="AR2" s="1175"/>
      <c r="AS2" s="1175"/>
      <c r="AT2" s="1175"/>
      <c r="AU2" s="1175"/>
      <c r="AV2" s="1175"/>
      <c r="AW2" s="1175"/>
      <c r="AX2" s="1175"/>
      <c r="AY2" s="1175"/>
      <c r="AZ2" s="1175"/>
      <c r="BA2" s="1175"/>
      <c r="BB2" s="1175"/>
      <c r="BC2" s="1175"/>
      <c r="BD2" s="1175"/>
      <c r="BE2" s="1175"/>
      <c r="BF2" s="1175"/>
      <c r="BG2" s="1175"/>
      <c r="BH2" s="1175"/>
      <c r="BI2" s="1175"/>
      <c r="BJ2" s="1175"/>
      <c r="BK2" s="10"/>
      <c r="BL2" s="572"/>
    </row>
    <row r="3" spans="1:64" ht="12.75" customHeight="1">
      <c r="A3" s="1857" t="s">
        <v>4754</v>
      </c>
      <c r="B3" s="1857"/>
      <c r="C3" s="1857"/>
      <c r="D3" s="1857"/>
      <c r="E3" s="1857"/>
      <c r="F3" s="1857"/>
      <c r="G3" s="2298" t="str">
        <f>VLOOKUP('Main Creation Page'!C3,'Main Creation Page'!AX5:AY12,2)</f>
        <v>Human</v>
      </c>
      <c r="H3" s="2298"/>
      <c r="I3" s="2298"/>
      <c r="J3" s="554" t="s">
        <v>2295</v>
      </c>
      <c r="K3" s="554"/>
      <c r="L3" s="554"/>
      <c r="M3" s="1314" t="str">
        <f>'Main Creation Page'!I31</f>
        <v>M</v>
      </c>
      <c r="N3" s="1437"/>
      <c r="O3" s="1857" t="s">
        <v>2297</v>
      </c>
      <c r="P3" s="1457"/>
      <c r="Q3" s="1457"/>
      <c r="R3" s="1315"/>
      <c r="S3" s="1328">
        <f>'Main Creation Page'!O35</f>
        <v>193</v>
      </c>
      <c r="T3" s="1329"/>
      <c r="U3" s="1329"/>
      <c r="V3" s="1329"/>
      <c r="W3" s="1329"/>
      <c r="X3" s="555" t="s">
        <v>3350</v>
      </c>
      <c r="Y3" s="1339" t="s">
        <v>2440</v>
      </c>
      <c r="Z3" s="1340"/>
      <c r="AA3" s="1340"/>
      <c r="AB3" s="1341"/>
      <c r="AC3" s="507">
        <f ca="1">'Main Creation Page'!I27</f>
        <v>23</v>
      </c>
      <c r="AD3" s="551">
        <f ca="1">'Main Creation Page'!G45</f>
        <v>20</v>
      </c>
    </row>
    <row r="4" spans="1:64" ht="12.75" customHeight="1">
      <c r="A4" s="1857" t="s">
        <v>2590</v>
      </c>
      <c r="B4" s="1857"/>
      <c r="C4" s="1857"/>
      <c r="D4" s="1857"/>
      <c r="E4" s="2279"/>
      <c r="F4" s="2279"/>
      <c r="G4" s="1532" t="str">
        <f>'Main Creation Page'!E6</f>
        <v>Well</v>
      </c>
      <c r="H4" s="2295"/>
      <c r="I4" s="2295"/>
      <c r="J4" s="1339" t="s">
        <v>3855</v>
      </c>
      <c r="K4" s="2125"/>
      <c r="L4" s="1742"/>
      <c r="M4" s="1314">
        <f>IF(ISBLANK('Main Creation Page'!AG38),'Main Creation Page'!AF38,'Main Creation Page'!AG38)</f>
        <v>18</v>
      </c>
      <c r="N4" s="1437"/>
      <c r="O4" s="1857" t="s">
        <v>4728</v>
      </c>
      <c r="P4" s="1457"/>
      <c r="Q4" s="1457"/>
      <c r="R4" s="1315"/>
      <c r="S4" s="1328">
        <f>'Main Creation Page'!AD8</f>
        <v>333.09999999999997</v>
      </c>
      <c r="T4" s="1330"/>
      <c r="U4" s="1329"/>
      <c r="V4" s="1329"/>
      <c r="W4" s="1329"/>
      <c r="X4" s="555" t="s">
        <v>3350</v>
      </c>
      <c r="Y4" s="1339" t="s">
        <v>2298</v>
      </c>
      <c r="Z4" s="1340"/>
      <c r="AA4" s="1340"/>
      <c r="AB4" s="1341"/>
      <c r="AC4" s="1312" t="str">
        <f>'Main Creation Page'!O34</f>
        <v>Heavy</v>
      </c>
      <c r="AD4" s="1311"/>
      <c r="AG4" s="107" t="s">
        <v>729</v>
      </c>
      <c r="AH4" s="107"/>
      <c r="AI4" s="107"/>
      <c r="AJ4" s="107"/>
      <c r="AK4" s="107"/>
      <c r="AL4" s="107"/>
      <c r="AM4" s="107"/>
      <c r="AN4" s="107"/>
      <c r="AO4" s="107"/>
      <c r="AP4" s="107"/>
      <c r="AQ4" s="107"/>
      <c r="AR4" s="107"/>
      <c r="AS4" s="107"/>
      <c r="AT4" s="107"/>
      <c r="AU4" s="107"/>
      <c r="AV4" s="107"/>
      <c r="AW4" s="107"/>
    </row>
    <row r="5" spans="1:64" ht="12.75" customHeight="1">
      <c r="A5" s="1857" t="s">
        <v>4727</v>
      </c>
      <c r="B5" s="1857"/>
      <c r="C5" s="1857"/>
      <c r="D5" s="1857"/>
      <c r="E5" s="2279"/>
      <c r="F5" s="2279"/>
      <c r="G5" s="2296" t="str">
        <f>'Main Creation Page'!AF31</f>
        <v>Libra/The Scales</v>
      </c>
      <c r="H5" s="2277"/>
      <c r="I5" s="2278"/>
      <c r="J5" s="1857" t="s">
        <v>2441</v>
      </c>
      <c r="K5" s="1857"/>
      <c r="L5" s="1857"/>
      <c r="M5" s="1860">
        <f>'Faith&amp;AOF'!E18</f>
        <v>27</v>
      </c>
      <c r="N5" s="1437"/>
      <c r="O5" s="1857" t="s">
        <v>4729</v>
      </c>
      <c r="P5" s="1457"/>
      <c r="Q5" s="1457"/>
      <c r="R5" s="1315"/>
      <c r="S5" s="1328">
        <f>'Main Creation Page'!AD9</f>
        <v>166.54999999999998</v>
      </c>
      <c r="T5" s="1330"/>
      <c r="U5" s="1329"/>
      <c r="V5" s="1329"/>
      <c r="W5" s="1329"/>
      <c r="X5" s="555" t="s">
        <v>3350</v>
      </c>
      <c r="Y5" s="1339" t="s">
        <v>4730</v>
      </c>
      <c r="Z5" s="1340"/>
      <c r="AA5" s="1340"/>
      <c r="AB5" s="1341"/>
      <c r="AC5" s="1338">
        <f>'Main Creation Page'!AD14</f>
        <v>8.75</v>
      </c>
      <c r="AD5" s="1311"/>
      <c r="AG5" s="107" t="s">
        <v>728</v>
      </c>
      <c r="AH5" s="107"/>
      <c r="AI5" s="107"/>
      <c r="AJ5" s="107"/>
      <c r="AK5" s="107"/>
      <c r="AL5" s="107"/>
      <c r="AM5" s="107"/>
      <c r="AN5" s="107"/>
      <c r="AO5" s="107"/>
      <c r="AP5" s="107"/>
      <c r="AQ5" s="107"/>
      <c r="AR5" s="107"/>
      <c r="AS5" s="107"/>
      <c r="AT5" s="107"/>
      <c r="AU5" s="107"/>
      <c r="AV5" s="107"/>
      <c r="AW5" s="107"/>
    </row>
    <row r="6" spans="1:64" ht="12.75" customHeight="1">
      <c r="A6" s="1857" t="s">
        <v>3110</v>
      </c>
      <c r="B6" s="1857"/>
      <c r="C6" s="1857"/>
      <c r="D6" s="1857"/>
      <c r="E6" s="2279"/>
      <c r="F6" s="2279"/>
      <c r="G6" s="1314">
        <f>'Main Creation Page'!H43</f>
        <v>0</v>
      </c>
      <c r="H6" s="1437"/>
      <c r="I6" s="1437"/>
      <c r="J6" s="1339" t="s">
        <v>1266</v>
      </c>
      <c r="K6" s="2126"/>
      <c r="L6" s="2326">
        <f ca="1">'Main Creation Page'!C42</f>
        <v>36.5</v>
      </c>
      <c r="M6" s="1296"/>
      <c r="N6" s="550">
        <f ca="1">'Main Creation Page'!C43</f>
        <v>33.5</v>
      </c>
      <c r="O6" s="1339" t="s">
        <v>26</v>
      </c>
      <c r="P6" s="1298"/>
      <c r="Q6" s="1298"/>
      <c r="R6" s="1296"/>
      <c r="S6" s="1328">
        <f>'Main Creation Page'!AD11</f>
        <v>83.274999999999991</v>
      </c>
      <c r="T6" s="1330"/>
      <c r="U6" s="1329"/>
      <c r="V6" s="1329"/>
      <c r="W6" s="1329"/>
      <c r="X6" s="555" t="s">
        <v>3350</v>
      </c>
      <c r="Y6" s="1339" t="s">
        <v>270</v>
      </c>
      <c r="Z6" s="1340"/>
      <c r="AA6" s="1340"/>
      <c r="AB6" s="1341"/>
      <c r="AC6" s="564">
        <f>'Main Creation Page'!O47</f>
        <v>7</v>
      </c>
      <c r="AD6" s="560">
        <f>'Main Creation Page'!O46</f>
        <v>0.28949999999999998</v>
      </c>
      <c r="AG6" s="82"/>
      <c r="AH6" s="107"/>
      <c r="AI6" s="107"/>
      <c r="AJ6" s="107"/>
      <c r="AK6" s="107"/>
      <c r="AL6" s="107"/>
      <c r="AM6" s="107"/>
      <c r="AN6" s="107"/>
      <c r="AO6" s="107"/>
      <c r="AP6" s="107"/>
      <c r="AQ6" s="107"/>
      <c r="AR6" s="107"/>
      <c r="AS6" s="107"/>
      <c r="AT6" s="107"/>
      <c r="AU6" s="107"/>
      <c r="AV6" s="107"/>
      <c r="AW6" s="107"/>
    </row>
    <row r="7" spans="1:64" ht="12.75" customHeight="1">
      <c r="A7" s="1857" t="s">
        <v>3048</v>
      </c>
      <c r="B7" s="1857"/>
      <c r="C7" s="1857"/>
      <c r="D7" s="1857"/>
      <c r="E7" s="2279"/>
      <c r="F7" s="2279"/>
      <c r="G7" s="1314">
        <f>'Main Creation Page'!J43</f>
        <v>0</v>
      </c>
      <c r="H7" s="1437"/>
      <c r="I7" s="1437"/>
      <c r="J7" s="1339" t="s">
        <v>3111</v>
      </c>
      <c r="K7" s="1298"/>
      <c r="L7" s="1298"/>
      <c r="M7" s="1298"/>
      <c r="N7" s="1298"/>
      <c r="O7" s="1298"/>
      <c r="P7" s="2275">
        <f ca="1">'Main Creation Page'!E42</f>
        <v>33</v>
      </c>
      <c r="Q7" s="1296"/>
      <c r="R7" s="2297">
        <f ca="1">'Main Creation Page'!E43</f>
        <v>30</v>
      </c>
      <c r="S7" s="1394"/>
      <c r="T7" s="2280" t="s">
        <v>2239</v>
      </c>
      <c r="U7" s="2281"/>
      <c r="V7" s="2281"/>
      <c r="W7" s="2281"/>
      <c r="X7" s="2281"/>
      <c r="Y7" s="2281"/>
      <c r="Z7" s="2281"/>
      <c r="AA7" s="2281"/>
      <c r="AB7" s="2281"/>
      <c r="AC7" s="2281"/>
      <c r="AD7" s="2282"/>
      <c r="AG7" s="107"/>
      <c r="AH7" s="107"/>
      <c r="AI7" s="107"/>
      <c r="AJ7" s="107"/>
      <c r="AK7" s="107"/>
      <c r="AL7" s="107"/>
      <c r="AM7" s="107"/>
      <c r="AN7" s="107"/>
      <c r="AO7" s="107"/>
      <c r="AP7" s="107"/>
      <c r="AQ7" s="107"/>
      <c r="AR7" s="107"/>
      <c r="AS7" s="107"/>
      <c r="AT7" s="107"/>
      <c r="AU7" s="107"/>
      <c r="AV7" s="107"/>
      <c r="AW7" s="107"/>
    </row>
    <row r="8" spans="1:64" ht="12.75" customHeight="1">
      <c r="A8" s="1400" t="s">
        <v>2442</v>
      </c>
      <c r="B8" s="1400"/>
      <c r="C8" s="1400"/>
      <c r="D8" s="1400"/>
      <c r="E8" s="1400"/>
      <c r="F8" s="1400"/>
      <c r="G8" s="1400" t="s">
        <v>1819</v>
      </c>
      <c r="H8" s="1400"/>
      <c r="I8" s="1400"/>
      <c r="J8" s="2090" t="s">
        <v>5085</v>
      </c>
      <c r="K8" s="2090"/>
      <c r="L8" s="2090"/>
      <c r="M8" s="2327"/>
      <c r="N8" s="1339" t="s">
        <v>4732</v>
      </c>
      <c r="O8" s="1344"/>
      <c r="P8" s="2329">
        <f>'Main Creation Page'!O40</f>
        <v>48</v>
      </c>
      <c r="Q8" s="1761"/>
      <c r="R8" s="1761"/>
      <c r="S8" s="1762"/>
      <c r="T8" s="2290" t="s">
        <v>1821</v>
      </c>
      <c r="U8" s="2291"/>
      <c r="V8" s="2291"/>
      <c r="W8" s="482">
        <f>'Main Creation Page'!R38</f>
        <v>3.3600000000000003</v>
      </c>
      <c r="X8" s="2290" t="s">
        <v>1820</v>
      </c>
      <c r="Y8" s="2291"/>
      <c r="Z8" s="2291"/>
      <c r="AA8" s="482">
        <f>'Main Creation Page'!R39</f>
        <v>1.92</v>
      </c>
      <c r="AB8" s="2288" t="s">
        <v>4734</v>
      </c>
      <c r="AC8" s="2289"/>
      <c r="AD8" s="482">
        <f>'Main Creation Page'!R40</f>
        <v>0.96</v>
      </c>
    </row>
    <row r="9" spans="1:64" ht="12.75" customHeight="1">
      <c r="A9" s="1571" t="s">
        <v>551</v>
      </c>
      <c r="B9" s="1571"/>
      <c r="C9" s="1571"/>
      <c r="D9" s="1571"/>
      <c r="E9" s="1571"/>
      <c r="F9" s="1571"/>
      <c r="G9" s="2241">
        <f>'Main Creation Page'!E9</f>
        <v>15</v>
      </c>
      <c r="H9" s="2241"/>
      <c r="I9" s="2241"/>
      <c r="J9" s="2240">
        <f>'Main Creation Page'!G9</f>
        <v>0.76</v>
      </c>
      <c r="K9" s="2241"/>
      <c r="L9" s="2241"/>
      <c r="M9" s="2328"/>
      <c r="N9" s="1339" t="s">
        <v>4733</v>
      </c>
      <c r="O9" s="2126"/>
      <c r="P9" s="1784">
        <f>'Main Creation Page'!AC6</f>
        <v>37</v>
      </c>
      <c r="Q9" s="2293"/>
      <c r="R9" s="2293"/>
      <c r="S9" s="2294"/>
      <c r="T9" s="2290" t="s">
        <v>519</v>
      </c>
      <c r="U9" s="2291"/>
      <c r="V9" s="2291"/>
      <c r="W9" s="558">
        <f>'Main Creation Page'!AD4</f>
        <v>5</v>
      </c>
      <c r="X9" s="2283" t="s">
        <v>2242</v>
      </c>
      <c r="Y9" s="2284"/>
      <c r="Z9" s="2285"/>
      <c r="AA9" s="557">
        <f>'Main Creation Page'!AD5</f>
        <v>2</v>
      </c>
      <c r="AB9" s="2286" t="s">
        <v>2243</v>
      </c>
      <c r="AC9" s="2287"/>
      <c r="AD9" s="2287"/>
      <c r="AG9" s="1346" t="s">
        <v>3769</v>
      </c>
      <c r="AH9" s="1347"/>
      <c r="AI9" s="1315"/>
      <c r="AJ9" s="1315"/>
      <c r="AK9" s="1315"/>
      <c r="AV9" s="127"/>
      <c r="AW9" s="127"/>
      <c r="BA9" s="127"/>
      <c r="BB9" s="127"/>
      <c r="BF9" s="127"/>
      <c r="BG9" s="127"/>
      <c r="BH9" s="127"/>
    </row>
    <row r="10" spans="1:64" ht="12.75" customHeight="1">
      <c r="A10" s="1571" t="s">
        <v>616</v>
      </c>
      <c r="B10" s="1571"/>
      <c r="C10" s="1571"/>
      <c r="D10" s="1571"/>
      <c r="E10" s="1571"/>
      <c r="F10" s="1571"/>
      <c r="G10" s="2241">
        <f>'Main Creation Page'!E16</f>
        <v>20</v>
      </c>
      <c r="H10" s="2241"/>
      <c r="I10" s="2241"/>
      <c r="J10" s="2240">
        <f>'Main Creation Page'!G16</f>
        <v>0.9</v>
      </c>
      <c r="K10" s="2241"/>
      <c r="L10" s="2241"/>
      <c r="M10" s="2328"/>
      <c r="N10" s="1339" t="s">
        <v>4735</v>
      </c>
      <c r="O10" s="1344"/>
      <c r="P10" s="1784">
        <f>'Main Creation Page'!AD20</f>
        <v>19</v>
      </c>
      <c r="Q10" s="2293"/>
      <c r="R10" s="2293"/>
      <c r="S10" s="2294"/>
      <c r="T10" s="2330" t="s">
        <v>2443</v>
      </c>
      <c r="U10" s="1853"/>
      <c r="V10" s="1742"/>
      <c r="W10" s="550">
        <f>Magick!C3</f>
        <v>0</v>
      </c>
      <c r="X10" s="2253" t="s">
        <v>1844</v>
      </c>
      <c r="Y10" s="2254"/>
      <c r="Z10" s="2254"/>
      <c r="AA10" s="2254"/>
      <c r="AB10" s="2254"/>
      <c r="AC10" s="2254"/>
      <c r="AD10" s="2255"/>
      <c r="AE10"/>
      <c r="AF10" s="574"/>
      <c r="AG10" s="1342" t="s">
        <v>3770</v>
      </c>
      <c r="AH10" s="1315"/>
      <c r="AI10" s="1315"/>
      <c r="AJ10" s="1348">
        <f ca="1">INT(RAND()*100)</f>
        <v>23</v>
      </c>
      <c r="AK10" s="1315"/>
      <c r="AV10" s="127"/>
      <c r="AW10" s="127"/>
      <c r="BA10" s="127"/>
      <c r="BB10" s="127"/>
      <c r="BF10" s="127"/>
      <c r="BG10" s="127"/>
      <c r="BH10" s="127"/>
    </row>
    <row r="11" spans="1:64" ht="12.75" customHeight="1">
      <c r="A11" s="1571" t="s">
        <v>2822</v>
      </c>
      <c r="B11" s="1571"/>
      <c r="C11" s="1571"/>
      <c r="D11" s="1571"/>
      <c r="E11" s="1571"/>
      <c r="F11" s="1571"/>
      <c r="G11" s="2241">
        <f>'Main Creation Page'!E12</f>
        <v>15</v>
      </c>
      <c r="H11" s="2241"/>
      <c r="I11" s="2241"/>
      <c r="J11" s="2240">
        <f>'Main Creation Page'!G12</f>
        <v>0.76</v>
      </c>
      <c r="K11" s="2241"/>
      <c r="L11" s="2241"/>
      <c r="M11" s="2328"/>
      <c r="N11" s="2250"/>
      <c r="O11" s="2251"/>
      <c r="P11" s="2251"/>
      <c r="Q11" s="2251"/>
      <c r="R11" s="2251"/>
      <c r="S11" s="2252"/>
      <c r="T11" s="2330" t="s">
        <v>2444</v>
      </c>
      <c r="U11" s="1853"/>
      <c r="V11" s="1742"/>
      <c r="W11" s="556">
        <f ca="1">VLOOKUP(Magick!A3,Magick!AD4:AV48,14)</f>
        <v>0.16</v>
      </c>
      <c r="X11" s="2256" t="str">
        <f>CONCATENATE(VLOOKUP('Main Creation Page'!AK2,'Main Creation Page'!AX5:BL50,15),", ",VLOOKUP('Main Creation Page'!AO2,'Main Creation Page'!AX5:BL50,13),", ",VLOOKUP('Main Creation Page'!AO3,'Main Creation Page'!AX5:BL50,13))</f>
        <v xml:space="preserve">Clean, Normal,  </v>
      </c>
      <c r="Y11" s="2257"/>
      <c r="Z11" s="2257"/>
      <c r="AA11" s="1385"/>
      <c r="AB11" s="1382"/>
      <c r="AC11" s="1382"/>
      <c r="AD11" s="1311"/>
      <c r="AE11"/>
      <c r="AF11" s="574"/>
      <c r="AG11" s="1342" t="s">
        <v>3771</v>
      </c>
      <c r="AH11" s="1315"/>
      <c r="AI11" s="1315"/>
      <c r="AJ11" s="1348">
        <f ca="1">INT(RAND()*10)+INT(RAND()*10)+INT(RAND()*10)</f>
        <v>9</v>
      </c>
      <c r="AK11" s="1315"/>
      <c r="AL11"/>
    </row>
    <row r="12" spans="1:64" ht="12.75" customHeight="1">
      <c r="A12" s="1571" t="s">
        <v>611</v>
      </c>
      <c r="B12" s="1571"/>
      <c r="C12" s="1571"/>
      <c r="D12" s="1571"/>
      <c r="E12" s="1571"/>
      <c r="F12" s="1571"/>
      <c r="G12" s="2241">
        <f>'Main Creation Page'!E14</f>
        <v>17</v>
      </c>
      <c r="H12" s="2241"/>
      <c r="I12" s="2241"/>
      <c r="J12" s="2240">
        <f>'Main Creation Page'!G14</f>
        <v>0.82</v>
      </c>
      <c r="K12" s="2241"/>
      <c r="L12" s="2241"/>
      <c r="M12" s="2328"/>
      <c r="N12" s="2331"/>
      <c r="O12" s="2332"/>
      <c r="P12" s="2332"/>
      <c r="Q12" s="2332"/>
      <c r="R12" s="2332"/>
      <c r="S12" s="2333"/>
      <c r="T12" s="2330" t="s">
        <v>2445</v>
      </c>
      <c r="U12" s="1853"/>
      <c r="V12" s="1742"/>
      <c r="W12" s="552">
        <f>'Faith&amp;AOF'!G18</f>
        <v>36</v>
      </c>
      <c r="X12" s="2232"/>
      <c r="Y12" s="2258"/>
      <c r="Z12" s="2258"/>
      <c r="AA12" s="1385"/>
      <c r="AB12" s="1382"/>
      <c r="AC12" s="1382"/>
      <c r="AD12" s="1311"/>
      <c r="AG12" s="1342" t="s">
        <v>3772</v>
      </c>
      <c r="AH12" s="1315"/>
      <c r="AI12" s="1315"/>
      <c r="AJ12" s="1348">
        <f ca="1">INT(RAND()*10)+INT(RAND()*10)</f>
        <v>9</v>
      </c>
      <c r="AK12" s="1315"/>
      <c r="AL12"/>
    </row>
    <row r="13" spans="1:64" ht="12.75" customHeight="1">
      <c r="A13" s="1571" t="s">
        <v>612</v>
      </c>
      <c r="B13" s="1571"/>
      <c r="C13" s="1571"/>
      <c r="D13" s="1571"/>
      <c r="E13" s="1571"/>
      <c r="F13" s="1571"/>
      <c r="G13" s="2241">
        <f>'Main Creation Page'!E17</f>
        <v>17</v>
      </c>
      <c r="H13" s="2241"/>
      <c r="I13" s="2241"/>
      <c r="J13" s="2240">
        <f>'Main Creation Page'!G17</f>
        <v>0.82</v>
      </c>
      <c r="K13" s="2241"/>
      <c r="L13" s="2241"/>
      <c r="M13" s="2328"/>
      <c r="N13" s="2299" t="s">
        <v>4736</v>
      </c>
      <c r="O13" s="2300"/>
      <c r="P13" s="2300"/>
      <c r="Q13" s="2300"/>
      <c r="R13" s="2300"/>
      <c r="S13" s="2262" t="str">
        <f>'Main Creation Page'!E26</f>
        <v>Baron</v>
      </c>
      <c r="T13" s="2254"/>
      <c r="U13" s="2254"/>
      <c r="V13" s="2254"/>
      <c r="W13" s="2255"/>
      <c r="X13" s="2260" t="s">
        <v>1845</v>
      </c>
      <c r="Y13" s="2261"/>
      <c r="Z13" s="1803"/>
      <c r="AA13" s="1358" t="str">
        <f>VLOOKUP('Main Creation Page'!AK11,'Main Creation Page'!AX5:BL50,6)</f>
        <v>Brown</v>
      </c>
      <c r="AB13" s="1359"/>
      <c r="AC13" s="1298"/>
      <c r="AD13" s="1296"/>
      <c r="AG13" s="1342" t="s">
        <v>5366</v>
      </c>
      <c r="AH13" s="1315"/>
      <c r="AI13" s="1315"/>
      <c r="AJ13" s="1348">
        <f ca="1">INT(RAND()*10)+1</f>
        <v>4</v>
      </c>
      <c r="AK13" s="1315"/>
    </row>
    <row r="14" spans="1:64" ht="12.75" customHeight="1">
      <c r="A14" s="1571" t="s">
        <v>613</v>
      </c>
      <c r="B14" s="1571"/>
      <c r="C14" s="1571"/>
      <c r="D14" s="1571"/>
      <c r="E14" s="1571"/>
      <c r="F14" s="1571"/>
      <c r="G14" s="2241">
        <f>'Main Creation Page'!E13</f>
        <v>15</v>
      </c>
      <c r="H14" s="2241"/>
      <c r="I14" s="2241"/>
      <c r="J14" s="2240">
        <f>'Main Creation Page'!G13</f>
        <v>0.76</v>
      </c>
      <c r="K14" s="2241"/>
      <c r="L14" s="2241"/>
      <c r="M14" s="2328"/>
      <c r="N14" s="2201" t="s">
        <v>4737</v>
      </c>
      <c r="O14" s="1457"/>
      <c r="P14" s="1457"/>
      <c r="Q14" s="1457"/>
      <c r="R14" s="1457"/>
      <c r="S14" s="2262" t="str">
        <f ca="1">'Main Creation Page'!E27</f>
        <v>Baronet</v>
      </c>
      <c r="T14" s="2254"/>
      <c r="U14" s="2254"/>
      <c r="V14" s="2254"/>
      <c r="W14" s="2255"/>
      <c r="X14" s="2260" t="s">
        <v>2639</v>
      </c>
      <c r="Y14" s="2261"/>
      <c r="Z14" s="1803"/>
      <c r="AA14" s="1358" t="str">
        <f>CONCATENATE(VLOOKUP('Main Creation Page'!AK13,'Main Creation Page'!AX5:BL50,7),",",VLOOKUP('Main Creation Page'!AO13,'Main Creation Page'!AX5:BL50,7))</f>
        <v>Brown,</v>
      </c>
      <c r="AB14" s="1359"/>
      <c r="AC14" s="1298"/>
      <c r="AD14" s="1296"/>
      <c r="AG14" s="1342" t="s">
        <v>5367</v>
      </c>
      <c r="AH14" s="1315"/>
      <c r="AI14" s="1315"/>
      <c r="AJ14" s="1348">
        <f ca="1">(INT((RAND()*10)/2)+1)</f>
        <v>1</v>
      </c>
      <c r="AK14" s="1315"/>
    </row>
    <row r="15" spans="1:64" ht="12.75" customHeight="1">
      <c r="A15" s="1571" t="s">
        <v>614</v>
      </c>
      <c r="B15" s="1571"/>
      <c r="C15" s="1571"/>
      <c r="D15" s="1571"/>
      <c r="E15" s="1571"/>
      <c r="F15" s="1571"/>
      <c r="G15" s="2241">
        <f>'Main Creation Page'!E11</f>
        <v>10</v>
      </c>
      <c r="H15" s="2241"/>
      <c r="I15" s="2241"/>
      <c r="J15" s="2240">
        <f>'Main Creation Page'!G11</f>
        <v>0.57999999999999996</v>
      </c>
      <c r="K15" s="2241"/>
      <c r="L15" s="2241"/>
      <c r="M15" s="2328"/>
      <c r="N15" s="2201" t="s">
        <v>4738</v>
      </c>
      <c r="O15" s="1457"/>
      <c r="P15" s="1457"/>
      <c r="Q15" s="1457"/>
      <c r="R15" s="1457">
        <v>42</v>
      </c>
      <c r="S15" s="2262" t="str">
        <f>'Main Creation Page'!E28</f>
        <v>Illegitimate &amp; Acknowledged</v>
      </c>
      <c r="T15" s="2254"/>
      <c r="U15" s="2254"/>
      <c r="V15" s="2254"/>
      <c r="W15" s="2255"/>
      <c r="X15" s="2260" t="s">
        <v>1846</v>
      </c>
      <c r="Y15" s="1803"/>
      <c r="Z15" s="1803"/>
      <c r="AA15" s="2265" t="str">
        <f>CONCATENATE(VLOOKUP('Main Creation Page'!AK17,'Main Creation Page'!AX5:BL50,8),",",VLOOKUP('Main Creation Page'!AK15,'Main Creation Page'!AX5:BL50,9),",",VLOOKUP('Main Creation Page'!AO15,'Main Creation Page'!AX5:BL50,9))</f>
        <v>Short,Straight,Bowl Cut</v>
      </c>
      <c r="AB15" s="1359"/>
      <c r="AC15" s="1298"/>
      <c r="AD15" s="1296"/>
      <c r="AG15"/>
      <c r="AH15"/>
      <c r="AI15"/>
      <c r="AJ15"/>
      <c r="AK15"/>
      <c r="AL15"/>
      <c r="AM15"/>
      <c r="AN15"/>
      <c r="AO15"/>
      <c r="AP15"/>
      <c r="AQ15"/>
      <c r="AR15"/>
      <c r="AS15"/>
      <c r="AT15"/>
      <c r="AU15"/>
      <c r="AV15"/>
      <c r="AW15"/>
      <c r="AX15"/>
      <c r="AY15"/>
      <c r="AZ15"/>
      <c r="BA15"/>
      <c r="BB15"/>
      <c r="BC15"/>
      <c r="BD15"/>
      <c r="BE15"/>
      <c r="BF15"/>
      <c r="BG15"/>
      <c r="BH15"/>
      <c r="BI15"/>
      <c r="BJ15"/>
    </row>
    <row r="16" spans="1:64" ht="12.75" customHeight="1">
      <c r="A16" s="1571" t="s">
        <v>615</v>
      </c>
      <c r="B16" s="1571"/>
      <c r="C16" s="1571"/>
      <c r="D16" s="1571"/>
      <c r="E16" s="1571"/>
      <c r="F16" s="1571"/>
      <c r="G16" s="2241">
        <f>'Main Creation Page'!E10</f>
        <v>10</v>
      </c>
      <c r="H16" s="2241"/>
      <c r="I16" s="2241"/>
      <c r="J16" s="2240">
        <f>'Main Creation Page'!G10</f>
        <v>0.57999999999999996</v>
      </c>
      <c r="K16" s="2241"/>
      <c r="L16" s="2241"/>
      <c r="M16" s="2328"/>
      <c r="N16" s="2201" t="s">
        <v>4739</v>
      </c>
      <c r="O16" s="1457"/>
      <c r="P16" s="1457"/>
      <c r="Q16" s="1457"/>
      <c r="R16" s="1457">
        <v>41</v>
      </c>
      <c r="S16" s="2262" t="str">
        <f>IF('Main Creation Page'!C38="d","Credit to the Family",VLOOKUP('Main Creation Page'!B38,'Main Creation Page'!AX5:BA7,4))</f>
        <v>Good Son/Daughter</v>
      </c>
      <c r="T16" s="2254"/>
      <c r="U16" s="2254"/>
      <c r="V16" s="2254"/>
      <c r="W16" s="2255"/>
      <c r="X16" s="2260" t="s">
        <v>2282</v>
      </c>
      <c r="Y16" s="1803"/>
      <c r="Z16" s="1803"/>
      <c r="AA16" s="2268" t="str">
        <f>VLOOKUP('Main Creation Page'!AK9,'Main Creation Page'!AX5:BL50,12)</f>
        <v>Average</v>
      </c>
      <c r="AB16" s="2269"/>
      <c r="AC16" s="2267" t="str">
        <f>VLOOKUP('Main Creation Page'!AK7,'Main Creation Page'!AX5:BL50,11)</f>
        <v>Average</v>
      </c>
      <c r="AD16" s="1315"/>
      <c r="AG16" t="s">
        <v>673</v>
      </c>
      <c r="AH16"/>
      <c r="AI16"/>
      <c r="AJ16"/>
      <c r="AK16"/>
      <c r="AL16"/>
      <c r="AM16"/>
      <c r="AN16"/>
      <c r="AO16"/>
      <c r="AP16"/>
      <c r="AQ16"/>
      <c r="AR16"/>
      <c r="AS16"/>
      <c r="AT16"/>
      <c r="AU16"/>
      <c r="AV16"/>
      <c r="AW16"/>
      <c r="AX16"/>
      <c r="AY16"/>
      <c r="AZ16"/>
      <c r="BA16"/>
      <c r="BB16"/>
      <c r="BC16"/>
      <c r="BD16"/>
      <c r="BE16"/>
      <c r="BF16"/>
      <c r="BG16"/>
      <c r="BH16"/>
      <c r="BI16"/>
      <c r="BJ16"/>
    </row>
    <row r="17" spans="1:67" ht="12.75" customHeight="1">
      <c r="A17" s="1571" t="s">
        <v>3706</v>
      </c>
      <c r="B17" s="1571"/>
      <c r="C17" s="1571"/>
      <c r="D17" s="1571"/>
      <c r="E17" s="1571"/>
      <c r="F17" s="1571"/>
      <c r="G17" s="2241">
        <f>'Main Creation Page'!E15</f>
        <v>20</v>
      </c>
      <c r="H17" s="2241"/>
      <c r="I17" s="2241"/>
      <c r="J17" s="2240">
        <f>'Main Creation Page'!G15</f>
        <v>0.9</v>
      </c>
      <c r="K17" s="2241"/>
      <c r="L17" s="2241"/>
      <c r="M17" s="2328"/>
      <c r="N17" s="2201" t="s">
        <v>1618</v>
      </c>
      <c r="O17" s="1457"/>
      <c r="P17" s="1457"/>
      <c r="Q17" s="1457"/>
      <c r="R17" s="1457">
        <v>42</v>
      </c>
      <c r="S17" s="2266">
        <f>'Main Creation Page'!O42</f>
        <v>0.9</v>
      </c>
      <c r="T17" s="1296"/>
      <c r="U17" s="300">
        <f>'Main Creation Page'!O43</f>
        <v>0.76</v>
      </c>
      <c r="V17" s="2100" t="s">
        <v>518</v>
      </c>
      <c r="W17" s="1298"/>
      <c r="X17" s="1298"/>
      <c r="Y17" s="1298"/>
      <c r="Z17" s="1296"/>
      <c r="AA17" s="1358">
        <f>VLOOKUP('Main Creation Page'!AK5,'Main Creation Page'!AX5:BL50,14)</f>
        <v>0</v>
      </c>
      <c r="AB17" s="1360"/>
      <c r="AC17" s="2270" t="str">
        <f>VLOOKUP('Main Creation Page'!AK3,'Main Creation Page'!AX5:BL50,13)</f>
        <v>Normal</v>
      </c>
      <c r="AD17" s="2271"/>
      <c r="AE17"/>
      <c r="AF17" s="574"/>
      <c r="AG17" t="s">
        <v>670</v>
      </c>
      <c r="AH17"/>
      <c r="AI17"/>
      <c r="AJ17"/>
      <c r="AK17"/>
      <c r="AL17"/>
      <c r="AM17"/>
      <c r="AN17"/>
      <c r="AO17"/>
      <c r="AP17"/>
      <c r="AQ17"/>
      <c r="AR17"/>
      <c r="AS17"/>
      <c r="AT17"/>
      <c r="AU17"/>
      <c r="AV17"/>
      <c r="AW17"/>
      <c r="AX17"/>
      <c r="AY17"/>
      <c r="AZ17"/>
      <c r="BA17"/>
      <c r="BB17"/>
      <c r="BC17"/>
      <c r="BD17"/>
      <c r="BE17"/>
      <c r="BF17"/>
      <c r="BG17"/>
      <c r="BH17"/>
      <c r="BI17"/>
      <c r="BJ17"/>
    </row>
    <row r="18" spans="1:67" ht="12.75" customHeight="1">
      <c r="A18" s="1400" t="s">
        <v>3992</v>
      </c>
      <c r="B18" s="1400"/>
      <c r="C18" s="1400"/>
      <c r="D18" s="1400"/>
      <c r="E18" s="1400"/>
      <c r="F18" s="1400"/>
      <c r="G18" s="1400"/>
      <c r="H18" s="1400"/>
      <c r="I18" s="1400"/>
      <c r="J18" s="1400"/>
      <c r="K18" s="1400"/>
      <c r="L18" s="1400"/>
      <c r="M18" s="1400"/>
      <c r="N18" s="1400"/>
      <c r="O18" s="1400"/>
      <c r="P18" s="1400"/>
      <c r="Q18" s="1400"/>
      <c r="R18" s="1400"/>
      <c r="S18" s="1400"/>
      <c r="T18" s="1400"/>
      <c r="U18" s="1400"/>
      <c r="V18" s="1400"/>
      <c r="W18" s="1400"/>
      <c r="X18" s="1400"/>
      <c r="Y18" s="1400"/>
      <c r="Z18" s="1400" t="s">
        <v>4896</v>
      </c>
      <c r="AA18" s="1400"/>
      <c r="AB18" s="1400"/>
      <c r="AC18" s="1400"/>
      <c r="AD18" s="1400"/>
      <c r="AG18" t="s">
        <v>671</v>
      </c>
      <c r="AH18"/>
      <c r="AI18"/>
      <c r="AJ18"/>
      <c r="AK18"/>
      <c r="AL18"/>
      <c r="AM18"/>
      <c r="AN18"/>
      <c r="AO18"/>
      <c r="AP18"/>
      <c r="AQ18"/>
      <c r="AR18"/>
      <c r="AS18"/>
      <c r="AT18"/>
      <c r="AU18"/>
      <c r="AV18"/>
      <c r="AW18"/>
      <c r="AX18"/>
      <c r="AY18"/>
      <c r="AZ18"/>
      <c r="BA18"/>
      <c r="BB18"/>
      <c r="BC18"/>
      <c r="BD18"/>
      <c r="BE18"/>
      <c r="BF18"/>
      <c r="BG18"/>
      <c r="BH18"/>
      <c r="BI18"/>
      <c r="BJ18"/>
    </row>
    <row r="19" spans="1:67" s="162" customFormat="1" ht="12" customHeight="1">
      <c r="A19" s="2263" t="s">
        <v>1743</v>
      </c>
      <c r="B19" s="2263"/>
      <c r="C19" s="2263"/>
      <c r="D19" s="2263"/>
      <c r="E19" s="2263"/>
      <c r="F19" s="2263"/>
      <c r="G19" s="2264"/>
      <c r="H19" s="2263" t="s">
        <v>941</v>
      </c>
      <c r="I19" s="2263"/>
      <c r="J19" s="2242" t="s">
        <v>3005</v>
      </c>
      <c r="K19" s="2259"/>
      <c r="L19" s="2242" t="s">
        <v>4731</v>
      </c>
      <c r="M19" s="1382"/>
      <c r="N19" s="1311"/>
      <c r="O19" s="2242" t="s">
        <v>3046</v>
      </c>
      <c r="P19" s="2259"/>
      <c r="Q19" s="2242" t="s">
        <v>2084</v>
      </c>
      <c r="R19" s="2292"/>
      <c r="S19" s="2259"/>
      <c r="T19" s="2242" t="s">
        <v>209</v>
      </c>
      <c r="U19" s="1311"/>
      <c r="V19" s="2242" t="s">
        <v>2014</v>
      </c>
      <c r="W19" s="1311"/>
      <c r="X19" s="2242" t="s">
        <v>1387</v>
      </c>
      <c r="Y19" s="1311"/>
      <c r="Z19" s="1355" t="str">
        <f ca="1">'Main Creation Page'!O14</f>
        <v>Scholarship</v>
      </c>
      <c r="AA19" s="1355"/>
      <c r="AB19" s="1355"/>
      <c r="AC19" s="1355"/>
      <c r="AD19" s="1355"/>
      <c r="AG19" t="s">
        <v>672</v>
      </c>
      <c r="AH19"/>
      <c r="AI19"/>
      <c r="AJ19"/>
      <c r="AK19"/>
      <c r="AL19"/>
      <c r="AM19"/>
      <c r="AN19"/>
      <c r="AO19"/>
      <c r="AP19"/>
      <c r="AQ19"/>
      <c r="AR19"/>
      <c r="AS19"/>
      <c r="AT19"/>
      <c r="AU19"/>
      <c r="AV19"/>
      <c r="AW19"/>
      <c r="AX19"/>
      <c r="AY19"/>
      <c r="AZ19"/>
      <c r="BA19"/>
      <c r="BB19"/>
      <c r="BC19"/>
      <c r="BD19"/>
      <c r="BE19"/>
      <c r="BF19"/>
      <c r="BG19"/>
      <c r="BH19"/>
      <c r="BI19"/>
      <c r="BJ19"/>
      <c r="BK19" s="494"/>
      <c r="BL19" s="494"/>
      <c r="BM19" s="497"/>
      <c r="BN19" s="494"/>
      <c r="BO19" s="494"/>
    </row>
    <row r="20" spans="1:67" s="162" customFormat="1" ht="12" customHeight="1">
      <c r="A20" s="2235" t="s">
        <v>4168</v>
      </c>
      <c r="B20" s="2235"/>
      <c r="C20" s="2235"/>
      <c r="D20" s="2235"/>
      <c r="E20" s="2235"/>
      <c r="F20" s="2235"/>
      <c r="G20" s="2236"/>
      <c r="H20" s="2237" t="str">
        <f>Skills!AV838</f>
        <v>CS</v>
      </c>
      <c r="I20" s="2238"/>
      <c r="J20" s="1331">
        <f>Skills!V838</f>
        <v>7</v>
      </c>
      <c r="K20" s="1332"/>
      <c r="L20" s="1404">
        <f>Skills!AC838</f>
        <v>7.0000000000000007E-2</v>
      </c>
      <c r="M20" s="1382"/>
      <c r="N20" s="1311"/>
      <c r="O20" s="1331">
        <f>Skills!W838+Skills!X838</f>
        <v>0</v>
      </c>
      <c r="P20" s="1332"/>
      <c r="Q20" s="1404">
        <f ca="1">Skills!Y838</f>
        <v>0.17</v>
      </c>
      <c r="R20" s="1721"/>
      <c r="S20" s="1722"/>
      <c r="T20" s="1404">
        <f ca="1">Skills!AA838-Q20</f>
        <v>0</v>
      </c>
      <c r="U20" s="1311"/>
      <c r="V20" s="1404">
        <f ca="1">Skills!AD838</f>
        <v>0.29000000000000004</v>
      </c>
      <c r="W20" s="1311"/>
      <c r="X20" s="1356">
        <f ca="1">INT(IF(V20&gt;VLOOKUP(J20,'System Lookups'!$J$55:$P$63,6),(((V20-VLOOKUP(J20,'System Lookups'!$J$55:$P$63,6))*100)/20),0))</f>
        <v>0</v>
      </c>
      <c r="Y20" s="1357"/>
      <c r="Z20" s="1358" t="str">
        <f ca="1">'Main Creation Page'!O15</f>
        <v>Situational Awareness (Major)</v>
      </c>
      <c r="AA20" s="1359"/>
      <c r="AB20" s="1359"/>
      <c r="AC20" s="1359"/>
      <c r="AD20" s="1360"/>
      <c r="AG20" t="s">
        <v>674</v>
      </c>
      <c r="AH20"/>
      <c r="AI20"/>
      <c r="AJ20"/>
      <c r="AK20"/>
      <c r="AL20"/>
      <c r="AM20"/>
      <c r="AN20"/>
      <c r="AO20"/>
      <c r="AP20"/>
      <c r="AQ20"/>
      <c r="AR20"/>
      <c r="AS20"/>
      <c r="AT20"/>
      <c r="AU20"/>
      <c r="AV20"/>
      <c r="AW20"/>
      <c r="AX20"/>
      <c r="AY20"/>
      <c r="AZ20"/>
      <c r="BA20"/>
      <c r="BB20"/>
      <c r="BC20"/>
      <c r="BD20"/>
      <c r="BE20"/>
      <c r="BF20"/>
      <c r="BG20"/>
      <c r="BH20"/>
      <c r="BI20"/>
      <c r="BJ20"/>
      <c r="BK20" s="494"/>
      <c r="BL20" s="494"/>
      <c r="BM20" s="497"/>
      <c r="BN20" s="494"/>
      <c r="BO20" s="494"/>
    </row>
    <row r="21" spans="1:67" s="162" customFormat="1" ht="12" customHeight="1">
      <c r="A21" s="2235" t="s">
        <v>4169</v>
      </c>
      <c r="B21" s="2235"/>
      <c r="C21" s="2235"/>
      <c r="D21" s="2235"/>
      <c r="E21" s="2235"/>
      <c r="F21" s="2235"/>
      <c r="G21" s="2236"/>
      <c r="H21" s="2237" t="str">
        <f>Skills!AV840</f>
        <v>CS</v>
      </c>
      <c r="I21" s="2238"/>
      <c r="J21" s="1331">
        <f>Skills!V840</f>
        <v>7</v>
      </c>
      <c r="K21" s="1332"/>
      <c r="L21" s="1404">
        <f>Skills!AC840</f>
        <v>7.0000000000000007E-2</v>
      </c>
      <c r="M21" s="1382"/>
      <c r="N21" s="1311"/>
      <c r="O21" s="1331">
        <f>Skills!W840+Skills!X840</f>
        <v>0</v>
      </c>
      <c r="P21" s="1332"/>
      <c r="Q21" s="1404">
        <f ca="1">Skills!Y840</f>
        <v>0.17</v>
      </c>
      <c r="R21" s="1721"/>
      <c r="S21" s="1722"/>
      <c r="T21" s="1404">
        <f ca="1">Skills!AA840-Q21</f>
        <v>0</v>
      </c>
      <c r="U21" s="1311"/>
      <c r="V21" s="1404">
        <f ca="1">Skills!AD840</f>
        <v>0.29000000000000004</v>
      </c>
      <c r="W21" s="1311"/>
      <c r="X21" s="1356">
        <f ca="1">INT(IF(V21&gt;VLOOKUP(J21,'System Lookups'!$J$55:$P$63,6),(((V21-VLOOKUP(J21,'System Lookups'!$J$55:$P$63,6))*100)/20),0))</f>
        <v>0</v>
      </c>
      <c r="Y21" s="1357"/>
      <c r="Z21" s="1358" t="str">
        <f ca="1">'Main Creation Page'!O16</f>
        <v xml:space="preserve"> </v>
      </c>
      <c r="AA21" s="1359"/>
      <c r="AB21" s="1359"/>
      <c r="AC21" s="1359"/>
      <c r="AD21" s="1360"/>
      <c r="AG21" t="s">
        <v>675</v>
      </c>
      <c r="AH21"/>
      <c r="AI21"/>
      <c r="AJ21"/>
      <c r="AK21"/>
      <c r="AL21"/>
      <c r="AM21"/>
      <c r="AN21"/>
      <c r="AO21"/>
      <c r="AP21"/>
      <c r="AQ21"/>
      <c r="AR21"/>
      <c r="AS21"/>
      <c r="AT21"/>
      <c r="AU21"/>
      <c r="AV21"/>
      <c r="AW21"/>
      <c r="AX21"/>
      <c r="AY21"/>
      <c r="AZ21"/>
      <c r="BA21"/>
      <c r="BB21"/>
      <c r="BC21"/>
      <c r="BD21"/>
      <c r="BE21"/>
      <c r="BF21"/>
      <c r="BG21"/>
      <c r="BH21"/>
      <c r="BI21"/>
      <c r="BJ21"/>
      <c r="BK21" s="494"/>
      <c r="BL21" s="494"/>
      <c r="BM21" s="497"/>
      <c r="BN21" s="494"/>
      <c r="BO21" s="494"/>
    </row>
    <row r="22" spans="1:67" s="162" customFormat="1" ht="12" customHeight="1">
      <c r="A22" s="2235" t="s">
        <v>2283</v>
      </c>
      <c r="B22" s="2235"/>
      <c r="C22" s="2235"/>
      <c r="D22" s="2235"/>
      <c r="E22" s="2235"/>
      <c r="F22" s="2235"/>
      <c r="G22" s="2236"/>
      <c r="H22" s="2237" t="str">
        <f>Skills!AV839</f>
        <v>CS</v>
      </c>
      <c r="I22" s="2238"/>
      <c r="J22" s="1331">
        <f>Skills!V839</f>
        <v>7</v>
      </c>
      <c r="K22" s="1332"/>
      <c r="L22" s="1404">
        <f>Skills!AC839</f>
        <v>7.0000000000000007E-2</v>
      </c>
      <c r="M22" s="1382"/>
      <c r="N22" s="1311"/>
      <c r="O22" s="1331">
        <f>Skills!W839+Skills!X839</f>
        <v>0</v>
      </c>
      <c r="P22" s="1332"/>
      <c r="Q22" s="1404">
        <f ca="1">Skills!Y839</f>
        <v>0.17</v>
      </c>
      <c r="R22" s="1721"/>
      <c r="S22" s="1722"/>
      <c r="T22" s="1404">
        <f ca="1">Skills!AA839-Q22</f>
        <v>0</v>
      </c>
      <c r="U22" s="1311"/>
      <c r="V22" s="1404">
        <f ca="1">Skills!AD839</f>
        <v>0.29000000000000004</v>
      </c>
      <c r="W22" s="1311"/>
      <c r="X22" s="1356">
        <f ca="1">INT(IF(V22&gt;VLOOKUP(J22,'System Lookups'!$J$55:$P$63,6),(((V22-VLOOKUP(J22,'System Lookups'!$J$55:$P$63,6))*100)/20),0))</f>
        <v>0</v>
      </c>
      <c r="Y22" s="1357"/>
      <c r="Z22" s="1358" t="str">
        <f ca="1">'Main Creation Page'!O17</f>
        <v xml:space="preserve"> </v>
      </c>
      <c r="AA22" s="1359"/>
      <c r="AB22" s="1359"/>
      <c r="AC22" s="1359"/>
      <c r="AD22" s="1360"/>
      <c r="AG22" s="61"/>
      <c r="AH22" s="61"/>
      <c r="AI22" s="61"/>
      <c r="AJ22" s="61"/>
      <c r="AK22" s="61"/>
      <c r="AL22" s="61"/>
      <c r="AM22" s="61"/>
      <c r="AN22" s="61"/>
      <c r="AO22" s="61"/>
      <c r="AP22" s="61"/>
      <c r="AQ22" s="61"/>
      <c r="AR22" s="61"/>
      <c r="AS22" s="61"/>
      <c r="AT22" s="61"/>
      <c r="BK22" s="494"/>
      <c r="BL22" s="494"/>
      <c r="BM22" s="497"/>
      <c r="BN22" s="494"/>
      <c r="BO22" s="494"/>
    </row>
    <row r="23" spans="1:67" s="162" customFormat="1" ht="12" customHeight="1">
      <c r="A23" s="2235" t="s">
        <v>2383</v>
      </c>
      <c r="B23" s="2235"/>
      <c r="C23" s="2235"/>
      <c r="D23" s="2235"/>
      <c r="E23" s="2235"/>
      <c r="F23" s="2235"/>
      <c r="G23" s="2236"/>
      <c r="H23" s="2237" t="str">
        <f>Skills!AV841</f>
        <v>CS</v>
      </c>
      <c r="I23" s="2238"/>
      <c r="J23" s="1331">
        <f>Skills!V841</f>
        <v>8</v>
      </c>
      <c r="K23" s="1332"/>
      <c r="L23" s="1404">
        <f>Skills!AC841</f>
        <v>0.03</v>
      </c>
      <c r="M23" s="1382"/>
      <c r="N23" s="1311"/>
      <c r="O23" s="1331">
        <f>Skills!W841+Skills!X841</f>
        <v>0</v>
      </c>
      <c r="P23" s="1332"/>
      <c r="Q23" s="1404">
        <f ca="1">Skills!Y841</f>
        <v>0.17</v>
      </c>
      <c r="R23" s="1721"/>
      <c r="S23" s="1722"/>
      <c r="T23" s="1404">
        <f ca="1">Skills!AA841-Q23</f>
        <v>0</v>
      </c>
      <c r="U23" s="1311"/>
      <c r="V23" s="1404">
        <f ca="1">Skills!AD841</f>
        <v>0.25</v>
      </c>
      <c r="W23" s="1311"/>
      <c r="X23" s="1356">
        <f ca="1">INT(IF(V23&gt;VLOOKUP(J23,'System Lookups'!$J$55:$P$63,6),(((V23-VLOOKUP(J23,'System Lookups'!$J$55:$P$63,6))*100)/20),0))</f>
        <v>0</v>
      </c>
      <c r="Y23" s="1357"/>
      <c r="Z23" s="1358" t="str">
        <f ca="1">'Main Creation Page'!O18</f>
        <v xml:space="preserve"> </v>
      </c>
      <c r="AA23" s="1359"/>
      <c r="AB23" s="1359"/>
      <c r="AC23" s="1359"/>
      <c r="AD23" s="1360"/>
      <c r="AG23" s="138" t="s">
        <v>5505</v>
      </c>
      <c r="AV23" s="138" t="s">
        <v>1754</v>
      </c>
      <c r="BK23" s="494"/>
      <c r="BL23" s="494"/>
      <c r="BM23" s="497"/>
      <c r="BN23" s="494"/>
      <c r="BO23" s="494"/>
    </row>
    <row r="24" spans="1:67" s="162" customFormat="1" ht="12" customHeight="1">
      <c r="A24" s="2235" t="s">
        <v>2384</v>
      </c>
      <c r="B24" s="2235"/>
      <c r="C24" s="2235"/>
      <c r="D24" s="2235"/>
      <c r="E24" s="2235"/>
      <c r="F24" s="2235"/>
      <c r="G24" s="2236"/>
      <c r="H24" s="2237" t="str">
        <f>Skills!AV842</f>
        <v>CS</v>
      </c>
      <c r="I24" s="2238"/>
      <c r="J24" s="1331">
        <f>Skills!V842</f>
        <v>9</v>
      </c>
      <c r="K24" s="1332"/>
      <c r="L24" s="1404">
        <f>Skills!AC842</f>
        <v>0.02</v>
      </c>
      <c r="M24" s="1382"/>
      <c r="N24" s="1311"/>
      <c r="O24" s="1331">
        <f>Skills!W842+Skills!X842</f>
        <v>0</v>
      </c>
      <c r="P24" s="1332"/>
      <c r="Q24" s="1404">
        <f ca="1">Skills!Y842</f>
        <v>0.17</v>
      </c>
      <c r="R24" s="1721"/>
      <c r="S24" s="1722"/>
      <c r="T24" s="1404">
        <f ca="1">Skills!AA842-Q24</f>
        <v>0</v>
      </c>
      <c r="U24" s="1311"/>
      <c r="V24" s="1404">
        <f ca="1">Skills!AD842</f>
        <v>0.24</v>
      </c>
      <c r="W24" s="1311"/>
      <c r="X24" s="1356">
        <f ca="1">INT(IF(V24&gt;VLOOKUP(J24,'System Lookups'!$J$55:$P$63,6),(((V24-VLOOKUP(J24,'System Lookups'!$J$55:$P$63,6))*100)/20),0))</f>
        <v>0</v>
      </c>
      <c r="Y24" s="1357"/>
      <c r="Z24" s="1358" t="str">
        <f ca="1">'Main Creation Page'!O19</f>
        <v xml:space="preserve"> </v>
      </c>
      <c r="AA24" s="1359"/>
      <c r="AB24" s="1359"/>
      <c r="AC24" s="1359"/>
      <c r="AD24" s="1360"/>
      <c r="AG24" t="s">
        <v>1658</v>
      </c>
      <c r="AH24"/>
      <c r="AI24"/>
      <c r="AJ24"/>
      <c r="AK24"/>
      <c r="AL24"/>
      <c r="AM24"/>
      <c r="AN24"/>
      <c r="AO24"/>
      <c r="AP24"/>
      <c r="AQ24"/>
      <c r="AR24"/>
      <c r="AS24"/>
      <c r="AT24"/>
      <c r="AV24" t="s">
        <v>1755</v>
      </c>
      <c r="AW24"/>
      <c r="AX24"/>
      <c r="AY24"/>
      <c r="AZ24"/>
      <c r="BA24"/>
      <c r="BB24"/>
      <c r="BC24"/>
      <c r="BD24"/>
      <c r="BE24"/>
      <c r="BF24"/>
      <c r="BG24"/>
      <c r="BH24"/>
      <c r="BI24"/>
      <c r="BJ24"/>
      <c r="BK24" s="494"/>
      <c r="BL24" s="494"/>
      <c r="BM24" s="497"/>
      <c r="BN24" s="494"/>
      <c r="BO24" s="494"/>
    </row>
    <row r="25" spans="1:67" s="162" customFormat="1" ht="12" customHeight="1">
      <c r="A25" s="2235" t="s">
        <v>1535</v>
      </c>
      <c r="B25" s="2235"/>
      <c r="C25" s="2235"/>
      <c r="D25" s="2235"/>
      <c r="E25" s="2235"/>
      <c r="F25" s="2235"/>
      <c r="G25" s="2236"/>
      <c r="H25" s="2237" t="s">
        <v>3887</v>
      </c>
      <c r="I25" s="2238"/>
      <c r="J25" s="2385" t="s">
        <v>5389</v>
      </c>
      <c r="K25" s="2254"/>
      <c r="L25" s="2254"/>
      <c r="M25" s="2254"/>
      <c r="N25" s="2254"/>
      <c r="O25" s="2254"/>
      <c r="P25" s="2254"/>
      <c r="Q25" s="2254"/>
      <c r="R25" s="2254"/>
      <c r="S25" s="2254"/>
      <c r="T25" s="2254"/>
      <c r="U25" s="2255"/>
      <c r="V25" s="1404">
        <f ca="1">AVERAGE(V20:V24)</f>
        <v>0.27200000000000002</v>
      </c>
      <c r="W25" s="1311"/>
      <c r="X25" s="1338">
        <f ca="1">INT(+AVERAGE(X20:X24))</f>
        <v>0</v>
      </c>
      <c r="Y25" s="2372"/>
      <c r="Z25" s="1358" t="str">
        <f>IF('Main Creation Page'!$C$3=2,+'SA&amp;DD'!B41," ")</f>
        <v xml:space="preserve"> </v>
      </c>
      <c r="AA25" s="2270"/>
      <c r="AB25" s="2270"/>
      <c r="AC25" s="2270"/>
      <c r="AD25" s="2271"/>
      <c r="AG25" t="s">
        <v>1659</v>
      </c>
      <c r="AH25"/>
      <c r="AI25"/>
      <c r="AJ25"/>
      <c r="AK25"/>
      <c r="AL25"/>
      <c r="AM25"/>
      <c r="AN25"/>
      <c r="AO25"/>
      <c r="AP25"/>
      <c r="AQ25"/>
      <c r="AR25"/>
      <c r="AS25"/>
      <c r="AT25"/>
      <c r="AV25" t="s">
        <v>1753</v>
      </c>
      <c r="AW25"/>
      <c r="AX25"/>
      <c r="AY25"/>
      <c r="AZ25"/>
      <c r="BA25"/>
      <c r="BB25"/>
      <c r="BC25"/>
      <c r="BD25"/>
      <c r="BE25"/>
      <c r="BF25"/>
      <c r="BG25"/>
      <c r="BH25"/>
      <c r="BI25"/>
      <c r="BJ25"/>
      <c r="BK25" s="494"/>
      <c r="BL25" s="494"/>
      <c r="BM25" s="497"/>
      <c r="BN25" s="494"/>
      <c r="BO25" s="494"/>
    </row>
    <row r="26" spans="1:67" s="162" customFormat="1" ht="12" customHeight="1">
      <c r="A26" s="2235" t="s">
        <v>2447</v>
      </c>
      <c r="B26" s="2235"/>
      <c r="C26" s="2235"/>
      <c r="D26" s="2235"/>
      <c r="E26" s="2235"/>
      <c r="F26" s="2235"/>
      <c r="G26" s="2236"/>
      <c r="H26" s="2237" t="str">
        <f>Skills!AV165</f>
        <v>CS</v>
      </c>
      <c r="I26" s="2238"/>
      <c r="J26" s="1331">
        <f>Skills!V165</f>
        <v>3</v>
      </c>
      <c r="K26" s="1332"/>
      <c r="L26" s="1404">
        <f>Skills!AC165</f>
        <v>0.4</v>
      </c>
      <c r="M26" s="1721"/>
      <c r="N26" s="1722"/>
      <c r="O26" s="1331">
        <f>Skills!W165+Skills!X165</f>
        <v>0</v>
      </c>
      <c r="P26" s="1332"/>
      <c r="Q26" s="1404">
        <f ca="1">Skills!Y165</f>
        <v>0.12</v>
      </c>
      <c r="R26" s="1721"/>
      <c r="S26" s="1722"/>
      <c r="T26" s="1404">
        <f ca="1">Skills!AA165-Q26</f>
        <v>0</v>
      </c>
      <c r="U26" s="1311"/>
      <c r="V26" s="1404">
        <f ca="1">Skills!AD165</f>
        <v>0.52</v>
      </c>
      <c r="W26" s="1311"/>
      <c r="X26" s="1356">
        <f ca="1">INT(IF(V26&gt;VLOOKUP(J26,'System Lookups'!$J$55:$P$63,6),(((V26-VLOOKUP(J26,'System Lookups'!$J$55:$P$63,6))*100)/20),0))</f>
        <v>0</v>
      </c>
      <c r="Y26" s="1357"/>
      <c r="Z26" s="1358" t="str">
        <f>IF('Main Creation Page'!$C$3=2,+'SA&amp;DD'!B11," ")</f>
        <v xml:space="preserve"> </v>
      </c>
      <c r="AA26" s="2270"/>
      <c r="AB26" s="2270"/>
      <c r="AC26" s="2270"/>
      <c r="AD26" s="2271"/>
      <c r="AE26" s="163"/>
      <c r="AF26" s="163"/>
      <c r="AG26" t="s">
        <v>4538</v>
      </c>
      <c r="AH26"/>
      <c r="AI26"/>
      <c r="AJ26"/>
      <c r="AK26"/>
      <c r="AL26"/>
      <c r="AM26"/>
      <c r="AN26"/>
      <c r="AO26"/>
      <c r="AP26"/>
      <c r="AQ26"/>
      <c r="AR26"/>
      <c r="AS26"/>
      <c r="AT26"/>
      <c r="AU26"/>
      <c r="AV26"/>
      <c r="AW26"/>
      <c r="AX26"/>
      <c r="AY26"/>
      <c r="AZ26"/>
      <c r="BA26"/>
      <c r="BB26"/>
      <c r="BC26"/>
      <c r="BD26"/>
      <c r="BE26"/>
      <c r="BF26"/>
      <c r="BG26"/>
      <c r="BH26"/>
      <c r="BI26"/>
      <c r="BJ26"/>
      <c r="BK26" s="494"/>
      <c r="BL26" s="494"/>
      <c r="BM26" s="497"/>
      <c r="BN26" s="494"/>
      <c r="BO26" s="494"/>
    </row>
    <row r="27" spans="1:67" s="162" customFormat="1" ht="12" customHeight="1">
      <c r="A27" s="2235" t="s">
        <v>211</v>
      </c>
      <c r="B27" s="2235"/>
      <c r="C27" s="2235"/>
      <c r="D27" s="2235"/>
      <c r="E27" s="2235"/>
      <c r="F27" s="2235"/>
      <c r="G27" s="2236"/>
      <c r="H27" s="2237" t="str">
        <f>Skills!AV169</f>
        <v>CS</v>
      </c>
      <c r="I27" s="2238"/>
      <c r="J27" s="1331">
        <f>Skills!V169</f>
        <v>3</v>
      </c>
      <c r="K27" s="1332"/>
      <c r="L27" s="1404">
        <f>Skills!AC169</f>
        <v>0.4</v>
      </c>
      <c r="M27" s="1721"/>
      <c r="N27" s="1722"/>
      <c r="O27" s="1331">
        <f>Skills!W169+Skills!X169</f>
        <v>0</v>
      </c>
      <c r="P27" s="1332"/>
      <c r="Q27" s="1404">
        <f ca="1">Skills!Y169</f>
        <v>0.08</v>
      </c>
      <c r="R27" s="1721"/>
      <c r="S27" s="1722"/>
      <c r="T27" s="1404">
        <f ca="1">Skills!AA169-Q27</f>
        <v>0</v>
      </c>
      <c r="U27" s="1311"/>
      <c r="V27" s="1404">
        <f ca="1">Skills!AD169</f>
        <v>0.48000000000000004</v>
      </c>
      <c r="W27" s="1311"/>
      <c r="X27" s="1356">
        <f ca="1">INT(IF(V27&gt;VLOOKUP(J27,'System Lookups'!$J$55:$P$63,6),(((V27-VLOOKUP(J27,'System Lookups'!$J$55:$P$63,6))*100)/20),0))</f>
        <v>0</v>
      </c>
      <c r="Y27" s="1357"/>
      <c r="Z27" s="1358" t="str">
        <f>IF('Main Creation Page'!$C$3=2,+Skills!A793," ")</f>
        <v xml:space="preserve"> </v>
      </c>
      <c r="AA27" s="2270"/>
      <c r="AB27" s="2270"/>
      <c r="AC27" s="2270"/>
      <c r="AD27" s="2271"/>
      <c r="AG27" t="s">
        <v>4539</v>
      </c>
      <c r="AH27"/>
      <c r="AI27"/>
      <c r="AJ27"/>
      <c r="AK27"/>
      <c r="AL27"/>
      <c r="AM27"/>
      <c r="AN27"/>
      <c r="AO27"/>
      <c r="AP27"/>
      <c r="AQ27"/>
      <c r="AR27"/>
      <c r="AS27"/>
      <c r="AT27"/>
      <c r="AU27"/>
      <c r="AV27"/>
      <c r="AW27"/>
      <c r="AX27"/>
      <c r="AY27"/>
      <c r="AZ27"/>
      <c r="BA27"/>
      <c r="BB27"/>
      <c r="BC27"/>
      <c r="BD27"/>
      <c r="BE27"/>
      <c r="BF27"/>
      <c r="BG27"/>
      <c r="BH27"/>
      <c r="BI27"/>
      <c r="BJ27"/>
      <c r="BK27" s="494"/>
      <c r="BL27" s="494"/>
      <c r="BM27" s="497"/>
      <c r="BN27" s="494"/>
      <c r="BO27" s="494"/>
    </row>
    <row r="28" spans="1:67" s="162" customFormat="1" ht="12" customHeight="1">
      <c r="A28" s="2235" t="s">
        <v>212</v>
      </c>
      <c r="B28" s="2235"/>
      <c r="C28" s="2235"/>
      <c r="D28" s="2235"/>
      <c r="E28" s="2235"/>
      <c r="F28" s="2235"/>
      <c r="G28" s="2236"/>
      <c r="H28" s="2237" t="str">
        <f>Skills!AV122</f>
        <v>CP</v>
      </c>
      <c r="I28" s="2238"/>
      <c r="J28" s="1331">
        <f>Skills!V122</f>
        <v>2</v>
      </c>
      <c r="K28" s="1332"/>
      <c r="L28" s="1404">
        <f>Skills!AC122</f>
        <v>0.5</v>
      </c>
      <c r="M28" s="1721"/>
      <c r="N28" s="1722"/>
      <c r="O28" s="1331">
        <f>Skills!W122+Skills!X122</f>
        <v>0</v>
      </c>
      <c r="P28" s="1332"/>
      <c r="Q28" s="1404">
        <f ca="1">Skills!Y122</f>
        <v>0.12</v>
      </c>
      <c r="R28" s="1721"/>
      <c r="S28" s="1722"/>
      <c r="T28" s="1404">
        <f ca="1">Skills!AA122-Q28</f>
        <v>0</v>
      </c>
      <c r="U28" s="1311"/>
      <c r="V28" s="1404">
        <f ca="1">Skills!AD122</f>
        <v>0.62</v>
      </c>
      <c r="W28" s="1311"/>
      <c r="X28" s="1356">
        <f ca="1">INT(IF(V28&gt;VLOOKUP(J28,'System Lookups'!$J$55:$P$63,6),(((V28-VLOOKUP(J28,'System Lookups'!$J$55:$P$63,6))*100)/20),0))</f>
        <v>0</v>
      </c>
      <c r="Y28" s="1357"/>
      <c r="Z28" s="1358" t="str">
        <f>IF('Main Creation Page'!$C$3=2,IF(Combat!M121&gt;65,VLOOKUP(Combat!M121,Combat!BI118:BN124,5)," ")," ")</f>
        <v xml:space="preserve"> </v>
      </c>
      <c r="AA28" s="2270"/>
      <c r="AB28" s="2270"/>
      <c r="AC28" s="2270"/>
      <c r="AD28" s="2271"/>
      <c r="AG28" t="s">
        <v>4540</v>
      </c>
      <c r="AH28"/>
      <c r="AI28"/>
      <c r="AJ28"/>
      <c r="AK28"/>
      <c r="AL28"/>
      <c r="AM28"/>
      <c r="AN28"/>
      <c r="AO28"/>
      <c r="AP28"/>
      <c r="AQ28"/>
      <c r="AR28"/>
      <c r="AS28"/>
      <c r="AT28"/>
      <c r="AU28"/>
      <c r="AV28"/>
      <c r="AW28"/>
      <c r="AX28"/>
      <c r="AY28"/>
      <c r="AZ28"/>
      <c r="BF28"/>
      <c r="BG28"/>
      <c r="BH28"/>
      <c r="BI28"/>
      <c r="BJ28"/>
      <c r="BK28" s="494"/>
      <c r="BL28" s="494"/>
      <c r="BM28" s="497"/>
      <c r="BN28" s="494"/>
      <c r="BO28" s="494"/>
    </row>
    <row r="29" spans="1:67" s="162" customFormat="1" ht="12" customHeight="1">
      <c r="A29" s="2235" t="s">
        <v>213</v>
      </c>
      <c r="B29" s="2235"/>
      <c r="C29" s="2235"/>
      <c r="D29" s="2235"/>
      <c r="E29" s="2235"/>
      <c r="F29" s="2235"/>
      <c r="G29" s="2236"/>
      <c r="H29" s="2237" t="str">
        <f>Skills!AV799</f>
        <v>CS</v>
      </c>
      <c r="I29" s="2238"/>
      <c r="J29" s="1331">
        <f>Skills!V799</f>
        <v>3</v>
      </c>
      <c r="K29" s="1332"/>
      <c r="L29" s="1404">
        <f>Skills!AC799</f>
        <v>0.4</v>
      </c>
      <c r="M29" s="1721"/>
      <c r="N29" s="1722"/>
      <c r="O29" s="1331">
        <f>Skills!W799+Skills!X799</f>
        <v>0</v>
      </c>
      <c r="P29" s="1332"/>
      <c r="Q29" s="1404">
        <f ca="1">Skills!Y799</f>
        <v>0.06</v>
      </c>
      <c r="R29" s="1721"/>
      <c r="S29" s="1722"/>
      <c r="T29" s="1404">
        <f ca="1">Skills!AA799-Q29</f>
        <v>0</v>
      </c>
      <c r="U29" s="1311"/>
      <c r="V29" s="1404">
        <f ca="1">Skills!AD799</f>
        <v>0.46</v>
      </c>
      <c r="W29" s="1311"/>
      <c r="X29" s="1356">
        <f ca="1">INT(IF(V29&gt;VLOOKUP(J29,'System Lookups'!$J$55:$P$63,6),(((V29-VLOOKUP(J29,'System Lookups'!$J$55:$P$63,6))*100)/20),0))</f>
        <v>0</v>
      </c>
      <c r="Y29" s="1357"/>
      <c r="Z29" s="1358" t="str">
        <f>IF('Main Creation Page'!$C$3=2,IF(Combat!M121&gt;65,VLOOKUP(Combat!M121,Combat!BI118:BN124,6)," ")," ")</f>
        <v xml:space="preserve"> </v>
      </c>
      <c r="AA29" s="2270"/>
      <c r="AB29" s="2270"/>
      <c r="AC29" s="2270"/>
      <c r="AD29" s="2271"/>
      <c r="AG29"/>
      <c r="AH29"/>
      <c r="AI29"/>
      <c r="AJ29"/>
      <c r="AK29"/>
      <c r="AL29"/>
      <c r="AM29"/>
      <c r="AN29"/>
      <c r="AO29"/>
      <c r="AP29"/>
      <c r="AQ29"/>
      <c r="AR29"/>
      <c r="AS29"/>
      <c r="AT29"/>
      <c r="AU29"/>
      <c r="AV29"/>
      <c r="AW29"/>
      <c r="AX29"/>
      <c r="AY29"/>
      <c r="AZ29"/>
      <c r="BF29"/>
      <c r="BG29"/>
      <c r="BH29"/>
      <c r="BI29"/>
      <c r="BJ29"/>
      <c r="BK29" s="494"/>
      <c r="BL29" s="494"/>
      <c r="BM29" s="497"/>
      <c r="BN29" s="494"/>
      <c r="BO29" s="494"/>
    </row>
    <row r="30" spans="1:67" s="162" customFormat="1" ht="12" customHeight="1">
      <c r="A30" s="2235" t="s">
        <v>2448</v>
      </c>
      <c r="B30" s="2235"/>
      <c r="C30" s="2235"/>
      <c r="D30" s="2235"/>
      <c r="E30" s="2235"/>
      <c r="F30" s="2235"/>
      <c r="G30" s="2236"/>
      <c r="H30" s="2237" t="str">
        <f>Skills!AV784</f>
        <v>CMP</v>
      </c>
      <c r="I30" s="2238"/>
      <c r="J30" s="1331">
        <f>Skills!V784</f>
        <v>3</v>
      </c>
      <c r="K30" s="1332"/>
      <c r="L30" s="1404">
        <f>Skills!AC784</f>
        <v>0.4</v>
      </c>
      <c r="M30" s="1721"/>
      <c r="N30" s="1722"/>
      <c r="O30" s="1331">
        <f>Skills!W784+Skills!X784</f>
        <v>6</v>
      </c>
      <c r="P30" s="1332"/>
      <c r="Q30" s="1404">
        <f ca="1">Skills!Y784</f>
        <v>0.2</v>
      </c>
      <c r="R30" s="1721"/>
      <c r="S30" s="1722"/>
      <c r="T30" s="1404">
        <f ca="1">Skills!AA784-Q30</f>
        <v>0.18</v>
      </c>
      <c r="U30" s="1311"/>
      <c r="V30" s="1404">
        <f ca="1">Skills!AD784</f>
        <v>0.83000000000000007</v>
      </c>
      <c r="W30" s="1311"/>
      <c r="X30" s="1356">
        <f ca="1">INT(IF(V30&gt;VLOOKUP(J30,'System Lookups'!$J$55:$P$63,6),(((V30-VLOOKUP(J30,'System Lookups'!$J$55:$P$63,6))*100)/20),0))</f>
        <v>0</v>
      </c>
      <c r="Y30" s="1357"/>
      <c r="Z30" s="1355"/>
      <c r="AA30" s="1355"/>
      <c r="AB30" s="1355"/>
      <c r="AC30" s="1355"/>
      <c r="AD30" s="1355"/>
      <c r="AG30" t="s">
        <v>1971</v>
      </c>
      <c r="AH30"/>
      <c r="AI30"/>
      <c r="AJ30"/>
      <c r="AK30"/>
      <c r="AL30"/>
      <c r="AM30"/>
      <c r="AN30"/>
      <c r="AO30"/>
      <c r="AP30"/>
      <c r="AQ30"/>
      <c r="AR30"/>
      <c r="AS30"/>
      <c r="AT30"/>
      <c r="AU30"/>
      <c r="AV30"/>
      <c r="AW30"/>
      <c r="AX30"/>
      <c r="AY30"/>
      <c r="AZ30"/>
      <c r="BF30"/>
      <c r="BG30"/>
      <c r="BH30"/>
      <c r="BI30"/>
      <c r="BJ30"/>
      <c r="BK30" s="494"/>
      <c r="BL30" s="494"/>
      <c r="BM30" s="497"/>
      <c r="BN30" s="494"/>
      <c r="BO30" s="494"/>
    </row>
    <row r="31" spans="1:67" s="162" customFormat="1" ht="12" customHeight="1">
      <c r="A31" s="2235" t="s">
        <v>191</v>
      </c>
      <c r="B31" s="2235"/>
      <c r="C31" s="2235"/>
      <c r="D31" s="2235"/>
      <c r="E31" s="2235"/>
      <c r="F31" s="2235"/>
      <c r="G31" s="2236"/>
      <c r="H31" s="2237" t="str">
        <f>Skills!AV475</f>
        <v>CS</v>
      </c>
      <c r="I31" s="2238"/>
      <c r="J31" s="1331">
        <f>Skills!V475</f>
        <v>1</v>
      </c>
      <c r="K31" s="1332"/>
      <c r="L31" s="1404">
        <f>Skills!AC475</f>
        <v>0.6</v>
      </c>
      <c r="M31" s="1721"/>
      <c r="N31" s="1722"/>
      <c r="O31" s="1331">
        <f>Skills!W475+Skills!X475</f>
        <v>4</v>
      </c>
      <c r="P31" s="1332"/>
      <c r="Q31" s="1404">
        <f ca="1">Skills!Y475</f>
        <v>0.1</v>
      </c>
      <c r="R31" s="1721"/>
      <c r="S31" s="1722"/>
      <c r="T31" s="1404">
        <f ca="1">Skills!AA475-Q31</f>
        <v>0.12</v>
      </c>
      <c r="U31" s="1311"/>
      <c r="V31" s="1404">
        <f ca="1">Skills!AD475</f>
        <v>0.87</v>
      </c>
      <c r="W31" s="1311"/>
      <c r="X31" s="1356">
        <f ca="1">INT(IF(V31&gt;VLOOKUP(J31,'System Lookups'!$J$55:$P$63,6),(((V31-VLOOKUP(J31,'System Lookups'!$J$55:$P$63,6))*100)/20),0))</f>
        <v>0</v>
      </c>
      <c r="Y31" s="1357"/>
      <c r="Z31" s="1355"/>
      <c r="AA31" s="1355"/>
      <c r="AB31" s="1355"/>
      <c r="AC31" s="1355"/>
      <c r="AD31" s="1355"/>
      <c r="AG31" s="168" t="s">
        <v>5562</v>
      </c>
      <c r="AH31"/>
      <c r="AI31"/>
      <c r="AJ31"/>
      <c r="AK31"/>
      <c r="AL31"/>
      <c r="AM31"/>
      <c r="AN31"/>
      <c r="AO31"/>
      <c r="AP31"/>
      <c r="AQ31"/>
      <c r="AR31"/>
      <c r="AS31"/>
      <c r="AT31"/>
      <c r="AU31"/>
      <c r="AV31"/>
      <c r="AW31"/>
      <c r="AX31"/>
      <c r="AY31"/>
      <c r="AZ31"/>
      <c r="BF31"/>
      <c r="BG31"/>
      <c r="BH31"/>
      <c r="BI31"/>
      <c r="BJ31"/>
      <c r="BK31" s="494"/>
      <c r="BL31" s="494"/>
      <c r="BM31" s="497"/>
      <c r="BN31" s="494"/>
      <c r="BO31" s="494"/>
    </row>
    <row r="32" spans="1:67" s="162" customFormat="1" ht="12" customHeight="1">
      <c r="A32" s="2235" t="s">
        <v>192</v>
      </c>
      <c r="B32" s="2235"/>
      <c r="C32" s="2235"/>
      <c r="D32" s="2235"/>
      <c r="E32" s="2235"/>
      <c r="F32" s="2235"/>
      <c r="G32" s="2236"/>
      <c r="H32" s="2237" t="str">
        <f>Skills!AV487</f>
        <v>CS</v>
      </c>
      <c r="I32" s="2238"/>
      <c r="J32" s="1331">
        <f>Skills!V487</f>
        <v>1</v>
      </c>
      <c r="K32" s="1332"/>
      <c r="L32" s="1404">
        <f>Skills!AC487</f>
        <v>0.6</v>
      </c>
      <c r="M32" s="1721"/>
      <c r="N32" s="1722"/>
      <c r="O32" s="1331">
        <f>Skills!W487+Skills!X487</f>
        <v>4</v>
      </c>
      <c r="P32" s="1332"/>
      <c r="Q32" s="1404">
        <f ca="1">Skills!Y487</f>
        <v>0.1</v>
      </c>
      <c r="R32" s="1721"/>
      <c r="S32" s="1722"/>
      <c r="T32" s="1404">
        <f ca="1">Skills!AA487-Q32</f>
        <v>0.12</v>
      </c>
      <c r="U32" s="1311"/>
      <c r="V32" s="1404">
        <f ca="1">Skills!AD487</f>
        <v>0.87</v>
      </c>
      <c r="W32" s="1311"/>
      <c r="X32" s="1356">
        <f ca="1">INT(IF(V32&gt;VLOOKUP(J32,'System Lookups'!$J$55:$P$63,6),(((V32-VLOOKUP(J32,'System Lookups'!$J$55:$P$63,6))*100)/20),0))</f>
        <v>0</v>
      </c>
      <c r="Y32" s="1357"/>
      <c r="Z32" s="1355"/>
      <c r="AA32" s="1355"/>
      <c r="AB32" s="1355"/>
      <c r="AC32" s="1355"/>
      <c r="AD32" s="1355"/>
      <c r="AG32"/>
      <c r="AH32" t="s">
        <v>1992</v>
      </c>
      <c r="AI32"/>
      <c r="AJ32"/>
      <c r="AK32"/>
      <c r="AL32"/>
      <c r="AM32"/>
      <c r="AN32"/>
      <c r="AO32"/>
      <c r="AP32"/>
      <c r="AQ32"/>
      <c r="AR32"/>
      <c r="AS32"/>
      <c r="AT32"/>
      <c r="AU32"/>
      <c r="AV32"/>
      <c r="AW32"/>
      <c r="AX32"/>
      <c r="AY32"/>
      <c r="AZ32"/>
      <c r="BF32"/>
      <c r="BG32"/>
      <c r="BH32"/>
      <c r="BI32"/>
      <c r="BJ32"/>
      <c r="BK32" s="494"/>
      <c r="BL32" s="494"/>
      <c r="BM32" s="497"/>
      <c r="BN32" s="494"/>
      <c r="BO32" s="494"/>
    </row>
    <row r="33" spans="1:74" s="162" customFormat="1" ht="12" customHeight="1" thickBot="1">
      <c r="A33" s="2246" t="s">
        <v>1187</v>
      </c>
      <c r="B33" s="2246"/>
      <c r="C33" s="2246"/>
      <c r="D33" s="2246"/>
      <c r="E33" s="2246"/>
      <c r="F33" s="2246"/>
      <c r="G33" s="2247"/>
      <c r="H33" s="2375" t="str">
        <f>Skills!AV299</f>
        <v>CS</v>
      </c>
      <c r="I33" s="2376"/>
      <c r="J33" s="1755">
        <f>Skills!V299</f>
        <v>1</v>
      </c>
      <c r="K33" s="1756"/>
      <c r="L33" s="1754">
        <f>Skills!AC299</f>
        <v>0.6</v>
      </c>
      <c r="M33" s="1761"/>
      <c r="N33" s="1762"/>
      <c r="O33" s="1755">
        <f>Skills!W299+Skills!X299</f>
        <v>4</v>
      </c>
      <c r="P33" s="1756"/>
      <c r="Q33" s="1754">
        <f ca="1">Skills!Y299</f>
        <v>0.08</v>
      </c>
      <c r="R33" s="1761"/>
      <c r="S33" s="1762"/>
      <c r="T33" s="1754">
        <f ca="1">Skills!AA299-Q33</f>
        <v>0.4</v>
      </c>
      <c r="U33" s="1513"/>
      <c r="V33" s="1754">
        <f ca="1">Skills!AD299</f>
        <v>1.1300000000000001</v>
      </c>
      <c r="W33" s="1513"/>
      <c r="X33" s="2370">
        <f ca="1">INT(IF(V33&gt;VLOOKUP(J33,'System Lookups'!$J$55:$P$63,6),(((V33-VLOOKUP(J33,'System Lookups'!$J$55:$P$63,6))*100)/20),0))</f>
        <v>0</v>
      </c>
      <c r="Y33" s="2371"/>
      <c r="Z33" s="2493"/>
      <c r="AA33" s="2493"/>
      <c r="AB33" s="2493"/>
      <c r="AC33" s="2493"/>
      <c r="AD33" s="2493"/>
      <c r="AG33" t="s">
        <v>1991</v>
      </c>
      <c r="AH33"/>
      <c r="AI33"/>
      <c r="AJ33"/>
      <c r="AK33"/>
      <c r="AL33"/>
      <c r="AM33"/>
      <c r="AN33"/>
      <c r="AO33"/>
      <c r="AP33"/>
      <c r="AQ33"/>
      <c r="AR33"/>
      <c r="AS33"/>
      <c r="AT33"/>
      <c r="AU33"/>
      <c r="AV33"/>
      <c r="AW33"/>
      <c r="AX33"/>
      <c r="AY33"/>
      <c r="AZ33"/>
      <c r="BA33"/>
      <c r="BB33"/>
      <c r="BC33"/>
      <c r="BD33"/>
      <c r="BE33"/>
      <c r="BF33"/>
      <c r="BG33"/>
      <c r="BH33"/>
      <c r="BI33"/>
      <c r="BJ33"/>
      <c r="BK33" s="494"/>
      <c r="BL33" s="494"/>
      <c r="BM33" s="497"/>
      <c r="BN33" s="494"/>
      <c r="BO33" s="494"/>
    </row>
    <row r="34" spans="1:74" s="162" customFormat="1" ht="12" customHeight="1" thickTop="1">
      <c r="A34" s="2243" t="s">
        <v>2070</v>
      </c>
      <c r="B34" s="2244"/>
      <c r="C34" s="2244"/>
      <c r="D34" s="2244"/>
      <c r="E34" s="2244"/>
      <c r="F34" s="2244"/>
      <c r="G34" s="2245"/>
      <c r="H34" s="2249" t="s">
        <v>5370</v>
      </c>
      <c r="I34" s="2249"/>
      <c r="J34" s="2249"/>
      <c r="K34" s="2249" t="s">
        <v>5085</v>
      </c>
      <c r="L34" s="2249"/>
      <c r="M34" s="2249"/>
      <c r="N34" s="2243" t="s">
        <v>2449</v>
      </c>
      <c r="O34" s="2364"/>
      <c r="P34" s="2364"/>
      <c r="Q34" s="2365" t="str">
        <f ca="1">'Main Creation Page'!O9</f>
        <v xml:space="preserve"> </v>
      </c>
      <c r="R34" s="2366"/>
      <c r="S34" s="2366"/>
      <c r="T34" s="2366"/>
      <c r="U34" s="2366"/>
      <c r="V34" s="2366"/>
      <c r="W34" s="2367"/>
      <c r="X34" s="1352" t="s">
        <v>2450</v>
      </c>
      <c r="Y34" s="1353"/>
      <c r="Z34" s="1353"/>
      <c r="AA34" s="1353"/>
      <c r="AB34" s="1353"/>
      <c r="AC34" s="1353"/>
      <c r="AD34" s="1354"/>
      <c r="AG34"/>
      <c r="AH34" s="565" t="s">
        <v>1993</v>
      </c>
      <c r="AI34"/>
      <c r="AJ34"/>
      <c r="AK34"/>
      <c r="AL34"/>
      <c r="AM34"/>
      <c r="AN34"/>
      <c r="AO34"/>
      <c r="AP34"/>
      <c r="AQ34"/>
      <c r="AR34"/>
      <c r="AS34"/>
      <c r="AT34"/>
      <c r="AU34"/>
      <c r="AV34"/>
      <c r="AW34"/>
      <c r="AX34"/>
      <c r="AY34"/>
      <c r="AZ34"/>
      <c r="BA34"/>
      <c r="BB34"/>
      <c r="BC34"/>
      <c r="BD34"/>
      <c r="BE34"/>
      <c r="BF34"/>
      <c r="BG34"/>
      <c r="BH34"/>
      <c r="BI34"/>
      <c r="BJ34"/>
      <c r="BK34" s="494"/>
      <c r="BL34" s="494"/>
      <c r="BM34" s="497"/>
      <c r="BN34" s="494"/>
      <c r="BO34" s="494"/>
    </row>
    <row r="35" spans="1:74" s="162" customFormat="1" ht="12" customHeight="1">
      <c r="A35" s="2122" t="s">
        <v>3603</v>
      </c>
      <c r="B35" s="2123"/>
      <c r="C35" s="2123"/>
      <c r="D35" s="2123"/>
      <c r="E35" s="2123"/>
      <c r="F35" s="2123"/>
      <c r="G35" s="2124"/>
      <c r="H35" s="1873">
        <f>'Main Creation Page'!E18</f>
        <v>12</v>
      </c>
      <c r="I35" s="1873"/>
      <c r="J35" s="1873"/>
      <c r="K35" s="1324">
        <f>'Main Creation Page'!G18</f>
        <v>0.66</v>
      </c>
      <c r="L35" s="1324"/>
      <c r="M35" s="1324"/>
      <c r="N35" s="1765" t="str">
        <f ca="1">CONCATENATE('Main Creation Page'!O10,IF('Main Creation Page'!N11&gt;0,CONCATENATE(",",'Main Creation Page'!O11)," "))</f>
        <v xml:space="preserve"> , </v>
      </c>
      <c r="O35" s="1582"/>
      <c r="P35" s="1582"/>
      <c r="Q35" s="1582"/>
      <c r="R35" s="1582"/>
      <c r="S35" s="1582"/>
      <c r="T35" s="1582"/>
      <c r="U35" s="1582"/>
      <c r="V35" s="1582"/>
      <c r="W35" s="1766"/>
      <c r="X35" s="1763" t="s">
        <v>4442</v>
      </c>
      <c r="Y35" s="1344"/>
      <c r="Z35" s="1344"/>
      <c r="AA35" s="1344"/>
      <c r="AB35" s="1344"/>
      <c r="AC35" s="2492">
        <f>AC36+AC37</f>
        <v>5000</v>
      </c>
      <c r="AD35" s="1311"/>
      <c r="AG35"/>
      <c r="AH35" s="565" t="s">
        <v>1994</v>
      </c>
      <c r="AI35"/>
      <c r="AJ35"/>
      <c r="AK35"/>
      <c r="AL35"/>
      <c r="AM35"/>
      <c r="AN35"/>
      <c r="AO35"/>
      <c r="AP35"/>
      <c r="AQ35"/>
      <c r="AR35"/>
      <c r="AS35"/>
      <c r="AT35"/>
      <c r="AU35"/>
      <c r="AV35"/>
      <c r="AW35"/>
      <c r="AX35"/>
      <c r="AY35"/>
      <c r="AZ35"/>
      <c r="BA35"/>
      <c r="BB35"/>
      <c r="BC35"/>
      <c r="BD35"/>
      <c r="BE35"/>
      <c r="BF35"/>
      <c r="BG35"/>
      <c r="BH35"/>
      <c r="BI35"/>
      <c r="BJ35"/>
      <c r="BK35" s="494"/>
      <c r="BL35" s="494"/>
      <c r="BM35" s="497"/>
      <c r="BN35" s="494"/>
      <c r="BO35" s="494"/>
    </row>
    <row r="36" spans="1:74" s="162" customFormat="1" ht="12" customHeight="1">
      <c r="A36" s="2122" t="s">
        <v>4440</v>
      </c>
      <c r="B36" s="2123"/>
      <c r="C36" s="2123"/>
      <c r="D36" s="2123"/>
      <c r="E36" s="2123"/>
      <c r="F36" s="2123"/>
      <c r="G36" s="2124"/>
      <c r="H36" s="2148">
        <f>'Main Creation Page'!E20</f>
        <v>10</v>
      </c>
      <c r="I36" s="1873"/>
      <c r="J36" s="1873"/>
      <c r="K36" s="1324">
        <f>'Main Creation Page'!G20</f>
        <v>0.57999999999999996</v>
      </c>
      <c r="L36" s="1324"/>
      <c r="M36" s="1324"/>
      <c r="N36" s="1368" t="s">
        <v>2284</v>
      </c>
      <c r="O36" s="1298"/>
      <c r="P36" s="1298"/>
      <c r="Q36" s="1764" t="str">
        <f ca="1">CONCATENATE(IF('Main Creation Page'!N28&gt;0,"Minor - ", " "),'Main Creation Page'!O28,IF('Main Creation Page'!N29&gt;0," Major - ", " "),'Main Creation Page'!O29)</f>
        <v xml:space="preserve">Minor -   Major -  </v>
      </c>
      <c r="R36" s="1387"/>
      <c r="S36" s="1387"/>
      <c r="T36" s="1387"/>
      <c r="U36" s="1387"/>
      <c r="V36" s="1387"/>
      <c r="W36" s="1388"/>
      <c r="X36" s="1763" t="s">
        <v>4443</v>
      </c>
      <c r="Y36" s="1344"/>
      <c r="Z36" s="1344"/>
      <c r="AA36" s="1344"/>
      <c r="AB36" s="1344"/>
      <c r="AC36" s="2492">
        <f>Experience!R16</f>
        <v>0</v>
      </c>
      <c r="AD36" s="1311"/>
      <c r="AG36"/>
      <c r="AH36" s="565" t="s">
        <v>1995</v>
      </c>
      <c r="AI36"/>
      <c r="AJ36"/>
      <c r="AK36"/>
      <c r="AL36"/>
      <c r="AM36"/>
      <c r="AN36"/>
      <c r="AO36"/>
      <c r="AP36"/>
      <c r="AQ36"/>
      <c r="AR36"/>
      <c r="AS36"/>
      <c r="AT36"/>
      <c r="AU36"/>
      <c r="AV36"/>
      <c r="AW36"/>
      <c r="AX36"/>
      <c r="AY36"/>
      <c r="AZ36"/>
      <c r="BA36"/>
      <c r="BB36"/>
      <c r="BC36"/>
      <c r="BD36"/>
      <c r="BE36"/>
      <c r="BF36"/>
      <c r="BG36"/>
      <c r="BH36"/>
      <c r="BI36"/>
      <c r="BJ36"/>
      <c r="BK36" s="494"/>
      <c r="BL36" s="494"/>
      <c r="BM36" s="497"/>
      <c r="BN36" s="494"/>
      <c r="BO36" s="494"/>
    </row>
    <row r="37" spans="1:74" s="162" customFormat="1" ht="12" customHeight="1">
      <c r="A37" s="2122" t="s">
        <v>4441</v>
      </c>
      <c r="B37" s="2123"/>
      <c r="C37" s="2123"/>
      <c r="D37" s="2123"/>
      <c r="E37" s="2123"/>
      <c r="F37" s="2123"/>
      <c r="G37" s="2124"/>
      <c r="H37" s="1873">
        <f>'Main Creation Page'!E19</f>
        <v>15</v>
      </c>
      <c r="I37" s="1873"/>
      <c r="J37" s="1873"/>
      <c r="K37" s="1324">
        <f>'Main Creation Page'!G19</f>
        <v>0.76</v>
      </c>
      <c r="L37" s="1324"/>
      <c r="M37" s="1324"/>
      <c r="N37" s="2248" t="str">
        <f ca="1">CONCATENATE(IF('Main Creation Page'!N30&gt;0,"Severe - ", " "),'Main Creation Page'!O30,'Main Creation Page'!N31)</f>
        <v xml:space="preserve">Severe -  </v>
      </c>
      <c r="O37" s="1535"/>
      <c r="P37" s="1535"/>
      <c r="Q37" s="1535"/>
      <c r="R37" s="1535"/>
      <c r="S37" s="1535"/>
      <c r="T37" s="1535"/>
      <c r="U37" s="1535"/>
      <c r="V37" s="1535"/>
      <c r="W37" s="1536"/>
      <c r="X37" s="1763" t="s">
        <v>2462</v>
      </c>
      <c r="Y37" s="1344"/>
      <c r="Z37" s="1344"/>
      <c r="AA37" s="1344"/>
      <c r="AB37" s="1344"/>
      <c r="AC37" s="2492">
        <f>Experience!P31-'Character Sheet'!AC36</f>
        <v>5000</v>
      </c>
      <c r="AD37" s="1311"/>
      <c r="AG37" t="s">
        <v>1997</v>
      </c>
      <c r="AH37"/>
      <c r="AI37"/>
      <c r="AJ37"/>
      <c r="AK37"/>
      <c r="AL37"/>
      <c r="AM37"/>
      <c r="AN37"/>
      <c r="AO37"/>
      <c r="AP37"/>
      <c r="AQ37"/>
      <c r="AR37"/>
      <c r="AS37"/>
      <c r="AT37"/>
      <c r="AU37"/>
      <c r="AV37"/>
      <c r="AW37"/>
      <c r="AX37"/>
      <c r="AY37"/>
      <c r="AZ37"/>
      <c r="BA37"/>
      <c r="BB37"/>
      <c r="BC37"/>
      <c r="BD37"/>
      <c r="BE37"/>
      <c r="BF37"/>
      <c r="BG37"/>
      <c r="BH37"/>
      <c r="BI37"/>
      <c r="BJ37"/>
      <c r="BK37" s="494"/>
      <c r="BL37" s="494"/>
      <c r="BM37" s="497"/>
      <c r="BN37" s="494"/>
      <c r="BO37" s="494"/>
    </row>
    <row r="38" spans="1:74" s="162" customFormat="1" ht="12" customHeight="1">
      <c r="A38" s="2122" t="s">
        <v>617</v>
      </c>
      <c r="B38" s="2123"/>
      <c r="C38" s="2123"/>
      <c r="D38" s="2123"/>
      <c r="E38" s="2123"/>
      <c r="F38" s="2123"/>
      <c r="G38" s="2124"/>
      <c r="H38" s="1873">
        <f>'Main Creation Page'!E21</f>
        <v>22</v>
      </c>
      <c r="I38" s="1873"/>
      <c r="J38" s="1873"/>
      <c r="K38" s="1324">
        <f>'Main Creation Page'!G21</f>
        <v>0.94</v>
      </c>
      <c r="L38" s="1324"/>
      <c r="M38" s="1324"/>
      <c r="N38" s="1368" t="s">
        <v>4537</v>
      </c>
      <c r="O38" s="1298"/>
      <c r="P38" s="1298"/>
      <c r="Q38" s="1325" t="str">
        <f ca="1">CONCATENATE('Main Creation Page'!O22,IF('Main Creation Page'!N23&gt;0,CONCATENATE(",",'Main Creation Page'!O23)," "))</f>
        <v xml:space="preserve"> , </v>
      </c>
      <c r="R38" s="1315"/>
      <c r="S38" s="1315"/>
      <c r="T38" s="1315"/>
      <c r="U38" s="1315"/>
      <c r="V38" s="1315"/>
      <c r="W38" s="1315"/>
      <c r="X38" s="1315"/>
      <c r="Y38" s="1315"/>
      <c r="Z38" s="1315"/>
      <c r="AA38" s="1315"/>
      <c r="AB38" s="1315"/>
      <c r="AC38" s="1315"/>
      <c r="AD38" s="1315"/>
      <c r="AG38" t="s">
        <v>1996</v>
      </c>
      <c r="AH38"/>
      <c r="AI38"/>
      <c r="AJ38"/>
      <c r="AK38"/>
      <c r="AL38"/>
      <c r="AM38"/>
      <c r="AN38"/>
      <c r="AO38"/>
      <c r="AP38"/>
      <c r="AQ38"/>
      <c r="AR38"/>
      <c r="AS38"/>
      <c r="AT38"/>
      <c r="AU38"/>
      <c r="AV38"/>
      <c r="AW38"/>
      <c r="AX38"/>
      <c r="AY38"/>
      <c r="AZ38"/>
      <c r="BA38"/>
      <c r="BB38"/>
      <c r="BC38"/>
      <c r="BD38"/>
      <c r="BE38"/>
      <c r="BF38"/>
      <c r="BG38"/>
      <c r="BH38"/>
      <c r="BI38"/>
      <c r="BJ38"/>
      <c r="BK38" s="494"/>
      <c r="BL38" s="494"/>
      <c r="BM38" s="497"/>
      <c r="BN38" s="494"/>
      <c r="BO38" s="494"/>
    </row>
    <row r="39" spans="1:74" s="162" customFormat="1" ht="12" customHeight="1">
      <c r="A39" s="2122" t="s">
        <v>618</v>
      </c>
      <c r="B39" s="2123"/>
      <c r="C39" s="2123"/>
      <c r="D39" s="2123"/>
      <c r="E39" s="2123"/>
      <c r="F39" s="2123"/>
      <c r="G39" s="2124"/>
      <c r="H39" s="2148">
        <f>'Main Creation Page'!AF9</f>
        <v>18.251027368342857</v>
      </c>
      <c r="I39" s="1873"/>
      <c r="J39" s="1873"/>
      <c r="K39" s="1326"/>
      <c r="L39" s="1326"/>
      <c r="M39" s="1326"/>
      <c r="N39" s="1767" t="str">
        <f ca="1">CONCATENATE(IF('Main Creation Page'!N24&gt;0,'Main Creation Page'!O24," "),IF('Main Creation Page'!N25&gt;0,CONCATENATE(",",'Main Creation Page'!O25)," "))</f>
        <v xml:space="preserve"> , </v>
      </c>
      <c r="O39" s="1315"/>
      <c r="P39" s="1315"/>
      <c r="Q39" s="1315"/>
      <c r="R39" s="1315"/>
      <c r="S39" s="1315"/>
      <c r="T39" s="1315"/>
      <c r="U39" s="1315"/>
      <c r="V39" s="1315"/>
      <c r="W39" s="1315"/>
      <c r="X39" s="1315"/>
      <c r="Y39" s="1315"/>
      <c r="Z39" s="1315"/>
      <c r="AA39" s="1315"/>
      <c r="AB39" s="1315"/>
      <c r="AC39" s="1315"/>
      <c r="AD39" s="1315"/>
      <c r="AG39" s="522" t="s">
        <v>5561</v>
      </c>
      <c r="AH39"/>
      <c r="AI39"/>
      <c r="AJ39"/>
      <c r="AK39"/>
      <c r="AL39"/>
      <c r="AM39"/>
      <c r="AN39"/>
      <c r="AO39"/>
      <c r="AP39"/>
      <c r="AQ39"/>
      <c r="AR39"/>
      <c r="AS39"/>
      <c r="AT39"/>
      <c r="AU39"/>
      <c r="AV39"/>
      <c r="AW39"/>
      <c r="AX39"/>
      <c r="AY39"/>
      <c r="AZ39"/>
      <c r="BA39"/>
      <c r="BB39"/>
      <c r="BC39"/>
      <c r="BD39"/>
      <c r="BE39"/>
      <c r="BF39"/>
      <c r="BG39"/>
      <c r="BH39"/>
      <c r="BI39"/>
      <c r="BJ39"/>
      <c r="BK39" s="494"/>
      <c r="BL39" s="494"/>
      <c r="BM39" s="497"/>
      <c r="BN39" s="494"/>
      <c r="BO39" s="494"/>
    </row>
    <row r="40" spans="1:74" ht="12.75" customHeight="1">
      <c r="A40" s="1400" t="s">
        <v>663</v>
      </c>
      <c r="B40" s="1400"/>
      <c r="C40" s="1400"/>
      <c r="D40" s="1400"/>
      <c r="E40" s="1400"/>
      <c r="F40" s="1400"/>
      <c r="G40" s="1400"/>
      <c r="H40" s="1400"/>
      <c r="I40" s="1400" t="s">
        <v>5067</v>
      </c>
      <c r="J40" s="1400"/>
      <c r="K40" s="1400" t="s">
        <v>3805</v>
      </c>
      <c r="L40" s="1400"/>
      <c r="M40" s="1400" t="s">
        <v>1333</v>
      </c>
      <c r="N40" s="1400"/>
      <c r="O40" s="1380" t="s">
        <v>4740</v>
      </c>
      <c r="P40" s="1396"/>
      <c r="Q40" s="1380" t="s">
        <v>2005</v>
      </c>
      <c r="R40" s="1396"/>
      <c r="S40" s="1417" t="s">
        <v>4034</v>
      </c>
      <c r="T40" s="1418"/>
      <c r="U40" s="1513"/>
      <c r="V40" s="254" t="s">
        <v>3142</v>
      </c>
      <c r="W40" s="232" t="s">
        <v>4719</v>
      </c>
      <c r="X40" s="1367" t="s">
        <v>664</v>
      </c>
      <c r="Y40" s="1393"/>
      <c r="Z40" s="1394"/>
      <c r="AA40" s="1400" t="s">
        <v>3606</v>
      </c>
      <c r="AB40" s="1400"/>
      <c r="AC40" s="1400"/>
      <c r="AD40" s="1400"/>
      <c r="AG40"/>
      <c r="AH40"/>
      <c r="AI40"/>
      <c r="AJ40"/>
      <c r="AK40"/>
      <c r="AL40"/>
      <c r="AM40"/>
      <c r="AN40"/>
      <c r="AO40"/>
      <c r="AP40"/>
      <c r="AQ40"/>
      <c r="AR40"/>
      <c r="AS40"/>
      <c r="AT40"/>
      <c r="AU40"/>
      <c r="AV40"/>
      <c r="AW40"/>
      <c r="AX40"/>
      <c r="AY40"/>
      <c r="AZ40"/>
      <c r="BA40"/>
      <c r="BB40"/>
      <c r="BC40"/>
      <c r="BD40"/>
      <c r="BE40"/>
      <c r="BF40"/>
      <c r="BG40"/>
      <c r="BH40"/>
      <c r="BI40"/>
      <c r="BJ40"/>
      <c r="BK40" s="494"/>
      <c r="BL40" s="494"/>
    </row>
    <row r="41" spans="1:74" ht="15.75" customHeight="1">
      <c r="A41" s="1532" t="str">
        <f>VLOOKUP(Combat!F244,Combat!$BQ$5:$CA$32,8)</f>
        <v>Cuirbolli Helm</v>
      </c>
      <c r="B41" s="1532"/>
      <c r="C41" s="1532"/>
      <c r="D41" s="1532"/>
      <c r="E41" s="1532"/>
      <c r="F41" s="1532"/>
      <c r="G41" s="1532"/>
      <c r="H41" s="1532"/>
      <c r="I41" s="1314">
        <f>VLOOKUP((VLOOKUP(Combat!F244,Combat!$BQ$5:$CA$32,9)),Combat!$A$172:$R$189,11)+Combat!K244</f>
        <v>6</v>
      </c>
      <c r="J41" s="1314"/>
      <c r="K41" s="1314">
        <f>VLOOKUP((VLOOKUP(Combat!F244,Combat!$BQ$5:$CA$32,9)),Combat!$A$172:$R$189,12)+Combat!L244</f>
        <v>8</v>
      </c>
      <c r="L41" s="1314"/>
      <c r="M41" s="1314">
        <f>VLOOKUP((VLOOKUP(Combat!F244,Combat!$BQ$5:$CA$32,9)),Combat!$A$172:$R$189,13)+Combat!M244</f>
        <v>5</v>
      </c>
      <c r="N41" s="1314"/>
      <c r="O41" s="1314">
        <f>VLOOKUP((VLOOKUP(Combat!F244,Combat!$BQ$5:$CA$32,9)),Combat!$A$172:$R$189,14)+Combat!N244</f>
        <v>6</v>
      </c>
      <c r="P41" s="1314"/>
      <c r="Q41" s="1314">
        <f>VLOOKUP((VLOOKUP(Combat!F244,Combat!$BQ$5:$CA$32,9)),Combat!$A$172:$R$189,15)+Combat!O244</f>
        <v>6</v>
      </c>
      <c r="R41" s="1314"/>
      <c r="S41" s="2377" t="str">
        <f>CONCATENATE(IF(ISBLANK(Combat!K244),0,Combat!K244),",",IF(ISBLANK(Combat!L244),0,Combat!L244),",",IF(ISBLANK(Combat!M244),0,Combat!M244),",",IF(ISBLANK(Combat!N244),0,Combat!N244),",",IF(ISBLANK(Combat!O244),0,Combat!O244),",",)</f>
        <v>0,0,0,0,0,</v>
      </c>
      <c r="T41" s="2378"/>
      <c r="U41" s="1311"/>
      <c r="V41" s="551">
        <f>VLOOKUP((VLOOKUP(Combat!F244,Combat!$BQ$5:$CA$32,9)),Combat!$A$172:$R$189,18)</f>
        <v>0</v>
      </c>
      <c r="W41" s="551">
        <f>VLOOKUP((VLOOKUP(Combat!F244,Combat!$BQ$5:$CA$32,9)),Combat!$A$172:$R$189,17)</f>
        <v>0</v>
      </c>
      <c r="X41" s="1312">
        <f>VLOOKUP((VLOOKUP(Combat!F244,Combat!$BQ$5:$CA$32,9)),Combat!$A$172:$R$189,16)</f>
        <v>0</v>
      </c>
      <c r="Y41" s="1382"/>
      <c r="Z41" s="1311"/>
      <c r="AA41" s="1532"/>
      <c r="AB41" s="1532"/>
      <c r="AC41" s="1532"/>
      <c r="AD41" s="1532"/>
      <c r="AE41" s="82"/>
      <c r="AF41" s="82"/>
      <c r="AG41" s="107" t="s">
        <v>2389</v>
      </c>
      <c r="AH41" s="107"/>
      <c r="AI41" s="107"/>
      <c r="AJ41" s="107"/>
      <c r="AK41" s="107"/>
      <c r="AL41" s="107"/>
      <c r="AM41" s="107"/>
      <c r="AN41" s="107"/>
      <c r="AO41" s="107"/>
      <c r="AP41" s="107"/>
      <c r="AQ41" s="107"/>
      <c r="AR41" s="107"/>
      <c r="AS41" s="107"/>
      <c r="AT41" s="107"/>
      <c r="AU41" s="107"/>
      <c r="AV41" s="107"/>
      <c r="AW41" s="107"/>
      <c r="AX41" s="107"/>
      <c r="AY41" s="107"/>
      <c r="AZ41" s="107"/>
      <c r="BA41" s="107"/>
      <c r="BB41" s="107"/>
      <c r="BC41" s="107"/>
      <c r="BD41" s="107"/>
      <c r="BE41" s="107"/>
      <c r="BF41" s="107"/>
      <c r="BG41" s="107"/>
      <c r="BH41" s="107"/>
      <c r="BI41" s="107"/>
      <c r="BJ41" s="107"/>
      <c r="BK41" s="107"/>
      <c r="BL41" s="107"/>
      <c r="BM41" s="107"/>
      <c r="BN41" s="107"/>
      <c r="BO41" s="107"/>
      <c r="BP41" s="107"/>
      <c r="BQ41" s="107"/>
      <c r="BR41" s="107"/>
      <c r="BS41" s="107"/>
      <c r="BT41" s="107"/>
      <c r="BU41" s="518"/>
      <c r="BV41" s="518"/>
    </row>
    <row r="42" spans="1:74" ht="15.75" customHeight="1">
      <c r="A42" s="1532" t="str">
        <f>(VLOOKUP(Combat!F245,Combat!$BQ$5:$CA$32,10))</f>
        <v>Cuirbolli Cuirass</v>
      </c>
      <c r="B42" s="1532"/>
      <c r="C42" s="1532"/>
      <c r="D42" s="1532"/>
      <c r="E42" s="1532"/>
      <c r="F42" s="1532"/>
      <c r="G42" s="1532"/>
      <c r="H42" s="1532"/>
      <c r="I42" s="1314">
        <f>VLOOKUP((VLOOKUP(Combat!F245,Combat!$BQ$5:$CA$32,11)),Combat!$A$191:$R$230,11)+IF(X43,2,0)+Combat!K245</f>
        <v>8</v>
      </c>
      <c r="J42" s="1314"/>
      <c r="K42" s="1314">
        <f>VLOOKUP((VLOOKUP(Combat!F245,Combat!$BQ$5:$CA$32,11)),Combat!$A$191:$R$230,12)+IF(X43,2,0)+Combat!L245</f>
        <v>10</v>
      </c>
      <c r="L42" s="1314"/>
      <c r="M42" s="1314">
        <f>VLOOKUP((VLOOKUP(Combat!F245,Combat!$BQ$5:$CA$32,11)),Combat!$A$191:$R$230,13)+IF(X43,2,0)+Combat!M245</f>
        <v>7</v>
      </c>
      <c r="N42" s="1314"/>
      <c r="O42" s="1314">
        <f>VLOOKUP((VLOOKUP(Combat!F245,Combat!$BQ$5:$CA$32,11)),Combat!$A$191:$R$230,14)+IF(X43,2,0)+Combat!N245</f>
        <v>8</v>
      </c>
      <c r="P42" s="1314"/>
      <c r="Q42" s="1314">
        <f>VLOOKUP((VLOOKUP(Combat!F245,Combat!$BQ$5:$CA$32,11)),Combat!$A$191:$R$230,15)+Combat!O245</f>
        <v>6</v>
      </c>
      <c r="R42" s="1314"/>
      <c r="S42" s="2377" t="str">
        <f>CONCATENATE(IF(ISBLANK(Combat!K245),0,Combat!K245),",",IF(ISBLANK(Combat!L245),0,Combat!L245),",",IF(ISBLANK(Combat!M245),0,Combat!M245),",",IF(ISBLANK(Combat!N245),0,Combat!N245),",",IF(ISBLANK(Combat!O245),0,Combat!O245),",",)</f>
        <v>0,0,0,0,0,</v>
      </c>
      <c r="T42" s="2378"/>
      <c r="U42" s="1311"/>
      <c r="V42" s="551">
        <f>VLOOKUP((VLOOKUP(Combat!F245,Combat!$BQ$5:$CA$32,11)),Combat!$A$191:$R$230,18)</f>
        <v>0</v>
      </c>
      <c r="W42" s="551">
        <f>VLOOKUP((VLOOKUP(Combat!F245,Combat!$BQ$5:$CA$32,11)),Combat!$A$191:$R$230,17)</f>
        <v>0</v>
      </c>
      <c r="X42" s="1312">
        <f>VLOOKUP((VLOOKUP(Combat!F245,Combat!$BQ$5:$CA$32,11)),Combat!$A$191:$R$230,16)</f>
        <v>-1</v>
      </c>
      <c r="Y42" s="1382"/>
      <c r="Z42" s="1311"/>
      <c r="AA42" s="1532"/>
      <c r="AB42" s="1532"/>
      <c r="AC42" s="1532"/>
      <c r="AD42" s="1532"/>
      <c r="AE42" s="82"/>
      <c r="AF42" s="82"/>
      <c r="AG42" s="107" t="s">
        <v>2390</v>
      </c>
      <c r="AH42" s="107"/>
      <c r="AI42" s="107"/>
      <c r="AJ42" s="107"/>
      <c r="AK42" s="107"/>
      <c r="AL42" s="107"/>
      <c r="AM42" s="107"/>
      <c r="AN42" s="107"/>
      <c r="AO42" s="107"/>
      <c r="AP42" s="107"/>
      <c r="AQ42" s="107"/>
      <c r="AR42" s="107"/>
      <c r="AS42" s="107"/>
      <c r="AT42" s="107"/>
      <c r="AU42" s="107"/>
      <c r="AV42" s="107"/>
      <c r="AW42" s="107"/>
      <c r="AX42" s="107"/>
      <c r="AY42" s="107"/>
      <c r="AZ42" s="107"/>
      <c r="BA42" s="107"/>
      <c r="BB42" s="107"/>
      <c r="BC42" s="107"/>
      <c r="BD42" s="107"/>
      <c r="BE42" s="107"/>
      <c r="BF42" s="107"/>
      <c r="BG42" s="107"/>
      <c r="BH42" s="107"/>
      <c r="BI42" s="107"/>
      <c r="BJ42" s="107"/>
      <c r="BK42" s="107"/>
      <c r="BL42" s="107"/>
      <c r="BM42" s="107"/>
      <c r="BN42" s="107"/>
      <c r="BO42" s="107"/>
      <c r="BP42" s="107"/>
      <c r="BQ42" s="107"/>
      <c r="BR42" s="107"/>
      <c r="BS42" s="107"/>
      <c r="BT42" s="107"/>
      <c r="BU42" s="518"/>
      <c r="BV42" s="518"/>
    </row>
    <row r="43" spans="1:74" ht="15.75" customHeight="1">
      <c r="A43" s="1532" t="str">
        <f>VLOOKUP(Combat!F246,Combat!$BQ$5:$CA$32,6)</f>
        <v>Target, Wood</v>
      </c>
      <c r="B43" s="1532"/>
      <c r="C43" s="1532"/>
      <c r="D43" s="1532"/>
      <c r="E43" s="1532"/>
      <c r="F43" s="1532"/>
      <c r="G43" s="1532"/>
      <c r="H43" s="1532"/>
      <c r="I43" s="1314">
        <f>VLOOKUP((VLOOKUP(Combat!F246,Combat!$BQ$5:$CA$32,7)),Combat!$A$156:$AI$171,28)+Combat!K246</f>
        <v>10</v>
      </c>
      <c r="J43" s="1314"/>
      <c r="K43" s="1314">
        <f>VLOOKUP((VLOOKUP(Combat!F246,Combat!$BQ$5:$CA$32,7)),Combat!$A$156:$AI$171,29)+Combat!L246</f>
        <v>9</v>
      </c>
      <c r="L43" s="1314"/>
      <c r="M43" s="1314">
        <f>VLOOKUP((VLOOKUP(Combat!F246,Combat!$BQ$5:$CA$32,7)),Combat!$A$156:$AI$171,30)+Combat!M246</f>
        <v>12</v>
      </c>
      <c r="N43" s="1314"/>
      <c r="O43" s="1314">
        <f>VLOOKUP((VLOOKUP(Combat!F246,Combat!$BQ$5:$CA$32,7)),Combat!$A$156:$AI$171,31)+Combat!N246</f>
        <v>10</v>
      </c>
      <c r="P43" s="1314"/>
      <c r="Q43" s="1314">
        <f>VLOOKUP((VLOOKUP(Combat!F246,Combat!$BQ$5:$CA$32,7)),Combat!$A$156:$AI$171,32)+Combat!O246</f>
        <v>10</v>
      </c>
      <c r="R43" s="1314"/>
      <c r="S43" s="2377" t="str">
        <f>CONCATENATE(IF(ISBLANK(Combat!K246),0,Combat!K246),",",IF(ISBLANK(Combat!L246),0,Combat!L246),",",IF(ISBLANK(Combat!M246),0,Combat!M246),",",IF(ISBLANK(Combat!N246),0,Combat!N246),",",IF(ISBLANK(Combat!O246),0,Combat!O246),",",)</f>
        <v>0,0,0,0,0,</v>
      </c>
      <c r="T43" s="2378"/>
      <c r="U43" s="1311"/>
      <c r="V43" s="551">
        <f ca="1">VLOOKUP((VLOOKUP(Combat!F246,Combat!$BQ$5:$CA$32,7)),Combat!$A$156:$AI$171,34)</f>
        <v>2</v>
      </c>
      <c r="W43" s="551">
        <f>VLOOKUP((VLOOKUP(Combat!F246,Combat!$BQ$5:$CA$32,7)),Combat!$A$156:$AI$171,33)</f>
        <v>0</v>
      </c>
      <c r="X43" s="103" t="b">
        <v>1</v>
      </c>
      <c r="Y43" s="2381" t="s">
        <v>5354</v>
      </c>
      <c r="Z43" s="2382"/>
      <c r="AA43" s="1532"/>
      <c r="AB43" s="1532"/>
      <c r="AC43" s="1532"/>
      <c r="AD43" s="1532"/>
      <c r="AE43" s="82"/>
      <c r="AF43" s="82"/>
      <c r="AG43" s="107" t="s">
        <v>985</v>
      </c>
      <c r="AH43" s="107"/>
      <c r="AI43" s="107"/>
      <c r="AJ43" s="107"/>
      <c r="AK43" s="107"/>
      <c r="AL43" s="107"/>
      <c r="AM43" s="107"/>
      <c r="AN43" s="107"/>
      <c r="AO43" s="107"/>
      <c r="AP43" s="107"/>
      <c r="AQ43" s="107"/>
      <c r="AR43" s="107"/>
      <c r="AS43" s="107"/>
      <c r="AT43" s="107"/>
      <c r="AU43" s="107"/>
      <c r="AV43" s="107"/>
      <c r="AW43" s="107"/>
      <c r="AX43" s="107"/>
      <c r="AY43" s="107"/>
      <c r="AZ43" s="107"/>
      <c r="BA43" s="107"/>
      <c r="BB43" s="107"/>
      <c r="BC43" s="107"/>
      <c r="BD43" s="107"/>
      <c r="BE43" s="107"/>
      <c r="BF43" s="107"/>
      <c r="BG43" s="107"/>
      <c r="BH43" s="107"/>
      <c r="BI43" s="107"/>
      <c r="BJ43" s="107"/>
      <c r="BK43" s="107"/>
      <c r="BL43" s="107"/>
      <c r="BM43" s="107"/>
      <c r="BN43" s="107"/>
      <c r="BO43" s="107"/>
      <c r="BP43" s="107"/>
      <c r="BQ43" s="107"/>
      <c r="BR43" s="107"/>
      <c r="BS43" s="107"/>
      <c r="BT43" s="107"/>
      <c r="BU43" s="518"/>
      <c r="BV43" s="518"/>
    </row>
    <row r="44" spans="1:74" ht="12" customHeight="1">
      <c r="A44" s="1417" t="s">
        <v>3219</v>
      </c>
      <c r="B44" s="1418"/>
      <c r="C44" s="1418"/>
      <c r="D44" s="1418"/>
      <c r="E44" s="1418"/>
      <c r="F44" s="1418"/>
      <c r="G44" s="1418"/>
      <c r="H44" s="1418"/>
      <c r="I44" s="1418"/>
      <c r="J44" s="1418"/>
      <c r="K44" s="1418"/>
      <c r="L44" s="1811"/>
      <c r="M44" s="1773"/>
      <c r="N44" s="2360"/>
      <c r="O44" s="2360"/>
      <c r="P44" s="1774"/>
      <c r="Q44" s="1400" t="s">
        <v>3765</v>
      </c>
      <c r="R44" s="1400"/>
      <c r="S44" s="1400"/>
      <c r="T44" s="1400"/>
      <c r="U44" s="1400"/>
      <c r="V44" s="1400"/>
      <c r="W44" s="1400"/>
      <c r="X44" s="1380"/>
      <c r="Y44" s="1855"/>
      <c r="Z44" s="1855"/>
      <c r="AA44" s="1855"/>
      <c r="AB44" s="1855"/>
      <c r="AC44" s="1855"/>
      <c r="AD44" s="1392"/>
      <c r="AG44" s="107" t="s">
        <v>2391</v>
      </c>
      <c r="AH44" s="107"/>
      <c r="AI44" s="107"/>
      <c r="AJ44" s="107"/>
      <c r="AK44" s="107"/>
      <c r="AL44" s="107"/>
      <c r="AM44" s="107"/>
      <c r="AN44" s="107"/>
      <c r="AO44" s="107"/>
      <c r="AP44" s="107"/>
      <c r="AQ44" s="107"/>
      <c r="AR44" s="107"/>
      <c r="AS44" s="107"/>
      <c r="AT44" s="107"/>
      <c r="AU44" s="107"/>
      <c r="AV44" s="107"/>
      <c r="AW44" s="107"/>
      <c r="AX44" s="107"/>
      <c r="AY44" s="107"/>
      <c r="AZ44" s="107"/>
      <c r="BA44" s="107"/>
      <c r="BB44" s="107"/>
      <c r="BC44" s="107"/>
      <c r="BD44" s="107"/>
      <c r="BE44" s="107"/>
      <c r="BF44" s="107"/>
      <c r="BG44" s="107"/>
      <c r="BH44" s="107"/>
      <c r="BI44" s="107"/>
      <c r="BJ44" s="107"/>
      <c r="BK44" s="107"/>
      <c r="BL44" s="107"/>
      <c r="BM44" s="107"/>
      <c r="BN44" s="107"/>
      <c r="BO44" s="107"/>
      <c r="BP44" s="107"/>
      <c r="BQ44" s="107"/>
      <c r="BR44" s="107"/>
      <c r="BS44" s="107"/>
      <c r="BT44" s="107"/>
      <c r="BU44" s="518"/>
      <c r="BV44" s="518"/>
    </row>
    <row r="45" spans="1:74" ht="10.5" customHeight="1" thickBot="1">
      <c r="A45" s="2224" t="s">
        <v>3888</v>
      </c>
      <c r="B45" s="2225"/>
      <c r="C45" s="2225"/>
      <c r="D45" s="2225"/>
      <c r="E45" s="2225"/>
      <c r="F45" s="2225"/>
      <c r="G45" s="2225"/>
      <c r="H45" s="2225"/>
      <c r="I45" s="2225"/>
      <c r="J45" s="2225"/>
      <c r="K45" s="2225"/>
      <c r="L45" s="2226"/>
      <c r="M45" s="2361"/>
      <c r="N45" s="2362"/>
      <c r="O45" s="2362"/>
      <c r="P45" s="2363"/>
      <c r="Q45" s="2373" t="s">
        <v>3765</v>
      </c>
      <c r="R45" s="2374"/>
      <c r="S45" s="2373" t="s">
        <v>961</v>
      </c>
      <c r="T45" s="2373"/>
      <c r="U45" s="561" t="s">
        <v>960</v>
      </c>
      <c r="V45" s="2373" t="s">
        <v>3765</v>
      </c>
      <c r="W45" s="2374"/>
      <c r="X45" s="561" t="s">
        <v>3721</v>
      </c>
      <c r="Y45" s="561" t="s">
        <v>1742</v>
      </c>
      <c r="Z45" s="2383" t="s">
        <v>5511</v>
      </c>
      <c r="AA45" s="2384"/>
      <c r="AB45" s="1752" t="s">
        <v>2525</v>
      </c>
      <c r="AC45" s="1753"/>
      <c r="AD45" s="561" t="s">
        <v>5512</v>
      </c>
      <c r="AG45" s="107" t="s">
        <v>2271</v>
      </c>
      <c r="AH45" s="107"/>
      <c r="AI45" s="107"/>
      <c r="AJ45" s="107"/>
      <c r="AK45" s="107"/>
      <c r="AL45" s="107"/>
      <c r="AM45" s="107"/>
      <c r="AN45" s="107"/>
      <c r="AO45" s="107"/>
      <c r="AP45" s="107"/>
      <c r="AQ45" s="107"/>
      <c r="AR45" s="107"/>
      <c r="AS45" s="107"/>
      <c r="AT45" s="107"/>
      <c r="AU45" s="107"/>
      <c r="AV45" s="107"/>
      <c r="AW45" s="107"/>
      <c r="AX45" s="107"/>
      <c r="AY45" s="107"/>
      <c r="AZ45" s="107"/>
      <c r="BA45" s="107"/>
      <c r="BB45" s="107"/>
      <c r="BC45" s="107"/>
      <c r="BD45" s="107"/>
      <c r="BE45" s="107"/>
      <c r="BF45" s="107"/>
      <c r="BG45" s="107"/>
      <c r="BH45" s="107"/>
      <c r="BI45" s="107"/>
      <c r="BJ45" s="107"/>
      <c r="BK45" s="107"/>
      <c r="BL45" s="107"/>
      <c r="BM45" s="107"/>
      <c r="BN45" s="107"/>
      <c r="BO45" s="107"/>
      <c r="BP45" s="107"/>
      <c r="BQ45" s="107"/>
      <c r="BR45" s="107"/>
      <c r="BS45" s="107"/>
      <c r="BT45" s="107"/>
      <c r="BU45" s="518"/>
      <c r="BV45" s="518"/>
    </row>
    <row r="46" spans="1:74" s="64" customFormat="1" ht="12.75" customHeight="1">
      <c r="A46" s="2170" t="s">
        <v>3607</v>
      </c>
      <c r="B46" s="2170"/>
      <c r="C46" s="2170"/>
      <c r="D46" s="2170"/>
      <c r="E46" s="2170"/>
      <c r="F46" s="563" t="s">
        <v>3005</v>
      </c>
      <c r="G46" s="2170" t="s">
        <v>4731</v>
      </c>
      <c r="H46" s="2170"/>
      <c r="I46" s="2170"/>
      <c r="J46" s="563" t="s">
        <v>960</v>
      </c>
      <c r="K46" s="2170" t="s">
        <v>3006</v>
      </c>
      <c r="L46" s="2170"/>
      <c r="M46" s="2170" t="s">
        <v>209</v>
      </c>
      <c r="N46" s="2170"/>
      <c r="O46" s="2170" t="s">
        <v>2014</v>
      </c>
      <c r="P46" s="1892"/>
      <c r="Q46" s="2368" t="s">
        <v>940</v>
      </c>
      <c r="R46" s="2368"/>
      <c r="S46" s="2379" t="s">
        <v>3006</v>
      </c>
      <c r="T46" s="2495"/>
      <c r="U46" s="559" t="s">
        <v>3006</v>
      </c>
      <c r="V46" s="2379" t="s">
        <v>4035</v>
      </c>
      <c r="W46" s="2380"/>
      <c r="X46" s="559" t="s">
        <v>1281</v>
      </c>
      <c r="Y46" s="559" t="s">
        <v>962</v>
      </c>
      <c r="Z46" s="2379" t="s">
        <v>5510</v>
      </c>
      <c r="AA46" s="2495"/>
      <c r="AB46" s="2368" t="s">
        <v>3142</v>
      </c>
      <c r="AC46" s="2369"/>
      <c r="AD46" s="559" t="s">
        <v>3142</v>
      </c>
      <c r="AF46" s="575"/>
      <c r="AG46" s="493"/>
      <c r="AH46" s="493"/>
      <c r="AI46" s="499"/>
      <c r="AJ46" s="499"/>
      <c r="AK46" s="499"/>
      <c r="AL46" s="499"/>
      <c r="AM46" s="499"/>
      <c r="AN46" s="499"/>
      <c r="AO46" s="499"/>
      <c r="AP46" s="499"/>
      <c r="AQ46" s="499"/>
      <c r="AR46" s="499"/>
      <c r="AS46" s="499"/>
      <c r="AT46" s="499"/>
      <c r="AU46" s="499"/>
      <c r="AV46" s="499"/>
      <c r="AW46" s="499"/>
      <c r="AX46" s="499"/>
      <c r="AY46" s="499"/>
      <c r="AZ46" s="499"/>
      <c r="BA46" s="499"/>
      <c r="BB46" s="499"/>
      <c r="BC46" s="499"/>
      <c r="BD46" s="499"/>
      <c r="BE46" s="499"/>
      <c r="BF46" s="499"/>
      <c r="BG46" s="499"/>
      <c r="BH46" s="499"/>
      <c r="BI46" s="499"/>
      <c r="BJ46" s="499"/>
      <c r="BK46" s="500"/>
      <c r="BL46" s="495"/>
      <c r="BM46" s="498"/>
    </row>
    <row r="47" spans="1:74" ht="15.75" customHeight="1">
      <c r="A47" s="1740" t="str">
        <f>VLOOKUP(Combat!F236,Combat!$BQ$5:$BS$71,2)</f>
        <v>Dagger</v>
      </c>
      <c r="B47" s="1741"/>
      <c r="C47" s="1741"/>
      <c r="D47" s="1741"/>
      <c r="E47" s="1783"/>
      <c r="F47" s="551">
        <f>VLOOKUP((VLOOKUP(Combat!F236,Combat!$BQ$5:$BS$71,3)),Combat!$A$2:$Y$86,19)</f>
        <v>3</v>
      </c>
      <c r="G47" s="1349">
        <f>VLOOKUP((VLOOKUP(Combat!F236,Combat!$BQ$5:$BS$71,3)),Combat!$A$2:$Y$86,21)</f>
        <v>0.3</v>
      </c>
      <c r="H47" s="2169"/>
      <c r="I47" s="2131"/>
      <c r="J47" s="551" t="str">
        <f>VLOOKUP((VLOOKUP(Combat!F236,Combat!$BQ$5:$BS$71,3)),Combat!$A$2:$Y$86,20)</f>
        <v xml:space="preserve"> </v>
      </c>
      <c r="K47" s="2168">
        <f ca="1">VLOOKUP((VLOOKUP(Combat!F236,Combat!$BQ$5:$BS$71,3)),Combat!$A$2:$Y$86,22)</f>
        <v>0.06</v>
      </c>
      <c r="L47" s="2168"/>
      <c r="M47" s="2168">
        <f ca="1">VLOOKUP((VLOOKUP(Combat!F236,Combat!$BQ$5:$BS$71,3)),Combat!$A$2:$Y$86,23)-K47</f>
        <v>0</v>
      </c>
      <c r="N47" s="2168"/>
      <c r="O47" s="2168">
        <f ca="1">VLOOKUP((VLOOKUP(Combat!F236,Combat!$BQ$5:$BS$71,3)),Combat!$A$2:$Y$86,24)</f>
        <v>0.36</v>
      </c>
      <c r="P47" s="2168"/>
      <c r="Q47" s="1314">
        <f>VLOOKUP((VLOOKUP(Combat!F236,Combat!$BQ$5:$BS$71,3)),Combat!$A$2:$Y$86,12)</f>
        <v>2</v>
      </c>
      <c r="R47" s="1314"/>
      <c r="S47" s="1860">
        <f>VLOOKUP((VLOOKUP(Combat!F236,Combat!$BQ$5:$BS$71,3)),Combat!$A$2:$Y$86,11)</f>
        <v>5</v>
      </c>
      <c r="T47" s="1860"/>
      <c r="U47" s="551">
        <f>VLOOKUP((VLOOKUP(Combat!F236,Combat!$BQ$5:$BS$71,3)),Combat!$A$2:$Y$86,13)</f>
        <v>0</v>
      </c>
      <c r="V47" s="1310">
        <v>0</v>
      </c>
      <c r="W47" s="1311"/>
      <c r="X47" s="562">
        <f>SUM(Q47:V47)</f>
        <v>7</v>
      </c>
      <c r="Y47" s="550">
        <f ca="1">VLOOKUP((VLOOKUP(Combat!F236,Combat!$BQ$5:$BS$71,3)),Combat!$A$2:$Y$86,16)</f>
        <v>0</v>
      </c>
      <c r="Z47" s="1312">
        <f>VLOOKUP((VLOOKUP(Combat!F236,Combat!$BQ$5:$BS$71,3)),Combat!$A$2:$Y$86,17)</f>
        <v>10</v>
      </c>
      <c r="AA47" s="1313"/>
      <c r="AB47" s="1314">
        <f ca="1">VLOOKUP((VLOOKUP(Combat!F236,Combat!$BQ$5:$BS$71,3)),Combat!$A$2:$Y$86,25)</f>
        <v>7</v>
      </c>
      <c r="AC47" s="1315"/>
      <c r="AD47" s="551">
        <f ca="1">VLOOKUP((VLOOKUP(Combat!F236,Combat!$BQ$5:$BS$71,3)),Combat!$A$2:$Z$86,26)</f>
        <v>1</v>
      </c>
      <c r="AG47" s="528"/>
      <c r="AH47" s="82"/>
    </row>
    <row r="48" spans="1:74" ht="15.75" customHeight="1">
      <c r="A48" s="1740" t="str">
        <f>VLOOKUP(Combat!F237,Combat!$BQ$5:$BS$71,2)</f>
        <v>Quarterstaff</v>
      </c>
      <c r="B48" s="1741"/>
      <c r="C48" s="1741"/>
      <c r="D48" s="1741"/>
      <c r="E48" s="1783"/>
      <c r="F48" s="551">
        <f>VLOOKUP((VLOOKUP(Combat!F237,Combat!$BQ$5:$BS$71,3)),Combat!$A$2:$Y$86,19)</f>
        <v>4</v>
      </c>
      <c r="G48" s="1349">
        <f>VLOOKUP((VLOOKUP(Combat!F237,Combat!$BQ$5:$BS$71,3)),Combat!$A$2:$Y$86,21)</f>
        <v>0.2</v>
      </c>
      <c r="H48" s="2169"/>
      <c r="I48" s="2131"/>
      <c r="J48" s="551" t="str">
        <f>VLOOKUP((VLOOKUP(Combat!F236,Combat!$BQ$5:$BS$71,3)),Combat!$A$2:$Y$86,20)</f>
        <v xml:space="preserve"> </v>
      </c>
      <c r="K48" s="2168">
        <f ca="1">VLOOKUP((VLOOKUP(Combat!F237,Combat!$BQ$5:$BS$71,3)),Combat!$A$2:$Y$86,22)</f>
        <v>0.12</v>
      </c>
      <c r="L48" s="2168"/>
      <c r="M48" s="2168">
        <f ca="1">VLOOKUP((VLOOKUP(Combat!F237,Combat!$BQ$5:$BS$71,3)),Combat!$A$2:$Y$86,23)-K48</f>
        <v>0</v>
      </c>
      <c r="N48" s="2168"/>
      <c r="O48" s="2168">
        <f ca="1">VLOOKUP((VLOOKUP(Combat!F237,Combat!$BQ$5:$BS$71,3)),Combat!$A$2:$Y$86,24)</f>
        <v>0.32</v>
      </c>
      <c r="P48" s="2168"/>
      <c r="Q48" s="1314">
        <f>VLOOKUP((VLOOKUP(Combat!F237,Combat!$BQ$5:$BS$71,3)),Combat!$A$2:$Y$86,12)</f>
        <v>5</v>
      </c>
      <c r="R48" s="1314"/>
      <c r="S48" s="1860">
        <f>VLOOKUP((VLOOKUP(Combat!F237,Combat!$BQ$5:$BS$71,3)),Combat!$A$2:$Y$86,11)</f>
        <v>10</v>
      </c>
      <c r="T48" s="1860"/>
      <c r="U48" s="551">
        <f>VLOOKUP((VLOOKUP(Combat!F237,Combat!$BQ$5:$BS$71,3)),Combat!$A$2:$Y$86,13)</f>
        <v>0</v>
      </c>
      <c r="V48" s="1310">
        <v>0</v>
      </c>
      <c r="W48" s="1311"/>
      <c r="X48" s="562">
        <f>SUM(Q48:V48)</f>
        <v>15</v>
      </c>
      <c r="Y48" s="550">
        <f ca="1">VLOOKUP((VLOOKUP(Combat!F237,Combat!$BQ$5:$BS$71,3)),Combat!$A$2:$Y$86,16)</f>
        <v>0</v>
      </c>
      <c r="Z48" s="1312">
        <f>VLOOKUP((VLOOKUP(Combat!F237,Combat!$BQ$5:$BS$71,3)),Combat!$A$2:$Y$86,17)</f>
        <v>9</v>
      </c>
      <c r="AA48" s="1313"/>
      <c r="AB48" s="1314">
        <f ca="1">VLOOKUP((VLOOKUP(Combat!F237,Combat!$BQ$5:$BS$71,3)),Combat!$A$2:$Y$86,25)</f>
        <v>9</v>
      </c>
      <c r="AC48" s="1315"/>
      <c r="AD48" s="551">
        <f ca="1">VLOOKUP((VLOOKUP(Combat!F237,Combat!$BQ$5:$BS$71,3)),Combat!$A$2:$Z$86,26)</f>
        <v>2</v>
      </c>
      <c r="AG48" s="528"/>
      <c r="AH48"/>
    </row>
    <row r="49" spans="1:95" ht="15.75" customHeight="1">
      <c r="A49" s="1740" t="str">
        <f>VLOOKUP(Combat!F238,Combat!$BQ$5:$BS$71,2)</f>
        <v>Infantry Spear</v>
      </c>
      <c r="B49" s="1741"/>
      <c r="C49" s="1741"/>
      <c r="D49" s="1741"/>
      <c r="E49" s="1783"/>
      <c r="F49" s="551">
        <f>VLOOKUP((VLOOKUP(Combat!F238,Combat!$BQ$5:$BS$71,3)),Combat!$A$2:$Y$86,19)</f>
        <v>4</v>
      </c>
      <c r="G49" s="1349">
        <f>VLOOKUP((VLOOKUP(Combat!F238,Combat!$BQ$5:$BS$71,3)),Combat!$A$2:$Y$86,21)</f>
        <v>0.2</v>
      </c>
      <c r="H49" s="2169"/>
      <c r="I49" s="2131"/>
      <c r="J49" s="551" t="str">
        <f>VLOOKUP((VLOOKUP(Combat!F236,Combat!$BQ$5:$BS$71,3)),Combat!$A$2:$Y$86,20)</f>
        <v xml:space="preserve"> </v>
      </c>
      <c r="K49" s="2168">
        <f ca="1">VLOOKUP((VLOOKUP(Combat!F238,Combat!$BQ$5:$BS$71,3)),Combat!$A$2:$Y$86,22)</f>
        <v>0.12</v>
      </c>
      <c r="L49" s="2168"/>
      <c r="M49" s="2168">
        <f ca="1">VLOOKUP((VLOOKUP(Combat!F238,Combat!$BQ$5:$BS$71,3)),Combat!$A$2:$Y$86,23)-K49</f>
        <v>0</v>
      </c>
      <c r="N49" s="2168"/>
      <c r="O49" s="2168">
        <f ca="1">VLOOKUP((VLOOKUP(Combat!F238,Combat!$BQ$5:$BS$71,3)),Combat!$A$2:$Y$86,24)</f>
        <v>0.32</v>
      </c>
      <c r="P49" s="2168"/>
      <c r="Q49" s="1314">
        <f>VLOOKUP((VLOOKUP(Combat!F238,Combat!$BQ$5:$BS$71,3)),Combat!$A$2:$Y$86,12)</f>
        <v>5</v>
      </c>
      <c r="R49" s="1314"/>
      <c r="S49" s="1860">
        <f>VLOOKUP((VLOOKUP(Combat!F238,Combat!$BQ$5:$BS$71,3)),Combat!$A$2:$Y$86,11)</f>
        <v>10</v>
      </c>
      <c r="T49" s="1860"/>
      <c r="U49" s="551">
        <f>VLOOKUP((VLOOKUP(Combat!F238,Combat!$BQ$5:$BS$71,3)),Combat!$A$2:$Y$86,13)</f>
        <v>0</v>
      </c>
      <c r="V49" s="1310">
        <v>0</v>
      </c>
      <c r="W49" s="1311"/>
      <c r="X49" s="562">
        <f>SUM(Q49:V49)</f>
        <v>15</v>
      </c>
      <c r="Y49" s="550">
        <f ca="1">VLOOKUP((VLOOKUP(Combat!F238,Combat!$BQ$5:$BS$71,3)),Combat!$A$2:$Y$86,16)</f>
        <v>0</v>
      </c>
      <c r="Z49" s="1312">
        <f>VLOOKUP((VLOOKUP(Combat!F238,Combat!$BQ$5:$BS$71,3)),Combat!$A$2:$Y$86,17)</f>
        <v>10</v>
      </c>
      <c r="AA49" s="1313"/>
      <c r="AB49" s="1314">
        <f ca="1">VLOOKUP((VLOOKUP(Combat!F238,Combat!$BQ$5:$BS$71,3)),Combat!$A$2:$Y$86,25)</f>
        <v>9</v>
      </c>
      <c r="AC49" s="1315"/>
      <c r="AD49" s="551">
        <f ca="1">VLOOKUP((VLOOKUP(Combat!F238,Combat!$BQ$5:$BS$71,3)),Combat!$A$2:$Z$86,26)</f>
        <v>2</v>
      </c>
      <c r="AG49" s="528"/>
      <c r="AH49" s="82"/>
      <c r="BM49" s="107" t="s">
        <v>1667</v>
      </c>
      <c r="BN49" s="107"/>
      <c r="BO49" s="107"/>
      <c r="BP49" s="107"/>
      <c r="BQ49" s="107"/>
      <c r="BR49" s="107"/>
      <c r="BS49" s="107"/>
      <c r="BT49" s="107"/>
      <c r="BU49" s="107"/>
      <c r="BV49" s="107"/>
      <c r="BW49" s="107"/>
      <c r="BX49" s="107"/>
      <c r="BY49" s="107"/>
      <c r="BZ49" s="107"/>
      <c r="CA49" s="107"/>
      <c r="CB49" s="107"/>
      <c r="CC49" s="107"/>
      <c r="CD49" s="1365" t="s">
        <v>2251</v>
      </c>
      <c r="CE49" s="1366"/>
      <c r="CF49" s="1366"/>
      <c r="CG49" s="1367" t="s">
        <v>2252</v>
      </c>
      <c r="CH49" s="1296"/>
      <c r="CI49" s="1368" t="s">
        <v>2253</v>
      </c>
      <c r="CJ49" s="1298"/>
      <c r="CK49" s="1298"/>
      <c r="CL49" s="1298"/>
      <c r="CM49" s="1296"/>
      <c r="CN49" s="1368" t="s">
        <v>2254</v>
      </c>
      <c r="CO49" s="1298"/>
      <c r="CP49" s="1296"/>
    </row>
    <row r="50" spans="1:95" ht="15.75" customHeight="1">
      <c r="A50" s="1740" t="str">
        <f>VLOOKUP(Combat!F239,Combat!$BQ$5:$BS$71,2)</f>
        <v>Sword: Saex</v>
      </c>
      <c r="B50" s="1741"/>
      <c r="C50" s="1741"/>
      <c r="D50" s="1741"/>
      <c r="E50" s="1783"/>
      <c r="F50" s="551">
        <f>VLOOKUP((VLOOKUP(Combat!F239,Combat!$BQ$5:$BS$71,3)),Combat!$A$2:$Y$86,19)</f>
        <v>4</v>
      </c>
      <c r="G50" s="1349">
        <f>VLOOKUP((VLOOKUP(Combat!F239,Combat!$BQ$5:$BS$71,3)),Combat!$A$2:$Y$86,21)</f>
        <v>0.2</v>
      </c>
      <c r="H50" s="2169"/>
      <c r="I50" s="2131"/>
      <c r="J50" s="551" t="str">
        <f>VLOOKUP((VLOOKUP(Combat!F236,Combat!$BQ$5:$BS$71,3)),Combat!$A$2:$Y$86,20)</f>
        <v xml:space="preserve"> </v>
      </c>
      <c r="K50" s="2168">
        <f ca="1">VLOOKUP((VLOOKUP(Combat!F239,Combat!$BQ$5:$BS$71,3)),Combat!$A$2:$Y$86,22)</f>
        <v>0.12</v>
      </c>
      <c r="L50" s="2168"/>
      <c r="M50" s="2168">
        <f ca="1">VLOOKUP((VLOOKUP(Combat!F239,Combat!$BQ$5:$BS$71,3)),Combat!$A$2:$Y$86,23)-K50</f>
        <v>0</v>
      </c>
      <c r="N50" s="2168"/>
      <c r="O50" s="2168">
        <f ca="1">VLOOKUP((VLOOKUP(Combat!F239,Combat!$BQ$5:$BS$71,3)),Combat!$A$2:$Y$86,24)</f>
        <v>0.32</v>
      </c>
      <c r="P50" s="2168"/>
      <c r="Q50" s="1314">
        <f>VLOOKUP((VLOOKUP(Combat!F239,Combat!$BQ$5:$BS$71,3)),Combat!$A$2:$Y$86,12)</f>
        <v>4</v>
      </c>
      <c r="R50" s="1314"/>
      <c r="S50" s="1860">
        <f>VLOOKUP((VLOOKUP(Combat!F239,Combat!$BQ$5:$BS$71,3)),Combat!$A$2:$Y$86,11)</f>
        <v>10</v>
      </c>
      <c r="T50" s="1860"/>
      <c r="U50" s="551">
        <f>VLOOKUP((VLOOKUP(Combat!F239,Combat!$BQ$5:$BS$71,3)),Combat!$A$2:$Y$86,13)</f>
        <v>0</v>
      </c>
      <c r="V50" s="1310">
        <v>0</v>
      </c>
      <c r="W50" s="1311"/>
      <c r="X50" s="562">
        <f>SUM(Q50:V50)</f>
        <v>14</v>
      </c>
      <c r="Y50" s="550">
        <f ca="1">VLOOKUP((VLOOKUP(Combat!F239,Combat!$BQ$5:$BS$71,3)),Combat!$A$2:$Y$86,16)</f>
        <v>0</v>
      </c>
      <c r="Z50" s="1312">
        <f>VLOOKUP((VLOOKUP(Combat!F239,Combat!$BQ$5:$BS$71,3)),Combat!$A$2:$Y$86,17)</f>
        <v>9</v>
      </c>
      <c r="AA50" s="1313"/>
      <c r="AB50" s="1314">
        <f ca="1">VLOOKUP((VLOOKUP(Combat!F239,Combat!$BQ$5:$BS$71,3)),Combat!$A$2:$Y$86,25)</f>
        <v>9</v>
      </c>
      <c r="AC50" s="1315"/>
      <c r="AD50" s="551">
        <f ca="1">VLOOKUP((VLOOKUP(Combat!F239,Combat!$BQ$5:$BS$71,3)),Combat!$A$2:$Z$86,26)</f>
        <v>2</v>
      </c>
      <c r="AG50" s="528"/>
      <c r="AH50" s="82"/>
      <c r="BM50" s="107" t="s">
        <v>1668</v>
      </c>
      <c r="BN50" s="107"/>
      <c r="BO50" s="107"/>
      <c r="BP50" s="107"/>
      <c r="BQ50" s="107"/>
      <c r="BR50" s="107"/>
      <c r="BS50" s="107"/>
      <c r="BT50" s="107"/>
      <c r="BU50" s="107"/>
      <c r="BV50" s="107"/>
      <c r="BW50" s="107"/>
      <c r="BX50" s="107"/>
      <c r="BY50" s="107"/>
      <c r="BZ50" s="107"/>
      <c r="CA50" s="107"/>
      <c r="CB50" s="107"/>
      <c r="CC50" s="107"/>
      <c r="CD50" s="1316" t="s">
        <v>1743</v>
      </c>
      <c r="CE50" s="1315"/>
      <c r="CF50" s="1315"/>
      <c r="CG50" s="1318" t="s">
        <v>589</v>
      </c>
      <c r="CH50" s="1296"/>
      <c r="CI50" s="2465" t="s">
        <v>2258</v>
      </c>
      <c r="CJ50" s="1298"/>
      <c r="CK50" s="1298"/>
      <c r="CL50" s="1298"/>
      <c r="CM50" s="1296"/>
      <c r="CN50" s="1323" t="str">
        <f>Skills!A165</f>
        <v>BRAWLING</v>
      </c>
      <c r="CO50" s="1298"/>
      <c r="CP50" s="1296"/>
    </row>
    <row r="51" spans="1:95" ht="15.75" customHeight="1">
      <c r="A51" s="1740" t="str">
        <f>VLOOKUP(Combat!F240,Combat!$BQ$5:$BS$71,2)</f>
        <v>Punch</v>
      </c>
      <c r="B51" s="1741"/>
      <c r="C51" s="1741"/>
      <c r="D51" s="1741"/>
      <c r="E51" s="1783"/>
      <c r="F51" s="1057">
        <f>VLOOKUP((VLOOKUP(Combat!F240,Combat!$BQ$5:$BS$71,3)),Combat!$A$2:$Y$86,19)</f>
        <v>3</v>
      </c>
      <c r="G51" s="1349">
        <f>VLOOKUP((VLOOKUP(Combat!F240,Combat!$BQ$5:$BS$71,3)),Combat!$A$2:$Y$86,21)</f>
        <v>0.3</v>
      </c>
      <c r="H51" s="2169"/>
      <c r="I51" s="2131"/>
      <c r="J51" s="1057" t="str">
        <f>VLOOKUP((VLOOKUP(Combat!F237,Combat!$BQ$5:$BS$71,3)),Combat!$A$2:$Y$86,20)</f>
        <v xml:space="preserve"> </v>
      </c>
      <c r="K51" s="2168">
        <f ca="1">VLOOKUP((VLOOKUP(Combat!F240,Combat!$BQ$5:$BS$71,3)),Combat!$A$2:$Y$86,22)</f>
        <v>0.12</v>
      </c>
      <c r="L51" s="2168"/>
      <c r="M51" s="2168">
        <f ca="1">VLOOKUP((VLOOKUP(Combat!F240,Combat!$BQ$5:$BS$71,3)),Combat!$A$2:$Y$86,23)-K51</f>
        <v>0</v>
      </c>
      <c r="N51" s="2168"/>
      <c r="O51" s="2168">
        <f ca="1">VLOOKUP((VLOOKUP(Combat!F240,Combat!$BQ$5:$BS$71,3)),Combat!$A$2:$Y$86,24)</f>
        <v>0.52</v>
      </c>
      <c r="P51" s="2168"/>
      <c r="Q51" s="1314">
        <f>VLOOKUP((VLOOKUP(Combat!F240,Combat!$BQ$5:$BS$71,3)),Combat!$A$2:$Y$86,12)</f>
        <v>5</v>
      </c>
      <c r="R51" s="1314"/>
      <c r="S51" s="1860">
        <f>VLOOKUP((VLOOKUP(Combat!F240,Combat!$BQ$5:$BS$71,3)),Combat!$A$2:$Y$86,11)</f>
        <v>10</v>
      </c>
      <c r="T51" s="1860"/>
      <c r="U51" s="1057">
        <f>VLOOKUP((VLOOKUP(Combat!F240,Combat!$BQ$5:$BS$71,3)),Combat!$A$2:$Y$86,13)</f>
        <v>0</v>
      </c>
      <c r="V51" s="1310">
        <v>0</v>
      </c>
      <c r="W51" s="1311"/>
      <c r="X51" s="1056">
        <f>SUM(Q51:V51)</f>
        <v>15</v>
      </c>
      <c r="Y51" s="1058">
        <f ca="1">VLOOKUP((VLOOKUP(Combat!F240,Combat!$BQ$5:$BS$71,3)),Combat!$A$2:$Y$86,16)</f>
        <v>0</v>
      </c>
      <c r="Z51" s="1312">
        <f>VLOOKUP((VLOOKUP(Combat!F240,Combat!$BQ$5:$BS$71,3)),Combat!$A$2:$Y$86,17)</f>
        <v>0</v>
      </c>
      <c r="AA51" s="1313"/>
      <c r="AB51" s="1314">
        <f ca="1">VLOOKUP((VLOOKUP(Combat!F240,Combat!$BQ$5:$BS$71,3)),Combat!$A$2:$Y$86,25)</f>
        <v>9</v>
      </c>
      <c r="AC51" s="1315"/>
      <c r="AD51" s="1057">
        <f ca="1">VLOOKUP((VLOOKUP(Combat!F240,Combat!$BQ$5:$BS$71,3)),Combat!$A$2:$Z$86,26)</f>
        <v>2</v>
      </c>
      <c r="AE51" s="62"/>
      <c r="AF51" s="62"/>
      <c r="AG51" s="60"/>
      <c r="AH51"/>
      <c r="BM51" s="107" t="s">
        <v>2527</v>
      </c>
      <c r="BN51" s="107"/>
      <c r="BO51" s="107"/>
      <c r="BP51" s="107"/>
      <c r="BQ51" s="107"/>
      <c r="BR51" s="107"/>
      <c r="BS51" s="107"/>
      <c r="BT51" s="107"/>
      <c r="BU51" s="107"/>
      <c r="BV51" s="107"/>
      <c r="BW51" s="107"/>
      <c r="BX51" s="107"/>
      <c r="BY51" s="107"/>
      <c r="BZ51" s="107"/>
      <c r="CA51" s="107"/>
      <c r="CB51" s="107"/>
      <c r="CC51" s="107"/>
      <c r="CD51" s="1316" t="s">
        <v>941</v>
      </c>
      <c r="CE51" s="1315"/>
      <c r="CF51" s="1315"/>
      <c r="CG51" s="1318" t="s">
        <v>2255</v>
      </c>
      <c r="CH51" s="1296"/>
      <c r="CI51" s="1323" t="s">
        <v>2256</v>
      </c>
      <c r="CJ51" s="1298"/>
      <c r="CK51" s="1298"/>
      <c r="CL51" s="1298"/>
      <c r="CM51" s="1296"/>
      <c r="CN51" s="1323" t="s">
        <v>2256</v>
      </c>
      <c r="CO51" s="1298"/>
      <c r="CP51" s="1296"/>
    </row>
    <row r="52" spans="1:95" ht="12.75" customHeight="1">
      <c r="A52" s="1365" t="s">
        <v>3608</v>
      </c>
      <c r="B52" s="1365"/>
      <c r="C52" s="1365"/>
      <c r="D52" s="1365"/>
      <c r="E52" s="2218" t="str">
        <f>VLOOKUP(Combat!F241,Combat!$BQ$5:$BU$71,4)</f>
        <v>Longbow</v>
      </c>
      <c r="F52" s="1298"/>
      <c r="G52" s="1298"/>
      <c r="H52" s="1298"/>
      <c r="I52" s="1296"/>
      <c r="J52" s="2227" t="s">
        <v>972</v>
      </c>
      <c r="K52" s="2228"/>
      <c r="L52" s="2228"/>
      <c r="M52" s="2229"/>
      <c r="N52" s="2239" t="str">
        <f>IF(AE52=4,Combat!N121," ")</f>
        <v xml:space="preserve"> </v>
      </c>
      <c r="O52" s="1298"/>
      <c r="P52" s="1296"/>
      <c r="Q52" s="2356" t="s">
        <v>3762</v>
      </c>
      <c r="R52" s="2357"/>
      <c r="S52" s="2357"/>
      <c r="T52" s="2358"/>
      <c r="U52" s="564">
        <f ca="1">VLOOKUP((VLOOKUP(AE52,Combat!$BQ$5:$BU$71,5)-IF(AE52&lt;5,3,0)),Combat!$A$2:$Y$150,25)</f>
        <v>7</v>
      </c>
      <c r="V52" s="2356" t="s">
        <v>3763</v>
      </c>
      <c r="W52" s="2357"/>
      <c r="X52" s="2357"/>
      <c r="Y52" s="2358"/>
      <c r="Z52" s="2503">
        <f ca="1">IF(U52&gt;7,U52-3,IF(U52&gt;5,IF((U52-2)&lt;0,0,U52-2),IF((U52-1)&lt;0,0,U52-1)))</f>
        <v>5</v>
      </c>
      <c r="AA52" s="1392"/>
      <c r="AB52" s="2095" t="s">
        <v>971</v>
      </c>
      <c r="AC52" s="1325"/>
      <c r="AD52" s="1325"/>
      <c r="AE52" s="569">
        <f>Combat!F241</f>
        <v>3</v>
      </c>
      <c r="AF52" s="569"/>
      <c r="AG52" s="60"/>
      <c r="AH52"/>
      <c r="BM52" s="107" t="s">
        <v>2528</v>
      </c>
      <c r="BN52" s="107"/>
      <c r="BO52" s="107"/>
      <c r="BP52" s="107"/>
      <c r="BQ52" s="107"/>
      <c r="BR52" s="107"/>
      <c r="BS52" s="107"/>
      <c r="BT52" s="107"/>
      <c r="BU52" s="107"/>
      <c r="BV52" s="107"/>
      <c r="BW52" s="107"/>
      <c r="BX52" s="107"/>
      <c r="BY52" s="107"/>
      <c r="BZ52" s="107"/>
      <c r="CA52" s="107"/>
      <c r="CB52" s="107"/>
      <c r="CC52" s="107"/>
      <c r="CD52" s="1316" t="s">
        <v>3005</v>
      </c>
      <c r="CE52" s="1315"/>
      <c r="CF52" s="1315"/>
      <c r="CG52" s="1318" t="s">
        <v>4633</v>
      </c>
      <c r="CH52" s="1296"/>
      <c r="CI52" s="2465" t="s">
        <v>6137</v>
      </c>
      <c r="CJ52" s="1298"/>
      <c r="CK52" s="1298"/>
      <c r="CL52" s="1298"/>
      <c r="CM52" s="1296"/>
      <c r="CN52" s="1323">
        <f>Skills!V165</f>
        <v>3</v>
      </c>
      <c r="CO52" s="1298"/>
      <c r="CP52" s="1296"/>
    </row>
    <row r="53" spans="1:95" ht="12.75" customHeight="1">
      <c r="A53" s="2498">
        <f ca="1">IF(+Skills!AD152&gt;+Skills!AD151, +Skills!AD152, IF(+Skills!AD153&gt;+Skills!AD151, +Skills!AD153, IF(+Skills!AD154&gt;+Skills!AD151,+Skills!AD154,IF(+Skills!AD155&gt;+Skills!AD151,+Skills!AD155,IF(+Skills!AD156&gt;+Skills!AD151,+Skills!AD156,+Skills!AD151)))))</f>
        <v>0.16</v>
      </c>
      <c r="B53" s="2499"/>
      <c r="C53" s="2234" t="s">
        <v>963</v>
      </c>
      <c r="D53" s="1382"/>
      <c r="E53" s="1382"/>
      <c r="F53" s="1382"/>
      <c r="G53" s="1382"/>
      <c r="H53" s="1382"/>
      <c r="I53" s="1311"/>
      <c r="J53" s="2170" t="s">
        <v>964</v>
      </c>
      <c r="K53" s="1892"/>
      <c r="L53" s="1892"/>
      <c r="M53" s="1892"/>
      <c r="N53" s="1892"/>
      <c r="O53" s="1892"/>
      <c r="P53" s="1892"/>
      <c r="Q53" s="1892"/>
      <c r="R53" s="1892"/>
      <c r="S53" s="2170" t="s">
        <v>965</v>
      </c>
      <c r="T53" s="1892"/>
      <c r="U53" s="1892"/>
      <c r="V53" s="1892"/>
      <c r="W53" s="1892"/>
      <c r="X53" s="1892"/>
      <c r="Y53" s="1892"/>
      <c r="Z53" s="1892"/>
      <c r="AA53" s="1892"/>
      <c r="AB53" s="2496" t="s">
        <v>3143</v>
      </c>
      <c r="AC53" s="2497"/>
      <c r="AD53" s="2497"/>
      <c r="AE53" s="570"/>
      <c r="AF53" s="570"/>
      <c r="AG53" s="60"/>
      <c r="AH53"/>
      <c r="BM53" s="107" t="s">
        <v>2529</v>
      </c>
      <c r="BN53" s="107"/>
      <c r="BO53" s="107"/>
      <c r="BP53" s="107"/>
      <c r="BQ53" s="107"/>
      <c r="BR53" s="107"/>
      <c r="BS53" s="107"/>
      <c r="BT53" s="107"/>
      <c r="BU53" s="107"/>
      <c r="BV53" s="107"/>
      <c r="BW53" s="107"/>
      <c r="BX53" s="107"/>
      <c r="BY53" s="107"/>
      <c r="BZ53" s="107"/>
      <c r="CA53" s="107"/>
      <c r="CB53" s="107"/>
      <c r="CC53" s="107"/>
      <c r="CD53" s="1316" t="s">
        <v>3046</v>
      </c>
      <c r="CE53" s="1315"/>
      <c r="CF53" s="1315"/>
      <c r="CG53" s="1318" t="s">
        <v>4634</v>
      </c>
      <c r="CH53" s="1296"/>
      <c r="CI53" s="2465" t="s">
        <v>2259</v>
      </c>
      <c r="CJ53" s="1298"/>
      <c r="CK53" s="1298"/>
      <c r="CL53" s="1298"/>
      <c r="CM53" s="1296"/>
      <c r="CN53" s="1323">
        <f>Skills!W165</f>
        <v>0</v>
      </c>
      <c r="CO53" s="1298"/>
      <c r="CP53" s="1296"/>
    </row>
    <row r="54" spans="1:95" ht="12.75" customHeight="1">
      <c r="A54" s="2082" t="s">
        <v>2014</v>
      </c>
      <c r="B54" s="2359"/>
      <c r="C54" s="2082" t="s">
        <v>3764</v>
      </c>
      <c r="D54" s="2082"/>
      <c r="E54" s="2082"/>
      <c r="F54" s="2230" t="s">
        <v>3765</v>
      </c>
      <c r="G54" s="2231"/>
      <c r="H54" s="2171" t="s">
        <v>1742</v>
      </c>
      <c r="I54" s="2175"/>
      <c r="J54" s="2082" t="s">
        <v>2014</v>
      </c>
      <c r="K54" s="2359"/>
      <c r="L54" s="2082" t="s">
        <v>3764</v>
      </c>
      <c r="M54" s="2219"/>
      <c r="N54" s="2219"/>
      <c r="O54" s="1716" t="s">
        <v>3765</v>
      </c>
      <c r="P54" s="1717"/>
      <c r="Q54" s="2171" t="s">
        <v>1742</v>
      </c>
      <c r="R54" s="2172"/>
      <c r="S54" s="2082" t="s">
        <v>2014</v>
      </c>
      <c r="T54" s="2359"/>
      <c r="U54" s="2082" t="s">
        <v>3764</v>
      </c>
      <c r="V54" s="2082"/>
      <c r="W54" s="2082"/>
      <c r="X54" s="1716" t="s">
        <v>3765</v>
      </c>
      <c r="Y54" s="1717"/>
      <c r="Z54" s="2171" t="s">
        <v>1742</v>
      </c>
      <c r="AA54" s="2172"/>
      <c r="AB54" s="2494"/>
      <c r="AC54" s="2494"/>
      <c r="AD54" s="2494"/>
      <c r="AE54" s="78"/>
      <c r="AF54" s="78"/>
      <c r="AG54"/>
      <c r="AH54"/>
      <c r="BM54" s="518" t="s">
        <v>2392</v>
      </c>
      <c r="BN54" s="518"/>
      <c r="BO54" s="518"/>
      <c r="BP54" s="518"/>
      <c r="BQ54" s="518"/>
      <c r="BR54" s="518"/>
      <c r="BS54" s="518"/>
      <c r="BT54" s="518"/>
      <c r="BU54" s="518"/>
      <c r="BV54" s="518"/>
      <c r="BW54" s="518"/>
      <c r="BX54" s="518"/>
      <c r="BY54" s="518"/>
      <c r="BZ54" s="518"/>
      <c r="CA54" s="518"/>
      <c r="CB54" s="518"/>
      <c r="CC54" s="518"/>
      <c r="CD54" s="1760"/>
      <c r="CE54" s="1315"/>
      <c r="CF54" s="1315"/>
      <c r="CG54" s="1318" t="s">
        <v>5222</v>
      </c>
      <c r="CH54" s="1296"/>
      <c r="CI54" s="2465" t="s">
        <v>6032</v>
      </c>
      <c r="CJ54" s="1298"/>
      <c r="CK54" s="1298"/>
      <c r="CL54" s="1298"/>
      <c r="CM54" s="1296"/>
      <c r="CN54" s="1323">
        <f>Skills!X165</f>
        <v>0</v>
      </c>
      <c r="CO54" s="1298"/>
      <c r="CP54" s="1296"/>
    </row>
    <row r="55" spans="1:95" ht="12.75" customHeight="1">
      <c r="A55" s="1877" t="s">
        <v>4741</v>
      </c>
      <c r="B55" s="2223"/>
      <c r="C55" s="1877" t="s">
        <v>4065</v>
      </c>
      <c r="D55" s="1877"/>
      <c r="E55" s="1877"/>
      <c r="F55" s="2232"/>
      <c r="G55" s="2233"/>
      <c r="H55" s="2173"/>
      <c r="I55" s="2174"/>
      <c r="J55" s="1877" t="s">
        <v>4741</v>
      </c>
      <c r="K55" s="2223"/>
      <c r="L55" s="1877" t="s">
        <v>4065</v>
      </c>
      <c r="M55" s="1877"/>
      <c r="N55" s="1877"/>
      <c r="O55" s="1718"/>
      <c r="P55" s="1719"/>
      <c r="Q55" s="2173"/>
      <c r="R55" s="2174"/>
      <c r="S55" s="1877" t="s">
        <v>4741</v>
      </c>
      <c r="T55" s="2223"/>
      <c r="U55" s="1877" t="s">
        <v>4065</v>
      </c>
      <c r="V55" s="1877"/>
      <c r="W55" s="1877"/>
      <c r="X55" s="1718"/>
      <c r="Y55" s="1719"/>
      <c r="Z55" s="2173"/>
      <c r="AA55" s="2174"/>
      <c r="AB55" s="2494"/>
      <c r="AC55" s="2494"/>
      <c r="AD55" s="2494"/>
      <c r="AE55" s="78"/>
      <c r="AF55" s="78"/>
      <c r="BM55" s="518" t="s">
        <v>4395</v>
      </c>
      <c r="BN55" s="518"/>
      <c r="BO55" s="518"/>
      <c r="BP55" s="518"/>
      <c r="BQ55" s="518"/>
      <c r="BR55" s="518"/>
      <c r="BS55" s="518"/>
      <c r="BT55" s="518"/>
      <c r="BU55" s="518"/>
      <c r="BV55" s="518"/>
      <c r="BW55" s="518"/>
      <c r="BX55" s="518"/>
      <c r="BY55" s="518"/>
      <c r="BZ55" s="518"/>
      <c r="CA55" s="518"/>
      <c r="CB55" s="518"/>
      <c r="CC55" s="518"/>
      <c r="CD55" s="1760"/>
      <c r="CE55" s="1315"/>
      <c r="CF55" s="1315"/>
      <c r="CG55" s="1318" t="s">
        <v>6031</v>
      </c>
      <c r="CH55" s="1296"/>
      <c r="CI55" s="2465" t="s">
        <v>6033</v>
      </c>
      <c r="CJ55" s="1298"/>
      <c r="CK55" s="1298"/>
      <c r="CL55" s="1298"/>
      <c r="CM55" s="1296"/>
      <c r="CN55" s="1323">
        <f>Skills!W165+Skills!X165</f>
        <v>0</v>
      </c>
      <c r="CO55" s="1298"/>
      <c r="CP55" s="1296"/>
    </row>
    <row r="56" spans="1:95" ht="12.75" customHeight="1">
      <c r="A56" s="1723">
        <v>0</v>
      </c>
      <c r="B56" s="1454"/>
      <c r="C56" s="1361">
        <f>VLOOKUP((VLOOKUP($AE$52,Combat!$BQ$5:$BU$71,5)-IF($AE$52&lt;5,3,0)),Combat!$A$2:$AU$150,30)</f>
        <v>20</v>
      </c>
      <c r="D56" s="1361"/>
      <c r="E56" s="1361"/>
      <c r="F56" s="1720">
        <f>VLOOKUP((VLOOKUP($AE$52,Combat!$BQ$5:$BU$71,5)-IF($AE$52&lt;5,3,0)),Combat!$A$2:$AU$150,29)</f>
        <v>19</v>
      </c>
      <c r="G56" s="1720"/>
      <c r="H56" s="1720">
        <f ca="1">VLOOKUP((VLOOKUP($AE$52,Combat!$BQ$5:$BU$71,5)-IF($AE$52&lt;5,3,0)),Combat!$A$2:$AU$150,31)</f>
        <v>2</v>
      </c>
      <c r="I56" s="1720"/>
      <c r="J56" s="1723">
        <v>0</v>
      </c>
      <c r="K56" s="1454"/>
      <c r="L56" s="1361">
        <f>VLOOKUP((VLOOKUP($AE$52,Combat!$BQ$5:$BU$71,5)-IF($AE$52&lt;5,2,0)),Combat!$A$2:$AU$150,30)</f>
        <v>20</v>
      </c>
      <c r="M56" s="1361"/>
      <c r="N56" s="1361"/>
      <c r="O56" s="1720">
        <f>VLOOKUP((VLOOKUP($AE$52,Combat!$BQ$5:$BU$71,5)-IF($AE$52&lt;5,2,0)),Combat!$A$2:$AU$150,29)</f>
        <v>25</v>
      </c>
      <c r="P56" s="1720"/>
      <c r="Q56" s="1720">
        <f ca="1">VLOOKUP((VLOOKUP($AE$52,Combat!$BQ$5:$BU$71,5)-IF($AE$52&lt;5,2,0)),Combat!$A$2:$AU$150,31)</f>
        <v>2</v>
      </c>
      <c r="R56" s="2106"/>
      <c r="S56" s="1723">
        <v>0</v>
      </c>
      <c r="T56" s="1454"/>
      <c r="U56" s="1361">
        <f>VLOOKUP((VLOOKUP($AE$52,Combat!$BQ$5:$BU$71,5)-IF($AE$52&lt;5,1,0)),Combat!$A$2:$AU$150,30)</f>
        <v>20</v>
      </c>
      <c r="V56" s="1361"/>
      <c r="W56" s="1361"/>
      <c r="X56" s="1720">
        <f>VLOOKUP((VLOOKUP($AE$52,Combat!$BQ$5:$BU$71,5)-IF($AE$52&lt;5,1,0)),Combat!$A$2:$AU$150,29)</f>
        <v>27</v>
      </c>
      <c r="Y56" s="1720"/>
      <c r="Z56" s="1720">
        <f ca="1">VLOOKUP((VLOOKUP($AE$52,Combat!$BQ$5:$BU$71,5)-IF($AE$52&lt;5,1,0)),Combat!$A$2:$AU$150,31)</f>
        <v>2</v>
      </c>
      <c r="AA56" s="1720"/>
      <c r="AB56" s="1343" t="s">
        <v>966</v>
      </c>
      <c r="AC56" s="1325"/>
      <c r="AD56" s="1325"/>
      <c r="BM56" s="518" t="s">
        <v>2257</v>
      </c>
      <c r="BN56" s="518"/>
      <c r="BO56" s="518"/>
      <c r="BP56" s="518"/>
      <c r="BQ56" s="518"/>
      <c r="BR56" s="518"/>
      <c r="BS56" s="518"/>
      <c r="BT56" s="518"/>
      <c r="BU56" s="518"/>
      <c r="BV56" s="518"/>
      <c r="BW56" s="518"/>
      <c r="BX56" s="518"/>
      <c r="BY56" s="518"/>
      <c r="BZ56" s="518"/>
      <c r="CA56" s="518"/>
      <c r="CB56" s="518"/>
      <c r="CC56" s="518"/>
      <c r="CD56" s="1316" t="s">
        <v>3883</v>
      </c>
      <c r="CE56" s="1315"/>
      <c r="CF56" s="1315"/>
      <c r="CG56" s="1318" t="s">
        <v>4635</v>
      </c>
      <c r="CH56" s="1296"/>
      <c r="CI56" s="2465" t="s">
        <v>6034</v>
      </c>
      <c r="CJ56" s="1298"/>
      <c r="CK56" s="1298"/>
      <c r="CL56" s="1298"/>
      <c r="CM56" s="1296"/>
      <c r="CN56" s="1319">
        <f ca="1">Skills!Y165</f>
        <v>0.12</v>
      </c>
      <c r="CO56" s="1298"/>
      <c r="CP56" s="1296"/>
    </row>
    <row r="57" spans="1:95" ht="12.75" customHeight="1">
      <c r="A57" s="1723">
        <v>-0.05</v>
      </c>
      <c r="B57" s="1454"/>
      <c r="C57" s="1361">
        <f>VLOOKUP((VLOOKUP($AE$52,Combat!$BQ$5:$BU$71,5)-IF($AE$52&lt;5,3,0)),Combat!$A$2:$AU$150,34)</f>
        <v>40</v>
      </c>
      <c r="D57" s="1361"/>
      <c r="E57" s="1361"/>
      <c r="F57" s="1720">
        <f>VLOOKUP((VLOOKUP($AE$52,Combat!$BQ$5:$BU$71,5)-IF($AE$52&lt;5,3,0)),Combat!$A$2:$AU$150,33)</f>
        <v>14</v>
      </c>
      <c r="G57" s="1720"/>
      <c r="H57" s="1720">
        <f ca="1">VLOOKUP((VLOOKUP($AE$52,Combat!$BQ$5:$BU$71,5)-IF($AE$52&lt;5,3,0)),Combat!$A$2:$AU$150,35)</f>
        <v>1</v>
      </c>
      <c r="I57" s="1720"/>
      <c r="J57" s="1723">
        <v>-0.05</v>
      </c>
      <c r="K57" s="1454"/>
      <c r="L57" s="1361">
        <f>VLOOKUP((VLOOKUP($AE$52,Combat!$BQ$5:$BU$71,5)-IF($AE$52&lt;5,2,0)),Combat!$A$2:$AU$150,34)</f>
        <v>40</v>
      </c>
      <c r="M57" s="1361"/>
      <c r="N57" s="1361"/>
      <c r="O57" s="1720">
        <f>VLOOKUP((VLOOKUP($AE$52,Combat!$BQ$5:$BU$71,5)-IF($AE$52&lt;5,2,0)),Combat!$A$2:$AU$150,33)</f>
        <v>21</v>
      </c>
      <c r="P57" s="1720"/>
      <c r="Q57" s="1720">
        <f ca="1">VLOOKUP((VLOOKUP($AE$52,Combat!$BQ$5:$BU$71,5)-IF($AE$52&lt;5,2,0)),Combat!$A$2:$AU$150,35)</f>
        <v>1</v>
      </c>
      <c r="R57" s="2106"/>
      <c r="S57" s="1723">
        <v>-0.05</v>
      </c>
      <c r="T57" s="1454"/>
      <c r="U57" s="1361">
        <f>VLOOKUP((VLOOKUP($AE$52,Combat!$BQ$5:$BU$71,5)-IF($AE$52&lt;5,1,0)),Combat!$A$2:$AU$150,34)</f>
        <v>40</v>
      </c>
      <c r="V57" s="1361"/>
      <c r="W57" s="1361"/>
      <c r="X57" s="1720">
        <f>VLOOKUP((VLOOKUP($AE$52,Combat!$BQ$5:$BU$71,5)-IF($AE$52&lt;5,1,0)),Combat!$A$2:$AU$150,33)</f>
        <v>20</v>
      </c>
      <c r="Y57" s="1720"/>
      <c r="Z57" s="1720">
        <f ca="1">VLOOKUP((VLOOKUP($AE$52,Combat!$BQ$5:$BU$71,5)-IF($AE$52&lt;5,1,0)),Combat!$A$2:$AU$150,35)</f>
        <v>2</v>
      </c>
      <c r="AA57" s="1720"/>
      <c r="AB57" s="1343" t="s">
        <v>967</v>
      </c>
      <c r="AC57" s="1325"/>
      <c r="AD57" s="1325"/>
      <c r="AE57" s="78"/>
      <c r="AF57" s="78"/>
      <c r="BM57" s="518" t="s">
        <v>2393</v>
      </c>
      <c r="BN57" s="518"/>
      <c r="BO57" s="518"/>
      <c r="BP57" s="518"/>
      <c r="BQ57" s="518"/>
      <c r="BR57" s="518"/>
      <c r="BS57" s="518"/>
      <c r="BT57" s="518"/>
      <c r="BU57" s="518"/>
      <c r="BV57" s="518"/>
      <c r="BW57" s="518"/>
      <c r="BX57" s="518"/>
      <c r="BY57" s="518"/>
      <c r="BZ57" s="518"/>
      <c r="CA57" s="518"/>
      <c r="CB57" s="518"/>
      <c r="CC57" s="518"/>
      <c r="CD57" s="1316" t="s">
        <v>209</v>
      </c>
      <c r="CE57" s="1315"/>
      <c r="CF57" s="1315"/>
      <c r="CG57" s="1318" t="s">
        <v>4394</v>
      </c>
      <c r="CH57" s="1296"/>
      <c r="CI57" s="2465" t="s">
        <v>2260</v>
      </c>
      <c r="CJ57" s="1298"/>
      <c r="CK57" s="1298"/>
      <c r="CL57" s="1298"/>
      <c r="CM57" s="1296"/>
      <c r="CN57" s="1319">
        <f ca="1">Skills!AA165</f>
        <v>0.12</v>
      </c>
      <c r="CO57" s="1298"/>
      <c r="CP57" s="1296"/>
    </row>
    <row r="58" spans="1:95" ht="12.75" customHeight="1">
      <c r="A58" s="1723">
        <v>-0.1</v>
      </c>
      <c r="B58" s="1454"/>
      <c r="C58" s="1361">
        <f>VLOOKUP((VLOOKUP($AE$52,Combat!$BQ$5:$BU$71,5)-IF($AE$52&lt;5,3,0)),Combat!$A$2:$AU$150,38)</f>
        <v>150</v>
      </c>
      <c r="D58" s="1361"/>
      <c r="E58" s="1361"/>
      <c r="F58" s="1720">
        <f>VLOOKUP((VLOOKUP($AE$52,Combat!$BQ$5:$BU$71,5)-IF($AE$52&lt;5,3,0)),Combat!$A$2:$AU$150,37)</f>
        <v>9</v>
      </c>
      <c r="G58" s="1720"/>
      <c r="H58" s="1720">
        <f ca="1">VLOOKUP((VLOOKUP($AE$52,Combat!$BQ$5:$BU$71,5)-IF($AE$52&lt;5,3,0)),Combat!$A$2:$AU$150,39)</f>
        <v>0</v>
      </c>
      <c r="I58" s="1720"/>
      <c r="J58" s="1723">
        <v>-0.1</v>
      </c>
      <c r="K58" s="1454"/>
      <c r="L58" s="1361">
        <f>VLOOKUP((VLOOKUP($AE$52,Combat!$BQ$5:$BU$71,5)-IF($AE$52&lt;5,2,0)),Combat!$A$2:$AU$150,38)</f>
        <v>125</v>
      </c>
      <c r="M58" s="1361"/>
      <c r="N58" s="1361"/>
      <c r="O58" s="1720">
        <f>VLOOKUP((VLOOKUP($AE$52,Combat!$BQ$5:$BU$71,5)-IF($AE$52&lt;5,2,0)),Combat!$A$2:$AU$150,37)</f>
        <v>17</v>
      </c>
      <c r="P58" s="1720"/>
      <c r="Q58" s="1720">
        <f ca="1">VLOOKUP((VLOOKUP($AE$52,Combat!$BQ$5:$BU$71,5)-IF($AE$52&lt;5,2,0)),Combat!$A$2:$AU$150,39)</f>
        <v>0</v>
      </c>
      <c r="R58" s="2106"/>
      <c r="S58" s="1723">
        <v>-0.1</v>
      </c>
      <c r="T58" s="1454"/>
      <c r="U58" s="1361">
        <f>VLOOKUP((VLOOKUP($AE$52,Combat!$BQ$5:$BU$71,5)-IF($AE$52&lt;5,1,0)),Combat!$A$2:$AU$150,38)</f>
        <v>80</v>
      </c>
      <c r="V58" s="1361"/>
      <c r="W58" s="1361"/>
      <c r="X58" s="1720">
        <f>VLOOKUP((VLOOKUP($AE$52,Combat!$BQ$5:$BU$71,5)-IF($AE$52&lt;5,1,0)),Combat!$A$2:$AU$150,37)</f>
        <v>19</v>
      </c>
      <c r="Y58" s="1720"/>
      <c r="Z58" s="1720">
        <f ca="1">VLOOKUP((VLOOKUP($AE$52,Combat!$BQ$5:$BU$71,5)-IF($AE$52&lt;5,1,0)),Combat!$A$2:$AU$150,39)</f>
        <v>1</v>
      </c>
      <c r="AA58" s="1720"/>
      <c r="AB58" s="1343" t="s">
        <v>968</v>
      </c>
      <c r="AC58" s="1325"/>
      <c r="AD58" s="1325"/>
      <c r="AE58" s="78"/>
      <c r="AF58" s="78"/>
      <c r="BM58" s="518" t="s">
        <v>2394</v>
      </c>
      <c r="BN58" s="518"/>
      <c r="BO58" s="518"/>
      <c r="BP58" s="518"/>
      <c r="BQ58" s="518"/>
      <c r="BR58" s="518"/>
      <c r="BS58" s="518"/>
      <c r="BT58" s="518"/>
      <c r="BU58" s="518"/>
      <c r="BV58" s="518"/>
      <c r="BW58" s="518"/>
      <c r="BX58" s="518"/>
      <c r="BY58" s="518"/>
      <c r="BZ58" s="518"/>
      <c r="CA58" s="518"/>
      <c r="CB58" s="518"/>
      <c r="CC58" s="518"/>
      <c r="CD58" s="1316" t="s">
        <v>2014</v>
      </c>
      <c r="CE58" s="1315"/>
      <c r="CF58" s="1315"/>
      <c r="CG58" s="1318" t="s">
        <v>6035</v>
      </c>
      <c r="CH58" s="1296"/>
      <c r="CI58" s="2465" t="s">
        <v>6037</v>
      </c>
      <c r="CJ58" s="1298"/>
      <c r="CK58" s="1298"/>
      <c r="CL58" s="1298"/>
      <c r="CM58" s="1296"/>
      <c r="CN58" s="1319">
        <f ca="1">Skills!AD165</f>
        <v>0.52</v>
      </c>
      <c r="CO58" s="1298"/>
      <c r="CP58" s="1296"/>
    </row>
    <row r="59" spans="1:95" ht="12.75" customHeight="1">
      <c r="A59" s="1723">
        <v>-0.2</v>
      </c>
      <c r="B59" s="1454"/>
      <c r="C59" s="1361">
        <f>VLOOKUP((VLOOKUP($AE$52,Combat!$BQ$5:$BU$71,5)-IF($AE$52&lt;5,3,0)),Combat!$A$2:$AU$150,42)</f>
        <v>750</v>
      </c>
      <c r="D59" s="1361"/>
      <c r="E59" s="1361"/>
      <c r="F59" s="1720">
        <f>VLOOKUP((VLOOKUP($AE$52,Combat!$BQ$5:$BU$71,5)-IF($AE$52&lt;5,3,0)),Combat!$A$2:$AU$150,41)</f>
        <v>3</v>
      </c>
      <c r="G59" s="1720"/>
      <c r="H59" s="1720">
        <f ca="1">VLOOKUP((VLOOKUP($AE$52,Combat!$BQ$5:$BU$71,5)-IF($AE$52&lt;5,3,0)),Combat!$A$2:$AU$150,43)</f>
        <v>0</v>
      </c>
      <c r="I59" s="1720"/>
      <c r="J59" s="1723">
        <v>-0.2</v>
      </c>
      <c r="K59" s="1454"/>
      <c r="L59" s="1361">
        <f>VLOOKUP((VLOOKUP($AE$52,Combat!$BQ$5:$BU$71,5)-IF($AE$52&lt;5,2,0)),Combat!$A$2:$AU$150,42)</f>
        <v>650</v>
      </c>
      <c r="M59" s="1361"/>
      <c r="N59" s="1361"/>
      <c r="O59" s="1720">
        <f>VLOOKUP((VLOOKUP($AE$52,Combat!$BQ$5:$BU$71,5)-IF($AE$52&lt;5,2,0)),Combat!$A$2:$AU$150,41)</f>
        <v>10</v>
      </c>
      <c r="P59" s="1720"/>
      <c r="Q59" s="1720">
        <f ca="1">VLOOKUP((VLOOKUP($AE$52,Combat!$BQ$5:$BU$71,5)-IF($AE$52&lt;5,2,0)),Combat!$A$2:$AU$150,43)</f>
        <v>0</v>
      </c>
      <c r="R59" s="2106"/>
      <c r="S59" s="1723">
        <v>-0.2</v>
      </c>
      <c r="T59" s="1454"/>
      <c r="U59" s="1361">
        <f>VLOOKUP((VLOOKUP($AE$52,Combat!$BQ$5:$BU$71,5)-IF($AE$52&lt;5,1,0)),Combat!$A$2:$AU$150,42)</f>
        <v>575</v>
      </c>
      <c r="V59" s="1361"/>
      <c r="W59" s="1361"/>
      <c r="X59" s="1720">
        <f>VLOOKUP((VLOOKUP($AE$52,Combat!$BQ$5:$BU$71,5)-IF($AE$52&lt;5,1,0)),Combat!$A$2:$AU$150,41)</f>
        <v>11</v>
      </c>
      <c r="Y59" s="1720"/>
      <c r="Z59" s="1720">
        <f ca="1">VLOOKUP((VLOOKUP($AE$52,Combat!$BQ$5:$BU$71,5)-IF($AE$52&lt;5,1,0)),Combat!$A$2:$AU$150,43)</f>
        <v>0</v>
      </c>
      <c r="AA59" s="1720"/>
      <c r="AB59" s="1343" t="s">
        <v>969</v>
      </c>
      <c r="AC59" s="1325"/>
      <c r="AD59" s="1325"/>
      <c r="AE59" s="78"/>
      <c r="AF59" s="78"/>
      <c r="BM59" s="518" t="s">
        <v>2395</v>
      </c>
      <c r="BN59" s="518"/>
      <c r="BO59" s="518"/>
      <c r="BP59" s="518"/>
      <c r="BQ59" s="518"/>
      <c r="BR59" s="518"/>
      <c r="BS59" s="518"/>
      <c r="BT59" s="518"/>
      <c r="BU59" s="518"/>
      <c r="BV59" s="518"/>
      <c r="BW59" s="518"/>
      <c r="BX59" s="518"/>
      <c r="BY59" s="518"/>
      <c r="BZ59" s="518"/>
      <c r="CA59" s="518"/>
      <c r="CB59" s="518"/>
      <c r="CC59" s="518"/>
      <c r="CD59" s="1316" t="s">
        <v>1742</v>
      </c>
      <c r="CE59" s="1315"/>
      <c r="CF59" s="1315"/>
      <c r="CG59" s="1318" t="s">
        <v>6036</v>
      </c>
      <c r="CH59" s="1296"/>
      <c r="CI59" s="2465" t="s">
        <v>6038</v>
      </c>
      <c r="CJ59" s="1298"/>
      <c r="CK59" s="1298"/>
      <c r="CL59" s="1298"/>
      <c r="CM59" s="1296"/>
      <c r="CN59" s="1319">
        <f ca="1">Skills!AE165</f>
        <v>0</v>
      </c>
      <c r="CO59" s="1298"/>
      <c r="CP59" s="1296"/>
    </row>
    <row r="60" spans="1:95" ht="12.75" customHeight="1">
      <c r="A60" s="1723">
        <v>-0.3</v>
      </c>
      <c r="B60" s="1454"/>
      <c r="C60" s="1361">
        <f>VLOOKUP((VLOOKUP($AE$52,Combat!$BQ$5:$BU$71,5)-IF($AE$52&lt;5,3,0)),Combat!$A$2:$AU$150,46)</f>
        <v>1200</v>
      </c>
      <c r="D60" s="1361"/>
      <c r="E60" s="1361"/>
      <c r="F60" s="1720">
        <f>VLOOKUP((VLOOKUP($AE$52,Combat!$BQ$5:$BU$71,5)-IF($AE$52&lt;5,3,0)),Combat!$A$2:$AU$150,45)</f>
        <v>-1</v>
      </c>
      <c r="G60" s="1720"/>
      <c r="H60" s="1720">
        <f ca="1">VLOOKUP((VLOOKUP($AE$52,Combat!$BQ$5:$BU$71,5)-IF($AE$52&lt;5,3,0)),Combat!$A$2:$AU$150,47)</f>
        <v>0</v>
      </c>
      <c r="I60" s="1720"/>
      <c r="J60" s="1723">
        <v>-0.3</v>
      </c>
      <c r="K60" s="1454"/>
      <c r="L60" s="1361">
        <f>VLOOKUP((VLOOKUP($AE$52,Combat!$BQ$5:$BU$71,5)-IF($AE$52&lt;5,2,0)),Combat!$A$2:$AU$150,46)</f>
        <v>1000</v>
      </c>
      <c r="M60" s="1361"/>
      <c r="N60" s="1361"/>
      <c r="O60" s="1720">
        <f>VLOOKUP((VLOOKUP($AE$52,Combat!$BQ$5:$BU$71,5)-IF($AE$52&lt;5,2,0)),Combat!$A$2:$AU$150,45)</f>
        <v>6</v>
      </c>
      <c r="P60" s="1720"/>
      <c r="Q60" s="1720">
        <f ca="1">VLOOKUP((VLOOKUP($AE$52,Combat!$BQ$5:$BU$71,5)-IF($AE$52&lt;5,2,0)),Combat!$A$2:$AU$150,47)</f>
        <v>0</v>
      </c>
      <c r="R60" s="2106"/>
      <c r="S60" s="1723">
        <v>-0.3</v>
      </c>
      <c r="T60" s="1454"/>
      <c r="U60" s="1361">
        <f>VLOOKUP((VLOOKUP($AE$52,Combat!$BQ$5:$BU$71,5)-IF($AE$52&lt;5,1,0)),Combat!$A$2:$AU$150,46)</f>
        <v>850</v>
      </c>
      <c r="V60" s="1361"/>
      <c r="W60" s="1361"/>
      <c r="X60" s="1720">
        <f>VLOOKUP((VLOOKUP($AE$52,Combat!$BQ$5:$BU$71,5)-IF($AE$52&lt;5,1,0)),Combat!$A$2:$AU$150,45)</f>
        <v>7</v>
      </c>
      <c r="Y60" s="1720"/>
      <c r="Z60" s="1720">
        <f ca="1">VLOOKUP((VLOOKUP($AE$52,Combat!$BQ$5:$BU$71,5)-IF($AE$52&lt;5,1,0)),Combat!$A$2:$AU$150,47)</f>
        <v>0</v>
      </c>
      <c r="AA60" s="1720"/>
      <c r="AB60" s="1343" t="s">
        <v>970</v>
      </c>
      <c r="AC60" s="1325"/>
      <c r="AD60" s="1325"/>
      <c r="AE60" s="78"/>
      <c r="AF60" s="78"/>
      <c r="BM60" s="518"/>
      <c r="BN60" s="518"/>
      <c r="BO60" s="518"/>
      <c r="BP60" s="518"/>
      <c r="BQ60" s="518"/>
      <c r="BR60" s="518"/>
      <c r="BS60" s="518"/>
      <c r="BT60" s="518"/>
      <c r="BU60" s="518"/>
      <c r="BV60" s="518"/>
      <c r="BW60" s="518"/>
      <c r="BX60" s="518"/>
      <c r="BY60" s="518"/>
      <c r="BZ60" s="518"/>
      <c r="CA60" s="518"/>
      <c r="CB60" s="518"/>
      <c r="CC60" s="518"/>
      <c r="CD60" s="985"/>
      <c r="CE60" s="978"/>
      <c r="CF60" s="978"/>
      <c r="CG60" s="344"/>
      <c r="CH60" s="978"/>
      <c r="CI60" s="986"/>
      <c r="CJ60" s="978"/>
      <c r="CK60" s="978"/>
      <c r="CL60" s="978"/>
      <c r="CM60" s="978"/>
      <c r="CN60" s="987"/>
      <c r="CO60" s="978"/>
      <c r="CP60" s="978"/>
    </row>
    <row r="61" spans="1:95" ht="12.75" customHeight="1">
      <c r="A61" s="92"/>
      <c r="B61" s="93"/>
      <c r="C61" s="351"/>
      <c r="D61" s="351"/>
      <c r="E61" s="351"/>
      <c r="F61" s="981"/>
      <c r="G61" s="981"/>
      <c r="H61" s="981"/>
      <c r="I61" s="981"/>
      <c r="J61" s="92"/>
      <c r="K61" s="93"/>
      <c r="L61" s="351"/>
      <c r="M61" s="351"/>
      <c r="N61" s="351"/>
      <c r="O61" s="981"/>
      <c r="P61" s="981"/>
      <c r="Q61" s="981"/>
      <c r="R61" s="982"/>
      <c r="S61" s="92"/>
      <c r="T61" s="93"/>
      <c r="U61" s="351"/>
      <c r="V61" s="351"/>
      <c r="W61" s="351"/>
      <c r="X61" s="981"/>
      <c r="Y61" s="981"/>
      <c r="Z61" s="981"/>
      <c r="AA61" s="981"/>
      <c r="AB61" s="983"/>
      <c r="AC61" s="984"/>
      <c r="AD61" s="984"/>
      <c r="AE61" s="78"/>
      <c r="AF61" s="78"/>
      <c r="BM61" s="518"/>
      <c r="BN61" s="518"/>
      <c r="BO61" s="518"/>
      <c r="BP61" s="518"/>
      <c r="BQ61" s="518"/>
      <c r="BR61" s="518"/>
      <c r="BS61" s="518"/>
      <c r="BT61" s="518"/>
      <c r="BU61" s="518"/>
      <c r="BV61" s="518"/>
      <c r="BW61" s="518"/>
      <c r="BX61" s="518"/>
      <c r="BY61" s="518"/>
      <c r="BZ61" s="518"/>
      <c r="CA61" s="518"/>
      <c r="CB61" s="518"/>
      <c r="CC61" s="518"/>
      <c r="CD61" s="985"/>
      <c r="CE61" s="978"/>
      <c r="CF61" s="978"/>
      <c r="CG61" s="344"/>
      <c r="CH61" s="978"/>
      <c r="CI61" s="986"/>
      <c r="CJ61" s="978"/>
      <c r="CK61" s="978"/>
      <c r="CL61" s="978"/>
      <c r="CM61" s="978"/>
      <c r="CN61" s="987"/>
      <c r="CO61" s="978"/>
      <c r="CP61" s="978"/>
    </row>
    <row r="62" spans="1:95" ht="12.75" customHeight="1">
      <c r="A62" s="92"/>
      <c r="B62" s="93"/>
      <c r="C62" s="91"/>
      <c r="D62" s="91"/>
      <c r="E62" s="91"/>
      <c r="F62" s="166"/>
      <c r="G62" s="166"/>
      <c r="H62" s="91"/>
      <c r="I62" s="91"/>
      <c r="J62" s="92"/>
      <c r="K62" s="93"/>
      <c r="L62" s="91"/>
      <c r="M62" s="91"/>
      <c r="N62" s="91"/>
      <c r="O62" s="166"/>
      <c r="P62" s="166"/>
      <c r="Q62" s="91"/>
      <c r="R62" s="93"/>
      <c r="S62" s="92"/>
      <c r="T62" s="93"/>
      <c r="U62" s="91"/>
      <c r="V62" s="91"/>
      <c r="W62" s="91"/>
      <c r="X62" s="166"/>
      <c r="Y62" s="166"/>
      <c r="Z62" s="91"/>
      <c r="AA62" s="91"/>
      <c r="AB62" s="91"/>
      <c r="AC62" s="94"/>
      <c r="AD62" s="94"/>
      <c r="AE62" s="78"/>
      <c r="AF62" s="78"/>
      <c r="BM62" s="997" t="s">
        <v>5931</v>
      </c>
      <c r="BN62" s="518"/>
      <c r="BO62" s="518"/>
      <c r="BP62" s="518"/>
      <c r="BQ62" s="518"/>
      <c r="BR62" s="518"/>
      <c r="BS62" s="518"/>
      <c r="BT62" s="518"/>
      <c r="BU62" s="518"/>
      <c r="BV62" s="518"/>
      <c r="BW62" s="518"/>
      <c r="BX62" s="518"/>
      <c r="BY62" s="518"/>
      <c r="BZ62" s="518"/>
      <c r="CA62" s="518"/>
      <c r="CB62" s="518"/>
      <c r="CC62" s="518"/>
    </row>
    <row r="63" spans="1:95" ht="12.6" customHeight="1">
      <c r="A63" s="79" t="s">
        <v>4066</v>
      </c>
      <c r="B63" s="95"/>
      <c r="C63" s="95"/>
      <c r="D63" s="95"/>
      <c r="E63" s="95"/>
      <c r="F63" s="95"/>
      <c r="G63" s="80" t="s">
        <v>944</v>
      </c>
      <c r="H63" s="95"/>
      <c r="I63" s="95"/>
      <c r="J63" s="95"/>
      <c r="K63" s="95"/>
      <c r="L63" s="95"/>
      <c r="M63" s="95"/>
      <c r="N63" s="95"/>
      <c r="O63" s="95"/>
      <c r="P63" s="95"/>
      <c r="Q63" s="95"/>
      <c r="R63" s="95"/>
      <c r="S63" s="95"/>
      <c r="T63" s="95"/>
      <c r="U63" s="95"/>
      <c r="V63" s="95"/>
      <c r="W63" s="95"/>
      <c r="X63" s="95"/>
      <c r="Y63" s="95"/>
      <c r="Z63" s="95"/>
      <c r="AA63" s="95"/>
      <c r="AB63" s="95"/>
      <c r="AC63" s="95"/>
      <c r="AD63" s="96"/>
      <c r="AG63" s="79" t="s">
        <v>4066</v>
      </c>
      <c r="AH63" s="95"/>
      <c r="AI63" s="95"/>
      <c r="AJ63" s="95"/>
      <c r="AK63" s="95"/>
      <c r="AL63" s="95"/>
      <c r="AM63" s="80" t="s">
        <v>1076</v>
      </c>
      <c r="AN63" s="95"/>
      <c r="AO63" s="95"/>
      <c r="AP63" s="95"/>
      <c r="AQ63" s="95"/>
      <c r="AR63" s="95"/>
      <c r="AS63" s="95"/>
      <c r="AT63" s="95"/>
      <c r="AU63" s="95"/>
      <c r="AV63" s="95"/>
      <c r="AW63" s="95"/>
      <c r="AX63" s="95"/>
      <c r="AY63" s="95"/>
      <c r="AZ63" s="95"/>
      <c r="BA63" s="95"/>
      <c r="BB63" s="95"/>
      <c r="BC63" s="95"/>
      <c r="BD63" s="95"/>
      <c r="BE63" s="95"/>
      <c r="BF63" s="95"/>
      <c r="BG63" s="95"/>
      <c r="BH63" s="95"/>
      <c r="BI63" s="95"/>
      <c r="BJ63" s="96"/>
      <c r="BK63" s="591"/>
      <c r="BM63" s="79" t="s">
        <v>4066</v>
      </c>
      <c r="BN63" s="95"/>
      <c r="BO63" s="95"/>
      <c r="BP63" s="95"/>
      <c r="BQ63" s="95"/>
      <c r="BR63" s="95"/>
      <c r="BS63" s="80" t="s">
        <v>1076</v>
      </c>
      <c r="BT63" s="95"/>
      <c r="BU63" s="95"/>
      <c r="BV63" s="95"/>
      <c r="BW63" s="95"/>
      <c r="BX63" s="95"/>
      <c r="BY63" s="95"/>
      <c r="BZ63" s="95"/>
      <c r="CA63" s="95"/>
      <c r="CB63" s="95"/>
      <c r="CC63" s="95"/>
      <c r="CD63" s="95"/>
      <c r="CE63" s="95"/>
      <c r="CF63" s="95"/>
      <c r="CG63" s="95"/>
      <c r="CH63" s="95"/>
      <c r="CI63" s="95"/>
      <c r="CJ63" s="95"/>
      <c r="CK63" s="95"/>
      <c r="CL63" s="95"/>
      <c r="CM63" s="95"/>
      <c r="CN63" s="95"/>
      <c r="CO63" s="95"/>
      <c r="CP63" s="96"/>
      <c r="CQ63" s="65"/>
    </row>
    <row r="64" spans="1:95" ht="12.6" customHeight="1">
      <c r="A64" s="567" t="s">
        <v>3881</v>
      </c>
      <c r="B64" s="98"/>
      <c r="C64" s="98"/>
      <c r="D64" s="98"/>
      <c r="E64" s="98"/>
      <c r="F64" s="98"/>
      <c r="G64" s="98"/>
      <c r="H64" s="98"/>
      <c r="I64" s="98"/>
      <c r="J64" s="98"/>
      <c r="K64" s="98"/>
      <c r="L64" s="98"/>
      <c r="M64" s="98"/>
      <c r="N64" s="98"/>
      <c r="O64" s="98"/>
      <c r="P64" s="98"/>
      <c r="Q64" s="98"/>
      <c r="R64" s="98"/>
      <c r="S64" s="98"/>
      <c r="T64" s="98"/>
      <c r="U64" s="98"/>
      <c r="V64" s="98"/>
      <c r="W64" s="98"/>
      <c r="X64" s="98"/>
      <c r="Y64" s="98"/>
      <c r="Z64" s="98"/>
      <c r="AA64" s="98"/>
      <c r="AB64" s="98"/>
      <c r="AC64" s="98"/>
      <c r="AD64" s="99"/>
      <c r="AG64" s="97" t="s">
        <v>1077</v>
      </c>
      <c r="AH64" s="98"/>
      <c r="AI64" s="98"/>
      <c r="AJ64" s="98"/>
      <c r="AK64" s="98"/>
      <c r="AL64" s="98"/>
      <c r="AM64" s="98"/>
      <c r="AN64" s="98"/>
      <c r="AO64" s="98"/>
      <c r="AP64" s="98"/>
      <c r="AQ64" s="98"/>
      <c r="AR64" s="98"/>
      <c r="AS64" s="98"/>
      <c r="AT64" s="98"/>
      <c r="AU64" s="98"/>
      <c r="AV64" s="98"/>
      <c r="AW64" s="98"/>
      <c r="AX64" s="98"/>
      <c r="AY64" s="98"/>
      <c r="AZ64" s="98"/>
      <c r="BA64" s="98"/>
      <c r="BB64" s="98"/>
      <c r="BC64" s="98"/>
      <c r="BD64" s="98"/>
      <c r="BE64" s="98"/>
      <c r="BF64" s="98"/>
      <c r="BG64" s="98"/>
      <c r="BH64" s="98"/>
      <c r="BI64" s="491"/>
      <c r="BJ64" s="99"/>
      <c r="BK64" s="591"/>
      <c r="BM64" s="97" t="s">
        <v>1077</v>
      </c>
      <c r="BN64" s="98"/>
      <c r="BO64" s="98"/>
      <c r="BP64" s="98"/>
      <c r="BQ64" s="98"/>
      <c r="BR64" s="98"/>
      <c r="BS64" s="98"/>
      <c r="BT64" s="98"/>
      <c r="BU64" s="98"/>
      <c r="BV64" s="98"/>
      <c r="BW64" s="98"/>
      <c r="BX64" s="98"/>
      <c r="BY64" s="98"/>
      <c r="BZ64" s="98"/>
      <c r="CA64" s="98"/>
      <c r="CB64" s="98"/>
      <c r="CC64" s="98"/>
      <c r="CD64" s="98"/>
      <c r="CE64" s="98"/>
      <c r="CF64" s="98"/>
      <c r="CG64" s="98"/>
      <c r="CH64" s="98"/>
      <c r="CI64" s="98"/>
      <c r="CJ64" s="98"/>
      <c r="CK64" s="98"/>
      <c r="CL64" s="98"/>
      <c r="CM64" s="98"/>
      <c r="CN64" s="98"/>
      <c r="CO64" s="491"/>
      <c r="CP64" s="99"/>
      <c r="CQ64" s="65"/>
    </row>
    <row r="65" spans="1:95" ht="12.6" customHeight="1" thickBot="1">
      <c r="A65" s="1380" t="s">
        <v>1743</v>
      </c>
      <c r="B65" s="1381"/>
      <c r="C65" s="1381"/>
      <c r="D65" s="1381"/>
      <c r="E65" s="1381"/>
      <c r="F65" s="1381"/>
      <c r="G65" s="1381"/>
      <c r="H65" s="1381"/>
      <c r="I65" s="1381"/>
      <c r="J65" s="1381"/>
      <c r="K65" s="1382"/>
      <c r="L65" s="1311"/>
      <c r="M65" s="1380" t="s">
        <v>941</v>
      </c>
      <c r="N65" s="1396"/>
      <c r="O65" s="1400" t="s">
        <v>3005</v>
      </c>
      <c r="P65" s="1400"/>
      <c r="Q65" s="1400" t="s">
        <v>4731</v>
      </c>
      <c r="R65" s="1400"/>
      <c r="S65" s="1400"/>
      <c r="T65" s="1400" t="s">
        <v>3046</v>
      </c>
      <c r="U65" s="1400"/>
      <c r="V65" s="1380" t="s">
        <v>3883</v>
      </c>
      <c r="W65" s="1381"/>
      <c r="X65" s="1396"/>
      <c r="Y65" s="1400" t="s">
        <v>209</v>
      </c>
      <c r="Z65" s="1362"/>
      <c r="AA65" s="1400" t="s">
        <v>2014</v>
      </c>
      <c r="AB65" s="1362"/>
      <c r="AC65" s="1362"/>
      <c r="AD65" s="88" t="s">
        <v>1742</v>
      </c>
      <c r="AG65" s="1380" t="s">
        <v>1743</v>
      </c>
      <c r="AH65" s="1381"/>
      <c r="AI65" s="1381"/>
      <c r="AJ65" s="1381"/>
      <c r="AK65" s="1381"/>
      <c r="AL65" s="1381"/>
      <c r="AM65" s="1381"/>
      <c r="AN65" s="1381"/>
      <c r="AO65" s="1381"/>
      <c r="AP65" s="1381"/>
      <c r="AQ65" s="1382"/>
      <c r="AR65" s="1311"/>
      <c r="AS65" s="1380" t="s">
        <v>941</v>
      </c>
      <c r="AT65" s="1396"/>
      <c r="AU65" s="1400" t="s">
        <v>3005</v>
      </c>
      <c r="AV65" s="1400"/>
      <c r="AW65" s="1400" t="s">
        <v>4731</v>
      </c>
      <c r="AX65" s="1400"/>
      <c r="AY65" s="1400"/>
      <c r="AZ65" s="1400" t="s">
        <v>3046</v>
      </c>
      <c r="BA65" s="1400"/>
      <c r="BB65" s="1380" t="s">
        <v>3883</v>
      </c>
      <c r="BC65" s="1381"/>
      <c r="BD65" s="1396"/>
      <c r="BE65" s="1400" t="s">
        <v>209</v>
      </c>
      <c r="BF65" s="1362"/>
      <c r="BG65" s="1400" t="s">
        <v>2014</v>
      </c>
      <c r="BH65" s="1362"/>
      <c r="BI65" s="1362"/>
      <c r="BJ65" s="88" t="s">
        <v>1742</v>
      </c>
      <c r="BK65" s="590"/>
      <c r="BL65" s="572"/>
      <c r="BM65" s="1380" t="s">
        <v>1743</v>
      </c>
      <c r="BN65" s="1382"/>
      <c r="BO65" s="1382"/>
      <c r="BP65" s="1382"/>
      <c r="BQ65" s="1382"/>
      <c r="BR65" s="1382"/>
      <c r="BS65" s="1382"/>
      <c r="BT65" s="1382"/>
      <c r="BU65" s="1382"/>
      <c r="BV65" s="1311"/>
      <c r="BW65" s="1380" t="s">
        <v>941</v>
      </c>
      <c r="BX65" s="1396"/>
      <c r="BY65" s="1400" t="s">
        <v>3005</v>
      </c>
      <c r="BZ65" s="1400"/>
      <c r="CA65" s="1400" t="s">
        <v>4731</v>
      </c>
      <c r="CB65" s="1400"/>
      <c r="CC65" s="1400"/>
      <c r="CD65" s="1400" t="s">
        <v>3046</v>
      </c>
      <c r="CE65" s="1400"/>
      <c r="CF65" s="1400" t="s">
        <v>3883</v>
      </c>
      <c r="CG65" s="1400"/>
      <c r="CH65" s="1400"/>
      <c r="CI65" s="1400" t="s">
        <v>209</v>
      </c>
      <c r="CJ65" s="1400"/>
      <c r="CK65" s="1400"/>
      <c r="CL65" s="1400" t="s">
        <v>2014</v>
      </c>
      <c r="CM65" s="1400"/>
      <c r="CN65" s="1380"/>
      <c r="CO65" s="2459" t="s">
        <v>1742</v>
      </c>
      <c r="CP65" s="1311"/>
      <c r="CQ65" s="590"/>
    </row>
    <row r="66" spans="1:95" ht="15.75" customHeight="1" thickTop="1" thickBot="1">
      <c r="A66">
        <v>13</v>
      </c>
      <c r="B66"/>
      <c r="C66"/>
      <c r="D66"/>
      <c r="E66">
        <v>6</v>
      </c>
      <c r="F66"/>
      <c r="G66"/>
      <c r="H66"/>
      <c r="I66"/>
      <c r="J66"/>
      <c r="K66">
        <v>2</v>
      </c>
      <c r="L66"/>
      <c r="M66" s="1391" t="str">
        <f ca="1">IF('System Lookups'!$AE66&gt;1,INDEX(Skills_Table,'System Lookups'!$AD66-4,HLOOKUP("Skill Type",Skill_Columns,2,FALSE))," ")</f>
        <v>CS</v>
      </c>
      <c r="N66" s="1392"/>
      <c r="O66" s="1331">
        <f ca="1">IF('System Lookups'!$AE66&gt;1,INDEX(Skills_Table,'System Lookups'!$AD66-4,HLOOKUP("current df",Skill_Columns,2,FALSE))," ")</f>
        <v>1</v>
      </c>
      <c r="P66" s="1332"/>
      <c r="Q66" s="1324">
        <f ca="1">IF('System Lookups'!$AE66&gt;1,INDEX(Skills_Table,'System Lookups'!$AD66-4,HLOOKUP(IF(ISNA(T66),"BCS% - Unskilled","BCS% - Skilled"),Skill_Columns,2,FALSE))," ")</f>
        <v>0.6</v>
      </c>
      <c r="R66" s="1324"/>
      <c r="S66" s="1324"/>
      <c r="T66" s="1331">
        <f ca="1">IF('System Lookups'!$AE66&gt;1,INDEX(Skills_Table,'System Lookups'!$AD66-4,HLOOKUP("Effective Level",Skill_Columns,2,FALSE))," ")</f>
        <v>4</v>
      </c>
      <c r="U66" s="1332"/>
      <c r="V66" s="1324" t="e">
        <f ca="1">IF('System Lookups'!$AE66&gt;1,INDEX(Skills_Table,'System Lookups'!$AD66-4,HLOOKUP("Attribute Bonus",Skill_Columns,2,FALSE))," ")</f>
        <v>#N/A</v>
      </c>
      <c r="W66" s="1324"/>
      <c r="X66" s="1324"/>
      <c r="Y66" s="1324">
        <f ca="1">IF('System Lookups'!$AE66&gt;1,INDEX(Skills_Table,'System Lookups'!$AD66-4,HLOOKUP("Personal Skill Factor",Skill_Columns,2,FALSE))," ")</f>
        <v>0.12</v>
      </c>
      <c r="Z66" s="1325"/>
      <c r="AA66" s="1324">
        <f ca="1">IF('System Lookups'!$AE66&gt;1,INDEX(Skills_Table,'System Lookups'!$AD66-4,HLOOKUP("Total Skill Chance",Skill_Columns,2,FALSE))," ")</f>
        <v>0.77</v>
      </c>
      <c r="AB66" s="1325"/>
      <c r="AC66" s="1325"/>
      <c r="AD66" s="466">
        <f ca="1">IF('System Lookups'!$AE66&gt;1,INDEX(Skills_Table,'System Lookups'!$AD66-4,HLOOKUP("Crit Die Modifier",Skill_Columns,2,FALSE))," ")</f>
        <v>0</v>
      </c>
      <c r="AE66" s="2460" t="s">
        <v>5930</v>
      </c>
      <c r="AF66" s="583"/>
      <c r="AG66">
        <v>1</v>
      </c>
      <c r="AH66"/>
      <c r="AI66"/>
      <c r="AJ66"/>
      <c r="AK66">
        <v>6</v>
      </c>
      <c r="AL66"/>
      <c r="AM66"/>
      <c r="AN66"/>
      <c r="AO66"/>
      <c r="AP66"/>
      <c r="AQ66">
        <v>1</v>
      </c>
      <c r="AR66">
        <v>1</v>
      </c>
      <c r="AS66" s="1391" t="str">
        <f>IF('System Lookups'!$AI66&gt;1,INDEX(Skills_Table,'System Lookups'!$AH66-4,HLOOKUP("Skill Type",Skill_Columns,2,FALSE))," ")</f>
        <v xml:space="preserve"> </v>
      </c>
      <c r="AT66" s="1392"/>
      <c r="AU66" s="1331" t="str">
        <f>IF('System Lookups'!$AI66&gt;1,INDEX(Skills_Table,'System Lookups'!$AH66-4,HLOOKUP("current df",Skill_Columns,2,FALSE))," ")</f>
        <v xml:space="preserve"> </v>
      </c>
      <c r="AV66" s="1332"/>
      <c r="AW66" s="1324" t="str">
        <f>IF('System Lookups'!$AI66&gt;1,INDEX(Skills_Table,'System Lookups'!$AH66-4,HLOOKUP(IF(ISNA(AZ66),"BCS% - Unskilled","BCS% - Skilled"),Skill_Columns,2,FALSE))," ")</f>
        <v xml:space="preserve"> </v>
      </c>
      <c r="AX66" s="1324"/>
      <c r="AY66" s="1324"/>
      <c r="AZ66" s="1331" t="str">
        <f>IF('System Lookups'!$AI66&gt;1,INDEX(Skills_Table,'System Lookups'!$AH66-4,HLOOKUP("Effective Level",Skill_Columns,2,FALSE))," ")</f>
        <v xml:space="preserve"> </v>
      </c>
      <c r="BA66" s="1332"/>
      <c r="BB66" s="1324" t="str">
        <f>IF('System Lookups'!$AI66&gt;1,INDEX(Skills_Table,'System Lookups'!$AH66-4,HLOOKUP("Attribute Bonus",Skill_Columns,2,FALSE))," ")</f>
        <v xml:space="preserve"> </v>
      </c>
      <c r="BC66" s="1324"/>
      <c r="BD66" s="1324"/>
      <c r="BE66" s="1324" t="str">
        <f>IF('System Lookups'!$AI66&gt;1,INDEX(Skills_Table,'System Lookups'!$AH66-4,HLOOKUP("Personal Skill Factor",Skill_Columns,2,FALSE))," ")</f>
        <v xml:space="preserve"> </v>
      </c>
      <c r="BF66" s="1325"/>
      <c r="BG66" s="1324" t="str">
        <f>IF('System Lookups'!$AI66&gt;1,INDEX(Skills_Table,'System Lookups'!$AH66-4,HLOOKUP("Total Skill Chance",Skill_Columns,2,FALSE))," ")</f>
        <v xml:space="preserve"> </v>
      </c>
      <c r="BH66" s="1325"/>
      <c r="BI66" s="1325"/>
      <c r="BJ66" s="466" t="str">
        <f>IF('System Lookups'!$AI66&gt;1,INDEX(Skills_Table,'System Lookups'!$AH66-4,HLOOKUP("Crit Die Modifier",Skill_Columns,2,FALSE))," ")</f>
        <v xml:space="preserve"> </v>
      </c>
      <c r="BK66" s="2460" t="s">
        <v>5930</v>
      </c>
      <c r="BL66" s="577"/>
      <c r="BM66" s="1370"/>
      <c r="BN66" s="1721"/>
      <c r="BO66" s="1721"/>
      <c r="BP66" s="1721"/>
      <c r="BQ66" s="1721"/>
      <c r="BR66" s="1721"/>
      <c r="BS66" s="1721"/>
      <c r="BT66" s="1721"/>
      <c r="BU66" s="1721"/>
      <c r="BV66" s="1722"/>
      <c r="BW66" s="1331"/>
      <c r="BX66" s="1332"/>
      <c r="BY66" s="1331"/>
      <c r="BZ66" s="1332"/>
      <c r="CA66" s="1324"/>
      <c r="CB66" s="1324"/>
      <c r="CC66" s="1324"/>
      <c r="CD66" s="1331"/>
      <c r="CE66" s="1332"/>
      <c r="CF66" s="1404"/>
      <c r="CG66" s="1769"/>
      <c r="CH66" s="1770"/>
      <c r="CI66" s="1404"/>
      <c r="CJ66" s="1769"/>
      <c r="CK66" s="1770"/>
      <c r="CL66" s="1324"/>
      <c r="CM66" s="1873"/>
      <c r="CN66" s="1331"/>
      <c r="CO66" s="2297"/>
      <c r="CP66" s="1311"/>
      <c r="CQ66" s="2460" t="s">
        <v>5930</v>
      </c>
    </row>
    <row r="67" spans="1:95" ht="15.75" customHeight="1" thickTop="1" thickBot="1">
      <c r="A67">
        <v>10</v>
      </c>
      <c r="B67"/>
      <c r="C67"/>
      <c r="D67"/>
      <c r="E67"/>
      <c r="F67"/>
      <c r="G67"/>
      <c r="H67"/>
      <c r="I67"/>
      <c r="J67"/>
      <c r="K67">
        <v>3</v>
      </c>
      <c r="L67"/>
      <c r="M67" s="1407" t="str">
        <f ca="1">IF('System Lookups'!$AE67&gt;1,INDEX(Skills_Table,'System Lookups'!$AD67-4,HLOOKUP("Skill Type",Skill_Columns,2,FALSE))," ")</f>
        <v>CS</v>
      </c>
      <c r="N67" s="1408"/>
      <c r="O67" s="1333">
        <f ca="1">IF('System Lookups'!$AE67&gt;1,INDEX(Skills_Table,'System Lookups'!$AD67-4,HLOOKUP("current df",Skill_Columns,2,FALSE))," ")</f>
        <v>2</v>
      </c>
      <c r="P67" s="1334"/>
      <c r="Q67" s="1326">
        <f ca="1">IF('System Lookups'!$AE67&gt;1,INDEX(Skills_Table,'System Lookups'!$AD67-4,HLOOKUP(IF(ISNA(T67),"BCS% - Unskilled","BCS% - Skilled"),Skill_Columns,2,FALSE))," ")</f>
        <v>0.5</v>
      </c>
      <c r="R67" s="1326"/>
      <c r="S67" s="1326"/>
      <c r="T67" s="1333">
        <f ca="1">IF('System Lookups'!$AE67&gt;1,INDEX(Skills_Table,'System Lookups'!$AD67-4,HLOOKUP("Effective Level",Skill_Columns,2,FALSE))," ")</f>
        <v>4</v>
      </c>
      <c r="U67" s="1334"/>
      <c r="V67" s="1335">
        <f ca="1">IF('System Lookups'!$AE67&gt;1,INDEX(Skills_Table,'System Lookups'!$AD67-4,HLOOKUP("Attribute Bonus",Skill_Columns,2,FALSE))," ")</f>
        <v>0.08</v>
      </c>
      <c r="W67" s="1336"/>
      <c r="X67" s="1337"/>
      <c r="Y67" s="1326">
        <f ca="1">IF('System Lookups'!$AE67&gt;1,INDEX(Skills_Table,'System Lookups'!$AD67-4,HLOOKUP("Personal Skill Factor",Skill_Columns,2,FALSE))," ")</f>
        <v>0.48000000000000004</v>
      </c>
      <c r="Z67" s="1327"/>
      <c r="AA67" s="1326">
        <f ca="1">IF('System Lookups'!$AE67&gt;1,INDEX(Skills_Table,'System Lookups'!$AD67-4,HLOOKUP("Total Skill Chance",Skill_Columns,2,FALSE))," ")</f>
        <v>1.03</v>
      </c>
      <c r="AB67" s="1327"/>
      <c r="AC67" s="1327"/>
      <c r="AD67" s="467">
        <f ca="1">IF('System Lookups'!$AE67&gt;1,INDEX(Skills_Table,'System Lookups'!$AD67-4,HLOOKUP("Crit Die Modifier",Skill_Columns,2,FALSE))," ")</f>
        <v>0.25000000000000022</v>
      </c>
      <c r="AE67" s="2461"/>
      <c r="AF67" s="583"/>
      <c r="AG67">
        <v>1</v>
      </c>
      <c r="AH67"/>
      <c r="AI67"/>
      <c r="AJ67"/>
      <c r="AK67"/>
      <c r="AL67"/>
      <c r="AM67"/>
      <c r="AN67"/>
      <c r="AO67"/>
      <c r="AP67"/>
      <c r="AQ67">
        <v>1</v>
      </c>
      <c r="AR67">
        <v>1</v>
      </c>
      <c r="AS67" s="1407" t="str">
        <f>IF('System Lookups'!$AI67&gt;1,INDEX(Skills_Table,'System Lookups'!$AH67-4,HLOOKUP("Skill Type",Skill_Columns,2,FALSE))," ")</f>
        <v xml:space="preserve"> </v>
      </c>
      <c r="AT67" s="1408"/>
      <c r="AU67" s="1333" t="str">
        <f>IF('System Lookups'!$AI67&gt;1,INDEX(Skills_Table,'System Lookups'!$AH67-4,HLOOKUP("current df",Skill_Columns,2,FALSE))," ")</f>
        <v xml:space="preserve"> </v>
      </c>
      <c r="AV67" s="1334"/>
      <c r="AW67" s="1326" t="str">
        <f>IF('System Lookups'!$AI67&gt;1,INDEX(Skills_Table,'System Lookups'!$AH67-4,HLOOKUP(IF(ISNA(AZ67),"BCS% - Unskilled","BCS% - Skilled"),Skill_Columns,2,FALSE))," ")</f>
        <v xml:space="preserve"> </v>
      </c>
      <c r="AX67" s="1326"/>
      <c r="AY67" s="1326"/>
      <c r="AZ67" s="1333" t="str">
        <f>IF('System Lookups'!$AI67&gt;1,INDEX(Skills_Table,'System Lookups'!$AH67-4,HLOOKUP("Effective Level",Skill_Columns,2,FALSE))," ")</f>
        <v xml:space="preserve"> </v>
      </c>
      <c r="BA67" s="1334"/>
      <c r="BB67" s="1335" t="str">
        <f>IF('System Lookups'!$AI67&gt;1,INDEX(Skills_Table,'System Lookups'!$AH67-4,HLOOKUP("Attribute Bonus",Skill_Columns,2,FALSE))," ")</f>
        <v xml:space="preserve"> </v>
      </c>
      <c r="BC67" s="1336"/>
      <c r="BD67" s="1337"/>
      <c r="BE67" s="1326" t="str">
        <f>IF('System Lookups'!$AI67&gt;1,INDEX(Skills_Table,'System Lookups'!$AH67-4,HLOOKUP("Personal Skill Factor",Skill_Columns,2,FALSE))," ")</f>
        <v xml:space="preserve"> </v>
      </c>
      <c r="BF67" s="1327"/>
      <c r="BG67" s="1326" t="str">
        <f>IF('System Lookups'!$AI67&gt;1,INDEX(Skills_Table,'System Lookups'!$AH67-4,HLOOKUP("Total Skill Chance",Skill_Columns,2,FALSE))," ")</f>
        <v xml:space="preserve"> </v>
      </c>
      <c r="BH67" s="1327"/>
      <c r="BI67" s="1327"/>
      <c r="BJ67" s="467" t="str">
        <f>IF('System Lookups'!$AI67&gt;1,INDEX(Skills_Table,'System Lookups'!$AH67-4,HLOOKUP("Crit Die Modifier",Skill_Columns,2,FALSE))," ")</f>
        <v xml:space="preserve"> </v>
      </c>
      <c r="BK67" s="2461"/>
      <c r="BL67" s="577"/>
      <c r="BM67" s="1412"/>
      <c r="BN67" s="1344"/>
      <c r="BO67" s="1344"/>
      <c r="BP67" s="1344"/>
      <c r="BQ67" s="1344"/>
      <c r="BR67" s="1344"/>
      <c r="BS67" s="1344"/>
      <c r="BT67" s="1344"/>
      <c r="BU67" s="1344"/>
      <c r="BV67" s="1345"/>
      <c r="BW67" s="1333"/>
      <c r="BX67" s="1334"/>
      <c r="BY67" s="1333"/>
      <c r="BZ67" s="1334"/>
      <c r="CA67" s="1326"/>
      <c r="CB67" s="1326"/>
      <c r="CC67" s="1326"/>
      <c r="CD67" s="1333"/>
      <c r="CE67" s="1334"/>
      <c r="CF67" s="1335"/>
      <c r="CG67" s="1776"/>
      <c r="CH67" s="1777"/>
      <c r="CI67" s="1335"/>
      <c r="CJ67" s="1776"/>
      <c r="CK67" s="1777"/>
      <c r="CL67" s="1326"/>
      <c r="CM67" s="2095"/>
      <c r="CN67" s="1333"/>
      <c r="CO67" s="2466"/>
      <c r="CP67" s="1311"/>
      <c r="CQ67" s="2461"/>
    </row>
    <row r="68" spans="1:95" ht="15.75" customHeight="1" thickTop="1" thickBot="1">
      <c r="A68">
        <v>2</v>
      </c>
      <c r="B68"/>
      <c r="C68"/>
      <c r="D68"/>
      <c r="E68"/>
      <c r="F68"/>
      <c r="G68"/>
      <c r="H68"/>
      <c r="I68"/>
      <c r="J68"/>
      <c r="K68">
        <v>8</v>
      </c>
      <c r="L68"/>
      <c r="M68" s="1391" t="str">
        <f ca="1">IF('System Lookups'!$AE68&gt;1,INDEX(Skills_Table,'System Lookups'!$AD68-4,HLOOKUP("Skill Type",Skill_Columns,2,FALSE))," ")</f>
        <v>T</v>
      </c>
      <c r="N68" s="1392"/>
      <c r="O68" s="1331">
        <f ca="1">IF('System Lookups'!$AE68&gt;1,INDEX(Skills_Table,'System Lookups'!$AD68-4,HLOOKUP("current df",Skill_Columns,2,FALSE))," ")</f>
        <v>3</v>
      </c>
      <c r="P68" s="1332"/>
      <c r="Q68" s="1324">
        <f ca="1">IF('System Lookups'!$AE68&gt;1,INDEX(Skills_Table,'System Lookups'!$AD68-4,HLOOKUP(IF(ISNA(T68),"BCS% - Unskilled","BCS% - Skilled"),Skill_Columns,2,FALSE))," ")</f>
        <v>0.3</v>
      </c>
      <c r="R68" s="1324"/>
      <c r="S68" s="1324"/>
      <c r="T68" s="1331" t="e">
        <f ca="1">IF('System Lookups'!$AE68&gt;1,INDEX(Skills_Table,'System Lookups'!$AD68-4,HLOOKUP("Effective Level",Skill_Columns,2,FALSE))," ")</f>
        <v>#N/A</v>
      </c>
      <c r="U68" s="1332"/>
      <c r="V68" s="1324">
        <f ca="1">IF('System Lookups'!$AE68&gt;1,INDEX(Skills_Table,'System Lookups'!$AD68-4,HLOOKUP("Attribute Bonus",Skill_Columns,2,FALSE))," ")</f>
        <v>0.1</v>
      </c>
      <c r="W68" s="1324"/>
      <c r="X68" s="1324"/>
      <c r="Y68" s="1324">
        <f ca="1">IF('System Lookups'!$AE68&gt;1,INDEX(Skills_Table,'System Lookups'!$AD68-4,HLOOKUP("Personal Skill Factor",Skill_Columns,2,FALSE))," ")</f>
        <v>0.1</v>
      </c>
      <c r="Z68" s="1325"/>
      <c r="AA68" s="1324">
        <f ca="1">IF('System Lookups'!$AE68&gt;1,INDEX(Skills_Table,'System Lookups'!$AD68-4,HLOOKUP("Total Skill Chance",Skill_Columns,2,FALSE))," ")</f>
        <v>0.4</v>
      </c>
      <c r="AB68" s="1325"/>
      <c r="AC68" s="1325"/>
      <c r="AD68" s="466">
        <f ca="1">IF('System Lookups'!$AE68&gt;1,INDEX(Skills_Table,'System Lookups'!$AD68-4,HLOOKUP("Crit Die Modifier",Skill_Columns,2,FALSE))," ")</f>
        <v>0</v>
      </c>
      <c r="AE68" s="2461"/>
      <c r="AF68" s="583"/>
      <c r="AG68">
        <v>1</v>
      </c>
      <c r="AH68"/>
      <c r="AI68"/>
      <c r="AJ68"/>
      <c r="AK68"/>
      <c r="AL68"/>
      <c r="AM68"/>
      <c r="AN68"/>
      <c r="AO68"/>
      <c r="AP68"/>
      <c r="AQ68">
        <v>1</v>
      </c>
      <c r="AR68">
        <v>1</v>
      </c>
      <c r="AS68" s="1391" t="str">
        <f>IF('System Lookups'!$AI68&gt;1,INDEX(Skills_Table,'System Lookups'!$AH68-4,HLOOKUP("Skill Type",Skill_Columns,2,FALSE))," ")</f>
        <v xml:space="preserve"> </v>
      </c>
      <c r="AT68" s="1392"/>
      <c r="AU68" s="1331" t="str">
        <f>IF('System Lookups'!$AI68&gt;1,INDEX(Skills_Table,'System Lookups'!$AH68-4,HLOOKUP("current df",Skill_Columns,2,FALSE))," ")</f>
        <v xml:space="preserve"> </v>
      </c>
      <c r="AV68" s="1332"/>
      <c r="AW68" s="1324" t="str">
        <f>IF('System Lookups'!$AI68&gt;1,INDEX(Skills_Table,'System Lookups'!$AH68-4,HLOOKUP(IF(ISNA(AZ68),"BCS% - Unskilled","BCS% - Skilled"),Skill_Columns,2,FALSE))," ")</f>
        <v xml:space="preserve"> </v>
      </c>
      <c r="AX68" s="1324"/>
      <c r="AY68" s="1324"/>
      <c r="AZ68" s="1331" t="str">
        <f>IF('System Lookups'!$AI68&gt;1,INDEX(Skills_Table,'System Lookups'!$AH68-4,HLOOKUP("Effective Level",Skill_Columns,2,FALSE))," ")</f>
        <v xml:space="preserve"> </v>
      </c>
      <c r="BA68" s="1332"/>
      <c r="BB68" s="1324" t="str">
        <f>IF('System Lookups'!$AI68&gt;1,INDEX(Skills_Table,'System Lookups'!$AH68-4,HLOOKUP("Attribute Bonus",Skill_Columns,2,FALSE))," ")</f>
        <v xml:space="preserve"> </v>
      </c>
      <c r="BC68" s="1324"/>
      <c r="BD68" s="1324"/>
      <c r="BE68" s="1324" t="str">
        <f>IF('System Lookups'!$AI68&gt;1,INDEX(Skills_Table,'System Lookups'!$AH68-4,HLOOKUP("Personal Skill Factor",Skill_Columns,2,FALSE))," ")</f>
        <v xml:space="preserve"> </v>
      </c>
      <c r="BF68" s="1325"/>
      <c r="BG68" s="1324" t="str">
        <f>IF('System Lookups'!$AI68&gt;1,INDEX(Skills_Table,'System Lookups'!$AH68-4,HLOOKUP("Total Skill Chance",Skill_Columns,2,FALSE))," ")</f>
        <v xml:space="preserve"> </v>
      </c>
      <c r="BH68" s="1325"/>
      <c r="BI68" s="1325"/>
      <c r="BJ68" s="466" t="str">
        <f>IF('System Lookups'!$AI68&gt;1,INDEX(Skills_Table,'System Lookups'!$AH68-4,HLOOKUP("Crit Die Modifier",Skill_Columns,2,FALSE))," ")</f>
        <v xml:space="preserve"> </v>
      </c>
      <c r="BK68" s="2461"/>
      <c r="BL68" s="577"/>
      <c r="BM68" s="1370"/>
      <c r="BN68" s="1721"/>
      <c r="BO68" s="1721"/>
      <c r="BP68" s="1721"/>
      <c r="BQ68" s="1721"/>
      <c r="BR68" s="1721"/>
      <c r="BS68" s="1721"/>
      <c r="BT68" s="1721"/>
      <c r="BU68" s="1721"/>
      <c r="BV68" s="1722"/>
      <c r="BW68" s="1331"/>
      <c r="BX68" s="1332"/>
      <c r="BY68" s="1331"/>
      <c r="BZ68" s="1332"/>
      <c r="CA68" s="1324"/>
      <c r="CB68" s="1324"/>
      <c r="CC68" s="1324"/>
      <c r="CD68" s="1331"/>
      <c r="CE68" s="1332"/>
      <c r="CF68" s="1404"/>
      <c r="CG68" s="1769"/>
      <c r="CH68" s="1770"/>
      <c r="CI68" s="1404"/>
      <c r="CJ68" s="1769"/>
      <c r="CK68" s="1770"/>
      <c r="CL68" s="1324"/>
      <c r="CM68" s="1873"/>
      <c r="CN68" s="1331"/>
      <c r="CO68" s="2297"/>
      <c r="CP68" s="1311"/>
      <c r="CQ68" s="2461"/>
    </row>
    <row r="69" spans="1:95" ht="15.75" customHeight="1" thickTop="1" thickBot="1">
      <c r="A69">
        <v>1</v>
      </c>
      <c r="B69"/>
      <c r="C69"/>
      <c r="D69"/>
      <c r="E69"/>
      <c r="F69"/>
      <c r="G69"/>
      <c r="H69"/>
      <c r="I69"/>
      <c r="J69"/>
      <c r="K69">
        <v>1</v>
      </c>
      <c r="L69"/>
      <c r="M69" s="1407" t="str">
        <f>IF('System Lookups'!$AE69&gt;1,INDEX(Skills_Table,'System Lookups'!$AD69-4,HLOOKUP("Skill Type",Skill_Columns,2,FALSE))," ")</f>
        <v xml:space="preserve"> </v>
      </c>
      <c r="N69" s="1408"/>
      <c r="O69" s="1333" t="str">
        <f>IF('System Lookups'!$AE69&gt;1,INDEX(Skills_Table,'System Lookups'!$AD69-4,HLOOKUP("current df",Skill_Columns,2,FALSE))," ")</f>
        <v xml:space="preserve"> </v>
      </c>
      <c r="P69" s="1334"/>
      <c r="Q69" s="1326" t="str">
        <f>IF('System Lookups'!$AE69&gt;1,INDEX(Skills_Table,'System Lookups'!$AD69-4,HLOOKUP(IF(ISNA(T69),"BCS% - Unskilled","BCS% - Skilled"),Skill_Columns,2,FALSE))," ")</f>
        <v xml:space="preserve"> </v>
      </c>
      <c r="R69" s="1326"/>
      <c r="S69" s="1326"/>
      <c r="T69" s="1333" t="str">
        <f>IF('System Lookups'!$AE69&gt;1,INDEX(Skills_Table,'System Lookups'!$AD69-4,HLOOKUP("Effective Level",Skill_Columns,2,FALSE))," ")</f>
        <v xml:space="preserve"> </v>
      </c>
      <c r="U69" s="1334"/>
      <c r="V69" s="1335" t="str">
        <f>IF('System Lookups'!$AE69&gt;1,INDEX(Skills_Table,'System Lookups'!$AD69-4,HLOOKUP("Attribute Bonus",Skill_Columns,2,FALSE))," ")</f>
        <v xml:space="preserve"> </v>
      </c>
      <c r="W69" s="1336"/>
      <c r="X69" s="1337"/>
      <c r="Y69" s="1326" t="str">
        <f>IF('System Lookups'!$AE69&gt;1,INDEX(Skills_Table,'System Lookups'!$AD69-4,HLOOKUP("Personal Skill Factor",Skill_Columns,2,FALSE))," ")</f>
        <v xml:space="preserve"> </v>
      </c>
      <c r="Z69" s="1327"/>
      <c r="AA69" s="1326" t="str">
        <f>IF('System Lookups'!$AE69&gt;1,INDEX(Skills_Table,'System Lookups'!$AD69-4,HLOOKUP("Total Skill Chance",Skill_Columns,2,FALSE))," ")</f>
        <v xml:space="preserve"> </v>
      </c>
      <c r="AB69" s="1327"/>
      <c r="AC69" s="1327"/>
      <c r="AD69" s="467" t="str">
        <f>IF('System Lookups'!$AE69&gt;1,INDEX(Skills_Table,'System Lookups'!$AD69-4,HLOOKUP("Crit Die Modifier",Skill_Columns,2,FALSE))," ")</f>
        <v xml:space="preserve"> </v>
      </c>
      <c r="AE69" s="2461"/>
      <c r="AF69" s="583"/>
      <c r="AG69">
        <v>1</v>
      </c>
      <c r="AH69"/>
      <c r="AI69"/>
      <c r="AJ69"/>
      <c r="AK69"/>
      <c r="AL69"/>
      <c r="AM69"/>
      <c r="AN69"/>
      <c r="AO69"/>
      <c r="AP69"/>
      <c r="AQ69">
        <v>1</v>
      </c>
      <c r="AR69"/>
      <c r="AS69" s="1407" t="str">
        <f>IF('System Lookups'!$AI69&gt;1,INDEX(Skills_Table,'System Lookups'!$AH69-4,HLOOKUP("Skill Type",Skill_Columns,2,FALSE))," ")</f>
        <v xml:space="preserve"> </v>
      </c>
      <c r="AT69" s="1408"/>
      <c r="AU69" s="1333" t="str">
        <f>IF('System Lookups'!$AI69&gt;1,INDEX(Skills_Table,'System Lookups'!$AH69-4,HLOOKUP("current df",Skill_Columns,2,FALSE))," ")</f>
        <v xml:space="preserve"> </v>
      </c>
      <c r="AV69" s="1334"/>
      <c r="AW69" s="1326" t="str">
        <f>IF('System Lookups'!$AI69&gt;1,INDEX(Skills_Table,'System Lookups'!$AH69-4,HLOOKUP(IF(ISNA(AZ69),"BCS% - Unskilled","BCS% - Skilled"),Skill_Columns,2,FALSE))," ")</f>
        <v xml:space="preserve"> </v>
      </c>
      <c r="AX69" s="1326"/>
      <c r="AY69" s="1326"/>
      <c r="AZ69" s="1333" t="str">
        <f>IF('System Lookups'!$AI69&gt;1,INDEX(Skills_Table,'System Lookups'!$AH69-4,HLOOKUP("Effective Level",Skill_Columns,2,FALSE))," ")</f>
        <v xml:space="preserve"> </v>
      </c>
      <c r="BA69" s="1334"/>
      <c r="BB69" s="1335" t="str">
        <f>IF('System Lookups'!$AI69&gt;1,INDEX(Skills_Table,'System Lookups'!$AH69-4,HLOOKUP("Attribute Bonus",Skill_Columns,2,FALSE))," ")</f>
        <v xml:space="preserve"> </v>
      </c>
      <c r="BC69" s="1336"/>
      <c r="BD69" s="1337"/>
      <c r="BE69" s="1326" t="str">
        <f>IF('System Lookups'!$AI69&gt;1,INDEX(Skills_Table,'System Lookups'!$AH69-4,HLOOKUP("Personal Skill Factor",Skill_Columns,2,FALSE))," ")</f>
        <v xml:space="preserve"> </v>
      </c>
      <c r="BF69" s="1327"/>
      <c r="BG69" s="1326" t="str">
        <f>IF('System Lookups'!$AI69&gt;1,INDEX(Skills_Table,'System Lookups'!$AH69-4,HLOOKUP("Total Skill Chance",Skill_Columns,2,FALSE))," ")</f>
        <v xml:space="preserve"> </v>
      </c>
      <c r="BH69" s="1327"/>
      <c r="BI69" s="1327"/>
      <c r="BJ69" s="467" t="str">
        <f>IF('System Lookups'!$AI69&gt;1,INDEX(Skills_Table,'System Lookups'!$AH69-4,HLOOKUP("Crit Die Modifier",Skill_Columns,2,FALSE))," ")</f>
        <v xml:space="preserve"> </v>
      </c>
      <c r="BK69" s="2461"/>
      <c r="BL69" s="577"/>
      <c r="BM69" s="1412"/>
      <c r="BN69" s="1344"/>
      <c r="BO69" s="1344"/>
      <c r="BP69" s="1344"/>
      <c r="BQ69" s="1344"/>
      <c r="BR69" s="1344"/>
      <c r="BS69" s="1344"/>
      <c r="BT69" s="1344"/>
      <c r="BU69" s="1344"/>
      <c r="BV69" s="1345"/>
      <c r="BW69" s="1333"/>
      <c r="BX69" s="1334"/>
      <c r="BY69" s="1333"/>
      <c r="BZ69" s="1334"/>
      <c r="CA69" s="1326"/>
      <c r="CB69" s="1326"/>
      <c r="CC69" s="1326"/>
      <c r="CD69" s="1333"/>
      <c r="CE69" s="1334"/>
      <c r="CF69" s="1335"/>
      <c r="CG69" s="1776"/>
      <c r="CH69" s="1777"/>
      <c r="CI69" s="1335"/>
      <c r="CJ69" s="1776"/>
      <c r="CK69" s="1777"/>
      <c r="CL69" s="1326"/>
      <c r="CM69" s="2095"/>
      <c r="CN69" s="1333"/>
      <c r="CO69" s="2466"/>
      <c r="CP69" s="1311"/>
      <c r="CQ69" s="2461"/>
    </row>
    <row r="70" spans="1:95" ht="15.75" customHeight="1" thickTop="1" thickBot="1">
      <c r="A70">
        <v>1</v>
      </c>
      <c r="B70"/>
      <c r="C70"/>
      <c r="D70"/>
      <c r="E70"/>
      <c r="F70"/>
      <c r="G70"/>
      <c r="H70"/>
      <c r="I70"/>
      <c r="J70"/>
      <c r="K70">
        <v>1</v>
      </c>
      <c r="L70"/>
      <c r="M70" s="1391" t="str">
        <f>IF('System Lookups'!$AE70&gt;1,INDEX(Skills_Table,'System Lookups'!$AD70-4,HLOOKUP("Skill Type",Skill_Columns,2,FALSE))," ")</f>
        <v xml:space="preserve"> </v>
      </c>
      <c r="N70" s="1392"/>
      <c r="O70" s="1331" t="str">
        <f>IF('System Lookups'!$AE70&gt;1,INDEX(Skills_Table,'System Lookups'!$AD70-4,HLOOKUP("current df",Skill_Columns,2,FALSE))," ")</f>
        <v xml:space="preserve"> </v>
      </c>
      <c r="P70" s="1332"/>
      <c r="Q70" s="1324" t="str">
        <f>IF('System Lookups'!$AE70&gt;1,INDEX(Skills_Table,'System Lookups'!$AD70-4,HLOOKUP(IF(ISNA(T70),"BCS% - Unskilled","BCS% - Skilled"),Skill_Columns,2,FALSE))," ")</f>
        <v xml:space="preserve"> </v>
      </c>
      <c r="R70" s="1324"/>
      <c r="S70" s="1324"/>
      <c r="T70" s="1331" t="str">
        <f>IF('System Lookups'!$AE70&gt;1,INDEX(Skills_Table,'System Lookups'!$AD70-4,HLOOKUP("Effective Level",Skill_Columns,2,FALSE))," ")</f>
        <v xml:space="preserve"> </v>
      </c>
      <c r="U70" s="1332"/>
      <c r="V70" s="1324" t="str">
        <f>IF('System Lookups'!$AE70&gt;1,INDEX(Skills_Table,'System Lookups'!$AD70-4,HLOOKUP("Attribute Bonus",Skill_Columns,2,FALSE))," ")</f>
        <v xml:space="preserve"> </v>
      </c>
      <c r="W70" s="1324"/>
      <c r="X70" s="1324"/>
      <c r="Y70" s="1324" t="str">
        <f>IF('System Lookups'!$AE70&gt;1,INDEX(Skills_Table,'System Lookups'!$AD70-4,HLOOKUP("Personal Skill Factor",Skill_Columns,2,FALSE))," ")</f>
        <v xml:space="preserve"> </v>
      </c>
      <c r="Z70" s="1325"/>
      <c r="AA70" s="1324" t="str">
        <f>IF('System Lookups'!$AE70&gt;1,INDEX(Skills_Table,'System Lookups'!$AD70-4,HLOOKUP("Total Skill Chance",Skill_Columns,2,FALSE))," ")</f>
        <v xml:space="preserve"> </v>
      </c>
      <c r="AB70" s="1325"/>
      <c r="AC70" s="1325"/>
      <c r="AD70" s="466" t="str">
        <f>IF('System Lookups'!$AE70&gt;1,INDEX(Skills_Table,'System Lookups'!$AD70-4,HLOOKUP("Crit Die Modifier",Skill_Columns,2,FALSE))," ")</f>
        <v xml:space="preserve"> </v>
      </c>
      <c r="AE70" s="2461"/>
      <c r="AF70" s="583"/>
      <c r="AG70">
        <v>1</v>
      </c>
      <c r="AH70"/>
      <c r="AI70"/>
      <c r="AJ70"/>
      <c r="AK70"/>
      <c r="AL70"/>
      <c r="AM70"/>
      <c r="AN70"/>
      <c r="AO70"/>
      <c r="AP70"/>
      <c r="AQ70">
        <v>1</v>
      </c>
      <c r="AR70"/>
      <c r="AS70" s="1391" t="str">
        <f>IF('System Lookups'!$AI70&gt;1,INDEX(Skills_Table,'System Lookups'!$AH70-4,HLOOKUP("Skill Type",Skill_Columns,2,FALSE))," ")</f>
        <v xml:space="preserve"> </v>
      </c>
      <c r="AT70" s="1392"/>
      <c r="AU70" s="1331" t="str">
        <f>IF('System Lookups'!$AI70&gt;1,INDEX(Skills_Table,'System Lookups'!$AH70-4,HLOOKUP("current df",Skill_Columns,2,FALSE))," ")</f>
        <v xml:space="preserve"> </v>
      </c>
      <c r="AV70" s="1332"/>
      <c r="AW70" s="1324" t="str">
        <f>IF('System Lookups'!$AI70&gt;1,INDEX(Skills_Table,'System Lookups'!$AH70-4,HLOOKUP(IF(ISNA(AZ70),"BCS% - Unskilled","BCS% - Skilled"),Skill_Columns,2,FALSE))," ")</f>
        <v xml:space="preserve"> </v>
      </c>
      <c r="AX70" s="1324"/>
      <c r="AY70" s="1324"/>
      <c r="AZ70" s="1331" t="str">
        <f>IF('System Lookups'!$AI70&gt;1,INDEX(Skills_Table,'System Lookups'!$AH70-4,HLOOKUP("Effective Level",Skill_Columns,2,FALSE))," ")</f>
        <v xml:space="preserve"> </v>
      </c>
      <c r="BA70" s="1332"/>
      <c r="BB70" s="1324" t="str">
        <f>IF('System Lookups'!$AI70&gt;1,INDEX(Skills_Table,'System Lookups'!$AH70-4,HLOOKUP("Attribute Bonus",Skill_Columns,2,FALSE))," ")</f>
        <v xml:space="preserve"> </v>
      </c>
      <c r="BC70" s="1324"/>
      <c r="BD70" s="1324"/>
      <c r="BE70" s="1324" t="str">
        <f>IF('System Lookups'!$AI70&gt;1,INDEX(Skills_Table,'System Lookups'!$AH70-4,HLOOKUP("Personal Skill Factor",Skill_Columns,2,FALSE))," ")</f>
        <v xml:space="preserve"> </v>
      </c>
      <c r="BF70" s="1325"/>
      <c r="BG70" s="1324" t="str">
        <f>IF('System Lookups'!$AI70&gt;1,INDEX(Skills_Table,'System Lookups'!$AH70-4,HLOOKUP("Total Skill Chance",Skill_Columns,2,FALSE))," ")</f>
        <v xml:space="preserve"> </v>
      </c>
      <c r="BH70" s="1325"/>
      <c r="BI70" s="1325"/>
      <c r="BJ70" s="466" t="str">
        <f>IF('System Lookups'!$AI70&gt;1,INDEX(Skills_Table,'System Lookups'!$AH70-4,HLOOKUP("Crit Die Modifier",Skill_Columns,2,FALSE))," ")</f>
        <v xml:space="preserve"> </v>
      </c>
      <c r="BK70" s="2461"/>
      <c r="BL70" s="577"/>
      <c r="BM70" s="1370"/>
      <c r="BN70" s="1721"/>
      <c r="BO70" s="1721"/>
      <c r="BP70" s="1721"/>
      <c r="BQ70" s="1721"/>
      <c r="BR70" s="1721"/>
      <c r="BS70" s="1721"/>
      <c r="BT70" s="1721"/>
      <c r="BU70" s="1721"/>
      <c r="BV70" s="1722"/>
      <c r="BW70" s="1331"/>
      <c r="BX70" s="1332"/>
      <c r="BY70" s="1331"/>
      <c r="BZ70" s="1332"/>
      <c r="CA70" s="1324"/>
      <c r="CB70" s="1324"/>
      <c r="CC70" s="1324"/>
      <c r="CD70" s="1331"/>
      <c r="CE70" s="1332"/>
      <c r="CF70" s="1404"/>
      <c r="CG70" s="1769"/>
      <c r="CH70" s="1770"/>
      <c r="CI70" s="1404"/>
      <c r="CJ70" s="1769"/>
      <c r="CK70" s="1770"/>
      <c r="CL70" s="1324"/>
      <c r="CM70" s="1873"/>
      <c r="CN70" s="1331"/>
      <c r="CO70" s="2297"/>
      <c r="CP70" s="1311"/>
      <c r="CQ70" s="2461"/>
    </row>
    <row r="71" spans="1:95" ht="15.75" customHeight="1" thickTop="1" thickBot="1">
      <c r="A71">
        <v>1</v>
      </c>
      <c r="B71"/>
      <c r="C71"/>
      <c r="D71"/>
      <c r="E71"/>
      <c r="F71"/>
      <c r="G71"/>
      <c r="H71"/>
      <c r="I71"/>
      <c r="J71"/>
      <c r="K71">
        <v>1</v>
      </c>
      <c r="L71"/>
      <c r="M71" s="1407" t="str">
        <f>IF('System Lookups'!$AE71&gt;1,INDEX(Skills_Table,'System Lookups'!$AD71-4,HLOOKUP("Skill Type",Skill_Columns,2,FALSE))," ")</f>
        <v xml:space="preserve"> </v>
      </c>
      <c r="N71" s="1408"/>
      <c r="O71" s="1333" t="str">
        <f>IF('System Lookups'!$AE71&gt;1,INDEX(Skills_Table,'System Lookups'!$AD71-4,HLOOKUP("current df",Skill_Columns,2,FALSE))," ")</f>
        <v xml:space="preserve"> </v>
      </c>
      <c r="P71" s="1334"/>
      <c r="Q71" s="1326" t="str">
        <f>IF('System Lookups'!$AE71&gt;1,INDEX(Skills_Table,'System Lookups'!$AD71-4,HLOOKUP(IF(ISNA(T71),"BCS% - Unskilled","BCS% - Skilled"),Skill_Columns,2,FALSE))," ")</f>
        <v xml:space="preserve"> </v>
      </c>
      <c r="R71" s="1326"/>
      <c r="S71" s="1326"/>
      <c r="T71" s="1333" t="str">
        <f>IF('System Lookups'!$AE71&gt;1,INDEX(Skills_Table,'System Lookups'!$AD71-4,HLOOKUP("Effective Level",Skill_Columns,2,FALSE))," ")</f>
        <v xml:space="preserve"> </v>
      </c>
      <c r="U71" s="1334"/>
      <c r="V71" s="1335" t="str">
        <f>IF('System Lookups'!$AE71&gt;1,INDEX(Skills_Table,'System Lookups'!$AD71-4,HLOOKUP("Attribute Bonus",Skill_Columns,2,FALSE))," ")</f>
        <v xml:space="preserve"> </v>
      </c>
      <c r="W71" s="1336"/>
      <c r="X71" s="1337"/>
      <c r="Y71" s="1326" t="str">
        <f>IF('System Lookups'!$AE71&gt;1,INDEX(Skills_Table,'System Lookups'!$AD71-4,HLOOKUP("Personal Skill Factor",Skill_Columns,2,FALSE))," ")</f>
        <v xml:space="preserve"> </v>
      </c>
      <c r="Z71" s="1327"/>
      <c r="AA71" s="1326" t="str">
        <f>IF('System Lookups'!$AE71&gt;1,INDEX(Skills_Table,'System Lookups'!$AD71-4,HLOOKUP("Total Skill Chance",Skill_Columns,2,FALSE))," ")</f>
        <v xml:space="preserve"> </v>
      </c>
      <c r="AB71" s="1327"/>
      <c r="AC71" s="1327"/>
      <c r="AD71" s="467" t="str">
        <f>IF('System Lookups'!$AE71&gt;1,INDEX(Skills_Table,'System Lookups'!$AD71-4,HLOOKUP("Crit Die Modifier",Skill_Columns,2,FALSE))," ")</f>
        <v xml:space="preserve"> </v>
      </c>
      <c r="AE71" s="2461"/>
      <c r="AF71" s="583"/>
      <c r="AG71">
        <v>1</v>
      </c>
      <c r="AH71"/>
      <c r="AI71"/>
      <c r="AJ71"/>
      <c r="AK71"/>
      <c r="AL71"/>
      <c r="AM71"/>
      <c r="AN71"/>
      <c r="AO71"/>
      <c r="AP71"/>
      <c r="AQ71">
        <v>1</v>
      </c>
      <c r="AR71"/>
      <c r="AS71" s="1407" t="str">
        <f>IF('System Lookups'!$AI71&gt;1,INDEX(Skills_Table,'System Lookups'!$AH71-4,HLOOKUP("Skill Type",Skill_Columns,2,FALSE))," ")</f>
        <v xml:space="preserve"> </v>
      </c>
      <c r="AT71" s="1408"/>
      <c r="AU71" s="1333" t="str">
        <f>IF('System Lookups'!$AI71&gt;1,INDEX(Skills_Table,'System Lookups'!$AH71-4,HLOOKUP("current df",Skill_Columns,2,FALSE))," ")</f>
        <v xml:space="preserve"> </v>
      </c>
      <c r="AV71" s="1334"/>
      <c r="AW71" s="1326" t="str">
        <f>IF('System Lookups'!$AI71&gt;1,INDEX(Skills_Table,'System Lookups'!$AH71-4,HLOOKUP(IF(ISNA(AZ71),"BCS% - Unskilled","BCS% - Skilled"),Skill_Columns,2,FALSE))," ")</f>
        <v xml:space="preserve"> </v>
      </c>
      <c r="AX71" s="1326"/>
      <c r="AY71" s="1326"/>
      <c r="AZ71" s="1333" t="str">
        <f>IF('System Lookups'!$AI71&gt;1,INDEX(Skills_Table,'System Lookups'!$AH71-4,HLOOKUP("Effective Level",Skill_Columns,2,FALSE))," ")</f>
        <v xml:space="preserve"> </v>
      </c>
      <c r="BA71" s="1334"/>
      <c r="BB71" s="1335" t="str">
        <f>IF('System Lookups'!$AI71&gt;1,INDEX(Skills_Table,'System Lookups'!$AH71-4,HLOOKUP("Attribute Bonus",Skill_Columns,2,FALSE))," ")</f>
        <v xml:space="preserve"> </v>
      </c>
      <c r="BC71" s="1336"/>
      <c r="BD71" s="1337"/>
      <c r="BE71" s="1326" t="str">
        <f>IF('System Lookups'!$AI71&gt;1,INDEX(Skills_Table,'System Lookups'!$AH71-4,HLOOKUP("Personal Skill Factor",Skill_Columns,2,FALSE))," ")</f>
        <v xml:space="preserve"> </v>
      </c>
      <c r="BF71" s="1327"/>
      <c r="BG71" s="1326" t="str">
        <f>IF('System Lookups'!$AI71&gt;1,INDEX(Skills_Table,'System Lookups'!$AH71-4,HLOOKUP("Total Skill Chance",Skill_Columns,2,FALSE))," ")</f>
        <v xml:space="preserve"> </v>
      </c>
      <c r="BH71" s="1327"/>
      <c r="BI71" s="1327"/>
      <c r="BJ71" s="467" t="str">
        <f>IF('System Lookups'!$AI71&gt;1,INDEX(Skills_Table,'System Lookups'!$AH71-4,HLOOKUP("Crit Die Modifier",Skill_Columns,2,FALSE))," ")</f>
        <v xml:space="preserve"> </v>
      </c>
      <c r="BK71" s="2461"/>
      <c r="BL71" s="577"/>
      <c r="BM71" s="1412"/>
      <c r="BN71" s="1344"/>
      <c r="BO71" s="1344"/>
      <c r="BP71" s="1344"/>
      <c r="BQ71" s="1344"/>
      <c r="BR71" s="1344"/>
      <c r="BS71" s="1344"/>
      <c r="BT71" s="1344"/>
      <c r="BU71" s="1344"/>
      <c r="BV71" s="1345"/>
      <c r="BW71" s="1333"/>
      <c r="BX71" s="1334"/>
      <c r="BY71" s="1333"/>
      <c r="BZ71" s="1334"/>
      <c r="CA71" s="1326"/>
      <c r="CB71" s="1326"/>
      <c r="CC71" s="1326"/>
      <c r="CD71" s="1333"/>
      <c r="CE71" s="1334"/>
      <c r="CF71" s="1335"/>
      <c r="CG71" s="1776"/>
      <c r="CH71" s="1777"/>
      <c r="CI71" s="1335"/>
      <c r="CJ71" s="1776"/>
      <c r="CK71" s="1777"/>
      <c r="CL71" s="1326"/>
      <c r="CM71" s="2095"/>
      <c r="CN71" s="1333"/>
      <c r="CO71" s="2466"/>
      <c r="CP71" s="1311"/>
      <c r="CQ71" s="2461"/>
    </row>
    <row r="72" spans="1:95" ht="15.75" customHeight="1" thickTop="1" thickBot="1">
      <c r="A72">
        <v>1</v>
      </c>
      <c r="B72"/>
      <c r="C72"/>
      <c r="D72"/>
      <c r="E72"/>
      <c r="F72"/>
      <c r="G72"/>
      <c r="H72"/>
      <c r="I72"/>
      <c r="J72"/>
      <c r="K72">
        <v>1</v>
      </c>
      <c r="L72"/>
      <c r="M72" s="1391" t="str">
        <f>IF('System Lookups'!$AE72&gt;1,INDEX(Skills_Table,'System Lookups'!$AD72-4,HLOOKUP("Skill Type",Skill_Columns,2,FALSE))," ")</f>
        <v xml:space="preserve"> </v>
      </c>
      <c r="N72" s="1392"/>
      <c r="O72" s="1331" t="str">
        <f>IF('System Lookups'!$AE72&gt;1,INDEX(Skills_Table,'System Lookups'!$AD72-4,HLOOKUP("current df",Skill_Columns,2,FALSE))," ")</f>
        <v xml:space="preserve"> </v>
      </c>
      <c r="P72" s="1332"/>
      <c r="Q72" s="1324" t="str">
        <f>IF('System Lookups'!$AE72&gt;1,INDEX(Skills_Table,'System Lookups'!$AD72-4,HLOOKUP(IF(ISNA(T72),"BCS% - Unskilled","BCS% - Skilled"),Skill_Columns,2,FALSE))," ")</f>
        <v xml:space="preserve"> </v>
      </c>
      <c r="R72" s="1324"/>
      <c r="S72" s="1324"/>
      <c r="T72" s="1331" t="str">
        <f>IF('System Lookups'!$AE72&gt;1,INDEX(Skills_Table,'System Lookups'!$AD72-4,HLOOKUP("Effective Level",Skill_Columns,2,FALSE))," ")</f>
        <v xml:space="preserve"> </v>
      </c>
      <c r="U72" s="1332"/>
      <c r="V72" s="1324" t="str">
        <f>IF('System Lookups'!$AE72&gt;1,INDEX(Skills_Table,'System Lookups'!$AD72-4,HLOOKUP("Attribute Bonus",Skill_Columns,2,FALSE))," ")</f>
        <v xml:space="preserve"> </v>
      </c>
      <c r="W72" s="1324"/>
      <c r="X72" s="1324"/>
      <c r="Y72" s="1324" t="str">
        <f>IF('System Lookups'!$AE72&gt;1,INDEX(Skills_Table,'System Lookups'!$AD72-4,HLOOKUP("Personal Skill Factor",Skill_Columns,2,FALSE))," ")</f>
        <v xml:space="preserve"> </v>
      </c>
      <c r="Z72" s="1325"/>
      <c r="AA72" s="1324" t="str">
        <f>IF('System Lookups'!$AE72&gt;1,INDEX(Skills_Table,'System Lookups'!$AD72-4,HLOOKUP("Total Skill Chance",Skill_Columns,2,FALSE))," ")</f>
        <v xml:space="preserve"> </v>
      </c>
      <c r="AB72" s="1325"/>
      <c r="AC72" s="1325"/>
      <c r="AD72" s="466" t="str">
        <f>IF('System Lookups'!$AE72&gt;1,INDEX(Skills_Table,'System Lookups'!$AD72-4,HLOOKUP("Crit Die Modifier",Skill_Columns,2,FALSE))," ")</f>
        <v xml:space="preserve"> </v>
      </c>
      <c r="AE72" s="2461"/>
      <c r="AF72" s="583"/>
      <c r="AG72">
        <v>1</v>
      </c>
      <c r="AH72"/>
      <c r="AI72"/>
      <c r="AJ72"/>
      <c r="AK72"/>
      <c r="AL72"/>
      <c r="AM72"/>
      <c r="AN72"/>
      <c r="AO72"/>
      <c r="AP72"/>
      <c r="AQ72">
        <v>1</v>
      </c>
      <c r="AR72"/>
      <c r="AS72" s="1391" t="str">
        <f>IF('System Lookups'!$AI72&gt;1,INDEX(Skills_Table,'System Lookups'!$AH72-4,HLOOKUP("Skill Type",Skill_Columns,2,FALSE))," ")</f>
        <v xml:space="preserve"> </v>
      </c>
      <c r="AT72" s="1392"/>
      <c r="AU72" s="1331" t="str">
        <f>IF('System Lookups'!$AI72&gt;1,INDEX(Skills_Table,'System Lookups'!$AH72-4,HLOOKUP("current df",Skill_Columns,2,FALSE))," ")</f>
        <v xml:space="preserve"> </v>
      </c>
      <c r="AV72" s="1332"/>
      <c r="AW72" s="1324" t="str">
        <f>IF('System Lookups'!$AI72&gt;1,INDEX(Skills_Table,'System Lookups'!$AH72-4,HLOOKUP(IF(ISNA(AZ72),"BCS% - Unskilled","BCS% - Skilled"),Skill_Columns,2,FALSE))," ")</f>
        <v xml:space="preserve"> </v>
      </c>
      <c r="AX72" s="1324"/>
      <c r="AY72" s="1324"/>
      <c r="AZ72" s="1331" t="str">
        <f>IF('System Lookups'!$AI72&gt;1,INDEX(Skills_Table,'System Lookups'!$AH72-4,HLOOKUP("Effective Level",Skill_Columns,2,FALSE))," ")</f>
        <v xml:space="preserve"> </v>
      </c>
      <c r="BA72" s="1332"/>
      <c r="BB72" s="1324" t="str">
        <f>IF('System Lookups'!$AI72&gt;1,INDEX(Skills_Table,'System Lookups'!$AH72-4,HLOOKUP("Attribute Bonus",Skill_Columns,2,FALSE))," ")</f>
        <v xml:space="preserve"> </v>
      </c>
      <c r="BC72" s="1324"/>
      <c r="BD72" s="1324"/>
      <c r="BE72" s="1324" t="str">
        <f>IF('System Lookups'!$AI72&gt;1,INDEX(Skills_Table,'System Lookups'!$AH72-4,HLOOKUP("Personal Skill Factor",Skill_Columns,2,FALSE))," ")</f>
        <v xml:space="preserve"> </v>
      </c>
      <c r="BF72" s="1325"/>
      <c r="BG72" s="1324" t="str">
        <f>IF('System Lookups'!$AI72&gt;1,INDEX(Skills_Table,'System Lookups'!$AH72-4,HLOOKUP("Total Skill Chance",Skill_Columns,2,FALSE))," ")</f>
        <v xml:space="preserve"> </v>
      </c>
      <c r="BH72" s="1325"/>
      <c r="BI72" s="1325"/>
      <c r="BJ72" s="466" t="str">
        <f>IF('System Lookups'!$AI72&gt;1,INDEX(Skills_Table,'System Lookups'!$AH72-4,HLOOKUP("Crit Die Modifier",Skill_Columns,2,FALSE))," ")</f>
        <v xml:space="preserve"> </v>
      </c>
      <c r="BK72" s="2461"/>
      <c r="BL72" s="577"/>
      <c r="BM72" s="1370"/>
      <c r="BN72" s="1721"/>
      <c r="BO72" s="1721"/>
      <c r="BP72" s="1721"/>
      <c r="BQ72" s="1721"/>
      <c r="BR72" s="1721"/>
      <c r="BS72" s="1721"/>
      <c r="BT72" s="1721"/>
      <c r="BU72" s="1721"/>
      <c r="BV72" s="1722"/>
      <c r="BW72" s="1331"/>
      <c r="BX72" s="1332"/>
      <c r="BY72" s="1331"/>
      <c r="BZ72" s="1332"/>
      <c r="CA72" s="1324"/>
      <c r="CB72" s="1324"/>
      <c r="CC72" s="1324"/>
      <c r="CD72" s="1331"/>
      <c r="CE72" s="1332"/>
      <c r="CF72" s="1404"/>
      <c r="CG72" s="1769"/>
      <c r="CH72" s="1770"/>
      <c r="CI72" s="1404"/>
      <c r="CJ72" s="1769"/>
      <c r="CK72" s="1770"/>
      <c r="CL72" s="1324"/>
      <c r="CM72" s="1873"/>
      <c r="CN72" s="1331"/>
      <c r="CO72" s="2297"/>
      <c r="CP72" s="1311"/>
      <c r="CQ72" s="2461"/>
    </row>
    <row r="73" spans="1:95" ht="15.75" customHeight="1" thickTop="1" thickBot="1">
      <c r="A73">
        <v>1</v>
      </c>
      <c r="B73"/>
      <c r="C73"/>
      <c r="D73"/>
      <c r="E73"/>
      <c r="F73"/>
      <c r="G73"/>
      <c r="H73"/>
      <c r="I73"/>
      <c r="J73"/>
      <c r="K73">
        <v>1</v>
      </c>
      <c r="L73"/>
      <c r="M73" s="1407" t="str">
        <f>IF('System Lookups'!$AE73&gt;1,INDEX(Skills_Table,'System Lookups'!$AD73-4,HLOOKUP("Skill Type",Skill_Columns,2,FALSE))," ")</f>
        <v xml:space="preserve"> </v>
      </c>
      <c r="N73" s="1408"/>
      <c r="O73" s="1333" t="str">
        <f>IF('System Lookups'!$AE73&gt;1,INDEX(Skills_Table,'System Lookups'!$AD73-4,HLOOKUP("current df",Skill_Columns,2,FALSE))," ")</f>
        <v xml:space="preserve"> </v>
      </c>
      <c r="P73" s="1334"/>
      <c r="Q73" s="1326" t="str">
        <f>IF('System Lookups'!$AE73&gt;1,INDEX(Skills_Table,'System Lookups'!$AD73-4,HLOOKUP(IF(ISNA(T73),"BCS% - Unskilled","BCS% - Skilled"),Skill_Columns,2,FALSE))," ")</f>
        <v xml:space="preserve"> </v>
      </c>
      <c r="R73" s="1326"/>
      <c r="S73" s="1326"/>
      <c r="T73" s="1333" t="str">
        <f>IF('System Lookups'!$AE73&gt;1,INDEX(Skills_Table,'System Lookups'!$AD73-4,HLOOKUP("Effective Level",Skill_Columns,2,FALSE))," ")</f>
        <v xml:space="preserve"> </v>
      </c>
      <c r="U73" s="1334"/>
      <c r="V73" s="1335" t="str">
        <f>IF('System Lookups'!$AE73&gt;1,INDEX(Skills_Table,'System Lookups'!$AD73-4,HLOOKUP("Attribute Bonus",Skill_Columns,2,FALSE))," ")</f>
        <v xml:space="preserve"> </v>
      </c>
      <c r="W73" s="1336"/>
      <c r="X73" s="1337"/>
      <c r="Y73" s="1326" t="str">
        <f>IF('System Lookups'!$AE73&gt;1,INDEX(Skills_Table,'System Lookups'!$AD73-4,HLOOKUP("Personal Skill Factor",Skill_Columns,2,FALSE))," ")</f>
        <v xml:space="preserve"> </v>
      </c>
      <c r="Z73" s="1327"/>
      <c r="AA73" s="1326" t="str">
        <f>IF('System Lookups'!$AE73&gt;1,INDEX(Skills_Table,'System Lookups'!$AD73-4,HLOOKUP("Total Skill Chance",Skill_Columns,2,FALSE))," ")</f>
        <v xml:space="preserve"> </v>
      </c>
      <c r="AB73" s="1327"/>
      <c r="AC73" s="1327"/>
      <c r="AD73" s="467" t="str">
        <f>IF('System Lookups'!$AE73&gt;1,INDEX(Skills_Table,'System Lookups'!$AD73-4,HLOOKUP("Crit Die Modifier",Skill_Columns,2,FALSE))," ")</f>
        <v xml:space="preserve"> </v>
      </c>
      <c r="AE73" s="2461"/>
      <c r="AF73" s="583"/>
      <c r="AG73">
        <v>1</v>
      </c>
      <c r="AH73"/>
      <c r="AI73"/>
      <c r="AJ73"/>
      <c r="AK73"/>
      <c r="AL73"/>
      <c r="AM73"/>
      <c r="AN73"/>
      <c r="AO73"/>
      <c r="AP73"/>
      <c r="AQ73">
        <v>1</v>
      </c>
      <c r="AR73"/>
      <c r="AS73" s="1407" t="str">
        <f>IF('System Lookups'!$AI73&gt;1,INDEX(Skills_Table,'System Lookups'!$AH73-4,HLOOKUP("Skill Type",Skill_Columns,2,FALSE))," ")</f>
        <v xml:space="preserve"> </v>
      </c>
      <c r="AT73" s="1408"/>
      <c r="AU73" s="1333" t="str">
        <f>IF('System Lookups'!$AI73&gt;1,INDEX(Skills_Table,'System Lookups'!$AH73-4,HLOOKUP("current df",Skill_Columns,2,FALSE))," ")</f>
        <v xml:space="preserve"> </v>
      </c>
      <c r="AV73" s="1334"/>
      <c r="AW73" s="1326" t="str">
        <f>IF('System Lookups'!$AI73&gt;1,INDEX(Skills_Table,'System Lookups'!$AH73-4,HLOOKUP(IF(ISNA(AZ73),"BCS% - Unskilled","BCS% - Skilled"),Skill_Columns,2,FALSE))," ")</f>
        <v xml:space="preserve"> </v>
      </c>
      <c r="AX73" s="1326"/>
      <c r="AY73" s="1326"/>
      <c r="AZ73" s="1333" t="str">
        <f>IF('System Lookups'!$AI73&gt;1,INDEX(Skills_Table,'System Lookups'!$AH73-4,HLOOKUP("Effective Level",Skill_Columns,2,FALSE))," ")</f>
        <v xml:space="preserve"> </v>
      </c>
      <c r="BA73" s="1334"/>
      <c r="BB73" s="1335" t="str">
        <f>IF('System Lookups'!$AI73&gt;1,INDEX(Skills_Table,'System Lookups'!$AH73-4,HLOOKUP("Attribute Bonus",Skill_Columns,2,FALSE))," ")</f>
        <v xml:space="preserve"> </v>
      </c>
      <c r="BC73" s="1336"/>
      <c r="BD73" s="1337"/>
      <c r="BE73" s="1326" t="str">
        <f>IF('System Lookups'!$AI73&gt;1,INDEX(Skills_Table,'System Lookups'!$AH73-4,HLOOKUP("Personal Skill Factor",Skill_Columns,2,FALSE))," ")</f>
        <v xml:space="preserve"> </v>
      </c>
      <c r="BF73" s="1327"/>
      <c r="BG73" s="1326" t="str">
        <f>IF('System Lookups'!$AI73&gt;1,INDEX(Skills_Table,'System Lookups'!$AH73-4,HLOOKUP("Total Skill Chance",Skill_Columns,2,FALSE))," ")</f>
        <v xml:space="preserve"> </v>
      </c>
      <c r="BH73" s="1327"/>
      <c r="BI73" s="1327"/>
      <c r="BJ73" s="467" t="str">
        <f>IF('System Lookups'!$AI73&gt;1,INDEX(Skills_Table,'System Lookups'!$AH73-4,HLOOKUP("Crit Die Modifier",Skill_Columns,2,FALSE))," ")</f>
        <v xml:space="preserve"> </v>
      </c>
      <c r="BK73" s="2461"/>
      <c r="BL73" s="577"/>
      <c r="BM73" s="1412"/>
      <c r="BN73" s="1344"/>
      <c r="BO73" s="1344"/>
      <c r="BP73" s="1344"/>
      <c r="BQ73" s="1344"/>
      <c r="BR73" s="1344"/>
      <c r="BS73" s="1344"/>
      <c r="BT73" s="1344"/>
      <c r="BU73" s="1344"/>
      <c r="BV73" s="1345"/>
      <c r="BW73" s="1333"/>
      <c r="BX73" s="1334"/>
      <c r="BY73" s="1333"/>
      <c r="BZ73" s="1334"/>
      <c r="CA73" s="1326"/>
      <c r="CB73" s="1326"/>
      <c r="CC73" s="1326"/>
      <c r="CD73" s="1333"/>
      <c r="CE73" s="1334"/>
      <c r="CF73" s="1335"/>
      <c r="CG73" s="1776"/>
      <c r="CH73" s="1777"/>
      <c r="CI73" s="1335"/>
      <c r="CJ73" s="1776"/>
      <c r="CK73" s="1777"/>
      <c r="CL73" s="1326"/>
      <c r="CM73" s="2095"/>
      <c r="CN73" s="1333"/>
      <c r="CO73" s="2466"/>
      <c r="CP73" s="1311"/>
      <c r="CQ73" s="2461"/>
    </row>
    <row r="74" spans="1:95" ht="15.75" customHeight="1" thickTop="1" thickBot="1">
      <c r="A74">
        <v>1</v>
      </c>
      <c r="B74"/>
      <c r="C74"/>
      <c r="D74"/>
      <c r="E74"/>
      <c r="F74"/>
      <c r="G74"/>
      <c r="H74"/>
      <c r="I74"/>
      <c r="J74"/>
      <c r="K74">
        <v>1</v>
      </c>
      <c r="L74"/>
      <c r="M74" s="1391" t="str">
        <f>IF('System Lookups'!$AE74&gt;1,INDEX(Skills_Table,'System Lookups'!$AD74-4,HLOOKUP("Skill Type",Skill_Columns,2,FALSE))," ")</f>
        <v xml:space="preserve"> </v>
      </c>
      <c r="N74" s="1392"/>
      <c r="O74" s="1331" t="str">
        <f>IF('System Lookups'!$AE74&gt;1,INDEX(Skills_Table,'System Lookups'!$AD74-4,HLOOKUP("current df",Skill_Columns,2,FALSE))," ")</f>
        <v xml:space="preserve"> </v>
      </c>
      <c r="P74" s="1332"/>
      <c r="Q74" s="1324" t="str">
        <f>IF('System Lookups'!$AE74&gt;1,INDEX(Skills_Table,'System Lookups'!$AD74-4,HLOOKUP(IF(ISNA(T74),"BCS% - Unskilled","BCS% - Skilled"),Skill_Columns,2,FALSE))," ")</f>
        <v xml:space="preserve"> </v>
      </c>
      <c r="R74" s="1324"/>
      <c r="S74" s="1324"/>
      <c r="T74" s="1331" t="str">
        <f>IF('System Lookups'!$AE74&gt;1,INDEX(Skills_Table,'System Lookups'!$AD74-4,HLOOKUP("Effective Level",Skill_Columns,2,FALSE))," ")</f>
        <v xml:space="preserve"> </v>
      </c>
      <c r="U74" s="1332"/>
      <c r="V74" s="1324" t="str">
        <f>IF('System Lookups'!$AE74&gt;1,INDEX(Skills_Table,'System Lookups'!$AD74-4,HLOOKUP("Attribute Bonus",Skill_Columns,2,FALSE))," ")</f>
        <v xml:space="preserve"> </v>
      </c>
      <c r="W74" s="1324"/>
      <c r="X74" s="1324"/>
      <c r="Y74" s="1324" t="str">
        <f>IF('System Lookups'!$AE74&gt;1,INDEX(Skills_Table,'System Lookups'!$AD74-4,HLOOKUP("Personal Skill Factor",Skill_Columns,2,FALSE))," ")</f>
        <v xml:space="preserve"> </v>
      </c>
      <c r="Z74" s="1325"/>
      <c r="AA74" s="1324" t="str">
        <f>IF('System Lookups'!$AE74&gt;1,INDEX(Skills_Table,'System Lookups'!$AD74-4,HLOOKUP("Total Skill Chance",Skill_Columns,2,FALSE))," ")</f>
        <v xml:space="preserve"> </v>
      </c>
      <c r="AB74" s="1325"/>
      <c r="AC74" s="1325"/>
      <c r="AD74" s="466" t="str">
        <f>IF('System Lookups'!$AE74&gt;1,INDEX(Skills_Table,'System Lookups'!$AD74-4,HLOOKUP("Crit Die Modifier",Skill_Columns,2,FALSE))," ")</f>
        <v xml:space="preserve"> </v>
      </c>
      <c r="AE74" s="2461"/>
      <c r="AF74" s="583"/>
      <c r="AG74">
        <v>1</v>
      </c>
      <c r="AH74"/>
      <c r="AI74"/>
      <c r="AJ74"/>
      <c r="AK74"/>
      <c r="AL74"/>
      <c r="AM74"/>
      <c r="AN74"/>
      <c r="AO74"/>
      <c r="AP74"/>
      <c r="AQ74">
        <v>1</v>
      </c>
      <c r="AR74"/>
      <c r="AS74" s="1391" t="str">
        <f>IF('System Lookups'!$AI74&gt;1,INDEX(Skills_Table,'System Lookups'!$AH74-4,HLOOKUP("Skill Type",Skill_Columns,2,FALSE))," ")</f>
        <v xml:space="preserve"> </v>
      </c>
      <c r="AT74" s="1392"/>
      <c r="AU74" s="1331" t="str">
        <f>IF('System Lookups'!$AI74&gt;1,INDEX(Skills_Table,'System Lookups'!$AH74-4,HLOOKUP("current df",Skill_Columns,2,FALSE))," ")</f>
        <v xml:space="preserve"> </v>
      </c>
      <c r="AV74" s="1332"/>
      <c r="AW74" s="1324" t="str">
        <f>IF('System Lookups'!$AI74&gt;1,INDEX(Skills_Table,'System Lookups'!$AH74-4,HLOOKUP(IF(ISNA(AZ74),"BCS% - Unskilled","BCS% - Skilled"),Skill_Columns,2,FALSE))," ")</f>
        <v xml:space="preserve"> </v>
      </c>
      <c r="AX74" s="1324"/>
      <c r="AY74" s="1324"/>
      <c r="AZ74" s="1331" t="str">
        <f>IF('System Lookups'!$AI74&gt;1,INDEX(Skills_Table,'System Lookups'!$AH74-4,HLOOKUP("Effective Level",Skill_Columns,2,FALSE))," ")</f>
        <v xml:space="preserve"> </v>
      </c>
      <c r="BA74" s="1332"/>
      <c r="BB74" s="1324" t="str">
        <f>IF('System Lookups'!$AI74&gt;1,INDEX(Skills_Table,'System Lookups'!$AH74-4,HLOOKUP("Attribute Bonus",Skill_Columns,2,FALSE))," ")</f>
        <v xml:space="preserve"> </v>
      </c>
      <c r="BC74" s="1324"/>
      <c r="BD74" s="1324"/>
      <c r="BE74" s="1324" t="str">
        <f>IF('System Lookups'!$AI74&gt;1,INDEX(Skills_Table,'System Lookups'!$AH74-4,HLOOKUP("Personal Skill Factor",Skill_Columns,2,FALSE))," ")</f>
        <v xml:space="preserve"> </v>
      </c>
      <c r="BF74" s="1325"/>
      <c r="BG74" s="1324" t="str">
        <f>IF('System Lookups'!$AI74&gt;1,INDEX(Skills_Table,'System Lookups'!$AH74-4,HLOOKUP("Total Skill Chance",Skill_Columns,2,FALSE))," ")</f>
        <v xml:space="preserve"> </v>
      </c>
      <c r="BH74" s="1325"/>
      <c r="BI74" s="1325"/>
      <c r="BJ74" s="466" t="str">
        <f>IF('System Lookups'!$AI74&gt;1,INDEX(Skills_Table,'System Lookups'!$AH74-4,HLOOKUP("Crit Die Modifier",Skill_Columns,2,FALSE))," ")</f>
        <v xml:space="preserve"> </v>
      </c>
      <c r="BK74" s="2461"/>
      <c r="BL74" s="577"/>
      <c r="BM74" s="1370"/>
      <c r="BN74" s="1721"/>
      <c r="BO74" s="1721"/>
      <c r="BP74" s="1721"/>
      <c r="BQ74" s="1721"/>
      <c r="BR74" s="1721"/>
      <c r="BS74" s="1721"/>
      <c r="BT74" s="1721"/>
      <c r="BU74" s="1721"/>
      <c r="BV74" s="1722"/>
      <c r="BW74" s="1331"/>
      <c r="BX74" s="1332"/>
      <c r="BY74" s="1331"/>
      <c r="BZ74" s="1332"/>
      <c r="CA74" s="1324"/>
      <c r="CB74" s="1324"/>
      <c r="CC74" s="1324"/>
      <c r="CD74" s="1331"/>
      <c r="CE74" s="1332"/>
      <c r="CF74" s="1404"/>
      <c r="CG74" s="1769"/>
      <c r="CH74" s="1770"/>
      <c r="CI74" s="1404"/>
      <c r="CJ74" s="1769"/>
      <c r="CK74" s="1770"/>
      <c r="CL74" s="1324"/>
      <c r="CM74" s="1873"/>
      <c r="CN74" s="1331"/>
      <c r="CO74" s="2297"/>
      <c r="CP74" s="1311"/>
      <c r="CQ74" s="2461"/>
    </row>
    <row r="75" spans="1:95" ht="15.75" customHeight="1" thickTop="1" thickBot="1">
      <c r="A75">
        <v>1</v>
      </c>
      <c r="B75"/>
      <c r="C75"/>
      <c r="D75"/>
      <c r="E75"/>
      <c r="F75"/>
      <c r="G75"/>
      <c r="H75"/>
      <c r="I75"/>
      <c r="J75"/>
      <c r="K75">
        <v>1</v>
      </c>
      <c r="L75"/>
      <c r="M75" s="1407" t="str">
        <f>IF('System Lookups'!$AE75&gt;1,INDEX(Skills_Table,'System Lookups'!$AD75-4,HLOOKUP("Skill Type",Skill_Columns,2,FALSE))," ")</f>
        <v xml:space="preserve"> </v>
      </c>
      <c r="N75" s="1408"/>
      <c r="O75" s="1333" t="str">
        <f>IF('System Lookups'!$AE75&gt;1,INDEX(Skills_Table,'System Lookups'!$AD75-4,HLOOKUP("current df",Skill_Columns,2,FALSE))," ")</f>
        <v xml:space="preserve"> </v>
      </c>
      <c r="P75" s="1334"/>
      <c r="Q75" s="1326" t="str">
        <f>IF('System Lookups'!$AE75&gt;1,INDEX(Skills_Table,'System Lookups'!$AD75-4,HLOOKUP(IF(ISNA(T75),"BCS% - Unskilled","BCS% - Skilled"),Skill_Columns,2,FALSE))," ")</f>
        <v xml:space="preserve"> </v>
      </c>
      <c r="R75" s="1326"/>
      <c r="S75" s="1326"/>
      <c r="T75" s="1333" t="str">
        <f>IF('System Lookups'!$AE75&gt;1,INDEX(Skills_Table,'System Lookups'!$AD75-4,HLOOKUP("Effective Level",Skill_Columns,2,FALSE))," ")</f>
        <v xml:space="preserve"> </v>
      </c>
      <c r="U75" s="1334"/>
      <c r="V75" s="1335" t="str">
        <f>IF('System Lookups'!$AE75&gt;1,INDEX(Skills_Table,'System Lookups'!$AD75-4,HLOOKUP("Attribute Bonus",Skill_Columns,2,FALSE))," ")</f>
        <v xml:space="preserve"> </v>
      </c>
      <c r="W75" s="1336"/>
      <c r="X75" s="1337"/>
      <c r="Y75" s="1326" t="str">
        <f>IF('System Lookups'!$AE75&gt;1,INDEX(Skills_Table,'System Lookups'!$AD75-4,HLOOKUP("Personal Skill Factor",Skill_Columns,2,FALSE))," ")</f>
        <v xml:space="preserve"> </v>
      </c>
      <c r="Z75" s="1327"/>
      <c r="AA75" s="1326" t="str">
        <f>IF('System Lookups'!$AE75&gt;1,INDEX(Skills_Table,'System Lookups'!$AD75-4,HLOOKUP("Total Skill Chance",Skill_Columns,2,FALSE))," ")</f>
        <v xml:space="preserve"> </v>
      </c>
      <c r="AB75" s="1327"/>
      <c r="AC75" s="1327"/>
      <c r="AD75" s="467" t="str">
        <f>IF('System Lookups'!$AE75&gt;1,INDEX(Skills_Table,'System Lookups'!$AD75-4,HLOOKUP("Crit Die Modifier",Skill_Columns,2,FALSE))," ")</f>
        <v xml:space="preserve"> </v>
      </c>
      <c r="AE75" s="2461"/>
      <c r="AF75" s="583"/>
      <c r="AG75">
        <v>1</v>
      </c>
      <c r="AH75"/>
      <c r="AI75"/>
      <c r="AJ75"/>
      <c r="AK75"/>
      <c r="AL75"/>
      <c r="AM75"/>
      <c r="AN75"/>
      <c r="AO75"/>
      <c r="AP75"/>
      <c r="AQ75">
        <v>1</v>
      </c>
      <c r="AR75"/>
      <c r="AS75" s="1407" t="str">
        <f>IF('System Lookups'!$AI75&gt;1,INDEX(Skills_Table,'System Lookups'!$AH75-4,HLOOKUP("Skill Type",Skill_Columns,2,FALSE))," ")</f>
        <v xml:space="preserve"> </v>
      </c>
      <c r="AT75" s="1408"/>
      <c r="AU75" s="1333" t="str">
        <f>IF('System Lookups'!$AI75&gt;1,INDEX(Skills_Table,'System Lookups'!$AH75-4,HLOOKUP("current df",Skill_Columns,2,FALSE))," ")</f>
        <v xml:space="preserve"> </v>
      </c>
      <c r="AV75" s="1334"/>
      <c r="AW75" s="1326" t="str">
        <f>IF('System Lookups'!$AI75&gt;1,INDEX(Skills_Table,'System Lookups'!$AH75-4,HLOOKUP(IF(ISNA(AZ75),"BCS% - Unskilled","BCS% - Skilled"),Skill_Columns,2,FALSE))," ")</f>
        <v xml:space="preserve"> </v>
      </c>
      <c r="AX75" s="1326"/>
      <c r="AY75" s="1326"/>
      <c r="AZ75" s="1333" t="str">
        <f>IF('System Lookups'!$AI75&gt;1,INDEX(Skills_Table,'System Lookups'!$AH75-4,HLOOKUP("Effective Level",Skill_Columns,2,FALSE))," ")</f>
        <v xml:space="preserve"> </v>
      </c>
      <c r="BA75" s="1334"/>
      <c r="BB75" s="1335" t="str">
        <f>IF('System Lookups'!$AI75&gt;1,INDEX(Skills_Table,'System Lookups'!$AH75-4,HLOOKUP("Attribute Bonus",Skill_Columns,2,FALSE))," ")</f>
        <v xml:space="preserve"> </v>
      </c>
      <c r="BC75" s="1336"/>
      <c r="BD75" s="1337"/>
      <c r="BE75" s="1326" t="str">
        <f>IF('System Lookups'!$AI75&gt;1,INDEX(Skills_Table,'System Lookups'!$AH75-4,HLOOKUP("Personal Skill Factor",Skill_Columns,2,FALSE))," ")</f>
        <v xml:space="preserve"> </v>
      </c>
      <c r="BF75" s="1327"/>
      <c r="BG75" s="1326" t="str">
        <f>IF('System Lookups'!$AI75&gt;1,INDEX(Skills_Table,'System Lookups'!$AH75-4,HLOOKUP("Total Skill Chance",Skill_Columns,2,FALSE))," ")</f>
        <v xml:space="preserve"> </v>
      </c>
      <c r="BH75" s="1327"/>
      <c r="BI75" s="1327"/>
      <c r="BJ75" s="467" t="str">
        <f>IF('System Lookups'!$AI75&gt;1,INDEX(Skills_Table,'System Lookups'!$AH75-4,HLOOKUP("Crit Die Modifier",Skill_Columns,2,FALSE))," ")</f>
        <v xml:space="preserve"> </v>
      </c>
      <c r="BK75" s="2461"/>
      <c r="BL75" s="577"/>
      <c r="BM75" s="1412"/>
      <c r="BN75" s="1344"/>
      <c r="BO75" s="1344"/>
      <c r="BP75" s="1344"/>
      <c r="BQ75" s="1344"/>
      <c r="BR75" s="1344"/>
      <c r="BS75" s="1344"/>
      <c r="BT75" s="1344"/>
      <c r="BU75" s="1344"/>
      <c r="BV75" s="1345"/>
      <c r="BW75" s="1333"/>
      <c r="BX75" s="1334"/>
      <c r="BY75" s="1333"/>
      <c r="BZ75" s="1334"/>
      <c r="CA75" s="1326"/>
      <c r="CB75" s="1326"/>
      <c r="CC75" s="1326"/>
      <c r="CD75" s="1333"/>
      <c r="CE75" s="1334"/>
      <c r="CF75" s="1335"/>
      <c r="CG75" s="1776"/>
      <c r="CH75" s="1777"/>
      <c r="CI75" s="1335"/>
      <c r="CJ75" s="1776"/>
      <c r="CK75" s="1777"/>
      <c r="CL75" s="1326"/>
      <c r="CM75" s="2095"/>
      <c r="CN75" s="1333"/>
      <c r="CO75" s="2466"/>
      <c r="CP75" s="1311"/>
      <c r="CQ75" s="2461"/>
    </row>
    <row r="76" spans="1:95" ht="15.75" customHeight="1" thickTop="1" thickBot="1">
      <c r="A76">
        <v>1</v>
      </c>
      <c r="B76"/>
      <c r="C76"/>
      <c r="D76"/>
      <c r="E76"/>
      <c r="F76"/>
      <c r="G76"/>
      <c r="H76"/>
      <c r="I76"/>
      <c r="J76"/>
      <c r="K76">
        <v>1</v>
      </c>
      <c r="L76"/>
      <c r="M76" s="1391" t="str">
        <f>IF('System Lookups'!$AE76&gt;1,INDEX(Skills_Table,'System Lookups'!$AD76-4,HLOOKUP("Skill Type",Skill_Columns,2,FALSE))," ")</f>
        <v xml:space="preserve"> </v>
      </c>
      <c r="N76" s="1392"/>
      <c r="O76" s="1331" t="str">
        <f>IF('System Lookups'!$AE76&gt;1,INDEX(Skills_Table,'System Lookups'!$AD76-4,HLOOKUP("current df",Skill_Columns,2,FALSE))," ")</f>
        <v xml:space="preserve"> </v>
      </c>
      <c r="P76" s="1332"/>
      <c r="Q76" s="1324" t="str">
        <f>IF('System Lookups'!$AE76&gt;1,INDEX(Skills_Table,'System Lookups'!$AD76-4,HLOOKUP(IF(ISNA(T76),"BCS% - Unskilled","BCS% - Skilled"),Skill_Columns,2,FALSE))," ")</f>
        <v xml:space="preserve"> </v>
      </c>
      <c r="R76" s="1324"/>
      <c r="S76" s="1324"/>
      <c r="T76" s="1331" t="str">
        <f>IF('System Lookups'!$AE76&gt;1,INDEX(Skills_Table,'System Lookups'!$AD76-4,HLOOKUP("Effective Level",Skill_Columns,2,FALSE))," ")</f>
        <v xml:space="preserve"> </v>
      </c>
      <c r="U76" s="1332"/>
      <c r="V76" s="1324" t="str">
        <f>IF('System Lookups'!$AE76&gt;1,INDEX(Skills_Table,'System Lookups'!$AD76-4,HLOOKUP("Attribute Bonus",Skill_Columns,2,FALSE))," ")</f>
        <v xml:space="preserve"> </v>
      </c>
      <c r="W76" s="1324"/>
      <c r="X76" s="1324"/>
      <c r="Y76" s="1324" t="str">
        <f>IF('System Lookups'!$AE76&gt;1,INDEX(Skills_Table,'System Lookups'!$AD76-4,HLOOKUP("Personal Skill Factor",Skill_Columns,2,FALSE))," ")</f>
        <v xml:space="preserve"> </v>
      </c>
      <c r="Z76" s="1325"/>
      <c r="AA76" s="1324" t="str">
        <f>IF('System Lookups'!$AE76&gt;1,INDEX(Skills_Table,'System Lookups'!$AD76-4,HLOOKUP("Total Skill Chance",Skill_Columns,2,FALSE))," ")</f>
        <v xml:space="preserve"> </v>
      </c>
      <c r="AB76" s="1325"/>
      <c r="AC76" s="1325"/>
      <c r="AD76" s="466" t="str">
        <f>IF('System Lookups'!$AE76&gt;1,INDEX(Skills_Table,'System Lookups'!$AD76-4,HLOOKUP("Crit Die Modifier",Skill_Columns,2,FALSE))," ")</f>
        <v xml:space="preserve"> </v>
      </c>
      <c r="AE76" s="2461"/>
      <c r="AF76" s="583"/>
      <c r="AG76">
        <v>1</v>
      </c>
      <c r="AH76"/>
      <c r="AI76"/>
      <c r="AJ76"/>
      <c r="AK76"/>
      <c r="AL76"/>
      <c r="AM76"/>
      <c r="AN76"/>
      <c r="AO76"/>
      <c r="AP76"/>
      <c r="AQ76">
        <v>1</v>
      </c>
      <c r="AR76"/>
      <c r="AS76" s="1391" t="str">
        <f>IF('System Lookups'!$AI76&gt;1,INDEX(Skills_Table,'System Lookups'!$AH76-4,HLOOKUP("Skill Type",Skill_Columns,2,FALSE))," ")</f>
        <v xml:space="preserve"> </v>
      </c>
      <c r="AT76" s="1392"/>
      <c r="AU76" s="1331" t="str">
        <f>IF('System Lookups'!$AI76&gt;1,INDEX(Skills_Table,'System Lookups'!$AH76-4,HLOOKUP("current df",Skill_Columns,2,FALSE))," ")</f>
        <v xml:space="preserve"> </v>
      </c>
      <c r="AV76" s="1332"/>
      <c r="AW76" s="1324" t="str">
        <f>IF('System Lookups'!$AI76&gt;1,INDEX(Skills_Table,'System Lookups'!$AH76-4,HLOOKUP(IF(ISNA(AZ76),"BCS% - Unskilled","BCS% - Skilled"),Skill_Columns,2,FALSE))," ")</f>
        <v xml:space="preserve"> </v>
      </c>
      <c r="AX76" s="1324"/>
      <c r="AY76" s="1324"/>
      <c r="AZ76" s="1331" t="str">
        <f>IF('System Lookups'!$AI76&gt;1,INDEX(Skills_Table,'System Lookups'!$AH76-4,HLOOKUP("Effective Level",Skill_Columns,2,FALSE))," ")</f>
        <v xml:space="preserve"> </v>
      </c>
      <c r="BA76" s="1332"/>
      <c r="BB76" s="1324" t="str">
        <f>IF('System Lookups'!$AI76&gt;1,INDEX(Skills_Table,'System Lookups'!$AH76-4,HLOOKUP("Attribute Bonus",Skill_Columns,2,FALSE))," ")</f>
        <v xml:space="preserve"> </v>
      </c>
      <c r="BC76" s="1324"/>
      <c r="BD76" s="1324"/>
      <c r="BE76" s="1324" t="str">
        <f>IF('System Lookups'!$AI76&gt;1,INDEX(Skills_Table,'System Lookups'!$AH76-4,HLOOKUP("Personal Skill Factor",Skill_Columns,2,FALSE))," ")</f>
        <v xml:space="preserve"> </v>
      </c>
      <c r="BF76" s="1325"/>
      <c r="BG76" s="1324" t="str">
        <f>IF('System Lookups'!$AI76&gt;1,INDEX(Skills_Table,'System Lookups'!$AH76-4,HLOOKUP("Total Skill Chance",Skill_Columns,2,FALSE))," ")</f>
        <v xml:space="preserve"> </v>
      </c>
      <c r="BH76" s="1325"/>
      <c r="BI76" s="1325"/>
      <c r="BJ76" s="466" t="str">
        <f>IF('System Lookups'!$AI76&gt;1,INDEX(Skills_Table,'System Lookups'!$AH76-4,HLOOKUP("Crit Die Modifier",Skill_Columns,2,FALSE))," ")</f>
        <v xml:space="preserve"> </v>
      </c>
      <c r="BK76" s="2461"/>
      <c r="BL76" s="577"/>
      <c r="BM76" s="1370"/>
      <c r="BN76" s="1721"/>
      <c r="BO76" s="1721"/>
      <c r="BP76" s="1721"/>
      <c r="BQ76" s="1721"/>
      <c r="BR76" s="1721"/>
      <c r="BS76" s="1721"/>
      <c r="BT76" s="1721"/>
      <c r="BU76" s="1721"/>
      <c r="BV76" s="1722"/>
      <c r="BW76" s="1331"/>
      <c r="BX76" s="1332"/>
      <c r="BY76" s="1331"/>
      <c r="BZ76" s="1332"/>
      <c r="CA76" s="1324"/>
      <c r="CB76" s="1324"/>
      <c r="CC76" s="1324"/>
      <c r="CD76" s="1331"/>
      <c r="CE76" s="1332"/>
      <c r="CF76" s="1404"/>
      <c r="CG76" s="1769"/>
      <c r="CH76" s="1770"/>
      <c r="CI76" s="1404"/>
      <c r="CJ76" s="1769"/>
      <c r="CK76" s="1770"/>
      <c r="CL76" s="1324"/>
      <c r="CM76" s="1873"/>
      <c r="CN76" s="1331"/>
      <c r="CO76" s="2297"/>
      <c r="CP76" s="1311"/>
      <c r="CQ76" s="2461"/>
    </row>
    <row r="77" spans="1:95" ht="15.75" customHeight="1" thickTop="1" thickBot="1">
      <c r="A77">
        <v>20</v>
      </c>
      <c r="B77"/>
      <c r="C77"/>
      <c r="D77"/>
      <c r="E77"/>
      <c r="F77"/>
      <c r="G77"/>
      <c r="H77"/>
      <c r="I77"/>
      <c r="J77"/>
      <c r="K77">
        <v>1</v>
      </c>
      <c r="L77"/>
      <c r="M77" s="1407" t="str">
        <f>IF('System Lookups'!$AE77&gt;1,INDEX(Skills_Table,'System Lookups'!$AD77-4,HLOOKUP("Skill Type",Skill_Columns,2,FALSE))," ")</f>
        <v xml:space="preserve"> </v>
      </c>
      <c r="N77" s="1408"/>
      <c r="O77" s="1333" t="str">
        <f>IF('System Lookups'!$AE77&gt;1,INDEX(Skills_Table,'System Lookups'!$AD77-4,HLOOKUP("current df",Skill_Columns,2,FALSE))," ")</f>
        <v xml:space="preserve"> </v>
      </c>
      <c r="P77" s="1334"/>
      <c r="Q77" s="1326" t="str">
        <f>IF('System Lookups'!$AE77&gt;1,INDEX(Skills_Table,'System Lookups'!$AD77-4,HLOOKUP(IF(ISNA(T77),"BCS% - Unskilled","BCS% - Skilled"),Skill_Columns,2,FALSE))," ")</f>
        <v xml:space="preserve"> </v>
      </c>
      <c r="R77" s="1326"/>
      <c r="S77" s="1326"/>
      <c r="T77" s="1333" t="str">
        <f>IF('System Lookups'!$AE77&gt;1,INDEX(Skills_Table,'System Lookups'!$AD77-4,HLOOKUP("Effective Level",Skill_Columns,2,FALSE))," ")</f>
        <v xml:space="preserve"> </v>
      </c>
      <c r="U77" s="1334"/>
      <c r="V77" s="1335" t="str">
        <f>IF('System Lookups'!$AE77&gt;1,INDEX(Skills_Table,'System Lookups'!$AD77-4,HLOOKUP("Attribute Bonus",Skill_Columns,2,FALSE))," ")</f>
        <v xml:space="preserve"> </v>
      </c>
      <c r="W77" s="1336"/>
      <c r="X77" s="1337"/>
      <c r="Y77" s="1326" t="str">
        <f>IF('System Lookups'!$AE77&gt;1,INDEX(Skills_Table,'System Lookups'!$AD77-4,HLOOKUP("Personal Skill Factor",Skill_Columns,2,FALSE))," ")</f>
        <v xml:space="preserve"> </v>
      </c>
      <c r="Z77" s="1327"/>
      <c r="AA77" s="1326" t="str">
        <f>IF('System Lookups'!$AE77&gt;1,INDEX(Skills_Table,'System Lookups'!$AD77-4,HLOOKUP("Total Skill Chance",Skill_Columns,2,FALSE))," ")</f>
        <v xml:space="preserve"> </v>
      </c>
      <c r="AB77" s="1327"/>
      <c r="AC77" s="1327"/>
      <c r="AD77" s="467" t="str">
        <f>IF('System Lookups'!$AE77&gt;1,INDEX(Skills_Table,'System Lookups'!$AD77-4,HLOOKUP("Crit Die Modifier",Skill_Columns,2,FALSE))," ")</f>
        <v xml:space="preserve"> </v>
      </c>
      <c r="AE77" s="1443" t="s">
        <v>6190</v>
      </c>
      <c r="AF77" s="584"/>
      <c r="AG77">
        <v>1</v>
      </c>
      <c r="AH77"/>
      <c r="AI77"/>
      <c r="AJ77"/>
      <c r="AK77"/>
      <c r="AL77"/>
      <c r="AM77"/>
      <c r="AN77"/>
      <c r="AO77"/>
      <c r="AP77"/>
      <c r="AQ77">
        <v>1</v>
      </c>
      <c r="AR77"/>
      <c r="AS77" s="1407" t="str">
        <f>IF('System Lookups'!$AI77&gt;1,INDEX(Skills_Table,'System Lookups'!$AH77-4,HLOOKUP("Skill Type",Skill_Columns,2,FALSE))," ")</f>
        <v xml:space="preserve"> </v>
      </c>
      <c r="AT77" s="1408"/>
      <c r="AU77" s="1333" t="str">
        <f>IF('System Lookups'!$AI77&gt;1,INDEX(Skills_Table,'System Lookups'!$AH77-4,HLOOKUP("current df",Skill_Columns,2,FALSE))," ")</f>
        <v xml:space="preserve"> </v>
      </c>
      <c r="AV77" s="1334"/>
      <c r="AW77" s="1326" t="str">
        <f>IF('System Lookups'!$AI77&gt;1,INDEX(Skills_Table,'System Lookups'!$AH77-4,HLOOKUP(IF(ISNA(AZ77),"BCS% - Unskilled","BCS% - Skilled"),Skill_Columns,2,FALSE))," ")</f>
        <v xml:space="preserve"> </v>
      </c>
      <c r="AX77" s="1326"/>
      <c r="AY77" s="1326"/>
      <c r="AZ77" s="1333" t="str">
        <f>IF('System Lookups'!$AI77&gt;1,INDEX(Skills_Table,'System Lookups'!$AH77-4,HLOOKUP("Effective Level",Skill_Columns,2,FALSE))," ")</f>
        <v xml:space="preserve"> </v>
      </c>
      <c r="BA77" s="1334"/>
      <c r="BB77" s="1335" t="str">
        <f>IF('System Lookups'!$AI77&gt;1,INDEX(Skills_Table,'System Lookups'!$AH77-4,HLOOKUP("Attribute Bonus",Skill_Columns,2,FALSE))," ")</f>
        <v xml:space="preserve"> </v>
      </c>
      <c r="BC77" s="1336"/>
      <c r="BD77" s="1337"/>
      <c r="BE77" s="1326" t="str">
        <f>IF('System Lookups'!$AI77&gt;1,INDEX(Skills_Table,'System Lookups'!$AH77-4,HLOOKUP("Personal Skill Factor",Skill_Columns,2,FALSE))," ")</f>
        <v xml:space="preserve"> </v>
      </c>
      <c r="BF77" s="1327"/>
      <c r="BG77" s="1326" t="str">
        <f>IF('System Lookups'!$AI77&gt;1,INDEX(Skills_Table,'System Lookups'!$AH77-4,HLOOKUP("Total Skill Chance",Skill_Columns,2,FALSE))," ")</f>
        <v xml:space="preserve"> </v>
      </c>
      <c r="BH77" s="1327"/>
      <c r="BI77" s="1327"/>
      <c r="BJ77" s="467" t="str">
        <f>IF('System Lookups'!$AI77&gt;1,INDEX(Skills_Table,'System Lookups'!$AH77-4,HLOOKUP("Crit Die Modifier",Skill_Columns,2,FALSE))," ")</f>
        <v xml:space="preserve"> </v>
      </c>
      <c r="BK77" s="1443" t="s">
        <v>4334</v>
      </c>
      <c r="BL77" s="578"/>
      <c r="BM77" s="1412"/>
      <c r="BN77" s="1344"/>
      <c r="BO77" s="1344"/>
      <c r="BP77" s="1344"/>
      <c r="BQ77" s="1344"/>
      <c r="BR77" s="1344"/>
      <c r="BS77" s="1344"/>
      <c r="BT77" s="1344"/>
      <c r="BU77" s="1344"/>
      <c r="BV77" s="1345"/>
      <c r="BW77" s="1333"/>
      <c r="BX77" s="1334"/>
      <c r="BY77" s="1333"/>
      <c r="BZ77" s="1334"/>
      <c r="CA77" s="1326"/>
      <c r="CB77" s="1326"/>
      <c r="CC77" s="1326"/>
      <c r="CD77" s="1333"/>
      <c r="CE77" s="1334"/>
      <c r="CF77" s="1335"/>
      <c r="CG77" s="1776"/>
      <c r="CH77" s="1777"/>
      <c r="CI77" s="1335"/>
      <c r="CJ77" s="1776"/>
      <c r="CK77" s="1777"/>
      <c r="CL77" s="1326"/>
      <c r="CM77" s="2095"/>
      <c r="CN77" s="1333"/>
      <c r="CO77" s="2466"/>
      <c r="CP77" s="1311"/>
      <c r="CQ77" s="1443" t="s">
        <v>4334</v>
      </c>
    </row>
    <row r="78" spans="1:95" ht="15.75" customHeight="1" thickTop="1" thickBot="1">
      <c r="A78">
        <v>13</v>
      </c>
      <c r="B78"/>
      <c r="C78"/>
      <c r="D78"/>
      <c r="E78"/>
      <c r="F78"/>
      <c r="G78"/>
      <c r="H78"/>
      <c r="I78"/>
      <c r="J78"/>
      <c r="K78">
        <v>1</v>
      </c>
      <c r="L78"/>
      <c r="M78" s="1391" t="str">
        <f>IF('System Lookups'!$AE78&gt;1,INDEX(Skills_Table,'System Lookups'!$AD78-4,HLOOKUP("Skill Type",Skill_Columns,2,FALSE))," ")</f>
        <v xml:space="preserve"> </v>
      </c>
      <c r="N78" s="1392"/>
      <c r="O78" s="1331" t="str">
        <f>IF('System Lookups'!$AE78&gt;1,INDEX(Skills_Table,'System Lookups'!$AD78-4,HLOOKUP("current df",Skill_Columns,2,FALSE))," ")</f>
        <v xml:space="preserve"> </v>
      </c>
      <c r="P78" s="1332"/>
      <c r="Q78" s="1324" t="str">
        <f>IF('System Lookups'!$AE78&gt;1,INDEX(Skills_Table,'System Lookups'!$AD78-4,HLOOKUP(IF(ISNA(T78),"BCS% - Unskilled","BCS% - Skilled"),Skill_Columns,2,FALSE))," ")</f>
        <v xml:space="preserve"> </v>
      </c>
      <c r="R78" s="1324"/>
      <c r="S78" s="1324"/>
      <c r="T78" s="1331" t="str">
        <f>IF('System Lookups'!$AE78&gt;1,INDEX(Skills_Table,'System Lookups'!$AD78-4,HLOOKUP("Effective Level",Skill_Columns,2,FALSE))," ")</f>
        <v xml:space="preserve"> </v>
      </c>
      <c r="U78" s="1332"/>
      <c r="V78" s="1324" t="str">
        <f>IF('System Lookups'!$AE78&gt;1,INDEX(Skills_Table,'System Lookups'!$AD78-4,HLOOKUP("Attribute Bonus",Skill_Columns,2,FALSE))," ")</f>
        <v xml:space="preserve"> </v>
      </c>
      <c r="W78" s="1324"/>
      <c r="X78" s="1324"/>
      <c r="Y78" s="1324" t="str">
        <f>IF('System Lookups'!$AE78&gt;1,INDEX(Skills_Table,'System Lookups'!$AD78-4,HLOOKUP("Personal Skill Factor",Skill_Columns,2,FALSE))," ")</f>
        <v xml:space="preserve"> </v>
      </c>
      <c r="Z78" s="1325"/>
      <c r="AA78" s="1324" t="str">
        <f>IF('System Lookups'!$AE78&gt;1,INDEX(Skills_Table,'System Lookups'!$AD78-4,HLOOKUP("Total Skill Chance",Skill_Columns,2,FALSE))," ")</f>
        <v xml:space="preserve"> </v>
      </c>
      <c r="AB78" s="1325"/>
      <c r="AC78" s="1325"/>
      <c r="AD78" s="466" t="str">
        <f>IF('System Lookups'!$AE78&gt;1,INDEX(Skills_Table,'System Lookups'!$AD78-4,HLOOKUP("Crit Die Modifier",Skill_Columns,2,FALSE))," ")</f>
        <v xml:space="preserve"> </v>
      </c>
      <c r="AE78" s="2462"/>
      <c r="AF78" s="585"/>
      <c r="AG78">
        <v>1</v>
      </c>
      <c r="AH78"/>
      <c r="AI78"/>
      <c r="AJ78"/>
      <c r="AK78"/>
      <c r="AL78"/>
      <c r="AM78"/>
      <c r="AN78"/>
      <c r="AO78"/>
      <c r="AP78"/>
      <c r="AQ78">
        <v>1</v>
      </c>
      <c r="AR78"/>
      <c r="AS78" s="1391" t="str">
        <f>IF('System Lookups'!$AI78&gt;1,INDEX(Skills_Table,'System Lookups'!$AH78-4,HLOOKUP("Skill Type",Skill_Columns,2,FALSE))," ")</f>
        <v xml:space="preserve"> </v>
      </c>
      <c r="AT78" s="1392"/>
      <c r="AU78" s="1331" t="str">
        <f>IF('System Lookups'!$AI78&gt;1,INDEX(Skills_Table,'System Lookups'!$AH78-4,HLOOKUP("current df",Skill_Columns,2,FALSE))," ")</f>
        <v xml:space="preserve"> </v>
      </c>
      <c r="AV78" s="1332"/>
      <c r="AW78" s="1324" t="str">
        <f>IF('System Lookups'!$AI78&gt;1,INDEX(Skills_Table,'System Lookups'!$AH78-4,HLOOKUP(IF(ISNA(AZ78),"BCS% - Unskilled","BCS% - Skilled"),Skill_Columns,2,FALSE))," ")</f>
        <v xml:space="preserve"> </v>
      </c>
      <c r="AX78" s="1324"/>
      <c r="AY78" s="1324"/>
      <c r="AZ78" s="1331" t="str">
        <f>IF('System Lookups'!$AI78&gt;1,INDEX(Skills_Table,'System Lookups'!$AH78-4,HLOOKUP("Effective Level",Skill_Columns,2,FALSE))," ")</f>
        <v xml:space="preserve"> </v>
      </c>
      <c r="BA78" s="1332"/>
      <c r="BB78" s="1324" t="str">
        <f>IF('System Lookups'!$AI78&gt;1,INDEX(Skills_Table,'System Lookups'!$AH78-4,HLOOKUP("Attribute Bonus",Skill_Columns,2,FALSE))," ")</f>
        <v xml:space="preserve"> </v>
      </c>
      <c r="BC78" s="1324"/>
      <c r="BD78" s="1324"/>
      <c r="BE78" s="1324" t="str">
        <f>IF('System Lookups'!$AI78&gt;1,INDEX(Skills_Table,'System Lookups'!$AH78-4,HLOOKUP("Personal Skill Factor",Skill_Columns,2,FALSE))," ")</f>
        <v xml:space="preserve"> </v>
      </c>
      <c r="BF78" s="1325"/>
      <c r="BG78" s="1324" t="str">
        <f>IF('System Lookups'!$AI78&gt;1,INDEX(Skills_Table,'System Lookups'!$AH78-4,HLOOKUP("Total Skill Chance",Skill_Columns,2,FALSE))," ")</f>
        <v xml:space="preserve"> </v>
      </c>
      <c r="BH78" s="1325"/>
      <c r="BI78" s="1325"/>
      <c r="BJ78" s="466" t="str">
        <f>IF('System Lookups'!$AI78&gt;1,INDEX(Skills_Table,'System Lookups'!$AH78-4,HLOOKUP("Crit Die Modifier",Skill_Columns,2,FALSE))," ")</f>
        <v xml:space="preserve"> </v>
      </c>
      <c r="BK78" s="2462"/>
      <c r="BL78" s="579"/>
      <c r="BM78" s="1370"/>
      <c r="BN78" s="1721"/>
      <c r="BO78" s="1721"/>
      <c r="BP78" s="1721"/>
      <c r="BQ78" s="1721"/>
      <c r="BR78" s="1721"/>
      <c r="BS78" s="1721"/>
      <c r="BT78" s="1721"/>
      <c r="BU78" s="1721"/>
      <c r="BV78" s="1722"/>
      <c r="BW78" s="1331"/>
      <c r="BX78" s="1332"/>
      <c r="BY78" s="1331"/>
      <c r="BZ78" s="1332"/>
      <c r="CA78" s="1324"/>
      <c r="CB78" s="1324"/>
      <c r="CC78" s="1324"/>
      <c r="CD78" s="1331"/>
      <c r="CE78" s="1332"/>
      <c r="CF78" s="1404"/>
      <c r="CG78" s="1769"/>
      <c r="CH78" s="1770"/>
      <c r="CI78" s="1404"/>
      <c r="CJ78" s="1769"/>
      <c r="CK78" s="1770"/>
      <c r="CL78" s="1324"/>
      <c r="CM78" s="1873"/>
      <c r="CN78" s="1331"/>
      <c r="CO78" s="2297"/>
      <c r="CP78" s="1311"/>
      <c r="CQ78" s="2462"/>
    </row>
    <row r="79" spans="1:95" ht="15.75" customHeight="1" thickTop="1" thickBot="1">
      <c r="A79">
        <v>1</v>
      </c>
      <c r="B79"/>
      <c r="C79"/>
      <c r="D79"/>
      <c r="E79"/>
      <c r="F79"/>
      <c r="G79"/>
      <c r="H79"/>
      <c r="I79"/>
      <c r="J79"/>
      <c r="K79">
        <v>1</v>
      </c>
      <c r="L79"/>
      <c r="M79" s="1407" t="str">
        <f>IF('System Lookups'!$AE79&gt;1,INDEX(Skills_Table,'System Lookups'!$AD79-4,HLOOKUP("Skill Type",Skill_Columns,2,FALSE))," ")</f>
        <v xml:space="preserve"> </v>
      </c>
      <c r="N79" s="1408"/>
      <c r="O79" s="1333" t="str">
        <f>IF('System Lookups'!$AE79&gt;1,INDEX(Skills_Table,'System Lookups'!$AD79-4,HLOOKUP("current df",Skill_Columns,2,FALSE))," ")</f>
        <v xml:space="preserve"> </v>
      </c>
      <c r="P79" s="1334"/>
      <c r="Q79" s="1326" t="str">
        <f>IF('System Lookups'!$AE79&gt;1,INDEX(Skills_Table,'System Lookups'!$AD79-4,HLOOKUP(IF(ISNA(T79),"BCS% - Unskilled","BCS% - Skilled"),Skill_Columns,2,FALSE))," ")</f>
        <v xml:space="preserve"> </v>
      </c>
      <c r="R79" s="1326"/>
      <c r="S79" s="1326"/>
      <c r="T79" s="1333" t="str">
        <f>IF('System Lookups'!$AE79&gt;1,INDEX(Skills_Table,'System Lookups'!$AD79-4,HLOOKUP("Effective Level",Skill_Columns,2,FALSE))," ")</f>
        <v xml:space="preserve"> </v>
      </c>
      <c r="U79" s="1334"/>
      <c r="V79" s="1335" t="str">
        <f>IF('System Lookups'!$AE79&gt;1,INDEX(Skills_Table,'System Lookups'!$AD79-4,HLOOKUP("Attribute Bonus",Skill_Columns,2,FALSE))," ")</f>
        <v xml:space="preserve"> </v>
      </c>
      <c r="W79" s="1336"/>
      <c r="X79" s="1337"/>
      <c r="Y79" s="1326" t="str">
        <f>IF('System Lookups'!$AE79&gt;1,INDEX(Skills_Table,'System Lookups'!$AD79-4,HLOOKUP("Personal Skill Factor",Skill_Columns,2,FALSE))," ")</f>
        <v xml:space="preserve"> </v>
      </c>
      <c r="Z79" s="1327"/>
      <c r="AA79" s="1326" t="str">
        <f>IF('System Lookups'!$AE79&gt;1,INDEX(Skills_Table,'System Lookups'!$AD79-4,HLOOKUP("Total Skill Chance",Skill_Columns,2,FALSE))," ")</f>
        <v xml:space="preserve"> </v>
      </c>
      <c r="AB79" s="1327"/>
      <c r="AC79" s="1327"/>
      <c r="AD79" s="467" t="str">
        <f>IF('System Lookups'!$AE79&gt;1,INDEX(Skills_Table,'System Lookups'!$AD79-4,HLOOKUP("Crit Die Modifier",Skill_Columns,2,FALSE))," ")</f>
        <v xml:space="preserve"> </v>
      </c>
      <c r="AE79" s="2463"/>
      <c r="AF79" s="586"/>
      <c r="AG79">
        <v>1</v>
      </c>
      <c r="AH79"/>
      <c r="AI79"/>
      <c r="AJ79"/>
      <c r="AK79"/>
      <c r="AL79"/>
      <c r="AM79"/>
      <c r="AN79"/>
      <c r="AO79"/>
      <c r="AP79"/>
      <c r="AQ79">
        <v>1</v>
      </c>
      <c r="AR79"/>
      <c r="AS79" s="1407" t="str">
        <f>IF('System Lookups'!$AI79&gt;1,INDEX(Skills_Table,'System Lookups'!$AH79-4,HLOOKUP("Skill Type",Skill_Columns,2,FALSE))," ")</f>
        <v xml:space="preserve"> </v>
      </c>
      <c r="AT79" s="1408"/>
      <c r="AU79" s="1333" t="str">
        <f>IF('System Lookups'!$AI79&gt;1,INDEX(Skills_Table,'System Lookups'!$AH79-4,HLOOKUP("current df",Skill_Columns,2,FALSE))," ")</f>
        <v xml:space="preserve"> </v>
      </c>
      <c r="AV79" s="1334"/>
      <c r="AW79" s="1326" t="str">
        <f>IF('System Lookups'!$AI79&gt;1,INDEX(Skills_Table,'System Lookups'!$AH79-4,HLOOKUP(IF(ISNA(AZ79),"BCS% - Unskilled","BCS% - Skilled"),Skill_Columns,2,FALSE))," ")</f>
        <v xml:space="preserve"> </v>
      </c>
      <c r="AX79" s="1326"/>
      <c r="AY79" s="1326"/>
      <c r="AZ79" s="1333" t="str">
        <f>IF('System Lookups'!$AI79&gt;1,INDEX(Skills_Table,'System Lookups'!$AH79-4,HLOOKUP("Effective Level",Skill_Columns,2,FALSE))," ")</f>
        <v xml:space="preserve"> </v>
      </c>
      <c r="BA79" s="1334"/>
      <c r="BB79" s="1335" t="str">
        <f>IF('System Lookups'!$AI79&gt;1,INDEX(Skills_Table,'System Lookups'!$AH79-4,HLOOKUP("Attribute Bonus",Skill_Columns,2,FALSE))," ")</f>
        <v xml:space="preserve"> </v>
      </c>
      <c r="BC79" s="1336"/>
      <c r="BD79" s="1337"/>
      <c r="BE79" s="1326" t="str">
        <f>IF('System Lookups'!$AI79&gt;1,INDEX(Skills_Table,'System Lookups'!$AH79-4,HLOOKUP("Personal Skill Factor",Skill_Columns,2,FALSE))," ")</f>
        <v xml:space="preserve"> </v>
      </c>
      <c r="BF79" s="1327"/>
      <c r="BG79" s="1326" t="str">
        <f>IF('System Lookups'!$AI79&gt;1,INDEX(Skills_Table,'System Lookups'!$AH79-4,HLOOKUP("Total Skill Chance",Skill_Columns,2,FALSE))," ")</f>
        <v xml:space="preserve"> </v>
      </c>
      <c r="BH79" s="1327"/>
      <c r="BI79" s="1327"/>
      <c r="BJ79" s="467" t="str">
        <f>IF('System Lookups'!$AI79&gt;1,INDEX(Skills_Table,'System Lookups'!$AH79-4,HLOOKUP("Crit Die Modifier",Skill_Columns,2,FALSE))," ")</f>
        <v xml:space="preserve"> </v>
      </c>
      <c r="BK79" s="2463"/>
      <c r="BL79" s="580"/>
      <c r="BM79" s="1412"/>
      <c r="BN79" s="1344"/>
      <c r="BO79" s="1344"/>
      <c r="BP79" s="1344"/>
      <c r="BQ79" s="1344"/>
      <c r="BR79" s="1344"/>
      <c r="BS79" s="1344"/>
      <c r="BT79" s="1344"/>
      <c r="BU79" s="1344"/>
      <c r="BV79" s="1345"/>
      <c r="BW79" s="1333"/>
      <c r="BX79" s="1334"/>
      <c r="BY79" s="1333"/>
      <c r="BZ79" s="1334"/>
      <c r="CA79" s="1326"/>
      <c r="CB79" s="1326"/>
      <c r="CC79" s="1326"/>
      <c r="CD79" s="1333"/>
      <c r="CE79" s="1334"/>
      <c r="CF79" s="1335"/>
      <c r="CG79" s="1776"/>
      <c r="CH79" s="1777"/>
      <c r="CI79" s="1335"/>
      <c r="CJ79" s="1776"/>
      <c r="CK79" s="1777"/>
      <c r="CL79" s="1326"/>
      <c r="CM79" s="2095"/>
      <c r="CN79" s="1333"/>
      <c r="CO79" s="2466"/>
      <c r="CP79" s="1311"/>
      <c r="CQ79" s="2463"/>
    </row>
    <row r="80" spans="1:95" ht="15.75" customHeight="1" thickTop="1" thickBot="1">
      <c r="A80">
        <v>1</v>
      </c>
      <c r="B80"/>
      <c r="C80"/>
      <c r="D80"/>
      <c r="E80"/>
      <c r="F80"/>
      <c r="G80"/>
      <c r="H80"/>
      <c r="I80"/>
      <c r="J80"/>
      <c r="K80">
        <v>1</v>
      </c>
      <c r="L80"/>
      <c r="M80" s="1391" t="str">
        <f>IF('System Lookups'!$AE80&gt;1,INDEX(Skills_Table,'System Lookups'!$AD80-4,HLOOKUP("Skill Type",Skill_Columns,2,FALSE))," ")</f>
        <v xml:space="preserve"> </v>
      </c>
      <c r="N80" s="1392"/>
      <c r="O80" s="1331" t="str">
        <f>IF('System Lookups'!$AE80&gt;1,INDEX(Skills_Table,'System Lookups'!$AD80-4,HLOOKUP("current df",Skill_Columns,2,FALSE))," ")</f>
        <v xml:space="preserve"> </v>
      </c>
      <c r="P80" s="1332"/>
      <c r="Q80" s="1324" t="str">
        <f>IF('System Lookups'!$AE80&gt;1,INDEX(Skills_Table,'System Lookups'!$AD80-4,HLOOKUP(IF(ISNA(T80),"BCS% - Unskilled","BCS% - Skilled"),Skill_Columns,2,FALSE))," ")</f>
        <v xml:space="preserve"> </v>
      </c>
      <c r="R80" s="1324"/>
      <c r="S80" s="1324"/>
      <c r="T80" s="1331" t="str">
        <f>IF('System Lookups'!$AE80&gt;1,INDEX(Skills_Table,'System Lookups'!$AD80-4,HLOOKUP("Effective Level",Skill_Columns,2,FALSE))," ")</f>
        <v xml:space="preserve"> </v>
      </c>
      <c r="U80" s="1332"/>
      <c r="V80" s="1324" t="str">
        <f>IF('System Lookups'!$AE80&gt;1,INDEX(Skills_Table,'System Lookups'!$AD80-4,HLOOKUP("Attribute Bonus",Skill_Columns,2,FALSE))," ")</f>
        <v xml:space="preserve"> </v>
      </c>
      <c r="W80" s="1324"/>
      <c r="X80" s="1324"/>
      <c r="Y80" s="1324" t="str">
        <f>IF('System Lookups'!$AE80&gt;1,INDEX(Skills_Table,'System Lookups'!$AD80-4,HLOOKUP("Personal Skill Factor",Skill_Columns,2,FALSE))," ")</f>
        <v xml:space="preserve"> </v>
      </c>
      <c r="Z80" s="1325"/>
      <c r="AA80" s="1324" t="str">
        <f>IF('System Lookups'!$AE80&gt;1,INDEX(Skills_Table,'System Lookups'!$AD80-4,HLOOKUP("Total Skill Chance",Skill_Columns,2,FALSE))," ")</f>
        <v xml:space="preserve"> </v>
      </c>
      <c r="AB80" s="1325"/>
      <c r="AC80" s="1325"/>
      <c r="AD80" s="466" t="str">
        <f>IF('System Lookups'!$AE80&gt;1,INDEX(Skills_Table,'System Lookups'!$AD80-4,HLOOKUP("Crit Die Modifier",Skill_Columns,2,FALSE))," ")</f>
        <v xml:space="preserve"> </v>
      </c>
      <c r="AE80" s="2464"/>
      <c r="AF80" s="587"/>
      <c r="AG80">
        <v>1</v>
      </c>
      <c r="AH80"/>
      <c r="AI80"/>
      <c r="AJ80"/>
      <c r="AK80"/>
      <c r="AL80"/>
      <c r="AM80"/>
      <c r="AN80"/>
      <c r="AO80"/>
      <c r="AP80"/>
      <c r="AQ80">
        <v>1</v>
      </c>
      <c r="AR80"/>
      <c r="AS80" s="1391" t="str">
        <f>IF('System Lookups'!$AI80&gt;1,INDEX(Skills_Table,'System Lookups'!$AH80-4,HLOOKUP("Skill Type",Skill_Columns,2,FALSE))," ")</f>
        <v xml:space="preserve"> </v>
      </c>
      <c r="AT80" s="1392"/>
      <c r="AU80" s="1331" t="str">
        <f>IF('System Lookups'!$AI80&gt;1,INDEX(Skills_Table,'System Lookups'!$AH80-4,HLOOKUP("current df",Skill_Columns,2,FALSE))," ")</f>
        <v xml:space="preserve"> </v>
      </c>
      <c r="AV80" s="1332"/>
      <c r="AW80" s="1324" t="str">
        <f>IF('System Lookups'!$AI80&gt;1,INDEX(Skills_Table,'System Lookups'!$AH80-4,HLOOKUP(IF(ISNA(AZ80),"BCS% - Unskilled","BCS% - Skilled"),Skill_Columns,2,FALSE))," ")</f>
        <v xml:space="preserve"> </v>
      </c>
      <c r="AX80" s="1324"/>
      <c r="AY80" s="1324"/>
      <c r="AZ80" s="1331" t="str">
        <f>IF('System Lookups'!$AI80&gt;1,INDEX(Skills_Table,'System Lookups'!$AH80-4,HLOOKUP("Effective Level",Skill_Columns,2,FALSE))," ")</f>
        <v xml:space="preserve"> </v>
      </c>
      <c r="BA80" s="1332"/>
      <c r="BB80" s="1324" t="str">
        <f>IF('System Lookups'!$AI80&gt;1,INDEX(Skills_Table,'System Lookups'!$AH80-4,HLOOKUP("Attribute Bonus",Skill_Columns,2,FALSE))," ")</f>
        <v xml:space="preserve"> </v>
      </c>
      <c r="BC80" s="1324"/>
      <c r="BD80" s="1324"/>
      <c r="BE80" s="1324" t="str">
        <f>IF('System Lookups'!$AI80&gt;1,INDEX(Skills_Table,'System Lookups'!$AH80-4,HLOOKUP("Personal Skill Factor",Skill_Columns,2,FALSE))," ")</f>
        <v xml:space="preserve"> </v>
      </c>
      <c r="BF80" s="1325"/>
      <c r="BG80" s="1324" t="str">
        <f>IF('System Lookups'!$AI80&gt;1,INDEX(Skills_Table,'System Lookups'!$AH80-4,HLOOKUP("Total Skill Chance",Skill_Columns,2,FALSE))," ")</f>
        <v xml:space="preserve"> </v>
      </c>
      <c r="BH80" s="1325"/>
      <c r="BI80" s="1325"/>
      <c r="BJ80" s="466" t="str">
        <f>IF('System Lookups'!$AI80&gt;1,INDEX(Skills_Table,'System Lookups'!$AH80-4,HLOOKUP("Crit Die Modifier",Skill_Columns,2,FALSE))," ")</f>
        <v xml:space="preserve"> </v>
      </c>
      <c r="BK80" s="2464"/>
      <c r="BL80" s="581"/>
      <c r="BM80" s="1370"/>
      <c r="BN80" s="1721"/>
      <c r="BO80" s="1721"/>
      <c r="BP80" s="1721"/>
      <c r="BQ80" s="1721"/>
      <c r="BR80" s="1721"/>
      <c r="BS80" s="1721"/>
      <c r="BT80" s="1721"/>
      <c r="BU80" s="1721"/>
      <c r="BV80" s="1722"/>
      <c r="BW80" s="1331"/>
      <c r="BX80" s="1332"/>
      <c r="BY80" s="1331"/>
      <c r="BZ80" s="1332"/>
      <c r="CA80" s="1324"/>
      <c r="CB80" s="1324"/>
      <c r="CC80" s="1324"/>
      <c r="CD80" s="1331"/>
      <c r="CE80" s="1332"/>
      <c r="CF80" s="1404"/>
      <c r="CG80" s="1769"/>
      <c r="CH80" s="1770"/>
      <c r="CI80" s="1404"/>
      <c r="CJ80" s="1769"/>
      <c r="CK80" s="1770"/>
      <c r="CL80" s="1324"/>
      <c r="CM80" s="1873"/>
      <c r="CN80" s="1331"/>
      <c r="CO80" s="2297"/>
      <c r="CP80" s="1311"/>
      <c r="CQ80" s="2464"/>
    </row>
    <row r="81" spans="1:95" ht="15.75" customHeight="1" thickTop="1" thickBot="1">
      <c r="A81">
        <v>1</v>
      </c>
      <c r="B81"/>
      <c r="C81"/>
      <c r="D81"/>
      <c r="E81"/>
      <c r="F81"/>
      <c r="G81"/>
      <c r="H81"/>
      <c r="I81"/>
      <c r="J81"/>
      <c r="K81">
        <v>1</v>
      </c>
      <c r="L81"/>
      <c r="M81" s="1407" t="str">
        <f>IF('System Lookups'!$AE81&gt;1,INDEX(Skills_Table,'System Lookups'!$AD81-4,HLOOKUP("Skill Type",Skill_Columns,2,FALSE))," ")</f>
        <v xml:space="preserve"> </v>
      </c>
      <c r="N81" s="1408"/>
      <c r="O81" s="1333" t="str">
        <f>IF('System Lookups'!$AE81&gt;1,INDEX(Skills_Table,'System Lookups'!$AD81-4,HLOOKUP("current df",Skill_Columns,2,FALSE))," ")</f>
        <v xml:space="preserve"> </v>
      </c>
      <c r="P81" s="1334"/>
      <c r="Q81" s="1326" t="str">
        <f>IF('System Lookups'!$AE81&gt;1,INDEX(Skills_Table,'System Lookups'!$AD81-4,HLOOKUP(IF(ISNA(T81),"BCS% - Unskilled","BCS% - Skilled"),Skill_Columns,2,FALSE))," ")</f>
        <v xml:space="preserve"> </v>
      </c>
      <c r="R81" s="1326"/>
      <c r="S81" s="1326"/>
      <c r="T81" s="1333" t="str">
        <f>IF('System Lookups'!$AE81&gt;1,INDEX(Skills_Table,'System Lookups'!$AD81-4,HLOOKUP("Effective Level",Skill_Columns,2,FALSE))," ")</f>
        <v xml:space="preserve"> </v>
      </c>
      <c r="U81" s="1334"/>
      <c r="V81" s="1335" t="str">
        <f>IF('System Lookups'!$AE81&gt;1,INDEX(Skills_Table,'System Lookups'!$AD81-4,HLOOKUP("Attribute Bonus",Skill_Columns,2,FALSE))," ")</f>
        <v xml:space="preserve"> </v>
      </c>
      <c r="W81" s="1336"/>
      <c r="X81" s="1337"/>
      <c r="Y81" s="1326" t="str">
        <f>IF('System Lookups'!$AE81&gt;1,INDEX(Skills_Table,'System Lookups'!$AD81-4,HLOOKUP("Personal Skill Factor",Skill_Columns,2,FALSE))," ")</f>
        <v xml:space="preserve"> </v>
      </c>
      <c r="Z81" s="1327"/>
      <c r="AA81" s="1326" t="str">
        <f>IF('System Lookups'!$AE81&gt;1,INDEX(Skills_Table,'System Lookups'!$AD81-4,HLOOKUP("Total Skill Chance",Skill_Columns,2,FALSE))," ")</f>
        <v xml:space="preserve"> </v>
      </c>
      <c r="AB81" s="1327"/>
      <c r="AC81" s="1327"/>
      <c r="AD81" s="467" t="str">
        <f>IF('System Lookups'!$AE81&gt;1,INDEX(Skills_Table,'System Lookups'!$AD81-4,HLOOKUP("Crit Die Modifier",Skill_Columns,2,FALSE))," ")</f>
        <v xml:space="preserve"> </v>
      </c>
      <c r="AE81" s="2458" t="s">
        <v>4331</v>
      </c>
      <c r="AF81" s="588"/>
      <c r="AG81">
        <v>1</v>
      </c>
      <c r="AH81"/>
      <c r="AI81"/>
      <c r="AJ81"/>
      <c r="AK81"/>
      <c r="AL81"/>
      <c r="AM81"/>
      <c r="AN81"/>
      <c r="AO81"/>
      <c r="AP81"/>
      <c r="AQ81">
        <v>1</v>
      </c>
      <c r="AR81"/>
      <c r="AS81" s="1407" t="str">
        <f>IF('System Lookups'!$AI81&gt;1,INDEX(Skills_Table,'System Lookups'!$AH81-4,HLOOKUP("Skill Type",Skill_Columns,2,FALSE))," ")</f>
        <v xml:space="preserve"> </v>
      </c>
      <c r="AT81" s="1408"/>
      <c r="AU81" s="1333" t="str">
        <f>IF('System Lookups'!$AI81&gt;1,INDEX(Skills_Table,'System Lookups'!$AH81-4,HLOOKUP("current df",Skill_Columns,2,FALSE))," ")</f>
        <v xml:space="preserve"> </v>
      </c>
      <c r="AV81" s="1334"/>
      <c r="AW81" s="1326" t="str">
        <f>IF('System Lookups'!$AI81&gt;1,INDEX(Skills_Table,'System Lookups'!$AH81-4,HLOOKUP(IF(ISNA(AZ81),"BCS% - Unskilled","BCS% - Skilled"),Skill_Columns,2,FALSE))," ")</f>
        <v xml:space="preserve"> </v>
      </c>
      <c r="AX81" s="1326"/>
      <c r="AY81" s="1326"/>
      <c r="AZ81" s="1333" t="str">
        <f>IF('System Lookups'!$AI81&gt;1,INDEX(Skills_Table,'System Lookups'!$AH81-4,HLOOKUP("Effective Level",Skill_Columns,2,FALSE))," ")</f>
        <v xml:space="preserve"> </v>
      </c>
      <c r="BA81" s="1334"/>
      <c r="BB81" s="1335" t="str">
        <f>IF('System Lookups'!$AI81&gt;1,INDEX(Skills_Table,'System Lookups'!$AH81-4,HLOOKUP("Attribute Bonus",Skill_Columns,2,FALSE))," ")</f>
        <v xml:space="preserve"> </v>
      </c>
      <c r="BC81" s="1336"/>
      <c r="BD81" s="1337"/>
      <c r="BE81" s="1326" t="str">
        <f>IF('System Lookups'!$AI81&gt;1,INDEX(Skills_Table,'System Lookups'!$AH81-4,HLOOKUP("Personal Skill Factor",Skill_Columns,2,FALSE))," ")</f>
        <v xml:space="preserve"> </v>
      </c>
      <c r="BF81" s="1327"/>
      <c r="BG81" s="1326" t="str">
        <f>IF('System Lookups'!$AI81&gt;1,INDEX(Skills_Table,'System Lookups'!$AH81-4,HLOOKUP("Total Skill Chance",Skill_Columns,2,FALSE))," ")</f>
        <v xml:space="preserve"> </v>
      </c>
      <c r="BH81" s="1327"/>
      <c r="BI81" s="1327"/>
      <c r="BJ81" s="467" t="str">
        <f>IF('System Lookups'!$AI81&gt;1,INDEX(Skills_Table,'System Lookups'!$AH81-4,HLOOKUP("Crit Die Modifier",Skill_Columns,2,FALSE))," ")</f>
        <v xml:space="preserve"> </v>
      </c>
      <c r="BK81" s="2458" t="s">
        <v>4331</v>
      </c>
      <c r="BL81" s="577"/>
      <c r="BM81" s="1412"/>
      <c r="BN81" s="1344"/>
      <c r="BO81" s="1344"/>
      <c r="BP81" s="1344"/>
      <c r="BQ81" s="1344"/>
      <c r="BR81" s="1344"/>
      <c r="BS81" s="1344"/>
      <c r="BT81" s="1344"/>
      <c r="BU81" s="1344"/>
      <c r="BV81" s="1345"/>
      <c r="BW81" s="1333"/>
      <c r="BX81" s="1334"/>
      <c r="BY81" s="1333"/>
      <c r="BZ81" s="1334"/>
      <c r="CA81" s="1326"/>
      <c r="CB81" s="1326"/>
      <c r="CC81" s="1326"/>
      <c r="CD81" s="1333"/>
      <c r="CE81" s="1334"/>
      <c r="CF81" s="1335"/>
      <c r="CG81" s="1776"/>
      <c r="CH81" s="1777"/>
      <c r="CI81" s="1335"/>
      <c r="CJ81" s="1776"/>
      <c r="CK81" s="1777"/>
      <c r="CL81" s="1326"/>
      <c r="CM81" s="2095"/>
      <c r="CN81" s="1333"/>
      <c r="CO81" s="2466"/>
      <c r="CP81" s="1311"/>
      <c r="CQ81" s="2458" t="s">
        <v>4331</v>
      </c>
    </row>
    <row r="82" spans="1:95" ht="15.75" customHeight="1" thickTop="1" thickBot="1">
      <c r="A82">
        <v>1</v>
      </c>
      <c r="B82"/>
      <c r="C82"/>
      <c r="D82"/>
      <c r="E82"/>
      <c r="F82"/>
      <c r="G82"/>
      <c r="H82"/>
      <c r="I82"/>
      <c r="J82"/>
      <c r="K82">
        <v>1</v>
      </c>
      <c r="L82"/>
      <c r="M82" s="1391" t="str">
        <f>IF('System Lookups'!$AE82&gt;1,INDEX(Skills_Table,'System Lookups'!$AD82-4,HLOOKUP("Skill Type",Skill_Columns,2,FALSE))," ")</f>
        <v xml:space="preserve"> </v>
      </c>
      <c r="N82" s="1392"/>
      <c r="O82" s="1331" t="str">
        <f>IF('System Lookups'!$AE82&gt;1,INDEX(Skills_Table,'System Lookups'!$AD82-4,HLOOKUP("current df",Skill_Columns,2,FALSE))," ")</f>
        <v xml:space="preserve"> </v>
      </c>
      <c r="P82" s="1332"/>
      <c r="Q82" s="1324" t="str">
        <f>IF('System Lookups'!$AE82&gt;1,INDEX(Skills_Table,'System Lookups'!$AD82-4,HLOOKUP(IF(ISNA(T82),"BCS% - Unskilled","BCS% - Skilled"),Skill_Columns,2,FALSE))," ")</f>
        <v xml:space="preserve"> </v>
      </c>
      <c r="R82" s="1324"/>
      <c r="S82" s="1324"/>
      <c r="T82" s="1331" t="str">
        <f>IF('System Lookups'!$AE82&gt;1,INDEX(Skills_Table,'System Lookups'!$AD82-4,HLOOKUP("Effective Level",Skill_Columns,2,FALSE))," ")</f>
        <v xml:space="preserve"> </v>
      </c>
      <c r="U82" s="1332"/>
      <c r="V82" s="1324" t="str">
        <f>IF('System Lookups'!$AE82&gt;1,INDEX(Skills_Table,'System Lookups'!$AD82-4,HLOOKUP("Attribute Bonus",Skill_Columns,2,FALSE))," ")</f>
        <v xml:space="preserve"> </v>
      </c>
      <c r="W82" s="1324"/>
      <c r="X82" s="1324"/>
      <c r="Y82" s="1324" t="str">
        <f>IF('System Lookups'!$AE82&gt;1,INDEX(Skills_Table,'System Lookups'!$AD82-4,HLOOKUP("Personal Skill Factor",Skill_Columns,2,FALSE))," ")</f>
        <v xml:space="preserve"> </v>
      </c>
      <c r="Z82" s="1325"/>
      <c r="AA82" s="1324" t="str">
        <f>IF('System Lookups'!$AE82&gt;1,INDEX(Skills_Table,'System Lookups'!$AD82-4,HLOOKUP("Total Skill Chance",Skill_Columns,2,FALSE))," ")</f>
        <v xml:space="preserve"> </v>
      </c>
      <c r="AB82" s="1325"/>
      <c r="AC82" s="1325"/>
      <c r="AD82" s="466" t="str">
        <f>IF('System Lookups'!$AE82&gt;1,INDEX(Skills_Table,'System Lookups'!$AD82-4,HLOOKUP("Crit Die Modifier",Skill_Columns,2,FALSE))," ")</f>
        <v xml:space="preserve"> </v>
      </c>
      <c r="AE82" s="2458"/>
      <c r="AF82" s="588"/>
      <c r="AG82">
        <v>1</v>
      </c>
      <c r="AH82"/>
      <c r="AI82"/>
      <c r="AJ82"/>
      <c r="AK82"/>
      <c r="AL82"/>
      <c r="AM82"/>
      <c r="AN82"/>
      <c r="AO82"/>
      <c r="AP82"/>
      <c r="AQ82">
        <v>1</v>
      </c>
      <c r="AR82"/>
      <c r="AS82" s="1391" t="str">
        <f>IF('System Lookups'!$AI82&gt;1,INDEX(Skills_Table,'System Lookups'!$AH82-4,HLOOKUP("Skill Type",Skill_Columns,2,FALSE))," ")</f>
        <v xml:space="preserve"> </v>
      </c>
      <c r="AT82" s="1392"/>
      <c r="AU82" s="1331" t="str">
        <f>IF('System Lookups'!$AI82&gt;1,INDEX(Skills_Table,'System Lookups'!$AH82-4,HLOOKUP("current df",Skill_Columns,2,FALSE))," ")</f>
        <v xml:space="preserve"> </v>
      </c>
      <c r="AV82" s="1332"/>
      <c r="AW82" s="1324" t="str">
        <f>IF('System Lookups'!$AI82&gt;1,INDEX(Skills_Table,'System Lookups'!$AH82-4,HLOOKUP(IF(ISNA(AZ82),"BCS% - Unskilled","BCS% - Skilled"),Skill_Columns,2,FALSE))," ")</f>
        <v xml:space="preserve"> </v>
      </c>
      <c r="AX82" s="1324"/>
      <c r="AY82" s="1324"/>
      <c r="AZ82" s="1331" t="str">
        <f>IF('System Lookups'!$AI82&gt;1,INDEX(Skills_Table,'System Lookups'!$AH82-4,HLOOKUP("Effective Level",Skill_Columns,2,FALSE))," ")</f>
        <v xml:space="preserve"> </v>
      </c>
      <c r="BA82" s="1332"/>
      <c r="BB82" s="1324" t="str">
        <f>IF('System Lookups'!$AI82&gt;1,INDEX(Skills_Table,'System Lookups'!$AH82-4,HLOOKUP("Attribute Bonus",Skill_Columns,2,FALSE))," ")</f>
        <v xml:space="preserve"> </v>
      </c>
      <c r="BC82" s="1324"/>
      <c r="BD82" s="1324"/>
      <c r="BE82" s="1324" t="str">
        <f>IF('System Lookups'!$AI82&gt;1,INDEX(Skills_Table,'System Lookups'!$AH82-4,HLOOKUP("Personal Skill Factor",Skill_Columns,2,FALSE))," ")</f>
        <v xml:space="preserve"> </v>
      </c>
      <c r="BF82" s="1325"/>
      <c r="BG82" s="1324" t="str">
        <f>IF('System Lookups'!$AI82&gt;1,INDEX(Skills_Table,'System Lookups'!$AH82-4,HLOOKUP("Total Skill Chance",Skill_Columns,2,FALSE))," ")</f>
        <v xml:space="preserve"> </v>
      </c>
      <c r="BH82" s="1325"/>
      <c r="BI82" s="1325"/>
      <c r="BJ82" s="466" t="str">
        <f>IF('System Lookups'!$AI82&gt;1,INDEX(Skills_Table,'System Lookups'!$AH82-4,HLOOKUP("Crit Die Modifier",Skill_Columns,2,FALSE))," ")</f>
        <v xml:space="preserve"> </v>
      </c>
      <c r="BK82" s="2458"/>
      <c r="BL82" s="577"/>
      <c r="BM82" s="1370"/>
      <c r="BN82" s="1721"/>
      <c r="BO82" s="1721"/>
      <c r="BP82" s="1721"/>
      <c r="BQ82" s="1721"/>
      <c r="BR82" s="1721"/>
      <c r="BS82" s="1721"/>
      <c r="BT82" s="1721"/>
      <c r="BU82" s="1721"/>
      <c r="BV82" s="1722"/>
      <c r="BW82" s="1331"/>
      <c r="BX82" s="1332"/>
      <c r="BY82" s="1331"/>
      <c r="BZ82" s="1332"/>
      <c r="CA82" s="1324"/>
      <c r="CB82" s="1324"/>
      <c r="CC82" s="1324"/>
      <c r="CD82" s="1331"/>
      <c r="CE82" s="1332"/>
      <c r="CF82" s="1404"/>
      <c r="CG82" s="1769"/>
      <c r="CH82" s="1770"/>
      <c r="CI82" s="1404"/>
      <c r="CJ82" s="1769"/>
      <c r="CK82" s="1770"/>
      <c r="CL82" s="1324"/>
      <c r="CM82" s="1873"/>
      <c r="CN82" s="1331"/>
      <c r="CO82" s="2297"/>
      <c r="CP82" s="1311"/>
      <c r="CQ82" s="2458"/>
    </row>
    <row r="83" spans="1:95" ht="15.75" customHeight="1" thickTop="1" thickBot="1">
      <c r="A83">
        <v>1</v>
      </c>
      <c r="B83"/>
      <c r="C83"/>
      <c r="D83"/>
      <c r="E83"/>
      <c r="F83"/>
      <c r="G83"/>
      <c r="H83"/>
      <c r="I83"/>
      <c r="J83"/>
      <c r="K83">
        <v>1</v>
      </c>
      <c r="L83"/>
      <c r="M83" s="1407" t="str">
        <f>IF('System Lookups'!$AE83&gt;1,INDEX(Skills_Table,'System Lookups'!$AD83-4,HLOOKUP("Skill Type",Skill_Columns,2,FALSE))," ")</f>
        <v xml:space="preserve"> </v>
      </c>
      <c r="N83" s="1408"/>
      <c r="O83" s="1333" t="str">
        <f>IF('System Lookups'!$AE83&gt;1,INDEX(Skills_Table,'System Lookups'!$AD83-4,HLOOKUP("current df",Skill_Columns,2,FALSE))," ")</f>
        <v xml:space="preserve"> </v>
      </c>
      <c r="P83" s="1334"/>
      <c r="Q83" s="1326" t="str">
        <f>IF('System Lookups'!$AE83&gt;1,INDEX(Skills_Table,'System Lookups'!$AD83-4,HLOOKUP(IF(ISNA(T83),"BCS% - Unskilled","BCS% - Skilled"),Skill_Columns,2,FALSE))," ")</f>
        <v xml:space="preserve"> </v>
      </c>
      <c r="R83" s="1326"/>
      <c r="S83" s="1326"/>
      <c r="T83" s="1333" t="str">
        <f>IF('System Lookups'!$AE83&gt;1,INDEX(Skills_Table,'System Lookups'!$AD83-4,HLOOKUP("Effective Level",Skill_Columns,2,FALSE))," ")</f>
        <v xml:space="preserve"> </v>
      </c>
      <c r="U83" s="1334"/>
      <c r="V83" s="1335" t="str">
        <f>IF('System Lookups'!$AE83&gt;1,INDEX(Skills_Table,'System Lookups'!$AD83-4,HLOOKUP("Attribute Bonus",Skill_Columns,2,FALSE))," ")</f>
        <v xml:space="preserve"> </v>
      </c>
      <c r="W83" s="1336"/>
      <c r="X83" s="1337"/>
      <c r="Y83" s="1326" t="str">
        <f>IF('System Lookups'!$AE83&gt;1,INDEX(Skills_Table,'System Lookups'!$AD83-4,HLOOKUP("Personal Skill Factor",Skill_Columns,2,FALSE))," ")</f>
        <v xml:space="preserve"> </v>
      </c>
      <c r="Z83" s="1327"/>
      <c r="AA83" s="1326" t="str">
        <f>IF('System Lookups'!$AE83&gt;1,INDEX(Skills_Table,'System Lookups'!$AD83-4,HLOOKUP("Total Skill Chance",Skill_Columns,2,FALSE))," ")</f>
        <v xml:space="preserve"> </v>
      </c>
      <c r="AB83" s="1327"/>
      <c r="AC83" s="1327"/>
      <c r="AD83" s="467" t="str">
        <f>IF('System Lookups'!$AE83&gt;1,INDEX(Skills_Table,'System Lookups'!$AD83-4,HLOOKUP("Crit Die Modifier",Skill_Columns,2,FALSE))," ")</f>
        <v xml:space="preserve"> </v>
      </c>
      <c r="AE83" s="2458"/>
      <c r="AF83" s="588"/>
      <c r="AG83">
        <v>1</v>
      </c>
      <c r="AH83"/>
      <c r="AI83"/>
      <c r="AJ83"/>
      <c r="AK83"/>
      <c r="AL83"/>
      <c r="AM83"/>
      <c r="AN83"/>
      <c r="AO83"/>
      <c r="AP83"/>
      <c r="AQ83">
        <v>1</v>
      </c>
      <c r="AR83"/>
      <c r="AS83" s="1407" t="str">
        <f>IF('System Lookups'!$AI83&gt;1,INDEX(Skills_Table,'System Lookups'!$AH83-4,HLOOKUP("Skill Type",Skill_Columns,2,FALSE))," ")</f>
        <v xml:space="preserve"> </v>
      </c>
      <c r="AT83" s="1408"/>
      <c r="AU83" s="1333" t="str">
        <f>IF('System Lookups'!$AI83&gt;1,INDEX(Skills_Table,'System Lookups'!$AH83-4,HLOOKUP("current df",Skill_Columns,2,FALSE))," ")</f>
        <v xml:space="preserve"> </v>
      </c>
      <c r="AV83" s="1334"/>
      <c r="AW83" s="1326" t="str">
        <f>IF('System Lookups'!$AI83&gt;1,INDEX(Skills_Table,'System Lookups'!$AH83-4,HLOOKUP(IF(ISNA(AZ83),"BCS% - Unskilled","BCS% - Skilled"),Skill_Columns,2,FALSE))," ")</f>
        <v xml:space="preserve"> </v>
      </c>
      <c r="AX83" s="1326"/>
      <c r="AY83" s="1326"/>
      <c r="AZ83" s="1333" t="str">
        <f>IF('System Lookups'!$AI83&gt;1,INDEX(Skills_Table,'System Lookups'!$AH83-4,HLOOKUP("Effective Level",Skill_Columns,2,FALSE))," ")</f>
        <v xml:space="preserve"> </v>
      </c>
      <c r="BA83" s="1334"/>
      <c r="BB83" s="1335" t="str">
        <f>IF('System Lookups'!$AI83&gt;1,INDEX(Skills_Table,'System Lookups'!$AH83-4,HLOOKUP("Attribute Bonus",Skill_Columns,2,FALSE))," ")</f>
        <v xml:space="preserve"> </v>
      </c>
      <c r="BC83" s="1336"/>
      <c r="BD83" s="1337"/>
      <c r="BE83" s="1326" t="str">
        <f>IF('System Lookups'!$AI83&gt;1,INDEX(Skills_Table,'System Lookups'!$AH83-4,HLOOKUP("Personal Skill Factor",Skill_Columns,2,FALSE))," ")</f>
        <v xml:space="preserve"> </v>
      </c>
      <c r="BF83" s="1327"/>
      <c r="BG83" s="1326" t="str">
        <f>IF('System Lookups'!$AI83&gt;1,INDEX(Skills_Table,'System Lookups'!$AH83-4,HLOOKUP("Total Skill Chance",Skill_Columns,2,FALSE))," ")</f>
        <v xml:space="preserve"> </v>
      </c>
      <c r="BH83" s="1327"/>
      <c r="BI83" s="1327"/>
      <c r="BJ83" s="467" t="str">
        <f>IF('System Lookups'!$AI83&gt;1,INDEX(Skills_Table,'System Lookups'!$AH83-4,HLOOKUP("Crit Die Modifier",Skill_Columns,2,FALSE))," ")</f>
        <v xml:space="preserve"> </v>
      </c>
      <c r="BK83" s="2458"/>
      <c r="BL83" s="577"/>
      <c r="BM83" s="1412"/>
      <c r="BN83" s="1344"/>
      <c r="BO83" s="1344"/>
      <c r="BP83" s="1344"/>
      <c r="BQ83" s="1344"/>
      <c r="BR83" s="1344"/>
      <c r="BS83" s="1344"/>
      <c r="BT83" s="1344"/>
      <c r="BU83" s="1344"/>
      <c r="BV83" s="1345"/>
      <c r="BW83" s="1333"/>
      <c r="BX83" s="1334"/>
      <c r="BY83" s="1333"/>
      <c r="BZ83" s="1334"/>
      <c r="CA83" s="1326"/>
      <c r="CB83" s="1326"/>
      <c r="CC83" s="1326"/>
      <c r="CD83" s="1333"/>
      <c r="CE83" s="1334"/>
      <c r="CF83" s="1335"/>
      <c r="CG83" s="1776"/>
      <c r="CH83" s="1777"/>
      <c r="CI83" s="1335"/>
      <c r="CJ83" s="1776"/>
      <c r="CK83" s="1777"/>
      <c r="CL83" s="1326"/>
      <c r="CM83" s="2095"/>
      <c r="CN83" s="1333"/>
      <c r="CO83" s="2466"/>
      <c r="CP83" s="1311"/>
      <c r="CQ83" s="2458"/>
    </row>
    <row r="84" spans="1:95" ht="15.75" customHeight="1" thickTop="1" thickBot="1">
      <c r="A84">
        <v>1</v>
      </c>
      <c r="B84"/>
      <c r="C84"/>
      <c r="D84"/>
      <c r="E84"/>
      <c r="F84"/>
      <c r="G84"/>
      <c r="H84"/>
      <c r="I84"/>
      <c r="J84"/>
      <c r="K84">
        <v>1</v>
      </c>
      <c r="L84"/>
      <c r="M84" s="1391" t="str">
        <f>IF('System Lookups'!$AE84&gt;1,INDEX(Skills_Table,'System Lookups'!$AD84-4,HLOOKUP("Skill Type",Skill_Columns,2,FALSE))," ")</f>
        <v xml:space="preserve"> </v>
      </c>
      <c r="N84" s="1392"/>
      <c r="O84" s="1331" t="str">
        <f>IF('System Lookups'!$AE84&gt;1,INDEX(Skills_Table,'System Lookups'!$AD84-4,HLOOKUP("current df",Skill_Columns,2,FALSE))," ")</f>
        <v xml:space="preserve"> </v>
      </c>
      <c r="P84" s="1332"/>
      <c r="Q84" s="1324" t="str">
        <f>IF('System Lookups'!$AE84&gt;1,INDEX(Skills_Table,'System Lookups'!$AD84-4,HLOOKUP(IF(ISNA(T84),"BCS% - Unskilled","BCS% - Skilled"),Skill_Columns,2,FALSE))," ")</f>
        <v xml:space="preserve"> </v>
      </c>
      <c r="R84" s="1324"/>
      <c r="S84" s="1324"/>
      <c r="T84" s="1331" t="str">
        <f>IF('System Lookups'!$AE84&gt;1,INDEX(Skills_Table,'System Lookups'!$AD84-4,HLOOKUP("Effective Level",Skill_Columns,2,FALSE))," ")</f>
        <v xml:space="preserve"> </v>
      </c>
      <c r="U84" s="1332"/>
      <c r="V84" s="1324" t="str">
        <f>IF('System Lookups'!$AE84&gt;1,INDEX(Skills_Table,'System Lookups'!$AD84-4,HLOOKUP("Attribute Bonus",Skill_Columns,2,FALSE))," ")</f>
        <v xml:space="preserve"> </v>
      </c>
      <c r="W84" s="1324"/>
      <c r="X84" s="1324"/>
      <c r="Y84" s="1324" t="str">
        <f>IF('System Lookups'!$AE84&gt;1,INDEX(Skills_Table,'System Lookups'!$AD84-4,HLOOKUP("Personal Skill Factor",Skill_Columns,2,FALSE))," ")</f>
        <v xml:space="preserve"> </v>
      </c>
      <c r="Z84" s="1325"/>
      <c r="AA84" s="1324" t="str">
        <f>IF('System Lookups'!$AE84&gt;1,INDEX(Skills_Table,'System Lookups'!$AD84-4,HLOOKUP("Total Skill Chance",Skill_Columns,2,FALSE))," ")</f>
        <v xml:space="preserve"> </v>
      </c>
      <c r="AB84" s="1325"/>
      <c r="AC84" s="1325"/>
      <c r="AD84" s="466" t="str">
        <f>IF('System Lookups'!$AE84&gt;1,INDEX(Skills_Table,'System Lookups'!$AD84-4,HLOOKUP("Crit Die Modifier",Skill_Columns,2,FALSE))," ")</f>
        <v xml:space="preserve"> </v>
      </c>
      <c r="AE84" s="2458"/>
      <c r="AF84" s="588"/>
      <c r="AG84">
        <v>1</v>
      </c>
      <c r="AH84"/>
      <c r="AI84"/>
      <c r="AJ84"/>
      <c r="AK84"/>
      <c r="AL84"/>
      <c r="AM84"/>
      <c r="AN84"/>
      <c r="AO84"/>
      <c r="AP84"/>
      <c r="AQ84">
        <v>1</v>
      </c>
      <c r="AR84"/>
      <c r="AS84" s="1391" t="str">
        <f>IF('System Lookups'!$AI84&gt;1,INDEX(Skills_Table,'System Lookups'!$AH84-4,HLOOKUP("Skill Type",Skill_Columns,2,FALSE))," ")</f>
        <v xml:space="preserve"> </v>
      </c>
      <c r="AT84" s="1392"/>
      <c r="AU84" s="1331" t="str">
        <f>IF('System Lookups'!$AI84&gt;1,INDEX(Skills_Table,'System Lookups'!$AH84-4,HLOOKUP("current df",Skill_Columns,2,FALSE))," ")</f>
        <v xml:space="preserve"> </v>
      </c>
      <c r="AV84" s="1332"/>
      <c r="AW84" s="1324" t="str">
        <f>IF('System Lookups'!$AI84&gt;1,INDEX(Skills_Table,'System Lookups'!$AH84-4,HLOOKUP(IF(ISNA(AZ84),"BCS% - Unskilled","BCS% - Skilled"),Skill_Columns,2,FALSE))," ")</f>
        <v xml:space="preserve"> </v>
      </c>
      <c r="AX84" s="1324"/>
      <c r="AY84" s="1324"/>
      <c r="AZ84" s="1331" t="str">
        <f>IF('System Lookups'!$AI84&gt;1,INDEX(Skills_Table,'System Lookups'!$AH84-4,HLOOKUP("Effective Level",Skill_Columns,2,FALSE))," ")</f>
        <v xml:space="preserve"> </v>
      </c>
      <c r="BA84" s="1332"/>
      <c r="BB84" s="1324" t="str">
        <f>IF('System Lookups'!$AI84&gt;1,INDEX(Skills_Table,'System Lookups'!$AH84-4,HLOOKUP("Attribute Bonus",Skill_Columns,2,FALSE))," ")</f>
        <v xml:space="preserve"> </v>
      </c>
      <c r="BC84" s="1324"/>
      <c r="BD84" s="1324"/>
      <c r="BE84" s="1324" t="str">
        <f>IF('System Lookups'!$AI84&gt;1,INDEX(Skills_Table,'System Lookups'!$AH84-4,HLOOKUP("Personal Skill Factor",Skill_Columns,2,FALSE))," ")</f>
        <v xml:space="preserve"> </v>
      </c>
      <c r="BF84" s="1325"/>
      <c r="BG84" s="1324" t="str">
        <f>IF('System Lookups'!$AI84&gt;1,INDEX(Skills_Table,'System Lookups'!$AH84-4,HLOOKUP("Total Skill Chance",Skill_Columns,2,FALSE))," ")</f>
        <v xml:space="preserve"> </v>
      </c>
      <c r="BH84" s="1325"/>
      <c r="BI84" s="1325"/>
      <c r="BJ84" s="466" t="str">
        <f>IF('System Lookups'!$AI84&gt;1,INDEX(Skills_Table,'System Lookups'!$AH84-4,HLOOKUP("Crit Die Modifier",Skill_Columns,2,FALSE))," ")</f>
        <v xml:space="preserve"> </v>
      </c>
      <c r="BK84" s="2458"/>
      <c r="BL84" s="577"/>
      <c r="BM84" s="1370"/>
      <c r="BN84" s="1721"/>
      <c r="BO84" s="1721"/>
      <c r="BP84" s="1721"/>
      <c r="BQ84" s="1721"/>
      <c r="BR84" s="1721"/>
      <c r="BS84" s="1721"/>
      <c r="BT84" s="1721"/>
      <c r="BU84" s="1721"/>
      <c r="BV84" s="1722"/>
      <c r="BW84" s="1331"/>
      <c r="BX84" s="1332"/>
      <c r="BY84" s="1331"/>
      <c r="BZ84" s="1332"/>
      <c r="CA84" s="1324"/>
      <c r="CB84" s="1324"/>
      <c r="CC84" s="1324"/>
      <c r="CD84" s="1331"/>
      <c r="CE84" s="1332"/>
      <c r="CF84" s="1404"/>
      <c r="CG84" s="1769"/>
      <c r="CH84" s="1770"/>
      <c r="CI84" s="1404"/>
      <c r="CJ84" s="1769"/>
      <c r="CK84" s="1770"/>
      <c r="CL84" s="1324"/>
      <c r="CM84" s="1873"/>
      <c r="CN84" s="1331"/>
      <c r="CO84" s="2297"/>
      <c r="CP84" s="1311"/>
      <c r="CQ84" s="2458"/>
    </row>
    <row r="85" spans="1:95" ht="15.75" customHeight="1" thickTop="1" thickBot="1">
      <c r="A85">
        <v>1</v>
      </c>
      <c r="B85"/>
      <c r="C85"/>
      <c r="D85"/>
      <c r="E85"/>
      <c r="F85"/>
      <c r="G85"/>
      <c r="H85"/>
      <c r="I85"/>
      <c r="J85"/>
      <c r="K85">
        <v>1</v>
      </c>
      <c r="L85"/>
      <c r="M85" s="1407" t="str">
        <f>IF('System Lookups'!$AE85&gt;1,INDEX(Skills_Table,'System Lookups'!$AD85-4,HLOOKUP("Skill Type",Skill_Columns,2,FALSE))," ")</f>
        <v xml:space="preserve"> </v>
      </c>
      <c r="N85" s="1408"/>
      <c r="O85" s="1333" t="str">
        <f>IF('System Lookups'!$AE85&gt;1,INDEX(Skills_Table,'System Lookups'!$AD85-4,HLOOKUP("current df",Skill_Columns,2,FALSE))," ")</f>
        <v xml:space="preserve"> </v>
      </c>
      <c r="P85" s="1334"/>
      <c r="Q85" s="1326" t="str">
        <f>IF('System Lookups'!$AE85&gt;1,INDEX(Skills_Table,'System Lookups'!$AD85-4,HLOOKUP(IF(ISNA(T85),"BCS% - Unskilled","BCS% - Skilled"),Skill_Columns,2,FALSE))," ")</f>
        <v xml:space="preserve"> </v>
      </c>
      <c r="R85" s="1326"/>
      <c r="S85" s="1326"/>
      <c r="T85" s="1333" t="str">
        <f>IF('System Lookups'!$AE85&gt;1,INDEX(Skills_Table,'System Lookups'!$AD85-4,HLOOKUP("Effective Level",Skill_Columns,2,FALSE))," ")</f>
        <v xml:space="preserve"> </v>
      </c>
      <c r="U85" s="1334"/>
      <c r="V85" s="1335" t="str">
        <f>IF('System Lookups'!$AE85&gt;1,INDEX(Skills_Table,'System Lookups'!$AD85-4,HLOOKUP("Attribute Bonus",Skill_Columns,2,FALSE))," ")</f>
        <v xml:space="preserve"> </v>
      </c>
      <c r="W85" s="1336"/>
      <c r="X85" s="1337"/>
      <c r="Y85" s="1326" t="str">
        <f>IF('System Lookups'!$AE85&gt;1,INDEX(Skills_Table,'System Lookups'!$AD85-4,HLOOKUP("Personal Skill Factor",Skill_Columns,2,FALSE))," ")</f>
        <v xml:space="preserve"> </v>
      </c>
      <c r="Z85" s="1327"/>
      <c r="AA85" s="1326" t="str">
        <f>IF('System Lookups'!$AE85&gt;1,INDEX(Skills_Table,'System Lookups'!$AD85-4,HLOOKUP("Total Skill Chance",Skill_Columns,2,FALSE))," ")</f>
        <v xml:space="preserve"> </v>
      </c>
      <c r="AB85" s="1327"/>
      <c r="AC85" s="1327"/>
      <c r="AD85" s="467" t="str">
        <f>IF('System Lookups'!$AE85&gt;1,INDEX(Skills_Table,'System Lookups'!$AD85-4,HLOOKUP("Crit Die Modifier",Skill_Columns,2,FALSE))," ")</f>
        <v xml:space="preserve"> </v>
      </c>
      <c r="AE85" s="2458"/>
      <c r="AF85" s="588"/>
      <c r="AG85">
        <v>1</v>
      </c>
      <c r="AH85"/>
      <c r="AI85"/>
      <c r="AJ85"/>
      <c r="AK85"/>
      <c r="AL85"/>
      <c r="AM85"/>
      <c r="AN85"/>
      <c r="AO85"/>
      <c r="AP85"/>
      <c r="AQ85">
        <v>1</v>
      </c>
      <c r="AR85"/>
      <c r="AS85" s="1407" t="str">
        <f>IF('System Lookups'!$AI85&gt;1,INDEX(Skills_Table,'System Lookups'!$AH85-4,HLOOKUP("Skill Type",Skill_Columns,2,FALSE))," ")</f>
        <v xml:space="preserve"> </v>
      </c>
      <c r="AT85" s="1408"/>
      <c r="AU85" s="1333" t="str">
        <f>IF('System Lookups'!$AI85&gt;1,INDEX(Skills_Table,'System Lookups'!$AH85-4,HLOOKUP("current df",Skill_Columns,2,FALSE))," ")</f>
        <v xml:space="preserve"> </v>
      </c>
      <c r="AV85" s="1334"/>
      <c r="AW85" s="1326" t="str">
        <f>IF('System Lookups'!$AI85&gt;1,INDEX(Skills_Table,'System Lookups'!$AH85-4,HLOOKUP(IF(ISNA(AZ85),"BCS% - Unskilled","BCS% - Skilled"),Skill_Columns,2,FALSE))," ")</f>
        <v xml:space="preserve"> </v>
      </c>
      <c r="AX85" s="1326"/>
      <c r="AY85" s="1326"/>
      <c r="AZ85" s="1333" t="str">
        <f>IF('System Lookups'!$AI85&gt;1,INDEX(Skills_Table,'System Lookups'!$AH85-4,HLOOKUP("Effective Level",Skill_Columns,2,FALSE))," ")</f>
        <v xml:space="preserve"> </v>
      </c>
      <c r="BA85" s="1334"/>
      <c r="BB85" s="1335" t="str">
        <f>IF('System Lookups'!$AI85&gt;1,INDEX(Skills_Table,'System Lookups'!$AH85-4,HLOOKUP("Attribute Bonus",Skill_Columns,2,FALSE))," ")</f>
        <v xml:space="preserve"> </v>
      </c>
      <c r="BC85" s="1336"/>
      <c r="BD85" s="1337"/>
      <c r="BE85" s="1326" t="str">
        <f>IF('System Lookups'!$AI85&gt;1,INDEX(Skills_Table,'System Lookups'!$AH85-4,HLOOKUP("Personal Skill Factor",Skill_Columns,2,FALSE))," ")</f>
        <v xml:space="preserve"> </v>
      </c>
      <c r="BF85" s="1327"/>
      <c r="BG85" s="1326" t="str">
        <f>IF('System Lookups'!$AI85&gt;1,INDEX(Skills_Table,'System Lookups'!$AH85-4,HLOOKUP("Total Skill Chance",Skill_Columns,2,FALSE))," ")</f>
        <v xml:space="preserve"> </v>
      </c>
      <c r="BH85" s="1327"/>
      <c r="BI85" s="1327"/>
      <c r="BJ85" s="467" t="str">
        <f>IF('System Lookups'!$AI85&gt;1,INDEX(Skills_Table,'System Lookups'!$AH85-4,HLOOKUP("Crit Die Modifier",Skill_Columns,2,FALSE))," ")</f>
        <v xml:space="preserve"> </v>
      </c>
      <c r="BK85" s="2458"/>
      <c r="BL85" s="577"/>
      <c r="BM85" s="1412"/>
      <c r="BN85" s="1344"/>
      <c r="BO85" s="1344"/>
      <c r="BP85" s="1344"/>
      <c r="BQ85" s="1344"/>
      <c r="BR85" s="1344"/>
      <c r="BS85" s="1344"/>
      <c r="BT85" s="1344"/>
      <c r="BU85" s="1344"/>
      <c r="BV85" s="1345"/>
      <c r="BW85" s="1333"/>
      <c r="BX85" s="1334"/>
      <c r="BY85" s="1333"/>
      <c r="BZ85" s="1334"/>
      <c r="CA85" s="1326"/>
      <c r="CB85" s="1326"/>
      <c r="CC85" s="1326"/>
      <c r="CD85" s="1333"/>
      <c r="CE85" s="1334"/>
      <c r="CF85" s="1335"/>
      <c r="CG85" s="1776"/>
      <c r="CH85" s="1777"/>
      <c r="CI85" s="1335"/>
      <c r="CJ85" s="1776"/>
      <c r="CK85" s="1777"/>
      <c r="CL85" s="1326"/>
      <c r="CM85" s="2095"/>
      <c r="CN85" s="1333"/>
      <c r="CO85" s="2466"/>
      <c r="CP85" s="1311"/>
      <c r="CQ85" s="2458"/>
    </row>
    <row r="86" spans="1:95" ht="15.75" customHeight="1" thickTop="1" thickBot="1">
      <c r="A86">
        <v>1</v>
      </c>
      <c r="B86"/>
      <c r="C86"/>
      <c r="D86"/>
      <c r="E86"/>
      <c r="F86"/>
      <c r="G86"/>
      <c r="H86"/>
      <c r="I86"/>
      <c r="J86"/>
      <c r="K86">
        <v>1</v>
      </c>
      <c r="L86"/>
      <c r="M86" s="1391" t="str">
        <f>IF('System Lookups'!$AE86&gt;1,INDEX(Skills_Table,'System Lookups'!$AD86-4,HLOOKUP("Skill Type",Skill_Columns,2,FALSE))," ")</f>
        <v xml:space="preserve"> </v>
      </c>
      <c r="N86" s="1392"/>
      <c r="O86" s="1331" t="str">
        <f>IF('System Lookups'!$AE86&gt;1,INDEX(Skills_Table,'System Lookups'!$AD86-4,HLOOKUP("current df",Skill_Columns,2,FALSE))," ")</f>
        <v xml:space="preserve"> </v>
      </c>
      <c r="P86" s="1332"/>
      <c r="Q86" s="1324" t="str">
        <f>IF('System Lookups'!$AE86&gt;1,INDEX(Skills_Table,'System Lookups'!$AD86-4,HLOOKUP(IF(ISNA(T86),"BCS% - Unskilled","BCS% - Skilled"),Skill_Columns,2,FALSE))," ")</f>
        <v xml:space="preserve"> </v>
      </c>
      <c r="R86" s="1324"/>
      <c r="S86" s="1324"/>
      <c r="T86" s="1331" t="str">
        <f>IF('System Lookups'!$AE86&gt;1,INDEX(Skills_Table,'System Lookups'!$AD86-4,HLOOKUP("Effective Level",Skill_Columns,2,FALSE))," ")</f>
        <v xml:space="preserve"> </v>
      </c>
      <c r="U86" s="1332"/>
      <c r="V86" s="1324" t="str">
        <f>IF('System Lookups'!$AE86&gt;1,INDEX(Skills_Table,'System Lookups'!$AD86-4,HLOOKUP("Attribute Bonus",Skill_Columns,2,FALSE))," ")</f>
        <v xml:space="preserve"> </v>
      </c>
      <c r="W86" s="1324"/>
      <c r="X86" s="1324"/>
      <c r="Y86" s="1324" t="str">
        <f>IF('System Lookups'!$AE86&gt;1,INDEX(Skills_Table,'System Lookups'!$AD86-4,HLOOKUP("Personal Skill Factor",Skill_Columns,2,FALSE))," ")</f>
        <v xml:space="preserve"> </v>
      </c>
      <c r="Z86" s="1325"/>
      <c r="AA86" s="1324" t="str">
        <f>IF('System Lookups'!$AE86&gt;1,INDEX(Skills_Table,'System Lookups'!$AD86-4,HLOOKUP("Total Skill Chance",Skill_Columns,2,FALSE))," ")</f>
        <v xml:space="preserve"> </v>
      </c>
      <c r="AB86" s="1325"/>
      <c r="AC86" s="1325"/>
      <c r="AD86" s="466" t="str">
        <f>IF('System Lookups'!$AE86&gt;1,INDEX(Skills_Table,'System Lookups'!$AD86-4,HLOOKUP("Crit Die Modifier",Skill_Columns,2,FALSE))," ")</f>
        <v xml:space="preserve"> </v>
      </c>
      <c r="AE86" s="2458"/>
      <c r="AF86" s="588"/>
      <c r="AG86">
        <v>1</v>
      </c>
      <c r="AH86"/>
      <c r="AI86"/>
      <c r="AJ86"/>
      <c r="AK86"/>
      <c r="AL86"/>
      <c r="AM86"/>
      <c r="AN86"/>
      <c r="AO86"/>
      <c r="AP86"/>
      <c r="AQ86">
        <v>1</v>
      </c>
      <c r="AR86"/>
      <c r="AS86" s="1391" t="str">
        <f>IF('System Lookups'!$AI86&gt;1,INDEX(Skills_Table,'System Lookups'!$AH86-4,HLOOKUP("Skill Type",Skill_Columns,2,FALSE))," ")</f>
        <v xml:space="preserve"> </v>
      </c>
      <c r="AT86" s="1392"/>
      <c r="AU86" s="1331" t="str">
        <f>IF('System Lookups'!$AI86&gt;1,INDEX(Skills_Table,'System Lookups'!$AH86-4,HLOOKUP("current df",Skill_Columns,2,FALSE))," ")</f>
        <v xml:space="preserve"> </v>
      </c>
      <c r="AV86" s="1332"/>
      <c r="AW86" s="1324" t="str">
        <f>IF('System Lookups'!$AI86&gt;1,INDEX(Skills_Table,'System Lookups'!$AH86-4,HLOOKUP(IF(ISNA(AZ86),"BCS% - Unskilled","BCS% - Skilled"),Skill_Columns,2,FALSE))," ")</f>
        <v xml:space="preserve"> </v>
      </c>
      <c r="AX86" s="1324"/>
      <c r="AY86" s="1324"/>
      <c r="AZ86" s="1331" t="str">
        <f>IF('System Lookups'!$AI86&gt;1,INDEX(Skills_Table,'System Lookups'!$AH86-4,HLOOKUP("Effective Level",Skill_Columns,2,FALSE))," ")</f>
        <v xml:space="preserve"> </v>
      </c>
      <c r="BA86" s="1332"/>
      <c r="BB86" s="1324" t="str">
        <f>IF('System Lookups'!$AI86&gt;1,INDEX(Skills_Table,'System Lookups'!$AH86-4,HLOOKUP("Attribute Bonus",Skill_Columns,2,FALSE))," ")</f>
        <v xml:space="preserve"> </v>
      </c>
      <c r="BC86" s="1324"/>
      <c r="BD86" s="1324"/>
      <c r="BE86" s="1324" t="str">
        <f>IF('System Lookups'!$AI86&gt;1,INDEX(Skills_Table,'System Lookups'!$AH86-4,HLOOKUP("Personal Skill Factor",Skill_Columns,2,FALSE))," ")</f>
        <v xml:space="preserve"> </v>
      </c>
      <c r="BF86" s="1325"/>
      <c r="BG86" s="1324" t="str">
        <f>IF('System Lookups'!$AI86&gt;1,INDEX(Skills_Table,'System Lookups'!$AH86-4,HLOOKUP("Total Skill Chance",Skill_Columns,2,FALSE))," ")</f>
        <v xml:space="preserve"> </v>
      </c>
      <c r="BH86" s="1325"/>
      <c r="BI86" s="1325"/>
      <c r="BJ86" s="466" t="str">
        <f>IF('System Lookups'!$AI86&gt;1,INDEX(Skills_Table,'System Lookups'!$AH86-4,HLOOKUP("Crit Die Modifier",Skill_Columns,2,FALSE))," ")</f>
        <v xml:space="preserve"> </v>
      </c>
      <c r="BK86" s="2458"/>
      <c r="BL86" s="577"/>
      <c r="BM86" s="1370"/>
      <c r="BN86" s="1721"/>
      <c r="BO86" s="1721"/>
      <c r="BP86" s="1721"/>
      <c r="BQ86" s="1721"/>
      <c r="BR86" s="1721"/>
      <c r="BS86" s="1721"/>
      <c r="BT86" s="1721"/>
      <c r="BU86" s="1721"/>
      <c r="BV86" s="1722"/>
      <c r="BW86" s="1331"/>
      <c r="BX86" s="1332"/>
      <c r="BY86" s="1331"/>
      <c r="BZ86" s="1332"/>
      <c r="CA86" s="1324"/>
      <c r="CB86" s="1324"/>
      <c r="CC86" s="1324"/>
      <c r="CD86" s="1331"/>
      <c r="CE86" s="1332"/>
      <c r="CF86" s="1404"/>
      <c r="CG86" s="1769"/>
      <c r="CH86" s="1770"/>
      <c r="CI86" s="1404"/>
      <c r="CJ86" s="1769"/>
      <c r="CK86" s="1770"/>
      <c r="CL86" s="1324"/>
      <c r="CM86" s="1873"/>
      <c r="CN86" s="1331"/>
      <c r="CO86" s="2297"/>
      <c r="CP86" s="1311"/>
      <c r="CQ86" s="2458"/>
    </row>
    <row r="87" spans="1:95" ht="15.75" customHeight="1" thickTop="1" thickBot="1">
      <c r="A87">
        <v>1</v>
      </c>
      <c r="B87"/>
      <c r="C87"/>
      <c r="D87"/>
      <c r="E87"/>
      <c r="F87"/>
      <c r="G87"/>
      <c r="H87"/>
      <c r="I87"/>
      <c r="J87"/>
      <c r="K87">
        <v>1</v>
      </c>
      <c r="L87"/>
      <c r="M87" s="1407" t="str">
        <f>IF('System Lookups'!$AE87&gt;1,INDEX(Skills_Table,'System Lookups'!$AD87-4,HLOOKUP("Skill Type",Skill_Columns,2,FALSE))," ")</f>
        <v xml:space="preserve"> </v>
      </c>
      <c r="N87" s="1408"/>
      <c r="O87" s="1333" t="str">
        <f>IF('System Lookups'!$AE87&gt;1,INDEX(Skills_Table,'System Lookups'!$AD87-4,HLOOKUP("current df",Skill_Columns,2,FALSE))," ")</f>
        <v xml:space="preserve"> </v>
      </c>
      <c r="P87" s="1334"/>
      <c r="Q87" s="1326" t="str">
        <f>IF('System Lookups'!$AE87&gt;1,INDEX(Skills_Table,'System Lookups'!$AD87-4,HLOOKUP(IF(ISNA(T87),"BCS% - Unskilled","BCS% - Skilled"),Skill_Columns,2,FALSE))," ")</f>
        <v xml:space="preserve"> </v>
      </c>
      <c r="R87" s="1326"/>
      <c r="S87" s="1326"/>
      <c r="T87" s="1333" t="str">
        <f>IF('System Lookups'!$AE87&gt;1,INDEX(Skills_Table,'System Lookups'!$AD87-4,HLOOKUP("Effective Level",Skill_Columns,2,FALSE))," ")</f>
        <v xml:space="preserve"> </v>
      </c>
      <c r="U87" s="1334"/>
      <c r="V87" s="1335" t="str">
        <f>IF('System Lookups'!$AE87&gt;1,INDEX(Skills_Table,'System Lookups'!$AD87-4,HLOOKUP("Attribute Bonus",Skill_Columns,2,FALSE))," ")</f>
        <v xml:space="preserve"> </v>
      </c>
      <c r="W87" s="1336"/>
      <c r="X87" s="1337"/>
      <c r="Y87" s="1326" t="str">
        <f>IF('System Lookups'!$AE87&gt;1,INDEX(Skills_Table,'System Lookups'!$AD87-4,HLOOKUP("Personal Skill Factor",Skill_Columns,2,FALSE))," ")</f>
        <v xml:space="preserve"> </v>
      </c>
      <c r="Z87" s="1327"/>
      <c r="AA87" s="1326" t="str">
        <f>IF('System Lookups'!$AE87&gt;1,INDEX(Skills_Table,'System Lookups'!$AD87-4,HLOOKUP("Total Skill Chance",Skill_Columns,2,FALSE))," ")</f>
        <v xml:space="preserve"> </v>
      </c>
      <c r="AB87" s="1327"/>
      <c r="AC87" s="1327"/>
      <c r="AD87" s="467" t="str">
        <f>IF('System Lookups'!$AE87&gt;1,INDEX(Skills_Table,'System Lookups'!$AD87-4,HLOOKUP("Crit Die Modifier",Skill_Columns,2,FALSE))," ")</f>
        <v xml:space="preserve"> </v>
      </c>
      <c r="AE87" s="2458"/>
      <c r="AF87" s="588"/>
      <c r="AG87">
        <v>1</v>
      </c>
      <c r="AH87"/>
      <c r="AI87"/>
      <c r="AJ87"/>
      <c r="AK87"/>
      <c r="AL87"/>
      <c r="AM87"/>
      <c r="AN87"/>
      <c r="AO87"/>
      <c r="AP87"/>
      <c r="AQ87">
        <v>1</v>
      </c>
      <c r="AR87"/>
      <c r="AS87" s="1407" t="str">
        <f>IF('System Lookups'!$AI87&gt;1,INDEX(Skills_Table,'System Lookups'!$AH87-4,HLOOKUP("Skill Type",Skill_Columns,2,FALSE))," ")</f>
        <v xml:space="preserve"> </v>
      </c>
      <c r="AT87" s="1408"/>
      <c r="AU87" s="1333" t="str">
        <f>IF('System Lookups'!$AI87&gt;1,INDEX(Skills_Table,'System Lookups'!$AH87-4,HLOOKUP("current df",Skill_Columns,2,FALSE))," ")</f>
        <v xml:space="preserve"> </v>
      </c>
      <c r="AV87" s="1334"/>
      <c r="AW87" s="1326" t="str">
        <f>IF('System Lookups'!$AI87&gt;1,INDEX(Skills_Table,'System Lookups'!$AH87-4,HLOOKUP(IF(ISNA(AZ87),"BCS% - Unskilled","BCS% - Skilled"),Skill_Columns,2,FALSE))," ")</f>
        <v xml:space="preserve"> </v>
      </c>
      <c r="AX87" s="1326"/>
      <c r="AY87" s="1326"/>
      <c r="AZ87" s="1333" t="str">
        <f>IF('System Lookups'!$AI87&gt;1,INDEX(Skills_Table,'System Lookups'!$AH87-4,HLOOKUP("Effective Level",Skill_Columns,2,FALSE))," ")</f>
        <v xml:space="preserve"> </v>
      </c>
      <c r="BA87" s="1334"/>
      <c r="BB87" s="1335" t="str">
        <f>IF('System Lookups'!$AI87&gt;1,INDEX(Skills_Table,'System Lookups'!$AH87-4,HLOOKUP("Attribute Bonus",Skill_Columns,2,FALSE))," ")</f>
        <v xml:space="preserve"> </v>
      </c>
      <c r="BC87" s="1336"/>
      <c r="BD87" s="1337"/>
      <c r="BE87" s="1326" t="str">
        <f>IF('System Lookups'!$AI87&gt;1,INDEX(Skills_Table,'System Lookups'!$AH87-4,HLOOKUP("Personal Skill Factor",Skill_Columns,2,FALSE))," ")</f>
        <v xml:space="preserve"> </v>
      </c>
      <c r="BF87" s="1327"/>
      <c r="BG87" s="1326" t="str">
        <f>IF('System Lookups'!$AI87&gt;1,INDEX(Skills_Table,'System Lookups'!$AH87-4,HLOOKUP("Total Skill Chance",Skill_Columns,2,FALSE))," ")</f>
        <v xml:space="preserve"> </v>
      </c>
      <c r="BH87" s="1327"/>
      <c r="BI87" s="1327"/>
      <c r="BJ87" s="467" t="str">
        <f>IF('System Lookups'!$AI87&gt;1,INDEX(Skills_Table,'System Lookups'!$AH87-4,HLOOKUP("Crit Die Modifier",Skill_Columns,2,FALSE))," ")</f>
        <v xml:space="preserve"> </v>
      </c>
      <c r="BK87" s="2458"/>
      <c r="BL87" s="577"/>
      <c r="BM87" s="1412"/>
      <c r="BN87" s="1344"/>
      <c r="BO87" s="1344"/>
      <c r="BP87" s="1344"/>
      <c r="BQ87" s="1344"/>
      <c r="BR87" s="1344"/>
      <c r="BS87" s="1344"/>
      <c r="BT87" s="1344"/>
      <c r="BU87" s="1344"/>
      <c r="BV87" s="1345"/>
      <c r="BW87" s="1333"/>
      <c r="BX87" s="1334"/>
      <c r="BY87" s="1333"/>
      <c r="BZ87" s="1334"/>
      <c r="CA87" s="1326"/>
      <c r="CB87" s="1326"/>
      <c r="CC87" s="1326"/>
      <c r="CD87" s="1333"/>
      <c r="CE87" s="1334"/>
      <c r="CF87" s="1335"/>
      <c r="CG87" s="1776"/>
      <c r="CH87" s="1777"/>
      <c r="CI87" s="1335"/>
      <c r="CJ87" s="1776"/>
      <c r="CK87" s="1777"/>
      <c r="CL87" s="1326"/>
      <c r="CM87" s="2095"/>
      <c r="CN87" s="1333"/>
      <c r="CO87" s="2466"/>
      <c r="CP87" s="1311"/>
      <c r="CQ87" s="2458"/>
    </row>
    <row r="88" spans="1:95" ht="15.75" customHeight="1" thickTop="1" thickBot="1">
      <c r="A88">
        <v>1</v>
      </c>
      <c r="B88"/>
      <c r="C88"/>
      <c r="D88"/>
      <c r="E88"/>
      <c r="F88"/>
      <c r="G88"/>
      <c r="H88"/>
      <c r="I88"/>
      <c r="J88"/>
      <c r="K88">
        <v>1</v>
      </c>
      <c r="L88"/>
      <c r="M88" s="1391" t="str">
        <f>IF('System Lookups'!$AE88&gt;1,INDEX(Skills_Table,'System Lookups'!$AD88-4,HLOOKUP("Skill Type",Skill_Columns,2,FALSE))," ")</f>
        <v xml:space="preserve"> </v>
      </c>
      <c r="N88" s="1392"/>
      <c r="O88" s="1331" t="str">
        <f>IF('System Lookups'!$AE88&gt;1,INDEX(Skills_Table,'System Lookups'!$AD88-4,HLOOKUP("current df",Skill_Columns,2,FALSE))," ")</f>
        <v xml:space="preserve"> </v>
      </c>
      <c r="P88" s="1332"/>
      <c r="Q88" s="1324" t="str">
        <f>IF('System Lookups'!$AE88&gt;1,INDEX(Skills_Table,'System Lookups'!$AD88-4,HLOOKUP(IF(ISNA(T88),"BCS% - Unskilled","BCS% - Skilled"),Skill_Columns,2,FALSE))," ")</f>
        <v xml:space="preserve"> </v>
      </c>
      <c r="R88" s="1324"/>
      <c r="S88" s="1324"/>
      <c r="T88" s="1331" t="str">
        <f>IF('System Lookups'!$AE88&gt;1,INDEX(Skills_Table,'System Lookups'!$AD88-4,HLOOKUP("Effective Level",Skill_Columns,2,FALSE))," ")</f>
        <v xml:space="preserve"> </v>
      </c>
      <c r="U88" s="1332"/>
      <c r="V88" s="1324" t="str">
        <f>IF('System Lookups'!$AE88&gt;1,INDEX(Skills_Table,'System Lookups'!$AD88-4,HLOOKUP("Attribute Bonus",Skill_Columns,2,FALSE))," ")</f>
        <v xml:space="preserve"> </v>
      </c>
      <c r="W88" s="1324"/>
      <c r="X88" s="1324"/>
      <c r="Y88" s="1324" t="str">
        <f>IF('System Lookups'!$AE88&gt;1,INDEX(Skills_Table,'System Lookups'!$AD88-4,HLOOKUP("Personal Skill Factor",Skill_Columns,2,FALSE))," ")</f>
        <v xml:space="preserve"> </v>
      </c>
      <c r="Z88" s="1325"/>
      <c r="AA88" s="1324" t="str">
        <f>IF('System Lookups'!$AE88&gt;1,INDEX(Skills_Table,'System Lookups'!$AD88-4,HLOOKUP("Total Skill Chance",Skill_Columns,2,FALSE))," ")</f>
        <v xml:space="preserve"> </v>
      </c>
      <c r="AB88" s="1325"/>
      <c r="AC88" s="1325"/>
      <c r="AD88" s="466" t="str">
        <f>IF('System Lookups'!$AE88&gt;1,INDEX(Skills_Table,'System Lookups'!$AD88-4,HLOOKUP("Crit Die Modifier",Skill_Columns,2,FALSE))," ")</f>
        <v xml:space="preserve"> </v>
      </c>
      <c r="AE88" s="2458"/>
      <c r="AF88" s="588"/>
      <c r="AG88">
        <v>1</v>
      </c>
      <c r="AH88"/>
      <c r="AI88"/>
      <c r="AJ88"/>
      <c r="AK88"/>
      <c r="AL88"/>
      <c r="AM88"/>
      <c r="AN88"/>
      <c r="AO88"/>
      <c r="AP88"/>
      <c r="AQ88">
        <v>1</v>
      </c>
      <c r="AR88"/>
      <c r="AS88" s="1391" t="str">
        <f>IF('System Lookups'!$AI88&gt;1,INDEX(Skills_Table,'System Lookups'!$AH88-4,HLOOKUP("Skill Type",Skill_Columns,2,FALSE))," ")</f>
        <v xml:space="preserve"> </v>
      </c>
      <c r="AT88" s="1392"/>
      <c r="AU88" s="1331" t="str">
        <f>IF('System Lookups'!$AI88&gt;1,INDEX(Skills_Table,'System Lookups'!$AH88-4,HLOOKUP("current df",Skill_Columns,2,FALSE))," ")</f>
        <v xml:space="preserve"> </v>
      </c>
      <c r="AV88" s="1332"/>
      <c r="AW88" s="1324" t="str">
        <f>IF('System Lookups'!$AI88&gt;1,INDEX(Skills_Table,'System Lookups'!$AH88-4,HLOOKUP(IF(ISNA(AZ88),"BCS% - Unskilled","BCS% - Skilled"),Skill_Columns,2,FALSE))," ")</f>
        <v xml:space="preserve"> </v>
      </c>
      <c r="AX88" s="1324"/>
      <c r="AY88" s="1324"/>
      <c r="AZ88" s="1331" t="str">
        <f>IF('System Lookups'!$AI88&gt;1,INDEX(Skills_Table,'System Lookups'!$AH88-4,HLOOKUP("Effective Level",Skill_Columns,2,FALSE))," ")</f>
        <v xml:space="preserve"> </v>
      </c>
      <c r="BA88" s="1332"/>
      <c r="BB88" s="1324" t="str">
        <f>IF('System Lookups'!$AI88&gt;1,INDEX(Skills_Table,'System Lookups'!$AH88-4,HLOOKUP("Attribute Bonus",Skill_Columns,2,FALSE))," ")</f>
        <v xml:space="preserve"> </v>
      </c>
      <c r="BC88" s="1324"/>
      <c r="BD88" s="1324"/>
      <c r="BE88" s="1324" t="str">
        <f>IF('System Lookups'!$AI88&gt;1,INDEX(Skills_Table,'System Lookups'!$AH88-4,HLOOKUP("Personal Skill Factor",Skill_Columns,2,FALSE))," ")</f>
        <v xml:space="preserve"> </v>
      </c>
      <c r="BF88" s="1325"/>
      <c r="BG88" s="1324" t="str">
        <f>IF('System Lookups'!$AI88&gt;1,INDEX(Skills_Table,'System Lookups'!$AH88-4,HLOOKUP("Total Skill Chance",Skill_Columns,2,FALSE))," ")</f>
        <v xml:space="preserve"> </v>
      </c>
      <c r="BH88" s="1325"/>
      <c r="BI88" s="1325"/>
      <c r="BJ88" s="466" t="str">
        <f>IF('System Lookups'!$AI88&gt;1,INDEX(Skills_Table,'System Lookups'!$AH88-4,HLOOKUP("Crit Die Modifier",Skill_Columns,2,FALSE))," ")</f>
        <v xml:space="preserve"> </v>
      </c>
      <c r="BK88" s="2458"/>
      <c r="BL88" s="577"/>
      <c r="BM88" s="1370"/>
      <c r="BN88" s="1721"/>
      <c r="BO88" s="1721"/>
      <c r="BP88" s="1721"/>
      <c r="BQ88" s="1721"/>
      <c r="BR88" s="1721"/>
      <c r="BS88" s="1721"/>
      <c r="BT88" s="1721"/>
      <c r="BU88" s="1721"/>
      <c r="BV88" s="1722"/>
      <c r="BW88" s="1331"/>
      <c r="BX88" s="1332"/>
      <c r="BY88" s="1331"/>
      <c r="BZ88" s="1332"/>
      <c r="CA88" s="1324"/>
      <c r="CB88" s="1324"/>
      <c r="CC88" s="1324"/>
      <c r="CD88" s="1331"/>
      <c r="CE88" s="1332"/>
      <c r="CF88" s="1404"/>
      <c r="CG88" s="1769"/>
      <c r="CH88" s="1770"/>
      <c r="CI88" s="1404"/>
      <c r="CJ88" s="1769"/>
      <c r="CK88" s="1770"/>
      <c r="CL88" s="1324"/>
      <c r="CM88" s="1873"/>
      <c r="CN88" s="1331"/>
      <c r="CO88" s="2297"/>
      <c r="CP88" s="1311"/>
      <c r="CQ88" s="2458"/>
    </row>
    <row r="89" spans="1:95" ht="15.75" customHeight="1" thickTop="1" thickBot="1">
      <c r="A89">
        <v>1</v>
      </c>
      <c r="B89"/>
      <c r="C89"/>
      <c r="D89"/>
      <c r="E89"/>
      <c r="F89"/>
      <c r="G89"/>
      <c r="H89"/>
      <c r="I89"/>
      <c r="J89"/>
      <c r="K89">
        <v>1</v>
      </c>
      <c r="L89"/>
      <c r="M89" s="1407" t="str">
        <f>IF('System Lookups'!$AE89&gt;1,INDEX(Skills_Table,'System Lookups'!$AD89-4,HLOOKUP("Skill Type",Skill_Columns,2,FALSE))," ")</f>
        <v xml:space="preserve"> </v>
      </c>
      <c r="N89" s="1408"/>
      <c r="O89" s="1333" t="str">
        <f>IF('System Lookups'!$AE89&gt;1,INDEX(Skills_Table,'System Lookups'!$AD89-4,HLOOKUP("current df",Skill_Columns,2,FALSE))," ")</f>
        <v xml:space="preserve"> </v>
      </c>
      <c r="P89" s="1334"/>
      <c r="Q89" s="1326" t="str">
        <f>IF('System Lookups'!$AE89&gt;1,INDEX(Skills_Table,'System Lookups'!$AD89-4,HLOOKUP(IF(ISNA(T89),"BCS% - Unskilled","BCS% - Skilled"),Skill_Columns,2,FALSE))," ")</f>
        <v xml:space="preserve"> </v>
      </c>
      <c r="R89" s="1326"/>
      <c r="S89" s="1326"/>
      <c r="T89" s="1333" t="str">
        <f>IF('System Lookups'!$AE89&gt;1,INDEX(Skills_Table,'System Lookups'!$AD89-4,HLOOKUP("Effective Level",Skill_Columns,2,FALSE))," ")</f>
        <v xml:space="preserve"> </v>
      </c>
      <c r="U89" s="1334"/>
      <c r="V89" s="1335" t="str">
        <f>IF('System Lookups'!$AE89&gt;1,INDEX(Skills_Table,'System Lookups'!$AD89-4,HLOOKUP("Attribute Bonus",Skill_Columns,2,FALSE))," ")</f>
        <v xml:space="preserve"> </v>
      </c>
      <c r="W89" s="1336"/>
      <c r="X89" s="1337"/>
      <c r="Y89" s="1326" t="str">
        <f>IF('System Lookups'!$AE89&gt;1,INDEX(Skills_Table,'System Lookups'!$AD89-4,HLOOKUP("Personal Skill Factor",Skill_Columns,2,FALSE))," ")</f>
        <v xml:space="preserve"> </v>
      </c>
      <c r="Z89" s="1327"/>
      <c r="AA89" s="1326" t="str">
        <f>IF('System Lookups'!$AE89&gt;1,INDEX(Skills_Table,'System Lookups'!$AD89-4,HLOOKUP("Total Skill Chance",Skill_Columns,2,FALSE))," ")</f>
        <v xml:space="preserve"> </v>
      </c>
      <c r="AB89" s="1327"/>
      <c r="AC89" s="1327"/>
      <c r="AD89" s="467" t="str">
        <f>IF('System Lookups'!$AE89&gt;1,INDEX(Skills_Table,'System Lookups'!$AD89-4,HLOOKUP("Crit Die Modifier",Skill_Columns,2,FALSE))," ")</f>
        <v xml:space="preserve"> </v>
      </c>
      <c r="AE89" s="2458"/>
      <c r="AF89" s="588"/>
      <c r="AG89">
        <v>1</v>
      </c>
      <c r="AH89"/>
      <c r="AI89"/>
      <c r="AJ89"/>
      <c r="AK89"/>
      <c r="AL89"/>
      <c r="AM89"/>
      <c r="AN89"/>
      <c r="AO89"/>
      <c r="AP89"/>
      <c r="AQ89">
        <v>1</v>
      </c>
      <c r="AR89"/>
      <c r="AS89" s="1407" t="str">
        <f>IF('System Lookups'!$AI89&gt;1,INDEX(Skills_Table,'System Lookups'!$AH89-4,HLOOKUP("Skill Type",Skill_Columns,2,FALSE))," ")</f>
        <v xml:space="preserve"> </v>
      </c>
      <c r="AT89" s="1408"/>
      <c r="AU89" s="1333" t="str">
        <f>IF('System Lookups'!$AI89&gt;1,INDEX(Skills_Table,'System Lookups'!$AH89-4,HLOOKUP("current df",Skill_Columns,2,FALSE))," ")</f>
        <v xml:space="preserve"> </v>
      </c>
      <c r="AV89" s="1334"/>
      <c r="AW89" s="1326" t="str">
        <f>IF('System Lookups'!$AI89&gt;1,INDEX(Skills_Table,'System Lookups'!$AH89-4,HLOOKUP(IF(ISNA(AZ89),"BCS% - Unskilled","BCS% - Skilled"),Skill_Columns,2,FALSE))," ")</f>
        <v xml:space="preserve"> </v>
      </c>
      <c r="AX89" s="1326"/>
      <c r="AY89" s="1326"/>
      <c r="AZ89" s="1333" t="str">
        <f>IF('System Lookups'!$AI89&gt;1,INDEX(Skills_Table,'System Lookups'!$AH89-4,HLOOKUP("Effective Level",Skill_Columns,2,FALSE))," ")</f>
        <v xml:space="preserve"> </v>
      </c>
      <c r="BA89" s="1334"/>
      <c r="BB89" s="1335" t="str">
        <f>IF('System Lookups'!$AI89&gt;1,INDEX(Skills_Table,'System Lookups'!$AH89-4,HLOOKUP("Attribute Bonus",Skill_Columns,2,FALSE))," ")</f>
        <v xml:space="preserve"> </v>
      </c>
      <c r="BC89" s="1336"/>
      <c r="BD89" s="1337"/>
      <c r="BE89" s="1326" t="str">
        <f>IF('System Lookups'!$AI89&gt;1,INDEX(Skills_Table,'System Lookups'!$AH89-4,HLOOKUP("Personal Skill Factor",Skill_Columns,2,FALSE))," ")</f>
        <v xml:space="preserve"> </v>
      </c>
      <c r="BF89" s="1327"/>
      <c r="BG89" s="1326" t="str">
        <f>IF('System Lookups'!$AI89&gt;1,INDEX(Skills_Table,'System Lookups'!$AH89-4,HLOOKUP("Total Skill Chance",Skill_Columns,2,FALSE))," ")</f>
        <v xml:space="preserve"> </v>
      </c>
      <c r="BH89" s="1327"/>
      <c r="BI89" s="1327"/>
      <c r="BJ89" s="467" t="str">
        <f>IF('System Lookups'!$AI89&gt;1,INDEX(Skills_Table,'System Lookups'!$AH89-4,HLOOKUP("Crit Die Modifier",Skill_Columns,2,FALSE))," ")</f>
        <v xml:space="preserve"> </v>
      </c>
      <c r="BK89" s="2458"/>
      <c r="BL89" s="577"/>
      <c r="BM89" s="1412"/>
      <c r="BN89" s="1344"/>
      <c r="BO89" s="1344"/>
      <c r="BP89" s="1344"/>
      <c r="BQ89" s="1344"/>
      <c r="BR89" s="1344"/>
      <c r="BS89" s="1344"/>
      <c r="BT89" s="1344"/>
      <c r="BU89" s="1344"/>
      <c r="BV89" s="1345"/>
      <c r="BW89" s="1333"/>
      <c r="BX89" s="1334"/>
      <c r="BY89" s="1333"/>
      <c r="BZ89" s="1334"/>
      <c r="CA89" s="1326"/>
      <c r="CB89" s="1326"/>
      <c r="CC89" s="1326"/>
      <c r="CD89" s="1333"/>
      <c r="CE89" s="1334"/>
      <c r="CF89" s="1335"/>
      <c r="CG89" s="1776"/>
      <c r="CH89" s="1777"/>
      <c r="CI89" s="1335"/>
      <c r="CJ89" s="1776"/>
      <c r="CK89" s="1777"/>
      <c r="CL89" s="1326"/>
      <c r="CM89" s="2095"/>
      <c r="CN89" s="1333"/>
      <c r="CO89" s="2466"/>
      <c r="CP89" s="1311"/>
      <c r="CQ89" s="2458"/>
    </row>
    <row r="90" spans="1:95" ht="15.75" customHeight="1" thickTop="1" thickBot="1">
      <c r="A90">
        <v>1</v>
      </c>
      <c r="B90"/>
      <c r="C90"/>
      <c r="D90"/>
      <c r="E90"/>
      <c r="F90"/>
      <c r="G90"/>
      <c r="H90"/>
      <c r="I90"/>
      <c r="J90"/>
      <c r="K90">
        <v>1</v>
      </c>
      <c r="L90"/>
      <c r="M90" s="1391" t="str">
        <f>IF('System Lookups'!$AE90&gt;1,INDEX(Skills_Table,'System Lookups'!$AD90-4,HLOOKUP("Skill Type",Skill_Columns,2,FALSE))," ")</f>
        <v xml:space="preserve"> </v>
      </c>
      <c r="N90" s="1392"/>
      <c r="O90" s="1331" t="str">
        <f>IF('System Lookups'!$AE90&gt;1,INDEX(Skills_Table,'System Lookups'!$AD90-4,HLOOKUP("current df",Skill_Columns,2,FALSE))," ")</f>
        <v xml:space="preserve"> </v>
      </c>
      <c r="P90" s="1332"/>
      <c r="Q90" s="1324" t="str">
        <f>IF('System Lookups'!$AE90&gt;1,INDEX(Skills_Table,'System Lookups'!$AD90-4,HLOOKUP(IF(ISNA(T90),"BCS% - Unskilled","BCS% - Skilled"),Skill_Columns,2,FALSE))," ")</f>
        <v xml:space="preserve"> </v>
      </c>
      <c r="R90" s="1324"/>
      <c r="S90" s="1324"/>
      <c r="T90" s="1331" t="str">
        <f>IF('System Lookups'!$AE90&gt;1,INDEX(Skills_Table,'System Lookups'!$AD90-4,HLOOKUP("Effective Level",Skill_Columns,2,FALSE))," ")</f>
        <v xml:space="preserve"> </v>
      </c>
      <c r="U90" s="1332"/>
      <c r="V90" s="1324" t="str">
        <f>IF('System Lookups'!$AE90&gt;1,INDEX(Skills_Table,'System Lookups'!$AD90-4,HLOOKUP("Attribute Bonus",Skill_Columns,2,FALSE))," ")</f>
        <v xml:space="preserve"> </v>
      </c>
      <c r="W90" s="1324"/>
      <c r="X90" s="1324"/>
      <c r="Y90" s="1324" t="str">
        <f>IF('System Lookups'!$AE90&gt;1,INDEX(Skills_Table,'System Lookups'!$AD90-4,HLOOKUP("Personal Skill Factor",Skill_Columns,2,FALSE))," ")</f>
        <v xml:space="preserve"> </v>
      </c>
      <c r="Z90" s="1325"/>
      <c r="AA90" s="1324" t="str">
        <f>IF('System Lookups'!$AE90&gt;1,INDEX(Skills_Table,'System Lookups'!$AD90-4,HLOOKUP("Total Skill Chance",Skill_Columns,2,FALSE))," ")</f>
        <v xml:space="preserve"> </v>
      </c>
      <c r="AB90" s="1325"/>
      <c r="AC90" s="1325"/>
      <c r="AD90" s="466" t="str">
        <f>IF('System Lookups'!$AE90&gt;1,INDEX(Skills_Table,'System Lookups'!$AD90-4,HLOOKUP("Crit Die Modifier",Skill_Columns,2,FALSE))," ")</f>
        <v xml:space="preserve"> </v>
      </c>
      <c r="AE90" s="2458"/>
      <c r="AF90" s="588"/>
      <c r="AG90">
        <v>1</v>
      </c>
      <c r="AH90"/>
      <c r="AI90"/>
      <c r="AJ90"/>
      <c r="AK90"/>
      <c r="AL90"/>
      <c r="AM90"/>
      <c r="AN90"/>
      <c r="AO90"/>
      <c r="AP90"/>
      <c r="AQ90">
        <v>1</v>
      </c>
      <c r="AR90"/>
      <c r="AS90" s="1391" t="str">
        <f>IF('System Lookups'!$AI90&gt;1,INDEX(Skills_Table,'System Lookups'!$AH90-4,HLOOKUP("Skill Type",Skill_Columns,2,FALSE))," ")</f>
        <v xml:space="preserve"> </v>
      </c>
      <c r="AT90" s="1392"/>
      <c r="AU90" s="1331" t="str">
        <f>IF('System Lookups'!$AI90&gt;1,INDEX(Skills_Table,'System Lookups'!$AH90-4,HLOOKUP("current df",Skill_Columns,2,FALSE))," ")</f>
        <v xml:space="preserve"> </v>
      </c>
      <c r="AV90" s="1332"/>
      <c r="AW90" s="1324" t="str">
        <f>IF('System Lookups'!$AI90&gt;1,INDEX(Skills_Table,'System Lookups'!$AH90-4,HLOOKUP(IF(ISNA(AZ90),"BCS% - Unskilled","BCS% - Skilled"),Skill_Columns,2,FALSE))," ")</f>
        <v xml:space="preserve"> </v>
      </c>
      <c r="AX90" s="1324"/>
      <c r="AY90" s="1324"/>
      <c r="AZ90" s="1331" t="str">
        <f>IF('System Lookups'!$AI90&gt;1,INDEX(Skills_Table,'System Lookups'!$AH90-4,HLOOKUP("Effective Level",Skill_Columns,2,FALSE))," ")</f>
        <v xml:space="preserve"> </v>
      </c>
      <c r="BA90" s="1332"/>
      <c r="BB90" s="1324" t="str">
        <f>IF('System Lookups'!$AI90&gt;1,INDEX(Skills_Table,'System Lookups'!$AH90-4,HLOOKUP("Attribute Bonus",Skill_Columns,2,FALSE))," ")</f>
        <v xml:space="preserve"> </v>
      </c>
      <c r="BC90" s="1324"/>
      <c r="BD90" s="1324"/>
      <c r="BE90" s="1324" t="str">
        <f>IF('System Lookups'!$AI90&gt;1,INDEX(Skills_Table,'System Lookups'!$AH90-4,HLOOKUP("Personal Skill Factor",Skill_Columns,2,FALSE))," ")</f>
        <v xml:space="preserve"> </v>
      </c>
      <c r="BF90" s="1325"/>
      <c r="BG90" s="1324" t="str">
        <f>IF('System Lookups'!$AI90&gt;1,INDEX(Skills_Table,'System Lookups'!$AH90-4,HLOOKUP("Total Skill Chance",Skill_Columns,2,FALSE))," ")</f>
        <v xml:space="preserve"> </v>
      </c>
      <c r="BH90" s="1325"/>
      <c r="BI90" s="1325"/>
      <c r="BJ90" s="466" t="str">
        <f>IF('System Lookups'!$AI90&gt;1,INDEX(Skills_Table,'System Lookups'!$AH90-4,HLOOKUP("Crit Die Modifier",Skill_Columns,2,FALSE))," ")</f>
        <v xml:space="preserve"> </v>
      </c>
      <c r="BK90" s="2458"/>
      <c r="BL90" s="577"/>
      <c r="BM90" s="1370"/>
      <c r="BN90" s="1721"/>
      <c r="BO90" s="1721"/>
      <c r="BP90" s="1721"/>
      <c r="BQ90" s="1721"/>
      <c r="BR90" s="1721"/>
      <c r="BS90" s="1721"/>
      <c r="BT90" s="1721"/>
      <c r="BU90" s="1721"/>
      <c r="BV90" s="1722"/>
      <c r="BW90" s="1331"/>
      <c r="BX90" s="1332"/>
      <c r="BY90" s="1331"/>
      <c r="BZ90" s="1332"/>
      <c r="CA90" s="1324"/>
      <c r="CB90" s="1324"/>
      <c r="CC90" s="1324"/>
      <c r="CD90" s="1331"/>
      <c r="CE90" s="1332"/>
      <c r="CF90" s="1404"/>
      <c r="CG90" s="1769"/>
      <c r="CH90" s="1770"/>
      <c r="CI90" s="1404"/>
      <c r="CJ90" s="1769"/>
      <c r="CK90" s="1770"/>
      <c r="CL90" s="1324"/>
      <c r="CM90" s="1873"/>
      <c r="CN90" s="1331"/>
      <c r="CO90" s="2297"/>
      <c r="CP90" s="1311"/>
      <c r="CQ90" s="2458"/>
    </row>
    <row r="91" spans="1:95" ht="15.75" customHeight="1" thickTop="1" thickBot="1">
      <c r="A91">
        <v>1</v>
      </c>
      <c r="B91"/>
      <c r="C91"/>
      <c r="D91"/>
      <c r="E91"/>
      <c r="F91"/>
      <c r="G91"/>
      <c r="H91"/>
      <c r="I91"/>
      <c r="J91"/>
      <c r="K91">
        <v>1</v>
      </c>
      <c r="L91"/>
      <c r="M91" s="1407" t="str">
        <f>IF('System Lookups'!$AE91&gt;1,INDEX(Skills_Table,'System Lookups'!$AD91-4,HLOOKUP("Skill Type",Skill_Columns,2,FALSE))," ")</f>
        <v xml:space="preserve"> </v>
      </c>
      <c r="N91" s="1408"/>
      <c r="O91" s="1333" t="str">
        <f>IF('System Lookups'!$AE91&gt;1,INDEX(Skills_Table,'System Lookups'!$AD91-4,HLOOKUP("current df",Skill_Columns,2,FALSE))," ")</f>
        <v xml:space="preserve"> </v>
      </c>
      <c r="P91" s="1334"/>
      <c r="Q91" s="1326" t="str">
        <f>IF('System Lookups'!$AE91&gt;1,INDEX(Skills_Table,'System Lookups'!$AD91-4,HLOOKUP(IF(ISNA(T91),"BCS% - Unskilled","BCS% - Skilled"),Skill_Columns,2,FALSE))," ")</f>
        <v xml:space="preserve"> </v>
      </c>
      <c r="R91" s="1326"/>
      <c r="S91" s="1326"/>
      <c r="T91" s="1333" t="str">
        <f>IF('System Lookups'!$AE91&gt;1,INDEX(Skills_Table,'System Lookups'!$AD91-4,HLOOKUP("Effective Level",Skill_Columns,2,FALSE))," ")</f>
        <v xml:space="preserve"> </v>
      </c>
      <c r="U91" s="1334"/>
      <c r="V91" s="1335" t="str">
        <f>IF('System Lookups'!$AE91&gt;1,INDEX(Skills_Table,'System Lookups'!$AD91-4,HLOOKUP("Attribute Bonus",Skill_Columns,2,FALSE))," ")</f>
        <v xml:space="preserve"> </v>
      </c>
      <c r="W91" s="1336"/>
      <c r="X91" s="1337"/>
      <c r="Y91" s="1326" t="str">
        <f>IF('System Lookups'!$AE91&gt;1,INDEX(Skills_Table,'System Lookups'!$AD91-4,HLOOKUP("Personal Skill Factor",Skill_Columns,2,FALSE))," ")</f>
        <v xml:space="preserve"> </v>
      </c>
      <c r="Z91" s="1327"/>
      <c r="AA91" s="1326" t="str">
        <f>IF('System Lookups'!$AE91&gt;1,INDEX(Skills_Table,'System Lookups'!$AD91-4,HLOOKUP("Total Skill Chance",Skill_Columns,2,FALSE))," ")</f>
        <v xml:space="preserve"> </v>
      </c>
      <c r="AB91" s="1327"/>
      <c r="AC91" s="1327"/>
      <c r="AD91" s="467" t="str">
        <f>IF('System Lookups'!$AE91&gt;1,INDEX(Skills_Table,'System Lookups'!$AD91-4,HLOOKUP("Crit Die Modifier",Skill_Columns,2,FALSE))," ")</f>
        <v xml:space="preserve"> </v>
      </c>
      <c r="AE91" s="2458"/>
      <c r="AF91" s="588"/>
      <c r="AG91">
        <v>1</v>
      </c>
      <c r="AH91"/>
      <c r="AI91"/>
      <c r="AJ91"/>
      <c r="AK91"/>
      <c r="AL91"/>
      <c r="AM91"/>
      <c r="AN91"/>
      <c r="AO91"/>
      <c r="AP91"/>
      <c r="AQ91">
        <v>1</v>
      </c>
      <c r="AR91"/>
      <c r="AS91" s="1407" t="str">
        <f>IF('System Lookups'!$AI91&gt;1,INDEX(Skills_Table,'System Lookups'!$AH91-4,HLOOKUP("Skill Type",Skill_Columns,2,FALSE))," ")</f>
        <v xml:space="preserve"> </v>
      </c>
      <c r="AT91" s="1408"/>
      <c r="AU91" s="1333" t="str">
        <f>IF('System Lookups'!$AI91&gt;1,INDEX(Skills_Table,'System Lookups'!$AH91-4,HLOOKUP("current df",Skill_Columns,2,FALSE))," ")</f>
        <v xml:space="preserve"> </v>
      </c>
      <c r="AV91" s="1334"/>
      <c r="AW91" s="1326" t="str">
        <f>IF('System Lookups'!$AI91&gt;1,INDEX(Skills_Table,'System Lookups'!$AH91-4,HLOOKUP(IF(ISNA(AZ91),"BCS% - Unskilled","BCS% - Skilled"),Skill_Columns,2,FALSE))," ")</f>
        <v xml:space="preserve"> </v>
      </c>
      <c r="AX91" s="1326"/>
      <c r="AY91" s="1326"/>
      <c r="AZ91" s="1333" t="str">
        <f>IF('System Lookups'!$AI91&gt;1,INDEX(Skills_Table,'System Lookups'!$AH91-4,HLOOKUP("Effective Level",Skill_Columns,2,FALSE))," ")</f>
        <v xml:space="preserve"> </v>
      </c>
      <c r="BA91" s="1334"/>
      <c r="BB91" s="1335" t="str">
        <f>IF('System Lookups'!$AI91&gt;1,INDEX(Skills_Table,'System Lookups'!$AH91-4,HLOOKUP("Attribute Bonus",Skill_Columns,2,FALSE))," ")</f>
        <v xml:space="preserve"> </v>
      </c>
      <c r="BC91" s="1336"/>
      <c r="BD91" s="1337"/>
      <c r="BE91" s="1326" t="str">
        <f>IF('System Lookups'!$AI91&gt;1,INDEX(Skills_Table,'System Lookups'!$AH91-4,HLOOKUP("Personal Skill Factor",Skill_Columns,2,FALSE))," ")</f>
        <v xml:space="preserve"> </v>
      </c>
      <c r="BF91" s="1327"/>
      <c r="BG91" s="1326" t="str">
        <f>IF('System Lookups'!$AI91&gt;1,INDEX(Skills_Table,'System Lookups'!$AH91-4,HLOOKUP("Total Skill Chance",Skill_Columns,2,FALSE))," ")</f>
        <v xml:space="preserve"> </v>
      </c>
      <c r="BH91" s="1327"/>
      <c r="BI91" s="1327"/>
      <c r="BJ91" s="467" t="str">
        <f>IF('System Lookups'!$AI91&gt;1,INDEX(Skills_Table,'System Lookups'!$AH91-4,HLOOKUP("Crit Die Modifier",Skill_Columns,2,FALSE))," ")</f>
        <v xml:space="preserve"> </v>
      </c>
      <c r="BK91" s="2458"/>
      <c r="BL91" s="577"/>
      <c r="BM91" s="1412"/>
      <c r="BN91" s="1344"/>
      <c r="BO91" s="1344"/>
      <c r="BP91" s="1344"/>
      <c r="BQ91" s="1344"/>
      <c r="BR91" s="1344"/>
      <c r="BS91" s="1344"/>
      <c r="BT91" s="1344"/>
      <c r="BU91" s="1344"/>
      <c r="BV91" s="1345"/>
      <c r="BW91" s="1333"/>
      <c r="BX91" s="1334"/>
      <c r="BY91" s="1333"/>
      <c r="BZ91" s="1334"/>
      <c r="CA91" s="1326"/>
      <c r="CB91" s="1326"/>
      <c r="CC91" s="1326"/>
      <c r="CD91" s="1333"/>
      <c r="CE91" s="1334"/>
      <c r="CF91" s="1335"/>
      <c r="CG91" s="1776"/>
      <c r="CH91" s="1777"/>
      <c r="CI91" s="1335"/>
      <c r="CJ91" s="1776"/>
      <c r="CK91" s="1777"/>
      <c r="CL91" s="1326"/>
      <c r="CM91" s="2095"/>
      <c r="CN91" s="1333"/>
      <c r="CO91" s="2466"/>
      <c r="CP91" s="1311"/>
      <c r="CQ91" s="2458"/>
    </row>
    <row r="92" spans="1:95" ht="15.75" customHeight="1" thickTop="1" thickBot="1">
      <c r="A92">
        <v>11</v>
      </c>
      <c r="B92"/>
      <c r="C92"/>
      <c r="D92"/>
      <c r="E92"/>
      <c r="F92"/>
      <c r="G92"/>
      <c r="H92"/>
      <c r="I92"/>
      <c r="J92"/>
      <c r="K92">
        <v>2</v>
      </c>
      <c r="L92"/>
      <c r="M92" s="1391" t="str">
        <f ca="1">IF('System Lookups'!$AE92&gt;1,INDEX(Skills_Table,'System Lookups'!$AD92-4,HLOOKUP("Skill Type",Skill_Columns,2,FALSE))," ")</f>
        <v>CS</v>
      </c>
      <c r="N92" s="1392"/>
      <c r="O92" s="1331">
        <f ca="1">IF('System Lookups'!$AE92&gt;1,INDEX(Skills_Table,'System Lookups'!$AD92-4,HLOOKUP("current df",Skill_Columns,2,FALSE))," ")</f>
        <v>1</v>
      </c>
      <c r="P92" s="1332"/>
      <c r="Q92" s="1324">
        <f ca="1">IF('System Lookups'!$AE92&gt;1,INDEX(Skills_Table,'System Lookups'!$AD92-4,HLOOKUP(IF(ISNA(T92),"BCS% - Unskilled","BCS% - Skilled"),Skill_Columns,2,FALSE))," ")</f>
        <v>0.6</v>
      </c>
      <c r="R92" s="1324"/>
      <c r="S92" s="1324"/>
      <c r="T92" s="1331">
        <f ca="1">IF('System Lookups'!$AE92&gt;1,INDEX(Skills_Table,'System Lookups'!$AD92-4,HLOOKUP("Effective Level",Skill_Columns,2,FALSE))," ")</f>
        <v>4</v>
      </c>
      <c r="U92" s="1332"/>
      <c r="V92" s="1324">
        <f ca="1">IF('System Lookups'!$AE92&gt;1,INDEX(Skills_Table,'System Lookups'!$AD92-4,HLOOKUP("Attribute Bonus",Skill_Columns,2,FALSE))," ")</f>
        <v>0.08</v>
      </c>
      <c r="W92" s="1324"/>
      <c r="X92" s="1324"/>
      <c r="Y92" s="1324">
        <f ca="1">IF('System Lookups'!$AE92&gt;1,INDEX(Skills_Table,'System Lookups'!$AD92-4,HLOOKUP("Personal Skill Factor",Skill_Columns,2,FALSE))," ")</f>
        <v>0.48000000000000004</v>
      </c>
      <c r="Z92" s="1325"/>
      <c r="AA92" s="1324">
        <f ca="1">IF('System Lookups'!$AE92&gt;1,INDEX(Skills_Table,'System Lookups'!$AD92-4,HLOOKUP("Total Skill Chance",Skill_Columns,2,FALSE))," ")</f>
        <v>1.1300000000000001</v>
      </c>
      <c r="AB92" s="1325"/>
      <c r="AC92" s="1325"/>
      <c r="AD92" s="466">
        <f ca="1">IF('System Lookups'!$AE92&gt;1,INDEX(Skills_Table,'System Lookups'!$AD92-4,HLOOKUP("Crit Die Modifier",Skill_Columns,2,FALSE))," ")</f>
        <v>0.70000000000000062</v>
      </c>
      <c r="AE92" s="2458" t="s">
        <v>4332</v>
      </c>
      <c r="AF92" s="588"/>
      <c r="AG92">
        <v>1</v>
      </c>
      <c r="AH92"/>
      <c r="AI92"/>
      <c r="AJ92"/>
      <c r="AK92"/>
      <c r="AL92"/>
      <c r="AM92"/>
      <c r="AN92"/>
      <c r="AO92"/>
      <c r="AP92"/>
      <c r="AQ92">
        <v>1</v>
      </c>
      <c r="AR92"/>
      <c r="AS92" s="1391" t="str">
        <f>IF('System Lookups'!$AI92&gt;1,INDEX(Skills_Table,'System Lookups'!$AH92-4,HLOOKUP("Skill Type",Skill_Columns,2,FALSE))," ")</f>
        <v xml:space="preserve"> </v>
      </c>
      <c r="AT92" s="1392"/>
      <c r="AU92" s="1331" t="str">
        <f>IF('System Lookups'!$AI92&gt;1,INDEX(Skills_Table,'System Lookups'!$AH92-4,HLOOKUP("current df",Skill_Columns,2,FALSE))," ")</f>
        <v xml:space="preserve"> </v>
      </c>
      <c r="AV92" s="1332"/>
      <c r="AW92" s="1324" t="str">
        <f>IF('System Lookups'!$AI92&gt;1,INDEX(Skills_Table,'System Lookups'!$AH92-4,HLOOKUP(IF(ISNA(AZ92),"BCS% - Unskilled","BCS% - Skilled"),Skill_Columns,2,FALSE))," ")</f>
        <v xml:space="preserve"> </v>
      </c>
      <c r="AX92" s="1324"/>
      <c r="AY92" s="1324"/>
      <c r="AZ92" s="1331" t="str">
        <f>IF('System Lookups'!$AI92&gt;1,INDEX(Skills_Table,'System Lookups'!$AH92-4,HLOOKUP("Effective Level",Skill_Columns,2,FALSE))," ")</f>
        <v xml:space="preserve"> </v>
      </c>
      <c r="BA92" s="1332"/>
      <c r="BB92" s="1324" t="str">
        <f>IF('System Lookups'!$AI92&gt;1,INDEX(Skills_Table,'System Lookups'!$AH92-4,HLOOKUP("Attribute Bonus",Skill_Columns,2,FALSE))," ")</f>
        <v xml:space="preserve"> </v>
      </c>
      <c r="BC92" s="1324"/>
      <c r="BD92" s="1324"/>
      <c r="BE92" s="1324" t="str">
        <f>IF('System Lookups'!$AI92&gt;1,INDEX(Skills_Table,'System Lookups'!$AH92-4,HLOOKUP("Personal Skill Factor",Skill_Columns,2,FALSE))," ")</f>
        <v xml:space="preserve"> </v>
      </c>
      <c r="BF92" s="1325"/>
      <c r="BG92" s="1324" t="str">
        <f>IF('System Lookups'!$AI92&gt;1,INDEX(Skills_Table,'System Lookups'!$AH92-4,HLOOKUP("Total Skill Chance",Skill_Columns,2,FALSE))," ")</f>
        <v xml:space="preserve"> </v>
      </c>
      <c r="BH92" s="1325"/>
      <c r="BI92" s="1325"/>
      <c r="BJ92" s="466" t="str">
        <f>IF('System Lookups'!$AI92&gt;1,INDEX(Skills_Table,'System Lookups'!$AH92-4,HLOOKUP("Crit Die Modifier",Skill_Columns,2,FALSE))," ")</f>
        <v xml:space="preserve"> </v>
      </c>
      <c r="BK92" s="2458" t="s">
        <v>4332</v>
      </c>
      <c r="BL92" s="577"/>
      <c r="BM92" s="1370"/>
      <c r="BN92" s="1721"/>
      <c r="BO92" s="1721"/>
      <c r="BP92" s="1721"/>
      <c r="BQ92" s="1721"/>
      <c r="BR92" s="1721"/>
      <c r="BS92" s="1721"/>
      <c r="BT92" s="1721"/>
      <c r="BU92" s="1721"/>
      <c r="BV92" s="1722"/>
      <c r="BW92" s="1331"/>
      <c r="BX92" s="1332"/>
      <c r="BY92" s="1331"/>
      <c r="BZ92" s="1332"/>
      <c r="CA92" s="1324"/>
      <c r="CB92" s="1324"/>
      <c r="CC92" s="1324"/>
      <c r="CD92" s="1331"/>
      <c r="CE92" s="1332"/>
      <c r="CF92" s="1404"/>
      <c r="CG92" s="1769"/>
      <c r="CH92" s="1770"/>
      <c r="CI92" s="1404"/>
      <c r="CJ92" s="1769"/>
      <c r="CK92" s="1770"/>
      <c r="CL92" s="1324"/>
      <c r="CM92" s="1873"/>
      <c r="CN92" s="1331"/>
      <c r="CO92" s="2297"/>
      <c r="CP92" s="1311"/>
      <c r="CQ92" s="2458" t="s">
        <v>4332</v>
      </c>
    </row>
    <row r="93" spans="1:95" ht="15.75" customHeight="1" thickTop="1" thickBot="1">
      <c r="A93">
        <v>11</v>
      </c>
      <c r="B93"/>
      <c r="C93"/>
      <c r="D93"/>
      <c r="E93"/>
      <c r="F93"/>
      <c r="G93"/>
      <c r="H93"/>
      <c r="I93"/>
      <c r="J93"/>
      <c r="K93">
        <v>4</v>
      </c>
      <c r="L93"/>
      <c r="M93" s="1407" t="str">
        <f ca="1">IF('System Lookups'!$AE93&gt;1,INDEX(Skills_Table,'System Lookups'!$AD93-4,HLOOKUP("Skill Type",Skill_Columns,2,FALSE))," ")</f>
        <v>CS</v>
      </c>
      <c r="N93" s="1408"/>
      <c r="O93" s="1333">
        <f ca="1">IF('System Lookups'!$AE93&gt;1,INDEX(Skills_Table,'System Lookups'!$AD93-4,HLOOKUP("current df",Skill_Columns,2,FALSE))," ")</f>
        <v>2</v>
      </c>
      <c r="P93" s="1334"/>
      <c r="Q93" s="1326">
        <f ca="1">IF('System Lookups'!$AE93&gt;1,INDEX(Skills_Table,'System Lookups'!$AD93-4,HLOOKUP(IF(ISNA(T93),"BCS% - Unskilled","BCS% - Skilled"),Skill_Columns,2,FALSE))," ")</f>
        <v>0.5</v>
      </c>
      <c r="R93" s="1326"/>
      <c r="S93" s="1326"/>
      <c r="T93" s="1333">
        <f ca="1">IF('System Lookups'!$AE93&gt;1,INDEX(Skills_Table,'System Lookups'!$AD93-4,HLOOKUP("Effective Level",Skill_Columns,2,FALSE))," ")</f>
        <v>4</v>
      </c>
      <c r="U93" s="1334"/>
      <c r="V93" s="1335">
        <f ca="1">IF('System Lookups'!$AE93&gt;1,INDEX(Skills_Table,'System Lookups'!$AD93-4,HLOOKUP("Attribute Bonus",Skill_Columns,2,FALSE))," ")</f>
        <v>0.08</v>
      </c>
      <c r="W93" s="1336"/>
      <c r="X93" s="1337"/>
      <c r="Y93" s="1326">
        <f ca="1">IF('System Lookups'!$AE93&gt;1,INDEX(Skills_Table,'System Lookups'!$AD93-4,HLOOKUP("Personal Skill Factor",Skill_Columns,2,FALSE))," ")</f>
        <v>0.48000000000000004</v>
      </c>
      <c r="Z93" s="1327"/>
      <c r="AA93" s="1326">
        <f ca="1">IF('System Lookups'!$AE93&gt;1,INDEX(Skills_Table,'System Lookups'!$AD93-4,HLOOKUP("Total Skill Chance",Skill_Columns,2,FALSE))," ")</f>
        <v>1.03</v>
      </c>
      <c r="AB93" s="1327"/>
      <c r="AC93" s="1327"/>
      <c r="AD93" s="467">
        <f ca="1">IF('System Lookups'!$AE93&gt;1,INDEX(Skills_Table,'System Lookups'!$AD93-4,HLOOKUP("Crit Die Modifier",Skill_Columns,2,FALSE))," ")</f>
        <v>0.25000000000000022</v>
      </c>
      <c r="AE93" s="2458"/>
      <c r="AF93" s="588"/>
      <c r="AG93">
        <v>1</v>
      </c>
      <c r="AH93"/>
      <c r="AI93"/>
      <c r="AJ93"/>
      <c r="AK93"/>
      <c r="AL93"/>
      <c r="AM93"/>
      <c r="AN93"/>
      <c r="AO93"/>
      <c r="AP93"/>
      <c r="AQ93">
        <v>1</v>
      </c>
      <c r="AR93"/>
      <c r="AS93" s="1407" t="str">
        <f>IF('System Lookups'!$AI93&gt;1,INDEX(Skills_Table,'System Lookups'!$AH93-4,HLOOKUP("Skill Type",Skill_Columns,2,FALSE))," ")</f>
        <v xml:space="preserve"> </v>
      </c>
      <c r="AT93" s="1408"/>
      <c r="AU93" s="1333" t="str">
        <f>IF('System Lookups'!$AI93&gt;1,INDEX(Skills_Table,'System Lookups'!$AH93-4,HLOOKUP("current df",Skill_Columns,2,FALSE))," ")</f>
        <v xml:space="preserve"> </v>
      </c>
      <c r="AV93" s="1334"/>
      <c r="AW93" s="1326" t="str">
        <f>IF('System Lookups'!$AI93&gt;1,INDEX(Skills_Table,'System Lookups'!$AH93-4,HLOOKUP(IF(ISNA(AZ93),"BCS% - Unskilled","BCS% - Skilled"),Skill_Columns,2,FALSE))," ")</f>
        <v xml:space="preserve"> </v>
      </c>
      <c r="AX93" s="1326"/>
      <c r="AY93" s="1326"/>
      <c r="AZ93" s="1333" t="str">
        <f>IF('System Lookups'!$AI93&gt;1,INDEX(Skills_Table,'System Lookups'!$AH93-4,HLOOKUP("Effective Level",Skill_Columns,2,FALSE))," ")</f>
        <v xml:space="preserve"> </v>
      </c>
      <c r="BA93" s="1334"/>
      <c r="BB93" s="1335" t="str">
        <f>IF('System Lookups'!$AI93&gt;1,INDEX(Skills_Table,'System Lookups'!$AH93-4,HLOOKUP("Attribute Bonus",Skill_Columns,2,FALSE))," ")</f>
        <v xml:space="preserve"> </v>
      </c>
      <c r="BC93" s="1336"/>
      <c r="BD93" s="1337"/>
      <c r="BE93" s="1326" t="str">
        <f>IF('System Lookups'!$AI93&gt;1,INDEX(Skills_Table,'System Lookups'!$AH93-4,HLOOKUP("Personal Skill Factor",Skill_Columns,2,FALSE))," ")</f>
        <v xml:space="preserve"> </v>
      </c>
      <c r="BF93" s="1327"/>
      <c r="BG93" s="1326" t="str">
        <f>IF('System Lookups'!$AI93&gt;1,INDEX(Skills_Table,'System Lookups'!$AH93-4,HLOOKUP("Total Skill Chance",Skill_Columns,2,FALSE))," ")</f>
        <v xml:space="preserve"> </v>
      </c>
      <c r="BH93" s="1327"/>
      <c r="BI93" s="1327"/>
      <c r="BJ93" s="467" t="str">
        <f>IF('System Lookups'!$AI93&gt;1,INDEX(Skills_Table,'System Lookups'!$AH93-4,HLOOKUP("Crit Die Modifier",Skill_Columns,2,FALSE))," ")</f>
        <v xml:space="preserve"> </v>
      </c>
      <c r="BK93" s="2458"/>
      <c r="BL93" s="577"/>
      <c r="BM93" s="1412"/>
      <c r="BN93" s="1344"/>
      <c r="BO93" s="1344"/>
      <c r="BP93" s="1344"/>
      <c r="BQ93" s="1344"/>
      <c r="BR93" s="1344"/>
      <c r="BS93" s="1344"/>
      <c r="BT93" s="1344"/>
      <c r="BU93" s="1344"/>
      <c r="BV93" s="1345"/>
      <c r="BW93" s="1333"/>
      <c r="BX93" s="1334"/>
      <c r="BY93" s="1333"/>
      <c r="BZ93" s="1334"/>
      <c r="CA93" s="1326"/>
      <c r="CB93" s="1326"/>
      <c r="CC93" s="1326"/>
      <c r="CD93" s="1333"/>
      <c r="CE93" s="1334"/>
      <c r="CF93" s="1335"/>
      <c r="CG93" s="1776"/>
      <c r="CH93" s="1777"/>
      <c r="CI93" s="1335"/>
      <c r="CJ93" s="1776"/>
      <c r="CK93" s="1777"/>
      <c r="CL93" s="1326"/>
      <c r="CM93" s="2095"/>
      <c r="CN93" s="1333"/>
      <c r="CO93" s="2466"/>
      <c r="CP93" s="1311"/>
      <c r="CQ93" s="2458"/>
    </row>
    <row r="94" spans="1:95" ht="15.75" customHeight="1" thickTop="1" thickBot="1">
      <c r="A94">
        <v>1</v>
      </c>
      <c r="B94"/>
      <c r="C94"/>
      <c r="D94"/>
      <c r="E94"/>
      <c r="F94"/>
      <c r="G94"/>
      <c r="H94"/>
      <c r="I94"/>
      <c r="J94"/>
      <c r="K94">
        <v>1</v>
      </c>
      <c r="L94"/>
      <c r="M94" s="1391" t="str">
        <f>IF('System Lookups'!$AE94&gt;1,INDEX(Skills_Table,'System Lookups'!$AD94-4,HLOOKUP("Skill Type",Skill_Columns,2,FALSE))," ")</f>
        <v xml:space="preserve"> </v>
      </c>
      <c r="N94" s="1392"/>
      <c r="O94" s="1331" t="str">
        <f>IF('System Lookups'!$AE94&gt;1,INDEX(Skills_Table,'System Lookups'!$AD94-4,HLOOKUP("current df",Skill_Columns,2,FALSE))," ")</f>
        <v xml:space="preserve"> </v>
      </c>
      <c r="P94" s="1332"/>
      <c r="Q94" s="1324" t="str">
        <f>IF('System Lookups'!$AE94&gt;1,INDEX(Skills_Table,'System Lookups'!$AD94-4,HLOOKUP(IF(ISNA(T94),"BCS% - Unskilled","BCS% - Skilled"),Skill_Columns,2,FALSE))," ")</f>
        <v xml:space="preserve"> </v>
      </c>
      <c r="R94" s="1324"/>
      <c r="S94" s="1324"/>
      <c r="T94" s="1331" t="str">
        <f>IF('System Lookups'!$AE94&gt;1,INDEX(Skills_Table,'System Lookups'!$AD94-4,HLOOKUP("Effective Level",Skill_Columns,2,FALSE))," ")</f>
        <v xml:space="preserve"> </v>
      </c>
      <c r="U94" s="1332"/>
      <c r="V94" s="1324" t="str">
        <f>IF('System Lookups'!$AE94&gt;1,INDEX(Skills_Table,'System Lookups'!$AD94-4,HLOOKUP("Attribute Bonus",Skill_Columns,2,FALSE))," ")</f>
        <v xml:space="preserve"> </v>
      </c>
      <c r="W94" s="1324"/>
      <c r="X94" s="1324"/>
      <c r="Y94" s="1324" t="str">
        <f>IF('System Lookups'!$AE94&gt;1,INDEX(Skills_Table,'System Lookups'!$AD94-4,HLOOKUP("Personal Skill Factor",Skill_Columns,2,FALSE))," ")</f>
        <v xml:space="preserve"> </v>
      </c>
      <c r="Z94" s="1325"/>
      <c r="AA94" s="1324" t="str">
        <f>IF('System Lookups'!$AE94&gt;1,INDEX(Skills_Table,'System Lookups'!$AD94-4,HLOOKUP("Total Skill Chance",Skill_Columns,2,FALSE))," ")</f>
        <v xml:space="preserve"> </v>
      </c>
      <c r="AB94" s="1325"/>
      <c r="AC94" s="1325"/>
      <c r="AD94" s="466" t="str">
        <f>IF('System Lookups'!$AE94&gt;1,INDEX(Skills_Table,'System Lookups'!$AD94-4,HLOOKUP("Crit Die Modifier",Skill_Columns,2,FALSE))," ")</f>
        <v xml:space="preserve"> </v>
      </c>
      <c r="AE94" s="2458"/>
      <c r="AF94" s="588"/>
      <c r="AG94">
        <v>1</v>
      </c>
      <c r="AH94"/>
      <c r="AI94"/>
      <c r="AJ94"/>
      <c r="AK94"/>
      <c r="AL94"/>
      <c r="AM94"/>
      <c r="AN94"/>
      <c r="AO94"/>
      <c r="AP94"/>
      <c r="AQ94">
        <v>1</v>
      </c>
      <c r="AR94"/>
      <c r="AS94" s="1391" t="str">
        <f>IF('System Lookups'!$AI94&gt;1,INDEX(Skills_Table,'System Lookups'!$AH94-4,HLOOKUP("Skill Type",Skill_Columns,2,FALSE))," ")</f>
        <v xml:space="preserve"> </v>
      </c>
      <c r="AT94" s="1392"/>
      <c r="AU94" s="1331" t="str">
        <f>IF('System Lookups'!$AI94&gt;1,INDEX(Skills_Table,'System Lookups'!$AH94-4,HLOOKUP("current df",Skill_Columns,2,FALSE))," ")</f>
        <v xml:space="preserve"> </v>
      </c>
      <c r="AV94" s="1332"/>
      <c r="AW94" s="1324" t="str">
        <f>IF('System Lookups'!$AI94&gt;1,INDEX(Skills_Table,'System Lookups'!$AH94-4,HLOOKUP(IF(ISNA(AZ94),"BCS% - Unskilled","BCS% - Skilled"),Skill_Columns,2,FALSE))," ")</f>
        <v xml:space="preserve"> </v>
      </c>
      <c r="AX94" s="1324"/>
      <c r="AY94" s="1324"/>
      <c r="AZ94" s="1331" t="str">
        <f>IF('System Lookups'!$AI94&gt;1,INDEX(Skills_Table,'System Lookups'!$AH94-4,HLOOKUP("Effective Level",Skill_Columns,2,FALSE))," ")</f>
        <v xml:space="preserve"> </v>
      </c>
      <c r="BA94" s="1332"/>
      <c r="BB94" s="1324" t="str">
        <f>IF('System Lookups'!$AI94&gt;1,INDEX(Skills_Table,'System Lookups'!$AH94-4,HLOOKUP("Attribute Bonus",Skill_Columns,2,FALSE))," ")</f>
        <v xml:space="preserve"> </v>
      </c>
      <c r="BC94" s="1324"/>
      <c r="BD94" s="1324"/>
      <c r="BE94" s="1324" t="str">
        <f>IF('System Lookups'!$AI94&gt;1,INDEX(Skills_Table,'System Lookups'!$AH94-4,HLOOKUP("Personal Skill Factor",Skill_Columns,2,FALSE))," ")</f>
        <v xml:space="preserve"> </v>
      </c>
      <c r="BF94" s="1325"/>
      <c r="BG94" s="1324" t="str">
        <f>IF('System Lookups'!$AI94&gt;1,INDEX(Skills_Table,'System Lookups'!$AH94-4,HLOOKUP("Total Skill Chance",Skill_Columns,2,FALSE))," ")</f>
        <v xml:space="preserve"> </v>
      </c>
      <c r="BH94" s="1325"/>
      <c r="BI94" s="1325"/>
      <c r="BJ94" s="466" t="str">
        <f>IF('System Lookups'!$AI94&gt;1,INDEX(Skills_Table,'System Lookups'!$AH94-4,HLOOKUP("Crit Die Modifier",Skill_Columns,2,FALSE))," ")</f>
        <v xml:space="preserve"> </v>
      </c>
      <c r="BK94" s="2458"/>
      <c r="BL94" s="577"/>
      <c r="BM94" s="1370"/>
      <c r="BN94" s="1721"/>
      <c r="BO94" s="1721"/>
      <c r="BP94" s="1721"/>
      <c r="BQ94" s="1721"/>
      <c r="BR94" s="1721"/>
      <c r="BS94" s="1721"/>
      <c r="BT94" s="1721"/>
      <c r="BU94" s="1721"/>
      <c r="BV94" s="1722"/>
      <c r="BW94" s="1331"/>
      <c r="BX94" s="1332"/>
      <c r="BY94" s="1331"/>
      <c r="BZ94" s="1332"/>
      <c r="CA94" s="1324"/>
      <c r="CB94" s="1324"/>
      <c r="CC94" s="1324"/>
      <c r="CD94" s="1331"/>
      <c r="CE94" s="1332"/>
      <c r="CF94" s="1404"/>
      <c r="CG94" s="1769"/>
      <c r="CH94" s="1770"/>
      <c r="CI94" s="1404"/>
      <c r="CJ94" s="1769"/>
      <c r="CK94" s="1770"/>
      <c r="CL94" s="1324"/>
      <c r="CM94" s="1873"/>
      <c r="CN94" s="1331"/>
      <c r="CO94" s="2297"/>
      <c r="CP94" s="1311"/>
      <c r="CQ94" s="2458"/>
    </row>
    <row r="95" spans="1:95" ht="15.75" customHeight="1" thickTop="1" thickBot="1">
      <c r="A95">
        <v>1</v>
      </c>
      <c r="B95"/>
      <c r="C95"/>
      <c r="D95"/>
      <c r="E95"/>
      <c r="F95"/>
      <c r="G95"/>
      <c r="H95"/>
      <c r="I95"/>
      <c r="J95"/>
      <c r="K95">
        <v>1</v>
      </c>
      <c r="L95"/>
      <c r="M95" s="1407" t="str">
        <f>IF('System Lookups'!$AE95&gt;1,INDEX(Skills_Table,'System Lookups'!$AD95-4,HLOOKUP("Skill Type",Skill_Columns,2,FALSE))," ")</f>
        <v xml:space="preserve"> </v>
      </c>
      <c r="N95" s="1408"/>
      <c r="O95" s="1333" t="str">
        <f>IF('System Lookups'!$AE95&gt;1,INDEX(Skills_Table,'System Lookups'!$AD95-4,HLOOKUP("current df",Skill_Columns,2,FALSE))," ")</f>
        <v xml:space="preserve"> </v>
      </c>
      <c r="P95" s="1334"/>
      <c r="Q95" s="1326" t="str">
        <f>IF('System Lookups'!$AE95&gt;1,INDEX(Skills_Table,'System Lookups'!$AD95-4,HLOOKUP(IF(ISNA(T95),"BCS% - Unskilled","BCS% - Skilled"),Skill_Columns,2,FALSE))," ")</f>
        <v xml:space="preserve"> </v>
      </c>
      <c r="R95" s="1326"/>
      <c r="S95" s="1326"/>
      <c r="T95" s="1333" t="str">
        <f>IF('System Lookups'!$AE95&gt;1,INDEX(Skills_Table,'System Lookups'!$AD95-4,HLOOKUP("Effective Level",Skill_Columns,2,FALSE))," ")</f>
        <v xml:space="preserve"> </v>
      </c>
      <c r="U95" s="1334"/>
      <c r="V95" s="1335" t="str">
        <f>IF('System Lookups'!$AE95&gt;1,INDEX(Skills_Table,'System Lookups'!$AD95-4,HLOOKUP("Attribute Bonus",Skill_Columns,2,FALSE))," ")</f>
        <v xml:space="preserve"> </v>
      </c>
      <c r="W95" s="1336"/>
      <c r="X95" s="1337"/>
      <c r="Y95" s="1326" t="str">
        <f>IF('System Lookups'!$AE95&gt;1,INDEX(Skills_Table,'System Lookups'!$AD95-4,HLOOKUP("Personal Skill Factor",Skill_Columns,2,FALSE))," ")</f>
        <v xml:space="preserve"> </v>
      </c>
      <c r="Z95" s="1327"/>
      <c r="AA95" s="1326" t="str">
        <f>IF('System Lookups'!$AE95&gt;1,INDEX(Skills_Table,'System Lookups'!$AD95-4,HLOOKUP("Total Skill Chance",Skill_Columns,2,FALSE))," ")</f>
        <v xml:space="preserve"> </v>
      </c>
      <c r="AB95" s="1327"/>
      <c r="AC95" s="1327"/>
      <c r="AD95" s="467" t="str">
        <f>IF('System Lookups'!$AE95&gt;1,INDEX(Skills_Table,'System Lookups'!$AD95-4,HLOOKUP("Crit Die Modifier",Skill_Columns,2,FALSE))," ")</f>
        <v xml:space="preserve"> </v>
      </c>
      <c r="AE95" s="2458"/>
      <c r="AF95" s="588"/>
      <c r="AG95">
        <v>1</v>
      </c>
      <c r="AH95"/>
      <c r="AI95"/>
      <c r="AJ95"/>
      <c r="AK95"/>
      <c r="AL95"/>
      <c r="AM95"/>
      <c r="AN95"/>
      <c r="AO95"/>
      <c r="AP95"/>
      <c r="AQ95">
        <v>1</v>
      </c>
      <c r="AR95"/>
      <c r="AS95" s="1407" t="str">
        <f>IF('System Lookups'!$AI95&gt;1,INDEX(Skills_Table,'System Lookups'!$AH95-4,HLOOKUP("Skill Type",Skill_Columns,2,FALSE))," ")</f>
        <v xml:space="preserve"> </v>
      </c>
      <c r="AT95" s="1408"/>
      <c r="AU95" s="1333" t="str">
        <f>IF('System Lookups'!$AI95&gt;1,INDEX(Skills_Table,'System Lookups'!$AH95-4,HLOOKUP("current df",Skill_Columns,2,FALSE))," ")</f>
        <v xml:space="preserve"> </v>
      </c>
      <c r="AV95" s="1334"/>
      <c r="AW95" s="1326" t="str">
        <f>IF('System Lookups'!$AI95&gt;1,INDEX(Skills_Table,'System Lookups'!$AH95-4,HLOOKUP(IF(ISNA(AZ95),"BCS% - Unskilled","BCS% - Skilled"),Skill_Columns,2,FALSE))," ")</f>
        <v xml:space="preserve"> </v>
      </c>
      <c r="AX95" s="1326"/>
      <c r="AY95" s="1326"/>
      <c r="AZ95" s="1333" t="str">
        <f>IF('System Lookups'!$AI95&gt;1,INDEX(Skills_Table,'System Lookups'!$AH95-4,HLOOKUP("Effective Level",Skill_Columns,2,FALSE))," ")</f>
        <v xml:space="preserve"> </v>
      </c>
      <c r="BA95" s="1334"/>
      <c r="BB95" s="1335" t="str">
        <f>IF('System Lookups'!$AI95&gt;1,INDEX(Skills_Table,'System Lookups'!$AH95-4,HLOOKUP("Attribute Bonus",Skill_Columns,2,FALSE))," ")</f>
        <v xml:space="preserve"> </v>
      </c>
      <c r="BC95" s="1336"/>
      <c r="BD95" s="1337"/>
      <c r="BE95" s="1326" t="str">
        <f>IF('System Lookups'!$AI95&gt;1,INDEX(Skills_Table,'System Lookups'!$AH95-4,HLOOKUP("Personal Skill Factor",Skill_Columns,2,FALSE))," ")</f>
        <v xml:space="preserve"> </v>
      </c>
      <c r="BF95" s="1327"/>
      <c r="BG95" s="1326" t="str">
        <f>IF('System Lookups'!$AI95&gt;1,INDEX(Skills_Table,'System Lookups'!$AH95-4,HLOOKUP("Total Skill Chance",Skill_Columns,2,FALSE))," ")</f>
        <v xml:space="preserve"> </v>
      </c>
      <c r="BH95" s="1327"/>
      <c r="BI95" s="1327"/>
      <c r="BJ95" s="467" t="str">
        <f>IF('System Lookups'!$AI95&gt;1,INDEX(Skills_Table,'System Lookups'!$AH95-4,HLOOKUP("Crit Die Modifier",Skill_Columns,2,FALSE))," ")</f>
        <v xml:space="preserve"> </v>
      </c>
      <c r="BK95" s="2458"/>
      <c r="BL95" s="577"/>
      <c r="BM95" s="1412"/>
      <c r="BN95" s="1344"/>
      <c r="BO95" s="1344"/>
      <c r="BP95" s="1344"/>
      <c r="BQ95" s="1344"/>
      <c r="BR95" s="1344"/>
      <c r="BS95" s="1344"/>
      <c r="BT95" s="1344"/>
      <c r="BU95" s="1344"/>
      <c r="BV95" s="1345"/>
      <c r="BW95" s="1333"/>
      <c r="BX95" s="1334"/>
      <c r="BY95" s="1333"/>
      <c r="BZ95" s="1334"/>
      <c r="CA95" s="1326"/>
      <c r="CB95" s="1326"/>
      <c r="CC95" s="1326"/>
      <c r="CD95" s="1333"/>
      <c r="CE95" s="1334"/>
      <c r="CF95" s="1335"/>
      <c r="CG95" s="1776"/>
      <c r="CH95" s="1777"/>
      <c r="CI95" s="1335"/>
      <c r="CJ95" s="1776"/>
      <c r="CK95" s="1777"/>
      <c r="CL95" s="1326"/>
      <c r="CM95" s="2095"/>
      <c r="CN95" s="1333"/>
      <c r="CO95" s="2466"/>
      <c r="CP95" s="1311"/>
      <c r="CQ95" s="2458"/>
    </row>
    <row r="96" spans="1:95" ht="15.75" customHeight="1" thickTop="1" thickBot="1">
      <c r="A96">
        <v>1</v>
      </c>
      <c r="B96"/>
      <c r="C96"/>
      <c r="D96"/>
      <c r="E96"/>
      <c r="F96"/>
      <c r="G96"/>
      <c r="H96"/>
      <c r="I96"/>
      <c r="J96"/>
      <c r="K96">
        <v>1</v>
      </c>
      <c r="L96"/>
      <c r="M96" s="1391" t="str">
        <f>IF('System Lookups'!$AE96&gt;1,INDEX(Skills_Table,'System Lookups'!$AD96-4,HLOOKUP("Skill Type",Skill_Columns,2,FALSE))," ")</f>
        <v xml:space="preserve"> </v>
      </c>
      <c r="N96" s="1392"/>
      <c r="O96" s="1331" t="str">
        <f>IF('System Lookups'!$AE96&gt;1,INDEX(Skills_Table,'System Lookups'!$AD96-4,HLOOKUP("current df",Skill_Columns,2,FALSE))," ")</f>
        <v xml:space="preserve"> </v>
      </c>
      <c r="P96" s="1332"/>
      <c r="Q96" s="1324" t="str">
        <f>IF('System Lookups'!$AE96&gt;1,INDEX(Skills_Table,'System Lookups'!$AD96-4,HLOOKUP(IF(ISNA(T96),"BCS% - Unskilled","BCS% - Skilled"),Skill_Columns,2,FALSE))," ")</f>
        <v xml:space="preserve"> </v>
      </c>
      <c r="R96" s="1324"/>
      <c r="S96" s="1324"/>
      <c r="T96" s="1331" t="str">
        <f>IF('System Lookups'!$AE96&gt;1,INDEX(Skills_Table,'System Lookups'!$AD96-4,HLOOKUP("Effective Level",Skill_Columns,2,FALSE))," ")</f>
        <v xml:space="preserve"> </v>
      </c>
      <c r="U96" s="1332"/>
      <c r="V96" s="1324" t="str">
        <f>IF('System Lookups'!$AE96&gt;1,INDEX(Skills_Table,'System Lookups'!$AD96-4,HLOOKUP("Attribute Bonus",Skill_Columns,2,FALSE))," ")</f>
        <v xml:space="preserve"> </v>
      </c>
      <c r="W96" s="1324"/>
      <c r="X96" s="1324"/>
      <c r="Y96" s="1324" t="str">
        <f>IF('System Lookups'!$AE96&gt;1,INDEX(Skills_Table,'System Lookups'!$AD96-4,HLOOKUP("Personal Skill Factor",Skill_Columns,2,FALSE))," ")</f>
        <v xml:space="preserve"> </v>
      </c>
      <c r="Z96" s="1325"/>
      <c r="AA96" s="1324" t="str">
        <f>IF('System Lookups'!$AE96&gt;1,INDEX(Skills_Table,'System Lookups'!$AD96-4,HLOOKUP("Total Skill Chance",Skill_Columns,2,FALSE))," ")</f>
        <v xml:space="preserve"> </v>
      </c>
      <c r="AB96" s="1325"/>
      <c r="AC96" s="1325"/>
      <c r="AD96" s="466" t="str">
        <f>IF('System Lookups'!$AE96&gt;1,INDEX(Skills_Table,'System Lookups'!$AD96-4,HLOOKUP("Crit Die Modifier",Skill_Columns,2,FALSE))," ")</f>
        <v xml:space="preserve"> </v>
      </c>
      <c r="AE96" s="2458"/>
      <c r="AF96" s="588"/>
      <c r="AG96">
        <v>1</v>
      </c>
      <c r="AH96"/>
      <c r="AI96"/>
      <c r="AJ96"/>
      <c r="AK96"/>
      <c r="AL96"/>
      <c r="AM96"/>
      <c r="AN96"/>
      <c r="AO96"/>
      <c r="AP96"/>
      <c r="AQ96">
        <v>1</v>
      </c>
      <c r="AR96"/>
      <c r="AS96" s="1391" t="str">
        <f>IF('System Lookups'!$AI96&gt;1,INDEX(Skills_Table,'System Lookups'!$AH96-4,HLOOKUP("Skill Type",Skill_Columns,2,FALSE))," ")</f>
        <v xml:space="preserve"> </v>
      </c>
      <c r="AT96" s="1392"/>
      <c r="AU96" s="1331" t="str">
        <f>IF('System Lookups'!$AI96&gt;1,INDEX(Skills_Table,'System Lookups'!$AH96-4,HLOOKUP("current df",Skill_Columns,2,FALSE))," ")</f>
        <v xml:space="preserve"> </v>
      </c>
      <c r="AV96" s="1332"/>
      <c r="AW96" s="1324" t="str">
        <f>IF('System Lookups'!$AI96&gt;1,INDEX(Skills_Table,'System Lookups'!$AH96-4,HLOOKUP(IF(ISNA(AZ96),"BCS% - Unskilled","BCS% - Skilled"),Skill_Columns,2,FALSE))," ")</f>
        <v xml:space="preserve"> </v>
      </c>
      <c r="AX96" s="1324"/>
      <c r="AY96" s="1324"/>
      <c r="AZ96" s="1331" t="str">
        <f>IF('System Lookups'!$AI96&gt;1,INDEX(Skills_Table,'System Lookups'!$AH96-4,HLOOKUP("Effective Level",Skill_Columns,2,FALSE))," ")</f>
        <v xml:space="preserve"> </v>
      </c>
      <c r="BA96" s="1332"/>
      <c r="BB96" s="1324" t="str">
        <f>IF('System Lookups'!$AI96&gt;1,INDEX(Skills_Table,'System Lookups'!$AH96-4,HLOOKUP("Attribute Bonus",Skill_Columns,2,FALSE))," ")</f>
        <v xml:space="preserve"> </v>
      </c>
      <c r="BC96" s="1324"/>
      <c r="BD96" s="1324"/>
      <c r="BE96" s="1324" t="str">
        <f>IF('System Lookups'!$AI96&gt;1,INDEX(Skills_Table,'System Lookups'!$AH96-4,HLOOKUP("Personal Skill Factor",Skill_Columns,2,FALSE))," ")</f>
        <v xml:space="preserve"> </v>
      </c>
      <c r="BF96" s="1325"/>
      <c r="BG96" s="1324" t="str">
        <f>IF('System Lookups'!$AI96&gt;1,INDEX(Skills_Table,'System Lookups'!$AH96-4,HLOOKUP("Total Skill Chance",Skill_Columns,2,FALSE))," ")</f>
        <v xml:space="preserve"> </v>
      </c>
      <c r="BH96" s="1325"/>
      <c r="BI96" s="1325"/>
      <c r="BJ96" s="466" t="str">
        <f>IF('System Lookups'!$AI96&gt;1,INDEX(Skills_Table,'System Lookups'!$AH96-4,HLOOKUP("Crit Die Modifier",Skill_Columns,2,FALSE))," ")</f>
        <v xml:space="preserve"> </v>
      </c>
      <c r="BK96" s="2458"/>
      <c r="BL96" s="577"/>
      <c r="BM96" s="1370"/>
      <c r="BN96" s="1721"/>
      <c r="BO96" s="1721"/>
      <c r="BP96" s="1721"/>
      <c r="BQ96" s="1721"/>
      <c r="BR96" s="1721"/>
      <c r="BS96" s="1721"/>
      <c r="BT96" s="1721"/>
      <c r="BU96" s="1721"/>
      <c r="BV96" s="1722"/>
      <c r="BW96" s="1331"/>
      <c r="BX96" s="1332"/>
      <c r="BY96" s="1331"/>
      <c r="BZ96" s="1332"/>
      <c r="CA96" s="1324"/>
      <c r="CB96" s="1324"/>
      <c r="CC96" s="1324"/>
      <c r="CD96" s="1331"/>
      <c r="CE96" s="1332"/>
      <c r="CF96" s="1404"/>
      <c r="CG96" s="1769"/>
      <c r="CH96" s="1770"/>
      <c r="CI96" s="1404"/>
      <c r="CJ96" s="1769"/>
      <c r="CK96" s="1770"/>
      <c r="CL96" s="1324"/>
      <c r="CM96" s="1873"/>
      <c r="CN96" s="1331"/>
      <c r="CO96" s="2297"/>
      <c r="CP96" s="1311"/>
      <c r="CQ96" s="2458"/>
    </row>
    <row r="97" spans="1:95" ht="15.75" customHeight="1" thickTop="1" thickBot="1">
      <c r="A97">
        <v>1</v>
      </c>
      <c r="B97"/>
      <c r="C97"/>
      <c r="D97"/>
      <c r="E97"/>
      <c r="F97"/>
      <c r="G97"/>
      <c r="H97"/>
      <c r="I97"/>
      <c r="J97"/>
      <c r="K97">
        <v>1</v>
      </c>
      <c r="L97"/>
      <c r="M97" s="1407" t="str">
        <f>IF('System Lookups'!$AE97&gt;1,INDEX(Skills_Table,'System Lookups'!$AD97-4,HLOOKUP("Skill Type",Skill_Columns,2,FALSE))," ")</f>
        <v xml:space="preserve"> </v>
      </c>
      <c r="N97" s="1408"/>
      <c r="O97" s="1333" t="str">
        <f>IF('System Lookups'!$AE97&gt;1,INDEX(Skills_Table,'System Lookups'!$AD97-4,HLOOKUP("current df",Skill_Columns,2,FALSE))," ")</f>
        <v xml:space="preserve"> </v>
      </c>
      <c r="P97" s="1334"/>
      <c r="Q97" s="1326" t="str">
        <f>IF('System Lookups'!$AE97&gt;1,INDEX(Skills_Table,'System Lookups'!$AD97-4,HLOOKUP(IF(ISNA(T97),"BCS% - Unskilled","BCS% - Skilled"),Skill_Columns,2,FALSE))," ")</f>
        <v xml:space="preserve"> </v>
      </c>
      <c r="R97" s="1326"/>
      <c r="S97" s="1326"/>
      <c r="T97" s="1333" t="str">
        <f>IF('System Lookups'!$AE97&gt;1,INDEX(Skills_Table,'System Lookups'!$AD97-4,HLOOKUP("Effective Level",Skill_Columns,2,FALSE))," ")</f>
        <v xml:space="preserve"> </v>
      </c>
      <c r="U97" s="1334"/>
      <c r="V97" s="1335" t="str">
        <f>IF('System Lookups'!$AE97&gt;1,INDEX(Skills_Table,'System Lookups'!$AD97-4,HLOOKUP("Attribute Bonus",Skill_Columns,2,FALSE))," ")</f>
        <v xml:space="preserve"> </v>
      </c>
      <c r="W97" s="1336"/>
      <c r="X97" s="1337"/>
      <c r="Y97" s="1326" t="str">
        <f>IF('System Lookups'!$AE97&gt;1,INDEX(Skills_Table,'System Lookups'!$AD97-4,HLOOKUP("Personal Skill Factor",Skill_Columns,2,FALSE))," ")</f>
        <v xml:space="preserve"> </v>
      </c>
      <c r="Z97" s="1327"/>
      <c r="AA97" s="1326" t="str">
        <f>IF('System Lookups'!$AE97&gt;1,INDEX(Skills_Table,'System Lookups'!$AD97-4,HLOOKUP("Total Skill Chance",Skill_Columns,2,FALSE))," ")</f>
        <v xml:space="preserve"> </v>
      </c>
      <c r="AB97" s="1327"/>
      <c r="AC97" s="1327"/>
      <c r="AD97" s="467" t="str">
        <f>IF('System Lookups'!$AE97&gt;1,INDEX(Skills_Table,'System Lookups'!$AD97-4,HLOOKUP("Crit Die Modifier",Skill_Columns,2,FALSE))," ")</f>
        <v xml:space="preserve"> </v>
      </c>
      <c r="AE97" s="2458"/>
      <c r="AF97" s="588"/>
      <c r="AG97">
        <v>1</v>
      </c>
      <c r="AH97"/>
      <c r="AI97"/>
      <c r="AJ97"/>
      <c r="AK97"/>
      <c r="AL97"/>
      <c r="AM97"/>
      <c r="AN97"/>
      <c r="AO97"/>
      <c r="AP97"/>
      <c r="AQ97">
        <v>1</v>
      </c>
      <c r="AR97"/>
      <c r="AS97" s="1407" t="str">
        <f>IF('System Lookups'!$AI97&gt;1,INDEX(Skills_Table,'System Lookups'!$AH97-4,HLOOKUP("Skill Type",Skill_Columns,2,FALSE))," ")</f>
        <v xml:space="preserve"> </v>
      </c>
      <c r="AT97" s="1408"/>
      <c r="AU97" s="1333" t="str">
        <f>IF('System Lookups'!$AI97&gt;1,INDEX(Skills_Table,'System Lookups'!$AH97-4,HLOOKUP("current df",Skill_Columns,2,FALSE))," ")</f>
        <v xml:space="preserve"> </v>
      </c>
      <c r="AV97" s="1334"/>
      <c r="AW97" s="1326" t="str">
        <f>IF('System Lookups'!$AI97&gt;1,INDEX(Skills_Table,'System Lookups'!$AH97-4,HLOOKUP(IF(ISNA(AZ97),"BCS% - Unskilled","BCS% - Skilled"),Skill_Columns,2,FALSE))," ")</f>
        <v xml:space="preserve"> </v>
      </c>
      <c r="AX97" s="1326"/>
      <c r="AY97" s="1326"/>
      <c r="AZ97" s="1333" t="str">
        <f>IF('System Lookups'!$AI97&gt;1,INDEX(Skills_Table,'System Lookups'!$AH97-4,HLOOKUP("Effective Level",Skill_Columns,2,FALSE))," ")</f>
        <v xml:space="preserve"> </v>
      </c>
      <c r="BA97" s="1334"/>
      <c r="BB97" s="1335" t="str">
        <f>IF('System Lookups'!$AI97&gt;1,INDEX(Skills_Table,'System Lookups'!$AH97-4,HLOOKUP("Attribute Bonus",Skill_Columns,2,FALSE))," ")</f>
        <v xml:space="preserve"> </v>
      </c>
      <c r="BC97" s="1336"/>
      <c r="BD97" s="1337"/>
      <c r="BE97" s="1326" t="str">
        <f>IF('System Lookups'!$AI97&gt;1,INDEX(Skills_Table,'System Lookups'!$AH97-4,HLOOKUP("Personal Skill Factor",Skill_Columns,2,FALSE))," ")</f>
        <v xml:space="preserve"> </v>
      </c>
      <c r="BF97" s="1327"/>
      <c r="BG97" s="1326" t="str">
        <f>IF('System Lookups'!$AI97&gt;1,INDEX(Skills_Table,'System Lookups'!$AH97-4,HLOOKUP("Total Skill Chance",Skill_Columns,2,FALSE))," ")</f>
        <v xml:space="preserve"> </v>
      </c>
      <c r="BH97" s="1327"/>
      <c r="BI97" s="1327"/>
      <c r="BJ97" s="467" t="str">
        <f>IF('System Lookups'!$AI97&gt;1,INDEX(Skills_Table,'System Lookups'!$AH97-4,HLOOKUP("Crit Die Modifier",Skill_Columns,2,FALSE))," ")</f>
        <v xml:space="preserve"> </v>
      </c>
      <c r="BK97" s="2458"/>
      <c r="BL97" s="577"/>
      <c r="BM97" s="1412"/>
      <c r="BN97" s="1344"/>
      <c r="BO97" s="1344"/>
      <c r="BP97" s="1344"/>
      <c r="BQ97" s="1344"/>
      <c r="BR97" s="1344"/>
      <c r="BS97" s="1344"/>
      <c r="BT97" s="1344"/>
      <c r="BU97" s="1344"/>
      <c r="BV97" s="1345"/>
      <c r="BW97" s="1333"/>
      <c r="BX97" s="1334"/>
      <c r="BY97" s="1333"/>
      <c r="BZ97" s="1334"/>
      <c r="CA97" s="1326"/>
      <c r="CB97" s="1326"/>
      <c r="CC97" s="1326"/>
      <c r="CD97" s="1333"/>
      <c r="CE97" s="1334"/>
      <c r="CF97" s="1335"/>
      <c r="CG97" s="1776"/>
      <c r="CH97" s="1777"/>
      <c r="CI97" s="1335"/>
      <c r="CJ97" s="1776"/>
      <c r="CK97" s="1777"/>
      <c r="CL97" s="1326"/>
      <c r="CM97" s="2095"/>
      <c r="CN97" s="1333"/>
      <c r="CO97" s="2466"/>
      <c r="CP97" s="1311"/>
      <c r="CQ97" s="2458"/>
    </row>
    <row r="98" spans="1:95" ht="15.75" customHeight="1" thickTop="1" thickBot="1">
      <c r="A98">
        <v>1</v>
      </c>
      <c r="B98"/>
      <c r="C98"/>
      <c r="D98"/>
      <c r="E98"/>
      <c r="F98"/>
      <c r="G98"/>
      <c r="H98"/>
      <c r="I98"/>
      <c r="J98"/>
      <c r="K98">
        <v>1</v>
      </c>
      <c r="L98"/>
      <c r="M98" s="1391" t="str">
        <f>IF('System Lookups'!$AE98&gt;1,INDEX(Skills_Table,'System Lookups'!$AD98-4,HLOOKUP("Skill Type",Skill_Columns,2,FALSE))," ")</f>
        <v xml:space="preserve"> </v>
      </c>
      <c r="N98" s="1392"/>
      <c r="O98" s="1331" t="str">
        <f>IF('System Lookups'!$AE98&gt;1,INDEX(Skills_Table,'System Lookups'!$AD98-4,HLOOKUP("current df",Skill_Columns,2,FALSE))," ")</f>
        <v xml:space="preserve"> </v>
      </c>
      <c r="P98" s="1332"/>
      <c r="Q98" s="1324" t="str">
        <f>IF('System Lookups'!$AE98&gt;1,INDEX(Skills_Table,'System Lookups'!$AD98-4,HLOOKUP(IF(ISNA(T98),"BCS% - Unskilled","BCS% - Skilled"),Skill_Columns,2,FALSE))," ")</f>
        <v xml:space="preserve"> </v>
      </c>
      <c r="R98" s="1324"/>
      <c r="S98" s="1324"/>
      <c r="T98" s="1331" t="str">
        <f>IF('System Lookups'!$AE98&gt;1,INDEX(Skills_Table,'System Lookups'!$AD98-4,HLOOKUP("Effective Level",Skill_Columns,2,FALSE))," ")</f>
        <v xml:space="preserve"> </v>
      </c>
      <c r="U98" s="1332"/>
      <c r="V98" s="1324" t="str">
        <f>IF('System Lookups'!$AE98&gt;1,INDEX(Skills_Table,'System Lookups'!$AD98-4,HLOOKUP("Attribute Bonus",Skill_Columns,2,FALSE))," ")</f>
        <v xml:space="preserve"> </v>
      </c>
      <c r="W98" s="1324"/>
      <c r="X98" s="1324"/>
      <c r="Y98" s="1324" t="str">
        <f>IF('System Lookups'!$AE98&gt;1,INDEX(Skills_Table,'System Lookups'!$AD98-4,HLOOKUP("Personal Skill Factor",Skill_Columns,2,FALSE))," ")</f>
        <v xml:space="preserve"> </v>
      </c>
      <c r="Z98" s="1325"/>
      <c r="AA98" s="1324" t="str">
        <f>IF('System Lookups'!$AE98&gt;1,INDEX(Skills_Table,'System Lookups'!$AD98-4,HLOOKUP("Total Skill Chance",Skill_Columns,2,FALSE))," ")</f>
        <v xml:space="preserve"> </v>
      </c>
      <c r="AB98" s="1325"/>
      <c r="AC98" s="1325"/>
      <c r="AD98" s="466" t="str">
        <f>IF('System Lookups'!$AE98&gt;1,INDEX(Skills_Table,'System Lookups'!$AD98-4,HLOOKUP("Crit Die Modifier",Skill_Columns,2,FALSE))," ")</f>
        <v xml:space="preserve"> </v>
      </c>
      <c r="AE98" s="2458"/>
      <c r="AF98" s="588"/>
      <c r="AG98">
        <v>1</v>
      </c>
      <c r="AH98"/>
      <c r="AI98"/>
      <c r="AJ98"/>
      <c r="AK98"/>
      <c r="AL98"/>
      <c r="AM98"/>
      <c r="AN98"/>
      <c r="AO98"/>
      <c r="AP98"/>
      <c r="AQ98">
        <v>1</v>
      </c>
      <c r="AR98"/>
      <c r="AS98" s="1391" t="str">
        <f>IF('System Lookups'!$AI98&gt;1,INDEX(Skills_Table,'System Lookups'!$AH98-4,HLOOKUP("Skill Type",Skill_Columns,2,FALSE))," ")</f>
        <v xml:space="preserve"> </v>
      </c>
      <c r="AT98" s="1392"/>
      <c r="AU98" s="1331" t="str">
        <f>IF('System Lookups'!$AI98&gt;1,INDEX(Skills_Table,'System Lookups'!$AH98-4,HLOOKUP("current df",Skill_Columns,2,FALSE))," ")</f>
        <v xml:space="preserve"> </v>
      </c>
      <c r="AV98" s="1332"/>
      <c r="AW98" s="1324" t="str">
        <f>IF('System Lookups'!$AI98&gt;1,INDEX(Skills_Table,'System Lookups'!$AH98-4,HLOOKUP(IF(ISNA(AZ98),"BCS% - Unskilled","BCS% - Skilled"),Skill_Columns,2,FALSE))," ")</f>
        <v xml:space="preserve"> </v>
      </c>
      <c r="AX98" s="1324"/>
      <c r="AY98" s="1324"/>
      <c r="AZ98" s="1331" t="str">
        <f>IF('System Lookups'!$AI98&gt;1,INDEX(Skills_Table,'System Lookups'!$AH98-4,HLOOKUP("Effective Level",Skill_Columns,2,FALSE))," ")</f>
        <v xml:space="preserve"> </v>
      </c>
      <c r="BA98" s="1332"/>
      <c r="BB98" s="1324" t="str">
        <f>IF('System Lookups'!$AI98&gt;1,INDEX(Skills_Table,'System Lookups'!$AH98-4,HLOOKUP("Attribute Bonus",Skill_Columns,2,FALSE))," ")</f>
        <v xml:space="preserve"> </v>
      </c>
      <c r="BC98" s="1324"/>
      <c r="BD98" s="1324"/>
      <c r="BE98" s="1324" t="str">
        <f>IF('System Lookups'!$AI98&gt;1,INDEX(Skills_Table,'System Lookups'!$AH98-4,HLOOKUP("Personal Skill Factor",Skill_Columns,2,FALSE))," ")</f>
        <v xml:space="preserve"> </v>
      </c>
      <c r="BF98" s="1325"/>
      <c r="BG98" s="1324" t="str">
        <f>IF('System Lookups'!$AI98&gt;1,INDEX(Skills_Table,'System Lookups'!$AH98-4,HLOOKUP("Total Skill Chance",Skill_Columns,2,FALSE))," ")</f>
        <v xml:space="preserve"> </v>
      </c>
      <c r="BH98" s="1325"/>
      <c r="BI98" s="1325"/>
      <c r="BJ98" s="466" t="str">
        <f>IF('System Lookups'!$AI98&gt;1,INDEX(Skills_Table,'System Lookups'!$AH98-4,HLOOKUP("Crit Die Modifier",Skill_Columns,2,FALSE))," ")</f>
        <v xml:space="preserve"> </v>
      </c>
      <c r="BK98" s="2458"/>
      <c r="BL98" s="577"/>
      <c r="BM98" s="1370"/>
      <c r="BN98" s="1721"/>
      <c r="BO98" s="1721"/>
      <c r="BP98" s="1721"/>
      <c r="BQ98" s="1721"/>
      <c r="BR98" s="1721"/>
      <c r="BS98" s="1721"/>
      <c r="BT98" s="1721"/>
      <c r="BU98" s="1721"/>
      <c r="BV98" s="1722"/>
      <c r="BW98" s="1331"/>
      <c r="BX98" s="1332"/>
      <c r="BY98" s="1331"/>
      <c r="BZ98" s="1332"/>
      <c r="CA98" s="1324"/>
      <c r="CB98" s="1324"/>
      <c r="CC98" s="1324"/>
      <c r="CD98" s="1331"/>
      <c r="CE98" s="1332"/>
      <c r="CF98" s="1404"/>
      <c r="CG98" s="1769"/>
      <c r="CH98" s="1770"/>
      <c r="CI98" s="1404"/>
      <c r="CJ98" s="1769"/>
      <c r="CK98" s="1770"/>
      <c r="CL98" s="1324"/>
      <c r="CM98" s="1873"/>
      <c r="CN98" s="1331"/>
      <c r="CO98" s="2297"/>
      <c r="CP98" s="1311"/>
      <c r="CQ98" s="2458"/>
    </row>
    <row r="99" spans="1:95" ht="15.75" customHeight="1" thickTop="1" thickBot="1">
      <c r="A99">
        <v>1</v>
      </c>
      <c r="B99"/>
      <c r="C99"/>
      <c r="D99"/>
      <c r="E99"/>
      <c r="F99"/>
      <c r="G99"/>
      <c r="H99"/>
      <c r="I99"/>
      <c r="J99"/>
      <c r="K99">
        <v>1</v>
      </c>
      <c r="L99"/>
      <c r="M99" s="1407" t="str">
        <f>IF('System Lookups'!$AE99&gt;1,INDEX(Skills_Table,'System Lookups'!$AD99-4,HLOOKUP("Skill Type",Skill_Columns,2,FALSE))," ")</f>
        <v xml:space="preserve"> </v>
      </c>
      <c r="N99" s="1408"/>
      <c r="O99" s="1333" t="str">
        <f>IF('System Lookups'!$AE99&gt;1,INDEX(Skills_Table,'System Lookups'!$AD99-4,HLOOKUP("current df",Skill_Columns,2,FALSE))," ")</f>
        <v xml:space="preserve"> </v>
      </c>
      <c r="P99" s="1334"/>
      <c r="Q99" s="1326" t="str">
        <f>IF('System Lookups'!$AE99&gt;1,INDEX(Skills_Table,'System Lookups'!$AD99-4,HLOOKUP(IF(ISNA(T99),"BCS% - Unskilled","BCS% - Skilled"),Skill_Columns,2,FALSE))," ")</f>
        <v xml:space="preserve"> </v>
      </c>
      <c r="R99" s="1326"/>
      <c r="S99" s="1326"/>
      <c r="T99" s="1333" t="str">
        <f>IF('System Lookups'!$AE99&gt;1,INDEX(Skills_Table,'System Lookups'!$AD99-4,HLOOKUP("Effective Level",Skill_Columns,2,FALSE))," ")</f>
        <v xml:space="preserve"> </v>
      </c>
      <c r="U99" s="1334"/>
      <c r="V99" s="1335" t="str">
        <f>IF('System Lookups'!$AE99&gt;1,INDEX(Skills_Table,'System Lookups'!$AD99-4,HLOOKUP("Attribute Bonus",Skill_Columns,2,FALSE))," ")</f>
        <v xml:space="preserve"> </v>
      </c>
      <c r="W99" s="1336"/>
      <c r="X99" s="1337"/>
      <c r="Y99" s="1326" t="str">
        <f>IF('System Lookups'!$AE99&gt;1,INDEX(Skills_Table,'System Lookups'!$AD99-4,HLOOKUP("Personal Skill Factor",Skill_Columns,2,FALSE))," ")</f>
        <v xml:space="preserve"> </v>
      </c>
      <c r="Z99" s="1327"/>
      <c r="AA99" s="1326" t="str">
        <f>IF('System Lookups'!$AE99&gt;1,INDEX(Skills_Table,'System Lookups'!$AD99-4,HLOOKUP("Total Skill Chance",Skill_Columns,2,FALSE))," ")</f>
        <v xml:space="preserve"> </v>
      </c>
      <c r="AB99" s="1327"/>
      <c r="AC99" s="1327"/>
      <c r="AD99" s="467" t="str">
        <f>IF('System Lookups'!$AE99&gt;1,INDEX(Skills_Table,'System Lookups'!$AD99-4,HLOOKUP("Crit Die Modifier",Skill_Columns,2,FALSE))," ")</f>
        <v xml:space="preserve"> </v>
      </c>
      <c r="AE99" s="2458"/>
      <c r="AF99" s="588"/>
      <c r="AG99">
        <v>1</v>
      </c>
      <c r="AH99"/>
      <c r="AI99"/>
      <c r="AJ99"/>
      <c r="AK99"/>
      <c r="AL99"/>
      <c r="AM99"/>
      <c r="AN99"/>
      <c r="AO99"/>
      <c r="AP99"/>
      <c r="AQ99">
        <v>1</v>
      </c>
      <c r="AR99"/>
      <c r="AS99" s="1407" t="str">
        <f>IF('System Lookups'!$AI99&gt;1,INDEX(Skills_Table,'System Lookups'!$AH99-4,HLOOKUP("Skill Type",Skill_Columns,2,FALSE))," ")</f>
        <v xml:space="preserve"> </v>
      </c>
      <c r="AT99" s="1408"/>
      <c r="AU99" s="1333" t="str">
        <f>IF('System Lookups'!$AI99&gt;1,INDEX(Skills_Table,'System Lookups'!$AH99-4,HLOOKUP("current df",Skill_Columns,2,FALSE))," ")</f>
        <v xml:space="preserve"> </v>
      </c>
      <c r="AV99" s="1334"/>
      <c r="AW99" s="1326" t="str">
        <f>IF('System Lookups'!$AI99&gt;1,INDEX(Skills_Table,'System Lookups'!$AH99-4,HLOOKUP(IF(ISNA(AZ99),"BCS% - Unskilled","BCS% - Skilled"),Skill_Columns,2,FALSE))," ")</f>
        <v xml:space="preserve"> </v>
      </c>
      <c r="AX99" s="1326"/>
      <c r="AY99" s="1326"/>
      <c r="AZ99" s="1333" t="str">
        <f>IF('System Lookups'!$AI99&gt;1,INDEX(Skills_Table,'System Lookups'!$AH99-4,HLOOKUP("Effective Level",Skill_Columns,2,FALSE))," ")</f>
        <v xml:space="preserve"> </v>
      </c>
      <c r="BA99" s="1334"/>
      <c r="BB99" s="1335" t="str">
        <f>IF('System Lookups'!$AI99&gt;1,INDEX(Skills_Table,'System Lookups'!$AH99-4,HLOOKUP("Attribute Bonus",Skill_Columns,2,FALSE))," ")</f>
        <v xml:space="preserve"> </v>
      </c>
      <c r="BC99" s="1336"/>
      <c r="BD99" s="1337"/>
      <c r="BE99" s="1326" t="str">
        <f>IF('System Lookups'!$AI99&gt;1,INDEX(Skills_Table,'System Lookups'!$AH99-4,HLOOKUP("Personal Skill Factor",Skill_Columns,2,FALSE))," ")</f>
        <v xml:space="preserve"> </v>
      </c>
      <c r="BF99" s="1327"/>
      <c r="BG99" s="1326" t="str">
        <f>IF('System Lookups'!$AI99&gt;1,INDEX(Skills_Table,'System Lookups'!$AH99-4,HLOOKUP("Total Skill Chance",Skill_Columns,2,FALSE))," ")</f>
        <v xml:space="preserve"> </v>
      </c>
      <c r="BH99" s="1327"/>
      <c r="BI99" s="1327"/>
      <c r="BJ99" s="467" t="str">
        <f>IF('System Lookups'!$AI99&gt;1,INDEX(Skills_Table,'System Lookups'!$AH99-4,HLOOKUP("Crit Die Modifier",Skill_Columns,2,FALSE))," ")</f>
        <v xml:space="preserve"> </v>
      </c>
      <c r="BK99" s="2458"/>
      <c r="BL99" s="577"/>
      <c r="BM99" s="1412"/>
      <c r="BN99" s="1344"/>
      <c r="BO99" s="1344"/>
      <c r="BP99" s="1344"/>
      <c r="BQ99" s="1344"/>
      <c r="BR99" s="1344"/>
      <c r="BS99" s="1344"/>
      <c r="BT99" s="1344"/>
      <c r="BU99" s="1344"/>
      <c r="BV99" s="1345"/>
      <c r="BW99" s="1333"/>
      <c r="BX99" s="1334"/>
      <c r="BY99" s="1333"/>
      <c r="BZ99" s="1334"/>
      <c r="CA99" s="1326"/>
      <c r="CB99" s="1326"/>
      <c r="CC99" s="1326"/>
      <c r="CD99" s="1333"/>
      <c r="CE99" s="1334"/>
      <c r="CF99" s="1335"/>
      <c r="CG99" s="1776"/>
      <c r="CH99" s="1777"/>
      <c r="CI99" s="1335"/>
      <c r="CJ99" s="1776"/>
      <c r="CK99" s="1777"/>
      <c r="CL99" s="1326"/>
      <c r="CM99" s="2095"/>
      <c r="CN99" s="1333"/>
      <c r="CO99" s="2466"/>
      <c r="CP99" s="1311"/>
      <c r="CQ99" s="2458"/>
    </row>
    <row r="100" spans="1:95" ht="15.75" customHeight="1" thickTop="1" thickBot="1">
      <c r="A100">
        <v>1</v>
      </c>
      <c r="B100"/>
      <c r="C100"/>
      <c r="D100"/>
      <c r="E100"/>
      <c r="F100"/>
      <c r="G100"/>
      <c r="H100"/>
      <c r="I100"/>
      <c r="J100"/>
      <c r="K100">
        <v>1</v>
      </c>
      <c r="L100"/>
      <c r="M100" s="1391" t="str">
        <f>IF('System Lookups'!$AE100&gt;1,INDEX(Skills_Table,'System Lookups'!$AD100-4,HLOOKUP("Skill Type",Skill_Columns,2,FALSE))," ")</f>
        <v xml:space="preserve"> </v>
      </c>
      <c r="N100" s="1392"/>
      <c r="O100" s="1331" t="str">
        <f>IF('System Lookups'!$AE100&gt;1,INDEX(Skills_Table,'System Lookups'!$AD100-4,HLOOKUP("current df",Skill_Columns,2,FALSE))," ")</f>
        <v xml:space="preserve"> </v>
      </c>
      <c r="P100" s="1332"/>
      <c r="Q100" s="1324" t="str">
        <f>IF('System Lookups'!$AE100&gt;1,INDEX(Skills_Table,'System Lookups'!$AD100-4,HLOOKUP(IF(ISNA(T100),"BCS% - Unskilled","BCS% - Skilled"),Skill_Columns,2,FALSE))," ")</f>
        <v xml:space="preserve"> </v>
      </c>
      <c r="R100" s="1324"/>
      <c r="S100" s="1324"/>
      <c r="T100" s="1331" t="str">
        <f>IF('System Lookups'!$AE100&gt;1,INDEX(Skills_Table,'System Lookups'!$AD100-4,HLOOKUP("Effective Level",Skill_Columns,2,FALSE))," ")</f>
        <v xml:space="preserve"> </v>
      </c>
      <c r="U100" s="1332"/>
      <c r="V100" s="1324" t="str">
        <f>IF('System Lookups'!$AE100&gt;1,INDEX(Skills_Table,'System Lookups'!$AD100-4,HLOOKUP("Attribute Bonus",Skill_Columns,2,FALSE))," ")</f>
        <v xml:space="preserve"> </v>
      </c>
      <c r="W100" s="1324"/>
      <c r="X100" s="1324"/>
      <c r="Y100" s="1324" t="str">
        <f>IF('System Lookups'!$AE100&gt;1,INDEX(Skills_Table,'System Lookups'!$AD100-4,HLOOKUP("Personal Skill Factor",Skill_Columns,2,FALSE))," ")</f>
        <v xml:space="preserve"> </v>
      </c>
      <c r="Z100" s="1325"/>
      <c r="AA100" s="1324" t="str">
        <f>IF('System Lookups'!$AE100&gt;1,INDEX(Skills_Table,'System Lookups'!$AD100-4,HLOOKUP("Total Skill Chance",Skill_Columns,2,FALSE))," ")</f>
        <v xml:space="preserve"> </v>
      </c>
      <c r="AB100" s="1325"/>
      <c r="AC100" s="1325"/>
      <c r="AD100" s="466" t="str">
        <f>IF('System Lookups'!$AE100&gt;1,INDEX(Skills_Table,'System Lookups'!$AD100-4,HLOOKUP("Crit Die Modifier",Skill_Columns,2,FALSE))," ")</f>
        <v xml:space="preserve"> </v>
      </c>
      <c r="AE100" s="2458"/>
      <c r="AF100" s="588"/>
      <c r="AG100">
        <v>1</v>
      </c>
      <c r="AH100"/>
      <c r="AI100"/>
      <c r="AJ100"/>
      <c r="AK100"/>
      <c r="AL100"/>
      <c r="AM100"/>
      <c r="AN100"/>
      <c r="AO100"/>
      <c r="AP100"/>
      <c r="AQ100">
        <v>1</v>
      </c>
      <c r="AR100"/>
      <c r="AS100" s="1391" t="str">
        <f>IF('System Lookups'!$AI100&gt;1,INDEX(Skills_Table,'System Lookups'!$AH100-4,HLOOKUP("Skill Type",Skill_Columns,2,FALSE))," ")</f>
        <v xml:space="preserve"> </v>
      </c>
      <c r="AT100" s="1392"/>
      <c r="AU100" s="1331" t="str">
        <f>IF('System Lookups'!$AI100&gt;1,INDEX(Skills_Table,'System Lookups'!$AH100-4,HLOOKUP("current df",Skill_Columns,2,FALSE))," ")</f>
        <v xml:space="preserve"> </v>
      </c>
      <c r="AV100" s="1332"/>
      <c r="AW100" s="1324" t="str">
        <f>IF('System Lookups'!$AI100&gt;1,INDEX(Skills_Table,'System Lookups'!$AH100-4,HLOOKUP(IF(ISNA(AZ100),"BCS% - Unskilled","BCS% - Skilled"),Skill_Columns,2,FALSE))," ")</f>
        <v xml:space="preserve"> </v>
      </c>
      <c r="AX100" s="1324"/>
      <c r="AY100" s="1324"/>
      <c r="AZ100" s="1331" t="str">
        <f>IF('System Lookups'!$AI100&gt;1,INDEX(Skills_Table,'System Lookups'!$AH100-4,HLOOKUP("Effective Level",Skill_Columns,2,FALSE))," ")</f>
        <v xml:space="preserve"> </v>
      </c>
      <c r="BA100" s="1332"/>
      <c r="BB100" s="1324" t="str">
        <f>IF('System Lookups'!$AI100&gt;1,INDEX(Skills_Table,'System Lookups'!$AH100-4,HLOOKUP("Attribute Bonus",Skill_Columns,2,FALSE))," ")</f>
        <v xml:space="preserve"> </v>
      </c>
      <c r="BC100" s="1324"/>
      <c r="BD100" s="1324"/>
      <c r="BE100" s="1324" t="str">
        <f>IF('System Lookups'!$AI100&gt;1,INDEX(Skills_Table,'System Lookups'!$AH100-4,HLOOKUP("Personal Skill Factor",Skill_Columns,2,FALSE))," ")</f>
        <v xml:space="preserve"> </v>
      </c>
      <c r="BF100" s="1325"/>
      <c r="BG100" s="1324" t="str">
        <f>IF('System Lookups'!$AI100&gt;1,INDEX(Skills_Table,'System Lookups'!$AH100-4,HLOOKUP("Total Skill Chance",Skill_Columns,2,FALSE))," ")</f>
        <v xml:space="preserve"> </v>
      </c>
      <c r="BH100" s="1325"/>
      <c r="BI100" s="1325"/>
      <c r="BJ100" s="466" t="str">
        <f>IF('System Lookups'!$AI100&gt;1,INDEX(Skills_Table,'System Lookups'!$AH100-4,HLOOKUP("Crit Die Modifier",Skill_Columns,2,FALSE))," ")</f>
        <v xml:space="preserve"> </v>
      </c>
      <c r="BK100" s="2458"/>
      <c r="BL100" s="577"/>
      <c r="BM100" s="1370"/>
      <c r="BN100" s="1721"/>
      <c r="BO100" s="1721"/>
      <c r="BP100" s="1721"/>
      <c r="BQ100" s="1721"/>
      <c r="BR100" s="1721"/>
      <c r="BS100" s="1721"/>
      <c r="BT100" s="1721"/>
      <c r="BU100" s="1721"/>
      <c r="BV100" s="1722"/>
      <c r="BW100" s="1331"/>
      <c r="BX100" s="1332"/>
      <c r="BY100" s="1331"/>
      <c r="BZ100" s="1332"/>
      <c r="CA100" s="1324"/>
      <c r="CB100" s="1324"/>
      <c r="CC100" s="1324"/>
      <c r="CD100" s="1331"/>
      <c r="CE100" s="1332"/>
      <c r="CF100" s="1404"/>
      <c r="CG100" s="1769"/>
      <c r="CH100" s="1770"/>
      <c r="CI100" s="1404"/>
      <c r="CJ100" s="1769"/>
      <c r="CK100" s="1770"/>
      <c r="CL100" s="1324"/>
      <c r="CM100" s="1873"/>
      <c r="CN100" s="1331"/>
      <c r="CO100" s="2297"/>
      <c r="CP100" s="1311"/>
      <c r="CQ100" s="2458"/>
    </row>
    <row r="101" spans="1:95" ht="15.75" customHeight="1" thickTop="1" thickBot="1">
      <c r="A101">
        <v>1</v>
      </c>
      <c r="B101"/>
      <c r="C101"/>
      <c r="D101"/>
      <c r="E101"/>
      <c r="F101"/>
      <c r="G101"/>
      <c r="H101"/>
      <c r="I101"/>
      <c r="J101"/>
      <c r="K101">
        <v>1</v>
      </c>
      <c r="L101"/>
      <c r="M101" s="1407" t="str">
        <f>IF('System Lookups'!$AE101&gt;1,INDEX(Skills_Table,'System Lookups'!$AD101-4,HLOOKUP("Skill Type",Skill_Columns,2,FALSE))," ")</f>
        <v xml:space="preserve"> </v>
      </c>
      <c r="N101" s="1408"/>
      <c r="O101" s="1333" t="str">
        <f>IF('System Lookups'!$AE101&gt;1,INDEX(Skills_Table,'System Lookups'!$AD101-4,HLOOKUP("current df",Skill_Columns,2,FALSE))," ")</f>
        <v xml:space="preserve"> </v>
      </c>
      <c r="P101" s="1334"/>
      <c r="Q101" s="1326" t="str">
        <f>IF('System Lookups'!$AE101&gt;1,INDEX(Skills_Table,'System Lookups'!$AD101-4,HLOOKUP(IF(ISNA(T101),"BCS% - Unskilled","BCS% - Skilled"),Skill_Columns,2,FALSE))," ")</f>
        <v xml:space="preserve"> </v>
      </c>
      <c r="R101" s="1326"/>
      <c r="S101" s="1326"/>
      <c r="T101" s="1333" t="str">
        <f>IF('System Lookups'!$AE101&gt;1,INDEX(Skills_Table,'System Lookups'!$AD101-4,HLOOKUP("Effective Level",Skill_Columns,2,FALSE))," ")</f>
        <v xml:space="preserve"> </v>
      </c>
      <c r="U101" s="1334"/>
      <c r="V101" s="1335" t="str">
        <f>IF('System Lookups'!$AE101&gt;1,INDEX(Skills_Table,'System Lookups'!$AD101-4,HLOOKUP("Attribute Bonus",Skill_Columns,2,FALSE))," ")</f>
        <v xml:space="preserve"> </v>
      </c>
      <c r="W101" s="1336"/>
      <c r="X101" s="1337"/>
      <c r="Y101" s="1326" t="str">
        <f>IF('System Lookups'!$AE101&gt;1,INDEX(Skills_Table,'System Lookups'!$AD101-4,HLOOKUP("Personal Skill Factor",Skill_Columns,2,FALSE))," ")</f>
        <v xml:space="preserve"> </v>
      </c>
      <c r="Z101" s="1327"/>
      <c r="AA101" s="1326" t="str">
        <f>IF('System Lookups'!$AE101&gt;1,INDEX(Skills_Table,'System Lookups'!$AD101-4,HLOOKUP("Total Skill Chance",Skill_Columns,2,FALSE))," ")</f>
        <v xml:space="preserve"> </v>
      </c>
      <c r="AB101" s="1327"/>
      <c r="AC101" s="1327"/>
      <c r="AD101" s="467" t="str">
        <f>IF('System Lookups'!$AE101&gt;1,INDEX(Skills_Table,'System Lookups'!$AD101-4,HLOOKUP("Crit Die Modifier",Skill_Columns,2,FALSE))," ")</f>
        <v xml:space="preserve"> </v>
      </c>
      <c r="AE101" s="2458"/>
      <c r="AF101" s="588"/>
      <c r="AG101">
        <v>1</v>
      </c>
      <c r="AH101"/>
      <c r="AI101"/>
      <c r="AJ101"/>
      <c r="AK101"/>
      <c r="AL101"/>
      <c r="AM101"/>
      <c r="AN101"/>
      <c r="AO101"/>
      <c r="AP101"/>
      <c r="AQ101">
        <v>1</v>
      </c>
      <c r="AR101"/>
      <c r="AS101" s="1407" t="str">
        <f>IF('System Lookups'!$AI101&gt;1,INDEX(Skills_Table,'System Lookups'!$AH101-4,HLOOKUP("Skill Type",Skill_Columns,2,FALSE))," ")</f>
        <v xml:space="preserve"> </v>
      </c>
      <c r="AT101" s="1408"/>
      <c r="AU101" s="1333" t="str">
        <f>IF('System Lookups'!$AI101&gt;1,INDEX(Skills_Table,'System Lookups'!$AH101-4,HLOOKUP("current df",Skill_Columns,2,FALSE))," ")</f>
        <v xml:space="preserve"> </v>
      </c>
      <c r="AV101" s="1334"/>
      <c r="AW101" s="1326" t="str">
        <f>IF('System Lookups'!$AI101&gt;1,INDEX(Skills_Table,'System Lookups'!$AH101-4,HLOOKUP(IF(ISNA(AZ101),"BCS% - Unskilled","BCS% - Skilled"),Skill_Columns,2,FALSE))," ")</f>
        <v xml:space="preserve"> </v>
      </c>
      <c r="AX101" s="1326"/>
      <c r="AY101" s="1326"/>
      <c r="AZ101" s="1333" t="str">
        <f>IF('System Lookups'!$AI101&gt;1,INDEX(Skills_Table,'System Lookups'!$AH101-4,HLOOKUP("Effective Level",Skill_Columns,2,FALSE))," ")</f>
        <v xml:space="preserve"> </v>
      </c>
      <c r="BA101" s="1334"/>
      <c r="BB101" s="1335" t="str">
        <f>IF('System Lookups'!$AI101&gt;1,INDEX(Skills_Table,'System Lookups'!$AH101-4,HLOOKUP("Attribute Bonus",Skill_Columns,2,FALSE))," ")</f>
        <v xml:space="preserve"> </v>
      </c>
      <c r="BC101" s="1336"/>
      <c r="BD101" s="1337"/>
      <c r="BE101" s="1326" t="str">
        <f>IF('System Lookups'!$AI101&gt;1,INDEX(Skills_Table,'System Lookups'!$AH101-4,HLOOKUP("Personal Skill Factor",Skill_Columns,2,FALSE))," ")</f>
        <v xml:space="preserve"> </v>
      </c>
      <c r="BF101" s="1327"/>
      <c r="BG101" s="1326" t="str">
        <f>IF('System Lookups'!$AI101&gt;1,INDEX(Skills_Table,'System Lookups'!$AH101-4,HLOOKUP("Total Skill Chance",Skill_Columns,2,FALSE))," ")</f>
        <v xml:space="preserve"> </v>
      </c>
      <c r="BH101" s="1327"/>
      <c r="BI101" s="1327"/>
      <c r="BJ101" s="467" t="str">
        <f>IF('System Lookups'!$AI101&gt;1,INDEX(Skills_Table,'System Lookups'!$AH101-4,HLOOKUP("Crit Die Modifier",Skill_Columns,2,FALSE))," ")</f>
        <v xml:space="preserve"> </v>
      </c>
      <c r="BK101" s="2458"/>
      <c r="BL101" s="577"/>
      <c r="BM101" s="1412"/>
      <c r="BN101" s="1344"/>
      <c r="BO101" s="1344"/>
      <c r="BP101" s="1344"/>
      <c r="BQ101" s="1344"/>
      <c r="BR101" s="1344"/>
      <c r="BS101" s="1344"/>
      <c r="BT101" s="1344"/>
      <c r="BU101" s="1344"/>
      <c r="BV101" s="1345"/>
      <c r="BW101" s="1333"/>
      <c r="BX101" s="1334"/>
      <c r="BY101" s="1333"/>
      <c r="BZ101" s="1334"/>
      <c r="CA101" s="1326"/>
      <c r="CB101" s="1326"/>
      <c r="CC101" s="1326"/>
      <c r="CD101" s="1333"/>
      <c r="CE101" s="1334"/>
      <c r="CF101" s="1335"/>
      <c r="CG101" s="1776"/>
      <c r="CH101" s="1777"/>
      <c r="CI101" s="1335"/>
      <c r="CJ101" s="1776"/>
      <c r="CK101" s="1777"/>
      <c r="CL101" s="1326"/>
      <c r="CM101" s="2095"/>
      <c r="CN101" s="1333"/>
      <c r="CO101" s="2466"/>
      <c r="CP101" s="1311"/>
      <c r="CQ101" s="2458"/>
    </row>
    <row r="102" spans="1:95" ht="15.75" customHeight="1" thickTop="1" thickBot="1">
      <c r="A102">
        <v>1</v>
      </c>
      <c r="B102"/>
      <c r="C102"/>
      <c r="D102"/>
      <c r="E102"/>
      <c r="F102"/>
      <c r="G102"/>
      <c r="H102"/>
      <c r="I102"/>
      <c r="J102"/>
      <c r="K102">
        <v>1</v>
      </c>
      <c r="L102"/>
      <c r="M102" s="1391" t="str">
        <f>IF('System Lookups'!$AE102&gt;1,INDEX(Skills_Table,'System Lookups'!$AD102-4,HLOOKUP("Skill Type",Skill_Columns,2,FALSE))," ")</f>
        <v xml:space="preserve"> </v>
      </c>
      <c r="N102" s="1392"/>
      <c r="O102" s="1331" t="str">
        <f>IF('System Lookups'!$AE102&gt;1,INDEX(Skills_Table,'System Lookups'!$AD102-4,HLOOKUP("current df",Skill_Columns,2,FALSE))," ")</f>
        <v xml:space="preserve"> </v>
      </c>
      <c r="P102" s="1332"/>
      <c r="Q102" s="1324" t="str">
        <f>IF('System Lookups'!$AE102&gt;1,INDEX(Skills_Table,'System Lookups'!$AD102-4,HLOOKUP(IF(ISNA(T102),"BCS% - Unskilled","BCS% - Skilled"),Skill_Columns,2,FALSE))," ")</f>
        <v xml:space="preserve"> </v>
      </c>
      <c r="R102" s="1324"/>
      <c r="S102" s="1324"/>
      <c r="T102" s="1331" t="str">
        <f>IF('System Lookups'!$AE102&gt;1,INDEX(Skills_Table,'System Lookups'!$AD102-4,HLOOKUP("Effective Level",Skill_Columns,2,FALSE))," ")</f>
        <v xml:space="preserve"> </v>
      </c>
      <c r="U102" s="1332"/>
      <c r="V102" s="1324" t="str">
        <f>IF('System Lookups'!$AE102&gt;1,INDEX(Skills_Table,'System Lookups'!$AD102-4,HLOOKUP("Attribute Bonus",Skill_Columns,2,FALSE))," ")</f>
        <v xml:space="preserve"> </v>
      </c>
      <c r="W102" s="1324"/>
      <c r="X102" s="1324"/>
      <c r="Y102" s="1324" t="str">
        <f>IF('System Lookups'!$AE102&gt;1,INDEX(Skills_Table,'System Lookups'!$AD102-4,HLOOKUP("Personal Skill Factor",Skill_Columns,2,FALSE))," ")</f>
        <v xml:space="preserve"> </v>
      </c>
      <c r="Z102" s="1325"/>
      <c r="AA102" s="1324" t="str">
        <f>IF('System Lookups'!$AE102&gt;1,INDEX(Skills_Table,'System Lookups'!$AD102-4,HLOOKUP("Total Skill Chance",Skill_Columns,2,FALSE))," ")</f>
        <v xml:space="preserve"> </v>
      </c>
      <c r="AB102" s="1325"/>
      <c r="AC102" s="1325"/>
      <c r="AD102" s="466" t="str">
        <f>IF('System Lookups'!$AE102&gt;1,INDEX(Skills_Table,'System Lookups'!$AD102-4,HLOOKUP("Crit Die Modifier",Skill_Columns,2,FALSE))," ")</f>
        <v xml:space="preserve"> </v>
      </c>
      <c r="AE102" s="2458"/>
      <c r="AF102" s="588"/>
      <c r="AG102">
        <v>1</v>
      </c>
      <c r="AH102"/>
      <c r="AI102"/>
      <c r="AJ102"/>
      <c r="AK102"/>
      <c r="AL102"/>
      <c r="AM102"/>
      <c r="AN102"/>
      <c r="AO102"/>
      <c r="AP102"/>
      <c r="AQ102">
        <v>1</v>
      </c>
      <c r="AR102"/>
      <c r="AS102" s="1391" t="str">
        <f>IF('System Lookups'!$AI102&gt;1,INDEX(Skills_Table,'System Lookups'!$AH102-4,HLOOKUP("Skill Type",Skill_Columns,2,FALSE))," ")</f>
        <v xml:space="preserve"> </v>
      </c>
      <c r="AT102" s="1392"/>
      <c r="AU102" s="1331" t="str">
        <f>IF('System Lookups'!$AI102&gt;1,INDEX(Skills_Table,'System Lookups'!$AH102-4,HLOOKUP("current df",Skill_Columns,2,FALSE))," ")</f>
        <v xml:space="preserve"> </v>
      </c>
      <c r="AV102" s="1332"/>
      <c r="AW102" s="1324" t="str">
        <f>IF('System Lookups'!$AI102&gt;1,INDEX(Skills_Table,'System Lookups'!$AH102-4,HLOOKUP(IF(ISNA(AZ102),"BCS% - Unskilled","BCS% - Skilled"),Skill_Columns,2,FALSE))," ")</f>
        <v xml:space="preserve"> </v>
      </c>
      <c r="AX102" s="1324"/>
      <c r="AY102" s="1324"/>
      <c r="AZ102" s="1331" t="str">
        <f>IF('System Lookups'!$AI102&gt;1,INDEX(Skills_Table,'System Lookups'!$AH102-4,HLOOKUP("Effective Level",Skill_Columns,2,FALSE))," ")</f>
        <v xml:space="preserve"> </v>
      </c>
      <c r="BA102" s="1332"/>
      <c r="BB102" s="1324" t="str">
        <f>IF('System Lookups'!$AI102&gt;1,INDEX(Skills_Table,'System Lookups'!$AH102-4,HLOOKUP("Attribute Bonus",Skill_Columns,2,FALSE))," ")</f>
        <v xml:space="preserve"> </v>
      </c>
      <c r="BC102" s="1324"/>
      <c r="BD102" s="1324"/>
      <c r="BE102" s="1324" t="str">
        <f>IF('System Lookups'!$AI102&gt;1,INDEX(Skills_Table,'System Lookups'!$AH102-4,HLOOKUP("Personal Skill Factor",Skill_Columns,2,FALSE))," ")</f>
        <v xml:space="preserve"> </v>
      </c>
      <c r="BF102" s="1325"/>
      <c r="BG102" s="1324" t="str">
        <f>IF('System Lookups'!$AI102&gt;1,INDEX(Skills_Table,'System Lookups'!$AH102-4,HLOOKUP("Total Skill Chance",Skill_Columns,2,FALSE))," ")</f>
        <v xml:space="preserve"> </v>
      </c>
      <c r="BH102" s="1325"/>
      <c r="BI102" s="1325"/>
      <c r="BJ102" s="466" t="str">
        <f>IF('System Lookups'!$AI102&gt;1,INDEX(Skills_Table,'System Lookups'!$AH102-4,HLOOKUP("Crit Die Modifier",Skill_Columns,2,FALSE))," ")</f>
        <v xml:space="preserve"> </v>
      </c>
      <c r="BK102" s="2458"/>
      <c r="BL102" s="577"/>
      <c r="BM102" s="1370"/>
      <c r="BN102" s="1721"/>
      <c r="BO102" s="1721"/>
      <c r="BP102" s="1721"/>
      <c r="BQ102" s="1721"/>
      <c r="BR102" s="1721"/>
      <c r="BS102" s="1721"/>
      <c r="BT102" s="1721"/>
      <c r="BU102" s="1721"/>
      <c r="BV102" s="1722"/>
      <c r="BW102" s="1331"/>
      <c r="BX102" s="1332"/>
      <c r="BY102" s="1331"/>
      <c r="BZ102" s="1332"/>
      <c r="CA102" s="1324"/>
      <c r="CB102" s="1324"/>
      <c r="CC102" s="1324"/>
      <c r="CD102" s="1331"/>
      <c r="CE102" s="1332"/>
      <c r="CF102" s="1404"/>
      <c r="CG102" s="1769"/>
      <c r="CH102" s="1770"/>
      <c r="CI102" s="1404"/>
      <c r="CJ102" s="1769"/>
      <c r="CK102" s="1770"/>
      <c r="CL102" s="1324"/>
      <c r="CM102" s="1873"/>
      <c r="CN102" s="1331"/>
      <c r="CO102" s="2297"/>
      <c r="CP102" s="1311"/>
      <c r="CQ102" s="2458"/>
    </row>
    <row r="103" spans="1:95" ht="15.75" customHeight="1" thickTop="1" thickBot="1">
      <c r="A103">
        <v>1</v>
      </c>
      <c r="B103"/>
      <c r="C103"/>
      <c r="D103"/>
      <c r="E103"/>
      <c r="F103"/>
      <c r="G103"/>
      <c r="H103"/>
      <c r="I103"/>
      <c r="J103"/>
      <c r="K103">
        <v>1</v>
      </c>
      <c r="L103"/>
      <c r="M103" s="1407" t="str">
        <f>IF('System Lookups'!$AE103&gt;1,INDEX(Skills_Table,'System Lookups'!$AD103-4,HLOOKUP("Skill Type",Skill_Columns,2,FALSE))," ")</f>
        <v xml:space="preserve"> </v>
      </c>
      <c r="N103" s="1408"/>
      <c r="O103" s="1333" t="str">
        <f>IF('System Lookups'!$AE103&gt;1,INDEX(Skills_Table,'System Lookups'!$AD103-4,HLOOKUP("current df",Skill_Columns,2,FALSE))," ")</f>
        <v xml:space="preserve"> </v>
      </c>
      <c r="P103" s="1334"/>
      <c r="Q103" s="1326" t="str">
        <f>IF('System Lookups'!$AE103&gt;1,INDEX(Skills_Table,'System Lookups'!$AD103-4,HLOOKUP(IF(ISNA(T103),"BCS% - Unskilled","BCS% - Skilled"),Skill_Columns,2,FALSE))," ")</f>
        <v xml:space="preserve"> </v>
      </c>
      <c r="R103" s="1326"/>
      <c r="S103" s="1326"/>
      <c r="T103" s="1333" t="str">
        <f>IF('System Lookups'!$AE103&gt;1,INDEX(Skills_Table,'System Lookups'!$AD103-4,HLOOKUP("Effective Level",Skill_Columns,2,FALSE))," ")</f>
        <v xml:space="preserve"> </v>
      </c>
      <c r="U103" s="1334"/>
      <c r="V103" s="1335" t="str">
        <f>IF('System Lookups'!$AE103&gt;1,INDEX(Skills_Table,'System Lookups'!$AD103-4,HLOOKUP("Attribute Bonus",Skill_Columns,2,FALSE))," ")</f>
        <v xml:space="preserve"> </v>
      </c>
      <c r="W103" s="1336"/>
      <c r="X103" s="1337"/>
      <c r="Y103" s="1326" t="str">
        <f>IF('System Lookups'!$AE103&gt;1,INDEX(Skills_Table,'System Lookups'!$AD103-4,HLOOKUP("Personal Skill Factor",Skill_Columns,2,FALSE))," ")</f>
        <v xml:space="preserve"> </v>
      </c>
      <c r="Z103" s="1327"/>
      <c r="AA103" s="1326" t="str">
        <f>IF('System Lookups'!$AE103&gt;1,INDEX(Skills_Table,'System Lookups'!$AD103-4,HLOOKUP("Total Skill Chance",Skill_Columns,2,FALSE))," ")</f>
        <v xml:space="preserve"> </v>
      </c>
      <c r="AB103" s="1327"/>
      <c r="AC103" s="1327"/>
      <c r="AD103" s="467" t="str">
        <f>IF('System Lookups'!$AE103&gt;1,INDEX(Skills_Table,'System Lookups'!$AD103-4,HLOOKUP("Crit Die Modifier",Skill_Columns,2,FALSE))," ")</f>
        <v xml:space="preserve"> </v>
      </c>
      <c r="AE103" s="2501" t="s">
        <v>4333</v>
      </c>
      <c r="AF103" s="584"/>
      <c r="AG103">
        <v>1</v>
      </c>
      <c r="AH103"/>
      <c r="AI103"/>
      <c r="AJ103"/>
      <c r="AK103"/>
      <c r="AL103"/>
      <c r="AM103"/>
      <c r="AN103"/>
      <c r="AO103"/>
      <c r="AP103"/>
      <c r="AQ103">
        <v>1</v>
      </c>
      <c r="AR103"/>
      <c r="AS103" s="1407" t="str">
        <f>IF('System Lookups'!$AI103&gt;1,INDEX(Skills_Table,'System Lookups'!$AH103-4,HLOOKUP("Skill Type",Skill_Columns,2,FALSE))," ")</f>
        <v xml:space="preserve"> </v>
      </c>
      <c r="AT103" s="1408"/>
      <c r="AU103" s="1333" t="str">
        <f>IF('System Lookups'!$AI103&gt;1,INDEX(Skills_Table,'System Lookups'!$AH103-4,HLOOKUP("current df",Skill_Columns,2,FALSE))," ")</f>
        <v xml:space="preserve"> </v>
      </c>
      <c r="AV103" s="1334"/>
      <c r="AW103" s="1326" t="str">
        <f>IF('System Lookups'!$AI103&gt;1,INDEX(Skills_Table,'System Lookups'!$AH103-4,HLOOKUP(IF(ISNA(AZ103),"BCS% - Unskilled","BCS% - Skilled"),Skill_Columns,2,FALSE))," ")</f>
        <v xml:space="preserve"> </v>
      </c>
      <c r="AX103" s="1326"/>
      <c r="AY103" s="1326"/>
      <c r="AZ103" s="1333" t="str">
        <f>IF('System Lookups'!$AI103&gt;1,INDEX(Skills_Table,'System Lookups'!$AH103-4,HLOOKUP("Effective Level",Skill_Columns,2,FALSE))," ")</f>
        <v xml:space="preserve"> </v>
      </c>
      <c r="BA103" s="1334"/>
      <c r="BB103" s="1335" t="str">
        <f>IF('System Lookups'!$AI103&gt;1,INDEX(Skills_Table,'System Lookups'!$AH103-4,HLOOKUP("Attribute Bonus",Skill_Columns,2,FALSE))," ")</f>
        <v xml:space="preserve"> </v>
      </c>
      <c r="BC103" s="1336"/>
      <c r="BD103" s="1337"/>
      <c r="BE103" s="1326" t="str">
        <f>IF('System Lookups'!$AI103&gt;1,INDEX(Skills_Table,'System Lookups'!$AH103-4,HLOOKUP("Personal Skill Factor",Skill_Columns,2,FALSE))," ")</f>
        <v xml:space="preserve"> </v>
      </c>
      <c r="BF103" s="1327"/>
      <c r="BG103" s="1326" t="str">
        <f>IF('System Lookups'!$AI103&gt;1,INDEX(Skills_Table,'System Lookups'!$AH103-4,HLOOKUP("Total Skill Chance",Skill_Columns,2,FALSE))," ")</f>
        <v xml:space="preserve"> </v>
      </c>
      <c r="BH103" s="1327"/>
      <c r="BI103" s="1327"/>
      <c r="BJ103" s="467" t="str">
        <f>IF('System Lookups'!$AI103&gt;1,INDEX(Skills_Table,'System Lookups'!$AH103-4,HLOOKUP("Crit Die Modifier",Skill_Columns,2,FALSE))," ")</f>
        <v xml:space="preserve"> </v>
      </c>
      <c r="BK103" s="1443" t="s">
        <v>4333</v>
      </c>
      <c r="BL103" s="578"/>
      <c r="BM103" s="1412"/>
      <c r="BN103" s="1344"/>
      <c r="BO103" s="1344"/>
      <c r="BP103" s="1344"/>
      <c r="BQ103" s="1344"/>
      <c r="BR103" s="1344"/>
      <c r="BS103" s="1344"/>
      <c r="BT103" s="1344"/>
      <c r="BU103" s="1344"/>
      <c r="BV103" s="1345"/>
      <c r="BW103" s="1333"/>
      <c r="BX103" s="1334"/>
      <c r="BY103" s="1333"/>
      <c r="BZ103" s="1334"/>
      <c r="CA103" s="1326"/>
      <c r="CB103" s="1326"/>
      <c r="CC103" s="1326"/>
      <c r="CD103" s="1333"/>
      <c r="CE103" s="1334"/>
      <c r="CF103" s="1335"/>
      <c r="CG103" s="1776"/>
      <c r="CH103" s="1777"/>
      <c r="CI103" s="1335"/>
      <c r="CJ103" s="1776"/>
      <c r="CK103" s="1777"/>
      <c r="CL103" s="1326"/>
      <c r="CM103" s="2095"/>
      <c r="CN103" s="1333"/>
      <c r="CO103" s="2466"/>
      <c r="CP103" s="1311"/>
      <c r="CQ103" s="1443" t="s">
        <v>4333</v>
      </c>
    </row>
    <row r="104" spans="1:95" ht="15.75" customHeight="1" thickTop="1" thickBot="1">
      <c r="A104">
        <v>1</v>
      </c>
      <c r="B104"/>
      <c r="C104"/>
      <c r="D104"/>
      <c r="E104"/>
      <c r="F104"/>
      <c r="G104"/>
      <c r="H104"/>
      <c r="I104"/>
      <c r="J104"/>
      <c r="K104">
        <v>1</v>
      </c>
      <c r="L104"/>
      <c r="M104" s="1391" t="str">
        <f>IF('System Lookups'!$AE104&gt;1,INDEX(Skills_Table,'System Lookups'!$AD104-4,HLOOKUP("Skill Type",Skill_Columns,2,FALSE))," ")</f>
        <v xml:space="preserve"> </v>
      </c>
      <c r="N104" s="1392"/>
      <c r="O104" s="1331" t="str">
        <f>IF('System Lookups'!$AE104&gt;1,INDEX(Skills_Table,'System Lookups'!$AD104-4,HLOOKUP("current df",Skill_Columns,2,FALSE))," ")</f>
        <v xml:space="preserve"> </v>
      </c>
      <c r="P104" s="1332"/>
      <c r="Q104" s="1324" t="str">
        <f>IF('System Lookups'!$AE104&gt;1,INDEX(Skills_Table,'System Lookups'!$AD104-4,HLOOKUP(IF(ISNA(T104),"BCS% - Unskilled","BCS% - Skilled"),Skill_Columns,2,FALSE))," ")</f>
        <v xml:space="preserve"> </v>
      </c>
      <c r="R104" s="1324"/>
      <c r="S104" s="1324"/>
      <c r="T104" s="1331" t="str">
        <f>IF('System Lookups'!$AE104&gt;1,INDEX(Skills_Table,'System Lookups'!$AD104-4,HLOOKUP("Effective Level",Skill_Columns,2,FALSE))," ")</f>
        <v xml:space="preserve"> </v>
      </c>
      <c r="U104" s="1332"/>
      <c r="V104" s="1324" t="str">
        <f>IF('System Lookups'!$AE104&gt;1,INDEX(Skills_Table,'System Lookups'!$AD104-4,HLOOKUP("Attribute Bonus",Skill_Columns,2,FALSE))," ")</f>
        <v xml:space="preserve"> </v>
      </c>
      <c r="W104" s="1324"/>
      <c r="X104" s="1324"/>
      <c r="Y104" s="1324" t="str">
        <f>IF('System Lookups'!$AE104&gt;1,INDEX(Skills_Table,'System Lookups'!$AD104-4,HLOOKUP("Personal Skill Factor",Skill_Columns,2,FALSE))," ")</f>
        <v xml:space="preserve"> </v>
      </c>
      <c r="Z104" s="1325"/>
      <c r="AA104" s="1324" t="str">
        <f>IF('System Lookups'!$AE104&gt;1,INDEX(Skills_Table,'System Lookups'!$AD104-4,HLOOKUP("Total Skill Chance",Skill_Columns,2,FALSE))," ")</f>
        <v xml:space="preserve"> </v>
      </c>
      <c r="AB104" s="1325"/>
      <c r="AC104" s="1325"/>
      <c r="AD104" s="466" t="str">
        <f>IF('System Lookups'!$AE104&gt;1,INDEX(Skills_Table,'System Lookups'!$AD104-4,HLOOKUP("Crit Die Modifier",Skill_Columns,2,FALSE))," ")</f>
        <v xml:space="preserve"> </v>
      </c>
      <c r="AE104" s="2502"/>
      <c r="AF104" s="60"/>
      <c r="AG104">
        <v>1</v>
      </c>
      <c r="AH104"/>
      <c r="AI104"/>
      <c r="AJ104"/>
      <c r="AK104"/>
      <c r="AL104"/>
      <c r="AM104"/>
      <c r="AN104"/>
      <c r="AO104"/>
      <c r="AP104"/>
      <c r="AQ104">
        <v>1</v>
      </c>
      <c r="AR104"/>
      <c r="AS104" s="1391" t="str">
        <f>IF('System Lookups'!$AI104&gt;1,INDEX(Skills_Table,'System Lookups'!$AH104-4,HLOOKUP("Skill Type",Skill_Columns,2,FALSE))," ")</f>
        <v xml:space="preserve"> </v>
      </c>
      <c r="AT104" s="1392"/>
      <c r="AU104" s="1331" t="str">
        <f>IF('System Lookups'!$AI104&gt;1,INDEX(Skills_Table,'System Lookups'!$AH104-4,HLOOKUP("current df",Skill_Columns,2,FALSE))," ")</f>
        <v xml:space="preserve"> </v>
      </c>
      <c r="AV104" s="1332"/>
      <c r="AW104" s="1324" t="str">
        <f>IF('System Lookups'!$AI104&gt;1,INDEX(Skills_Table,'System Lookups'!$AH104-4,HLOOKUP(IF(ISNA(AZ104),"BCS% - Unskilled","BCS% - Skilled"),Skill_Columns,2,FALSE))," ")</f>
        <v xml:space="preserve"> </v>
      </c>
      <c r="AX104" s="1324"/>
      <c r="AY104" s="1324"/>
      <c r="AZ104" s="1331" t="str">
        <f>IF('System Lookups'!$AI104&gt;1,INDEX(Skills_Table,'System Lookups'!$AH104-4,HLOOKUP("Effective Level",Skill_Columns,2,FALSE))," ")</f>
        <v xml:space="preserve"> </v>
      </c>
      <c r="BA104" s="1332"/>
      <c r="BB104" s="1324" t="str">
        <f>IF('System Lookups'!$AI104&gt;1,INDEX(Skills_Table,'System Lookups'!$AH104-4,HLOOKUP("Attribute Bonus",Skill_Columns,2,FALSE))," ")</f>
        <v xml:space="preserve"> </v>
      </c>
      <c r="BC104" s="1324"/>
      <c r="BD104" s="1324"/>
      <c r="BE104" s="1324" t="str">
        <f>IF('System Lookups'!$AI104&gt;1,INDEX(Skills_Table,'System Lookups'!$AH104-4,HLOOKUP("Personal Skill Factor",Skill_Columns,2,FALSE))," ")</f>
        <v xml:space="preserve"> </v>
      </c>
      <c r="BF104" s="1325"/>
      <c r="BG104" s="1324" t="str">
        <f>IF('System Lookups'!$AI104&gt;1,INDEX(Skills_Table,'System Lookups'!$AH104-4,HLOOKUP("Total Skill Chance",Skill_Columns,2,FALSE))," ")</f>
        <v xml:space="preserve"> </v>
      </c>
      <c r="BH104" s="1325"/>
      <c r="BI104" s="1325"/>
      <c r="BJ104" s="466" t="str">
        <f>IF('System Lookups'!$AI104&gt;1,INDEX(Skills_Table,'System Lookups'!$AH104-4,HLOOKUP("Crit Die Modifier",Skill_Columns,2,FALSE))," ")</f>
        <v xml:space="preserve"> </v>
      </c>
      <c r="BK104" s="1444"/>
      <c r="BL104" s="582"/>
      <c r="BM104" s="1370"/>
      <c r="BN104" s="1721"/>
      <c r="BO104" s="1721"/>
      <c r="BP104" s="1721"/>
      <c r="BQ104" s="1721"/>
      <c r="BR104" s="1721"/>
      <c r="BS104" s="1721"/>
      <c r="BT104" s="1721"/>
      <c r="BU104" s="1721"/>
      <c r="BV104" s="1722"/>
      <c r="BW104" s="1331"/>
      <c r="BX104" s="1332"/>
      <c r="BY104" s="1331"/>
      <c r="BZ104" s="1332"/>
      <c r="CA104" s="1324"/>
      <c r="CB104" s="1324"/>
      <c r="CC104" s="1324"/>
      <c r="CD104" s="1331"/>
      <c r="CE104" s="1332"/>
      <c r="CF104" s="1404"/>
      <c r="CG104" s="1769"/>
      <c r="CH104" s="1770"/>
      <c r="CI104" s="1404"/>
      <c r="CJ104" s="1769"/>
      <c r="CK104" s="1770"/>
      <c r="CL104" s="1324"/>
      <c r="CM104" s="1873"/>
      <c r="CN104" s="1331"/>
      <c r="CO104" s="2297"/>
      <c r="CP104" s="1311"/>
      <c r="CQ104" s="1444"/>
    </row>
    <row r="105" spans="1:95" ht="15.75" customHeight="1" thickTop="1" thickBot="1">
      <c r="A105">
        <v>1</v>
      </c>
      <c r="B105"/>
      <c r="C105"/>
      <c r="D105"/>
      <c r="E105"/>
      <c r="F105"/>
      <c r="G105"/>
      <c r="H105"/>
      <c r="I105"/>
      <c r="J105"/>
      <c r="K105">
        <v>31</v>
      </c>
      <c r="L105"/>
      <c r="M105" s="1407" t="str">
        <f>IF('System Lookups'!$AE105&gt;1,INDEX(Skills_Table,'System Lookups'!$AD105-4,HLOOKUP("Skill Type",Skill_Columns,2,FALSE))," ")</f>
        <v xml:space="preserve"> </v>
      </c>
      <c r="N105" s="1408"/>
      <c r="O105" s="1333" t="str">
        <f>IF('System Lookups'!$AE105&gt;1,INDEX(Skills_Table,'System Lookups'!$AD105-4,HLOOKUP("current df",Skill_Columns,2,FALSE))," ")</f>
        <v xml:space="preserve"> </v>
      </c>
      <c r="P105" s="1334"/>
      <c r="Q105" s="1326" t="str">
        <f>IF('System Lookups'!$AE105&gt;1,INDEX(Skills_Table,'System Lookups'!$AD105-4,HLOOKUP(IF(ISNA(T105),"BCS% - Unskilled","BCS% - Skilled"),Skill_Columns,2,FALSE))," ")</f>
        <v xml:space="preserve"> </v>
      </c>
      <c r="R105" s="1326"/>
      <c r="S105" s="1326"/>
      <c r="T105" s="1333" t="str">
        <f>IF('System Lookups'!$AE105&gt;1,INDEX(Skills_Table,'System Lookups'!$AD105-4,HLOOKUP("Effective Level",Skill_Columns,2,FALSE))," ")</f>
        <v xml:space="preserve"> </v>
      </c>
      <c r="U105" s="1334"/>
      <c r="V105" s="1335" t="str">
        <f>IF('System Lookups'!$AE105&gt;1,INDEX(Skills_Table,'System Lookups'!$AD105-4,HLOOKUP("Attribute Bonus",Skill_Columns,2,FALSE))," ")</f>
        <v xml:space="preserve"> </v>
      </c>
      <c r="W105" s="1336"/>
      <c r="X105" s="1337"/>
      <c r="Y105" s="1326" t="str">
        <f>IF('System Lookups'!$AE105&gt;1,INDEX(Skills_Table,'System Lookups'!$AD105-4,HLOOKUP("Personal Skill Factor",Skill_Columns,2,FALSE))," ")</f>
        <v xml:space="preserve"> </v>
      </c>
      <c r="Z105" s="1327"/>
      <c r="AA105" s="1326" t="str">
        <f>IF('System Lookups'!$AE105&gt;1,INDEX(Skills_Table,'System Lookups'!$AD105-4,HLOOKUP("Total Skill Chance",Skill_Columns,2,FALSE))," ")</f>
        <v xml:space="preserve"> </v>
      </c>
      <c r="AB105" s="1327"/>
      <c r="AC105" s="1327"/>
      <c r="AD105" s="467" t="str">
        <f>IF('System Lookups'!$AE105&gt;1,INDEX(Skills_Table,'System Lookups'!$AD105-4,HLOOKUP("Crit Die Modifier",Skill_Columns,2,FALSE))," ")</f>
        <v xml:space="preserve"> </v>
      </c>
      <c r="AE105" s="2502"/>
      <c r="AF105" s="60"/>
      <c r="AG105">
        <v>1</v>
      </c>
      <c r="AH105"/>
      <c r="AI105"/>
      <c r="AJ105"/>
      <c r="AK105"/>
      <c r="AL105"/>
      <c r="AM105"/>
      <c r="AN105"/>
      <c r="AO105"/>
      <c r="AP105"/>
      <c r="AQ105">
        <v>1</v>
      </c>
      <c r="AR105"/>
      <c r="AS105" s="1407" t="str">
        <f>IF('System Lookups'!$AI105&gt;1,INDEX(Skills_Table,'System Lookups'!$AH105-4,HLOOKUP("Skill Type",Skill_Columns,2,FALSE))," ")</f>
        <v xml:space="preserve"> </v>
      </c>
      <c r="AT105" s="1408"/>
      <c r="AU105" s="1333" t="str">
        <f>IF('System Lookups'!$AI105&gt;1,INDEX(Skills_Table,'System Lookups'!$AH105-4,HLOOKUP("current df",Skill_Columns,2,FALSE))," ")</f>
        <v xml:space="preserve"> </v>
      </c>
      <c r="AV105" s="1334"/>
      <c r="AW105" s="1326" t="str">
        <f>IF('System Lookups'!$AI105&gt;1,INDEX(Skills_Table,'System Lookups'!$AH105-4,HLOOKUP(IF(ISNA(AZ105),"BCS% - Unskilled","BCS% - Skilled"),Skill_Columns,2,FALSE))," ")</f>
        <v xml:space="preserve"> </v>
      </c>
      <c r="AX105" s="1326"/>
      <c r="AY105" s="1326"/>
      <c r="AZ105" s="1333" t="str">
        <f>IF('System Lookups'!$AI105&gt;1,INDEX(Skills_Table,'System Lookups'!$AH105-4,HLOOKUP("Effective Level",Skill_Columns,2,FALSE))," ")</f>
        <v xml:space="preserve"> </v>
      </c>
      <c r="BA105" s="1334"/>
      <c r="BB105" s="1335" t="str">
        <f>IF('System Lookups'!$AI105&gt;1,INDEX(Skills_Table,'System Lookups'!$AH105-4,HLOOKUP("Attribute Bonus",Skill_Columns,2,FALSE))," ")</f>
        <v xml:space="preserve"> </v>
      </c>
      <c r="BC105" s="1336"/>
      <c r="BD105" s="1337"/>
      <c r="BE105" s="1326" t="str">
        <f>IF('System Lookups'!$AI105&gt;1,INDEX(Skills_Table,'System Lookups'!$AH105-4,HLOOKUP("Personal Skill Factor",Skill_Columns,2,FALSE))," ")</f>
        <v xml:space="preserve"> </v>
      </c>
      <c r="BF105" s="1327"/>
      <c r="BG105" s="1326" t="str">
        <f>IF('System Lookups'!$AI105&gt;1,INDEX(Skills_Table,'System Lookups'!$AH105-4,HLOOKUP("Total Skill Chance",Skill_Columns,2,FALSE))," ")</f>
        <v xml:space="preserve"> </v>
      </c>
      <c r="BH105" s="1327"/>
      <c r="BI105" s="1327"/>
      <c r="BJ105" s="467" t="str">
        <f>IF('System Lookups'!$AI105&gt;1,INDEX(Skills_Table,'System Lookups'!$AH105-4,HLOOKUP("Crit Die Modifier",Skill_Columns,2,FALSE))," ")</f>
        <v xml:space="preserve"> </v>
      </c>
      <c r="BK105" s="1444"/>
      <c r="BL105" s="582"/>
      <c r="BM105" s="1412"/>
      <c r="BN105" s="1344"/>
      <c r="BO105" s="1344"/>
      <c r="BP105" s="1344"/>
      <c r="BQ105" s="1344"/>
      <c r="BR105" s="1344"/>
      <c r="BS105" s="1344"/>
      <c r="BT105" s="1344"/>
      <c r="BU105" s="1344"/>
      <c r="BV105" s="1345"/>
      <c r="BW105" s="1333"/>
      <c r="BX105" s="1334"/>
      <c r="BY105" s="1333"/>
      <c r="BZ105" s="1334"/>
      <c r="CA105" s="1326"/>
      <c r="CB105" s="1326"/>
      <c r="CC105" s="1326"/>
      <c r="CD105" s="1333"/>
      <c r="CE105" s="1334"/>
      <c r="CF105" s="1335"/>
      <c r="CG105" s="1776"/>
      <c r="CH105" s="1777"/>
      <c r="CI105" s="1335"/>
      <c r="CJ105" s="1776"/>
      <c r="CK105" s="1777"/>
      <c r="CL105" s="1326"/>
      <c r="CM105" s="2095"/>
      <c r="CN105" s="1333"/>
      <c r="CO105" s="2466"/>
      <c r="CP105" s="1311"/>
      <c r="CQ105" s="1444"/>
    </row>
    <row r="106" spans="1:95" ht="15.75" customHeight="1" thickTop="1" thickBot="1">
      <c r="A106">
        <v>1</v>
      </c>
      <c r="B106"/>
      <c r="C106"/>
      <c r="D106"/>
      <c r="E106"/>
      <c r="F106"/>
      <c r="G106"/>
      <c r="H106"/>
      <c r="I106"/>
      <c r="J106"/>
      <c r="K106">
        <v>1</v>
      </c>
      <c r="L106"/>
      <c r="M106" s="1391" t="str">
        <f>IF('System Lookups'!$AE106&gt;1,INDEX(Skills_Table,'System Lookups'!$AD106-4,HLOOKUP("Skill Type",Skill_Columns,2,FALSE))," ")</f>
        <v xml:space="preserve"> </v>
      </c>
      <c r="N106" s="1392"/>
      <c r="O106" s="1331" t="str">
        <f>IF('System Lookups'!$AE106&gt;1,INDEX(Skills_Table,'System Lookups'!$AD106-4,HLOOKUP("current df",Skill_Columns,2,FALSE))," ")</f>
        <v xml:space="preserve"> </v>
      </c>
      <c r="P106" s="1332"/>
      <c r="Q106" s="1324" t="str">
        <f>IF('System Lookups'!$AE106&gt;1,INDEX(Skills_Table,'System Lookups'!$AD106-4,HLOOKUP(IF(ISNA(T106),"BCS% - Unskilled","BCS% - Skilled"),Skill_Columns,2,FALSE))," ")</f>
        <v xml:space="preserve"> </v>
      </c>
      <c r="R106" s="1324"/>
      <c r="S106" s="1324"/>
      <c r="T106" s="1331" t="str">
        <f>IF('System Lookups'!$AE106&gt;1,INDEX(Skills_Table,'System Lookups'!$AD106-4,HLOOKUP("Effective Level",Skill_Columns,2,FALSE))," ")</f>
        <v xml:space="preserve"> </v>
      </c>
      <c r="U106" s="1332"/>
      <c r="V106" s="1324" t="str">
        <f>IF('System Lookups'!$AE106&gt;1,INDEX(Skills_Table,'System Lookups'!$AD106-4,HLOOKUP("Attribute Bonus",Skill_Columns,2,FALSE))," ")</f>
        <v xml:space="preserve"> </v>
      </c>
      <c r="W106" s="1324"/>
      <c r="X106" s="1324"/>
      <c r="Y106" s="1324" t="str">
        <f>IF('System Lookups'!$AE106&gt;1,INDEX(Skills_Table,'System Lookups'!$AD106-4,HLOOKUP("Personal Skill Factor",Skill_Columns,2,FALSE))," ")</f>
        <v xml:space="preserve"> </v>
      </c>
      <c r="Z106" s="1325"/>
      <c r="AA106" s="1324" t="str">
        <f>IF('System Lookups'!$AE106&gt;1,INDEX(Skills_Table,'System Lookups'!$AD106-4,HLOOKUP("Total Skill Chance",Skill_Columns,2,FALSE))," ")</f>
        <v xml:space="preserve"> </v>
      </c>
      <c r="AB106" s="1325"/>
      <c r="AC106" s="1325"/>
      <c r="AD106" s="466" t="str">
        <f>IF('System Lookups'!$AE106&gt;1,INDEX(Skills_Table,'System Lookups'!$AD106-4,HLOOKUP("Crit Die Modifier",Skill_Columns,2,FALSE))," ")</f>
        <v xml:space="preserve"> </v>
      </c>
      <c r="AE106" s="2502"/>
      <c r="AF106" s="60"/>
      <c r="AG106">
        <v>1</v>
      </c>
      <c r="AH106"/>
      <c r="AI106"/>
      <c r="AJ106"/>
      <c r="AK106"/>
      <c r="AL106"/>
      <c r="AM106"/>
      <c r="AN106"/>
      <c r="AO106"/>
      <c r="AP106"/>
      <c r="AQ106">
        <v>1</v>
      </c>
      <c r="AR106"/>
      <c r="AS106" s="1391" t="str">
        <f>IF('System Lookups'!$AI106&gt;1,INDEX(Skills_Table,'System Lookups'!$AH106-4,HLOOKUP("Skill Type",Skill_Columns,2,FALSE))," ")</f>
        <v xml:space="preserve"> </v>
      </c>
      <c r="AT106" s="1392"/>
      <c r="AU106" s="1331" t="str">
        <f>IF('System Lookups'!$AI106&gt;1,INDEX(Skills_Table,'System Lookups'!$AH106-4,HLOOKUP("current df",Skill_Columns,2,FALSE))," ")</f>
        <v xml:space="preserve"> </v>
      </c>
      <c r="AV106" s="1332"/>
      <c r="AW106" s="1324" t="str">
        <f>IF('System Lookups'!$AI106&gt;1,INDEX(Skills_Table,'System Lookups'!$AH106-4,HLOOKUP(IF(ISNA(AZ106),"BCS% - Unskilled","BCS% - Skilled"),Skill_Columns,2,FALSE))," ")</f>
        <v xml:space="preserve"> </v>
      </c>
      <c r="AX106" s="1324"/>
      <c r="AY106" s="1324"/>
      <c r="AZ106" s="1331" t="str">
        <f>IF('System Lookups'!$AI106&gt;1,INDEX(Skills_Table,'System Lookups'!$AH106-4,HLOOKUP("Effective Level",Skill_Columns,2,FALSE))," ")</f>
        <v xml:space="preserve"> </v>
      </c>
      <c r="BA106" s="1332"/>
      <c r="BB106" s="1324" t="str">
        <f>IF('System Lookups'!$AI106&gt;1,INDEX(Skills_Table,'System Lookups'!$AH106-4,HLOOKUP("Attribute Bonus",Skill_Columns,2,FALSE))," ")</f>
        <v xml:space="preserve"> </v>
      </c>
      <c r="BC106" s="1324"/>
      <c r="BD106" s="1324"/>
      <c r="BE106" s="1324" t="str">
        <f>IF('System Lookups'!$AI106&gt;1,INDEX(Skills_Table,'System Lookups'!$AH106-4,HLOOKUP("Personal Skill Factor",Skill_Columns,2,FALSE))," ")</f>
        <v xml:space="preserve"> </v>
      </c>
      <c r="BF106" s="1325"/>
      <c r="BG106" s="1324" t="str">
        <f>IF('System Lookups'!$AI106&gt;1,INDEX(Skills_Table,'System Lookups'!$AH106-4,HLOOKUP("Total Skill Chance",Skill_Columns,2,FALSE))," ")</f>
        <v xml:space="preserve"> </v>
      </c>
      <c r="BH106" s="1325"/>
      <c r="BI106" s="1325"/>
      <c r="BJ106" s="466" t="str">
        <f>IF('System Lookups'!$AI106&gt;1,INDEX(Skills_Table,'System Lookups'!$AH106-4,HLOOKUP("Crit Die Modifier",Skill_Columns,2,FALSE))," ")</f>
        <v xml:space="preserve"> </v>
      </c>
      <c r="BK106" s="1444"/>
      <c r="BL106" s="582"/>
      <c r="BM106" s="1370"/>
      <c r="BN106" s="1721"/>
      <c r="BO106" s="1721"/>
      <c r="BP106" s="1721"/>
      <c r="BQ106" s="1721"/>
      <c r="BR106" s="1721"/>
      <c r="BS106" s="1721"/>
      <c r="BT106" s="1721"/>
      <c r="BU106" s="1721"/>
      <c r="BV106" s="1722"/>
      <c r="BW106" s="1331"/>
      <c r="BX106" s="1332"/>
      <c r="BY106" s="1331"/>
      <c r="BZ106" s="1332"/>
      <c r="CA106" s="1324"/>
      <c r="CB106" s="1324"/>
      <c r="CC106" s="1324"/>
      <c r="CD106" s="1331"/>
      <c r="CE106" s="1332"/>
      <c r="CF106" s="1404"/>
      <c r="CG106" s="1769"/>
      <c r="CH106" s="1770"/>
      <c r="CI106" s="1404"/>
      <c r="CJ106" s="1769"/>
      <c r="CK106" s="1770"/>
      <c r="CL106" s="1324"/>
      <c r="CM106" s="1873"/>
      <c r="CN106" s="1331"/>
      <c r="CO106" s="2297"/>
      <c r="CP106" s="1311"/>
      <c r="CQ106" s="1444"/>
    </row>
    <row r="107" spans="1:95" ht="15.75" customHeight="1" thickTop="1" thickBot="1">
      <c r="A107">
        <v>1</v>
      </c>
      <c r="B107"/>
      <c r="C107"/>
      <c r="D107"/>
      <c r="E107"/>
      <c r="F107"/>
      <c r="G107"/>
      <c r="H107"/>
      <c r="I107"/>
      <c r="J107"/>
      <c r="K107">
        <v>1</v>
      </c>
      <c r="L107"/>
      <c r="M107" s="1407" t="str">
        <f>IF('System Lookups'!$AE107&gt;1,INDEX(Skills_Table,'System Lookups'!$AD107-4,HLOOKUP("Skill Type",Skill_Columns,2,FALSE))," ")</f>
        <v xml:space="preserve"> </v>
      </c>
      <c r="N107" s="1408"/>
      <c r="O107" s="1333" t="str">
        <f>IF('System Lookups'!$AE107&gt;1,INDEX(Skills_Table,'System Lookups'!$AD107-4,HLOOKUP("current df",Skill_Columns,2,FALSE))," ")</f>
        <v xml:space="preserve"> </v>
      </c>
      <c r="P107" s="1334"/>
      <c r="Q107" s="1326" t="str">
        <f>IF('System Lookups'!$AE107&gt;1,INDEX(Skills_Table,'System Lookups'!$AD107-4,HLOOKUP(IF(ISNA(T107),"BCS% - Unskilled","BCS% - Skilled"),Skill_Columns,2,FALSE))," ")</f>
        <v xml:space="preserve"> </v>
      </c>
      <c r="R107" s="1326"/>
      <c r="S107" s="1326"/>
      <c r="T107" s="1333" t="str">
        <f>IF('System Lookups'!$AE107&gt;1,INDEX(Skills_Table,'System Lookups'!$AD107-4,HLOOKUP("Effective Level",Skill_Columns,2,FALSE))," ")</f>
        <v xml:space="preserve"> </v>
      </c>
      <c r="U107" s="1334"/>
      <c r="V107" s="1335" t="str">
        <f>IF('System Lookups'!$AE107&gt;1,INDEX(Skills_Table,'System Lookups'!$AD107-4,HLOOKUP("Attribute Bonus",Skill_Columns,2,FALSE))," ")</f>
        <v xml:space="preserve"> </v>
      </c>
      <c r="W107" s="1336"/>
      <c r="X107" s="1337"/>
      <c r="Y107" s="1326" t="str">
        <f>IF('System Lookups'!$AE107&gt;1,INDEX(Skills_Table,'System Lookups'!$AD107-4,HLOOKUP("Personal Skill Factor",Skill_Columns,2,FALSE))," ")</f>
        <v xml:space="preserve"> </v>
      </c>
      <c r="Z107" s="1327"/>
      <c r="AA107" s="1326" t="str">
        <f>IF('System Lookups'!$AE107&gt;1,INDEX(Skills_Table,'System Lookups'!$AD107-4,HLOOKUP("Total Skill Chance",Skill_Columns,2,FALSE))," ")</f>
        <v xml:space="preserve"> </v>
      </c>
      <c r="AB107" s="1327"/>
      <c r="AC107" s="1327"/>
      <c r="AD107" s="467" t="str">
        <f>IF('System Lookups'!$AE107&gt;1,INDEX(Skills_Table,'System Lookups'!$AD107-4,HLOOKUP("Crit Die Modifier",Skill_Columns,2,FALSE))," ")</f>
        <v xml:space="preserve"> </v>
      </c>
      <c r="AE107" s="2502"/>
      <c r="AF107" s="60"/>
      <c r="AG107">
        <v>1</v>
      </c>
      <c r="AH107"/>
      <c r="AI107"/>
      <c r="AJ107"/>
      <c r="AK107"/>
      <c r="AL107"/>
      <c r="AM107"/>
      <c r="AN107"/>
      <c r="AO107"/>
      <c r="AP107"/>
      <c r="AQ107">
        <v>1</v>
      </c>
      <c r="AR107"/>
      <c r="AS107" s="1407" t="str">
        <f>IF('System Lookups'!$AI107&gt;1,INDEX(Skills_Table,'System Lookups'!$AH107-4,HLOOKUP("Skill Type",Skill_Columns,2,FALSE))," ")</f>
        <v xml:space="preserve"> </v>
      </c>
      <c r="AT107" s="1408"/>
      <c r="AU107" s="1333" t="str">
        <f>IF('System Lookups'!$AI107&gt;1,INDEX(Skills_Table,'System Lookups'!$AH107-4,HLOOKUP("current df",Skill_Columns,2,FALSE))," ")</f>
        <v xml:space="preserve"> </v>
      </c>
      <c r="AV107" s="1334"/>
      <c r="AW107" s="1326" t="str">
        <f>IF('System Lookups'!$AI107&gt;1,INDEX(Skills_Table,'System Lookups'!$AH107-4,HLOOKUP(IF(ISNA(AZ107),"BCS% - Unskilled","BCS% - Skilled"),Skill_Columns,2,FALSE))," ")</f>
        <v xml:space="preserve"> </v>
      </c>
      <c r="AX107" s="1326"/>
      <c r="AY107" s="1326"/>
      <c r="AZ107" s="1333" t="str">
        <f>IF('System Lookups'!$AI107&gt;1,INDEX(Skills_Table,'System Lookups'!$AH107-4,HLOOKUP("Effective Level",Skill_Columns,2,FALSE))," ")</f>
        <v xml:space="preserve"> </v>
      </c>
      <c r="BA107" s="1334"/>
      <c r="BB107" s="1335" t="str">
        <f>IF('System Lookups'!$AI107&gt;1,INDEX(Skills_Table,'System Lookups'!$AH107-4,HLOOKUP("Attribute Bonus",Skill_Columns,2,FALSE))," ")</f>
        <v xml:space="preserve"> </v>
      </c>
      <c r="BC107" s="1336"/>
      <c r="BD107" s="1337"/>
      <c r="BE107" s="1326" t="str">
        <f>IF('System Lookups'!$AI107&gt;1,INDEX(Skills_Table,'System Lookups'!$AH107-4,HLOOKUP("Personal Skill Factor",Skill_Columns,2,FALSE))," ")</f>
        <v xml:space="preserve"> </v>
      </c>
      <c r="BF107" s="1327"/>
      <c r="BG107" s="1326" t="str">
        <f>IF('System Lookups'!$AI107&gt;1,INDEX(Skills_Table,'System Lookups'!$AH107-4,HLOOKUP("Total Skill Chance",Skill_Columns,2,FALSE))," ")</f>
        <v xml:space="preserve"> </v>
      </c>
      <c r="BH107" s="1327"/>
      <c r="BI107" s="1327"/>
      <c r="BJ107" s="467" t="str">
        <f>IF('System Lookups'!$AI107&gt;1,INDEX(Skills_Table,'System Lookups'!$AH107-4,HLOOKUP("Crit Die Modifier",Skill_Columns,2,FALSE))," ")</f>
        <v xml:space="preserve"> </v>
      </c>
      <c r="BK107" s="1444"/>
      <c r="BL107" s="582"/>
      <c r="BM107" s="1412"/>
      <c r="BN107" s="1344"/>
      <c r="BO107" s="1344"/>
      <c r="BP107" s="1344"/>
      <c r="BQ107" s="1344"/>
      <c r="BR107" s="1344"/>
      <c r="BS107" s="1344"/>
      <c r="BT107" s="1344"/>
      <c r="BU107" s="1344"/>
      <c r="BV107" s="1345"/>
      <c r="BW107" s="1333"/>
      <c r="BX107" s="1334"/>
      <c r="BY107" s="1333"/>
      <c r="BZ107" s="1334"/>
      <c r="CA107" s="1326"/>
      <c r="CB107" s="1326"/>
      <c r="CC107" s="1326"/>
      <c r="CD107" s="1333"/>
      <c r="CE107" s="1334"/>
      <c r="CF107" s="1335"/>
      <c r="CG107" s="1776"/>
      <c r="CH107" s="1777"/>
      <c r="CI107" s="1335"/>
      <c r="CJ107" s="1776"/>
      <c r="CK107" s="1777"/>
      <c r="CL107" s="1326"/>
      <c r="CM107" s="2095"/>
      <c r="CN107" s="1333"/>
      <c r="CO107" s="2466"/>
      <c r="CP107" s="1311"/>
      <c r="CQ107" s="1444"/>
    </row>
    <row r="108" spans="1:95" ht="15.75" customHeight="1" thickTop="1" thickBot="1">
      <c r="A108">
        <v>1</v>
      </c>
      <c r="B108"/>
      <c r="C108"/>
      <c r="D108"/>
      <c r="E108"/>
      <c r="F108"/>
      <c r="G108"/>
      <c r="H108"/>
      <c r="I108"/>
      <c r="J108"/>
      <c r="K108">
        <v>1</v>
      </c>
      <c r="L108"/>
      <c r="M108" s="1391" t="str">
        <f>IF('System Lookups'!$AE108&gt;1,INDEX(Skills_Table,'System Lookups'!$AD108-4,HLOOKUP("Skill Type",Skill_Columns,2,FALSE))," ")</f>
        <v xml:space="preserve"> </v>
      </c>
      <c r="N108" s="1392"/>
      <c r="O108" s="1331" t="str">
        <f>IF('System Lookups'!$AE108&gt;1,INDEX(Skills_Table,'System Lookups'!$AD108-4,HLOOKUP("current df",Skill_Columns,2,FALSE))," ")</f>
        <v xml:space="preserve"> </v>
      </c>
      <c r="P108" s="1332"/>
      <c r="Q108" s="1324" t="str">
        <f>IF('System Lookups'!$AE108&gt;1,INDEX(Skills_Table,'System Lookups'!$AD108-4,HLOOKUP(IF(ISNA(T108),"BCS% - Unskilled","BCS% - Skilled"),Skill_Columns,2,FALSE))," ")</f>
        <v xml:space="preserve"> </v>
      </c>
      <c r="R108" s="1324"/>
      <c r="S108" s="1324"/>
      <c r="T108" s="1331" t="str">
        <f>IF('System Lookups'!$AE108&gt;1,INDEX(Skills_Table,'System Lookups'!$AD108-4,HLOOKUP("Effective Level",Skill_Columns,2,FALSE))," ")</f>
        <v xml:space="preserve"> </v>
      </c>
      <c r="U108" s="1332"/>
      <c r="V108" s="1324" t="str">
        <f>IF('System Lookups'!$AE108&gt;1,INDEX(Skills_Table,'System Lookups'!$AD108-4,HLOOKUP("Attribute Bonus",Skill_Columns,2,FALSE))," ")</f>
        <v xml:space="preserve"> </v>
      </c>
      <c r="W108" s="1324"/>
      <c r="X108" s="1324"/>
      <c r="Y108" s="1324" t="str">
        <f>IF('System Lookups'!$AE108&gt;1,INDEX(Skills_Table,'System Lookups'!$AD108-4,HLOOKUP("Personal Skill Factor",Skill_Columns,2,FALSE))," ")</f>
        <v xml:space="preserve"> </v>
      </c>
      <c r="Z108" s="1325"/>
      <c r="AA108" s="1324" t="str">
        <f>IF('System Lookups'!$AE108&gt;1,INDEX(Skills_Table,'System Lookups'!$AD108-4,HLOOKUP("Total Skill Chance",Skill_Columns,2,FALSE))," ")</f>
        <v xml:space="preserve"> </v>
      </c>
      <c r="AB108" s="1325"/>
      <c r="AC108" s="1325"/>
      <c r="AD108" s="466" t="str">
        <f>IF('System Lookups'!$AE108&gt;1,INDEX(Skills_Table,'System Lookups'!$AD108-4,HLOOKUP("Crit Die Modifier",Skill_Columns,2,FALSE))," ")</f>
        <v xml:space="preserve"> </v>
      </c>
      <c r="AE108" s="508">
        <f>Experience!R9</f>
        <v>3</v>
      </c>
      <c r="AF108" s="589"/>
      <c r="AG108">
        <v>1</v>
      </c>
      <c r="AH108"/>
      <c r="AI108"/>
      <c r="AJ108"/>
      <c r="AK108"/>
      <c r="AL108"/>
      <c r="AM108"/>
      <c r="AN108"/>
      <c r="AO108"/>
      <c r="AP108"/>
      <c r="AQ108">
        <v>1</v>
      </c>
      <c r="AR108"/>
      <c r="AS108" s="1391" t="str">
        <f>IF('System Lookups'!$AI108&gt;1,INDEX(Skills_Table,'System Lookups'!$AH108-4,HLOOKUP("Skill Type",Skill_Columns,2,FALSE))," ")</f>
        <v xml:space="preserve"> </v>
      </c>
      <c r="AT108" s="1392"/>
      <c r="AU108" s="1331" t="str">
        <f>IF('System Lookups'!$AI108&gt;1,INDEX(Skills_Table,'System Lookups'!$AH108-4,HLOOKUP("current df",Skill_Columns,2,FALSE))," ")</f>
        <v xml:space="preserve"> </v>
      </c>
      <c r="AV108" s="1332"/>
      <c r="AW108" s="1324" t="str">
        <f>IF('System Lookups'!$AI108&gt;1,INDEX(Skills_Table,'System Lookups'!$AH108-4,HLOOKUP(IF(ISNA(AZ108),"BCS% - Unskilled","BCS% - Skilled"),Skill_Columns,2,FALSE))," ")</f>
        <v xml:space="preserve"> </v>
      </c>
      <c r="AX108" s="1324"/>
      <c r="AY108" s="1324"/>
      <c r="AZ108" s="1331" t="str">
        <f>IF('System Lookups'!$AI108&gt;1,INDEX(Skills_Table,'System Lookups'!$AH108-4,HLOOKUP("Effective Level",Skill_Columns,2,FALSE))," ")</f>
        <v xml:space="preserve"> </v>
      </c>
      <c r="BA108" s="1332"/>
      <c r="BB108" s="1324" t="str">
        <f>IF('System Lookups'!$AI108&gt;1,INDEX(Skills_Table,'System Lookups'!$AH108-4,HLOOKUP("Attribute Bonus",Skill_Columns,2,FALSE))," ")</f>
        <v xml:space="preserve"> </v>
      </c>
      <c r="BC108" s="1324"/>
      <c r="BD108" s="1324"/>
      <c r="BE108" s="1324" t="str">
        <f>IF('System Lookups'!$AI108&gt;1,INDEX(Skills_Table,'System Lookups'!$AH108-4,HLOOKUP("Personal Skill Factor",Skill_Columns,2,FALSE))," ")</f>
        <v xml:space="preserve"> </v>
      </c>
      <c r="BF108" s="1325"/>
      <c r="BG108" s="1324" t="str">
        <f>IF('System Lookups'!$AI108&gt;1,INDEX(Skills_Table,'System Lookups'!$AH108-4,HLOOKUP("Total Skill Chance",Skill_Columns,2,FALSE))," ")</f>
        <v xml:space="preserve"> </v>
      </c>
      <c r="BH108" s="1325"/>
      <c r="BI108" s="1325"/>
      <c r="BJ108" s="466" t="str">
        <f>IF('System Lookups'!$AI108&gt;1,INDEX(Skills_Table,'System Lookups'!$AH108-4,HLOOKUP("Crit Die Modifier",Skill_Columns,2,FALSE))," ")</f>
        <v xml:space="preserve"> </v>
      </c>
      <c r="BK108" s="590"/>
      <c r="BL108" s="572"/>
      <c r="BM108" s="1370"/>
      <c r="BN108" s="1721"/>
      <c r="BO108" s="1721"/>
      <c r="BP108" s="1721"/>
      <c r="BQ108" s="1721"/>
      <c r="BR108" s="1721"/>
      <c r="BS108" s="1721"/>
      <c r="BT108" s="1721"/>
      <c r="BU108" s="1721"/>
      <c r="BV108" s="1722"/>
      <c r="BW108" s="1331"/>
      <c r="BX108" s="1332"/>
      <c r="BY108" s="1331"/>
      <c r="BZ108" s="1332"/>
      <c r="CA108" s="1324"/>
      <c r="CB108" s="1324"/>
      <c r="CC108" s="1324"/>
      <c r="CD108" s="1331"/>
      <c r="CE108" s="1332"/>
      <c r="CF108" s="1404"/>
      <c r="CG108" s="1769"/>
      <c r="CH108" s="1770"/>
      <c r="CI108" s="1404"/>
      <c r="CJ108" s="1769"/>
      <c r="CK108" s="1770"/>
      <c r="CL108" s="1324"/>
      <c r="CM108" s="1873"/>
      <c r="CN108" s="1331"/>
      <c r="CO108" s="2297"/>
      <c r="CP108" s="1311"/>
      <c r="CQ108" s="590"/>
    </row>
    <row r="109" spans="1:95" ht="15.75" customHeight="1" thickTop="1">
      <c r="A109">
        <v>1</v>
      </c>
      <c r="B109"/>
      <c r="C109"/>
      <c r="D109"/>
      <c r="E109"/>
      <c r="F109"/>
      <c r="G109"/>
      <c r="H109"/>
      <c r="I109"/>
      <c r="J109"/>
      <c r="K109">
        <v>1</v>
      </c>
      <c r="L109"/>
      <c r="M109" s="1407" t="str">
        <f>IF('System Lookups'!$AE109&gt;1,INDEX(Skills_Table,'System Lookups'!$AD109-4,HLOOKUP("Skill Type",Skill_Columns,2,FALSE))," ")</f>
        <v xml:space="preserve"> </v>
      </c>
      <c r="N109" s="1408"/>
      <c r="O109" s="1333" t="str">
        <f>IF('System Lookups'!$AE109&gt;1,INDEX(Skills_Table,'System Lookups'!$AD109-4,HLOOKUP("current df",Skill_Columns,2,FALSE))," ")</f>
        <v xml:space="preserve"> </v>
      </c>
      <c r="P109" s="1334"/>
      <c r="Q109" s="1326" t="str">
        <f>IF('System Lookups'!$AE109&gt;1,INDEX(Skills_Table,'System Lookups'!$AD109-4,HLOOKUP(IF(ISNA(T109),"BCS% - Unskilled","BCS% - Skilled"),Skill_Columns,2,FALSE))," ")</f>
        <v xml:space="preserve"> </v>
      </c>
      <c r="R109" s="1326"/>
      <c r="S109" s="1326"/>
      <c r="T109" s="1333" t="str">
        <f>IF('System Lookups'!$AE109&gt;1,INDEX(Skills_Table,'System Lookups'!$AD109-4,HLOOKUP("Effective Level",Skill_Columns,2,FALSE))," ")</f>
        <v xml:space="preserve"> </v>
      </c>
      <c r="U109" s="1334"/>
      <c r="V109" s="1335" t="str">
        <f>IF('System Lookups'!$AE109&gt;1,INDEX(Skills_Table,'System Lookups'!$AD109-4,HLOOKUP("Attribute Bonus",Skill_Columns,2,FALSE))," ")</f>
        <v xml:space="preserve"> </v>
      </c>
      <c r="W109" s="1336"/>
      <c r="X109" s="1337"/>
      <c r="Y109" s="1326" t="str">
        <f>IF('System Lookups'!$AE109&gt;1,INDEX(Skills_Table,'System Lookups'!$AD109-4,HLOOKUP("Personal Skill Factor",Skill_Columns,2,FALSE))," ")</f>
        <v xml:space="preserve"> </v>
      </c>
      <c r="Z109" s="1327"/>
      <c r="AA109" s="1326" t="str">
        <f>IF('System Lookups'!$AE109&gt;1,INDEX(Skills_Table,'System Lookups'!$AD109-4,HLOOKUP("Total Skill Chance",Skill_Columns,2,FALSE))," ")</f>
        <v xml:space="preserve"> </v>
      </c>
      <c r="AB109" s="1327"/>
      <c r="AC109" s="1327"/>
      <c r="AD109" s="467" t="str">
        <f>IF('System Lookups'!$AE109&gt;1,INDEX(Skills_Table,'System Lookups'!$AD109-4,HLOOKUP("Crit Die Modifier",Skill_Columns,2,FALSE))," ")</f>
        <v xml:space="preserve"> </v>
      </c>
      <c r="AG109">
        <v>1</v>
      </c>
      <c r="AH109"/>
      <c r="AI109"/>
      <c r="AJ109"/>
      <c r="AK109"/>
      <c r="AL109"/>
      <c r="AM109"/>
      <c r="AN109"/>
      <c r="AO109"/>
      <c r="AP109"/>
      <c r="AQ109">
        <v>1</v>
      </c>
      <c r="AR109"/>
      <c r="AS109" s="1407" t="str">
        <f>IF('System Lookups'!$AI109&gt;1,INDEX(Skills_Table,'System Lookups'!$AH109-4,HLOOKUP("Skill Type",Skill_Columns,2,FALSE))," ")</f>
        <v xml:space="preserve"> </v>
      </c>
      <c r="AT109" s="1408"/>
      <c r="AU109" s="1333" t="str">
        <f>IF('System Lookups'!$AI109&gt;1,INDEX(Skills_Table,'System Lookups'!$AH109-4,HLOOKUP("current df",Skill_Columns,2,FALSE))," ")</f>
        <v xml:space="preserve"> </v>
      </c>
      <c r="AV109" s="1334"/>
      <c r="AW109" s="1326" t="str">
        <f>IF('System Lookups'!$AI109&gt;1,INDEX(Skills_Table,'System Lookups'!$AH109-4,HLOOKUP(IF(ISNA(AZ109),"BCS% - Unskilled","BCS% - Skilled"),Skill_Columns,2,FALSE))," ")</f>
        <v xml:space="preserve"> </v>
      </c>
      <c r="AX109" s="1326"/>
      <c r="AY109" s="1326"/>
      <c r="AZ109" s="1333" t="str">
        <f>IF('System Lookups'!$AI109&gt;1,INDEX(Skills_Table,'System Lookups'!$AH109-4,HLOOKUP("Effective Level",Skill_Columns,2,FALSE))," ")</f>
        <v xml:space="preserve"> </v>
      </c>
      <c r="BA109" s="1334"/>
      <c r="BB109" s="1335" t="str">
        <f>IF('System Lookups'!$AI109&gt;1,INDEX(Skills_Table,'System Lookups'!$AH109-4,HLOOKUP("Attribute Bonus",Skill_Columns,2,FALSE))," ")</f>
        <v xml:space="preserve"> </v>
      </c>
      <c r="BC109" s="1336"/>
      <c r="BD109" s="1337"/>
      <c r="BE109" s="1326" t="str">
        <f>IF('System Lookups'!$AI109&gt;1,INDEX(Skills_Table,'System Lookups'!$AH109-4,HLOOKUP("Personal Skill Factor",Skill_Columns,2,FALSE))," ")</f>
        <v xml:space="preserve"> </v>
      </c>
      <c r="BF109" s="1327"/>
      <c r="BG109" s="1326" t="str">
        <f>IF('System Lookups'!$AI109&gt;1,INDEX(Skills_Table,'System Lookups'!$AH109-4,HLOOKUP("Total Skill Chance",Skill_Columns,2,FALSE))," ")</f>
        <v xml:space="preserve"> </v>
      </c>
      <c r="BH109" s="1327"/>
      <c r="BI109" s="1327"/>
      <c r="BJ109" s="467" t="str">
        <f>IF('System Lookups'!$AI109&gt;1,INDEX(Skills_Table,'System Lookups'!$AH109-4,HLOOKUP("Crit Die Modifier",Skill_Columns,2,FALSE))," ")</f>
        <v xml:space="preserve"> </v>
      </c>
      <c r="BK109" s="591"/>
      <c r="BM109" s="1412"/>
      <c r="BN109" s="1344"/>
      <c r="BO109" s="1344"/>
      <c r="BP109" s="1344"/>
      <c r="BQ109" s="1344"/>
      <c r="BR109" s="1344"/>
      <c r="BS109" s="1344"/>
      <c r="BT109" s="1344"/>
      <c r="BU109" s="1344"/>
      <c r="BV109" s="1345"/>
      <c r="BW109" s="1333"/>
      <c r="BX109" s="1334"/>
      <c r="BY109" s="1333"/>
      <c r="BZ109" s="1334"/>
      <c r="CA109" s="1326"/>
      <c r="CB109" s="1326"/>
      <c r="CC109" s="1326"/>
      <c r="CD109" s="1333"/>
      <c r="CE109" s="1334"/>
      <c r="CF109" s="1335"/>
      <c r="CG109" s="1776"/>
      <c r="CH109" s="1777"/>
      <c r="CI109" s="1335"/>
      <c r="CJ109" s="1776"/>
      <c r="CK109" s="1777"/>
      <c r="CL109" s="1326"/>
      <c r="CM109" s="2095"/>
      <c r="CN109" s="1333"/>
      <c r="CO109" s="2466"/>
      <c r="CP109" s="1311"/>
      <c r="CQ109" s="591"/>
    </row>
    <row r="110" spans="1:95" ht="15.75" customHeight="1">
      <c r="A110">
        <v>1</v>
      </c>
      <c r="B110"/>
      <c r="C110"/>
      <c r="D110"/>
      <c r="E110"/>
      <c r="F110"/>
      <c r="G110"/>
      <c r="H110"/>
      <c r="I110"/>
      <c r="J110"/>
      <c r="K110">
        <v>1</v>
      </c>
      <c r="L110"/>
      <c r="M110" s="1391" t="str">
        <f>IF('System Lookups'!$AE110&gt;1,INDEX(Skills_Table,'System Lookups'!$AD110-4,HLOOKUP("Skill Type",Skill_Columns,2,FALSE))," ")</f>
        <v xml:space="preserve"> </v>
      </c>
      <c r="N110" s="1392"/>
      <c r="O110" s="1331" t="str">
        <f>IF('System Lookups'!$AE110&gt;1,INDEX(Skills_Table,'System Lookups'!$AD110-4,HLOOKUP("current df",Skill_Columns,2,FALSE))," ")</f>
        <v xml:space="preserve"> </v>
      </c>
      <c r="P110" s="1332"/>
      <c r="Q110" s="1324" t="str">
        <f>IF('System Lookups'!$AE110&gt;1,INDEX(Skills_Table,'System Lookups'!$AD110-4,HLOOKUP(IF(ISNA(T110),"BCS% - Unskilled","BCS% - Skilled"),Skill_Columns,2,FALSE))," ")</f>
        <v xml:space="preserve"> </v>
      </c>
      <c r="R110" s="1324"/>
      <c r="S110" s="1324"/>
      <c r="T110" s="1331" t="str">
        <f>IF('System Lookups'!$AE110&gt;1,INDEX(Skills_Table,'System Lookups'!$AD110-4,HLOOKUP("Effective Level",Skill_Columns,2,FALSE))," ")</f>
        <v xml:space="preserve"> </v>
      </c>
      <c r="U110" s="1332"/>
      <c r="V110" s="1324" t="str">
        <f>IF('System Lookups'!$AE110&gt;1,INDEX(Skills_Table,'System Lookups'!$AD110-4,HLOOKUP("Attribute Bonus",Skill_Columns,2,FALSE))," ")</f>
        <v xml:space="preserve"> </v>
      </c>
      <c r="W110" s="1324"/>
      <c r="X110" s="1324"/>
      <c r="Y110" s="1324" t="str">
        <f>IF('System Lookups'!$AE110&gt;1,INDEX(Skills_Table,'System Lookups'!$AD110-4,HLOOKUP("Personal Skill Factor",Skill_Columns,2,FALSE))," ")</f>
        <v xml:space="preserve"> </v>
      </c>
      <c r="Z110" s="1325"/>
      <c r="AA110" s="1324" t="str">
        <f>IF('System Lookups'!$AE110&gt;1,INDEX(Skills_Table,'System Lookups'!$AD110-4,HLOOKUP("Total Skill Chance",Skill_Columns,2,FALSE))," ")</f>
        <v xml:space="preserve"> </v>
      </c>
      <c r="AB110" s="1325"/>
      <c r="AC110" s="1325"/>
      <c r="AD110" s="466" t="str">
        <f>IF('System Lookups'!$AE110&gt;1,INDEX(Skills_Table,'System Lookups'!$AD110-4,HLOOKUP("Crit Die Modifier",Skill_Columns,2,FALSE))," ")</f>
        <v xml:space="preserve"> </v>
      </c>
      <c r="AG110">
        <v>1</v>
      </c>
      <c r="AH110"/>
      <c r="AI110"/>
      <c r="AJ110"/>
      <c r="AK110"/>
      <c r="AL110"/>
      <c r="AM110"/>
      <c r="AN110"/>
      <c r="AO110"/>
      <c r="AP110"/>
      <c r="AQ110">
        <v>1</v>
      </c>
      <c r="AR110"/>
      <c r="AS110" s="1391" t="str">
        <f>IF('System Lookups'!$AI110&gt;1,INDEX(Skills_Table,'System Lookups'!$AH110-4,HLOOKUP("Skill Type",Skill_Columns,2,FALSE))," ")</f>
        <v xml:space="preserve"> </v>
      </c>
      <c r="AT110" s="1392"/>
      <c r="AU110" s="1331" t="str">
        <f>IF('System Lookups'!$AI110&gt;1,INDEX(Skills_Table,'System Lookups'!$AH110-4,HLOOKUP("current df",Skill_Columns,2,FALSE))," ")</f>
        <v xml:space="preserve"> </v>
      </c>
      <c r="AV110" s="1332"/>
      <c r="AW110" s="1324" t="str">
        <f>IF('System Lookups'!$AI110&gt;1,INDEX(Skills_Table,'System Lookups'!$AH110-4,HLOOKUP(IF(ISNA(AZ110),"BCS% - Unskilled","BCS% - Skilled"),Skill_Columns,2,FALSE))," ")</f>
        <v xml:space="preserve"> </v>
      </c>
      <c r="AX110" s="1324"/>
      <c r="AY110" s="1324"/>
      <c r="AZ110" s="1331" t="str">
        <f>IF('System Lookups'!$AI110&gt;1,INDEX(Skills_Table,'System Lookups'!$AH110-4,HLOOKUP("Effective Level",Skill_Columns,2,FALSE))," ")</f>
        <v xml:space="preserve"> </v>
      </c>
      <c r="BA110" s="1332"/>
      <c r="BB110" s="1324" t="str">
        <f>IF('System Lookups'!$AI110&gt;1,INDEX(Skills_Table,'System Lookups'!$AH110-4,HLOOKUP("Attribute Bonus",Skill_Columns,2,FALSE))," ")</f>
        <v xml:space="preserve"> </v>
      </c>
      <c r="BC110" s="1324"/>
      <c r="BD110" s="1324"/>
      <c r="BE110" s="1324" t="str">
        <f>IF('System Lookups'!$AI110&gt;1,INDEX(Skills_Table,'System Lookups'!$AH110-4,HLOOKUP("Personal Skill Factor",Skill_Columns,2,FALSE))," ")</f>
        <v xml:space="preserve"> </v>
      </c>
      <c r="BF110" s="1325"/>
      <c r="BG110" s="1324" t="str">
        <f>IF('System Lookups'!$AI110&gt;1,INDEX(Skills_Table,'System Lookups'!$AH110-4,HLOOKUP("Total Skill Chance",Skill_Columns,2,FALSE))," ")</f>
        <v xml:space="preserve"> </v>
      </c>
      <c r="BH110" s="1325"/>
      <c r="BI110" s="1325"/>
      <c r="BJ110" s="466" t="str">
        <f>IF('System Lookups'!$AI110&gt;1,INDEX(Skills_Table,'System Lookups'!$AH110-4,HLOOKUP("Crit Die Modifier",Skill_Columns,2,FALSE))," ")</f>
        <v xml:space="preserve"> </v>
      </c>
      <c r="BK110" s="591"/>
      <c r="BM110" s="1370"/>
      <c r="BN110" s="1721"/>
      <c r="BO110" s="1721"/>
      <c r="BP110" s="1721"/>
      <c r="BQ110" s="1721"/>
      <c r="BR110" s="1721"/>
      <c r="BS110" s="1721"/>
      <c r="BT110" s="1721"/>
      <c r="BU110" s="1721"/>
      <c r="BV110" s="1722"/>
      <c r="BW110" s="2471"/>
      <c r="BX110" s="2472"/>
      <c r="BY110" s="2471"/>
      <c r="BZ110" s="2472"/>
      <c r="CA110" s="2216"/>
      <c r="CB110" s="2216"/>
      <c r="CC110" s="2216"/>
      <c r="CD110" s="2471"/>
      <c r="CE110" s="2472"/>
      <c r="CF110" s="2096"/>
      <c r="CG110" s="2473"/>
      <c r="CH110" s="2474"/>
      <c r="CI110" s="2096"/>
      <c r="CJ110" s="2473"/>
      <c r="CK110" s="2474"/>
      <c r="CL110" s="2216"/>
      <c r="CM110" s="1343"/>
      <c r="CN110" s="2471"/>
      <c r="CO110" s="2297"/>
      <c r="CP110" s="1311"/>
      <c r="CQ110" s="591"/>
    </row>
    <row r="111" spans="1:95" ht="15.75" customHeight="1">
      <c r="A111">
        <v>1</v>
      </c>
      <c r="B111"/>
      <c r="C111"/>
      <c r="D111"/>
      <c r="E111"/>
      <c r="F111"/>
      <c r="G111"/>
      <c r="H111"/>
      <c r="I111"/>
      <c r="J111"/>
      <c r="K111">
        <v>1</v>
      </c>
      <c r="L111"/>
      <c r="M111" s="1407" t="str">
        <f>IF('System Lookups'!$AE111&gt;1,INDEX(Skills_Table,'System Lookups'!$AD111-4,HLOOKUP("Skill Type",Skill_Columns,2,FALSE))," ")</f>
        <v xml:space="preserve"> </v>
      </c>
      <c r="N111" s="1408"/>
      <c r="O111" s="1333" t="str">
        <f>IF('System Lookups'!$AE111&gt;1,INDEX(Skills_Table,'System Lookups'!$AD111-4,HLOOKUP("current df",Skill_Columns,2,FALSE))," ")</f>
        <v xml:space="preserve"> </v>
      </c>
      <c r="P111" s="1334"/>
      <c r="Q111" s="1326" t="str">
        <f>IF('System Lookups'!$AE111&gt;1,INDEX(Skills_Table,'System Lookups'!$AD111-4,HLOOKUP(IF(ISNA(T111),"BCS% - Unskilled","BCS% - Skilled"),Skill_Columns,2,FALSE))," ")</f>
        <v xml:space="preserve"> </v>
      </c>
      <c r="R111" s="1326"/>
      <c r="S111" s="1326"/>
      <c r="T111" s="1333" t="str">
        <f>IF('System Lookups'!$AE111&gt;1,INDEX(Skills_Table,'System Lookups'!$AD111-4,HLOOKUP("Effective Level",Skill_Columns,2,FALSE))," ")</f>
        <v xml:space="preserve"> </v>
      </c>
      <c r="U111" s="1334"/>
      <c r="V111" s="1335" t="str">
        <f>IF('System Lookups'!$AE111&gt;1,INDEX(Skills_Table,'System Lookups'!$AD111-4,HLOOKUP("Attribute Bonus",Skill_Columns,2,FALSE))," ")</f>
        <v xml:space="preserve"> </v>
      </c>
      <c r="W111" s="1336"/>
      <c r="X111" s="1337"/>
      <c r="Y111" s="1326" t="str">
        <f>IF('System Lookups'!$AE111&gt;1,INDEX(Skills_Table,'System Lookups'!$AD111-4,HLOOKUP("Personal Skill Factor",Skill_Columns,2,FALSE))," ")</f>
        <v xml:space="preserve"> </v>
      </c>
      <c r="Z111" s="1327"/>
      <c r="AA111" s="1326" t="str">
        <f>IF('System Lookups'!$AE111&gt;1,INDEX(Skills_Table,'System Lookups'!$AD111-4,HLOOKUP("Total Skill Chance",Skill_Columns,2,FALSE))," ")</f>
        <v xml:space="preserve"> </v>
      </c>
      <c r="AB111" s="1327"/>
      <c r="AC111" s="1327"/>
      <c r="AD111" s="467" t="str">
        <f>IF('System Lookups'!$AE111&gt;1,INDEX(Skills_Table,'System Lookups'!$AD111-4,HLOOKUP("Crit Die Modifier",Skill_Columns,2,FALSE))," ")</f>
        <v xml:space="preserve"> </v>
      </c>
      <c r="AG111">
        <v>1</v>
      </c>
      <c r="AH111"/>
      <c r="AI111"/>
      <c r="AJ111"/>
      <c r="AK111"/>
      <c r="AL111"/>
      <c r="AM111"/>
      <c r="AN111"/>
      <c r="AO111"/>
      <c r="AP111"/>
      <c r="AQ111">
        <v>1</v>
      </c>
      <c r="AR111"/>
      <c r="AS111" s="1407" t="str">
        <f>IF('System Lookups'!$AI111&gt;1,INDEX(Skills_Table,'System Lookups'!$AH111-4,HLOOKUP("Skill Type",Skill_Columns,2,FALSE))," ")</f>
        <v xml:space="preserve"> </v>
      </c>
      <c r="AT111" s="1408"/>
      <c r="AU111" s="1333" t="str">
        <f>IF('System Lookups'!$AI111&gt;1,INDEX(Skills_Table,'System Lookups'!$AH111-4,HLOOKUP("current df",Skill_Columns,2,FALSE))," ")</f>
        <v xml:space="preserve"> </v>
      </c>
      <c r="AV111" s="1334"/>
      <c r="AW111" s="1326" t="str">
        <f>IF('System Lookups'!$AI111&gt;1,INDEX(Skills_Table,'System Lookups'!$AH111-4,HLOOKUP(IF(ISNA(AZ111),"BCS% - Unskilled","BCS% - Skilled"),Skill_Columns,2,FALSE))," ")</f>
        <v xml:space="preserve"> </v>
      </c>
      <c r="AX111" s="1326"/>
      <c r="AY111" s="1326"/>
      <c r="AZ111" s="1333" t="str">
        <f>IF('System Lookups'!$AI111&gt;1,INDEX(Skills_Table,'System Lookups'!$AH111-4,HLOOKUP("Effective Level",Skill_Columns,2,FALSE))," ")</f>
        <v xml:space="preserve"> </v>
      </c>
      <c r="BA111" s="1334"/>
      <c r="BB111" s="1335" t="str">
        <f>IF('System Lookups'!$AI111&gt;1,INDEX(Skills_Table,'System Lookups'!$AH111-4,HLOOKUP("Attribute Bonus",Skill_Columns,2,FALSE))," ")</f>
        <v xml:space="preserve"> </v>
      </c>
      <c r="BC111" s="1336"/>
      <c r="BD111" s="1337"/>
      <c r="BE111" s="1326" t="str">
        <f>IF('System Lookups'!$AI111&gt;1,INDEX(Skills_Table,'System Lookups'!$AH111-4,HLOOKUP("Personal Skill Factor",Skill_Columns,2,FALSE))," ")</f>
        <v xml:space="preserve"> </v>
      </c>
      <c r="BF111" s="1327"/>
      <c r="BG111" s="1326" t="str">
        <f>IF('System Lookups'!$AI111&gt;1,INDEX(Skills_Table,'System Lookups'!$AH111-4,HLOOKUP("Total Skill Chance",Skill_Columns,2,FALSE))," ")</f>
        <v xml:space="preserve"> </v>
      </c>
      <c r="BH111" s="1327"/>
      <c r="BI111" s="1327"/>
      <c r="BJ111" s="467" t="str">
        <f>IF('System Lookups'!$AI111&gt;1,INDEX(Skills_Table,'System Lookups'!$AH111-4,HLOOKUP("Crit Die Modifier",Skill_Columns,2,FALSE))," ")</f>
        <v xml:space="preserve"> </v>
      </c>
      <c r="BK111" s="591"/>
      <c r="BM111" s="1412"/>
      <c r="BN111" s="1344"/>
      <c r="BO111" s="1344"/>
      <c r="BP111" s="1344"/>
      <c r="BQ111" s="1344"/>
      <c r="BR111" s="1344"/>
      <c r="BS111" s="1344"/>
      <c r="BT111" s="1344"/>
      <c r="BU111" s="1344"/>
      <c r="BV111" s="1345"/>
      <c r="BW111" s="1333"/>
      <c r="BX111" s="1334"/>
      <c r="BY111" s="1333"/>
      <c r="BZ111" s="1334"/>
      <c r="CA111" s="1326"/>
      <c r="CB111" s="1326"/>
      <c r="CC111" s="1326"/>
      <c r="CD111" s="1333"/>
      <c r="CE111" s="1334"/>
      <c r="CF111" s="1335"/>
      <c r="CG111" s="1776"/>
      <c r="CH111" s="1777"/>
      <c r="CI111" s="1335"/>
      <c r="CJ111" s="1776"/>
      <c r="CK111" s="1777"/>
      <c r="CL111" s="1326"/>
      <c r="CM111" s="2095"/>
      <c r="CN111" s="1333"/>
      <c r="CO111" s="2466"/>
      <c r="CP111" s="1311"/>
      <c r="CQ111" s="591"/>
    </row>
    <row r="112" spans="1:95" ht="15" customHeight="1" outlineLevel="1">
      <c r="A112" s="2111" t="s">
        <v>2245</v>
      </c>
      <c r="B112" s="2111"/>
      <c r="C112" s="2111"/>
      <c r="D112" s="2111"/>
      <c r="E112" s="2111"/>
      <c r="F112" s="2111"/>
      <c r="G112" s="2111"/>
      <c r="H112" s="2111"/>
      <c r="I112" s="2111"/>
      <c r="J112" s="2111"/>
      <c r="K112" s="2111"/>
      <c r="L112" s="2111"/>
      <c r="M112" s="2111"/>
      <c r="N112" s="2111"/>
      <c r="O112" s="2111"/>
      <c r="P112" s="2111"/>
      <c r="Q112" s="2111"/>
      <c r="R112" s="2111"/>
      <c r="S112" s="2111"/>
      <c r="T112" s="2111"/>
      <c r="U112" s="2111"/>
      <c r="V112" s="2111"/>
      <c r="W112" s="2111"/>
      <c r="X112" s="2111"/>
      <c r="Y112" s="2111"/>
      <c r="Z112" s="2111"/>
      <c r="AA112" s="2111"/>
      <c r="AB112" s="2111"/>
      <c r="AC112" s="2111"/>
      <c r="AD112" s="2111"/>
      <c r="AG112"/>
      <c r="AH112"/>
      <c r="AI112"/>
      <c r="AJ112"/>
      <c r="AK112"/>
      <c r="AL112"/>
      <c r="AM112"/>
      <c r="AN112"/>
      <c r="AO112"/>
      <c r="AP112"/>
      <c r="AQ112"/>
      <c r="AR112"/>
      <c r="AS112"/>
      <c r="AT112"/>
      <c r="AU112"/>
      <c r="AV112"/>
      <c r="AW112"/>
      <c r="AX112"/>
      <c r="AY112"/>
      <c r="AZ112"/>
      <c r="BA112"/>
      <c r="BB112"/>
      <c r="BC112"/>
      <c r="BD112"/>
      <c r="BE112"/>
      <c r="BF112"/>
      <c r="BG112"/>
      <c r="BH112"/>
      <c r="BI112"/>
      <c r="BJ112"/>
    </row>
    <row r="113" spans="1:62" ht="12.6" customHeight="1" outlineLevel="1">
      <c r="A113" s="1857" t="s">
        <v>3882</v>
      </c>
      <c r="B113" s="1857"/>
      <c r="C113" s="1857"/>
      <c r="D113" s="1857"/>
      <c r="E113" s="1857"/>
      <c r="F113" s="1857"/>
      <c r="G113" s="1400" t="s">
        <v>3005</v>
      </c>
      <c r="H113" s="1400"/>
      <c r="I113" s="1400" t="s">
        <v>4731</v>
      </c>
      <c r="J113" s="1400"/>
      <c r="K113" s="1400"/>
      <c r="L113" s="1400" t="s">
        <v>3046</v>
      </c>
      <c r="M113" s="1400"/>
      <c r="N113" s="63" t="s">
        <v>2084</v>
      </c>
      <c r="O113" s="89"/>
      <c r="P113" s="89"/>
      <c r="Q113" s="1400" t="s">
        <v>209</v>
      </c>
      <c r="R113" s="1400"/>
      <c r="S113" s="1400"/>
      <c r="T113" s="1400" t="s">
        <v>4067</v>
      </c>
      <c r="U113" s="1400"/>
      <c r="V113" s="1400"/>
      <c r="W113" s="1400" t="s">
        <v>4068</v>
      </c>
      <c r="X113" s="1400"/>
      <c r="Y113" s="1400"/>
      <c r="Z113" s="1400" t="s">
        <v>2014</v>
      </c>
      <c r="AA113" s="1400"/>
      <c r="AB113" s="1400"/>
      <c r="AC113" s="1400" t="s">
        <v>5087</v>
      </c>
      <c r="AD113" s="1400"/>
      <c r="AE113" s="65"/>
      <c r="AF113" s="65"/>
      <c r="AG113"/>
      <c r="AH113"/>
      <c r="AI113"/>
      <c r="AJ113"/>
      <c r="AK113"/>
      <c r="AL113"/>
      <c r="AM113"/>
      <c r="AN113"/>
      <c r="AO113"/>
      <c r="AP113"/>
      <c r="AQ113"/>
      <c r="AR113"/>
      <c r="AS113"/>
      <c r="AT113"/>
      <c r="AU113"/>
      <c r="AV113"/>
      <c r="AW113"/>
      <c r="AX113"/>
      <c r="AY113"/>
      <c r="AZ113"/>
      <c r="BA113"/>
      <c r="BB113"/>
      <c r="BC113"/>
      <c r="BD113"/>
      <c r="BE113"/>
      <c r="BF113"/>
      <c r="BG113"/>
      <c r="BH113"/>
      <c r="BI113"/>
      <c r="BJ113"/>
    </row>
    <row r="114" spans="1:62" ht="12.6" customHeight="1" outlineLevel="1">
      <c r="A114" s="2161" t="str">
        <f>VLOOKUP(Magick!A3,Magick!AD5:AU51,2)</f>
        <v>None</v>
      </c>
      <c r="B114" s="2161"/>
      <c r="C114" s="2161"/>
      <c r="D114" s="2161"/>
      <c r="E114" s="2161"/>
      <c r="F114" s="2161"/>
      <c r="G114" s="1873" t="str">
        <f>IF((A114="none")," ",VLOOKUP(Magick!A3,Magick!AD5:AQ51,3))</f>
        <v xml:space="preserve"> </v>
      </c>
      <c r="H114" s="1873"/>
      <c r="I114" s="1324" t="str">
        <f>IF((A114="none")," ",VLOOKUP(G114,'System Lookups'!$J$55:$P$64,4))</f>
        <v xml:space="preserve"> </v>
      </c>
      <c r="J114" s="1324"/>
      <c r="K114" s="1324"/>
      <c r="L114" s="1873" t="str">
        <f>IF((A114="none")," ",VLOOKUP(Magick!A3,Magick!AD5:AQ51,13))</f>
        <v xml:space="preserve"> </v>
      </c>
      <c r="M114" s="1873"/>
      <c r="N114" s="1324" t="str">
        <f>IF((A114="none")," ",VLOOKUP(Magick!A3,Magick!AD5:AQ51,5))</f>
        <v xml:space="preserve"> </v>
      </c>
      <c r="O114" s="1873"/>
      <c r="P114" s="1873"/>
      <c r="Q114" s="1324" t="str">
        <f>IF((A114="none")," ",VLOOKUP(Magick!A3,Magick!AD5:AQ51,6))</f>
        <v xml:space="preserve"> </v>
      </c>
      <c r="R114" s="1873"/>
      <c r="S114" s="1873"/>
      <c r="T114" s="1324" t="str">
        <f>IF((A114="none")," ",IF('Main Creation Page'!$E$6="Poor",0.1,IF('Main Creation Page'!$E$6="Well",0.1,IF(Magick!A3&gt;31,0.1,0))))</f>
        <v xml:space="preserve"> </v>
      </c>
      <c r="U114" s="1324"/>
      <c r="V114" s="1324"/>
      <c r="W114" s="1324" t="str">
        <f>IF((A114="none")," ",VLOOKUP(Magick!A3,Magick!AD5:AQ51,9))</f>
        <v xml:space="preserve"> </v>
      </c>
      <c r="X114" s="1873"/>
      <c r="Y114" s="1873"/>
      <c r="Z114" s="1324" t="str">
        <f>IF((A114="none")," ",W114+I114)</f>
        <v xml:space="preserve"> </v>
      </c>
      <c r="AA114" s="1873"/>
      <c r="AB114" s="1873"/>
      <c r="AC114" s="2148" t="str">
        <f>IF((A114="none")," ",IF(A114="N/A"," ",+Magick!C3))</f>
        <v xml:space="preserve"> </v>
      </c>
      <c r="AD114" s="1873"/>
      <c r="AG114"/>
      <c r="AH114"/>
      <c r="AI114"/>
      <c r="AJ114"/>
      <c r="AK114"/>
      <c r="AL114"/>
      <c r="AM114"/>
      <c r="AN114"/>
      <c r="AO114"/>
      <c r="AP114"/>
      <c r="AQ114"/>
      <c r="AR114"/>
      <c r="AS114"/>
      <c r="AT114"/>
      <c r="AU114"/>
      <c r="AV114"/>
      <c r="AW114"/>
      <c r="AX114"/>
      <c r="AY114"/>
      <c r="AZ114"/>
      <c r="BA114"/>
      <c r="BB114"/>
      <c r="BC114"/>
      <c r="BD114"/>
      <c r="BE114"/>
      <c r="BF114"/>
      <c r="BG114"/>
      <c r="BH114"/>
      <c r="BI114"/>
      <c r="BJ114"/>
    </row>
    <row r="115" spans="1:62" ht="12.6" customHeight="1" outlineLevel="1">
      <c r="A115" s="2162" t="s">
        <v>4069</v>
      </c>
      <c r="B115" s="2162"/>
      <c r="C115" s="2162"/>
      <c r="D115" s="2162"/>
      <c r="E115" s="2162"/>
      <c r="F115" s="2132" t="s">
        <v>3047</v>
      </c>
      <c r="G115" s="2132"/>
      <c r="H115" s="2132" t="s">
        <v>862</v>
      </c>
      <c r="I115" s="2132"/>
      <c r="J115" s="2132"/>
      <c r="K115" s="2132" t="s">
        <v>4719</v>
      </c>
      <c r="L115" s="2132"/>
      <c r="M115" s="2132"/>
      <c r="N115" s="2132" t="s">
        <v>4598</v>
      </c>
      <c r="O115" s="2132"/>
      <c r="P115" s="2132"/>
      <c r="Q115" s="2132" t="s">
        <v>4598</v>
      </c>
      <c r="R115" s="2132"/>
      <c r="S115" s="2132"/>
      <c r="T115" s="2132"/>
      <c r="U115" s="2132" t="s">
        <v>3790</v>
      </c>
      <c r="V115" s="2350"/>
      <c r="W115" s="2350"/>
      <c r="X115" s="2350"/>
      <c r="Y115" s="1400" t="s">
        <v>4599</v>
      </c>
      <c r="Z115" s="1437"/>
      <c r="AA115" s="1437"/>
      <c r="AB115" s="1437"/>
      <c r="AC115" s="1437"/>
      <c r="AD115" s="1437"/>
      <c r="AG115"/>
      <c r="AH115"/>
      <c r="AI115"/>
      <c r="AJ115"/>
      <c r="AK115"/>
      <c r="AL115"/>
      <c r="AM115"/>
      <c r="AN115"/>
      <c r="AO115"/>
      <c r="AP115"/>
      <c r="AQ115"/>
      <c r="AR115"/>
      <c r="AS115"/>
      <c r="AT115"/>
      <c r="AU115"/>
      <c r="AV115"/>
      <c r="AW115"/>
      <c r="AX115"/>
      <c r="AY115"/>
      <c r="AZ115"/>
      <c r="BA115"/>
      <c r="BB115"/>
      <c r="BC115"/>
      <c r="BD115"/>
      <c r="BE115"/>
      <c r="BF115"/>
      <c r="BG115"/>
      <c r="BH115"/>
      <c r="BI115"/>
      <c r="BJ115"/>
    </row>
    <row r="116" spans="1:62" ht="12.6" customHeight="1" outlineLevel="1">
      <c r="A116" s="2163"/>
      <c r="B116" s="2163"/>
      <c r="C116" s="2163"/>
      <c r="D116" s="2163"/>
      <c r="E116" s="2163"/>
      <c r="F116" s="2090" t="s">
        <v>3006</v>
      </c>
      <c r="G116" s="2090"/>
      <c r="H116" s="2090" t="s">
        <v>3006</v>
      </c>
      <c r="I116" s="2090"/>
      <c r="J116" s="2090"/>
      <c r="K116" s="2090" t="s">
        <v>4600</v>
      </c>
      <c r="L116" s="2090"/>
      <c r="M116" s="2090"/>
      <c r="N116" s="2090" t="s">
        <v>1267</v>
      </c>
      <c r="O116" s="2090"/>
      <c r="P116" s="2090"/>
      <c r="Q116" s="2090" t="s">
        <v>1268</v>
      </c>
      <c r="R116" s="2090"/>
      <c r="S116" s="2090"/>
      <c r="T116" s="2090"/>
      <c r="U116" s="2090" t="s">
        <v>1269</v>
      </c>
      <c r="V116" s="2349"/>
      <c r="W116" s="2349"/>
      <c r="X116" s="2349"/>
      <c r="Y116" s="1437"/>
      <c r="Z116" s="1437"/>
      <c r="AA116" s="1437"/>
      <c r="AB116" s="1437"/>
      <c r="AC116" s="1437"/>
      <c r="AD116" s="1437"/>
      <c r="AG116"/>
      <c r="AH116"/>
      <c r="AI116"/>
      <c r="AJ116"/>
      <c r="AK116"/>
      <c r="AL116"/>
      <c r="AM116"/>
      <c r="AN116"/>
      <c r="AO116"/>
      <c r="AP116"/>
      <c r="AQ116"/>
      <c r="AR116"/>
      <c r="AS116"/>
      <c r="AT116"/>
      <c r="AU116"/>
      <c r="AV116"/>
      <c r="AW116"/>
      <c r="AX116"/>
      <c r="AY116"/>
      <c r="AZ116"/>
      <c r="BA116"/>
      <c r="BB116"/>
      <c r="BC116"/>
      <c r="BD116"/>
      <c r="BE116"/>
      <c r="BF116"/>
      <c r="BG116"/>
      <c r="BH116"/>
      <c r="BI116"/>
      <c r="BJ116"/>
    </row>
    <row r="117" spans="1:62" ht="12.6" customHeight="1" outlineLevel="1">
      <c r="A117" s="2161" t="str">
        <f>IF((A114=" ")," ",IF(Magick!B51="Y","Simple",IF(Magick!B52="Y","Lesser",IF(Magick!B53="Y","Greater","None"))))</f>
        <v>None</v>
      </c>
      <c r="B117" s="2161"/>
      <c r="C117" s="2161"/>
      <c r="D117" s="2161"/>
      <c r="E117" s="2161"/>
      <c r="F117" s="1324" t="str">
        <f>IF((A114=" ")," ",IF(A117="Greater",Magick!C53,IF(A117="Lesser",Magick!C52, IF(A117="Simple",Magick!C51," "))))</f>
        <v xml:space="preserve"> </v>
      </c>
      <c r="G117" s="1324"/>
      <c r="H117" s="1324" t="str">
        <f>IF((A114=" ")," ",IF(A117="Greater",Magick!D53,IF(A117="Lesser",Magick!D52, IF(A117="Simple",Magick!D51," "))))</f>
        <v xml:space="preserve"> </v>
      </c>
      <c r="I117" s="1324"/>
      <c r="J117" s="1324"/>
      <c r="K117" s="2148" t="str">
        <f>IF((A114=" ")," ",IF(A117="Greater",Magick!E53,IF(A117="Lesser",Magick!E52, IF(A117="Simple",Magick!E51," "))))</f>
        <v xml:space="preserve"> </v>
      </c>
      <c r="L117" s="2148"/>
      <c r="M117" s="2148"/>
      <c r="N117" s="2148" t="str">
        <f>IF((A114=" ")," ",IF(A117="Greater",Magick!F53,IF(A117="Lesser",Magick!F52, IF(A117="Simple",Magick!F51," "))))</f>
        <v xml:space="preserve"> </v>
      </c>
      <c r="O117" s="2148"/>
      <c r="P117" s="2148"/>
      <c r="Q117" s="2148" t="str">
        <f>IF((A114=" ")," ",IF(A117="Greater",Magick!G53,IF(A117="Lesser",Magick!G52, IF(A117="Simple",Magick!G51," "))))</f>
        <v xml:space="preserve"> </v>
      </c>
      <c r="R117" s="2148"/>
      <c r="S117" s="2148"/>
      <c r="T117" s="2148"/>
      <c r="U117" s="2093" t="str">
        <f>IF((A114=" ")," ",IF(A117="Greater",Magick!H53,IF(A117="Lesser",Magick!H52, IF(A117="Simple",Magick!H51," "))))</f>
        <v xml:space="preserve"> </v>
      </c>
      <c r="V117" s="2351"/>
      <c r="W117" s="1413" t="str">
        <f>IF((A114=" ")," ",IF(A117="Greater",Magick!I53,IF(A117="Lesser",Magick!I52, IF(A117="Simple",Magick!I51," "))))</f>
        <v xml:space="preserve"> </v>
      </c>
      <c r="X117" s="1770"/>
      <c r="Y117" s="1331" t="str">
        <f>IF(($A$114="None")," ",IF(Magick!L6="N", "Mage","Priestly Mage"))</f>
        <v xml:space="preserve"> </v>
      </c>
      <c r="Z117" s="1393"/>
      <c r="AA117" s="1393"/>
      <c r="AB117" s="1769"/>
      <c r="AC117" s="1769"/>
      <c r="AD117" s="1770"/>
      <c r="AG117"/>
      <c r="AH117"/>
      <c r="AI117"/>
      <c r="AJ117"/>
      <c r="AK117"/>
      <c r="AL117"/>
      <c r="AM117"/>
      <c r="AN117"/>
      <c r="AO117"/>
      <c r="AP117"/>
      <c r="AQ117"/>
      <c r="AR117"/>
      <c r="AS117"/>
      <c r="AT117"/>
      <c r="AU117"/>
      <c r="AV117"/>
      <c r="AW117"/>
      <c r="AX117"/>
      <c r="AY117"/>
      <c r="AZ117"/>
      <c r="BA117"/>
      <c r="BB117"/>
      <c r="BC117"/>
      <c r="BD117"/>
      <c r="BE117"/>
      <c r="BF117"/>
      <c r="BG117"/>
      <c r="BH117"/>
      <c r="BI117"/>
      <c r="BJ117"/>
    </row>
    <row r="118" spans="1:62" ht="12.6" customHeight="1" outlineLevel="1">
      <c r="A118" s="2155" t="s">
        <v>1270</v>
      </c>
      <c r="B118" s="2155"/>
      <c r="C118" s="2155"/>
      <c r="D118" s="2155"/>
      <c r="E118" s="2155"/>
      <c r="F118" s="2155"/>
      <c r="G118" s="2155"/>
      <c r="H118" s="2164" t="s">
        <v>2821</v>
      </c>
      <c r="I118" s="2165"/>
      <c r="J118" s="2157" t="s">
        <v>941</v>
      </c>
      <c r="K118" s="2157"/>
      <c r="L118" s="2149" t="s">
        <v>3005</v>
      </c>
      <c r="M118" s="2150"/>
      <c r="N118" s="2151"/>
      <c r="O118" s="2352" t="s">
        <v>981</v>
      </c>
      <c r="P118" s="1539"/>
      <c r="Q118" s="2110" t="s">
        <v>4765</v>
      </c>
      <c r="R118" s="2110"/>
      <c r="S118" s="2352" t="s">
        <v>743</v>
      </c>
      <c r="T118" s="2353"/>
      <c r="U118" s="2354"/>
      <c r="V118" s="2110" t="s">
        <v>982</v>
      </c>
      <c r="W118" s="2345"/>
      <c r="X118" s="2110" t="s">
        <v>983</v>
      </c>
      <c r="Y118" s="2345"/>
      <c r="Z118" s="2110" t="s">
        <v>984</v>
      </c>
      <c r="AA118" s="2345"/>
      <c r="AB118" s="2110" t="s">
        <v>1271</v>
      </c>
      <c r="AC118" s="1477"/>
      <c r="AD118" s="2347" t="s">
        <v>1599</v>
      </c>
      <c r="AE118"/>
      <c r="AF118" s="574"/>
      <c r="AG118"/>
      <c r="AH118"/>
      <c r="AI118"/>
      <c r="AJ118"/>
      <c r="AK118"/>
      <c r="AL118"/>
      <c r="AM118"/>
      <c r="AN118"/>
      <c r="AO118"/>
      <c r="AP118"/>
      <c r="AQ118"/>
      <c r="AR118"/>
      <c r="AS118"/>
      <c r="AT118"/>
      <c r="AU118"/>
      <c r="AV118"/>
      <c r="AW118"/>
      <c r="AX118"/>
      <c r="AY118"/>
      <c r="AZ118"/>
      <c r="BA118"/>
      <c r="BB118"/>
      <c r="BC118"/>
      <c r="BD118"/>
      <c r="BE118"/>
      <c r="BF118"/>
      <c r="BG118"/>
      <c r="BH118"/>
      <c r="BI118"/>
      <c r="BJ118"/>
    </row>
    <row r="119" spans="1:62" ht="12.6" customHeight="1" outlineLevel="1">
      <c r="A119" s="2156"/>
      <c r="B119" s="2156"/>
      <c r="C119" s="2156"/>
      <c r="D119" s="2156"/>
      <c r="E119" s="2156"/>
      <c r="F119" s="2156"/>
      <c r="G119" s="2156"/>
      <c r="H119" s="2166"/>
      <c r="I119" s="2167"/>
      <c r="J119" s="2158"/>
      <c r="K119" s="2158"/>
      <c r="L119" s="2152"/>
      <c r="M119" s="2153"/>
      <c r="N119" s="2154"/>
      <c r="O119" s="1540"/>
      <c r="P119" s="1542"/>
      <c r="Q119" s="2345"/>
      <c r="R119" s="2345"/>
      <c r="S119" s="1718"/>
      <c r="T119" s="2355"/>
      <c r="U119" s="1719"/>
      <c r="V119" s="2345"/>
      <c r="W119" s="2345"/>
      <c r="X119" s="2345"/>
      <c r="Y119" s="2345"/>
      <c r="Z119" s="2345"/>
      <c r="AA119" s="2345"/>
      <c r="AB119" s="1477"/>
      <c r="AC119" s="1477"/>
      <c r="AD119" s="2348"/>
      <c r="AE119"/>
      <c r="AF119" s="574"/>
      <c r="AG119"/>
      <c r="AH119"/>
      <c r="AI119"/>
      <c r="AJ119"/>
      <c r="AK119"/>
      <c r="AL119"/>
      <c r="AM119"/>
      <c r="AN119"/>
      <c r="AO119"/>
      <c r="AP119"/>
      <c r="AQ119"/>
      <c r="AR119"/>
      <c r="AS119"/>
      <c r="AT119"/>
      <c r="AU119"/>
      <c r="AV119"/>
      <c r="AW119"/>
      <c r="AX119"/>
      <c r="AY119"/>
      <c r="AZ119"/>
      <c r="BA119"/>
      <c r="BB119"/>
      <c r="BC119"/>
      <c r="BD119"/>
      <c r="BE119"/>
      <c r="BF119"/>
      <c r="BG119"/>
      <c r="BH119"/>
      <c r="BI119"/>
      <c r="BJ119"/>
    </row>
    <row r="120" spans="1:62" ht="12.6" customHeight="1" outlineLevel="1">
      <c r="A120" s="2160" t="s">
        <v>3171</v>
      </c>
      <c r="B120" s="2160"/>
      <c r="C120" s="2160"/>
      <c r="D120" s="2160"/>
      <c r="E120" s="2160"/>
      <c r="F120" s="2160"/>
      <c r="G120" s="2160"/>
      <c r="H120" s="1647" t="str">
        <f>IF(($A$114="None")," ",IF(ISNA(magestuff!A213),"N","Y") )</f>
        <v xml:space="preserve"> </v>
      </c>
      <c r="I120" s="2026"/>
      <c r="J120" s="2140" t="str">
        <f>IF(($A$114="None")," ",Magick!E66)</f>
        <v xml:space="preserve"> </v>
      </c>
      <c r="K120" s="1315"/>
      <c r="L120" s="2147" t="str">
        <f>IF(($A$114="None")," ",+Magick!B66)</f>
        <v xml:space="preserve"> </v>
      </c>
      <c r="M120" s="2143"/>
      <c r="N120" s="2092"/>
      <c r="O120" s="2159" t="str">
        <f>IF(L120&lt;&gt;" ",(VLOOKUP(L120,'System Lookups'!$J$55:$P$64,IF(Q120=" ",3,4)))," ")</f>
        <v xml:space="preserve"> </v>
      </c>
      <c r="P120" s="2092"/>
      <c r="Q120" s="1873" t="str">
        <f>IF(($A$114="None")," ",+Magick!D66)</f>
        <v xml:space="preserve"> </v>
      </c>
      <c r="R120" s="1874"/>
      <c r="S120" s="1324" t="str">
        <f>IF(($A$114="None")," ",+Magick!F66)</f>
        <v xml:space="preserve"> </v>
      </c>
      <c r="T120" s="1869"/>
      <c r="U120" s="1869"/>
      <c r="V120" s="1324" t="str">
        <f>IF(($A$114="None")," ",+Magick!H66)</f>
        <v xml:space="preserve"> </v>
      </c>
      <c r="W120" s="1874"/>
      <c r="X120" s="1324" t="str">
        <f t="shared" ref="X120:X135" si="0">IF(($A$114="None")," ",V120+O120)</f>
        <v xml:space="preserve"> </v>
      </c>
      <c r="Y120" s="1869"/>
      <c r="Z120" s="1324" t="str">
        <f>IF(($A$114="None")," ",Magick!K66)</f>
        <v xml:space="preserve"> </v>
      </c>
      <c r="AA120" s="1869"/>
      <c r="AB120" s="1324" t="str">
        <f>IF(($A$114="None")," ",IF(ISNA(magestuff!A193)," ",magestuff!A193) )</f>
        <v xml:space="preserve"> </v>
      </c>
      <c r="AC120" s="1874"/>
      <c r="AD120" s="461" t="str">
        <f>IF(($A$114="None")," ",IF(ISNA(magestuff!A213)," ",magestuff!A213) )</f>
        <v xml:space="preserve"> </v>
      </c>
      <c r="AE120"/>
      <c r="AF120" s="574"/>
      <c r="AG120"/>
      <c r="AH120"/>
      <c r="AI120"/>
      <c r="AJ120"/>
      <c r="AK120"/>
      <c r="AL120"/>
      <c r="AM120"/>
      <c r="AN120"/>
      <c r="AO120"/>
      <c r="AP120"/>
      <c r="AQ120"/>
      <c r="AR120"/>
      <c r="AS120"/>
      <c r="AT120"/>
      <c r="AU120"/>
      <c r="AV120"/>
      <c r="AW120"/>
      <c r="AX120"/>
      <c r="AY120"/>
      <c r="AZ120"/>
      <c r="BA120"/>
      <c r="BB120"/>
      <c r="BC120"/>
      <c r="BD120"/>
      <c r="BE120"/>
      <c r="BF120"/>
      <c r="BG120"/>
      <c r="BH120"/>
      <c r="BI120"/>
      <c r="BJ120"/>
    </row>
    <row r="121" spans="1:62" ht="12.6" customHeight="1" outlineLevel="1">
      <c r="A121" s="2127" t="s">
        <v>3172</v>
      </c>
      <c r="B121" s="2127"/>
      <c r="C121" s="2127"/>
      <c r="D121" s="2127"/>
      <c r="E121" s="2127"/>
      <c r="F121" s="2127"/>
      <c r="G121" s="2127"/>
      <c r="H121" s="1425" t="str">
        <f>IF(($A$114="None")," ",IF(ISNA(magestuff!A214),"N","Y") )</f>
        <v xml:space="preserve"> </v>
      </c>
      <c r="I121" s="2146"/>
      <c r="J121" s="2141" t="str">
        <f>IF(($A$114="None")," ",Magick!E67)</f>
        <v xml:space="preserve"> </v>
      </c>
      <c r="K121" s="1315"/>
      <c r="L121" s="2142" t="str">
        <f>IF(($A$114="None")," ",+Magick!B67)</f>
        <v xml:space="preserve"> </v>
      </c>
      <c r="M121" s="2143"/>
      <c r="N121" s="2092"/>
      <c r="O121" s="2091" t="str">
        <f>IF(L121&lt;&gt;" ",(VLOOKUP(L121,'System Lookups'!$J$55:$P$64,IF(Q121=" ",3,4)))," ")</f>
        <v xml:space="preserve"> </v>
      </c>
      <c r="P121" s="2092"/>
      <c r="Q121" s="2095" t="str">
        <f>IF(($A$114="None")," ",+Magick!D67)</f>
        <v xml:space="preserve"> </v>
      </c>
      <c r="R121" s="1874"/>
      <c r="S121" s="1326" t="str">
        <f>IF(($A$114="None")," ",+Magick!F67)</f>
        <v xml:space="preserve"> </v>
      </c>
      <c r="T121" s="1869"/>
      <c r="U121" s="1869"/>
      <c r="V121" s="1326" t="str">
        <f>IF(($A$114="None")," ",+Magick!H67)</f>
        <v xml:space="preserve"> </v>
      </c>
      <c r="W121" s="2346"/>
      <c r="X121" s="1326" t="str">
        <f t="shared" si="0"/>
        <v xml:space="preserve"> </v>
      </c>
      <c r="Y121" s="1436"/>
      <c r="Z121" s="1326" t="str">
        <f>IF(($A$114="None")," ",Magick!K67)</f>
        <v xml:space="preserve"> </v>
      </c>
      <c r="AA121" s="1436"/>
      <c r="AB121" s="1326" t="str">
        <f>IF(($A$114="None")," ",IF(ISNA(magestuff!A194)," ",magestuff!A194) )</f>
        <v xml:space="preserve"> </v>
      </c>
      <c r="AC121" s="1436"/>
      <c r="AD121" s="462" t="str">
        <f>IF(($A$114="None")," ",IF(ISNA(magestuff!A214)," ",magestuff!A214) )</f>
        <v xml:space="preserve"> </v>
      </c>
      <c r="AE121"/>
      <c r="AF121" s="574"/>
      <c r="AI121"/>
      <c r="AJ121"/>
      <c r="AK121"/>
      <c r="AS121"/>
      <c r="AT121"/>
    </row>
    <row r="122" spans="1:62" ht="12.6" customHeight="1" outlineLevel="1">
      <c r="A122" s="2160" t="s">
        <v>1095</v>
      </c>
      <c r="B122" s="2160"/>
      <c r="C122" s="2160"/>
      <c r="D122" s="2160"/>
      <c r="E122" s="2160"/>
      <c r="F122" s="2160"/>
      <c r="G122" s="2160"/>
      <c r="H122" s="1647" t="str">
        <f>IF(($A$114="None")," ",IF(ISNA(magestuff!A215),"N","Y") )</f>
        <v xml:space="preserve"> </v>
      </c>
      <c r="I122" s="2026"/>
      <c r="J122" s="2140" t="str">
        <f>IF(($A$114="None")," ",Magick!E68)</f>
        <v xml:space="preserve"> </v>
      </c>
      <c r="K122" s="1315"/>
      <c r="L122" s="2147" t="str">
        <f>IF(($A$114="None")," ",+Magick!B68)</f>
        <v xml:space="preserve"> </v>
      </c>
      <c r="M122" s="2143"/>
      <c r="N122" s="2092"/>
      <c r="O122" s="2159" t="str">
        <f>IF(L122&lt;&gt;" ",(VLOOKUP(L122,'System Lookups'!$J$55:$P$64,IF(Q122=" ",3,4)))," ")</f>
        <v xml:space="preserve"> </v>
      </c>
      <c r="P122" s="2092"/>
      <c r="Q122" s="1873" t="str">
        <f>IF(($A$114="None")," ",+Magick!D68)</f>
        <v xml:space="preserve"> </v>
      </c>
      <c r="R122" s="1874"/>
      <c r="S122" s="1324" t="str">
        <f>IF(($A$114="None")," ",+Magick!F68)</f>
        <v xml:space="preserve"> </v>
      </c>
      <c r="T122" s="1869"/>
      <c r="U122" s="1869"/>
      <c r="V122" s="1324" t="str">
        <f>IF(($A$114="None")," ",+Magick!H68)</f>
        <v xml:space="preserve"> </v>
      </c>
      <c r="W122" s="1874"/>
      <c r="X122" s="1324" t="str">
        <f t="shared" si="0"/>
        <v xml:space="preserve"> </v>
      </c>
      <c r="Y122" s="1869"/>
      <c r="Z122" s="1324" t="str">
        <f>IF(($A$114="None")," ",Magick!K68)</f>
        <v xml:space="preserve"> </v>
      </c>
      <c r="AA122" s="1869"/>
      <c r="AB122" s="1324" t="str">
        <f>IF(($A$114="None")," ",IF(ISNA(magestuff!A195)," ",magestuff!A195) )</f>
        <v xml:space="preserve"> </v>
      </c>
      <c r="AC122" s="1869"/>
      <c r="AD122" s="461" t="str">
        <f>IF(($A$114="None")," ",IF(ISNA(magestuff!A215)," ",magestuff!A215) )</f>
        <v xml:space="preserve"> </v>
      </c>
      <c r="AE122"/>
      <c r="AF122" s="574"/>
      <c r="AI122"/>
      <c r="AJ122"/>
      <c r="AK122"/>
      <c r="AS122"/>
      <c r="AT122"/>
    </row>
    <row r="123" spans="1:62" ht="12.6" customHeight="1" outlineLevel="1">
      <c r="A123" s="2127" t="s">
        <v>1096</v>
      </c>
      <c r="B123" s="2127"/>
      <c r="C123" s="2127"/>
      <c r="D123" s="2127"/>
      <c r="E123" s="2127"/>
      <c r="F123" s="2127"/>
      <c r="G123" s="2127"/>
      <c r="H123" s="1425" t="str">
        <f>IF(($A$114="None")," ",IF(ISNA(magestuff!A216),"N","Y") )</f>
        <v xml:space="preserve"> </v>
      </c>
      <c r="I123" s="2146"/>
      <c r="J123" s="2141" t="str">
        <f>IF(($A$114="None")," ",Magick!E69)</f>
        <v xml:space="preserve"> </v>
      </c>
      <c r="K123" s="1315"/>
      <c r="L123" s="2142" t="str">
        <f>IF(($A$114="None")," ",+Magick!B69)</f>
        <v xml:space="preserve"> </v>
      </c>
      <c r="M123" s="2143"/>
      <c r="N123" s="2092"/>
      <c r="O123" s="2091" t="str">
        <f>IF(L123&lt;&gt;" ",(VLOOKUP(L123,'System Lookups'!$J$55:$P$64,IF(Q123=" ",3,4)))," ")</f>
        <v xml:space="preserve"> </v>
      </c>
      <c r="P123" s="2092"/>
      <c r="Q123" s="2095" t="str">
        <f>IF(($A$114="None")," ",+Magick!D69)</f>
        <v xml:space="preserve"> </v>
      </c>
      <c r="R123" s="1874"/>
      <c r="S123" s="1326" t="str">
        <f>IF(($A$114="None")," ",+Magick!F69)</f>
        <v xml:space="preserve"> </v>
      </c>
      <c r="T123" s="1869"/>
      <c r="U123" s="1869"/>
      <c r="V123" s="1326" t="str">
        <f>IF(($A$114="None")," ",+Magick!H69)</f>
        <v xml:space="preserve"> </v>
      </c>
      <c r="W123" s="2346"/>
      <c r="X123" s="1326" t="str">
        <f t="shared" si="0"/>
        <v xml:space="preserve"> </v>
      </c>
      <c r="Y123" s="1436"/>
      <c r="Z123" s="1326" t="str">
        <f>IF(($A$114="None")," ",Magick!K69)</f>
        <v xml:space="preserve"> </v>
      </c>
      <c r="AA123" s="1436"/>
      <c r="AB123" s="1326" t="str">
        <f>IF(($A$114="None")," ",IF(ISNA(magestuff!A196)," ",magestuff!A196) )</f>
        <v xml:space="preserve"> </v>
      </c>
      <c r="AC123" s="1436"/>
      <c r="AD123" s="462" t="str">
        <f>IF(($A$114="None")," ",IF(ISNA(magestuff!A216)," ",magestuff!A216) )</f>
        <v xml:space="preserve"> </v>
      </c>
      <c r="AE123"/>
      <c r="AF123" s="574"/>
      <c r="AI123"/>
      <c r="AJ123"/>
      <c r="AK123"/>
      <c r="AS123"/>
      <c r="AT123"/>
    </row>
    <row r="124" spans="1:62" ht="12.6" customHeight="1" outlineLevel="1">
      <c r="A124" s="2145" t="s">
        <v>3067</v>
      </c>
      <c r="B124" s="2145"/>
      <c r="C124" s="2145"/>
      <c r="D124" s="2145"/>
      <c r="E124" s="2145"/>
      <c r="F124" s="2145"/>
      <c r="G124" s="2145"/>
      <c r="H124" s="1647" t="str">
        <f>IF(($A$114="None")," ",IF(ISNA(magestuff!A217),"N","Y") )</f>
        <v xml:space="preserve"> </v>
      </c>
      <c r="I124" s="2026"/>
      <c r="J124" s="2140" t="str">
        <f>IF(($A$114="None")," ",Magick!E65)</f>
        <v xml:space="preserve"> </v>
      </c>
      <c r="K124" s="1315"/>
      <c r="L124" s="2147" t="str">
        <f>IF(($A$114="None")," ",+Magick!B65)</f>
        <v xml:space="preserve"> </v>
      </c>
      <c r="M124" s="2143"/>
      <c r="N124" s="2092"/>
      <c r="O124" s="2159" t="str">
        <f>IF(L124&lt;&gt;" ",(VLOOKUP(L124,'System Lookups'!$J$55:$P$64,IF(Q124=" ",3,4)))," ")</f>
        <v xml:space="preserve"> </v>
      </c>
      <c r="P124" s="2092"/>
      <c r="Q124" s="1873" t="str">
        <f>IF(($A$114="None")," ",+Magick!D65)</f>
        <v xml:space="preserve"> </v>
      </c>
      <c r="R124" s="1874"/>
      <c r="S124" s="1324" t="str">
        <f>IF(($A$114="None")," ",+Magick!F65)</f>
        <v xml:space="preserve"> </v>
      </c>
      <c r="T124" s="1869"/>
      <c r="U124" s="1869"/>
      <c r="V124" s="1324" t="str">
        <f>IF(($A$114="None")," ",+Magick!H65)</f>
        <v xml:space="preserve"> </v>
      </c>
      <c r="W124" s="1874"/>
      <c r="X124" s="1324" t="str">
        <f t="shared" si="0"/>
        <v xml:space="preserve"> </v>
      </c>
      <c r="Y124" s="1869"/>
      <c r="Z124" s="1324" t="str">
        <f>IF(($A$114="None")," ",Magick!K65)</f>
        <v xml:space="preserve"> </v>
      </c>
      <c r="AA124" s="1869"/>
      <c r="AB124" s="1324" t="str">
        <f>IF(($A$114="None")," ",IF(ISNA(magestuff!A197)," ",magestuff!A197) )</f>
        <v xml:space="preserve"> </v>
      </c>
      <c r="AC124" s="1869"/>
      <c r="AD124" s="461" t="str">
        <f>IF(($A$114="None")," ",IF(ISNA(magestuff!A217)," ",magestuff!A217) )</f>
        <v xml:space="preserve"> </v>
      </c>
      <c r="AE124"/>
      <c r="AF124" s="574"/>
      <c r="AI124"/>
      <c r="AJ124"/>
      <c r="AK124"/>
      <c r="AS124"/>
      <c r="AT124"/>
    </row>
    <row r="125" spans="1:62" ht="12.6" customHeight="1" outlineLevel="1">
      <c r="A125" s="2127" t="s">
        <v>776</v>
      </c>
      <c r="B125" s="2127"/>
      <c r="C125" s="2127"/>
      <c r="D125" s="2127"/>
      <c r="E125" s="2127"/>
      <c r="F125" s="2127"/>
      <c r="G125" s="2127"/>
      <c r="H125" s="1425" t="str">
        <f>IF(($A$114="None")," ",IF(ISNA(magestuff!A218),"N","Y") )</f>
        <v xml:space="preserve"> </v>
      </c>
      <c r="I125" s="2146"/>
      <c r="J125" s="2141" t="str">
        <f>IF(($A$114="None")," ",Magick!E70)</f>
        <v xml:space="preserve"> </v>
      </c>
      <c r="K125" s="1315"/>
      <c r="L125" s="2142" t="str">
        <f>IF(($A$114="None")," ",+Magick!B70)</f>
        <v xml:space="preserve"> </v>
      </c>
      <c r="M125" s="2143"/>
      <c r="N125" s="2092"/>
      <c r="O125" s="2091" t="str">
        <f>IF(L125&lt;&gt;" ",(VLOOKUP(L125,'System Lookups'!$J$55:$P$64,IF(Q125=" ",3,4)))," ")</f>
        <v xml:space="preserve"> </v>
      </c>
      <c r="P125" s="2092"/>
      <c r="Q125" s="2095" t="str">
        <f>IF(($A$114="None")," ",+Magick!D70)</f>
        <v xml:space="preserve"> </v>
      </c>
      <c r="R125" s="1874"/>
      <c r="S125" s="1326" t="str">
        <f>IF(($A$114="None")," ",+Magick!F70)</f>
        <v xml:space="preserve"> </v>
      </c>
      <c r="T125" s="1869"/>
      <c r="U125" s="1869"/>
      <c r="V125" s="1326" t="str">
        <f>IF(($A$114="None")," ",+Magick!H70)</f>
        <v xml:space="preserve"> </v>
      </c>
      <c r="W125" s="1436"/>
      <c r="X125" s="1326" t="str">
        <f t="shared" si="0"/>
        <v xml:space="preserve"> </v>
      </c>
      <c r="Y125" s="1436"/>
      <c r="Z125" s="1326" t="str">
        <f>IF(($A$114="None")," ",Magick!K70)</f>
        <v xml:space="preserve"> </v>
      </c>
      <c r="AA125" s="1436"/>
      <c r="AB125" s="1326" t="str">
        <f>IF(($A$114="None")," ",IF(ISNA(magestuff!A198)," ",magestuff!A198) )</f>
        <v xml:space="preserve"> </v>
      </c>
      <c r="AC125" s="1436"/>
      <c r="AD125" s="462" t="str">
        <f>IF(($A$114="None")," ",IF(ISNA(magestuff!A218)," ",magestuff!A218) )</f>
        <v xml:space="preserve"> </v>
      </c>
      <c r="AE125"/>
      <c r="AF125" s="574"/>
      <c r="AI125"/>
      <c r="AJ125"/>
      <c r="AK125"/>
      <c r="AL125"/>
      <c r="AM125"/>
      <c r="AN125"/>
      <c r="AO125"/>
      <c r="AP125"/>
      <c r="AQ125"/>
      <c r="AS125"/>
      <c r="AT125"/>
    </row>
    <row r="126" spans="1:62" ht="12.6" customHeight="1" outlineLevel="1">
      <c r="A126" s="2160" t="s">
        <v>3068</v>
      </c>
      <c r="B126" s="2160"/>
      <c r="C126" s="2160"/>
      <c r="D126" s="2160"/>
      <c r="E126" s="2160"/>
      <c r="F126" s="2160"/>
      <c r="G126" s="2160"/>
      <c r="H126" s="1647" t="str">
        <f>IF(($A$114="None")," ",IF(ISNA(magestuff!A219),"N","Y") )</f>
        <v xml:space="preserve"> </v>
      </c>
      <c r="I126" s="2026"/>
      <c r="J126" s="2140" t="str">
        <f>IF(($A$114="None")," ",Magick!E71)</f>
        <v xml:space="preserve"> </v>
      </c>
      <c r="K126" s="1315"/>
      <c r="L126" s="2147" t="str">
        <f>IF(($A$114="None")," ",+Magick!B71)</f>
        <v xml:space="preserve"> </v>
      </c>
      <c r="M126" s="2143"/>
      <c r="N126" s="2092"/>
      <c r="O126" s="2159" t="str">
        <f>IF(L126&lt;&gt;" ",(VLOOKUP(L126,'System Lookups'!$J$55:$P$64,IF(Q126=" ",3,4)))," ")</f>
        <v xml:space="preserve"> </v>
      </c>
      <c r="P126" s="2092"/>
      <c r="Q126" s="1873" t="str">
        <f>IF(($A$114="None")," ",+Magick!D71)</f>
        <v xml:space="preserve"> </v>
      </c>
      <c r="R126" s="1874"/>
      <c r="S126" s="1324" t="str">
        <f>IF(($A$114="None")," ",+Magick!F71)</f>
        <v xml:space="preserve"> </v>
      </c>
      <c r="T126" s="1869"/>
      <c r="U126" s="1869"/>
      <c r="V126" s="1324" t="str">
        <f>IF(($A$114="None")," ",+Magick!H71)</f>
        <v xml:space="preserve"> </v>
      </c>
      <c r="W126" s="1869"/>
      <c r="X126" s="1324" t="str">
        <f t="shared" si="0"/>
        <v xml:space="preserve"> </v>
      </c>
      <c r="Y126" s="1869"/>
      <c r="Z126" s="1324" t="str">
        <f>IF(($A$114="None")," ",Magick!K71)</f>
        <v xml:space="preserve"> </v>
      </c>
      <c r="AA126" s="1869"/>
      <c r="AB126" s="1324" t="str">
        <f>IF(($A$114="None")," ",IF(ISNA(magestuff!A199)," ",magestuff!A199) )</f>
        <v xml:space="preserve"> </v>
      </c>
      <c r="AC126" s="1869"/>
      <c r="AD126" s="461" t="str">
        <f>IF(($A$114="None")," ",IF(ISNA(magestuff!A219)," ",magestuff!A219) )</f>
        <v xml:space="preserve"> </v>
      </c>
      <c r="AE126"/>
      <c r="AF126" s="574"/>
      <c r="AI126"/>
      <c r="AJ126"/>
      <c r="AK126"/>
      <c r="AL126"/>
      <c r="AM126"/>
      <c r="AN126"/>
      <c r="AO126"/>
      <c r="AP126"/>
      <c r="AQ126"/>
      <c r="AS126"/>
      <c r="AT126"/>
    </row>
    <row r="127" spans="1:62" ht="12.6" customHeight="1" outlineLevel="1">
      <c r="A127" s="2127" t="s">
        <v>3069</v>
      </c>
      <c r="B127" s="2127"/>
      <c r="C127" s="2127"/>
      <c r="D127" s="2127"/>
      <c r="E127" s="2127"/>
      <c r="F127" s="2127"/>
      <c r="G127" s="2127"/>
      <c r="H127" s="1425" t="str">
        <f>IF(($A$114="None")," ",IF(ISNA(magestuff!A220),"N","Y") )</f>
        <v xml:space="preserve"> </v>
      </c>
      <c r="I127" s="2146"/>
      <c r="J127" s="2141" t="str">
        <f>IF(($A$114="None")," ",Magick!E72)</f>
        <v xml:space="preserve"> </v>
      </c>
      <c r="K127" s="1315"/>
      <c r="L127" s="2142" t="str">
        <f>IF(($A$114="None")," ",+Magick!B72)</f>
        <v xml:space="preserve"> </v>
      </c>
      <c r="M127" s="2143"/>
      <c r="N127" s="2092"/>
      <c r="O127" s="2091" t="str">
        <f>IF(L127&lt;&gt;" ",(VLOOKUP(L127,'System Lookups'!$J$55:$P$64,IF(Q127=" ",3,4)))," ")</f>
        <v xml:space="preserve"> </v>
      </c>
      <c r="P127" s="2092"/>
      <c r="Q127" s="2095" t="str">
        <f>IF(($A$114="None")," ",+Magick!D72)</f>
        <v xml:space="preserve"> </v>
      </c>
      <c r="R127" s="1874"/>
      <c r="S127" s="1326" t="str">
        <f>IF(($A$114="None")," ",+Magick!F72)</f>
        <v xml:space="preserve"> </v>
      </c>
      <c r="T127" s="1869"/>
      <c r="U127" s="1869"/>
      <c r="V127" s="1326" t="str">
        <f>IF(($A$114="None")," ",+Magick!H72)</f>
        <v xml:space="preserve"> </v>
      </c>
      <c r="W127" s="1436"/>
      <c r="X127" s="1326" t="str">
        <f t="shared" si="0"/>
        <v xml:space="preserve"> </v>
      </c>
      <c r="Y127" s="1436"/>
      <c r="Z127" s="1326" t="str">
        <f>IF(($A$114="None")," ",Magick!K72)</f>
        <v xml:space="preserve"> </v>
      </c>
      <c r="AA127" s="1436"/>
      <c r="AB127" s="1326" t="str">
        <f>IF(($A$114="None")," ",IF(ISNA(magestuff!A200)," ",magestuff!A200) )</f>
        <v xml:space="preserve"> </v>
      </c>
      <c r="AC127" s="1436"/>
      <c r="AD127" s="462" t="str">
        <f>IF(($A$114="None")," ",IF(ISNA(magestuff!A220)," ",magestuff!A220) )</f>
        <v xml:space="preserve"> </v>
      </c>
      <c r="AE127"/>
      <c r="AF127" s="574"/>
      <c r="AI127"/>
      <c r="AJ127"/>
      <c r="AK127"/>
      <c r="AL127"/>
      <c r="AM127"/>
      <c r="AN127"/>
      <c r="AO127"/>
      <c r="AP127"/>
      <c r="AQ127"/>
      <c r="AS127"/>
      <c r="AT127"/>
    </row>
    <row r="128" spans="1:62" ht="12.6" customHeight="1" outlineLevel="1">
      <c r="A128" s="2145" t="s">
        <v>3055</v>
      </c>
      <c r="B128" s="2145"/>
      <c r="C128" s="2145"/>
      <c r="D128" s="2145"/>
      <c r="E128" s="2145"/>
      <c r="F128" s="2145"/>
      <c r="G128" s="2145"/>
      <c r="H128" s="1647" t="str">
        <f>IF(($A$114="None")," ",IF(ISNA(magestuff!A221),"N","Y") )</f>
        <v xml:space="preserve"> </v>
      </c>
      <c r="I128" s="2026"/>
      <c r="J128" s="2140" t="str">
        <f>IF(($A$114="None")," ",Magick!E73)</f>
        <v xml:space="preserve"> </v>
      </c>
      <c r="K128" s="1315"/>
      <c r="L128" s="2147" t="str">
        <f>IF(($A$114="None")," ",+Magick!B73)</f>
        <v xml:space="preserve"> </v>
      </c>
      <c r="M128" s="2143"/>
      <c r="N128" s="2092"/>
      <c r="O128" s="2159" t="str">
        <f>IF(L128&lt;&gt;" ",(VLOOKUP(L128,'System Lookups'!$J$55:$P$64,IF(Q128=" ",3,4)))," ")</f>
        <v xml:space="preserve"> </v>
      </c>
      <c r="P128" s="2092"/>
      <c r="Q128" s="1873" t="str">
        <f>IF(($A$114="None")," ",+Magick!D73)</f>
        <v xml:space="preserve"> </v>
      </c>
      <c r="R128" s="1874"/>
      <c r="S128" s="1324" t="str">
        <f>IF(($A$114="None")," ",+Magick!F73)</f>
        <v xml:space="preserve"> </v>
      </c>
      <c r="T128" s="1869"/>
      <c r="U128" s="1869"/>
      <c r="V128" s="1324" t="str">
        <f>IF(($A$114="None")," ",+Magick!H73)</f>
        <v xml:space="preserve"> </v>
      </c>
      <c r="W128" s="1869"/>
      <c r="X128" s="1324" t="str">
        <f t="shared" si="0"/>
        <v xml:space="preserve"> </v>
      </c>
      <c r="Y128" s="1869"/>
      <c r="Z128" s="1324" t="str">
        <f>IF(($A$114="None")," ",Magick!K73)</f>
        <v xml:space="preserve"> </v>
      </c>
      <c r="AA128" s="1869"/>
      <c r="AB128" s="1324" t="str">
        <f>IF(($A$114="None")," ",IF(ISNA(magestuff!A201)," ",magestuff!A201) )</f>
        <v xml:space="preserve"> </v>
      </c>
      <c r="AC128" s="1869"/>
      <c r="AD128" s="461" t="str">
        <f>IF(($A$114="None")," ",IF(ISNA(magestuff!A221)," ",magestuff!A221) )</f>
        <v xml:space="preserve"> </v>
      </c>
      <c r="AE128"/>
      <c r="AF128" s="574"/>
      <c r="AI128"/>
      <c r="AJ128"/>
      <c r="AK128"/>
      <c r="AL128"/>
      <c r="AM128"/>
      <c r="AN128"/>
      <c r="AO128"/>
      <c r="AP128"/>
      <c r="AQ128"/>
      <c r="AS128"/>
      <c r="AT128"/>
    </row>
    <row r="129" spans="1:46" ht="12.6" customHeight="1" outlineLevel="1">
      <c r="A129" s="2127" t="s">
        <v>3070</v>
      </c>
      <c r="B129" s="2127"/>
      <c r="C129" s="2127"/>
      <c r="D129" s="2127"/>
      <c r="E129" s="2127"/>
      <c r="F129" s="2127"/>
      <c r="G129" s="2127"/>
      <c r="H129" s="1425" t="str">
        <f>IF(($A$114="None")," ",IF(ISNA(magestuff!A222),"N","Y") )</f>
        <v xml:space="preserve"> </v>
      </c>
      <c r="I129" s="2146"/>
      <c r="J129" s="2141" t="str">
        <f>IF(($A$114="None")," ",Magick!E74)</f>
        <v xml:space="preserve"> </v>
      </c>
      <c r="K129" s="1315"/>
      <c r="L129" s="2142" t="str">
        <f>IF(($A$114="None")," ",+Magick!B74)</f>
        <v xml:space="preserve"> </v>
      </c>
      <c r="M129" s="2143"/>
      <c r="N129" s="2092"/>
      <c r="O129" s="2091" t="str">
        <f>IF(L129&lt;&gt;" ",(VLOOKUP(L129,'System Lookups'!$J$55:$P$64,IF(Q129=" ",3,4)))," ")</f>
        <v xml:space="preserve"> </v>
      </c>
      <c r="P129" s="2092"/>
      <c r="Q129" s="2095" t="str">
        <f>IF(($A$114="None")," ",+Magick!D74)</f>
        <v xml:space="preserve"> </v>
      </c>
      <c r="R129" s="1874"/>
      <c r="S129" s="1326" t="str">
        <f>IF(($A$114="None")," ",+Magick!F74)</f>
        <v xml:space="preserve"> </v>
      </c>
      <c r="T129" s="1869"/>
      <c r="U129" s="1869"/>
      <c r="V129" s="1326" t="str">
        <f>IF(($A$114="None")," ",+Magick!H74)</f>
        <v xml:space="preserve"> </v>
      </c>
      <c r="W129" s="1436"/>
      <c r="X129" s="1326" t="str">
        <f t="shared" si="0"/>
        <v xml:space="preserve"> </v>
      </c>
      <c r="Y129" s="1436"/>
      <c r="Z129" s="1326" t="str">
        <f>IF(($A$114="None")," ",Magick!K74)</f>
        <v xml:space="preserve"> </v>
      </c>
      <c r="AA129" s="1436"/>
      <c r="AB129" s="1326" t="str">
        <f>IF(($A$114="None")," ",IF(ISNA(magestuff!A202)," ",magestuff!A202) )</f>
        <v xml:space="preserve"> </v>
      </c>
      <c r="AC129" s="1436"/>
      <c r="AD129" s="462" t="str">
        <f>IF(($A$114="None")," ",IF(ISNA(magestuff!A222)," ",magestuff!A222) )</f>
        <v xml:space="preserve"> </v>
      </c>
      <c r="AE129"/>
      <c r="AF129" s="574"/>
      <c r="AI129"/>
      <c r="AJ129"/>
      <c r="AK129"/>
      <c r="AL129"/>
      <c r="AM129"/>
      <c r="AN129"/>
      <c r="AO129"/>
      <c r="AP129"/>
      <c r="AQ129"/>
      <c r="AS129"/>
      <c r="AT129"/>
    </row>
    <row r="130" spans="1:46" ht="12.6" customHeight="1" outlineLevel="1">
      <c r="A130" s="2145" t="s">
        <v>3071</v>
      </c>
      <c r="B130" s="2145"/>
      <c r="C130" s="2145"/>
      <c r="D130" s="2145"/>
      <c r="E130" s="2145"/>
      <c r="F130" s="2145"/>
      <c r="G130" s="2145"/>
      <c r="H130" s="1647" t="str">
        <f>IF(($A$114="None")," ",IF(ISNA(magestuff!A223),"N","Y") )</f>
        <v xml:space="preserve"> </v>
      </c>
      <c r="I130" s="2026"/>
      <c r="J130" s="2140" t="str">
        <f>IF(($A$114="None")," ",Magick!E75)</f>
        <v xml:space="preserve"> </v>
      </c>
      <c r="K130" s="1315"/>
      <c r="L130" s="2147" t="str">
        <f>IF(($A$114="None")," ",+Magick!B75)</f>
        <v xml:space="preserve"> </v>
      </c>
      <c r="M130" s="2143"/>
      <c r="N130" s="2092"/>
      <c r="O130" s="2159" t="str">
        <f>IF(L130&lt;&gt;" ",(VLOOKUP(L130,'System Lookups'!$J$55:$P$64,IF(Q130=" ",3,4)))," ")</f>
        <v xml:space="preserve"> </v>
      </c>
      <c r="P130" s="2092"/>
      <c r="Q130" s="1873" t="str">
        <f>IF(($A$114="None")," ",+Magick!D75)</f>
        <v xml:space="preserve"> </v>
      </c>
      <c r="R130" s="1874"/>
      <c r="S130" s="1324" t="str">
        <f>IF(($A$114="None")," ",+Magick!F75)</f>
        <v xml:space="preserve"> </v>
      </c>
      <c r="T130" s="1869"/>
      <c r="U130" s="1869"/>
      <c r="V130" s="1324" t="str">
        <f>IF(($A$114="None")," ",+Magick!H75)</f>
        <v xml:space="preserve"> </v>
      </c>
      <c r="W130" s="1869"/>
      <c r="X130" s="1324" t="str">
        <f t="shared" si="0"/>
        <v xml:space="preserve"> </v>
      </c>
      <c r="Y130" s="1869"/>
      <c r="Z130" s="1324" t="str">
        <f>IF(($A$114="None")," ",Magick!K75)</f>
        <v xml:space="preserve"> </v>
      </c>
      <c r="AA130" s="1869"/>
      <c r="AB130" s="1324" t="str">
        <f>IF(($A$114="None")," ",IF(ISNA(magestuff!A203)," ",magestuff!A203) )</f>
        <v xml:space="preserve"> </v>
      </c>
      <c r="AC130" s="1324"/>
      <c r="AD130" s="461" t="str">
        <f>IF(($A$114="None")," ",IF(ISNA(magestuff!A223)," ",magestuff!A223) )</f>
        <v xml:space="preserve"> </v>
      </c>
      <c r="AE130"/>
      <c r="AF130" s="574"/>
      <c r="AI130"/>
      <c r="AJ130"/>
      <c r="AK130"/>
      <c r="AL130"/>
      <c r="AM130"/>
      <c r="AN130"/>
      <c r="AO130"/>
      <c r="AP130"/>
      <c r="AQ130"/>
      <c r="AS130"/>
      <c r="AT130"/>
    </row>
    <row r="131" spans="1:46" ht="12.6" customHeight="1" outlineLevel="1">
      <c r="A131" s="2127" t="s">
        <v>3112</v>
      </c>
      <c r="B131" s="2127"/>
      <c r="C131" s="2127"/>
      <c r="D131" s="2127"/>
      <c r="E131" s="2127"/>
      <c r="F131" s="2127"/>
      <c r="G131" s="2127"/>
      <c r="H131" s="1425" t="str">
        <f>IF(($A$114="None")," ",IF(ISNA(magestuff!A227),"N","Y") )</f>
        <v xml:space="preserve"> </v>
      </c>
      <c r="I131" s="2146"/>
      <c r="J131" s="2141" t="str">
        <f>IF(($A$114="None")," ",Magick!E79)</f>
        <v xml:space="preserve"> </v>
      </c>
      <c r="K131" s="1315"/>
      <c r="L131" s="2142" t="str">
        <f>IF(($A$114="None")," ",+Magick!B79)</f>
        <v xml:space="preserve"> </v>
      </c>
      <c r="M131" s="2143"/>
      <c r="N131" s="2092"/>
      <c r="O131" s="2091" t="str">
        <f>IF(L131&lt;&gt;" ",(VLOOKUP(L131,'System Lookups'!$J$55:$P$64,IF(Q131=" ",3,4)))," ")</f>
        <v xml:space="preserve"> </v>
      </c>
      <c r="P131" s="2092"/>
      <c r="Q131" s="2095" t="str">
        <f>IF(($A$114="None")," ",+Magick!D79)</f>
        <v xml:space="preserve"> </v>
      </c>
      <c r="R131" s="1874"/>
      <c r="S131" s="1326" t="str">
        <f>IF(($A$114="None")," ",+Magick!F79)</f>
        <v xml:space="preserve"> </v>
      </c>
      <c r="T131" s="1326"/>
      <c r="U131" s="1326"/>
      <c r="V131" s="1326" t="str">
        <f>IF(($A$114="None")," ",+Magick!H79)</f>
        <v xml:space="preserve"> </v>
      </c>
      <c r="W131" s="1436"/>
      <c r="X131" s="1326" t="str">
        <f t="shared" si="0"/>
        <v xml:space="preserve"> </v>
      </c>
      <c r="Y131" s="1436"/>
      <c r="Z131" s="1326" t="str">
        <f>IF(($A$114="None")," ",Magick!K79)</f>
        <v xml:space="preserve"> </v>
      </c>
      <c r="AA131" s="1436"/>
      <c r="AB131" s="1326" t="str">
        <f>IF(($A$114="None")," ",IF(ISNA(magestuff!A207)," ",magestuff!A207) )</f>
        <v xml:space="preserve"> </v>
      </c>
      <c r="AC131" s="1326"/>
      <c r="AD131" s="462" t="str">
        <f>IF(($A$114="None")," ",IF(ISNA(magestuff!A227)," ",magestuff!A227) )</f>
        <v xml:space="preserve"> </v>
      </c>
      <c r="AE131"/>
      <c r="AF131" s="574"/>
      <c r="AI131"/>
      <c r="AJ131"/>
      <c r="AK131"/>
      <c r="AL131"/>
      <c r="AM131"/>
      <c r="AN131"/>
      <c r="AO131"/>
      <c r="AP131"/>
      <c r="AQ131"/>
      <c r="AS131"/>
      <c r="AT131"/>
    </row>
    <row r="132" spans="1:46" ht="12.6" customHeight="1" outlineLevel="1">
      <c r="A132" s="2145" t="s">
        <v>3113</v>
      </c>
      <c r="B132" s="2145"/>
      <c r="C132" s="2145"/>
      <c r="D132" s="2145"/>
      <c r="E132" s="2145"/>
      <c r="F132" s="2145"/>
      <c r="G132" s="2145"/>
      <c r="H132" s="1647" t="str">
        <f>IF(($A$114="None")," ",IF(ISNA(magestuff!A228),"N","Y") )</f>
        <v xml:space="preserve"> </v>
      </c>
      <c r="I132" s="2026"/>
      <c r="J132" s="2140" t="str">
        <f>IF(($A$114="None")," ",Magick!E80)</f>
        <v xml:space="preserve"> </v>
      </c>
      <c r="K132" s="1315"/>
      <c r="L132" s="2147" t="str">
        <f>IF(($A$114="None")," ",+Magick!B80)</f>
        <v xml:space="preserve"> </v>
      </c>
      <c r="M132" s="2143"/>
      <c r="N132" s="2092"/>
      <c r="O132" s="2159" t="str">
        <f>IF(L132&lt;&gt;" ",(VLOOKUP(L132,'System Lookups'!$J$55:$P$64,IF(Q132=" ",3,4)))," ")</f>
        <v xml:space="preserve"> </v>
      </c>
      <c r="P132" s="2092"/>
      <c r="Q132" s="1873" t="str">
        <f>IF(($A$114="None")," ",+Magick!D80)</f>
        <v xml:space="preserve"> </v>
      </c>
      <c r="R132" s="1874"/>
      <c r="S132" s="1324" t="str">
        <f>IF(($A$114="None")," ",+Magick!F80)</f>
        <v xml:space="preserve"> </v>
      </c>
      <c r="T132" s="1324"/>
      <c r="U132" s="1324"/>
      <c r="V132" s="1324" t="str">
        <f>IF(($A$114="None")," ",+Magick!H80)</f>
        <v xml:space="preserve"> </v>
      </c>
      <c r="W132" s="1324"/>
      <c r="X132" s="1324" t="str">
        <f t="shared" si="0"/>
        <v xml:space="preserve"> </v>
      </c>
      <c r="Y132" s="1869"/>
      <c r="Z132" s="1324" t="str">
        <f>IF(($A$114="None")," ",Magick!K80)</f>
        <v xml:space="preserve"> </v>
      </c>
      <c r="AA132" s="1869"/>
      <c r="AB132" s="1324" t="str">
        <f>IF(($A$114="None")," ",IF(ISNA(magestuff!A208)," ",magestuff!A208) )</f>
        <v xml:space="preserve"> </v>
      </c>
      <c r="AC132" s="1324"/>
      <c r="AD132" s="461" t="str">
        <f>IF(($A$114="None")," ",IF(ISNA(magestuff!A228)," ",magestuff!A228) )</f>
        <v xml:space="preserve"> </v>
      </c>
      <c r="AE132"/>
      <c r="AF132" s="574"/>
      <c r="AI132"/>
      <c r="AJ132"/>
      <c r="AK132"/>
      <c r="AL132"/>
      <c r="AM132"/>
      <c r="AN132"/>
      <c r="AO132"/>
      <c r="AP132"/>
      <c r="AQ132"/>
      <c r="AS132"/>
      <c r="AT132"/>
    </row>
    <row r="133" spans="1:46" ht="12.6" customHeight="1" outlineLevel="1">
      <c r="A133" s="2127" t="s">
        <v>3114</v>
      </c>
      <c r="B133" s="2127"/>
      <c r="C133" s="2127"/>
      <c r="D133" s="2127"/>
      <c r="E133" s="2127"/>
      <c r="F133" s="2127"/>
      <c r="G133" s="2127"/>
      <c r="H133" s="1425" t="str">
        <f>IF(($A$114="None")," ",IF(ISNA(magestuff!A229),"N","Y") )</f>
        <v xml:space="preserve"> </v>
      </c>
      <c r="I133" s="2146"/>
      <c r="J133" s="2141" t="str">
        <f>IF(($A$114="None")," ",Magick!E81)</f>
        <v xml:space="preserve"> </v>
      </c>
      <c r="K133" s="1315"/>
      <c r="L133" s="2142" t="str">
        <f>IF(($A$114="None")," ",+Magick!B81)</f>
        <v xml:space="preserve"> </v>
      </c>
      <c r="M133" s="2143"/>
      <c r="N133" s="2092"/>
      <c r="O133" s="2091" t="str">
        <f>IF(L133&lt;&gt;" ",(VLOOKUP(L133,'System Lookups'!$J$55:$P$64,IF(Q133=" ",3,4)))," ")</f>
        <v xml:space="preserve"> </v>
      </c>
      <c r="P133" s="2092"/>
      <c r="Q133" s="2095" t="str">
        <f>IF(($A$114="None")," ",+Magick!D81)</f>
        <v xml:space="preserve"> </v>
      </c>
      <c r="R133" s="1874"/>
      <c r="S133" s="1326" t="str">
        <f>IF(($A$114="None")," ",+Magick!F81)</f>
        <v xml:space="preserve"> </v>
      </c>
      <c r="T133" s="1326"/>
      <c r="U133" s="1326"/>
      <c r="V133" s="1326" t="str">
        <f>IF(($A$114="None")," ",+Magick!H81)</f>
        <v xml:space="preserve"> </v>
      </c>
      <c r="W133" s="1326"/>
      <c r="X133" s="1326" t="str">
        <f t="shared" si="0"/>
        <v xml:space="preserve"> </v>
      </c>
      <c r="Y133" s="1436"/>
      <c r="Z133" s="1326" t="str">
        <f>IF(($A$114="None")," ",Magick!K81)</f>
        <v xml:space="preserve"> </v>
      </c>
      <c r="AA133" s="1436"/>
      <c r="AB133" s="1326" t="str">
        <f>IF(($A$114="None")," ",IF(ISNA(magestuff!A209)," ",magestuff!A209) )</f>
        <v xml:space="preserve"> </v>
      </c>
      <c r="AC133" s="1326"/>
      <c r="AD133" s="462" t="str">
        <f>IF(($A$114="None")," ",IF(ISNA(magestuff!A229)," ",magestuff!A229) )</f>
        <v xml:space="preserve"> </v>
      </c>
      <c r="AE133"/>
      <c r="AF133" s="574"/>
      <c r="AL133"/>
      <c r="AM133"/>
      <c r="AN133"/>
      <c r="AO133"/>
      <c r="AP133"/>
      <c r="AQ133"/>
      <c r="AS133"/>
      <c r="AT133"/>
    </row>
    <row r="134" spans="1:46" ht="12.6" customHeight="1" outlineLevel="1">
      <c r="A134" s="2145" t="s">
        <v>3115</v>
      </c>
      <c r="B134" s="2145"/>
      <c r="C134" s="2145"/>
      <c r="D134" s="2145"/>
      <c r="E134" s="2145"/>
      <c r="F134" s="2145"/>
      <c r="G134" s="2145"/>
      <c r="H134" s="1647" t="str">
        <f>IF(($A$114="None")," ",IF(ISNA(magestuff!A230),"N","Y") )</f>
        <v xml:space="preserve"> </v>
      </c>
      <c r="I134" s="2026"/>
      <c r="J134" s="2140" t="str">
        <f>IF(($A$114="None")," ",Magick!E82)</f>
        <v xml:space="preserve"> </v>
      </c>
      <c r="K134" s="1315"/>
      <c r="L134" s="2147" t="str">
        <f>IF(($A$114="None")," ",+Magick!B82)</f>
        <v xml:space="preserve"> </v>
      </c>
      <c r="M134" s="2143"/>
      <c r="N134" s="2092"/>
      <c r="O134" s="2159" t="str">
        <f>IF(L134&lt;&gt;" ",(VLOOKUP(L134,'System Lookups'!$J$55:$P$64,IF(Q134=" ",3,4)))," ")</f>
        <v xml:space="preserve"> </v>
      </c>
      <c r="P134" s="2092"/>
      <c r="Q134" s="1873" t="str">
        <f>IF(($A$114="None")," ",+Magick!D82)</f>
        <v xml:space="preserve"> </v>
      </c>
      <c r="R134" s="1874"/>
      <c r="S134" s="1324" t="str">
        <f>IF(($A$114="None")," ",+Magick!F82)</f>
        <v xml:space="preserve"> </v>
      </c>
      <c r="T134" s="1324"/>
      <c r="U134" s="1324"/>
      <c r="V134" s="1324" t="str">
        <f>IF(($A$114="None")," ",+Magick!H82)</f>
        <v xml:space="preserve"> </v>
      </c>
      <c r="W134" s="1324"/>
      <c r="X134" s="1324" t="str">
        <f t="shared" si="0"/>
        <v xml:space="preserve"> </v>
      </c>
      <c r="Y134" s="1869"/>
      <c r="Z134" s="1324" t="str">
        <f>IF(($A$114="None")," ",Magick!K82)</f>
        <v xml:space="preserve"> </v>
      </c>
      <c r="AA134" s="1869"/>
      <c r="AB134" s="1324" t="str">
        <f>IF(($A$114="None")," ",IF(ISNA(magestuff!A210)," ",magestuff!A210) )</f>
        <v xml:space="preserve"> </v>
      </c>
      <c r="AC134" s="1324"/>
      <c r="AD134" s="461" t="str">
        <f>IF(($A$114="None")," ",IF(ISNA(magestuff!A230)," ",magestuff!A230) )</f>
        <v xml:space="preserve"> </v>
      </c>
      <c r="AE134"/>
      <c r="AF134" s="574"/>
      <c r="AL134"/>
      <c r="AM134"/>
      <c r="AN134"/>
      <c r="AO134"/>
      <c r="AP134"/>
      <c r="AQ134"/>
      <c r="AS134"/>
      <c r="AT134"/>
    </row>
    <row r="135" spans="1:46" ht="12.6" customHeight="1" outlineLevel="1">
      <c r="A135" s="2127" t="s">
        <v>4057</v>
      </c>
      <c r="B135" s="2127"/>
      <c r="C135" s="2127"/>
      <c r="D135" s="2127"/>
      <c r="E135" s="2127"/>
      <c r="F135" s="2127"/>
      <c r="G135" s="2127"/>
      <c r="H135" s="1425" t="str">
        <f>IF(($A$114="None")," ",IF(ISNA(magestuff!A231),"N","Y") )</f>
        <v xml:space="preserve"> </v>
      </c>
      <c r="I135" s="2146"/>
      <c r="J135" s="2141" t="str">
        <f>IF(($A$114="None")," ",Magick!E83)</f>
        <v xml:space="preserve"> </v>
      </c>
      <c r="K135" s="1315"/>
      <c r="L135" s="2142" t="str">
        <f>IF(($A$114="None")," ",+Magick!B83)</f>
        <v xml:space="preserve"> </v>
      </c>
      <c r="M135" s="2143"/>
      <c r="N135" s="2092"/>
      <c r="O135" s="2091" t="str">
        <f>IF(L135&lt;&gt;" ",(VLOOKUP(L135,'System Lookups'!$J$55:$P$64,IF(Q135=" ",3,4)))," ")</f>
        <v xml:space="preserve"> </v>
      </c>
      <c r="P135" s="2092"/>
      <c r="Q135" s="2095" t="str">
        <f>IF(($A$114="None")," ",+Magick!D83)</f>
        <v xml:space="preserve"> </v>
      </c>
      <c r="R135" s="1874"/>
      <c r="S135" s="1326" t="str">
        <f>IF(($A$114="None")," ",+Magick!F83)</f>
        <v xml:space="preserve"> </v>
      </c>
      <c r="T135" s="1326"/>
      <c r="U135" s="1326"/>
      <c r="V135" s="1326" t="str">
        <f>IF(($A$114="None")," ",+Magick!H83)</f>
        <v xml:space="preserve"> </v>
      </c>
      <c r="W135" s="1326"/>
      <c r="X135" s="1326" t="str">
        <f t="shared" si="0"/>
        <v xml:space="preserve"> </v>
      </c>
      <c r="Y135" s="1436"/>
      <c r="Z135" s="1326" t="str">
        <f>IF(($A$114="None")," ",Magick!K83)</f>
        <v xml:space="preserve"> </v>
      </c>
      <c r="AA135" s="1436"/>
      <c r="AB135" s="1326" t="str">
        <f>IF(($A$114="None")," ",IF(ISNA(magestuff!A211)," ",magestuff!A211) )</f>
        <v xml:space="preserve"> </v>
      </c>
      <c r="AC135" s="1326"/>
      <c r="AD135" s="462" t="str">
        <f>IF(($A$114="None")," ",IF(ISNA(magestuff!A231)," ",magestuff!A231) )</f>
        <v xml:space="preserve"> </v>
      </c>
      <c r="AE135"/>
      <c r="AF135" s="574"/>
      <c r="AL135"/>
      <c r="AM135"/>
      <c r="AN135"/>
      <c r="AO135"/>
      <c r="AP135"/>
      <c r="AQ135"/>
      <c r="AS135"/>
      <c r="AT135"/>
    </row>
    <row r="136" spans="1:46" ht="12.6" customHeight="1" outlineLevel="1">
      <c r="A136" s="1571"/>
      <c r="B136" s="1571"/>
      <c r="C136" s="1571"/>
      <c r="D136" s="1571"/>
      <c r="E136" s="1571"/>
      <c r="F136" s="1571"/>
      <c r="G136" s="1571"/>
      <c r="H136" s="1571"/>
      <c r="I136" s="1571"/>
      <c r="J136" s="1314"/>
      <c r="K136" s="1314"/>
      <c r="L136" s="1314"/>
      <c r="M136" s="1314"/>
      <c r="N136" s="1314"/>
      <c r="O136" s="1314"/>
      <c r="P136" s="1314"/>
      <c r="Q136" s="1312"/>
      <c r="R136" s="1313"/>
      <c r="S136" s="1312"/>
      <c r="T136" s="1382"/>
      <c r="U136" s="1311"/>
      <c r="V136" s="1385"/>
      <c r="W136" s="1311"/>
      <c r="X136" s="1385"/>
      <c r="Y136" s="1311"/>
      <c r="Z136" s="1385"/>
      <c r="AA136" s="1311"/>
      <c r="AB136" s="1349"/>
      <c r="AC136" s="2131"/>
      <c r="AD136" s="319"/>
      <c r="AE136"/>
      <c r="AF136" s="574"/>
      <c r="AK136"/>
      <c r="AL136"/>
      <c r="AM136"/>
      <c r="AN136"/>
      <c r="AO136"/>
      <c r="AP136"/>
      <c r="AS136"/>
      <c r="AT136"/>
    </row>
    <row r="137" spans="1:46" ht="12.6" customHeight="1" outlineLevel="1">
      <c r="A137" s="1400" t="s">
        <v>2085</v>
      </c>
      <c r="B137" s="1400"/>
      <c r="C137" s="1400"/>
      <c r="D137" s="1400"/>
      <c r="E137" s="1400"/>
      <c r="F137" s="1400"/>
      <c r="G137" s="1400"/>
      <c r="H137" s="1400" t="s">
        <v>941</v>
      </c>
      <c r="I137" s="1400"/>
      <c r="J137" s="1400" t="s">
        <v>3005</v>
      </c>
      <c r="K137" s="1400"/>
      <c r="L137" s="1400" t="s">
        <v>4731</v>
      </c>
      <c r="M137" s="1400"/>
      <c r="N137" s="1400"/>
      <c r="O137" s="1400" t="s">
        <v>3046</v>
      </c>
      <c r="P137" s="1400"/>
      <c r="Q137" s="1400" t="s">
        <v>2084</v>
      </c>
      <c r="R137" s="1400"/>
      <c r="S137" s="1400"/>
      <c r="T137" s="1380" t="s">
        <v>209</v>
      </c>
      <c r="U137" s="1396"/>
      <c r="V137" s="1380" t="s">
        <v>2014</v>
      </c>
      <c r="W137" s="1396"/>
      <c r="X137" s="1380" t="s">
        <v>1387</v>
      </c>
      <c r="Y137" s="1396"/>
      <c r="Z137" s="1400" t="s">
        <v>4599</v>
      </c>
      <c r="AA137" s="1400"/>
      <c r="AB137" s="1400"/>
      <c r="AC137" s="1400"/>
      <c r="AD137" s="1400"/>
      <c r="AE137"/>
      <c r="AF137" s="574"/>
      <c r="AK137"/>
      <c r="AL137"/>
      <c r="AM137"/>
      <c r="AN137"/>
      <c r="AO137"/>
      <c r="AP137"/>
      <c r="AS137"/>
      <c r="AT137"/>
    </row>
    <row r="138" spans="1:46" ht="12.6" customHeight="1" outlineLevel="1">
      <c r="A138" s="2129" t="s">
        <v>1637</v>
      </c>
      <c r="B138" s="2129"/>
      <c r="C138" s="2129"/>
      <c r="D138" s="2129"/>
      <c r="E138" s="2129"/>
      <c r="F138" s="2129"/>
      <c r="G138" s="2129"/>
      <c r="H138" s="2144" t="e">
        <f>CONCATENATE(IF(Skills!H665="Y","M",""),Skills!N665,IF(Skills!I665="Y","Bk",""),IF(Skills!#REF!="Y","Zm",""),IF(Skills!J665="Y","L",""),IF(Skills!K665="Y","Sa",""),IF(Skills!L665&gt;0,"Sa",""),IF(Skills!M665="Y","Sa",""),IF(Skills!F665&lt;&gt;"N","R",""))</f>
        <v>#REF!</v>
      </c>
      <c r="I138" s="2144"/>
      <c r="J138" s="1343">
        <f>Skills!V665</f>
        <v>5</v>
      </c>
      <c r="K138" s="1343"/>
      <c r="L138" s="2216">
        <f>VLOOKUP(J138,'System Lookups'!$J$55:$P$64,IF(O138=" ",3,4))</f>
        <v>0.1</v>
      </c>
      <c r="M138" s="2216"/>
      <c r="N138" s="2216"/>
      <c r="O138" s="1343" t="str">
        <f>IF(ISNA(Skills!$W665),IF(ISBLANK(Skills!$X665)," ",Skills!$X665),+Skills!$W665+Skills!$X665)</f>
        <v xml:space="preserve"> </v>
      </c>
      <c r="P138" s="1343"/>
      <c r="Q138" s="2216">
        <f ca="1">Skills!Y665</f>
        <v>0.06</v>
      </c>
      <c r="R138" s="2217"/>
      <c r="S138" s="2217"/>
      <c r="T138" s="2096">
        <f ca="1">Skills!AA665</f>
        <v>0.06</v>
      </c>
      <c r="U138" s="2097"/>
      <c r="V138" s="2096">
        <f t="shared" ref="V138:V154" ca="1" si="1">T138+L138</f>
        <v>0.16</v>
      </c>
      <c r="W138" s="2097"/>
      <c r="X138" s="2214">
        <f ca="1">(IF(V138&gt;VLOOKUP(J138,'System Lookups'!$J$55:$P$63,6),(((V138-VLOOKUP(J138,'System Lookups'!$J$55:$P$63,6))*100)/20),0))</f>
        <v>0</v>
      </c>
      <c r="Y138" s="2215"/>
      <c r="Z138" s="1314"/>
      <c r="AA138" s="1314"/>
      <c r="AB138" s="1314"/>
      <c r="AC138" s="1314"/>
      <c r="AD138" s="1314"/>
      <c r="AK138"/>
      <c r="AL138"/>
      <c r="AM138"/>
      <c r="AN138"/>
      <c r="AO138"/>
      <c r="AP138"/>
      <c r="AS138"/>
      <c r="AT138"/>
    </row>
    <row r="139" spans="1:46" ht="12.6" customHeight="1" outlineLevel="1">
      <c r="A139" s="2130" t="s">
        <v>1638</v>
      </c>
      <c r="B139" s="2130"/>
      <c r="C139" s="2130"/>
      <c r="D139" s="2130"/>
      <c r="E139" s="2130"/>
      <c r="F139" s="2130"/>
      <c r="G139" s="2130"/>
      <c r="H139" s="2117" t="e">
        <f>CONCATENATE(IF(Skills!H666="Y","M",""),Skills!N666,IF(Skills!I666="Y","Bk",""),IF(Skills!#REF!="Y","Zm",""),IF(Skills!J666="Y","L",""),IF(Skills!K666="Y","Sa",""),IF(Skills!L666&gt;0,"Sa",""),IF(Skills!M666="Y","Sa",""),IF(Skills!F666&lt;&gt;"N","R",""))</f>
        <v>#REF!</v>
      </c>
      <c r="I139" s="2117"/>
      <c r="J139" s="2095">
        <f>Skills!V666</f>
        <v>5</v>
      </c>
      <c r="K139" s="2095"/>
      <c r="L139" s="1326">
        <f>VLOOKUP(J139,'System Lookups'!$J$55:$P$64,IF(O139=" ",3,4))</f>
        <v>0.1</v>
      </c>
      <c r="M139" s="1326"/>
      <c r="N139" s="1326"/>
      <c r="O139" s="2095" t="str">
        <f>IF(ISNA(Skills!$W666),IF(ISBLANK(Skills!$X666)," ",Skills!$X666),+Skills!$W666+Skills!$X666)</f>
        <v xml:space="preserve"> </v>
      </c>
      <c r="P139" s="2095"/>
      <c r="Q139" s="1326">
        <f ca="1">Skills!Y666</f>
        <v>0.1</v>
      </c>
      <c r="R139" s="1436"/>
      <c r="S139" s="1436"/>
      <c r="T139" s="1335">
        <f ca="1">Skills!AA666</f>
        <v>0.1</v>
      </c>
      <c r="U139" s="1406"/>
      <c r="V139" s="1335">
        <f t="shared" ca="1" si="1"/>
        <v>0.2</v>
      </c>
      <c r="W139" s="1406"/>
      <c r="X139" s="2107">
        <f ca="1">(IF(V139&gt;VLOOKUP(J139,'System Lookups'!$J$55:$P$63,6),(((V139-VLOOKUP(J139,'System Lookups'!$J$55:$P$63,6))*100)/20),0))</f>
        <v>0</v>
      </c>
      <c r="Y139" s="2108"/>
      <c r="Z139" s="1828"/>
      <c r="AA139" s="1828"/>
      <c r="AB139" s="1828"/>
      <c r="AC139" s="1828"/>
      <c r="AD139" s="1828"/>
    </row>
    <row r="140" spans="1:46" ht="12.6" customHeight="1" outlineLevel="1">
      <c r="A140" s="2128" t="s">
        <v>1639</v>
      </c>
      <c r="B140" s="2128"/>
      <c r="C140" s="2128"/>
      <c r="D140" s="2128"/>
      <c r="E140" s="2128"/>
      <c r="F140" s="2128"/>
      <c r="G140" s="2128"/>
      <c r="H140" s="2305" t="e">
        <f>CONCATENATE(IF(Skills!H667="Y","M",""),Skills!N667,IF(Skills!I667="Y","Bk",""),IF(Skills!#REF!="Y","Zm",""),IF(Skills!J667="Y","L",""),IF(Skills!K667="Y","Sa",""),IF(Skills!L667&gt;0,"Sa",""),IF(Skills!M667="Y","Sa",""),IF(Skills!F667&lt;&gt;"N","R",""))</f>
        <v>#REF!</v>
      </c>
      <c r="I140" s="2305"/>
      <c r="J140" s="1873">
        <f>Skills!V667</f>
        <v>5</v>
      </c>
      <c r="K140" s="1873"/>
      <c r="L140" s="1324">
        <f>VLOOKUP(J140,'System Lookups'!$J$55:$P$64,IF(O140=" ",3,4))</f>
        <v>0.1</v>
      </c>
      <c r="M140" s="1324"/>
      <c r="N140" s="1324"/>
      <c r="O140" s="1873" t="str">
        <f>IF(ISNA(Skills!$W667),IF(ISBLANK(Skills!$X667)," ",Skills!$X667),+Skills!$W667+Skills!$X667)</f>
        <v xml:space="preserve"> </v>
      </c>
      <c r="P140" s="1873"/>
      <c r="Q140" s="1324">
        <f ca="1">Skills!Y667</f>
        <v>0.04</v>
      </c>
      <c r="R140" s="1869"/>
      <c r="S140" s="1869"/>
      <c r="T140" s="1404">
        <f ca="1">Skills!AA667</f>
        <v>0.04</v>
      </c>
      <c r="U140" s="1405"/>
      <c r="V140" s="1404">
        <f t="shared" ca="1" si="1"/>
        <v>0.14000000000000001</v>
      </c>
      <c r="W140" s="1405"/>
      <c r="X140" s="2093">
        <f ca="1">(IF(V140&gt;VLOOKUP(J140,'System Lookups'!$J$55:$P$63,6),(((V140-VLOOKUP(J140,'System Lookups'!$J$55:$P$63,6))*100)/20),0))</f>
        <v>0</v>
      </c>
      <c r="Y140" s="2094"/>
      <c r="Z140" s="1314"/>
      <c r="AA140" s="1314"/>
      <c r="AB140" s="1314"/>
      <c r="AC140" s="1314"/>
      <c r="AD140" s="1314"/>
      <c r="AK140"/>
      <c r="AL140"/>
      <c r="AM140"/>
      <c r="AN140"/>
      <c r="AO140"/>
      <c r="AP140"/>
      <c r="AS140"/>
      <c r="AT140"/>
    </row>
    <row r="141" spans="1:46" ht="15.75" customHeight="1" outlineLevel="1">
      <c r="A141" s="2130" t="s">
        <v>4813</v>
      </c>
      <c r="B141" s="2130"/>
      <c r="C141" s="2130"/>
      <c r="D141" s="2130"/>
      <c r="E141" s="2130"/>
      <c r="F141" s="2130"/>
      <c r="G141" s="2130"/>
      <c r="H141" s="2117" t="e">
        <f>CONCATENATE(IF(Skills!H599="Y","M",""),Skills!N599,IF(Skills!I599="Y","Bk",""),IF(Skills!#REF!="Y","Zm",""),IF(Skills!J599="Y","L",""),IF(Skills!K599="Y","Sa",""),IF(Skills!L599&gt;0,"Sa",""),IF(Skills!M599="Y","Sa",""),IF(Skills!F626&lt;&gt;"N","R",""))</f>
        <v>#REF!</v>
      </c>
      <c r="I141" s="2117"/>
      <c r="J141" s="2095">
        <f>Skills!V599</f>
        <v>6</v>
      </c>
      <c r="K141" s="2095"/>
      <c r="L141" s="1326">
        <f>VLOOKUP(J141,'System Lookups'!$J$55:$P$64,IF(O141=" ",3,4))</f>
        <v>0.05</v>
      </c>
      <c r="M141" s="1326"/>
      <c r="N141" s="1326"/>
      <c r="O141" s="2095" t="str">
        <f>IF(ISNA(Skills!$W599),IF(ISBLANK(Skills!$X599)," ",Skills!$X599),+Skills!$W599+Skills!$X599)</f>
        <v xml:space="preserve"> </v>
      </c>
      <c r="P141" s="2095"/>
      <c r="Q141" s="1335">
        <f ca="1">Skills!Y599</f>
        <v>0.08</v>
      </c>
      <c r="R141" s="1393"/>
      <c r="S141" s="1394"/>
      <c r="T141" s="1335">
        <f ca="1">Skills!AA599</f>
        <v>0.08</v>
      </c>
      <c r="U141" s="1406"/>
      <c r="V141" s="1335">
        <f t="shared" ca="1" si="1"/>
        <v>0.13</v>
      </c>
      <c r="W141" s="1406"/>
      <c r="X141" s="2107">
        <f ca="1">(IF(V141&gt;VLOOKUP(J141,'System Lookups'!$J$55:$P$63,6),(((V141-VLOOKUP(J141,'System Lookups'!$J$55:$P$63,6))*100)/20),0))</f>
        <v>0</v>
      </c>
      <c r="Y141" s="2108"/>
      <c r="Z141" s="2342" t="s">
        <v>186</v>
      </c>
      <c r="AA141" s="1722"/>
      <c r="AB141" s="2339" t="str">
        <f>IF(Skills!AD599&gt;0,VLOOKUP(Magick!J16,Magick!AD50:AE70,2),"None")</f>
        <v>None</v>
      </c>
      <c r="AC141" s="2340"/>
      <c r="AD141" s="2341"/>
      <c r="AK141"/>
    </row>
    <row r="142" spans="1:46" ht="12.6" customHeight="1" outlineLevel="1">
      <c r="A142" s="2129" t="s">
        <v>4685</v>
      </c>
      <c r="B142" s="2129"/>
      <c r="C142" s="2129"/>
      <c r="D142" s="2129"/>
      <c r="E142" s="2129"/>
      <c r="F142" s="2129"/>
      <c r="G142" s="2129"/>
      <c r="H142" s="2144" t="e">
        <f>CONCATENATE(IF(Skills!H651="Y","M",""),Skills!N651,IF(Skills!I651="Y","Bk",""),IF(Skills!#REF!="Y","Zm",""),IF(Skills!J651="Y","L",""),IF(Skills!K651="Y","Sa",""),IF(Skills!L651&gt;0,"Sa",""),IF(Skills!M651="Y","Sa",""),IF(Skills!F651&lt;&gt;"N","R",""))</f>
        <v>#REF!</v>
      </c>
      <c r="I142" s="2144"/>
      <c r="J142" s="1343">
        <f>Skills!V651</f>
        <v>6</v>
      </c>
      <c r="K142" s="1343"/>
      <c r="L142" s="2216">
        <f>VLOOKUP(J142,'System Lookups'!$J$55:$P$64,IF(O142=" ",3,4))</f>
        <v>0.05</v>
      </c>
      <c r="M142" s="2216"/>
      <c r="N142" s="2216"/>
      <c r="O142" s="1343" t="str">
        <f>IF(ISNA(Skills!$W651),IF(ISBLANK(Skills!$X651)," ",Skills!$X651),+Skills!$W651+Skills!$X651)</f>
        <v xml:space="preserve"> </v>
      </c>
      <c r="P142" s="1343"/>
      <c r="Q142" s="2216">
        <f ca="1">Skills!Y651</f>
        <v>0.1</v>
      </c>
      <c r="R142" s="2217"/>
      <c r="S142" s="2217"/>
      <c r="T142" s="2096">
        <f ca="1">Skills!AA651</f>
        <v>0.1</v>
      </c>
      <c r="U142" s="2097"/>
      <c r="V142" s="2096">
        <f t="shared" ca="1" si="1"/>
        <v>0.15000000000000002</v>
      </c>
      <c r="W142" s="2097"/>
      <c r="X142" s="2214">
        <f ca="1">(IF(V142&gt;VLOOKUP(J142,'System Lookups'!$J$55:$P$63,6),(((V142-VLOOKUP(J142,'System Lookups'!$J$55:$P$63,6))*100)/20),0))</f>
        <v>0</v>
      </c>
      <c r="Y142" s="2215"/>
      <c r="Z142" s="1445"/>
      <c r="AA142" s="1445"/>
      <c r="AB142" s="1445"/>
      <c r="AC142" s="1445"/>
      <c r="AD142" s="1445"/>
      <c r="AS142"/>
      <c r="AT142"/>
    </row>
    <row r="143" spans="1:46" ht="15.75" customHeight="1" outlineLevel="1">
      <c r="A143" s="2130" t="s">
        <v>5107</v>
      </c>
      <c r="B143" s="2130"/>
      <c r="C143" s="2130"/>
      <c r="D143" s="2130"/>
      <c r="E143" s="2130"/>
      <c r="F143" s="2130"/>
      <c r="G143" s="2130"/>
      <c r="H143" s="2117" t="e">
        <f>CONCATENATE(IF(Skills!H621="Y","M",""),Skills!N621,IF(Skills!I621="Y","Bk",""),IF(Skills!#REF!="Y","Zm",""),IF(Skills!J621="Y","L",""),IF(Skills!K621="Y","Sa",""),IF(Skills!L621&gt;0,"Sa",""),IF(Skills!M621="Y","Sa",""),IF(Skills!F624&lt;&gt;"N","R",""))</f>
        <v>#REF!</v>
      </c>
      <c r="I143" s="2117"/>
      <c r="J143" s="2095">
        <f>Skills!V621</f>
        <v>4</v>
      </c>
      <c r="K143" s="2095"/>
      <c r="L143" s="1326">
        <f>VLOOKUP(J143,'System Lookups'!$J$55:$P$64,IF(O143=" ",3,4))</f>
        <v>0.2</v>
      </c>
      <c r="M143" s="1326"/>
      <c r="N143" s="1326"/>
      <c r="O143" s="2095" t="str">
        <f>IF(ISNA(Skills!$W621),IF(ISBLANK(Skills!$X621)," ",Skills!$X621),+Skills!$W621+Skills!$X621)</f>
        <v xml:space="preserve"> </v>
      </c>
      <c r="P143" s="2095"/>
      <c r="Q143" s="1326">
        <f ca="1">Skills!Y621</f>
        <v>0.1</v>
      </c>
      <c r="R143" s="1436"/>
      <c r="S143" s="1436"/>
      <c r="T143" s="1335">
        <f ca="1">Skills!AA621</f>
        <v>0.1</v>
      </c>
      <c r="U143" s="1406"/>
      <c r="V143" s="1335">
        <f t="shared" ca="1" si="1"/>
        <v>0.30000000000000004</v>
      </c>
      <c r="W143" s="1406"/>
      <c r="X143" s="2107">
        <f ca="1">(IF(V143&gt;VLOOKUP(J143,'System Lookups'!$J$55:$P$63,6),(((V143-VLOOKUP(J143,'System Lookups'!$J$55:$P$63,6))*100)/20),0))</f>
        <v>0</v>
      </c>
      <c r="Y143" s="2108"/>
      <c r="Z143" s="2343" t="s">
        <v>5228</v>
      </c>
      <c r="AA143" s="2344"/>
      <c r="AB143" s="503">
        <f>Magick!BF62</f>
        <v>0</v>
      </c>
      <c r="AC143" s="2337" t="s">
        <v>5229</v>
      </c>
      <c r="AD143" s="2338"/>
      <c r="AS143"/>
      <c r="AT143"/>
    </row>
    <row r="144" spans="1:46" ht="12.6" customHeight="1" outlineLevel="1">
      <c r="A144" s="2128" t="s">
        <v>4058</v>
      </c>
      <c r="B144" s="2128"/>
      <c r="C144" s="2128"/>
      <c r="D144" s="2128"/>
      <c r="E144" s="2128"/>
      <c r="F144" s="2128"/>
      <c r="G144" s="2128"/>
      <c r="H144" s="2305" t="e">
        <f>CONCATENATE(IF(Skills!H310="Y","M",""),Skills!N310,IF(Skills!I311="Y","Bk",""),IF(Skills!#REF!="Y","Zm",""),IF(Skills!J310="Y","L",""),IF(Skills!K310="Y","Sa",""),IF(Skills!L310&gt;0,"Sa",""),IF(Skills!M310="Y","Sa",""),IF(Skills!F311&lt;&gt;"N","R",""))</f>
        <v>#REF!</v>
      </c>
      <c r="I144" s="2305"/>
      <c r="J144" s="1873">
        <f>Skills!V310</f>
        <v>5</v>
      </c>
      <c r="K144" s="1873"/>
      <c r="L144" s="1324">
        <f>VLOOKUP(J144,'System Lookups'!$J$55:$P$64,IF(O144=" ",3,4))</f>
        <v>0.1</v>
      </c>
      <c r="M144" s="1324"/>
      <c r="N144" s="1324"/>
      <c r="O144" s="1873" t="str">
        <f>IF(ISNA(Skills!$W310),IF(ISBLANK(Skills!$X310)," ",Skills!$X310),+Skills!$W310+Skills!$X310)</f>
        <v xml:space="preserve"> </v>
      </c>
      <c r="P144" s="1873"/>
      <c r="Q144" s="1404">
        <f ca="1">Skills!Y310</f>
        <v>0.08</v>
      </c>
      <c r="R144" s="1393"/>
      <c r="S144" s="1394"/>
      <c r="T144" s="1404">
        <f ca="1">Skills!AA310</f>
        <v>0.08</v>
      </c>
      <c r="U144" s="1405"/>
      <c r="V144" s="1404">
        <f t="shared" ca="1" si="1"/>
        <v>0.18</v>
      </c>
      <c r="W144" s="1405"/>
      <c r="X144" s="2093">
        <f ca="1">(IF(V144&gt;VLOOKUP(J144,'System Lookups'!$J$55:$P$63,6),(((V144-VLOOKUP(J144,'System Lookups'!$J$55:$P$63,6))*100)/20),0))</f>
        <v>0</v>
      </c>
      <c r="Y144" s="2094"/>
      <c r="Z144" s="1314"/>
      <c r="AA144" s="1314"/>
      <c r="AB144" s="1314"/>
      <c r="AC144" s="1314"/>
      <c r="AD144" s="1314"/>
      <c r="AS144"/>
      <c r="AT144"/>
    </row>
    <row r="145" spans="1:46" ht="12.6" customHeight="1" outlineLevel="1">
      <c r="A145" s="2130" t="s">
        <v>4059</v>
      </c>
      <c r="B145" s="2130"/>
      <c r="C145" s="2130"/>
      <c r="D145" s="2130"/>
      <c r="E145" s="2130"/>
      <c r="F145" s="2130"/>
      <c r="G145" s="2130"/>
      <c r="H145" s="2117" t="e">
        <f>CONCATENATE(IF(Skills!H439="Y","M",""),Skills!N439,IF(Skills!I439="Y","Bk",""),IF(Skills!#REF!="Y","Zm",""),IF(Skills!J439="Y","L",""),IF(Skills!K439="Y","Sa",""),IF(Skills!L439&gt;0,"Sa",""),IF(Skills!M439="Y","Sa",""),IF(Skills!F439&lt;&gt;"N","R",""))</f>
        <v>#REF!</v>
      </c>
      <c r="I145" s="2117"/>
      <c r="J145" s="2095">
        <f>Skills!V439</f>
        <v>5</v>
      </c>
      <c r="K145" s="2095"/>
      <c r="L145" s="1326">
        <f>VLOOKUP(J145,'System Lookups'!$J$55:$P$64,IF(O145=" ",3,4))</f>
        <v>0.1</v>
      </c>
      <c r="M145" s="1326"/>
      <c r="N145" s="1326"/>
      <c r="O145" s="2095" t="str">
        <f>IF(ISNA(Skills!$W439),IF(ISBLANK(Skills!$X439)," ",Skills!$X439),+Skills!$W439+Skills!$X439)</f>
        <v xml:space="preserve"> </v>
      </c>
      <c r="P145" s="2095"/>
      <c r="Q145" s="1335">
        <f ca="1">Skills!Y439</f>
        <v>0.08</v>
      </c>
      <c r="R145" s="1393"/>
      <c r="S145" s="1394"/>
      <c r="T145" s="1335">
        <f ca="1">Skills!AA439</f>
        <v>0.08</v>
      </c>
      <c r="U145" s="1406"/>
      <c r="V145" s="1335">
        <f t="shared" ca="1" si="1"/>
        <v>0.18</v>
      </c>
      <c r="W145" s="1406"/>
      <c r="X145" s="2107">
        <f ca="1">(IF(V145&gt;VLOOKUP(J145,'System Lookups'!$J$55:$P$63,6),(((V145-VLOOKUP(J145,'System Lookups'!$J$55:$P$63,6))*100)/20),0))</f>
        <v>0</v>
      </c>
      <c r="Y145" s="2108"/>
      <c r="Z145" s="1828"/>
      <c r="AA145" s="1828"/>
      <c r="AB145" s="1828"/>
      <c r="AC145" s="1828"/>
      <c r="AD145" s="1828"/>
      <c r="AS145"/>
      <c r="AT145"/>
    </row>
    <row r="146" spans="1:46" ht="12.6" customHeight="1" outlineLevel="1">
      <c r="A146" s="2312" t="s">
        <v>3594</v>
      </c>
      <c r="B146" s="2313"/>
      <c r="C146" s="2313"/>
      <c r="D146" s="2313"/>
      <c r="E146" s="2313"/>
      <c r="F146" s="2313"/>
      <c r="G146" s="2313"/>
      <c r="H146" s="2301" t="e">
        <f>CONCATENATE(IF(Skills!H588="Y","M",""),Skills!N588,IF(Skills!I588="Y","Bk",""),IF(Skills!#REF!="Y","Zm",""),IF(Skills!J588="Y","L",""),IF(Skills!K588="Y","Sa",""),IF(Skills!L588&gt;0,"Sa",""),IF(Skills!M588="Y","Sa",""),IF(Skills!F588&lt;&gt;"N","R",""))</f>
        <v>#REF!</v>
      </c>
      <c r="I146" s="2302"/>
      <c r="J146" s="1873">
        <f>Skills!V588</f>
        <v>7</v>
      </c>
      <c r="K146" s="1873"/>
      <c r="L146" s="1324">
        <f>VLOOKUP(J146,'System Lookups'!$J$55:$P$64,IF(O146=" ",3,4))</f>
        <v>0.03</v>
      </c>
      <c r="M146" s="1324"/>
      <c r="N146" s="1324"/>
      <c r="O146" s="1873" t="str">
        <f>IF(ISNA(Skills!$W588),IF(ISBLANK(Skills!$X588)," ",Skills!$X588),+Skills!$W588+Skills!$X588)</f>
        <v xml:space="preserve"> </v>
      </c>
      <c r="P146" s="1873"/>
      <c r="Q146" s="1404">
        <f ca="1">Skills!Y588</f>
        <v>0.1</v>
      </c>
      <c r="R146" s="1393"/>
      <c r="S146" s="1394"/>
      <c r="T146" s="1404">
        <f ca="1">Skills!AA588</f>
        <v>0.1</v>
      </c>
      <c r="U146" s="1405"/>
      <c r="V146" s="1404">
        <f t="shared" ca="1" si="1"/>
        <v>0.13</v>
      </c>
      <c r="W146" s="1405"/>
      <c r="X146" s="2093">
        <f ca="1">(IF(V146&gt;VLOOKUP(J146,'System Lookups'!$J$55:$P$63,6),(((V146-VLOOKUP(J146,'System Lookups'!$J$55:$P$63,6))*100)/20),0))</f>
        <v>0</v>
      </c>
      <c r="Y146" s="2094"/>
      <c r="Z146" s="1314"/>
      <c r="AA146" s="1314"/>
      <c r="AB146" s="1314"/>
      <c r="AC146" s="1314"/>
      <c r="AD146" s="1314"/>
      <c r="AS146"/>
      <c r="AT146"/>
    </row>
    <row r="147" spans="1:46" ht="12.6" customHeight="1" outlineLevel="1">
      <c r="A147" s="2316" t="s">
        <v>2638</v>
      </c>
      <c r="B147" s="2315"/>
      <c r="C147" s="2315"/>
      <c r="D147" s="2315"/>
      <c r="E147" s="2315"/>
      <c r="F147" s="2315"/>
      <c r="G147" s="2315"/>
      <c r="H147" s="2115" t="e">
        <f>CONCATENATE(IF(Skills!H589="Y","M",""),Skills!N589,IF(Skills!I589="Y","Bk",""),IF(Skills!#REF!="Y","Zm",""),IF(Skills!J589="Y","L",""),IF(Skills!K589="Y","Sa",""),IF(Skills!L589&gt;0,"Sa",""),IF(Skills!M589="Y","Sa",""),IF(Skills!F589&lt;&gt;"N","R",""))</f>
        <v>#REF!</v>
      </c>
      <c r="I147" s="2116"/>
      <c r="J147" s="2095">
        <f>Skills!V589</f>
        <v>3</v>
      </c>
      <c r="K147" s="2095"/>
      <c r="L147" s="1326">
        <f>VLOOKUP(J147,'System Lookups'!$J$55:$P$64,IF(O147=" ",3,4))</f>
        <v>0.3</v>
      </c>
      <c r="M147" s="1326"/>
      <c r="N147" s="1326"/>
      <c r="O147" s="2095" t="str">
        <f>IF(ISNA(Skills!$W589),IF(ISBLANK(Skills!$X589)," ",Skills!$X589),+Skills!$W589+Skills!$X589)</f>
        <v xml:space="preserve"> </v>
      </c>
      <c r="P147" s="2095"/>
      <c r="Q147" s="1335">
        <f ca="1">Skills!Y589</f>
        <v>0.1</v>
      </c>
      <c r="R147" s="1393"/>
      <c r="S147" s="1394"/>
      <c r="T147" s="1335">
        <f ca="1">Skills!AA589</f>
        <v>0.1</v>
      </c>
      <c r="U147" s="1406"/>
      <c r="V147" s="1335">
        <f t="shared" ca="1" si="1"/>
        <v>0.4</v>
      </c>
      <c r="W147" s="1406"/>
      <c r="X147" s="2107">
        <f ca="1">(IF(V147&gt;VLOOKUP(J147,'System Lookups'!$J$55:$P$63,6),(((V147-VLOOKUP(J147,'System Lookups'!$J$55:$P$63,6))*100)/20),0))</f>
        <v>0</v>
      </c>
      <c r="Y147" s="2108"/>
      <c r="Z147" s="1828"/>
      <c r="AA147" s="1828"/>
      <c r="AB147" s="1828"/>
      <c r="AC147" s="1828"/>
      <c r="AD147" s="1828"/>
      <c r="AS147"/>
      <c r="AT147"/>
    </row>
    <row r="148" spans="1:46" ht="12.6" customHeight="1" outlineLevel="1">
      <c r="A148" s="2319" t="s">
        <v>2507</v>
      </c>
      <c r="B148" s="2320"/>
      <c r="C148" s="2320"/>
      <c r="D148" s="2320"/>
      <c r="E148" s="2320"/>
      <c r="F148" s="2320"/>
      <c r="G148" s="2320"/>
      <c r="H148" s="2301" t="e">
        <f>CONCATENATE(IF(Skills!H590="Y","M",""),Skills!N590,IF(Skills!I590="Y","Bk",""),IF(Skills!#REF!="Y","Zm",""),IF(Skills!J590="Y","L",""),IF(Skills!K590="Y","Sa",""),IF(Skills!L590&gt;0,"Sa",""),IF(Skills!M590="Y","Sa",""),IF(Skills!F590&lt;&gt;"N","R",""))</f>
        <v>#REF!</v>
      </c>
      <c r="I148" s="2302"/>
      <c r="J148" s="1873">
        <f>Skills!V590</f>
        <v>6</v>
      </c>
      <c r="K148" s="1873"/>
      <c r="L148" s="1324">
        <f>VLOOKUP(J148,'System Lookups'!$J$55:$P$64,IF(O148=" ",3,4))</f>
        <v>0.05</v>
      </c>
      <c r="M148" s="1324"/>
      <c r="N148" s="1324"/>
      <c r="O148" s="1873" t="str">
        <f>IF(ISNA(Skills!$W590),IF(ISBLANK(Skills!$X590)," ",Skills!$X590),+Skills!$W590+Skills!$X590)</f>
        <v xml:space="preserve"> </v>
      </c>
      <c r="P148" s="1873"/>
      <c r="Q148" s="1404">
        <f ca="1">Skills!Y590</f>
        <v>0.08</v>
      </c>
      <c r="R148" s="1393"/>
      <c r="S148" s="1394"/>
      <c r="T148" s="1404">
        <f ca="1">Skills!AA590</f>
        <v>0.08</v>
      </c>
      <c r="U148" s="1405"/>
      <c r="V148" s="1404">
        <f t="shared" ca="1" si="1"/>
        <v>0.13</v>
      </c>
      <c r="W148" s="1405"/>
      <c r="X148" s="2093">
        <f ca="1">(IF(V148&gt;VLOOKUP(J148,'System Lookups'!$J$55:$P$63,6),(((V148-VLOOKUP(J148,'System Lookups'!$J$55:$P$63,6))*100)/20),0))</f>
        <v>0</v>
      </c>
      <c r="Y148" s="2094"/>
      <c r="Z148" s="1314"/>
      <c r="AA148" s="1314"/>
      <c r="AB148" s="1314"/>
      <c r="AC148" s="1314"/>
      <c r="AD148" s="1314"/>
      <c r="AS148"/>
      <c r="AT148"/>
    </row>
    <row r="149" spans="1:46" ht="12.6" customHeight="1" outlineLevel="1">
      <c r="A149" s="2314" t="s">
        <v>396</v>
      </c>
      <c r="B149" s="2315"/>
      <c r="C149" s="2315"/>
      <c r="D149" s="2315"/>
      <c r="E149" s="2315"/>
      <c r="F149" s="2315"/>
      <c r="G149" s="2315"/>
      <c r="H149" s="2115" t="e">
        <f>CONCATENATE(IF(Skills!H591="Y","M",""),Skills!N591,IF(Skills!I591="Y","Bk",""),IF(Skills!#REF!="Y","Zm",""),IF(Skills!J591="Y","L",""),IF(Skills!K591="Y","Sa",""),IF(Skills!L591&gt;0,"Sa",""),IF(Skills!M591="Y","Sa",""),IF(Skills!F591&lt;&gt;"N","R",""))</f>
        <v>#REF!</v>
      </c>
      <c r="I149" s="2116"/>
      <c r="J149" s="2095">
        <f>Skills!V591</f>
        <v>6</v>
      </c>
      <c r="K149" s="2095"/>
      <c r="L149" s="1326">
        <f>VLOOKUP(J149,'System Lookups'!$J$55:$P$64,IF(O149=" ",3,4))</f>
        <v>0.05</v>
      </c>
      <c r="M149" s="1326"/>
      <c r="N149" s="1326"/>
      <c r="O149" s="2095" t="str">
        <f>IF(ISNA(Skills!$W591),IF(ISBLANK(Skills!$X591)," ",Skills!$X591),+Skills!$W591+Skills!$X591)</f>
        <v xml:space="preserve"> </v>
      </c>
      <c r="P149" s="2095"/>
      <c r="Q149" s="1335">
        <f ca="1">Skills!Y591</f>
        <v>0.1</v>
      </c>
      <c r="R149" s="1397"/>
      <c r="S149" s="1398"/>
      <c r="T149" s="1335">
        <f ca="1">Skills!AA591</f>
        <v>0.1</v>
      </c>
      <c r="U149" s="1406"/>
      <c r="V149" s="1335">
        <f t="shared" ca="1" si="1"/>
        <v>0.15000000000000002</v>
      </c>
      <c r="W149" s="1406"/>
      <c r="X149" s="2107">
        <f ca="1">(IF(V149&gt;VLOOKUP(J149,'System Lookups'!$J$55:$P$63,6),(((V149-VLOOKUP(J149,'System Lookups'!$J$55:$P$63,6))*100)/20),0))</f>
        <v>0</v>
      </c>
      <c r="Y149" s="2108"/>
      <c r="Z149" s="1828"/>
      <c r="AA149" s="1828"/>
      <c r="AB149" s="1828"/>
      <c r="AC149" s="1828"/>
      <c r="AD149" s="1828"/>
      <c r="AS149"/>
      <c r="AT149"/>
    </row>
    <row r="150" spans="1:46" ht="12.6" customHeight="1" outlineLevel="1">
      <c r="A150" s="2308" t="s">
        <v>397</v>
      </c>
      <c r="B150" s="2309"/>
      <c r="C150" s="2309"/>
      <c r="D150" s="2309"/>
      <c r="E150" s="2309"/>
      <c r="F150" s="2309"/>
      <c r="G150" s="2309"/>
      <c r="H150" s="2317" t="e">
        <f>CONCATENATE(IF(Skills!H597="Y","M",""),Skills!N597,IF(Skills!I597="Y","Bk",""),IF(Skills!#REF!="Y","Zm",""),IF(Skills!J597="Y","L",""),IF(Skills!K597="Y","Sa",""),IF(Skills!L597&gt;0,"Sa",""),IF(Skills!M597="Y","Sa",""),IF(Skills!F597&lt;&gt;"N","R",""))</f>
        <v>#REF!</v>
      </c>
      <c r="I150" s="2318"/>
      <c r="J150" s="1343">
        <f>Skills!V597</f>
        <v>4</v>
      </c>
      <c r="K150" s="1343"/>
      <c r="L150" s="2216">
        <f>VLOOKUP(J150,'System Lookups'!$J$55:$P$64,IF(O150=" ",3,4))</f>
        <v>0.2</v>
      </c>
      <c r="M150" s="2216"/>
      <c r="N150" s="2216"/>
      <c r="O150" s="1343" t="str">
        <f>IF(ISNA(Skills!$W597),IF(ISBLANK(Skills!$X597)," ",Skills!$X597),+Skills!$W597+Skills!$X597)</f>
        <v xml:space="preserve"> </v>
      </c>
      <c r="P150" s="1343"/>
      <c r="Q150" s="2096">
        <f ca="1">Skills!Y597</f>
        <v>0.1</v>
      </c>
      <c r="R150" s="2310"/>
      <c r="S150" s="2311"/>
      <c r="T150" s="2096">
        <f ca="1">Skills!AA597</f>
        <v>0.1</v>
      </c>
      <c r="U150" s="2097"/>
      <c r="V150" s="2096">
        <f t="shared" ca="1" si="1"/>
        <v>0.30000000000000004</v>
      </c>
      <c r="W150" s="2097"/>
      <c r="X150" s="2214">
        <f ca="1">(IF(V150&gt;VLOOKUP(J150,'System Lookups'!$J$55:$P$63,6),(((V150-VLOOKUP(J150,'System Lookups'!$J$55:$P$63,6))*100)/20),0))</f>
        <v>0</v>
      </c>
      <c r="Y150" s="2215"/>
      <c r="Z150" s="1445"/>
      <c r="AA150" s="1445"/>
      <c r="AB150" s="1445"/>
      <c r="AC150" s="1445"/>
      <c r="AD150" s="1445"/>
      <c r="AG150"/>
      <c r="AH150"/>
      <c r="AI150"/>
      <c r="AJ150"/>
      <c r="AS150"/>
      <c r="AT150"/>
    </row>
    <row r="151" spans="1:46" ht="12.6" customHeight="1" outlineLevel="1">
      <c r="A151" s="2314" t="s">
        <v>398</v>
      </c>
      <c r="B151" s="2315"/>
      <c r="C151" s="2315"/>
      <c r="D151" s="2315"/>
      <c r="E151" s="2315"/>
      <c r="F151" s="2315"/>
      <c r="G151" s="2315"/>
      <c r="H151" s="2115" t="e">
        <f>CONCATENATE(IF(Skills!H652="Y","M",""),Skills!N652,IF(Skills!I652="Y","Bk",""),IF(Skills!#REF!="Y","Zm",""),IF(Skills!J652="Y","L",""),IF(Skills!K652="Y","Sa",""),IF(Skills!L652&gt;0,"Sa",""),IF(Skills!M652="Y","Sa",""),IF(Skills!F652&lt;&gt;"N","R",""))</f>
        <v>#REF!</v>
      </c>
      <c r="I151" s="2116"/>
      <c r="J151" s="2095">
        <f>Skills!V652</f>
        <v>4</v>
      </c>
      <c r="K151" s="2095"/>
      <c r="L151" s="1326">
        <f>VLOOKUP(J151,'System Lookups'!$J$55:$P$64,IF(O151=" ",3,4))</f>
        <v>0.2</v>
      </c>
      <c r="M151" s="1326"/>
      <c r="N151" s="1326"/>
      <c r="O151" s="2095" t="str">
        <f>IF(ISNA(Skills!$W652),IF(ISBLANK(Skills!$X652)," ",Skills!$X652),+Skills!$W652+Skills!$X652)</f>
        <v xml:space="preserve"> </v>
      </c>
      <c r="P151" s="2095"/>
      <c r="Q151" s="1335">
        <f ca="1">Skills!Y652</f>
        <v>0.1</v>
      </c>
      <c r="R151" s="1397"/>
      <c r="S151" s="1398"/>
      <c r="T151" s="1335">
        <f ca="1">Skills!AA652</f>
        <v>0.1</v>
      </c>
      <c r="U151" s="1406"/>
      <c r="V151" s="1335">
        <f t="shared" ca="1" si="1"/>
        <v>0.30000000000000004</v>
      </c>
      <c r="W151" s="1406"/>
      <c r="X151" s="2107">
        <f ca="1">(IF(V151&gt;VLOOKUP(J151,'System Lookups'!$J$55:$P$63,6),(((V151-VLOOKUP(J151,'System Lookups'!$J$55:$P$63,6))*100)/20),0))</f>
        <v>0</v>
      </c>
      <c r="Y151" s="2108"/>
      <c r="Z151" s="1828"/>
      <c r="AA151" s="1828"/>
      <c r="AB151" s="1828"/>
      <c r="AC151" s="1828"/>
      <c r="AD151" s="1828"/>
      <c r="AS151"/>
      <c r="AT151"/>
    </row>
    <row r="152" spans="1:46" ht="12.6" customHeight="1" outlineLevel="1">
      <c r="A152" s="2308" t="s">
        <v>399</v>
      </c>
      <c r="B152" s="2309"/>
      <c r="C152" s="2309"/>
      <c r="D152" s="2309"/>
      <c r="E152" s="2309"/>
      <c r="F152" s="2309"/>
      <c r="G152" s="2309"/>
      <c r="H152" s="2317" t="e">
        <f>CONCATENATE(IF(Skills!H653="Y","M",""),Skills!N653,IF(Skills!I653="Y","Bk",""),IF(Skills!#REF!="Y","Zm",""),IF(Skills!J653="Y","L",""),IF(Skills!K653="Y","Sa",""),IF(Skills!L653&gt;0,"Sa",""),IF(Skills!M653="Y","Sa",""),IF(Skills!F653&lt;&gt;"N","R",""))</f>
        <v>#REF!</v>
      </c>
      <c r="I152" s="2318"/>
      <c r="J152" s="1343">
        <f>Skills!V653</f>
        <v>5</v>
      </c>
      <c r="K152" s="1343"/>
      <c r="L152" s="2216">
        <f>VLOOKUP(J152,'System Lookups'!$J$55:$P$64,IF(O152=" ",3,4))</f>
        <v>0.1</v>
      </c>
      <c r="M152" s="2216"/>
      <c r="N152" s="2216"/>
      <c r="O152" s="1343" t="str">
        <f>IF(ISNA(Skills!$W653),IF(ISBLANK(Skills!$X653)," ",Skills!$X653),+Skills!$W653+Skills!$X653)</f>
        <v xml:space="preserve"> </v>
      </c>
      <c r="P152" s="1343"/>
      <c r="Q152" s="2096">
        <f ca="1">Skills!Y653</f>
        <v>0.1</v>
      </c>
      <c r="R152" s="2310"/>
      <c r="S152" s="2311"/>
      <c r="T152" s="2096">
        <f ca="1">Skills!AA653</f>
        <v>0.1</v>
      </c>
      <c r="U152" s="2097"/>
      <c r="V152" s="2096">
        <f t="shared" ca="1" si="1"/>
        <v>0.2</v>
      </c>
      <c r="W152" s="2097"/>
      <c r="X152" s="2214">
        <f ca="1">(IF(V152&gt;VLOOKUP(J152,'System Lookups'!$J$55:$P$63,6),(((V152-VLOOKUP(J152,'System Lookups'!$J$55:$P$63,6))*100)/20),0))</f>
        <v>0</v>
      </c>
      <c r="Y152" s="2215"/>
      <c r="Z152" s="1445"/>
      <c r="AA152" s="1445"/>
      <c r="AB152" s="1445"/>
      <c r="AC152" s="1445"/>
      <c r="AD152" s="1445"/>
    </row>
    <row r="153" spans="1:46" ht="12.6" customHeight="1" outlineLevel="1">
      <c r="A153" s="2314" t="s">
        <v>3518</v>
      </c>
      <c r="B153" s="2315"/>
      <c r="C153" s="2315"/>
      <c r="D153" s="2315"/>
      <c r="E153" s="2315"/>
      <c r="F153" s="2315"/>
      <c r="G153" s="2315"/>
      <c r="H153" s="2115" t="e">
        <f>CONCATENATE(IF(Skills!H654="Y","M",""),Skills!N654,IF(Skills!I654="Y","Bk",""),IF(Skills!#REF!="Y","Zm",""),IF(Skills!J654="Y","L",""),IF(Skills!K654="Y","Sa",""),IF(Skills!L654&gt;0,"Sa",""),IF(Skills!M654="Y","Sa",""),IF(Skills!F654&lt;&gt;"N","R",""))</f>
        <v>#REF!</v>
      </c>
      <c r="I153" s="2116"/>
      <c r="J153" s="2095">
        <f>Skills!V654</f>
        <v>4</v>
      </c>
      <c r="K153" s="2095"/>
      <c r="L153" s="1326">
        <f>VLOOKUP(J153,'System Lookups'!$J$55:$P$64,IF(O153=" ",3,4))</f>
        <v>0.2</v>
      </c>
      <c r="M153" s="1326"/>
      <c r="N153" s="1326"/>
      <c r="O153" s="2095" t="str">
        <f>IF(ISNA(Skills!$W654),IF(ISBLANK(Skills!$X654)," ",Skills!$X654),+Skills!$W654+Skills!$X654)</f>
        <v xml:space="preserve"> </v>
      </c>
      <c r="P153" s="2095"/>
      <c r="Q153" s="1335">
        <f ca="1">Skills!Y654</f>
        <v>0.1</v>
      </c>
      <c r="R153" s="1397"/>
      <c r="S153" s="1398"/>
      <c r="T153" s="1335">
        <f ca="1">Skills!AA654</f>
        <v>0.1</v>
      </c>
      <c r="U153" s="1406"/>
      <c r="V153" s="1335">
        <f t="shared" ca="1" si="1"/>
        <v>0.30000000000000004</v>
      </c>
      <c r="W153" s="1406"/>
      <c r="X153" s="2107">
        <f ca="1">(IF(V153&gt;VLOOKUP(J153,'System Lookups'!$J$55:$P$63,6),(((V153-VLOOKUP(J153,'System Lookups'!$J$55:$P$63,6))*100)/20),0))</f>
        <v>0</v>
      </c>
      <c r="Y153" s="2108"/>
      <c r="Z153" s="1828"/>
      <c r="AA153" s="1828"/>
      <c r="AB153" s="1828"/>
      <c r="AC153" s="1828"/>
      <c r="AD153" s="1828"/>
    </row>
    <row r="154" spans="1:46" ht="15.75" customHeight="1" outlineLevel="1">
      <c r="A154" s="2303" t="s">
        <v>3538</v>
      </c>
      <c r="B154" s="2304"/>
      <c r="C154" s="2304"/>
      <c r="D154" s="2304"/>
      <c r="E154" s="2304"/>
      <c r="F154" s="2304"/>
      <c r="G154" s="2304"/>
      <c r="H154" s="2317" t="e">
        <f>CONCATENATE(IF(Skills!H655="Y","M",""),Skills!N655,IF(Skills!I654="Y","Bk",""),IF(Skills!#REF!="Y","Zm",""),IF(Skills!J655="Y","L",""),IF(Skills!K655="Y","Sa",""),IF(Skills!L655&gt;0,"Sa",""),IF(Skills!M655="Y","Sa",""),IF(Skills!F655&lt;&gt;"N","R",""))</f>
        <v>#REF!</v>
      </c>
      <c r="I154" s="2318"/>
      <c r="J154" s="1343">
        <f>Skills!V655</f>
        <v>9</v>
      </c>
      <c r="K154" s="1343"/>
      <c r="L154" s="2216">
        <f>VLOOKUP(J154,'System Lookups'!$J$55:$P$64,IF(O154=" ",3,4))</f>
        <v>0.01</v>
      </c>
      <c r="M154" s="2216"/>
      <c r="N154" s="2216"/>
      <c r="O154" s="1343" t="str">
        <f>IF(ISNA(Skills!$W655),IF(ISBLANK(Skills!$X655)," ",Skills!$X655),+Skills!$W655+Skills!$X655)</f>
        <v xml:space="preserve"> </v>
      </c>
      <c r="P154" s="1343"/>
      <c r="Q154" s="2096">
        <f ca="1">Skills!Y655</f>
        <v>0.1</v>
      </c>
      <c r="R154" s="2310"/>
      <c r="S154" s="2311"/>
      <c r="T154" s="2096">
        <f ca="1">Skills!AA655</f>
        <v>0.1</v>
      </c>
      <c r="U154" s="2097"/>
      <c r="V154" s="2096">
        <f t="shared" ca="1" si="1"/>
        <v>0.11</v>
      </c>
      <c r="W154" s="2097"/>
      <c r="X154" s="2214">
        <f ca="1">(IF(V154&gt;VLOOKUP(J154,'System Lookups'!$J$55:$P$63,6),(((V154-VLOOKUP(J154,'System Lookups'!$J$55:$P$63,6))*100)/20),0))</f>
        <v>0</v>
      </c>
      <c r="Y154" s="2215"/>
      <c r="Z154" s="2322" t="s">
        <v>2680</v>
      </c>
      <c r="AA154" s="2323"/>
      <c r="AB154" s="2334" t="str">
        <f>IF(Skills!B662="N","None",IF(Skills!B663="N","Learn","Learn &amp; Wield"))</f>
        <v>None</v>
      </c>
      <c r="AC154" s="2335"/>
      <c r="AD154" s="2336"/>
    </row>
    <row r="155" spans="1:46" ht="11.1" customHeight="1" outlineLevel="1">
      <c r="A155" s="1400" t="s">
        <v>4769</v>
      </c>
      <c r="B155" s="1400"/>
      <c r="C155" s="1400"/>
      <c r="D155" s="1400"/>
      <c r="E155" s="1400"/>
      <c r="F155" s="1400"/>
      <c r="G155" s="1400"/>
      <c r="H155" s="1400"/>
      <c r="I155" s="1400"/>
      <c r="J155" s="1400"/>
      <c r="K155" s="1400"/>
      <c r="L155" s="1400"/>
      <c r="M155" s="1400"/>
      <c r="N155" s="1400"/>
      <c r="O155" s="1400"/>
      <c r="P155" s="1400"/>
      <c r="Q155" s="1400"/>
      <c r="R155" s="1400"/>
      <c r="S155" s="1400"/>
      <c r="T155" s="1400"/>
      <c r="U155" s="1400"/>
      <c r="V155" s="1400"/>
      <c r="W155" s="1400"/>
      <c r="X155" s="1400"/>
      <c r="Y155" s="1400"/>
      <c r="Z155" s="1400"/>
      <c r="AA155" s="1400"/>
      <c r="AB155" s="1400"/>
      <c r="AC155" s="1400"/>
      <c r="AD155" s="1400"/>
      <c r="AE155" s="62"/>
      <c r="AF155" s="62"/>
    </row>
    <row r="156" spans="1:46" ht="12.6" customHeight="1" outlineLevel="1">
      <c r="A156" s="1870"/>
      <c r="B156" s="2109"/>
      <c r="C156" s="2109"/>
      <c r="D156" s="2109"/>
      <c r="E156" s="2109"/>
      <c r="F156" s="1872"/>
      <c r="G156" s="1870"/>
      <c r="H156" s="1871"/>
      <c r="I156" s="1871"/>
      <c r="J156" s="1871"/>
      <c r="K156" s="2321"/>
      <c r="L156" s="2132"/>
      <c r="M156" s="2132"/>
      <c r="N156" s="1870"/>
      <c r="O156" s="1872"/>
      <c r="P156" s="2132" t="s">
        <v>4719</v>
      </c>
      <c r="Q156" s="2132"/>
      <c r="R156" s="2132" t="s">
        <v>3142</v>
      </c>
      <c r="S156" s="2132"/>
      <c r="T156" s="1870"/>
      <c r="U156" s="1871"/>
      <c r="V156" s="1872"/>
      <c r="W156" s="1870"/>
      <c r="X156" s="1871"/>
      <c r="Y156" s="1872"/>
      <c r="Z156" s="2500" t="s">
        <v>2238</v>
      </c>
      <c r="AA156" s="1538"/>
      <c r="AB156" s="1538"/>
      <c r="AC156" s="1538"/>
      <c r="AD156" s="1539"/>
    </row>
    <row r="157" spans="1:46" ht="12.6" customHeight="1" outlineLevel="1">
      <c r="A157" s="1414" t="s">
        <v>4770</v>
      </c>
      <c r="B157" s="1415"/>
      <c r="C157" s="1415"/>
      <c r="D157" s="1415"/>
      <c r="E157" s="1415"/>
      <c r="F157" s="1416"/>
      <c r="G157" s="2090" t="s">
        <v>4771</v>
      </c>
      <c r="H157" s="2090"/>
      <c r="I157" s="2090"/>
      <c r="J157" s="2090"/>
      <c r="K157" s="2090"/>
      <c r="L157" s="2090" t="s">
        <v>81</v>
      </c>
      <c r="M157" s="2090"/>
      <c r="N157" s="1414" t="s">
        <v>3047</v>
      </c>
      <c r="O157" s="1416"/>
      <c r="P157" s="2090" t="s">
        <v>5217</v>
      </c>
      <c r="Q157" s="2090"/>
      <c r="R157" s="2090" t="s">
        <v>5217</v>
      </c>
      <c r="S157" s="2090"/>
      <c r="T157" s="2090" t="s">
        <v>3143</v>
      </c>
      <c r="U157" s="2090"/>
      <c r="V157" s="2090"/>
      <c r="W157" s="1414" t="s">
        <v>3144</v>
      </c>
      <c r="X157" s="1415"/>
      <c r="Y157" s="1862"/>
      <c r="Z157" s="1540"/>
      <c r="AA157" s="1541"/>
      <c r="AB157" s="1541"/>
      <c r="AC157" s="1541"/>
      <c r="AD157" s="1542"/>
    </row>
    <row r="158" spans="1:46" ht="12.6" customHeight="1" outlineLevel="1">
      <c r="A158" s="2122" t="s">
        <v>5103</v>
      </c>
      <c r="B158" s="2123"/>
      <c r="C158" s="2123"/>
      <c r="D158" s="2123"/>
      <c r="E158" s="2123"/>
      <c r="F158" s="2124"/>
      <c r="G158" s="1760" t="s">
        <v>4819</v>
      </c>
      <c r="H158" s="1760"/>
      <c r="I158" s="1760"/>
      <c r="J158" s="1760"/>
      <c r="K158" s="1760"/>
      <c r="L158" s="1546" t="str">
        <f>IF(($A$114="none")," ",2)</f>
        <v xml:space="preserve"> </v>
      </c>
      <c r="M158" s="1546"/>
      <c r="N158" s="2133" t="str">
        <f>IF(($A$114="none")," ",VLOOKUP(Magick!$A$3,Magick!$AD$5:$AQ$46,6))</f>
        <v xml:space="preserve"> </v>
      </c>
      <c r="O158" s="2134"/>
      <c r="P158" s="1546" t="str">
        <f>IF(($A$114="none")," ",3)</f>
        <v xml:space="preserve"> </v>
      </c>
      <c r="Q158" s="1546"/>
      <c r="R158" s="2325" t="str">
        <f>IF(($A$114="none")," ","30 min.")</f>
        <v xml:space="preserve"> </v>
      </c>
      <c r="S158" s="1421"/>
      <c r="T158" s="1318" t="str">
        <f>IF(($A$114="none")," ",CONCATENATE(IF(Magick!$C$3&gt;0,Magick!$C$3," ")," ft."))</f>
        <v xml:space="preserve"> </v>
      </c>
      <c r="U158" s="1420"/>
      <c r="V158" s="1421"/>
      <c r="W158" s="1318" t="str">
        <f>IF(($A$114="none")," ","Permanent")</f>
        <v xml:space="preserve"> </v>
      </c>
      <c r="X158" s="1420"/>
      <c r="Y158" s="1421"/>
      <c r="Z158" s="2207"/>
      <c r="AA158" s="2208"/>
      <c r="AB158" s="2208"/>
      <c r="AC158" s="2208"/>
      <c r="AD158" s="2209"/>
    </row>
    <row r="159" spans="1:46" ht="12.6" customHeight="1" outlineLevel="1">
      <c r="A159" s="1368" t="s">
        <v>5104</v>
      </c>
      <c r="B159" s="2120"/>
      <c r="C159" s="2120"/>
      <c r="D159" s="2120"/>
      <c r="E159" s="2120"/>
      <c r="F159" s="2121"/>
      <c r="G159" s="1788" t="s">
        <v>4819</v>
      </c>
      <c r="H159" s="1788"/>
      <c r="I159" s="1788"/>
      <c r="J159" s="1788"/>
      <c r="K159" s="1788"/>
      <c r="L159" s="1363" t="str">
        <f>IF(($A$114="none")," ",3)</f>
        <v xml:space="preserve"> </v>
      </c>
      <c r="M159" s="1363"/>
      <c r="N159" s="1427" t="str">
        <f>IF(($A$114="none")," ",VLOOKUP(Magick!$A$3,Magick!$AD$5:$AQ$46,6))</f>
        <v xml:space="preserve"> </v>
      </c>
      <c r="O159" s="1782"/>
      <c r="P159" s="1363" t="str">
        <f>IF(($A$114="none")," ",5)</f>
        <v xml:space="preserve"> </v>
      </c>
      <c r="Q159" s="1363"/>
      <c r="R159" s="1411" t="str">
        <f>IF(($A$114="none")," ",VLOOKUP(VLOOKUP(Magick!$A$3,Magick!$AD$5:$AU$48,9)*100,magestuff!$B$134:$F$138,4))</f>
        <v xml:space="preserve"> </v>
      </c>
      <c r="S159" s="1772"/>
      <c r="T159" s="1411" t="str">
        <f>IF(($A$114="none")," ",CONCATENATE(IF(Magick!$C$3&gt;0,Magick!$C$3," ")," items/people"))</f>
        <v xml:space="preserve"> </v>
      </c>
      <c r="U159" s="1771"/>
      <c r="V159" s="1772"/>
      <c r="W159" s="1411" t="str">
        <f>IF(($A$114="none")," ","1 hour")</f>
        <v xml:space="preserve"> </v>
      </c>
      <c r="X159" s="1771"/>
      <c r="Y159" s="1772"/>
      <c r="Z159" s="1369"/>
      <c r="AA159" s="2135"/>
      <c r="AB159" s="2135"/>
      <c r="AC159" s="2135"/>
      <c r="AD159" s="2136"/>
    </row>
    <row r="160" spans="1:46" ht="12.6" customHeight="1" outlineLevel="1">
      <c r="A160" s="2122" t="s">
        <v>5105</v>
      </c>
      <c r="B160" s="2123"/>
      <c r="C160" s="2123"/>
      <c r="D160" s="2123"/>
      <c r="E160" s="2123"/>
      <c r="F160" s="2124"/>
      <c r="G160" s="1760" t="s">
        <v>4819</v>
      </c>
      <c r="H160" s="1760"/>
      <c r="I160" s="1760"/>
      <c r="J160" s="1760"/>
      <c r="K160" s="1760"/>
      <c r="L160" s="1546" t="str">
        <f>IF(($A$114="none")," ",1)</f>
        <v xml:space="preserve"> </v>
      </c>
      <c r="M160" s="1546"/>
      <c r="N160" s="2133" t="str">
        <f>IF(($A$114="none")," ",VLOOKUP(Magick!$A$3,Magick!$AD$5:$AQ$46,6))</f>
        <v xml:space="preserve"> </v>
      </c>
      <c r="O160" s="2134"/>
      <c r="P160" s="1546" t="str">
        <f>IF(($A$114="none")," ",2)</f>
        <v xml:space="preserve"> </v>
      </c>
      <c r="Q160" s="1546"/>
      <c r="R160" s="1318" t="str">
        <f>IF(($A$114="none")," ",VLOOKUP(VLOOKUP(Magick!$A$3,Magick!$AD$5:$AU$48,9)*100,magestuff!$B$134:$F$138,2))</f>
        <v xml:space="preserve"> </v>
      </c>
      <c r="S160" s="1421"/>
      <c r="T160" s="1318" t="str">
        <f>IF(($A$114="none")," ",CONCATENATE(IF(Magick!$C$3&gt;0,Magick!$C$3*10," ")," ft."))</f>
        <v xml:space="preserve"> </v>
      </c>
      <c r="U160" s="1420"/>
      <c r="V160" s="1421"/>
      <c r="W160" s="1318" t="str">
        <f>IF(($A$114="none")," ","Until casting")</f>
        <v xml:space="preserve"> </v>
      </c>
      <c r="X160" s="1420"/>
      <c r="Y160" s="1421"/>
      <c r="Z160" s="2207"/>
      <c r="AA160" s="2208"/>
      <c r="AB160" s="2208"/>
      <c r="AC160" s="2208"/>
      <c r="AD160" s="2209"/>
    </row>
    <row r="161" spans="1:94" ht="12.6" customHeight="1" outlineLevel="1">
      <c r="A161" s="1368" t="s">
        <v>4355</v>
      </c>
      <c r="B161" s="2120"/>
      <c r="C161" s="2120"/>
      <c r="D161" s="2120"/>
      <c r="E161" s="2120"/>
      <c r="F161" s="2121"/>
      <c r="G161" s="1788" t="s">
        <v>4819</v>
      </c>
      <c r="H161" s="1788"/>
      <c r="I161" s="1788"/>
      <c r="J161" s="1788"/>
      <c r="K161" s="1788"/>
      <c r="L161" s="1363" t="str">
        <f>IF(($A$114="none")," ",3)</f>
        <v xml:space="preserve"> </v>
      </c>
      <c r="M161" s="1363"/>
      <c r="N161" s="1427" t="str">
        <f>IF(($A$114="none")," ",VLOOKUP(Magick!$A$3,Magick!$AD$5:$AQ$46,6))</f>
        <v xml:space="preserve"> </v>
      </c>
      <c r="O161" s="1782"/>
      <c r="P161" s="1363" t="str">
        <f>IF(($A$114="none")," ","Variable")</f>
        <v xml:space="preserve"> </v>
      </c>
      <c r="Q161" s="1363"/>
      <c r="R161" s="1411" t="str">
        <f>IF(($A$114="none")," ",VLOOKUP(VLOOKUP(Magick!$A$3,Magick!$AD$5:$AU$48,9)*100,magestuff!$B$134:$F$138,2))</f>
        <v xml:space="preserve"> </v>
      </c>
      <c r="S161" s="1772"/>
      <c r="T161" s="1411" t="str">
        <f>IF(($A$114="none")," ","-")</f>
        <v xml:space="preserve"> </v>
      </c>
      <c r="U161" s="1771"/>
      <c r="V161" s="1772"/>
      <c r="W161" s="1411" t="str">
        <f>IF(($A$114="none")," ","-")</f>
        <v xml:space="preserve"> </v>
      </c>
      <c r="X161" s="1771"/>
      <c r="Y161" s="1772"/>
      <c r="Z161" s="1369"/>
      <c r="AA161" s="2135"/>
      <c r="AB161" s="2135"/>
      <c r="AC161" s="2135"/>
      <c r="AD161" s="2136"/>
      <c r="BM161" s="107" t="s">
        <v>1667</v>
      </c>
      <c r="BN161" s="107"/>
      <c r="BO161" s="107"/>
      <c r="BP161" s="107"/>
      <c r="BQ161" s="107"/>
      <c r="BR161" s="107"/>
      <c r="BS161" s="107"/>
      <c r="BT161" s="107"/>
      <c r="BU161" s="107"/>
      <c r="BV161" s="107"/>
      <c r="BW161" s="107"/>
      <c r="BX161" s="107"/>
      <c r="BY161" s="107"/>
      <c r="BZ161" s="107"/>
      <c r="CA161" s="107"/>
      <c r="CB161" s="107"/>
      <c r="CC161" s="107"/>
      <c r="CD161" s="1365" t="s">
        <v>2251</v>
      </c>
      <c r="CE161" s="1366"/>
      <c r="CF161" s="1366"/>
      <c r="CG161" s="1367" t="s">
        <v>2252</v>
      </c>
      <c r="CH161" s="1296"/>
      <c r="CI161" s="1368" t="s">
        <v>2253</v>
      </c>
      <c r="CJ161" s="1298"/>
      <c r="CK161" s="1298"/>
      <c r="CL161" s="1298"/>
      <c r="CM161" s="1296"/>
      <c r="CN161" s="1368" t="s">
        <v>2254</v>
      </c>
      <c r="CO161" s="1298"/>
      <c r="CP161" s="1296"/>
    </row>
    <row r="162" spans="1:94" ht="12.6" customHeight="1" outlineLevel="1">
      <c r="A162" s="2122" t="s">
        <v>4356</v>
      </c>
      <c r="B162" s="2123"/>
      <c r="C162" s="2123"/>
      <c r="D162" s="2123"/>
      <c r="E162" s="2123"/>
      <c r="F162" s="2124"/>
      <c r="G162" s="1760" t="s">
        <v>4819</v>
      </c>
      <c r="H162" s="1760"/>
      <c r="I162" s="1760"/>
      <c r="J162" s="1760"/>
      <c r="K162" s="1760"/>
      <c r="L162" s="1546" t="str">
        <f>IF(($A$114="none")," ",1)</f>
        <v xml:space="preserve"> </v>
      </c>
      <c r="M162" s="1546"/>
      <c r="N162" s="2133" t="str">
        <f>IF(($A$114="none")," ",VLOOKUP(Magick!$A$3,Magick!$AD$5:$AQ$46,6))</f>
        <v xml:space="preserve"> </v>
      </c>
      <c r="O162" s="2134"/>
      <c r="P162" s="1546" t="str">
        <f>IF(($A$114="none")," ",2)</f>
        <v xml:space="preserve"> </v>
      </c>
      <c r="Q162" s="1546"/>
      <c r="R162" s="1318" t="str">
        <f>IF(($A$114="none")," ","I.E.")</f>
        <v xml:space="preserve"> </v>
      </c>
      <c r="S162" s="1421"/>
      <c r="T162" s="1318" t="str">
        <f>IF(($A$114="none")," ",CONCATENATE(IF(Magick!$C$3&gt;0,Magick!$C$3*10," ")," ft."))</f>
        <v xml:space="preserve"> </v>
      </c>
      <c r="U162" s="1420"/>
      <c r="V162" s="1421"/>
      <c r="W162" s="1318" t="str">
        <f>IF(($A$114="none")," ",CONCATENATE(IF(Magick!$C$3&gt;0,Magick!$C$3," ")," days"))</f>
        <v xml:space="preserve"> </v>
      </c>
      <c r="X162" s="1420"/>
      <c r="Y162" s="1421"/>
      <c r="Z162" s="2207"/>
      <c r="AA162" s="2208"/>
      <c r="AB162" s="2208"/>
      <c r="AC162" s="2208"/>
      <c r="AD162" s="2209"/>
      <c r="BM162" s="107" t="s">
        <v>1668</v>
      </c>
      <c r="BN162" s="107"/>
      <c r="BO162" s="107"/>
      <c r="BP162" s="107"/>
      <c r="BQ162" s="107"/>
      <c r="BR162" s="107"/>
      <c r="BS162" s="107"/>
      <c r="BT162" s="107"/>
      <c r="BU162" s="107"/>
      <c r="BV162" s="107"/>
      <c r="BW162" s="107"/>
      <c r="BX162" s="107"/>
      <c r="BY162" s="107"/>
      <c r="BZ162" s="107"/>
      <c r="CA162" s="107"/>
      <c r="CB162" s="107"/>
      <c r="CC162" s="107"/>
      <c r="CD162" s="1316" t="s">
        <v>4771</v>
      </c>
      <c r="CE162" s="1317"/>
      <c r="CF162" s="1317"/>
      <c r="CG162" s="1318" t="s">
        <v>589</v>
      </c>
      <c r="CH162" s="1296"/>
      <c r="CI162" s="1032" t="s">
        <v>6072</v>
      </c>
      <c r="CJ162" s="1031"/>
      <c r="CK162" s="1031"/>
      <c r="CL162" s="1031"/>
      <c r="CM162" s="1030"/>
      <c r="CN162" s="1323" t="str">
        <f>'Master Spell List'!A3</f>
        <v>Common</v>
      </c>
      <c r="CO162" s="1298"/>
      <c r="CP162" s="1296"/>
    </row>
    <row r="163" spans="1:94" ht="12.6" customHeight="1" outlineLevel="1">
      <c r="A163" s="1368" t="s">
        <v>4357</v>
      </c>
      <c r="B163" s="2120"/>
      <c r="C163" s="2120"/>
      <c r="D163" s="2120"/>
      <c r="E163" s="2120"/>
      <c r="F163" s="2121"/>
      <c r="G163" s="1788" t="s">
        <v>4819</v>
      </c>
      <c r="H163" s="1788"/>
      <c r="I163" s="1788"/>
      <c r="J163" s="1788"/>
      <c r="K163" s="1788"/>
      <c r="L163" s="1363" t="str">
        <f>IF(($A$114="none")," ",3)</f>
        <v xml:space="preserve"> </v>
      </c>
      <c r="M163" s="1363"/>
      <c r="N163" s="1427" t="str">
        <f>IF(($A$114="none")," ",VLOOKUP(Magick!$A$3,Magick!$AD$5:$AQ$46,6))</f>
        <v xml:space="preserve"> </v>
      </c>
      <c r="O163" s="1782"/>
      <c r="P163" s="1363" t="str">
        <f>IF(($A$114="none")," ",5)</f>
        <v xml:space="preserve"> </v>
      </c>
      <c r="Q163" s="1363"/>
      <c r="R163" s="1411" t="str">
        <f>IF(($A$114="none")," ","I.E.")</f>
        <v xml:space="preserve"> </v>
      </c>
      <c r="S163" s="1772"/>
      <c r="T163" s="1411" t="str">
        <f>IF(($A$114="none")," ",CONCATENATE(IF(Magick!$C$3&gt;0,Magick!$C$3*100," ")," ft."))</f>
        <v xml:space="preserve"> </v>
      </c>
      <c r="U163" s="1771"/>
      <c r="V163" s="1772"/>
      <c r="W163" s="1411" t="str">
        <f>IF(($A$114="none")," ","Variable")</f>
        <v xml:space="preserve"> </v>
      </c>
      <c r="X163" s="1771"/>
      <c r="Y163" s="1772"/>
      <c r="Z163" s="1369"/>
      <c r="AA163" s="2135"/>
      <c r="AB163" s="2135"/>
      <c r="AC163" s="2135"/>
      <c r="AD163" s="2136"/>
      <c r="BM163" s="107" t="s">
        <v>2527</v>
      </c>
      <c r="BN163" s="107"/>
      <c r="BO163" s="107"/>
      <c r="BP163" s="107"/>
      <c r="BQ163" s="107"/>
      <c r="BR163" s="107"/>
      <c r="BS163" s="107"/>
      <c r="BT163" s="107"/>
      <c r="BU163" s="107"/>
      <c r="BV163" s="107"/>
      <c r="BW163" s="107"/>
      <c r="BX163" s="107"/>
      <c r="BY163" s="107"/>
      <c r="BZ163" s="107"/>
      <c r="CA163" s="107"/>
      <c r="CB163" s="107"/>
      <c r="CC163" s="107"/>
      <c r="CD163" s="1316" t="s">
        <v>4770</v>
      </c>
      <c r="CE163" s="1317"/>
      <c r="CF163" s="1317"/>
      <c r="CG163" s="1318" t="s">
        <v>589</v>
      </c>
      <c r="CH163" s="1296"/>
      <c r="CI163" s="1032" t="s">
        <v>6073</v>
      </c>
      <c r="CJ163" s="1031"/>
      <c r="CK163" s="1031"/>
      <c r="CL163" s="1031"/>
      <c r="CM163" s="1030"/>
      <c r="CN163" s="1323" t="str">
        <f>'Master Spell List'!A9</f>
        <v>Enchant Materials</v>
      </c>
      <c r="CO163" s="1298"/>
      <c r="CP163" s="1296"/>
    </row>
    <row r="164" spans="1:94" ht="12.6" customHeight="1" outlineLevel="1">
      <c r="A164" s="2122" t="s">
        <v>4358</v>
      </c>
      <c r="B164" s="2123"/>
      <c r="C164" s="2123"/>
      <c r="D164" s="2123"/>
      <c r="E164" s="2123"/>
      <c r="F164" s="2124"/>
      <c r="G164" s="1760" t="s">
        <v>4819</v>
      </c>
      <c r="H164" s="1760"/>
      <c r="I164" s="1760"/>
      <c r="J164" s="1760"/>
      <c r="K164" s="1760"/>
      <c r="L164" s="1546" t="str">
        <f>IF(($A$114="none")," ",3)</f>
        <v xml:space="preserve"> </v>
      </c>
      <c r="M164" s="1546"/>
      <c r="N164" s="2133" t="str">
        <f>IF(($A$114="none")," ",VLOOKUP(Magick!$A$3,Magick!$AD$5:$AQ$46,6))</f>
        <v xml:space="preserve"> </v>
      </c>
      <c r="O164" s="2134"/>
      <c r="P164" s="1546" t="str">
        <f>IF(($A$114="none")," ",5)</f>
        <v xml:space="preserve"> </v>
      </c>
      <c r="Q164" s="1546"/>
      <c r="R164" s="1318" t="str">
        <f>IF(($A$114="none")," ",VLOOKUP(VLOOKUP(Magick!$A$3,Magick!$AD$5:$AU$48,9)*100,magestuff!$B$134:$F$138,4))</f>
        <v xml:space="preserve"> </v>
      </c>
      <c r="S164" s="1421"/>
      <c r="T164" s="1318" t="str">
        <f>IF(($A$114="none")," ",CONCATENATE(IF(Magick!$C$3&gt;0,Magick!$C$3," ")," people"))</f>
        <v xml:space="preserve"> </v>
      </c>
      <c r="U164" s="1420"/>
      <c r="V164" s="1421"/>
      <c r="W164" s="1318" t="str">
        <f>IF(($A$114="none")," ","1 hour")</f>
        <v xml:space="preserve"> </v>
      </c>
      <c r="X164" s="1420"/>
      <c r="Y164" s="1421"/>
      <c r="Z164" s="2207"/>
      <c r="AA164" s="2208"/>
      <c r="AB164" s="2208"/>
      <c r="AC164" s="2208"/>
      <c r="AD164" s="2209"/>
      <c r="BM164" s="107" t="s">
        <v>2528</v>
      </c>
      <c r="BN164" s="107"/>
      <c r="BO164" s="107"/>
      <c r="BP164" s="107"/>
      <c r="BQ164" s="107"/>
      <c r="BR164" s="107"/>
      <c r="BS164" s="107"/>
      <c r="BT164" s="107"/>
      <c r="BU164" s="107"/>
      <c r="BV164" s="107"/>
      <c r="BW164" s="107"/>
      <c r="BX164" s="107"/>
      <c r="BY164" s="107"/>
      <c r="BZ164" s="107"/>
      <c r="CA164" s="107"/>
      <c r="CB164" s="107"/>
      <c r="CC164" s="107"/>
      <c r="CD164" s="1316" t="s">
        <v>81</v>
      </c>
      <c r="CE164" s="1317"/>
      <c r="CF164" s="1317"/>
      <c r="CG164" s="1318" t="s">
        <v>178</v>
      </c>
      <c r="CH164" s="1296"/>
      <c r="CI164" s="1032" t="s">
        <v>6074</v>
      </c>
      <c r="CJ164" s="1031"/>
      <c r="CK164" s="1031"/>
      <c r="CL164" s="1031"/>
      <c r="CM164" s="1030"/>
      <c r="CN164" s="1323">
        <f>'Master Spell List'!C9</f>
        <v>2</v>
      </c>
      <c r="CO164" s="1298"/>
      <c r="CP164" s="1296"/>
    </row>
    <row r="165" spans="1:94" ht="12.6" customHeight="1" outlineLevel="1">
      <c r="A165" s="2220" t="s">
        <v>2435</v>
      </c>
      <c r="B165" s="2221"/>
      <c r="C165" s="2221"/>
      <c r="D165" s="2221"/>
      <c r="E165" s="2221"/>
      <c r="F165" s="2222"/>
      <c r="G165" s="1788" t="s">
        <v>4819</v>
      </c>
      <c r="H165" s="1788"/>
      <c r="I165" s="1788"/>
      <c r="J165" s="1788"/>
      <c r="K165" s="1788"/>
      <c r="L165" s="1363" t="str">
        <f>IF(($A$114="none")," ",7)</f>
        <v xml:space="preserve"> </v>
      </c>
      <c r="M165" s="1363"/>
      <c r="N165" s="1427" t="str">
        <f>IF(($A$114="none")," ",VLOOKUP(Magick!$A$3,Magick!$AD$5:$AQ$46,6))</f>
        <v xml:space="preserve"> </v>
      </c>
      <c r="O165" s="1782"/>
      <c r="P165" s="1363" t="str">
        <f>IF(($A$114="none")," ","Variable")</f>
        <v xml:space="preserve"> </v>
      </c>
      <c r="Q165" s="1363"/>
      <c r="R165" s="1411" t="str">
        <f>IF(($A$114="none")," ",VLOOKUP(VLOOKUP(Magick!$A$3,Magick!$AD$5:$AU$48,9)*100,magestuff!$B$134:$F$138,2))</f>
        <v xml:space="preserve"> </v>
      </c>
      <c r="S165" s="1772"/>
      <c r="T165" s="1411" t="str">
        <f>IF(($A$114="none")," ","Variable")</f>
        <v xml:space="preserve"> </v>
      </c>
      <c r="U165" s="1771"/>
      <c r="V165" s="1772"/>
      <c r="W165" s="1411" t="str">
        <f>IF(($A$114="none")," ","Variable")</f>
        <v xml:space="preserve"> </v>
      </c>
      <c r="X165" s="1771"/>
      <c r="Y165" s="1772"/>
      <c r="Z165" s="1369"/>
      <c r="AA165" s="2135"/>
      <c r="AB165" s="2135"/>
      <c r="AC165" s="2135"/>
      <c r="AD165" s="2136"/>
      <c r="BM165" s="107" t="s">
        <v>2529</v>
      </c>
      <c r="BN165" s="107"/>
      <c r="BO165" s="107"/>
      <c r="BP165" s="107"/>
      <c r="BQ165" s="107"/>
      <c r="BR165" s="107"/>
      <c r="BS165" s="107"/>
      <c r="BT165" s="107"/>
      <c r="BU165" s="107"/>
      <c r="BV165" s="107"/>
      <c r="BW165" s="107"/>
      <c r="BX165" s="107"/>
      <c r="BY165" s="107"/>
      <c r="BZ165" s="107"/>
      <c r="CA165" s="107"/>
      <c r="CB165" s="107"/>
      <c r="CC165" s="107"/>
      <c r="CD165" s="1316" t="s">
        <v>209</v>
      </c>
      <c r="CE165" s="1317"/>
      <c r="CF165" s="1317"/>
      <c r="CG165" s="1318" t="s">
        <v>5221</v>
      </c>
      <c r="CH165" s="1296"/>
      <c r="CI165" s="1032" t="s">
        <v>6075</v>
      </c>
      <c r="CJ165" s="1031"/>
      <c r="CK165" s="1031"/>
      <c r="CL165" s="1031"/>
      <c r="CM165" s="1030"/>
      <c r="CN165" s="1319">
        <f>'Master Spell List'!M9</f>
        <v>0.1</v>
      </c>
      <c r="CO165" s="1298"/>
      <c r="CP165" s="1296"/>
    </row>
    <row r="166" spans="1:94" ht="12.6" customHeight="1" outlineLevel="1">
      <c r="A166" s="1763" t="s">
        <v>4359</v>
      </c>
      <c r="B166" s="2118"/>
      <c r="C166" s="2118"/>
      <c r="D166" s="2118"/>
      <c r="E166" s="2118"/>
      <c r="F166" s="2119"/>
      <c r="G166" s="2307" t="s">
        <v>4062</v>
      </c>
      <c r="H166" s="2307"/>
      <c r="I166" s="2307"/>
      <c r="J166" s="2307"/>
      <c r="K166" s="2307"/>
      <c r="L166" s="1361" t="str">
        <f>IF(($A$114="none")," ",1)</f>
        <v xml:space="preserve"> </v>
      </c>
      <c r="M166" s="1361"/>
      <c r="N166" s="1422" t="str">
        <f>IF(($A$114="none")," ",VLOOKUP(Magick!$A$3,Magick!$AD$5:$AQ$46,6))</f>
        <v xml:space="preserve"> </v>
      </c>
      <c r="O166" s="1424"/>
      <c r="P166" s="1361" t="str">
        <f>IF(($A$114="none")," ",2)</f>
        <v xml:space="preserve"> </v>
      </c>
      <c r="Q166" s="1361"/>
      <c r="R166" s="1438" t="str">
        <f>IF(($A$114="none")," ",VLOOKUP(VLOOKUP(Magick!$A$3,Magick!$AD$5:$AU$48,9)*100,magestuff!$B$134:$F$138,2))</f>
        <v xml:space="preserve"> </v>
      </c>
      <c r="S166" s="1439"/>
      <c r="T166" s="1438" t="str">
        <f>IF(($A$114="none")," ","-")</f>
        <v xml:space="preserve"> </v>
      </c>
      <c r="U166" s="1440"/>
      <c r="V166" s="1439"/>
      <c r="W166" s="1438" t="str">
        <f t="shared" ref="W166:W171" si="2">IF(($A$114="none")," ","-")</f>
        <v xml:space="preserve"> </v>
      </c>
      <c r="X166" s="1440"/>
      <c r="Y166" s="1439"/>
      <c r="Z166" s="1364"/>
      <c r="AA166" s="1428"/>
      <c r="AB166" s="1428"/>
      <c r="AC166" s="1428"/>
      <c r="AD166" s="1429"/>
      <c r="BM166" s="518" t="s">
        <v>2392</v>
      </c>
      <c r="BN166" s="518"/>
      <c r="BO166" s="518"/>
      <c r="BP166" s="518"/>
      <c r="BQ166" s="518"/>
      <c r="BR166" s="518"/>
      <c r="BS166" s="518"/>
      <c r="BT166" s="518"/>
      <c r="BU166" s="518"/>
      <c r="BV166" s="518"/>
      <c r="BW166" s="518"/>
      <c r="BX166" s="518"/>
      <c r="BY166" s="518"/>
      <c r="BZ166" s="518"/>
      <c r="CA166" s="518"/>
      <c r="CB166" s="518"/>
      <c r="CC166" s="518"/>
      <c r="CD166" s="1316" t="s">
        <v>3605</v>
      </c>
      <c r="CE166" s="1317"/>
      <c r="CF166" s="1317"/>
      <c r="CG166" s="1318" t="s">
        <v>4623</v>
      </c>
      <c r="CH166" s="1296"/>
      <c r="CI166" s="1032" t="s">
        <v>6076</v>
      </c>
      <c r="CJ166" s="1031"/>
      <c r="CK166" s="1031"/>
      <c r="CL166" s="1031"/>
      <c r="CM166" s="1030"/>
      <c r="CN166" s="1319" t="str">
        <f>'Master Spell List'!F9</f>
        <v>Y</v>
      </c>
      <c r="CO166" s="1298"/>
      <c r="CP166" s="1296"/>
    </row>
    <row r="167" spans="1:94" ht="12.6" customHeight="1" outlineLevel="1">
      <c r="A167" s="1368" t="s">
        <v>4360</v>
      </c>
      <c r="B167" s="2120"/>
      <c r="C167" s="2120"/>
      <c r="D167" s="2120"/>
      <c r="E167" s="2120"/>
      <c r="F167" s="2121"/>
      <c r="G167" s="1788" t="s">
        <v>4062</v>
      </c>
      <c r="H167" s="1788"/>
      <c r="I167" s="1788"/>
      <c r="J167" s="1788"/>
      <c r="K167" s="1788"/>
      <c r="L167" s="1363" t="str">
        <f>IF(($A$114="none")," ",1)</f>
        <v xml:space="preserve"> </v>
      </c>
      <c r="M167" s="1363"/>
      <c r="N167" s="1427" t="str">
        <f>IF(($A$114="none")," ",VLOOKUP(Magick!$A$3,Magick!$AD$5:$AQ$46,6))</f>
        <v xml:space="preserve"> </v>
      </c>
      <c r="O167" s="1782"/>
      <c r="P167" s="1363" t="str">
        <f>IF(($A$114="none")," ",2)</f>
        <v xml:space="preserve"> </v>
      </c>
      <c r="Q167" s="1363"/>
      <c r="R167" s="1411" t="str">
        <f>IF(($A$114="none")," ",VLOOKUP(VLOOKUP(Magick!$A$3,Magick!$AD$5:$AU$48,9)*100,magestuff!$B$134:$F$138,2))</f>
        <v xml:space="preserve"> </v>
      </c>
      <c r="S167" s="1772"/>
      <c r="T167" s="1411" t="str">
        <f>IF(($A$114="none")," ","-")</f>
        <v xml:space="preserve"> </v>
      </c>
      <c r="U167" s="1771"/>
      <c r="V167" s="1772"/>
      <c r="W167" s="1411" t="str">
        <f t="shared" si="2"/>
        <v xml:space="preserve"> </v>
      </c>
      <c r="X167" s="1771"/>
      <c r="Y167" s="1772"/>
      <c r="Z167" s="1386"/>
      <c r="AA167" s="2137"/>
      <c r="AB167" s="2137"/>
      <c r="AC167" s="2137"/>
      <c r="AD167" s="2138"/>
      <c r="BM167" s="518" t="s">
        <v>4395</v>
      </c>
      <c r="BN167" s="518"/>
      <c r="BO167" s="518"/>
      <c r="BP167" s="518"/>
      <c r="BQ167" s="518"/>
      <c r="BR167" s="518"/>
      <c r="BS167" s="518"/>
      <c r="BT167" s="518"/>
      <c r="BU167" s="518"/>
      <c r="BV167" s="518"/>
      <c r="BW167" s="518"/>
      <c r="BX167" s="518"/>
      <c r="BY167" s="518"/>
      <c r="BZ167" s="518"/>
      <c r="CA167" s="518"/>
      <c r="CB167" s="518"/>
      <c r="CC167" s="518"/>
      <c r="CD167" s="1316" t="s">
        <v>3604</v>
      </c>
      <c r="CE167" s="1317"/>
      <c r="CF167" s="1317"/>
      <c r="CG167" s="1318" t="s">
        <v>4629</v>
      </c>
      <c r="CH167" s="1296"/>
      <c r="CI167" s="1032" t="s">
        <v>6077</v>
      </c>
      <c r="CJ167" s="1031"/>
      <c r="CK167" s="1031"/>
      <c r="CL167" s="1031"/>
      <c r="CM167" s="1030"/>
      <c r="CN167" s="1320" t="str">
        <f>'Master Spell List'!R9</f>
        <v>N/A</v>
      </c>
      <c r="CO167" s="1321"/>
      <c r="CP167" s="1322"/>
    </row>
    <row r="168" spans="1:94" ht="12.6" customHeight="1" outlineLevel="1">
      <c r="A168" s="1763" t="s">
        <v>4361</v>
      </c>
      <c r="B168" s="2118"/>
      <c r="C168" s="2118"/>
      <c r="D168" s="2118"/>
      <c r="E168" s="2118"/>
      <c r="F168" s="2119"/>
      <c r="G168" s="2307" t="s">
        <v>4062</v>
      </c>
      <c r="H168" s="2307"/>
      <c r="I168" s="2307"/>
      <c r="J168" s="2307"/>
      <c r="K168" s="2307"/>
      <c r="L168" s="1361" t="str">
        <f>IF(($A$114="none")," ",2)</f>
        <v xml:space="preserve"> </v>
      </c>
      <c r="M168" s="1361"/>
      <c r="N168" s="1422" t="str">
        <f>IF(($A$114="none")," ",VLOOKUP(Magick!$A$3,Magick!$AD$5:$AQ$46,6))</f>
        <v xml:space="preserve"> </v>
      </c>
      <c r="O168" s="1424"/>
      <c r="P168" s="1361" t="str">
        <f>IF(($A$114="none")," ","3+")</f>
        <v xml:space="preserve"> </v>
      </c>
      <c r="Q168" s="1361"/>
      <c r="R168" s="1438" t="str">
        <f>IF(($A$114="none")," ",VLOOKUP(VLOOKUP(Magick!$A$3,Magick!$AD$5:$AU$48,9)*100,magestuff!$B$134:$F$138,2))</f>
        <v xml:space="preserve"> </v>
      </c>
      <c r="S168" s="1439"/>
      <c r="T168" s="1438" t="str">
        <f>IF(($A$114="none")," ","-")</f>
        <v xml:space="preserve"> </v>
      </c>
      <c r="U168" s="1440"/>
      <c r="V168" s="1439"/>
      <c r="W168" s="1438" t="str">
        <f t="shared" si="2"/>
        <v xml:space="preserve"> </v>
      </c>
      <c r="X168" s="1440"/>
      <c r="Y168" s="1439"/>
      <c r="Z168" s="1364"/>
      <c r="AA168" s="1428"/>
      <c r="AB168" s="1428"/>
      <c r="AC168" s="1428"/>
      <c r="AD168" s="1429"/>
      <c r="BM168" s="518" t="s">
        <v>2257</v>
      </c>
      <c r="BN168" s="518"/>
      <c r="BO168" s="518"/>
      <c r="BP168" s="518"/>
      <c r="BQ168" s="518"/>
      <c r="BR168" s="518"/>
      <c r="BS168" s="518"/>
      <c r="BT168" s="518"/>
      <c r="BU168" s="518"/>
      <c r="BV168" s="518"/>
      <c r="BW168" s="518"/>
      <c r="BX168" s="518"/>
      <c r="BY168" s="518"/>
      <c r="BZ168" s="518"/>
      <c r="CA168" s="518"/>
      <c r="CB168" s="518"/>
      <c r="CC168" s="518"/>
      <c r="CD168" s="1316" t="s">
        <v>3143</v>
      </c>
      <c r="CE168" s="1317"/>
      <c r="CF168" s="1317"/>
      <c r="CG168" s="1318" t="s">
        <v>4630</v>
      </c>
      <c r="CH168" s="1296"/>
      <c r="CI168" s="1032" t="s">
        <v>6078</v>
      </c>
      <c r="CJ168" s="1031"/>
      <c r="CK168" s="1031"/>
      <c r="CL168" s="1031"/>
      <c r="CM168" s="1030"/>
      <c r="CN168" s="1319" t="str">
        <f>'Master Spell List'!S9</f>
        <v xml:space="preserve"> ft.</v>
      </c>
      <c r="CO168" s="1298"/>
      <c r="CP168" s="1296"/>
    </row>
    <row r="169" spans="1:94" ht="12.6" customHeight="1" outlineLevel="1">
      <c r="A169" s="1368" t="s">
        <v>3139</v>
      </c>
      <c r="B169" s="2120"/>
      <c r="C169" s="2120"/>
      <c r="D169" s="2120"/>
      <c r="E169" s="2120"/>
      <c r="F169" s="2121"/>
      <c r="G169" s="1788" t="s">
        <v>4062</v>
      </c>
      <c r="H169" s="1788"/>
      <c r="I169" s="1788"/>
      <c r="J169" s="1788"/>
      <c r="K169" s="1788"/>
      <c r="L169" s="1363" t="str">
        <f>IF(($A$114="none")," ",2)</f>
        <v xml:space="preserve"> </v>
      </c>
      <c r="M169" s="1363"/>
      <c r="N169" s="1427" t="str">
        <f>IF(($A$114="none")," ",VLOOKUP(Magick!$A$3,Magick!$AD$5:$AQ$46,6))</f>
        <v xml:space="preserve"> </v>
      </c>
      <c r="O169" s="1782"/>
      <c r="P169" s="1363" t="str">
        <f>IF(($A$114="none")," ",4)</f>
        <v xml:space="preserve"> </v>
      </c>
      <c r="Q169" s="1363"/>
      <c r="R169" s="1411" t="str">
        <f>IF(($A$114="none")," ",VLOOKUP(VLOOKUP(Magick!$A$3,Magick!$AD$5:$AU$48,9)*100,magestuff!$B$134:$F$138,2))</f>
        <v xml:space="preserve"> </v>
      </c>
      <c r="S169" s="1772"/>
      <c r="T169" s="1411" t="str">
        <f>IF(($A$114="none")," ","-")</f>
        <v xml:space="preserve"> </v>
      </c>
      <c r="U169" s="1771"/>
      <c r="V169" s="1772"/>
      <c r="W169" s="1411" t="str">
        <f t="shared" si="2"/>
        <v xml:space="preserve"> </v>
      </c>
      <c r="X169" s="1771"/>
      <c r="Y169" s="1772"/>
      <c r="Z169" s="1386"/>
      <c r="AA169" s="2137"/>
      <c r="AB169" s="2137"/>
      <c r="AC169" s="2137"/>
      <c r="AD169" s="2138"/>
      <c r="BM169" s="997" t="s">
        <v>6070</v>
      </c>
      <c r="BN169" s="518"/>
      <c r="BO169" s="518"/>
      <c r="BP169" s="518"/>
      <c r="BQ169" s="518"/>
      <c r="BR169" s="518"/>
      <c r="BS169" s="518"/>
      <c r="BT169" s="518"/>
      <c r="BU169" s="518"/>
      <c r="BV169" s="518"/>
      <c r="BW169" s="518"/>
      <c r="BX169" s="518"/>
      <c r="BY169" s="518"/>
      <c r="BZ169" s="518"/>
      <c r="CA169" s="518"/>
      <c r="CB169" s="518"/>
      <c r="CC169" s="518"/>
      <c r="CD169" s="1316" t="s">
        <v>3144</v>
      </c>
      <c r="CE169" s="1317"/>
      <c r="CF169" s="1317"/>
      <c r="CG169" s="1318" t="s">
        <v>4631</v>
      </c>
      <c r="CH169" s="1296"/>
      <c r="CI169" s="1032" t="s">
        <v>6079</v>
      </c>
      <c r="CJ169" s="1031"/>
      <c r="CK169" s="1031"/>
      <c r="CL169" s="1031"/>
      <c r="CM169" s="1030"/>
      <c r="CN169" s="1319" t="str">
        <f>'Master Spell List'!T9</f>
        <v>Permanent</v>
      </c>
      <c r="CO169" s="1298"/>
      <c r="CP169" s="1296"/>
    </row>
    <row r="170" spans="1:94" ht="12.6" customHeight="1" outlineLevel="1">
      <c r="A170" s="1763" t="s">
        <v>3140</v>
      </c>
      <c r="B170" s="2118"/>
      <c r="C170" s="2118"/>
      <c r="D170" s="2118"/>
      <c r="E170" s="2118"/>
      <c r="F170" s="2119"/>
      <c r="G170" s="2307" t="s">
        <v>4062</v>
      </c>
      <c r="H170" s="2307"/>
      <c r="I170" s="2307"/>
      <c r="J170" s="2307"/>
      <c r="K170" s="2307"/>
      <c r="L170" s="1361" t="str">
        <f>IF(($A$114="none")," ",4)</f>
        <v xml:space="preserve"> </v>
      </c>
      <c r="M170" s="1361"/>
      <c r="N170" s="1422" t="str">
        <f>IF(($A$114="none")," ",VLOOKUP(Magick!$A$3,Magick!$AD$5:$AQ$46,6))</f>
        <v xml:space="preserve"> </v>
      </c>
      <c r="O170" s="1424"/>
      <c r="P170" s="1361" t="str">
        <f>IF(($A$114="none")," ",7)</f>
        <v xml:space="preserve"> </v>
      </c>
      <c r="Q170" s="1361"/>
      <c r="R170" s="1438" t="str">
        <f>IF(($A$114="none")," ",VLOOKUP(VLOOKUP(Magick!$A$3,Magick!$AD$5:$AU$48,9)*100,magestuff!$B$134:$F$138,2))</f>
        <v xml:space="preserve"> </v>
      </c>
      <c r="S170" s="1439"/>
      <c r="T170" s="1438" t="str">
        <f>IF(($A$114="none")," ","-")</f>
        <v xml:space="preserve"> </v>
      </c>
      <c r="U170" s="1440"/>
      <c r="V170" s="1439"/>
      <c r="W170" s="1438" t="str">
        <f t="shared" si="2"/>
        <v xml:space="preserve"> </v>
      </c>
      <c r="X170" s="1440"/>
      <c r="Y170" s="1439"/>
      <c r="Z170" s="1364"/>
      <c r="AA170" s="1428"/>
      <c r="AB170" s="1428"/>
      <c r="AC170" s="1428"/>
      <c r="AD170" s="1429"/>
      <c r="AE170" s="159"/>
      <c r="AF170" s="159"/>
      <c r="BM170" s="518" t="s">
        <v>2394</v>
      </c>
      <c r="BN170" s="518"/>
      <c r="BO170" s="518"/>
      <c r="BP170" s="518"/>
      <c r="BQ170" s="518"/>
      <c r="BR170" s="518"/>
      <c r="BS170" s="518"/>
      <c r="BT170" s="518"/>
      <c r="BU170" s="518"/>
      <c r="BV170" s="518"/>
      <c r="BW170" s="518"/>
      <c r="BX170" s="518"/>
      <c r="BY170" s="518"/>
      <c r="BZ170" s="518"/>
      <c r="CA170" s="518"/>
      <c r="CB170" s="518"/>
      <c r="CC170" s="518"/>
      <c r="CD170" s="1316" t="s">
        <v>2238</v>
      </c>
      <c r="CE170" s="1317"/>
      <c r="CF170" s="1317"/>
      <c r="CG170" s="1318" t="s">
        <v>2255</v>
      </c>
      <c r="CH170" s="1296"/>
      <c r="CI170" s="1032"/>
      <c r="CJ170" s="1031"/>
      <c r="CK170" s="1031"/>
      <c r="CL170" s="1031"/>
      <c r="CM170" s="1030"/>
      <c r="CN170" s="1319"/>
      <c r="CO170" s="1298"/>
      <c r="CP170" s="1296"/>
    </row>
    <row r="171" spans="1:94" ht="12.6" customHeight="1" outlineLevel="1">
      <c r="A171" s="1339"/>
      <c r="B171" s="2125"/>
      <c r="C171" s="2125"/>
      <c r="D171" s="2125"/>
      <c r="E171" s="2125"/>
      <c r="F171" s="2126"/>
      <c r="G171" s="2324"/>
      <c r="H171" s="2324"/>
      <c r="I171" s="2324"/>
      <c r="J171" s="2324"/>
      <c r="K171" s="2324"/>
      <c r="L171" s="1828"/>
      <c r="M171" s="1828"/>
      <c r="N171" s="1787"/>
      <c r="O171" s="1858"/>
      <c r="P171" s="1828"/>
      <c r="Q171" s="1828"/>
      <c r="R171" s="1787"/>
      <c r="S171" s="1858"/>
      <c r="T171" s="1787"/>
      <c r="U171" s="1863"/>
      <c r="V171" s="1858"/>
      <c r="W171" s="1787" t="str">
        <f t="shared" si="2"/>
        <v xml:space="preserve"> </v>
      </c>
      <c r="X171" s="1863"/>
      <c r="Y171" s="1858"/>
      <c r="Z171" s="2210"/>
      <c r="AA171" s="2211"/>
      <c r="AB171" s="2211"/>
      <c r="AC171" s="2211"/>
      <c r="AD171" s="2212"/>
      <c r="AE171" s="159"/>
      <c r="AF171" s="159"/>
      <c r="BM171" s="518" t="s">
        <v>2395</v>
      </c>
      <c r="BN171" s="518"/>
      <c r="BO171" s="518"/>
      <c r="BP171" s="518"/>
      <c r="BQ171" s="518"/>
      <c r="BR171" s="518"/>
      <c r="BS171" s="518"/>
      <c r="BT171" s="518"/>
      <c r="BU171" s="518"/>
      <c r="BV171" s="518"/>
      <c r="BW171" s="518"/>
      <c r="BX171" s="518"/>
      <c r="BY171" s="518"/>
      <c r="BZ171" s="518"/>
      <c r="CA171" s="518"/>
      <c r="CB171" s="518"/>
      <c r="CC171" s="518"/>
      <c r="CD171"/>
      <c r="CE171"/>
      <c r="CF171"/>
      <c r="CG171"/>
      <c r="CH171"/>
      <c r="CI171"/>
      <c r="CJ171"/>
      <c r="CK171"/>
      <c r="CL171"/>
      <c r="CM171"/>
      <c r="CN171"/>
      <c r="CO171"/>
      <c r="CP171"/>
    </row>
    <row r="172" spans="1:94" ht="11.1" customHeight="1">
      <c r="A172"/>
      <c r="B172"/>
      <c r="C172"/>
      <c r="D172"/>
      <c r="E172"/>
      <c r="F172"/>
      <c r="G172"/>
      <c r="H172"/>
      <c r="I172"/>
      <c r="J172"/>
      <c r="K172"/>
      <c r="L172"/>
      <c r="M172"/>
      <c r="N172"/>
      <c r="O172"/>
      <c r="P172"/>
      <c r="Q172"/>
      <c r="R172"/>
      <c r="S172"/>
      <c r="T172"/>
      <c r="U172"/>
      <c r="V172"/>
      <c r="W172"/>
      <c r="X172"/>
      <c r="Y172"/>
      <c r="Z172"/>
      <c r="AA172"/>
      <c r="AB172"/>
      <c r="AC172"/>
      <c r="AD172"/>
      <c r="AE172" s="159"/>
      <c r="AF172" s="159"/>
      <c r="AG172" s="372"/>
      <c r="AH172" s="372"/>
      <c r="AI172" s="372"/>
      <c r="AJ172" s="372"/>
      <c r="AK172" s="372"/>
      <c r="AL172" s="372"/>
      <c r="AM172" s="372"/>
      <c r="AN172" s="372"/>
      <c r="AO172" s="372"/>
      <c r="AP172" s="372"/>
      <c r="AQ172" s="372"/>
      <c r="AR172" s="372"/>
      <c r="AS172" s="372"/>
      <c r="AT172" s="372"/>
      <c r="AU172" s="372"/>
      <c r="AV172" s="372"/>
      <c r="AW172" s="372"/>
      <c r="AX172" s="372"/>
      <c r="AY172" s="372"/>
      <c r="AZ172" s="372"/>
      <c r="BA172" s="372"/>
      <c r="BB172" s="372"/>
      <c r="BC172" s="372"/>
      <c r="BD172" s="372"/>
      <c r="BE172" s="372"/>
      <c r="BF172" s="372"/>
      <c r="BG172" s="372"/>
      <c r="BH172" s="372"/>
      <c r="BI172" s="372"/>
      <c r="BJ172" s="372"/>
    </row>
    <row r="173" spans="1:94" ht="15" customHeight="1" outlineLevel="1">
      <c r="A173" s="2306" t="s">
        <v>4769</v>
      </c>
      <c r="B173" s="2306"/>
      <c r="C173" s="2306"/>
      <c r="D173" s="2306"/>
      <c r="E173" s="2306"/>
      <c r="F173" s="2306"/>
      <c r="G173" s="2306"/>
      <c r="H173" s="2306"/>
      <c r="I173" s="2306"/>
      <c r="J173" s="2306"/>
      <c r="K173" s="2306"/>
      <c r="L173" s="2306"/>
      <c r="M173" s="2306"/>
      <c r="N173" s="2306"/>
      <c r="O173" s="2306"/>
      <c r="P173" s="2306"/>
      <c r="Q173" s="2306"/>
      <c r="R173" s="2306"/>
      <c r="S173" s="2306"/>
      <c r="T173" s="2306"/>
      <c r="U173" s="2306"/>
      <c r="V173" s="2306"/>
      <c r="W173" s="2306"/>
      <c r="X173" s="2306"/>
      <c r="Y173" s="2306"/>
      <c r="Z173" s="2306"/>
      <c r="AA173" s="2306"/>
      <c r="AB173" s="2306"/>
      <c r="AC173" s="2306"/>
      <c r="AD173" s="2306"/>
      <c r="AE173"/>
      <c r="AF173" s="574"/>
      <c r="AG173" s="2213" t="s">
        <v>4769</v>
      </c>
      <c r="AH173" s="2213"/>
      <c r="AI173" s="2213"/>
      <c r="AJ173" s="2213"/>
      <c r="AK173" s="2213"/>
      <c r="AL173" s="2213"/>
      <c r="AM173" s="2213"/>
      <c r="AN173" s="2213"/>
      <c r="AO173" s="2213"/>
      <c r="AP173" s="2213"/>
      <c r="AQ173" s="2213"/>
      <c r="AR173" s="2213"/>
      <c r="AS173" s="2213"/>
      <c r="AT173" s="2213"/>
      <c r="AU173" s="2213"/>
      <c r="AV173" s="2213"/>
      <c r="AW173" s="2213"/>
      <c r="AX173" s="2213"/>
      <c r="AY173" s="2213"/>
      <c r="AZ173" s="2213"/>
      <c r="BA173" s="2213"/>
      <c r="BB173" s="2213"/>
      <c r="BC173" s="2213"/>
      <c r="BD173" s="2213"/>
      <c r="BE173" s="2213"/>
      <c r="BF173" s="2213"/>
      <c r="BG173" s="2213"/>
      <c r="BH173" s="2213"/>
      <c r="BI173" s="2213"/>
      <c r="BJ173" s="2213"/>
      <c r="BK173" s="10"/>
      <c r="BL173" s="572"/>
      <c r="BM173" s="2213" t="s">
        <v>4769</v>
      </c>
      <c r="BN173" s="2213"/>
      <c r="BO173" s="2213"/>
      <c r="BP173" s="2213"/>
      <c r="BQ173" s="2213"/>
      <c r="BR173" s="2213"/>
      <c r="BS173" s="2213"/>
      <c r="BT173" s="2213"/>
      <c r="BU173" s="2213"/>
      <c r="BV173" s="2213"/>
      <c r="BW173" s="2213"/>
      <c r="BX173" s="2213"/>
      <c r="BY173" s="2213"/>
      <c r="BZ173" s="2213"/>
      <c r="CA173" s="2213"/>
      <c r="CB173" s="2213"/>
      <c r="CC173" s="2213"/>
      <c r="CD173" s="2213"/>
      <c r="CE173" s="2213"/>
      <c r="CF173" s="2213"/>
      <c r="CG173" s="2213"/>
      <c r="CH173" s="2213"/>
      <c r="CI173" s="2213"/>
      <c r="CJ173" s="2213"/>
      <c r="CK173" s="2213"/>
      <c r="CL173" s="2213"/>
      <c r="CM173" s="2213"/>
      <c r="CN173" s="2213"/>
      <c r="CO173" s="2213"/>
      <c r="CP173" s="2213"/>
    </row>
    <row r="174" spans="1:94" ht="12.6" customHeight="1" outlineLevel="1">
      <c r="A174" s="2112"/>
      <c r="B174" s="2113"/>
      <c r="C174" s="2113"/>
      <c r="D174" s="2113"/>
      <c r="E174" s="2114"/>
      <c r="F174" s="1870"/>
      <c r="G174" s="1387"/>
      <c r="H174" s="1387"/>
      <c r="I174" s="1387"/>
      <c r="J174" s="1387"/>
      <c r="K174" s="1388"/>
      <c r="L174" s="2132"/>
      <c r="M174" s="2132"/>
      <c r="N174" s="1870"/>
      <c r="O174" s="1872"/>
      <c r="P174" s="2132" t="s">
        <v>4719</v>
      </c>
      <c r="Q174" s="2132"/>
      <c r="R174" s="2132" t="s">
        <v>3142</v>
      </c>
      <c r="S174" s="2132"/>
      <c r="T174" s="1870"/>
      <c r="U174" s="1871"/>
      <c r="V174" s="1872"/>
      <c r="W174" s="1870"/>
      <c r="X174" s="1871"/>
      <c r="Y174" s="1872"/>
      <c r="Z174" s="2500" t="s">
        <v>2238</v>
      </c>
      <c r="AA174" s="1538"/>
      <c r="AB174" s="1538"/>
      <c r="AC174" s="1538"/>
      <c r="AD174" s="1539"/>
      <c r="AE174"/>
      <c r="AF174" s="574"/>
      <c r="AG174" s="2112"/>
      <c r="AH174" s="2113"/>
      <c r="AI174" s="2113"/>
      <c r="AJ174" s="2113"/>
      <c r="AK174" s="2114"/>
      <c r="AL174" s="1870"/>
      <c r="AM174" s="1387"/>
      <c r="AN174" s="1387"/>
      <c r="AO174" s="1387"/>
      <c r="AP174" s="1387"/>
      <c r="AQ174" s="1388"/>
      <c r="AR174" s="2132"/>
      <c r="AS174" s="2132"/>
      <c r="AT174" s="1870"/>
      <c r="AU174" s="1872"/>
      <c r="AV174" s="2132" t="s">
        <v>4719</v>
      </c>
      <c r="AW174" s="2132"/>
      <c r="AX174" s="2132" t="s">
        <v>3142</v>
      </c>
      <c r="AY174" s="2132"/>
      <c r="AZ174" s="1870"/>
      <c r="BA174" s="1871"/>
      <c r="BB174" s="1872"/>
      <c r="BC174" s="1870"/>
      <c r="BD174" s="1871"/>
      <c r="BE174" s="1872"/>
      <c r="BF174" s="1417"/>
      <c r="BG174" s="1418"/>
      <c r="BH174" s="1418"/>
      <c r="BI174" s="1418"/>
      <c r="BJ174" s="1419"/>
      <c r="BK174" s="10"/>
      <c r="BL174" s="572"/>
      <c r="BM174" s="2112"/>
      <c r="BN174" s="2113"/>
      <c r="BO174" s="2113"/>
      <c r="BP174" s="2113"/>
      <c r="BQ174" s="2114"/>
      <c r="BR174" s="1870"/>
      <c r="BS174" s="1387"/>
      <c r="BT174" s="1387"/>
      <c r="BU174" s="1387"/>
      <c r="BV174" s="1387"/>
      <c r="BW174" s="1388"/>
      <c r="BX174" s="2132"/>
      <c r="BY174" s="2132"/>
      <c r="BZ174" s="1870"/>
      <c r="CA174" s="1872"/>
      <c r="CB174" s="2132" t="s">
        <v>4719</v>
      </c>
      <c r="CC174" s="2132"/>
      <c r="CD174" s="2132" t="s">
        <v>3142</v>
      </c>
      <c r="CE174" s="2132"/>
      <c r="CF174" s="1870"/>
      <c r="CG174" s="1871"/>
      <c r="CH174" s="1872"/>
      <c r="CI174" s="1870"/>
      <c r="CJ174" s="1871"/>
      <c r="CK174" s="1872"/>
      <c r="CL174" s="1417"/>
      <c r="CM174" s="1418"/>
      <c r="CN174" s="1418"/>
      <c r="CO174" s="1418"/>
      <c r="CP174" s="1419"/>
    </row>
    <row r="175" spans="1:94" ht="12.6" customHeight="1" outlineLevel="1">
      <c r="A175" s="1414" t="s">
        <v>4771</v>
      </c>
      <c r="B175" s="1535"/>
      <c r="C175" s="1535"/>
      <c r="D175" s="1535"/>
      <c r="E175" s="1536"/>
      <c r="F175" s="1414" t="s">
        <v>4770</v>
      </c>
      <c r="G175" s="1530"/>
      <c r="H175" s="1530"/>
      <c r="I175" s="1530"/>
      <c r="J175" s="1530"/>
      <c r="K175" s="1531"/>
      <c r="L175" s="1414" t="s">
        <v>81</v>
      </c>
      <c r="M175" s="1416"/>
      <c r="N175" s="1414" t="s">
        <v>3047</v>
      </c>
      <c r="O175" s="1416"/>
      <c r="P175" s="2090" t="s">
        <v>5217</v>
      </c>
      <c r="Q175" s="2090"/>
      <c r="R175" s="2090" t="s">
        <v>5217</v>
      </c>
      <c r="S175" s="2090"/>
      <c r="T175" s="2090" t="s">
        <v>3143</v>
      </c>
      <c r="U175" s="2090"/>
      <c r="V175" s="2090"/>
      <c r="W175" s="1414" t="s">
        <v>3144</v>
      </c>
      <c r="X175" s="1415"/>
      <c r="Y175" s="1862"/>
      <c r="Z175" s="1540"/>
      <c r="AA175" s="1541"/>
      <c r="AB175" s="1541"/>
      <c r="AC175" s="1541"/>
      <c r="AD175" s="1542"/>
      <c r="AE175"/>
      <c r="AF175" s="574"/>
      <c r="AG175" s="1414" t="s">
        <v>4771</v>
      </c>
      <c r="AH175" s="1535"/>
      <c r="AI175" s="1535"/>
      <c r="AJ175" s="1535"/>
      <c r="AK175" s="1536"/>
      <c r="AL175" s="1414" t="s">
        <v>4770</v>
      </c>
      <c r="AM175" s="1530"/>
      <c r="AN175" s="1530"/>
      <c r="AO175" s="1530"/>
      <c r="AP175" s="1530"/>
      <c r="AQ175" s="1531"/>
      <c r="AR175" s="1414" t="s">
        <v>81</v>
      </c>
      <c r="AS175" s="1416"/>
      <c r="AT175" s="1414" t="s">
        <v>3047</v>
      </c>
      <c r="AU175" s="1416"/>
      <c r="AV175" s="2090" t="s">
        <v>5217</v>
      </c>
      <c r="AW175" s="2090"/>
      <c r="AX175" s="2090" t="s">
        <v>5217</v>
      </c>
      <c r="AY175" s="2090"/>
      <c r="AZ175" s="2090" t="s">
        <v>3143</v>
      </c>
      <c r="BA175" s="2090"/>
      <c r="BB175" s="2090"/>
      <c r="BC175" s="1414" t="s">
        <v>3144</v>
      </c>
      <c r="BD175" s="1415"/>
      <c r="BE175" s="1862"/>
      <c r="BF175" s="2090" t="s">
        <v>2238</v>
      </c>
      <c r="BG175" s="2090"/>
      <c r="BH175" s="2090"/>
      <c r="BI175" s="2090"/>
      <c r="BJ175" s="2090"/>
      <c r="BK175" s="10"/>
      <c r="BL175" s="572"/>
      <c r="BM175" s="1414" t="s">
        <v>4771</v>
      </c>
      <c r="BN175" s="1535"/>
      <c r="BO175" s="1535"/>
      <c r="BP175" s="1535"/>
      <c r="BQ175" s="1536"/>
      <c r="BR175" s="1414" t="s">
        <v>4770</v>
      </c>
      <c r="BS175" s="1530"/>
      <c r="BT175" s="1530"/>
      <c r="BU175" s="1530"/>
      <c r="BV175" s="1530"/>
      <c r="BW175" s="1531"/>
      <c r="BX175" s="1414" t="s">
        <v>81</v>
      </c>
      <c r="BY175" s="1416"/>
      <c r="BZ175" s="1414" t="s">
        <v>3047</v>
      </c>
      <c r="CA175" s="1416"/>
      <c r="CB175" s="2090" t="s">
        <v>5217</v>
      </c>
      <c r="CC175" s="2090"/>
      <c r="CD175" s="2090" t="s">
        <v>5217</v>
      </c>
      <c r="CE175" s="2090"/>
      <c r="CF175" s="2090" t="s">
        <v>3143</v>
      </c>
      <c r="CG175" s="2090"/>
      <c r="CH175" s="2090"/>
      <c r="CI175" s="1414" t="s">
        <v>3144</v>
      </c>
      <c r="CJ175" s="1415"/>
      <c r="CK175" s="1862"/>
      <c r="CL175" s="2090" t="s">
        <v>2238</v>
      </c>
      <c r="CM175" s="2090"/>
      <c r="CN175" s="2090"/>
      <c r="CO175" s="2090"/>
      <c r="CP175" s="2090"/>
    </row>
    <row r="176" spans="1:94" ht="15.75" customHeight="1" outlineLevel="1">
      <c r="A176">
        <v>1</v>
      </c>
      <c r="B176"/>
      <c r="C176"/>
      <c r="D176"/>
      <c r="E176"/>
      <c r="F176"/>
      <c r="G176"/>
      <c r="H176"/>
      <c r="I176"/>
      <c r="J176"/>
      <c r="K176">
        <v>1</v>
      </c>
      <c r="L176" s="1331" t="str">
        <f ca="1">IF(magestuff!B$374&gt;0,INDIRECT(CONCATENATE("'Master Spell List'!c",magestuff!B$374))," " )</f>
        <v xml:space="preserve"> </v>
      </c>
      <c r="M176" s="1332"/>
      <c r="N176" s="1404" t="str">
        <f ca="1">IF(magestuff!B$374&gt;0,INDIRECT(CONCATENATE("'Master Spell List'!m",magestuff!B$374))," " )</f>
        <v xml:space="preserve"> </v>
      </c>
      <c r="O176" s="1405"/>
      <c r="P176" s="2093" t="str">
        <f ca="1">IF(magestuff!B$374&gt;0,INDIRECT(CONCATENATE("'Master Spell List'!k",magestuff!B$374))," " )</f>
        <v xml:space="preserve"> </v>
      </c>
      <c r="Q176" s="2139"/>
      <c r="R176" s="1331" t="str">
        <f ca="1">IF(magestuff!B$374&gt;0,INDIRECT(CONCATENATE("'Master Spell List'!r",magestuff!B$374))," " )</f>
        <v xml:space="preserve"> </v>
      </c>
      <c r="S176" s="1770"/>
      <c r="T176" s="1331" t="str">
        <f ca="1">IF(magestuff!B$374&gt;0,INDIRECT(CONCATENATE("'Master Spell List'!s",magestuff!B$374))," " )</f>
        <v xml:space="preserve"> </v>
      </c>
      <c r="U176" s="1769"/>
      <c r="V176" s="1770"/>
      <c r="W176" s="1768" t="str">
        <f ca="1">IF(magestuff!B$374&gt;0,INDIRECT(CONCATENATE("'Master Spell List'!t",magestuff!B$374))," " )</f>
        <v xml:space="preserve"> </v>
      </c>
      <c r="X176" s="1769"/>
      <c r="Y176" s="1770"/>
      <c r="Z176" s="1401"/>
      <c r="AA176" s="1402"/>
      <c r="AB176" s="1402"/>
      <c r="AC176" s="1402"/>
      <c r="AD176" s="1403"/>
      <c r="AE176"/>
      <c r="AF176" s="574"/>
      <c r="AG176">
        <v>1</v>
      </c>
      <c r="AH176"/>
      <c r="AI176"/>
      <c r="AJ176"/>
      <c r="AK176"/>
      <c r="AL176"/>
      <c r="AM176"/>
      <c r="AN176"/>
      <c r="AO176"/>
      <c r="AP176"/>
      <c r="AQ176">
        <v>1</v>
      </c>
      <c r="AR176" s="1331" t="str">
        <f ca="1">IF(magestuff!AV$374&gt;0,INDIRECT(CONCATENATE("'Master Spell List'!c",magestuff!AV$374))," " )</f>
        <v xml:space="preserve"> </v>
      </c>
      <c r="AS176" s="1332"/>
      <c r="AT176" s="1404" t="str">
        <f ca="1">IF(magestuff!AV$374&gt;0,INDIRECT(CONCATENATE("'Master Spell List'!m",magestuff!AV$374))," " )</f>
        <v xml:space="preserve"> </v>
      </c>
      <c r="AU176" s="1405"/>
      <c r="AV176" s="2093" t="str">
        <f ca="1">IF(magestuff!AV$374&gt;0,INDIRECT(CONCATENATE("'Master Spell List'!k",magestuff!AV$374))," " )</f>
        <v xml:space="preserve"> </v>
      </c>
      <c r="AW176" s="2139"/>
      <c r="AX176" s="1331" t="str">
        <f ca="1">IF(magestuff!AV$374&gt;0,INDIRECT(CONCATENATE("'Master Spell List'!r",magestuff!AV$374))," " )</f>
        <v xml:space="preserve"> </v>
      </c>
      <c r="AY176" s="1770"/>
      <c r="AZ176" s="1331" t="str">
        <f ca="1">IF(magestuff!AV$374&gt;0,INDIRECT(CONCATENATE("'Master Spell List'!s",magestuff!AV$374))," " )</f>
        <v xml:space="preserve"> </v>
      </c>
      <c r="BA176" s="1769"/>
      <c r="BB176" s="1770"/>
      <c r="BC176" s="1768" t="str">
        <f ca="1">IF(magestuff!AV$374&gt;0,INDIRECT(CONCATENATE("'Master Spell List'!t",magestuff!AV$374))," " )</f>
        <v xml:space="preserve"> </v>
      </c>
      <c r="BD176" s="1769"/>
      <c r="BE176" s="1770"/>
      <c r="BF176" s="1401"/>
      <c r="BG176" s="1402"/>
      <c r="BH176" s="1402"/>
      <c r="BI176" s="1402"/>
      <c r="BJ176" s="1403"/>
      <c r="BK176" s="10"/>
      <c r="BL176" s="572"/>
      <c r="BM176" s="1370"/>
      <c r="BN176" s="2467"/>
      <c r="BO176" s="2467"/>
      <c r="BP176" s="2467"/>
      <c r="BQ176" s="2206"/>
      <c r="BR176" s="1370"/>
      <c r="BS176" s="2468"/>
      <c r="BT176" s="2468"/>
      <c r="BU176" s="2468"/>
      <c r="BV176" s="2468"/>
      <c r="BW176" s="1390"/>
      <c r="BX176" s="1331"/>
      <c r="BY176" s="1332"/>
      <c r="BZ176" s="1404"/>
      <c r="CA176" s="1405"/>
      <c r="CB176" s="2093"/>
      <c r="CC176" s="2139"/>
      <c r="CD176" s="1331"/>
      <c r="CE176" s="1394"/>
      <c r="CF176" s="1331"/>
      <c r="CG176" s="1393"/>
      <c r="CH176" s="1394"/>
      <c r="CI176" s="1395"/>
      <c r="CJ176" s="1393"/>
      <c r="CK176" s="1394"/>
      <c r="CL176" s="1401"/>
      <c r="CM176" s="1402"/>
      <c r="CN176" s="1402"/>
      <c r="CO176" s="1402"/>
      <c r="CP176" s="1403"/>
    </row>
    <row r="177" spans="1:94" ht="15.75" customHeight="1" outlineLevel="1">
      <c r="A177">
        <v>1</v>
      </c>
      <c r="B177"/>
      <c r="C177"/>
      <c r="D177"/>
      <c r="E177"/>
      <c r="F177"/>
      <c r="G177"/>
      <c r="H177"/>
      <c r="I177"/>
      <c r="J177"/>
      <c r="K177">
        <v>1</v>
      </c>
      <c r="L177" s="1333" t="str">
        <f ca="1">IF(magestuff!C$374&gt;0,INDIRECT(CONCATENATE("'Master Spell List'!c",magestuff!C$374))," " )</f>
        <v xml:space="preserve"> </v>
      </c>
      <c r="M177" s="1334"/>
      <c r="N177" s="1335" t="str">
        <f ca="1">IF(magestuff!C$374&gt;0,INDIRECT(CONCATENATE("'Master Spell List'!m",magestuff!C$374))," " )</f>
        <v xml:space="preserve"> </v>
      </c>
      <c r="O177" s="1406"/>
      <c r="P177" s="1333" t="str">
        <f ca="1">IF(magestuff!C$374&gt;0,INDIRECT(CONCATENATE("'Master Spell List'!k",magestuff!C$374))," " )</f>
        <v xml:space="preserve"> </v>
      </c>
      <c r="Q177" s="1334"/>
      <c r="R177" s="1333" t="str">
        <f ca="1">IF(magestuff!C$374&gt;0,INDIRECT(CONCATENATE("'Master Spell List'!r",magestuff!C$374))," " )</f>
        <v xml:space="preserve"> </v>
      </c>
      <c r="S177" s="1777"/>
      <c r="T177" s="1333" t="str">
        <f ca="1">IF(magestuff!C$374&gt;0,INDIRECT(CONCATENATE("'Master Spell List'!s",magestuff!C$374))," " )</f>
        <v xml:space="preserve"> </v>
      </c>
      <c r="U177" s="1776"/>
      <c r="V177" s="1777"/>
      <c r="W177" s="1775" t="str">
        <f ca="1">IF(magestuff!C$374&gt;0,INDIRECT(CONCATENATE("'Master Spell List'!t",magestuff!C$374))," " )</f>
        <v xml:space="preserve"> </v>
      </c>
      <c r="X177" s="1776"/>
      <c r="Y177" s="1777"/>
      <c r="Z177" s="1412"/>
      <c r="AA177" s="1371"/>
      <c r="AB177" s="1371"/>
      <c r="AC177" s="1371"/>
      <c r="AD177" s="1372"/>
      <c r="AE177"/>
      <c r="AF177" s="574"/>
      <c r="AG177">
        <v>1</v>
      </c>
      <c r="AH177"/>
      <c r="AI177"/>
      <c r="AJ177"/>
      <c r="AK177"/>
      <c r="AL177"/>
      <c r="AM177"/>
      <c r="AN177"/>
      <c r="AO177"/>
      <c r="AP177"/>
      <c r="AQ177">
        <v>1</v>
      </c>
      <c r="AR177" s="1333" t="str">
        <f ca="1">IF(magestuff!AW$374&gt;0,INDIRECT(CONCATENATE("'Master Spell List'!c",magestuff!AW$374))," " )</f>
        <v xml:space="preserve"> </v>
      </c>
      <c r="AS177" s="1334"/>
      <c r="AT177" s="1335" t="str">
        <f ca="1">IF(magestuff!AW$374&gt;0,INDIRECT(CONCATENATE("'Master Spell List'!m",magestuff!AW$374))," " )</f>
        <v xml:space="preserve"> </v>
      </c>
      <c r="AU177" s="1406"/>
      <c r="AV177" s="1333" t="str">
        <f ca="1">IF(magestuff!AW$374&gt;0,INDIRECT(CONCATENATE("'Master Spell List'!k",magestuff!AW$374))," " )</f>
        <v xml:space="preserve"> </v>
      </c>
      <c r="AW177" s="1334"/>
      <c r="AX177" s="1333" t="str">
        <f ca="1">IF(magestuff!AW$374&gt;0,INDIRECT(CONCATENATE("'Master Spell List'!r",magestuff!AW$374))," " )</f>
        <v xml:space="preserve"> </v>
      </c>
      <c r="AY177" s="1777"/>
      <c r="AZ177" s="1333" t="str">
        <f ca="1">IF(magestuff!AW$374&gt;0,INDIRECT(CONCATENATE("'Master Spell List'!s",magestuff!AW$374))," " )</f>
        <v xml:space="preserve"> </v>
      </c>
      <c r="BA177" s="1776"/>
      <c r="BB177" s="1777"/>
      <c r="BC177" s="1775" t="str">
        <f ca="1">IF(magestuff!AW$374&gt;0,INDIRECT(CONCATENATE("'Master Spell List'!t",magestuff!AW$374))," " )</f>
        <v xml:space="preserve"> </v>
      </c>
      <c r="BD177" s="1776"/>
      <c r="BE177" s="1777"/>
      <c r="BF177" s="1412"/>
      <c r="BG177" s="1371"/>
      <c r="BH177" s="1371"/>
      <c r="BI177" s="1371"/>
      <c r="BJ177" s="1372"/>
      <c r="BK177" s="10"/>
      <c r="BL177" s="572"/>
      <c r="BM177" s="1412"/>
      <c r="BN177" s="2467"/>
      <c r="BO177" s="2467"/>
      <c r="BP177" s="2467"/>
      <c r="BQ177" s="2206"/>
      <c r="BR177" s="1412"/>
      <c r="BS177" s="2469"/>
      <c r="BT177" s="2469"/>
      <c r="BU177" s="2469"/>
      <c r="BV177" s="2469"/>
      <c r="BW177" s="2470"/>
      <c r="BX177" s="1333"/>
      <c r="BY177" s="1334"/>
      <c r="BZ177" s="1335"/>
      <c r="CA177" s="1406"/>
      <c r="CB177" s="1333"/>
      <c r="CC177" s="1334"/>
      <c r="CD177" s="1333"/>
      <c r="CE177" s="1398"/>
      <c r="CF177" s="1333"/>
      <c r="CG177" s="1397"/>
      <c r="CH177" s="1398"/>
      <c r="CI177" s="1399"/>
      <c r="CJ177" s="1397"/>
      <c r="CK177" s="1398"/>
      <c r="CL177" s="1412"/>
      <c r="CM177" s="1371"/>
      <c r="CN177" s="1371"/>
      <c r="CO177" s="1371"/>
      <c r="CP177" s="1372"/>
    </row>
    <row r="178" spans="1:94" ht="15.75" customHeight="1" outlineLevel="1">
      <c r="A178">
        <v>1</v>
      </c>
      <c r="B178"/>
      <c r="C178"/>
      <c r="D178"/>
      <c r="E178"/>
      <c r="F178"/>
      <c r="G178"/>
      <c r="H178"/>
      <c r="I178"/>
      <c r="J178"/>
      <c r="K178">
        <v>1</v>
      </c>
      <c r="L178" s="1331" t="str">
        <f ca="1">IF(magestuff!D$374&gt;0,INDIRECT(CONCATENATE("'Master Spell List'!c",magestuff!D$374))," " )</f>
        <v xml:space="preserve"> </v>
      </c>
      <c r="M178" s="1332"/>
      <c r="N178" s="1404" t="str">
        <f ca="1">IF(magestuff!D$374&gt;0,INDIRECT(CONCATENATE("'Master Spell List'!m",magestuff!D$374))," " )</f>
        <v xml:space="preserve"> </v>
      </c>
      <c r="O178" s="1405"/>
      <c r="P178" s="1331" t="str">
        <f ca="1">IF(magestuff!D$374&gt;0,INDIRECT(CONCATENATE("'Master Spell List'!k",magestuff!D$374))," " )</f>
        <v xml:space="preserve"> </v>
      </c>
      <c r="Q178" s="1332"/>
      <c r="R178" s="1331" t="str">
        <f ca="1">IF(magestuff!D$374&gt;0,INDIRECT(CONCATENATE("'Master Spell List'!r",magestuff!D$374))," " )</f>
        <v xml:space="preserve"> </v>
      </c>
      <c r="S178" s="1770"/>
      <c r="T178" s="1331" t="str">
        <f ca="1">IF(magestuff!D$374&gt;0,INDIRECT(CONCATENATE("'Master Spell List'!s",magestuff!D$374))," " )</f>
        <v xml:space="preserve"> </v>
      </c>
      <c r="U178" s="1769"/>
      <c r="V178" s="1770"/>
      <c r="W178" s="1768" t="str">
        <f ca="1">IF(magestuff!D$374&gt;0,INDIRECT(CONCATENATE("'Master Spell List'!t",magestuff!D$374))," " )</f>
        <v xml:space="preserve"> </v>
      </c>
      <c r="X178" s="1769"/>
      <c r="Y178" s="1770"/>
      <c r="Z178" s="1401"/>
      <c r="AA178" s="1402"/>
      <c r="AB178" s="1402"/>
      <c r="AC178" s="1402"/>
      <c r="AD178" s="1403"/>
      <c r="AE178"/>
      <c r="AF178" s="574"/>
      <c r="AG178">
        <v>1</v>
      </c>
      <c r="AH178"/>
      <c r="AI178"/>
      <c r="AJ178"/>
      <c r="AK178"/>
      <c r="AL178"/>
      <c r="AM178"/>
      <c r="AN178"/>
      <c r="AO178"/>
      <c r="AP178"/>
      <c r="AQ178">
        <v>1</v>
      </c>
      <c r="AR178" s="1331" t="str">
        <f ca="1">IF(magestuff!AX$374&gt;0,INDIRECT(CONCATENATE("'Master Spell List'!c",magestuff!AX$374))," " )</f>
        <v xml:space="preserve"> </v>
      </c>
      <c r="AS178" s="1332"/>
      <c r="AT178" s="1404" t="str">
        <f ca="1">IF(magestuff!AX$374&gt;0,INDIRECT(CONCATENATE("'Master Spell List'!m",magestuff!AX$374))," " )</f>
        <v xml:space="preserve"> </v>
      </c>
      <c r="AU178" s="1405"/>
      <c r="AV178" s="1331" t="str">
        <f ca="1">IF(magestuff!AX$374&gt;0,INDIRECT(CONCATENATE("'Master Spell List'!k",magestuff!AX$374))," " )</f>
        <v xml:space="preserve"> </v>
      </c>
      <c r="AW178" s="1332"/>
      <c r="AX178" s="1331" t="str">
        <f ca="1">IF(magestuff!AX$374&gt;0,INDIRECT(CONCATENATE("'Master Spell List'!r",magestuff!AX$374))," " )</f>
        <v xml:space="preserve"> </v>
      </c>
      <c r="AY178" s="1394"/>
      <c r="AZ178" s="1331" t="str">
        <f ca="1">IF(magestuff!AX$374&gt;0,INDIRECT(CONCATENATE("'Master Spell List'!s",magestuff!AX$374))," " )</f>
        <v xml:space="preserve"> </v>
      </c>
      <c r="BA178" s="1393"/>
      <c r="BB178" s="1394"/>
      <c r="BC178" s="1395" t="str">
        <f ca="1">IF(magestuff!AX$374&gt;0,INDIRECT(CONCATENATE("'Master Spell List'!t",magestuff!AX$374))," " )</f>
        <v xml:space="preserve"> </v>
      </c>
      <c r="BD178" s="1393"/>
      <c r="BE178" s="1394"/>
      <c r="BF178" s="1401"/>
      <c r="BG178" s="1402"/>
      <c r="BH178" s="1402"/>
      <c r="BI178" s="1402"/>
      <c r="BJ178" s="1403"/>
      <c r="BK178" s="10"/>
      <c r="BL178" s="572"/>
      <c r="BM178" s="1370"/>
      <c r="BN178" s="2467"/>
      <c r="BO178" s="2467"/>
      <c r="BP178" s="2467"/>
      <c r="BQ178" s="2206"/>
      <c r="BR178" s="1370"/>
      <c r="BS178" s="2467"/>
      <c r="BT178" s="2467"/>
      <c r="BU178" s="2467"/>
      <c r="BV178" s="2467"/>
      <c r="BW178" s="2206"/>
      <c r="BX178" s="1331"/>
      <c r="BY178" s="1332"/>
      <c r="BZ178" s="1404"/>
      <c r="CA178" s="1405"/>
      <c r="CB178" s="1331"/>
      <c r="CC178" s="1332"/>
      <c r="CD178" s="1331"/>
      <c r="CE178" s="1394"/>
      <c r="CF178" s="1331"/>
      <c r="CG178" s="1393"/>
      <c r="CH178" s="1394"/>
      <c r="CI178" s="1395"/>
      <c r="CJ178" s="1393"/>
      <c r="CK178" s="1394"/>
      <c r="CL178" s="1401"/>
      <c r="CM178" s="1402"/>
      <c r="CN178" s="1402"/>
      <c r="CO178" s="1402"/>
      <c r="CP178" s="1403"/>
    </row>
    <row r="179" spans="1:94" ht="15.75" customHeight="1" outlineLevel="1">
      <c r="A179">
        <v>1</v>
      </c>
      <c r="B179"/>
      <c r="C179"/>
      <c r="D179"/>
      <c r="E179"/>
      <c r="F179"/>
      <c r="G179"/>
      <c r="H179"/>
      <c r="I179"/>
      <c r="J179"/>
      <c r="K179">
        <v>1</v>
      </c>
      <c r="L179" s="1333" t="str">
        <f ca="1">IF(magestuff!E$374&gt;0,INDIRECT(CONCATENATE("'Master Spell List'!c",magestuff!E$374))," " )</f>
        <v xml:space="preserve"> </v>
      </c>
      <c r="M179" s="1334"/>
      <c r="N179" s="1335" t="str">
        <f ca="1">IF(magestuff!E$374&gt;0,INDIRECT(CONCATENATE("'Master Spell List'!m",magestuff!E$374))," " )</f>
        <v xml:space="preserve"> </v>
      </c>
      <c r="O179" s="1406"/>
      <c r="P179" s="1333" t="str">
        <f ca="1">IF(magestuff!E$374&gt;0,INDIRECT(CONCATENATE("'Master Spell List'!k",magestuff!E$374))," " )</f>
        <v xml:space="preserve"> </v>
      </c>
      <c r="Q179" s="1334"/>
      <c r="R179" s="1333" t="str">
        <f ca="1">IF(magestuff!E$374&gt;0,INDIRECT(CONCATENATE("'Master Spell List'!r",magestuff!E$374))," " )</f>
        <v xml:space="preserve"> </v>
      </c>
      <c r="S179" s="1777"/>
      <c r="T179" s="1333" t="str">
        <f ca="1">IF(magestuff!E$374&gt;0,INDIRECT(CONCATENATE("'Master Spell List'!s",magestuff!E$374))," " )</f>
        <v xml:space="preserve"> </v>
      </c>
      <c r="U179" s="1776"/>
      <c r="V179" s="1777"/>
      <c r="W179" s="1775" t="str">
        <f ca="1">IF(magestuff!E$374&gt;0,INDIRECT(CONCATENATE("'Master Spell List'!t",magestuff!E$374))," " )</f>
        <v xml:space="preserve"> </v>
      </c>
      <c r="X179" s="1776"/>
      <c r="Y179" s="1777"/>
      <c r="Z179" s="1412"/>
      <c r="AA179" s="1371"/>
      <c r="AB179" s="1371"/>
      <c r="AC179" s="1371"/>
      <c r="AD179" s="1372"/>
      <c r="AE179"/>
      <c r="AF179" s="574"/>
      <c r="AG179">
        <v>1</v>
      </c>
      <c r="AH179"/>
      <c r="AI179"/>
      <c r="AJ179"/>
      <c r="AK179"/>
      <c r="AL179"/>
      <c r="AM179"/>
      <c r="AN179"/>
      <c r="AO179"/>
      <c r="AP179"/>
      <c r="AQ179">
        <v>1</v>
      </c>
      <c r="AR179" s="1333" t="str">
        <f ca="1">IF(magestuff!AY$374&gt;0,INDIRECT(CONCATENATE("'Master Spell List'!c",magestuff!AY$374))," " )</f>
        <v xml:space="preserve"> </v>
      </c>
      <c r="AS179" s="1334"/>
      <c r="AT179" s="1335" t="str">
        <f ca="1">IF(magestuff!AY$374&gt;0,INDIRECT(CONCATENATE("'Master Spell List'!m",magestuff!AY$374))," " )</f>
        <v xml:space="preserve"> </v>
      </c>
      <c r="AU179" s="1406"/>
      <c r="AV179" s="1333" t="str">
        <f ca="1">IF(magestuff!AY$374&gt;0,INDIRECT(CONCATENATE("'Master Spell List'!k",magestuff!AY$374))," " )</f>
        <v xml:space="preserve"> </v>
      </c>
      <c r="AW179" s="1334"/>
      <c r="AX179" s="1333" t="str">
        <f ca="1">IF(magestuff!AY$374&gt;0,INDIRECT(CONCATENATE("'Master Spell List'!r",magestuff!AY$374))," " )</f>
        <v xml:space="preserve"> </v>
      </c>
      <c r="AY179" s="1398"/>
      <c r="AZ179" s="1333" t="str">
        <f ca="1">IF(magestuff!AY$374&gt;0,INDIRECT(CONCATENATE("'Master Spell List'!s",magestuff!AY$374))," " )</f>
        <v xml:space="preserve"> </v>
      </c>
      <c r="BA179" s="1397"/>
      <c r="BB179" s="1398"/>
      <c r="BC179" s="1399" t="str">
        <f ca="1">IF(magestuff!AY$374&gt;0,INDIRECT(CONCATENATE("'Master Spell List'!t",magestuff!AY$374))," " )</f>
        <v xml:space="preserve"> </v>
      </c>
      <c r="BD179" s="1397"/>
      <c r="BE179" s="1398"/>
      <c r="BF179" s="1412"/>
      <c r="BG179" s="1371"/>
      <c r="BH179" s="1371"/>
      <c r="BI179" s="1371"/>
      <c r="BJ179" s="1372"/>
      <c r="BK179" s="10"/>
      <c r="BL179" s="572"/>
      <c r="BM179" s="1412"/>
      <c r="BN179" s="2467"/>
      <c r="BO179" s="2467"/>
      <c r="BP179" s="2467"/>
      <c r="BQ179" s="2206"/>
      <c r="BR179" s="1412"/>
      <c r="BS179" s="2469"/>
      <c r="BT179" s="2469"/>
      <c r="BU179" s="2469"/>
      <c r="BV179" s="2469"/>
      <c r="BW179" s="2470"/>
      <c r="BX179" s="1333"/>
      <c r="BY179" s="1334"/>
      <c r="BZ179" s="1335"/>
      <c r="CA179" s="1406"/>
      <c r="CB179" s="1333"/>
      <c r="CC179" s="1334"/>
      <c r="CD179" s="1333"/>
      <c r="CE179" s="1398"/>
      <c r="CF179" s="1333"/>
      <c r="CG179" s="1397"/>
      <c r="CH179" s="1398"/>
      <c r="CI179" s="1399"/>
      <c r="CJ179" s="1397"/>
      <c r="CK179" s="1398"/>
      <c r="CL179" s="1412"/>
      <c r="CM179" s="1371"/>
      <c r="CN179" s="1371"/>
      <c r="CO179" s="1371"/>
      <c r="CP179" s="1372"/>
    </row>
    <row r="180" spans="1:94" ht="15.75" customHeight="1" outlineLevel="1">
      <c r="A180">
        <v>1</v>
      </c>
      <c r="B180"/>
      <c r="C180"/>
      <c r="D180"/>
      <c r="E180"/>
      <c r="F180"/>
      <c r="G180"/>
      <c r="H180"/>
      <c r="I180"/>
      <c r="J180"/>
      <c r="K180">
        <v>1</v>
      </c>
      <c r="L180" s="1331" t="str">
        <f ca="1">IF(magestuff!F$374&gt;0,INDIRECT(CONCATENATE("'Master Spell List'!c",magestuff!F$374))," " )</f>
        <v xml:space="preserve"> </v>
      </c>
      <c r="M180" s="1332"/>
      <c r="N180" s="1404" t="str">
        <f ca="1">IF(magestuff!F$374&gt;0,INDIRECT(CONCATENATE("'Master Spell List'!m",magestuff!F$374))," " )</f>
        <v xml:space="preserve"> </v>
      </c>
      <c r="O180" s="1405"/>
      <c r="P180" s="1331" t="str">
        <f ca="1">IF(magestuff!F$374&gt;0,INDIRECT(CONCATENATE("'Master Spell List'!k",magestuff!F$374))," " )</f>
        <v xml:space="preserve"> </v>
      </c>
      <c r="Q180" s="1332"/>
      <c r="R180" s="1331" t="str">
        <f ca="1">IF(magestuff!F$374&gt;0,INDIRECT(CONCATENATE("'Master Spell List'!r",magestuff!F$374))," " )</f>
        <v xml:space="preserve"> </v>
      </c>
      <c r="S180" s="1770"/>
      <c r="T180" s="1331" t="str">
        <f ca="1">IF(magestuff!F$374&gt;0,INDIRECT(CONCATENATE("'Master Spell List'!s",magestuff!F$374))," " )</f>
        <v xml:space="preserve"> </v>
      </c>
      <c r="U180" s="1769"/>
      <c r="V180" s="1770"/>
      <c r="W180" s="1768" t="str">
        <f ca="1">IF(magestuff!F$374&gt;0,INDIRECT(CONCATENATE("'Master Spell List'!t",magestuff!F$374))," " )</f>
        <v xml:space="preserve"> </v>
      </c>
      <c r="X180" s="1769"/>
      <c r="Y180" s="1770"/>
      <c r="Z180" s="1401"/>
      <c r="AA180" s="1402"/>
      <c r="AB180" s="1402"/>
      <c r="AC180" s="1402"/>
      <c r="AD180" s="1403"/>
      <c r="AE180"/>
      <c r="AF180" s="574"/>
      <c r="AG180">
        <v>1</v>
      </c>
      <c r="AH180"/>
      <c r="AI180"/>
      <c r="AJ180"/>
      <c r="AK180"/>
      <c r="AL180"/>
      <c r="AM180"/>
      <c r="AN180"/>
      <c r="AO180"/>
      <c r="AP180"/>
      <c r="AQ180">
        <v>1</v>
      </c>
      <c r="AR180" s="1331" t="str">
        <f ca="1">IF(magestuff!AZ$374&gt;0,INDIRECT(CONCATENATE("'Master Spell List'!c",magestuff!AZ$374))," " )</f>
        <v xml:space="preserve"> </v>
      </c>
      <c r="AS180" s="1332"/>
      <c r="AT180" s="1404" t="str">
        <f ca="1">IF(magestuff!AZ$374&gt;0,INDIRECT(CONCATENATE("'Master Spell List'!m",magestuff!AZ$374))," " )</f>
        <v xml:space="preserve"> </v>
      </c>
      <c r="AU180" s="1405"/>
      <c r="AV180" s="1331" t="str">
        <f ca="1">IF(magestuff!AZ$374&gt;0,INDIRECT(CONCATENATE("'Master Spell List'!k",magestuff!AZ$374))," " )</f>
        <v xml:space="preserve"> </v>
      </c>
      <c r="AW180" s="1332"/>
      <c r="AX180" s="1331" t="str">
        <f ca="1">IF(magestuff!AZ$374&gt;0,INDIRECT(CONCATENATE("'Master Spell List'!r",magestuff!AZ$374))," " )</f>
        <v xml:space="preserve"> </v>
      </c>
      <c r="AY180" s="1394"/>
      <c r="AZ180" s="1331" t="str">
        <f ca="1">IF(magestuff!AZ$374&gt;0,INDIRECT(CONCATENATE("'Master Spell List'!s",magestuff!AZ$374))," " )</f>
        <v xml:space="preserve"> </v>
      </c>
      <c r="BA180" s="1393"/>
      <c r="BB180" s="1394"/>
      <c r="BC180" s="1395" t="str">
        <f ca="1">IF(magestuff!AZ$374&gt;0,INDIRECT(CONCATENATE("'Master Spell List'!t",magestuff!AZ$374))," " )</f>
        <v xml:space="preserve"> </v>
      </c>
      <c r="BD180" s="1393"/>
      <c r="BE180" s="1394"/>
      <c r="BF180" s="1401"/>
      <c r="BG180" s="1402"/>
      <c r="BH180" s="1402"/>
      <c r="BI180" s="1402"/>
      <c r="BJ180" s="1403"/>
      <c r="BK180" s="10"/>
      <c r="BL180" s="572"/>
      <c r="BM180" s="1370"/>
      <c r="BN180" s="2467"/>
      <c r="BO180" s="2467"/>
      <c r="BP180" s="2467"/>
      <c r="BQ180" s="2206"/>
      <c r="BR180" s="1370"/>
      <c r="BS180" s="2468"/>
      <c r="BT180" s="2468"/>
      <c r="BU180" s="2468"/>
      <c r="BV180" s="2468"/>
      <c r="BW180" s="1390"/>
      <c r="BX180" s="1331"/>
      <c r="BY180" s="1332"/>
      <c r="BZ180" s="1404"/>
      <c r="CA180" s="1405"/>
      <c r="CB180" s="1331"/>
      <c r="CC180" s="1332"/>
      <c r="CD180" s="1331"/>
      <c r="CE180" s="1394"/>
      <c r="CF180" s="1331"/>
      <c r="CG180" s="1393"/>
      <c r="CH180" s="1394"/>
      <c r="CI180" s="1395"/>
      <c r="CJ180" s="1393"/>
      <c r="CK180" s="1394"/>
      <c r="CL180" s="1401"/>
      <c r="CM180" s="1402"/>
      <c r="CN180" s="1402"/>
      <c r="CO180" s="1402"/>
      <c r="CP180" s="1403"/>
    </row>
    <row r="181" spans="1:94" ht="15.75" customHeight="1" outlineLevel="1">
      <c r="A181">
        <v>1</v>
      </c>
      <c r="B181"/>
      <c r="C181"/>
      <c r="D181"/>
      <c r="E181"/>
      <c r="F181"/>
      <c r="G181"/>
      <c r="H181"/>
      <c r="I181"/>
      <c r="J181"/>
      <c r="K181">
        <v>1</v>
      </c>
      <c r="L181" s="1333" t="str">
        <f ca="1">IF(magestuff!G$374&gt;0,INDIRECT(CONCATENATE("'Master Spell List'!c",magestuff!G$374))," " )</f>
        <v xml:space="preserve"> </v>
      </c>
      <c r="M181" s="1334"/>
      <c r="N181" s="1335" t="str">
        <f ca="1">IF(magestuff!G$374&gt;0,INDIRECT(CONCATENATE("'Master Spell List'!m",magestuff!G$374))," " )</f>
        <v xml:space="preserve"> </v>
      </c>
      <c r="O181" s="1406"/>
      <c r="P181" s="1333" t="str">
        <f ca="1">IF(magestuff!G$374&gt;0,INDIRECT(CONCATENATE("'Master Spell List'!k",magestuff!G$374))," " )</f>
        <v xml:space="preserve"> </v>
      </c>
      <c r="Q181" s="1334"/>
      <c r="R181" s="1333" t="str">
        <f ca="1">IF(magestuff!G$374&gt;0,INDIRECT(CONCATENATE("'Master Spell List'!r",magestuff!G$374))," " )</f>
        <v xml:space="preserve"> </v>
      </c>
      <c r="S181" s="1777"/>
      <c r="T181" s="1333" t="str">
        <f ca="1">IF(magestuff!G$374&gt;0,INDIRECT(CONCATENATE("'Master Spell List'!s",magestuff!G$374))," " )</f>
        <v xml:space="preserve"> </v>
      </c>
      <c r="U181" s="1776"/>
      <c r="V181" s="1777"/>
      <c r="W181" s="1775" t="str">
        <f ca="1">IF(magestuff!G$374&gt;0,INDIRECT(CONCATENATE("'Master Spell List'!t",magestuff!G$374))," " )</f>
        <v xml:space="preserve"> </v>
      </c>
      <c r="X181" s="1776"/>
      <c r="Y181" s="1777"/>
      <c r="Z181" s="1412"/>
      <c r="AA181" s="1371"/>
      <c r="AB181" s="1371"/>
      <c r="AC181" s="1371"/>
      <c r="AD181" s="1372"/>
      <c r="AE181"/>
      <c r="AF181" s="574"/>
      <c r="AG181">
        <v>1</v>
      </c>
      <c r="AH181"/>
      <c r="AI181"/>
      <c r="AJ181"/>
      <c r="AK181"/>
      <c r="AL181"/>
      <c r="AM181"/>
      <c r="AN181"/>
      <c r="AO181"/>
      <c r="AP181"/>
      <c r="AQ181">
        <v>1</v>
      </c>
      <c r="AR181" s="1333" t="str">
        <f ca="1">IF(magestuff!BA$374&gt;0,INDIRECT(CONCATENATE("'Master Spell List'!c",magestuff!BA$374))," " )</f>
        <v xml:space="preserve"> </v>
      </c>
      <c r="AS181" s="1334"/>
      <c r="AT181" s="1335" t="str">
        <f ca="1">IF(magestuff!BA$374&gt;0,INDIRECT(CONCATENATE("'Master Spell List'!m",magestuff!BA$374))," " )</f>
        <v xml:space="preserve"> </v>
      </c>
      <c r="AU181" s="1406"/>
      <c r="AV181" s="1333" t="str">
        <f ca="1">IF(magestuff!BA$374&gt;0,INDIRECT(CONCATENATE("'Master Spell List'!k",magestuff!BA$374))," " )</f>
        <v xml:space="preserve"> </v>
      </c>
      <c r="AW181" s="1334"/>
      <c r="AX181" s="1333" t="str">
        <f ca="1">IF(magestuff!BA$374&gt;0,INDIRECT(CONCATENATE("'Master Spell List'!r",magestuff!BA$374))," " )</f>
        <v xml:space="preserve"> </v>
      </c>
      <c r="AY181" s="1398"/>
      <c r="AZ181" s="1333" t="str">
        <f ca="1">IF(magestuff!BA$374&gt;0,INDIRECT(CONCATENATE("'Master Spell List'!s",magestuff!BA$374))," " )</f>
        <v xml:space="preserve"> </v>
      </c>
      <c r="BA181" s="1397"/>
      <c r="BB181" s="1398"/>
      <c r="BC181" s="1399" t="str">
        <f ca="1">IF(magestuff!BA$374&gt;0,INDIRECT(CONCATENATE("'Master Spell List'!t",magestuff!BA$374))," " )</f>
        <v xml:space="preserve"> </v>
      </c>
      <c r="BD181" s="1397"/>
      <c r="BE181" s="1398"/>
      <c r="BF181" s="1412"/>
      <c r="BG181" s="1371"/>
      <c r="BH181" s="1371"/>
      <c r="BI181" s="1371"/>
      <c r="BJ181" s="1372"/>
      <c r="BK181" s="10"/>
      <c r="BL181" s="572"/>
      <c r="BM181" s="1412"/>
      <c r="BN181" s="2467"/>
      <c r="BO181" s="2467"/>
      <c r="BP181" s="2467"/>
      <c r="BQ181" s="2206"/>
      <c r="BR181" s="1412"/>
      <c r="BS181" s="2469"/>
      <c r="BT181" s="2469"/>
      <c r="BU181" s="2469"/>
      <c r="BV181" s="2469"/>
      <c r="BW181" s="2470"/>
      <c r="BX181" s="1333"/>
      <c r="BY181" s="1334"/>
      <c r="BZ181" s="1335"/>
      <c r="CA181" s="1406"/>
      <c r="CB181" s="1333"/>
      <c r="CC181" s="1334"/>
      <c r="CD181" s="1333"/>
      <c r="CE181" s="1398"/>
      <c r="CF181" s="1333"/>
      <c r="CG181" s="1397"/>
      <c r="CH181" s="1398"/>
      <c r="CI181" s="1399"/>
      <c r="CJ181" s="1397"/>
      <c r="CK181" s="1398"/>
      <c r="CL181" s="1412"/>
      <c r="CM181" s="1371"/>
      <c r="CN181" s="1371"/>
      <c r="CO181" s="1371"/>
      <c r="CP181" s="1372"/>
    </row>
    <row r="182" spans="1:94" ht="15.75" customHeight="1" outlineLevel="1">
      <c r="A182">
        <v>1</v>
      </c>
      <c r="B182"/>
      <c r="C182"/>
      <c r="D182"/>
      <c r="E182"/>
      <c r="F182"/>
      <c r="G182"/>
      <c r="H182"/>
      <c r="I182"/>
      <c r="J182"/>
      <c r="K182">
        <v>1</v>
      </c>
      <c r="L182" s="1331" t="str">
        <f ca="1">IF(magestuff!H$374&gt;0,INDIRECT(CONCATENATE("'Master Spell List'!c",magestuff!H$374))," " )</f>
        <v xml:space="preserve"> </v>
      </c>
      <c r="M182" s="1332"/>
      <c r="N182" s="1404" t="str">
        <f ca="1">IF(magestuff!H$374&gt;0,INDIRECT(CONCATENATE("'Master Spell List'!m",magestuff!H$374))," " )</f>
        <v xml:space="preserve"> </v>
      </c>
      <c r="O182" s="1405"/>
      <c r="P182" s="1331" t="str">
        <f ca="1">IF(magestuff!H$374&gt;0,INDIRECT(CONCATENATE("'Master Spell List'!k",magestuff!H$374))," " )</f>
        <v xml:space="preserve"> </v>
      </c>
      <c r="Q182" s="1332"/>
      <c r="R182" s="1331" t="str">
        <f ca="1">IF(magestuff!H$374&gt;0,INDIRECT(CONCATENATE("'Master Spell List'!r",magestuff!H$374))," " )</f>
        <v xml:space="preserve"> </v>
      </c>
      <c r="S182" s="1770"/>
      <c r="T182" s="1331" t="str">
        <f ca="1">IF(magestuff!H$374&gt;0,INDIRECT(CONCATENATE("'Master Spell List'!s",magestuff!H$374))," " )</f>
        <v xml:space="preserve"> </v>
      </c>
      <c r="U182" s="1769"/>
      <c r="V182" s="1770"/>
      <c r="W182" s="1768" t="str">
        <f ca="1">IF(magestuff!H$374&gt;0,INDIRECT(CONCATENATE("'Master Spell List'!t",magestuff!H$374))," " )</f>
        <v xml:space="preserve"> </v>
      </c>
      <c r="X182" s="1769"/>
      <c r="Y182" s="1770"/>
      <c r="Z182" s="1401"/>
      <c r="AA182" s="1402"/>
      <c r="AB182" s="1402"/>
      <c r="AC182" s="1402"/>
      <c r="AD182" s="1403"/>
      <c r="AE182"/>
      <c r="AF182" s="574"/>
      <c r="AG182">
        <v>1</v>
      </c>
      <c r="AH182"/>
      <c r="AI182"/>
      <c r="AJ182"/>
      <c r="AK182"/>
      <c r="AL182"/>
      <c r="AM182"/>
      <c r="AN182"/>
      <c r="AO182"/>
      <c r="AP182"/>
      <c r="AQ182">
        <v>1</v>
      </c>
      <c r="AR182" s="1331" t="str">
        <f ca="1">IF(magestuff!BB$374&gt;0,INDIRECT(CONCATENATE("'Master Spell List'!c",magestuff!BB$374))," " )</f>
        <v xml:space="preserve"> </v>
      </c>
      <c r="AS182" s="1332"/>
      <c r="AT182" s="1404" t="str">
        <f ca="1">IF(magestuff!BB$374&gt;0,INDIRECT(CONCATENATE("'Master Spell List'!m",magestuff!BB$374))," " )</f>
        <v xml:space="preserve"> </v>
      </c>
      <c r="AU182" s="1405"/>
      <c r="AV182" s="1331" t="str">
        <f ca="1">IF(magestuff!BB$374&gt;0,INDIRECT(CONCATENATE("'Master Spell List'!k",magestuff!BB$374))," " )</f>
        <v xml:space="preserve"> </v>
      </c>
      <c r="AW182" s="1332"/>
      <c r="AX182" s="1331" t="str">
        <f ca="1">IF(magestuff!BB$374&gt;0,INDIRECT(CONCATENATE("'Master Spell List'!r",magestuff!BB$374))," " )</f>
        <v xml:space="preserve"> </v>
      </c>
      <c r="AY182" s="1394"/>
      <c r="AZ182" s="1331" t="str">
        <f ca="1">IF(magestuff!BB$374&gt;0,INDIRECT(CONCATENATE("'Master Spell List'!s",magestuff!BB$374))," " )</f>
        <v xml:space="preserve"> </v>
      </c>
      <c r="BA182" s="1393"/>
      <c r="BB182" s="1394"/>
      <c r="BC182" s="1395" t="str">
        <f ca="1">IF(magestuff!BB$374&gt;0,INDIRECT(CONCATENATE("'Master Spell List'!t",magestuff!BB$374))," " )</f>
        <v xml:space="preserve"> </v>
      </c>
      <c r="BD182" s="1393"/>
      <c r="BE182" s="1394"/>
      <c r="BF182" s="1401"/>
      <c r="BG182" s="1402"/>
      <c r="BH182" s="1402"/>
      <c r="BI182" s="1402"/>
      <c r="BJ182" s="1403"/>
      <c r="BK182" s="10"/>
      <c r="BL182" s="572"/>
      <c r="BM182" s="1370"/>
      <c r="BN182" s="2467"/>
      <c r="BO182" s="2467"/>
      <c r="BP182" s="2467"/>
      <c r="BQ182" s="2206"/>
      <c r="BR182" s="1370"/>
      <c r="BS182" s="2468"/>
      <c r="BT182" s="2468"/>
      <c r="BU182" s="2468"/>
      <c r="BV182" s="2468"/>
      <c r="BW182" s="1390"/>
      <c r="BX182" s="1331"/>
      <c r="BY182" s="1332"/>
      <c r="BZ182" s="1404"/>
      <c r="CA182" s="1405"/>
      <c r="CB182" s="1331"/>
      <c r="CC182" s="1332"/>
      <c r="CD182" s="1331"/>
      <c r="CE182" s="1394"/>
      <c r="CF182" s="1331"/>
      <c r="CG182" s="1393"/>
      <c r="CH182" s="1394"/>
      <c r="CI182" s="1395"/>
      <c r="CJ182" s="1393"/>
      <c r="CK182" s="1394"/>
      <c r="CL182" s="1401"/>
      <c r="CM182" s="1402"/>
      <c r="CN182" s="1402"/>
      <c r="CO182" s="1402"/>
      <c r="CP182" s="1403"/>
    </row>
    <row r="183" spans="1:94" ht="15.75" customHeight="1" outlineLevel="1">
      <c r="A183">
        <v>1</v>
      </c>
      <c r="B183"/>
      <c r="C183"/>
      <c r="D183"/>
      <c r="E183"/>
      <c r="F183"/>
      <c r="G183"/>
      <c r="H183"/>
      <c r="I183"/>
      <c r="J183"/>
      <c r="K183">
        <v>1</v>
      </c>
      <c r="L183" s="1333" t="str">
        <f ca="1">IF(magestuff!I$374&gt;0,INDIRECT(CONCATENATE("'Master Spell List'!c",magestuff!I$374))," " )</f>
        <v xml:space="preserve"> </v>
      </c>
      <c r="M183" s="1334"/>
      <c r="N183" s="1335" t="str">
        <f ca="1">IF(magestuff!I$374&gt;0,INDIRECT(CONCATENATE("'Master Spell List'!m",magestuff!I$374))," " )</f>
        <v xml:space="preserve"> </v>
      </c>
      <c r="O183" s="1406"/>
      <c r="P183" s="1333" t="str">
        <f ca="1">IF(magestuff!I$374&gt;0,INDIRECT(CONCATENATE("'Master Spell List'!k",magestuff!I$374))," " )</f>
        <v xml:space="preserve"> </v>
      </c>
      <c r="Q183" s="1334"/>
      <c r="R183" s="1333" t="str">
        <f ca="1">IF(magestuff!I$374&gt;0,INDIRECT(CONCATENATE("'Master Spell List'!r",magestuff!I$374))," " )</f>
        <v xml:space="preserve"> </v>
      </c>
      <c r="S183" s="1777"/>
      <c r="T183" s="1333" t="str">
        <f ca="1">IF(magestuff!I$374&gt;0,INDIRECT(CONCATENATE("'Master Spell List'!s",magestuff!I$374))," " )</f>
        <v xml:space="preserve"> </v>
      </c>
      <c r="U183" s="1776"/>
      <c r="V183" s="1777"/>
      <c r="W183" s="1775" t="str">
        <f ca="1">IF(magestuff!I$374&gt;0,INDIRECT(CONCATENATE("'Master Spell List'!t",magestuff!I$374))," " )</f>
        <v xml:space="preserve"> </v>
      </c>
      <c r="X183" s="1776"/>
      <c r="Y183" s="1777"/>
      <c r="Z183" s="1412"/>
      <c r="AA183" s="1371"/>
      <c r="AB183" s="1371"/>
      <c r="AC183" s="1371"/>
      <c r="AD183" s="1372"/>
      <c r="AE183"/>
      <c r="AF183" s="574"/>
      <c r="AG183">
        <v>1</v>
      </c>
      <c r="AH183"/>
      <c r="AI183"/>
      <c r="AJ183"/>
      <c r="AK183"/>
      <c r="AL183"/>
      <c r="AM183"/>
      <c r="AN183"/>
      <c r="AO183"/>
      <c r="AP183"/>
      <c r="AQ183">
        <v>1</v>
      </c>
      <c r="AR183" s="1333" t="str">
        <f ca="1">IF(magestuff!BC$374&gt;0,INDIRECT(CONCATENATE("'Master Spell List'!c",magestuff!BC$374))," " )</f>
        <v xml:space="preserve"> </v>
      </c>
      <c r="AS183" s="1334"/>
      <c r="AT183" s="1335" t="str">
        <f ca="1">IF(magestuff!BC$374&gt;0,INDIRECT(CONCATENATE("'Master Spell List'!m",magestuff!BC$374))," " )</f>
        <v xml:space="preserve"> </v>
      </c>
      <c r="AU183" s="1406"/>
      <c r="AV183" s="1333" t="str">
        <f ca="1">IF(magestuff!BC$374&gt;0,INDIRECT(CONCATENATE("'Master Spell List'!k",magestuff!BC$374))," " )</f>
        <v xml:space="preserve"> </v>
      </c>
      <c r="AW183" s="1334"/>
      <c r="AX183" s="1333" t="str">
        <f ca="1">IF(magestuff!BC$374&gt;0,INDIRECT(CONCATENATE("'Master Spell List'!r",magestuff!BC$374))," " )</f>
        <v xml:space="preserve"> </v>
      </c>
      <c r="AY183" s="1398"/>
      <c r="AZ183" s="1333" t="str">
        <f ca="1">IF(magestuff!BC$374&gt;0,INDIRECT(CONCATENATE("'Master Spell List'!s",magestuff!BC$374))," " )</f>
        <v xml:space="preserve"> </v>
      </c>
      <c r="BA183" s="1397"/>
      <c r="BB183" s="1398"/>
      <c r="BC183" s="1399" t="str">
        <f ca="1">IF(magestuff!BC$374&gt;0,INDIRECT(CONCATENATE("'Master Spell List'!t",magestuff!BC$374))," " )</f>
        <v xml:space="preserve"> </v>
      </c>
      <c r="BD183" s="1397"/>
      <c r="BE183" s="1398"/>
      <c r="BF183" s="1412"/>
      <c r="BG183" s="1371"/>
      <c r="BH183" s="1371"/>
      <c r="BI183" s="1371"/>
      <c r="BJ183" s="1372"/>
      <c r="BK183" s="10"/>
      <c r="BL183" s="572"/>
      <c r="BM183" s="1412"/>
      <c r="BN183" s="2467"/>
      <c r="BO183" s="2467"/>
      <c r="BP183" s="2467"/>
      <c r="BQ183" s="2206"/>
      <c r="BR183" s="1412"/>
      <c r="BS183" s="2469"/>
      <c r="BT183" s="2469"/>
      <c r="BU183" s="2469"/>
      <c r="BV183" s="2469"/>
      <c r="BW183" s="2470"/>
      <c r="BX183" s="1333"/>
      <c r="BY183" s="1334"/>
      <c r="BZ183" s="1335"/>
      <c r="CA183" s="1406"/>
      <c r="CB183" s="1333"/>
      <c r="CC183" s="1334"/>
      <c r="CD183" s="1333"/>
      <c r="CE183" s="1398"/>
      <c r="CF183" s="1333"/>
      <c r="CG183" s="1397"/>
      <c r="CH183" s="1398"/>
      <c r="CI183" s="1399"/>
      <c r="CJ183" s="1397"/>
      <c r="CK183" s="1398"/>
      <c r="CL183" s="1412"/>
      <c r="CM183" s="1371"/>
      <c r="CN183" s="1371"/>
      <c r="CO183" s="1371"/>
      <c r="CP183" s="1372"/>
    </row>
    <row r="184" spans="1:94" ht="15.75" customHeight="1" outlineLevel="1">
      <c r="A184">
        <v>1</v>
      </c>
      <c r="B184"/>
      <c r="C184"/>
      <c r="D184"/>
      <c r="E184"/>
      <c r="F184"/>
      <c r="G184"/>
      <c r="H184"/>
      <c r="I184"/>
      <c r="J184"/>
      <c r="K184">
        <v>1</v>
      </c>
      <c r="L184" s="1331" t="str">
        <f ca="1">IF(magestuff!J$374&gt;0,INDIRECT(CONCATENATE("'Master Spell List'!c",magestuff!J$374))," " )</f>
        <v xml:space="preserve"> </v>
      </c>
      <c r="M184" s="1332"/>
      <c r="N184" s="1404" t="str">
        <f ca="1">IF(magestuff!J$374&gt;0,INDIRECT(CONCATENATE("'Master Spell List'!m",magestuff!J$374))," " )</f>
        <v xml:space="preserve"> </v>
      </c>
      <c r="O184" s="1405"/>
      <c r="P184" s="1331" t="str">
        <f ca="1">IF(magestuff!J$374&gt;0,INDIRECT(CONCATENATE("'Master Spell List'!k",magestuff!J$374))," " )</f>
        <v xml:space="preserve"> </v>
      </c>
      <c r="Q184" s="1332"/>
      <c r="R184" s="1331" t="str">
        <f ca="1">IF(magestuff!J$374&gt;0,INDIRECT(CONCATENATE("'Master Spell List'!r",magestuff!J$374))," " )</f>
        <v xml:space="preserve"> </v>
      </c>
      <c r="S184" s="1337"/>
      <c r="T184" s="1331" t="str">
        <f ca="1">IF(magestuff!J$374&gt;0,INDIRECT(CONCATENATE("'Master Spell List'!s",magestuff!J$374))," " )</f>
        <v xml:space="preserve"> </v>
      </c>
      <c r="U184" s="1769"/>
      <c r="V184" s="1770"/>
      <c r="W184" s="1768" t="str">
        <f ca="1">IF(magestuff!J$374&gt;0,INDIRECT(CONCATENATE("'Master Spell List'!t",magestuff!J$374))," " )</f>
        <v xml:space="preserve"> </v>
      </c>
      <c r="X184" s="1769"/>
      <c r="Y184" s="1770"/>
      <c r="Z184" s="1401"/>
      <c r="AA184" s="1402"/>
      <c r="AB184" s="1402"/>
      <c r="AC184" s="1402"/>
      <c r="AD184" s="1403"/>
      <c r="AE184"/>
      <c r="AF184" s="574"/>
      <c r="AG184">
        <v>1</v>
      </c>
      <c r="AH184"/>
      <c r="AI184"/>
      <c r="AJ184"/>
      <c r="AK184"/>
      <c r="AL184"/>
      <c r="AM184"/>
      <c r="AN184"/>
      <c r="AO184"/>
      <c r="AP184"/>
      <c r="AQ184">
        <v>1</v>
      </c>
      <c r="AR184" s="1331" t="str">
        <f ca="1">IF(magestuff!BD$374&gt;0,INDIRECT(CONCATENATE("'Master Spell List'!c",magestuff!BD$374))," " )</f>
        <v xml:space="preserve"> </v>
      </c>
      <c r="AS184" s="1332"/>
      <c r="AT184" s="1404" t="str">
        <f ca="1">IF(magestuff!BD$374&gt;0,INDIRECT(CONCATENATE("'Master Spell List'!m",magestuff!BD$374))," " )</f>
        <v xml:space="preserve"> </v>
      </c>
      <c r="AU184" s="1405"/>
      <c r="AV184" s="1331" t="str">
        <f ca="1">IF(magestuff!BD$374&gt;0,INDIRECT(CONCATENATE("'Master Spell List'!k",magestuff!BD$374))," " )</f>
        <v xml:space="preserve"> </v>
      </c>
      <c r="AW184" s="1332"/>
      <c r="AX184" s="1331" t="str">
        <f ca="1">IF(magestuff!BD$374&gt;0,INDIRECT(CONCATENATE("'Master Spell List'!r",magestuff!BD$374))," " )</f>
        <v xml:space="preserve"> </v>
      </c>
      <c r="AY184" s="2206"/>
      <c r="AZ184" s="1331" t="str">
        <f ca="1">IF(magestuff!BD$374&gt;0,INDIRECT(CONCATENATE("'Master Spell List'!s",magestuff!BD$374))," " )</f>
        <v xml:space="preserve"> </v>
      </c>
      <c r="BA184" s="1393"/>
      <c r="BB184" s="1394"/>
      <c r="BC184" s="1395" t="str">
        <f ca="1">IF(magestuff!BD$374&gt;0,INDIRECT(CONCATENATE("'Master Spell List'!t",magestuff!BD$374))," " )</f>
        <v xml:space="preserve"> </v>
      </c>
      <c r="BD184" s="1393"/>
      <c r="BE184" s="1394"/>
      <c r="BF184" s="1401"/>
      <c r="BG184" s="1402"/>
      <c r="BH184" s="1402"/>
      <c r="BI184" s="1402"/>
      <c r="BJ184" s="1403"/>
      <c r="BK184" s="10"/>
      <c r="BL184" s="572"/>
      <c r="BM184" s="1370"/>
      <c r="BN184" s="2467"/>
      <c r="BO184" s="2467"/>
      <c r="BP184" s="2467"/>
      <c r="BQ184" s="2206"/>
      <c r="BR184" s="1370"/>
      <c r="BS184" s="2468"/>
      <c r="BT184" s="2468"/>
      <c r="BU184" s="2468"/>
      <c r="BV184" s="2468"/>
      <c r="BW184" s="1390"/>
      <c r="BX184" s="1331"/>
      <c r="BY184" s="1332"/>
      <c r="BZ184" s="1404"/>
      <c r="CA184" s="1405"/>
      <c r="CB184" s="1331"/>
      <c r="CC184" s="1332"/>
      <c r="CD184" s="1331"/>
      <c r="CE184" s="2206"/>
      <c r="CF184" s="1331"/>
      <c r="CG184" s="1393"/>
      <c r="CH184" s="1394"/>
      <c r="CI184" s="1395"/>
      <c r="CJ184" s="1393"/>
      <c r="CK184" s="1394"/>
      <c r="CL184" s="1401"/>
      <c r="CM184" s="1402"/>
      <c r="CN184" s="1402"/>
      <c r="CO184" s="1402"/>
      <c r="CP184" s="1403"/>
    </row>
    <row r="185" spans="1:94" ht="15.75" customHeight="1" outlineLevel="1">
      <c r="A185">
        <v>1</v>
      </c>
      <c r="B185"/>
      <c r="C185"/>
      <c r="D185"/>
      <c r="E185"/>
      <c r="F185"/>
      <c r="G185"/>
      <c r="H185"/>
      <c r="I185"/>
      <c r="J185"/>
      <c r="K185">
        <v>1</v>
      </c>
      <c r="L185" s="1333" t="str">
        <f ca="1">IF(magestuff!K$374&gt;0,INDIRECT(CONCATENATE("'Master Spell List'!c",magestuff!K$374))," " )</f>
        <v xml:space="preserve"> </v>
      </c>
      <c r="M185" s="1334"/>
      <c r="N185" s="1335" t="str">
        <f ca="1">IF(magestuff!K$374&gt;0,INDIRECT(CONCATENATE("'Master Spell List'!m",magestuff!K$374))," " )</f>
        <v xml:space="preserve"> </v>
      </c>
      <c r="O185" s="1406"/>
      <c r="P185" s="1333" t="str">
        <f ca="1">IF(magestuff!K$374&gt;0,INDIRECT(CONCATENATE("'Master Spell List'!k",magestuff!K$374))," " )</f>
        <v xml:space="preserve"> </v>
      </c>
      <c r="Q185" s="1334"/>
      <c r="R185" s="1333" t="str">
        <f ca="1">IF(magestuff!K$374&gt;0,INDIRECT(CONCATENATE("'Master Spell List'!r",magestuff!K$374))," " )</f>
        <v xml:space="preserve"> </v>
      </c>
      <c r="S185" s="1777"/>
      <c r="T185" s="1333" t="str">
        <f ca="1">IF(magestuff!K$374&gt;0,INDIRECT(CONCATENATE("'Master Spell List'!s",magestuff!K$374))," " )</f>
        <v xml:space="preserve"> </v>
      </c>
      <c r="U185" s="1776"/>
      <c r="V185" s="1777"/>
      <c r="W185" s="1775" t="str">
        <f ca="1">IF(magestuff!K$374&gt;0,INDIRECT(CONCATENATE("'Master Spell List'!t",magestuff!K$374))," " )</f>
        <v xml:space="preserve"> </v>
      </c>
      <c r="X185" s="1776"/>
      <c r="Y185" s="1777"/>
      <c r="Z185" s="1412"/>
      <c r="AA185" s="1371"/>
      <c r="AB185" s="1371"/>
      <c r="AC185" s="1371"/>
      <c r="AD185" s="1372"/>
      <c r="AE185"/>
      <c r="AF185" s="574"/>
      <c r="AG185">
        <v>1</v>
      </c>
      <c r="AH185"/>
      <c r="AI185"/>
      <c r="AJ185"/>
      <c r="AK185"/>
      <c r="AL185"/>
      <c r="AM185"/>
      <c r="AN185"/>
      <c r="AO185"/>
      <c r="AP185"/>
      <c r="AQ185">
        <v>1</v>
      </c>
      <c r="AR185" s="1333" t="str">
        <f ca="1">IF(magestuff!BE$374&gt;0,INDIRECT(CONCATENATE("'Master Spell List'!c",magestuff!BE$374))," " )</f>
        <v xml:space="preserve"> </v>
      </c>
      <c r="AS185" s="1334"/>
      <c r="AT185" s="1335" t="str">
        <f ca="1">IF(magestuff!BE$374&gt;0,INDIRECT(CONCATENATE("'Master Spell List'!m",magestuff!BE$374))," " )</f>
        <v xml:space="preserve"> </v>
      </c>
      <c r="AU185" s="1406"/>
      <c r="AV185" s="1333" t="str">
        <f ca="1">IF(magestuff!BE$374&gt;0,INDIRECT(CONCATENATE("'Master Spell List'!k",magestuff!BE$374))," " )</f>
        <v xml:space="preserve"> </v>
      </c>
      <c r="AW185" s="1334"/>
      <c r="AX185" s="1333" t="str">
        <f ca="1">IF(magestuff!BE$374&gt;0,INDIRECT(CONCATENATE("'Master Spell List'!r",magestuff!BE$374))," " )</f>
        <v xml:space="preserve"> </v>
      </c>
      <c r="AY185" s="1398"/>
      <c r="AZ185" s="1333" t="str">
        <f ca="1">IF(magestuff!BE$374&gt;0,INDIRECT(CONCATENATE("'Master Spell List'!s",magestuff!BE$374))," " )</f>
        <v xml:space="preserve"> </v>
      </c>
      <c r="BA185" s="1397"/>
      <c r="BB185" s="1398"/>
      <c r="BC185" s="1399" t="str">
        <f ca="1">IF(magestuff!BE$374&gt;0,INDIRECT(CONCATENATE("'Master Spell List'!t",magestuff!BE$374))," " )</f>
        <v xml:space="preserve"> </v>
      </c>
      <c r="BD185" s="1397"/>
      <c r="BE185" s="1398"/>
      <c r="BF185" s="1412"/>
      <c r="BG185" s="1371"/>
      <c r="BH185" s="1371"/>
      <c r="BI185" s="1371"/>
      <c r="BJ185" s="1372"/>
      <c r="BK185" s="10"/>
      <c r="BL185" s="572"/>
      <c r="BM185" s="1412"/>
      <c r="BN185" s="2467"/>
      <c r="BO185" s="2467"/>
      <c r="BP185" s="2467"/>
      <c r="BQ185" s="2206"/>
      <c r="BR185" s="1412"/>
      <c r="BS185" s="2469"/>
      <c r="BT185" s="2469"/>
      <c r="BU185" s="2469"/>
      <c r="BV185" s="2469"/>
      <c r="BW185" s="2470"/>
      <c r="BX185" s="1333"/>
      <c r="BY185" s="1334"/>
      <c r="BZ185" s="1335"/>
      <c r="CA185" s="1406"/>
      <c r="CB185" s="1333"/>
      <c r="CC185" s="1334"/>
      <c r="CD185" s="1333"/>
      <c r="CE185" s="1398"/>
      <c r="CF185" s="1333"/>
      <c r="CG185" s="1397"/>
      <c r="CH185" s="1398"/>
      <c r="CI185" s="1399"/>
      <c r="CJ185" s="1397"/>
      <c r="CK185" s="1398"/>
      <c r="CL185" s="1412"/>
      <c r="CM185" s="1371"/>
      <c r="CN185" s="1371"/>
      <c r="CO185" s="1371"/>
      <c r="CP185" s="1372"/>
    </row>
    <row r="186" spans="1:94" ht="15.75" customHeight="1" outlineLevel="1">
      <c r="A186">
        <v>1</v>
      </c>
      <c r="B186"/>
      <c r="C186"/>
      <c r="D186"/>
      <c r="E186"/>
      <c r="F186"/>
      <c r="G186"/>
      <c r="H186"/>
      <c r="I186"/>
      <c r="J186"/>
      <c r="K186">
        <v>1</v>
      </c>
      <c r="L186" s="1331" t="str">
        <f ca="1">IF(magestuff!L$374&gt;0,INDIRECT(CONCATENATE("'Master Spell List'!c",magestuff!L$374))," " )</f>
        <v xml:space="preserve"> </v>
      </c>
      <c r="M186" s="1332"/>
      <c r="N186" s="1404" t="str">
        <f ca="1">IF(magestuff!L$374&gt;0,INDIRECT(CONCATENATE("'Master Spell List'!m",magestuff!L$374))," " )</f>
        <v xml:space="preserve"> </v>
      </c>
      <c r="O186" s="1405"/>
      <c r="P186" s="1331" t="str">
        <f ca="1">IF(magestuff!L$374&gt;0,INDIRECT(CONCATENATE("'Master Spell List'!k",magestuff!L$374))," " )</f>
        <v xml:space="preserve"> </v>
      </c>
      <c r="Q186" s="1332"/>
      <c r="R186" s="1331" t="str">
        <f ca="1">IF(magestuff!L$374&gt;0,INDIRECT(CONCATENATE("'Master Spell List'!r",magestuff!L$374))," " )</f>
        <v xml:space="preserve"> </v>
      </c>
      <c r="S186" s="1770"/>
      <c r="T186" s="1331" t="str">
        <f ca="1">IF(magestuff!L$374&gt;0,INDIRECT(CONCATENATE("'Master Spell List'!s",magestuff!L$374))," " )</f>
        <v xml:space="preserve"> </v>
      </c>
      <c r="U186" s="1769"/>
      <c r="V186" s="1770"/>
      <c r="W186" s="1768" t="str">
        <f ca="1">IF(magestuff!L$374&gt;0,INDIRECT(CONCATENATE("'Master Spell List'!t",magestuff!L$374))," " )</f>
        <v xml:space="preserve"> </v>
      </c>
      <c r="X186" s="1769"/>
      <c r="Y186" s="1770"/>
      <c r="Z186" s="1401"/>
      <c r="AA186" s="1402"/>
      <c r="AB186" s="1402"/>
      <c r="AC186" s="1402"/>
      <c r="AD186" s="1403"/>
      <c r="AE186"/>
      <c r="AF186" s="574"/>
      <c r="AG186">
        <v>1</v>
      </c>
      <c r="AH186"/>
      <c r="AI186"/>
      <c r="AJ186"/>
      <c r="AK186"/>
      <c r="AL186"/>
      <c r="AM186"/>
      <c r="AN186"/>
      <c r="AO186"/>
      <c r="AP186"/>
      <c r="AQ186">
        <v>1</v>
      </c>
      <c r="AR186" s="1331" t="str">
        <f ca="1">IF(magestuff!BF$374&gt;0,INDIRECT(CONCATENATE("'Master Spell List'!c",magestuff!BF$374))," " )</f>
        <v xml:space="preserve"> </v>
      </c>
      <c r="AS186" s="1332"/>
      <c r="AT186" s="1404" t="str">
        <f ca="1">IF(magestuff!BF$374&gt;0,INDIRECT(CONCATENATE("'Master Spell List'!m",magestuff!BF$374))," " )</f>
        <v xml:space="preserve"> </v>
      </c>
      <c r="AU186" s="1405"/>
      <c r="AV186" s="1331" t="str">
        <f ca="1">IF(magestuff!BF$374&gt;0,INDIRECT(CONCATENATE("'Master Spell List'!k",magestuff!BF$374))," " )</f>
        <v xml:space="preserve"> </v>
      </c>
      <c r="AW186" s="1332"/>
      <c r="AX186" s="1331" t="str">
        <f ca="1">IF(magestuff!BF$374&gt;0,INDIRECT(CONCATENATE("'Master Spell List'!r",magestuff!BF$374))," " )</f>
        <v xml:space="preserve"> </v>
      </c>
      <c r="AY186" s="1394"/>
      <c r="AZ186" s="1331" t="str">
        <f ca="1">IF(magestuff!BF$374&gt;0,INDIRECT(CONCATENATE("'Master Spell List'!s",magestuff!BF$374))," " )</f>
        <v xml:space="preserve"> </v>
      </c>
      <c r="BA186" s="1393"/>
      <c r="BB186" s="1394"/>
      <c r="BC186" s="1395" t="str">
        <f ca="1">IF(magestuff!BF$374&gt;0,INDIRECT(CONCATENATE("'Master Spell List'!t",magestuff!BF$374))," " )</f>
        <v xml:space="preserve"> </v>
      </c>
      <c r="BD186" s="1393"/>
      <c r="BE186" s="1394"/>
      <c r="BF186" s="1401"/>
      <c r="BG186" s="1402"/>
      <c r="BH186" s="1402"/>
      <c r="BI186" s="1402"/>
      <c r="BJ186" s="1403"/>
      <c r="BK186" s="10"/>
      <c r="BL186" s="572"/>
      <c r="BM186" s="1370"/>
      <c r="BN186" s="2467"/>
      <c r="BO186" s="2467"/>
      <c r="BP186" s="2467"/>
      <c r="BQ186" s="2206"/>
      <c r="BR186" s="1370"/>
      <c r="BS186" s="2468"/>
      <c r="BT186" s="2468"/>
      <c r="BU186" s="2468"/>
      <c r="BV186" s="2468"/>
      <c r="BW186" s="1390"/>
      <c r="BX186" s="1331"/>
      <c r="BY186" s="1332"/>
      <c r="BZ186" s="1404"/>
      <c r="CA186" s="1405"/>
      <c r="CB186" s="1331"/>
      <c r="CC186" s="1332"/>
      <c r="CD186" s="1331"/>
      <c r="CE186" s="1394"/>
      <c r="CF186" s="1331"/>
      <c r="CG186" s="1393"/>
      <c r="CH186" s="1394"/>
      <c r="CI186" s="1395"/>
      <c r="CJ186" s="1393"/>
      <c r="CK186" s="1394"/>
      <c r="CL186" s="1401"/>
      <c r="CM186" s="1402"/>
      <c r="CN186" s="1402"/>
      <c r="CO186" s="1402"/>
      <c r="CP186" s="1403"/>
    </row>
    <row r="187" spans="1:94" ht="15.75" customHeight="1" outlineLevel="1">
      <c r="A187">
        <v>1</v>
      </c>
      <c r="B187"/>
      <c r="C187"/>
      <c r="D187"/>
      <c r="E187"/>
      <c r="F187"/>
      <c r="G187"/>
      <c r="H187"/>
      <c r="I187"/>
      <c r="J187"/>
      <c r="K187">
        <v>1</v>
      </c>
      <c r="L187" s="1333" t="str">
        <f ca="1">IF(magestuff!M$374&gt;0,INDIRECT(CONCATENATE("'Master Spell List'!c",magestuff!M$374))," " )</f>
        <v xml:space="preserve"> </v>
      </c>
      <c r="M187" s="1334"/>
      <c r="N187" s="1335" t="str">
        <f ca="1">IF(magestuff!M$374&gt;0,INDIRECT(CONCATENATE("'Master Spell List'!m",magestuff!M$374))," " )</f>
        <v xml:space="preserve"> </v>
      </c>
      <c r="O187" s="1406"/>
      <c r="P187" s="1333" t="str">
        <f ca="1">IF(magestuff!M$374&gt;0,INDIRECT(CONCATENATE("'Master Spell List'!k",magestuff!M$374))," " )</f>
        <v xml:space="preserve"> </v>
      </c>
      <c r="Q187" s="1334"/>
      <c r="R187" s="1333" t="str">
        <f ca="1">IF(magestuff!M$374&gt;0,INDIRECT(CONCATENATE("'Master Spell List'!r",magestuff!M$374))," " )</f>
        <v xml:space="preserve"> </v>
      </c>
      <c r="S187" s="1777"/>
      <c r="T187" s="1333" t="str">
        <f ca="1">IF(magestuff!M$374&gt;0,INDIRECT(CONCATENATE("'Master Spell List'!s",magestuff!M$374))," " )</f>
        <v xml:space="preserve"> </v>
      </c>
      <c r="U187" s="1776"/>
      <c r="V187" s="1777"/>
      <c r="W187" s="1775" t="str">
        <f ca="1">IF(magestuff!M$374&gt;0,INDIRECT(CONCATENATE("'Master Spell List'!t",magestuff!M$374))," " )</f>
        <v xml:space="preserve"> </v>
      </c>
      <c r="X187" s="1776"/>
      <c r="Y187" s="1777"/>
      <c r="Z187" s="1412"/>
      <c r="AA187" s="1371"/>
      <c r="AB187" s="1371"/>
      <c r="AC187" s="1371"/>
      <c r="AD187" s="1372"/>
      <c r="AE187"/>
      <c r="AF187" s="574"/>
      <c r="AG187">
        <v>1</v>
      </c>
      <c r="AH187"/>
      <c r="AI187"/>
      <c r="AJ187"/>
      <c r="AK187"/>
      <c r="AL187"/>
      <c r="AM187"/>
      <c r="AN187"/>
      <c r="AO187"/>
      <c r="AP187"/>
      <c r="AQ187">
        <v>1</v>
      </c>
      <c r="AR187" s="1333" t="str">
        <f ca="1">IF(magestuff!BG$374&gt;0,INDIRECT(CONCATENATE("'Master Spell List'!c",magestuff!BG$374))," " )</f>
        <v xml:space="preserve"> </v>
      </c>
      <c r="AS187" s="1334"/>
      <c r="AT187" s="1335" t="str">
        <f ca="1">IF(magestuff!BG$374&gt;0,INDIRECT(CONCATENATE("'Master Spell List'!m",magestuff!BG$374))," " )</f>
        <v xml:space="preserve"> </v>
      </c>
      <c r="AU187" s="1406"/>
      <c r="AV187" s="1333" t="str">
        <f ca="1">IF(magestuff!BG$374&gt;0,INDIRECT(CONCATENATE("'Master Spell List'!k",magestuff!BG$374))," " )</f>
        <v xml:space="preserve"> </v>
      </c>
      <c r="AW187" s="1334"/>
      <c r="AX187" s="1333" t="str">
        <f ca="1">IF(magestuff!BG$374&gt;0,INDIRECT(CONCATENATE("'Master Spell List'!r",magestuff!BG$374))," " )</f>
        <v xml:space="preserve"> </v>
      </c>
      <c r="AY187" s="1398"/>
      <c r="AZ187" s="1333" t="str">
        <f ca="1">IF(magestuff!BG$374&gt;0,INDIRECT(CONCATENATE("'Master Spell List'!s",magestuff!BG$374))," " )</f>
        <v xml:space="preserve"> </v>
      </c>
      <c r="BA187" s="1397"/>
      <c r="BB187" s="1398"/>
      <c r="BC187" s="1399" t="str">
        <f ca="1">IF(magestuff!BG$374&gt;0,INDIRECT(CONCATENATE("'Master Spell List'!t",magestuff!BG$374))," " )</f>
        <v xml:space="preserve"> </v>
      </c>
      <c r="BD187" s="1397"/>
      <c r="BE187" s="1398"/>
      <c r="BF187" s="1412"/>
      <c r="BG187" s="1371"/>
      <c r="BH187" s="1371"/>
      <c r="BI187" s="1371"/>
      <c r="BJ187" s="1372"/>
      <c r="BK187" s="10"/>
      <c r="BL187" s="572"/>
      <c r="BM187" s="1412"/>
      <c r="BN187" s="2467"/>
      <c r="BO187" s="2467"/>
      <c r="BP187" s="2467"/>
      <c r="BQ187" s="2206"/>
      <c r="BR187" s="1412"/>
      <c r="BS187" s="2469"/>
      <c r="BT187" s="2469"/>
      <c r="BU187" s="2469"/>
      <c r="BV187" s="2469"/>
      <c r="BW187" s="2470"/>
      <c r="BX187" s="1333"/>
      <c r="BY187" s="1334"/>
      <c r="BZ187" s="1335"/>
      <c r="CA187" s="1406"/>
      <c r="CB187" s="1333"/>
      <c r="CC187" s="1334"/>
      <c r="CD187" s="1333"/>
      <c r="CE187" s="1398"/>
      <c r="CF187" s="1333"/>
      <c r="CG187" s="1397"/>
      <c r="CH187" s="1398"/>
      <c r="CI187" s="1399"/>
      <c r="CJ187" s="1397"/>
      <c r="CK187" s="1398"/>
      <c r="CL187" s="1412"/>
      <c r="CM187" s="1371"/>
      <c r="CN187" s="1371"/>
      <c r="CO187" s="1371"/>
      <c r="CP187" s="1372"/>
    </row>
    <row r="188" spans="1:94" ht="15.75" customHeight="1" outlineLevel="1">
      <c r="A188">
        <v>1</v>
      </c>
      <c r="B188"/>
      <c r="C188"/>
      <c r="D188"/>
      <c r="E188"/>
      <c r="F188"/>
      <c r="G188"/>
      <c r="H188"/>
      <c r="I188"/>
      <c r="J188"/>
      <c r="K188">
        <v>1</v>
      </c>
      <c r="L188" s="1331" t="str">
        <f ca="1">IF(magestuff!N$374&gt;0,INDIRECT(CONCATENATE("'Master Spell List'!c",magestuff!N$374))," " )</f>
        <v xml:space="preserve"> </v>
      </c>
      <c r="M188" s="1332"/>
      <c r="N188" s="1404" t="str">
        <f ca="1">IF(magestuff!N$374&gt;0,INDIRECT(CONCATENATE("'Master Spell List'!m",magestuff!N$374))," " )</f>
        <v xml:space="preserve"> </v>
      </c>
      <c r="O188" s="1405"/>
      <c r="P188" s="1331" t="str">
        <f ca="1">IF(magestuff!N$374&gt;0,INDIRECT(CONCATENATE("'Master Spell List'!k",magestuff!N$374))," " )</f>
        <v xml:space="preserve"> </v>
      </c>
      <c r="Q188" s="1332"/>
      <c r="R188" s="1331" t="str">
        <f ca="1">IF(magestuff!N$374&gt;0,INDIRECT(CONCATENATE("'Master Spell List'!r",magestuff!N$374))," " )</f>
        <v xml:space="preserve"> </v>
      </c>
      <c r="S188" s="1770"/>
      <c r="T188" s="1331" t="str">
        <f ca="1">IF(magestuff!N$374&gt;0,INDIRECT(CONCATENATE("'Master Spell List'!s",magestuff!N$374))," " )</f>
        <v xml:space="preserve"> </v>
      </c>
      <c r="U188" s="1769"/>
      <c r="V188" s="1770"/>
      <c r="W188" s="1768" t="str">
        <f ca="1">IF(magestuff!N$374&gt;0,INDIRECT(CONCATENATE("'Master Spell List'!t",magestuff!N$374))," " )</f>
        <v xml:space="preserve"> </v>
      </c>
      <c r="X188" s="1769"/>
      <c r="Y188" s="1770"/>
      <c r="Z188" s="1401"/>
      <c r="AA188" s="1402"/>
      <c r="AB188" s="1402"/>
      <c r="AC188" s="1402"/>
      <c r="AD188" s="1403"/>
      <c r="AE188"/>
      <c r="AF188" s="574"/>
      <c r="AG188">
        <v>1</v>
      </c>
      <c r="AH188"/>
      <c r="AI188"/>
      <c r="AJ188"/>
      <c r="AK188"/>
      <c r="AL188"/>
      <c r="AM188"/>
      <c r="AN188"/>
      <c r="AO188"/>
      <c r="AP188"/>
      <c r="AQ188">
        <v>1</v>
      </c>
      <c r="AR188" s="1331" t="str">
        <f ca="1">IF(magestuff!BH$374&gt;0,INDIRECT(CONCATENATE("'Master Spell List'!c",magestuff!BH$374))," " )</f>
        <v xml:space="preserve"> </v>
      </c>
      <c r="AS188" s="1332"/>
      <c r="AT188" s="1404" t="str">
        <f ca="1">IF(magestuff!BH$374&gt;0,INDIRECT(CONCATENATE("'Master Spell List'!m",magestuff!BH$374))," " )</f>
        <v xml:space="preserve"> </v>
      </c>
      <c r="AU188" s="1405"/>
      <c r="AV188" s="1331" t="str">
        <f ca="1">IF(magestuff!BH$374&gt;0,INDIRECT(CONCATENATE("'Master Spell List'!k",magestuff!BH$374))," " )</f>
        <v xml:space="preserve"> </v>
      </c>
      <c r="AW188" s="1332"/>
      <c r="AX188" s="1331" t="str">
        <f ca="1">IF(magestuff!BH$374&gt;0,INDIRECT(CONCATENATE("'Master Spell List'!r",magestuff!BH$374))," " )</f>
        <v xml:space="preserve"> </v>
      </c>
      <c r="AY188" s="1394"/>
      <c r="AZ188" s="1331" t="str">
        <f ca="1">IF(magestuff!BH$374&gt;0,INDIRECT(CONCATENATE("'Master Spell List'!s",magestuff!BH$374))," " )</f>
        <v xml:space="preserve"> </v>
      </c>
      <c r="BA188" s="1393"/>
      <c r="BB188" s="1394"/>
      <c r="BC188" s="1395" t="str">
        <f ca="1">IF(magestuff!BH$374&gt;0,INDIRECT(CONCATENATE("'Master Spell List'!t",magestuff!BH$374))," " )</f>
        <v xml:space="preserve"> </v>
      </c>
      <c r="BD188" s="1393"/>
      <c r="BE188" s="1394"/>
      <c r="BF188" s="1401"/>
      <c r="BG188" s="1402"/>
      <c r="BH188" s="1402"/>
      <c r="BI188" s="1402"/>
      <c r="BJ188" s="1403"/>
      <c r="BK188" s="10"/>
      <c r="BL188" s="572"/>
      <c r="BM188" s="1370"/>
      <c r="BN188" s="2467"/>
      <c r="BO188" s="2467"/>
      <c r="BP188" s="2467"/>
      <c r="BQ188" s="2206"/>
      <c r="BR188" s="1370"/>
      <c r="BS188" s="2468"/>
      <c r="BT188" s="2468"/>
      <c r="BU188" s="2468"/>
      <c r="BV188" s="2468"/>
      <c r="BW188" s="1390"/>
      <c r="BX188" s="1331"/>
      <c r="BY188" s="1332"/>
      <c r="BZ188" s="1404"/>
      <c r="CA188" s="1405"/>
      <c r="CB188" s="1331"/>
      <c r="CC188" s="1332"/>
      <c r="CD188" s="1331"/>
      <c r="CE188" s="1394"/>
      <c r="CF188" s="1331"/>
      <c r="CG188" s="1393"/>
      <c r="CH188" s="1394"/>
      <c r="CI188" s="1395"/>
      <c r="CJ188" s="1393"/>
      <c r="CK188" s="1394"/>
      <c r="CL188" s="1401"/>
      <c r="CM188" s="1402"/>
      <c r="CN188" s="1402"/>
      <c r="CO188" s="1402"/>
      <c r="CP188" s="1403"/>
    </row>
    <row r="189" spans="1:94" ht="15.75" customHeight="1" outlineLevel="1">
      <c r="A189">
        <v>1</v>
      </c>
      <c r="B189"/>
      <c r="C189"/>
      <c r="D189"/>
      <c r="E189"/>
      <c r="F189"/>
      <c r="G189"/>
      <c r="H189"/>
      <c r="I189"/>
      <c r="J189"/>
      <c r="K189">
        <v>1</v>
      </c>
      <c r="L189" s="1333" t="str">
        <f ca="1">IF(magestuff!O$374&gt;0,INDIRECT(CONCATENATE("'Master Spell List'!c",magestuff!O$374))," " )</f>
        <v xml:space="preserve"> </v>
      </c>
      <c r="M189" s="1334"/>
      <c r="N189" s="1335" t="str">
        <f ca="1">IF(magestuff!O$374&gt;0,INDIRECT(CONCATENATE("'Master Spell List'!m",magestuff!O$374))," " )</f>
        <v xml:space="preserve"> </v>
      </c>
      <c r="O189" s="1406"/>
      <c r="P189" s="1333" t="str">
        <f ca="1">IF(magestuff!O$374&gt;0,INDIRECT(CONCATENATE("'Master Spell List'!k",magestuff!O$374))," " )</f>
        <v xml:space="preserve"> </v>
      </c>
      <c r="Q189" s="1334"/>
      <c r="R189" s="1333" t="str">
        <f ca="1">IF(magestuff!O$374&gt;0,INDIRECT(CONCATENATE("'Master Spell List'!r",magestuff!O$374))," " )</f>
        <v xml:space="preserve"> </v>
      </c>
      <c r="S189" s="1777"/>
      <c r="T189" s="1333" t="str">
        <f ca="1">IF(magestuff!O$374&gt;0,INDIRECT(CONCATENATE("'Master Spell List'!s",magestuff!O$374))," " )</f>
        <v xml:space="preserve"> </v>
      </c>
      <c r="U189" s="1776"/>
      <c r="V189" s="1777"/>
      <c r="W189" s="1775" t="str">
        <f ca="1">IF(magestuff!O$374&gt;0,INDIRECT(CONCATENATE("'Master Spell List'!t",magestuff!O$374))," " )</f>
        <v xml:space="preserve"> </v>
      </c>
      <c r="X189" s="1776"/>
      <c r="Y189" s="1777"/>
      <c r="Z189" s="1412"/>
      <c r="AA189" s="1371"/>
      <c r="AB189" s="1371"/>
      <c r="AC189" s="1371"/>
      <c r="AD189" s="1372"/>
      <c r="AE189"/>
      <c r="AF189" s="574"/>
      <c r="AG189">
        <v>1</v>
      </c>
      <c r="AH189"/>
      <c r="AI189"/>
      <c r="AJ189"/>
      <c r="AK189"/>
      <c r="AL189"/>
      <c r="AM189"/>
      <c r="AN189"/>
      <c r="AO189"/>
      <c r="AP189"/>
      <c r="AQ189">
        <v>1</v>
      </c>
      <c r="AR189" s="1333" t="str">
        <f ca="1">IF(magestuff!BI$374&gt;0,INDIRECT(CONCATENATE("'Master Spell List'!c",magestuff!BI$374))," " )</f>
        <v xml:space="preserve"> </v>
      </c>
      <c r="AS189" s="1334"/>
      <c r="AT189" s="1335" t="str">
        <f ca="1">IF(magestuff!BI$374&gt;0,INDIRECT(CONCATENATE("'Master Spell List'!m",magestuff!BI$374))," " )</f>
        <v xml:space="preserve"> </v>
      </c>
      <c r="AU189" s="1406"/>
      <c r="AV189" s="1333" t="str">
        <f ca="1">IF(magestuff!BI$374&gt;0,INDIRECT(CONCATENATE("'Master Spell List'!k",magestuff!BI$374))," " )</f>
        <v xml:space="preserve"> </v>
      </c>
      <c r="AW189" s="1334"/>
      <c r="AX189" s="1333" t="str">
        <f ca="1">IF(magestuff!BI$374&gt;0,INDIRECT(CONCATENATE("'Master Spell List'!r",magestuff!BI$374))," " )</f>
        <v xml:space="preserve"> </v>
      </c>
      <c r="AY189" s="1398"/>
      <c r="AZ189" s="1333" t="str">
        <f ca="1">IF(magestuff!BI$374&gt;0,INDIRECT(CONCATENATE("'Master Spell List'!s",magestuff!BI$374))," " )</f>
        <v xml:space="preserve"> </v>
      </c>
      <c r="BA189" s="1397"/>
      <c r="BB189" s="1398"/>
      <c r="BC189" s="1399" t="str">
        <f ca="1">IF(magestuff!BI$374&gt;0,INDIRECT(CONCATENATE("'Master Spell List'!t",magestuff!BI$374))," " )</f>
        <v xml:space="preserve"> </v>
      </c>
      <c r="BD189" s="1397"/>
      <c r="BE189" s="1398"/>
      <c r="BF189" s="1412"/>
      <c r="BG189" s="1371"/>
      <c r="BH189" s="1371"/>
      <c r="BI189" s="1371"/>
      <c r="BJ189" s="1372"/>
      <c r="BK189" s="10"/>
      <c r="BL189" s="572"/>
      <c r="BM189" s="1412"/>
      <c r="BN189" s="2467"/>
      <c r="BO189" s="2467"/>
      <c r="BP189" s="2467"/>
      <c r="BQ189" s="2206"/>
      <c r="BR189" s="1412"/>
      <c r="BS189" s="2469"/>
      <c r="BT189" s="2469"/>
      <c r="BU189" s="2469"/>
      <c r="BV189" s="2469"/>
      <c r="BW189" s="2470"/>
      <c r="BX189" s="1333"/>
      <c r="BY189" s="1334"/>
      <c r="BZ189" s="1335"/>
      <c r="CA189" s="1406"/>
      <c r="CB189" s="1333"/>
      <c r="CC189" s="1334"/>
      <c r="CD189" s="1333"/>
      <c r="CE189" s="1398"/>
      <c r="CF189" s="1333"/>
      <c r="CG189" s="1397"/>
      <c r="CH189" s="1398"/>
      <c r="CI189" s="1399"/>
      <c r="CJ189" s="1397"/>
      <c r="CK189" s="1398"/>
      <c r="CL189" s="1412"/>
      <c r="CM189" s="1371"/>
      <c r="CN189" s="1371"/>
      <c r="CO189" s="1371"/>
      <c r="CP189" s="1372"/>
    </row>
    <row r="190" spans="1:94" ht="15.75" customHeight="1" outlineLevel="1">
      <c r="A190">
        <v>1</v>
      </c>
      <c r="B190"/>
      <c r="C190"/>
      <c r="D190"/>
      <c r="E190"/>
      <c r="F190"/>
      <c r="G190"/>
      <c r="H190"/>
      <c r="I190"/>
      <c r="J190"/>
      <c r="K190">
        <v>1</v>
      </c>
      <c r="L190" s="1331" t="str">
        <f ca="1">IF(magestuff!P$374&gt;0,INDIRECT(CONCATENATE("'Master Spell List'!c",magestuff!P$374))," " )</f>
        <v xml:space="preserve"> </v>
      </c>
      <c r="M190" s="1332"/>
      <c r="N190" s="1404" t="str">
        <f ca="1">IF(magestuff!P$374&gt;0,INDIRECT(CONCATENATE("'Master Spell List'!m",magestuff!P$374))," " )</f>
        <v xml:space="preserve"> </v>
      </c>
      <c r="O190" s="1405"/>
      <c r="P190" s="1331" t="str">
        <f ca="1">IF(magestuff!P$374&gt;0,INDIRECT(CONCATENATE("'Master Spell List'!k",magestuff!P$374))," " )</f>
        <v xml:space="preserve"> </v>
      </c>
      <c r="Q190" s="1332"/>
      <c r="R190" s="1331" t="str">
        <f ca="1">IF(magestuff!P$374&gt;0,INDIRECT(CONCATENATE("'Master Spell List'!r",magestuff!P$374))," " )</f>
        <v xml:space="preserve"> </v>
      </c>
      <c r="S190" s="1770"/>
      <c r="T190" s="1331" t="str">
        <f ca="1">IF(magestuff!P$374&gt;0,INDIRECT(CONCATENATE("'Master Spell List'!s",magestuff!P$374))," " )</f>
        <v xml:space="preserve"> </v>
      </c>
      <c r="U190" s="1769"/>
      <c r="V190" s="1770"/>
      <c r="W190" s="1768" t="str">
        <f ca="1">IF(magestuff!P$374&gt;0,INDIRECT(CONCATENATE("'Master Spell List'!t",magestuff!P$374))," " )</f>
        <v xml:space="preserve"> </v>
      </c>
      <c r="X190" s="1769"/>
      <c r="Y190" s="1770"/>
      <c r="Z190" s="1401"/>
      <c r="AA190" s="1402"/>
      <c r="AB190" s="1402"/>
      <c r="AC190" s="1402"/>
      <c r="AD190" s="1403"/>
      <c r="AE190"/>
      <c r="AF190" s="574"/>
      <c r="AG190">
        <v>1</v>
      </c>
      <c r="AH190"/>
      <c r="AI190"/>
      <c r="AJ190"/>
      <c r="AK190"/>
      <c r="AL190"/>
      <c r="AM190"/>
      <c r="AN190"/>
      <c r="AO190"/>
      <c r="AP190"/>
      <c r="AQ190">
        <v>1</v>
      </c>
      <c r="AR190" s="1331" t="str">
        <f ca="1">IF(magestuff!BJ$374&gt;0,INDIRECT(CONCATENATE("'Master Spell List'!c",magestuff!BJ$374))," " )</f>
        <v xml:space="preserve"> </v>
      </c>
      <c r="AS190" s="1332"/>
      <c r="AT190" s="1404" t="str">
        <f ca="1">IF(magestuff!BJ$374&gt;0,INDIRECT(CONCATENATE("'Master Spell List'!m",magestuff!BJ$374))," " )</f>
        <v xml:space="preserve"> </v>
      </c>
      <c r="AU190" s="1405"/>
      <c r="AV190" s="1331" t="str">
        <f ca="1">IF(magestuff!BJ$374&gt;0,INDIRECT(CONCATENATE("'Master Spell List'!k",magestuff!BJ$374))," " )</f>
        <v xml:space="preserve"> </v>
      </c>
      <c r="AW190" s="1332"/>
      <c r="AX190" s="1331" t="str">
        <f ca="1">IF(magestuff!BJ$374&gt;0,INDIRECT(CONCATENATE("'Master Spell List'!r",magestuff!BJ$374))," " )</f>
        <v xml:space="preserve"> </v>
      </c>
      <c r="AY190" s="1394"/>
      <c r="AZ190" s="1331" t="str">
        <f ca="1">IF(magestuff!BJ$374&gt;0,INDIRECT(CONCATENATE("'Master Spell List'!s",magestuff!BJ$374))," " )</f>
        <v xml:space="preserve"> </v>
      </c>
      <c r="BA190" s="1393"/>
      <c r="BB190" s="1394"/>
      <c r="BC190" s="1395" t="str">
        <f ca="1">IF(magestuff!BJ$374&gt;0,INDIRECT(CONCATENATE("'Master Spell List'!t",magestuff!BJ$374))," " )</f>
        <v xml:space="preserve"> </v>
      </c>
      <c r="BD190" s="1393"/>
      <c r="BE190" s="1394"/>
      <c r="BF190" s="1401"/>
      <c r="BG190" s="1402"/>
      <c r="BH190" s="1402"/>
      <c r="BI190" s="1402"/>
      <c r="BJ190" s="1403"/>
      <c r="BK190" s="10"/>
      <c r="BL190" s="572"/>
      <c r="BM190" s="1370"/>
      <c r="BN190" s="2467"/>
      <c r="BO190" s="2467"/>
      <c r="BP190" s="2467"/>
      <c r="BQ190" s="2206"/>
      <c r="BR190" s="1370"/>
      <c r="BS190" s="2468"/>
      <c r="BT190" s="2468"/>
      <c r="BU190" s="2468"/>
      <c r="BV190" s="2468"/>
      <c r="BW190" s="1390"/>
      <c r="BX190" s="1331"/>
      <c r="BY190" s="1332"/>
      <c r="BZ190" s="1404"/>
      <c r="CA190" s="1405"/>
      <c r="CB190" s="1331"/>
      <c r="CC190" s="1332"/>
      <c r="CD190" s="1331"/>
      <c r="CE190" s="1394"/>
      <c r="CF190" s="1331"/>
      <c r="CG190" s="1393"/>
      <c r="CH190" s="1394"/>
      <c r="CI190" s="1395"/>
      <c r="CJ190" s="1393"/>
      <c r="CK190" s="1394"/>
      <c r="CL190" s="1401"/>
      <c r="CM190" s="1402"/>
      <c r="CN190" s="1402"/>
      <c r="CO190" s="1402"/>
      <c r="CP190" s="1403"/>
    </row>
    <row r="191" spans="1:94" ht="15.75" customHeight="1" outlineLevel="1">
      <c r="A191">
        <v>1</v>
      </c>
      <c r="B191"/>
      <c r="C191"/>
      <c r="D191"/>
      <c r="E191"/>
      <c r="F191"/>
      <c r="G191"/>
      <c r="H191"/>
      <c r="I191"/>
      <c r="J191"/>
      <c r="K191">
        <v>1</v>
      </c>
      <c r="L191" s="1333" t="str">
        <f ca="1">IF(magestuff!Q$374&gt;0,INDIRECT(CONCATENATE("'Master Spell List'!c",magestuff!Q$374))," " )</f>
        <v xml:space="preserve"> </v>
      </c>
      <c r="M191" s="1334"/>
      <c r="N191" s="1335" t="str">
        <f ca="1">IF(magestuff!Q$374&gt;0,INDIRECT(CONCATENATE("'Master Spell List'!m",magestuff!Q$374))," " )</f>
        <v xml:space="preserve"> </v>
      </c>
      <c r="O191" s="1406"/>
      <c r="P191" s="1333" t="str">
        <f ca="1">IF(magestuff!Q$374&gt;0,INDIRECT(CONCATENATE("'Master Spell List'!k",magestuff!Q$374))," " )</f>
        <v xml:space="preserve"> </v>
      </c>
      <c r="Q191" s="1334"/>
      <c r="R191" s="1333" t="str">
        <f ca="1">IF(magestuff!Q$374&gt;0,INDIRECT(CONCATENATE("'Master Spell List'!r",magestuff!Q$374))," " )</f>
        <v xml:space="preserve"> </v>
      </c>
      <c r="S191" s="1777"/>
      <c r="T191" s="1333" t="str">
        <f ca="1">IF(magestuff!Q$374&gt;0,INDIRECT(CONCATENATE("'Master Spell List'!s",magestuff!Q$374))," " )</f>
        <v xml:space="preserve"> </v>
      </c>
      <c r="U191" s="1776"/>
      <c r="V191" s="1777"/>
      <c r="W191" s="1775" t="str">
        <f ca="1">IF(magestuff!Q$374&gt;0,INDIRECT(CONCATENATE("'Master Spell List'!t",magestuff!Q$374))," " )</f>
        <v xml:space="preserve"> </v>
      </c>
      <c r="X191" s="1776"/>
      <c r="Y191" s="1777"/>
      <c r="Z191" s="1412"/>
      <c r="AA191" s="1371"/>
      <c r="AB191" s="1371"/>
      <c r="AC191" s="1371"/>
      <c r="AD191" s="1372"/>
      <c r="AE191"/>
      <c r="AF191" s="574"/>
      <c r="AG191">
        <v>1</v>
      </c>
      <c r="AH191"/>
      <c r="AI191"/>
      <c r="AJ191"/>
      <c r="AK191"/>
      <c r="AL191"/>
      <c r="AM191"/>
      <c r="AN191"/>
      <c r="AO191"/>
      <c r="AP191"/>
      <c r="AQ191">
        <v>1</v>
      </c>
      <c r="AR191" s="1333" t="str">
        <f ca="1">IF(magestuff!BK$374&gt;0,INDIRECT(CONCATENATE("'Master Spell List'!c",magestuff!BK$374))," " )</f>
        <v xml:space="preserve"> </v>
      </c>
      <c r="AS191" s="1334"/>
      <c r="AT191" s="1335" t="str">
        <f ca="1">IF(magestuff!BK$374&gt;0,INDIRECT(CONCATENATE("'Master Spell List'!m",magestuff!BK$374))," " )</f>
        <v xml:space="preserve"> </v>
      </c>
      <c r="AU191" s="1406"/>
      <c r="AV191" s="1333" t="str">
        <f ca="1">IF(magestuff!BK$374&gt;0,INDIRECT(CONCATENATE("'Master Spell List'!k",magestuff!BK$374))," " )</f>
        <v xml:space="preserve"> </v>
      </c>
      <c r="AW191" s="1334"/>
      <c r="AX191" s="1333" t="str">
        <f ca="1">IF(magestuff!BK$374&gt;0,INDIRECT(CONCATENATE("'Master Spell List'!r",magestuff!BK$374))," " )</f>
        <v xml:space="preserve"> </v>
      </c>
      <c r="AY191" s="1398"/>
      <c r="AZ191" s="1333" t="str">
        <f ca="1">IF(magestuff!BK$374&gt;0,INDIRECT(CONCATENATE("'Master Spell List'!s",magestuff!BK$374))," " )</f>
        <v xml:space="preserve"> </v>
      </c>
      <c r="BA191" s="1397"/>
      <c r="BB191" s="1398"/>
      <c r="BC191" s="1399" t="str">
        <f ca="1">IF(magestuff!BK$374&gt;0,INDIRECT(CONCATENATE("'Master Spell List'!t",magestuff!BK$374))," " )</f>
        <v xml:space="preserve"> </v>
      </c>
      <c r="BD191" s="1397"/>
      <c r="BE191" s="1398"/>
      <c r="BF191" s="1412"/>
      <c r="BG191" s="1371"/>
      <c r="BH191" s="1371"/>
      <c r="BI191" s="1371"/>
      <c r="BJ191" s="1372"/>
      <c r="BK191" s="10"/>
      <c r="BL191" s="572"/>
      <c r="BM191" s="1412"/>
      <c r="BN191" s="2467"/>
      <c r="BO191" s="2467"/>
      <c r="BP191" s="2467"/>
      <c r="BQ191" s="2206"/>
      <c r="BR191" s="1412"/>
      <c r="BS191" s="2469"/>
      <c r="BT191" s="2469"/>
      <c r="BU191" s="2469"/>
      <c r="BV191" s="2469"/>
      <c r="BW191" s="2470"/>
      <c r="BX191" s="1333"/>
      <c r="BY191" s="1334"/>
      <c r="BZ191" s="1335"/>
      <c r="CA191" s="1406"/>
      <c r="CB191" s="1333"/>
      <c r="CC191" s="1334"/>
      <c r="CD191" s="1333"/>
      <c r="CE191" s="1398"/>
      <c r="CF191" s="1333"/>
      <c r="CG191" s="1397"/>
      <c r="CH191" s="1398"/>
      <c r="CI191" s="1399"/>
      <c r="CJ191" s="1397"/>
      <c r="CK191" s="1398"/>
      <c r="CL191" s="1412"/>
      <c r="CM191" s="1371"/>
      <c r="CN191" s="1371"/>
      <c r="CO191" s="1371"/>
      <c r="CP191" s="1372"/>
    </row>
    <row r="192" spans="1:94" ht="15.75" customHeight="1" outlineLevel="1">
      <c r="A192">
        <v>1</v>
      </c>
      <c r="B192"/>
      <c r="C192"/>
      <c r="D192"/>
      <c r="E192"/>
      <c r="F192"/>
      <c r="G192"/>
      <c r="H192"/>
      <c r="I192"/>
      <c r="J192"/>
      <c r="K192">
        <v>1</v>
      </c>
      <c r="L192" s="1331" t="str">
        <f ca="1">IF(magestuff!R$374&gt;0,INDIRECT(CONCATENATE("'Master Spell List'!c",magestuff!R$374))," " )</f>
        <v xml:space="preserve"> </v>
      </c>
      <c r="M192" s="1332"/>
      <c r="N192" s="1404" t="str">
        <f ca="1">IF(magestuff!R$374&gt;0,INDIRECT(CONCATENATE("'Master Spell List'!m",magestuff!R$374))," " )</f>
        <v xml:space="preserve"> </v>
      </c>
      <c r="O192" s="1405"/>
      <c r="P192" s="1331" t="str">
        <f ca="1">IF(magestuff!R$374&gt;0,INDIRECT(CONCATENATE("'Master Spell List'!k",magestuff!R$374))," " )</f>
        <v xml:space="preserve"> </v>
      </c>
      <c r="Q192" s="1332"/>
      <c r="R192" s="1331" t="str">
        <f ca="1">IF(magestuff!R$374&gt;0,INDIRECT(CONCATENATE("'Master Spell List'!r",magestuff!R$374))," " )</f>
        <v xml:space="preserve"> </v>
      </c>
      <c r="S192" s="1770"/>
      <c r="T192" s="1331" t="str">
        <f ca="1">IF(magestuff!R$374&gt;0,INDIRECT(CONCATENATE("'Master Spell List'!s",magestuff!R$374))," " )</f>
        <v xml:space="preserve"> </v>
      </c>
      <c r="U192" s="1769"/>
      <c r="V192" s="1770"/>
      <c r="W192" s="1768" t="str">
        <f ca="1">IF(magestuff!R$374&gt;0,INDIRECT(CONCATENATE("'Master Spell List'!t",magestuff!R$374))," " )</f>
        <v xml:space="preserve"> </v>
      </c>
      <c r="X192" s="1769"/>
      <c r="Y192" s="1770"/>
      <c r="Z192" s="1401"/>
      <c r="AA192" s="1402"/>
      <c r="AB192" s="1402"/>
      <c r="AC192" s="1402"/>
      <c r="AD192" s="1403"/>
      <c r="AE192"/>
      <c r="AF192" s="574"/>
      <c r="AG192">
        <v>1</v>
      </c>
      <c r="AH192"/>
      <c r="AI192"/>
      <c r="AJ192"/>
      <c r="AK192"/>
      <c r="AL192"/>
      <c r="AM192"/>
      <c r="AN192"/>
      <c r="AO192"/>
      <c r="AP192"/>
      <c r="AQ192">
        <v>1</v>
      </c>
      <c r="AR192" s="1331" t="str">
        <f ca="1">IF(magestuff!BL$374&gt;0,INDIRECT(CONCATENATE("'Master Spell List'!c",magestuff!BL$374))," " )</f>
        <v xml:space="preserve"> </v>
      </c>
      <c r="AS192" s="1332"/>
      <c r="AT192" s="1404" t="str">
        <f ca="1">IF(magestuff!BL$374&gt;0,INDIRECT(CONCATENATE("'Master Spell List'!m",magestuff!BL$374))," " )</f>
        <v xml:space="preserve"> </v>
      </c>
      <c r="AU192" s="1405"/>
      <c r="AV192" s="1331" t="str">
        <f ca="1">IF(magestuff!BL$374&gt;0,INDIRECT(CONCATENATE("'Master Spell List'!k",magestuff!BL$374))," " )</f>
        <v xml:space="preserve"> </v>
      </c>
      <c r="AW192" s="1332"/>
      <c r="AX192" s="1331" t="str">
        <f ca="1">IF(magestuff!BL$374&gt;0,INDIRECT(CONCATENATE("'Master Spell List'!r",magestuff!BL$374))," " )</f>
        <v xml:space="preserve"> </v>
      </c>
      <c r="AY192" s="1394"/>
      <c r="AZ192" s="1331" t="str">
        <f ca="1">IF(magestuff!BL$374&gt;0,INDIRECT(CONCATENATE("'Master Spell List'!s",magestuff!BL$374))," " )</f>
        <v xml:space="preserve"> </v>
      </c>
      <c r="BA192" s="1393"/>
      <c r="BB192" s="1394"/>
      <c r="BC192" s="1395" t="str">
        <f ca="1">IF(magestuff!BL$374&gt;0,INDIRECT(CONCATENATE("'Master Spell List'!t",magestuff!BL$374))," " )</f>
        <v xml:space="preserve"> </v>
      </c>
      <c r="BD192" s="1393"/>
      <c r="BE192" s="1394"/>
      <c r="BF192" s="1401"/>
      <c r="BG192" s="1402"/>
      <c r="BH192" s="1402"/>
      <c r="BI192" s="1402"/>
      <c r="BJ192" s="1403"/>
      <c r="BK192" s="10"/>
      <c r="BL192" s="572"/>
      <c r="BM192" s="1370"/>
      <c r="BN192" s="2467"/>
      <c r="BO192" s="2467"/>
      <c r="BP192" s="2467"/>
      <c r="BQ192" s="2206"/>
      <c r="BR192" s="1370"/>
      <c r="BS192" s="2468"/>
      <c r="BT192" s="2468"/>
      <c r="BU192" s="2468"/>
      <c r="BV192" s="2468"/>
      <c r="BW192" s="1390"/>
      <c r="BX192" s="1331"/>
      <c r="BY192" s="1332"/>
      <c r="BZ192" s="1404"/>
      <c r="CA192" s="1405"/>
      <c r="CB192" s="1331"/>
      <c r="CC192" s="1332"/>
      <c r="CD192" s="1331"/>
      <c r="CE192" s="1394"/>
      <c r="CF192" s="1331"/>
      <c r="CG192" s="1393"/>
      <c r="CH192" s="1394"/>
      <c r="CI192" s="1395"/>
      <c r="CJ192" s="1393"/>
      <c r="CK192" s="1394"/>
      <c r="CL192" s="1401"/>
      <c r="CM192" s="1402"/>
      <c r="CN192" s="1402"/>
      <c r="CO192" s="1402"/>
      <c r="CP192" s="1403"/>
    </row>
    <row r="193" spans="1:94" ht="15.75" customHeight="1" outlineLevel="1">
      <c r="A193">
        <v>1</v>
      </c>
      <c r="B193"/>
      <c r="C193"/>
      <c r="D193"/>
      <c r="E193"/>
      <c r="F193"/>
      <c r="G193"/>
      <c r="H193"/>
      <c r="I193"/>
      <c r="J193"/>
      <c r="K193">
        <v>1</v>
      </c>
      <c r="L193" s="1333" t="str">
        <f ca="1">IF(magestuff!S$374&gt;0,INDIRECT(CONCATENATE("'Master Spell List'!c",magestuff!S$374))," " )</f>
        <v xml:space="preserve"> </v>
      </c>
      <c r="M193" s="1334"/>
      <c r="N193" s="1335" t="str">
        <f ca="1">IF(magestuff!S$374&gt;0,INDIRECT(CONCATENATE("'Master Spell List'!m",magestuff!S$374))," " )</f>
        <v xml:space="preserve"> </v>
      </c>
      <c r="O193" s="1406"/>
      <c r="P193" s="1333" t="str">
        <f ca="1">IF(magestuff!S$374&gt;0,INDIRECT(CONCATENATE("'Master Spell List'!k",magestuff!S$374))," " )</f>
        <v xml:space="preserve"> </v>
      </c>
      <c r="Q193" s="1334"/>
      <c r="R193" s="1333" t="str">
        <f ca="1">IF(magestuff!S$374&gt;0,INDIRECT(CONCATENATE("'Master Spell List'!r",magestuff!S$374))," " )</f>
        <v xml:space="preserve"> </v>
      </c>
      <c r="S193" s="1777"/>
      <c r="T193" s="1333" t="str">
        <f ca="1">IF(magestuff!S$374&gt;0,INDIRECT(CONCATENATE("'Master Spell List'!s",magestuff!S$374))," " )</f>
        <v xml:space="preserve"> </v>
      </c>
      <c r="U193" s="1776"/>
      <c r="V193" s="1777"/>
      <c r="W193" s="1775" t="str">
        <f ca="1">IF(magestuff!S$374&gt;0,INDIRECT(CONCATENATE("'Master Spell List'!t",magestuff!S$374))," " )</f>
        <v xml:space="preserve"> </v>
      </c>
      <c r="X193" s="1776"/>
      <c r="Y193" s="1777"/>
      <c r="Z193" s="1412"/>
      <c r="AA193" s="1371"/>
      <c r="AB193" s="1371"/>
      <c r="AC193" s="1371"/>
      <c r="AD193" s="1372"/>
      <c r="AE193"/>
      <c r="AF193" s="574"/>
      <c r="AG193">
        <v>1</v>
      </c>
      <c r="AH193"/>
      <c r="AI193"/>
      <c r="AJ193"/>
      <c r="AK193"/>
      <c r="AL193"/>
      <c r="AM193"/>
      <c r="AN193"/>
      <c r="AO193"/>
      <c r="AP193"/>
      <c r="AQ193">
        <v>1</v>
      </c>
      <c r="AR193" s="1333" t="str">
        <f ca="1">IF(magestuff!BM$374&gt;0,INDIRECT(CONCATENATE("'Master Spell List'!c",magestuff!BM$374))," " )</f>
        <v xml:space="preserve"> </v>
      </c>
      <c r="AS193" s="1334"/>
      <c r="AT193" s="1335" t="str">
        <f ca="1">IF(magestuff!BM$374&gt;0,INDIRECT(CONCATENATE("'Master Spell List'!m",magestuff!BM$374))," " )</f>
        <v xml:space="preserve"> </v>
      </c>
      <c r="AU193" s="1406"/>
      <c r="AV193" s="1333" t="str">
        <f ca="1">IF(magestuff!BM$374&gt;0,INDIRECT(CONCATENATE("'Master Spell List'!k",magestuff!BM$374))," " )</f>
        <v xml:space="preserve"> </v>
      </c>
      <c r="AW193" s="1334"/>
      <c r="AX193" s="1333" t="str">
        <f ca="1">IF(magestuff!BM$374&gt;0,INDIRECT(CONCATENATE("'Master Spell List'!r",magestuff!BM$374))," " )</f>
        <v xml:space="preserve"> </v>
      </c>
      <c r="AY193" s="1398"/>
      <c r="AZ193" s="1333" t="str">
        <f ca="1">IF(magestuff!BM$374&gt;0,INDIRECT(CONCATENATE("'Master Spell List'!s",magestuff!BM$374))," " )</f>
        <v xml:space="preserve"> </v>
      </c>
      <c r="BA193" s="1397"/>
      <c r="BB193" s="1398"/>
      <c r="BC193" s="1399" t="str">
        <f ca="1">IF(magestuff!BM$374&gt;0,INDIRECT(CONCATENATE("'Master Spell List'!t",magestuff!BM$374))," " )</f>
        <v xml:space="preserve"> </v>
      </c>
      <c r="BD193" s="1397"/>
      <c r="BE193" s="1398"/>
      <c r="BF193" s="1412"/>
      <c r="BG193" s="1371"/>
      <c r="BH193" s="1371"/>
      <c r="BI193" s="1371"/>
      <c r="BJ193" s="1372"/>
      <c r="BK193" s="10"/>
      <c r="BL193" s="572"/>
      <c r="BM193" s="1412"/>
      <c r="BN193" s="2467"/>
      <c r="BO193" s="2467"/>
      <c r="BP193" s="2467"/>
      <c r="BQ193" s="2206"/>
      <c r="BR193" s="1412"/>
      <c r="BS193" s="2469"/>
      <c r="BT193" s="2469"/>
      <c r="BU193" s="2469"/>
      <c r="BV193" s="2469"/>
      <c r="BW193" s="2470"/>
      <c r="BX193" s="1333"/>
      <c r="BY193" s="1334"/>
      <c r="BZ193" s="1335"/>
      <c r="CA193" s="1406"/>
      <c r="CB193" s="1333"/>
      <c r="CC193" s="1334"/>
      <c r="CD193" s="1333"/>
      <c r="CE193" s="1398"/>
      <c r="CF193" s="1333"/>
      <c r="CG193" s="1397"/>
      <c r="CH193" s="1398"/>
      <c r="CI193" s="1399"/>
      <c r="CJ193" s="1397"/>
      <c r="CK193" s="1398"/>
      <c r="CL193" s="1412"/>
      <c r="CM193" s="1371"/>
      <c r="CN193" s="1371"/>
      <c r="CO193" s="1371"/>
      <c r="CP193" s="1372"/>
    </row>
    <row r="194" spans="1:94" ht="15.75" customHeight="1" outlineLevel="1">
      <c r="A194">
        <v>1</v>
      </c>
      <c r="B194"/>
      <c r="C194"/>
      <c r="D194"/>
      <c r="E194"/>
      <c r="F194"/>
      <c r="G194"/>
      <c r="H194"/>
      <c r="I194"/>
      <c r="J194"/>
      <c r="K194">
        <v>1</v>
      </c>
      <c r="L194" s="1331" t="str">
        <f ca="1">IF(magestuff!T$374&gt;0,INDIRECT(CONCATENATE("'Master Spell List'!c",magestuff!T$374))," " )</f>
        <v xml:space="preserve"> </v>
      </c>
      <c r="M194" s="1332"/>
      <c r="N194" s="1404" t="str">
        <f ca="1">IF(magestuff!T$374&gt;0,INDIRECT(CONCATENATE("'Master Spell List'!m",magestuff!T$374))," " )</f>
        <v xml:space="preserve"> </v>
      </c>
      <c r="O194" s="1405"/>
      <c r="P194" s="1331" t="str">
        <f ca="1">IF(magestuff!T$374&gt;0,INDIRECT(CONCATENATE("'Master Spell List'!k",magestuff!T$374))," " )</f>
        <v xml:space="preserve"> </v>
      </c>
      <c r="Q194" s="1332"/>
      <c r="R194" s="1331" t="str">
        <f ca="1">IF(magestuff!T$374&gt;0,INDIRECT(CONCATENATE("'Master Spell List'!r",magestuff!T$374))," " )</f>
        <v xml:space="preserve"> </v>
      </c>
      <c r="S194" s="1770"/>
      <c r="T194" s="1331" t="str">
        <f ca="1">IF(magestuff!T$374&gt;0,INDIRECT(CONCATENATE("'Master Spell List'!s",magestuff!T$374))," " )</f>
        <v xml:space="preserve"> </v>
      </c>
      <c r="U194" s="1769"/>
      <c r="V194" s="1770"/>
      <c r="W194" s="1768" t="str">
        <f ca="1">IF(magestuff!T$374&gt;0,INDIRECT(CONCATENATE("'Master Spell List'!t",magestuff!T$374))," " )</f>
        <v xml:space="preserve"> </v>
      </c>
      <c r="X194" s="1769"/>
      <c r="Y194" s="1770"/>
      <c r="Z194" s="1401"/>
      <c r="AA194" s="1402"/>
      <c r="AB194" s="1402"/>
      <c r="AC194" s="1402"/>
      <c r="AD194" s="1403"/>
      <c r="AE194"/>
      <c r="AF194" s="574"/>
      <c r="AG194">
        <v>1</v>
      </c>
      <c r="AH194"/>
      <c r="AI194"/>
      <c r="AJ194"/>
      <c r="AK194"/>
      <c r="AL194"/>
      <c r="AM194"/>
      <c r="AN194"/>
      <c r="AO194"/>
      <c r="AP194"/>
      <c r="AQ194">
        <v>1</v>
      </c>
      <c r="AR194" s="1331" t="str">
        <f ca="1">IF(magestuff!BN$374&gt;0,INDIRECT(CONCATENATE("'Master Spell List'!c",magestuff!BN$374))," " )</f>
        <v xml:space="preserve"> </v>
      </c>
      <c r="AS194" s="1332"/>
      <c r="AT194" s="1404" t="str">
        <f ca="1">IF(magestuff!BN$374&gt;0,INDIRECT(CONCATENATE("'Master Spell List'!m",magestuff!BN$374))," " )</f>
        <v xml:space="preserve"> </v>
      </c>
      <c r="AU194" s="1405"/>
      <c r="AV194" s="1331" t="str">
        <f ca="1">IF(magestuff!BN$374&gt;0,INDIRECT(CONCATENATE("'Master Spell List'!k",magestuff!BN$374))," " )</f>
        <v xml:space="preserve"> </v>
      </c>
      <c r="AW194" s="1332"/>
      <c r="AX194" s="1331" t="str">
        <f ca="1">IF(magestuff!BN$374&gt;0,INDIRECT(CONCATENATE("'Master Spell List'!r",magestuff!BN$374))," " )</f>
        <v xml:space="preserve"> </v>
      </c>
      <c r="AY194" s="1394"/>
      <c r="AZ194" s="1331" t="str">
        <f ca="1">IF(magestuff!BN$374&gt;0,INDIRECT(CONCATENATE("'Master Spell List'!s",magestuff!BN$374))," " )</f>
        <v xml:space="preserve"> </v>
      </c>
      <c r="BA194" s="1393"/>
      <c r="BB194" s="1394"/>
      <c r="BC194" s="1395" t="str">
        <f ca="1">IF(magestuff!BN$374&gt;0,INDIRECT(CONCATENATE("'Master Spell List'!t",magestuff!BN$374))," " )</f>
        <v xml:space="preserve"> </v>
      </c>
      <c r="BD194" s="1393"/>
      <c r="BE194" s="1394"/>
      <c r="BF194" s="1401"/>
      <c r="BG194" s="1402"/>
      <c r="BH194" s="1402"/>
      <c r="BI194" s="1402"/>
      <c r="BJ194" s="1403"/>
      <c r="BK194" s="10"/>
      <c r="BL194" s="572"/>
      <c r="BM194" s="1370"/>
      <c r="BN194" s="2467"/>
      <c r="BO194" s="2467"/>
      <c r="BP194" s="2467"/>
      <c r="BQ194" s="2206"/>
      <c r="BR194" s="1370"/>
      <c r="BS194" s="2468"/>
      <c r="BT194" s="2468"/>
      <c r="BU194" s="2468"/>
      <c r="BV194" s="2468"/>
      <c r="BW194" s="1390"/>
      <c r="BX194" s="1331"/>
      <c r="BY194" s="1332"/>
      <c r="BZ194" s="1404"/>
      <c r="CA194" s="1405"/>
      <c r="CB194" s="1331"/>
      <c r="CC194" s="1332"/>
      <c r="CD194" s="1331"/>
      <c r="CE194" s="1394"/>
      <c r="CF194" s="1331"/>
      <c r="CG194" s="1393"/>
      <c r="CH194" s="1394"/>
      <c r="CI194" s="1395"/>
      <c r="CJ194" s="1393"/>
      <c r="CK194" s="1394"/>
      <c r="CL194" s="1401"/>
      <c r="CM194" s="1402"/>
      <c r="CN194" s="1402"/>
      <c r="CO194" s="1402"/>
      <c r="CP194" s="1403"/>
    </row>
    <row r="195" spans="1:94" ht="15.75" customHeight="1" outlineLevel="1">
      <c r="A195">
        <v>1</v>
      </c>
      <c r="B195"/>
      <c r="C195"/>
      <c r="D195"/>
      <c r="E195"/>
      <c r="F195"/>
      <c r="G195"/>
      <c r="H195"/>
      <c r="I195"/>
      <c r="J195"/>
      <c r="K195">
        <v>1</v>
      </c>
      <c r="L195" s="1333" t="str">
        <f ca="1">IF(magestuff!U$374&gt;0,INDIRECT(CONCATENATE("'Master Spell List'!c",magestuff!U$374))," " )</f>
        <v xml:space="preserve"> </v>
      </c>
      <c r="M195" s="1334"/>
      <c r="N195" s="1335" t="str">
        <f ca="1">IF(magestuff!U$374&gt;0,INDIRECT(CONCATENATE("'Master Spell List'!m",magestuff!U$374))," " )</f>
        <v xml:space="preserve"> </v>
      </c>
      <c r="O195" s="1406"/>
      <c r="P195" s="1333" t="str">
        <f ca="1">IF(magestuff!U$374&gt;0,INDIRECT(CONCATENATE("'Master Spell List'!k",magestuff!U$374))," " )</f>
        <v xml:space="preserve"> </v>
      </c>
      <c r="Q195" s="1334"/>
      <c r="R195" s="1333" t="str">
        <f ca="1">IF(magestuff!U$374&gt;0,INDIRECT(CONCATENATE("'Master Spell List'!r",magestuff!U$374))," " )</f>
        <v xml:space="preserve"> </v>
      </c>
      <c r="S195" s="1777"/>
      <c r="T195" s="1333" t="str">
        <f ca="1">IF(magestuff!U$374&gt;0,INDIRECT(CONCATENATE("'Master Spell List'!s",magestuff!U$374))," " )</f>
        <v xml:space="preserve"> </v>
      </c>
      <c r="U195" s="1776"/>
      <c r="V195" s="1777"/>
      <c r="W195" s="1775" t="str">
        <f ca="1">IF(magestuff!U$374&gt;0,INDIRECT(CONCATENATE("'Master Spell List'!t",magestuff!U$374))," " )</f>
        <v xml:space="preserve"> </v>
      </c>
      <c r="X195" s="1776"/>
      <c r="Y195" s="1777"/>
      <c r="Z195" s="1412"/>
      <c r="AA195" s="1371"/>
      <c r="AB195" s="1371"/>
      <c r="AC195" s="1371"/>
      <c r="AD195" s="1372"/>
      <c r="AE195"/>
      <c r="AF195" s="574"/>
      <c r="AG195">
        <v>1</v>
      </c>
      <c r="AH195"/>
      <c r="AI195"/>
      <c r="AJ195"/>
      <c r="AK195"/>
      <c r="AL195"/>
      <c r="AM195"/>
      <c r="AN195"/>
      <c r="AO195"/>
      <c r="AP195"/>
      <c r="AQ195">
        <v>1</v>
      </c>
      <c r="AR195" s="1333" t="str">
        <f ca="1">IF(magestuff!BO$374&gt;0,INDIRECT(CONCATENATE("'Master Spell List'!c",magestuff!BO$374))," " )</f>
        <v xml:space="preserve"> </v>
      </c>
      <c r="AS195" s="1334"/>
      <c r="AT195" s="1335" t="str">
        <f ca="1">IF(magestuff!BO$374&gt;0,INDIRECT(CONCATENATE("'Master Spell List'!m",magestuff!BO$374))," " )</f>
        <v xml:space="preserve"> </v>
      </c>
      <c r="AU195" s="1406"/>
      <c r="AV195" s="1333" t="str">
        <f ca="1">IF(magestuff!BO$374&gt;0,INDIRECT(CONCATENATE("'Master Spell List'!k",magestuff!BO$374))," " )</f>
        <v xml:space="preserve"> </v>
      </c>
      <c r="AW195" s="1334"/>
      <c r="AX195" s="1333" t="str">
        <f ca="1">IF(magestuff!BO$374&gt;0,INDIRECT(CONCATENATE("'Master Spell List'!r",magestuff!BO$374))," " )</f>
        <v xml:space="preserve"> </v>
      </c>
      <c r="AY195" s="1398"/>
      <c r="AZ195" s="1333" t="str">
        <f ca="1">IF(magestuff!BO$374&gt;0,INDIRECT(CONCATENATE("'Master Spell List'!s",magestuff!BO$374))," " )</f>
        <v xml:space="preserve"> </v>
      </c>
      <c r="BA195" s="1397"/>
      <c r="BB195" s="1398"/>
      <c r="BC195" s="1399" t="str">
        <f ca="1">IF(magestuff!BO$374&gt;0,INDIRECT(CONCATENATE("'Master Spell List'!t",magestuff!BO$374))," " )</f>
        <v xml:space="preserve"> </v>
      </c>
      <c r="BD195" s="1397"/>
      <c r="BE195" s="1398"/>
      <c r="BF195" s="1412"/>
      <c r="BG195" s="1371"/>
      <c r="BH195" s="1371"/>
      <c r="BI195" s="1371"/>
      <c r="BJ195" s="1372"/>
      <c r="BK195" s="10"/>
      <c r="BL195" s="572"/>
      <c r="BM195" s="1412"/>
      <c r="BN195" s="2467"/>
      <c r="BO195" s="2467"/>
      <c r="BP195" s="2467"/>
      <c r="BQ195" s="2206"/>
      <c r="BR195" s="1412"/>
      <c r="BS195" s="2469"/>
      <c r="BT195" s="2469"/>
      <c r="BU195" s="2469"/>
      <c r="BV195" s="2469"/>
      <c r="BW195" s="2470"/>
      <c r="BX195" s="1333"/>
      <c r="BY195" s="1334"/>
      <c r="BZ195" s="1335"/>
      <c r="CA195" s="1406"/>
      <c r="CB195" s="1333"/>
      <c r="CC195" s="1334"/>
      <c r="CD195" s="1333"/>
      <c r="CE195" s="1398"/>
      <c r="CF195" s="1333"/>
      <c r="CG195" s="1397"/>
      <c r="CH195" s="1398"/>
      <c r="CI195" s="1399"/>
      <c r="CJ195" s="1397"/>
      <c r="CK195" s="1398"/>
      <c r="CL195" s="1412"/>
      <c r="CM195" s="1371"/>
      <c r="CN195" s="1371"/>
      <c r="CO195" s="1371"/>
      <c r="CP195" s="1372"/>
    </row>
    <row r="196" spans="1:94" ht="15.75" customHeight="1" outlineLevel="1">
      <c r="A196">
        <v>1</v>
      </c>
      <c r="B196"/>
      <c r="C196"/>
      <c r="D196"/>
      <c r="E196"/>
      <c r="F196"/>
      <c r="G196"/>
      <c r="H196"/>
      <c r="I196"/>
      <c r="J196"/>
      <c r="K196">
        <v>1</v>
      </c>
      <c r="L196" s="1331" t="str">
        <f ca="1">IF(magestuff!V$374&gt;0,INDIRECT(CONCATENATE("'Master Spell List'!c",magestuff!V$374))," " )</f>
        <v xml:space="preserve"> </v>
      </c>
      <c r="M196" s="1332"/>
      <c r="N196" s="1404" t="str">
        <f ca="1">IF(magestuff!V$374&gt;0,INDIRECT(CONCATENATE("'Master Spell List'!m",magestuff!V$374))," " )</f>
        <v xml:space="preserve"> </v>
      </c>
      <c r="O196" s="1405"/>
      <c r="P196" s="1331" t="str">
        <f ca="1">IF(magestuff!V$374&gt;0,INDIRECT(CONCATENATE("'Master Spell List'!k",magestuff!V$374))," " )</f>
        <v xml:space="preserve"> </v>
      </c>
      <c r="Q196" s="1332"/>
      <c r="R196" s="1331" t="str">
        <f ca="1">IF(magestuff!V$374&gt;0,INDIRECT(CONCATENATE("'Master Spell List'!r",magestuff!V$374))," " )</f>
        <v xml:space="preserve"> </v>
      </c>
      <c r="S196" s="1770"/>
      <c r="T196" s="1331" t="str">
        <f ca="1">IF(magestuff!V$374&gt;0,INDIRECT(CONCATENATE("'Master Spell List'!s",magestuff!V$374))," " )</f>
        <v xml:space="preserve"> </v>
      </c>
      <c r="U196" s="1769"/>
      <c r="V196" s="1770"/>
      <c r="W196" s="1768" t="str">
        <f ca="1">IF(magestuff!V$374&gt;0,INDIRECT(CONCATENATE("'Master Spell List'!t",magestuff!V$374))," " )</f>
        <v xml:space="preserve"> </v>
      </c>
      <c r="X196" s="1769"/>
      <c r="Y196" s="1770"/>
      <c r="Z196" s="1401"/>
      <c r="AA196" s="1402"/>
      <c r="AB196" s="1402"/>
      <c r="AC196" s="1402"/>
      <c r="AD196" s="1403"/>
      <c r="AE196"/>
      <c r="AF196" s="574"/>
      <c r="AG196">
        <v>1</v>
      </c>
      <c r="AH196"/>
      <c r="AI196"/>
      <c r="AJ196"/>
      <c r="AK196"/>
      <c r="AL196"/>
      <c r="AM196"/>
      <c r="AN196"/>
      <c r="AO196"/>
      <c r="AP196"/>
      <c r="AQ196">
        <v>1</v>
      </c>
      <c r="AR196" s="1331" t="str">
        <f ca="1">IF(magestuff!BP$374&gt;0,INDIRECT(CONCATENATE("'Master Spell List'!c",magestuff!BP$374))," " )</f>
        <v xml:space="preserve"> </v>
      </c>
      <c r="AS196" s="1332"/>
      <c r="AT196" s="1404" t="str">
        <f ca="1">IF(magestuff!BP$374&gt;0,INDIRECT(CONCATENATE("'Master Spell List'!m",magestuff!BP$374))," " )</f>
        <v xml:space="preserve"> </v>
      </c>
      <c r="AU196" s="1405"/>
      <c r="AV196" s="1331" t="str">
        <f ca="1">IF(magestuff!BP$374&gt;0,INDIRECT(CONCATENATE("'Master Spell List'!k",magestuff!BP$374))," " )</f>
        <v xml:space="preserve"> </v>
      </c>
      <c r="AW196" s="1332"/>
      <c r="AX196" s="1331" t="str">
        <f ca="1">IF(magestuff!BP$374&gt;0,INDIRECT(CONCATENATE("'Master Spell List'!r",magestuff!BP$374))," " )</f>
        <v xml:space="preserve"> </v>
      </c>
      <c r="AY196" s="1394"/>
      <c r="AZ196" s="1331" t="str">
        <f ca="1">IF(magestuff!BP$374&gt;0,INDIRECT(CONCATENATE("'Master Spell List'!s",magestuff!BP$374))," " )</f>
        <v xml:space="preserve"> </v>
      </c>
      <c r="BA196" s="1393"/>
      <c r="BB196" s="1394"/>
      <c r="BC196" s="1395" t="str">
        <f ca="1">IF(magestuff!BP$374&gt;0,INDIRECT(CONCATENATE("'Master Spell List'!t",magestuff!BP$374))," " )</f>
        <v xml:space="preserve"> </v>
      </c>
      <c r="BD196" s="1393"/>
      <c r="BE196" s="1394"/>
      <c r="BF196" s="1401"/>
      <c r="BG196" s="1402"/>
      <c r="BH196" s="1402"/>
      <c r="BI196" s="1402"/>
      <c r="BJ196" s="1403"/>
      <c r="BK196" s="10"/>
      <c r="BL196" s="572"/>
      <c r="BM196" s="1370"/>
      <c r="BN196" s="2467"/>
      <c r="BO196" s="2467"/>
      <c r="BP196" s="2467"/>
      <c r="BQ196" s="2206"/>
      <c r="BR196" s="1370"/>
      <c r="BS196" s="2468"/>
      <c r="BT196" s="2468"/>
      <c r="BU196" s="2468"/>
      <c r="BV196" s="2468"/>
      <c r="BW196" s="1390"/>
      <c r="BX196" s="1331"/>
      <c r="BY196" s="1332"/>
      <c r="BZ196" s="1404"/>
      <c r="CA196" s="1405"/>
      <c r="CB196" s="1331"/>
      <c r="CC196" s="1332"/>
      <c r="CD196" s="1331"/>
      <c r="CE196" s="1394"/>
      <c r="CF196" s="1331"/>
      <c r="CG196" s="1393"/>
      <c r="CH196" s="1394"/>
      <c r="CI196" s="1395"/>
      <c r="CJ196" s="1393"/>
      <c r="CK196" s="1394"/>
      <c r="CL196" s="1401"/>
      <c r="CM196" s="1402"/>
      <c r="CN196" s="1402"/>
      <c r="CO196" s="1402"/>
      <c r="CP196" s="1403"/>
    </row>
    <row r="197" spans="1:94" ht="15.75" customHeight="1" outlineLevel="1">
      <c r="A197">
        <v>1</v>
      </c>
      <c r="B197"/>
      <c r="C197"/>
      <c r="D197"/>
      <c r="E197"/>
      <c r="F197"/>
      <c r="G197"/>
      <c r="H197"/>
      <c r="I197"/>
      <c r="J197"/>
      <c r="K197">
        <v>1</v>
      </c>
      <c r="L197" s="1333" t="str">
        <f ca="1">IF(magestuff!W$374&gt;0,INDIRECT(CONCATENATE("'Master Spell List'!c",magestuff!W$374))," " )</f>
        <v xml:space="preserve"> </v>
      </c>
      <c r="M197" s="1334"/>
      <c r="N197" s="1335" t="str">
        <f ca="1">IF(magestuff!W$374&gt;0,INDIRECT(CONCATENATE("'Master Spell List'!m",magestuff!W$374))," " )</f>
        <v xml:space="preserve"> </v>
      </c>
      <c r="O197" s="1406"/>
      <c r="P197" s="1333" t="str">
        <f ca="1">IF(magestuff!W$374&gt;0,INDIRECT(CONCATENATE("'Master Spell List'!k",magestuff!W$374))," " )</f>
        <v xml:space="preserve"> </v>
      </c>
      <c r="Q197" s="1334"/>
      <c r="R197" s="1333" t="str">
        <f ca="1">IF(magestuff!W$374&gt;0,INDIRECT(CONCATENATE("'Master Spell List'!r",magestuff!W$374))," " )</f>
        <v xml:space="preserve"> </v>
      </c>
      <c r="S197" s="1777"/>
      <c r="T197" s="1333" t="str">
        <f ca="1">IF(magestuff!W$374&gt;0,INDIRECT(CONCATENATE("'Master Spell List'!s",magestuff!W$374))," " )</f>
        <v xml:space="preserve"> </v>
      </c>
      <c r="U197" s="1776"/>
      <c r="V197" s="1777"/>
      <c r="W197" s="1775" t="str">
        <f ca="1">IF(magestuff!W$374&gt;0,INDIRECT(CONCATENATE("'Master Spell List'!t",magestuff!W$374))," " )</f>
        <v xml:space="preserve"> </v>
      </c>
      <c r="X197" s="1776"/>
      <c r="Y197" s="1777"/>
      <c r="Z197" s="1412"/>
      <c r="AA197" s="1371"/>
      <c r="AB197" s="1371"/>
      <c r="AC197" s="1371"/>
      <c r="AD197" s="1372"/>
      <c r="AE197"/>
      <c r="AF197" s="574"/>
      <c r="AG197">
        <v>1</v>
      </c>
      <c r="AH197"/>
      <c r="AI197"/>
      <c r="AJ197"/>
      <c r="AK197"/>
      <c r="AL197"/>
      <c r="AM197"/>
      <c r="AN197"/>
      <c r="AO197"/>
      <c r="AP197"/>
      <c r="AQ197">
        <v>1</v>
      </c>
      <c r="AR197" s="1333" t="str">
        <f ca="1">IF(magestuff!BQ$374&gt;0,INDIRECT(CONCATENATE("'Master Spell List'!c",magestuff!BQ$374))," " )</f>
        <v xml:space="preserve"> </v>
      </c>
      <c r="AS197" s="1334"/>
      <c r="AT197" s="1335" t="str">
        <f ca="1">IF(magestuff!BQ$374&gt;0,INDIRECT(CONCATENATE("'Master Spell List'!m",magestuff!BQ$374))," " )</f>
        <v xml:space="preserve"> </v>
      </c>
      <c r="AU197" s="1406"/>
      <c r="AV197" s="1333" t="str">
        <f ca="1">IF(magestuff!BQ$374&gt;0,INDIRECT(CONCATENATE("'Master Spell List'!k",magestuff!BQ$374))," " )</f>
        <v xml:space="preserve"> </v>
      </c>
      <c r="AW197" s="1334"/>
      <c r="AX197" s="1333" t="str">
        <f ca="1">IF(magestuff!BQ$374&gt;0,INDIRECT(CONCATENATE("'Master Spell List'!r",magestuff!BQ$374))," " )</f>
        <v xml:space="preserve"> </v>
      </c>
      <c r="AY197" s="1398"/>
      <c r="AZ197" s="1333" t="str">
        <f ca="1">IF(magestuff!BQ$374&gt;0,INDIRECT(CONCATENATE("'Master Spell List'!s",magestuff!BQ$374))," " )</f>
        <v xml:space="preserve"> </v>
      </c>
      <c r="BA197" s="1397"/>
      <c r="BB197" s="1398"/>
      <c r="BC197" s="1399" t="str">
        <f ca="1">IF(magestuff!BQ$374&gt;0,INDIRECT(CONCATENATE("'Master Spell List'!t",magestuff!BQ$374))," " )</f>
        <v xml:space="preserve"> </v>
      </c>
      <c r="BD197" s="1397"/>
      <c r="BE197" s="1398"/>
      <c r="BF197" s="1412"/>
      <c r="BG197" s="1371"/>
      <c r="BH197" s="1371"/>
      <c r="BI197" s="1371"/>
      <c r="BJ197" s="1372"/>
      <c r="BK197" s="10"/>
      <c r="BL197" s="572"/>
      <c r="BM197" s="1412"/>
      <c r="BN197" s="2467"/>
      <c r="BO197" s="2467"/>
      <c r="BP197" s="2467"/>
      <c r="BQ197" s="2206"/>
      <c r="BR197" s="1412"/>
      <c r="BS197" s="2469"/>
      <c r="BT197" s="2469"/>
      <c r="BU197" s="2469"/>
      <c r="BV197" s="2469"/>
      <c r="BW197" s="2470"/>
      <c r="BX197" s="1333"/>
      <c r="BY197" s="1334"/>
      <c r="BZ197" s="1335"/>
      <c r="CA197" s="1406"/>
      <c r="CB197" s="1333"/>
      <c r="CC197" s="1334"/>
      <c r="CD197" s="1333"/>
      <c r="CE197" s="1398"/>
      <c r="CF197" s="1333"/>
      <c r="CG197" s="1397"/>
      <c r="CH197" s="1398"/>
      <c r="CI197" s="1399"/>
      <c r="CJ197" s="1397"/>
      <c r="CK197" s="1398"/>
      <c r="CL197" s="1412"/>
      <c r="CM197" s="1371"/>
      <c r="CN197" s="1371"/>
      <c r="CO197" s="1371"/>
      <c r="CP197" s="1372"/>
    </row>
    <row r="198" spans="1:94" ht="15.75" customHeight="1" outlineLevel="1">
      <c r="A198">
        <v>1</v>
      </c>
      <c r="B198"/>
      <c r="C198"/>
      <c r="D198"/>
      <c r="E198"/>
      <c r="F198"/>
      <c r="G198"/>
      <c r="H198"/>
      <c r="I198"/>
      <c r="J198"/>
      <c r="K198">
        <v>1</v>
      </c>
      <c r="L198" s="1331" t="str">
        <f ca="1">IF(magestuff!X$374&gt;0,INDIRECT(CONCATENATE("'Master Spell List'!c",magestuff!X$374))," " )</f>
        <v xml:space="preserve"> </v>
      </c>
      <c r="M198" s="1332"/>
      <c r="N198" s="1404" t="str">
        <f ca="1">IF(magestuff!X$374&gt;0,INDIRECT(CONCATENATE("'Master Spell List'!m",magestuff!X$374))," " )</f>
        <v xml:space="preserve"> </v>
      </c>
      <c r="O198" s="1405"/>
      <c r="P198" s="1331" t="str">
        <f ca="1">IF(magestuff!X$374&gt;0,INDIRECT(CONCATENATE("'Master Spell List'!k",magestuff!X$374))," " )</f>
        <v xml:space="preserve"> </v>
      </c>
      <c r="Q198" s="1332"/>
      <c r="R198" s="1331" t="str">
        <f ca="1">IF(magestuff!X$374&gt;0,INDIRECT(CONCATENATE("'Master Spell List'!r",magestuff!X$374))," " )</f>
        <v xml:space="preserve"> </v>
      </c>
      <c r="S198" s="1770"/>
      <c r="T198" s="1331" t="str">
        <f ca="1">IF(magestuff!X$374&gt;0,INDIRECT(CONCATENATE("'Master Spell List'!s",magestuff!X$374))," " )</f>
        <v xml:space="preserve"> </v>
      </c>
      <c r="U198" s="1769"/>
      <c r="V198" s="1770"/>
      <c r="W198" s="1768" t="str">
        <f ca="1">IF(magestuff!X$374&gt;0,INDIRECT(CONCATENATE("'Master Spell List'!t",magestuff!X$374))," " )</f>
        <v xml:space="preserve"> </v>
      </c>
      <c r="X198" s="1769"/>
      <c r="Y198" s="1770"/>
      <c r="Z198" s="1401"/>
      <c r="AA198" s="1402"/>
      <c r="AB198" s="1402"/>
      <c r="AC198" s="1402"/>
      <c r="AD198" s="1403"/>
      <c r="AE198"/>
      <c r="AF198" s="574"/>
      <c r="AG198">
        <v>1</v>
      </c>
      <c r="AH198"/>
      <c r="AI198"/>
      <c r="AJ198"/>
      <c r="AK198"/>
      <c r="AL198"/>
      <c r="AM198"/>
      <c r="AN198"/>
      <c r="AO198"/>
      <c r="AP198"/>
      <c r="AQ198">
        <v>1</v>
      </c>
      <c r="AR198" s="1331" t="str">
        <f ca="1">IF(magestuff!BR$374&gt;0,INDIRECT(CONCATENATE("'Master Spell List'!c",magestuff!BR$374))," " )</f>
        <v xml:space="preserve"> </v>
      </c>
      <c r="AS198" s="1332"/>
      <c r="AT198" s="1404" t="str">
        <f ca="1">IF(magestuff!BR$374&gt;0,INDIRECT(CONCATENATE("'Master Spell List'!m",magestuff!BR$374))," " )</f>
        <v xml:space="preserve"> </v>
      </c>
      <c r="AU198" s="1405"/>
      <c r="AV198" s="1331" t="str">
        <f ca="1">IF(magestuff!BR$374&gt;0,INDIRECT(CONCATENATE("'Master Spell List'!k",magestuff!BR$374))," " )</f>
        <v xml:space="preserve"> </v>
      </c>
      <c r="AW198" s="1332"/>
      <c r="AX198" s="1331" t="str">
        <f ca="1">IF(magestuff!BR$374&gt;0,INDIRECT(CONCATENATE("'Master Spell List'!r",magestuff!BR$374))," " )</f>
        <v xml:space="preserve"> </v>
      </c>
      <c r="AY198" s="1394"/>
      <c r="AZ198" s="1331" t="str">
        <f ca="1">IF(magestuff!BR$374&gt;0,INDIRECT(CONCATENATE("'Master Spell List'!s",magestuff!BR$374))," " )</f>
        <v xml:space="preserve"> </v>
      </c>
      <c r="BA198" s="1393"/>
      <c r="BB198" s="1394"/>
      <c r="BC198" s="1395" t="str">
        <f ca="1">IF(magestuff!BR$374&gt;0,INDIRECT(CONCATENATE("'Master Spell List'!t",magestuff!BR$374))," " )</f>
        <v xml:space="preserve"> </v>
      </c>
      <c r="BD198" s="1393"/>
      <c r="BE198" s="1394"/>
      <c r="BF198" s="1401"/>
      <c r="BG198" s="1402"/>
      <c r="BH198" s="1402"/>
      <c r="BI198" s="1402"/>
      <c r="BJ198" s="1403"/>
      <c r="BK198" s="10"/>
      <c r="BL198" s="572"/>
      <c r="BM198" s="1370"/>
      <c r="BN198" s="2467"/>
      <c r="BO198" s="2467"/>
      <c r="BP198" s="2467"/>
      <c r="BQ198" s="2206"/>
      <c r="BR198" s="1370"/>
      <c r="BS198" s="2468"/>
      <c r="BT198" s="2468"/>
      <c r="BU198" s="2468"/>
      <c r="BV198" s="2468"/>
      <c r="BW198" s="1390"/>
      <c r="BX198" s="1331"/>
      <c r="BY198" s="1332"/>
      <c r="BZ198" s="1404"/>
      <c r="CA198" s="1405"/>
      <c r="CB198" s="1331"/>
      <c r="CC198" s="1332"/>
      <c r="CD198" s="1331"/>
      <c r="CE198" s="1394"/>
      <c r="CF198" s="1331"/>
      <c r="CG198" s="1393"/>
      <c r="CH198" s="1394"/>
      <c r="CI198" s="1395"/>
      <c r="CJ198" s="1393"/>
      <c r="CK198" s="1394"/>
      <c r="CL198" s="1401"/>
      <c r="CM198" s="1402"/>
      <c r="CN198" s="1402"/>
      <c r="CO198" s="1402"/>
      <c r="CP198" s="1403"/>
    </row>
    <row r="199" spans="1:94" ht="15.75" customHeight="1" outlineLevel="1">
      <c r="A199">
        <v>1</v>
      </c>
      <c r="B199"/>
      <c r="C199"/>
      <c r="D199"/>
      <c r="E199"/>
      <c r="F199"/>
      <c r="G199"/>
      <c r="H199"/>
      <c r="I199"/>
      <c r="J199"/>
      <c r="K199">
        <v>1</v>
      </c>
      <c r="L199" s="1333" t="str">
        <f ca="1">IF(magestuff!Y$374&gt;0,INDIRECT(CONCATENATE("'Master Spell List'!c",magestuff!Y$374))," " )</f>
        <v xml:space="preserve"> </v>
      </c>
      <c r="M199" s="1334"/>
      <c r="N199" s="1335" t="str">
        <f ca="1">IF(magestuff!Y$374&gt;0,INDIRECT(CONCATENATE("'Master Spell List'!m",magestuff!Y$374))," " )</f>
        <v xml:space="preserve"> </v>
      </c>
      <c r="O199" s="1406"/>
      <c r="P199" s="1333" t="str">
        <f ca="1">IF(magestuff!Y$374&gt;0,INDIRECT(CONCATENATE("'Master Spell List'!k",magestuff!Y$374))," " )</f>
        <v xml:space="preserve"> </v>
      </c>
      <c r="Q199" s="1334"/>
      <c r="R199" s="1333" t="str">
        <f ca="1">IF(magestuff!Y$374&gt;0,INDIRECT(CONCATENATE("'Master Spell List'!r",magestuff!Y$374))," " )</f>
        <v xml:space="preserve"> </v>
      </c>
      <c r="S199" s="1777"/>
      <c r="T199" s="1333" t="str">
        <f ca="1">IF(magestuff!Y$374&gt;0,INDIRECT(CONCATENATE("'Master Spell List'!s",magestuff!Y$374))," " )</f>
        <v xml:space="preserve"> </v>
      </c>
      <c r="U199" s="1776"/>
      <c r="V199" s="1777"/>
      <c r="W199" s="1775" t="str">
        <f ca="1">IF(magestuff!Y$374&gt;0,INDIRECT(CONCATENATE("'Master Spell List'!t",magestuff!Y$374))," " )</f>
        <v xml:space="preserve"> </v>
      </c>
      <c r="X199" s="1776"/>
      <c r="Y199" s="1777"/>
      <c r="Z199" s="1412"/>
      <c r="AA199" s="1371"/>
      <c r="AB199" s="1371"/>
      <c r="AC199" s="1371"/>
      <c r="AD199" s="1372"/>
      <c r="AE199"/>
      <c r="AF199" s="574"/>
      <c r="AG199">
        <v>1</v>
      </c>
      <c r="AH199"/>
      <c r="AI199"/>
      <c r="AJ199"/>
      <c r="AK199"/>
      <c r="AL199"/>
      <c r="AM199"/>
      <c r="AN199"/>
      <c r="AO199"/>
      <c r="AP199"/>
      <c r="AQ199">
        <v>1</v>
      </c>
      <c r="AR199" s="1333" t="str">
        <f ca="1">IF(magestuff!BS$374&gt;0,INDIRECT(CONCATENATE("'Master Spell List'!c",magestuff!BS$374))," " )</f>
        <v xml:space="preserve"> </v>
      </c>
      <c r="AS199" s="1334"/>
      <c r="AT199" s="1335" t="str">
        <f ca="1">IF(magestuff!BS$374&gt;0,INDIRECT(CONCATENATE("'Master Spell List'!m",magestuff!BS$374))," " )</f>
        <v xml:space="preserve"> </v>
      </c>
      <c r="AU199" s="1406"/>
      <c r="AV199" s="1333" t="str">
        <f ca="1">IF(magestuff!BS$374&gt;0,INDIRECT(CONCATENATE("'Master Spell List'!k",magestuff!BS$374))," " )</f>
        <v xml:space="preserve"> </v>
      </c>
      <c r="AW199" s="1334"/>
      <c r="AX199" s="1333" t="str">
        <f ca="1">IF(magestuff!BS$374&gt;0,INDIRECT(CONCATENATE("'Master Spell List'!r",magestuff!BS$374))," " )</f>
        <v xml:space="preserve"> </v>
      </c>
      <c r="AY199" s="1398"/>
      <c r="AZ199" s="1333" t="str">
        <f ca="1">IF(magestuff!BS$374&gt;0,INDIRECT(CONCATENATE("'Master Spell List'!s",magestuff!BS$374))," " )</f>
        <v xml:space="preserve"> </v>
      </c>
      <c r="BA199" s="1397"/>
      <c r="BB199" s="1398"/>
      <c r="BC199" s="1399" t="str">
        <f ca="1">IF(magestuff!BS$374&gt;0,INDIRECT(CONCATENATE("'Master Spell List'!t",magestuff!BS$374))," " )</f>
        <v xml:space="preserve"> </v>
      </c>
      <c r="BD199" s="1397"/>
      <c r="BE199" s="1398"/>
      <c r="BF199" s="1412"/>
      <c r="BG199" s="1371"/>
      <c r="BH199" s="1371"/>
      <c r="BI199" s="1371"/>
      <c r="BJ199" s="1372"/>
      <c r="BK199" s="10"/>
      <c r="BL199" s="572"/>
      <c r="BM199" s="1412"/>
      <c r="BN199" s="2467"/>
      <c r="BO199" s="2467"/>
      <c r="BP199" s="2467"/>
      <c r="BQ199" s="2206"/>
      <c r="BR199" s="1412"/>
      <c r="BS199" s="2469"/>
      <c r="BT199" s="2469"/>
      <c r="BU199" s="2469"/>
      <c r="BV199" s="2469"/>
      <c r="BW199" s="2470"/>
      <c r="BX199" s="1333"/>
      <c r="BY199" s="1334"/>
      <c r="BZ199" s="1335"/>
      <c r="CA199" s="1406"/>
      <c r="CB199" s="1333"/>
      <c r="CC199" s="1334"/>
      <c r="CD199" s="1333"/>
      <c r="CE199" s="1398"/>
      <c r="CF199" s="1333"/>
      <c r="CG199" s="1397"/>
      <c r="CH199" s="1398"/>
      <c r="CI199" s="1399"/>
      <c r="CJ199" s="1397"/>
      <c r="CK199" s="1398"/>
      <c r="CL199" s="1412"/>
      <c r="CM199" s="1371"/>
      <c r="CN199" s="1371"/>
      <c r="CO199" s="1371"/>
      <c r="CP199" s="1372"/>
    </row>
    <row r="200" spans="1:94" ht="15.75" customHeight="1" outlineLevel="1">
      <c r="A200">
        <v>1</v>
      </c>
      <c r="B200"/>
      <c r="C200"/>
      <c r="D200"/>
      <c r="E200"/>
      <c r="F200"/>
      <c r="G200"/>
      <c r="H200"/>
      <c r="I200"/>
      <c r="J200"/>
      <c r="K200">
        <v>1</v>
      </c>
      <c r="L200" s="1331" t="str">
        <f ca="1">IF(magestuff!Z$374&gt;0,INDIRECT(CONCATENATE("'Master Spell List'!c",magestuff!Z$374))," " )</f>
        <v xml:space="preserve"> </v>
      </c>
      <c r="M200" s="1332"/>
      <c r="N200" s="1404" t="str">
        <f ca="1">IF(magestuff!Z$374&gt;0,INDIRECT(CONCATENATE("'Master Spell List'!m",magestuff!Z$374))," " )</f>
        <v xml:space="preserve"> </v>
      </c>
      <c r="O200" s="1405"/>
      <c r="P200" s="1331" t="str">
        <f ca="1">IF(magestuff!Z$374&gt;0,INDIRECT(CONCATENATE("'Master Spell List'!k",magestuff!Z$374))," " )</f>
        <v xml:space="preserve"> </v>
      </c>
      <c r="Q200" s="1332"/>
      <c r="R200" s="1331" t="str">
        <f ca="1">IF(magestuff!Z$374&gt;0,INDIRECT(CONCATENATE("'Master Spell List'!r",magestuff!Z$374))," " )</f>
        <v xml:space="preserve"> </v>
      </c>
      <c r="S200" s="1770"/>
      <c r="T200" s="1331" t="str">
        <f ca="1">IF(magestuff!Z$374&gt;0,INDIRECT(CONCATENATE("'Master Spell List'!s",magestuff!Z$374))," " )</f>
        <v xml:space="preserve"> </v>
      </c>
      <c r="U200" s="1769"/>
      <c r="V200" s="1770"/>
      <c r="W200" s="1768" t="str">
        <f ca="1">IF(magestuff!Z$374&gt;0,INDIRECT(CONCATENATE("'Master Spell List'!t",magestuff!Z$374))," " )</f>
        <v xml:space="preserve"> </v>
      </c>
      <c r="X200" s="1769"/>
      <c r="Y200" s="1770"/>
      <c r="Z200" s="1401"/>
      <c r="AA200" s="1402"/>
      <c r="AB200" s="1402"/>
      <c r="AC200" s="1402"/>
      <c r="AD200" s="1403"/>
      <c r="AE200"/>
      <c r="AF200" s="574"/>
      <c r="AG200">
        <v>1</v>
      </c>
      <c r="AH200"/>
      <c r="AI200"/>
      <c r="AJ200"/>
      <c r="AK200"/>
      <c r="AL200"/>
      <c r="AM200"/>
      <c r="AN200"/>
      <c r="AO200"/>
      <c r="AP200"/>
      <c r="AQ200">
        <v>1</v>
      </c>
      <c r="AR200" s="1331" t="str">
        <f ca="1">IF(magestuff!BT$374&gt;0,INDIRECT(CONCATENATE("'Master Spell List'!c",magestuff!BT$374))," " )</f>
        <v xml:space="preserve"> </v>
      </c>
      <c r="AS200" s="1332"/>
      <c r="AT200" s="1404" t="str">
        <f ca="1">IF(magestuff!BT$374&gt;0,INDIRECT(CONCATENATE("'Master Spell List'!m",magestuff!BT$374))," " )</f>
        <v xml:space="preserve"> </v>
      </c>
      <c r="AU200" s="1405"/>
      <c r="AV200" s="1331" t="str">
        <f ca="1">IF(magestuff!BT$374&gt;0,INDIRECT(CONCATENATE("'Master Spell List'!k",magestuff!BT$374))," " )</f>
        <v xml:space="preserve"> </v>
      </c>
      <c r="AW200" s="1332"/>
      <c r="AX200" s="1331" t="str">
        <f ca="1">IF(magestuff!BT$374&gt;0,INDIRECT(CONCATENATE("'Master Spell List'!r",magestuff!BT$374))," " )</f>
        <v xml:space="preserve"> </v>
      </c>
      <c r="AY200" s="1394"/>
      <c r="AZ200" s="1331" t="str">
        <f ca="1">IF(magestuff!BT$374&gt;0,INDIRECT(CONCATENATE("'Master Spell List'!s",magestuff!BT$374))," " )</f>
        <v xml:space="preserve"> </v>
      </c>
      <c r="BA200" s="1393"/>
      <c r="BB200" s="1394"/>
      <c r="BC200" s="1395" t="str">
        <f ca="1">IF(magestuff!BT$374&gt;0,INDIRECT(CONCATENATE("'Master Spell List'!t",magestuff!BT$374))," " )</f>
        <v xml:space="preserve"> </v>
      </c>
      <c r="BD200" s="1393"/>
      <c r="BE200" s="1394"/>
      <c r="BF200" s="1401"/>
      <c r="BG200" s="1402"/>
      <c r="BH200" s="1402"/>
      <c r="BI200" s="1402"/>
      <c r="BJ200" s="1403"/>
      <c r="BK200" s="10"/>
      <c r="BL200" s="572"/>
      <c r="BM200" s="1370"/>
      <c r="BN200" s="2467"/>
      <c r="BO200" s="2467"/>
      <c r="BP200" s="2467"/>
      <c r="BQ200" s="2206"/>
      <c r="BR200" s="1370"/>
      <c r="BS200" s="2468"/>
      <c r="BT200" s="2468"/>
      <c r="BU200" s="2468"/>
      <c r="BV200" s="2468"/>
      <c r="BW200" s="1390"/>
      <c r="BX200" s="1331"/>
      <c r="BY200" s="1332"/>
      <c r="BZ200" s="1404"/>
      <c r="CA200" s="1405"/>
      <c r="CB200" s="1331"/>
      <c r="CC200" s="1332"/>
      <c r="CD200" s="1331"/>
      <c r="CE200" s="1394"/>
      <c r="CF200" s="1331"/>
      <c r="CG200" s="1393"/>
      <c r="CH200" s="1394"/>
      <c r="CI200" s="1395"/>
      <c r="CJ200" s="1393"/>
      <c r="CK200" s="1394"/>
      <c r="CL200" s="1401"/>
      <c r="CM200" s="1402"/>
      <c r="CN200" s="1402"/>
      <c r="CO200" s="1402"/>
      <c r="CP200" s="1403"/>
    </row>
    <row r="201" spans="1:94" ht="15.75" customHeight="1" outlineLevel="1">
      <c r="A201">
        <v>1</v>
      </c>
      <c r="B201"/>
      <c r="C201"/>
      <c r="D201"/>
      <c r="E201"/>
      <c r="F201"/>
      <c r="G201"/>
      <c r="H201"/>
      <c r="I201"/>
      <c r="J201"/>
      <c r="K201">
        <v>1</v>
      </c>
      <c r="L201" s="1333" t="str">
        <f ca="1">IF(magestuff!AA$374&gt;0,INDIRECT(CONCATENATE("'Master Spell List'!c",magestuff!AA$374))," " )</f>
        <v xml:space="preserve"> </v>
      </c>
      <c r="M201" s="1334"/>
      <c r="N201" s="1335" t="str">
        <f ca="1">IF(magestuff!AA$374&gt;0,INDIRECT(CONCATENATE("'Master Spell List'!m",magestuff!AA$374))," " )</f>
        <v xml:space="preserve"> </v>
      </c>
      <c r="O201" s="1406"/>
      <c r="P201" s="1333" t="str">
        <f ca="1">IF(magestuff!AA$374&gt;0,INDIRECT(CONCATENATE("'Master Spell List'!k",magestuff!AA$374))," " )</f>
        <v xml:space="preserve"> </v>
      </c>
      <c r="Q201" s="1334"/>
      <c r="R201" s="1333" t="str">
        <f ca="1">IF(magestuff!AA$374&gt;0,INDIRECT(CONCATENATE("'Master Spell List'!r",magestuff!AA$374))," " )</f>
        <v xml:space="preserve"> </v>
      </c>
      <c r="S201" s="1777"/>
      <c r="T201" s="1333" t="str">
        <f ca="1">IF(magestuff!AA$374&gt;0,INDIRECT(CONCATENATE("'Master Spell List'!s",magestuff!AA$374))," " )</f>
        <v xml:space="preserve"> </v>
      </c>
      <c r="U201" s="1776"/>
      <c r="V201" s="1777"/>
      <c r="W201" s="1775" t="str">
        <f ca="1">IF(magestuff!AA$374&gt;0,INDIRECT(CONCATENATE("'Master Spell List'!t",magestuff!AA$374))," " )</f>
        <v xml:space="preserve"> </v>
      </c>
      <c r="X201" s="1776"/>
      <c r="Y201" s="1777"/>
      <c r="Z201" s="1412"/>
      <c r="AA201" s="1371"/>
      <c r="AB201" s="1371"/>
      <c r="AC201" s="1371"/>
      <c r="AD201" s="1372"/>
      <c r="AE201"/>
      <c r="AF201" s="574"/>
      <c r="AG201">
        <v>1</v>
      </c>
      <c r="AH201"/>
      <c r="AI201"/>
      <c r="AJ201"/>
      <c r="AK201"/>
      <c r="AL201"/>
      <c r="AM201"/>
      <c r="AN201"/>
      <c r="AO201"/>
      <c r="AP201"/>
      <c r="AQ201">
        <v>1</v>
      </c>
      <c r="AR201" s="1333" t="str">
        <f ca="1">IF(magestuff!BU$374&gt;0,INDIRECT(CONCATENATE("'Master Spell List'!c",magestuff!BU$374))," " )</f>
        <v xml:space="preserve"> </v>
      </c>
      <c r="AS201" s="1334"/>
      <c r="AT201" s="1335" t="str">
        <f ca="1">IF(magestuff!BU$374&gt;0,INDIRECT(CONCATENATE("'Master Spell List'!m",magestuff!BU$374))," " )</f>
        <v xml:space="preserve"> </v>
      </c>
      <c r="AU201" s="1406"/>
      <c r="AV201" s="1333" t="str">
        <f ca="1">IF(magestuff!BU$374&gt;0,INDIRECT(CONCATENATE("'Master Spell List'!k",magestuff!BU$374))," " )</f>
        <v xml:space="preserve"> </v>
      </c>
      <c r="AW201" s="1334"/>
      <c r="AX201" s="1333" t="str">
        <f ca="1">IF(magestuff!BU$374&gt;0,INDIRECT(CONCATENATE("'Master Spell List'!r",magestuff!BU$374))," " )</f>
        <v xml:space="preserve"> </v>
      </c>
      <c r="AY201" s="1398"/>
      <c r="AZ201" s="1333" t="str">
        <f ca="1">IF(magestuff!BU$374&gt;0,INDIRECT(CONCATENATE("'Master Spell List'!s",magestuff!BU$374))," " )</f>
        <v xml:space="preserve"> </v>
      </c>
      <c r="BA201" s="1397"/>
      <c r="BB201" s="1398"/>
      <c r="BC201" s="1399" t="str">
        <f ca="1">IF(magestuff!BU$374&gt;0,INDIRECT(CONCATENATE("'Master Spell List'!t",magestuff!BU$374))," " )</f>
        <v xml:space="preserve"> </v>
      </c>
      <c r="BD201" s="1397"/>
      <c r="BE201" s="1398"/>
      <c r="BF201" s="1412"/>
      <c r="BG201" s="1371"/>
      <c r="BH201" s="1371"/>
      <c r="BI201" s="1371"/>
      <c r="BJ201" s="1372"/>
      <c r="BK201" s="10"/>
      <c r="BL201" s="572"/>
      <c r="BM201" s="1412"/>
      <c r="BN201" s="2467"/>
      <c r="BO201" s="2467"/>
      <c r="BP201" s="2467"/>
      <c r="BQ201" s="2206"/>
      <c r="BR201" s="1412"/>
      <c r="BS201" s="2469"/>
      <c r="BT201" s="2469"/>
      <c r="BU201" s="2469"/>
      <c r="BV201" s="2469"/>
      <c r="BW201" s="2470"/>
      <c r="BX201" s="1333"/>
      <c r="BY201" s="1334"/>
      <c r="BZ201" s="1335"/>
      <c r="CA201" s="1406"/>
      <c r="CB201" s="1333"/>
      <c r="CC201" s="1334"/>
      <c r="CD201" s="1333"/>
      <c r="CE201" s="1398"/>
      <c r="CF201" s="1333"/>
      <c r="CG201" s="1397"/>
      <c r="CH201" s="1398"/>
      <c r="CI201" s="1399"/>
      <c r="CJ201" s="1397"/>
      <c r="CK201" s="1398"/>
      <c r="CL201" s="1412"/>
      <c r="CM201" s="1371"/>
      <c r="CN201" s="1371"/>
      <c r="CO201" s="1371"/>
      <c r="CP201" s="1372"/>
    </row>
    <row r="202" spans="1:94" ht="15.75" customHeight="1" outlineLevel="1">
      <c r="A202">
        <v>1</v>
      </c>
      <c r="B202"/>
      <c r="C202"/>
      <c r="D202"/>
      <c r="E202"/>
      <c r="F202"/>
      <c r="G202"/>
      <c r="H202"/>
      <c r="I202"/>
      <c r="J202"/>
      <c r="K202">
        <v>1</v>
      </c>
      <c r="L202" s="1331" t="str">
        <f ca="1">IF(magestuff!AB$374&gt;0,INDIRECT(CONCATENATE("'Master Spell List'!c",magestuff!AB$374))," " )</f>
        <v xml:space="preserve"> </v>
      </c>
      <c r="M202" s="1332"/>
      <c r="N202" s="1404" t="str">
        <f ca="1">IF(magestuff!AB$374&gt;0,INDIRECT(CONCATENATE("'Master Spell List'!m",magestuff!AB$374))," " )</f>
        <v xml:space="preserve"> </v>
      </c>
      <c r="O202" s="1405"/>
      <c r="P202" s="1331" t="str">
        <f ca="1">IF(magestuff!AB$374&gt;0,INDIRECT(CONCATENATE("'Master Spell List'!k",magestuff!AB$374))," " )</f>
        <v xml:space="preserve"> </v>
      </c>
      <c r="Q202" s="1332"/>
      <c r="R202" s="1331" t="str">
        <f ca="1">IF(magestuff!AB$374&gt;0,INDIRECT(CONCATENATE("'Master Spell List'!r",magestuff!AB$374))," " )</f>
        <v xml:space="preserve"> </v>
      </c>
      <c r="S202" s="1770"/>
      <c r="T202" s="1331" t="str">
        <f ca="1">IF(magestuff!AB$374&gt;0,INDIRECT(CONCATENATE("'Master Spell List'!s",magestuff!AB$374))," " )</f>
        <v xml:space="preserve"> </v>
      </c>
      <c r="U202" s="1769"/>
      <c r="V202" s="1770"/>
      <c r="W202" s="1768" t="str">
        <f ca="1">IF(magestuff!AB$374&gt;0,INDIRECT(CONCATENATE("'Master Spell List'!t",magestuff!AB$374))," " )</f>
        <v xml:space="preserve"> </v>
      </c>
      <c r="X202" s="1769"/>
      <c r="Y202" s="1770"/>
      <c r="Z202" s="1401"/>
      <c r="AA202" s="1402"/>
      <c r="AB202" s="1402"/>
      <c r="AC202" s="1402"/>
      <c r="AD202" s="1403"/>
      <c r="AE202"/>
      <c r="AF202" s="574"/>
      <c r="AG202">
        <v>1</v>
      </c>
      <c r="AH202"/>
      <c r="AI202"/>
      <c r="AJ202"/>
      <c r="AK202"/>
      <c r="AL202"/>
      <c r="AM202"/>
      <c r="AN202"/>
      <c r="AO202"/>
      <c r="AP202"/>
      <c r="AQ202">
        <v>1</v>
      </c>
      <c r="AR202" s="1331" t="str">
        <f ca="1">IF(magestuff!BV$374&gt;0,INDIRECT(CONCATENATE("'Master Spell List'!c",magestuff!BV$374))," " )</f>
        <v xml:space="preserve"> </v>
      </c>
      <c r="AS202" s="1332"/>
      <c r="AT202" s="1404" t="str">
        <f ca="1">IF(magestuff!BV$374&gt;0,INDIRECT(CONCATENATE("'Master Spell List'!m",magestuff!BV$374))," " )</f>
        <v xml:space="preserve"> </v>
      </c>
      <c r="AU202" s="1405"/>
      <c r="AV202" s="1331" t="str">
        <f ca="1">IF(magestuff!BV$374&gt;0,INDIRECT(CONCATENATE("'Master Spell List'!k",magestuff!BV$374))," " )</f>
        <v xml:space="preserve"> </v>
      </c>
      <c r="AW202" s="1332"/>
      <c r="AX202" s="1331" t="str">
        <f ca="1">IF(magestuff!BV$374&gt;0,INDIRECT(CONCATENATE("'Master Spell List'!r",magestuff!BV$374))," " )</f>
        <v xml:space="preserve"> </v>
      </c>
      <c r="AY202" s="1394"/>
      <c r="AZ202" s="1331" t="str">
        <f ca="1">IF(magestuff!BV$374&gt;0,INDIRECT(CONCATENATE("'Master Spell List'!s",magestuff!BV$374))," " )</f>
        <v xml:space="preserve"> </v>
      </c>
      <c r="BA202" s="1393"/>
      <c r="BB202" s="1394"/>
      <c r="BC202" s="1395" t="str">
        <f ca="1">IF(magestuff!BV$374&gt;0,INDIRECT(CONCATENATE("'Master Spell List'!t",magestuff!BV$374))," " )</f>
        <v xml:space="preserve"> </v>
      </c>
      <c r="BD202" s="1393"/>
      <c r="BE202" s="1394"/>
      <c r="BF202" s="1401"/>
      <c r="BG202" s="1402"/>
      <c r="BH202" s="1402"/>
      <c r="BI202" s="1402"/>
      <c r="BJ202" s="1403"/>
      <c r="BK202" s="10"/>
      <c r="BL202" s="572"/>
      <c r="BM202" s="1370"/>
      <c r="BN202" s="2467"/>
      <c r="BO202" s="2467"/>
      <c r="BP202" s="2467"/>
      <c r="BQ202" s="2206"/>
      <c r="BR202" s="1370"/>
      <c r="BS202" s="2468"/>
      <c r="BT202" s="2468"/>
      <c r="BU202" s="2468"/>
      <c r="BV202" s="2468"/>
      <c r="BW202" s="1390"/>
      <c r="BX202" s="1331"/>
      <c r="BY202" s="1332"/>
      <c r="BZ202" s="1404"/>
      <c r="CA202" s="1405"/>
      <c r="CB202" s="1331"/>
      <c r="CC202" s="1332"/>
      <c r="CD202" s="1331"/>
      <c r="CE202" s="1394"/>
      <c r="CF202" s="1331"/>
      <c r="CG202" s="1393"/>
      <c r="CH202" s="1394"/>
      <c r="CI202" s="1395"/>
      <c r="CJ202" s="1393"/>
      <c r="CK202" s="1394"/>
      <c r="CL202" s="1401"/>
      <c r="CM202" s="1402"/>
      <c r="CN202" s="1402"/>
      <c r="CO202" s="1402"/>
      <c r="CP202" s="1403"/>
    </row>
    <row r="203" spans="1:94" ht="15.75" customHeight="1" outlineLevel="1">
      <c r="A203">
        <v>1</v>
      </c>
      <c r="B203"/>
      <c r="C203"/>
      <c r="D203"/>
      <c r="E203"/>
      <c r="F203"/>
      <c r="G203"/>
      <c r="H203"/>
      <c r="I203"/>
      <c r="J203"/>
      <c r="K203">
        <v>1</v>
      </c>
      <c r="L203" s="1333" t="str">
        <f ca="1">IF(magestuff!AC$374&gt;0,INDIRECT(CONCATENATE("'Master Spell List'!c",magestuff!AC$374))," " )</f>
        <v xml:space="preserve"> </v>
      </c>
      <c r="M203" s="1334"/>
      <c r="N203" s="1335" t="str">
        <f ca="1">IF(magestuff!AC$374&gt;0,INDIRECT(CONCATENATE("'Master Spell List'!m",magestuff!AC$374))," " )</f>
        <v xml:space="preserve"> </v>
      </c>
      <c r="O203" s="1406"/>
      <c r="P203" s="1333" t="str">
        <f ca="1">IF(magestuff!AC$374&gt;0,INDIRECT(CONCATENATE("'Master Spell List'!k",magestuff!AC$374))," " )</f>
        <v xml:space="preserve"> </v>
      </c>
      <c r="Q203" s="1334"/>
      <c r="R203" s="1333" t="str">
        <f ca="1">IF(magestuff!AC$374&gt;0,INDIRECT(CONCATENATE("'Master Spell List'!r",magestuff!AC$374))," " )</f>
        <v xml:space="preserve"> </v>
      </c>
      <c r="S203" s="1777"/>
      <c r="T203" s="1333" t="str">
        <f ca="1">IF(magestuff!AC$374&gt;0,INDIRECT(CONCATENATE("'Master Spell List'!s",magestuff!AC$374))," " )</f>
        <v xml:space="preserve"> </v>
      </c>
      <c r="U203" s="1776"/>
      <c r="V203" s="1777"/>
      <c r="W203" s="1775" t="str">
        <f ca="1">IF(magestuff!AC$374&gt;0,INDIRECT(CONCATENATE("'Master Spell List'!t",magestuff!AC$374))," " )</f>
        <v xml:space="preserve"> </v>
      </c>
      <c r="X203" s="1776"/>
      <c r="Y203" s="1777"/>
      <c r="Z203" s="1412"/>
      <c r="AA203" s="1371"/>
      <c r="AB203" s="1371"/>
      <c r="AC203" s="1371"/>
      <c r="AD203" s="1372"/>
      <c r="AE203"/>
      <c r="AF203" s="574"/>
      <c r="AG203">
        <v>1</v>
      </c>
      <c r="AH203"/>
      <c r="AI203"/>
      <c r="AJ203"/>
      <c r="AK203"/>
      <c r="AL203"/>
      <c r="AM203"/>
      <c r="AN203"/>
      <c r="AO203"/>
      <c r="AP203"/>
      <c r="AQ203">
        <v>1</v>
      </c>
      <c r="AR203" s="1333" t="str">
        <f ca="1">IF(magestuff!BW$374&gt;0,INDIRECT(CONCATENATE("'Master Spell List'!c",magestuff!BW$374))," " )</f>
        <v xml:space="preserve"> </v>
      </c>
      <c r="AS203" s="1334"/>
      <c r="AT203" s="1335" t="str">
        <f ca="1">IF(magestuff!BW$374&gt;0,INDIRECT(CONCATENATE("'Master Spell List'!m",magestuff!BW$374))," " )</f>
        <v xml:space="preserve"> </v>
      </c>
      <c r="AU203" s="1406"/>
      <c r="AV203" s="1333" t="str">
        <f ca="1">IF(magestuff!BW$374&gt;0,INDIRECT(CONCATENATE("'Master Spell List'!k",magestuff!BW$374))," " )</f>
        <v xml:space="preserve"> </v>
      </c>
      <c r="AW203" s="1334"/>
      <c r="AX203" s="1333" t="str">
        <f ca="1">IF(magestuff!BW$374&gt;0,INDIRECT(CONCATENATE("'Master Spell List'!r",magestuff!BW$374))," " )</f>
        <v xml:space="preserve"> </v>
      </c>
      <c r="AY203" s="1398"/>
      <c r="AZ203" s="1333" t="str">
        <f ca="1">IF(magestuff!BW$374&gt;0,INDIRECT(CONCATENATE("'Master Spell List'!s",magestuff!BW$374))," " )</f>
        <v xml:space="preserve"> </v>
      </c>
      <c r="BA203" s="1397"/>
      <c r="BB203" s="1398"/>
      <c r="BC203" s="1399" t="str">
        <f ca="1">IF(magestuff!BW$374&gt;0,INDIRECT(CONCATENATE("'Master Spell List'!t",magestuff!BW$374))," " )</f>
        <v xml:space="preserve"> </v>
      </c>
      <c r="BD203" s="1397"/>
      <c r="BE203" s="1398"/>
      <c r="BF203" s="1412"/>
      <c r="BG203" s="1371"/>
      <c r="BH203" s="1371"/>
      <c r="BI203" s="1371"/>
      <c r="BJ203" s="1372"/>
      <c r="BK203" s="10"/>
      <c r="BL203" s="572"/>
      <c r="BM203" s="1412"/>
      <c r="BN203" s="2467"/>
      <c r="BO203" s="2467"/>
      <c r="BP203" s="2467"/>
      <c r="BQ203" s="2206"/>
      <c r="BR203" s="1412"/>
      <c r="BS203" s="2469"/>
      <c r="BT203" s="2469"/>
      <c r="BU203" s="2469"/>
      <c r="BV203" s="2469"/>
      <c r="BW203" s="2470"/>
      <c r="BX203" s="1333"/>
      <c r="BY203" s="1334"/>
      <c r="BZ203" s="1335"/>
      <c r="CA203" s="1406"/>
      <c r="CB203" s="1333"/>
      <c r="CC203" s="1334"/>
      <c r="CD203" s="1333"/>
      <c r="CE203" s="1398"/>
      <c r="CF203" s="1333"/>
      <c r="CG203" s="1397"/>
      <c r="CH203" s="1398"/>
      <c r="CI203" s="1399"/>
      <c r="CJ203" s="1397"/>
      <c r="CK203" s="1398"/>
      <c r="CL203" s="1412"/>
      <c r="CM203" s="1371"/>
      <c r="CN203" s="1371"/>
      <c r="CO203" s="1371"/>
      <c r="CP203" s="1372"/>
    </row>
    <row r="204" spans="1:94" ht="15.75" customHeight="1" outlineLevel="1">
      <c r="A204">
        <v>1</v>
      </c>
      <c r="B204"/>
      <c r="C204"/>
      <c r="D204"/>
      <c r="E204"/>
      <c r="F204"/>
      <c r="G204"/>
      <c r="H204"/>
      <c r="I204"/>
      <c r="J204"/>
      <c r="K204">
        <v>1</v>
      </c>
      <c r="L204" s="1331" t="str">
        <f ca="1">IF(magestuff!AD$374&gt;0,INDIRECT(CONCATENATE("'Master Spell List'!c",magestuff!AD$374))," " )</f>
        <v xml:space="preserve"> </v>
      </c>
      <c r="M204" s="1332"/>
      <c r="N204" s="1404" t="str">
        <f ca="1">IF(magestuff!AD$374&gt;0,INDIRECT(CONCATENATE("'Master Spell List'!m",magestuff!AD$374))," " )</f>
        <v xml:space="preserve"> </v>
      </c>
      <c r="O204" s="1405"/>
      <c r="P204" s="1331" t="str">
        <f ca="1">IF(magestuff!AD$374&gt;0,INDIRECT(CONCATENATE("'Master Spell List'!k",magestuff!AD$374))," " )</f>
        <v xml:space="preserve"> </v>
      </c>
      <c r="Q204" s="1332"/>
      <c r="R204" s="1331" t="str">
        <f ca="1">IF(magestuff!AD$374&gt;0,INDIRECT(CONCATENATE("'Master Spell List'!r",magestuff!AD$374))," " )</f>
        <v xml:space="preserve"> </v>
      </c>
      <c r="S204" s="1770"/>
      <c r="T204" s="1331" t="str">
        <f ca="1">IF(magestuff!AD$374&gt;0,INDIRECT(CONCATENATE("'Master Spell List'!s",magestuff!AD$374))," " )</f>
        <v xml:space="preserve"> </v>
      </c>
      <c r="U204" s="1769"/>
      <c r="V204" s="1770"/>
      <c r="W204" s="1768" t="str">
        <f ca="1">IF(magestuff!AD$374&gt;0,INDIRECT(CONCATENATE("'Master Spell List'!t",magestuff!AD$374))," " )</f>
        <v xml:space="preserve"> </v>
      </c>
      <c r="X204" s="1769"/>
      <c r="Y204" s="1770"/>
      <c r="Z204" s="1401"/>
      <c r="AA204" s="1402"/>
      <c r="AB204" s="1402"/>
      <c r="AC204" s="1402"/>
      <c r="AD204" s="1403"/>
      <c r="AE204"/>
      <c r="AF204" s="574"/>
      <c r="AG204">
        <v>1</v>
      </c>
      <c r="AH204"/>
      <c r="AI204"/>
      <c r="AJ204"/>
      <c r="AK204"/>
      <c r="AL204"/>
      <c r="AM204"/>
      <c r="AN204"/>
      <c r="AO204"/>
      <c r="AP204"/>
      <c r="AQ204">
        <v>1</v>
      </c>
      <c r="AR204" s="1331" t="str">
        <f ca="1">IF(magestuff!BX$374&gt;0,INDIRECT(CONCATENATE("'Master Spell List'!c",magestuff!BX$374))," " )</f>
        <v xml:space="preserve"> </v>
      </c>
      <c r="AS204" s="1332"/>
      <c r="AT204" s="1404" t="str">
        <f ca="1">IF(magestuff!BX$374&gt;0,INDIRECT(CONCATENATE("'Master Spell List'!m",magestuff!BX$374))," " )</f>
        <v xml:space="preserve"> </v>
      </c>
      <c r="AU204" s="1405"/>
      <c r="AV204" s="1331" t="str">
        <f ca="1">IF(magestuff!BX$374&gt;0,INDIRECT(CONCATENATE("'Master Spell List'!k",magestuff!BX$374))," " )</f>
        <v xml:space="preserve"> </v>
      </c>
      <c r="AW204" s="1332"/>
      <c r="AX204" s="1331" t="str">
        <f ca="1">IF(magestuff!BX$374&gt;0,INDIRECT(CONCATENATE("'Master Spell List'!r",magestuff!BX$374))," " )</f>
        <v xml:space="preserve"> </v>
      </c>
      <c r="AY204" s="1394"/>
      <c r="AZ204" s="1331" t="str">
        <f ca="1">IF(magestuff!BX$374&gt;0,INDIRECT(CONCATENATE("'Master Spell List'!s",magestuff!BX$374))," " )</f>
        <v xml:space="preserve"> </v>
      </c>
      <c r="BA204" s="1393"/>
      <c r="BB204" s="1394"/>
      <c r="BC204" s="1395" t="str">
        <f ca="1">IF(magestuff!BX$374&gt;0,INDIRECT(CONCATENATE("'Master Spell List'!t",magestuff!BX$374))," " )</f>
        <v xml:space="preserve"> </v>
      </c>
      <c r="BD204" s="1393"/>
      <c r="BE204" s="1394"/>
      <c r="BF204" s="1401"/>
      <c r="BG204" s="1402"/>
      <c r="BH204" s="1402"/>
      <c r="BI204" s="1402"/>
      <c r="BJ204" s="1403"/>
      <c r="BK204" s="10"/>
      <c r="BL204" s="572"/>
      <c r="BM204" s="1370"/>
      <c r="BN204" s="2467"/>
      <c r="BO204" s="2467"/>
      <c r="BP204" s="2467"/>
      <c r="BQ204" s="2206"/>
      <c r="BR204" s="1370"/>
      <c r="BS204" s="2468"/>
      <c r="BT204" s="2468"/>
      <c r="BU204" s="2468"/>
      <c r="BV204" s="2468"/>
      <c r="BW204" s="1390"/>
      <c r="BX204" s="1331"/>
      <c r="BY204" s="1332"/>
      <c r="BZ204" s="1404"/>
      <c r="CA204" s="1405"/>
      <c r="CB204" s="1331"/>
      <c r="CC204" s="1332"/>
      <c r="CD204" s="1331"/>
      <c r="CE204" s="1394"/>
      <c r="CF204" s="1331"/>
      <c r="CG204" s="1393"/>
      <c r="CH204" s="1394"/>
      <c r="CI204" s="1395"/>
      <c r="CJ204" s="1393"/>
      <c r="CK204" s="1394"/>
      <c r="CL204" s="1401"/>
      <c r="CM204" s="1402"/>
      <c r="CN204" s="1402"/>
      <c r="CO204" s="1402"/>
      <c r="CP204" s="1403"/>
    </row>
    <row r="205" spans="1:94" ht="15.75" customHeight="1" outlineLevel="1">
      <c r="A205">
        <v>1</v>
      </c>
      <c r="B205"/>
      <c r="C205"/>
      <c r="D205"/>
      <c r="E205"/>
      <c r="F205"/>
      <c r="G205"/>
      <c r="H205"/>
      <c r="I205"/>
      <c r="J205"/>
      <c r="K205">
        <v>1</v>
      </c>
      <c r="L205" s="1333" t="str">
        <f ca="1">IF(magestuff!AE$374&gt;0,INDIRECT(CONCATENATE("'Master Spell List'!c",magestuff!AE$374))," " )</f>
        <v xml:space="preserve"> </v>
      </c>
      <c r="M205" s="1334"/>
      <c r="N205" s="1335" t="str">
        <f ca="1">IF(magestuff!AE$374&gt;0,INDIRECT(CONCATENATE("'Master Spell List'!m",magestuff!AE$374))," " )</f>
        <v xml:space="preserve"> </v>
      </c>
      <c r="O205" s="1406"/>
      <c r="P205" s="1333" t="str">
        <f ca="1">IF(magestuff!AE$374&gt;0,INDIRECT(CONCATENATE("'Master Spell List'!k",magestuff!AE$374))," " )</f>
        <v xml:space="preserve"> </v>
      </c>
      <c r="Q205" s="1334"/>
      <c r="R205" s="1333" t="str">
        <f ca="1">IF(magestuff!AE$374&gt;0,INDIRECT(CONCATENATE("'Master Spell List'!r",magestuff!AE$374))," " )</f>
        <v xml:space="preserve"> </v>
      </c>
      <c r="S205" s="1777"/>
      <c r="T205" s="1333" t="str">
        <f ca="1">IF(magestuff!AE$374&gt;0,INDIRECT(CONCATENATE("'Master Spell List'!s",magestuff!AE$374))," " )</f>
        <v xml:space="preserve"> </v>
      </c>
      <c r="U205" s="1776"/>
      <c r="V205" s="1777"/>
      <c r="W205" s="1775" t="str">
        <f ca="1">IF(magestuff!AE$374&gt;0,INDIRECT(CONCATENATE("'Master Spell List'!t",magestuff!AE$374))," " )</f>
        <v xml:space="preserve"> </v>
      </c>
      <c r="X205" s="1776"/>
      <c r="Y205" s="1777"/>
      <c r="Z205" s="1412"/>
      <c r="AA205" s="1371"/>
      <c r="AB205" s="1371"/>
      <c r="AC205" s="1371"/>
      <c r="AD205" s="1372"/>
      <c r="AE205"/>
      <c r="AF205" s="574"/>
      <c r="AG205">
        <v>1</v>
      </c>
      <c r="AH205"/>
      <c r="AI205"/>
      <c r="AJ205"/>
      <c r="AK205"/>
      <c r="AL205"/>
      <c r="AM205"/>
      <c r="AN205"/>
      <c r="AO205"/>
      <c r="AP205"/>
      <c r="AQ205">
        <v>1</v>
      </c>
      <c r="AR205" s="1333" t="str">
        <f ca="1">IF(magestuff!BY$374&gt;0,INDIRECT(CONCATENATE("'Master Spell List'!c",magestuff!BY$374))," " )</f>
        <v xml:space="preserve"> </v>
      </c>
      <c r="AS205" s="1334"/>
      <c r="AT205" s="1335" t="str">
        <f ca="1">IF(magestuff!BY$374&gt;0,INDIRECT(CONCATENATE("'Master Spell List'!m",magestuff!BY$374))," " )</f>
        <v xml:space="preserve"> </v>
      </c>
      <c r="AU205" s="1406"/>
      <c r="AV205" s="1333" t="str">
        <f ca="1">IF(magestuff!BY$374&gt;0,INDIRECT(CONCATENATE("'Master Spell List'!k",magestuff!BY$374))," " )</f>
        <v xml:space="preserve"> </v>
      </c>
      <c r="AW205" s="1334"/>
      <c r="AX205" s="1333" t="str">
        <f ca="1">IF(magestuff!BY$374&gt;0,INDIRECT(CONCATENATE("'Master Spell List'!r",magestuff!BY$374))," " )</f>
        <v xml:space="preserve"> </v>
      </c>
      <c r="AY205" s="1398"/>
      <c r="AZ205" s="1333" t="str">
        <f ca="1">IF(magestuff!BY$374&gt;0,INDIRECT(CONCATENATE("'Master Spell List'!s",magestuff!BY$374))," " )</f>
        <v xml:space="preserve"> </v>
      </c>
      <c r="BA205" s="1397"/>
      <c r="BB205" s="1398"/>
      <c r="BC205" s="1399" t="str">
        <f ca="1">IF(magestuff!BY$374&gt;0,INDIRECT(CONCATENATE("'Master Spell List'!t",magestuff!BY$374))," " )</f>
        <v xml:space="preserve"> </v>
      </c>
      <c r="BD205" s="1397"/>
      <c r="BE205" s="1398"/>
      <c r="BF205" s="1412"/>
      <c r="BG205" s="1371"/>
      <c r="BH205" s="1371"/>
      <c r="BI205" s="1371"/>
      <c r="BJ205" s="1372"/>
      <c r="BK205" s="10"/>
      <c r="BL205" s="572"/>
      <c r="BM205" s="1412"/>
      <c r="BN205" s="2467"/>
      <c r="BO205" s="2467"/>
      <c r="BP205" s="2467"/>
      <c r="BQ205" s="2206"/>
      <c r="BR205" s="1412"/>
      <c r="BS205" s="2469"/>
      <c r="BT205" s="2469"/>
      <c r="BU205" s="2469"/>
      <c r="BV205" s="2469"/>
      <c r="BW205" s="2470"/>
      <c r="BX205" s="1333"/>
      <c r="BY205" s="1334"/>
      <c r="BZ205" s="1335"/>
      <c r="CA205" s="1406"/>
      <c r="CB205" s="1333"/>
      <c r="CC205" s="1334"/>
      <c r="CD205" s="1333"/>
      <c r="CE205" s="1398"/>
      <c r="CF205" s="1333"/>
      <c r="CG205" s="1397"/>
      <c r="CH205" s="1398"/>
      <c r="CI205" s="1399"/>
      <c r="CJ205" s="1397"/>
      <c r="CK205" s="1398"/>
      <c r="CL205" s="1412"/>
      <c r="CM205" s="1371"/>
      <c r="CN205" s="1371"/>
      <c r="CO205" s="1371"/>
      <c r="CP205" s="1372"/>
    </row>
    <row r="206" spans="1:94" ht="15.75" customHeight="1" outlineLevel="1">
      <c r="A206">
        <v>1</v>
      </c>
      <c r="B206"/>
      <c r="C206"/>
      <c r="D206"/>
      <c r="E206"/>
      <c r="F206"/>
      <c r="G206"/>
      <c r="H206"/>
      <c r="I206"/>
      <c r="J206"/>
      <c r="K206">
        <v>1</v>
      </c>
      <c r="L206" s="1331" t="str">
        <f ca="1">IF(magestuff!AF$374&gt;0,INDIRECT(CONCATENATE("'Master Spell List'!c",magestuff!AF$374))," " )</f>
        <v xml:space="preserve"> </v>
      </c>
      <c r="M206" s="1332"/>
      <c r="N206" s="1404" t="str">
        <f ca="1">IF(magestuff!AF$374&gt;0,INDIRECT(CONCATENATE("'Master Spell List'!m",magestuff!AF$374))," " )</f>
        <v xml:space="preserve"> </v>
      </c>
      <c r="O206" s="1405"/>
      <c r="P206" s="1331" t="str">
        <f ca="1">IF(magestuff!AF$374&gt;0,INDIRECT(CONCATENATE("'Master Spell List'!k",magestuff!AF$374))," " )</f>
        <v xml:space="preserve"> </v>
      </c>
      <c r="Q206" s="1332"/>
      <c r="R206" s="1331" t="str">
        <f ca="1">IF(magestuff!AF$374&gt;0,INDIRECT(CONCATENATE("'Master Spell List'!r",magestuff!AF$374))," " )</f>
        <v xml:space="preserve"> </v>
      </c>
      <c r="S206" s="1770"/>
      <c r="T206" s="1331" t="str">
        <f ca="1">IF(magestuff!AF$374&gt;0,INDIRECT(CONCATENATE("'Master Spell List'!s",magestuff!AF$374))," " )</f>
        <v xml:space="preserve"> </v>
      </c>
      <c r="U206" s="1769"/>
      <c r="V206" s="1770"/>
      <c r="W206" s="1768" t="str">
        <f ca="1">IF(magestuff!AF$374&gt;0,INDIRECT(CONCATENATE("'Master Spell List'!t",magestuff!AF$374))," " )</f>
        <v xml:space="preserve"> </v>
      </c>
      <c r="X206" s="1769"/>
      <c r="Y206" s="1770"/>
      <c r="Z206" s="1401"/>
      <c r="AA206" s="1402"/>
      <c r="AB206" s="1402"/>
      <c r="AC206" s="1402"/>
      <c r="AD206" s="1403"/>
      <c r="AE206"/>
      <c r="AF206" s="574"/>
      <c r="AG206">
        <v>1</v>
      </c>
      <c r="AH206"/>
      <c r="AI206"/>
      <c r="AJ206"/>
      <c r="AK206"/>
      <c r="AL206"/>
      <c r="AM206"/>
      <c r="AN206"/>
      <c r="AO206"/>
      <c r="AP206"/>
      <c r="AQ206">
        <v>1</v>
      </c>
      <c r="AR206" s="1331" t="str">
        <f ca="1">IF(magestuff!BZ$374&gt;0,INDIRECT(CONCATENATE("'Master Spell List'!c",magestuff!BZ$374))," " )</f>
        <v xml:space="preserve"> </v>
      </c>
      <c r="AS206" s="1332"/>
      <c r="AT206" s="1404" t="str">
        <f ca="1">IF(magestuff!BZ$374&gt;0,INDIRECT(CONCATENATE("'Master Spell List'!m",magestuff!BZ$374))," " )</f>
        <v xml:space="preserve"> </v>
      </c>
      <c r="AU206" s="1405"/>
      <c r="AV206" s="1331" t="str">
        <f ca="1">IF(magestuff!BZ$374&gt;0,INDIRECT(CONCATENATE("'Master Spell List'!k",magestuff!BZ$374))," " )</f>
        <v xml:space="preserve"> </v>
      </c>
      <c r="AW206" s="1332"/>
      <c r="AX206" s="1331" t="str">
        <f ca="1">IF(magestuff!BZ$374&gt;0,INDIRECT(CONCATENATE("'Master Spell List'!r",magestuff!BZ$374))," " )</f>
        <v xml:space="preserve"> </v>
      </c>
      <c r="AY206" s="1394"/>
      <c r="AZ206" s="1331" t="str">
        <f ca="1">IF(magestuff!BZ$374&gt;0,INDIRECT(CONCATENATE("'Master Spell List'!s",magestuff!BZ$374))," " )</f>
        <v xml:space="preserve"> </v>
      </c>
      <c r="BA206" s="1393"/>
      <c r="BB206" s="1394"/>
      <c r="BC206" s="1395" t="str">
        <f ca="1">IF(magestuff!BZ$374&gt;0,INDIRECT(CONCATENATE("'Master Spell List'!t",magestuff!BZ$374))," " )</f>
        <v xml:space="preserve"> </v>
      </c>
      <c r="BD206" s="1393"/>
      <c r="BE206" s="1394"/>
      <c r="BF206" s="1401"/>
      <c r="BG206" s="1402"/>
      <c r="BH206" s="1402"/>
      <c r="BI206" s="1402"/>
      <c r="BJ206" s="1403"/>
      <c r="BK206" s="10"/>
      <c r="BL206" s="572"/>
      <c r="BM206" s="1370"/>
      <c r="BN206" s="2467"/>
      <c r="BO206" s="2467"/>
      <c r="BP206" s="2467"/>
      <c r="BQ206" s="2206"/>
      <c r="BR206" s="1370"/>
      <c r="BS206" s="2468"/>
      <c r="BT206" s="2468"/>
      <c r="BU206" s="2468"/>
      <c r="BV206" s="2468"/>
      <c r="BW206" s="1390"/>
      <c r="BX206" s="1331"/>
      <c r="BY206" s="1332"/>
      <c r="BZ206" s="1404"/>
      <c r="CA206" s="1405"/>
      <c r="CB206" s="1331"/>
      <c r="CC206" s="1332"/>
      <c r="CD206" s="1331"/>
      <c r="CE206" s="1394"/>
      <c r="CF206" s="1331"/>
      <c r="CG206" s="1393"/>
      <c r="CH206" s="1394"/>
      <c r="CI206" s="1395"/>
      <c r="CJ206" s="1393"/>
      <c r="CK206" s="1394"/>
      <c r="CL206" s="1401"/>
      <c r="CM206" s="1402"/>
      <c r="CN206" s="1402"/>
      <c r="CO206" s="1402"/>
      <c r="CP206" s="1403"/>
    </row>
    <row r="207" spans="1:94" ht="15.75" customHeight="1" outlineLevel="1">
      <c r="A207">
        <v>1</v>
      </c>
      <c r="B207"/>
      <c r="C207"/>
      <c r="D207"/>
      <c r="E207"/>
      <c r="F207"/>
      <c r="G207"/>
      <c r="H207"/>
      <c r="I207"/>
      <c r="J207"/>
      <c r="K207">
        <v>1</v>
      </c>
      <c r="L207" s="1333" t="str">
        <f ca="1">IF(magestuff!AG$374&gt;0,INDIRECT(CONCATENATE("'Master Spell List'!c",magestuff!AG$374))," " )</f>
        <v xml:space="preserve"> </v>
      </c>
      <c r="M207" s="1334"/>
      <c r="N207" s="1335" t="str">
        <f ca="1">IF(magestuff!AG$374&gt;0,INDIRECT(CONCATENATE("'Master Spell List'!m",magestuff!AG$374))," " )</f>
        <v xml:space="preserve"> </v>
      </c>
      <c r="O207" s="1406"/>
      <c r="P207" s="1333" t="str">
        <f ca="1">IF(magestuff!AG$374&gt;0,INDIRECT(CONCATENATE("'Master Spell List'!k",magestuff!AG$374))," " )</f>
        <v xml:space="preserve"> </v>
      </c>
      <c r="Q207" s="1334"/>
      <c r="R207" s="1333" t="str">
        <f ca="1">IF(magestuff!AG$374&gt;0,INDIRECT(CONCATENATE("'Master Spell List'!r",magestuff!AG$374))," " )</f>
        <v xml:space="preserve"> </v>
      </c>
      <c r="S207" s="1777"/>
      <c r="T207" s="1333" t="str">
        <f ca="1">IF(magestuff!AG$374&gt;0,INDIRECT(CONCATENATE("'Master Spell List'!s",magestuff!AG$374))," " )</f>
        <v xml:space="preserve"> </v>
      </c>
      <c r="U207" s="1776"/>
      <c r="V207" s="1777"/>
      <c r="W207" s="1775" t="str">
        <f ca="1">IF(magestuff!AG$374&gt;0,INDIRECT(CONCATENATE("'Master Spell List'!t",magestuff!AG$374))," " )</f>
        <v xml:space="preserve"> </v>
      </c>
      <c r="X207" s="1776"/>
      <c r="Y207" s="1777"/>
      <c r="Z207" s="1412"/>
      <c r="AA207" s="1371"/>
      <c r="AB207" s="1371"/>
      <c r="AC207" s="1371"/>
      <c r="AD207" s="1372"/>
      <c r="AE207"/>
      <c r="AF207" s="574"/>
      <c r="AG207">
        <v>1</v>
      </c>
      <c r="AH207"/>
      <c r="AI207"/>
      <c r="AJ207"/>
      <c r="AK207"/>
      <c r="AL207"/>
      <c r="AM207"/>
      <c r="AN207"/>
      <c r="AO207"/>
      <c r="AP207"/>
      <c r="AQ207">
        <v>1</v>
      </c>
      <c r="AR207" s="1333" t="str">
        <f ca="1">IF(magestuff!CA$374&gt;0,INDIRECT(CONCATENATE("'Master Spell List'!c",magestuff!CA$374))," " )</f>
        <v xml:space="preserve"> </v>
      </c>
      <c r="AS207" s="1334"/>
      <c r="AT207" s="1335" t="str">
        <f ca="1">IF(magestuff!CA$374&gt;0,INDIRECT(CONCATENATE("'Master Spell List'!m",magestuff!CA$374))," " )</f>
        <v xml:space="preserve"> </v>
      </c>
      <c r="AU207" s="1406"/>
      <c r="AV207" s="1333" t="str">
        <f ca="1">IF(magestuff!CA$374&gt;0,INDIRECT(CONCATENATE("'Master Spell List'!k",magestuff!CA$374))," " )</f>
        <v xml:space="preserve"> </v>
      </c>
      <c r="AW207" s="1334"/>
      <c r="AX207" s="1333" t="str">
        <f ca="1">IF(magestuff!CA$374&gt;0,INDIRECT(CONCATENATE("'Master Spell List'!r",magestuff!CA$374))," " )</f>
        <v xml:space="preserve"> </v>
      </c>
      <c r="AY207" s="1398"/>
      <c r="AZ207" s="1333" t="str">
        <f ca="1">IF(magestuff!CA$374&gt;0,INDIRECT(CONCATENATE("'Master Spell List'!s",magestuff!CA$374))," " )</f>
        <v xml:space="preserve"> </v>
      </c>
      <c r="BA207" s="1397"/>
      <c r="BB207" s="1398"/>
      <c r="BC207" s="1399" t="str">
        <f ca="1">IF(magestuff!CA$374&gt;0,INDIRECT(CONCATENATE("'Master Spell List'!t",magestuff!CA$374))," " )</f>
        <v xml:space="preserve"> </v>
      </c>
      <c r="BD207" s="1397"/>
      <c r="BE207" s="1398"/>
      <c r="BF207" s="1412"/>
      <c r="BG207" s="1371"/>
      <c r="BH207" s="1371"/>
      <c r="BI207" s="1371"/>
      <c r="BJ207" s="1372"/>
      <c r="BK207" s="10"/>
      <c r="BL207" s="572"/>
      <c r="BM207" s="1412"/>
      <c r="BN207" s="2467"/>
      <c r="BO207" s="2467"/>
      <c r="BP207" s="2467"/>
      <c r="BQ207" s="2206"/>
      <c r="BR207" s="1412"/>
      <c r="BS207" s="2469"/>
      <c r="BT207" s="2469"/>
      <c r="BU207" s="2469"/>
      <c r="BV207" s="2469"/>
      <c r="BW207" s="2470"/>
      <c r="BX207" s="1333"/>
      <c r="BY207" s="1334"/>
      <c r="BZ207" s="1335"/>
      <c r="CA207" s="1406"/>
      <c r="CB207" s="1333"/>
      <c r="CC207" s="1334"/>
      <c r="CD207" s="1333"/>
      <c r="CE207" s="1398"/>
      <c r="CF207" s="1333"/>
      <c r="CG207" s="1397"/>
      <c r="CH207" s="1398"/>
      <c r="CI207" s="1399"/>
      <c r="CJ207" s="1397"/>
      <c r="CK207" s="1398"/>
      <c r="CL207" s="1412"/>
      <c r="CM207" s="1371"/>
      <c r="CN207" s="1371"/>
      <c r="CO207" s="1371"/>
      <c r="CP207" s="1372"/>
    </row>
    <row r="208" spans="1:94" ht="15.75" customHeight="1" outlineLevel="1">
      <c r="A208">
        <v>1</v>
      </c>
      <c r="B208"/>
      <c r="C208"/>
      <c r="D208"/>
      <c r="E208"/>
      <c r="F208"/>
      <c r="G208"/>
      <c r="H208"/>
      <c r="I208"/>
      <c r="J208"/>
      <c r="K208">
        <v>1</v>
      </c>
      <c r="L208" s="1331" t="str">
        <f ca="1">IF(magestuff!AH$374&gt;0,INDIRECT(CONCATENATE("'Master Spell List'!c",magestuff!AH$374))," " )</f>
        <v xml:space="preserve"> </v>
      </c>
      <c r="M208" s="1332"/>
      <c r="N208" s="1404" t="str">
        <f ca="1">IF(magestuff!AH$374&gt;0,INDIRECT(CONCATENATE("'Master Spell List'!m",magestuff!AH$374))," " )</f>
        <v xml:space="preserve"> </v>
      </c>
      <c r="O208" s="1405"/>
      <c r="P208" s="1331" t="str">
        <f ca="1">IF(magestuff!AH$374&gt;0,INDIRECT(CONCATENATE("'Master Spell List'!k",magestuff!AH$374))," " )</f>
        <v xml:space="preserve"> </v>
      </c>
      <c r="Q208" s="1332"/>
      <c r="R208" s="1331" t="str">
        <f ca="1">IF(magestuff!AH$374&gt;0,INDIRECT(CONCATENATE("'Master Spell List'!r",magestuff!AH$374))," " )</f>
        <v xml:space="preserve"> </v>
      </c>
      <c r="S208" s="1770"/>
      <c r="T208" s="1331" t="str">
        <f ca="1">IF(magestuff!AH$374&gt;0,INDIRECT(CONCATENATE("'Master Spell List'!s",magestuff!AH$374))," " )</f>
        <v xml:space="preserve"> </v>
      </c>
      <c r="U208" s="1769"/>
      <c r="V208" s="1770"/>
      <c r="W208" s="1768" t="str">
        <f ca="1">IF(magestuff!AH$374&gt;0,INDIRECT(CONCATENATE("'Master Spell List'!t",magestuff!AH$374))," " )</f>
        <v xml:space="preserve"> </v>
      </c>
      <c r="X208" s="1769"/>
      <c r="Y208" s="1770"/>
      <c r="Z208" s="1401"/>
      <c r="AA208" s="1402"/>
      <c r="AB208" s="1402"/>
      <c r="AC208" s="1402"/>
      <c r="AD208" s="1403"/>
      <c r="AE208"/>
      <c r="AF208" s="574"/>
      <c r="AG208">
        <v>1</v>
      </c>
      <c r="AH208"/>
      <c r="AI208"/>
      <c r="AJ208"/>
      <c r="AK208"/>
      <c r="AL208"/>
      <c r="AM208"/>
      <c r="AN208"/>
      <c r="AO208"/>
      <c r="AP208"/>
      <c r="AQ208">
        <v>1</v>
      </c>
      <c r="AR208" s="1331" t="str">
        <f ca="1">IF(magestuff!CB$374&gt;0,INDIRECT(CONCATENATE("'Master Spell List'!c",magestuff!CB$374))," " )</f>
        <v xml:space="preserve"> </v>
      </c>
      <c r="AS208" s="1332"/>
      <c r="AT208" s="1404" t="str">
        <f ca="1">IF(magestuff!CB$374&gt;0,INDIRECT(CONCATENATE("'Master Spell List'!m",magestuff!CB$374))," " )</f>
        <v xml:space="preserve"> </v>
      </c>
      <c r="AU208" s="1405"/>
      <c r="AV208" s="1331" t="str">
        <f ca="1">IF(magestuff!CB$374&gt;0,INDIRECT(CONCATENATE("'Master Spell List'!k",magestuff!CB$374))," " )</f>
        <v xml:space="preserve"> </v>
      </c>
      <c r="AW208" s="1332"/>
      <c r="AX208" s="1331" t="str">
        <f ca="1">IF(magestuff!CB$374&gt;0,INDIRECT(CONCATENATE("'Master Spell List'!r",magestuff!CB$374))," " )</f>
        <v xml:space="preserve"> </v>
      </c>
      <c r="AY208" s="1394"/>
      <c r="AZ208" s="1331" t="str">
        <f ca="1">IF(magestuff!CB$374&gt;0,INDIRECT(CONCATENATE("'Master Spell List'!s",magestuff!CB$374))," " )</f>
        <v xml:space="preserve"> </v>
      </c>
      <c r="BA208" s="1393"/>
      <c r="BB208" s="1394"/>
      <c r="BC208" s="1395" t="str">
        <f ca="1">IF(magestuff!CB$374&gt;0,INDIRECT(CONCATENATE("'Master Spell List'!t",magestuff!CB$374))," " )</f>
        <v xml:space="preserve"> </v>
      </c>
      <c r="BD208" s="1393"/>
      <c r="BE208" s="1394"/>
      <c r="BF208" s="1401"/>
      <c r="BG208" s="1402"/>
      <c r="BH208" s="1402"/>
      <c r="BI208" s="1402"/>
      <c r="BJ208" s="1403"/>
      <c r="BK208" s="10"/>
      <c r="BL208" s="572"/>
      <c r="BM208" s="1370"/>
      <c r="BN208" s="2467"/>
      <c r="BO208" s="2467"/>
      <c r="BP208" s="2467"/>
      <c r="BQ208" s="2206"/>
      <c r="BR208" s="1370"/>
      <c r="BS208" s="2468"/>
      <c r="BT208" s="2468"/>
      <c r="BU208" s="2468"/>
      <c r="BV208" s="2468"/>
      <c r="BW208" s="1390"/>
      <c r="BX208" s="1331"/>
      <c r="BY208" s="1332"/>
      <c r="BZ208" s="1404"/>
      <c r="CA208" s="1405"/>
      <c r="CB208" s="1331"/>
      <c r="CC208" s="1332"/>
      <c r="CD208" s="1331"/>
      <c r="CE208" s="1394"/>
      <c r="CF208" s="1331"/>
      <c r="CG208" s="1393"/>
      <c r="CH208" s="1394"/>
      <c r="CI208" s="1395"/>
      <c r="CJ208" s="1393"/>
      <c r="CK208" s="1394"/>
      <c r="CL208" s="1401"/>
      <c r="CM208" s="1402"/>
      <c r="CN208" s="1402"/>
      <c r="CO208" s="1402"/>
      <c r="CP208" s="1403"/>
    </row>
    <row r="209" spans="1:94" ht="15.75" customHeight="1" outlineLevel="1">
      <c r="A209">
        <v>1</v>
      </c>
      <c r="B209"/>
      <c r="C209"/>
      <c r="D209"/>
      <c r="E209"/>
      <c r="F209"/>
      <c r="G209"/>
      <c r="H209"/>
      <c r="I209"/>
      <c r="J209"/>
      <c r="K209">
        <v>1</v>
      </c>
      <c r="L209" s="1333" t="str">
        <f ca="1">IF(magestuff!AI$374&gt;0,INDIRECT(CONCATENATE("'Master Spell List'!c",magestuff!AI$374))," " )</f>
        <v xml:space="preserve"> </v>
      </c>
      <c r="M209" s="1334"/>
      <c r="N209" s="1335" t="str">
        <f ca="1">IF(magestuff!AI$374&gt;0,INDIRECT(CONCATENATE("'Master Spell List'!m",magestuff!AI$374))," " )</f>
        <v xml:space="preserve"> </v>
      </c>
      <c r="O209" s="1406"/>
      <c r="P209" s="1333" t="str">
        <f ca="1">IF(magestuff!AI$374&gt;0,INDIRECT(CONCATENATE("'Master Spell List'!k",magestuff!AI$374))," " )</f>
        <v xml:space="preserve"> </v>
      </c>
      <c r="Q209" s="1334"/>
      <c r="R209" s="1333" t="str">
        <f ca="1">IF(magestuff!AI$374&gt;0,INDIRECT(CONCATENATE("'Master Spell List'!r",magestuff!AI$374))," " )</f>
        <v xml:space="preserve"> </v>
      </c>
      <c r="S209" s="1777"/>
      <c r="T209" s="1333" t="str">
        <f ca="1">IF(magestuff!AI$374&gt;0,INDIRECT(CONCATENATE("'Master Spell List'!s",magestuff!AI$374))," " )</f>
        <v xml:space="preserve"> </v>
      </c>
      <c r="U209" s="1776"/>
      <c r="V209" s="1777"/>
      <c r="W209" s="1775" t="str">
        <f ca="1">IF(magestuff!AI$374&gt;0,INDIRECT(CONCATENATE("'Master Spell List'!t",magestuff!AI$374))," " )</f>
        <v xml:space="preserve"> </v>
      </c>
      <c r="X209" s="1776"/>
      <c r="Y209" s="1777"/>
      <c r="Z209" s="1412"/>
      <c r="AA209" s="1371"/>
      <c r="AB209" s="1371"/>
      <c r="AC209" s="1371"/>
      <c r="AD209" s="1372"/>
      <c r="AE209"/>
      <c r="AF209" s="574"/>
      <c r="AG209">
        <v>1</v>
      </c>
      <c r="AH209"/>
      <c r="AI209"/>
      <c r="AJ209"/>
      <c r="AK209"/>
      <c r="AL209"/>
      <c r="AM209"/>
      <c r="AN209"/>
      <c r="AO209"/>
      <c r="AP209"/>
      <c r="AQ209">
        <v>1</v>
      </c>
      <c r="AR209" s="1333" t="str">
        <f ca="1">IF(magestuff!CC$374&gt;0,INDIRECT(CONCATENATE("'Master Spell List'!c",magestuff!CC$374))," " )</f>
        <v xml:space="preserve"> </v>
      </c>
      <c r="AS209" s="1334"/>
      <c r="AT209" s="1335" t="str">
        <f ca="1">IF(magestuff!CC$374&gt;0,INDIRECT(CONCATENATE("'Master Spell List'!m",magestuff!CC$374))," " )</f>
        <v xml:space="preserve"> </v>
      </c>
      <c r="AU209" s="1406"/>
      <c r="AV209" s="1333" t="str">
        <f ca="1">IF(magestuff!CC$374&gt;0,INDIRECT(CONCATENATE("'Master Spell List'!k",magestuff!CC$374))," " )</f>
        <v xml:space="preserve"> </v>
      </c>
      <c r="AW209" s="1334"/>
      <c r="AX209" s="1333" t="str">
        <f ca="1">IF(magestuff!CC$374&gt;0,INDIRECT(CONCATENATE("'Master Spell List'!r",magestuff!CC$374))," " )</f>
        <v xml:space="preserve"> </v>
      </c>
      <c r="AY209" s="1398"/>
      <c r="AZ209" s="1333" t="str">
        <f ca="1">IF(magestuff!CC$374&gt;0,INDIRECT(CONCATENATE("'Master Spell List'!s",magestuff!CC$374))," " )</f>
        <v xml:space="preserve"> </v>
      </c>
      <c r="BA209" s="1397"/>
      <c r="BB209" s="1398"/>
      <c r="BC209" s="1399" t="str">
        <f ca="1">IF(magestuff!CC$374&gt;0,INDIRECT(CONCATENATE("'Master Spell List'!t",magestuff!CC$374))," " )</f>
        <v xml:space="preserve"> </v>
      </c>
      <c r="BD209" s="1397"/>
      <c r="BE209" s="1398"/>
      <c r="BF209" s="1412"/>
      <c r="BG209" s="1371"/>
      <c r="BH209" s="1371"/>
      <c r="BI209" s="1371"/>
      <c r="BJ209" s="1372"/>
      <c r="BK209" s="10"/>
      <c r="BL209" s="572"/>
      <c r="BM209" s="1412"/>
      <c r="BN209" s="2467"/>
      <c r="BO209" s="2467"/>
      <c r="BP209" s="2467"/>
      <c r="BQ209" s="2206"/>
      <c r="BR209" s="1412"/>
      <c r="BS209" s="2469"/>
      <c r="BT209" s="2469"/>
      <c r="BU209" s="2469"/>
      <c r="BV209" s="2469"/>
      <c r="BW209" s="2470"/>
      <c r="BX209" s="1333"/>
      <c r="BY209" s="1334"/>
      <c r="BZ209" s="1335"/>
      <c r="CA209" s="1406"/>
      <c r="CB209" s="1333"/>
      <c r="CC209" s="1334"/>
      <c r="CD209" s="1333"/>
      <c r="CE209" s="1398"/>
      <c r="CF209" s="1333"/>
      <c r="CG209" s="1397"/>
      <c r="CH209" s="1398"/>
      <c r="CI209" s="1399"/>
      <c r="CJ209" s="1397"/>
      <c r="CK209" s="1398"/>
      <c r="CL209" s="1412"/>
      <c r="CM209" s="1371"/>
      <c r="CN209" s="1371"/>
      <c r="CO209" s="1371"/>
      <c r="CP209" s="1372"/>
    </row>
    <row r="210" spans="1:94" ht="15.75" customHeight="1" outlineLevel="1">
      <c r="A210">
        <v>1</v>
      </c>
      <c r="B210"/>
      <c r="C210"/>
      <c r="D210"/>
      <c r="E210"/>
      <c r="F210"/>
      <c r="G210"/>
      <c r="H210"/>
      <c r="I210"/>
      <c r="J210"/>
      <c r="K210">
        <v>1</v>
      </c>
      <c r="L210" s="1331" t="str">
        <f ca="1">IF(magestuff!AJ$374&gt;0,INDIRECT(CONCATENATE("'Master Spell List'!c",magestuff!AJ$374))," " )</f>
        <v xml:space="preserve"> </v>
      </c>
      <c r="M210" s="1332"/>
      <c r="N210" s="1404" t="str">
        <f ca="1">IF(magestuff!AJ$374&gt;0,INDIRECT(CONCATENATE("'Master Spell List'!m",magestuff!AJ$374))," " )</f>
        <v xml:space="preserve"> </v>
      </c>
      <c r="O210" s="1405"/>
      <c r="P210" s="1331" t="str">
        <f ca="1">IF(magestuff!AJ$374&gt;0,INDIRECT(CONCATENATE("'Master Spell List'!k",magestuff!AJ$374))," " )</f>
        <v xml:space="preserve"> </v>
      </c>
      <c r="Q210" s="1332"/>
      <c r="R210" s="1331" t="str">
        <f ca="1">IF(magestuff!AJ$374&gt;0,INDIRECT(CONCATENATE("'Master Spell List'!r",magestuff!AJ$374))," " )</f>
        <v xml:space="preserve"> </v>
      </c>
      <c r="S210" s="1770"/>
      <c r="T210" s="1331" t="str">
        <f ca="1">IF(magestuff!AJ$374&gt;0,INDIRECT(CONCATENATE("'Master Spell List'!s",magestuff!AJ$374))," " )</f>
        <v xml:space="preserve"> </v>
      </c>
      <c r="U210" s="1769"/>
      <c r="V210" s="1770"/>
      <c r="W210" s="1768" t="str">
        <f ca="1">IF(magestuff!AJ$374&gt;0,INDIRECT(CONCATENATE("'Master Spell List'!t",magestuff!AJ$374))," " )</f>
        <v xml:space="preserve"> </v>
      </c>
      <c r="X210" s="1769"/>
      <c r="Y210" s="1770"/>
      <c r="Z210" s="1370"/>
      <c r="AA210" s="1371"/>
      <c r="AB210" s="1371"/>
      <c r="AC210" s="1371"/>
      <c r="AD210" s="1372"/>
      <c r="AE210"/>
      <c r="AF210" s="574"/>
      <c r="AG210">
        <v>1</v>
      </c>
      <c r="AH210"/>
      <c r="AI210"/>
      <c r="AJ210"/>
      <c r="AK210"/>
      <c r="AL210"/>
      <c r="AM210"/>
      <c r="AN210"/>
      <c r="AO210"/>
      <c r="AP210"/>
      <c r="AQ210">
        <v>1</v>
      </c>
      <c r="AR210" s="1331" t="str">
        <f ca="1">IF(magestuff!CD$374&gt;0,INDIRECT(CONCATENATE("'Master Spell List'!c",magestuff!CD$374))," " )</f>
        <v xml:space="preserve"> </v>
      </c>
      <c r="AS210" s="1332"/>
      <c r="AT210" s="1404" t="str">
        <f ca="1">IF(magestuff!CD$374&gt;0,INDIRECT(CONCATENATE("'Master Spell List'!m",magestuff!CD$374))," " )</f>
        <v xml:space="preserve"> </v>
      </c>
      <c r="AU210" s="1405"/>
      <c r="AV210" s="1331" t="str">
        <f ca="1">IF(magestuff!CD$374&gt;0,INDIRECT(CONCATENATE("'Master Spell List'!k",magestuff!CD$374))," " )</f>
        <v xml:space="preserve"> </v>
      </c>
      <c r="AW210" s="1332"/>
      <c r="AX210" s="1331" t="str">
        <f ca="1">IF(magestuff!CD$374&gt;0,INDIRECT(CONCATENATE("'Master Spell List'!r",magestuff!CD$374))," " )</f>
        <v xml:space="preserve"> </v>
      </c>
      <c r="AY210" s="1394"/>
      <c r="AZ210" s="1331" t="str">
        <f ca="1">IF(magestuff!CD$374&gt;0,INDIRECT(CONCATENATE("'Master Spell List'!s",magestuff!CD$374))," " )</f>
        <v xml:space="preserve"> </v>
      </c>
      <c r="BA210" s="1393"/>
      <c r="BB210" s="1394"/>
      <c r="BC210" s="1395" t="str">
        <f ca="1">IF(magestuff!CD$374&gt;0,INDIRECT(CONCATENATE("'Master Spell List'!t",magestuff!CD$374))," " )</f>
        <v xml:space="preserve"> </v>
      </c>
      <c r="BD210" s="1393"/>
      <c r="BE210" s="1394"/>
      <c r="BF210" s="1370"/>
      <c r="BG210" s="1371"/>
      <c r="BH210" s="1371"/>
      <c r="BI210" s="1371"/>
      <c r="BJ210" s="1372"/>
      <c r="BK210" s="10"/>
      <c r="BL210" s="572"/>
      <c r="BM210" s="1370"/>
      <c r="BN210" s="2467"/>
      <c r="BO210" s="2467"/>
      <c r="BP210" s="2467"/>
      <c r="BQ210" s="2206"/>
      <c r="BR210" s="1370"/>
      <c r="BS210" s="2468"/>
      <c r="BT210" s="2468"/>
      <c r="BU210" s="2468"/>
      <c r="BV210" s="2468"/>
      <c r="BW210" s="1390"/>
      <c r="BX210" s="1331"/>
      <c r="BY210" s="1332"/>
      <c r="BZ210" s="1404"/>
      <c r="CA210" s="1405"/>
      <c r="CB210" s="1331"/>
      <c r="CC210" s="1332"/>
      <c r="CD210" s="1331"/>
      <c r="CE210" s="1394"/>
      <c r="CF210" s="1331"/>
      <c r="CG210" s="1393"/>
      <c r="CH210" s="1394"/>
      <c r="CI210" s="1395"/>
      <c r="CJ210" s="1393"/>
      <c r="CK210" s="1394"/>
      <c r="CL210" s="1370"/>
      <c r="CM210" s="1371"/>
      <c r="CN210" s="1371"/>
      <c r="CO210" s="1371"/>
      <c r="CP210" s="1372"/>
    </row>
    <row r="211" spans="1:94" ht="15.75" customHeight="1" outlineLevel="1">
      <c r="A211">
        <v>1</v>
      </c>
      <c r="B211"/>
      <c r="C211"/>
      <c r="D211"/>
      <c r="E211"/>
      <c r="F211"/>
      <c r="G211"/>
      <c r="H211"/>
      <c r="I211"/>
      <c r="J211"/>
      <c r="K211">
        <v>1</v>
      </c>
      <c r="L211" s="1333" t="str">
        <f ca="1">IF(magestuff!AK$374&gt;0,INDIRECT(CONCATENATE("'Master Spell List'!c",magestuff!AK$374))," " )</f>
        <v xml:space="preserve"> </v>
      </c>
      <c r="M211" s="1334"/>
      <c r="N211" s="1335" t="str">
        <f ca="1">IF(magestuff!AK$374&gt;0,INDIRECT(CONCATENATE("'Master Spell List'!m",magestuff!AK$374))," " )</f>
        <v xml:space="preserve"> </v>
      </c>
      <c r="O211" s="1406"/>
      <c r="P211" s="1333" t="str">
        <f ca="1">IF(magestuff!AK$374&gt;0,INDIRECT(CONCATENATE("'Master Spell List'!k",magestuff!AK$374))," " )</f>
        <v xml:space="preserve"> </v>
      </c>
      <c r="Q211" s="1334"/>
      <c r="R211" s="1333" t="str">
        <f ca="1">IF(magestuff!AK$374&gt;0,INDIRECT(CONCATENATE("'Master Spell List'!r",magestuff!AK$374))," " )</f>
        <v xml:space="preserve"> </v>
      </c>
      <c r="S211" s="1777"/>
      <c r="T211" s="1333" t="str">
        <f ca="1">IF(magestuff!AK$374&gt;0,INDIRECT(CONCATENATE("'Master Spell List'!s",magestuff!AK$374))," " )</f>
        <v xml:space="preserve"> </v>
      </c>
      <c r="U211" s="1776"/>
      <c r="V211" s="1777"/>
      <c r="W211" s="1775" t="str">
        <f ca="1">IF(magestuff!AK$374&gt;0,INDIRECT(CONCATENATE("'Master Spell List'!t",magestuff!AK$374))," " )</f>
        <v xml:space="preserve"> </v>
      </c>
      <c r="X211" s="1776"/>
      <c r="Y211" s="1777"/>
      <c r="Z211" s="1412"/>
      <c r="AA211" s="1371"/>
      <c r="AB211" s="1371"/>
      <c r="AC211" s="1371"/>
      <c r="AD211" s="1372"/>
      <c r="AE211"/>
      <c r="AF211" s="574"/>
      <c r="AG211">
        <v>1</v>
      </c>
      <c r="AH211"/>
      <c r="AI211"/>
      <c r="AJ211"/>
      <c r="AK211"/>
      <c r="AL211"/>
      <c r="AM211"/>
      <c r="AN211"/>
      <c r="AO211"/>
      <c r="AP211"/>
      <c r="AQ211">
        <v>1</v>
      </c>
      <c r="AR211" s="1333" t="str">
        <f ca="1">IF(magestuff!CE$374&gt;0,INDIRECT(CONCATENATE("'Master Spell List'!c",magestuff!CE$374))," " )</f>
        <v xml:space="preserve"> </v>
      </c>
      <c r="AS211" s="1334"/>
      <c r="AT211" s="1335" t="str">
        <f ca="1">IF(magestuff!CE$374&gt;0,INDIRECT(CONCATENATE("'Master Spell List'!m",magestuff!CE$374))," " )</f>
        <v xml:space="preserve"> </v>
      </c>
      <c r="AU211" s="1406"/>
      <c r="AV211" s="1333" t="str">
        <f ca="1">IF(magestuff!CE$374&gt;0,INDIRECT(CONCATENATE("'Master Spell List'!k",magestuff!CE$374))," " )</f>
        <v xml:space="preserve"> </v>
      </c>
      <c r="AW211" s="1334"/>
      <c r="AX211" s="1333" t="str">
        <f ca="1">IF(magestuff!CE$374&gt;0,INDIRECT(CONCATENATE("'Master Spell List'!r",magestuff!CE$374))," " )</f>
        <v xml:space="preserve"> </v>
      </c>
      <c r="AY211" s="1398"/>
      <c r="AZ211" s="1333" t="str">
        <f ca="1">IF(magestuff!CE$374&gt;0,INDIRECT(CONCATENATE("'Master Spell List'!s",magestuff!CE$374))," " )</f>
        <v xml:space="preserve"> </v>
      </c>
      <c r="BA211" s="1397"/>
      <c r="BB211" s="1398"/>
      <c r="BC211" s="1399" t="str">
        <f ca="1">IF(magestuff!CE$374&gt;0,INDIRECT(CONCATENATE("'Master Spell List'!t",magestuff!CE$374))," " )</f>
        <v xml:space="preserve"> </v>
      </c>
      <c r="BD211" s="1397"/>
      <c r="BE211" s="1398"/>
      <c r="BF211" s="1412"/>
      <c r="BG211" s="1371"/>
      <c r="BH211" s="1371"/>
      <c r="BI211" s="1371"/>
      <c r="BJ211" s="1372"/>
      <c r="BK211" s="10"/>
      <c r="BL211" s="572"/>
      <c r="BM211" s="1412"/>
      <c r="BN211" s="2467"/>
      <c r="BO211" s="2467"/>
      <c r="BP211" s="2467"/>
      <c r="BQ211" s="2206"/>
      <c r="BR211" s="1412"/>
      <c r="BS211" s="2469"/>
      <c r="BT211" s="2469"/>
      <c r="BU211" s="2469"/>
      <c r="BV211" s="2469"/>
      <c r="BW211" s="2470"/>
      <c r="BX211" s="1333"/>
      <c r="BY211" s="1334"/>
      <c r="BZ211" s="1335"/>
      <c r="CA211" s="1406"/>
      <c r="CB211" s="1333"/>
      <c r="CC211" s="1334"/>
      <c r="CD211" s="1333"/>
      <c r="CE211" s="1398"/>
      <c r="CF211" s="1333"/>
      <c r="CG211" s="1397"/>
      <c r="CH211" s="1398"/>
      <c r="CI211" s="1399"/>
      <c r="CJ211" s="1397"/>
      <c r="CK211" s="1398"/>
      <c r="CL211" s="1412"/>
      <c r="CM211" s="1371"/>
      <c r="CN211" s="1371"/>
      <c r="CO211" s="1371"/>
      <c r="CP211" s="1372"/>
    </row>
    <row r="212" spans="1:94" ht="15.75" customHeight="1" outlineLevel="1">
      <c r="A212">
        <v>1</v>
      </c>
      <c r="B212"/>
      <c r="C212"/>
      <c r="D212"/>
      <c r="E212"/>
      <c r="F212"/>
      <c r="G212"/>
      <c r="H212"/>
      <c r="I212"/>
      <c r="J212"/>
      <c r="K212">
        <v>1</v>
      </c>
      <c r="L212" s="1331" t="str">
        <f ca="1">IF(magestuff!AL$374&gt;0,INDIRECT(CONCATENATE("'Master Spell List'!c",magestuff!AL$374))," " )</f>
        <v xml:space="preserve"> </v>
      </c>
      <c r="M212" s="1332"/>
      <c r="N212" s="1404" t="str">
        <f ca="1">IF(magestuff!AL$374&gt;0,INDIRECT(CONCATENATE("'Master Spell List'!m",magestuff!AL$374))," " )</f>
        <v xml:space="preserve"> </v>
      </c>
      <c r="O212" s="1405"/>
      <c r="P212" s="1331" t="str">
        <f ca="1">IF(magestuff!AL$374&gt;0,INDIRECT(CONCATENATE("'Master Spell List'!k",magestuff!AL$374))," " )</f>
        <v xml:space="preserve"> </v>
      </c>
      <c r="Q212" s="1332"/>
      <c r="R212" s="1331" t="str">
        <f ca="1">IF(magestuff!AL$374&gt;0,INDIRECT(CONCATENATE("'Master Spell List'!r",magestuff!AL$374))," " )</f>
        <v xml:space="preserve"> </v>
      </c>
      <c r="S212" s="1770"/>
      <c r="T212" s="1331" t="str">
        <f ca="1">IF(magestuff!AL$374&gt;0,INDIRECT(CONCATENATE("'Master Spell List'!s",magestuff!AL$374))," " )</f>
        <v xml:space="preserve"> </v>
      </c>
      <c r="U212" s="1769"/>
      <c r="V212" s="1770"/>
      <c r="W212" s="1768" t="str">
        <f ca="1">IF(magestuff!AL$374&gt;0,INDIRECT(CONCATENATE("'Master Spell List'!t",magestuff!AL$374))," " )</f>
        <v xml:space="preserve"> </v>
      </c>
      <c r="X212" s="1769"/>
      <c r="Y212" s="1770"/>
      <c r="Z212" s="1370"/>
      <c r="AA212" s="1371"/>
      <c r="AB212" s="1371"/>
      <c r="AC212" s="1371"/>
      <c r="AD212" s="1372"/>
      <c r="AE212"/>
      <c r="AF212" s="574"/>
      <c r="AG212">
        <v>1</v>
      </c>
      <c r="AH212"/>
      <c r="AI212"/>
      <c r="AJ212"/>
      <c r="AK212"/>
      <c r="AL212"/>
      <c r="AM212"/>
      <c r="AN212"/>
      <c r="AO212"/>
      <c r="AP212"/>
      <c r="AQ212">
        <v>1</v>
      </c>
      <c r="AR212" s="1331" t="str">
        <f ca="1">IF(magestuff!CF$374&gt;0,INDIRECT(CONCATENATE("'Master Spell List'!c",magestuff!CF$374))," " )</f>
        <v xml:space="preserve"> </v>
      </c>
      <c r="AS212" s="1332"/>
      <c r="AT212" s="1404" t="str">
        <f ca="1">IF(magestuff!CF$374&gt;0,INDIRECT(CONCATENATE("'Master Spell List'!m",magestuff!CF$374))," " )</f>
        <v xml:space="preserve"> </v>
      </c>
      <c r="AU212" s="1405"/>
      <c r="AV212" s="1331" t="str">
        <f ca="1">IF(magestuff!CF$374&gt;0,INDIRECT(CONCATENATE("'Master Spell List'!k",magestuff!CF$374))," " )</f>
        <v xml:space="preserve"> </v>
      </c>
      <c r="AW212" s="1332"/>
      <c r="AX212" s="1331" t="str">
        <f ca="1">IF(magestuff!CF$374&gt;0,INDIRECT(CONCATENATE("'Master Spell List'!r",magestuff!CF$374))," " )</f>
        <v xml:space="preserve"> </v>
      </c>
      <c r="AY212" s="1394"/>
      <c r="AZ212" s="1331" t="str">
        <f ca="1">IF(magestuff!CF$374&gt;0,INDIRECT(CONCATENATE("'Master Spell List'!s",magestuff!CF$374))," " )</f>
        <v xml:space="preserve"> </v>
      </c>
      <c r="BA212" s="1393"/>
      <c r="BB212" s="1394"/>
      <c r="BC212" s="1395" t="str">
        <f ca="1">IF(magestuff!CF$374&gt;0,INDIRECT(CONCATENATE("'Master Spell List'!t",magestuff!CF$374))," " )</f>
        <v xml:space="preserve"> </v>
      </c>
      <c r="BD212" s="1393"/>
      <c r="BE212" s="1394"/>
      <c r="BF212" s="1370"/>
      <c r="BG212" s="1371"/>
      <c r="BH212" s="1371"/>
      <c r="BI212" s="1371"/>
      <c r="BJ212" s="1372"/>
      <c r="BK212" s="10"/>
      <c r="BL212" s="572"/>
      <c r="BM212" s="1370"/>
      <c r="BN212" s="2467"/>
      <c r="BO212" s="2467"/>
      <c r="BP212" s="2467"/>
      <c r="BQ212" s="2206"/>
      <c r="BR212" s="1370"/>
      <c r="BS212" s="2468"/>
      <c r="BT212" s="2468"/>
      <c r="BU212" s="2468"/>
      <c r="BV212" s="2468"/>
      <c r="BW212" s="1390"/>
      <c r="BX212" s="1331"/>
      <c r="BY212" s="1332"/>
      <c r="BZ212" s="1404"/>
      <c r="CA212" s="1405"/>
      <c r="CB212" s="1331"/>
      <c r="CC212" s="1332"/>
      <c r="CD212" s="1331"/>
      <c r="CE212" s="1394"/>
      <c r="CF212" s="1331"/>
      <c r="CG212" s="1393"/>
      <c r="CH212" s="1394"/>
      <c r="CI212" s="1395"/>
      <c r="CJ212" s="1393"/>
      <c r="CK212" s="1394"/>
      <c r="CL212" s="1370"/>
      <c r="CM212" s="1371"/>
      <c r="CN212" s="1371"/>
      <c r="CO212" s="1371"/>
      <c r="CP212" s="1372"/>
    </row>
    <row r="213" spans="1:94" ht="15.75" customHeight="1" outlineLevel="1">
      <c r="A213">
        <v>1</v>
      </c>
      <c r="B213"/>
      <c r="C213"/>
      <c r="D213"/>
      <c r="E213"/>
      <c r="F213"/>
      <c r="G213"/>
      <c r="H213"/>
      <c r="I213"/>
      <c r="J213"/>
      <c r="K213">
        <v>1</v>
      </c>
      <c r="L213" s="1333" t="str">
        <f ca="1">IF(magestuff!AM$374&gt;0,INDIRECT(CONCATENATE("'Master Spell List'!c",magestuff!AM$374))," " )</f>
        <v xml:space="preserve"> </v>
      </c>
      <c r="M213" s="1334"/>
      <c r="N213" s="1335" t="str">
        <f ca="1">IF(magestuff!AM$374&gt;0,INDIRECT(CONCATENATE("'Master Spell List'!m",magestuff!AM$374))," " )</f>
        <v xml:space="preserve"> </v>
      </c>
      <c r="O213" s="1406"/>
      <c r="P213" s="1333" t="str">
        <f ca="1">IF(magestuff!AM$374&gt;0,INDIRECT(CONCATENATE("'Master Spell List'!k",magestuff!AM$374))," " )</f>
        <v xml:space="preserve"> </v>
      </c>
      <c r="Q213" s="1334"/>
      <c r="R213" s="1333" t="str">
        <f ca="1">IF(magestuff!AM$374&gt;0,INDIRECT(CONCATENATE("'Master Spell List'!r",magestuff!AM$374))," " )</f>
        <v xml:space="preserve"> </v>
      </c>
      <c r="S213" s="1777"/>
      <c r="T213" s="1333" t="str">
        <f ca="1">IF(magestuff!AM$374&gt;0,INDIRECT(CONCATENATE("'Master Spell List'!s",magestuff!AM$374))," " )</f>
        <v xml:space="preserve"> </v>
      </c>
      <c r="U213" s="1776"/>
      <c r="V213" s="1777"/>
      <c r="W213" s="1775" t="str">
        <f ca="1">IF(magestuff!AM$374&gt;0,INDIRECT(CONCATENATE("'Master Spell List'!t",magestuff!AM$374))," " )</f>
        <v xml:space="preserve"> </v>
      </c>
      <c r="X213" s="1776"/>
      <c r="Y213" s="1777"/>
      <c r="Z213" s="1412"/>
      <c r="AA213" s="1371"/>
      <c r="AB213" s="1371"/>
      <c r="AC213" s="1371"/>
      <c r="AD213" s="1372"/>
      <c r="AE213"/>
      <c r="AF213" s="574"/>
      <c r="AG213">
        <v>1</v>
      </c>
      <c r="AH213"/>
      <c r="AI213"/>
      <c r="AJ213"/>
      <c r="AK213"/>
      <c r="AL213"/>
      <c r="AM213"/>
      <c r="AN213"/>
      <c r="AO213"/>
      <c r="AP213"/>
      <c r="AQ213">
        <v>1</v>
      </c>
      <c r="AR213" s="1333" t="str">
        <f ca="1">IF(magestuff!CG$374&gt;0,INDIRECT(CONCATENATE("'Master Spell List'!c",magestuff!CG$374))," " )</f>
        <v xml:space="preserve"> </v>
      </c>
      <c r="AS213" s="1334"/>
      <c r="AT213" s="1335" t="str">
        <f ca="1">IF(magestuff!CG$374&gt;0,INDIRECT(CONCATENATE("'Master Spell List'!m",magestuff!CG$374))," " )</f>
        <v xml:space="preserve"> </v>
      </c>
      <c r="AU213" s="1406"/>
      <c r="AV213" s="1333" t="str">
        <f ca="1">IF(magestuff!CG$374&gt;0,INDIRECT(CONCATENATE("'Master Spell List'!k",magestuff!CG$374))," " )</f>
        <v xml:space="preserve"> </v>
      </c>
      <c r="AW213" s="1334"/>
      <c r="AX213" s="1333" t="str">
        <f ca="1">IF(magestuff!CG$374&gt;0,INDIRECT(CONCATENATE("'Master Spell List'!r",magestuff!CG$374))," " )</f>
        <v xml:space="preserve"> </v>
      </c>
      <c r="AY213" s="1398"/>
      <c r="AZ213" s="1333" t="str">
        <f ca="1">IF(magestuff!CG$374&gt;0,INDIRECT(CONCATENATE("'Master Spell List'!s",magestuff!CG$374))," " )</f>
        <v xml:space="preserve"> </v>
      </c>
      <c r="BA213" s="1397"/>
      <c r="BB213" s="1398"/>
      <c r="BC213" s="1399" t="str">
        <f ca="1">IF(magestuff!CG$374&gt;0,INDIRECT(CONCATENATE("'Master Spell List'!t",magestuff!CG$374))," " )</f>
        <v xml:space="preserve"> </v>
      </c>
      <c r="BD213" s="1397"/>
      <c r="BE213" s="1398"/>
      <c r="BF213" s="1412"/>
      <c r="BG213" s="1371"/>
      <c r="BH213" s="1371"/>
      <c r="BI213" s="1371"/>
      <c r="BJ213" s="1372"/>
      <c r="BK213" s="10"/>
      <c r="BL213" s="572"/>
      <c r="BM213" s="1412"/>
      <c r="BN213" s="2467"/>
      <c r="BO213" s="2467"/>
      <c r="BP213" s="2467"/>
      <c r="BQ213" s="2206"/>
      <c r="BR213" s="1412"/>
      <c r="BS213" s="2469"/>
      <c r="BT213" s="2469"/>
      <c r="BU213" s="2469"/>
      <c r="BV213" s="2469"/>
      <c r="BW213" s="2470"/>
      <c r="BX213" s="1333"/>
      <c r="BY213" s="1334"/>
      <c r="BZ213" s="1335"/>
      <c r="CA213" s="1406"/>
      <c r="CB213" s="1333"/>
      <c r="CC213" s="1334"/>
      <c r="CD213" s="1333"/>
      <c r="CE213" s="1398"/>
      <c r="CF213" s="1333"/>
      <c r="CG213" s="1397"/>
      <c r="CH213" s="1398"/>
      <c r="CI213" s="1399"/>
      <c r="CJ213" s="1397"/>
      <c r="CK213" s="1398"/>
      <c r="CL213" s="1412"/>
      <c r="CM213" s="1371"/>
      <c r="CN213" s="1371"/>
      <c r="CO213" s="1371"/>
      <c r="CP213" s="1372"/>
    </row>
    <row r="214" spans="1:94" ht="15.75" customHeight="1" outlineLevel="1">
      <c r="A214">
        <v>1</v>
      </c>
      <c r="B214"/>
      <c r="C214"/>
      <c r="D214"/>
      <c r="E214"/>
      <c r="F214"/>
      <c r="G214"/>
      <c r="H214"/>
      <c r="I214"/>
      <c r="J214"/>
      <c r="K214">
        <v>1</v>
      </c>
      <c r="L214" s="1331" t="str">
        <f ca="1">IF(magestuff!AN$374&gt;0,INDIRECT(CONCATENATE("'Master Spell List'!c",magestuff!AN$374))," " )</f>
        <v xml:space="preserve"> </v>
      </c>
      <c r="M214" s="1332"/>
      <c r="N214" s="1404" t="str">
        <f ca="1">IF(magestuff!AN$374&gt;0,INDIRECT(CONCATENATE("'Master Spell List'!m",magestuff!AN$374))," " )</f>
        <v xml:space="preserve"> </v>
      </c>
      <c r="O214" s="1405"/>
      <c r="P214" s="1331" t="str">
        <f ca="1">IF(magestuff!AN$374&gt;0,INDIRECT(CONCATENATE("'Master Spell List'!k",magestuff!AN$374))," " )</f>
        <v xml:space="preserve"> </v>
      </c>
      <c r="Q214" s="1332"/>
      <c r="R214" s="1331" t="str">
        <f ca="1">IF(magestuff!AN$374&gt;0,INDIRECT(CONCATENATE("'Master Spell List'!r",magestuff!AN$374))," " )</f>
        <v xml:space="preserve"> </v>
      </c>
      <c r="S214" s="1770"/>
      <c r="T214" s="1331" t="str">
        <f ca="1">IF(magestuff!AN$374&gt;0,INDIRECT(CONCATENATE("'Master Spell List'!s",magestuff!AN$374))," " )</f>
        <v xml:space="preserve"> </v>
      </c>
      <c r="U214" s="1769"/>
      <c r="V214" s="1770"/>
      <c r="W214" s="1768" t="str">
        <f ca="1">IF(magestuff!AN$374&gt;0,INDIRECT(CONCATENATE("'Master Spell List'!t",magestuff!AN$374))," " )</f>
        <v xml:space="preserve"> </v>
      </c>
      <c r="X214" s="1769"/>
      <c r="Y214" s="1770"/>
      <c r="Z214" s="1370"/>
      <c r="AA214" s="1371"/>
      <c r="AB214" s="1371"/>
      <c r="AC214" s="1371"/>
      <c r="AD214" s="1372"/>
      <c r="AE214"/>
      <c r="AF214" s="574"/>
      <c r="AG214">
        <v>1</v>
      </c>
      <c r="AH214"/>
      <c r="AI214"/>
      <c r="AJ214"/>
      <c r="AK214"/>
      <c r="AL214"/>
      <c r="AM214"/>
      <c r="AN214"/>
      <c r="AO214"/>
      <c r="AP214"/>
      <c r="AQ214">
        <v>1</v>
      </c>
      <c r="AR214" s="1331" t="str">
        <f ca="1">IF(magestuff!CH$374&gt;0,INDIRECT(CONCATENATE("'Master Spell List'!c",magestuff!CH$374))," " )</f>
        <v xml:space="preserve"> </v>
      </c>
      <c r="AS214" s="1332"/>
      <c r="AT214" s="1404" t="str">
        <f ca="1">IF(magestuff!CH$374&gt;0,INDIRECT(CONCATENATE("'Master Spell List'!m",magestuff!CH$374))," " )</f>
        <v xml:space="preserve"> </v>
      </c>
      <c r="AU214" s="1405"/>
      <c r="AV214" s="1331" t="str">
        <f ca="1">IF(magestuff!CH$374&gt;0,INDIRECT(CONCATENATE("'Master Spell List'!k",magestuff!CH$374))," " )</f>
        <v xml:space="preserve"> </v>
      </c>
      <c r="AW214" s="1332"/>
      <c r="AX214" s="1331" t="str">
        <f ca="1">IF(magestuff!CH$374&gt;0,INDIRECT(CONCATENATE("'Master Spell List'!r",magestuff!CH$374))," " )</f>
        <v xml:space="preserve"> </v>
      </c>
      <c r="AY214" s="1394"/>
      <c r="AZ214" s="1331" t="str">
        <f ca="1">IF(magestuff!CH$374&gt;0,INDIRECT(CONCATENATE("'Master Spell List'!s",magestuff!CH$374))," " )</f>
        <v xml:space="preserve"> </v>
      </c>
      <c r="BA214" s="1393"/>
      <c r="BB214" s="1394"/>
      <c r="BC214" s="1395" t="str">
        <f ca="1">IF(magestuff!CH$374&gt;0,INDIRECT(CONCATENATE("'Master Spell List'!t",magestuff!CH$374))," " )</f>
        <v xml:space="preserve"> </v>
      </c>
      <c r="BD214" s="1393"/>
      <c r="BE214" s="1394"/>
      <c r="BF214" s="1370"/>
      <c r="BG214" s="1371"/>
      <c r="BH214" s="1371"/>
      <c r="BI214" s="1371"/>
      <c r="BJ214" s="1372"/>
      <c r="BK214" s="10"/>
      <c r="BL214" s="572"/>
      <c r="BM214" s="1370"/>
      <c r="BN214" s="2467"/>
      <c r="BO214" s="2467"/>
      <c r="BP214" s="2467"/>
      <c r="BQ214" s="2206"/>
      <c r="BR214" s="1370"/>
      <c r="BS214" s="2468"/>
      <c r="BT214" s="2468"/>
      <c r="BU214" s="2468"/>
      <c r="BV214" s="2468"/>
      <c r="BW214" s="1390"/>
      <c r="BX214" s="1331"/>
      <c r="BY214" s="1332"/>
      <c r="BZ214" s="1404"/>
      <c r="CA214" s="1405"/>
      <c r="CB214" s="1331"/>
      <c r="CC214" s="1332"/>
      <c r="CD214" s="1331"/>
      <c r="CE214" s="1394"/>
      <c r="CF214" s="1331"/>
      <c r="CG214" s="1393"/>
      <c r="CH214" s="1394"/>
      <c r="CI214" s="1395"/>
      <c r="CJ214" s="1393"/>
      <c r="CK214" s="1394"/>
      <c r="CL214" s="1370"/>
      <c r="CM214" s="1371"/>
      <c r="CN214" s="1371"/>
      <c r="CO214" s="1371"/>
      <c r="CP214" s="1372"/>
    </row>
    <row r="215" spans="1:94" ht="15.75" customHeight="1" outlineLevel="1">
      <c r="A215">
        <v>1</v>
      </c>
      <c r="B215"/>
      <c r="C215"/>
      <c r="D215"/>
      <c r="E215"/>
      <c r="F215"/>
      <c r="G215"/>
      <c r="H215"/>
      <c r="I215"/>
      <c r="J215"/>
      <c r="K215">
        <v>1</v>
      </c>
      <c r="L215" s="1333" t="str">
        <f ca="1">IF(magestuff!AO$374&gt;0,INDIRECT(CONCATENATE("'Master Spell List'!c",magestuff!AO$374))," " )</f>
        <v xml:space="preserve"> </v>
      </c>
      <c r="M215" s="1334"/>
      <c r="N215" s="1335" t="str">
        <f ca="1">IF(magestuff!AO$374&gt;0,INDIRECT(CONCATENATE("'Master Spell List'!m",magestuff!AO$374))," " )</f>
        <v xml:space="preserve"> </v>
      </c>
      <c r="O215" s="1406"/>
      <c r="P215" s="1333" t="str">
        <f ca="1">IF(magestuff!AO$374&gt;0,INDIRECT(CONCATENATE("'Master Spell List'!k",magestuff!AO$374))," " )</f>
        <v xml:space="preserve"> </v>
      </c>
      <c r="Q215" s="1334"/>
      <c r="R215" s="1333" t="str">
        <f ca="1">IF(magestuff!AO$374&gt;0,INDIRECT(CONCATENATE("'Master Spell List'!r",magestuff!AO$374))," " )</f>
        <v xml:space="preserve"> </v>
      </c>
      <c r="S215" s="1777"/>
      <c r="T215" s="1333" t="str">
        <f ca="1">IF(magestuff!AO$374&gt;0,INDIRECT(CONCATENATE("'Master Spell List'!s",magestuff!AO$374))," " )</f>
        <v xml:space="preserve"> </v>
      </c>
      <c r="U215" s="1776"/>
      <c r="V215" s="1777"/>
      <c r="W215" s="1775" t="str">
        <f ca="1">IF(magestuff!AO$374&gt;0,INDIRECT(CONCATENATE("'Master Spell List'!t",magestuff!AO$374))," " )</f>
        <v xml:space="preserve"> </v>
      </c>
      <c r="X215" s="1776"/>
      <c r="Y215" s="1777"/>
      <c r="Z215" s="1412"/>
      <c r="AA215" s="1371"/>
      <c r="AB215" s="1371"/>
      <c r="AC215" s="1371"/>
      <c r="AD215" s="1372"/>
      <c r="AE215"/>
      <c r="AF215" s="574"/>
      <c r="AG215">
        <v>1</v>
      </c>
      <c r="AH215"/>
      <c r="AI215"/>
      <c r="AJ215"/>
      <c r="AK215"/>
      <c r="AL215"/>
      <c r="AM215"/>
      <c r="AN215"/>
      <c r="AO215"/>
      <c r="AP215"/>
      <c r="AQ215">
        <v>1</v>
      </c>
      <c r="AR215" s="1333" t="str">
        <f ca="1">IF(magestuff!CI$374&gt;0,INDIRECT(CONCATENATE("'Master Spell List'!c",magestuff!CI$374))," " )</f>
        <v xml:space="preserve"> </v>
      </c>
      <c r="AS215" s="1334"/>
      <c r="AT215" s="1335" t="str">
        <f ca="1">IF(magestuff!CI$374&gt;0,INDIRECT(CONCATENATE("'Master Spell List'!m",magestuff!CI$374))," " )</f>
        <v xml:space="preserve"> </v>
      </c>
      <c r="AU215" s="1406"/>
      <c r="AV215" s="1333" t="str">
        <f ca="1">IF(magestuff!CI$374&gt;0,INDIRECT(CONCATENATE("'Master Spell List'!k",magestuff!CI$374))," " )</f>
        <v xml:space="preserve"> </v>
      </c>
      <c r="AW215" s="1334"/>
      <c r="AX215" s="1333" t="str">
        <f ca="1">IF(magestuff!CI$374&gt;0,INDIRECT(CONCATENATE("'Master Spell List'!r",magestuff!CI$374))," " )</f>
        <v xml:space="preserve"> </v>
      </c>
      <c r="AY215" s="1398"/>
      <c r="AZ215" s="1333" t="str">
        <f ca="1">IF(magestuff!CI$374&gt;0,INDIRECT(CONCATENATE("'Master Spell List'!s",magestuff!CI$374))," " )</f>
        <v xml:space="preserve"> </v>
      </c>
      <c r="BA215" s="1397"/>
      <c r="BB215" s="1398"/>
      <c r="BC215" s="1399" t="str">
        <f ca="1">IF(magestuff!CI$374&gt;0,INDIRECT(CONCATENATE("'Master Spell List'!t",magestuff!CI$374))," " )</f>
        <v xml:space="preserve"> </v>
      </c>
      <c r="BD215" s="1397"/>
      <c r="BE215" s="1398"/>
      <c r="BF215" s="1412"/>
      <c r="BG215" s="1371"/>
      <c r="BH215" s="1371"/>
      <c r="BI215" s="1371"/>
      <c r="BJ215" s="1372"/>
      <c r="BK215" s="10"/>
      <c r="BL215" s="572"/>
      <c r="BM215" s="1412"/>
      <c r="BN215" s="2467"/>
      <c r="BO215" s="2467"/>
      <c r="BP215" s="2467"/>
      <c r="BQ215" s="2206"/>
      <c r="BR215" s="1412"/>
      <c r="BS215" s="2469"/>
      <c r="BT215" s="2469"/>
      <c r="BU215" s="2469"/>
      <c r="BV215" s="2469"/>
      <c r="BW215" s="2470"/>
      <c r="BX215" s="1333"/>
      <c r="BY215" s="1334"/>
      <c r="BZ215" s="1335"/>
      <c r="CA215" s="1406"/>
      <c r="CB215" s="1333"/>
      <c r="CC215" s="1334"/>
      <c r="CD215" s="1333"/>
      <c r="CE215" s="1398"/>
      <c r="CF215" s="1333"/>
      <c r="CG215" s="1397"/>
      <c r="CH215" s="1398"/>
      <c r="CI215" s="1399"/>
      <c r="CJ215" s="1397"/>
      <c r="CK215" s="1398"/>
      <c r="CL215" s="1412"/>
      <c r="CM215" s="1371"/>
      <c r="CN215" s="1371"/>
      <c r="CO215" s="1371"/>
      <c r="CP215" s="1372"/>
    </row>
    <row r="216" spans="1:94" customFormat="1" ht="15.75" customHeight="1" outlineLevel="1">
      <c r="A216">
        <v>1</v>
      </c>
      <c r="K216">
        <v>1</v>
      </c>
      <c r="L216" s="1331" t="str">
        <f ca="1">IF(magestuff!AP$374&gt;0,INDIRECT(CONCATENATE("'Master Spell List'!c",magestuff!AP$374))," " )</f>
        <v xml:space="preserve"> </v>
      </c>
      <c r="M216" s="1332"/>
      <c r="N216" s="1404" t="str">
        <f ca="1">IF(magestuff!AP$374&gt;0,INDIRECT(CONCATENATE("'Master Spell List'!m",magestuff!AP$374))," " )</f>
        <v xml:space="preserve"> </v>
      </c>
      <c r="O216" s="1405"/>
      <c r="P216" s="1331" t="str">
        <f ca="1">IF(magestuff!AP$374&gt;0,INDIRECT(CONCATENATE("'Master Spell List'!k",magestuff!AP$374))," " )</f>
        <v xml:space="preserve"> </v>
      </c>
      <c r="Q216" s="1332"/>
      <c r="R216" s="1331" t="str">
        <f ca="1">IF(magestuff!AP$374&gt;0,INDIRECT(CONCATENATE("'Master Spell List'!r",magestuff!AP$374))," " )</f>
        <v xml:space="preserve"> </v>
      </c>
      <c r="S216" s="1770"/>
      <c r="T216" s="1331" t="str">
        <f ca="1">IF(magestuff!AP$374&gt;0,INDIRECT(CONCATENATE("'Master Spell List'!s",magestuff!AP$374))," " )</f>
        <v xml:space="preserve"> </v>
      </c>
      <c r="U216" s="1769"/>
      <c r="V216" s="1770"/>
      <c r="W216" s="1768" t="str">
        <f ca="1">IF(magestuff!AP$374&gt;0,INDIRECT(CONCATENATE("'Master Spell List'!t",magestuff!AP$374))," " )</f>
        <v xml:space="preserve"> </v>
      </c>
      <c r="X216" s="1769"/>
      <c r="Y216" s="1770"/>
      <c r="Z216" s="1370"/>
      <c r="AA216" s="1371"/>
      <c r="AB216" s="1371"/>
      <c r="AC216" s="1371"/>
      <c r="AD216" s="1372"/>
      <c r="AF216" s="574"/>
      <c r="AG216">
        <v>1</v>
      </c>
      <c r="AQ216">
        <v>1</v>
      </c>
      <c r="AR216" s="1331" t="str">
        <f ca="1">IF(magestuff!CJ$374&gt;0,INDIRECT(CONCATENATE("'Master Spell List'!c",magestuff!CJ$374))," " )</f>
        <v xml:space="preserve"> </v>
      </c>
      <c r="AS216" s="1332"/>
      <c r="AT216" s="1404" t="str">
        <f ca="1">IF(magestuff!CJ$374&gt;0,INDIRECT(CONCATENATE("'Master Spell List'!m",magestuff!CJ$374))," " )</f>
        <v xml:space="preserve"> </v>
      </c>
      <c r="AU216" s="1405"/>
      <c r="AV216" s="1331" t="str">
        <f ca="1">IF(magestuff!CJ$374&gt;0,INDIRECT(CONCATENATE("'Master Spell List'!k",magestuff!CJ$374))," " )</f>
        <v xml:space="preserve"> </v>
      </c>
      <c r="AW216" s="1332"/>
      <c r="AX216" s="1331" t="str">
        <f ca="1">IF(magestuff!CJ$374&gt;0,INDIRECT(CONCATENATE("'Master Spell List'!r",magestuff!CJ$374))," " )</f>
        <v xml:space="preserve"> </v>
      </c>
      <c r="AY216" s="1394"/>
      <c r="AZ216" s="1331" t="str">
        <f ca="1">IF(magestuff!CJ$374&gt;0,INDIRECT(CONCATENATE("'Master Spell List'!s",magestuff!CJ$374))," " )</f>
        <v xml:space="preserve"> </v>
      </c>
      <c r="BA216" s="1393"/>
      <c r="BB216" s="1394"/>
      <c r="BC216" s="1395" t="str">
        <f ca="1">IF(magestuff!CJ$374&gt;0,INDIRECT(CONCATENATE("'Master Spell List'!t",magestuff!CJ$374))," " )</f>
        <v xml:space="preserve"> </v>
      </c>
      <c r="BD216" s="1393"/>
      <c r="BE216" s="1394"/>
      <c r="BF216" s="1370"/>
      <c r="BG216" s="1371"/>
      <c r="BH216" s="1371"/>
      <c r="BI216" s="1371"/>
      <c r="BJ216" s="1372"/>
      <c r="BK216" s="10"/>
      <c r="BL216" s="572"/>
      <c r="BM216" s="1370"/>
      <c r="BN216" s="2467"/>
      <c r="BO216" s="2467"/>
      <c r="BP216" s="2467"/>
      <c r="BQ216" s="2206"/>
      <c r="BR216" s="1370"/>
      <c r="BS216" s="2468"/>
      <c r="BT216" s="2468"/>
      <c r="BU216" s="2468"/>
      <c r="BV216" s="2468"/>
      <c r="BW216" s="1390"/>
      <c r="BX216" s="1331"/>
      <c r="BY216" s="1332"/>
      <c r="BZ216" s="1404"/>
      <c r="CA216" s="1405"/>
      <c r="CB216" s="1331"/>
      <c r="CC216" s="1332"/>
      <c r="CD216" s="1331"/>
      <c r="CE216" s="1394"/>
      <c r="CF216" s="1331"/>
      <c r="CG216" s="1393"/>
      <c r="CH216" s="1394"/>
      <c r="CI216" s="1395"/>
      <c r="CJ216" s="1393"/>
      <c r="CK216" s="1394"/>
      <c r="CL216" s="1370"/>
      <c r="CM216" s="1371"/>
      <c r="CN216" s="1371"/>
      <c r="CO216" s="1371"/>
      <c r="CP216" s="1372"/>
    </row>
    <row r="217" spans="1:94" customFormat="1" ht="15.75" customHeight="1" outlineLevel="1">
      <c r="A217">
        <v>1</v>
      </c>
      <c r="K217">
        <v>7</v>
      </c>
      <c r="L217" s="1333" t="str">
        <f ca="1">IF(magestuff!AQ$374&gt;0,INDIRECT(CONCATENATE("'Master Spell List'!c",magestuff!AQ$374))," " )</f>
        <v xml:space="preserve"> </v>
      </c>
      <c r="M217" s="1334"/>
      <c r="N217" s="1335" t="str">
        <f ca="1">IF(magestuff!AQ$374&gt;0,INDIRECT(CONCATENATE("'Master Spell List'!m",magestuff!AQ$374))," " )</f>
        <v xml:space="preserve"> </v>
      </c>
      <c r="O217" s="1406"/>
      <c r="P217" s="1333" t="str">
        <f ca="1">IF(magestuff!AQ$374&gt;0,INDIRECT(CONCATENATE("'Master Spell List'!k",magestuff!AQ$374))," " )</f>
        <v xml:space="preserve"> </v>
      </c>
      <c r="Q217" s="1334"/>
      <c r="R217" s="1333" t="str">
        <f ca="1">IF(magestuff!AQ$374&gt;0,INDIRECT(CONCATENATE("'Master Spell List'!r",magestuff!AQ$374))," " )</f>
        <v xml:space="preserve"> </v>
      </c>
      <c r="S217" s="1777"/>
      <c r="T217" s="1333" t="str">
        <f ca="1">IF(magestuff!AQ$374&gt;0,INDIRECT(CONCATENATE("'Master Spell List'!s",magestuff!AQ$374))," " )</f>
        <v xml:space="preserve"> </v>
      </c>
      <c r="U217" s="1776"/>
      <c r="V217" s="1777"/>
      <c r="W217" s="1775" t="str">
        <f ca="1">IF(magestuff!AQ$374&gt;0,INDIRECT(CONCATENATE("'Master Spell List'!t",magestuff!AQ$374))," " )</f>
        <v xml:space="preserve"> </v>
      </c>
      <c r="X217" s="1776"/>
      <c r="Y217" s="1777"/>
      <c r="Z217" s="1412"/>
      <c r="AA217" s="1371"/>
      <c r="AB217" s="1371"/>
      <c r="AC217" s="1371"/>
      <c r="AD217" s="1372"/>
      <c r="AF217" s="574"/>
      <c r="AG217">
        <v>1</v>
      </c>
      <c r="AQ217">
        <v>1</v>
      </c>
      <c r="AR217" s="1333" t="str">
        <f ca="1">IF(magestuff!CK$374&gt;0,INDIRECT(CONCATENATE("'Master Spell List'!c",magestuff!CK$374))," " )</f>
        <v xml:space="preserve"> </v>
      </c>
      <c r="AS217" s="1334"/>
      <c r="AT217" s="1335" t="str">
        <f ca="1">IF(magestuff!CK$374&gt;0,INDIRECT(CONCATENATE("'Master Spell List'!m",magestuff!CK$374))," " )</f>
        <v xml:space="preserve"> </v>
      </c>
      <c r="AU217" s="1406"/>
      <c r="AV217" s="1333" t="str">
        <f ca="1">IF(magestuff!CK$374&gt;0,INDIRECT(CONCATENATE("'Master Spell List'!k",magestuff!CK$374))," " )</f>
        <v xml:space="preserve"> </v>
      </c>
      <c r="AW217" s="1334"/>
      <c r="AX217" s="1333" t="str">
        <f ca="1">IF(magestuff!CK$374&gt;0,INDIRECT(CONCATENATE("'Master Spell List'!r",magestuff!CK$374))," " )</f>
        <v xml:space="preserve"> </v>
      </c>
      <c r="AY217" s="1398"/>
      <c r="AZ217" s="1333" t="str">
        <f ca="1">IF(magestuff!CK$374&gt;0,INDIRECT(CONCATENATE("'Master Spell List'!s",magestuff!CK$374))," " )</f>
        <v xml:space="preserve"> </v>
      </c>
      <c r="BA217" s="1397"/>
      <c r="BB217" s="1398"/>
      <c r="BC217" s="1399" t="str">
        <f ca="1">IF(magestuff!CK$374&gt;0,INDIRECT(CONCATENATE("'Master Spell List'!t",magestuff!CK$374))," " )</f>
        <v xml:space="preserve"> </v>
      </c>
      <c r="BD217" s="1397"/>
      <c r="BE217" s="1398"/>
      <c r="BF217" s="1412"/>
      <c r="BG217" s="1371"/>
      <c r="BH217" s="1371"/>
      <c r="BI217" s="1371"/>
      <c r="BJ217" s="1372"/>
      <c r="BK217" s="10"/>
      <c r="BL217" s="572"/>
      <c r="BM217" s="1412"/>
      <c r="BN217" s="2467"/>
      <c r="BO217" s="2467"/>
      <c r="BP217" s="2467"/>
      <c r="BQ217" s="2206"/>
      <c r="BR217" s="1412"/>
      <c r="BS217" s="2469"/>
      <c r="BT217" s="2469"/>
      <c r="BU217" s="2469"/>
      <c r="BV217" s="2469"/>
      <c r="BW217" s="2470"/>
      <c r="BX217" s="1333"/>
      <c r="BY217" s="1334"/>
      <c r="BZ217" s="1335"/>
      <c r="CA217" s="1406"/>
      <c r="CB217" s="1333"/>
      <c r="CC217" s="1334"/>
      <c r="CD217" s="1333"/>
      <c r="CE217" s="1398"/>
      <c r="CF217" s="1333"/>
      <c r="CG217" s="1397"/>
      <c r="CH217" s="1398"/>
      <c r="CI217" s="1399"/>
      <c r="CJ217" s="1397"/>
      <c r="CK217" s="1398"/>
      <c r="CL217" s="1412"/>
      <c r="CM217" s="1371"/>
      <c r="CN217" s="1371"/>
      <c r="CO217" s="1371"/>
      <c r="CP217" s="1372"/>
    </row>
    <row r="218" spans="1:94" customFormat="1" ht="15.75" customHeight="1" outlineLevel="1">
      <c r="A218">
        <v>1</v>
      </c>
      <c r="K218">
        <v>1</v>
      </c>
      <c r="L218" s="1331" t="str">
        <f ca="1">IF(magestuff!AR$374&gt;0,INDIRECT(CONCATENATE("'Master Spell List'!c",magestuff!AR$374))," " )</f>
        <v xml:space="preserve"> </v>
      </c>
      <c r="M218" s="1332"/>
      <c r="N218" s="1404" t="str">
        <f ca="1">IF(magestuff!AR$374&gt;0,INDIRECT(CONCATENATE("'Master Spell List'!m",magestuff!AR$374))," " )</f>
        <v xml:space="preserve"> </v>
      </c>
      <c r="O218" s="1405"/>
      <c r="P218" s="1331" t="str">
        <f ca="1">IF(magestuff!AR$374&gt;0,INDIRECT(CONCATENATE("'Master Spell List'!k",magestuff!AR$374))," " )</f>
        <v xml:space="preserve"> </v>
      </c>
      <c r="Q218" s="1332"/>
      <c r="R218" s="1331" t="str">
        <f ca="1">IF(magestuff!AR$374&gt;0,INDIRECT(CONCATENATE("'Master Spell List'!r",magestuff!AR$374))," " )</f>
        <v xml:space="preserve"> </v>
      </c>
      <c r="S218" s="1770"/>
      <c r="T218" s="1331" t="str">
        <f ca="1">IF(magestuff!AR$374&gt;0,INDIRECT(CONCATENATE("'Master Spell List'!s",magestuff!AR$374))," " )</f>
        <v xml:space="preserve"> </v>
      </c>
      <c r="U218" s="1769"/>
      <c r="V218" s="1770"/>
      <c r="W218" s="1768" t="str">
        <f ca="1">IF(magestuff!AR$374&gt;0,INDIRECT(CONCATENATE("'Master Spell List'!t",magestuff!AR$374))," " )</f>
        <v xml:space="preserve"> </v>
      </c>
      <c r="X218" s="1769"/>
      <c r="Y218" s="1770"/>
      <c r="Z218" s="1370"/>
      <c r="AA218" s="1371"/>
      <c r="AB218" s="1371"/>
      <c r="AC218" s="1371"/>
      <c r="AD218" s="1372"/>
      <c r="AF218" s="574"/>
      <c r="AG218">
        <v>1</v>
      </c>
      <c r="AQ218">
        <v>1</v>
      </c>
      <c r="AR218" s="1331" t="str">
        <f ca="1">IF(magestuff!CL$374&gt;0,INDIRECT(CONCATENATE("'Master Spell List'!c",magestuff!CL$374))," " )</f>
        <v xml:space="preserve"> </v>
      </c>
      <c r="AS218" s="1332"/>
      <c r="AT218" s="1404" t="str">
        <f ca="1">IF(magestuff!CL$374&gt;0,INDIRECT(CONCATENATE("'Master Spell List'!m",magestuff!CL$374))," " )</f>
        <v xml:space="preserve"> </v>
      </c>
      <c r="AU218" s="1405"/>
      <c r="AV218" s="1331" t="str">
        <f ca="1">IF(magestuff!CL$374&gt;0,INDIRECT(CONCATENATE("'Master Spell List'!k",magestuff!CL$374))," " )</f>
        <v xml:space="preserve"> </v>
      </c>
      <c r="AW218" s="1332"/>
      <c r="AX218" s="1331" t="str">
        <f ca="1">IF(magestuff!CL$374&gt;0,INDIRECT(CONCATENATE("'Master Spell List'!r",magestuff!CL$374))," " )</f>
        <v xml:space="preserve"> </v>
      </c>
      <c r="AY218" s="1394"/>
      <c r="AZ218" s="1331" t="str">
        <f ca="1">IF(magestuff!CL$374&gt;0,INDIRECT(CONCATENATE("'Master Spell List'!s",magestuff!CL$374))," " )</f>
        <v xml:space="preserve"> </v>
      </c>
      <c r="BA218" s="1393"/>
      <c r="BB218" s="1394"/>
      <c r="BC218" s="1395" t="str">
        <f ca="1">IF(magestuff!CL$374&gt;0,INDIRECT(CONCATENATE("'Master Spell List'!t",magestuff!CL$374))," " )</f>
        <v xml:space="preserve"> </v>
      </c>
      <c r="BD218" s="1393"/>
      <c r="BE218" s="1394"/>
      <c r="BF218" s="1370"/>
      <c r="BG218" s="1371"/>
      <c r="BH218" s="1371"/>
      <c r="BI218" s="1371"/>
      <c r="BJ218" s="1372"/>
      <c r="BK218" s="10"/>
      <c r="BL218" s="572"/>
      <c r="BM218" s="1370"/>
      <c r="BN218" s="2467"/>
      <c r="BO218" s="2467"/>
      <c r="BP218" s="2467"/>
      <c r="BQ218" s="2206"/>
      <c r="BR218" s="1370"/>
      <c r="BS218" s="2468"/>
      <c r="BT218" s="2468"/>
      <c r="BU218" s="2468"/>
      <c r="BV218" s="2468"/>
      <c r="BW218" s="1390"/>
      <c r="BX218" s="1331"/>
      <c r="BY218" s="1332"/>
      <c r="BZ218" s="1404"/>
      <c r="CA218" s="1405"/>
      <c r="CB218" s="1331"/>
      <c r="CC218" s="1332"/>
      <c r="CD218" s="1331"/>
      <c r="CE218" s="1394"/>
      <c r="CF218" s="1331"/>
      <c r="CG218" s="1393"/>
      <c r="CH218" s="1394"/>
      <c r="CI218" s="1395"/>
      <c r="CJ218" s="1393"/>
      <c r="CK218" s="1394"/>
      <c r="CL218" s="1370"/>
      <c r="CM218" s="1371"/>
      <c r="CN218" s="1371"/>
      <c r="CO218" s="1371"/>
      <c r="CP218" s="1372"/>
    </row>
    <row r="219" spans="1:94" customFormat="1" ht="15.75" customHeight="1" outlineLevel="1">
      <c r="A219">
        <v>1</v>
      </c>
      <c r="K219">
        <v>1</v>
      </c>
      <c r="L219" s="1333" t="str">
        <f ca="1">IF(magestuff!AS$374&gt;0,INDIRECT(CONCATENATE("'Master Spell List'!c",magestuff!AS$374))," " )</f>
        <v xml:space="preserve"> </v>
      </c>
      <c r="M219" s="1334"/>
      <c r="N219" s="1335" t="str">
        <f ca="1">IF(magestuff!AS$374&gt;0,INDIRECT(CONCATENATE("'Master Spell List'!m",magestuff!AS$374))," " )</f>
        <v xml:space="preserve"> </v>
      </c>
      <c r="O219" s="1406"/>
      <c r="P219" s="1333" t="str">
        <f ca="1">IF(magestuff!AS$374&gt;0,INDIRECT(CONCATENATE("'Master Spell List'!k",magestuff!AS$374))," " )</f>
        <v xml:space="preserve"> </v>
      </c>
      <c r="Q219" s="1334"/>
      <c r="R219" s="1333" t="str">
        <f ca="1">IF(magestuff!AS$374&gt;0,INDIRECT(CONCATENATE("'Master Spell List'!r",magestuff!AS$374))," " )</f>
        <v xml:space="preserve"> </v>
      </c>
      <c r="S219" s="1777"/>
      <c r="T219" s="1333" t="str">
        <f ca="1">IF(magestuff!AS$374&gt;0,INDIRECT(CONCATENATE("'Master Spell List'!s",magestuff!AS$374))," " )</f>
        <v xml:space="preserve"> </v>
      </c>
      <c r="U219" s="1776"/>
      <c r="V219" s="1777"/>
      <c r="W219" s="1775" t="str">
        <f ca="1">IF(magestuff!AS$374&gt;0,INDIRECT(CONCATENATE("'Master Spell List'!t",magestuff!AS$374))," " )</f>
        <v xml:space="preserve"> </v>
      </c>
      <c r="X219" s="1776"/>
      <c r="Y219" s="1777"/>
      <c r="Z219" s="1412"/>
      <c r="AA219" s="1371"/>
      <c r="AB219" s="1371"/>
      <c r="AC219" s="1371"/>
      <c r="AD219" s="1372"/>
      <c r="AF219" s="574"/>
      <c r="AG219">
        <v>1</v>
      </c>
      <c r="AQ219">
        <v>1</v>
      </c>
      <c r="AR219" s="1333" t="str">
        <f ca="1">IF(magestuff!CM$374&gt;0,INDIRECT(CONCATENATE("'Master Spell List'!c",magestuff!CM$374))," " )</f>
        <v xml:space="preserve"> </v>
      </c>
      <c r="AS219" s="1334"/>
      <c r="AT219" s="1335" t="str">
        <f ca="1">IF(magestuff!CM$374&gt;0,INDIRECT(CONCATENATE("'Master Spell List'!m",magestuff!CM$374))," " )</f>
        <v xml:space="preserve"> </v>
      </c>
      <c r="AU219" s="1406"/>
      <c r="AV219" s="1333" t="str">
        <f ca="1">IF(magestuff!CM$374&gt;0,INDIRECT(CONCATENATE("'Master Spell List'!k",magestuff!CM$374))," " )</f>
        <v xml:space="preserve"> </v>
      </c>
      <c r="AW219" s="1334"/>
      <c r="AX219" s="1333" t="str">
        <f ca="1">IF(magestuff!CM$374&gt;0,INDIRECT(CONCATENATE("'Master Spell List'!r",magestuff!CM$374))," " )</f>
        <v xml:space="preserve"> </v>
      </c>
      <c r="AY219" s="1398"/>
      <c r="AZ219" s="1333" t="str">
        <f ca="1">IF(magestuff!CM$374&gt;0,INDIRECT(CONCATENATE("'Master Spell List'!s",magestuff!CM$374))," " )</f>
        <v xml:space="preserve"> </v>
      </c>
      <c r="BA219" s="1397"/>
      <c r="BB219" s="1398"/>
      <c r="BC219" s="1399" t="str">
        <f ca="1">IF(magestuff!CM$374&gt;0,INDIRECT(CONCATENATE("'Master Spell List'!t",magestuff!CM$374))," " )</f>
        <v xml:space="preserve"> </v>
      </c>
      <c r="BD219" s="1397"/>
      <c r="BE219" s="1398"/>
      <c r="BF219" s="1412"/>
      <c r="BG219" s="1371"/>
      <c r="BH219" s="1371"/>
      <c r="BI219" s="1371"/>
      <c r="BJ219" s="1372"/>
      <c r="BK219" s="10"/>
      <c r="BL219" s="572"/>
      <c r="BM219" s="1412"/>
      <c r="BN219" s="2467"/>
      <c r="BO219" s="2467"/>
      <c r="BP219" s="2467"/>
      <c r="BQ219" s="2206"/>
      <c r="BR219" s="1412"/>
      <c r="BS219" s="2469"/>
      <c r="BT219" s="2469"/>
      <c r="BU219" s="2469"/>
      <c r="BV219" s="2469"/>
      <c r="BW219" s="2470"/>
      <c r="BX219" s="1333"/>
      <c r="BY219" s="1334"/>
      <c r="BZ219" s="1335"/>
      <c r="CA219" s="1406"/>
      <c r="CB219" s="1333"/>
      <c r="CC219" s="1334"/>
      <c r="CD219" s="1333"/>
      <c r="CE219" s="1398"/>
      <c r="CF219" s="1333"/>
      <c r="CG219" s="1397"/>
      <c r="CH219" s="1398"/>
      <c r="CI219" s="1399"/>
      <c r="CJ219" s="1397"/>
      <c r="CK219" s="1398"/>
      <c r="CL219" s="1412"/>
      <c r="CM219" s="1371"/>
      <c r="CN219" s="1371"/>
      <c r="CO219" s="1371"/>
      <c r="CP219" s="1372"/>
    </row>
    <row r="220" spans="1:94" customFormat="1" ht="15.75" customHeight="1" outlineLevel="1">
      <c r="A220">
        <v>1</v>
      </c>
      <c r="K220">
        <v>1</v>
      </c>
      <c r="L220" s="1331" t="str">
        <f ca="1">IF(magestuff!AT$374&gt;0,INDIRECT(CONCATENATE("'Master Spell List'!c",magestuff!AT$374))," " )</f>
        <v xml:space="preserve"> </v>
      </c>
      <c r="M220" s="1332"/>
      <c r="N220" s="1404" t="str">
        <f ca="1">IF(magestuff!AT$374&gt;0,INDIRECT(CONCATENATE("'Master Spell List'!m",magestuff!AT$374))," " )</f>
        <v xml:space="preserve"> </v>
      </c>
      <c r="O220" s="1405"/>
      <c r="P220" s="1331" t="str">
        <f ca="1">IF(magestuff!AT$374&gt;0,INDIRECT(CONCATENATE("'Master Spell List'!k",magestuff!AT$374))," " )</f>
        <v xml:space="preserve"> </v>
      </c>
      <c r="Q220" s="1332"/>
      <c r="R220" s="1331" t="str">
        <f ca="1">IF(magestuff!AT$374&gt;0,INDIRECT(CONCATENATE("'Master Spell List'!r",magestuff!AT$374))," " )</f>
        <v xml:space="preserve"> </v>
      </c>
      <c r="S220" s="1770"/>
      <c r="T220" s="1331" t="str">
        <f ca="1">IF(magestuff!AT$374&gt;0,INDIRECT(CONCATENATE("'Master Spell List'!s",magestuff!AT$374))," " )</f>
        <v xml:space="preserve"> </v>
      </c>
      <c r="U220" s="1769"/>
      <c r="V220" s="1770"/>
      <c r="W220" s="1768" t="str">
        <f ca="1">IF(magestuff!AT$374&gt;0,INDIRECT(CONCATENATE("'Master Spell List'!t",magestuff!AT$374))," " )</f>
        <v xml:space="preserve"> </v>
      </c>
      <c r="X220" s="1769"/>
      <c r="Y220" s="1770"/>
      <c r="Z220" s="1370"/>
      <c r="AA220" s="1371"/>
      <c r="AB220" s="1371"/>
      <c r="AC220" s="1371"/>
      <c r="AD220" s="1372"/>
      <c r="AF220" s="574"/>
      <c r="AG220">
        <v>1</v>
      </c>
      <c r="AQ220">
        <v>1</v>
      </c>
      <c r="AR220" s="1331" t="str">
        <f ca="1">IF(magestuff!CN$374&gt;0,INDIRECT(CONCATENATE("'Master Spell List'!c",magestuff!CN$374))," " )</f>
        <v xml:space="preserve"> </v>
      </c>
      <c r="AS220" s="1332"/>
      <c r="AT220" s="1404" t="str">
        <f ca="1">IF(magestuff!CN$374&gt;0,INDIRECT(CONCATENATE("'Master Spell List'!m",magestuff!CN$374))," " )</f>
        <v xml:space="preserve"> </v>
      </c>
      <c r="AU220" s="1405"/>
      <c r="AV220" s="1331" t="str">
        <f ca="1">IF(magestuff!CN$374&gt;0,INDIRECT(CONCATENATE("'Master Spell List'!k",magestuff!CN$374))," " )</f>
        <v xml:space="preserve"> </v>
      </c>
      <c r="AW220" s="1332"/>
      <c r="AX220" s="1331" t="str">
        <f ca="1">IF(magestuff!CN$374&gt;0,INDIRECT(CONCATENATE("'Master Spell List'!r",magestuff!CN$374))," " )</f>
        <v xml:space="preserve"> </v>
      </c>
      <c r="AY220" s="1394"/>
      <c r="AZ220" s="1331" t="str">
        <f ca="1">IF(magestuff!CN$374&gt;0,INDIRECT(CONCATENATE("'Master Spell List'!s",magestuff!CN$374))," " )</f>
        <v xml:space="preserve"> </v>
      </c>
      <c r="BA220" s="1393"/>
      <c r="BB220" s="1394"/>
      <c r="BC220" s="1395" t="str">
        <f ca="1">IF(magestuff!CN$374&gt;0,INDIRECT(CONCATENATE("'Master Spell List'!t",magestuff!CN$374))," " )</f>
        <v xml:space="preserve"> </v>
      </c>
      <c r="BD220" s="1393"/>
      <c r="BE220" s="1394"/>
      <c r="BF220" s="1370"/>
      <c r="BG220" s="1371"/>
      <c r="BH220" s="1371"/>
      <c r="BI220" s="1371"/>
      <c r="BJ220" s="1372"/>
      <c r="BK220" s="10"/>
      <c r="BL220" s="572"/>
      <c r="BM220" s="1370"/>
      <c r="BN220" s="2467"/>
      <c r="BO220" s="2467"/>
      <c r="BP220" s="2467"/>
      <c r="BQ220" s="2206"/>
      <c r="BR220" s="1370"/>
      <c r="BS220" s="2468"/>
      <c r="BT220" s="2468"/>
      <c r="BU220" s="2468"/>
      <c r="BV220" s="2468"/>
      <c r="BW220" s="1390"/>
      <c r="BX220" s="1331"/>
      <c r="BY220" s="1332"/>
      <c r="BZ220" s="1404"/>
      <c r="CA220" s="1405"/>
      <c r="CB220" s="1331"/>
      <c r="CC220" s="1332"/>
      <c r="CD220" s="1331"/>
      <c r="CE220" s="1394"/>
      <c r="CF220" s="1331"/>
      <c r="CG220" s="1393"/>
      <c r="CH220" s="1394"/>
      <c r="CI220" s="1395"/>
      <c r="CJ220" s="1393"/>
      <c r="CK220" s="1394"/>
      <c r="CL220" s="1370"/>
      <c r="CM220" s="1371"/>
      <c r="CN220" s="1371"/>
      <c r="CO220" s="1371"/>
      <c r="CP220" s="1372"/>
    </row>
    <row r="221" spans="1:94" customFormat="1" ht="15.75" customHeight="1" outlineLevel="1">
      <c r="A221" s="1387">
        <f ca="1">L221+AR221</f>
        <v>0</v>
      </c>
      <c r="B221" s="1387"/>
      <c r="L221" s="1387">
        <f ca="1">SUM(L176:M220)</f>
        <v>0</v>
      </c>
      <c r="M221" s="1387"/>
      <c r="AF221" s="574"/>
      <c r="AR221" s="1387">
        <f ca="1">SUM(AR176:AS220)</f>
        <v>0</v>
      </c>
      <c r="AS221" s="1387"/>
      <c r="BK221" s="10"/>
      <c r="BL221" s="572"/>
    </row>
    <row r="222" spans="1:94" customFormat="1" ht="12.6" customHeight="1">
      <c r="AF222" s="574"/>
      <c r="BK222" s="10"/>
      <c r="BL222" s="572"/>
    </row>
    <row r="223" spans="1:94" ht="15" customHeight="1" outlineLevel="1">
      <c r="A223" s="2176" t="s">
        <v>3991</v>
      </c>
      <c r="B223" s="2177"/>
      <c r="C223" s="2177"/>
      <c r="D223" s="2177"/>
      <c r="E223" s="2177"/>
      <c r="F223" s="2177"/>
      <c r="G223" s="2177"/>
      <c r="H223" s="2177"/>
      <c r="I223" s="2177"/>
      <c r="J223" s="2177"/>
      <c r="K223" s="2177"/>
      <c r="L223" s="2177"/>
      <c r="M223" s="2177"/>
      <c r="N223" s="2177"/>
      <c r="O223" s="2177"/>
      <c r="P223" s="2177"/>
      <c r="Q223" s="2177"/>
      <c r="R223" s="2177"/>
      <c r="S223" s="2177"/>
      <c r="T223" s="2177"/>
      <c r="U223" s="2177"/>
      <c r="V223" s="2177"/>
      <c r="W223" s="2177"/>
      <c r="X223" s="2177"/>
      <c r="Y223" s="2177"/>
      <c r="Z223" s="2177"/>
      <c r="AA223" s="2177"/>
      <c r="AB223" s="2177"/>
      <c r="AC223" s="2177"/>
      <c r="AD223" s="2177"/>
      <c r="AE223"/>
      <c r="AF223" s="574"/>
      <c r="AG223" s="1380" t="s">
        <v>973</v>
      </c>
      <c r="AH223" s="1381"/>
      <c r="AI223" s="1381"/>
      <c r="AJ223" s="1381"/>
      <c r="AK223" s="1381"/>
      <c r="AL223" s="1381"/>
      <c r="AM223" s="1381"/>
      <c r="AN223" s="1381"/>
      <c r="AO223" s="1381"/>
      <c r="AP223" s="1381"/>
      <c r="AQ223" s="1381"/>
      <c r="AR223" s="1381"/>
      <c r="AS223" s="1381"/>
      <c r="AT223" s="1381"/>
      <c r="AU223" s="1381"/>
      <c r="AV223" s="1381"/>
      <c r="AW223" s="1381"/>
      <c r="AX223" s="1381"/>
      <c r="AY223" s="1381"/>
      <c r="AZ223" s="1381"/>
      <c r="BA223" s="1381"/>
      <c r="BB223" s="1381"/>
      <c r="BC223" s="1381"/>
      <c r="BD223" s="1381"/>
      <c r="BE223" s="1381"/>
      <c r="BF223" s="1381"/>
      <c r="BG223" s="1381"/>
      <c r="BH223" s="1381"/>
      <c r="BI223" s="1381"/>
      <c r="BJ223" s="1396"/>
      <c r="BM223" s="1380" t="s">
        <v>973</v>
      </c>
      <c r="BN223" s="1381"/>
      <c r="BO223" s="1381"/>
      <c r="BP223" s="1381"/>
      <c r="BQ223" s="1381"/>
      <c r="BR223" s="1381"/>
      <c r="BS223" s="1381"/>
      <c r="BT223" s="1381"/>
      <c r="BU223" s="1381"/>
      <c r="BV223" s="1381"/>
      <c r="BW223" s="1381"/>
      <c r="BX223" s="1381"/>
      <c r="BY223" s="1381"/>
      <c r="BZ223" s="1381"/>
      <c r="CA223" s="1381"/>
      <c r="CB223" s="1381"/>
      <c r="CC223" s="1381"/>
      <c r="CD223" s="1381"/>
      <c r="CE223" s="1381"/>
      <c r="CF223" s="1381"/>
      <c r="CG223" s="1381"/>
      <c r="CH223" s="1381"/>
      <c r="CI223" s="1381"/>
      <c r="CJ223" s="1381"/>
      <c r="CK223" s="1381"/>
      <c r="CL223" s="1381"/>
      <c r="CM223" s="1381"/>
      <c r="CN223" s="1381"/>
      <c r="CO223" s="1381"/>
      <c r="CP223" s="1396"/>
    </row>
    <row r="224" spans="1:94" ht="12.6" customHeight="1" outlineLevel="1">
      <c r="A224" s="1400" t="s">
        <v>1272</v>
      </c>
      <c r="B224" s="1400"/>
      <c r="C224" s="1400"/>
      <c r="D224" s="1400"/>
      <c r="E224" s="1400"/>
      <c r="F224" s="1400"/>
      <c r="G224" s="1400"/>
      <c r="H224" s="1400"/>
      <c r="I224" s="1400"/>
      <c r="J224" s="1400" t="s">
        <v>3005</v>
      </c>
      <c r="K224" s="1400"/>
      <c r="L224" s="1400" t="s">
        <v>4731</v>
      </c>
      <c r="M224" s="1400"/>
      <c r="N224" s="1400"/>
      <c r="O224" s="1400" t="s">
        <v>3046</v>
      </c>
      <c r="P224" s="1400"/>
      <c r="Q224" s="1380" t="s">
        <v>2084</v>
      </c>
      <c r="R224" s="1382"/>
      <c r="S224" s="1311"/>
      <c r="T224" s="1380" t="s">
        <v>209</v>
      </c>
      <c r="U224" s="1311"/>
      <c r="V224" s="1380" t="s">
        <v>2014</v>
      </c>
      <c r="W224" s="1396"/>
      <c r="X224" s="1380" t="s">
        <v>1387</v>
      </c>
      <c r="Y224" s="1396"/>
      <c r="Z224" s="1339" t="s">
        <v>95</v>
      </c>
      <c r="AA224" s="2125"/>
      <c r="AB224" s="2125"/>
      <c r="AC224" s="2125"/>
      <c r="AD224" s="2126"/>
      <c r="AG224" s="1417" t="s">
        <v>4819</v>
      </c>
      <c r="AH224" s="1418"/>
      <c r="AI224" s="1418"/>
      <c r="AJ224" s="1418"/>
      <c r="AK224" s="1418"/>
      <c r="AL224" s="1418"/>
      <c r="AM224" s="1419"/>
      <c r="AN224" s="1773"/>
      <c r="AO224" s="1774"/>
      <c r="AP224" s="1417" t="s">
        <v>4772</v>
      </c>
      <c r="AQ224" s="1418"/>
      <c r="AR224" s="1419"/>
      <c r="AS224" s="1417" t="s">
        <v>4773</v>
      </c>
      <c r="AT224" s="1418"/>
      <c r="AU224" s="1419"/>
      <c r="AV224" s="1417" t="s">
        <v>4719</v>
      </c>
      <c r="AW224" s="1419"/>
      <c r="AX224" s="1417" t="s">
        <v>3142</v>
      </c>
      <c r="AY224" s="1419"/>
      <c r="AZ224" s="1417" t="s">
        <v>4272</v>
      </c>
      <c r="BA224" s="1418"/>
      <c r="BB224" s="1419"/>
      <c r="BC224" s="1417" t="s">
        <v>4272</v>
      </c>
      <c r="BD224" s="1418"/>
      <c r="BE224" s="1419"/>
      <c r="BF224" s="1417" t="s">
        <v>2285</v>
      </c>
      <c r="BG224" s="1418"/>
      <c r="BH224" s="1418"/>
      <c r="BI224" s="1418"/>
      <c r="BJ224" s="1419"/>
      <c r="BM224" s="1417" t="s">
        <v>4819</v>
      </c>
      <c r="BN224" s="1418"/>
      <c r="BO224" s="1418"/>
      <c r="BP224" s="1418"/>
      <c r="BQ224" s="1418"/>
      <c r="BR224" s="1418"/>
      <c r="BS224" s="1419"/>
      <c r="BT224" s="1773"/>
      <c r="BU224" s="1774"/>
      <c r="BV224" s="1417" t="s">
        <v>4772</v>
      </c>
      <c r="BW224" s="1418"/>
      <c r="BX224" s="1419"/>
      <c r="BY224" s="1417" t="s">
        <v>4773</v>
      </c>
      <c r="BZ224" s="1418"/>
      <c r="CA224" s="1419"/>
      <c r="CB224" s="1417" t="s">
        <v>4719</v>
      </c>
      <c r="CC224" s="1419"/>
      <c r="CD224" s="1417" t="s">
        <v>3142</v>
      </c>
      <c r="CE224" s="1419"/>
      <c r="CF224" s="1417" t="s">
        <v>4272</v>
      </c>
      <c r="CG224" s="1418"/>
      <c r="CH224" s="1419"/>
      <c r="CI224" s="1417" t="s">
        <v>4272</v>
      </c>
      <c r="CJ224" s="1418"/>
      <c r="CK224" s="1419"/>
      <c r="CL224" s="1417" t="s">
        <v>2285</v>
      </c>
      <c r="CM224" s="1418"/>
      <c r="CN224" s="1418"/>
      <c r="CO224" s="1418"/>
      <c r="CP224" s="1419"/>
    </row>
    <row r="225" spans="1:94" ht="12.6" customHeight="1" outlineLevel="1">
      <c r="A225" s="1859" t="str">
        <f>CONCATENATE("Faith Primary (",'Faith&amp;AOF'!B3," )")</f>
        <v>Faith Primary (One True God )</v>
      </c>
      <c r="B225" s="1859"/>
      <c r="C225" s="1859"/>
      <c r="D225" s="1859"/>
      <c r="E225" s="1859"/>
      <c r="F225" s="1859"/>
      <c r="G225" s="1859"/>
      <c r="H225" s="1859"/>
      <c r="I225" s="1859"/>
      <c r="J225" s="1445">
        <f>'Faith&amp;AOF'!E3</f>
        <v>3</v>
      </c>
      <c r="K225" s="1445"/>
      <c r="L225" s="1748">
        <f>VLOOKUP(J225,'System Lookups'!$J$55:$P$64,IF(O225=" ",3,4))</f>
        <v>0.4</v>
      </c>
      <c r="M225" s="1382"/>
      <c r="N225" s="1311"/>
      <c r="O225" s="1445">
        <f>'Faith&amp;AOF'!F3</f>
        <v>6</v>
      </c>
      <c r="P225" s="1445"/>
      <c r="Q225" s="1748">
        <f>'Faith&amp;AOF'!G3</f>
        <v>0.2</v>
      </c>
      <c r="R225" s="1382"/>
      <c r="S225" s="1311"/>
      <c r="T225" s="1748">
        <f ca="1">'Faith&amp;AOF'!I3</f>
        <v>0.38</v>
      </c>
      <c r="U225" s="1311"/>
      <c r="V225" s="1748">
        <f ca="1">'Faith&amp;AOF'!J3</f>
        <v>0.78</v>
      </c>
      <c r="W225" s="1311"/>
      <c r="X225" s="1338">
        <f ca="1">(IF(V225&gt;VLOOKUP(J225,'System Lookups'!$J$55:$P$63,6),(((V225-VLOOKUP(J225,'System Lookups'!$J$55:$P$63,6))*100)/20),0))</f>
        <v>0</v>
      </c>
      <c r="Y225" s="1357"/>
      <c r="Z225" s="2202" t="s">
        <v>3556</v>
      </c>
      <c r="AA225" s="2203"/>
      <c r="AB225" s="2204"/>
      <c r="AC225" s="280" t="str">
        <f>'Faith&amp;AOF'!D13</f>
        <v>N</v>
      </c>
      <c r="AD225" s="281" t="s">
        <v>4325</v>
      </c>
      <c r="AG225" s="1414" t="s">
        <v>3973</v>
      </c>
      <c r="AH225" s="1415"/>
      <c r="AI225" s="1415"/>
      <c r="AJ225" s="1415"/>
      <c r="AK225" s="1415"/>
      <c r="AL225" s="1415"/>
      <c r="AM225" s="1416"/>
      <c r="AN225" s="1414" t="s">
        <v>578</v>
      </c>
      <c r="AO225" s="1416"/>
      <c r="AP225" s="1414" t="s">
        <v>4774</v>
      </c>
      <c r="AQ225" s="1415"/>
      <c r="AR225" s="1416"/>
      <c r="AS225" s="1414" t="s">
        <v>4775</v>
      </c>
      <c r="AT225" s="1415"/>
      <c r="AU225" s="1416"/>
      <c r="AV225" s="1414" t="s">
        <v>5217</v>
      </c>
      <c r="AW225" s="1416"/>
      <c r="AX225" s="1414" t="s">
        <v>5217</v>
      </c>
      <c r="AY225" s="1416"/>
      <c r="AZ225" s="1414" t="s">
        <v>3143</v>
      </c>
      <c r="BA225" s="1415"/>
      <c r="BB225" s="1416"/>
      <c r="BC225" s="1414" t="s">
        <v>3144</v>
      </c>
      <c r="BD225" s="1415"/>
      <c r="BE225" s="1416"/>
      <c r="BF225" s="1414" t="s">
        <v>2286</v>
      </c>
      <c r="BG225" s="1415"/>
      <c r="BH225" s="1415"/>
      <c r="BI225" s="1415"/>
      <c r="BJ225" s="1416"/>
      <c r="BM225" s="1414" t="s">
        <v>3973</v>
      </c>
      <c r="BN225" s="1415"/>
      <c r="BO225" s="1415"/>
      <c r="BP225" s="1415"/>
      <c r="BQ225" s="1415"/>
      <c r="BR225" s="1415"/>
      <c r="BS225" s="1416"/>
      <c r="BT225" s="1414" t="s">
        <v>578</v>
      </c>
      <c r="BU225" s="1416"/>
      <c r="BV225" s="1414" t="s">
        <v>4774</v>
      </c>
      <c r="BW225" s="1415"/>
      <c r="BX225" s="1416"/>
      <c r="BY225" s="1414" t="s">
        <v>4775</v>
      </c>
      <c r="BZ225" s="1415"/>
      <c r="CA225" s="1416"/>
      <c r="CB225" s="1414" t="s">
        <v>5217</v>
      </c>
      <c r="CC225" s="1416"/>
      <c r="CD225" s="1414" t="s">
        <v>5217</v>
      </c>
      <c r="CE225" s="1416"/>
      <c r="CF225" s="1414" t="s">
        <v>3143</v>
      </c>
      <c r="CG225" s="1415"/>
      <c r="CH225" s="1416"/>
      <c r="CI225" s="1414" t="s">
        <v>3144</v>
      </c>
      <c r="CJ225" s="1415"/>
      <c r="CK225" s="1416"/>
      <c r="CL225" s="1414" t="s">
        <v>2286</v>
      </c>
      <c r="CM225" s="1415"/>
      <c r="CN225" s="1415"/>
      <c r="CO225" s="1415"/>
      <c r="CP225" s="1416"/>
    </row>
    <row r="226" spans="1:94" ht="12.6" customHeight="1" outlineLevel="1">
      <c r="A226" s="1857" t="s">
        <v>2301</v>
      </c>
      <c r="B226" s="1857"/>
      <c r="C226" s="1857"/>
      <c r="D226" s="1857"/>
      <c r="E226" s="1857"/>
      <c r="F226" s="1857"/>
      <c r="G226" s="1857"/>
      <c r="H226" s="1857"/>
      <c r="I226" s="1857"/>
      <c r="J226" s="1828">
        <f>'Faith&amp;AOF'!E4</f>
        <v>4</v>
      </c>
      <c r="K226" s="1828"/>
      <c r="L226" s="1747">
        <f>VLOOKUP(J226,'System Lookups'!$J$55:$P$64,IF(O226=" ",3,4))</f>
        <v>0.2</v>
      </c>
      <c r="M226" s="1590"/>
      <c r="N226" s="1591"/>
      <c r="O226" s="1828" t="str">
        <f>'Faith&amp;AOF'!F4</f>
        <v xml:space="preserve"> </v>
      </c>
      <c r="P226" s="1828"/>
      <c r="Q226" s="1747">
        <f ca="1">'Faith&amp;AOF'!G4</f>
        <v>0.08</v>
      </c>
      <c r="R226" s="1382"/>
      <c r="S226" s="1311"/>
      <c r="T226" s="1747">
        <f ca="1">'Faith&amp;AOF'!I4</f>
        <v>0.08</v>
      </c>
      <c r="U226" s="1311"/>
      <c r="V226" s="1747">
        <f ca="1">'Faith&amp;AOF'!J4</f>
        <v>0.33</v>
      </c>
      <c r="W226" s="1311"/>
      <c r="X226" s="1736">
        <f ca="1">(IF(V226&gt;VLOOKUP(J226,'System Lookups'!$J$55:$P$63,6),(((V226-VLOOKUP(J226,'System Lookups'!$J$55:$P$63,6))*100)/20),0))</f>
        <v>0</v>
      </c>
      <c r="Y226" s="1737"/>
      <c r="Z226" s="1369" t="s">
        <v>3554</v>
      </c>
      <c r="AA226" s="1738"/>
      <c r="AB226" s="2063"/>
      <c r="AC226" s="280" t="str">
        <f>'Faith&amp;AOF'!D12</f>
        <v>Y</v>
      </c>
      <c r="AD226" s="280" t="str">
        <f>'Faith&amp;AOF'!C21</f>
        <v>Y</v>
      </c>
      <c r="AG226" s="1430" t="s">
        <v>579</v>
      </c>
      <c r="AH226" s="1431"/>
      <c r="AI226" s="1431"/>
      <c r="AJ226" s="1431"/>
      <c r="AK226" s="1431"/>
      <c r="AL226" s="1431"/>
      <c r="AM226" s="1432"/>
      <c r="AN226" s="1331"/>
      <c r="AO226" s="1332"/>
      <c r="AP226" s="1331"/>
      <c r="AQ226" s="1413"/>
      <c r="AR226" s="1332"/>
      <c r="AS226" s="1404"/>
      <c r="AT226" s="2205"/>
      <c r="AU226" s="1405"/>
      <c r="AV226" s="1331"/>
      <c r="AW226" s="1332"/>
      <c r="AX226" s="1331"/>
      <c r="AY226" s="1332"/>
      <c r="AZ226" s="1331"/>
      <c r="BA226" s="1413"/>
      <c r="BB226" s="1332"/>
      <c r="BC226" s="1331"/>
      <c r="BD226" s="1413"/>
      <c r="BE226" s="1332"/>
      <c r="BF226" s="1331"/>
      <c r="BG226" s="1413"/>
      <c r="BH226" s="1413"/>
      <c r="BI226" s="1413"/>
      <c r="BJ226" s="1332"/>
      <c r="BM226" s="1430" t="s">
        <v>579</v>
      </c>
      <c r="BN226" s="1431"/>
      <c r="BO226" s="1431"/>
      <c r="BP226" s="1431"/>
      <c r="BQ226" s="1431"/>
      <c r="BR226" s="1431"/>
      <c r="BS226" s="1432"/>
      <c r="BT226" s="1331"/>
      <c r="BU226" s="1332"/>
      <c r="BV226" s="1331"/>
      <c r="BW226" s="1413"/>
      <c r="BX226" s="1332"/>
      <c r="BY226" s="1404"/>
      <c r="BZ226" s="2205"/>
      <c r="CA226" s="1405"/>
      <c r="CB226" s="1331"/>
      <c r="CC226" s="1332"/>
      <c r="CD226" s="1331"/>
      <c r="CE226" s="1332"/>
      <c r="CF226" s="1331"/>
      <c r="CG226" s="1413"/>
      <c r="CH226" s="1332"/>
      <c r="CI226" s="1331"/>
      <c r="CJ226" s="1413"/>
      <c r="CK226" s="1332"/>
      <c r="CL226" s="1331"/>
      <c r="CM226" s="1413"/>
      <c r="CN226" s="1413"/>
      <c r="CO226" s="1413"/>
      <c r="CP226" s="1332"/>
    </row>
    <row r="227" spans="1:94" ht="12.6" customHeight="1" outlineLevel="1">
      <c r="A227" s="2179" t="s">
        <v>2303</v>
      </c>
      <c r="B227" s="2180"/>
      <c r="C227" s="2180"/>
      <c r="D227" s="2180"/>
      <c r="E227" s="2180"/>
      <c r="F227" s="2180"/>
      <c r="G227" s="2180"/>
      <c r="H227" s="2180"/>
      <c r="I227" s="2181"/>
      <c r="J227" s="1445"/>
      <c r="K227" s="1445"/>
      <c r="L227" s="1748"/>
      <c r="M227" s="1382"/>
      <c r="N227" s="1311"/>
      <c r="O227" s="1445"/>
      <c r="P227" s="1445"/>
      <c r="Q227" s="1743"/>
      <c r="R227" s="1382"/>
      <c r="S227" s="1311"/>
      <c r="T227" s="1743"/>
      <c r="U227" s="1311"/>
      <c r="V227" s="1743"/>
      <c r="W227" s="1790"/>
      <c r="X227" s="1784"/>
      <c r="Y227" s="1570"/>
      <c r="Z227" s="1364" t="s">
        <v>3555</v>
      </c>
      <c r="AA227" s="1750"/>
      <c r="AB227" s="2054"/>
      <c r="AC227" s="280" t="str">
        <f>'Faith&amp;AOF'!D15</f>
        <v>N</v>
      </c>
      <c r="AD227" s="281"/>
      <c r="AG227" s="1778"/>
      <c r="AH227" s="1779"/>
      <c r="AI227" s="1779"/>
      <c r="AJ227" s="1779"/>
      <c r="AK227" s="1779"/>
      <c r="AL227" s="1779"/>
      <c r="AM227" s="1780"/>
      <c r="AN227" s="1411"/>
      <c r="AO227" s="1772"/>
      <c r="AP227" s="1411"/>
      <c r="AQ227" s="1771"/>
      <c r="AR227" s="1772"/>
      <c r="AS227" s="1427"/>
      <c r="AT227" s="1781"/>
      <c r="AU227" s="1782"/>
      <c r="AV227" s="1785"/>
      <c r="AW227" s="1786"/>
      <c r="AX227" s="1411"/>
      <c r="AY227" s="1772"/>
      <c r="AZ227" s="1411"/>
      <c r="BA227" s="1771"/>
      <c r="BB227" s="1772"/>
      <c r="BC227" s="1411"/>
      <c r="BD227" s="1771"/>
      <c r="BE227" s="1772"/>
      <c r="BF227" s="1411"/>
      <c r="BG227" s="1771"/>
      <c r="BH227" s="1771"/>
      <c r="BI227" s="1771"/>
      <c r="BJ227" s="1772"/>
      <c r="BM227" s="1778"/>
      <c r="BN227" s="1779"/>
      <c r="BO227" s="1779"/>
      <c r="BP227" s="1779"/>
      <c r="BQ227" s="1779"/>
      <c r="BR227" s="1779"/>
      <c r="BS227" s="1780"/>
      <c r="BT227" s="1411"/>
      <c r="BU227" s="1772"/>
      <c r="BV227" s="1411"/>
      <c r="BW227" s="1771"/>
      <c r="BX227" s="1772"/>
      <c r="BY227" s="1427"/>
      <c r="BZ227" s="1781"/>
      <c r="CA227" s="1782"/>
      <c r="CB227" s="1785"/>
      <c r="CC227" s="1786"/>
      <c r="CD227" s="1411"/>
      <c r="CE227" s="1772"/>
      <c r="CF227" s="1411"/>
      <c r="CG227" s="1771"/>
      <c r="CH227" s="1772"/>
      <c r="CI227" s="1411"/>
      <c r="CJ227" s="1771"/>
      <c r="CK227" s="1772"/>
      <c r="CL227" s="1411"/>
      <c r="CM227" s="1771"/>
      <c r="CN227" s="1771"/>
      <c r="CO227" s="1771"/>
      <c r="CP227" s="1772"/>
    </row>
    <row r="228" spans="1:94" ht="12.6" customHeight="1" outlineLevel="1">
      <c r="A228" s="2099" t="s">
        <v>2304</v>
      </c>
      <c r="B228" s="2099"/>
      <c r="C228" s="2099"/>
      <c r="D228" s="2099"/>
      <c r="E228" s="2099"/>
      <c r="F228" s="2099"/>
      <c r="G228" s="2099"/>
      <c r="H228" s="2099"/>
      <c r="I228" s="2099"/>
      <c r="J228" s="1828"/>
      <c r="K228" s="1828"/>
      <c r="L228" s="1747"/>
      <c r="M228" s="1590"/>
      <c r="N228" s="1591"/>
      <c r="O228" s="1828"/>
      <c r="P228" s="1828"/>
      <c r="Q228" s="1787"/>
      <c r="R228" s="1382"/>
      <c r="S228" s="1311"/>
      <c r="T228" s="1787"/>
      <c r="U228" s="1311"/>
      <c r="V228" s="1787"/>
      <c r="W228" s="1858"/>
      <c r="X228" s="1736"/>
      <c r="Y228" s="1737"/>
      <c r="Z228" s="284" t="s">
        <v>3795</v>
      </c>
      <c r="AA228" s="282"/>
      <c r="AB228" s="282"/>
      <c r="AC228" s="280">
        <f>'Faith&amp;AOF'!C22</f>
        <v>7</v>
      </c>
      <c r="AD228" s="285" t="s">
        <v>2229</v>
      </c>
      <c r="AG228" s="1375"/>
      <c r="AH228" s="1378"/>
      <c r="AI228" s="1378"/>
      <c r="AJ228" s="1378"/>
      <c r="AK228" s="1378"/>
      <c r="AL228" s="1378"/>
      <c r="AM228" s="1379"/>
      <c r="AN228" s="1438"/>
      <c r="AO228" s="1439"/>
      <c r="AP228" s="1438"/>
      <c r="AQ228" s="1440"/>
      <c r="AR228" s="1439"/>
      <c r="AS228" s="1422"/>
      <c r="AT228" s="1423"/>
      <c r="AU228" s="1424"/>
      <c r="AV228" s="1318"/>
      <c r="AW228" s="1421"/>
      <c r="AX228" s="1318"/>
      <c r="AY228" s="1421"/>
      <c r="AZ228" s="1318"/>
      <c r="BA228" s="1420"/>
      <c r="BB228" s="1421"/>
      <c r="BC228" s="1318"/>
      <c r="BD228" s="1420"/>
      <c r="BE228" s="1421"/>
      <c r="BF228" s="1318"/>
      <c r="BG228" s="1420"/>
      <c r="BH228" s="1420"/>
      <c r="BI228" s="1420"/>
      <c r="BJ228" s="1421"/>
      <c r="BM228" s="1375"/>
      <c r="BN228" s="1378"/>
      <c r="BO228" s="1378"/>
      <c r="BP228" s="1378"/>
      <c r="BQ228" s="1378"/>
      <c r="BR228" s="1378"/>
      <c r="BS228" s="1379"/>
      <c r="BT228" s="1438"/>
      <c r="BU228" s="1439"/>
      <c r="BV228" s="1438"/>
      <c r="BW228" s="1440"/>
      <c r="BX228" s="1439"/>
      <c r="BY228" s="1422"/>
      <c r="BZ228" s="1423"/>
      <c r="CA228" s="1424"/>
      <c r="CB228" s="1318"/>
      <c r="CC228" s="1421"/>
      <c r="CD228" s="1318"/>
      <c r="CE228" s="1421"/>
      <c r="CF228" s="1318"/>
      <c r="CG228" s="1420"/>
      <c r="CH228" s="1421"/>
      <c r="CI228" s="1318"/>
      <c r="CJ228" s="1420"/>
      <c r="CK228" s="1421"/>
      <c r="CL228" s="1318"/>
      <c r="CM228" s="1420"/>
      <c r="CN228" s="1420"/>
      <c r="CO228" s="1420"/>
      <c r="CP228" s="1421"/>
    </row>
    <row r="229" spans="1:94" ht="12.6" customHeight="1" outlineLevel="1">
      <c r="A229" s="2178" t="s">
        <v>4607</v>
      </c>
      <c r="B229" s="2178"/>
      <c r="C229" s="2178"/>
      <c r="D229" s="2178"/>
      <c r="E229" s="2178"/>
      <c r="F229" s="2178"/>
      <c r="G229" s="2178"/>
      <c r="H229" s="2178"/>
      <c r="I229" s="2178"/>
      <c r="J229" s="1445"/>
      <c r="K229" s="1445"/>
      <c r="L229" s="1748"/>
      <c r="M229" s="1382"/>
      <c r="N229" s="1311"/>
      <c r="O229" s="1445"/>
      <c r="P229" s="1445"/>
      <c r="Q229" s="1743"/>
      <c r="R229" s="1382"/>
      <c r="S229" s="1311"/>
      <c r="T229" s="1743"/>
      <c r="U229" s="1311"/>
      <c r="V229" s="1743"/>
      <c r="W229" s="1790"/>
      <c r="X229" s="1784"/>
      <c r="Y229" s="1570"/>
      <c r="Z229" s="1812" t="s">
        <v>97</v>
      </c>
      <c r="AA229" s="1813"/>
      <c r="AB229" s="1813"/>
      <c r="AC229" s="1813"/>
      <c r="AD229" s="1814"/>
      <c r="AG229" s="1778"/>
      <c r="AH229" s="1779"/>
      <c r="AI229" s="1779"/>
      <c r="AJ229" s="1779"/>
      <c r="AK229" s="1779"/>
      <c r="AL229" s="1779"/>
      <c r="AM229" s="1780"/>
      <c r="AN229" s="1411"/>
      <c r="AO229" s="1772"/>
      <c r="AP229" s="1411"/>
      <c r="AQ229" s="1771"/>
      <c r="AR229" s="1772"/>
      <c r="AS229" s="1427"/>
      <c r="AT229" s="1781"/>
      <c r="AU229" s="1782"/>
      <c r="AV229" s="1411"/>
      <c r="AW229" s="1772"/>
      <c r="AX229" s="1411"/>
      <c r="AY229" s="1772"/>
      <c r="AZ229" s="1411"/>
      <c r="BA229" s="1771"/>
      <c r="BB229" s="1772"/>
      <c r="BC229" s="1411"/>
      <c r="BD229" s="1771"/>
      <c r="BE229" s="1772"/>
      <c r="BF229" s="1411"/>
      <c r="BG229" s="1771"/>
      <c r="BH229" s="1771"/>
      <c r="BI229" s="1771"/>
      <c r="BJ229" s="1772"/>
      <c r="BM229" s="1778"/>
      <c r="BN229" s="1779"/>
      <c r="BO229" s="1779"/>
      <c r="BP229" s="1779"/>
      <c r="BQ229" s="1779"/>
      <c r="BR229" s="1779"/>
      <c r="BS229" s="1780"/>
      <c r="BT229" s="1411"/>
      <c r="BU229" s="1772"/>
      <c r="BV229" s="1411"/>
      <c r="BW229" s="1771"/>
      <c r="BX229" s="1772"/>
      <c r="BY229" s="1427"/>
      <c r="BZ229" s="1781"/>
      <c r="CA229" s="1782"/>
      <c r="CB229" s="1411"/>
      <c r="CC229" s="1772"/>
      <c r="CD229" s="1411"/>
      <c r="CE229" s="1772"/>
      <c r="CF229" s="1411"/>
      <c r="CG229" s="1771"/>
      <c r="CH229" s="1772"/>
      <c r="CI229" s="1411"/>
      <c r="CJ229" s="1771"/>
      <c r="CK229" s="1772"/>
      <c r="CL229" s="1411"/>
      <c r="CM229" s="1771"/>
      <c r="CN229" s="1771"/>
      <c r="CO229" s="1771"/>
      <c r="CP229" s="1772"/>
    </row>
    <row r="230" spans="1:94" ht="12.6" customHeight="1" outlineLevel="1">
      <c r="A230" s="2100" t="s">
        <v>4751</v>
      </c>
      <c r="B230" s="2101"/>
      <c r="C230" s="2101"/>
      <c r="D230" s="2101"/>
      <c r="E230" s="2101"/>
      <c r="F230" s="2101"/>
      <c r="G230" s="2101"/>
      <c r="H230" s="2101"/>
      <c r="I230" s="2102"/>
      <c r="J230" s="1787">
        <f>'Faith&amp;AOF'!E8</f>
        <v>4</v>
      </c>
      <c r="K230" s="1591"/>
      <c r="L230" s="1747">
        <f>VLOOKUP(J230,'System Lookups'!$J$55:$P$64,IF(O230=" ",3,4))</f>
        <v>0.2</v>
      </c>
      <c r="M230" s="1590"/>
      <c r="N230" s="1591"/>
      <c r="O230" s="1828" t="str">
        <f>'Faith&amp;AOF'!F8</f>
        <v xml:space="preserve"> </v>
      </c>
      <c r="P230" s="1828"/>
      <c r="Q230" s="1747">
        <f ca="1">'Faith&amp;AOF'!G8</f>
        <v>0.1</v>
      </c>
      <c r="R230" s="1382"/>
      <c r="S230" s="1311"/>
      <c r="T230" s="1747">
        <f ca="1">'Faith&amp;AOF'!I8</f>
        <v>0.1</v>
      </c>
      <c r="U230" s="1311"/>
      <c r="V230" s="1747">
        <f>'Faith&amp;AOF'!J8</f>
        <v>0.2</v>
      </c>
      <c r="W230" s="1311"/>
      <c r="X230" s="1736">
        <f>(IF(V230&gt;VLOOKUP(J230,'System Lookups'!$J$55:$P$63,6),(((V230-VLOOKUP(J230,'System Lookups'!$J$55:$P$63,6))*100)/20),0))</f>
        <v>0</v>
      </c>
      <c r="Y230" s="1737"/>
      <c r="Z230" s="1369" t="s">
        <v>4516</v>
      </c>
      <c r="AA230" s="1482"/>
      <c r="AB230" s="1482"/>
      <c r="AC230" s="287">
        <f>'Faith&amp;AOF'!I20</f>
        <v>-2</v>
      </c>
      <c r="AD230" s="283"/>
      <c r="AG230" s="1375"/>
      <c r="AH230" s="1378"/>
      <c r="AI230" s="1378"/>
      <c r="AJ230" s="1378"/>
      <c r="AK230" s="1378"/>
      <c r="AL230" s="1378"/>
      <c r="AM230" s="1379"/>
      <c r="AN230" s="1438"/>
      <c r="AO230" s="1439"/>
      <c r="AP230" s="1438"/>
      <c r="AQ230" s="1440"/>
      <c r="AR230" s="1439"/>
      <c r="AS230" s="1422"/>
      <c r="AT230" s="1423"/>
      <c r="AU230" s="1424"/>
      <c r="AV230" s="1318"/>
      <c r="AW230" s="1421"/>
      <c r="AX230" s="1318"/>
      <c r="AY230" s="1421"/>
      <c r="AZ230" s="1318"/>
      <c r="BA230" s="1420"/>
      <c r="BB230" s="1421"/>
      <c r="BC230" s="1318"/>
      <c r="BD230" s="1420"/>
      <c r="BE230" s="1421"/>
      <c r="BF230" s="1318"/>
      <c r="BG230" s="1420"/>
      <c r="BH230" s="1420"/>
      <c r="BI230" s="1420"/>
      <c r="BJ230" s="1421"/>
      <c r="BM230" s="1375"/>
      <c r="BN230" s="1378"/>
      <c r="BO230" s="1378"/>
      <c r="BP230" s="1378"/>
      <c r="BQ230" s="1378"/>
      <c r="BR230" s="1378"/>
      <c r="BS230" s="1379"/>
      <c r="BT230" s="1438"/>
      <c r="BU230" s="1439"/>
      <c r="BV230" s="1438"/>
      <c r="BW230" s="1440"/>
      <c r="BX230" s="1439"/>
      <c r="BY230" s="1422"/>
      <c r="BZ230" s="1423"/>
      <c r="CA230" s="1424"/>
      <c r="CB230" s="1318"/>
      <c r="CC230" s="1421"/>
      <c r="CD230" s="1318"/>
      <c r="CE230" s="1421"/>
      <c r="CF230" s="1318"/>
      <c r="CG230" s="1420"/>
      <c r="CH230" s="1421"/>
      <c r="CI230" s="1318"/>
      <c r="CJ230" s="1420"/>
      <c r="CK230" s="1421"/>
      <c r="CL230" s="1318"/>
      <c r="CM230" s="1420"/>
      <c r="CN230" s="1420"/>
      <c r="CO230" s="1420"/>
      <c r="CP230" s="1421"/>
    </row>
    <row r="231" spans="1:94" ht="12.6" customHeight="1" outlineLevel="1">
      <c r="A231" s="2103" t="s">
        <v>4752</v>
      </c>
      <c r="B231" s="2104"/>
      <c r="C231" s="2104"/>
      <c r="D231" s="2104"/>
      <c r="E231" s="2104"/>
      <c r="F231" s="2104"/>
      <c r="G231" s="2104"/>
      <c r="H231" s="2104"/>
      <c r="I231" s="2105"/>
      <c r="J231" s="1743">
        <f>'Faith&amp;AOF'!E9</f>
        <v>4</v>
      </c>
      <c r="K231" s="1450"/>
      <c r="L231" s="1748">
        <f>VLOOKUP(J231,'System Lookups'!$J$55:$P$64,IF(O231=" ",3,4))</f>
        <v>0.2</v>
      </c>
      <c r="M231" s="1382"/>
      <c r="N231" s="1311"/>
      <c r="O231" s="1445" t="str">
        <f>'Faith&amp;AOF'!F9</f>
        <v xml:space="preserve"> </v>
      </c>
      <c r="P231" s="1445"/>
      <c r="Q231" s="1748">
        <f ca="1">'Faith&amp;AOF'!G9</f>
        <v>0.08</v>
      </c>
      <c r="R231" s="1382"/>
      <c r="S231" s="1311"/>
      <c r="T231" s="1748">
        <f ca="1">'Faith&amp;AOF'!I9</f>
        <v>0.08</v>
      </c>
      <c r="U231" s="1311"/>
      <c r="V231" s="1748">
        <f>'Faith&amp;AOF'!J9</f>
        <v>0.2</v>
      </c>
      <c r="W231" s="1311"/>
      <c r="X231" s="1338">
        <f>(IF(V231&gt;VLOOKUP(J231,'System Lookups'!$J$55:$P$63,6),(((V231-VLOOKUP(J231,'System Lookups'!$J$55:$P$63,6))*100)/20),0))</f>
        <v>0</v>
      </c>
      <c r="Y231" s="1357"/>
      <c r="Z231" s="1364" t="s">
        <v>96</v>
      </c>
      <c r="AA231" s="1482"/>
      <c r="AB231" s="1482"/>
      <c r="AC231" s="1749" t="str">
        <f>CONCATENATE(" ",+'Faith&amp;AOF'!I21*100," / ",(2*+'Faith&amp;AOF'!I21)*100)</f>
        <v xml:space="preserve"> 6 / 12</v>
      </c>
      <c r="AD231" s="1345"/>
      <c r="AG231" s="1778"/>
      <c r="AH231" s="1779"/>
      <c r="AI231" s="1779"/>
      <c r="AJ231" s="1779"/>
      <c r="AK231" s="1779"/>
      <c r="AL231" s="1779"/>
      <c r="AM231" s="1780"/>
      <c r="AN231" s="1411"/>
      <c r="AO231" s="1772"/>
      <c r="AP231" s="1411"/>
      <c r="AQ231" s="1771"/>
      <c r="AR231" s="1772"/>
      <c r="AS231" s="1427"/>
      <c r="AT231" s="1781"/>
      <c r="AU231" s="1782"/>
      <c r="AV231" s="1411"/>
      <c r="AW231" s="1772"/>
      <c r="AX231" s="1411"/>
      <c r="AY231" s="1772"/>
      <c r="AZ231" s="1411"/>
      <c r="BA231" s="1771"/>
      <c r="BB231" s="1772"/>
      <c r="BC231" s="1411"/>
      <c r="BD231" s="1771"/>
      <c r="BE231" s="1772"/>
      <c r="BF231" s="1411"/>
      <c r="BG231" s="1771"/>
      <c r="BH231" s="1771"/>
      <c r="BI231" s="1771"/>
      <c r="BJ231" s="1772"/>
      <c r="BM231" s="1778"/>
      <c r="BN231" s="1779"/>
      <c r="BO231" s="1779"/>
      <c r="BP231" s="1779"/>
      <c r="BQ231" s="1779"/>
      <c r="BR231" s="1779"/>
      <c r="BS231" s="1780"/>
      <c r="BT231" s="1411"/>
      <c r="BU231" s="1772"/>
      <c r="BV231" s="1411"/>
      <c r="BW231" s="1771"/>
      <c r="BX231" s="1772"/>
      <c r="BY231" s="1427"/>
      <c r="BZ231" s="1781"/>
      <c r="CA231" s="1782"/>
      <c r="CB231" s="1411"/>
      <c r="CC231" s="1772"/>
      <c r="CD231" s="1411"/>
      <c r="CE231" s="1772"/>
      <c r="CF231" s="1411"/>
      <c r="CG231" s="1771"/>
      <c r="CH231" s="1772"/>
      <c r="CI231" s="1411"/>
      <c r="CJ231" s="1771"/>
      <c r="CK231" s="1772"/>
      <c r="CL231" s="1411"/>
      <c r="CM231" s="1771"/>
      <c r="CN231" s="1771"/>
      <c r="CO231" s="1771"/>
      <c r="CP231" s="1772"/>
    </row>
    <row r="232" spans="1:94" ht="12.6" customHeight="1" outlineLevel="1">
      <c r="A232" s="1857" t="str">
        <f>CONCATENATE("Faith Secondary (",'Faith&amp;AOF'!B51," )")</f>
        <v>Faith Secondary (Faith of Azatar )</v>
      </c>
      <c r="B232" s="1857"/>
      <c r="C232" s="1857"/>
      <c r="D232" s="1857"/>
      <c r="E232" s="1857"/>
      <c r="F232" s="1857"/>
      <c r="G232" s="1857"/>
      <c r="H232" s="1857"/>
      <c r="I232" s="1857"/>
      <c r="J232" s="1787">
        <f>IF(ISBLANK('Faith&amp;AOF'!B51)," ",+'Faith&amp;AOF'!E51)</f>
        <v>6</v>
      </c>
      <c r="K232" s="1858"/>
      <c r="L232" s="1747">
        <f>IF(ISBLANK('Faith&amp;AOF'!B51)," ",VLOOKUP(J232,'System Lookups'!$J$55:$P$64,IF(O232=" ",3,4)))</f>
        <v>0.1</v>
      </c>
      <c r="M232" s="1590"/>
      <c r="N232" s="1591"/>
      <c r="O232" s="1828">
        <f>IF(ISBLANK('Faith&amp;AOF'!B51)," ",+'Faith&amp;AOF'!F51)</f>
        <v>0</v>
      </c>
      <c r="P232" s="1828"/>
      <c r="Q232" s="1747">
        <f>IF(ISBLANK('Faith&amp;AOF'!B51)," ",+'Faith&amp;AOF'!G51)</f>
        <v>0.2</v>
      </c>
      <c r="R232" s="1382"/>
      <c r="S232" s="1311"/>
      <c r="T232" s="1747">
        <f>IF(ISBLANK('Faith&amp;AOF'!B51)," ",+'Faith&amp;AOF'!I51)</f>
        <v>0.2</v>
      </c>
      <c r="U232" s="1311"/>
      <c r="V232" s="1747">
        <f>IF(ISBLANK('Faith&amp;AOF'!B51)," ",+'Faith&amp;AOF'!J51)</f>
        <v>0.25</v>
      </c>
      <c r="W232" s="1311"/>
      <c r="X232" s="1736">
        <f>IF(ISBLANK('Faith&amp;AOF'!B51),"",(IF(V232&gt;VLOOKUP(J232,'System Lookups'!$J$55:$P$63,6),(((V232-VLOOKUP(J232,'System Lookups'!$J$55:$P$63,6))*100)/20),0)))</f>
        <v>0</v>
      </c>
      <c r="Y232" s="1737"/>
      <c r="Z232" s="1369" t="s">
        <v>4515</v>
      </c>
      <c r="AA232" s="1738"/>
      <c r="AB232" s="1739"/>
      <c r="AC232" s="288">
        <f>'Faith&amp;AOF'!I22</f>
        <v>6.666666666666667</v>
      </c>
      <c r="AD232" s="280"/>
      <c r="AG232" s="1375"/>
      <c r="AH232" s="1378"/>
      <c r="AI232" s="1378"/>
      <c r="AJ232" s="1378"/>
      <c r="AK232" s="1378"/>
      <c r="AL232" s="1378"/>
      <c r="AM232" s="1379"/>
      <c r="AN232" s="1438"/>
      <c r="AO232" s="1439"/>
      <c r="AP232" s="1438"/>
      <c r="AQ232" s="1440"/>
      <c r="AR232" s="1439"/>
      <c r="AS232" s="1422"/>
      <c r="AT232" s="1423"/>
      <c r="AU232" s="1424"/>
      <c r="AV232" s="1318"/>
      <c r="AW232" s="1421"/>
      <c r="AX232" s="1318"/>
      <c r="AY232" s="1421"/>
      <c r="AZ232" s="1318"/>
      <c r="BA232" s="1420"/>
      <c r="BB232" s="1421"/>
      <c r="BC232" s="1318"/>
      <c r="BD232" s="1420"/>
      <c r="BE232" s="1421"/>
      <c r="BF232" s="1318"/>
      <c r="BG232" s="1420"/>
      <c r="BH232" s="1420"/>
      <c r="BI232" s="1420"/>
      <c r="BJ232" s="1421"/>
      <c r="BM232" s="1375"/>
      <c r="BN232" s="1378"/>
      <c r="BO232" s="1378"/>
      <c r="BP232" s="1378"/>
      <c r="BQ232" s="1378"/>
      <c r="BR232" s="1378"/>
      <c r="BS232" s="1379"/>
      <c r="BT232" s="1438"/>
      <c r="BU232" s="1439"/>
      <c r="BV232" s="1438"/>
      <c r="BW232" s="1440"/>
      <c r="BX232" s="1439"/>
      <c r="BY232" s="1422"/>
      <c r="BZ232" s="1423"/>
      <c r="CA232" s="1424"/>
      <c r="CB232" s="1318"/>
      <c r="CC232" s="1421"/>
      <c r="CD232" s="1318"/>
      <c r="CE232" s="1421"/>
      <c r="CF232" s="1318"/>
      <c r="CG232" s="1420"/>
      <c r="CH232" s="1421"/>
      <c r="CI232" s="1318"/>
      <c r="CJ232" s="1420"/>
      <c r="CK232" s="1421"/>
      <c r="CL232" s="1318"/>
      <c r="CM232" s="1420"/>
      <c r="CN232" s="1420"/>
      <c r="CO232" s="1420"/>
      <c r="CP232" s="1421"/>
    </row>
    <row r="233" spans="1:94" ht="12.6" customHeight="1" outlineLevel="1">
      <c r="A233" s="100"/>
      <c r="B233" s="95"/>
      <c r="C233" s="95"/>
      <c r="D233" s="95"/>
      <c r="E233" s="95"/>
      <c r="F233" s="95"/>
      <c r="G233" s="96"/>
      <c r="H233" s="1417" t="s">
        <v>1273</v>
      </c>
      <c r="I233" s="1418"/>
      <c r="J233" s="1418"/>
      <c r="K233" s="1419"/>
      <c r="L233" s="1417" t="s">
        <v>379</v>
      </c>
      <c r="M233" s="1418"/>
      <c r="N233" s="1418"/>
      <c r="O233" s="1419"/>
      <c r="P233" s="1417" t="s">
        <v>379</v>
      </c>
      <c r="Q233" s="1418"/>
      <c r="R233" s="1419"/>
      <c r="S233" s="1417" t="s">
        <v>1274</v>
      </c>
      <c r="T233" s="2109"/>
      <c r="U233" s="2109"/>
      <c r="V233" s="2109"/>
      <c r="W233" s="1872"/>
      <c r="X233" s="1417" t="s">
        <v>3606</v>
      </c>
      <c r="Y233" s="1810"/>
      <c r="Z233" s="1810"/>
      <c r="AA233" s="1810"/>
      <c r="AB233" s="1810"/>
      <c r="AC233" s="1810"/>
      <c r="AD233" s="1811"/>
      <c r="AG233" s="1778"/>
      <c r="AH233" s="1779"/>
      <c r="AI233" s="1779"/>
      <c r="AJ233" s="1779"/>
      <c r="AK233" s="1779"/>
      <c r="AL233" s="1779"/>
      <c r="AM233" s="1780"/>
      <c r="AN233" s="1411"/>
      <c r="AO233" s="1772"/>
      <c r="AP233" s="1411"/>
      <c r="AQ233" s="1771"/>
      <c r="AR233" s="1772"/>
      <c r="AS233" s="1427"/>
      <c r="AT233" s="1781"/>
      <c r="AU233" s="1782"/>
      <c r="AV233" s="1411"/>
      <c r="AW233" s="1772"/>
      <c r="AX233" s="1411"/>
      <c r="AY233" s="1772"/>
      <c r="AZ233" s="1411"/>
      <c r="BA233" s="1771"/>
      <c r="BB233" s="1772"/>
      <c r="BC233" s="1411"/>
      <c r="BD233" s="1771"/>
      <c r="BE233" s="1772"/>
      <c r="BF233" s="1411"/>
      <c r="BG233" s="1771"/>
      <c r="BH233" s="1771"/>
      <c r="BI233" s="1771"/>
      <c r="BJ233" s="1772"/>
      <c r="BM233" s="1778"/>
      <c r="BN233" s="1779"/>
      <c r="BO233" s="1779"/>
      <c r="BP233" s="1779"/>
      <c r="BQ233" s="1779"/>
      <c r="BR233" s="1779"/>
      <c r="BS233" s="1780"/>
      <c r="BT233" s="1411"/>
      <c r="BU233" s="1772"/>
      <c r="BV233" s="1411"/>
      <c r="BW233" s="1771"/>
      <c r="BX233" s="1772"/>
      <c r="BY233" s="1427"/>
      <c r="BZ233" s="1781"/>
      <c r="CA233" s="1782"/>
      <c r="CB233" s="1411"/>
      <c r="CC233" s="1772"/>
      <c r="CD233" s="1411"/>
      <c r="CE233" s="1772"/>
      <c r="CF233" s="1411"/>
      <c r="CG233" s="1771"/>
      <c r="CH233" s="1772"/>
      <c r="CI233" s="1411"/>
      <c r="CJ233" s="1771"/>
      <c r="CK233" s="1772"/>
      <c r="CL233" s="1411"/>
      <c r="CM233" s="1771"/>
      <c r="CN233" s="1771"/>
      <c r="CO233" s="1771"/>
      <c r="CP233" s="1772"/>
    </row>
    <row r="234" spans="1:94" ht="12.6" customHeight="1" outlineLevel="1">
      <c r="A234" s="81" t="s">
        <v>1275</v>
      </c>
      <c r="B234" s="98"/>
      <c r="C234" s="98"/>
      <c r="D234" s="98"/>
      <c r="E234" s="98"/>
      <c r="F234" s="98"/>
      <c r="G234" s="99"/>
      <c r="H234" s="1414" t="s">
        <v>1276</v>
      </c>
      <c r="I234" s="1415"/>
      <c r="J234" s="1415"/>
      <c r="K234" s="1416"/>
      <c r="L234" s="1414" t="s">
        <v>1276</v>
      </c>
      <c r="M234" s="1415"/>
      <c r="N234" s="1415"/>
      <c r="O234" s="1416"/>
      <c r="P234" s="1414" t="s">
        <v>578</v>
      </c>
      <c r="Q234" s="1415"/>
      <c r="R234" s="1416"/>
      <c r="S234" s="1414" t="s">
        <v>4480</v>
      </c>
      <c r="T234" s="1861"/>
      <c r="U234" s="1861"/>
      <c r="V234" s="1861"/>
      <c r="W234" s="1862"/>
      <c r="X234" s="1414" t="s">
        <v>2364</v>
      </c>
      <c r="Y234" s="1792"/>
      <c r="Z234" s="1792"/>
      <c r="AA234" s="1792"/>
      <c r="AB234" s="1792"/>
      <c r="AC234" s="1792"/>
      <c r="AD234" s="1793"/>
      <c r="AG234" s="1375"/>
      <c r="AH234" s="1378"/>
      <c r="AI234" s="1378"/>
      <c r="AJ234" s="1378"/>
      <c r="AK234" s="1378"/>
      <c r="AL234" s="1378"/>
      <c r="AM234" s="1379"/>
      <c r="AN234" s="1438"/>
      <c r="AO234" s="1439"/>
      <c r="AP234" s="1438"/>
      <c r="AQ234" s="1440"/>
      <c r="AR234" s="1439"/>
      <c r="AS234" s="1422"/>
      <c r="AT234" s="1423"/>
      <c r="AU234" s="1424"/>
      <c r="AV234" s="1318"/>
      <c r="AW234" s="1421"/>
      <c r="AX234" s="1318"/>
      <c r="AY234" s="1421"/>
      <c r="AZ234" s="1318"/>
      <c r="BA234" s="1420"/>
      <c r="BB234" s="1421"/>
      <c r="BC234" s="1318"/>
      <c r="BD234" s="1420"/>
      <c r="BE234" s="1421"/>
      <c r="BF234" s="1318"/>
      <c r="BG234" s="1420"/>
      <c r="BH234" s="1420"/>
      <c r="BI234" s="1420"/>
      <c r="BJ234" s="1421"/>
      <c r="BM234" s="1375"/>
      <c r="BN234" s="1378"/>
      <c r="BO234" s="1378"/>
      <c r="BP234" s="1378"/>
      <c r="BQ234" s="1378"/>
      <c r="BR234" s="1378"/>
      <c r="BS234" s="1379"/>
      <c r="BT234" s="1438"/>
      <c r="BU234" s="1439"/>
      <c r="BV234" s="1438"/>
      <c r="BW234" s="1440"/>
      <c r="BX234" s="1439"/>
      <c r="BY234" s="1422"/>
      <c r="BZ234" s="1423"/>
      <c r="CA234" s="1424"/>
      <c r="CB234" s="1318"/>
      <c r="CC234" s="1421"/>
      <c r="CD234" s="1318"/>
      <c r="CE234" s="1421"/>
      <c r="CF234" s="1318"/>
      <c r="CG234" s="1420"/>
      <c r="CH234" s="1421"/>
      <c r="CI234" s="1318"/>
      <c r="CJ234" s="1420"/>
      <c r="CK234" s="1421"/>
      <c r="CL234" s="1318"/>
      <c r="CM234" s="1420"/>
      <c r="CN234" s="1420"/>
      <c r="CO234" s="1420"/>
      <c r="CP234" s="1421"/>
    </row>
    <row r="235" spans="1:94" ht="12.6" customHeight="1" outlineLevel="1">
      <c r="A235" s="1430" t="s">
        <v>4060</v>
      </c>
      <c r="B235" s="1853"/>
      <c r="C235" s="1853"/>
      <c r="D235" s="1742"/>
      <c r="E235" s="1854">
        <f>'Faith&amp;AOF'!D18</f>
        <v>27</v>
      </c>
      <c r="F235" s="1855"/>
      <c r="G235" s="1392"/>
      <c r="H235" s="1314">
        <f>'Faith&amp;AOF'!H18</f>
        <v>0</v>
      </c>
      <c r="I235" s="1314"/>
      <c r="J235" s="1314"/>
      <c r="K235" s="1314"/>
      <c r="L235" s="1860">
        <f>'Faith&amp;AOF'!E18</f>
        <v>27</v>
      </c>
      <c r="M235" s="1314"/>
      <c r="N235" s="1314"/>
      <c r="O235" s="1314"/>
      <c r="P235" s="1314">
        <f>'Faith&amp;AOF'!G18</f>
        <v>36</v>
      </c>
      <c r="Q235" s="1314"/>
      <c r="R235" s="1314"/>
      <c r="S235" s="1312" t="str">
        <f>'Faith&amp;AOF'!I18</f>
        <v>Devout</v>
      </c>
      <c r="T235" s="1864"/>
      <c r="U235" s="1864"/>
      <c r="V235" s="1864"/>
      <c r="W235" s="1392"/>
      <c r="X235" s="1364" t="s">
        <v>3557</v>
      </c>
      <c r="Y235" s="1344"/>
      <c r="Z235" s="1364" t="str">
        <f>'Faith&amp;AOF'!F12</f>
        <v>Self AND 100 Others</v>
      </c>
      <c r="AA235" s="1344"/>
      <c r="AB235" s="1344"/>
      <c r="AC235" s="1345"/>
      <c r="AD235" s="465">
        <f>IF(AC226="Y",+'Faith&amp;AOF'!E15," ")</f>
        <v>300</v>
      </c>
      <c r="AG235" s="1778"/>
      <c r="AH235" s="1779"/>
      <c r="AI235" s="1779"/>
      <c r="AJ235" s="1779"/>
      <c r="AK235" s="1779"/>
      <c r="AL235" s="1779"/>
      <c r="AM235" s="1780"/>
      <c r="AN235" s="1411"/>
      <c r="AO235" s="1772"/>
      <c r="AP235" s="1411"/>
      <c r="AQ235" s="1771"/>
      <c r="AR235" s="1772"/>
      <c r="AS235" s="1427"/>
      <c r="AT235" s="1781"/>
      <c r="AU235" s="1782"/>
      <c r="AV235" s="1411"/>
      <c r="AW235" s="1772"/>
      <c r="AX235" s="1411"/>
      <c r="AY235" s="1772"/>
      <c r="AZ235" s="1411"/>
      <c r="BA235" s="1771"/>
      <c r="BB235" s="1772"/>
      <c r="BC235" s="1411"/>
      <c r="BD235" s="1771"/>
      <c r="BE235" s="1772"/>
      <c r="BF235" s="1411"/>
      <c r="BG235" s="1771"/>
      <c r="BH235" s="1771"/>
      <c r="BI235" s="1771"/>
      <c r="BJ235" s="1772"/>
      <c r="BM235" s="1778"/>
      <c r="BN235" s="1779"/>
      <c r="BO235" s="1779"/>
      <c r="BP235" s="1779"/>
      <c r="BQ235" s="1779"/>
      <c r="BR235" s="1779"/>
      <c r="BS235" s="1780"/>
      <c r="BT235" s="1411"/>
      <c r="BU235" s="1772"/>
      <c r="BV235" s="1411"/>
      <c r="BW235" s="1771"/>
      <c r="BX235" s="1772"/>
      <c r="BY235" s="1427"/>
      <c r="BZ235" s="1781"/>
      <c r="CA235" s="1782"/>
      <c r="CB235" s="1411"/>
      <c r="CC235" s="1772"/>
      <c r="CD235" s="1411"/>
      <c r="CE235" s="1772"/>
      <c r="CF235" s="1411"/>
      <c r="CG235" s="1771"/>
      <c r="CH235" s="1772"/>
      <c r="CI235" s="1411"/>
      <c r="CJ235" s="1771"/>
      <c r="CK235" s="1772"/>
      <c r="CL235" s="1411"/>
      <c r="CM235" s="1771"/>
      <c r="CN235" s="1771"/>
      <c r="CO235" s="1771"/>
      <c r="CP235" s="1772"/>
    </row>
    <row r="236" spans="1:94" ht="12.6" customHeight="1" outlineLevel="1">
      <c r="A236" s="1339" t="s">
        <v>4061</v>
      </c>
      <c r="B236" s="1853"/>
      <c r="C236" s="1853"/>
      <c r="D236" s="1742"/>
      <c r="E236" s="1856">
        <f>'Faith&amp;AOF'!C58</f>
        <v>10</v>
      </c>
      <c r="F236" s="1855"/>
      <c r="G236" s="1392"/>
      <c r="H236" s="1828">
        <f>'Faith&amp;AOF'!H58</f>
        <v>0</v>
      </c>
      <c r="I236" s="1828"/>
      <c r="J236" s="1828"/>
      <c r="K236" s="1828"/>
      <c r="L236" s="1828">
        <f>'Faith&amp;AOF'!G58</f>
        <v>18</v>
      </c>
      <c r="M236" s="1828"/>
      <c r="N236" s="1828"/>
      <c r="O236" s="1828"/>
      <c r="P236" s="1828">
        <f>'Faith&amp;AOF'!G58</f>
        <v>18</v>
      </c>
      <c r="Q236" s="1828"/>
      <c r="R236" s="1828"/>
      <c r="S236" s="1787" t="str">
        <f>'Faith&amp;AOF'!I58</f>
        <v>Marginal</v>
      </c>
      <c r="T236" s="1863"/>
      <c r="U236" s="1863"/>
      <c r="V236" s="1863"/>
      <c r="W236" s="1392"/>
      <c r="X236" s="1787"/>
      <c r="Y236" s="1721"/>
      <c r="Z236" s="1721"/>
      <c r="AA236" s="1721"/>
      <c r="AB236" s="1721"/>
      <c r="AC236" s="1721"/>
      <c r="AD236" s="1722"/>
      <c r="AG236" s="1375"/>
      <c r="AH236" s="1378"/>
      <c r="AI236" s="1378"/>
      <c r="AJ236" s="1378"/>
      <c r="AK236" s="1378"/>
      <c r="AL236" s="1378"/>
      <c r="AM236" s="1379"/>
      <c r="AN236" s="1438"/>
      <c r="AO236" s="1439"/>
      <c r="AP236" s="1438"/>
      <c r="AQ236" s="1440"/>
      <c r="AR236" s="1439"/>
      <c r="AS236" s="1422"/>
      <c r="AT236" s="1423"/>
      <c r="AU236" s="1424"/>
      <c r="AV236" s="1318"/>
      <c r="AW236" s="1421"/>
      <c r="AX236" s="1318"/>
      <c r="AY236" s="1421"/>
      <c r="AZ236" s="1318"/>
      <c r="BA236" s="1420"/>
      <c r="BB236" s="1421"/>
      <c r="BC236" s="1318"/>
      <c r="BD236" s="1420"/>
      <c r="BE236" s="1421"/>
      <c r="BF236" s="1318"/>
      <c r="BG236" s="1420"/>
      <c r="BH236" s="1420"/>
      <c r="BI236" s="1420"/>
      <c r="BJ236" s="1421"/>
      <c r="BK236" s="10"/>
      <c r="BL236" s="572"/>
      <c r="BM236" s="1375"/>
      <c r="BN236" s="1378"/>
      <c r="BO236" s="1378"/>
      <c r="BP236" s="1378"/>
      <c r="BQ236" s="1378"/>
      <c r="BR236" s="1378"/>
      <c r="BS236" s="1379"/>
      <c r="BT236" s="1438"/>
      <c r="BU236" s="1439"/>
      <c r="BV236" s="1438"/>
      <c r="BW236" s="1440"/>
      <c r="BX236" s="1439"/>
      <c r="BY236" s="1422"/>
      <c r="BZ236" s="1423"/>
      <c r="CA236" s="1424"/>
      <c r="CB236" s="1318"/>
      <c r="CC236" s="1421"/>
      <c r="CD236" s="1318"/>
      <c r="CE236" s="1421"/>
      <c r="CF236" s="1318"/>
      <c r="CG236" s="1420"/>
      <c r="CH236" s="1421"/>
      <c r="CI236" s="1318"/>
      <c r="CJ236" s="1420"/>
      <c r="CK236" s="1421"/>
      <c r="CL236" s="1318"/>
      <c r="CM236" s="1420"/>
      <c r="CN236" s="1420"/>
      <c r="CO236" s="1420"/>
      <c r="CP236" s="1421"/>
    </row>
    <row r="237" spans="1:94" ht="12.6" customHeight="1" outlineLevel="1">
      <c r="A237" s="1430" t="s">
        <v>4768</v>
      </c>
      <c r="B237" s="1851"/>
      <c r="C237" s="1851"/>
      <c r="D237" s="1852"/>
      <c r="E237" s="1430"/>
      <c r="F237" s="1431"/>
      <c r="G237" s="1432"/>
      <c r="H237" s="1314"/>
      <c r="I237" s="1314"/>
      <c r="J237" s="1314"/>
      <c r="K237" s="1314"/>
      <c r="L237" s="1314"/>
      <c r="M237" s="1314"/>
      <c r="N237" s="1314"/>
      <c r="O237" s="1314"/>
      <c r="P237" s="1314"/>
      <c r="Q237" s="1314"/>
      <c r="R237" s="1314"/>
      <c r="S237" s="1740"/>
      <c r="T237" s="1741"/>
      <c r="U237" s="1741"/>
      <c r="V237" s="1741"/>
      <c r="W237" s="1742"/>
      <c r="X237" s="1312"/>
      <c r="Y237" s="1855"/>
      <c r="Z237" s="1855"/>
      <c r="AA237" s="1855"/>
      <c r="AB237" s="1855"/>
      <c r="AC237" s="1855"/>
      <c r="AD237" s="1392"/>
      <c r="AG237" s="1845"/>
      <c r="AH237" s="1845"/>
      <c r="AI237" s="1845"/>
      <c r="AJ237" s="1845"/>
      <c r="AK237" s="1845"/>
      <c r="AL237" s="1845"/>
      <c r="AM237" s="1845"/>
      <c r="AN237" s="1411"/>
      <c r="AO237" s="1772"/>
      <c r="AP237" s="1411"/>
      <c r="AQ237" s="1488"/>
      <c r="AR237" s="1489"/>
      <c r="AS237" s="1427"/>
      <c r="AT237" s="1475"/>
      <c r="AU237" s="1476"/>
      <c r="AV237" s="1411"/>
      <c r="AW237" s="1772"/>
      <c r="AX237" s="1363"/>
      <c r="AY237" s="1363"/>
      <c r="AZ237" s="1363"/>
      <c r="BA237" s="1363"/>
      <c r="BB237" s="1363"/>
      <c r="BC237" s="1363"/>
      <c r="BD237" s="1363"/>
      <c r="BE237" s="1363"/>
      <c r="BF237" s="1363"/>
      <c r="BG237" s="1363"/>
      <c r="BH237" s="1363"/>
      <c r="BI237" s="1363"/>
      <c r="BJ237" s="1363"/>
      <c r="BM237" s="1845"/>
      <c r="BN237" s="1845"/>
      <c r="BO237" s="1845"/>
      <c r="BP237" s="1845"/>
      <c r="BQ237" s="1845"/>
      <c r="BR237" s="1845"/>
      <c r="BS237" s="1845"/>
      <c r="BT237" s="1411"/>
      <c r="BU237" s="1772"/>
      <c r="BV237" s="1411"/>
      <c r="BW237" s="1488"/>
      <c r="BX237" s="1489"/>
      <c r="BY237" s="1427"/>
      <c r="BZ237" s="1475"/>
      <c r="CA237" s="1476"/>
      <c r="CB237" s="1411"/>
      <c r="CC237" s="1772"/>
      <c r="CD237" s="1363"/>
      <c r="CE237" s="1363"/>
      <c r="CF237" s="1363"/>
      <c r="CG237" s="1363"/>
      <c r="CH237" s="1363"/>
      <c r="CI237" s="1363"/>
      <c r="CJ237" s="1363"/>
      <c r="CK237" s="1363"/>
      <c r="CL237" s="1363"/>
      <c r="CM237" s="1363"/>
      <c r="CN237" s="1363"/>
      <c r="CO237" s="1363"/>
      <c r="CP237" s="1363"/>
    </row>
    <row r="238" spans="1:94" ht="11.1" customHeight="1" outlineLevel="1">
      <c r="A238" s="1380" t="s">
        <v>973</v>
      </c>
      <c r="B238" s="1381"/>
      <c r="C238" s="1381"/>
      <c r="D238" s="1381"/>
      <c r="E238" s="1381"/>
      <c r="F238" s="1381"/>
      <c r="G238" s="1381"/>
      <c r="H238" s="1381"/>
      <c r="I238" s="1381"/>
      <c r="J238" s="1381"/>
      <c r="K238" s="1381"/>
      <c r="L238" s="1381"/>
      <c r="M238" s="1381"/>
      <c r="N238" s="1381"/>
      <c r="O238" s="1381"/>
      <c r="P238" s="1381"/>
      <c r="Q238" s="1381"/>
      <c r="R238" s="1381"/>
      <c r="S238" s="1381"/>
      <c r="T238" s="1381"/>
      <c r="U238" s="1381"/>
      <c r="V238" s="1381"/>
      <c r="W238" s="1381"/>
      <c r="X238" s="1381"/>
      <c r="Y238" s="1381"/>
      <c r="Z238" s="1381"/>
      <c r="AA238" s="1381"/>
      <c r="AB238" s="1381"/>
      <c r="AC238" s="1381"/>
      <c r="AD238" s="1396"/>
      <c r="AG238" s="2184"/>
      <c r="AH238" s="2184"/>
      <c r="AI238" s="2184"/>
      <c r="AJ238" s="2184"/>
      <c r="AK238" s="2184"/>
      <c r="AL238" s="2184"/>
      <c r="AM238" s="2184"/>
      <c r="AN238" s="1438"/>
      <c r="AO238" s="1439"/>
      <c r="AP238" s="1438"/>
      <c r="AQ238" s="1846"/>
      <c r="AR238" s="1847"/>
      <c r="AS238" s="1422"/>
      <c r="AT238" s="1545"/>
      <c r="AU238" s="2182"/>
      <c r="AV238" s="1438"/>
      <c r="AW238" s="1439"/>
      <c r="AX238" s="1361"/>
      <c r="AY238" s="1361"/>
      <c r="AZ238" s="1361"/>
      <c r="BA238" s="1361"/>
      <c r="BB238" s="1361"/>
      <c r="BC238" s="1361"/>
      <c r="BD238" s="1361"/>
      <c r="BE238" s="1361"/>
      <c r="BF238" s="1361"/>
      <c r="BG238" s="1361"/>
      <c r="BH238" s="1361"/>
      <c r="BI238" s="1361"/>
      <c r="BJ238" s="1361"/>
      <c r="BM238" s="2184"/>
      <c r="BN238" s="2184"/>
      <c r="BO238" s="2184"/>
      <c r="BP238" s="2184"/>
      <c r="BQ238" s="2184"/>
      <c r="BR238" s="2184"/>
      <c r="BS238" s="2184"/>
      <c r="BT238" s="1438"/>
      <c r="BU238" s="1439"/>
      <c r="BV238" s="1438"/>
      <c r="BW238" s="1846"/>
      <c r="BX238" s="1847"/>
      <c r="BY238" s="1422"/>
      <c r="BZ238" s="1545"/>
      <c r="CA238" s="2182"/>
      <c r="CB238" s="1438"/>
      <c r="CC238" s="1439"/>
      <c r="CD238" s="1361"/>
      <c r="CE238" s="1361"/>
      <c r="CF238" s="1361"/>
      <c r="CG238" s="1361"/>
      <c r="CH238" s="1361"/>
      <c r="CI238" s="1361"/>
      <c r="CJ238" s="1361"/>
      <c r="CK238" s="1361"/>
      <c r="CL238" s="1361"/>
      <c r="CM238" s="1361"/>
      <c r="CN238" s="1361"/>
      <c r="CO238" s="1361"/>
      <c r="CP238" s="1361"/>
    </row>
    <row r="239" spans="1:94" ht="12.6" customHeight="1" outlineLevel="1">
      <c r="A239" s="1417" t="s">
        <v>4819</v>
      </c>
      <c r="B239" s="1418"/>
      <c r="C239" s="1418"/>
      <c r="D239" s="1418"/>
      <c r="E239" s="1418"/>
      <c r="F239" s="1418"/>
      <c r="G239" s="1419"/>
      <c r="H239" s="1773"/>
      <c r="I239" s="1774"/>
      <c r="J239" s="1417" t="s">
        <v>4772</v>
      </c>
      <c r="K239" s="1418"/>
      <c r="L239" s="1419"/>
      <c r="M239" s="1417" t="s">
        <v>4773</v>
      </c>
      <c r="N239" s="1418"/>
      <c r="O239" s="1419"/>
      <c r="P239" s="1417" t="s">
        <v>4719</v>
      </c>
      <c r="Q239" s="1419"/>
      <c r="R239" s="1417" t="s">
        <v>3142</v>
      </c>
      <c r="S239" s="1419"/>
      <c r="T239" s="1417" t="s">
        <v>4272</v>
      </c>
      <c r="U239" s="1418"/>
      <c r="V239" s="1419"/>
      <c r="W239" s="1417" t="s">
        <v>4272</v>
      </c>
      <c r="X239" s="1418"/>
      <c r="Y239" s="1419"/>
      <c r="Z239" s="1417" t="s">
        <v>2285</v>
      </c>
      <c r="AA239" s="1418"/>
      <c r="AB239" s="1418"/>
      <c r="AC239" s="1418"/>
      <c r="AD239" s="1419"/>
      <c r="AG239" s="1339" t="s">
        <v>5314</v>
      </c>
      <c r="AH239" s="2125"/>
      <c r="AI239" s="2125"/>
      <c r="AJ239" s="2125"/>
      <c r="AK239" s="2125"/>
      <c r="AL239" s="2125"/>
      <c r="AM239" s="2126"/>
      <c r="AN239" s="1333"/>
      <c r="AO239" s="1334"/>
      <c r="AP239" s="1333"/>
      <c r="AQ239" s="1794"/>
      <c r="AR239" s="1334"/>
      <c r="AS239" s="1333"/>
      <c r="AT239" s="1794"/>
      <c r="AU239" s="1334"/>
      <c r="AV239" s="1333"/>
      <c r="AW239" s="1334"/>
      <c r="AX239" s="1333"/>
      <c r="AY239" s="1334"/>
      <c r="AZ239" s="1333"/>
      <c r="BA239" s="1794"/>
      <c r="BB239" s="1334"/>
      <c r="BC239" s="1333"/>
      <c r="BD239" s="1794"/>
      <c r="BE239" s="1334"/>
      <c r="BF239" s="1333"/>
      <c r="BG239" s="1794"/>
      <c r="BH239" s="1794"/>
      <c r="BI239" s="1794"/>
      <c r="BJ239" s="1334"/>
      <c r="BM239" s="1339" t="s">
        <v>5314</v>
      </c>
      <c r="BN239" s="2125"/>
      <c r="BO239" s="2125"/>
      <c r="BP239" s="2125"/>
      <c r="BQ239" s="2125"/>
      <c r="BR239" s="2125"/>
      <c r="BS239" s="2126"/>
      <c r="BT239" s="1333"/>
      <c r="BU239" s="1334"/>
      <c r="BV239" s="1333"/>
      <c r="BW239" s="1794"/>
      <c r="BX239" s="1334"/>
      <c r="BY239" s="1333"/>
      <c r="BZ239" s="1794"/>
      <c r="CA239" s="1334"/>
      <c r="CB239" s="1333"/>
      <c r="CC239" s="1334"/>
      <c r="CD239" s="1333"/>
      <c r="CE239" s="1334"/>
      <c r="CF239" s="1333"/>
      <c r="CG239" s="1794"/>
      <c r="CH239" s="1334"/>
      <c r="CI239" s="1333"/>
      <c r="CJ239" s="1794"/>
      <c r="CK239" s="1334"/>
      <c r="CL239" s="1333"/>
      <c r="CM239" s="1794"/>
      <c r="CN239" s="1794"/>
      <c r="CO239" s="1794"/>
      <c r="CP239" s="1334"/>
    </row>
    <row r="240" spans="1:94" ht="12.6" customHeight="1" outlineLevel="1">
      <c r="A240" s="1414" t="s">
        <v>3973</v>
      </c>
      <c r="B240" s="1415"/>
      <c r="C240" s="1415"/>
      <c r="D240" s="1415"/>
      <c r="E240" s="1415"/>
      <c r="F240" s="1415"/>
      <c r="G240" s="1416"/>
      <c r="H240" s="1414" t="s">
        <v>578</v>
      </c>
      <c r="I240" s="1416"/>
      <c r="J240" s="1414" t="s">
        <v>4774</v>
      </c>
      <c r="K240" s="1415"/>
      <c r="L240" s="1416"/>
      <c r="M240" s="1414" t="s">
        <v>4775</v>
      </c>
      <c r="N240" s="1415"/>
      <c r="O240" s="1416"/>
      <c r="P240" s="1414" t="s">
        <v>5217</v>
      </c>
      <c r="Q240" s="1416"/>
      <c r="R240" s="1414" t="s">
        <v>5217</v>
      </c>
      <c r="S240" s="1416"/>
      <c r="T240" s="1414" t="s">
        <v>3143</v>
      </c>
      <c r="U240" s="1415"/>
      <c r="V240" s="1416"/>
      <c r="W240" s="1414" t="s">
        <v>3144</v>
      </c>
      <c r="X240" s="1415"/>
      <c r="Y240" s="1416"/>
      <c r="Z240" s="1414" t="s">
        <v>5563</v>
      </c>
      <c r="AA240" s="1415"/>
      <c r="AB240" s="1415"/>
      <c r="AC240" s="1415"/>
      <c r="AD240" s="1416"/>
      <c r="AG240" s="1375"/>
      <c r="AH240" s="1378"/>
      <c r="AI240" s="1378"/>
      <c r="AJ240" s="1378"/>
      <c r="AK240" s="1378"/>
      <c r="AL240" s="1378"/>
      <c r="AM240" s="1379"/>
      <c r="AN240" s="1438"/>
      <c r="AO240" s="1439"/>
      <c r="AP240" s="1438"/>
      <c r="AQ240" s="1440"/>
      <c r="AR240" s="1439"/>
      <c r="AS240" s="1422"/>
      <c r="AT240" s="1423"/>
      <c r="AU240" s="1424"/>
      <c r="AV240" s="1438"/>
      <c r="AW240" s="1439"/>
      <c r="AX240" s="1438"/>
      <c r="AY240" s="1439"/>
      <c r="AZ240" s="1438"/>
      <c r="BA240" s="1440"/>
      <c r="BB240" s="1439"/>
      <c r="BC240" s="1438"/>
      <c r="BD240" s="1440"/>
      <c r="BE240" s="1439"/>
      <c r="BF240" s="1438"/>
      <c r="BG240" s="1440"/>
      <c r="BH240" s="1440"/>
      <c r="BI240" s="1440"/>
      <c r="BJ240" s="1439"/>
      <c r="BM240" s="1375"/>
      <c r="BN240" s="1378"/>
      <c r="BO240" s="1378"/>
      <c r="BP240" s="1378"/>
      <c r="BQ240" s="1378"/>
      <c r="BR240" s="1378"/>
      <c r="BS240" s="1379"/>
      <c r="BT240" s="1438"/>
      <c r="BU240" s="1439"/>
      <c r="BV240" s="1438"/>
      <c r="BW240" s="1440"/>
      <c r="BX240" s="1439"/>
      <c r="BY240" s="1422"/>
      <c r="BZ240" s="1423"/>
      <c r="CA240" s="1424"/>
      <c r="CB240" s="1438"/>
      <c r="CC240" s="1439"/>
      <c r="CD240" s="1438"/>
      <c r="CE240" s="1439"/>
      <c r="CF240" s="1438"/>
      <c r="CG240" s="1440"/>
      <c r="CH240" s="1439"/>
      <c r="CI240" s="1438"/>
      <c r="CJ240" s="1440"/>
      <c r="CK240" s="1439"/>
      <c r="CL240" s="1438"/>
      <c r="CM240" s="1440"/>
      <c r="CN240" s="1440"/>
      <c r="CO240" s="1440"/>
      <c r="CP240" s="1439"/>
    </row>
    <row r="241" spans="1:94" ht="12.6" customHeight="1" outlineLevel="1">
      <c r="A241" s="1430" t="s">
        <v>579</v>
      </c>
      <c r="B241" s="1431"/>
      <c r="C241" s="1431"/>
      <c r="D241" s="1431"/>
      <c r="E241" s="1431"/>
      <c r="F241" s="1431"/>
      <c r="G241" s="1432"/>
      <c r="H241" s="1312"/>
      <c r="I241" s="1313"/>
      <c r="J241" s="1312"/>
      <c r="K241" s="1864"/>
      <c r="L241" s="1313"/>
      <c r="M241" s="1349"/>
      <c r="N241" s="2169"/>
      <c r="O241" s="2131"/>
      <c r="P241" s="1312"/>
      <c r="Q241" s="1313"/>
      <c r="R241" s="1312"/>
      <c r="S241" s="1313"/>
      <c r="T241" s="1740"/>
      <c r="U241" s="1741"/>
      <c r="V241" s="1783"/>
      <c r="W241" s="1740"/>
      <c r="X241" s="1741"/>
      <c r="Y241" s="1783"/>
      <c r="Z241" s="1740"/>
      <c r="AA241" s="1741"/>
      <c r="AB241" s="1741"/>
      <c r="AC241" s="1741"/>
      <c r="AD241" s="1783"/>
      <c r="AG241" s="1778"/>
      <c r="AH241" s="1779"/>
      <c r="AI241" s="1779"/>
      <c r="AJ241" s="1779"/>
      <c r="AK241" s="1779"/>
      <c r="AL241" s="1779"/>
      <c r="AM241" s="1780"/>
      <c r="AN241" s="1411"/>
      <c r="AO241" s="1772"/>
      <c r="AP241" s="1411"/>
      <c r="AQ241" s="1771"/>
      <c r="AR241" s="1772"/>
      <c r="AS241" s="1427"/>
      <c r="AT241" s="1781"/>
      <c r="AU241" s="1782"/>
      <c r="AV241" s="1411"/>
      <c r="AW241" s="1772"/>
      <c r="AX241" s="1411"/>
      <c r="AY241" s="1772"/>
      <c r="AZ241" s="1411"/>
      <c r="BA241" s="1771"/>
      <c r="BB241" s="1772"/>
      <c r="BC241" s="1411"/>
      <c r="BD241" s="1771"/>
      <c r="BE241" s="1772"/>
      <c r="BF241" s="1411"/>
      <c r="BG241" s="1771"/>
      <c r="BH241" s="1771"/>
      <c r="BI241" s="1771"/>
      <c r="BJ241" s="1772"/>
      <c r="BM241" s="1778"/>
      <c r="BN241" s="1779"/>
      <c r="BO241" s="1779"/>
      <c r="BP241" s="1779"/>
      <c r="BQ241" s="1779"/>
      <c r="BR241" s="1779"/>
      <c r="BS241" s="1780"/>
      <c r="BT241" s="1411"/>
      <c r="BU241" s="1772"/>
      <c r="BV241" s="1411"/>
      <c r="BW241" s="1771"/>
      <c r="BX241" s="1772"/>
      <c r="BY241" s="1427"/>
      <c r="BZ241" s="1781"/>
      <c r="CA241" s="1782"/>
      <c r="CB241" s="1411"/>
      <c r="CC241" s="1772"/>
      <c r="CD241" s="1411"/>
      <c r="CE241" s="1772"/>
      <c r="CF241" s="1411"/>
      <c r="CG241" s="1771"/>
      <c r="CH241" s="1772"/>
      <c r="CI241" s="1411"/>
      <c r="CJ241" s="1771"/>
      <c r="CK241" s="1772"/>
      <c r="CL241" s="1411"/>
      <c r="CM241" s="1771"/>
      <c r="CN241" s="1771"/>
      <c r="CO241" s="1771"/>
      <c r="CP241" s="1772"/>
    </row>
    <row r="242" spans="1:94" ht="12.6" customHeight="1" outlineLevel="1">
      <c r="A242" s="1778" t="s">
        <v>4063</v>
      </c>
      <c r="B242" s="1779"/>
      <c r="C242" s="1779"/>
      <c r="D242" s="1779"/>
      <c r="E242" s="1779"/>
      <c r="F242" s="1779"/>
      <c r="G242" s="1780"/>
      <c r="H242" s="1411">
        <f>'Faith&amp;AOF'!C27</f>
        <v>5</v>
      </c>
      <c r="I242" s="1772"/>
      <c r="J242" s="1411" t="str">
        <f>'Faith&amp;AOF'!D27</f>
        <v>Y</v>
      </c>
      <c r="K242" s="1771"/>
      <c r="L242" s="1772"/>
      <c r="M242" s="1427">
        <f>'Faith&amp;AOF'!F27</f>
        <v>0.9</v>
      </c>
      <c r="N242" s="1781"/>
      <c r="O242" s="1782"/>
      <c r="P242" s="1785" t="s">
        <v>2232</v>
      </c>
      <c r="Q242" s="1786"/>
      <c r="R242" s="1411" t="s">
        <v>2716</v>
      </c>
      <c r="S242" s="1772"/>
      <c r="T242" s="1369" t="s">
        <v>3813</v>
      </c>
      <c r="U242" s="1738"/>
      <c r="V242" s="1739"/>
      <c r="W242" s="1369" t="s">
        <v>2718</v>
      </c>
      <c r="X242" s="1738"/>
      <c r="Y242" s="1739"/>
      <c r="Z242" s="460"/>
      <c r="AA242" s="2098" t="s">
        <v>3817</v>
      </c>
      <c r="AB242" s="1482"/>
      <c r="AC242" s="1482"/>
      <c r="AD242" s="1567"/>
      <c r="AG242" s="1375"/>
      <c r="AH242" s="1378"/>
      <c r="AI242" s="1378"/>
      <c r="AJ242" s="1378"/>
      <c r="AK242" s="1378"/>
      <c r="AL242" s="1378"/>
      <c r="AM242" s="1379"/>
      <c r="AN242" s="1438"/>
      <c r="AO242" s="1439"/>
      <c r="AP242" s="1438"/>
      <c r="AQ242" s="1440"/>
      <c r="AR242" s="1439"/>
      <c r="AS242" s="1422"/>
      <c r="AT242" s="1423"/>
      <c r="AU242" s="1424"/>
      <c r="AV242" s="1438"/>
      <c r="AW242" s="1439"/>
      <c r="AX242" s="1438"/>
      <c r="AY242" s="1439"/>
      <c r="AZ242" s="1438"/>
      <c r="BA242" s="1440"/>
      <c r="BB242" s="1439"/>
      <c r="BC242" s="1438"/>
      <c r="BD242" s="1440"/>
      <c r="BE242" s="1439"/>
      <c r="BF242" s="1438"/>
      <c r="BG242" s="1440"/>
      <c r="BH242" s="1440"/>
      <c r="BI242" s="1440"/>
      <c r="BJ242" s="1439"/>
      <c r="BM242" s="1375"/>
      <c r="BN242" s="1378"/>
      <c r="BO242" s="1378"/>
      <c r="BP242" s="1378"/>
      <c r="BQ242" s="1378"/>
      <c r="BR242" s="1378"/>
      <c r="BS242" s="1379"/>
      <c r="BT242" s="1438"/>
      <c r="BU242" s="1439"/>
      <c r="BV242" s="1438"/>
      <c r="BW242" s="1440"/>
      <c r="BX242" s="1439"/>
      <c r="BY242" s="1422"/>
      <c r="BZ242" s="1423"/>
      <c r="CA242" s="1424"/>
      <c r="CB242" s="1438"/>
      <c r="CC242" s="1439"/>
      <c r="CD242" s="1438"/>
      <c r="CE242" s="1439"/>
      <c r="CF242" s="1438"/>
      <c r="CG242" s="1440"/>
      <c r="CH242" s="1439"/>
      <c r="CI242" s="1438"/>
      <c r="CJ242" s="1440"/>
      <c r="CK242" s="1439"/>
      <c r="CL242" s="1438"/>
      <c r="CM242" s="1440"/>
      <c r="CN242" s="1440"/>
      <c r="CO242" s="1440"/>
      <c r="CP242" s="1439"/>
    </row>
    <row r="243" spans="1:94" ht="12.6" customHeight="1" outlineLevel="1">
      <c r="A243" s="1375" t="s">
        <v>4064</v>
      </c>
      <c r="B243" s="1378"/>
      <c r="C243" s="1378"/>
      <c r="D243" s="1378"/>
      <c r="E243" s="1378"/>
      <c r="F243" s="1378"/>
      <c r="G243" s="1379"/>
      <c r="H243" s="1438">
        <f>'Faith&amp;AOF'!C26</f>
        <v>5</v>
      </c>
      <c r="I243" s="1439"/>
      <c r="J243" s="1438" t="str">
        <f>'Faith&amp;AOF'!D26</f>
        <v>Y</v>
      </c>
      <c r="K243" s="1440"/>
      <c r="L243" s="1439"/>
      <c r="M243" s="1422">
        <f>'Faith&amp;AOF'!F26</f>
        <v>0.9</v>
      </c>
      <c r="N243" s="1423"/>
      <c r="O243" s="1424"/>
      <c r="P243" s="1318">
        <v>1</v>
      </c>
      <c r="Q243" s="1421"/>
      <c r="R243" s="1318">
        <v>3</v>
      </c>
      <c r="S243" s="1421"/>
      <c r="T243" s="1323" t="s">
        <v>3813</v>
      </c>
      <c r="U243" s="1441"/>
      <c r="V243" s="1442"/>
      <c r="W243" s="1323" t="str">
        <f>CONCATENATE(3*'Main Creation Page'!E15," Min.")</f>
        <v>60 Min.</v>
      </c>
      <c r="X243" s="1441"/>
      <c r="Y243" s="1442"/>
      <c r="Z243" s="1757" t="str">
        <f>CONCATENATE(" +",IF(AC226="Y",INT(3+('Main Creation Page'!E15/3)),INT('Main Creation Page'!E15/4)),"% Blessing")</f>
        <v xml:space="preserve"> +9% Blessing</v>
      </c>
      <c r="AA243" s="1758"/>
      <c r="AB243" s="1758"/>
      <c r="AC243" s="1758"/>
      <c r="AD243" s="1759"/>
      <c r="AG243" s="1857" t="s">
        <v>3156</v>
      </c>
      <c r="AH243" s="1857"/>
      <c r="AI243" s="1857"/>
      <c r="AJ243" s="1857"/>
      <c r="AK243" s="1857"/>
      <c r="AL243" s="1857"/>
      <c r="AM243" s="1857"/>
      <c r="AN243" s="2095"/>
      <c r="AO243" s="2095"/>
      <c r="AP243" s="2095"/>
      <c r="AQ243" s="2095"/>
      <c r="AR243" s="2095"/>
      <c r="AS243" s="2095"/>
      <c r="AT243" s="2095"/>
      <c r="AU243" s="2095"/>
      <c r="AV243" s="2095"/>
      <c r="AW243" s="2095"/>
      <c r="AX243" s="2095"/>
      <c r="AY243" s="2095"/>
      <c r="AZ243" s="2095"/>
      <c r="BA243" s="2095"/>
      <c r="BB243" s="2095"/>
      <c r="BC243" s="2095"/>
      <c r="BD243" s="2095"/>
      <c r="BE243" s="2095"/>
      <c r="BF243" s="2095"/>
      <c r="BG243" s="2095"/>
      <c r="BH243" s="2095"/>
      <c r="BI243" s="2095"/>
      <c r="BJ243" s="2095"/>
      <c r="BM243" s="1857" t="s">
        <v>3156</v>
      </c>
      <c r="BN243" s="1857"/>
      <c r="BO243" s="1857"/>
      <c r="BP243" s="1857"/>
      <c r="BQ243" s="1857"/>
      <c r="BR243" s="1857"/>
      <c r="BS243" s="1857"/>
      <c r="BT243" s="2095"/>
      <c r="BU243" s="2095"/>
      <c r="BV243" s="2095"/>
      <c r="BW243" s="2095"/>
      <c r="BX243" s="2095"/>
      <c r="BY243" s="2095"/>
      <c r="BZ243" s="2095"/>
      <c r="CA243" s="2095"/>
      <c r="CB243" s="2095"/>
      <c r="CC243" s="2095"/>
      <c r="CD243" s="2095"/>
      <c r="CE243" s="2095"/>
      <c r="CF243" s="2095"/>
      <c r="CG243" s="2095"/>
      <c r="CH243" s="2095"/>
      <c r="CI243" s="2095"/>
      <c r="CJ243" s="2095"/>
      <c r="CK243" s="2095"/>
      <c r="CL243" s="2095"/>
      <c r="CM243" s="2095"/>
      <c r="CN243" s="2095"/>
      <c r="CO243" s="2095"/>
      <c r="CP243" s="2095"/>
    </row>
    <row r="244" spans="1:94" ht="12.6" customHeight="1" outlineLevel="1">
      <c r="A244" s="1778" t="s">
        <v>5124</v>
      </c>
      <c r="B244" s="1779"/>
      <c r="C244" s="1779"/>
      <c r="D244" s="1779"/>
      <c r="E244" s="1779"/>
      <c r="F244" s="1779"/>
      <c r="G244" s="1780"/>
      <c r="H244" s="1411">
        <f>'Faith&amp;AOF'!C28</f>
        <v>5</v>
      </c>
      <c r="I244" s="1772"/>
      <c r="J244" s="1411" t="str">
        <f>'Faith&amp;AOF'!D28</f>
        <v>Y</v>
      </c>
      <c r="K244" s="1771"/>
      <c r="L244" s="1772"/>
      <c r="M244" s="1427">
        <f>'Faith&amp;AOF'!F28</f>
        <v>0.9</v>
      </c>
      <c r="N244" s="1781"/>
      <c r="O244" s="1782"/>
      <c r="P244" s="1411">
        <v>1</v>
      </c>
      <c r="Q244" s="1772"/>
      <c r="R244" s="1411">
        <v>3</v>
      </c>
      <c r="S244" s="1772"/>
      <c r="T244" s="1369" t="s">
        <v>3813</v>
      </c>
      <c r="U244" s="1738"/>
      <c r="V244" s="1739"/>
      <c r="W244" s="1369" t="s">
        <v>3811</v>
      </c>
      <c r="X244" s="1738"/>
      <c r="Y244" s="1739"/>
      <c r="Z244" s="1369" t="s">
        <v>2231</v>
      </c>
      <c r="AA244" s="1738"/>
      <c r="AB244" s="1738"/>
      <c r="AC244" s="1738"/>
      <c r="AD244" s="1739"/>
      <c r="AG244" s="1791"/>
      <c r="AH244" s="1791"/>
      <c r="AI244" s="1791"/>
      <c r="AJ244" s="1791"/>
      <c r="AK244" s="1791"/>
      <c r="AL244" s="1791"/>
      <c r="AM244" s="1791"/>
      <c r="AN244" s="1361"/>
      <c r="AO244" s="1361"/>
      <c r="AP244" s="1361"/>
      <c r="AQ244" s="1361"/>
      <c r="AR244" s="1361"/>
      <c r="AS244" s="2402"/>
      <c r="AT244" s="1361"/>
      <c r="AU244" s="1361"/>
      <c r="AV244" s="1720"/>
      <c r="AW244" s="1720"/>
      <c r="AX244" s="1361"/>
      <c r="AY244" s="1361"/>
      <c r="AZ244" s="1361"/>
      <c r="BA244" s="1361"/>
      <c r="BB244" s="1361"/>
      <c r="BC244" s="1361"/>
      <c r="BD244" s="1361"/>
      <c r="BE244" s="1361"/>
      <c r="BF244" s="1361"/>
      <c r="BG244" s="1361"/>
      <c r="BH244" s="1361"/>
      <c r="BI244" s="1361"/>
      <c r="BJ244" s="1361"/>
      <c r="BM244" s="1791"/>
      <c r="BN244" s="1791"/>
      <c r="BO244" s="1791"/>
      <c r="BP244" s="1791"/>
      <c r="BQ244" s="1791"/>
      <c r="BR244" s="1791"/>
      <c r="BS244" s="1791"/>
      <c r="BT244" s="1361"/>
      <c r="BU244" s="1361"/>
      <c r="BV244" s="1361"/>
      <c r="BW244" s="1361"/>
      <c r="BX244" s="1361"/>
      <c r="BY244" s="2402"/>
      <c r="BZ244" s="1361"/>
      <c r="CA244" s="1361"/>
      <c r="CB244" s="1720"/>
      <c r="CC244" s="1720"/>
      <c r="CD244" s="1361"/>
      <c r="CE244" s="1361"/>
      <c r="CF244" s="1361"/>
      <c r="CG244" s="1361"/>
      <c r="CH244" s="1361"/>
      <c r="CI244" s="1361"/>
      <c r="CJ244" s="1361"/>
      <c r="CK244" s="1361"/>
      <c r="CL244" s="1361"/>
      <c r="CM244" s="1361"/>
      <c r="CN244" s="1361"/>
      <c r="CO244" s="1361"/>
      <c r="CP244" s="1361"/>
    </row>
    <row r="245" spans="1:94" ht="12.6" customHeight="1" outlineLevel="1">
      <c r="A245" s="1375" t="s">
        <v>5125</v>
      </c>
      <c r="B245" s="1378"/>
      <c r="C245" s="1378"/>
      <c r="D245" s="1378"/>
      <c r="E245" s="1378"/>
      <c r="F245" s="1378"/>
      <c r="G245" s="1379"/>
      <c r="H245" s="1438">
        <f>'Faith&amp;AOF'!C29</f>
        <v>5</v>
      </c>
      <c r="I245" s="1439"/>
      <c r="J245" s="1438" t="str">
        <f>'Faith&amp;AOF'!D29</f>
        <v>Y</v>
      </c>
      <c r="K245" s="1440"/>
      <c r="L245" s="1439"/>
      <c r="M245" s="1422">
        <f ca="1">'Faith&amp;AOF'!F29</f>
        <v>0.39</v>
      </c>
      <c r="N245" s="1423"/>
      <c r="O245" s="1424"/>
      <c r="P245" s="1318" t="s">
        <v>2230</v>
      </c>
      <c r="Q245" s="1421"/>
      <c r="R245" s="1318">
        <v>3</v>
      </c>
      <c r="S245" s="1421"/>
      <c r="T245" s="1323" t="s">
        <v>3813</v>
      </c>
      <c r="U245" s="1441"/>
      <c r="V245" s="1442"/>
      <c r="W245" s="1323" t="s">
        <v>3811</v>
      </c>
      <c r="X245" s="1441"/>
      <c r="Y245" s="1442"/>
      <c r="Z245" s="1323" t="s">
        <v>2231</v>
      </c>
      <c r="AA245" s="1441"/>
      <c r="AB245" s="1441"/>
      <c r="AC245" s="1441"/>
      <c r="AD245" s="1442"/>
      <c r="AG245" s="2100"/>
      <c r="AH245" s="1482"/>
      <c r="AI245" s="1482"/>
      <c r="AJ245" s="1482"/>
      <c r="AK245" s="1482"/>
      <c r="AL245" s="1482"/>
      <c r="AM245" s="1482"/>
      <c r="AN245" s="1932"/>
      <c r="AO245" s="2403"/>
      <c r="AP245" s="2404"/>
      <c r="AQ245" s="2405"/>
      <c r="AR245" s="2406"/>
      <c r="AS245" s="1932"/>
      <c r="AT245" s="2407"/>
      <c r="AU245" s="2403"/>
      <c r="AV245" s="2404"/>
      <c r="AW245" s="2406"/>
      <c r="AX245" s="2404"/>
      <c r="AY245" s="2406"/>
      <c r="AZ245" s="1932"/>
      <c r="BA245" s="2407"/>
      <c r="BB245" s="2403"/>
      <c r="BC245" s="1932"/>
      <c r="BD245" s="2407"/>
      <c r="BE245" s="2403"/>
      <c r="BF245" s="1932"/>
      <c r="BG245" s="2407"/>
      <c r="BH245" s="2407"/>
      <c r="BI245" s="2407"/>
      <c r="BJ245" s="2403"/>
      <c r="BM245" s="2100"/>
      <c r="BN245" s="1482"/>
      <c r="BO245" s="1482"/>
      <c r="BP245" s="1482"/>
      <c r="BQ245" s="1482"/>
      <c r="BR245" s="1482"/>
      <c r="BS245" s="1482"/>
      <c r="BT245" s="1932"/>
      <c r="BU245" s="2403"/>
      <c r="BV245" s="2404"/>
      <c r="BW245" s="2405"/>
      <c r="BX245" s="2406"/>
      <c r="BY245" s="1932"/>
      <c r="BZ245" s="2407"/>
      <c r="CA245" s="2403"/>
      <c r="CB245" s="2404"/>
      <c r="CC245" s="2406"/>
      <c r="CD245" s="2404"/>
      <c r="CE245" s="2406"/>
      <c r="CF245" s="1932"/>
      <c r="CG245" s="2407"/>
      <c r="CH245" s="2403"/>
      <c r="CI245" s="1932"/>
      <c r="CJ245" s="2407"/>
      <c r="CK245" s="2403"/>
      <c r="CL245" s="1932"/>
      <c r="CM245" s="2407"/>
      <c r="CN245" s="2407"/>
      <c r="CO245" s="2407"/>
      <c r="CP245" s="2403"/>
    </row>
    <row r="246" spans="1:94" ht="12.6" customHeight="1" outlineLevel="1">
      <c r="A246" s="1778" t="s">
        <v>5126</v>
      </c>
      <c r="B246" s="1779"/>
      <c r="C246" s="1779"/>
      <c r="D246" s="1779"/>
      <c r="E246" s="1779"/>
      <c r="F246" s="1779"/>
      <c r="G246" s="1780"/>
      <c r="H246" s="1411">
        <f>'Faith&amp;AOF'!C30</f>
        <v>5</v>
      </c>
      <c r="I246" s="1772"/>
      <c r="J246" s="1411" t="str">
        <f>'Faith&amp;AOF'!D30</f>
        <v>Y</v>
      </c>
      <c r="K246" s="1771"/>
      <c r="L246" s="1772"/>
      <c r="M246" s="1427">
        <f ca="1">'Faith&amp;AOF'!F30</f>
        <v>0.78</v>
      </c>
      <c r="N246" s="1781"/>
      <c r="O246" s="1782"/>
      <c r="P246" s="1411" t="s">
        <v>2230</v>
      </c>
      <c r="Q246" s="1772"/>
      <c r="R246" s="1411">
        <v>3</v>
      </c>
      <c r="S246" s="1772"/>
      <c r="T246" s="1369" t="s">
        <v>3813</v>
      </c>
      <c r="U246" s="1738"/>
      <c r="V246" s="1739"/>
      <c r="W246" s="1369" t="s">
        <v>3811</v>
      </c>
      <c r="X246" s="1738"/>
      <c r="Y246" s="1739"/>
      <c r="Z246" s="1369" t="s">
        <v>2231</v>
      </c>
      <c r="AA246" s="1738"/>
      <c r="AB246" s="1738"/>
      <c r="AC246" s="1738"/>
      <c r="AD246" s="1739"/>
      <c r="AG246" s="2408"/>
      <c r="AH246" s="2409"/>
      <c r="AI246" s="2409"/>
      <c r="AJ246" s="2409"/>
      <c r="AK246" s="2409"/>
      <c r="AL246" s="2409"/>
      <c r="AM246" s="2410"/>
      <c r="AN246" s="1438"/>
      <c r="AO246" s="1439"/>
      <c r="AP246" s="1438"/>
      <c r="AQ246" s="1440"/>
      <c r="AR246" s="1439"/>
      <c r="AS246" s="1438"/>
      <c r="AT246" s="1440"/>
      <c r="AU246" s="1439"/>
      <c r="AV246" s="1438"/>
      <c r="AW246" s="1439"/>
      <c r="AX246" s="1438"/>
      <c r="AY246" s="1439"/>
      <c r="AZ246" s="1438"/>
      <c r="BA246" s="1440"/>
      <c r="BB246" s="1439"/>
      <c r="BC246" s="1438"/>
      <c r="BD246" s="1440"/>
      <c r="BE246" s="1439"/>
      <c r="BF246" s="1438"/>
      <c r="BG246" s="1440"/>
      <c r="BH246" s="1440"/>
      <c r="BI246" s="1440"/>
      <c r="BJ246" s="1439"/>
      <c r="BM246" s="2408"/>
      <c r="BN246" s="2409"/>
      <c r="BO246" s="2409"/>
      <c r="BP246" s="2409"/>
      <c r="BQ246" s="2409"/>
      <c r="BR246" s="2409"/>
      <c r="BS246" s="2410"/>
      <c r="BT246" s="1438"/>
      <c r="BU246" s="1439"/>
      <c r="BV246" s="1438"/>
      <c r="BW246" s="1440"/>
      <c r="BX246" s="1439"/>
      <c r="BY246" s="1438"/>
      <c r="BZ246" s="1440"/>
      <c r="CA246" s="1439"/>
      <c r="CB246" s="1438"/>
      <c r="CC246" s="1439"/>
      <c r="CD246" s="1438"/>
      <c r="CE246" s="1439"/>
      <c r="CF246" s="1438"/>
      <c r="CG246" s="1440"/>
      <c r="CH246" s="1439"/>
      <c r="CI246" s="1438"/>
      <c r="CJ246" s="1440"/>
      <c r="CK246" s="1439"/>
      <c r="CL246" s="1438"/>
      <c r="CM246" s="1440"/>
      <c r="CN246" s="1440"/>
      <c r="CO246" s="1440"/>
      <c r="CP246" s="1439"/>
    </row>
    <row r="247" spans="1:94" ht="12.6" customHeight="1" outlineLevel="1">
      <c r="A247" s="1375" t="s">
        <v>5127</v>
      </c>
      <c r="B247" s="1378"/>
      <c r="C247" s="1378"/>
      <c r="D247" s="1378"/>
      <c r="E247" s="1378"/>
      <c r="F247" s="1378"/>
      <c r="G247" s="1379"/>
      <c r="H247" s="1438">
        <f>'Faith&amp;AOF'!C31</f>
        <v>5</v>
      </c>
      <c r="I247" s="1439"/>
      <c r="J247" s="1438" t="str">
        <f>'Faith&amp;AOF'!D31</f>
        <v>Y</v>
      </c>
      <c r="K247" s="1440"/>
      <c r="L247" s="1439"/>
      <c r="M247" s="1422">
        <f ca="1">'Faith&amp;AOF'!F31</f>
        <v>0.78</v>
      </c>
      <c r="N247" s="1423"/>
      <c r="O247" s="1424"/>
      <c r="P247" s="1318">
        <v>3</v>
      </c>
      <c r="Q247" s="1421"/>
      <c r="R247" s="1318">
        <v>3</v>
      </c>
      <c r="S247" s="1421"/>
      <c r="T247" s="1323" t="s">
        <v>3813</v>
      </c>
      <c r="U247" s="1441"/>
      <c r="V247" s="1442"/>
      <c r="W247" s="1323" t="s">
        <v>3811</v>
      </c>
      <c r="X247" s="1441"/>
      <c r="Y247" s="1442"/>
      <c r="Z247" s="1323" t="s">
        <v>2719</v>
      </c>
      <c r="AA247" s="1441"/>
      <c r="AB247" s="1441"/>
      <c r="AC247" s="1441"/>
      <c r="AD247" s="1442"/>
      <c r="AG247" s="1845"/>
      <c r="AH247" s="1845"/>
      <c r="AI247" s="1845"/>
      <c r="AJ247" s="1845"/>
      <c r="AK247" s="1845"/>
      <c r="AL247" s="1845"/>
      <c r="AM247" s="1845"/>
      <c r="AN247" s="1411"/>
      <c r="AO247" s="1772"/>
      <c r="AP247" s="1411"/>
      <c r="AQ247" s="1488"/>
      <c r="AR247" s="1489"/>
      <c r="AS247" s="1427"/>
      <c r="AT247" s="1475"/>
      <c r="AU247" s="1476"/>
      <c r="AV247" s="1411"/>
      <c r="AW247" s="1772"/>
      <c r="AX247" s="1363"/>
      <c r="AY247" s="1363"/>
      <c r="AZ247" s="1363"/>
      <c r="BA247" s="1363"/>
      <c r="BB247" s="1363"/>
      <c r="BC247" s="1363"/>
      <c r="BD247" s="1363"/>
      <c r="BE247" s="1363"/>
      <c r="BF247" s="1363"/>
      <c r="BG247" s="1363"/>
      <c r="BH247" s="1363"/>
      <c r="BI247" s="1363"/>
      <c r="BJ247" s="1363"/>
      <c r="BM247" s="1845"/>
      <c r="BN247" s="1845"/>
      <c r="BO247" s="1845"/>
      <c r="BP247" s="1845"/>
      <c r="BQ247" s="1845"/>
      <c r="BR247" s="1845"/>
      <c r="BS247" s="1845"/>
      <c r="BT247" s="1411"/>
      <c r="BU247" s="1772"/>
      <c r="BV247" s="1411"/>
      <c r="BW247" s="1488"/>
      <c r="BX247" s="1489"/>
      <c r="BY247" s="1427"/>
      <c r="BZ247" s="1475"/>
      <c r="CA247" s="1476"/>
      <c r="CB247" s="1411"/>
      <c r="CC247" s="1772"/>
      <c r="CD247" s="1363"/>
      <c r="CE247" s="1363"/>
      <c r="CF247" s="1363"/>
      <c r="CG247" s="1363"/>
      <c r="CH247" s="1363"/>
      <c r="CI247" s="1363"/>
      <c r="CJ247" s="1363"/>
      <c r="CK247" s="1363"/>
      <c r="CL247" s="1363"/>
      <c r="CM247" s="1363"/>
      <c r="CN247" s="1363"/>
      <c r="CO247" s="1363"/>
      <c r="CP247" s="1363"/>
    </row>
    <row r="248" spans="1:94" ht="12.6" customHeight="1" outlineLevel="1">
      <c r="A248" s="1778" t="s">
        <v>5128</v>
      </c>
      <c r="B248" s="1779"/>
      <c r="C248" s="1779"/>
      <c r="D248" s="1779"/>
      <c r="E248" s="1779"/>
      <c r="F248" s="1779"/>
      <c r="G248" s="1780"/>
      <c r="H248" s="1411">
        <f>'Faith&amp;AOF'!C32</f>
        <v>5</v>
      </c>
      <c r="I248" s="1772"/>
      <c r="J248" s="1411" t="str">
        <f>'Faith&amp;AOF'!D32</f>
        <v>Y</v>
      </c>
      <c r="K248" s="1771"/>
      <c r="L248" s="1772"/>
      <c r="M248" s="1427">
        <f ca="1">'Faith&amp;AOF'!F32</f>
        <v>0.78</v>
      </c>
      <c r="N248" s="1781"/>
      <c r="O248" s="1782"/>
      <c r="P248" s="1411" t="s">
        <v>2231</v>
      </c>
      <c r="Q248" s="1772"/>
      <c r="R248" s="1411" t="s">
        <v>2231</v>
      </c>
      <c r="S248" s="1772"/>
      <c r="T248" s="1369" t="s">
        <v>3813</v>
      </c>
      <c r="U248" s="1738"/>
      <c r="V248" s="1739"/>
      <c r="W248" s="1369" t="s">
        <v>2720</v>
      </c>
      <c r="X248" s="1738"/>
      <c r="Y248" s="1739"/>
      <c r="Z248" s="1369" t="s">
        <v>3816</v>
      </c>
      <c r="AA248" s="1738"/>
      <c r="AB248" s="1738"/>
      <c r="AC248" s="1738"/>
      <c r="AD248" s="1739"/>
      <c r="AG248" s="2184"/>
      <c r="AH248" s="2184"/>
      <c r="AI248" s="2184"/>
      <c r="AJ248" s="2184"/>
      <c r="AK248" s="2184"/>
      <c r="AL248" s="2184"/>
      <c r="AM248" s="2184"/>
      <c r="AN248" s="1438"/>
      <c r="AO248" s="1439"/>
      <c r="AP248" s="1438"/>
      <c r="AQ248" s="1846"/>
      <c r="AR248" s="1847"/>
      <c r="AS248" s="1422"/>
      <c r="AT248" s="1545"/>
      <c r="AU248" s="2182"/>
      <c r="AV248" s="1438"/>
      <c r="AW248" s="1439"/>
      <c r="AX248" s="1361"/>
      <c r="AY248" s="1361"/>
      <c r="AZ248" s="1361"/>
      <c r="BA248" s="1361"/>
      <c r="BB248" s="1361"/>
      <c r="BC248" s="1361"/>
      <c r="BD248" s="1361"/>
      <c r="BE248" s="1361"/>
      <c r="BF248" s="1361"/>
      <c r="BG248" s="1361"/>
      <c r="BH248" s="1361"/>
      <c r="BI248" s="1361"/>
      <c r="BJ248" s="1361"/>
      <c r="BM248" s="2184"/>
      <c r="BN248" s="2184"/>
      <c r="BO248" s="2184"/>
      <c r="BP248" s="2184"/>
      <c r="BQ248" s="2184"/>
      <c r="BR248" s="2184"/>
      <c r="BS248" s="2184"/>
      <c r="BT248" s="1438"/>
      <c r="BU248" s="1439"/>
      <c r="BV248" s="1438"/>
      <c r="BW248" s="1846"/>
      <c r="BX248" s="1847"/>
      <c r="BY248" s="1422"/>
      <c r="BZ248" s="1545"/>
      <c r="CA248" s="2182"/>
      <c r="CB248" s="1438"/>
      <c r="CC248" s="1439"/>
      <c r="CD248" s="1361"/>
      <c r="CE248" s="1361"/>
      <c r="CF248" s="1361"/>
      <c r="CG248" s="1361"/>
      <c r="CH248" s="1361"/>
      <c r="CI248" s="1361"/>
      <c r="CJ248" s="1361"/>
      <c r="CK248" s="1361"/>
      <c r="CL248" s="1361"/>
      <c r="CM248" s="1361"/>
      <c r="CN248" s="1361"/>
      <c r="CO248" s="1361"/>
      <c r="CP248" s="1361"/>
    </row>
    <row r="249" spans="1:94" ht="12.6" customHeight="1" outlineLevel="1">
      <c r="A249" s="1375" t="s">
        <v>5129</v>
      </c>
      <c r="B249" s="1378"/>
      <c r="C249" s="1378"/>
      <c r="D249" s="1378"/>
      <c r="E249" s="1378"/>
      <c r="F249" s="1378"/>
      <c r="G249" s="1379"/>
      <c r="H249" s="1438">
        <f>'Faith&amp;AOF'!C33</f>
        <v>5</v>
      </c>
      <c r="I249" s="1439"/>
      <c r="J249" s="1438" t="str">
        <f>'Faith&amp;AOF'!D33</f>
        <v>Y</v>
      </c>
      <c r="K249" s="1440"/>
      <c r="L249" s="1439"/>
      <c r="M249" s="1422">
        <f ca="1">'Faith&amp;AOF'!F33</f>
        <v>0.78</v>
      </c>
      <c r="N249" s="1423"/>
      <c r="O249" s="1424"/>
      <c r="P249" s="1318" t="s">
        <v>2230</v>
      </c>
      <c r="Q249" s="1421"/>
      <c r="R249" s="1318">
        <v>3</v>
      </c>
      <c r="S249" s="1421"/>
      <c r="T249" s="1323" t="s">
        <v>3813</v>
      </c>
      <c r="U249" s="1441"/>
      <c r="V249" s="1442"/>
      <c r="W249" s="1323" t="s">
        <v>3811</v>
      </c>
      <c r="X249" s="1441"/>
      <c r="Y249" s="1442"/>
      <c r="Z249" s="1323" t="str">
        <f>CONCATENATE("Reversible - +",'Main Creation Page'!E15,"% &amp; + ",IF('Main Creation Page'!E15-12&gt;0,INT(('Main Creation Page'!E15-12)/5),0)," Crit" )</f>
        <v>Reversible - +20% &amp; + 1 Crit</v>
      </c>
      <c r="AA249" s="1441"/>
      <c r="AB249" s="1441"/>
      <c r="AC249" s="1441"/>
      <c r="AD249" s="1442"/>
      <c r="AG249" s="1845"/>
      <c r="AH249" s="1845"/>
      <c r="AI249" s="1845"/>
      <c r="AJ249" s="1845"/>
      <c r="AK249" s="1845"/>
      <c r="AL249" s="1845"/>
      <c r="AM249" s="1845"/>
      <c r="AN249" s="1411"/>
      <c r="AO249" s="1772"/>
      <c r="AP249" s="1411"/>
      <c r="AQ249" s="1488"/>
      <c r="AR249" s="1489"/>
      <c r="AS249" s="1427"/>
      <c r="AT249" s="1475"/>
      <c r="AU249" s="1476"/>
      <c r="AV249" s="1411"/>
      <c r="AW249" s="1772"/>
      <c r="AX249" s="1363"/>
      <c r="AY249" s="1363"/>
      <c r="AZ249" s="1363"/>
      <c r="BA249" s="1363"/>
      <c r="BB249" s="1363"/>
      <c r="BC249" s="1363"/>
      <c r="BD249" s="1363"/>
      <c r="BE249" s="1363"/>
      <c r="BF249" s="1363"/>
      <c r="BG249" s="1363"/>
      <c r="BH249" s="1363"/>
      <c r="BI249" s="1363"/>
      <c r="BJ249" s="1363"/>
      <c r="BM249" s="1845"/>
      <c r="BN249" s="1845"/>
      <c r="BO249" s="1845"/>
      <c r="BP249" s="1845"/>
      <c r="BQ249" s="1845"/>
      <c r="BR249" s="1845"/>
      <c r="BS249" s="1845"/>
      <c r="BT249" s="1411"/>
      <c r="BU249" s="1772"/>
      <c r="BV249" s="1411"/>
      <c r="BW249" s="1488"/>
      <c r="BX249" s="1489"/>
      <c r="BY249" s="1427"/>
      <c r="BZ249" s="1475"/>
      <c r="CA249" s="1476"/>
      <c r="CB249" s="1411"/>
      <c r="CC249" s="1772"/>
      <c r="CD249" s="1363"/>
      <c r="CE249" s="1363"/>
      <c r="CF249" s="1363"/>
      <c r="CG249" s="1363"/>
      <c r="CH249" s="1363"/>
      <c r="CI249" s="1363"/>
      <c r="CJ249" s="1363"/>
      <c r="CK249" s="1363"/>
      <c r="CL249" s="1363"/>
      <c r="CM249" s="1363"/>
      <c r="CN249" s="1363"/>
      <c r="CO249" s="1363"/>
      <c r="CP249" s="1363"/>
    </row>
    <row r="250" spans="1:94" ht="12.6" customHeight="1" outlineLevel="1">
      <c r="A250" s="1778" t="s">
        <v>4151</v>
      </c>
      <c r="B250" s="1779"/>
      <c r="C250" s="1779"/>
      <c r="D250" s="1779"/>
      <c r="E250" s="1779"/>
      <c r="F250" s="1779"/>
      <c r="G250" s="1780"/>
      <c r="H250" s="1411">
        <f>'Faith&amp;AOF'!C34</f>
        <v>5</v>
      </c>
      <c r="I250" s="1772"/>
      <c r="J250" s="1411" t="str">
        <f>'Faith&amp;AOF'!D34</f>
        <v>Y</v>
      </c>
      <c r="K250" s="1771"/>
      <c r="L250" s="1772"/>
      <c r="M250" s="1427">
        <f ca="1">'Faith&amp;AOF'!F34</f>
        <v>0.52</v>
      </c>
      <c r="N250" s="1781"/>
      <c r="O250" s="1782"/>
      <c r="P250" s="1411">
        <v>3</v>
      </c>
      <c r="Q250" s="1772"/>
      <c r="R250" s="1411">
        <v>3</v>
      </c>
      <c r="S250" s="1772"/>
      <c r="T250" s="1369" t="s">
        <v>3813</v>
      </c>
      <c r="U250" s="1738"/>
      <c r="V250" s="1739"/>
      <c r="W250" s="1369" t="s">
        <v>3811</v>
      </c>
      <c r="X250" s="1738"/>
      <c r="Y250" s="1739"/>
      <c r="Z250" s="2098" t="s">
        <v>2717</v>
      </c>
      <c r="AA250" s="1738"/>
      <c r="AB250" s="1738"/>
      <c r="AC250" s="1738"/>
      <c r="AD250" s="1739"/>
      <c r="AG250" s="2184"/>
      <c r="AH250" s="2184"/>
      <c r="AI250" s="2184"/>
      <c r="AJ250" s="2184"/>
      <c r="AK250" s="2184"/>
      <c r="AL250" s="2184"/>
      <c r="AM250" s="2184"/>
      <c r="AN250" s="1438"/>
      <c r="AO250" s="1439"/>
      <c r="AP250" s="1438"/>
      <c r="AQ250" s="1846"/>
      <c r="AR250" s="1847"/>
      <c r="AS250" s="1422"/>
      <c r="AT250" s="1545"/>
      <c r="AU250" s="2182"/>
      <c r="AV250" s="1438"/>
      <c r="AW250" s="1439"/>
      <c r="AX250" s="1361"/>
      <c r="AY250" s="1361"/>
      <c r="AZ250" s="1361"/>
      <c r="BA250" s="1361"/>
      <c r="BB250" s="1361"/>
      <c r="BC250" s="1361"/>
      <c r="BD250" s="1361"/>
      <c r="BE250" s="1361"/>
      <c r="BF250" s="1361"/>
      <c r="BG250" s="1361"/>
      <c r="BH250" s="1361"/>
      <c r="BI250" s="1361"/>
      <c r="BJ250" s="1361"/>
      <c r="BM250" s="2184"/>
      <c r="BN250" s="2184"/>
      <c r="BO250" s="2184"/>
      <c r="BP250" s="2184"/>
      <c r="BQ250" s="2184"/>
      <c r="BR250" s="2184"/>
      <c r="BS250" s="2184"/>
      <c r="BT250" s="1438"/>
      <c r="BU250" s="1439"/>
      <c r="BV250" s="1438"/>
      <c r="BW250" s="1846"/>
      <c r="BX250" s="1847"/>
      <c r="BY250" s="1422"/>
      <c r="BZ250" s="1545"/>
      <c r="CA250" s="2182"/>
      <c r="CB250" s="1438"/>
      <c r="CC250" s="1439"/>
      <c r="CD250" s="1361"/>
      <c r="CE250" s="1361"/>
      <c r="CF250" s="1361"/>
      <c r="CG250" s="1361"/>
      <c r="CH250" s="1361"/>
      <c r="CI250" s="1361"/>
      <c r="CJ250" s="1361"/>
      <c r="CK250" s="1361"/>
      <c r="CL250" s="1361"/>
      <c r="CM250" s="1361"/>
      <c r="CN250" s="1361"/>
      <c r="CO250" s="1361"/>
      <c r="CP250" s="1361"/>
    </row>
    <row r="251" spans="1:94" ht="12.6" customHeight="1" outlineLevel="1">
      <c r="A251" s="1375" t="s">
        <v>1492</v>
      </c>
      <c r="B251" s="1378"/>
      <c r="C251" s="1378"/>
      <c r="D251" s="1378"/>
      <c r="E251" s="1378"/>
      <c r="F251" s="1378"/>
      <c r="G251" s="1379"/>
      <c r="H251" s="1438">
        <f>'Faith&amp;AOF'!C35</f>
        <v>10</v>
      </c>
      <c r="I251" s="1439"/>
      <c r="J251" s="1438" t="str">
        <f>'Faith&amp;AOF'!D35</f>
        <v>Y</v>
      </c>
      <c r="K251" s="1440"/>
      <c r="L251" s="1439"/>
      <c r="M251" s="1422">
        <f ca="1">'Faith&amp;AOF'!F35</f>
        <v>0.78</v>
      </c>
      <c r="N251" s="1423"/>
      <c r="O251" s="1424"/>
      <c r="P251" s="1318" t="s">
        <v>2230</v>
      </c>
      <c r="Q251" s="1421"/>
      <c r="R251" s="1318">
        <v>30</v>
      </c>
      <c r="S251" s="1421"/>
      <c r="T251" s="1323" t="s">
        <v>3813</v>
      </c>
      <c r="U251" s="1441"/>
      <c r="V251" s="1442"/>
      <c r="W251" s="1323" t="str">
        <f>CONCATENATE(5*'Main Creation Page'!E15," Min.")</f>
        <v>100 Min.</v>
      </c>
      <c r="X251" s="1441"/>
      <c r="Y251" s="1442"/>
      <c r="Z251" s="1323" t="str">
        <f>CONCATENATE("+",(+P235/2+'Main Creation Page'!E15/2),"% or +",(+P235+'Main Creation Page'!E15/2),"%")</f>
        <v>+28% or +46%</v>
      </c>
      <c r="AA251" s="1441"/>
      <c r="AB251" s="1441"/>
      <c r="AC251" s="1441"/>
      <c r="AD251" s="1442"/>
      <c r="AG251" s="1845"/>
      <c r="AH251" s="1845"/>
      <c r="AI251" s="1845"/>
      <c r="AJ251" s="1845"/>
      <c r="AK251" s="1845"/>
      <c r="AL251" s="1845"/>
      <c r="AM251" s="1845"/>
      <c r="AN251" s="1411"/>
      <c r="AO251" s="1772"/>
      <c r="AP251" s="1411"/>
      <c r="AQ251" s="1488"/>
      <c r="AR251" s="1489"/>
      <c r="AS251" s="1427"/>
      <c r="AT251" s="1475"/>
      <c r="AU251" s="1476"/>
      <c r="AV251" s="1411"/>
      <c r="AW251" s="1772"/>
      <c r="AX251" s="1363"/>
      <c r="AY251" s="1363"/>
      <c r="AZ251" s="1363"/>
      <c r="BA251" s="1363"/>
      <c r="BB251" s="1363"/>
      <c r="BC251" s="1363"/>
      <c r="BD251" s="1363"/>
      <c r="BE251" s="1363"/>
      <c r="BF251" s="1363"/>
      <c r="BG251" s="1363"/>
      <c r="BH251" s="1363"/>
      <c r="BI251" s="1363"/>
      <c r="BJ251" s="1363"/>
      <c r="BM251" s="1845"/>
      <c r="BN251" s="1845"/>
      <c r="BO251" s="1845"/>
      <c r="BP251" s="1845"/>
      <c r="BQ251" s="1845"/>
      <c r="BR251" s="1845"/>
      <c r="BS251" s="1845"/>
      <c r="BT251" s="1411"/>
      <c r="BU251" s="1772"/>
      <c r="BV251" s="1411"/>
      <c r="BW251" s="1488"/>
      <c r="BX251" s="1489"/>
      <c r="BY251" s="1427"/>
      <c r="BZ251" s="1475"/>
      <c r="CA251" s="1476"/>
      <c r="CB251" s="1411"/>
      <c r="CC251" s="1772"/>
      <c r="CD251" s="1363"/>
      <c r="CE251" s="1363"/>
      <c r="CF251" s="1363"/>
      <c r="CG251" s="1363"/>
      <c r="CH251" s="1363"/>
      <c r="CI251" s="1363"/>
      <c r="CJ251" s="1363"/>
      <c r="CK251" s="1363"/>
      <c r="CL251" s="1363"/>
      <c r="CM251" s="1363"/>
      <c r="CN251" s="1363"/>
      <c r="CO251" s="1363"/>
      <c r="CP251" s="1363"/>
    </row>
    <row r="252" spans="1:94" ht="12.6" customHeight="1" outlineLevel="1">
      <c r="A252" s="2100" t="s">
        <v>5314</v>
      </c>
      <c r="B252" s="2101"/>
      <c r="C252" s="2101"/>
      <c r="D252" s="2101"/>
      <c r="E252" s="2101"/>
      <c r="F252" s="2101"/>
      <c r="G252" s="2102"/>
      <c r="H252" s="1411"/>
      <c r="I252" s="1772"/>
      <c r="J252" s="1411"/>
      <c r="K252" s="1771"/>
      <c r="L252" s="1772"/>
      <c r="M252" s="1411"/>
      <c r="N252" s="1771"/>
      <c r="O252" s="1772"/>
      <c r="P252" s="1411"/>
      <c r="Q252" s="1772"/>
      <c r="R252" s="1411"/>
      <c r="S252" s="1772"/>
      <c r="T252" s="1369"/>
      <c r="U252" s="1738"/>
      <c r="V252" s="1739"/>
      <c r="W252" s="1369"/>
      <c r="X252" s="1738"/>
      <c r="Y252" s="1739"/>
      <c r="Z252" s="1369"/>
      <c r="AA252" s="1738"/>
      <c r="AB252" s="1738"/>
      <c r="AC252" s="1738"/>
      <c r="AD252" s="1739"/>
      <c r="AG252" s="2184"/>
      <c r="AH252" s="2184"/>
      <c r="AI252" s="2184"/>
      <c r="AJ252" s="2184"/>
      <c r="AK252" s="2184"/>
      <c r="AL252" s="2184"/>
      <c r="AM252" s="2184"/>
      <c r="AN252" s="1438"/>
      <c r="AO252" s="1439"/>
      <c r="AP252" s="1438"/>
      <c r="AQ252" s="1846"/>
      <c r="AR252" s="1847"/>
      <c r="AS252" s="1422"/>
      <c r="AT252" s="1545"/>
      <c r="AU252" s="2182"/>
      <c r="AV252" s="1438"/>
      <c r="AW252" s="1439"/>
      <c r="AX252" s="1361"/>
      <c r="AY252" s="1361"/>
      <c r="AZ252" s="1361"/>
      <c r="BA252" s="1361"/>
      <c r="BB252" s="1361"/>
      <c r="BC252" s="1361"/>
      <c r="BD252" s="1361"/>
      <c r="BE252" s="1361"/>
      <c r="BF252" s="1361"/>
      <c r="BG252" s="1361"/>
      <c r="BH252" s="1361"/>
      <c r="BI252" s="1361"/>
      <c r="BJ252" s="1361"/>
      <c r="BM252" s="2184"/>
      <c r="BN252" s="2184"/>
      <c r="BO252" s="2184"/>
      <c r="BP252" s="2184"/>
      <c r="BQ252" s="2184"/>
      <c r="BR252" s="2184"/>
      <c r="BS252" s="2184"/>
      <c r="BT252" s="1438"/>
      <c r="BU252" s="1439"/>
      <c r="BV252" s="1438"/>
      <c r="BW252" s="1846"/>
      <c r="BX252" s="1847"/>
      <c r="BY252" s="1422"/>
      <c r="BZ252" s="1545"/>
      <c r="CA252" s="2182"/>
      <c r="CB252" s="1438"/>
      <c r="CC252" s="1439"/>
      <c r="CD252" s="1361"/>
      <c r="CE252" s="1361"/>
      <c r="CF252" s="1361"/>
      <c r="CG252" s="1361"/>
      <c r="CH252" s="1361"/>
      <c r="CI252" s="1361"/>
      <c r="CJ252" s="1361"/>
      <c r="CK252" s="1361"/>
      <c r="CL252" s="1361"/>
      <c r="CM252" s="1361"/>
      <c r="CN252" s="1361"/>
      <c r="CO252" s="1361"/>
      <c r="CP252" s="1361"/>
    </row>
    <row r="253" spans="1:94" ht="12.6" customHeight="1" outlineLevel="1">
      <c r="A253" s="1375" t="s">
        <v>2287</v>
      </c>
      <c r="B253" s="1378"/>
      <c r="C253" s="1378"/>
      <c r="D253" s="1378"/>
      <c r="E253" s="1378"/>
      <c r="F253" s="1378"/>
      <c r="G253" s="1379"/>
      <c r="H253" s="1438">
        <f>'Faith&amp;AOF'!B39</f>
        <v>10</v>
      </c>
      <c r="I253" s="1439"/>
      <c r="J253" s="1438" t="str">
        <f>'Faith&amp;AOF'!C39</f>
        <v>Y</v>
      </c>
      <c r="K253" s="1440"/>
      <c r="L253" s="1439"/>
      <c r="M253" s="1422">
        <f ca="1">'Faith&amp;AOF'!F39</f>
        <v>0.52</v>
      </c>
      <c r="N253" s="1423"/>
      <c r="O253" s="1424"/>
      <c r="P253" s="1438" t="str">
        <f>'Faith&amp;AOF'!D39</f>
        <v>-6+</v>
      </c>
      <c r="Q253" s="1439"/>
      <c r="R253" s="1438" t="s">
        <v>2231</v>
      </c>
      <c r="S253" s="1439"/>
      <c r="T253" s="1364" t="s">
        <v>3813</v>
      </c>
      <c r="U253" s="1750"/>
      <c r="V253" s="1751"/>
      <c r="W253" s="1364" t="s">
        <v>3812</v>
      </c>
      <c r="X253" s="1750"/>
      <c r="Y253" s="1751"/>
      <c r="Z253" s="1323" t="s">
        <v>3814</v>
      </c>
      <c r="AA253" s="1441"/>
      <c r="AB253" s="1441"/>
      <c r="AC253" s="1441"/>
      <c r="AD253" s="1442"/>
      <c r="AG253" s="1845"/>
      <c r="AH253" s="1845"/>
      <c r="AI253" s="1845"/>
      <c r="AJ253" s="1845"/>
      <c r="AK253" s="1845"/>
      <c r="AL253" s="1845"/>
      <c r="AM253" s="1845"/>
      <c r="AN253" s="1411"/>
      <c r="AO253" s="1772"/>
      <c r="AP253" s="1411"/>
      <c r="AQ253" s="1488"/>
      <c r="AR253" s="1489"/>
      <c r="AS253" s="1427"/>
      <c r="AT253" s="1475"/>
      <c r="AU253" s="1476"/>
      <c r="AV253" s="1411"/>
      <c r="AW253" s="1772"/>
      <c r="AX253" s="1363"/>
      <c r="AY253" s="1363"/>
      <c r="AZ253" s="1363"/>
      <c r="BA253" s="1363"/>
      <c r="BB253" s="1363"/>
      <c r="BC253" s="1363"/>
      <c r="BD253" s="1363"/>
      <c r="BE253" s="1363"/>
      <c r="BF253" s="1363"/>
      <c r="BG253" s="1363"/>
      <c r="BH253" s="1363"/>
      <c r="BI253" s="1363"/>
      <c r="BJ253" s="1363"/>
      <c r="BM253" s="1845"/>
      <c r="BN253" s="1845"/>
      <c r="BO253" s="1845"/>
      <c r="BP253" s="1845"/>
      <c r="BQ253" s="1845"/>
      <c r="BR253" s="1845"/>
      <c r="BS253" s="1845"/>
      <c r="BT253" s="1411"/>
      <c r="BU253" s="1772"/>
      <c r="BV253" s="1411"/>
      <c r="BW253" s="1488"/>
      <c r="BX253" s="1489"/>
      <c r="BY253" s="1427"/>
      <c r="BZ253" s="1475"/>
      <c r="CA253" s="1476"/>
      <c r="CB253" s="1411"/>
      <c r="CC253" s="1772"/>
      <c r="CD253" s="1363"/>
      <c r="CE253" s="1363"/>
      <c r="CF253" s="1363"/>
      <c r="CG253" s="1363"/>
      <c r="CH253" s="1363"/>
      <c r="CI253" s="1363"/>
      <c r="CJ253" s="1363"/>
      <c r="CK253" s="1363"/>
      <c r="CL253" s="1363"/>
      <c r="CM253" s="1363"/>
      <c r="CN253" s="1363"/>
      <c r="CO253" s="1363"/>
      <c r="CP253" s="1363"/>
    </row>
    <row r="254" spans="1:94" ht="12.6" customHeight="1" outlineLevel="1">
      <c r="A254" s="1778" t="s">
        <v>1019</v>
      </c>
      <c r="B254" s="1779"/>
      <c r="C254" s="1779"/>
      <c r="D254" s="1779"/>
      <c r="E254" s="1779"/>
      <c r="F254" s="1779"/>
      <c r="G254" s="1780"/>
      <c r="H254" s="1411">
        <f>'Faith&amp;AOF'!B40</f>
        <v>25</v>
      </c>
      <c r="I254" s="1772"/>
      <c r="J254" s="1411" t="str">
        <f>'Faith&amp;AOF'!C40</f>
        <v>Y</v>
      </c>
      <c r="K254" s="1771"/>
      <c r="L254" s="1772"/>
      <c r="M254" s="1427">
        <f>'Faith&amp;AOF'!F40</f>
        <v>0.45</v>
      </c>
      <c r="N254" s="1781"/>
      <c r="O254" s="1782"/>
      <c r="P254" s="1411" t="str">
        <f>'Faith&amp;AOF'!D40</f>
        <v>-12+</v>
      </c>
      <c r="Q254" s="1772"/>
      <c r="R254" s="1411" t="s">
        <v>2231</v>
      </c>
      <c r="S254" s="1772"/>
      <c r="T254" s="1369" t="s">
        <v>3813</v>
      </c>
      <c r="U254" s="1738"/>
      <c r="V254" s="1739"/>
      <c r="W254" s="1369" t="s">
        <v>3812</v>
      </c>
      <c r="X254" s="1738"/>
      <c r="Y254" s="1739"/>
      <c r="Z254" s="1369" t="s">
        <v>3814</v>
      </c>
      <c r="AA254" s="1738"/>
      <c r="AB254" s="1738"/>
      <c r="AC254" s="1738"/>
      <c r="AD254" s="1739"/>
      <c r="AG254" s="2184"/>
      <c r="AH254" s="2184"/>
      <c r="AI254" s="2184"/>
      <c r="AJ254" s="2184"/>
      <c r="AK254" s="2184"/>
      <c r="AL254" s="2184"/>
      <c r="AM254" s="2184"/>
      <c r="AN254" s="1438"/>
      <c r="AO254" s="1439"/>
      <c r="AP254" s="1438"/>
      <c r="AQ254" s="1846"/>
      <c r="AR254" s="1847"/>
      <c r="AS254" s="1422"/>
      <c r="AT254" s="1545"/>
      <c r="AU254" s="2182"/>
      <c r="AV254" s="1438"/>
      <c r="AW254" s="1439"/>
      <c r="AX254" s="1361"/>
      <c r="AY254" s="1361"/>
      <c r="AZ254" s="1361"/>
      <c r="BA254" s="1361"/>
      <c r="BB254" s="1361"/>
      <c r="BC254" s="1361"/>
      <c r="BD254" s="1361"/>
      <c r="BE254" s="1361"/>
      <c r="BF254" s="1361"/>
      <c r="BG254" s="1361"/>
      <c r="BH254" s="1361"/>
      <c r="BI254" s="1361"/>
      <c r="BJ254" s="1361"/>
      <c r="BM254" s="2184"/>
      <c r="BN254" s="2184"/>
      <c r="BO254" s="2184"/>
      <c r="BP254" s="2184"/>
      <c r="BQ254" s="2184"/>
      <c r="BR254" s="2184"/>
      <c r="BS254" s="2184"/>
      <c r="BT254" s="1438"/>
      <c r="BU254" s="1439"/>
      <c r="BV254" s="1438"/>
      <c r="BW254" s="1846"/>
      <c r="BX254" s="1847"/>
      <c r="BY254" s="1422"/>
      <c r="BZ254" s="1545"/>
      <c r="CA254" s="2182"/>
      <c r="CB254" s="1438"/>
      <c r="CC254" s="1439"/>
      <c r="CD254" s="1361"/>
      <c r="CE254" s="1361"/>
      <c r="CF254" s="1361"/>
      <c r="CG254" s="1361"/>
      <c r="CH254" s="1361"/>
      <c r="CI254" s="1361"/>
      <c r="CJ254" s="1361"/>
      <c r="CK254" s="1361"/>
      <c r="CL254" s="1361"/>
      <c r="CM254" s="1361"/>
      <c r="CN254" s="1361"/>
      <c r="CO254" s="1361"/>
      <c r="CP254" s="1361"/>
    </row>
    <row r="255" spans="1:94" ht="12.6" customHeight="1" outlineLevel="1">
      <c r="A255" s="1375" t="s">
        <v>2288</v>
      </c>
      <c r="B255" s="1378"/>
      <c r="C255" s="1378"/>
      <c r="D255" s="1378"/>
      <c r="E255" s="1378"/>
      <c r="F255" s="1378"/>
      <c r="G255" s="1379"/>
      <c r="H255" s="1438">
        <f>'Faith&amp;AOF'!B41</f>
        <v>50</v>
      </c>
      <c r="I255" s="1439"/>
      <c r="J255" s="1438" t="str">
        <f>'Faith&amp;AOF'!C41</f>
        <v>N</v>
      </c>
      <c r="K255" s="1440"/>
      <c r="L255" s="1439"/>
      <c r="M255" s="1422">
        <f>'Faith&amp;AOF'!F41</f>
        <v>0.3</v>
      </c>
      <c r="N255" s="1423"/>
      <c r="O255" s="1424"/>
      <c r="P255" s="1438" t="str">
        <f>'Faith&amp;AOF'!D41</f>
        <v>-24+</v>
      </c>
      <c r="Q255" s="1439"/>
      <c r="R255" s="1438" t="s">
        <v>2231</v>
      </c>
      <c r="S255" s="1439"/>
      <c r="T255" s="1364" t="s">
        <v>3813</v>
      </c>
      <c r="U255" s="1750"/>
      <c r="V255" s="1751"/>
      <c r="W255" s="1364" t="s">
        <v>3812</v>
      </c>
      <c r="X255" s="1750"/>
      <c r="Y255" s="1751"/>
      <c r="Z255" s="1323" t="s">
        <v>3815</v>
      </c>
      <c r="AA255" s="1441"/>
      <c r="AB255" s="1441"/>
      <c r="AC255" s="1441"/>
      <c r="AD255" s="1442"/>
      <c r="AG255" s="1845"/>
      <c r="AH255" s="1845"/>
      <c r="AI255" s="1845"/>
      <c r="AJ255" s="1845"/>
      <c r="AK255" s="1845"/>
      <c r="AL255" s="1845"/>
      <c r="AM255" s="1845"/>
      <c r="AN255" s="1411"/>
      <c r="AO255" s="1772"/>
      <c r="AP255" s="1411"/>
      <c r="AQ255" s="1488"/>
      <c r="AR255" s="1489"/>
      <c r="AS255" s="1427"/>
      <c r="AT255" s="1475"/>
      <c r="AU255" s="1476"/>
      <c r="AV255" s="1411"/>
      <c r="AW255" s="1772"/>
      <c r="AX255" s="1363"/>
      <c r="AY255" s="1363"/>
      <c r="AZ255" s="1363"/>
      <c r="BA255" s="1363"/>
      <c r="BB255" s="1363"/>
      <c r="BC255" s="1363"/>
      <c r="BD255" s="1363"/>
      <c r="BE255" s="1363"/>
      <c r="BF255" s="1363"/>
      <c r="BG255" s="1363"/>
      <c r="BH255" s="1363"/>
      <c r="BI255" s="1363"/>
      <c r="BJ255" s="1363"/>
      <c r="BM255" s="1845"/>
      <c r="BN255" s="1845"/>
      <c r="BO255" s="1845"/>
      <c r="BP255" s="1845"/>
      <c r="BQ255" s="1845"/>
      <c r="BR255" s="1845"/>
      <c r="BS255" s="1845"/>
      <c r="BT255" s="1411"/>
      <c r="BU255" s="1772"/>
      <c r="BV255" s="1411"/>
      <c r="BW255" s="1488"/>
      <c r="BX255" s="1489"/>
      <c r="BY255" s="1427"/>
      <c r="BZ255" s="1475"/>
      <c r="CA255" s="1476"/>
      <c r="CB255" s="1411"/>
      <c r="CC255" s="1772"/>
      <c r="CD255" s="1363"/>
      <c r="CE255" s="1363"/>
      <c r="CF255" s="1363"/>
      <c r="CG255" s="1363"/>
      <c r="CH255" s="1363"/>
      <c r="CI255" s="1363"/>
      <c r="CJ255" s="1363"/>
      <c r="CK255" s="1363"/>
      <c r="CL255" s="1363"/>
      <c r="CM255" s="1363"/>
      <c r="CN255" s="1363"/>
      <c r="CO255" s="1363"/>
      <c r="CP255" s="1363"/>
    </row>
    <row r="256" spans="1:94" ht="12.6" customHeight="1" outlineLevel="1">
      <c r="A256" s="2201" t="s">
        <v>3156</v>
      </c>
      <c r="B256" s="2201"/>
      <c r="C256" s="2201"/>
      <c r="D256" s="2201"/>
      <c r="E256" s="2201"/>
      <c r="F256" s="2201"/>
      <c r="G256" s="2201"/>
      <c r="H256" s="1363"/>
      <c r="I256" s="1363"/>
      <c r="J256" s="1363"/>
      <c r="K256" s="1363"/>
      <c r="L256" s="1363"/>
      <c r="M256" s="1363"/>
      <c r="N256" s="1363"/>
      <c r="O256" s="1363"/>
      <c r="P256" s="1363"/>
      <c r="Q256" s="1363"/>
      <c r="R256" s="1363"/>
      <c r="S256" s="1363"/>
      <c r="T256" s="1369"/>
      <c r="U256" s="1738"/>
      <c r="V256" s="1739"/>
      <c r="W256" s="1788"/>
      <c r="X256" s="1788"/>
      <c r="Y256" s="1788"/>
      <c r="Z256" s="1788"/>
      <c r="AA256" s="1788"/>
      <c r="AB256" s="1788"/>
      <c r="AC256" s="1788"/>
      <c r="AD256" s="1788"/>
      <c r="AG256" s="2184"/>
      <c r="AH256" s="2184"/>
      <c r="AI256" s="2184"/>
      <c r="AJ256" s="2184"/>
      <c r="AK256" s="2184"/>
      <c r="AL256" s="2184"/>
      <c r="AM256" s="2184"/>
      <c r="AN256" s="1438"/>
      <c r="AO256" s="1439"/>
      <c r="AP256" s="1438"/>
      <c r="AQ256" s="1846"/>
      <c r="AR256" s="1847"/>
      <c r="AS256" s="1422"/>
      <c r="AT256" s="1545"/>
      <c r="AU256" s="2182"/>
      <c r="AV256" s="1438"/>
      <c r="AW256" s="1439"/>
      <c r="AX256" s="1361"/>
      <c r="AY256" s="1361"/>
      <c r="AZ256" s="1361"/>
      <c r="BA256" s="1361"/>
      <c r="BB256" s="1361"/>
      <c r="BC256" s="1361"/>
      <c r="BD256" s="1361"/>
      <c r="BE256" s="1361"/>
      <c r="BF256" s="1361"/>
      <c r="BG256" s="1361"/>
      <c r="BH256" s="1361"/>
      <c r="BI256" s="1361"/>
      <c r="BJ256" s="1361"/>
      <c r="BM256" s="2184"/>
      <c r="BN256" s="2184"/>
      <c r="BO256" s="2184"/>
      <c r="BP256" s="2184"/>
      <c r="BQ256" s="2184"/>
      <c r="BR256" s="2184"/>
      <c r="BS256" s="2184"/>
      <c r="BT256" s="1438"/>
      <c r="BU256" s="1439"/>
      <c r="BV256" s="1438"/>
      <c r="BW256" s="1846"/>
      <c r="BX256" s="1847"/>
      <c r="BY256" s="1422"/>
      <c r="BZ256" s="1545"/>
      <c r="CA256" s="2182"/>
      <c r="CB256" s="1438"/>
      <c r="CC256" s="1439"/>
      <c r="CD256" s="1361"/>
      <c r="CE256" s="1361"/>
      <c r="CF256" s="1361"/>
      <c r="CG256" s="1361"/>
      <c r="CH256" s="1361"/>
      <c r="CI256" s="1361"/>
      <c r="CJ256" s="1361"/>
      <c r="CK256" s="1361"/>
      <c r="CL256" s="1361"/>
      <c r="CM256" s="1361"/>
      <c r="CN256" s="1361"/>
      <c r="CO256" s="1361"/>
      <c r="CP256" s="1361"/>
    </row>
    <row r="257" spans="1:94" ht="12.6" customHeight="1" outlineLevel="1">
      <c r="A257" s="1791" t="s">
        <v>2228</v>
      </c>
      <c r="B257" s="1791"/>
      <c r="C257" s="1791"/>
      <c r="D257" s="1791"/>
      <c r="E257" s="1791"/>
      <c r="F257" s="1791"/>
      <c r="G257" s="1791"/>
      <c r="H257" s="1361">
        <f>'Faith&amp;AOF'!R17</f>
        <v>50</v>
      </c>
      <c r="I257" s="1361"/>
      <c r="J257" s="1361" t="str">
        <f>'Faith&amp;AOF'!S17</f>
        <v>N</v>
      </c>
      <c r="K257" s="1361"/>
      <c r="L257" s="1361"/>
      <c r="M257" s="2402">
        <f>'Faith&amp;AOF'!U17</f>
        <v>0.9</v>
      </c>
      <c r="N257" s="1361"/>
      <c r="O257" s="1361"/>
      <c r="P257" s="1720">
        <f>'Faith&amp;AOF'!T17</f>
        <v>-12.333333333333334</v>
      </c>
      <c r="Q257" s="1720"/>
      <c r="R257" s="1361" t="s">
        <v>2231</v>
      </c>
      <c r="S257" s="1361"/>
      <c r="T257" s="1364" t="s">
        <v>3813</v>
      </c>
      <c r="U257" s="1750"/>
      <c r="V257" s="1751"/>
      <c r="W257" s="1364" t="s">
        <v>2231</v>
      </c>
      <c r="X257" s="1750"/>
      <c r="Y257" s="1751"/>
      <c r="Z257" s="1364" t="s">
        <v>2231</v>
      </c>
      <c r="AA257" s="1750"/>
      <c r="AB257" s="1750"/>
      <c r="AC257" s="1750"/>
      <c r="AD257" s="1751"/>
      <c r="AG257" s="1845"/>
      <c r="AH257" s="1845"/>
      <c r="AI257" s="1845"/>
      <c r="AJ257" s="1845"/>
      <c r="AK257" s="1845"/>
      <c r="AL257" s="1845"/>
      <c r="AM257" s="1845"/>
      <c r="AN257" s="1411"/>
      <c r="AO257" s="1772"/>
      <c r="AP257" s="1411"/>
      <c r="AQ257" s="1488"/>
      <c r="AR257" s="1489"/>
      <c r="AS257" s="1427"/>
      <c r="AT257" s="1475"/>
      <c r="AU257" s="1476"/>
      <c r="AV257" s="1411"/>
      <c r="AW257" s="1772"/>
      <c r="AX257" s="1363"/>
      <c r="AY257" s="1363"/>
      <c r="AZ257" s="1363"/>
      <c r="BA257" s="1363"/>
      <c r="BB257" s="1363"/>
      <c r="BC257" s="1363"/>
      <c r="BD257" s="1363"/>
      <c r="BE257" s="1363"/>
      <c r="BF257" s="1363"/>
      <c r="BG257" s="1363"/>
      <c r="BH257" s="1363"/>
      <c r="BI257" s="1363"/>
      <c r="BJ257" s="1363"/>
      <c r="BM257" s="1845"/>
      <c r="BN257" s="1845"/>
      <c r="BO257" s="1845"/>
      <c r="BP257" s="1845"/>
      <c r="BQ257" s="1845"/>
      <c r="BR257" s="1845"/>
      <c r="BS257" s="1845"/>
      <c r="BT257" s="1411"/>
      <c r="BU257" s="1772"/>
      <c r="BV257" s="1411"/>
      <c r="BW257" s="1488"/>
      <c r="BX257" s="1489"/>
      <c r="BY257" s="1427"/>
      <c r="BZ257" s="1475"/>
      <c r="CA257" s="1476"/>
      <c r="CB257" s="1411"/>
      <c r="CC257" s="1772"/>
      <c r="CD257" s="1363"/>
      <c r="CE257" s="1363"/>
      <c r="CF257" s="1363"/>
      <c r="CG257" s="1363"/>
      <c r="CH257" s="1363"/>
      <c r="CI257" s="1363"/>
      <c r="CJ257" s="1363"/>
      <c r="CK257" s="1363"/>
      <c r="CL257" s="1363"/>
      <c r="CM257" s="1363"/>
      <c r="CN257" s="1363"/>
      <c r="CO257" s="1363"/>
      <c r="CP257" s="1363"/>
    </row>
    <row r="258" spans="1:94" ht="12.6" customHeight="1" outlineLevel="1">
      <c r="A258" s="1339" t="s">
        <v>3974</v>
      </c>
      <c r="B258" s="1344"/>
      <c r="C258" s="1344"/>
      <c r="D258" s="1344"/>
      <c r="E258" s="1344"/>
      <c r="F258" s="1344"/>
      <c r="G258" s="1344"/>
      <c r="H258" s="1414" t="s">
        <v>578</v>
      </c>
      <c r="I258" s="1416"/>
      <c r="J258" s="1417" t="s">
        <v>4772</v>
      </c>
      <c r="K258" s="1418"/>
      <c r="L258" s="1419"/>
      <c r="M258" s="1414" t="s">
        <v>4775</v>
      </c>
      <c r="N258" s="1415"/>
      <c r="O258" s="1416"/>
      <c r="P258" s="1417" t="s">
        <v>4719</v>
      </c>
      <c r="Q258" s="1419"/>
      <c r="R258" s="1417" t="s">
        <v>3142</v>
      </c>
      <c r="S258" s="1419"/>
      <c r="T258" s="1414" t="s">
        <v>3143</v>
      </c>
      <c r="U258" s="1415"/>
      <c r="V258" s="1416"/>
      <c r="W258" s="1414" t="s">
        <v>3144</v>
      </c>
      <c r="X258" s="1415"/>
      <c r="Y258" s="1416"/>
      <c r="Z258" s="1414" t="s">
        <v>5563</v>
      </c>
      <c r="AA258" s="1415"/>
      <c r="AB258" s="1415"/>
      <c r="AC258" s="1415"/>
      <c r="AD258" s="1416"/>
      <c r="AG258" s="2184"/>
      <c r="AH258" s="2184"/>
      <c r="AI258" s="2184"/>
      <c r="AJ258" s="2184"/>
      <c r="AK258" s="2184"/>
      <c r="AL258" s="2184"/>
      <c r="AM258" s="2184"/>
      <c r="AN258" s="1438"/>
      <c r="AO258" s="1439"/>
      <c r="AP258" s="1438"/>
      <c r="AQ258" s="1846"/>
      <c r="AR258" s="1847"/>
      <c r="AS258" s="1422"/>
      <c r="AT258" s="1545"/>
      <c r="AU258" s="2182"/>
      <c r="AV258" s="1438"/>
      <c r="AW258" s="1439"/>
      <c r="AX258" s="1438"/>
      <c r="AY258" s="1439"/>
      <c r="AZ258" s="1438"/>
      <c r="BA258" s="1440"/>
      <c r="BB258" s="1439"/>
      <c r="BC258" s="1438"/>
      <c r="BD258" s="1440"/>
      <c r="BE258" s="1439"/>
      <c r="BF258" s="1438"/>
      <c r="BG258" s="1440"/>
      <c r="BH258" s="1440"/>
      <c r="BI258" s="1440"/>
      <c r="BJ258" s="1439"/>
      <c r="BM258" s="2184"/>
      <c r="BN258" s="2184"/>
      <c r="BO258" s="2184"/>
      <c r="BP258" s="2184"/>
      <c r="BQ258" s="2184"/>
      <c r="BR258" s="2184"/>
      <c r="BS258" s="2184"/>
      <c r="BT258" s="1438"/>
      <c r="BU258" s="1439"/>
      <c r="BV258" s="1438"/>
      <c r="BW258" s="1846"/>
      <c r="BX258" s="1847"/>
      <c r="BY258" s="1422"/>
      <c r="BZ258" s="1545"/>
      <c r="CA258" s="2182"/>
      <c r="CB258" s="1438"/>
      <c r="CC258" s="1439"/>
      <c r="CD258" s="1438"/>
      <c r="CE258" s="1439"/>
      <c r="CF258" s="1438"/>
      <c r="CG258" s="1440"/>
      <c r="CH258" s="1439"/>
      <c r="CI258" s="1438"/>
      <c r="CJ258" s="1440"/>
      <c r="CK258" s="1439"/>
      <c r="CL258" s="1438"/>
      <c r="CM258" s="1440"/>
      <c r="CN258" s="1440"/>
      <c r="CO258" s="1440"/>
      <c r="CP258" s="1439"/>
    </row>
    <row r="259" spans="1:94" ht="12.6" customHeight="1" outlineLevel="1">
      <c r="A259" s="1848" t="s">
        <v>3156</v>
      </c>
      <c r="B259" s="1849"/>
      <c r="C259" s="1849"/>
      <c r="D259" s="1849"/>
      <c r="E259" s="1849"/>
      <c r="F259" s="1849"/>
      <c r="G259" s="1850"/>
      <c r="H259" s="1743"/>
      <c r="I259" s="1790"/>
      <c r="J259" s="1743"/>
      <c r="K259" s="1789"/>
      <c r="L259" s="1790"/>
      <c r="M259" s="1743"/>
      <c r="N259" s="1789"/>
      <c r="O259" s="1790"/>
      <c r="P259" s="1743"/>
      <c r="Q259" s="1790"/>
      <c r="R259" s="1743"/>
      <c r="S259" s="1790"/>
      <c r="T259" s="1743"/>
      <c r="U259" s="1789"/>
      <c r="V259" s="1790"/>
      <c r="W259" s="1743"/>
      <c r="X259" s="1789"/>
      <c r="Y259" s="1790"/>
      <c r="Z259" s="1743"/>
      <c r="AA259" s="1789"/>
      <c r="AB259" s="1789"/>
      <c r="AC259" s="1789"/>
      <c r="AD259" s="1790"/>
      <c r="AG259" s="1845"/>
      <c r="AH259" s="1845"/>
      <c r="AI259" s="1845"/>
      <c r="AJ259" s="1845"/>
      <c r="AK259" s="1845"/>
      <c r="AL259" s="1845"/>
      <c r="AM259" s="1845"/>
      <c r="AN259" s="1411"/>
      <c r="AO259" s="1772"/>
      <c r="AP259" s="1411"/>
      <c r="AQ259" s="1488"/>
      <c r="AR259" s="1489"/>
      <c r="AS259" s="1427"/>
      <c r="AT259" s="1475"/>
      <c r="AU259" s="1476"/>
      <c r="AV259" s="1411"/>
      <c r="AW259" s="1772"/>
      <c r="AX259" s="1363"/>
      <c r="AY259" s="1363"/>
      <c r="AZ259" s="1363"/>
      <c r="BA259" s="1363"/>
      <c r="BB259" s="1363"/>
      <c r="BC259" s="1363"/>
      <c r="BD259" s="1363"/>
      <c r="BE259" s="1363"/>
      <c r="BF259" s="1363"/>
      <c r="BG259" s="1363"/>
      <c r="BH259" s="1363"/>
      <c r="BI259" s="1363"/>
      <c r="BJ259" s="1363"/>
      <c r="BM259" s="1845"/>
      <c r="BN259" s="1845"/>
      <c r="BO259" s="1845"/>
      <c r="BP259" s="1845"/>
      <c r="BQ259" s="1845"/>
      <c r="BR259" s="1845"/>
      <c r="BS259" s="1845"/>
      <c r="BT259" s="1411"/>
      <c r="BU259" s="1772"/>
      <c r="BV259" s="1411"/>
      <c r="BW259" s="1488"/>
      <c r="BX259" s="1489"/>
      <c r="BY259" s="1427"/>
      <c r="BZ259" s="1475"/>
      <c r="CA259" s="1476"/>
      <c r="CB259" s="1411"/>
      <c r="CC259" s="1772"/>
      <c r="CD259" s="1363"/>
      <c r="CE259" s="1363"/>
      <c r="CF259" s="1363"/>
      <c r="CG259" s="1363"/>
      <c r="CH259" s="1363"/>
      <c r="CI259" s="1363"/>
      <c r="CJ259" s="1363"/>
      <c r="CK259" s="1363"/>
      <c r="CL259" s="1363"/>
      <c r="CM259" s="1363"/>
      <c r="CN259" s="1363"/>
      <c r="CO259" s="1363"/>
      <c r="CP259" s="1363"/>
    </row>
    <row r="260" spans="1:94" ht="12.6" customHeight="1" outlineLevel="1">
      <c r="A260" s="1845" t="str">
        <f>IF('Faith&amp;AOF'!$D$12="N",IF('Faith&amp;AOF'!$D$13="N"," ","Bless Item"),"Bless Item")</f>
        <v>Bless Item</v>
      </c>
      <c r="B260" s="1845"/>
      <c r="C260" s="1845"/>
      <c r="D260" s="1845"/>
      <c r="E260" s="1845"/>
      <c r="F260" s="1845"/>
      <c r="G260" s="1845"/>
      <c r="H260" s="1411">
        <f>IF('Faith&amp;AOF'!$D$12="N",IF('Faith&amp;AOF'!$D$13="N"," ",+'Faith&amp;AOF'!R4),+'Faith&amp;AOF'!R4)</f>
        <v>10</v>
      </c>
      <c r="I260" s="1772"/>
      <c r="J260" s="1411" t="str">
        <f>IF('Faith&amp;AOF'!$D$12="N",IF('Faith&amp;AOF'!$D$13="N"," ",+'Faith&amp;AOF'!S4),+'Faith&amp;AOF'!S4)</f>
        <v>Y</v>
      </c>
      <c r="K260" s="1488"/>
      <c r="L260" s="1489"/>
      <c r="M260" s="1427" t="str">
        <f>IF('Faith&amp;AOF'!$D$12="N",IF('Faith&amp;AOF'!$D$13="N"," ",+'Faith&amp;AOF'!U4),+'Faith&amp;AOF'!U4)</f>
        <v>auto</v>
      </c>
      <c r="N260" s="1475"/>
      <c r="O260" s="1476"/>
      <c r="P260" s="1411">
        <f>IF('Faith&amp;AOF'!$D$12="N",IF('Faith&amp;AOF'!$D$13="N"," ",+'Faith&amp;AOF'!T4),+'Faith&amp;AOF'!T4)</f>
        <v>-3</v>
      </c>
      <c r="Q260" s="1772"/>
      <c r="R260" s="1363"/>
      <c r="S260" s="1363"/>
      <c r="T260" s="1363"/>
      <c r="U260" s="1363"/>
      <c r="V260" s="1363"/>
      <c r="W260" s="1363"/>
      <c r="X260" s="1363"/>
      <c r="Y260" s="1363"/>
      <c r="Z260" s="1363"/>
      <c r="AA260" s="1363"/>
      <c r="AB260" s="1363"/>
      <c r="AC260" s="1363"/>
      <c r="AD260" s="1363"/>
      <c r="AG260" s="1859" t="s">
        <v>3159</v>
      </c>
      <c r="AH260" s="1859"/>
      <c r="AI260" s="1859"/>
      <c r="AJ260" s="1859"/>
      <c r="AK260" s="1859"/>
      <c r="AL260" s="1859"/>
      <c r="AM260" s="1859"/>
      <c r="AN260" s="1343"/>
      <c r="AO260" s="1343"/>
      <c r="AP260" s="1343"/>
      <c r="AQ260" s="1343"/>
      <c r="AR260" s="1343"/>
      <c r="AS260" s="1343"/>
      <c r="AT260" s="1343"/>
      <c r="AU260" s="1343"/>
      <c r="AV260" s="1343"/>
      <c r="AW260" s="1343"/>
      <c r="AX260" s="1343"/>
      <c r="AY260" s="1343"/>
      <c r="AZ260" s="1343"/>
      <c r="BA260" s="1343"/>
      <c r="BB260" s="1343"/>
      <c r="BC260" s="1343"/>
      <c r="BD260" s="1343"/>
      <c r="BE260" s="1343"/>
      <c r="BF260" s="1343"/>
      <c r="BG260" s="1343"/>
      <c r="BH260" s="1343"/>
      <c r="BI260" s="1343"/>
      <c r="BJ260" s="1343"/>
      <c r="BM260" s="1859" t="s">
        <v>3159</v>
      </c>
      <c r="BN260" s="1859"/>
      <c r="BO260" s="1859"/>
      <c r="BP260" s="1859"/>
      <c r="BQ260" s="1859"/>
      <c r="BR260" s="1859"/>
      <c r="BS260" s="1859"/>
      <c r="BT260" s="1343"/>
      <c r="BU260" s="1343"/>
      <c r="BV260" s="1343"/>
      <c r="BW260" s="1343"/>
      <c r="BX260" s="1343"/>
      <c r="BY260" s="1343"/>
      <c r="BZ260" s="1343"/>
      <c r="CA260" s="1343"/>
      <c r="CB260" s="1343"/>
      <c r="CC260" s="1343"/>
      <c r="CD260" s="1343"/>
      <c r="CE260" s="1343"/>
      <c r="CF260" s="1343"/>
      <c r="CG260" s="1343"/>
      <c r="CH260" s="1343"/>
      <c r="CI260" s="1343"/>
      <c r="CJ260" s="1343"/>
      <c r="CK260" s="1343"/>
      <c r="CL260" s="1343"/>
      <c r="CM260" s="1343"/>
      <c r="CN260" s="1343"/>
      <c r="CO260" s="1343"/>
      <c r="CP260" s="1343"/>
    </row>
    <row r="261" spans="1:94" ht="12.6" customHeight="1" outlineLevel="1">
      <c r="A261" s="2184" t="str">
        <f>IF('Faith&amp;AOF'!$D$12="N",IF('Faith&amp;AOF'!$D$13="N"," ","Bury the Dead"),"Bury the Dead")</f>
        <v>Bury the Dead</v>
      </c>
      <c r="B261" s="2184"/>
      <c r="C261" s="2184"/>
      <c r="D261" s="2184"/>
      <c r="E261" s="2184"/>
      <c r="F261" s="2184"/>
      <c r="G261" s="2184"/>
      <c r="H261" s="1438">
        <f>IF('Faith&amp;AOF'!$D$12="N",IF('Faith&amp;AOF'!$D$13="N"," ",+'Faith&amp;AOF'!R5),+'Faith&amp;AOF'!R5)</f>
        <v>10</v>
      </c>
      <c r="I261" s="1439"/>
      <c r="J261" s="1438" t="str">
        <f>IF('Faith&amp;AOF'!$D$12="N",IF('Faith&amp;AOF'!$D$13="N"," ",+'Faith&amp;AOF'!S5),+'Faith&amp;AOF'!S5)</f>
        <v>Y</v>
      </c>
      <c r="K261" s="1846"/>
      <c r="L261" s="1847"/>
      <c r="M261" s="1422" t="str">
        <f>IF('Faith&amp;AOF'!$D$12="N",IF('Faith&amp;AOF'!$D$13="N"," ",+'Faith&amp;AOF'!U5),+'Faith&amp;AOF'!U5)</f>
        <v>auto</v>
      </c>
      <c r="N261" s="1545"/>
      <c r="O261" s="2182"/>
      <c r="P261" s="1438">
        <f>IF('Faith&amp;AOF'!$D$12="N",IF('Faith&amp;AOF'!$D$13="N"," ",+'Faith&amp;AOF'!T5),+'Faith&amp;AOF'!T5)</f>
        <v>-4</v>
      </c>
      <c r="Q261" s="1439"/>
      <c r="R261" s="1361"/>
      <c r="S261" s="1361"/>
      <c r="T261" s="1361"/>
      <c r="U261" s="1361"/>
      <c r="V261" s="1361"/>
      <c r="W261" s="1361"/>
      <c r="X261" s="1361"/>
      <c r="Y261" s="1361"/>
      <c r="Z261" s="1361"/>
      <c r="AA261" s="1361"/>
      <c r="AB261" s="1361"/>
      <c r="AC261" s="1361"/>
      <c r="AD261" s="1361"/>
      <c r="AG261" s="2183"/>
      <c r="AH261" s="2183"/>
      <c r="AI261" s="2183"/>
      <c r="AJ261" s="2183"/>
      <c r="AK261" s="2183"/>
      <c r="AL261" s="2183"/>
      <c r="AM261" s="2183"/>
      <c r="AN261" s="1411"/>
      <c r="AO261" s="1489"/>
      <c r="AP261" s="1411"/>
      <c r="AQ261" s="1771"/>
      <c r="AR261" s="1772"/>
      <c r="AS261" s="1411"/>
      <c r="AT261" s="1771"/>
      <c r="AU261" s="1772"/>
      <c r="AV261" s="1411"/>
      <c r="AW261" s="1772"/>
      <c r="AX261" s="1363"/>
      <c r="AY261" s="1363"/>
      <c r="AZ261" s="1363"/>
      <c r="BA261" s="1363"/>
      <c r="BB261" s="1363"/>
      <c r="BC261" s="1363"/>
      <c r="BD261" s="1363"/>
      <c r="BE261" s="1363"/>
      <c r="BF261" s="1363"/>
      <c r="BG261" s="1363"/>
      <c r="BH261" s="1363"/>
      <c r="BI261" s="1363"/>
      <c r="BJ261" s="1363"/>
      <c r="BM261" s="2183"/>
      <c r="BN261" s="2183"/>
      <c r="BO261" s="2183"/>
      <c r="BP261" s="2183"/>
      <c r="BQ261" s="2183"/>
      <c r="BR261" s="2183"/>
      <c r="BS261" s="2183"/>
      <c r="BT261" s="1411"/>
      <c r="BU261" s="1489"/>
      <c r="BV261" s="1411"/>
      <c r="BW261" s="1771"/>
      <c r="BX261" s="1772"/>
      <c r="BY261" s="1411"/>
      <c r="BZ261" s="1771"/>
      <c r="CA261" s="1772"/>
      <c r="CB261" s="1411"/>
      <c r="CC261" s="1772"/>
      <c r="CD261" s="1363"/>
      <c r="CE261" s="1363"/>
      <c r="CF261" s="1363"/>
      <c r="CG261" s="1363"/>
      <c r="CH261" s="1363"/>
      <c r="CI261" s="1363"/>
      <c r="CJ261" s="1363"/>
      <c r="CK261" s="1363"/>
      <c r="CL261" s="1363"/>
      <c r="CM261" s="1363"/>
      <c r="CN261" s="1363"/>
      <c r="CO261" s="1363"/>
      <c r="CP261" s="1363"/>
    </row>
    <row r="262" spans="1:94" ht="12.6" customHeight="1" outlineLevel="1">
      <c r="A262" s="1845" t="str">
        <f>IF('Faith&amp;AOF'!$D$12="N",IF('Faith&amp;AOF'!$D$13="N"," ","Sanctification"),"Sanctification")</f>
        <v>Sanctification</v>
      </c>
      <c r="B262" s="1845"/>
      <c r="C262" s="1845"/>
      <c r="D262" s="1845"/>
      <c r="E262" s="1845"/>
      <c r="F262" s="1845"/>
      <c r="G262" s="1845"/>
      <c r="H262" s="1411">
        <f>IF('Faith&amp;AOF'!$D$12="N",IF('Faith&amp;AOF'!$D$13="N"," ",+'Faith&amp;AOF'!R6),+'Faith&amp;AOF'!R6)</f>
        <v>20</v>
      </c>
      <c r="I262" s="1772"/>
      <c r="J262" s="1411" t="str">
        <f>IF('Faith&amp;AOF'!$D$12="N",IF('Faith&amp;AOF'!$D$13="N"," ",+'Faith&amp;AOF'!S6),+'Faith&amp;AOF'!S6)</f>
        <v>Y</v>
      </c>
      <c r="K262" s="1488"/>
      <c r="L262" s="1489"/>
      <c r="M262" s="1427">
        <f ca="1">IF('Faith&amp;AOF'!$D$12="N",IF('Faith&amp;AOF'!$D$13="N"," ",+'Faith&amp;AOF'!U6),+'Faith&amp;AOF'!U6)</f>
        <v>0.78</v>
      </c>
      <c r="N262" s="1475"/>
      <c r="O262" s="1476"/>
      <c r="P262" s="1411">
        <f>IF('Faith&amp;AOF'!$D$12="N",IF('Faith&amp;AOF'!$D$13="N"," ",+'Faith&amp;AOF'!T6),+'Faith&amp;AOF'!T6)</f>
        <v>-3</v>
      </c>
      <c r="Q262" s="1772"/>
      <c r="R262" s="1363"/>
      <c r="S262" s="1363"/>
      <c r="T262" s="1363"/>
      <c r="U262" s="1363"/>
      <c r="V262" s="1363"/>
      <c r="W262" s="1363"/>
      <c r="X262" s="1363"/>
      <c r="Y262" s="1363"/>
      <c r="Z262" s="1363"/>
      <c r="AA262" s="1363"/>
      <c r="AB262" s="1363"/>
      <c r="AC262" s="1363"/>
      <c r="AD262" s="1363"/>
      <c r="AG262" s="1791"/>
      <c r="AH262" s="1791"/>
      <c r="AI262" s="1791"/>
      <c r="AJ262" s="1791"/>
      <c r="AK262" s="1791"/>
      <c r="AL262" s="1791"/>
      <c r="AM262" s="1791"/>
      <c r="AN262" s="1438"/>
      <c r="AO262" s="1847"/>
      <c r="AP262" s="1438"/>
      <c r="AQ262" s="1440"/>
      <c r="AR262" s="1439"/>
      <c r="AS262" s="1438"/>
      <c r="AT262" s="1440"/>
      <c r="AU262" s="1439"/>
      <c r="AV262" s="1438"/>
      <c r="AW262" s="1439"/>
      <c r="AX262" s="1361"/>
      <c r="AY262" s="1361"/>
      <c r="AZ262" s="1361"/>
      <c r="BA262" s="1361"/>
      <c r="BB262" s="1361"/>
      <c r="BC262" s="1361"/>
      <c r="BD262" s="1361"/>
      <c r="BE262" s="1361"/>
      <c r="BF262" s="1361"/>
      <c r="BG262" s="1361"/>
      <c r="BH262" s="1361"/>
      <c r="BI262" s="1361"/>
      <c r="BJ262" s="1361"/>
      <c r="BM262" s="1791"/>
      <c r="BN262" s="1791"/>
      <c r="BO262" s="1791"/>
      <c r="BP262" s="1791"/>
      <c r="BQ262" s="1791"/>
      <c r="BR262" s="1791"/>
      <c r="BS262" s="1791"/>
      <c r="BT262" s="1438"/>
      <c r="BU262" s="1847"/>
      <c r="BV262" s="1438"/>
      <c r="BW262" s="1440"/>
      <c r="BX262" s="1439"/>
      <c r="BY262" s="1438"/>
      <c r="BZ262" s="1440"/>
      <c r="CA262" s="1439"/>
      <c r="CB262" s="1438"/>
      <c r="CC262" s="1439"/>
      <c r="CD262" s="1361"/>
      <c r="CE262" s="1361"/>
      <c r="CF262" s="1361"/>
      <c r="CG262" s="1361"/>
      <c r="CH262" s="1361"/>
      <c r="CI262" s="1361"/>
      <c r="CJ262" s="1361"/>
      <c r="CK262" s="1361"/>
      <c r="CL262" s="1361"/>
      <c r="CM262" s="1361"/>
      <c r="CN262" s="1361"/>
      <c r="CO262" s="1361"/>
      <c r="CP262" s="1361"/>
    </row>
    <row r="263" spans="1:94" ht="12.6" customHeight="1" outlineLevel="1">
      <c r="A263" s="2184" t="str">
        <f>IF('Faith&amp;AOF'!$D$12="N",IF('Faith&amp;AOF'!$D$13="N"," ","Holy Barrier of Guard"),"Holy Barrier of Guard")</f>
        <v>Holy Barrier of Guard</v>
      </c>
      <c r="B263" s="2184"/>
      <c r="C263" s="2184"/>
      <c r="D263" s="2184"/>
      <c r="E263" s="2184"/>
      <c r="F263" s="2184"/>
      <c r="G263" s="2184"/>
      <c r="H263" s="1438">
        <f>IF('Faith&amp;AOF'!$D$12="N",IF('Faith&amp;AOF'!$D$13="N"," ",+'Faith&amp;AOF'!R7),+'Faith&amp;AOF'!R7)</f>
        <v>20</v>
      </c>
      <c r="I263" s="1439"/>
      <c r="J263" s="1438" t="str">
        <f>IF('Faith&amp;AOF'!$D$12="N",IF('Faith&amp;AOF'!$D$13="N"," ",+'Faith&amp;AOF'!S7),+'Faith&amp;AOF'!S7)</f>
        <v>Y</v>
      </c>
      <c r="K263" s="1846"/>
      <c r="L263" s="1847"/>
      <c r="M263" s="1422">
        <f ca="1">IF('Faith&amp;AOF'!$D$12="N",IF('Faith&amp;AOF'!$D$13="N"," ",+'Faith&amp;AOF'!U7),+'Faith&amp;AOF'!U7)</f>
        <v>0.78</v>
      </c>
      <c r="N263" s="1545"/>
      <c r="O263" s="2182"/>
      <c r="P263" s="1438">
        <f>IF('Faith&amp;AOF'!$D$12="N",IF('Faith&amp;AOF'!$D$13="N"," ",+'Faith&amp;AOF'!T7),+'Faith&amp;AOF'!T7)</f>
        <v>-3</v>
      </c>
      <c r="Q263" s="1439"/>
      <c r="R263" s="1361"/>
      <c r="S263" s="1361"/>
      <c r="T263" s="1361"/>
      <c r="U263" s="1361"/>
      <c r="V263" s="1361"/>
      <c r="W263" s="1361"/>
      <c r="X263" s="1361"/>
      <c r="Y263" s="1361"/>
      <c r="Z263" s="1361"/>
      <c r="AA263" s="1361"/>
      <c r="AB263" s="1361"/>
      <c r="AC263" s="1361"/>
      <c r="AD263" s="1361"/>
      <c r="AG263" s="2183"/>
      <c r="AH263" s="2183"/>
      <c r="AI263" s="2183"/>
      <c r="AJ263" s="2183"/>
      <c r="AK263" s="2183"/>
      <c r="AL263" s="2183"/>
      <c r="AM263" s="2183"/>
      <c r="AN263" s="1411"/>
      <c r="AO263" s="1489"/>
      <c r="AP263" s="1411"/>
      <c r="AQ263" s="1771"/>
      <c r="AR263" s="1772"/>
      <c r="AS263" s="1411"/>
      <c r="AT263" s="1771"/>
      <c r="AU263" s="1772"/>
      <c r="AV263" s="1411"/>
      <c r="AW263" s="1772"/>
      <c r="AX263" s="1363"/>
      <c r="AY263" s="1363"/>
      <c r="AZ263" s="1363"/>
      <c r="BA263" s="1363"/>
      <c r="BB263" s="1363"/>
      <c r="BC263" s="1363"/>
      <c r="BD263" s="1363"/>
      <c r="BE263" s="1363"/>
      <c r="BF263" s="1363"/>
      <c r="BG263" s="1363"/>
      <c r="BH263" s="1363"/>
      <c r="BI263" s="1363"/>
      <c r="BJ263" s="1363"/>
      <c r="BM263" s="2183"/>
      <c r="BN263" s="2183"/>
      <c r="BO263" s="2183"/>
      <c r="BP263" s="2183"/>
      <c r="BQ263" s="2183"/>
      <c r="BR263" s="2183"/>
      <c r="BS263" s="2183"/>
      <c r="BT263" s="1411"/>
      <c r="BU263" s="1489"/>
      <c r="BV263" s="1411"/>
      <c r="BW263" s="1771"/>
      <c r="BX263" s="1772"/>
      <c r="BY263" s="1411"/>
      <c r="BZ263" s="1771"/>
      <c r="CA263" s="1772"/>
      <c r="CB263" s="1411"/>
      <c r="CC263" s="1772"/>
      <c r="CD263" s="1363"/>
      <c r="CE263" s="1363"/>
      <c r="CF263" s="1363"/>
      <c r="CG263" s="1363"/>
      <c r="CH263" s="1363"/>
      <c r="CI263" s="1363"/>
      <c r="CJ263" s="1363"/>
      <c r="CK263" s="1363"/>
      <c r="CL263" s="1363"/>
      <c r="CM263" s="1363"/>
      <c r="CN263" s="1363"/>
      <c r="CO263" s="1363"/>
      <c r="CP263" s="1363"/>
    </row>
    <row r="264" spans="1:94" ht="12.6" customHeight="1" outlineLevel="1">
      <c r="A264" s="1845" t="str">
        <f>IF('Faith&amp;AOF'!$D$12="N",IF('Faith&amp;AOF'!$D$13="N"," ","Prayer to Smite the Godless"),"Prayer to Smite the Godless")</f>
        <v>Prayer to Smite the Godless</v>
      </c>
      <c r="B264" s="1845"/>
      <c r="C264" s="1845"/>
      <c r="D264" s="1845"/>
      <c r="E264" s="1845"/>
      <c r="F264" s="1845"/>
      <c r="G264" s="1845"/>
      <c r="H264" s="1411">
        <f>IF('Faith&amp;AOF'!$D$12="N",IF('Faith&amp;AOF'!$D$13="N"," ",+'Faith&amp;AOF'!R8),+'Faith&amp;AOF'!R8)</f>
        <v>25</v>
      </c>
      <c r="I264" s="1772"/>
      <c r="J264" s="1411" t="str">
        <f>IF('Faith&amp;AOF'!$D$12="N",IF('Faith&amp;AOF'!$D$13="N"," ",+'Faith&amp;AOF'!S8),+'Faith&amp;AOF'!S8)</f>
        <v>Y</v>
      </c>
      <c r="K264" s="1488"/>
      <c r="L264" s="1489"/>
      <c r="M264" s="1427">
        <f ca="1">IF('Faith&amp;AOF'!$D$12="N",IF('Faith&amp;AOF'!$D$13="N"," ",+'Faith&amp;AOF'!U8),+'Faith&amp;AOF'!U8)</f>
        <v>0.78</v>
      </c>
      <c r="N264" s="1475"/>
      <c r="O264" s="1476"/>
      <c r="P264" s="1411">
        <f>IF('Faith&amp;AOF'!$D$12="N",IF('Faith&amp;AOF'!$D$13="N"," ",+'Faith&amp;AOF'!T8),+'Faith&amp;AOF'!T8)</f>
        <v>-6</v>
      </c>
      <c r="Q264" s="1772"/>
      <c r="R264" s="1363"/>
      <c r="S264" s="1363"/>
      <c r="T264" s="1363"/>
      <c r="U264" s="1363"/>
      <c r="V264" s="1363"/>
      <c r="W264" s="1363"/>
      <c r="X264" s="1363"/>
      <c r="Y264" s="1363"/>
      <c r="Z264" s="1363"/>
      <c r="AA264" s="1363"/>
      <c r="AB264" s="1363"/>
      <c r="AC264" s="1363"/>
      <c r="AD264" s="1363"/>
      <c r="AG264" s="1791"/>
      <c r="AH264" s="1791"/>
      <c r="AI264" s="1791"/>
      <c r="AJ264" s="1791"/>
      <c r="AK264" s="1791"/>
      <c r="AL264" s="1791"/>
      <c r="AM264" s="1791"/>
      <c r="AN264" s="1438"/>
      <c r="AO264" s="1489"/>
      <c r="AP264" s="1438"/>
      <c r="AQ264" s="1440"/>
      <c r="AR264" s="1439"/>
      <c r="AS264" s="1438"/>
      <c r="AT264" s="1440"/>
      <c r="AU264" s="1439"/>
      <c r="AV264" s="1438"/>
      <c r="AW264" s="1439"/>
      <c r="AX264" s="1361"/>
      <c r="AY264" s="1361"/>
      <c r="AZ264" s="1361"/>
      <c r="BA264" s="1361"/>
      <c r="BB264" s="1361"/>
      <c r="BC264" s="1361"/>
      <c r="BD264" s="1361"/>
      <c r="BE264" s="1361"/>
      <c r="BF264" s="1361"/>
      <c r="BG264" s="1361"/>
      <c r="BH264" s="1361"/>
      <c r="BI264" s="1361"/>
      <c r="BJ264" s="1361"/>
      <c r="BM264" s="1791"/>
      <c r="BN264" s="1791"/>
      <c r="BO264" s="1791"/>
      <c r="BP264" s="1791"/>
      <c r="BQ264" s="1791"/>
      <c r="BR264" s="1791"/>
      <c r="BS264" s="1791"/>
      <c r="BT264" s="1438"/>
      <c r="BU264" s="1489"/>
      <c r="BV264" s="1438"/>
      <c r="BW264" s="1440"/>
      <c r="BX264" s="1439"/>
      <c r="BY264" s="1438"/>
      <c r="BZ264" s="1440"/>
      <c r="CA264" s="1439"/>
      <c r="CB264" s="1438"/>
      <c r="CC264" s="1439"/>
      <c r="CD264" s="1361"/>
      <c r="CE264" s="1361"/>
      <c r="CF264" s="1361"/>
      <c r="CG264" s="1361"/>
      <c r="CH264" s="1361"/>
      <c r="CI264" s="1361"/>
      <c r="CJ264" s="1361"/>
      <c r="CK264" s="1361"/>
      <c r="CL264" s="1361"/>
      <c r="CM264" s="1361"/>
      <c r="CN264" s="1361"/>
      <c r="CO264" s="1361"/>
      <c r="CP264" s="1361"/>
    </row>
    <row r="265" spans="1:94" ht="12.6" customHeight="1" outlineLevel="1">
      <c r="A265" s="2184" t="str">
        <f>IF('Faith&amp;AOF'!$D$12="N",IF('Faith&amp;AOF'!$D$13="N"," ","Prayer for Strength of the Righteous"),"Prayer for Strength of the Righteous")</f>
        <v>Prayer for Strength of the Righteous</v>
      </c>
      <c r="B265" s="2184"/>
      <c r="C265" s="2184"/>
      <c r="D265" s="2184"/>
      <c r="E265" s="2184"/>
      <c r="F265" s="2184"/>
      <c r="G265" s="2184"/>
      <c r="H265" s="1438">
        <f>IF('Faith&amp;AOF'!$D$12="N",IF('Faith&amp;AOF'!$D$13="N"," ",+'Faith&amp;AOF'!R9),+'Faith&amp;AOF'!R9)</f>
        <v>25</v>
      </c>
      <c r="I265" s="1439"/>
      <c r="J265" s="1438" t="str">
        <f>IF('Faith&amp;AOF'!$D$12="N",IF('Faith&amp;AOF'!$D$13="N"," ",+'Faith&amp;AOF'!S9),+'Faith&amp;AOF'!S9)</f>
        <v>Y</v>
      </c>
      <c r="K265" s="1846"/>
      <c r="L265" s="1847"/>
      <c r="M265" s="1422">
        <f ca="1">IF('Faith&amp;AOF'!$D$12="N",IF('Faith&amp;AOF'!$D$13="N"," ",+'Faith&amp;AOF'!U9),+'Faith&amp;AOF'!U9)</f>
        <v>0.78</v>
      </c>
      <c r="N265" s="1545"/>
      <c r="O265" s="2182"/>
      <c r="P265" s="1438">
        <f>IF('Faith&amp;AOF'!$D$12="N",IF('Faith&amp;AOF'!$D$13="N"," ",+'Faith&amp;AOF'!T9),+'Faith&amp;AOF'!T9)</f>
        <v>-6</v>
      </c>
      <c r="Q265" s="1439"/>
      <c r="R265" s="1361"/>
      <c r="S265" s="1361"/>
      <c r="T265" s="1361"/>
      <c r="U265" s="1361"/>
      <c r="V265" s="1361"/>
      <c r="W265" s="1361"/>
      <c r="X265" s="1361"/>
      <c r="Y265" s="1361"/>
      <c r="Z265" s="1361"/>
      <c r="AA265" s="1361"/>
      <c r="AB265" s="1361"/>
      <c r="AC265" s="1361"/>
      <c r="AD265" s="1361"/>
      <c r="AG265" s="2183"/>
      <c r="AH265" s="2183"/>
      <c r="AI265" s="2183"/>
      <c r="AJ265" s="2183"/>
      <c r="AK265" s="2183"/>
      <c r="AL265" s="2183"/>
      <c r="AM265" s="2183"/>
      <c r="AN265" s="1411"/>
      <c r="AO265" s="1410"/>
      <c r="AP265" s="1411"/>
      <c r="AQ265" s="1771"/>
      <c r="AR265" s="1772"/>
      <c r="AS265" s="1411"/>
      <c r="AT265" s="1771"/>
      <c r="AU265" s="1772"/>
      <c r="AV265" s="1411"/>
      <c r="AW265" s="1772"/>
      <c r="AX265" s="1363"/>
      <c r="AY265" s="1363"/>
      <c r="AZ265" s="1363"/>
      <c r="BA265" s="1363"/>
      <c r="BB265" s="1363"/>
      <c r="BC265" s="1363"/>
      <c r="BD265" s="1363"/>
      <c r="BE265" s="1363"/>
      <c r="BF265" s="1363"/>
      <c r="BG265" s="1363"/>
      <c r="BH265" s="1363"/>
      <c r="BI265" s="1363"/>
      <c r="BJ265" s="1363"/>
      <c r="BM265" s="2183"/>
      <c r="BN265" s="2183"/>
      <c r="BO265" s="2183"/>
      <c r="BP265" s="2183"/>
      <c r="BQ265" s="2183"/>
      <c r="BR265" s="2183"/>
      <c r="BS265" s="2183"/>
      <c r="BT265" s="1411"/>
      <c r="BU265" s="1410"/>
      <c r="BV265" s="1411"/>
      <c r="BW265" s="1771"/>
      <c r="BX265" s="1772"/>
      <c r="BY265" s="1411"/>
      <c r="BZ265" s="1771"/>
      <c r="CA265" s="1772"/>
      <c r="CB265" s="1411"/>
      <c r="CC265" s="1772"/>
      <c r="CD265" s="1363"/>
      <c r="CE265" s="1363"/>
      <c r="CF265" s="1363"/>
      <c r="CG265" s="1363"/>
      <c r="CH265" s="1363"/>
      <c r="CI265" s="1363"/>
      <c r="CJ265" s="1363"/>
      <c r="CK265" s="1363"/>
      <c r="CL265" s="1363"/>
      <c r="CM265" s="1363"/>
      <c r="CN265" s="1363"/>
      <c r="CO265" s="1363"/>
      <c r="CP265" s="1363"/>
    </row>
    <row r="266" spans="1:94" ht="12.6" customHeight="1" outlineLevel="1">
      <c r="A266" s="1845" t="str">
        <f>IF('Faith&amp;AOF'!$D$12="N",IF('Faith&amp;AOF'!$D$13="N"," ","Prayer to Detect Magical Forces"),"Prayer to Detect Magical Forces")</f>
        <v>Prayer to Detect Magical Forces</v>
      </c>
      <c r="B266" s="1845"/>
      <c r="C266" s="1845"/>
      <c r="D266" s="1845"/>
      <c r="E266" s="1845"/>
      <c r="F266" s="1845"/>
      <c r="G266" s="1845"/>
      <c r="H266" s="1411">
        <f>IF('Faith&amp;AOF'!$D$12="N",IF('Faith&amp;AOF'!$D$13="N"," ",+'Faith&amp;AOF'!R10),+'Faith&amp;AOF'!R10)</f>
        <v>25</v>
      </c>
      <c r="I266" s="1772"/>
      <c r="J266" s="1411" t="str">
        <f>IF('Faith&amp;AOF'!$D$12="N",IF('Faith&amp;AOF'!$D$13="N"," ",+'Faith&amp;AOF'!S10),+'Faith&amp;AOF'!S10)</f>
        <v>Y</v>
      </c>
      <c r="K266" s="1488"/>
      <c r="L266" s="1489"/>
      <c r="M266" s="1427">
        <f ca="1">IF('Faith&amp;AOF'!$D$12="N",IF('Faith&amp;AOF'!$D$13="N"," ",+'Faith&amp;AOF'!U10),+'Faith&amp;AOF'!U10)</f>
        <v>0.78</v>
      </c>
      <c r="N266" s="1475"/>
      <c r="O266" s="1476"/>
      <c r="P266" s="1411">
        <f>IF('Faith&amp;AOF'!$D$12="N",IF('Faith&amp;AOF'!$D$13="N"," ",+'Faith&amp;AOF'!T10),+'Faith&amp;AOF'!T10)</f>
        <v>-3</v>
      </c>
      <c r="Q266" s="1772"/>
      <c r="R266" s="1363"/>
      <c r="S266" s="1363"/>
      <c r="T266" s="1363"/>
      <c r="U266" s="1363"/>
      <c r="V266" s="1363"/>
      <c r="W266" s="1363"/>
      <c r="X266" s="1363"/>
      <c r="Y266" s="1363"/>
      <c r="Z266" s="1363"/>
      <c r="AA266" s="1363"/>
      <c r="AB266" s="1363"/>
      <c r="AC266" s="1363"/>
      <c r="AD266" s="1363"/>
      <c r="AG266" s="1791"/>
      <c r="AH266" s="1791"/>
      <c r="AI266" s="1791"/>
      <c r="AJ266" s="1791"/>
      <c r="AK266" s="1791"/>
      <c r="AL266" s="1791"/>
      <c r="AM266" s="1791"/>
      <c r="AN266" s="1438"/>
      <c r="AO266" s="1489"/>
      <c r="AP266" s="1438"/>
      <c r="AQ266" s="1440"/>
      <c r="AR266" s="1439"/>
      <c r="AS266" s="1438"/>
      <c r="AT266" s="1440"/>
      <c r="AU266" s="1439"/>
      <c r="AV266" s="1438"/>
      <c r="AW266" s="1439"/>
      <c r="AX266" s="1361"/>
      <c r="AY266" s="1361"/>
      <c r="AZ266" s="1361"/>
      <c r="BA266" s="1361"/>
      <c r="BB266" s="1361"/>
      <c r="BC266" s="1361"/>
      <c r="BD266" s="1361"/>
      <c r="BE266" s="1361"/>
      <c r="BF266" s="1361"/>
      <c r="BG266" s="1361"/>
      <c r="BH266" s="1361"/>
      <c r="BI266" s="1361"/>
      <c r="BJ266" s="1361"/>
      <c r="BM266" s="1791"/>
      <c r="BN266" s="1791"/>
      <c r="BO266" s="1791"/>
      <c r="BP266" s="1791"/>
      <c r="BQ266" s="1791"/>
      <c r="BR266" s="1791"/>
      <c r="BS266" s="1791"/>
      <c r="BT266" s="1438"/>
      <c r="BU266" s="1489"/>
      <c r="BV266" s="1438"/>
      <c r="BW266" s="1440"/>
      <c r="BX266" s="1439"/>
      <c r="BY266" s="1438"/>
      <c r="BZ266" s="1440"/>
      <c r="CA266" s="1439"/>
      <c r="CB266" s="1438"/>
      <c r="CC266" s="1439"/>
      <c r="CD266" s="1361"/>
      <c r="CE266" s="1361"/>
      <c r="CF266" s="1361"/>
      <c r="CG266" s="1361"/>
      <c r="CH266" s="1361"/>
      <c r="CI266" s="1361"/>
      <c r="CJ266" s="1361"/>
      <c r="CK266" s="1361"/>
      <c r="CL266" s="1361"/>
      <c r="CM266" s="1361"/>
      <c r="CN266" s="1361"/>
      <c r="CO266" s="1361"/>
      <c r="CP266" s="1361"/>
    </row>
    <row r="267" spans="1:94" ht="12.6" customHeight="1" outlineLevel="1">
      <c r="A267" s="2184" t="str">
        <f>IF('Faith&amp;AOF'!$D$12="N",IF('Faith&amp;AOF'!$D$13="N"," ","Prayer to Find the Open Way"),"Prayer to Find the Open Way")</f>
        <v>Prayer to Find the Open Way</v>
      </c>
      <c r="B267" s="2184"/>
      <c r="C267" s="2184"/>
      <c r="D267" s="2184"/>
      <c r="E267" s="2184"/>
      <c r="F267" s="2184"/>
      <c r="G267" s="2184"/>
      <c r="H267" s="1438">
        <f>IF('Faith&amp;AOF'!$D$12="N",IF('Faith&amp;AOF'!$D$13="N"," ",+'Faith&amp;AOF'!R11),+'Faith&amp;AOF'!R11)</f>
        <v>30</v>
      </c>
      <c r="I267" s="1439"/>
      <c r="J267" s="1438" t="str">
        <f>IF('Faith&amp;AOF'!$D$12="N",IF('Faith&amp;AOF'!$D$13="N"," ",+'Faith&amp;AOF'!S11),+'Faith&amp;AOF'!S11)</f>
        <v>Y</v>
      </c>
      <c r="K267" s="1846"/>
      <c r="L267" s="1847"/>
      <c r="M267" s="1422">
        <f ca="1">IF('Faith&amp;AOF'!$D$12="N",IF('Faith&amp;AOF'!$D$13="N"," ",+'Faith&amp;AOF'!U11),+'Faith&amp;AOF'!U11)</f>
        <v>0.78</v>
      </c>
      <c r="N267" s="1545"/>
      <c r="O267" s="2182"/>
      <c r="P267" s="1438">
        <f>IF('Faith&amp;AOF'!$D$12="N",IF('Faith&amp;AOF'!$D$13="N"," ",+'Faith&amp;AOF'!T11),+'Faith&amp;AOF'!T11)</f>
        <v>-3</v>
      </c>
      <c r="Q267" s="1439"/>
      <c r="R267" s="1361"/>
      <c r="S267" s="1361"/>
      <c r="T267" s="1361"/>
      <c r="U267" s="1361"/>
      <c r="V267" s="1361"/>
      <c r="W267" s="1361"/>
      <c r="X267" s="1361"/>
      <c r="Y267" s="1361"/>
      <c r="Z267" s="1361"/>
      <c r="AA267" s="1361"/>
      <c r="AB267" s="1361"/>
      <c r="AC267" s="1361"/>
      <c r="AD267" s="1361"/>
      <c r="AG267" s="1857" t="s">
        <v>3158</v>
      </c>
      <c r="AH267" s="1857"/>
      <c r="AI267" s="1857"/>
      <c r="AJ267" s="1857"/>
      <c r="AK267" s="1857"/>
      <c r="AL267" s="1857"/>
      <c r="AM267" s="1857"/>
      <c r="AN267" s="2095"/>
      <c r="AO267" s="2095"/>
      <c r="AP267" s="2095"/>
      <c r="AQ267" s="2095"/>
      <c r="AR267" s="2095"/>
      <c r="AS267" s="2095"/>
      <c r="AT267" s="2095"/>
      <c r="AU267" s="2095"/>
      <c r="AV267" s="2095"/>
      <c r="AW267" s="2095"/>
      <c r="AX267" s="2095"/>
      <c r="AY267" s="2095"/>
      <c r="AZ267" s="2095"/>
      <c r="BA267" s="2095"/>
      <c r="BB267" s="2095"/>
      <c r="BC267" s="2095"/>
      <c r="BD267" s="2095"/>
      <c r="BE267" s="2095"/>
      <c r="BF267" s="2095"/>
      <c r="BG267" s="2095"/>
      <c r="BH267" s="2095"/>
      <c r="BI267" s="2095"/>
      <c r="BJ267" s="2095"/>
      <c r="BM267" s="1857" t="s">
        <v>3158</v>
      </c>
      <c r="BN267" s="1857"/>
      <c r="BO267" s="1857"/>
      <c r="BP267" s="1857"/>
      <c r="BQ267" s="1857"/>
      <c r="BR267" s="1857"/>
      <c r="BS267" s="1857"/>
      <c r="BT267" s="2095"/>
      <c r="BU267" s="2095"/>
      <c r="BV267" s="2095"/>
      <c r="BW267" s="2095"/>
      <c r="BX267" s="2095"/>
      <c r="BY267" s="2095"/>
      <c r="BZ267" s="2095"/>
      <c r="CA267" s="2095"/>
      <c r="CB267" s="2095"/>
      <c r="CC267" s="2095"/>
      <c r="CD267" s="2095"/>
      <c r="CE267" s="2095"/>
      <c r="CF267" s="2095"/>
      <c r="CG267" s="2095"/>
      <c r="CH267" s="2095"/>
      <c r="CI267" s="2095"/>
      <c r="CJ267" s="2095"/>
      <c r="CK267" s="2095"/>
      <c r="CL267" s="2095"/>
      <c r="CM267" s="2095"/>
      <c r="CN267" s="2095"/>
      <c r="CO267" s="2095"/>
      <c r="CP267" s="2095"/>
    </row>
    <row r="268" spans="1:94" ht="12.6" customHeight="1" outlineLevel="1">
      <c r="A268" s="1845" t="str">
        <f>IF('Faith&amp;AOF'!$D$12="N",IF('Faith&amp;AOF'!$D$13="N"," ","Prayer to Recognise Evil"),"Prayer to Recognise Evil")</f>
        <v>Prayer to Recognise Evil</v>
      </c>
      <c r="B268" s="1845"/>
      <c r="C268" s="1845"/>
      <c r="D268" s="1845"/>
      <c r="E268" s="1845"/>
      <c r="F268" s="1845"/>
      <c r="G268" s="1845"/>
      <c r="H268" s="1411">
        <f>IF('Faith&amp;AOF'!$D$12="N",IF('Faith&amp;AOF'!$D$13="N"," ",+'Faith&amp;AOF'!R12),+'Faith&amp;AOF'!R12)</f>
        <v>30</v>
      </c>
      <c r="I268" s="1772"/>
      <c r="J268" s="1411" t="str">
        <f>IF('Faith&amp;AOF'!$D$12="N",IF('Faith&amp;AOF'!$D$13="N"," ",+'Faith&amp;AOF'!S12),+'Faith&amp;AOF'!S12)</f>
        <v>Y</v>
      </c>
      <c r="K268" s="1488"/>
      <c r="L268" s="1489"/>
      <c r="M268" s="1427">
        <f ca="1">IF('Faith&amp;AOF'!$D$12="N",IF('Faith&amp;AOF'!$D$13="N"," ",+'Faith&amp;AOF'!U12),+'Faith&amp;AOF'!U12)</f>
        <v>0.78</v>
      </c>
      <c r="N268" s="1475"/>
      <c r="O268" s="1476"/>
      <c r="P268" s="1411">
        <f>IF('Faith&amp;AOF'!$D$12="N",IF('Faith&amp;AOF'!$D$13="N"," ",+'Faith&amp;AOF'!T12),+'Faith&amp;AOF'!T12)</f>
        <v>-3</v>
      </c>
      <c r="Q268" s="1772"/>
      <c r="R268" s="1363"/>
      <c r="S268" s="1363"/>
      <c r="T268" s="1363"/>
      <c r="U268" s="1363"/>
      <c r="V268" s="1363"/>
      <c r="W268" s="1363"/>
      <c r="X268" s="1363"/>
      <c r="Y268" s="1363"/>
      <c r="Z268" s="1363"/>
      <c r="AA268" s="1363"/>
      <c r="AB268" s="1363"/>
      <c r="AC268" s="1363"/>
      <c r="AD268" s="1363"/>
      <c r="AG268" s="1791"/>
      <c r="AH268" s="1791"/>
      <c r="AI268" s="1791"/>
      <c r="AJ268" s="1791"/>
      <c r="AK268" s="1791"/>
      <c r="AL268" s="1791"/>
      <c r="AM268" s="1791"/>
      <c r="AN268" s="1438"/>
      <c r="AO268" s="1489"/>
      <c r="AP268" s="1647"/>
      <c r="AQ268" s="1488"/>
      <c r="AR268" s="1489"/>
      <c r="AS268" s="1422"/>
      <c r="AT268" s="1488"/>
      <c r="AU268" s="1489"/>
      <c r="AV268" s="1438"/>
      <c r="AW268" s="1489"/>
      <c r="AX268" s="1487"/>
      <c r="AY268" s="1489"/>
      <c r="AZ268" s="1361"/>
      <c r="BA268" s="1361"/>
      <c r="BB268" s="1361"/>
      <c r="BC268" s="1361"/>
      <c r="BD268" s="1361"/>
      <c r="BE268" s="1361"/>
      <c r="BF268" s="1361"/>
      <c r="BG268" s="1361"/>
      <c r="BH268" s="1361"/>
      <c r="BI268" s="1361"/>
      <c r="BJ268" s="1361"/>
      <c r="BM268" s="1791"/>
      <c r="BN268" s="1791"/>
      <c r="BO268" s="1791"/>
      <c r="BP268" s="1791"/>
      <c r="BQ268" s="1791"/>
      <c r="BR268" s="1791"/>
      <c r="BS268" s="1791"/>
      <c r="BT268" s="1438"/>
      <c r="BU268" s="1489"/>
      <c r="BV268" s="1647"/>
      <c r="BW268" s="1488"/>
      <c r="BX268" s="1489"/>
      <c r="BY268" s="1422"/>
      <c r="BZ268" s="1488"/>
      <c r="CA268" s="1489"/>
      <c r="CB268" s="1438"/>
      <c r="CC268" s="1489"/>
      <c r="CD268" s="1487"/>
      <c r="CE268" s="1489"/>
      <c r="CF268" s="1361"/>
      <c r="CG268" s="1361"/>
      <c r="CH268" s="1361"/>
      <c r="CI268" s="1361"/>
      <c r="CJ268" s="1361"/>
      <c r="CK268" s="1361"/>
      <c r="CL268" s="1361"/>
      <c r="CM268" s="1361"/>
      <c r="CN268" s="1361"/>
      <c r="CO268" s="1361"/>
      <c r="CP268" s="1361"/>
    </row>
    <row r="269" spans="1:94" ht="12.6" customHeight="1" outlineLevel="1">
      <c r="A269" s="2184" t="str">
        <f>IF('Faith&amp;AOF'!$D$12="N",IF('Faith&amp;AOF'!$D$13="N"," ","Ritual: Remove Curse"),"Ritual: Remove Curse")</f>
        <v>Ritual: Remove Curse</v>
      </c>
      <c r="B269" s="2184"/>
      <c r="C269" s="2184"/>
      <c r="D269" s="2184"/>
      <c r="E269" s="2184"/>
      <c r="F269" s="2184"/>
      <c r="G269" s="2184"/>
      <c r="H269" s="1438">
        <f>IF('Faith&amp;AOF'!$D$12="N",IF('Faith&amp;AOF'!$D$13="N"," ",+'Faith&amp;AOF'!R13),+'Faith&amp;AOF'!R13)</f>
        <v>35</v>
      </c>
      <c r="I269" s="1439"/>
      <c r="J269" s="1438" t="str">
        <f>IF('Faith&amp;AOF'!$D$12="N",IF('Faith&amp;AOF'!$D$13="N"," ",+'Faith&amp;AOF'!S13),+'Faith&amp;AOF'!S13)</f>
        <v>Y</v>
      </c>
      <c r="K269" s="1846"/>
      <c r="L269" s="1847"/>
      <c r="M269" s="1422">
        <f ca="1">IF('Faith&amp;AOF'!$D$12="N",IF('Faith&amp;AOF'!$D$13="N"," ",+'Faith&amp;AOF'!U13),+'Faith&amp;AOF'!U13)</f>
        <v>0.78</v>
      </c>
      <c r="N269" s="1545"/>
      <c r="O269" s="2182"/>
      <c r="P269" s="1438">
        <f>IF('Faith&amp;AOF'!$D$12="N",IF('Faith&amp;AOF'!$D$13="N"," ",+'Faith&amp;AOF'!T13),+'Faith&amp;AOF'!T13)</f>
        <v>-12</v>
      </c>
      <c r="Q269" s="1439"/>
      <c r="R269" s="1361"/>
      <c r="S269" s="1361"/>
      <c r="T269" s="1361"/>
      <c r="U269" s="1361"/>
      <c r="V269" s="1361"/>
      <c r="W269" s="1361"/>
      <c r="X269" s="1361"/>
      <c r="Y269" s="1361"/>
      <c r="Z269" s="1361"/>
      <c r="AA269" s="1361"/>
      <c r="AB269" s="1361"/>
      <c r="AC269" s="1361"/>
      <c r="AD269" s="1361"/>
      <c r="AE269" s="289"/>
      <c r="AF269" s="289"/>
      <c r="AG269" s="2183"/>
      <c r="AH269" s="2183"/>
      <c r="AI269" s="2183"/>
      <c r="AJ269" s="2183"/>
      <c r="AK269" s="2183"/>
      <c r="AL269" s="2183"/>
      <c r="AM269" s="2183"/>
      <c r="AN269" s="1411"/>
      <c r="AO269" s="1410"/>
      <c r="AP269" s="1425"/>
      <c r="AQ269" s="1426"/>
      <c r="AR269" s="1410"/>
      <c r="AS269" s="1427"/>
      <c r="AT269" s="1426"/>
      <c r="AU269" s="1410"/>
      <c r="AV269" s="1411"/>
      <c r="AW269" s="1410"/>
      <c r="AX269" s="1409"/>
      <c r="AY269" s="1410"/>
      <c r="AZ269" s="1363"/>
      <c r="BA269" s="1363"/>
      <c r="BB269" s="1363"/>
      <c r="BC269" s="1363"/>
      <c r="BD269" s="1363"/>
      <c r="BE269" s="1363"/>
      <c r="BF269" s="1363"/>
      <c r="BG269" s="1363"/>
      <c r="BH269" s="1363"/>
      <c r="BI269" s="1363"/>
      <c r="BJ269" s="1363"/>
      <c r="BM269" s="2183"/>
      <c r="BN269" s="2183"/>
      <c r="BO269" s="2183"/>
      <c r="BP269" s="2183"/>
      <c r="BQ269" s="2183"/>
      <c r="BR269" s="2183"/>
      <c r="BS269" s="2183"/>
      <c r="BT269" s="1411"/>
      <c r="BU269" s="1410"/>
      <c r="BV269" s="1425"/>
      <c r="BW269" s="1426"/>
      <c r="BX269" s="1410"/>
      <c r="BY269" s="1427"/>
      <c r="BZ269" s="1426"/>
      <c r="CA269" s="1410"/>
      <c r="CB269" s="1411"/>
      <c r="CC269" s="1410"/>
      <c r="CD269" s="1409"/>
      <c r="CE269" s="1410"/>
      <c r="CF269" s="1363"/>
      <c r="CG269" s="1363"/>
      <c r="CH269" s="1363"/>
      <c r="CI269" s="1363"/>
      <c r="CJ269" s="1363"/>
      <c r="CK269" s="1363"/>
      <c r="CL269" s="1363"/>
      <c r="CM269" s="1363"/>
      <c r="CN269" s="1363"/>
      <c r="CO269" s="1363"/>
      <c r="CP269" s="1363"/>
    </row>
    <row r="270" spans="1:94" ht="12.6" customHeight="1" outlineLevel="1">
      <c r="A270" s="1845" t="str">
        <f>IF('Faith&amp;AOF'!$D$12="N",IF('Faith&amp;AOF'!$D$13="N"," ","Prayer to Smite the Godless II"),"Prayer to Smite the Godless II")</f>
        <v>Prayer to Smite the Godless II</v>
      </c>
      <c r="B270" s="1845"/>
      <c r="C270" s="1845"/>
      <c r="D270" s="1845"/>
      <c r="E270" s="1845"/>
      <c r="F270" s="1845"/>
      <c r="G270" s="1845"/>
      <c r="H270" s="1411">
        <f>IF('Faith&amp;AOF'!$D$12="N",IF('Faith&amp;AOF'!$D$13="N"," ",+'Faith&amp;AOF'!R14),+'Faith&amp;AOF'!R14)</f>
        <v>40</v>
      </c>
      <c r="I270" s="1772"/>
      <c r="J270" s="1411" t="str">
        <f>IF('Faith&amp;AOF'!$D$12="N",IF('Faith&amp;AOF'!$D$13="N"," ",+'Faith&amp;AOF'!S14),+'Faith&amp;AOF'!S14)</f>
        <v>N</v>
      </c>
      <c r="K270" s="1488"/>
      <c r="L270" s="1489"/>
      <c r="M270" s="1427">
        <f ca="1">IF('Faith&amp;AOF'!$D$12="N",IF('Faith&amp;AOF'!$D$13="N"," ",+'Faith&amp;AOF'!U14),+'Faith&amp;AOF'!U14)</f>
        <v>0.78</v>
      </c>
      <c r="N270" s="1475"/>
      <c r="O270" s="1476"/>
      <c r="P270" s="1411">
        <f>IF('Faith&amp;AOF'!$D$12="N",IF('Faith&amp;AOF'!$D$13="N"," ",+'Faith&amp;AOF'!T14),+'Faith&amp;AOF'!T14)</f>
        <v>-9</v>
      </c>
      <c r="Q270" s="1772"/>
      <c r="R270" s="1363"/>
      <c r="S270" s="1363"/>
      <c r="T270" s="1363"/>
      <c r="U270" s="1363"/>
      <c r="V270" s="1363"/>
      <c r="W270" s="1363"/>
      <c r="X270" s="1363"/>
      <c r="Y270" s="1363"/>
      <c r="Z270" s="1363"/>
      <c r="AA270" s="1363"/>
      <c r="AB270" s="1363"/>
      <c r="AC270" s="1363"/>
      <c r="AD270" s="1363"/>
      <c r="AG270" s="1791"/>
      <c r="AH270" s="1791"/>
      <c r="AI270" s="1791"/>
      <c r="AJ270" s="1791"/>
      <c r="AK270" s="1791"/>
      <c r="AL270" s="1791"/>
      <c r="AM270" s="1791"/>
      <c r="AN270" s="1438"/>
      <c r="AO270" s="1489"/>
      <c r="AP270" s="1647"/>
      <c r="AQ270" s="1488"/>
      <c r="AR270" s="1489"/>
      <c r="AS270" s="1422"/>
      <c r="AT270" s="1488"/>
      <c r="AU270" s="1489"/>
      <c r="AV270" s="1438"/>
      <c r="AW270" s="1489"/>
      <c r="AX270" s="1487"/>
      <c r="AY270" s="1489"/>
      <c r="AZ270" s="1361"/>
      <c r="BA270" s="1361"/>
      <c r="BB270" s="1361"/>
      <c r="BC270" s="1361"/>
      <c r="BD270" s="1361"/>
      <c r="BE270" s="1361"/>
      <c r="BF270" s="1361"/>
      <c r="BG270" s="1361"/>
      <c r="BH270" s="1361"/>
      <c r="BI270" s="1361"/>
      <c r="BJ270" s="1361"/>
      <c r="BM270" s="1791"/>
      <c r="BN270" s="1791"/>
      <c r="BO270" s="1791"/>
      <c r="BP270" s="1791"/>
      <c r="BQ270" s="1791"/>
      <c r="BR270" s="1791"/>
      <c r="BS270" s="1791"/>
      <c r="BT270" s="1438"/>
      <c r="BU270" s="1489"/>
      <c r="BV270" s="1647"/>
      <c r="BW270" s="1488"/>
      <c r="BX270" s="1489"/>
      <c r="BY270" s="1422"/>
      <c r="BZ270" s="1488"/>
      <c r="CA270" s="1489"/>
      <c r="CB270" s="1438"/>
      <c r="CC270" s="1489"/>
      <c r="CD270" s="1487"/>
      <c r="CE270" s="1489"/>
      <c r="CF270" s="1361"/>
      <c r="CG270" s="1361"/>
      <c r="CH270" s="1361"/>
      <c r="CI270" s="1361"/>
      <c r="CJ270" s="1361"/>
      <c r="CK270" s="1361"/>
      <c r="CL270" s="1361"/>
      <c r="CM270" s="1361"/>
      <c r="CN270" s="1361"/>
      <c r="CO270" s="1361"/>
      <c r="CP270" s="1361"/>
    </row>
    <row r="271" spans="1:94" ht="12.6" customHeight="1" outlineLevel="1">
      <c r="A271" s="2184" t="str">
        <f>IF('Faith&amp;AOF'!$D$12="N",IF('Faith&amp;AOF'!$D$13="N"," ","Prayer for Strength of the Holy"),"Prayer for Strength of the Holy")</f>
        <v>Prayer for Strength of the Holy</v>
      </c>
      <c r="B271" s="2184"/>
      <c r="C271" s="2184"/>
      <c r="D271" s="2184"/>
      <c r="E271" s="2184"/>
      <c r="F271" s="2184"/>
      <c r="G271" s="2184"/>
      <c r="H271" s="1438">
        <f>IF('Faith&amp;AOF'!$D$12="N",IF('Faith&amp;AOF'!$D$13="N"," ",+'Faith&amp;AOF'!R15),+'Faith&amp;AOF'!R15)</f>
        <v>45</v>
      </c>
      <c r="I271" s="1439"/>
      <c r="J271" s="1438" t="str">
        <f>IF('Faith&amp;AOF'!$D$12="N",IF('Faith&amp;AOF'!$D$13="N"," ",+'Faith&amp;AOF'!S15),+'Faith&amp;AOF'!S15)</f>
        <v>N</v>
      </c>
      <c r="K271" s="1846"/>
      <c r="L271" s="1847"/>
      <c r="M271" s="1422">
        <f ca="1">IF('Faith&amp;AOF'!$D$12="N",IF('Faith&amp;AOF'!$D$13="N"," ",+'Faith&amp;AOF'!U15),+'Faith&amp;AOF'!U15)</f>
        <v>0.78</v>
      </c>
      <c r="N271" s="1545"/>
      <c r="O271" s="2182"/>
      <c r="P271" s="1438">
        <f>IF('Faith&amp;AOF'!$D$12="N",IF('Faith&amp;AOF'!$D$13="N"," ",+'Faith&amp;AOF'!T15),+'Faith&amp;AOF'!T15)</f>
        <v>-5</v>
      </c>
      <c r="Q271" s="1439"/>
      <c r="R271" s="1438"/>
      <c r="S271" s="1439"/>
      <c r="T271" s="1438"/>
      <c r="U271" s="1440"/>
      <c r="V271" s="1439"/>
      <c r="W271" s="1438"/>
      <c r="X271" s="1440"/>
      <c r="Y271" s="1439"/>
      <c r="Z271" s="1438"/>
      <c r="AA271" s="1440"/>
      <c r="AB271" s="1440"/>
      <c r="AC271" s="1440"/>
      <c r="AD271" s="1439"/>
      <c r="AG271" s="2183"/>
      <c r="AH271" s="2183"/>
      <c r="AI271" s="2183"/>
      <c r="AJ271" s="2183"/>
      <c r="AK271" s="2183"/>
      <c r="AL271" s="2183"/>
      <c r="AM271" s="2183"/>
      <c r="AN271" s="1411"/>
      <c r="AO271" s="1410"/>
      <c r="AP271" s="1425"/>
      <c r="AQ271" s="1426"/>
      <c r="AR271" s="1410"/>
      <c r="AS271" s="1427"/>
      <c r="AT271" s="1426"/>
      <c r="AU271" s="1410"/>
      <c r="AV271" s="1411"/>
      <c r="AW271" s="1410"/>
      <c r="AX271" s="1409"/>
      <c r="AY271" s="1410"/>
      <c r="AZ271" s="1363"/>
      <c r="BA271" s="1363"/>
      <c r="BB271" s="1363"/>
      <c r="BC271" s="1363"/>
      <c r="BD271" s="1363"/>
      <c r="BE271" s="1363"/>
      <c r="BF271" s="1363"/>
      <c r="BG271" s="1363"/>
      <c r="BH271" s="1363"/>
      <c r="BI271" s="1363"/>
      <c r="BJ271" s="1363"/>
      <c r="BM271" s="2183"/>
      <c r="BN271" s="2183"/>
      <c r="BO271" s="2183"/>
      <c r="BP271" s="2183"/>
      <c r="BQ271" s="2183"/>
      <c r="BR271" s="2183"/>
      <c r="BS271" s="2183"/>
      <c r="BT271" s="1411"/>
      <c r="BU271" s="1410"/>
      <c r="BV271" s="1425"/>
      <c r="BW271" s="1426"/>
      <c r="BX271" s="1410"/>
      <c r="BY271" s="1427"/>
      <c r="BZ271" s="1426"/>
      <c r="CA271" s="1410"/>
      <c r="CB271" s="1411"/>
      <c r="CC271" s="1410"/>
      <c r="CD271" s="1409"/>
      <c r="CE271" s="1410"/>
      <c r="CF271" s="1363"/>
      <c r="CG271" s="1363"/>
      <c r="CH271" s="1363"/>
      <c r="CI271" s="1363"/>
      <c r="CJ271" s="1363"/>
      <c r="CK271" s="1363"/>
      <c r="CL271" s="1363"/>
      <c r="CM271" s="1363"/>
      <c r="CN271" s="1363"/>
      <c r="CO271" s="1363"/>
      <c r="CP271" s="1363"/>
    </row>
    <row r="272" spans="1:94" ht="12.6" customHeight="1" outlineLevel="1">
      <c r="A272" s="1845" t="str">
        <f>IF('Faith&amp;AOF'!$D$12="N",IF('Faith&amp;AOF'!$D$13="N"," ","Ritual: Exorcise Demons"),"Ritual: Exorcise Demons")</f>
        <v>Ritual: Exorcise Demons</v>
      </c>
      <c r="B272" s="1845"/>
      <c r="C272" s="1845"/>
      <c r="D272" s="1845"/>
      <c r="E272" s="1845"/>
      <c r="F272" s="1845"/>
      <c r="G272" s="1845"/>
      <c r="H272" s="1411">
        <f>IF('Faith&amp;AOF'!$D$12="N",IF('Faith&amp;AOF'!$D$13="N"," ",+'Faith&amp;AOF'!R16),+'Faith&amp;AOF'!R16)</f>
        <v>45</v>
      </c>
      <c r="I272" s="1772"/>
      <c r="J272" s="1411" t="str">
        <f>IF('Faith&amp;AOF'!$D$12="N",IF('Faith&amp;AOF'!$D$13="N"," ",+'Faith&amp;AOF'!S16),+'Faith&amp;AOF'!S16)</f>
        <v>N</v>
      </c>
      <c r="K272" s="1488"/>
      <c r="L272" s="1489"/>
      <c r="M272" s="1427">
        <f ca="1">IF('Faith&amp;AOF'!$D$12="N",IF('Faith&amp;AOF'!$D$13="N"," ",+'Faith&amp;AOF'!U16),+'Faith&amp;AOF'!U16)</f>
        <v>0.78</v>
      </c>
      <c r="N272" s="1475"/>
      <c r="O272" s="1476"/>
      <c r="P272" s="1411">
        <f>IF('Faith&amp;AOF'!$D$12="N",IF('Faith&amp;AOF'!$D$13="N"," ",+'Faith&amp;AOF'!T16),+'Faith&amp;AOF'!T16)</f>
        <v>-12</v>
      </c>
      <c r="Q272" s="1772"/>
      <c r="R272" s="1363"/>
      <c r="S272" s="1363"/>
      <c r="T272" s="1363"/>
      <c r="U272" s="1363"/>
      <c r="V272" s="1363"/>
      <c r="W272" s="1363"/>
      <c r="X272" s="1363"/>
      <c r="Y272" s="1363"/>
      <c r="Z272" s="1363"/>
      <c r="AA272" s="1363"/>
      <c r="AB272" s="1363"/>
      <c r="AC272" s="1363"/>
      <c r="AD272" s="1363"/>
      <c r="AG272" s="1791"/>
      <c r="AH272" s="1791"/>
      <c r="AI272" s="1791"/>
      <c r="AJ272" s="1791"/>
      <c r="AK272" s="1791"/>
      <c r="AL272" s="1791"/>
      <c r="AM272" s="1791"/>
      <c r="AN272" s="1438"/>
      <c r="AO272" s="1489"/>
      <c r="AP272" s="1647"/>
      <c r="AQ272" s="1488"/>
      <c r="AR272" s="1489"/>
      <c r="AS272" s="1422"/>
      <c r="AT272" s="1488"/>
      <c r="AU272" s="1489"/>
      <c r="AV272" s="1438"/>
      <c r="AW272" s="1489"/>
      <c r="AX272" s="1487"/>
      <c r="AY272" s="1489"/>
      <c r="AZ272" s="1361"/>
      <c r="BA272" s="1361"/>
      <c r="BB272" s="1361"/>
      <c r="BC272" s="1361"/>
      <c r="BD272" s="1361"/>
      <c r="BE272" s="1361"/>
      <c r="BF272" s="1361"/>
      <c r="BG272" s="1361"/>
      <c r="BH272" s="1361"/>
      <c r="BI272" s="1361"/>
      <c r="BJ272" s="1361"/>
      <c r="BM272" s="1791"/>
      <c r="BN272" s="1791"/>
      <c r="BO272" s="1791"/>
      <c r="BP272" s="1791"/>
      <c r="BQ272" s="1791"/>
      <c r="BR272" s="1791"/>
      <c r="BS272" s="1791"/>
      <c r="BT272" s="1438"/>
      <c r="BU272" s="1489"/>
      <c r="BV272" s="1647"/>
      <c r="BW272" s="1488"/>
      <c r="BX272" s="1489"/>
      <c r="BY272" s="1422"/>
      <c r="BZ272" s="1488"/>
      <c r="CA272" s="1489"/>
      <c r="CB272" s="1438"/>
      <c r="CC272" s="1489"/>
      <c r="CD272" s="1487"/>
      <c r="CE272" s="1489"/>
      <c r="CF272" s="1361"/>
      <c r="CG272" s="1361"/>
      <c r="CH272" s="1361"/>
      <c r="CI272" s="1361"/>
      <c r="CJ272" s="1361"/>
      <c r="CK272" s="1361"/>
      <c r="CL272" s="1361"/>
      <c r="CM272" s="1361"/>
      <c r="CN272" s="1361"/>
      <c r="CO272" s="1361"/>
      <c r="CP272" s="1361"/>
    </row>
    <row r="273" spans="1:97" ht="12.6" customHeight="1" outlineLevel="1">
      <c r="A273" s="1859" t="s">
        <v>3159</v>
      </c>
      <c r="B273" s="1859"/>
      <c r="C273" s="1859"/>
      <c r="D273" s="1859"/>
      <c r="E273" s="1859"/>
      <c r="F273" s="1859"/>
      <c r="G273" s="1859"/>
      <c r="H273" s="1445"/>
      <c r="I273" s="1445"/>
      <c r="J273" s="1445"/>
      <c r="K273" s="1445"/>
      <c r="L273" s="1445"/>
      <c r="M273" s="1445"/>
      <c r="N273" s="1445"/>
      <c r="O273" s="1445"/>
      <c r="P273" s="1445"/>
      <c r="Q273" s="1445"/>
      <c r="R273" s="1445"/>
      <c r="S273" s="1445"/>
      <c r="T273" s="1445"/>
      <c r="U273" s="1445"/>
      <c r="V273" s="1445"/>
      <c r="W273" s="1445"/>
      <c r="X273" s="1445"/>
      <c r="Y273" s="1445"/>
      <c r="Z273" s="1445"/>
      <c r="AA273" s="1445"/>
      <c r="AB273" s="1445"/>
      <c r="AC273" s="1445"/>
      <c r="AD273" s="1445"/>
      <c r="AG273" s="2183"/>
      <c r="AH273" s="2183"/>
      <c r="AI273" s="2183"/>
      <c r="AJ273" s="2183"/>
      <c r="AK273" s="2183"/>
      <c r="AL273" s="2183"/>
      <c r="AM273" s="2183"/>
      <c r="AN273" s="1411"/>
      <c r="AO273" s="1410"/>
      <c r="AP273" s="1425"/>
      <c r="AQ273" s="1426"/>
      <c r="AR273" s="1410"/>
      <c r="AS273" s="1427"/>
      <c r="AT273" s="1426"/>
      <c r="AU273" s="1410"/>
      <c r="AV273" s="1411"/>
      <c r="AW273" s="1410"/>
      <c r="AX273" s="1409"/>
      <c r="AY273" s="1410"/>
      <c r="AZ273" s="1363"/>
      <c r="BA273" s="1363"/>
      <c r="BB273" s="1363"/>
      <c r="BC273" s="1363"/>
      <c r="BD273" s="1363"/>
      <c r="BE273" s="1363"/>
      <c r="BF273" s="1363"/>
      <c r="BG273" s="1363"/>
      <c r="BH273" s="1363"/>
      <c r="BI273" s="1363"/>
      <c r="BJ273" s="1363"/>
      <c r="BM273" s="2183"/>
      <c r="BN273" s="2183"/>
      <c r="BO273" s="2183"/>
      <c r="BP273" s="2183"/>
      <c r="BQ273" s="2183"/>
      <c r="BR273" s="2183"/>
      <c r="BS273" s="2183"/>
      <c r="BT273" s="1411"/>
      <c r="BU273" s="1410"/>
      <c r="BV273" s="1425"/>
      <c r="BW273" s="1426"/>
      <c r="BX273" s="1410"/>
      <c r="BY273" s="1427"/>
      <c r="BZ273" s="1426"/>
      <c r="CA273" s="1410"/>
      <c r="CB273" s="1411"/>
      <c r="CC273" s="1410"/>
      <c r="CD273" s="1409"/>
      <c r="CE273" s="1410"/>
      <c r="CF273" s="1363"/>
      <c r="CG273" s="1363"/>
      <c r="CH273" s="1363"/>
      <c r="CI273" s="1363"/>
      <c r="CJ273" s="1363"/>
      <c r="CK273" s="1363"/>
      <c r="CL273" s="1363"/>
      <c r="CM273" s="1363"/>
      <c r="CN273" s="1363"/>
      <c r="CO273" s="1363"/>
      <c r="CP273" s="1363"/>
    </row>
    <row r="274" spans="1:97" ht="12.6" customHeight="1" outlineLevel="1">
      <c r="A274" s="2183" t="str">
        <f>IF('Faith&amp;AOF'!$D$12="N",IF('Faith&amp;AOF'!$D$13="N"," ","Baptism"),"Baptism")</f>
        <v>Baptism</v>
      </c>
      <c r="B274" s="2183"/>
      <c r="C274" s="2183"/>
      <c r="D274" s="2183"/>
      <c r="E274" s="2183"/>
      <c r="F274" s="2183"/>
      <c r="G274" s="2183"/>
      <c r="H274" s="1411">
        <f>IF('Faith&amp;AOF'!$D$12="N",IF('Faith&amp;AOF'!$D$13="N"," ",""+'Faith&amp;AOF'!K26),+'Faith&amp;AOF'!K26)</f>
        <v>15</v>
      </c>
      <c r="I274" s="1489"/>
      <c r="J274" s="1411" t="str">
        <f>IF('Faith&amp;AOF'!$D$12="N",IF('Faith&amp;AOF'!$D$13="N"," ",""+'Faith&amp;AOF'!L26),+'Faith&amp;AOF'!L26)</f>
        <v>Y</v>
      </c>
      <c r="K274" s="1771"/>
      <c r="L274" s="1772"/>
      <c r="M274" s="1411" t="str">
        <f>IF('Faith&amp;AOF'!$D$12="N",IF('Faith&amp;AOF'!$D$13="N"," ",""+'Faith&amp;AOF'!N26),+'Faith&amp;AOF'!N26)</f>
        <v>auto</v>
      </c>
      <c r="N274" s="1771"/>
      <c r="O274" s="1772"/>
      <c r="P274" s="1411">
        <f>IF('Faith&amp;AOF'!$D$12="N",IF('Faith&amp;AOF'!$D$13="N"," ",""+'Faith&amp;AOF'!M26),+'Faith&amp;AOF'!M26)</f>
        <v>-6</v>
      </c>
      <c r="Q274" s="1772"/>
      <c r="R274" s="1363"/>
      <c r="S274" s="1363"/>
      <c r="T274" s="1363"/>
      <c r="U274" s="1363"/>
      <c r="V274" s="1363"/>
      <c r="W274" s="1363"/>
      <c r="X274" s="1363"/>
      <c r="Y274" s="1363"/>
      <c r="Z274" s="1363"/>
      <c r="AA274" s="1363"/>
      <c r="AB274" s="1363"/>
      <c r="AC274" s="1363"/>
      <c r="AD274" s="1363"/>
      <c r="AG274" s="1791"/>
      <c r="AH274" s="1791"/>
      <c r="AI274" s="1791"/>
      <c r="AJ274" s="1791"/>
      <c r="AK274" s="1791"/>
      <c r="AL274" s="1791"/>
      <c r="AM274" s="1791"/>
      <c r="AN274" s="1438"/>
      <c r="AO274" s="1489"/>
      <c r="AP274" s="1647"/>
      <c r="AQ274" s="1488"/>
      <c r="AR274" s="1489"/>
      <c r="AS274" s="1422"/>
      <c r="AT274" s="1488"/>
      <c r="AU274" s="1489"/>
      <c r="AV274" s="1438"/>
      <c r="AW274" s="1489"/>
      <c r="AX274" s="1487"/>
      <c r="AY274" s="1489"/>
      <c r="AZ274" s="1361"/>
      <c r="BA274" s="1361"/>
      <c r="BB274" s="1361"/>
      <c r="BC274" s="1361"/>
      <c r="BD274" s="1361"/>
      <c r="BE274" s="1361"/>
      <c r="BF274" s="1361"/>
      <c r="BG274" s="1361"/>
      <c r="BH274" s="1361"/>
      <c r="BI274" s="1361"/>
      <c r="BJ274" s="1361"/>
      <c r="BM274" s="1791"/>
      <c r="BN274" s="1791"/>
      <c r="BO274" s="1791"/>
      <c r="BP274" s="1791"/>
      <c r="BQ274" s="1791"/>
      <c r="BR274" s="1791"/>
      <c r="BS274" s="1791"/>
      <c r="BT274" s="1438"/>
      <c r="BU274" s="1489"/>
      <c r="BV274" s="1647"/>
      <c r="BW274" s="1488"/>
      <c r="BX274" s="1489"/>
      <c r="BY274" s="1422"/>
      <c r="BZ274" s="1488"/>
      <c r="CA274" s="1489"/>
      <c r="CB274" s="1438"/>
      <c r="CC274" s="1489"/>
      <c r="CD274" s="1487"/>
      <c r="CE274" s="1489"/>
      <c r="CF274" s="1361"/>
      <c r="CG274" s="1361"/>
      <c r="CH274" s="1361"/>
      <c r="CI274" s="1361"/>
      <c r="CJ274" s="1361"/>
      <c r="CK274" s="1361"/>
      <c r="CL274" s="1361"/>
      <c r="CM274" s="1361"/>
      <c r="CN274" s="1361"/>
      <c r="CO274" s="1361"/>
      <c r="CP274" s="1361"/>
    </row>
    <row r="275" spans="1:97" ht="12.6" customHeight="1" outlineLevel="1">
      <c r="A275" s="1791" t="str">
        <f>IF('Faith&amp;AOF'!$D$12="N",IF('Faith&amp;AOF'!$D$13="N"," ","Confirmation"),"Confirmation")</f>
        <v>Confirmation</v>
      </c>
      <c r="B275" s="1791"/>
      <c r="C275" s="1791"/>
      <c r="D275" s="1791"/>
      <c r="E275" s="1791"/>
      <c r="F275" s="1791"/>
      <c r="G275" s="1791"/>
      <c r="H275" s="1438">
        <f>IF('Faith&amp;AOF'!$D$12="N",IF('Faith&amp;AOF'!$D$13="N"," ",""+'Faith&amp;AOF'!K27),+'Faith&amp;AOF'!K27)</f>
        <v>40</v>
      </c>
      <c r="I275" s="1847"/>
      <c r="J275" s="1438" t="str">
        <f>IF('Faith&amp;AOF'!$D$12="N",IF('Faith&amp;AOF'!$D$13="N"," ",""+'Faith&amp;AOF'!L27),+'Faith&amp;AOF'!L27)</f>
        <v>N</v>
      </c>
      <c r="K275" s="1440"/>
      <c r="L275" s="1439"/>
      <c r="M275" s="1438" t="str">
        <f>IF('Faith&amp;AOF'!$D$12="N",IF('Faith&amp;AOF'!$D$13="N"," ",""+'Faith&amp;AOF'!N27),+'Faith&amp;AOF'!N27)</f>
        <v>auto</v>
      </c>
      <c r="N275" s="1440"/>
      <c r="O275" s="1439"/>
      <c r="P275" s="1438">
        <f>IF('Faith&amp;AOF'!$D$12="N",IF('Faith&amp;AOF'!$D$13="N"," ",""+'Faith&amp;AOF'!M27),+'Faith&amp;AOF'!M27)</f>
        <v>-3</v>
      </c>
      <c r="Q275" s="1439"/>
      <c r="R275" s="1361"/>
      <c r="S275" s="1361"/>
      <c r="T275" s="1361"/>
      <c r="U275" s="1361"/>
      <c r="V275" s="1361"/>
      <c r="W275" s="1361"/>
      <c r="X275" s="1361"/>
      <c r="Y275" s="1361"/>
      <c r="Z275" s="1361"/>
      <c r="AA275" s="1361"/>
      <c r="AB275" s="1361"/>
      <c r="AC275" s="1361"/>
      <c r="AD275" s="1361"/>
      <c r="AG275" s="2183"/>
      <c r="AH275" s="2183"/>
      <c r="AI275" s="2183"/>
      <c r="AJ275" s="2183"/>
      <c r="AK275" s="2183"/>
      <c r="AL275" s="2183"/>
      <c r="AM275" s="2183"/>
      <c r="AN275" s="1411"/>
      <c r="AO275" s="1410"/>
      <c r="AP275" s="1425"/>
      <c r="AQ275" s="1426"/>
      <c r="AR275" s="1410"/>
      <c r="AS275" s="1427"/>
      <c r="AT275" s="1426"/>
      <c r="AU275" s="1410"/>
      <c r="AV275" s="1411"/>
      <c r="AW275" s="1410"/>
      <c r="AX275" s="1409"/>
      <c r="AY275" s="1410"/>
      <c r="AZ275" s="1363"/>
      <c r="BA275" s="1363"/>
      <c r="BB275" s="1363"/>
      <c r="BC275" s="1363"/>
      <c r="BD275" s="1363"/>
      <c r="BE275" s="1363"/>
      <c r="BF275" s="1363"/>
      <c r="BG275" s="1363"/>
      <c r="BH275" s="1363"/>
      <c r="BI275" s="1363"/>
      <c r="BJ275" s="1363"/>
      <c r="BM275" s="2183"/>
      <c r="BN275" s="2183"/>
      <c r="BO275" s="2183"/>
      <c r="BP275" s="2183"/>
      <c r="BQ275" s="2183"/>
      <c r="BR275" s="2183"/>
      <c r="BS275" s="2183"/>
      <c r="BT275" s="1411"/>
      <c r="BU275" s="1410"/>
      <c r="BV275" s="1425"/>
      <c r="BW275" s="1426"/>
      <c r="BX275" s="1410"/>
      <c r="BY275" s="1427"/>
      <c r="BZ275" s="1426"/>
      <c r="CA275" s="1410"/>
      <c r="CB275" s="1411"/>
      <c r="CC275" s="1410"/>
      <c r="CD275" s="1409"/>
      <c r="CE275" s="1410"/>
      <c r="CF275" s="1363"/>
      <c r="CG275" s="1363"/>
      <c r="CH275" s="1363"/>
      <c r="CI275" s="1363"/>
      <c r="CJ275" s="1363"/>
      <c r="CK275" s="1363"/>
      <c r="CL275" s="1363"/>
      <c r="CM275" s="1363"/>
      <c r="CN275" s="1363"/>
      <c r="CO275" s="1363"/>
      <c r="CP275" s="1363"/>
    </row>
    <row r="276" spans="1:97" ht="12.6" customHeight="1" outlineLevel="1">
      <c r="A276" s="2183" t="str">
        <f>IF('Faith&amp;AOF'!$D$12="N",IF('Faith&amp;AOF'!$D$13="N"," ","Extreme Unction"),"Extreme Unction")</f>
        <v>Extreme Unction</v>
      </c>
      <c r="B276" s="2183"/>
      <c r="C276" s="2183"/>
      <c r="D276" s="2183"/>
      <c r="E276" s="2183"/>
      <c r="F276" s="2183"/>
      <c r="G276" s="2183"/>
      <c r="H276" s="1411">
        <f>IF('Faith&amp;AOF'!$D$12="N",IF('Faith&amp;AOF'!$D$13="N"," ",""+'Faith&amp;AOF'!K28),+'Faith&amp;AOF'!K28)</f>
        <v>20</v>
      </c>
      <c r="I276" s="1489"/>
      <c r="J276" s="1411" t="str">
        <f>IF('Faith&amp;AOF'!$D$12="N",IF('Faith&amp;AOF'!$D$13="N"," ",""+'Faith&amp;AOF'!L28),+'Faith&amp;AOF'!L28)</f>
        <v>Y</v>
      </c>
      <c r="K276" s="1771"/>
      <c r="L276" s="1772"/>
      <c r="M276" s="1411" t="str">
        <f>IF('Faith&amp;AOF'!$D$12="N",IF('Faith&amp;AOF'!$D$13="N"," ",""+'Faith&amp;AOF'!N28),+'Faith&amp;AOF'!N28)</f>
        <v>auto</v>
      </c>
      <c r="N276" s="1771"/>
      <c r="O276" s="1772"/>
      <c r="P276" s="1411">
        <f>IF('Faith&amp;AOF'!$D$12="N",IF('Faith&amp;AOF'!$D$13="N"," ",""+'Faith&amp;AOF'!M28),+'Faith&amp;AOF'!M28)</f>
        <v>-3</v>
      </c>
      <c r="Q276" s="1772"/>
      <c r="R276" s="1363"/>
      <c r="S276" s="1363"/>
      <c r="T276" s="1363"/>
      <c r="U276" s="1363"/>
      <c r="V276" s="1363"/>
      <c r="W276" s="1363"/>
      <c r="X276" s="1363"/>
      <c r="Y276" s="1363"/>
      <c r="Z276" s="1363"/>
      <c r="AA276" s="1363"/>
      <c r="AB276" s="1363"/>
      <c r="AC276" s="1363"/>
      <c r="AD276" s="1363"/>
      <c r="AE276"/>
      <c r="AF276" s="574"/>
      <c r="AG276" s="1791"/>
      <c r="AH276" s="1791"/>
      <c r="AI276" s="1791"/>
      <c r="AJ276" s="1791"/>
      <c r="AK276" s="1791"/>
      <c r="AL276" s="1791"/>
      <c r="AM276" s="1791"/>
      <c r="AN276" s="1438"/>
      <c r="AO276" s="1489"/>
      <c r="AP276" s="1647"/>
      <c r="AQ276" s="1488"/>
      <c r="AR276" s="1489"/>
      <c r="AS276" s="1422"/>
      <c r="AT276" s="1488"/>
      <c r="AU276" s="1489"/>
      <c r="AV276" s="1438"/>
      <c r="AW276" s="1489"/>
      <c r="AX276" s="1487"/>
      <c r="AY276" s="1489"/>
      <c r="AZ276" s="1361"/>
      <c r="BA276" s="1361"/>
      <c r="BB276" s="1361"/>
      <c r="BC276" s="1361"/>
      <c r="BD276" s="1361"/>
      <c r="BE276" s="1361"/>
      <c r="BF276" s="1361"/>
      <c r="BG276" s="1361"/>
      <c r="BH276" s="1361"/>
      <c r="BI276" s="1361"/>
      <c r="BJ276" s="1361"/>
      <c r="BM276" s="1791"/>
      <c r="BN276" s="1791"/>
      <c r="BO276" s="1791"/>
      <c r="BP276" s="1791"/>
      <c r="BQ276" s="1791"/>
      <c r="BR276" s="1791"/>
      <c r="BS276" s="1791"/>
      <c r="BT276" s="1438"/>
      <c r="BU276" s="1489"/>
      <c r="BV276" s="1647"/>
      <c r="BW276" s="1488"/>
      <c r="BX276" s="1489"/>
      <c r="BY276" s="1422"/>
      <c r="BZ276" s="1488"/>
      <c r="CA276" s="1489"/>
      <c r="CB276" s="1438"/>
      <c r="CC276" s="1489"/>
      <c r="CD276" s="1487"/>
      <c r="CE276" s="1489"/>
      <c r="CF276" s="1361"/>
      <c r="CG276" s="1361"/>
      <c r="CH276" s="1361"/>
      <c r="CI276" s="1361"/>
      <c r="CJ276" s="1361"/>
      <c r="CK276" s="1361"/>
      <c r="CL276" s="1361"/>
      <c r="CM276" s="1361"/>
      <c r="CN276" s="1361"/>
      <c r="CO276" s="1361"/>
      <c r="CP276" s="1361"/>
    </row>
    <row r="277" spans="1:97" ht="12.6" customHeight="1" outlineLevel="1">
      <c r="A277" s="1791" t="str">
        <f>IF('Faith&amp;AOF'!$D$12="N",IF('Faith&amp;AOF'!$D$13="N"," ","Holy Eucharist (Mass)"),"Holy Eucharist (Mass)")</f>
        <v>Holy Eucharist (Mass)</v>
      </c>
      <c r="B277" s="1791"/>
      <c r="C277" s="1791"/>
      <c r="D277" s="1791"/>
      <c r="E277" s="1791"/>
      <c r="F277" s="1791"/>
      <c r="G277" s="1791"/>
      <c r="H277" s="1438">
        <f>IF('Faith&amp;AOF'!$D$12="N",IF('Faith&amp;AOF'!$D$13="N"," ",+'Faith&amp;AOF'!K31),+'Faith&amp;AOF'!K31)</f>
        <v>20</v>
      </c>
      <c r="I277" s="1489"/>
      <c r="J277" s="1438" t="str">
        <f>IF('Faith&amp;AOF'!$D$12="N",IF('Faith&amp;AOF'!$D$13="N"," ",""+'Faith&amp;AOF'!L31),+'Faith&amp;AOF'!L31)</f>
        <v>Y</v>
      </c>
      <c r="K277" s="1440"/>
      <c r="L277" s="1439"/>
      <c r="M277" s="1438" t="str">
        <f>IF('Faith&amp;AOF'!$D$12="N",IF('Faith&amp;AOF'!$D$13="N"," ",""+'Faith&amp;AOF'!N31),+'Faith&amp;AOF'!N31)</f>
        <v>auto</v>
      </c>
      <c r="N277" s="1440"/>
      <c r="O277" s="1439"/>
      <c r="P277" s="1438">
        <f>IF('Faith&amp;AOF'!$D$12="N",IF('Faith&amp;AOF'!$D$13="N"," ",""+'Faith&amp;AOF'!M31),+'Faith&amp;AOF'!M31)</f>
        <v>-6</v>
      </c>
      <c r="Q277" s="1439"/>
      <c r="R277" s="1361"/>
      <c r="S277" s="1361"/>
      <c r="T277" s="1361"/>
      <c r="U277" s="1361"/>
      <c r="V277" s="1361"/>
      <c r="W277" s="1361"/>
      <c r="X277" s="1361"/>
      <c r="Y277" s="1361"/>
      <c r="Z277" s="1361"/>
      <c r="AA277" s="1361"/>
      <c r="AB277" s="1361"/>
      <c r="AC277" s="1361"/>
      <c r="AD277" s="1361"/>
      <c r="AG277" s="2183"/>
      <c r="AH277" s="2183"/>
      <c r="AI277" s="2183"/>
      <c r="AJ277" s="2183"/>
      <c r="AK277" s="2183"/>
      <c r="AL277" s="2183"/>
      <c r="AM277" s="2183"/>
      <c r="AN277" s="1411"/>
      <c r="AO277" s="1410"/>
      <c r="AP277" s="1425"/>
      <c r="AQ277" s="1426"/>
      <c r="AR277" s="1410"/>
      <c r="AS277" s="1427"/>
      <c r="AT277" s="1426"/>
      <c r="AU277" s="1410"/>
      <c r="AV277" s="1411"/>
      <c r="AW277" s="1410"/>
      <c r="AX277" s="1409"/>
      <c r="AY277" s="1410"/>
      <c r="AZ277" s="1363"/>
      <c r="BA277" s="1363"/>
      <c r="BB277" s="1363"/>
      <c r="BC277" s="1363"/>
      <c r="BD277" s="1363"/>
      <c r="BE277" s="1363"/>
      <c r="BF277" s="1363"/>
      <c r="BG277" s="1363"/>
      <c r="BH277" s="1363"/>
      <c r="BI277" s="1363"/>
      <c r="BJ277" s="1363"/>
      <c r="BM277" s="2183"/>
      <c r="BN277" s="2183"/>
      <c r="BO277" s="2183"/>
      <c r="BP277" s="2183"/>
      <c r="BQ277" s="2183"/>
      <c r="BR277" s="2183"/>
      <c r="BS277" s="2183"/>
      <c r="BT277" s="1411"/>
      <c r="BU277" s="1410"/>
      <c r="BV277" s="1425"/>
      <c r="BW277" s="1426"/>
      <c r="BX277" s="1410"/>
      <c r="BY277" s="1427"/>
      <c r="BZ277" s="1426"/>
      <c r="CA277" s="1410"/>
      <c r="CB277" s="1411"/>
      <c r="CC277" s="1410"/>
      <c r="CD277" s="1409"/>
      <c r="CE277" s="1410"/>
      <c r="CF277" s="1363"/>
      <c r="CG277" s="1363"/>
      <c r="CH277" s="1363"/>
      <c r="CI277" s="1363"/>
      <c r="CJ277" s="1363"/>
      <c r="CK277" s="1363"/>
      <c r="CL277" s="1363"/>
      <c r="CM277" s="1363"/>
      <c r="CN277" s="1363"/>
      <c r="CO277" s="1363"/>
      <c r="CP277" s="1363"/>
    </row>
    <row r="278" spans="1:97" ht="12.6" customHeight="1" outlineLevel="1">
      <c r="A278" s="2183" t="str">
        <f>IF('Faith&amp;AOF'!$D$12="N",IF('Faith&amp;AOF'!$D$13="N"," ","Matrimony"),"Matrimony")</f>
        <v>Matrimony</v>
      </c>
      <c r="B278" s="2183"/>
      <c r="C278" s="2183"/>
      <c r="D278" s="2183"/>
      <c r="E278" s="2183"/>
      <c r="F278" s="2183"/>
      <c r="G278" s="2183"/>
      <c r="H278" s="1411">
        <f>IF('Faith&amp;AOF'!$D$12="N",IF('Faith&amp;AOF'!$D$13="N"," ",+'Faith&amp;AOF'!K32),+'Faith&amp;AOF'!K32)</f>
        <v>15</v>
      </c>
      <c r="I278" s="1410"/>
      <c r="J278" s="1411" t="str">
        <f>IF('Faith&amp;AOF'!$D$12="N",IF('Faith&amp;AOF'!$D$13="N"," ",""+'Faith&amp;AOF'!L32),+'Faith&amp;AOF'!L32)</f>
        <v>Y</v>
      </c>
      <c r="K278" s="1771"/>
      <c r="L278" s="1772"/>
      <c r="M278" s="1411" t="str">
        <f>IF('Faith&amp;AOF'!$D$12="N",IF('Faith&amp;AOF'!$D$13="N"," ",""+'Faith&amp;AOF'!N32),+'Faith&amp;AOF'!N32)</f>
        <v>auto</v>
      </c>
      <c r="N278" s="1771"/>
      <c r="O278" s="1772"/>
      <c r="P278" s="1411">
        <f>IF('Faith&amp;AOF'!$D$12="N",IF('Faith&amp;AOF'!$D$13="N"," ",""+'Faith&amp;AOF'!M32),+'Faith&amp;AOF'!M32)</f>
        <v>-6</v>
      </c>
      <c r="Q278" s="1772"/>
      <c r="R278" s="1363"/>
      <c r="S278" s="1363"/>
      <c r="T278" s="1363"/>
      <c r="U278" s="1363"/>
      <c r="V278" s="1363"/>
      <c r="W278" s="1363"/>
      <c r="X278" s="1363"/>
      <c r="Y278" s="1363"/>
      <c r="Z278" s="1363"/>
      <c r="AA278" s="1363"/>
      <c r="AB278" s="1363"/>
      <c r="AC278" s="1363"/>
      <c r="AD278" s="1363"/>
      <c r="AE278"/>
      <c r="AF278" s="574"/>
      <c r="AG278" s="1791"/>
      <c r="AH278" s="1791"/>
      <c r="AI278" s="1791"/>
      <c r="AJ278" s="1791"/>
      <c r="AK278" s="1791"/>
      <c r="AL278" s="1791"/>
      <c r="AM278" s="1791"/>
      <c r="AN278" s="1438"/>
      <c r="AO278" s="1489"/>
      <c r="AP278" s="1647"/>
      <c r="AQ278" s="1488"/>
      <c r="AR278" s="1489"/>
      <c r="AS278" s="1422"/>
      <c r="AT278" s="1488"/>
      <c r="AU278" s="1489"/>
      <c r="AV278" s="1438"/>
      <c r="AW278" s="1489"/>
      <c r="AX278" s="1487"/>
      <c r="AY278" s="1489"/>
      <c r="AZ278" s="1361"/>
      <c r="BA278" s="1361"/>
      <c r="BB278" s="1361"/>
      <c r="BC278" s="1361"/>
      <c r="BD278" s="1361"/>
      <c r="BE278" s="1361"/>
      <c r="BF278" s="1361"/>
      <c r="BG278" s="1361"/>
      <c r="BH278" s="1361"/>
      <c r="BI278" s="1361"/>
      <c r="BJ278" s="1361"/>
      <c r="BM278" s="1791"/>
      <c r="BN278" s="1791"/>
      <c r="BO278" s="1791"/>
      <c r="BP278" s="1791"/>
      <c r="BQ278" s="1791"/>
      <c r="BR278" s="1791"/>
      <c r="BS278" s="1791"/>
      <c r="BT278" s="1438"/>
      <c r="BU278" s="1489"/>
      <c r="BV278" s="1647"/>
      <c r="BW278" s="1488"/>
      <c r="BX278" s="1489"/>
      <c r="BY278" s="1422"/>
      <c r="BZ278" s="1488"/>
      <c r="CA278" s="1489"/>
      <c r="CB278" s="1438"/>
      <c r="CC278" s="1489"/>
      <c r="CD278" s="1487"/>
      <c r="CE278" s="1489"/>
      <c r="CF278" s="1361"/>
      <c r="CG278" s="1361"/>
      <c r="CH278" s="1361"/>
      <c r="CI278" s="1361"/>
      <c r="CJ278" s="1361"/>
      <c r="CK278" s="1361"/>
      <c r="CL278" s="1361"/>
      <c r="CM278" s="1361"/>
      <c r="CN278" s="1361"/>
      <c r="CO278" s="1361"/>
      <c r="CP278" s="1361"/>
    </row>
    <row r="279" spans="1:97" ht="12.75" customHeight="1" outlineLevel="1">
      <c r="A279" s="1791" t="str">
        <f>IF('Faith&amp;AOF'!$D$12="N",IF('Faith&amp;AOF'!$D$13="N"," ","Penance (Confession)"),"Penance (Confession)")</f>
        <v>Penance (Confession)</v>
      </c>
      <c r="B279" s="1791"/>
      <c r="C279" s="1791"/>
      <c r="D279" s="1791"/>
      <c r="E279" s="1791"/>
      <c r="F279" s="1791"/>
      <c r="G279" s="1791"/>
      <c r="H279" s="1438">
        <f>IF('Faith&amp;AOF'!$D$12="N",IF('Faith&amp;AOF'!$D$13="N"," ",+'Faith&amp;AOF'!K33),+'Faith&amp;AOF'!K33)</f>
        <v>40</v>
      </c>
      <c r="I279" s="1489"/>
      <c r="J279" s="1438" t="str">
        <f>IF('Faith&amp;AOF'!$D$12="N",IF('Faith&amp;AOF'!$D$13="N"," ",""+'Faith&amp;AOF'!L33),+'Faith&amp;AOF'!L33)</f>
        <v>N</v>
      </c>
      <c r="K279" s="1440"/>
      <c r="L279" s="1439"/>
      <c r="M279" s="1438" t="str">
        <f>IF('Faith&amp;AOF'!$D$12="N",IF('Faith&amp;AOF'!$D$13="N"," ",""+'Faith&amp;AOF'!N33),+'Faith&amp;AOF'!N33)</f>
        <v>auto</v>
      </c>
      <c r="N279" s="1440"/>
      <c r="O279" s="1439"/>
      <c r="P279" s="1438">
        <f>IF('Faith&amp;AOF'!$D$12="N",IF('Faith&amp;AOF'!$D$13="N"," ",""+'Faith&amp;AOF'!M33),+'Faith&amp;AOF'!M33)</f>
        <v>-9</v>
      </c>
      <c r="Q279" s="1439"/>
      <c r="R279" s="1361"/>
      <c r="S279" s="1361"/>
      <c r="T279" s="1361"/>
      <c r="U279" s="1361"/>
      <c r="V279" s="1361"/>
      <c r="W279" s="1361"/>
      <c r="X279" s="1361"/>
      <c r="Y279" s="1361"/>
      <c r="Z279" s="1361"/>
      <c r="AA279" s="1361"/>
      <c r="AB279" s="1361"/>
      <c r="AC279" s="1361"/>
      <c r="AD279" s="1361"/>
      <c r="AG279" s="2183"/>
      <c r="AH279" s="2183"/>
      <c r="AI279" s="2183"/>
      <c r="AJ279" s="2183"/>
      <c r="AK279" s="2183"/>
      <c r="AL279" s="2183"/>
      <c r="AM279" s="2183"/>
      <c r="AN279" s="1411"/>
      <c r="AO279" s="1410"/>
      <c r="AP279" s="1425"/>
      <c r="AQ279" s="1426"/>
      <c r="AR279" s="1410"/>
      <c r="AS279" s="1427"/>
      <c r="AT279" s="1426"/>
      <c r="AU279" s="1410"/>
      <c r="AV279" s="1411"/>
      <c r="AW279" s="1410"/>
      <c r="AX279" s="1409"/>
      <c r="AY279" s="1410"/>
      <c r="AZ279" s="1363"/>
      <c r="BA279" s="1363"/>
      <c r="BB279" s="1363"/>
      <c r="BC279" s="1363"/>
      <c r="BD279" s="1363"/>
      <c r="BE279" s="1363"/>
      <c r="BF279" s="1363"/>
      <c r="BG279" s="1363"/>
      <c r="BH279" s="1363"/>
      <c r="BI279" s="1363"/>
      <c r="BJ279" s="1363"/>
      <c r="BM279" s="2183"/>
      <c r="BN279" s="2183"/>
      <c r="BO279" s="2183"/>
      <c r="BP279" s="2183"/>
      <c r="BQ279" s="2183"/>
      <c r="BR279" s="2183"/>
      <c r="BS279" s="2183"/>
      <c r="BT279" s="1411"/>
      <c r="BU279" s="1410"/>
      <c r="BV279" s="1425"/>
      <c r="BW279" s="1426"/>
      <c r="BX279" s="1410"/>
      <c r="BY279" s="1427"/>
      <c r="BZ279" s="1426"/>
      <c r="CA279" s="1410"/>
      <c r="CB279" s="1411"/>
      <c r="CC279" s="1410"/>
      <c r="CD279" s="1409"/>
      <c r="CE279" s="1410"/>
      <c r="CF279" s="1363"/>
      <c r="CG279" s="1363"/>
      <c r="CH279" s="1363"/>
      <c r="CI279" s="1363"/>
      <c r="CJ279" s="1363"/>
      <c r="CK279" s="1363"/>
      <c r="CL279" s="1363"/>
      <c r="CM279" s="1363"/>
      <c r="CN279" s="1363"/>
      <c r="CO279" s="1363"/>
      <c r="CP279" s="1363"/>
    </row>
    <row r="280" spans="1:97" ht="12.75" customHeight="1" outlineLevel="1">
      <c r="A280" s="1857" t="s">
        <v>3158</v>
      </c>
      <c r="B280" s="1857"/>
      <c r="C280" s="1857"/>
      <c r="D280" s="1857"/>
      <c r="E280" s="1857"/>
      <c r="F280" s="1857"/>
      <c r="G280" s="1857"/>
      <c r="H280" s="1828"/>
      <c r="I280" s="1828"/>
      <c r="J280" s="1828"/>
      <c r="K280" s="1828"/>
      <c r="L280" s="1828"/>
      <c r="M280" s="1828"/>
      <c r="N280" s="1828"/>
      <c r="O280" s="1828"/>
      <c r="P280" s="1828"/>
      <c r="Q280" s="1828"/>
      <c r="R280" s="1828"/>
      <c r="S280" s="1828"/>
      <c r="T280" s="1828"/>
      <c r="U280" s="1828"/>
      <c r="V280" s="1828"/>
      <c r="W280" s="1828"/>
      <c r="X280" s="1828"/>
      <c r="Y280" s="1828"/>
      <c r="Z280" s="1828"/>
      <c r="AA280" s="1828"/>
      <c r="AB280" s="1828"/>
      <c r="AC280" s="1828"/>
      <c r="AD280" s="1828"/>
      <c r="AG280" s="1791"/>
      <c r="AH280" s="1791"/>
      <c r="AI280" s="1791"/>
      <c r="AJ280" s="1791"/>
      <c r="AK280" s="1791"/>
      <c r="AL280" s="1791"/>
      <c r="AM280" s="1791"/>
      <c r="AN280" s="1438"/>
      <c r="AO280" s="1489"/>
      <c r="AP280" s="1647"/>
      <c r="AQ280" s="1488"/>
      <c r="AR280" s="1489"/>
      <c r="AS280" s="1422"/>
      <c r="AT280" s="1488"/>
      <c r="AU280" s="1489"/>
      <c r="AV280" s="1438"/>
      <c r="AW280" s="1489"/>
      <c r="AX280" s="1487"/>
      <c r="AY280" s="1489"/>
      <c r="AZ280" s="1361"/>
      <c r="BA280" s="1361"/>
      <c r="BB280" s="1361"/>
      <c r="BC280" s="1361"/>
      <c r="BD280" s="1361"/>
      <c r="BE280" s="1361"/>
      <c r="BF280" s="1361"/>
      <c r="BG280" s="1361"/>
      <c r="BH280" s="1361"/>
      <c r="BI280" s="1361"/>
      <c r="BJ280" s="1361"/>
      <c r="BM280" s="1791"/>
      <c r="BN280" s="1791"/>
      <c r="BO280" s="1791"/>
      <c r="BP280" s="1791"/>
      <c r="BQ280" s="1791"/>
      <c r="BR280" s="1791"/>
      <c r="BS280" s="1791"/>
      <c r="BT280" s="1438"/>
      <c r="BU280" s="1489"/>
      <c r="BV280" s="1647"/>
      <c r="BW280" s="1488"/>
      <c r="BX280" s="1489"/>
      <c r="BY280" s="1422"/>
      <c r="BZ280" s="1488"/>
      <c r="CA280" s="1489"/>
      <c r="CB280" s="1438"/>
      <c r="CC280" s="1489"/>
      <c r="CD280" s="1487"/>
      <c r="CE280" s="1489"/>
      <c r="CF280" s="1361"/>
      <c r="CG280" s="1361"/>
      <c r="CH280" s="1361"/>
      <c r="CI280" s="1361"/>
      <c r="CJ280" s="1361"/>
      <c r="CK280" s="1361"/>
      <c r="CL280" s="1361"/>
      <c r="CM280" s="1361"/>
      <c r="CN280" s="1361"/>
      <c r="CO280" s="1361"/>
      <c r="CP280" s="1361"/>
    </row>
    <row r="281" spans="1:97" ht="12.75" customHeight="1" outlineLevel="1">
      <c r="A281" s="1791" t="str">
        <f>IF('Faith&amp;AOF'!$D$12="N",IF('Faith&amp;AOF'!$D$13="N"," ","Purify Food and Water"),"Purify Food and Water")</f>
        <v>Purify Food and Water</v>
      </c>
      <c r="B281" s="1791"/>
      <c r="C281" s="1791"/>
      <c r="D281" s="1791"/>
      <c r="E281" s="1791"/>
      <c r="F281" s="1791"/>
      <c r="G281" s="1791"/>
      <c r="H281" s="1438">
        <f>IF('Faith&amp;AOF'!$D$12="N",IF('Faith&amp;AOF'!$D$13="N"," ",+'Faith&amp;AOF'!B39),+'Faith&amp;AOF'!B39)</f>
        <v>10</v>
      </c>
      <c r="I281" s="1489"/>
      <c r="J281" s="1647" t="str">
        <f>IF('Faith&amp;AOF'!$D$12="N",IF('Faith&amp;AOF'!$D$13="N"," ",+'Faith&amp;AOF'!C39),+'Faith&amp;AOF'!C39)</f>
        <v>Y</v>
      </c>
      <c r="K281" s="1488"/>
      <c r="L281" s="1489"/>
      <c r="M281" s="1422">
        <f>IF('Faith&amp;AOF'!$D$12="N",IF('Faith&amp;AOF'!$D$13="N"," ",+'Faith&amp;AOF'!E39/100),+'Faith&amp;AOF'!E39/100)</f>
        <v>0.02</v>
      </c>
      <c r="N281" s="1488"/>
      <c r="O281" s="1489"/>
      <c r="P281" s="1438">
        <f>IF('Faith&amp;AOF'!$D$12="N",IF('Faith&amp;AOF'!$D$13="N"," ",+'Faith&amp;AOF'!T24),+'Faith&amp;AOF'!T24)</f>
        <v>-6</v>
      </c>
      <c r="Q281" s="1489"/>
      <c r="R281" s="1487"/>
      <c r="S281" s="1489"/>
      <c r="T281" s="1361"/>
      <c r="U281" s="1361"/>
      <c r="V281" s="1361"/>
      <c r="W281" s="1361"/>
      <c r="X281" s="1361"/>
      <c r="Y281" s="1361"/>
      <c r="Z281" s="1361"/>
      <c r="AA281" s="1361"/>
      <c r="AB281" s="1361"/>
      <c r="AC281" s="1361"/>
      <c r="AD281" s="1361"/>
      <c r="AG281" s="2183"/>
      <c r="AH281" s="2183"/>
      <c r="AI281" s="2183"/>
      <c r="AJ281" s="2183"/>
      <c r="AK281" s="2183"/>
      <c r="AL281" s="2183"/>
      <c r="AM281" s="2183"/>
      <c r="AN281" s="1411"/>
      <c r="AO281" s="1410"/>
      <c r="AP281" s="1425"/>
      <c r="AQ281" s="1426"/>
      <c r="AR281" s="1410"/>
      <c r="AS281" s="1427"/>
      <c r="AT281" s="1426"/>
      <c r="AU281" s="1410"/>
      <c r="AV281" s="1411"/>
      <c r="AW281" s="1410"/>
      <c r="AX281" s="1409"/>
      <c r="AY281" s="1410"/>
      <c r="AZ281" s="1363"/>
      <c r="BA281" s="1363"/>
      <c r="BB281" s="1363"/>
      <c r="BC281" s="1363"/>
      <c r="BD281" s="1363"/>
      <c r="BE281" s="1363"/>
      <c r="BF281" s="1363"/>
      <c r="BG281" s="1363"/>
      <c r="BH281" s="1363"/>
      <c r="BI281" s="1363"/>
      <c r="BJ281" s="1363"/>
      <c r="BM281" s="2183"/>
      <c r="BN281" s="2183"/>
      <c r="BO281" s="2183"/>
      <c r="BP281" s="2183"/>
      <c r="BQ281" s="2183"/>
      <c r="BR281" s="2183"/>
      <c r="BS281" s="2183"/>
      <c r="BT281" s="1411"/>
      <c r="BU281" s="1410"/>
      <c r="BV281" s="1425"/>
      <c r="BW281" s="1426"/>
      <c r="BX281" s="1410"/>
      <c r="BY281" s="1427"/>
      <c r="BZ281" s="1426"/>
      <c r="CA281" s="1410"/>
      <c r="CB281" s="1411"/>
      <c r="CC281" s="1410"/>
      <c r="CD281" s="1409"/>
      <c r="CE281" s="1410"/>
      <c r="CF281" s="1363"/>
      <c r="CG281" s="1363"/>
      <c r="CH281" s="1363"/>
      <c r="CI281" s="1363"/>
      <c r="CJ281" s="1363"/>
      <c r="CK281" s="1363"/>
      <c r="CL281" s="1363"/>
      <c r="CM281" s="1363"/>
      <c r="CN281" s="1363"/>
      <c r="CO281" s="1363"/>
      <c r="CP281" s="1363"/>
    </row>
    <row r="282" spans="1:97" ht="12.75" customHeight="1" outlineLevel="1">
      <c r="A282" s="2183" t="str">
        <f>IF('Faith&amp;AOF'!$D$12="N",IF('Faith&amp;AOF'!$D$13="N"," ","Restore the Faithful"),"Restore the Faithful")</f>
        <v>Restore the Faithful</v>
      </c>
      <c r="B282" s="2183"/>
      <c r="C282" s="2183"/>
      <c r="D282" s="2183"/>
      <c r="E282" s="2183"/>
      <c r="F282" s="2183"/>
      <c r="G282" s="2183"/>
      <c r="H282" s="1411">
        <f>IF('Faith&amp;AOF'!$D$12="N",IF('Faith&amp;AOF'!$D$13="N"," ",+'Faith&amp;AOF'!B40),+'Faith&amp;AOF'!B40)</f>
        <v>25</v>
      </c>
      <c r="I282" s="1410"/>
      <c r="J282" s="1425" t="str">
        <f>IF('Faith&amp;AOF'!$D$12="N",IF('Faith&amp;AOF'!$D$13="N"," ",+'Faith&amp;AOF'!C40),+'Faith&amp;AOF'!C40)</f>
        <v>Y</v>
      </c>
      <c r="K282" s="1426"/>
      <c r="L282" s="1410"/>
      <c r="M282" s="1427">
        <f>IF('Faith&amp;AOF'!$D$12="N",IF('Faith&amp;AOF'!$D$13="N"," ",+'Faith&amp;AOF'!E40/100),+'Faith&amp;AOF'!E40/100)</f>
        <v>0.03</v>
      </c>
      <c r="N282" s="1426"/>
      <c r="O282" s="1410"/>
      <c r="P282" s="1411">
        <f>IF('Faith&amp;AOF'!$D$12="N",IF('Faith&amp;AOF'!$D$13="N"," ",+'Faith&amp;AOF'!T25),+'Faith&amp;AOF'!T25)</f>
        <v>-9</v>
      </c>
      <c r="Q282" s="1410"/>
      <c r="R282" s="1409"/>
      <c r="S282" s="1410"/>
      <c r="T282" s="1363"/>
      <c r="U282" s="1363"/>
      <c r="V282" s="1363"/>
      <c r="W282" s="1363"/>
      <c r="X282" s="1363"/>
      <c r="Y282" s="1363"/>
      <c r="Z282" s="1363"/>
      <c r="AA282" s="1363"/>
      <c r="AB282" s="1363"/>
      <c r="AC282" s="1363"/>
      <c r="AD282" s="1363"/>
      <c r="AG282" s="1791"/>
      <c r="AH282" s="1791"/>
      <c r="AI282" s="1791"/>
      <c r="AJ282" s="1791"/>
      <c r="AK282" s="1791"/>
      <c r="AL282" s="1791"/>
      <c r="AM282" s="1791"/>
      <c r="AN282" s="1438"/>
      <c r="AO282" s="1489"/>
      <c r="AP282" s="1647"/>
      <c r="AQ282" s="1488"/>
      <c r="AR282" s="1489"/>
      <c r="AS282" s="1422"/>
      <c r="AT282" s="1488"/>
      <c r="AU282" s="1489"/>
      <c r="AV282" s="1438"/>
      <c r="AW282" s="1489"/>
      <c r="AX282" s="1487"/>
      <c r="AY282" s="1489"/>
      <c r="AZ282" s="1361"/>
      <c r="BA282" s="1361"/>
      <c r="BB282" s="1361"/>
      <c r="BC282" s="1361"/>
      <c r="BD282" s="1361"/>
      <c r="BE282" s="1361"/>
      <c r="BF282" s="1361"/>
      <c r="BG282" s="1361"/>
      <c r="BH282" s="1361"/>
      <c r="BI282" s="1361"/>
      <c r="BJ282" s="1361"/>
      <c r="BM282" s="1791"/>
      <c r="BN282" s="1791"/>
      <c r="BO282" s="1791"/>
      <c r="BP282" s="1791"/>
      <c r="BQ282" s="1791"/>
      <c r="BR282" s="1791"/>
      <c r="BS282" s="1791"/>
      <c r="BT282" s="1438"/>
      <c r="BU282" s="1489"/>
      <c r="BV282" s="1647"/>
      <c r="BW282" s="1488"/>
      <c r="BX282" s="1489"/>
      <c r="BY282" s="1422"/>
      <c r="BZ282" s="1488"/>
      <c r="CA282" s="1489"/>
      <c r="CB282" s="1438"/>
      <c r="CC282" s="1489"/>
      <c r="CD282" s="1487"/>
      <c r="CE282" s="1489"/>
      <c r="CF282" s="1361"/>
      <c r="CG282" s="1361"/>
      <c r="CH282" s="1361"/>
      <c r="CI282" s="1361"/>
      <c r="CJ282" s="1361"/>
      <c r="CK282" s="1361"/>
      <c r="CL282" s="1361"/>
      <c r="CM282" s="1361"/>
      <c r="CN282" s="1361"/>
      <c r="CO282" s="1361"/>
      <c r="CP282" s="1361"/>
    </row>
    <row r="283" spans="1:97" ht="12.75" customHeight="1" outlineLevel="1">
      <c r="A283" s="1791" t="str">
        <f>IF('Faith&amp;AOF'!$D$12="N",IF('Faith&amp;AOF'!$D$13="N"," ","Cure the Wounded"),"Cure the Wounded")</f>
        <v>Cure the Wounded</v>
      </c>
      <c r="B283" s="1791"/>
      <c r="C283" s="1791"/>
      <c r="D283" s="1791"/>
      <c r="E283" s="1791"/>
      <c r="F283" s="1791"/>
      <c r="G283" s="1791"/>
      <c r="H283" s="1438">
        <f>IF('Faith&amp;AOF'!$D$12="N",IF('Faith&amp;AOF'!$D$13="N"," ",+'Faith&amp;AOF'!B41),+'Faith&amp;AOF'!B41)</f>
        <v>50</v>
      </c>
      <c r="I283" s="1489"/>
      <c r="J283" s="1647" t="str">
        <f>IF('Faith&amp;AOF'!$D$12="N",IF('Faith&amp;AOF'!$D$13="N"," ",+'Faith&amp;AOF'!C41),+'Faith&amp;AOF'!C41)</f>
        <v>N</v>
      </c>
      <c r="K283" s="1488"/>
      <c r="L283" s="1489"/>
      <c r="M283" s="1422">
        <f>IF('Faith&amp;AOF'!$D$12="N",IF('Faith&amp;AOF'!$D$13="N"," ",+'Faith&amp;AOF'!E41/100),+'Faith&amp;AOF'!E41/100)</f>
        <v>0.03</v>
      </c>
      <c r="N283" s="1488"/>
      <c r="O283" s="1489"/>
      <c r="P283" s="1438">
        <f>IF('Faith&amp;AOF'!$D$12="N",IF('Faith&amp;AOF'!$D$13="N"," ",+'Faith&amp;AOF'!T26),+'Faith&amp;AOF'!T26)</f>
        <v>-18</v>
      </c>
      <c r="Q283" s="1489"/>
      <c r="R283" s="1487"/>
      <c r="S283" s="1489"/>
      <c r="T283" s="1361"/>
      <c r="U283" s="1361"/>
      <c r="V283" s="1361"/>
      <c r="W283" s="1361"/>
      <c r="X283" s="1361"/>
      <c r="Y283" s="1361"/>
      <c r="Z283" s="1361"/>
      <c r="AA283" s="1361"/>
      <c r="AB283" s="1361"/>
      <c r="AC283" s="1361"/>
      <c r="AD283" s="1361"/>
      <c r="AG283" s="2183"/>
      <c r="AH283" s="2183"/>
      <c r="AI283" s="2183"/>
      <c r="AJ283" s="2183"/>
      <c r="AK283" s="2183"/>
      <c r="AL283" s="2183"/>
      <c r="AM283" s="2183"/>
      <c r="AN283" s="1411"/>
      <c r="AO283" s="1410"/>
      <c r="AP283" s="1425"/>
      <c r="AQ283" s="1426"/>
      <c r="AR283" s="1410"/>
      <c r="AS283" s="1427"/>
      <c r="AT283" s="1426"/>
      <c r="AU283" s="1410"/>
      <c r="AV283" s="1411"/>
      <c r="AW283" s="1410"/>
      <c r="AX283" s="1409"/>
      <c r="AY283" s="1410"/>
      <c r="AZ283" s="1363"/>
      <c r="BA283" s="1363"/>
      <c r="BB283" s="1363"/>
      <c r="BC283" s="1363"/>
      <c r="BD283" s="1363"/>
      <c r="BE283" s="1363"/>
      <c r="BF283" s="1363"/>
      <c r="BG283" s="1363"/>
      <c r="BH283" s="1363"/>
      <c r="BI283" s="1363"/>
      <c r="BJ283" s="1363"/>
      <c r="BM283" s="2183"/>
      <c r="BN283" s="2183"/>
      <c r="BO283" s="2183"/>
      <c r="BP283" s="2183"/>
      <c r="BQ283" s="2183"/>
      <c r="BR283" s="2183"/>
      <c r="BS283" s="2183"/>
      <c r="BT283" s="1411"/>
      <c r="BU283" s="1410"/>
      <c r="BV283" s="1425"/>
      <c r="BW283" s="1426"/>
      <c r="BX283" s="1410"/>
      <c r="BY283" s="1427"/>
      <c r="BZ283" s="1426"/>
      <c r="CA283" s="1410"/>
      <c r="CB283" s="1411"/>
      <c r="CC283" s="1410"/>
      <c r="CD283" s="1409"/>
      <c r="CE283" s="1410"/>
      <c r="CF283" s="1363"/>
      <c r="CG283" s="1363"/>
      <c r="CH283" s="1363"/>
      <c r="CI283" s="1363"/>
      <c r="CJ283" s="1363"/>
      <c r="CK283" s="1363"/>
      <c r="CL283" s="1363"/>
      <c r="CM283" s="1363"/>
      <c r="CN283" s="1363"/>
      <c r="CO283" s="1363"/>
      <c r="CP283" s="1363"/>
    </row>
    <row r="284" spans="1:97" ht="12.75" customHeight="1">
      <c r="A284"/>
      <c r="B284"/>
      <c r="C284"/>
      <c r="D284"/>
      <c r="E284"/>
      <c r="F284"/>
      <c r="G284"/>
      <c r="H284"/>
      <c r="I284"/>
      <c r="J284"/>
      <c r="K284"/>
      <c r="L284"/>
      <c r="M284"/>
      <c r="N284"/>
      <c r="O284"/>
      <c r="P284"/>
      <c r="Q284"/>
      <c r="R284"/>
      <c r="S284"/>
      <c r="T284"/>
      <c r="U284"/>
      <c r="V284"/>
      <c r="W284"/>
      <c r="X284"/>
      <c r="Y284"/>
      <c r="Z284"/>
      <c r="AA284"/>
      <c r="AB284"/>
      <c r="AC284"/>
      <c r="AD284"/>
    </row>
    <row r="285" spans="1:97" ht="12.75" customHeight="1">
      <c r="A285" s="1400" t="s">
        <v>4776</v>
      </c>
      <c r="B285" s="1400"/>
      <c r="C285" s="1400"/>
      <c r="D285" s="1400"/>
      <c r="E285" s="1400"/>
      <c r="F285" s="1400"/>
      <c r="G285" s="1400"/>
      <c r="H285" s="1400"/>
      <c r="I285" s="1400"/>
      <c r="J285" s="101"/>
      <c r="K285" s="1400" t="s">
        <v>2220</v>
      </c>
      <c r="L285" s="1400"/>
      <c r="M285" s="1400"/>
      <c r="N285" s="1400"/>
      <c r="O285" s="1400"/>
      <c r="P285" s="1400"/>
      <c r="Q285" s="1400"/>
      <c r="R285" s="1400"/>
      <c r="S285" s="1400"/>
      <c r="T285" s="1400"/>
      <c r="U285" s="1400"/>
      <c r="V285" s="1400"/>
      <c r="W285" s="1400"/>
      <c r="X285" s="1400"/>
      <c r="Y285" s="1400"/>
      <c r="Z285" s="1400"/>
      <c r="AA285" s="1400"/>
      <c r="AB285" s="1400"/>
      <c r="AC285" s="1400"/>
      <c r="AD285" s="1400"/>
      <c r="AG285" s="1400" t="s">
        <v>5740</v>
      </c>
      <c r="AH285" s="1400"/>
      <c r="AI285" s="1400"/>
      <c r="AJ285" s="1400"/>
      <c r="AK285" s="1400"/>
      <c r="AL285" s="1400"/>
      <c r="AM285" s="1400"/>
      <c r="AN285" s="1400"/>
      <c r="AO285" s="1400"/>
      <c r="AP285" s="1400"/>
      <c r="AQ285" s="1400"/>
      <c r="AR285" s="1400"/>
      <c r="AS285" s="1400"/>
      <c r="AT285" s="1400"/>
      <c r="AU285" s="1400"/>
      <c r="AV285" s="1400"/>
      <c r="AW285" s="1400"/>
      <c r="AX285" s="1400"/>
      <c r="AY285" s="1400"/>
      <c r="AZ285" s="1400"/>
      <c r="BA285" s="1400"/>
      <c r="BB285" s="1400"/>
      <c r="BC285" s="1400"/>
      <c r="BD285" s="1400"/>
      <c r="BE285" s="1400"/>
      <c r="BF285" s="1400"/>
      <c r="BG285" s="1400"/>
      <c r="BH285" s="1400"/>
      <c r="BI285" s="1400"/>
      <c r="BJ285" s="1400"/>
      <c r="BM285" s="1400" t="s">
        <v>5740</v>
      </c>
      <c r="BN285" s="1400"/>
      <c r="BO285" s="1400"/>
      <c r="BP285" s="1400"/>
      <c r="BQ285" s="1400"/>
      <c r="BR285" s="1400"/>
      <c r="BS285" s="1400"/>
      <c r="BT285" s="1400"/>
      <c r="BU285" s="1400"/>
      <c r="BV285" s="1400"/>
      <c r="BW285" s="1400"/>
      <c r="BX285" s="1400"/>
      <c r="BY285" s="1400"/>
      <c r="BZ285" s="1400"/>
      <c r="CA285" s="1400"/>
      <c r="CB285" s="1400"/>
      <c r="CC285" s="1400"/>
      <c r="CD285" s="1400"/>
      <c r="CE285" s="1400"/>
      <c r="CF285" s="1400"/>
      <c r="CG285" s="1400"/>
      <c r="CH285" s="1400"/>
      <c r="CI285" s="1400"/>
      <c r="CJ285" s="1400"/>
      <c r="CK285" s="1400"/>
      <c r="CL285" s="1400"/>
      <c r="CM285" s="1400"/>
      <c r="CN285" s="1400"/>
      <c r="CO285" s="1400"/>
      <c r="CP285" s="1400"/>
      <c r="CQ285" s="2526" t="s">
        <v>5753</v>
      </c>
      <c r="CR285" s="2423"/>
    </row>
    <row r="286" spans="1:97" ht="22.5" customHeight="1">
      <c r="A286" s="2185" t="s">
        <v>2237</v>
      </c>
      <c r="B286" s="2186"/>
      <c r="C286" s="2186"/>
      <c r="D286" s="2186"/>
      <c r="E286" s="2187"/>
      <c r="F286" s="1314">
        <f>Funds!B20</f>
        <v>20</v>
      </c>
      <c r="G286" s="1437"/>
      <c r="H286" s="1437"/>
      <c r="I286" s="1437"/>
      <c r="J286" s="101"/>
      <c r="K286" s="1532" t="s">
        <v>2144</v>
      </c>
      <c r="L286" s="1532"/>
      <c r="M286" s="1532"/>
      <c r="N286" s="1532"/>
      <c r="O286" s="1532"/>
      <c r="P286" s="1532"/>
      <c r="Q286" s="1532"/>
      <c r="R286" s="1532"/>
      <c r="S286" s="1532"/>
      <c r="T286" s="1532"/>
      <c r="U286" s="1532"/>
      <c r="V286" s="1532"/>
      <c r="W286" s="1532"/>
      <c r="X286" s="1532"/>
      <c r="Y286" s="1532"/>
      <c r="Z286" s="1532"/>
      <c r="AA286" s="1532"/>
      <c r="AB286" s="1532"/>
      <c r="AC286" s="1532"/>
      <c r="AD286" s="1532"/>
      <c r="AG286" s="2507" t="s">
        <v>5748</v>
      </c>
      <c r="AH286" s="2417"/>
      <c r="AI286" s="2417"/>
      <c r="AJ286" s="2417"/>
      <c r="AK286" s="2417"/>
      <c r="AL286" s="2416"/>
      <c r="AM286" s="2417"/>
      <c r="AN286" s="2417"/>
      <c r="AO286" s="2417"/>
      <c r="AP286" s="2515" t="s">
        <v>5741</v>
      </c>
      <c r="AQ286" s="1721"/>
      <c r="AR286" s="1721"/>
      <c r="AS286" s="1721"/>
      <c r="AT286" s="1722"/>
      <c r="AU286" s="2507"/>
      <c r="AV286" s="2417"/>
      <c r="AW286" s="2417"/>
      <c r="AX286" s="2417"/>
      <c r="AY286" s="2417"/>
      <c r="AZ286" s="2417"/>
      <c r="BA286" s="2507" t="s">
        <v>5742</v>
      </c>
      <c r="BB286" s="2417"/>
      <c r="BC286" s="2417"/>
      <c r="BD286" s="2417"/>
      <c r="BE286" s="2418"/>
      <c r="BF286" s="2418"/>
      <c r="BG286" s="2506"/>
      <c r="BH286" s="2506"/>
      <c r="BI286" s="2506"/>
      <c r="BJ286" s="2506"/>
      <c r="BM286" s="2507" t="s">
        <v>5748</v>
      </c>
      <c r="BN286" s="2417"/>
      <c r="BO286" s="2417"/>
      <c r="BP286" s="2417"/>
      <c r="BQ286" s="2417"/>
      <c r="BR286" s="2416"/>
      <c r="BS286" s="2417"/>
      <c r="BT286" s="2417"/>
      <c r="BU286" s="2417"/>
      <c r="BV286" s="2515" t="s">
        <v>5741</v>
      </c>
      <c r="BW286" s="1721"/>
      <c r="BX286" s="1721"/>
      <c r="BY286" s="1721"/>
      <c r="BZ286" s="1722"/>
      <c r="CA286" s="2507"/>
      <c r="CB286" s="2417"/>
      <c r="CC286" s="2417"/>
      <c r="CD286" s="2417"/>
      <c r="CE286" s="2417"/>
      <c r="CF286" s="2417"/>
      <c r="CG286" s="2507" t="s">
        <v>5742</v>
      </c>
      <c r="CH286" s="2417"/>
      <c r="CI286" s="2417"/>
      <c r="CJ286" s="2417"/>
      <c r="CK286" s="2418"/>
      <c r="CL286" s="2418"/>
      <c r="CM286" s="2506"/>
      <c r="CN286" s="2506"/>
      <c r="CO286" s="2506"/>
      <c r="CP286" s="2506"/>
      <c r="CQ286" s="2527"/>
      <c r="CR286" s="2423"/>
      <c r="CS286" s="82"/>
    </row>
    <row r="287" spans="1:97" ht="33.75" customHeight="1">
      <c r="A287" s="2185" t="s">
        <v>2244</v>
      </c>
      <c r="B287" s="2186"/>
      <c r="C287" s="2186"/>
      <c r="D287" s="2186"/>
      <c r="E287" s="2187"/>
      <c r="F287" s="2397">
        <f>Funds!C20</f>
        <v>111.5</v>
      </c>
      <c r="G287" s="1437"/>
      <c r="H287" s="1437"/>
      <c r="I287" s="1437"/>
      <c r="J287" s="101"/>
      <c r="K287" s="1532"/>
      <c r="L287" s="1532"/>
      <c r="M287" s="1532"/>
      <c r="N287" s="1532"/>
      <c r="O287" s="1532"/>
      <c r="P287" s="1532"/>
      <c r="Q287" s="1532"/>
      <c r="R287" s="1532"/>
      <c r="S287" s="1532"/>
      <c r="T287" s="1532"/>
      <c r="U287" s="1532"/>
      <c r="V287" s="1532"/>
      <c r="W287" s="1532"/>
      <c r="X287" s="1532"/>
      <c r="Y287" s="1532"/>
      <c r="Z287" s="1532"/>
      <c r="AA287" s="1532"/>
      <c r="AB287" s="1532"/>
      <c r="AC287" s="1532"/>
      <c r="AD287" s="1532"/>
      <c r="AG287" s="2510" t="s">
        <v>5743</v>
      </c>
      <c r="AH287" s="2510"/>
      <c r="AI287" s="2510"/>
      <c r="AJ287" s="2510"/>
      <c r="AK287" s="2510"/>
      <c r="AL287" s="2512"/>
      <c r="AM287" s="2513"/>
      <c r="AN287" s="2513"/>
      <c r="AO287" s="2513"/>
      <c r="AP287" s="2516" t="s">
        <v>5750</v>
      </c>
      <c r="AQ287" s="1721"/>
      <c r="AR287" s="1721"/>
      <c r="AS287" s="1721"/>
      <c r="AT287" s="1722"/>
      <c r="AU287" s="2512"/>
      <c r="AV287" s="2512"/>
      <c r="AW287" s="2518" t="s">
        <v>5749</v>
      </c>
      <c r="AX287" s="2505"/>
      <c r="AY287" s="2505"/>
      <c r="AZ287" s="2505"/>
      <c r="BA287" s="2519" t="s">
        <v>5744</v>
      </c>
      <c r="BB287" s="1382"/>
      <c r="BC287" s="1382"/>
      <c r="BD287" s="1311"/>
      <c r="BE287" s="2519"/>
      <c r="BF287" s="1721"/>
      <c r="BG287" s="1721"/>
      <c r="BH287" s="1721"/>
      <c r="BI287" s="1721"/>
      <c r="BJ287" s="1722"/>
      <c r="BM287" s="2510" t="s">
        <v>5743</v>
      </c>
      <c r="BN287" s="2510"/>
      <c r="BO287" s="2510"/>
      <c r="BP287" s="2510"/>
      <c r="BQ287" s="2510"/>
      <c r="BR287" s="2512"/>
      <c r="BS287" s="2513"/>
      <c r="BT287" s="2513"/>
      <c r="BU287" s="2513"/>
      <c r="BV287" s="2516" t="s">
        <v>5750</v>
      </c>
      <c r="BW287" s="1721"/>
      <c r="BX287" s="1721"/>
      <c r="BY287" s="1721"/>
      <c r="BZ287" s="1722"/>
      <c r="CA287" s="2512"/>
      <c r="CB287" s="2512"/>
      <c r="CC287" s="2518" t="s">
        <v>5749</v>
      </c>
      <c r="CD287" s="2505"/>
      <c r="CE287" s="2505"/>
      <c r="CF287" s="2505"/>
      <c r="CG287" s="2519" t="s">
        <v>5744</v>
      </c>
      <c r="CH287" s="1382"/>
      <c r="CI287" s="1382"/>
      <c r="CJ287" s="1311"/>
      <c r="CK287" s="2519"/>
      <c r="CL287" s="1721"/>
      <c r="CM287" s="1721"/>
      <c r="CN287" s="1721"/>
      <c r="CO287" s="1721"/>
      <c r="CP287" s="1722"/>
      <c r="CQ287" s="2527"/>
      <c r="CR287" s="2423"/>
    </row>
    <row r="288" spans="1:97" ht="12.75" customHeight="1">
      <c r="A288" s="2185" t="s">
        <v>2236</v>
      </c>
      <c r="B288" s="2186"/>
      <c r="C288" s="2186"/>
      <c r="D288" s="2186"/>
      <c r="E288" s="2187"/>
      <c r="F288" s="1437"/>
      <c r="G288" s="1437"/>
      <c r="H288" s="1437"/>
      <c r="I288" s="1437"/>
      <c r="J288" s="101"/>
      <c r="K288" s="1532"/>
      <c r="L288" s="1532"/>
      <c r="M288" s="1532"/>
      <c r="N288" s="1532"/>
      <c r="O288" s="1532"/>
      <c r="P288" s="1532"/>
      <c r="Q288" s="1532"/>
      <c r="R288" s="1532"/>
      <c r="S288" s="1532"/>
      <c r="T288" s="1532"/>
      <c r="U288" s="1532"/>
      <c r="V288" s="1532"/>
      <c r="W288" s="1532"/>
      <c r="X288" s="1532"/>
      <c r="Y288" s="1532"/>
      <c r="Z288" s="1532"/>
      <c r="AA288" s="1532"/>
      <c r="AB288" s="1532"/>
      <c r="AC288" s="1532"/>
      <c r="AD288" s="1532"/>
      <c r="AG288" s="2415" t="s">
        <v>5745</v>
      </c>
      <c r="AH288" s="2415"/>
      <c r="AI288" s="2415"/>
      <c r="AJ288" s="2415"/>
      <c r="AK288" s="2415"/>
      <c r="AL288" s="2514"/>
      <c r="AM288" s="2506"/>
      <c r="AN288" s="2506"/>
      <c r="AO288" s="2506"/>
      <c r="AP288" s="2517" t="s">
        <v>5746</v>
      </c>
      <c r="AQ288" s="1721"/>
      <c r="AR288" s="1721"/>
      <c r="AS288" s="1721"/>
      <c r="AT288" s="1722"/>
      <c r="AU288" s="2504"/>
      <c r="AV288" s="1315"/>
      <c r="AW288" s="2418" t="s">
        <v>5745</v>
      </c>
      <c r="AX288" s="2418"/>
      <c r="AY288" s="2418"/>
      <c r="AZ288" s="2418"/>
      <c r="BA288" s="2418"/>
      <c r="BB288" s="2418" t="s">
        <v>5746</v>
      </c>
      <c r="BC288" s="2506"/>
      <c r="BD288" s="2506"/>
      <c r="BE288" s="2504"/>
      <c r="BF288" s="2505"/>
      <c r="BG288" s="2505"/>
      <c r="BH288" s="2505"/>
      <c r="BI288" s="2505"/>
      <c r="BJ288" s="2505"/>
      <c r="BM288" s="2415" t="s">
        <v>5745</v>
      </c>
      <c r="BN288" s="2415"/>
      <c r="BO288" s="2415"/>
      <c r="BP288" s="2415"/>
      <c r="BQ288" s="2415"/>
      <c r="BR288" s="2514"/>
      <c r="BS288" s="2506"/>
      <c r="BT288" s="2506"/>
      <c r="BU288" s="2506"/>
      <c r="BV288" s="2517" t="s">
        <v>5746</v>
      </c>
      <c r="BW288" s="1721"/>
      <c r="BX288" s="1721"/>
      <c r="BY288" s="1721"/>
      <c r="BZ288" s="1722"/>
      <c r="CA288" s="2504"/>
      <c r="CB288" s="1315"/>
      <c r="CC288" s="2418" t="s">
        <v>5745</v>
      </c>
      <c r="CD288" s="2418"/>
      <c r="CE288" s="2418"/>
      <c r="CF288" s="2418"/>
      <c r="CG288" s="2418"/>
      <c r="CH288" s="2418" t="s">
        <v>5746</v>
      </c>
      <c r="CI288" s="2506"/>
      <c r="CJ288" s="2506"/>
      <c r="CK288" s="2504"/>
      <c r="CL288" s="2505"/>
      <c r="CM288" s="2505"/>
      <c r="CN288" s="2505"/>
      <c r="CO288" s="2505"/>
      <c r="CP288" s="2505"/>
      <c r="CQ288" s="2527"/>
      <c r="CR288" s="2423"/>
    </row>
    <row r="289" spans="1:96" s="62" customFormat="1" ht="12.75" customHeight="1">
      <c r="A289" s="1314"/>
      <c r="B289" s="1437"/>
      <c r="C289" s="1437"/>
      <c r="D289" s="1437"/>
      <c r="E289" s="1437"/>
      <c r="F289" s="1437"/>
      <c r="G289" s="1437"/>
      <c r="H289" s="1437"/>
      <c r="I289" s="1437"/>
      <c r="J289" s="101"/>
      <c r="K289" s="1532"/>
      <c r="L289" s="1532"/>
      <c r="M289" s="1532"/>
      <c r="N289" s="1532"/>
      <c r="O289" s="1532"/>
      <c r="P289" s="1532"/>
      <c r="Q289" s="1532"/>
      <c r="R289" s="1532"/>
      <c r="S289" s="1532"/>
      <c r="T289" s="1532"/>
      <c r="U289" s="1532"/>
      <c r="V289" s="1532"/>
      <c r="W289" s="1532"/>
      <c r="X289" s="1532"/>
      <c r="Y289" s="1532"/>
      <c r="Z289" s="1532"/>
      <c r="AA289" s="1532"/>
      <c r="AB289" s="1532"/>
      <c r="AC289" s="1532"/>
      <c r="AD289" s="1532"/>
      <c r="AG289" s="2415" t="s">
        <v>5745</v>
      </c>
      <c r="AH289" s="2415"/>
      <c r="AI289" s="2415"/>
      <c r="AJ289" s="2415"/>
      <c r="AK289" s="2415"/>
      <c r="AL289" s="2514"/>
      <c r="AM289" s="2506"/>
      <c r="AN289" s="2506"/>
      <c r="AO289" s="2506"/>
      <c r="AP289" s="2517" t="s">
        <v>5746</v>
      </c>
      <c r="AQ289" s="1721"/>
      <c r="AR289" s="1721"/>
      <c r="AS289" s="1721"/>
      <c r="AT289" s="1722"/>
      <c r="AU289" s="2504"/>
      <c r="AV289" s="1315"/>
      <c r="AW289" s="2418" t="s">
        <v>5745</v>
      </c>
      <c r="AX289" s="2418"/>
      <c r="AY289" s="2418"/>
      <c r="AZ289" s="2418"/>
      <c r="BA289" s="2418"/>
      <c r="BB289" s="2418" t="s">
        <v>5746</v>
      </c>
      <c r="BC289" s="2506"/>
      <c r="BD289" s="2506"/>
      <c r="BE289" s="2504"/>
      <c r="BF289" s="2505"/>
      <c r="BG289" s="2505"/>
      <c r="BH289" s="2505"/>
      <c r="BI289" s="2505"/>
      <c r="BJ289" s="2505"/>
      <c r="BK289" s="495"/>
      <c r="BL289" s="495"/>
      <c r="BM289" s="2415" t="s">
        <v>5745</v>
      </c>
      <c r="BN289" s="2415"/>
      <c r="BO289" s="2415"/>
      <c r="BP289" s="2415"/>
      <c r="BQ289" s="2415"/>
      <c r="BR289" s="2514"/>
      <c r="BS289" s="2506"/>
      <c r="BT289" s="2506"/>
      <c r="BU289" s="2506"/>
      <c r="BV289" s="2517" t="s">
        <v>5746</v>
      </c>
      <c r="BW289" s="1721"/>
      <c r="BX289" s="1721"/>
      <c r="BY289" s="1721"/>
      <c r="BZ289" s="1722"/>
      <c r="CA289" s="2504"/>
      <c r="CB289" s="1315"/>
      <c r="CC289" s="2418" t="s">
        <v>5745</v>
      </c>
      <c r="CD289" s="2418"/>
      <c r="CE289" s="2418"/>
      <c r="CF289" s="2418"/>
      <c r="CG289" s="2418"/>
      <c r="CH289" s="2418" t="s">
        <v>5746</v>
      </c>
      <c r="CI289" s="2506"/>
      <c r="CJ289" s="2506"/>
      <c r="CK289" s="2504"/>
      <c r="CL289" s="2505"/>
      <c r="CM289" s="2505"/>
      <c r="CN289" s="2505"/>
      <c r="CO289" s="2505"/>
      <c r="CP289" s="2505"/>
      <c r="CQ289" s="2527"/>
      <c r="CR289" s="2423"/>
    </row>
    <row r="290" spans="1:96" ht="22.5" customHeight="1" thickBot="1">
      <c r="A290" s="1314"/>
      <c r="B290" s="1437"/>
      <c r="C290" s="1437"/>
      <c r="D290" s="1437"/>
      <c r="E290" s="1437"/>
      <c r="F290" s="1437"/>
      <c r="G290" s="1437"/>
      <c r="H290" s="1437"/>
      <c r="I290" s="1437"/>
      <c r="J290" s="101"/>
      <c r="K290" s="1532"/>
      <c r="L290" s="1532"/>
      <c r="M290" s="1532"/>
      <c r="N290" s="1532"/>
      <c r="O290" s="1532"/>
      <c r="P290" s="1532"/>
      <c r="Q290" s="1532"/>
      <c r="R290" s="1532"/>
      <c r="S290" s="1532"/>
      <c r="T290" s="1532"/>
      <c r="U290" s="1532"/>
      <c r="V290" s="1532"/>
      <c r="W290" s="1532"/>
      <c r="X290" s="1532"/>
      <c r="Y290" s="1532"/>
      <c r="Z290" s="1532"/>
      <c r="AA290" s="1532"/>
      <c r="AB290" s="1532"/>
      <c r="AC290" s="1532"/>
      <c r="AD290" s="1532"/>
      <c r="AG290" s="2162" t="s">
        <v>5752</v>
      </c>
      <c r="AH290" s="2162"/>
      <c r="AI290" s="2162"/>
      <c r="AJ290" s="2162"/>
      <c r="AK290" s="2162"/>
      <c r="AL290" s="2162"/>
      <c r="AM290" s="2162"/>
      <c r="AN290" s="2162"/>
      <c r="AO290" s="2162"/>
      <c r="AP290" s="2162"/>
      <c r="AQ290" s="2162"/>
      <c r="AR290" s="2162"/>
      <c r="AS290" s="2162"/>
      <c r="AT290" s="2162"/>
      <c r="AU290" s="2162"/>
      <c r="AV290" s="2162"/>
      <c r="AW290" s="2162"/>
      <c r="AX290" s="2162"/>
      <c r="AY290" s="2162"/>
      <c r="AZ290" s="2162"/>
      <c r="BA290" s="2162"/>
      <c r="BB290" s="2162"/>
      <c r="BC290" s="2162"/>
      <c r="BD290" s="2162"/>
      <c r="BE290" s="2162"/>
      <c r="BF290" s="2162"/>
      <c r="BG290" s="2162"/>
      <c r="BH290" s="2162"/>
      <c r="BI290" s="2162"/>
      <c r="BJ290" s="2162"/>
      <c r="BM290" s="2162" t="s">
        <v>5752</v>
      </c>
      <c r="BN290" s="2162"/>
      <c r="BO290" s="2162"/>
      <c r="BP290" s="2162"/>
      <c r="BQ290" s="2162"/>
      <c r="BR290" s="2162"/>
      <c r="BS290" s="2162"/>
      <c r="BT290" s="2162"/>
      <c r="BU290" s="2162"/>
      <c r="BV290" s="2162"/>
      <c r="BW290" s="2162"/>
      <c r="BX290" s="2162"/>
      <c r="BY290" s="2162"/>
      <c r="BZ290" s="2162"/>
      <c r="CA290" s="2162"/>
      <c r="CB290" s="2162"/>
      <c r="CC290" s="2162"/>
      <c r="CD290" s="2162"/>
      <c r="CE290" s="2162"/>
      <c r="CF290" s="2162"/>
      <c r="CG290" s="2162"/>
      <c r="CH290" s="2162"/>
      <c r="CI290" s="2162"/>
      <c r="CJ290" s="2162"/>
      <c r="CK290" s="2162"/>
      <c r="CL290" s="2162"/>
      <c r="CM290" s="2162"/>
      <c r="CN290" s="2162"/>
      <c r="CO290" s="2162"/>
      <c r="CP290" s="2162"/>
      <c r="CQ290" s="2527"/>
      <c r="CR290" s="2423"/>
    </row>
    <row r="291" spans="1:96" ht="12.75" customHeight="1" thickTop="1">
      <c r="A291" s="1339" t="s">
        <v>2221</v>
      </c>
      <c r="B291" s="2125"/>
      <c r="C291" s="2125"/>
      <c r="D291" s="2125"/>
      <c r="E291" s="2125"/>
      <c r="F291" s="1851"/>
      <c r="G291" s="1852"/>
      <c r="H291" s="2399">
        <f>SUM(H293:J321)+SUM(S293:U321)+SUM(AB307:AC321)</f>
        <v>132.921875</v>
      </c>
      <c r="I291" s="2400"/>
      <c r="J291" s="2400"/>
      <c r="K291" s="2400"/>
      <c r="L291" s="2401"/>
      <c r="M291"/>
      <c r="N291" s="1339" t="s">
        <v>2235</v>
      </c>
      <c r="O291" s="1344"/>
      <c r="P291" s="1344"/>
      <c r="Q291" s="1344"/>
      <c r="R291" s="1344"/>
      <c r="S291" s="1344"/>
      <c r="T291" s="1344"/>
      <c r="U291" s="1345"/>
      <c r="V291" s="1860">
        <f>-IF(H291&gt;S5,(H291-S5)/(S5*0.2),0)</f>
        <v>0</v>
      </c>
      <c r="W291" s="2398"/>
      <c r="X291" s="2398"/>
      <c r="Y291"/>
      <c r="Z291" s="2188" t="s">
        <v>2203</v>
      </c>
      <c r="AA291" s="2189"/>
      <c r="AB291" s="2189"/>
      <c r="AC291" s="2189"/>
      <c r="AD291" s="431" t="s">
        <v>5217</v>
      </c>
      <c r="AE291" s="2421" t="s">
        <v>5738</v>
      </c>
      <c r="AF291" s="574"/>
      <c r="AG291" s="1760"/>
      <c r="AH291" s="1760"/>
      <c r="AI291" s="1760"/>
      <c r="AJ291" s="1760"/>
      <c r="AK291" s="1760"/>
      <c r="AL291" s="1760"/>
      <c r="AM291" s="1760"/>
      <c r="AN291" s="1760"/>
      <c r="AO291" s="1760"/>
      <c r="AP291" s="1760"/>
      <c r="AQ291" s="1760"/>
      <c r="AR291" s="1760"/>
      <c r="AS291" s="1760"/>
      <c r="AT291" s="1760"/>
      <c r="AU291" s="1760"/>
      <c r="AV291" s="1760"/>
      <c r="AW291" s="1760"/>
      <c r="AX291" s="1760"/>
      <c r="AY291" s="1760"/>
      <c r="AZ291" s="1760"/>
      <c r="BA291" s="1760"/>
      <c r="BB291" s="1760"/>
      <c r="BC291" s="1760"/>
      <c r="BD291" s="1760"/>
      <c r="BE291" s="1760"/>
      <c r="BF291" s="1760"/>
      <c r="BG291" s="1760"/>
      <c r="BH291" s="1760"/>
      <c r="BI291" s="1760"/>
      <c r="BJ291" s="1760"/>
      <c r="BM291" s="1760"/>
      <c r="BN291" s="1760"/>
      <c r="BO291" s="1760"/>
      <c r="BP291" s="1760"/>
      <c r="BQ291" s="1760"/>
      <c r="BR291" s="1760"/>
      <c r="BS291" s="1760"/>
      <c r="BT291" s="1760"/>
      <c r="BU291" s="1760"/>
      <c r="BV291" s="1760"/>
      <c r="BW291" s="1760"/>
      <c r="BX291" s="1760"/>
      <c r="BY291" s="1760"/>
      <c r="BZ291" s="1760"/>
      <c r="CA291" s="1760"/>
      <c r="CB291" s="1760"/>
      <c r="CC291" s="1760"/>
      <c r="CD291" s="1760"/>
      <c r="CE291" s="1760"/>
      <c r="CF291" s="1760"/>
      <c r="CG291" s="1760"/>
      <c r="CH291" s="1760"/>
      <c r="CI291" s="1760"/>
      <c r="CJ291" s="1760"/>
      <c r="CK291" s="1760"/>
      <c r="CL291" s="1760"/>
      <c r="CM291" s="1760"/>
      <c r="CN291" s="1760"/>
      <c r="CO291" s="1760"/>
      <c r="CP291" s="1760"/>
      <c r="CQ291" s="2527"/>
      <c r="CR291" s="2423"/>
    </row>
    <row r="292" spans="1:96" ht="12.75" customHeight="1">
      <c r="A292" s="1339" t="s">
        <v>2742</v>
      </c>
      <c r="B292" s="2125"/>
      <c r="C292" s="2125"/>
      <c r="D292" s="2125"/>
      <c r="E292" s="2125"/>
      <c r="F292" s="2125"/>
      <c r="G292" s="2126"/>
      <c r="H292" s="1400" t="s">
        <v>3977</v>
      </c>
      <c r="I292" s="1400"/>
      <c r="J292" s="1400"/>
      <c r="K292" s="1380" t="s">
        <v>5217</v>
      </c>
      <c r="L292" s="1396"/>
      <c r="M292"/>
      <c r="N292" s="1339" t="s">
        <v>2742</v>
      </c>
      <c r="O292" s="1344"/>
      <c r="P292" s="1344"/>
      <c r="Q292" s="1344"/>
      <c r="R292" s="1345"/>
      <c r="S292" s="1400" t="s">
        <v>3977</v>
      </c>
      <c r="T292" s="1400"/>
      <c r="U292" s="1400"/>
      <c r="V292" s="1400" t="s">
        <v>5217</v>
      </c>
      <c r="W292" s="1400"/>
      <c r="X292" s="1400"/>
      <c r="Y292"/>
      <c r="Z292" s="1798" t="str">
        <f>IF(VLOOKUP(Funds!L32,Possessions!$B$2:$E$36,2)=0," ",VLOOKUP(Funds!L32,Possessions!$B$2:$E$36,2))</f>
        <v>Cloak</v>
      </c>
      <c r="AA292" s="1799"/>
      <c r="AB292" s="1800"/>
      <c r="AC292" s="426" t="str">
        <f>IF(Z292=" "," ",Funds!M32)</f>
        <v>A</v>
      </c>
      <c r="AD292" s="432">
        <f>IF(Z292=" "," ",Funds!N32)</f>
        <v>36</v>
      </c>
      <c r="AE292" s="2421"/>
      <c r="AG292" s="1760"/>
      <c r="AH292" s="1760"/>
      <c r="AI292" s="1760"/>
      <c r="AJ292" s="1760"/>
      <c r="AK292" s="1760"/>
      <c r="AL292" s="1760"/>
      <c r="AM292" s="1760"/>
      <c r="AN292" s="1760"/>
      <c r="AO292" s="1760"/>
      <c r="AP292" s="1760"/>
      <c r="AQ292" s="1760"/>
      <c r="AR292" s="1760"/>
      <c r="AS292" s="1760"/>
      <c r="AT292" s="1760"/>
      <c r="AU292" s="1760"/>
      <c r="AV292" s="1760"/>
      <c r="AW292" s="1760"/>
      <c r="AX292" s="1760"/>
      <c r="AY292" s="1760"/>
      <c r="AZ292" s="1760"/>
      <c r="BA292" s="1760"/>
      <c r="BB292" s="1760"/>
      <c r="BC292" s="1760"/>
      <c r="BD292" s="1760"/>
      <c r="BE292" s="1760"/>
      <c r="BF292" s="1760"/>
      <c r="BG292" s="1760"/>
      <c r="BH292" s="1760"/>
      <c r="BI292" s="1760"/>
      <c r="BJ292" s="1760"/>
      <c r="BM292" s="1760"/>
      <c r="BN292" s="1760"/>
      <c r="BO292" s="1760"/>
      <c r="BP292" s="1760"/>
      <c r="BQ292" s="1760"/>
      <c r="BR292" s="1760"/>
      <c r="BS292" s="1760"/>
      <c r="BT292" s="1760"/>
      <c r="BU292" s="1760"/>
      <c r="BV292" s="1760"/>
      <c r="BW292" s="1760"/>
      <c r="BX292" s="1760"/>
      <c r="BY292" s="1760"/>
      <c r="BZ292" s="1760"/>
      <c r="CA292" s="1760"/>
      <c r="CB292" s="1760"/>
      <c r="CC292" s="1760"/>
      <c r="CD292" s="1760"/>
      <c r="CE292" s="1760"/>
      <c r="CF292" s="1760"/>
      <c r="CG292" s="1760"/>
      <c r="CH292" s="1760"/>
      <c r="CI292" s="1760"/>
      <c r="CJ292" s="1760"/>
      <c r="CK292" s="1760"/>
      <c r="CL292" s="1760"/>
      <c r="CM292" s="1760"/>
      <c r="CN292" s="1760"/>
      <c r="CO292" s="1760"/>
      <c r="CP292" s="1760"/>
      <c r="CQ292" s="2527"/>
      <c r="CR292" s="2423"/>
    </row>
    <row r="293" spans="1:96" ht="12.75" customHeight="1">
      <c r="A293" s="1760" t="str">
        <f>(VLOOKUP(Combat!F236,Combat!$BQ$5:$BS$71,2))</f>
        <v>Dagger</v>
      </c>
      <c r="B293" s="1760"/>
      <c r="C293" s="1760"/>
      <c r="D293" s="1760"/>
      <c r="E293" s="1760"/>
      <c r="F293" s="1760"/>
      <c r="G293" s="1760"/>
      <c r="H293" s="1865">
        <f>VLOOKUP((VLOOKUP(Combat!F236,Combat!$BQ$5:$BS$71,3)),Combat!$A$2:$Y$86,7)</f>
        <v>0.5</v>
      </c>
      <c r="I293" s="1865"/>
      <c r="J293" s="1865"/>
      <c r="K293" s="1318">
        <f>VLOOKUP((VLOOKUP(Combat!F236,Combat!$BQ$5:$BS$71,3)),Combat!$A$2:$Y$86,9)</f>
        <v>432</v>
      </c>
      <c r="L293" s="1421"/>
      <c r="M293"/>
      <c r="N293" s="1355" t="str">
        <f>IF(VLOOKUP(Funds!L16,Possessions!$X$187:$AF$189,2)=0," ",VLOOKUP(Funds!L16,Possessions!$X$187:$AF$189,2))</f>
        <v>Backpack (25 lbs. Capacity)</v>
      </c>
      <c r="O293" s="1797"/>
      <c r="P293" s="1797"/>
      <c r="Q293" s="1797"/>
      <c r="R293" s="1797"/>
      <c r="S293" s="1865">
        <f>VLOOKUP(Funds!L16,Possessions!$X$187:$AF$189,5)</f>
        <v>2</v>
      </c>
      <c r="T293" s="1865"/>
      <c r="U293" s="1865"/>
      <c r="V293" s="1546">
        <f>VLOOKUP(Funds!L16,Possessions!$X$187:$AF$189,7)</f>
        <v>8</v>
      </c>
      <c r="W293" s="1546"/>
      <c r="X293" s="1546"/>
      <c r="Y293"/>
      <c r="Z293" s="1805" t="str">
        <f>IF(VLOOKUP(Funds!L33,Possessions!$B$2:$E$36,2)=0," ",VLOOKUP(Funds!L33,Possessions!$B$2:$E$36,2))</f>
        <v>Tunic</v>
      </c>
      <c r="AA293" s="1806"/>
      <c r="AB293" s="1807"/>
      <c r="AC293" s="427" t="str">
        <f>IF(Z293=" "," ",Funds!M33)</f>
        <v>A</v>
      </c>
      <c r="AD293" s="433">
        <f>IF(Z293=" "," ",Funds!N33)</f>
        <v>24</v>
      </c>
      <c r="AE293" s="2421"/>
      <c r="AG293" s="1760"/>
      <c r="AH293" s="1760"/>
      <c r="AI293" s="1760"/>
      <c r="AJ293" s="1760"/>
      <c r="AK293" s="1760"/>
      <c r="AL293" s="1760"/>
      <c r="AM293" s="1760"/>
      <c r="AN293" s="1760"/>
      <c r="AO293" s="1760"/>
      <c r="AP293" s="1760"/>
      <c r="AQ293" s="1760"/>
      <c r="AR293" s="1760"/>
      <c r="AS293" s="1760"/>
      <c r="AT293" s="1760"/>
      <c r="AU293" s="1760"/>
      <c r="AV293" s="1760"/>
      <c r="AW293" s="1760"/>
      <c r="AX293" s="1760"/>
      <c r="AY293" s="1760"/>
      <c r="AZ293" s="1760"/>
      <c r="BA293" s="1760"/>
      <c r="BB293" s="1760"/>
      <c r="BC293" s="1760"/>
      <c r="BD293" s="1760"/>
      <c r="BE293" s="1760"/>
      <c r="BF293" s="1760"/>
      <c r="BG293" s="1760"/>
      <c r="BH293" s="1760"/>
      <c r="BI293" s="1760"/>
      <c r="BJ293" s="1760"/>
      <c r="BM293" s="1760"/>
      <c r="BN293" s="1760"/>
      <c r="BO293" s="1760"/>
      <c r="BP293" s="1760"/>
      <c r="BQ293" s="1760"/>
      <c r="BR293" s="1760"/>
      <c r="BS293" s="1760"/>
      <c r="BT293" s="1760"/>
      <c r="BU293" s="1760"/>
      <c r="BV293" s="1760"/>
      <c r="BW293" s="1760"/>
      <c r="BX293" s="1760"/>
      <c r="BY293" s="1760"/>
      <c r="BZ293" s="1760"/>
      <c r="CA293" s="1760"/>
      <c r="CB293" s="1760"/>
      <c r="CC293" s="1760"/>
      <c r="CD293" s="1760"/>
      <c r="CE293" s="1760"/>
      <c r="CF293" s="1760"/>
      <c r="CG293" s="1760"/>
      <c r="CH293" s="1760"/>
      <c r="CI293" s="1760"/>
      <c r="CJ293" s="1760"/>
      <c r="CK293" s="1760"/>
      <c r="CL293" s="1760"/>
      <c r="CM293" s="1760"/>
      <c r="CN293" s="1760"/>
      <c r="CO293" s="1760"/>
      <c r="CP293" s="1760"/>
      <c r="CQ293" s="2527"/>
      <c r="CR293" s="2423"/>
    </row>
    <row r="294" spans="1:96" ht="12.75" customHeight="1">
      <c r="A294" s="1788" t="str">
        <f>(VLOOKUP(Combat!F237,Combat!$BQ$5:$BS$71,2))</f>
        <v>Quarterstaff</v>
      </c>
      <c r="B294" s="1788"/>
      <c r="C294" s="1788"/>
      <c r="D294" s="1788"/>
      <c r="E294" s="1788"/>
      <c r="F294" s="1788"/>
      <c r="G294" s="1788"/>
      <c r="H294" s="1795">
        <f>VLOOKUP((VLOOKUP(Combat!F237,Combat!$BQ$5:$BS$71,3)),Combat!$A$2:$Y$86,7)</f>
        <v>3</v>
      </c>
      <c r="I294" s="1795"/>
      <c r="J294" s="1795"/>
      <c r="K294" s="1411">
        <f>VLOOKUP((VLOOKUP(Combat!F237,Combat!$BQ$5:$BS$71,3)),Combat!$A$2:$Y$86,9)</f>
        <v>0</v>
      </c>
      <c r="L294" s="1772"/>
      <c r="M294"/>
      <c r="N294" s="1796" t="str">
        <f>IF(VLOOKUP(Funds!L17,Possessions!$X$190:$AF$199,2)=0," ",VLOOKUP(Funds!L17,Possessions!$X$190:$AF$199,2))</f>
        <v>Waterskin (1 Gal.)</v>
      </c>
      <c r="O294" s="2190"/>
      <c r="P294" s="2190"/>
      <c r="Q294" s="2190"/>
      <c r="R294" s="2190"/>
      <c r="S294" s="2191">
        <f>VLOOKUP(Funds!L17,Possessions!$X$190:$AF$199,5)</f>
        <v>8.5</v>
      </c>
      <c r="T294" s="2192"/>
      <c r="U294" s="2193"/>
      <c r="V294" s="1363">
        <f>VLOOKUP(Funds!L17,Possessions!$X$190:$AF$199,7)</f>
        <v>2</v>
      </c>
      <c r="W294" s="1363"/>
      <c r="X294" s="1363"/>
      <c r="Y294"/>
      <c r="Z294" s="1798" t="str">
        <f>IF(VLOOKUP(Funds!L34,Possessions!$B$2:$E$36,2)=0," ",VLOOKUP(Funds!L34,Possessions!$B$2:$E$36,2))</f>
        <v>Shirt</v>
      </c>
      <c r="AA294" s="1799"/>
      <c r="AB294" s="1800"/>
      <c r="AC294" s="426" t="str">
        <f>IF(Z294=" "," ",Funds!M34)</f>
        <v>A</v>
      </c>
      <c r="AD294" s="432">
        <f>IF(Z294=" "," ",Funds!N34)</f>
        <v>12</v>
      </c>
      <c r="AE294" s="2421"/>
      <c r="AG294" s="1760"/>
      <c r="AH294" s="1760"/>
      <c r="AI294" s="1760"/>
      <c r="AJ294" s="1760"/>
      <c r="AK294" s="1760"/>
      <c r="AL294" s="1760"/>
      <c r="AM294" s="1760"/>
      <c r="AN294" s="1760"/>
      <c r="AO294" s="1760"/>
      <c r="AP294" s="1760"/>
      <c r="AQ294" s="1760"/>
      <c r="AR294" s="1760"/>
      <c r="AS294" s="1760"/>
      <c r="AT294" s="1760"/>
      <c r="AU294" s="1760"/>
      <c r="AV294" s="1760"/>
      <c r="AW294" s="1760"/>
      <c r="AX294" s="1760"/>
      <c r="AY294" s="1760"/>
      <c r="AZ294" s="1760"/>
      <c r="BA294" s="1760"/>
      <c r="BB294" s="1760"/>
      <c r="BC294" s="1760"/>
      <c r="BD294" s="1760"/>
      <c r="BE294" s="1760"/>
      <c r="BF294" s="1760"/>
      <c r="BG294" s="1760"/>
      <c r="BH294" s="1760"/>
      <c r="BI294" s="1760"/>
      <c r="BJ294" s="1760"/>
      <c r="BM294" s="1760"/>
      <c r="BN294" s="1760"/>
      <c r="BO294" s="1760"/>
      <c r="BP294" s="1760"/>
      <c r="BQ294" s="1760"/>
      <c r="BR294" s="1760"/>
      <c r="BS294" s="1760"/>
      <c r="BT294" s="1760"/>
      <c r="BU294" s="1760"/>
      <c r="BV294" s="1760"/>
      <c r="BW294" s="1760"/>
      <c r="BX294" s="1760"/>
      <c r="BY294" s="1760"/>
      <c r="BZ294" s="1760"/>
      <c r="CA294" s="1760"/>
      <c r="CB294" s="1760"/>
      <c r="CC294" s="1760"/>
      <c r="CD294" s="1760"/>
      <c r="CE294" s="1760"/>
      <c r="CF294" s="1760"/>
      <c r="CG294" s="1760"/>
      <c r="CH294" s="1760"/>
      <c r="CI294" s="1760"/>
      <c r="CJ294" s="1760"/>
      <c r="CK294" s="1760"/>
      <c r="CL294" s="1760"/>
      <c r="CM294" s="1760"/>
      <c r="CN294" s="1760"/>
      <c r="CO294" s="1760"/>
      <c r="CP294" s="1760"/>
      <c r="CQ294" s="2527"/>
      <c r="CR294" s="2423"/>
    </row>
    <row r="295" spans="1:96" ht="12.75" customHeight="1">
      <c r="A295" s="1760" t="str">
        <f>(VLOOKUP(Combat!F238,Combat!$BQ$5:$BS$71,2))</f>
        <v>Infantry Spear</v>
      </c>
      <c r="B295" s="1760"/>
      <c r="C295" s="1760"/>
      <c r="D295" s="1760"/>
      <c r="E295" s="1760"/>
      <c r="F295" s="1760"/>
      <c r="G295" s="1760"/>
      <c r="H295" s="1865">
        <f>VLOOKUP((VLOOKUP(Combat!F238,Combat!$BQ$5:$BS$71,3)),Combat!$A$2:$Y$86,7)</f>
        <v>0</v>
      </c>
      <c r="I295" s="1865"/>
      <c r="J295" s="1865"/>
      <c r="K295" s="1318">
        <f>VLOOKUP((VLOOKUP(Combat!F238,Combat!$BQ$5:$BS$71,3)),Combat!$A$2:$Y$86,9)</f>
        <v>0</v>
      </c>
      <c r="L295" s="1421"/>
      <c r="M295"/>
      <c r="N295" s="1745" t="str">
        <f>IF(VLOOKUP(Funds!L18,Possessions!$X$190:$AF$199,2)=0," ",VLOOKUP(Funds!L18,Possessions!$X$190:$AF$199,2))</f>
        <v>Leather Bucket (5 Gal.)</v>
      </c>
      <c r="O295" s="1820"/>
      <c r="P295" s="1820"/>
      <c r="Q295" s="1820"/>
      <c r="R295" s="1820"/>
      <c r="S295" s="1833">
        <f>VLOOKUP(Funds!L18,Possessions!$X$190:$AF$199,5)</f>
        <v>1</v>
      </c>
      <c r="T295" s="1834"/>
      <c r="U295" s="1835"/>
      <c r="V295" s="1546">
        <f>VLOOKUP(Funds!L18,Possessions!$X$190:$AF$199,7)</f>
        <v>3</v>
      </c>
      <c r="W295" s="1546"/>
      <c r="X295" s="1546"/>
      <c r="Y295"/>
      <c r="Z295" s="1805" t="str">
        <f>IF(VLOOKUP(Funds!L35,Possessions!$B$2:$E$36,2)=0," ",VLOOKUP(Funds!L35,Possessions!$B$2:$E$36,2))</f>
        <v>Trews</v>
      </c>
      <c r="AA295" s="1806"/>
      <c r="AB295" s="1807"/>
      <c r="AC295" s="427" t="str">
        <f>IF(Z295=" "," ",Funds!M35)</f>
        <v>A</v>
      </c>
      <c r="AD295" s="433">
        <f>IF(Z295=" "," ",Funds!N35)</f>
        <v>25</v>
      </c>
      <c r="AE295" s="2421"/>
      <c r="AG295" s="1400" t="s">
        <v>5747</v>
      </c>
      <c r="AH295" s="1400"/>
      <c r="AI295" s="1400"/>
      <c r="AJ295" s="1400"/>
      <c r="AK295" s="1400"/>
      <c r="AL295" s="1400"/>
      <c r="AM295" s="1400"/>
      <c r="AN295" s="1400"/>
      <c r="AO295" s="1400"/>
      <c r="AP295" s="1400"/>
      <c r="AQ295" s="1400"/>
      <c r="AR295" s="1400"/>
      <c r="AS295" s="1400"/>
      <c r="AT295" s="1317"/>
      <c r="AU295" s="1317"/>
      <c r="AV295" s="1317"/>
      <c r="AW295" s="1317"/>
      <c r="AX295" s="1317"/>
      <c r="AY295" s="1317"/>
      <c r="AZ295" s="1317"/>
      <c r="BA295" s="1317"/>
      <c r="BB295" s="1317"/>
      <c r="BC295" s="1317"/>
      <c r="BD295" s="1317"/>
      <c r="BE295" s="1317"/>
      <c r="BF295" s="1317"/>
      <c r="BG295" s="1317"/>
      <c r="BH295" s="1317"/>
      <c r="BI295" s="1317"/>
      <c r="BJ295" s="1317"/>
      <c r="BM295" s="1400" t="s">
        <v>5747</v>
      </c>
      <c r="BN295" s="1400"/>
      <c r="BO295" s="1400"/>
      <c r="BP295" s="1400"/>
      <c r="BQ295" s="1400"/>
      <c r="BR295" s="1400"/>
      <c r="BS295" s="1400"/>
      <c r="BT295" s="1400"/>
      <c r="BU295" s="1400"/>
      <c r="BV295" s="1400"/>
      <c r="BW295" s="1400"/>
      <c r="BX295" s="1400"/>
      <c r="BY295" s="1400"/>
      <c r="BZ295" s="1317"/>
      <c r="CA295" s="1317"/>
      <c r="CB295" s="1317"/>
      <c r="CC295" s="1317"/>
      <c r="CD295" s="1317"/>
      <c r="CE295" s="1317"/>
      <c r="CF295" s="1317"/>
      <c r="CG295" s="1317"/>
      <c r="CH295" s="1317"/>
      <c r="CI295" s="1317"/>
      <c r="CJ295" s="1317"/>
      <c r="CK295" s="1317"/>
      <c r="CL295" s="1317"/>
      <c r="CM295" s="1317"/>
      <c r="CN295" s="1317"/>
      <c r="CO295" s="1317"/>
      <c r="CP295" s="1317"/>
      <c r="CQ295" s="2527"/>
      <c r="CR295" s="2423"/>
    </row>
    <row r="296" spans="1:96" ht="12.75" customHeight="1">
      <c r="A296" s="1788" t="str">
        <f>(VLOOKUP(Combat!F239,Combat!$BQ$5:$BS$71,2))</f>
        <v>Sword: Saex</v>
      </c>
      <c r="B296" s="1788"/>
      <c r="C296" s="1788"/>
      <c r="D296" s="1788"/>
      <c r="E296" s="1788"/>
      <c r="F296" s="1788"/>
      <c r="G296" s="1788"/>
      <c r="H296" s="1795">
        <f>VLOOKUP((VLOOKUP(Combat!F239,Combat!$BQ$5:$BS$71,3)),Combat!$A$2:$Y$86,7)</f>
        <v>0</v>
      </c>
      <c r="I296" s="1795"/>
      <c r="J296" s="1795"/>
      <c r="K296" s="1411">
        <f>VLOOKUP((VLOOKUP(Combat!F239,Combat!$BQ$5:$BS$71,3)),Combat!$A$2:$Y$86,9)</f>
        <v>0</v>
      </c>
      <c r="L296" s="1772"/>
      <c r="M296"/>
      <c r="N296" s="1796" t="str">
        <f>IF(VLOOKUP(Funds!L19,Possessions!$X$200:$AF$205,2)=0," ",VLOOKUP(Funds!L19,Possessions!X$200:$AF$205,2))</f>
        <v>Leather Tent (2 man)</v>
      </c>
      <c r="O296" s="1797"/>
      <c r="P296" s="1797"/>
      <c r="Q296" s="1797"/>
      <c r="R296" s="1797"/>
      <c r="S296" s="2191">
        <f>VLOOKUP(Funds!L19,Possessions!$X$200:$AF$205,5)</f>
        <v>30</v>
      </c>
      <c r="T296" s="2192"/>
      <c r="U296" s="2193"/>
      <c r="V296" s="1363">
        <f>VLOOKUP(Funds!L19,Possessions!$X$200:$AF$205,7)</f>
        <v>48</v>
      </c>
      <c r="W296" s="1363"/>
      <c r="X296" s="1363"/>
      <c r="Y296"/>
      <c r="Z296" s="1798" t="str">
        <f>IF(VLOOKUP(Funds!L36,Possessions!$B$2:$E$36,2)=0," ",VLOOKUP(Funds!L36,Possessions!$B$2:$E$36,2))</f>
        <v>Jerkin</v>
      </c>
      <c r="AA296" s="1799"/>
      <c r="AB296" s="1800"/>
      <c r="AC296" s="426" t="str">
        <f>IF(Z296=" "," ",Funds!M36)</f>
        <v>A</v>
      </c>
      <c r="AD296" s="432">
        <f>IF(Z296=" "," ",Funds!N36)</f>
        <v>20</v>
      </c>
      <c r="AE296" s="2421"/>
      <c r="AG296" s="2523"/>
      <c r="AH296" s="2524"/>
      <c r="AI296" s="2524"/>
      <c r="AJ296" s="2524"/>
      <c r="AK296" s="2524"/>
      <c r="AL296" s="2524"/>
      <c r="AM296" s="2524"/>
      <c r="AN296" s="2524"/>
      <c r="AO296" s="2524"/>
      <c r="AP296" s="2524"/>
      <c r="AQ296" s="2524"/>
      <c r="AR296" s="2524"/>
      <c r="AS296" s="2524"/>
      <c r="AT296" s="2524"/>
      <c r="AU296" s="2524"/>
      <c r="AV296" s="2524"/>
      <c r="AW296" s="2524"/>
      <c r="AX296" s="2524"/>
      <c r="AY296" s="2524"/>
      <c r="AZ296" s="2524"/>
      <c r="BA296" s="2524"/>
      <c r="BB296" s="2524"/>
      <c r="BC296" s="2524"/>
      <c r="BD296" s="2524"/>
      <c r="BE296" s="2524"/>
      <c r="BF296" s="2524"/>
      <c r="BG296" s="2524"/>
      <c r="BH296" s="2524"/>
      <c r="BI296" s="2524"/>
      <c r="BJ296" s="2525"/>
      <c r="BM296" s="2523"/>
      <c r="BN296" s="2524"/>
      <c r="BO296" s="2524"/>
      <c r="BP296" s="2524"/>
      <c r="BQ296" s="2524"/>
      <c r="BR296" s="2524"/>
      <c r="BS296" s="2524"/>
      <c r="BT296" s="2524"/>
      <c r="BU296" s="2524"/>
      <c r="BV296" s="2524"/>
      <c r="BW296" s="2524"/>
      <c r="BX296" s="2524"/>
      <c r="BY296" s="2524"/>
      <c r="BZ296" s="2524"/>
      <c r="CA296" s="2524"/>
      <c r="CB296" s="2524"/>
      <c r="CC296" s="2524"/>
      <c r="CD296" s="2524"/>
      <c r="CE296" s="2524"/>
      <c r="CF296" s="2524"/>
      <c r="CG296" s="2524"/>
      <c r="CH296" s="2524"/>
      <c r="CI296" s="2524"/>
      <c r="CJ296" s="2524"/>
      <c r="CK296" s="2524"/>
      <c r="CL296" s="2524"/>
      <c r="CM296" s="2524"/>
      <c r="CN296" s="2524"/>
      <c r="CO296" s="2524"/>
      <c r="CP296" s="2525"/>
      <c r="CQ296" s="2527"/>
      <c r="CR296" s="2423"/>
    </row>
    <row r="297" spans="1:96" ht="12.75" customHeight="1">
      <c r="A297" s="1760" t="str">
        <f>(VLOOKUP(Combat!F246,Combat!$BQ$5:$CA$32,6))</f>
        <v>Target, Wood</v>
      </c>
      <c r="B297" s="1760"/>
      <c r="C297" s="1760"/>
      <c r="D297" s="1760"/>
      <c r="E297" s="1760"/>
      <c r="F297" s="1760"/>
      <c r="G297" s="1760"/>
      <c r="H297" s="1865">
        <f>VLOOKUP((VLOOKUP(Combat!F246,Combat!$BQ$5:$CA$32,7)),Combat!$A$156:$AI$171,7)</f>
        <v>0</v>
      </c>
      <c r="I297" s="1865"/>
      <c r="J297" s="1865"/>
      <c r="K297" s="1318">
        <f>VLOOKUP((VLOOKUP(Combat!F246,Combat!$BQ$5:$CA$32,7)),Combat!$A$156:$AI$171,9)</f>
        <v>0</v>
      </c>
      <c r="L297" s="1421"/>
      <c r="M297"/>
      <c r="N297" s="1358" t="str">
        <f>IF(VLOOKUP(Funds!L20,Possessions!$X$176:$AF$186,2)=0," ",VLOOKUP(Funds!L20,Possessions!X$176:$AF$186,2))</f>
        <v>4'x6' Ground Sheet</v>
      </c>
      <c r="O297" s="2270"/>
      <c r="P297" s="2270"/>
      <c r="Q297" s="2270"/>
      <c r="R297" s="2271"/>
      <c r="S297" s="2069">
        <f>VLOOKUP(Funds!L20,Possessions!$X$176:$AF$186,5)</f>
        <v>2</v>
      </c>
      <c r="T297" s="2070"/>
      <c r="U297" s="2071"/>
      <c r="V297" s="1438">
        <f>VLOOKUP(Funds!L20,Possessions!$X$176:$AF$186,7)</f>
        <v>0</v>
      </c>
      <c r="W297" s="1440"/>
      <c r="X297" s="1439"/>
      <c r="Y297"/>
      <c r="Z297" s="1805" t="str">
        <f>IF(VLOOKUP(Funds!L37,Possessions!$B$2:$E$36,2)=0," ",VLOOKUP(Funds!L37,Possessions!$B$2:$E$36,2))</f>
        <v>Tabard</v>
      </c>
      <c r="AA297" s="1806"/>
      <c r="AB297" s="1807"/>
      <c r="AC297" s="427" t="str">
        <f>IF(Z297=" "," ",Funds!M37)</f>
        <v>A</v>
      </c>
      <c r="AD297" s="433">
        <f>IF(Z297=" "," ",Funds!N37)</f>
        <v>5</v>
      </c>
      <c r="AE297" s="2421"/>
      <c r="AG297" s="1323"/>
      <c r="AH297" s="1441"/>
      <c r="AI297" s="1441"/>
      <c r="AJ297" s="1441"/>
      <c r="AK297" s="1441"/>
      <c r="AL297" s="1441"/>
      <c r="AM297" s="1441"/>
      <c r="AN297" s="1441"/>
      <c r="AO297" s="1441"/>
      <c r="AP297" s="1441"/>
      <c r="AQ297" s="1441"/>
      <c r="AR297" s="1441"/>
      <c r="AS297" s="1441"/>
      <c r="AT297" s="1441"/>
      <c r="AU297" s="1441"/>
      <c r="AV297" s="1441"/>
      <c r="AW297" s="1441"/>
      <c r="AX297" s="1441"/>
      <c r="AY297" s="1441"/>
      <c r="AZ297" s="1441"/>
      <c r="BA297" s="1441"/>
      <c r="BB297" s="1441"/>
      <c r="BC297" s="1441"/>
      <c r="BD297" s="1441"/>
      <c r="BE297" s="1441"/>
      <c r="BF297" s="1441"/>
      <c r="BG297" s="1441"/>
      <c r="BH297" s="1441"/>
      <c r="BI297" s="1441"/>
      <c r="BJ297" s="1442"/>
      <c r="BM297" s="1323"/>
      <c r="BN297" s="1441"/>
      <c r="BO297" s="1441"/>
      <c r="BP297" s="1441"/>
      <c r="BQ297" s="1441"/>
      <c r="BR297" s="1441"/>
      <c r="BS297" s="1441"/>
      <c r="BT297" s="1441"/>
      <c r="BU297" s="1441"/>
      <c r="BV297" s="1441"/>
      <c r="BW297" s="1441"/>
      <c r="BX297" s="1441"/>
      <c r="BY297" s="1441"/>
      <c r="BZ297" s="1441"/>
      <c r="CA297" s="1441"/>
      <c r="CB297" s="1441"/>
      <c r="CC297" s="1441"/>
      <c r="CD297" s="1441"/>
      <c r="CE297" s="1441"/>
      <c r="CF297" s="1441"/>
      <c r="CG297" s="1441"/>
      <c r="CH297" s="1441"/>
      <c r="CI297" s="1441"/>
      <c r="CJ297" s="1441"/>
      <c r="CK297" s="1441"/>
      <c r="CL297" s="1441"/>
      <c r="CM297" s="1441"/>
      <c r="CN297" s="1441"/>
      <c r="CO297" s="1441"/>
      <c r="CP297" s="1442"/>
      <c r="CQ297" s="2527"/>
      <c r="CR297" s="2423"/>
    </row>
    <row r="298" spans="1:96" ht="12.75" customHeight="1">
      <c r="A298" s="1369" t="str">
        <f>(VLOOKUP($AE$52,Combat!$BQ$5:$BU$71,4))</f>
        <v>Longbow</v>
      </c>
      <c r="B298" s="1738"/>
      <c r="C298" s="1738"/>
      <c r="D298" s="1738"/>
      <c r="E298" s="1738"/>
      <c r="F298" s="1738"/>
      <c r="G298" s="1739"/>
      <c r="H298" s="2191">
        <f>VLOOKUP((VLOOKUP($AE$52,Combat!$BQ$5:$CA$32,5)),Combat!$A$2:$AU$150,7)</f>
        <v>2.5</v>
      </c>
      <c r="I298" s="2192"/>
      <c r="J298" s="2193"/>
      <c r="K298" s="1411">
        <f>VLOOKUP((VLOOKUP($AE$52,Combat!$BQ$5:$CA$32,5)),Combat!$A$2:$AU$150,9)</f>
        <v>1440</v>
      </c>
      <c r="L298" s="1772"/>
      <c r="M298"/>
      <c r="N298" s="1796" t="str">
        <f>IF(VLOOKUP(Funds!L21,Possessions!$X$176:$AF$186,2)=0," ",VLOOKUP(Funds!L21,Possessions!X$176:$AF$186,2))</f>
        <v>Linen Sheet</v>
      </c>
      <c r="O298" s="1797"/>
      <c r="P298" s="1797"/>
      <c r="Q298" s="1797"/>
      <c r="R298" s="1797"/>
      <c r="S298" s="1795">
        <f>VLOOKUP(Funds!L21,Possessions!$X$176:$AF$186,5)</f>
        <v>1.5</v>
      </c>
      <c r="T298" s="1795"/>
      <c r="U298" s="1795"/>
      <c r="V298" s="1363">
        <f>VLOOKUP(Funds!L21,Possessions!$X$176:$AF$186,7)</f>
        <v>16</v>
      </c>
      <c r="W298" s="1363"/>
      <c r="X298" s="1363"/>
      <c r="Y298"/>
      <c r="Z298" s="1798" t="str">
        <f>IF(VLOOKUP(Funds!L38,Possessions!$B$2:$E$36,2)=0," ",VLOOKUP(Funds!L38,Possessions!$B$2:$E$36,2))</f>
        <v>Gloves</v>
      </c>
      <c r="AA298" s="1799"/>
      <c r="AB298" s="1800"/>
      <c r="AC298" s="426" t="str">
        <f>IF(Z298=" "," ",Funds!M38)</f>
        <v>A</v>
      </c>
      <c r="AD298" s="432">
        <f>IF(Z298=" "," ",Funds!N38)</f>
        <v>12</v>
      </c>
      <c r="AE298" s="2421"/>
      <c r="AG298" s="1323"/>
      <c r="AH298" s="1441"/>
      <c r="AI298" s="1441"/>
      <c r="AJ298" s="1441"/>
      <c r="AK298" s="1441"/>
      <c r="AL298" s="1441"/>
      <c r="AM298" s="1441"/>
      <c r="AN298" s="1441"/>
      <c r="AO298" s="1441"/>
      <c r="AP298" s="1441"/>
      <c r="AQ298" s="1441"/>
      <c r="AR298" s="1441"/>
      <c r="AS298" s="1441"/>
      <c r="AT298" s="1441"/>
      <c r="AU298" s="1441"/>
      <c r="AV298" s="1441"/>
      <c r="AW298" s="1441"/>
      <c r="AX298" s="1441"/>
      <c r="AY298" s="1441"/>
      <c r="AZ298" s="1441"/>
      <c r="BA298" s="1441"/>
      <c r="BB298" s="1441"/>
      <c r="BC298" s="1441"/>
      <c r="BD298" s="1441"/>
      <c r="BE298" s="1441"/>
      <c r="BF298" s="1441"/>
      <c r="BG298" s="1441"/>
      <c r="BH298" s="1441"/>
      <c r="BI298" s="1441"/>
      <c r="BJ298" s="1442"/>
      <c r="BM298" s="1323"/>
      <c r="BN298" s="1441"/>
      <c r="BO298" s="1441"/>
      <c r="BP298" s="1441"/>
      <c r="BQ298" s="1441"/>
      <c r="BR298" s="1441"/>
      <c r="BS298" s="1441"/>
      <c r="BT298" s="1441"/>
      <c r="BU298" s="1441"/>
      <c r="BV298" s="1441"/>
      <c r="BW298" s="1441"/>
      <c r="BX298" s="1441"/>
      <c r="BY298" s="1441"/>
      <c r="BZ298" s="1441"/>
      <c r="CA298" s="1441"/>
      <c r="CB298" s="1441"/>
      <c r="CC298" s="1441"/>
      <c r="CD298" s="1441"/>
      <c r="CE298" s="1441"/>
      <c r="CF298" s="1441"/>
      <c r="CG298" s="1441"/>
      <c r="CH298" s="1441"/>
      <c r="CI298" s="1441"/>
      <c r="CJ298" s="1441"/>
      <c r="CK298" s="1441"/>
      <c r="CL298" s="1441"/>
      <c r="CM298" s="1441"/>
      <c r="CN298" s="1441"/>
      <c r="CO298" s="1441"/>
      <c r="CP298" s="1442"/>
      <c r="CQ298" s="2527"/>
      <c r="CR298" s="2423"/>
    </row>
    <row r="299" spans="1:96" ht="12.75" customHeight="1">
      <c r="A299" s="1364" t="str">
        <f>IF(A298="None","","Quiver")</f>
        <v>Quiver</v>
      </c>
      <c r="B299" s="1750"/>
      <c r="C299" s="1750"/>
      <c r="D299" s="1750"/>
      <c r="E299" s="1750"/>
      <c r="F299" s="1751"/>
      <c r="G299" s="416">
        <f>IF(A298="None","",ROUNDUP(SUM(G300:G302)/20,0))</f>
        <v>3</v>
      </c>
      <c r="H299" s="2069">
        <f>IF(A298="None","",+Combat!G122)</f>
        <v>9</v>
      </c>
      <c r="I299" s="2070"/>
      <c r="J299" s="2071"/>
      <c r="K299" s="2200">
        <f>IF(A298="None","",+Combat!I122)</f>
        <v>720</v>
      </c>
      <c r="L299" s="1439"/>
      <c r="M299"/>
      <c r="N299" s="1745" t="str">
        <f>IF(VLOOKUP(Funds!L22,Possessions!$X$176:$AF$186,2)=0," ",VLOOKUP(Funds!L22,Possessions!X$176:$AF$186,2))</f>
        <v>Net Hammock</v>
      </c>
      <c r="O299" s="1820"/>
      <c r="P299" s="1820"/>
      <c r="Q299" s="1820"/>
      <c r="R299" s="1820"/>
      <c r="S299" s="1804">
        <f>VLOOKUP(Funds!L22,Possessions!$X$176:$AF$186,5)</f>
        <v>2</v>
      </c>
      <c r="T299" s="1804"/>
      <c r="U299" s="1804"/>
      <c r="V299" s="1361">
        <f>VLOOKUP(Funds!L22,Possessions!$X$176:$AF$186,7)</f>
        <v>0.24</v>
      </c>
      <c r="W299" s="1361"/>
      <c r="X299" s="1361"/>
      <c r="Y299"/>
      <c r="Z299" s="1805" t="str">
        <f>IF(VLOOKUP(Funds!L39,Possessions!$B$2:$E$36,2)=0," ",VLOOKUP(Funds!L39,Possessions!$B$2:$E$36,2))</f>
        <v>Pouch</v>
      </c>
      <c r="AA299" s="1806"/>
      <c r="AB299" s="1807"/>
      <c r="AC299" s="427" t="str">
        <f>IF(Z299=" "," ",Funds!M39)</f>
        <v>A</v>
      </c>
      <c r="AD299" s="433">
        <f>IF(Z299=" "," ",Funds!N39)</f>
        <v>1</v>
      </c>
      <c r="AE299" s="2422"/>
      <c r="AG299" s="1323"/>
      <c r="AH299" s="1441"/>
      <c r="AI299" s="1441"/>
      <c r="AJ299" s="1441"/>
      <c r="AK299" s="1441"/>
      <c r="AL299" s="1441"/>
      <c r="AM299" s="1441"/>
      <c r="AN299" s="1441"/>
      <c r="AO299" s="1441"/>
      <c r="AP299" s="1441"/>
      <c r="AQ299" s="1441"/>
      <c r="AR299" s="1441"/>
      <c r="AS299" s="1441"/>
      <c r="AT299" s="1441"/>
      <c r="AU299" s="1441"/>
      <c r="AV299" s="1441"/>
      <c r="AW299" s="1441"/>
      <c r="AX299" s="1441"/>
      <c r="AY299" s="1441"/>
      <c r="AZ299" s="1441"/>
      <c r="BA299" s="1441"/>
      <c r="BB299" s="1441"/>
      <c r="BC299" s="1441"/>
      <c r="BD299" s="1441"/>
      <c r="BE299" s="1441"/>
      <c r="BF299" s="1441"/>
      <c r="BG299" s="1441"/>
      <c r="BH299" s="1441"/>
      <c r="BI299" s="1441"/>
      <c r="BJ299" s="1442"/>
      <c r="BM299" s="1323"/>
      <c r="BN299" s="1441"/>
      <c r="BO299" s="1441"/>
      <c r="BP299" s="1441"/>
      <c r="BQ299" s="1441"/>
      <c r="BR299" s="1441"/>
      <c r="BS299" s="1441"/>
      <c r="BT299" s="1441"/>
      <c r="BU299" s="1441"/>
      <c r="BV299" s="1441"/>
      <c r="BW299" s="1441"/>
      <c r="BX299" s="1441"/>
      <c r="BY299" s="1441"/>
      <c r="BZ299" s="1441"/>
      <c r="CA299" s="1441"/>
      <c r="CB299" s="1441"/>
      <c r="CC299" s="1441"/>
      <c r="CD299" s="1441"/>
      <c r="CE299" s="1441"/>
      <c r="CF299" s="1441"/>
      <c r="CG299" s="1441"/>
      <c r="CH299" s="1441"/>
      <c r="CI299" s="1441"/>
      <c r="CJ299" s="1441"/>
      <c r="CK299" s="1441"/>
      <c r="CL299" s="1441"/>
      <c r="CM299" s="1441"/>
      <c r="CN299" s="1441"/>
      <c r="CO299" s="1441"/>
      <c r="CP299" s="1442"/>
      <c r="CQ299" s="2527"/>
      <c r="CR299" s="2423"/>
    </row>
    <row r="300" spans="1:96" ht="12.75" customHeight="1">
      <c r="A300" s="1369" t="str">
        <f>IF(A298="None","","Hunting Arrows")</f>
        <v>Hunting Arrows</v>
      </c>
      <c r="B300" s="1738"/>
      <c r="C300" s="1738"/>
      <c r="D300" s="1738"/>
      <c r="E300" s="1738"/>
      <c r="F300" s="1739"/>
      <c r="G300" s="287">
        <f>VLOOKUP((VLOOKUP($AE$52,Combat!$BQ$5:$CA$32,5)-3),Combat!$A$2:$AU$150,6)</f>
        <v>20</v>
      </c>
      <c r="H300" s="2191">
        <f>VLOOKUP((VLOOKUP($AE$52,Combat!$BQ$5:$CA$32,5)-3),Combat!$A$2:$AU$150,7)</f>
        <v>2</v>
      </c>
      <c r="I300" s="2192"/>
      <c r="J300" s="2193"/>
      <c r="K300" s="1411">
        <f>VLOOKUP((VLOOKUP($AE$52,Combat!$BQ$5:$CA$32,5)-3),Combat!$A$2:$AU$150,9)</f>
        <v>500</v>
      </c>
      <c r="L300" s="1772"/>
      <c r="M300"/>
      <c r="N300" s="1796" t="str">
        <f>IF(VLOOKUP(Funds!Q3,Possessions!$X$303:$AF$308,2)=0," ",VLOOKUP(Funds!Q3,Possessions!$X$303:$AF$308,2))</f>
        <v xml:space="preserve"> </v>
      </c>
      <c r="O300" s="1797"/>
      <c r="P300" s="1797"/>
      <c r="Q300" s="1797"/>
      <c r="R300" s="1797"/>
      <c r="S300" s="1795">
        <f>VLOOKUP(Funds!Q3,Possessions!X303:AF308,5)</f>
        <v>0</v>
      </c>
      <c r="T300" s="1795"/>
      <c r="U300" s="1795"/>
      <c r="V300" s="1363">
        <f>VLOOKUP(Funds!Q3,Possessions!X303:AF308,7)</f>
        <v>0</v>
      </c>
      <c r="W300" s="1363"/>
      <c r="X300" s="1363"/>
      <c r="Y300"/>
      <c r="Z300" s="1798" t="str">
        <f>IF(VLOOKUP(Funds!L40,Possessions!$B$2:$E$36,2)=0," ",VLOOKUP(Funds!L40,Possessions!$B$2:$E$36,2))</f>
        <v>Shoes</v>
      </c>
      <c r="AA300" s="1799"/>
      <c r="AB300" s="1800"/>
      <c r="AC300" s="426" t="str">
        <f>IF(Z300=" "," ",Funds!M40)</f>
        <v>A</v>
      </c>
      <c r="AD300" s="432">
        <f>IF(Z300=" "," ",Funds!N40)</f>
        <v>12</v>
      </c>
      <c r="AE300" s="2422"/>
      <c r="AG300" s="1323"/>
      <c r="AH300" s="1441"/>
      <c r="AI300" s="1441"/>
      <c r="AJ300" s="1441"/>
      <c r="AK300" s="1441"/>
      <c r="AL300" s="1441"/>
      <c r="AM300" s="1441"/>
      <c r="AN300" s="1441"/>
      <c r="AO300" s="1441"/>
      <c r="AP300" s="1441"/>
      <c r="AQ300" s="1441"/>
      <c r="AR300" s="1441"/>
      <c r="AS300" s="1441"/>
      <c r="AT300" s="1441"/>
      <c r="AU300" s="1441"/>
      <c r="AV300" s="1441"/>
      <c r="AW300" s="1441"/>
      <c r="AX300" s="1441"/>
      <c r="AY300" s="1441"/>
      <c r="AZ300" s="1441"/>
      <c r="BA300" s="1441"/>
      <c r="BB300" s="1441"/>
      <c r="BC300" s="1441"/>
      <c r="BD300" s="1441"/>
      <c r="BE300" s="1441"/>
      <c r="BF300" s="1441"/>
      <c r="BG300" s="1441"/>
      <c r="BH300" s="1441"/>
      <c r="BI300" s="1441"/>
      <c r="BJ300" s="1442"/>
      <c r="BM300" s="1323"/>
      <c r="BN300" s="1441"/>
      <c r="BO300" s="1441"/>
      <c r="BP300" s="1441"/>
      <c r="BQ300" s="1441"/>
      <c r="BR300" s="1441"/>
      <c r="BS300" s="1441"/>
      <c r="BT300" s="1441"/>
      <c r="BU300" s="1441"/>
      <c r="BV300" s="1441"/>
      <c r="BW300" s="1441"/>
      <c r="BX300" s="1441"/>
      <c r="BY300" s="1441"/>
      <c r="BZ300" s="1441"/>
      <c r="CA300" s="1441"/>
      <c r="CB300" s="1441"/>
      <c r="CC300" s="1441"/>
      <c r="CD300" s="1441"/>
      <c r="CE300" s="1441"/>
      <c r="CF300" s="1441"/>
      <c r="CG300" s="1441"/>
      <c r="CH300" s="1441"/>
      <c r="CI300" s="1441"/>
      <c r="CJ300" s="1441"/>
      <c r="CK300" s="1441"/>
      <c r="CL300" s="1441"/>
      <c r="CM300" s="1441"/>
      <c r="CN300" s="1441"/>
      <c r="CO300" s="1441"/>
      <c r="CP300" s="1442"/>
      <c r="CQ300" s="2527"/>
      <c r="CR300" s="2423"/>
    </row>
    <row r="301" spans="1:96" ht="12.75" customHeight="1">
      <c r="A301" s="1323" t="str">
        <f>IF(A298="None","","War Arrows")</f>
        <v>War Arrows</v>
      </c>
      <c r="B301" s="1441"/>
      <c r="C301" s="1441"/>
      <c r="D301" s="1441"/>
      <c r="E301" s="1441"/>
      <c r="F301" s="1442"/>
      <c r="G301" s="136">
        <f>VLOOKUP((VLOOKUP($AE$52,Combat!$BQ$5:$CA$32,5)-2),Combat!$A$2:$AU$150,6)</f>
        <v>20</v>
      </c>
      <c r="H301" s="2069">
        <f>VLOOKUP((VLOOKUP($AE$52,Combat!$BQ$5:$CA$32,5)-2),Combat!$A$2:$AU$150,7)</f>
        <v>2</v>
      </c>
      <c r="I301" s="2070"/>
      <c r="J301" s="2071"/>
      <c r="K301" s="1438">
        <f>VLOOKUP((VLOOKUP($AE$52,Combat!$BQ$5:$CA$32,5)-2),Combat!$A$2:$AU$150,9)</f>
        <v>700</v>
      </c>
      <c r="L301" s="1439"/>
      <c r="M301"/>
      <c r="N301" s="1745" t="str">
        <f>IF(VLOOKUP(Funds!Q4,Possessions!$X$281:$AF$302,2)=0," ",VLOOKUP(Funds!Q4,Possessions!$X$281:$AF$302,2))</f>
        <v>Black Ink &amp; Pot</v>
      </c>
      <c r="O301" s="1820"/>
      <c r="P301" s="1820"/>
      <c r="Q301" s="1820"/>
      <c r="R301" s="1820"/>
      <c r="S301" s="1804">
        <f>VLOOKUP(Funds!Q4,Possessions!$X$281:$AF$302,5)</f>
        <v>0.5</v>
      </c>
      <c r="T301" s="1804"/>
      <c r="U301" s="1804"/>
      <c r="V301" s="1361">
        <f>VLOOKUP(Funds!Q4,Possessions!$X$281:$AF$302,7)</f>
        <v>2</v>
      </c>
      <c r="W301" s="1361"/>
      <c r="X301" s="1361"/>
      <c r="Y301"/>
      <c r="Z301" s="1805" t="str">
        <f>IF(VLOOKUP(Funds!L41,Possessions!$B$2:$E$36,2)=0," ",VLOOKUP(Funds!L41,Possessions!$B$2:$E$36,2))</f>
        <v>Work Boots</v>
      </c>
      <c r="AA301" s="1806"/>
      <c r="AB301" s="1807"/>
      <c r="AC301" s="427" t="str">
        <f>IF(Z301=" "," ",Funds!M41)</f>
        <v>A</v>
      </c>
      <c r="AD301" s="433">
        <f>IF(Z301=" "," ",Funds!N41)</f>
        <v>12</v>
      </c>
      <c r="AE301" s="2422"/>
      <c r="AG301" s="1323"/>
      <c r="AH301" s="1441"/>
      <c r="AI301" s="1441"/>
      <c r="AJ301" s="1441"/>
      <c r="AK301" s="1441"/>
      <c r="AL301" s="1441"/>
      <c r="AM301" s="1441"/>
      <c r="AN301" s="1441"/>
      <c r="AO301" s="1441"/>
      <c r="AP301" s="1441"/>
      <c r="AQ301" s="1441"/>
      <c r="AR301" s="1441"/>
      <c r="AS301" s="1441"/>
      <c r="AT301" s="1441"/>
      <c r="AU301" s="1441"/>
      <c r="AV301" s="1441"/>
      <c r="AW301" s="1441"/>
      <c r="AX301" s="1441"/>
      <c r="AY301" s="1441"/>
      <c r="AZ301" s="1441"/>
      <c r="BA301" s="1441"/>
      <c r="BB301" s="1441"/>
      <c r="BC301" s="1441"/>
      <c r="BD301" s="1441"/>
      <c r="BE301" s="1441"/>
      <c r="BF301" s="1441"/>
      <c r="BG301" s="1441"/>
      <c r="BH301" s="1441"/>
      <c r="BI301" s="1441"/>
      <c r="BJ301" s="1442"/>
      <c r="BM301" s="1323"/>
      <c r="BN301" s="1441"/>
      <c r="BO301" s="1441"/>
      <c r="BP301" s="1441"/>
      <c r="BQ301" s="1441"/>
      <c r="BR301" s="1441"/>
      <c r="BS301" s="1441"/>
      <c r="BT301" s="1441"/>
      <c r="BU301" s="1441"/>
      <c r="BV301" s="1441"/>
      <c r="BW301" s="1441"/>
      <c r="BX301" s="1441"/>
      <c r="BY301" s="1441"/>
      <c r="BZ301" s="1441"/>
      <c r="CA301" s="1441"/>
      <c r="CB301" s="1441"/>
      <c r="CC301" s="1441"/>
      <c r="CD301" s="1441"/>
      <c r="CE301" s="1441"/>
      <c r="CF301" s="1441"/>
      <c r="CG301" s="1441"/>
      <c r="CH301" s="1441"/>
      <c r="CI301" s="1441"/>
      <c r="CJ301" s="1441"/>
      <c r="CK301" s="1441"/>
      <c r="CL301" s="1441"/>
      <c r="CM301" s="1441"/>
      <c r="CN301" s="1441"/>
      <c r="CO301" s="1441"/>
      <c r="CP301" s="1442"/>
      <c r="CQ301" s="2527"/>
      <c r="CR301" s="2423"/>
    </row>
    <row r="302" spans="1:96" ht="12.75" customHeight="1" thickBot="1">
      <c r="A302" s="2194" t="str">
        <f>IF(A298="None","","A.P. Arrows")</f>
        <v>A.P. Arrows</v>
      </c>
      <c r="B302" s="2195"/>
      <c r="C302" s="2195"/>
      <c r="D302" s="2195"/>
      <c r="E302" s="2195"/>
      <c r="F302" s="2196"/>
      <c r="G302" s="437">
        <f>VLOOKUP((VLOOKUP($AE$52,Combat!$BQ$5:$CA$32,5)-1),Combat!$A$2:$AU$150,6)</f>
        <v>20</v>
      </c>
      <c r="H302" s="2197">
        <f>VLOOKUP((VLOOKUP($AE$52,Combat!$BQ$5:$CA$32,5)-1),Combat!$A$2:$AU$150,7)</f>
        <v>2</v>
      </c>
      <c r="I302" s="2198"/>
      <c r="J302" s="2199"/>
      <c r="K302" s="2411">
        <f>VLOOKUP((VLOOKUP($AE$52,Combat!$BQ$5:$CA$32,5)-1),Combat!$A$2:$AU$150,9)</f>
        <v>1000</v>
      </c>
      <c r="L302" s="2412"/>
      <c r="M302"/>
      <c r="N302" s="1796" t="str">
        <f>IF(VLOOKUP(Funds!Q5,Possessions!$X$281:$AF$302,2)=0," ",VLOOKUP(Funds!Q5,Possessions!$X$281:$AF$302,2))</f>
        <v>Quill Pen</v>
      </c>
      <c r="O302" s="1797"/>
      <c r="P302" s="1797"/>
      <c r="Q302" s="1797"/>
      <c r="R302" s="1797"/>
      <c r="S302" s="1795">
        <f>VLOOKUP(Funds!Q5,Possessions!$X$281:$AF$302,5)</f>
        <v>3.125E-2</v>
      </c>
      <c r="T302" s="1795"/>
      <c r="U302" s="1795"/>
      <c r="V302" s="1363">
        <f>VLOOKUP(Funds!Q5,Possessions!$X$281:$AF$302,7)</f>
        <v>0.25</v>
      </c>
      <c r="W302" s="1363"/>
      <c r="X302" s="1363"/>
      <c r="Y302"/>
      <c r="Z302" s="1798" t="str">
        <f>IF(VLOOKUP(Funds!L42,Possessions!$B$2:$E$36,2)=0," ",VLOOKUP(Funds!L42,Possessions!$B$2:$E$36,2))</f>
        <v>Hat</v>
      </c>
      <c r="AA302" s="1799"/>
      <c r="AB302" s="1800"/>
      <c r="AC302" s="426" t="str">
        <f>IF(Z302=" "," ",Funds!M42)</f>
        <v>A</v>
      </c>
      <c r="AD302" s="432">
        <f>IF(Z302=" "," ",Funds!N42)</f>
        <v>10</v>
      </c>
      <c r="AE302" s="2422"/>
      <c r="AG302" s="1323"/>
      <c r="AH302" s="1441"/>
      <c r="AI302" s="1441"/>
      <c r="AJ302" s="1441"/>
      <c r="AK302" s="1441"/>
      <c r="AL302" s="1441"/>
      <c r="AM302" s="1441"/>
      <c r="AN302" s="1441"/>
      <c r="AO302" s="1441"/>
      <c r="AP302" s="1441"/>
      <c r="AQ302" s="1441"/>
      <c r="AR302" s="1441"/>
      <c r="AS302" s="1441"/>
      <c r="AT302" s="1441"/>
      <c r="AU302" s="1441"/>
      <c r="AV302" s="1441"/>
      <c r="AW302" s="1441"/>
      <c r="AX302" s="1441"/>
      <c r="AY302" s="1441"/>
      <c r="AZ302" s="1441"/>
      <c r="BA302" s="1441"/>
      <c r="BB302" s="1441"/>
      <c r="BC302" s="1441"/>
      <c r="BD302" s="1441"/>
      <c r="BE302" s="1441"/>
      <c r="BF302" s="1441"/>
      <c r="BG302" s="1441"/>
      <c r="BH302" s="1441"/>
      <c r="BI302" s="1441"/>
      <c r="BJ302" s="1442"/>
      <c r="BM302" s="1323"/>
      <c r="BN302" s="1441"/>
      <c r="BO302" s="1441"/>
      <c r="BP302" s="1441"/>
      <c r="BQ302" s="1441"/>
      <c r="BR302" s="1441"/>
      <c r="BS302" s="1441"/>
      <c r="BT302" s="1441"/>
      <c r="BU302" s="1441"/>
      <c r="BV302" s="1441"/>
      <c r="BW302" s="1441"/>
      <c r="BX302" s="1441"/>
      <c r="BY302" s="1441"/>
      <c r="BZ302" s="1441"/>
      <c r="CA302" s="1441"/>
      <c r="CB302" s="1441"/>
      <c r="CC302" s="1441"/>
      <c r="CD302" s="1441"/>
      <c r="CE302" s="1441"/>
      <c r="CF302" s="1441"/>
      <c r="CG302" s="1441"/>
      <c r="CH302" s="1441"/>
      <c r="CI302" s="1441"/>
      <c r="CJ302" s="1441"/>
      <c r="CK302" s="1441"/>
      <c r="CL302" s="1441"/>
      <c r="CM302" s="1441"/>
      <c r="CN302" s="1441"/>
      <c r="CO302" s="1441"/>
      <c r="CP302" s="1442"/>
      <c r="CQ302" s="2527"/>
      <c r="CR302" s="2423"/>
    </row>
    <row r="303" spans="1:96" ht="12.75" customHeight="1" thickTop="1" thickBot="1">
      <c r="A303" s="2413" t="str">
        <f>IF('Faith&amp;AOF'!C21="Y",VLOOKUP('Faith&amp;AOF'!D21,'Faith&amp;AOF'!AA36:'Faith&amp;AOF'!AD46,2)," ")</f>
        <v>Symbol, Silver</v>
      </c>
      <c r="B303" s="2413"/>
      <c r="C303" s="2413"/>
      <c r="D303" s="2413"/>
      <c r="E303" s="2413"/>
      <c r="F303" s="2414"/>
      <c r="G303" s="2414"/>
      <c r="H303" s="1815">
        <f>IF('Faith&amp;AOF'!C21="Y",VLOOKUP('Faith&amp;AOF'!D21,'Faith&amp;AOF'!AA36:'Faith&amp;AOF'!AD46,3)," ")</f>
        <v>0.125</v>
      </c>
      <c r="I303" s="1815"/>
      <c r="J303" s="1815"/>
      <c r="K303" s="1815">
        <f>IF('Faith&amp;AOF'!C21="Y",VLOOKUP('Faith&amp;AOF'!D21,'Faith&amp;AOF'!AA36:'Faith&amp;AOF'!AD46,4)," ")</f>
        <v>50</v>
      </c>
      <c r="L303" s="1816"/>
      <c r="M303"/>
      <c r="N303" s="1745" t="str">
        <f>IF(VLOOKUP(Funds!Q6,Possessions!$X$281:$AF$302,2)=0," ",VLOOKUP(Funds!Q6,Possessions!$X$281:$AF$302,2))</f>
        <v>Writing Tablet, Slate</v>
      </c>
      <c r="O303" s="1820"/>
      <c r="P303" s="1820"/>
      <c r="Q303" s="1820"/>
      <c r="R303" s="1820"/>
      <c r="S303" s="1804">
        <f>VLOOKUP(Funds!Q6,Possessions!$X$281:$AF$302,5)</f>
        <v>1</v>
      </c>
      <c r="T303" s="1804"/>
      <c r="U303" s="1804"/>
      <c r="V303" s="1361">
        <f>VLOOKUP(Funds!Q6,Possessions!$X$281:$AF$302,7)</f>
        <v>4</v>
      </c>
      <c r="W303" s="1361"/>
      <c r="X303" s="1361"/>
      <c r="Y303"/>
      <c r="Z303" s="1805" t="str">
        <f>IF(VLOOKUP(Funds!L43,Possessions!$B$2:$E$36,2)=0," ",VLOOKUP(Funds!L43,Possessions!$B$2:$E$36,2))</f>
        <v xml:space="preserve"> </v>
      </c>
      <c r="AA303" s="1806"/>
      <c r="AB303" s="1807"/>
      <c r="AC303" s="427" t="str">
        <f>IF(Z303=" "," ",Funds!M43)</f>
        <v xml:space="preserve"> </v>
      </c>
      <c r="AD303" s="433" t="str">
        <f>IF(Z303=" "," ",Funds!N43)</f>
        <v xml:space="preserve"> </v>
      </c>
      <c r="AE303" s="2422"/>
      <c r="AG303" s="1400" t="s">
        <v>5740</v>
      </c>
      <c r="AH303" s="1400"/>
      <c r="AI303" s="1400"/>
      <c r="AJ303" s="1400"/>
      <c r="AK303" s="1400"/>
      <c r="AL303" s="1400"/>
      <c r="AM303" s="1400"/>
      <c r="AN303" s="1400"/>
      <c r="AO303" s="1400"/>
      <c r="AP303" s="1400"/>
      <c r="AQ303" s="1400"/>
      <c r="AR303" s="1400"/>
      <c r="AS303" s="1400"/>
      <c r="AT303" s="1400"/>
      <c r="AU303" s="1400"/>
      <c r="AV303" s="1400"/>
      <c r="AW303" s="1400"/>
      <c r="AX303" s="1400"/>
      <c r="AY303" s="1400"/>
      <c r="AZ303" s="1400"/>
      <c r="BA303" s="1400"/>
      <c r="BB303" s="1400"/>
      <c r="BC303" s="1400"/>
      <c r="BD303" s="1400"/>
      <c r="BE303" s="1400"/>
      <c r="BF303" s="1400"/>
      <c r="BG303" s="1400"/>
      <c r="BH303" s="1400"/>
      <c r="BI303" s="1400"/>
      <c r="BJ303" s="1400"/>
      <c r="BM303" s="1400" t="s">
        <v>5740</v>
      </c>
      <c r="BN303" s="1400"/>
      <c r="BO303" s="1400"/>
      <c r="BP303" s="1400"/>
      <c r="BQ303" s="1400"/>
      <c r="BR303" s="1400"/>
      <c r="BS303" s="1400"/>
      <c r="BT303" s="1400"/>
      <c r="BU303" s="1400"/>
      <c r="BV303" s="1400"/>
      <c r="BW303" s="1400"/>
      <c r="BX303" s="1400"/>
      <c r="BY303" s="1400"/>
      <c r="BZ303" s="1400"/>
      <c r="CA303" s="1400"/>
      <c r="CB303" s="1400"/>
      <c r="CC303" s="1400"/>
      <c r="CD303" s="1400"/>
      <c r="CE303" s="1400"/>
      <c r="CF303" s="1400"/>
      <c r="CG303" s="1400"/>
      <c r="CH303" s="1400"/>
      <c r="CI303" s="1400"/>
      <c r="CJ303" s="1400"/>
      <c r="CK303" s="1400"/>
      <c r="CL303" s="1400"/>
      <c r="CM303" s="1400"/>
      <c r="CN303" s="1400"/>
      <c r="CO303" s="1400"/>
      <c r="CP303" s="1400"/>
      <c r="CQ303" s="2527"/>
      <c r="CR303" s="2423"/>
    </row>
    <row r="304" spans="1:96" ht="12.75" customHeight="1" thickTop="1">
      <c r="A304" s="2087" t="str">
        <f>IF(Funds!$Z$12&gt;0,"Field Rations"," ")</f>
        <v>Field Rations</v>
      </c>
      <c r="B304" s="2088"/>
      <c r="C304" s="2088"/>
      <c r="D304" s="2088"/>
      <c r="E304" s="2088"/>
      <c r="F304" s="2088"/>
      <c r="G304" s="2089"/>
      <c r="H304" s="1821">
        <f>IF(Funds!$Z$12&gt;0,Funds!$Z$12," ")</f>
        <v>9.125</v>
      </c>
      <c r="I304" s="1821"/>
      <c r="J304" s="1821"/>
      <c r="K304" s="1822">
        <f>IF(Funds!$Z$12&gt;0,Funds!$AA$12," ")</f>
        <v>7.99</v>
      </c>
      <c r="L304" s="1823"/>
      <c r="M304"/>
      <c r="N304" s="1796" t="str">
        <f>IF(VLOOKUP(Funds!Q7,Possessions!$X$281:$AF$302,2)=0," ",VLOOKUP(Funds!Q7,Possessions!$X$281:$AF$302,2))</f>
        <v>Chalk Sticks (6)</v>
      </c>
      <c r="O304" s="1797"/>
      <c r="P304" s="1797"/>
      <c r="Q304" s="1797"/>
      <c r="R304" s="1797"/>
      <c r="S304" s="1795">
        <f>VLOOKUP(Funds!Q7,Possessions!$X$281:$AF$302,5)</f>
        <v>0.125</v>
      </c>
      <c r="T304" s="1795"/>
      <c r="U304" s="1795"/>
      <c r="V304" s="1363">
        <f>VLOOKUP(Funds!Q7,Possessions!$X$281:$AF$302,7)</f>
        <v>0.25</v>
      </c>
      <c r="W304" s="1363"/>
      <c r="X304" s="1363"/>
      <c r="Y304"/>
      <c r="Z304" s="1798" t="str">
        <f>IF(VLOOKUP(Funds!L44,Possessions!$B$2:$E$36,2)=0," ",VLOOKUP(Funds!L44,Possessions!$B$2:$E$36,2))</f>
        <v xml:space="preserve"> </v>
      </c>
      <c r="AA304" s="1799"/>
      <c r="AB304" s="1800"/>
      <c r="AC304" s="426" t="str">
        <f>IF(Z304=" "," ",Funds!M44)</f>
        <v xml:space="preserve"> </v>
      </c>
      <c r="AD304" s="432" t="str">
        <f>IF(Z304=" "," ",Funds!N44)</f>
        <v xml:space="preserve"> </v>
      </c>
      <c r="AE304" s="2422"/>
      <c r="AG304" s="2507" t="s">
        <v>5748</v>
      </c>
      <c r="AH304" s="2417"/>
      <c r="AI304" s="2417"/>
      <c r="AJ304" s="2417"/>
      <c r="AK304" s="2417"/>
      <c r="AL304" s="2416"/>
      <c r="AM304" s="2417"/>
      <c r="AN304" s="2417"/>
      <c r="AO304" s="2417"/>
      <c r="AP304" s="2508" t="s">
        <v>5741</v>
      </c>
      <c r="AQ304" s="2509"/>
      <c r="AR304" s="2509"/>
      <c r="AS304" s="2509"/>
      <c r="AT304" s="2509"/>
      <c r="AU304" s="2507"/>
      <c r="AV304" s="2417"/>
      <c r="AW304" s="2417"/>
      <c r="AX304" s="2417"/>
      <c r="AY304" s="2417"/>
      <c r="AZ304" s="2417"/>
      <c r="BA304" s="2507" t="s">
        <v>5742</v>
      </c>
      <c r="BB304" s="2417"/>
      <c r="BC304" s="2417"/>
      <c r="BD304" s="2417"/>
      <c r="BE304" s="2418"/>
      <c r="BF304" s="2418"/>
      <c r="BG304" s="2506"/>
      <c r="BH304" s="2506"/>
      <c r="BI304" s="2506"/>
      <c r="BJ304" s="2506"/>
      <c r="BM304" s="2507" t="s">
        <v>5748</v>
      </c>
      <c r="BN304" s="2417"/>
      <c r="BO304" s="2417"/>
      <c r="BP304" s="2417"/>
      <c r="BQ304" s="2417"/>
      <c r="BR304" s="2416"/>
      <c r="BS304" s="2417"/>
      <c r="BT304" s="2417"/>
      <c r="BU304" s="2417"/>
      <c r="BV304" s="2508" t="s">
        <v>5741</v>
      </c>
      <c r="BW304" s="2509"/>
      <c r="BX304" s="2509"/>
      <c r="BY304" s="2509"/>
      <c r="BZ304" s="2509"/>
      <c r="CA304" s="2507"/>
      <c r="CB304" s="2417"/>
      <c r="CC304" s="2417"/>
      <c r="CD304" s="2417"/>
      <c r="CE304" s="2417"/>
      <c r="CF304" s="2417"/>
      <c r="CG304" s="2507" t="s">
        <v>5742</v>
      </c>
      <c r="CH304" s="2417"/>
      <c r="CI304" s="2417"/>
      <c r="CJ304" s="2417"/>
      <c r="CK304" s="2418"/>
      <c r="CL304" s="2418"/>
      <c r="CM304" s="2506"/>
      <c r="CN304" s="2506"/>
      <c r="CO304" s="2506"/>
      <c r="CP304" s="2506"/>
      <c r="CQ304" s="2527"/>
      <c r="CR304" s="2423"/>
    </row>
    <row r="305" spans="1:96" ht="12.75" customHeight="1">
      <c r="A305" s="2051" t="str">
        <f>IF(Funds!$Z$37&gt;0,"Fresh Rations"," ")</f>
        <v>Fresh Rations</v>
      </c>
      <c r="B305" s="2052"/>
      <c r="C305" s="2052"/>
      <c r="D305" s="2052"/>
      <c r="E305" s="2052"/>
      <c r="F305" s="2052"/>
      <c r="G305" s="2068"/>
      <c r="H305" s="1838">
        <f>IF(Funds!$Z$37&gt;0,Funds!$Z$37," ")</f>
        <v>26.078125</v>
      </c>
      <c r="I305" s="1838"/>
      <c r="J305" s="1838"/>
      <c r="K305" s="1830">
        <f>IF(Funds!$Z$37&gt;0,Funds!$AA$37," ")</f>
        <v>2.7918749999999997</v>
      </c>
      <c r="L305" s="1832"/>
      <c r="M305"/>
      <c r="N305" s="1745" t="str">
        <f>IF(VLOOKUP(Funds!Q8,Possessions!$X$281:$AF$302,2)=0," ",VLOOKUP(Funds!Q8,Possessions!$X$281:$AF$302,2))</f>
        <v>Papyrus (34" x 44")</v>
      </c>
      <c r="O305" s="1820"/>
      <c r="P305" s="1820"/>
      <c r="Q305" s="1820"/>
      <c r="R305" s="1820"/>
      <c r="S305" s="1804">
        <f>VLOOKUP(Funds!Q8,Possessions!$X$281:$AF$302,5)</f>
        <v>3.125E-2</v>
      </c>
      <c r="T305" s="1804"/>
      <c r="U305" s="1804"/>
      <c r="V305" s="1361">
        <f>VLOOKUP(Funds!Q8,Possessions!$X$281:$AF$302,7)</f>
        <v>4</v>
      </c>
      <c r="W305" s="1361"/>
      <c r="X305" s="1361"/>
      <c r="Y305"/>
      <c r="Z305" s="1805" t="str">
        <f>IF(VLOOKUP(Funds!L45,Possessions!$B$2:$E$36,2)=0," ",VLOOKUP(Funds!L45,Possessions!$B$2:$E$36,2))</f>
        <v xml:space="preserve"> </v>
      </c>
      <c r="AA305" s="1806"/>
      <c r="AB305" s="1807"/>
      <c r="AC305" s="427" t="str">
        <f>IF(Z305=" "," ",Funds!M45)</f>
        <v xml:space="preserve"> </v>
      </c>
      <c r="AD305" s="433" t="str">
        <f>IF(Z305=" "," ",Funds!N45)</f>
        <v xml:space="preserve"> </v>
      </c>
      <c r="AE305" s="2422"/>
      <c r="AG305" s="2510" t="s">
        <v>5743</v>
      </c>
      <c r="AH305" s="2510"/>
      <c r="AI305" s="2510"/>
      <c r="AJ305" s="2510"/>
      <c r="AK305" s="2510"/>
      <c r="AL305" s="2512"/>
      <c r="AM305" s="2513"/>
      <c r="AN305" s="2513"/>
      <c r="AO305" s="2513"/>
      <c r="AP305" s="2520" t="s">
        <v>5750</v>
      </c>
      <c r="AQ305" s="2509"/>
      <c r="AR305" s="2509"/>
      <c r="AS305" s="2509"/>
      <c r="AT305" s="2509"/>
      <c r="AU305" s="2512"/>
      <c r="AV305" s="2512"/>
      <c r="AW305" s="2518" t="s">
        <v>5749</v>
      </c>
      <c r="AX305" s="2505"/>
      <c r="AY305" s="2505"/>
      <c r="AZ305" s="2505"/>
      <c r="BA305" s="2519" t="s">
        <v>5744</v>
      </c>
      <c r="BB305" s="2521"/>
      <c r="BC305" s="2521"/>
      <c r="BD305" s="2522"/>
      <c r="BE305" s="2512"/>
      <c r="BF305" s="2513"/>
      <c r="BG305" s="2513"/>
      <c r="BH305" s="2513"/>
      <c r="BI305" s="2513"/>
      <c r="BJ305" s="2513"/>
      <c r="BM305" s="2510" t="s">
        <v>5743</v>
      </c>
      <c r="BN305" s="2510"/>
      <c r="BO305" s="2510"/>
      <c r="BP305" s="2510"/>
      <c r="BQ305" s="2510"/>
      <c r="BR305" s="2512"/>
      <c r="BS305" s="2513"/>
      <c r="BT305" s="2513"/>
      <c r="BU305" s="2513"/>
      <c r="BV305" s="2520" t="s">
        <v>5750</v>
      </c>
      <c r="BW305" s="2509"/>
      <c r="BX305" s="2509"/>
      <c r="BY305" s="2509"/>
      <c r="BZ305" s="2509"/>
      <c r="CA305" s="2512"/>
      <c r="CB305" s="2512"/>
      <c r="CC305" s="2518" t="s">
        <v>5749</v>
      </c>
      <c r="CD305" s="2505"/>
      <c r="CE305" s="2505"/>
      <c r="CF305" s="2505"/>
      <c r="CG305" s="2519" t="s">
        <v>5744</v>
      </c>
      <c r="CH305" s="2521"/>
      <c r="CI305" s="2521"/>
      <c r="CJ305" s="2522"/>
      <c r="CK305" s="2512"/>
      <c r="CL305" s="2513"/>
      <c r="CM305" s="2513"/>
      <c r="CN305" s="2513"/>
      <c r="CO305" s="2513"/>
      <c r="CP305" s="2513"/>
      <c r="CQ305" s="2527"/>
      <c r="CR305" s="2423"/>
    </row>
    <row r="306" spans="1:96" ht="12.75" customHeight="1" thickBot="1">
      <c r="A306" s="2060" t="str">
        <f>IF(VLOOKUP(Funds!L23,Possessions!$X$251:$AF$261,2)=0," ",VLOOKUP(Funds!L23,Possessions!$X$251:$AF$261,2))</f>
        <v>Wooden Mug</v>
      </c>
      <c r="B306" s="1799"/>
      <c r="C306" s="1799"/>
      <c r="D306" s="1799"/>
      <c r="E306" s="1799"/>
      <c r="F306" s="2061"/>
      <c r="G306" s="2072"/>
      <c r="H306" s="1839">
        <f>VLOOKUP(Funds!L23,Possessions!$X$251:$AF$261,5)</f>
        <v>0.5</v>
      </c>
      <c r="I306" s="1840"/>
      <c r="J306" s="1841"/>
      <c r="K306" s="1817">
        <f>VLOOKUP(Funds!L23,Possessions!$X$251:$AF$261,7)</f>
        <v>1</v>
      </c>
      <c r="L306" s="1818"/>
      <c r="M306"/>
      <c r="N306" s="1796" t="str">
        <f>IF(VLOOKUP(Funds!Q9,Possessions!$X$281:$AF$302,2)=0," ",VLOOKUP(Funds!Q9,Possessions!$X$281:$AF$302,2))</f>
        <v>Linen Rag Paper (34" x 44")</v>
      </c>
      <c r="O306" s="1797"/>
      <c r="P306" s="1797"/>
      <c r="Q306" s="1797"/>
      <c r="R306" s="1797"/>
      <c r="S306" s="1795">
        <f>VLOOKUP(Funds!Q9,Possessions!$X$281:$AF$302,5)</f>
        <v>3.125E-2</v>
      </c>
      <c r="T306" s="1795"/>
      <c r="U306" s="1795"/>
      <c r="V306" s="1363">
        <f>VLOOKUP(Funds!Q9,Possessions!$X$281:$AF$302,7)</f>
        <v>12</v>
      </c>
      <c r="W306" s="1363"/>
      <c r="X306" s="1363"/>
      <c r="Y306"/>
      <c r="Z306" s="1824" t="str">
        <f>IF(VLOOKUP(Funds!L46,Possessions!$B$2:$E$36,2)=0," ",VLOOKUP(Funds!L46,Possessions!$B$2:$E$36,2))</f>
        <v xml:space="preserve"> </v>
      </c>
      <c r="AA306" s="1825"/>
      <c r="AB306" s="1826"/>
      <c r="AC306" s="435" t="str">
        <f>IF(Z306=" "," ",Funds!M46)</f>
        <v xml:space="preserve"> </v>
      </c>
      <c r="AD306" s="436" t="str">
        <f>IF(Z306=" "," ",Funds!N46)</f>
        <v xml:space="preserve"> </v>
      </c>
      <c r="AE306" s="2422"/>
      <c r="AG306" s="2415" t="s">
        <v>5745</v>
      </c>
      <c r="AH306" s="2415"/>
      <c r="AI306" s="2415"/>
      <c r="AJ306" s="2415"/>
      <c r="AK306" s="2415"/>
      <c r="AL306" s="2514"/>
      <c r="AM306" s="2506"/>
      <c r="AN306" s="2506"/>
      <c r="AO306" s="2506"/>
      <c r="AP306" s="2418" t="s">
        <v>5746</v>
      </c>
      <c r="AQ306" s="1315"/>
      <c r="AR306" s="1315"/>
      <c r="AS306" s="1315"/>
      <c r="AT306" s="1315"/>
      <c r="AU306" s="2504"/>
      <c r="AV306" s="1315"/>
      <c r="AW306" s="2418" t="s">
        <v>5745</v>
      </c>
      <c r="AX306" s="2418"/>
      <c r="AY306" s="2418"/>
      <c r="AZ306" s="2418"/>
      <c r="BA306" s="2418"/>
      <c r="BB306" s="2418" t="s">
        <v>5746</v>
      </c>
      <c r="BC306" s="2506"/>
      <c r="BD306" s="2506"/>
      <c r="BE306" s="2504"/>
      <c r="BF306" s="2505"/>
      <c r="BG306" s="2505"/>
      <c r="BH306" s="2505"/>
      <c r="BI306" s="2505"/>
      <c r="BJ306" s="2505"/>
      <c r="BM306" s="2415" t="s">
        <v>5745</v>
      </c>
      <c r="BN306" s="2415"/>
      <c r="BO306" s="2415"/>
      <c r="BP306" s="2415"/>
      <c r="BQ306" s="2415"/>
      <c r="BR306" s="2514"/>
      <c r="BS306" s="2506"/>
      <c r="BT306" s="2506"/>
      <c r="BU306" s="2506"/>
      <c r="BV306" s="2418" t="s">
        <v>5746</v>
      </c>
      <c r="BW306" s="1315"/>
      <c r="BX306" s="1315"/>
      <c r="BY306" s="1315"/>
      <c r="BZ306" s="1315"/>
      <c r="CA306" s="2504"/>
      <c r="CB306" s="1315"/>
      <c r="CC306" s="2418" t="s">
        <v>5745</v>
      </c>
      <c r="CD306" s="2418"/>
      <c r="CE306" s="2418"/>
      <c r="CF306" s="2418"/>
      <c r="CG306" s="2418"/>
      <c r="CH306" s="2418" t="s">
        <v>5746</v>
      </c>
      <c r="CI306" s="2506"/>
      <c r="CJ306" s="2506"/>
      <c r="CK306" s="2504"/>
      <c r="CL306" s="2505"/>
      <c r="CM306" s="2505"/>
      <c r="CN306" s="2505"/>
      <c r="CO306" s="2505"/>
      <c r="CP306" s="2505"/>
      <c r="CQ306" s="2527"/>
      <c r="CR306" s="2423"/>
    </row>
    <row r="307" spans="1:96" ht="12.75" customHeight="1" thickTop="1">
      <c r="A307" s="2051" t="str">
        <f>IF(VLOOKUP(Funds!L24,Possessions!$X$251:$AF$261,2)=0," ",VLOOKUP(Funds!L24,Possessions!$X$251:$AF$261,2))</f>
        <v>Wooden Bowl</v>
      </c>
      <c r="B307" s="2052"/>
      <c r="C307" s="2052"/>
      <c r="D307" s="2052"/>
      <c r="E307" s="2052"/>
      <c r="F307" s="2052"/>
      <c r="G307" s="2068"/>
      <c r="H307" s="1830">
        <f>VLOOKUP(Funds!L24,Possessions!$X$251:$AF$261,5)</f>
        <v>0.5</v>
      </c>
      <c r="I307" s="1842"/>
      <c r="J307" s="1843"/>
      <c r="K307" s="1836">
        <f>VLOOKUP(Funds!L24,Possessions!$X$251:$AF$261,7)</f>
        <v>0.5</v>
      </c>
      <c r="L307" s="1837"/>
      <c r="M307"/>
      <c r="N307" s="1745" t="str">
        <f>IF(VLOOKUP(Funds!Q10,Possessions!$X$281:$AF$302,2)=0," ",VLOOKUP(Funds!Q10,Possessions!$X$281:$AF$302,2))</f>
        <v xml:space="preserve"> </v>
      </c>
      <c r="O307" s="1820"/>
      <c r="P307" s="1820"/>
      <c r="Q307" s="1820"/>
      <c r="R307" s="1820"/>
      <c r="S307" s="1804">
        <f>VLOOKUP(Funds!Q10,Possessions!$X$281:$AF$302,5)</f>
        <v>0</v>
      </c>
      <c r="T307" s="1804"/>
      <c r="U307" s="1804"/>
      <c r="V307" s="1361">
        <f>VLOOKUP(Funds!Q10,Possessions!$X$281:$AF$302,7)</f>
        <v>0</v>
      </c>
      <c r="W307" s="1361"/>
      <c r="X307" s="1361"/>
      <c r="Y307"/>
      <c r="Z307" s="1808" t="str">
        <f>IF(VLOOKUP(Funds!Q23,Possessions!$X$207:$AF$235,2)=0," ",VLOOKUP(Funds!Q23,Possessions!$X$207:$AF$235,2))</f>
        <v>Straight Razor</v>
      </c>
      <c r="AA307" s="1809"/>
      <c r="AB307" s="1844">
        <f>VLOOKUP(Funds!Q23,Possessions!$X$207:$AF$235,5)</f>
        <v>0.25</v>
      </c>
      <c r="AC307" s="1844"/>
      <c r="AD307" s="434">
        <f>VLOOKUP(Funds!Q23,Possessions!$X$207:$AF$235,7)</f>
        <v>14</v>
      </c>
      <c r="AE307" s="2423"/>
      <c r="AG307" s="2415" t="s">
        <v>5745</v>
      </c>
      <c r="AH307" s="2415"/>
      <c r="AI307" s="2415"/>
      <c r="AJ307" s="2415"/>
      <c r="AK307" s="2415"/>
      <c r="AL307" s="2514"/>
      <c r="AM307" s="2506"/>
      <c r="AN307" s="2506"/>
      <c r="AO307" s="2506"/>
      <c r="AP307" s="2418" t="s">
        <v>5746</v>
      </c>
      <c r="AQ307" s="1315"/>
      <c r="AR307" s="1315"/>
      <c r="AS307" s="1315"/>
      <c r="AT307" s="1315"/>
      <c r="AU307" s="2504"/>
      <c r="AV307" s="1315"/>
      <c r="AW307" s="2418" t="s">
        <v>5745</v>
      </c>
      <c r="AX307" s="2418"/>
      <c r="AY307" s="2418"/>
      <c r="AZ307" s="2418"/>
      <c r="BA307" s="2418"/>
      <c r="BB307" s="2418" t="s">
        <v>5746</v>
      </c>
      <c r="BC307" s="2506"/>
      <c r="BD307" s="2506"/>
      <c r="BE307" s="2504"/>
      <c r="BF307" s="2505"/>
      <c r="BG307" s="2505"/>
      <c r="BH307" s="2505"/>
      <c r="BI307" s="2505"/>
      <c r="BJ307" s="2505"/>
      <c r="BM307" s="2415" t="s">
        <v>5745</v>
      </c>
      <c r="BN307" s="2415"/>
      <c r="BO307" s="2415"/>
      <c r="BP307" s="2415"/>
      <c r="BQ307" s="2415"/>
      <c r="BR307" s="2514"/>
      <c r="BS307" s="2506"/>
      <c r="BT307" s="2506"/>
      <c r="BU307" s="2506"/>
      <c r="BV307" s="2418" t="s">
        <v>5746</v>
      </c>
      <c r="BW307" s="1315"/>
      <c r="BX307" s="1315"/>
      <c r="BY307" s="1315"/>
      <c r="BZ307" s="1315"/>
      <c r="CA307" s="2504"/>
      <c r="CB307" s="1315"/>
      <c r="CC307" s="2418" t="s">
        <v>5745</v>
      </c>
      <c r="CD307" s="2418"/>
      <c r="CE307" s="2418"/>
      <c r="CF307" s="2418"/>
      <c r="CG307" s="2418"/>
      <c r="CH307" s="2418" t="s">
        <v>5746</v>
      </c>
      <c r="CI307" s="2506"/>
      <c r="CJ307" s="2506"/>
      <c r="CK307" s="2504"/>
      <c r="CL307" s="2505"/>
      <c r="CM307" s="2505"/>
      <c r="CN307" s="2505"/>
      <c r="CO307" s="2505"/>
      <c r="CP307" s="2505"/>
      <c r="CQ307" s="2527"/>
      <c r="CR307" s="2423"/>
    </row>
    <row r="308" spans="1:96" ht="12.75" customHeight="1">
      <c r="A308" s="2060" t="str">
        <f>IF(VLOOKUP(Funds!L25,Possessions!$X$251:$AF$261,2)=0," ",VLOOKUP(Funds!L25,Possessions!$X$251:$AF$261,2))</f>
        <v>Wooden Spoon</v>
      </c>
      <c r="B308" s="2061"/>
      <c r="C308" s="2061"/>
      <c r="D308" s="2061"/>
      <c r="E308" s="2061"/>
      <c r="F308" s="2061"/>
      <c r="G308" s="2072"/>
      <c r="H308" s="1839">
        <f>VLOOKUP(Funds!L25,Possessions!$X$251:$AF$261,5)</f>
        <v>6.25E-2</v>
      </c>
      <c r="I308" s="1840"/>
      <c r="J308" s="1841"/>
      <c r="K308" s="1817">
        <f>VLOOKUP(Funds!L25,Possessions!$X$251:$AF$261,7)</f>
        <v>0.25</v>
      </c>
      <c r="L308" s="1818"/>
      <c r="M308"/>
      <c r="N308" s="1796" t="str">
        <f>IF(VLOOKUP(Funds!Q11,Possessions!$X$281:$AF$302,2)=0," ",VLOOKUP(Funds!Q11,Possessions!$X$281:$AF$302,2))</f>
        <v xml:space="preserve"> </v>
      </c>
      <c r="O308" s="1797"/>
      <c r="P308" s="1797"/>
      <c r="Q308" s="1797"/>
      <c r="R308" s="1797"/>
      <c r="S308" s="1795">
        <f>VLOOKUP(Funds!Q11,Possessions!$X$281:$AF$302,5)</f>
        <v>0</v>
      </c>
      <c r="T308" s="1795"/>
      <c r="U308" s="1795"/>
      <c r="V308" s="1363">
        <f>VLOOKUP(Funds!Q11,Possessions!$X$281:$AF$302,7)</f>
        <v>0</v>
      </c>
      <c r="W308" s="1363"/>
      <c r="X308" s="1363"/>
      <c r="Y308"/>
      <c r="Z308" s="1796" t="str">
        <f>IF(VLOOKUP(Funds!Q24,Possessions!$X$207:$AF$235,2)=0," ",VLOOKUP(Funds!Q24,Possessions!$X$207:$AF$235,2))</f>
        <v>Whetstone</v>
      </c>
      <c r="AA308" s="1827"/>
      <c r="AB308" s="1744">
        <f>VLOOKUP(Funds!Q24,Possessions!$X$207:$AF$235,5)</f>
        <v>0.5</v>
      </c>
      <c r="AC308" s="1744"/>
      <c r="AD308" s="428">
        <f>VLOOKUP(Funds!Q24,Possessions!$X$207:$AF$235,7)</f>
        <v>0.06</v>
      </c>
      <c r="AE308" s="2423"/>
      <c r="AG308" s="2162" t="s">
        <v>5752</v>
      </c>
      <c r="AH308" s="2162"/>
      <c r="AI308" s="2162"/>
      <c r="AJ308" s="2162"/>
      <c r="AK308" s="2162"/>
      <c r="AL308" s="2162"/>
      <c r="AM308" s="2162"/>
      <c r="AN308" s="2162"/>
      <c r="AO308" s="2162"/>
      <c r="AP308" s="2162"/>
      <c r="AQ308" s="2162"/>
      <c r="AR308" s="2162"/>
      <c r="AS308" s="2162"/>
      <c r="AT308" s="2162"/>
      <c r="AU308" s="2162"/>
      <c r="AV308" s="2162"/>
      <c r="AW308" s="2162"/>
      <c r="AX308" s="2162"/>
      <c r="AY308" s="2162"/>
      <c r="AZ308" s="2162"/>
      <c r="BA308" s="2162"/>
      <c r="BB308" s="2162"/>
      <c r="BC308" s="2162"/>
      <c r="BD308" s="2162"/>
      <c r="BE308" s="2162"/>
      <c r="BF308" s="2162"/>
      <c r="BG308" s="2162"/>
      <c r="BH308" s="2162"/>
      <c r="BI308" s="2162"/>
      <c r="BJ308" s="2162"/>
      <c r="BM308" s="2162" t="s">
        <v>5752</v>
      </c>
      <c r="BN308" s="2162"/>
      <c r="BO308" s="2162"/>
      <c r="BP308" s="2162"/>
      <c r="BQ308" s="2162"/>
      <c r="BR308" s="2162"/>
      <c r="BS308" s="2162"/>
      <c r="BT308" s="2162"/>
      <c r="BU308" s="2162"/>
      <c r="BV308" s="2162"/>
      <c r="BW308" s="2162"/>
      <c r="BX308" s="2162"/>
      <c r="BY308" s="2162"/>
      <c r="BZ308" s="2162"/>
      <c r="CA308" s="2162"/>
      <c r="CB308" s="2162"/>
      <c r="CC308" s="2162"/>
      <c r="CD308" s="2162"/>
      <c r="CE308" s="2162"/>
      <c r="CF308" s="2162"/>
      <c r="CG308" s="2162"/>
      <c r="CH308" s="2162"/>
      <c r="CI308" s="2162"/>
      <c r="CJ308" s="2162"/>
      <c r="CK308" s="2162"/>
      <c r="CL308" s="2162"/>
      <c r="CM308" s="2162"/>
      <c r="CN308" s="2162"/>
      <c r="CO308" s="2162"/>
      <c r="CP308" s="2162"/>
      <c r="CQ308" s="2527"/>
      <c r="CR308" s="2423"/>
    </row>
    <row r="309" spans="1:96" ht="12.75" customHeight="1">
      <c r="A309" s="2051" t="str">
        <f>IF(VLOOKUP(Funds!L26,Possessions!$X$251:$AF$261,2)=0," ",VLOOKUP(Funds!L26,Possessions!$X$251:$AF$261,2))</f>
        <v>Iron Frying Pan (Small)</v>
      </c>
      <c r="B309" s="1806"/>
      <c r="C309" s="1806"/>
      <c r="D309" s="1806"/>
      <c r="E309" s="1806"/>
      <c r="F309" s="2052"/>
      <c r="G309" s="2068"/>
      <c r="H309" s="1830">
        <f>VLOOKUP(Funds!L26,Possessions!$X$251:$AF$261,5)</f>
        <v>3</v>
      </c>
      <c r="I309" s="1831"/>
      <c r="J309" s="1832"/>
      <c r="K309" s="1836">
        <f>VLOOKUP(Funds!L26,Possessions!$X$251:$AF$261,7)</f>
        <v>24</v>
      </c>
      <c r="L309" s="1837"/>
      <c r="M309"/>
      <c r="N309" s="1745" t="str">
        <f>IF(VLOOKUP(Funds!Q12,Possessions!$X$281:$AF$302,2)=0," ",VLOOKUP(Funds!Q12,Possessions!$X$281:$AF$302,2))</f>
        <v xml:space="preserve"> </v>
      </c>
      <c r="O309" s="1820"/>
      <c r="P309" s="1820"/>
      <c r="Q309" s="1820"/>
      <c r="R309" s="1820"/>
      <c r="S309" s="1804">
        <f>VLOOKUP(Funds!Q12,Possessions!$X$281:$AF$302,5)</f>
        <v>0</v>
      </c>
      <c r="T309" s="1804"/>
      <c r="U309" s="1804"/>
      <c r="V309" s="1361">
        <f>VLOOKUP(Funds!Q12,Possessions!$X$281:$AF$302,7)</f>
        <v>0</v>
      </c>
      <c r="W309" s="1361"/>
      <c r="X309" s="1361"/>
      <c r="Y309"/>
      <c r="Z309" s="1745" t="str">
        <f>IF(VLOOKUP(Funds!Q25,Possessions!$X$207:$AF$235,2)=0," ",VLOOKUP(Funds!Q25,Possessions!$X$207:$AF$235,2))</f>
        <v>Wood Axe</v>
      </c>
      <c r="AA309" s="1746"/>
      <c r="AB309" s="1801">
        <f>VLOOKUP(Funds!Q25,Possessions!$X$207:$AF$235,5)</f>
        <v>6</v>
      </c>
      <c r="AC309" s="1801"/>
      <c r="AD309" s="429">
        <f>VLOOKUP(Funds!Q25,Possessions!$X$207:$AF$235,7)</f>
        <v>2</v>
      </c>
      <c r="AE309" s="2423"/>
      <c r="AG309" s="1760"/>
      <c r="AH309" s="1760"/>
      <c r="AI309" s="1760"/>
      <c r="AJ309" s="1760"/>
      <c r="AK309" s="1760"/>
      <c r="AL309" s="1760"/>
      <c r="AM309" s="1760"/>
      <c r="AN309" s="1760"/>
      <c r="AO309" s="1760"/>
      <c r="AP309" s="1760"/>
      <c r="AQ309" s="1760"/>
      <c r="AR309" s="1760"/>
      <c r="AS309" s="1760"/>
      <c r="AT309" s="1760"/>
      <c r="AU309" s="1760"/>
      <c r="AV309" s="1760"/>
      <c r="AW309" s="1760"/>
      <c r="AX309" s="1760"/>
      <c r="AY309" s="1760"/>
      <c r="AZ309" s="1760"/>
      <c r="BA309" s="1760"/>
      <c r="BB309" s="1760"/>
      <c r="BC309" s="1760"/>
      <c r="BD309" s="1760"/>
      <c r="BE309" s="1760"/>
      <c r="BF309" s="1760"/>
      <c r="BG309" s="1760"/>
      <c r="BH309" s="1760"/>
      <c r="BI309" s="1760"/>
      <c r="BJ309" s="1760"/>
      <c r="BM309" s="1760"/>
      <c r="BN309" s="1760"/>
      <c r="BO309" s="1760"/>
      <c r="BP309" s="1760"/>
      <c r="BQ309" s="1760"/>
      <c r="BR309" s="1760"/>
      <c r="BS309" s="1760"/>
      <c r="BT309" s="1760"/>
      <c r="BU309" s="1760"/>
      <c r="BV309" s="1760"/>
      <c r="BW309" s="1760"/>
      <c r="BX309" s="1760"/>
      <c r="BY309" s="1760"/>
      <c r="BZ309" s="1760"/>
      <c r="CA309" s="1760"/>
      <c r="CB309" s="1760"/>
      <c r="CC309" s="1760"/>
      <c r="CD309" s="1760"/>
      <c r="CE309" s="1760"/>
      <c r="CF309" s="1760"/>
      <c r="CG309" s="1760"/>
      <c r="CH309" s="1760"/>
      <c r="CI309" s="1760"/>
      <c r="CJ309" s="1760"/>
      <c r="CK309" s="1760"/>
      <c r="CL309" s="1760"/>
      <c r="CM309" s="1760"/>
      <c r="CN309" s="1760"/>
      <c r="CO309" s="1760"/>
      <c r="CP309" s="1760"/>
      <c r="CQ309" s="2527"/>
      <c r="CR309" s="2423"/>
    </row>
    <row r="310" spans="1:96" ht="12.75" customHeight="1">
      <c r="A310" s="2060" t="str">
        <f>IF(VLOOKUP(Funds!L27,Possessions!$X$236:$AF$250,2)=0," ",VLOOKUP(Funds!L27,Possessions!$X$236:$AF$250,2))</f>
        <v>Candle, Tallow (6 hr x4)</v>
      </c>
      <c r="B310" s="2061"/>
      <c r="C310" s="2061"/>
      <c r="D310" s="2061"/>
      <c r="E310" s="2061"/>
      <c r="F310" s="2061"/>
      <c r="G310" s="2072"/>
      <c r="H310" s="2059">
        <f>VLOOKUP(Funds!L27,Possessions!$X$236:$AF$250,5)</f>
        <v>1</v>
      </c>
      <c r="I310" s="2059"/>
      <c r="J310" s="2059"/>
      <c r="K310" s="1817">
        <f>VLOOKUP(Funds!L27,Possessions!$X$236:$AF$250,7)</f>
        <v>0.5</v>
      </c>
      <c r="L310" s="1818"/>
      <c r="M310"/>
      <c r="N310" s="1796" t="str">
        <f>IF(VLOOKUP(Funds!Q13,Possessions!$X$281:$AF$302,2)=0," ",VLOOKUP(Funds!Q13,Possessions!$X$281:$AF$302,2))</f>
        <v xml:space="preserve"> </v>
      </c>
      <c r="O310" s="1797"/>
      <c r="P310" s="1797"/>
      <c r="Q310" s="1797"/>
      <c r="R310" s="1797"/>
      <c r="S310" s="1795">
        <f>VLOOKUP(Funds!Q13,Possessions!$X$281:$AF$302,5)</f>
        <v>0</v>
      </c>
      <c r="T310" s="1795"/>
      <c r="U310" s="1795"/>
      <c r="V310" s="1363">
        <f>VLOOKUP(Funds!Q13,Possessions!$X$281:$AF$302,7)</f>
        <v>0</v>
      </c>
      <c r="W310" s="1363"/>
      <c r="X310" s="1363"/>
      <c r="Y310"/>
      <c r="Z310" s="1796" t="str">
        <f>IF(VLOOKUP(Funds!Q26,Possessions!$X$207:$AF$235,2)=0," ",VLOOKUP(Funds!Q26,Possessions!$X$207:$AF$235,2))</f>
        <v>Spun Yarn</v>
      </c>
      <c r="AA310" s="1819"/>
      <c r="AB310" s="1744">
        <f>VLOOKUP(Funds!Q26,Possessions!$X$207:$AF$235,5)</f>
        <v>1</v>
      </c>
      <c r="AC310" s="1744"/>
      <c r="AD310" s="428">
        <f>VLOOKUP(Funds!Q26,Possessions!$X$207:$AF$235,7)</f>
        <v>1</v>
      </c>
      <c r="AE310" s="2423"/>
      <c r="AF310" s="574"/>
      <c r="AG310" s="1760"/>
      <c r="AH310" s="1760"/>
      <c r="AI310" s="1760"/>
      <c r="AJ310" s="1760"/>
      <c r="AK310" s="1760"/>
      <c r="AL310" s="1760"/>
      <c r="AM310" s="1760"/>
      <c r="AN310" s="1760"/>
      <c r="AO310" s="1760"/>
      <c r="AP310" s="1760"/>
      <c r="AQ310" s="1760"/>
      <c r="AR310" s="1760"/>
      <c r="AS310" s="1760"/>
      <c r="AT310" s="1760"/>
      <c r="AU310" s="1760"/>
      <c r="AV310" s="1760"/>
      <c r="AW310" s="1760"/>
      <c r="AX310" s="1760"/>
      <c r="AY310" s="1760"/>
      <c r="AZ310" s="1760"/>
      <c r="BA310" s="1760"/>
      <c r="BB310" s="1760"/>
      <c r="BC310" s="1760"/>
      <c r="BD310" s="1760"/>
      <c r="BE310" s="1760"/>
      <c r="BF310" s="1760"/>
      <c r="BG310" s="1760"/>
      <c r="BH310" s="1760"/>
      <c r="BI310" s="1760"/>
      <c r="BJ310" s="1760"/>
      <c r="BM310" s="1760"/>
      <c r="BN310" s="1760"/>
      <c r="BO310" s="1760"/>
      <c r="BP310" s="1760"/>
      <c r="BQ310" s="1760"/>
      <c r="BR310" s="1760"/>
      <c r="BS310" s="1760"/>
      <c r="BT310" s="1760"/>
      <c r="BU310" s="1760"/>
      <c r="BV310" s="1760"/>
      <c r="BW310" s="1760"/>
      <c r="BX310" s="1760"/>
      <c r="BY310" s="1760"/>
      <c r="BZ310" s="1760"/>
      <c r="CA310" s="1760"/>
      <c r="CB310" s="1760"/>
      <c r="CC310" s="1760"/>
      <c r="CD310" s="1760"/>
      <c r="CE310" s="1760"/>
      <c r="CF310" s="1760"/>
      <c r="CG310" s="1760"/>
      <c r="CH310" s="1760"/>
      <c r="CI310" s="1760"/>
      <c r="CJ310" s="1760"/>
      <c r="CK310" s="1760"/>
      <c r="CL310" s="1760"/>
      <c r="CM310" s="1760"/>
      <c r="CN310" s="1760"/>
      <c r="CO310" s="1760"/>
      <c r="CP310" s="1760"/>
      <c r="CQ310" s="2527"/>
      <c r="CR310" s="2423"/>
    </row>
    <row r="311" spans="1:96" ht="12.75" customHeight="1">
      <c r="A311" s="2051" t="str">
        <f>IF(VLOOKUP(Funds!L28,Possessions!$X$236:$AF$250,2)=0," ",VLOOKUP(Funds!L28,Possessions!$X$236:$AF$250,2))</f>
        <v>Flint &amp; Steel</v>
      </c>
      <c r="B311" s="2052"/>
      <c r="C311" s="2052"/>
      <c r="D311" s="2052"/>
      <c r="E311" s="2052"/>
      <c r="F311" s="2052"/>
      <c r="G311" s="2068"/>
      <c r="H311" s="1838">
        <f>VLOOKUP(Funds!L28,Possessions!$X$236:$AF$250,5)</f>
        <v>0.25</v>
      </c>
      <c r="I311" s="1838"/>
      <c r="J311" s="1838"/>
      <c r="K311" s="1836">
        <f>VLOOKUP(Funds!L28,Possessions!$X$236:$AF$250,7)</f>
        <v>1</v>
      </c>
      <c r="L311" s="1837"/>
      <c r="M311"/>
      <c r="N311" s="1745" t="str">
        <f>IF(VLOOKUP(Funds!Q18,Possessions!$X$207:$AF$235,2)=0," ",VLOOKUP(Funds!Q18,Possessions!$X$207:$AF$235,2))</f>
        <v>Soap: Bath</v>
      </c>
      <c r="O311" s="1745"/>
      <c r="P311" s="1745"/>
      <c r="Q311" s="1745"/>
      <c r="R311" s="1745"/>
      <c r="S311" s="1804">
        <f>VLOOKUP(Funds!Q18,Possessions!$X$207:$AF$235,5)</f>
        <v>1</v>
      </c>
      <c r="T311" s="1804"/>
      <c r="U311" s="1804"/>
      <c r="V311" s="1361">
        <f>VLOOKUP(Funds!Q18,Possessions!$X$207:$AF$235,7)</f>
        <v>1</v>
      </c>
      <c r="W311" s="1802"/>
      <c r="X311" s="1803"/>
      <c r="Y311"/>
      <c r="Z311" s="1745" t="str">
        <f>IF(VLOOKUP(Funds!Q27,Possessions!$X$207:$AF$235,2)=0," ",VLOOKUP(Funds!Q27,Possessions!$X$207:$AF$235,2))</f>
        <v>Spindle</v>
      </c>
      <c r="AA311" s="1746"/>
      <c r="AB311" s="1801">
        <f>VLOOKUP(Funds!Q27,Possessions!$X$207:$AF$235,5)</f>
        <v>1</v>
      </c>
      <c r="AC311" s="1801"/>
      <c r="AD311" s="429">
        <f>VLOOKUP(Funds!Q27,Possessions!$X$207:$AF$235,7)</f>
        <v>1</v>
      </c>
      <c r="AE311" s="2423"/>
      <c r="AF311" s="574"/>
      <c r="AG311" s="1760"/>
      <c r="AH311" s="1760"/>
      <c r="AI311" s="1760"/>
      <c r="AJ311" s="1760"/>
      <c r="AK311" s="1760"/>
      <c r="AL311" s="1760"/>
      <c r="AM311" s="1760"/>
      <c r="AN311" s="1760"/>
      <c r="AO311" s="1760"/>
      <c r="AP311" s="1760"/>
      <c r="AQ311" s="1760"/>
      <c r="AR311" s="1760"/>
      <c r="AS311" s="1760"/>
      <c r="AT311" s="1760"/>
      <c r="AU311" s="1760"/>
      <c r="AV311" s="1760"/>
      <c r="AW311" s="1760"/>
      <c r="AX311" s="1760"/>
      <c r="AY311" s="1760"/>
      <c r="AZ311" s="1760"/>
      <c r="BA311" s="1760"/>
      <c r="BB311" s="1760"/>
      <c r="BC311" s="1760"/>
      <c r="BD311" s="1760"/>
      <c r="BE311" s="1760"/>
      <c r="BF311" s="1760"/>
      <c r="BG311" s="1760"/>
      <c r="BH311" s="1760"/>
      <c r="BI311" s="1760"/>
      <c r="BJ311" s="1760"/>
      <c r="BM311" s="1760"/>
      <c r="BN311" s="1760"/>
      <c r="BO311" s="1760"/>
      <c r="BP311" s="1760"/>
      <c r="BQ311" s="1760"/>
      <c r="BR311" s="1760"/>
      <c r="BS311" s="1760"/>
      <c r="BT311" s="1760"/>
      <c r="BU311" s="1760"/>
      <c r="BV311" s="1760"/>
      <c r="BW311" s="1760"/>
      <c r="BX311" s="1760"/>
      <c r="BY311" s="1760"/>
      <c r="BZ311" s="1760"/>
      <c r="CA311" s="1760"/>
      <c r="CB311" s="1760"/>
      <c r="CC311" s="1760"/>
      <c r="CD311" s="1760"/>
      <c r="CE311" s="1760"/>
      <c r="CF311" s="1760"/>
      <c r="CG311" s="1760"/>
      <c r="CH311" s="1760"/>
      <c r="CI311" s="1760"/>
      <c r="CJ311" s="1760"/>
      <c r="CK311" s="1760"/>
      <c r="CL311" s="1760"/>
      <c r="CM311" s="1760"/>
      <c r="CN311" s="1760"/>
      <c r="CO311" s="1760"/>
      <c r="CP311" s="1760"/>
      <c r="CQ311" s="2527"/>
      <c r="CR311" s="2423"/>
    </row>
    <row r="312" spans="1:96" ht="12.75" customHeight="1">
      <c r="A312" s="2060" t="str">
        <f>IF(VLOOKUP(Funds!L29,Possessions!$X$236:$AF$250,2)=0," ",VLOOKUP(Funds!L29,Possessions!$X$236:$AF$250,2))</f>
        <v>Tinder Box</v>
      </c>
      <c r="B312" s="2061"/>
      <c r="C312" s="2061"/>
      <c r="D312" s="2061"/>
      <c r="E312" s="2061"/>
      <c r="F312" s="2061"/>
      <c r="G312" s="2072"/>
      <c r="H312" s="2059">
        <f>VLOOKUP(Funds!L29,Possessions!$X$236:$AF$250,5)</f>
        <v>0.5</v>
      </c>
      <c r="I312" s="2059"/>
      <c r="J312" s="2059"/>
      <c r="K312" s="1817">
        <f>VLOOKUP(Funds!L29,Possessions!$X$236:$AF$250,7)</f>
        <v>4</v>
      </c>
      <c r="L312" s="1818"/>
      <c r="M312"/>
      <c r="N312" s="1796" t="str">
        <f>IF(VLOOKUP(Funds!Q19,Possessions!$X$207:$AF$235,2)=0," ",VLOOKUP(Funds!Q19,Possessions!$X$207:$AF$235,2))</f>
        <v>Metal Mirror (6"x6")</v>
      </c>
      <c r="O312" s="1796"/>
      <c r="P312" s="1796"/>
      <c r="Q312" s="1796"/>
      <c r="R312" s="1796"/>
      <c r="S312" s="1795">
        <f>VLOOKUP(Funds!Q19,Possessions!$X$207:$AF$235,5)</f>
        <v>0.25</v>
      </c>
      <c r="T312" s="1795"/>
      <c r="U312" s="1795"/>
      <c r="V312" s="1363">
        <f>VLOOKUP(Funds!Q19,Possessions!$X$207:$AF$235,7)</f>
        <v>15</v>
      </c>
      <c r="W312" s="1803"/>
      <c r="X312" s="1803"/>
      <c r="Y312"/>
      <c r="Z312" s="1796" t="str">
        <f>IF(VLOOKUP(Funds!Q28,Possessions!$X$207:$AF$235,2)=0," ",VLOOKUP(Funds!Q28,Possessions!$X$207:$AF$235,2))</f>
        <v xml:space="preserve"> </v>
      </c>
      <c r="AA312" s="1819"/>
      <c r="AB312" s="1744">
        <f>VLOOKUP(Funds!Q28,Possessions!$X$207:$AF$235,5)</f>
        <v>0</v>
      </c>
      <c r="AC312" s="1744"/>
      <c r="AD312" s="428">
        <f>VLOOKUP(Funds!Q28,Possessions!$X$207:$AF$235,7)</f>
        <v>0</v>
      </c>
      <c r="AE312" s="2423"/>
      <c r="AF312" s="574"/>
      <c r="AG312" s="1760"/>
      <c r="AH312" s="1760"/>
      <c r="AI312" s="1760"/>
      <c r="AJ312" s="1760"/>
      <c r="AK312" s="1760"/>
      <c r="AL312" s="1760"/>
      <c r="AM312" s="1760"/>
      <c r="AN312" s="1760"/>
      <c r="AO312" s="1760"/>
      <c r="AP312" s="1760"/>
      <c r="AQ312" s="1760"/>
      <c r="AR312" s="1760"/>
      <c r="AS312" s="1760"/>
      <c r="AT312" s="1760"/>
      <c r="AU312" s="1760"/>
      <c r="AV312" s="1760"/>
      <c r="AW312" s="1760"/>
      <c r="AX312" s="1760"/>
      <c r="AY312" s="1760"/>
      <c r="AZ312" s="1760"/>
      <c r="BA312" s="1760"/>
      <c r="BB312" s="1760"/>
      <c r="BC312" s="1760"/>
      <c r="BD312" s="1760"/>
      <c r="BE312" s="1760"/>
      <c r="BF312" s="1760"/>
      <c r="BG312" s="1760"/>
      <c r="BH312" s="1760"/>
      <c r="BI312" s="1760"/>
      <c r="BJ312" s="1760"/>
      <c r="BM312" s="1760"/>
      <c r="BN312" s="1760"/>
      <c r="BO312" s="1760"/>
      <c r="BP312" s="1760"/>
      <c r="BQ312" s="1760"/>
      <c r="BR312" s="1760"/>
      <c r="BS312" s="1760"/>
      <c r="BT312" s="1760"/>
      <c r="BU312" s="1760"/>
      <c r="BV312" s="1760"/>
      <c r="BW312" s="1760"/>
      <c r="BX312" s="1760"/>
      <c r="BY312" s="1760"/>
      <c r="BZ312" s="1760"/>
      <c r="CA312" s="1760"/>
      <c r="CB312" s="1760"/>
      <c r="CC312" s="1760"/>
      <c r="CD312" s="1760"/>
      <c r="CE312" s="1760"/>
      <c r="CF312" s="1760"/>
      <c r="CG312" s="1760"/>
      <c r="CH312" s="1760"/>
      <c r="CI312" s="1760"/>
      <c r="CJ312" s="1760"/>
      <c r="CK312" s="1760"/>
      <c r="CL312" s="1760"/>
      <c r="CM312" s="1760"/>
      <c r="CN312" s="1760"/>
      <c r="CO312" s="1760"/>
      <c r="CP312" s="1760"/>
      <c r="CQ312" s="2527"/>
      <c r="CR312" s="2423"/>
    </row>
    <row r="313" spans="1:96" ht="12.75" customHeight="1">
      <c r="A313" s="2051" t="str">
        <f>IF(VLOOKUP(Funds!Q14,Possessions!$X$263:$AF$279,2)=0," ",VLOOKUP(Funds!Q14,Possessions!$X$263:$AF$279,2))</f>
        <v>Rope, per 50'</v>
      </c>
      <c r="B313" s="2052"/>
      <c r="C313" s="2052"/>
      <c r="D313" s="2052"/>
      <c r="E313" s="2052"/>
      <c r="F313" s="2053"/>
      <c r="G313" s="2054"/>
      <c r="H313" s="1804">
        <f>VLOOKUP(Funds!Q14,Possessions!$X$263:$AF$279,5)</f>
        <v>3</v>
      </c>
      <c r="I313" s="1804"/>
      <c r="J313" s="1804"/>
      <c r="K313" s="1438">
        <f>VLOOKUP(Funds!Q14,Possessions!$X$263:$AF$279,7)</f>
        <v>7</v>
      </c>
      <c r="L313" s="1439"/>
      <c r="M313"/>
      <c r="N313" s="1745" t="str">
        <f>IF(VLOOKUP(Funds!Q20,Possessions!$X$207:$AF$235,2)=0," ",VLOOKUP(Funds!Q20,Possessions!$X$207:$AF$235,2))</f>
        <v>Spade (Short Handle)</v>
      </c>
      <c r="O313" s="1745"/>
      <c r="P313" s="1745"/>
      <c r="Q313" s="1745"/>
      <c r="R313" s="1745"/>
      <c r="S313" s="1804">
        <f>VLOOKUP(Funds!Q20,Possessions!$X$207:$AF$235,5)</f>
        <v>6</v>
      </c>
      <c r="T313" s="1804"/>
      <c r="U313" s="1804"/>
      <c r="V313" s="1361">
        <f>VLOOKUP(Funds!Q20,Possessions!$X$207:$AF$235,7)</f>
        <v>2.2000000000000002</v>
      </c>
      <c r="W313" s="1802"/>
      <c r="X313" s="1803"/>
      <c r="Y313"/>
      <c r="Z313" s="1745" t="str">
        <f>IF(VLOOKUP(Funds!Q29,Possessions!$X$207:$AF$235,2)=0," ",VLOOKUP(Funds!Q29,Possessions!$X$207:$AF$235,2))</f>
        <v xml:space="preserve"> </v>
      </c>
      <c r="AA313" s="1746"/>
      <c r="AB313" s="1801">
        <f>VLOOKUP(Funds!Q29,Possessions!$X$207:$AF$235,5)</f>
        <v>0</v>
      </c>
      <c r="AC313" s="1801"/>
      <c r="AD313" s="429">
        <f>VLOOKUP(Funds!Q29,Possessions!$X$207:$AF$235,7)</f>
        <v>0</v>
      </c>
      <c r="AE313" s="2423"/>
      <c r="AG313" s="1760"/>
      <c r="AH313" s="1760"/>
      <c r="AI313" s="1760"/>
      <c r="AJ313" s="1760"/>
      <c r="AK313" s="1760"/>
      <c r="AL313" s="1760"/>
      <c r="AM313" s="1760"/>
      <c r="AN313" s="1760"/>
      <c r="AO313" s="1760"/>
      <c r="AP313" s="1760"/>
      <c r="AQ313" s="1760"/>
      <c r="AR313" s="1760"/>
      <c r="AS313" s="1760"/>
      <c r="AT313" s="1760"/>
      <c r="AU313" s="1760"/>
      <c r="AV313" s="1760"/>
      <c r="AW313" s="1760"/>
      <c r="AX313" s="1760"/>
      <c r="AY313" s="1760"/>
      <c r="AZ313" s="1760"/>
      <c r="BA313" s="1760"/>
      <c r="BB313" s="1760"/>
      <c r="BC313" s="1760"/>
      <c r="BD313" s="1760"/>
      <c r="BE313" s="1760"/>
      <c r="BF313" s="1760"/>
      <c r="BG313" s="1760"/>
      <c r="BH313" s="1760"/>
      <c r="BI313" s="1760"/>
      <c r="BJ313" s="1760"/>
      <c r="BM313" s="1760"/>
      <c r="BN313" s="1760"/>
      <c r="BO313" s="1760"/>
      <c r="BP313" s="1760"/>
      <c r="BQ313" s="1760"/>
      <c r="BR313" s="1760"/>
      <c r="BS313" s="1760"/>
      <c r="BT313" s="1760"/>
      <c r="BU313" s="1760"/>
      <c r="BV313" s="1760"/>
      <c r="BW313" s="1760"/>
      <c r="BX313" s="1760"/>
      <c r="BY313" s="1760"/>
      <c r="BZ313" s="1760"/>
      <c r="CA313" s="1760"/>
      <c r="CB313" s="1760"/>
      <c r="CC313" s="1760"/>
      <c r="CD313" s="1760"/>
      <c r="CE313" s="1760"/>
      <c r="CF313" s="1760"/>
      <c r="CG313" s="1760"/>
      <c r="CH313" s="1760"/>
      <c r="CI313" s="1760"/>
      <c r="CJ313" s="1760"/>
      <c r="CK313" s="1760"/>
      <c r="CL313" s="1760"/>
      <c r="CM313" s="1760"/>
      <c r="CN313" s="1760"/>
      <c r="CO313" s="1760"/>
      <c r="CP313" s="1760"/>
      <c r="CQ313" s="2527"/>
      <c r="CR313" s="2423"/>
    </row>
    <row r="314" spans="1:96" ht="12.75" customHeight="1">
      <c r="A314" s="2060" t="str">
        <f>IF(VLOOKUP(Funds!Q15,Possessions!$X$263:$AF$279,2)=0," ",VLOOKUP(Funds!Q15,Possessions!$X$263:$AF$279,2))</f>
        <v>Rope, per 50'</v>
      </c>
      <c r="B314" s="2061"/>
      <c r="C314" s="2061"/>
      <c r="D314" s="2061"/>
      <c r="E314" s="2061"/>
      <c r="F314" s="2062"/>
      <c r="G314" s="2063"/>
      <c r="H314" s="1795">
        <f>VLOOKUP(Funds!Q15,Possessions!$X$263:$AF$279,5)</f>
        <v>3</v>
      </c>
      <c r="I314" s="1795"/>
      <c r="J314" s="1795"/>
      <c r="K314" s="1411">
        <f>VLOOKUP(Funds!Q15,Possessions!$X$263:$AF$279,7)</f>
        <v>7</v>
      </c>
      <c r="L314" s="1772"/>
      <c r="M314"/>
      <c r="N314" s="1796" t="str">
        <f>IF(VLOOKUP(Funds!Q21,Possessions!$X$207:$AF$235,2)=0," ",VLOOKUP(Funds!Q21,Possessions!$X$207:$AF$235,2))</f>
        <v>Thread (500')</v>
      </c>
      <c r="O314" s="1796"/>
      <c r="P314" s="1796"/>
      <c r="Q314" s="1796"/>
      <c r="R314" s="1796"/>
      <c r="S314" s="1795">
        <f>VLOOKUP(Funds!Q21,Possessions!$X$207:$AF$235,5)</f>
        <v>6.25E-2</v>
      </c>
      <c r="T314" s="1795"/>
      <c r="U314" s="1795"/>
      <c r="V314" s="1363">
        <f>VLOOKUP(Funds!Q21,Possessions!$X$207:$AF$235,7)</f>
        <v>1</v>
      </c>
      <c r="W314" s="1363"/>
      <c r="X314" s="1363"/>
      <c r="Y314"/>
      <c r="Z314" s="1796" t="str">
        <f>IF(VLOOKUP(Funds!Q30,Possessions!$X$207:$AF$235,2)=0," ",VLOOKUP(Funds!Q30,Possessions!$X$207:$AF$235,2))</f>
        <v xml:space="preserve"> </v>
      </c>
      <c r="AA314" s="1819"/>
      <c r="AB314" s="1744">
        <f>VLOOKUP(Funds!Q30,Possessions!$X$207:$AF$235,5)</f>
        <v>0</v>
      </c>
      <c r="AC314" s="1744"/>
      <c r="AD314" s="428">
        <f>VLOOKUP(Funds!Q30,Possessions!$X$207:$AF$235,7)</f>
        <v>0</v>
      </c>
      <c r="AE314" s="2423"/>
      <c r="AG314" s="1400" t="s">
        <v>5747</v>
      </c>
      <c r="AH314" s="1400"/>
      <c r="AI314" s="1400"/>
      <c r="AJ314" s="1400"/>
      <c r="AK314" s="1400"/>
      <c r="AL314" s="1400"/>
      <c r="AM314" s="1400"/>
      <c r="AN314" s="1400"/>
      <c r="AO314" s="1400"/>
      <c r="AP314" s="1400"/>
      <c r="AQ314" s="1400"/>
      <c r="AR314" s="1400"/>
      <c r="AS314" s="1400"/>
      <c r="AT314" s="1317"/>
      <c r="AU314" s="1317"/>
      <c r="AV314" s="1317"/>
      <c r="AW314" s="1317"/>
      <c r="AX314" s="1317"/>
      <c r="AY314" s="1317"/>
      <c r="AZ314" s="1317"/>
      <c r="BA314" s="1317"/>
      <c r="BB314" s="1317"/>
      <c r="BC314" s="1317"/>
      <c r="BD314" s="1317"/>
      <c r="BE314" s="1317"/>
      <c r="BF314" s="1317"/>
      <c r="BG314" s="1317"/>
      <c r="BH314" s="1317"/>
      <c r="BI314" s="1317"/>
      <c r="BJ314" s="1317"/>
      <c r="BM314" s="1400" t="s">
        <v>5747</v>
      </c>
      <c r="BN314" s="1400"/>
      <c r="BO314" s="1400"/>
      <c r="BP314" s="1400"/>
      <c r="BQ314" s="1400"/>
      <c r="BR314" s="1400"/>
      <c r="BS314" s="1400"/>
      <c r="BT314" s="1400"/>
      <c r="BU314" s="1400"/>
      <c r="BV314" s="1400"/>
      <c r="BW314" s="1400"/>
      <c r="BX314" s="1400"/>
      <c r="BY314" s="1400"/>
      <c r="BZ314" s="1317"/>
      <c r="CA314" s="1317"/>
      <c r="CB314" s="1317"/>
      <c r="CC314" s="1317"/>
      <c r="CD314" s="1317"/>
      <c r="CE314" s="1317"/>
      <c r="CF314" s="1317"/>
      <c r="CG314" s="1317"/>
      <c r="CH314" s="1317"/>
      <c r="CI314" s="1317"/>
      <c r="CJ314" s="1317"/>
      <c r="CK314" s="1317"/>
      <c r="CL314" s="1317"/>
      <c r="CM314" s="1317"/>
      <c r="CN314" s="1317"/>
      <c r="CO314" s="1317"/>
      <c r="CP314" s="1317"/>
      <c r="CQ314" s="2527"/>
      <c r="CR314" s="2423"/>
    </row>
    <row r="315" spans="1:96" ht="12.75" customHeight="1" thickBot="1">
      <c r="A315" s="2051" t="str">
        <f>IF(VLOOKUP(Funds!Q16,Possessions!$X$263:$AF$279,2)=0," ",VLOOKUP(Funds!Q16,Possessions!$X$263:$AF$279,2))</f>
        <v xml:space="preserve"> </v>
      </c>
      <c r="B315" s="1806"/>
      <c r="C315" s="1806"/>
      <c r="D315" s="1806"/>
      <c r="E315" s="1806"/>
      <c r="F315" s="2053"/>
      <c r="G315" s="2054"/>
      <c r="H315" s="2069">
        <f>VLOOKUP(Funds!Q16,Possessions!$X$263:$AF$279,5)</f>
        <v>0</v>
      </c>
      <c r="I315" s="2070"/>
      <c r="J315" s="2071"/>
      <c r="K315" s="1438">
        <f>VLOOKUP(Funds!Q16,Possessions!$X$263:$AF$279,7)</f>
        <v>0</v>
      </c>
      <c r="L315" s="1847"/>
      <c r="M315"/>
      <c r="N315" s="1448" t="str">
        <f>IF(VLOOKUP(Funds!Q22,Possessions!$X$207:$AF$235,2)=0," ",VLOOKUP(Funds!Q22,Possessions!$X$207:$AF$235,2))</f>
        <v>Sewing Needle</v>
      </c>
      <c r="O315" s="1448"/>
      <c r="P315" s="1448"/>
      <c r="Q315" s="1448"/>
      <c r="R315" s="1448"/>
      <c r="S315" s="2083">
        <f>VLOOKUP(Funds!Q22,Possessions!$X$207:$AF$235,5)</f>
        <v>0</v>
      </c>
      <c r="T315" s="2083"/>
      <c r="U315" s="2083"/>
      <c r="V315" s="2082">
        <f>VLOOKUP(Funds!Q22,Possessions!$X$207:$AF$235,7)</f>
        <v>1</v>
      </c>
      <c r="W315" s="2082"/>
      <c r="X315" s="2082"/>
      <c r="Y315"/>
      <c r="Z315" s="1448" t="str">
        <f>IF(VLOOKUP(Funds!Q31,Possessions!$X$207:$AF$235,2)=0," ",VLOOKUP(Funds!Q31,Possessions!$X$207:$AF$235,2))</f>
        <v xml:space="preserve"> </v>
      </c>
      <c r="AA315" s="1449"/>
      <c r="AB315" s="1435">
        <f>VLOOKUP(Funds!Q31,Possessions!$X$207:$AF$235,5)</f>
        <v>0</v>
      </c>
      <c r="AC315" s="1435"/>
      <c r="AD315" s="430">
        <f>VLOOKUP(Funds!Q31,Possessions!$X$207:$AF$235,7)</f>
        <v>0</v>
      </c>
      <c r="AE315" s="2423"/>
      <c r="AG315" s="1760"/>
      <c r="AH315" s="1760"/>
      <c r="AI315" s="1760"/>
      <c r="AJ315" s="1760"/>
      <c r="AK315" s="1760"/>
      <c r="AL315" s="1760"/>
      <c r="AM315" s="1760"/>
      <c r="AN315" s="1760"/>
      <c r="AO315" s="1760"/>
      <c r="AP315" s="1760"/>
      <c r="AQ315" s="1760"/>
      <c r="AR315" s="1760"/>
      <c r="AS315" s="1760"/>
      <c r="AT315" s="1760"/>
      <c r="AU315" s="1760"/>
      <c r="AV315" s="1760"/>
      <c r="AW315" s="1760"/>
      <c r="AX315" s="1760"/>
      <c r="AY315" s="1760"/>
      <c r="AZ315" s="1760"/>
      <c r="BA315" s="1760"/>
      <c r="BB315" s="1760"/>
      <c r="BC315" s="1760"/>
      <c r="BD315" s="1760"/>
      <c r="BE315" s="1760"/>
      <c r="BF315" s="1760"/>
      <c r="BG315" s="1760"/>
      <c r="BH315" s="1760"/>
      <c r="BI315" s="1760"/>
      <c r="BJ315" s="1760"/>
      <c r="BM315" s="1760"/>
      <c r="BN315" s="1760"/>
      <c r="BO315" s="1760"/>
      <c r="BP315" s="1760"/>
      <c r="BQ315" s="1760"/>
      <c r="BR315" s="1760"/>
      <c r="BS315" s="1760"/>
      <c r="BT315" s="1760"/>
      <c r="BU315" s="1760"/>
      <c r="BV315" s="1760"/>
      <c r="BW315" s="1760"/>
      <c r="BX315" s="1760"/>
      <c r="BY315" s="1760"/>
      <c r="BZ315" s="1760"/>
      <c r="CA315" s="1760"/>
      <c r="CB315" s="1760"/>
      <c r="CC315" s="1760"/>
      <c r="CD315" s="1760"/>
      <c r="CE315" s="1760"/>
      <c r="CF315" s="1760"/>
      <c r="CG315" s="1760"/>
      <c r="CH315" s="1760"/>
      <c r="CI315" s="1760"/>
      <c r="CJ315" s="1760"/>
      <c r="CK315" s="1760"/>
      <c r="CL315" s="1760"/>
      <c r="CM315" s="1760"/>
      <c r="CN315" s="1760"/>
      <c r="CO315" s="1760"/>
      <c r="CP315" s="1760"/>
      <c r="CQ315" s="2527"/>
      <c r="CR315" s="2423"/>
    </row>
    <row r="316" spans="1:96" ht="12.75" customHeight="1" thickTop="1" thickBot="1">
      <c r="A316" s="2055" t="str">
        <f>IF(VLOOKUP(Funds!Q17,Possessions!$X$263:$AF$279,2)=0," ",VLOOKUP(Funds!Q17,Possessions!$X$263:$AF$279,2))</f>
        <v xml:space="preserve"> </v>
      </c>
      <c r="B316" s="2056"/>
      <c r="C316" s="2056"/>
      <c r="D316" s="2056"/>
      <c r="E316" s="2056"/>
      <c r="F316" s="2057"/>
      <c r="G316" s="2058"/>
      <c r="H316" s="2084">
        <f>VLOOKUP(Funds!Q17,Possessions!$X$263:$AF$279,5)</f>
        <v>0</v>
      </c>
      <c r="I316" s="2085"/>
      <c r="J316" s="2086"/>
      <c r="K316" s="2080">
        <f>VLOOKUP(Funds!Q17,Possessions!$X$263:$AF$279,7)</f>
        <v>0</v>
      </c>
      <c r="L316" s="2081"/>
      <c r="M316"/>
      <c r="N316" s="2077"/>
      <c r="O316" s="2078"/>
      <c r="P316" s="2078"/>
      <c r="Q316" s="2078"/>
      <c r="R316" s="2079"/>
      <c r="S316" s="2065"/>
      <c r="T316" s="2066"/>
      <c r="U316" s="2067"/>
      <c r="V316" s="2065"/>
      <c r="W316" s="2066"/>
      <c r="X316" s="2067"/>
      <c r="Y316" s="455"/>
      <c r="Z316" s="1433"/>
      <c r="AA316" s="1434"/>
      <c r="AB316" s="1446"/>
      <c r="AC316" s="1447"/>
      <c r="AD316" s="456"/>
      <c r="AE316" s="2419" t="s">
        <v>5739</v>
      </c>
      <c r="AG316" s="1760"/>
      <c r="AH316" s="1760"/>
      <c r="AI316" s="1760"/>
      <c r="AJ316" s="1760"/>
      <c r="AK316" s="1760"/>
      <c r="AL316" s="1760"/>
      <c r="AM316" s="1760"/>
      <c r="AN316" s="1760"/>
      <c r="AO316" s="1760"/>
      <c r="AP316" s="1760"/>
      <c r="AQ316" s="1760"/>
      <c r="AR316" s="1760"/>
      <c r="AS316" s="1760"/>
      <c r="AT316" s="1760"/>
      <c r="AU316" s="1760"/>
      <c r="AV316" s="1760"/>
      <c r="AW316" s="1760"/>
      <c r="AX316" s="1760"/>
      <c r="AY316" s="1760"/>
      <c r="AZ316" s="1760"/>
      <c r="BA316" s="1760"/>
      <c r="BB316" s="1760"/>
      <c r="BC316" s="1760"/>
      <c r="BD316" s="1760"/>
      <c r="BE316" s="1760"/>
      <c r="BF316" s="1760"/>
      <c r="BG316" s="1760"/>
      <c r="BH316" s="1760"/>
      <c r="BI316" s="1760"/>
      <c r="BJ316" s="1760"/>
      <c r="BM316" s="1760"/>
      <c r="BN316" s="1760"/>
      <c r="BO316" s="1760"/>
      <c r="BP316" s="1760"/>
      <c r="BQ316" s="1760"/>
      <c r="BR316" s="1760"/>
      <c r="BS316" s="1760"/>
      <c r="BT316" s="1760"/>
      <c r="BU316" s="1760"/>
      <c r="BV316" s="1760"/>
      <c r="BW316" s="1760"/>
      <c r="BX316" s="1760"/>
      <c r="BY316" s="1760"/>
      <c r="BZ316" s="1760"/>
      <c r="CA316" s="1760"/>
      <c r="CB316" s="1760"/>
      <c r="CC316" s="1760"/>
      <c r="CD316" s="1760"/>
      <c r="CE316" s="1760"/>
      <c r="CF316" s="1760"/>
      <c r="CG316" s="1760"/>
      <c r="CH316" s="1760"/>
      <c r="CI316" s="1760"/>
      <c r="CJ316" s="1760"/>
      <c r="CK316" s="1760"/>
      <c r="CL316" s="1760"/>
      <c r="CM316" s="1760"/>
      <c r="CN316" s="1760"/>
      <c r="CO316" s="1760"/>
      <c r="CP316" s="1760"/>
      <c r="CQ316" s="2527"/>
      <c r="CR316" s="2423"/>
    </row>
    <row r="317" spans="1:96" ht="12.75" customHeight="1" thickTop="1">
      <c r="A317" s="2075" t="str">
        <f>IF(Funds!$S$54&gt;0,"Wind Instruments"," ")</f>
        <v xml:space="preserve"> </v>
      </c>
      <c r="B317" s="2075"/>
      <c r="C317" s="2075"/>
      <c r="D317" s="2075"/>
      <c r="E317" s="2075"/>
      <c r="F317" s="2076"/>
      <c r="G317" s="2076"/>
      <c r="H317" s="2064" t="str">
        <f>IF(Funds!$S$54&gt;0,Funds!S54," ")</f>
        <v xml:space="preserve"> </v>
      </c>
      <c r="I317" s="2064"/>
      <c r="J317" s="2064"/>
      <c r="K317" s="2064" t="str">
        <f>IF(Funds!$S$54&gt;0,Funds!T54," ")</f>
        <v xml:space="preserve"> </v>
      </c>
      <c r="L317" s="2064"/>
      <c r="M317"/>
      <c r="N317" s="1808"/>
      <c r="O317" s="1808"/>
      <c r="P317" s="1808"/>
      <c r="Q317" s="1808"/>
      <c r="R317" s="1808"/>
      <c r="S317" s="1877"/>
      <c r="T317" s="1877"/>
      <c r="U317" s="1877"/>
      <c r="V317" s="1877"/>
      <c r="W317" s="1877"/>
      <c r="X317" s="1877"/>
      <c r="Y317"/>
      <c r="Z317" s="1808"/>
      <c r="AA317" s="1809"/>
      <c r="AB317" s="1868"/>
      <c r="AC317" s="1868"/>
      <c r="AD317" s="434"/>
      <c r="AE317" s="2420"/>
      <c r="AG317" s="1323"/>
      <c r="AH317" s="1441"/>
      <c r="AI317" s="1441"/>
      <c r="AJ317" s="1441"/>
      <c r="AK317" s="1441"/>
      <c r="AL317" s="1441"/>
      <c r="AM317" s="1441"/>
      <c r="AN317" s="1441"/>
      <c r="AO317" s="1441"/>
      <c r="AP317" s="1441"/>
      <c r="AQ317" s="1441"/>
      <c r="AR317" s="1441"/>
      <c r="AS317" s="1441"/>
      <c r="AT317" s="1441"/>
      <c r="AU317" s="1441"/>
      <c r="AV317" s="1441"/>
      <c r="AW317" s="1441"/>
      <c r="AX317" s="1441"/>
      <c r="AY317" s="1441"/>
      <c r="AZ317" s="1441"/>
      <c r="BA317" s="1441"/>
      <c r="BB317" s="1441"/>
      <c r="BC317" s="1441"/>
      <c r="BD317" s="1441"/>
      <c r="BE317" s="1441"/>
      <c r="BF317" s="1441"/>
      <c r="BG317" s="1441"/>
      <c r="BH317" s="1441"/>
      <c r="BI317" s="1441"/>
      <c r="BJ317" s="1442"/>
      <c r="BM317" s="1323"/>
      <c r="BN317" s="1441"/>
      <c r="BO317" s="1441"/>
      <c r="BP317" s="1441"/>
      <c r="BQ317" s="1441"/>
      <c r="BR317" s="1441"/>
      <c r="BS317" s="1441"/>
      <c r="BT317" s="1441"/>
      <c r="BU317" s="1441"/>
      <c r="BV317" s="1441"/>
      <c r="BW317" s="1441"/>
      <c r="BX317" s="1441"/>
      <c r="BY317" s="1441"/>
      <c r="BZ317" s="1441"/>
      <c r="CA317" s="1441"/>
      <c r="CB317" s="1441"/>
      <c r="CC317" s="1441"/>
      <c r="CD317" s="1441"/>
      <c r="CE317" s="1441"/>
      <c r="CF317" s="1441"/>
      <c r="CG317" s="1441"/>
      <c r="CH317" s="1441"/>
      <c r="CI317" s="1441"/>
      <c r="CJ317" s="1441"/>
      <c r="CK317" s="1441"/>
      <c r="CL317" s="1441"/>
      <c r="CM317" s="1441"/>
      <c r="CN317" s="1441"/>
      <c r="CO317" s="1441"/>
      <c r="CP317" s="1442"/>
      <c r="CQ317" s="2527"/>
      <c r="CR317" s="2423"/>
    </row>
    <row r="318" spans="1:96" ht="12.75" customHeight="1">
      <c r="A318" s="2073" t="str">
        <f>IF(Funds!S53&gt;0,"Stringed Instruments"," ")</f>
        <v xml:space="preserve"> </v>
      </c>
      <c r="B318" s="2073"/>
      <c r="C318" s="2073"/>
      <c r="D318" s="2073"/>
      <c r="E318" s="2073"/>
      <c r="F318" s="2074"/>
      <c r="G318" s="2074"/>
      <c r="H318" s="1875" t="str">
        <f>IF(Funds!S53&gt;0,Funds!S53," ")</f>
        <v xml:space="preserve"> </v>
      </c>
      <c r="I318" s="1875"/>
      <c r="J318" s="1875"/>
      <c r="K318" s="1875" t="str">
        <f>IF(Funds!S53&gt;0,Funds!T53," ")</f>
        <v xml:space="preserve"> </v>
      </c>
      <c r="L318" s="1876"/>
      <c r="M318"/>
      <c r="N318" s="1796"/>
      <c r="O318" s="1796"/>
      <c r="P318" s="1796"/>
      <c r="Q318" s="1796"/>
      <c r="R318" s="1796"/>
      <c r="S318" s="1363"/>
      <c r="T318" s="1363"/>
      <c r="U318" s="1363"/>
      <c r="V318" s="1363"/>
      <c r="W318" s="1363"/>
      <c r="X318" s="1363"/>
      <c r="Y318"/>
      <c r="Z318" s="1796"/>
      <c r="AA318" s="1819"/>
      <c r="AB318" s="1829"/>
      <c r="AC318" s="1829"/>
      <c r="AD318" s="428"/>
      <c r="AE318" s="2420"/>
      <c r="AG318" s="1323"/>
      <c r="AH318" s="1441"/>
      <c r="AI318" s="1441"/>
      <c r="AJ318" s="1441"/>
      <c r="AK318" s="1441"/>
      <c r="AL318" s="1441"/>
      <c r="AM318" s="1441"/>
      <c r="AN318" s="1441"/>
      <c r="AO318" s="1441"/>
      <c r="AP318" s="1441"/>
      <c r="AQ318" s="1441"/>
      <c r="AR318" s="1441"/>
      <c r="AS318" s="1441"/>
      <c r="AT318" s="1441"/>
      <c r="AU318" s="1441"/>
      <c r="AV318" s="1441"/>
      <c r="AW318" s="1441"/>
      <c r="AX318" s="1441"/>
      <c r="AY318" s="1441"/>
      <c r="AZ318" s="1441"/>
      <c r="BA318" s="1441"/>
      <c r="BB318" s="1441"/>
      <c r="BC318" s="1441"/>
      <c r="BD318" s="1441"/>
      <c r="BE318" s="1441"/>
      <c r="BF318" s="1441"/>
      <c r="BG318" s="1441"/>
      <c r="BH318" s="1441"/>
      <c r="BI318" s="1441"/>
      <c r="BJ318" s="1442"/>
      <c r="BM318" s="1323"/>
      <c r="BN318" s="1441"/>
      <c r="BO318" s="1441"/>
      <c r="BP318" s="1441"/>
      <c r="BQ318" s="1441"/>
      <c r="BR318" s="1441"/>
      <c r="BS318" s="1441"/>
      <c r="BT318" s="1441"/>
      <c r="BU318" s="1441"/>
      <c r="BV318" s="1441"/>
      <c r="BW318" s="1441"/>
      <c r="BX318" s="1441"/>
      <c r="BY318" s="1441"/>
      <c r="BZ318" s="1441"/>
      <c r="CA318" s="1441"/>
      <c r="CB318" s="1441"/>
      <c r="CC318" s="1441"/>
      <c r="CD318" s="1441"/>
      <c r="CE318" s="1441"/>
      <c r="CF318" s="1441"/>
      <c r="CG318" s="1441"/>
      <c r="CH318" s="1441"/>
      <c r="CI318" s="1441"/>
      <c r="CJ318" s="1441"/>
      <c r="CK318" s="1441"/>
      <c r="CL318" s="1441"/>
      <c r="CM318" s="1441"/>
      <c r="CN318" s="1441"/>
      <c r="CO318" s="1441"/>
      <c r="CP318" s="1442"/>
      <c r="CQ318" s="2527"/>
      <c r="CR318" s="2423"/>
    </row>
    <row r="319" spans="1:96" ht="12.75" customHeight="1" thickBot="1">
      <c r="A319" s="2395" t="str">
        <f>IF(Funds!$S$52&gt;0,"Drums", " ")</f>
        <v xml:space="preserve"> </v>
      </c>
      <c r="B319" s="2395"/>
      <c r="C319" s="2395"/>
      <c r="D319" s="2395"/>
      <c r="E319" s="2395"/>
      <c r="F319" s="2396"/>
      <c r="G319" s="2396"/>
      <c r="H319" s="1866" t="str">
        <f>IF(Funds!$S$52&gt;0,Funds!S52, " ")</f>
        <v xml:space="preserve"> </v>
      </c>
      <c r="I319" s="1866"/>
      <c r="J319" s="1866"/>
      <c r="K319" s="1866" t="str">
        <f>IF(Funds!$S$52&gt;0,Funds!T52, " ")</f>
        <v xml:space="preserve"> </v>
      </c>
      <c r="L319" s="1867"/>
      <c r="M319"/>
      <c r="N319" s="1745"/>
      <c r="O319" s="1745"/>
      <c r="P319" s="1745"/>
      <c r="Q319" s="1745"/>
      <c r="R319" s="1745"/>
      <c r="S319" s="1361"/>
      <c r="T319" s="1361"/>
      <c r="U319" s="1361"/>
      <c r="V319" s="1361"/>
      <c r="W319" s="1361"/>
      <c r="X319" s="1361"/>
      <c r="Y319"/>
      <c r="Z319" s="1745"/>
      <c r="AA319" s="1746"/>
      <c r="AB319" s="1881"/>
      <c r="AC319" s="1881"/>
      <c r="AD319" s="429"/>
      <c r="AE319" s="2420"/>
      <c r="AG319" s="1323"/>
      <c r="AH319" s="1441"/>
      <c r="AI319" s="1441"/>
      <c r="AJ319" s="1441"/>
      <c r="AK319" s="1441"/>
      <c r="AL319" s="1441"/>
      <c r="AM319" s="1441"/>
      <c r="AN319" s="1441"/>
      <c r="AO319" s="1441"/>
      <c r="AP319" s="1441"/>
      <c r="AQ319" s="1441"/>
      <c r="AR319" s="1441"/>
      <c r="AS319" s="1441"/>
      <c r="AT319" s="1441"/>
      <c r="AU319" s="1441"/>
      <c r="AV319" s="1441"/>
      <c r="AW319" s="1441"/>
      <c r="AX319" s="1441"/>
      <c r="AY319" s="1441"/>
      <c r="AZ319" s="1441"/>
      <c r="BA319" s="1441"/>
      <c r="BB319" s="1441"/>
      <c r="BC319" s="1441"/>
      <c r="BD319" s="1441"/>
      <c r="BE319" s="1441"/>
      <c r="BF319" s="1441"/>
      <c r="BG319" s="1441"/>
      <c r="BH319" s="1441"/>
      <c r="BI319" s="1441"/>
      <c r="BJ319" s="1442"/>
      <c r="BM319" s="1323"/>
      <c r="BN319" s="1441"/>
      <c r="BO319" s="1441"/>
      <c r="BP319" s="1441"/>
      <c r="BQ319" s="1441"/>
      <c r="BR319" s="1441"/>
      <c r="BS319" s="1441"/>
      <c r="BT319" s="1441"/>
      <c r="BU319" s="1441"/>
      <c r="BV319" s="1441"/>
      <c r="BW319" s="1441"/>
      <c r="BX319" s="1441"/>
      <c r="BY319" s="1441"/>
      <c r="BZ319" s="1441"/>
      <c r="CA319" s="1441"/>
      <c r="CB319" s="1441"/>
      <c r="CC319" s="1441"/>
      <c r="CD319" s="1441"/>
      <c r="CE319" s="1441"/>
      <c r="CF319" s="1441"/>
      <c r="CG319" s="1441"/>
      <c r="CH319" s="1441"/>
      <c r="CI319" s="1441"/>
      <c r="CJ319" s="1441"/>
      <c r="CK319" s="1441"/>
      <c r="CL319" s="1441"/>
      <c r="CM319" s="1441"/>
      <c r="CN319" s="1441"/>
      <c r="CO319" s="1441"/>
      <c r="CP319" s="1442"/>
      <c r="CQ319" s="2527"/>
      <c r="CR319" s="2423"/>
    </row>
    <row r="320" spans="1:96" ht="12.75" customHeight="1" thickTop="1">
      <c r="A320" s="2073"/>
      <c r="B320" s="2073"/>
      <c r="C320" s="2073"/>
      <c r="D320" s="2073"/>
      <c r="E320" s="2073"/>
      <c r="F320" s="2074"/>
      <c r="G320" s="2074"/>
      <c r="H320" s="1875"/>
      <c r="I320" s="1875"/>
      <c r="J320" s="1875"/>
      <c r="K320" s="1875"/>
      <c r="L320" s="1876"/>
      <c r="M320"/>
      <c r="N320" s="1796"/>
      <c r="O320" s="1796"/>
      <c r="P320" s="1796"/>
      <c r="Q320" s="1796"/>
      <c r="R320" s="1796"/>
      <c r="S320" s="1363"/>
      <c r="T320" s="1363"/>
      <c r="U320" s="1363"/>
      <c r="V320" s="1363"/>
      <c r="W320" s="1363"/>
      <c r="X320" s="1363"/>
      <c r="Y320"/>
      <c r="Z320" s="1796"/>
      <c r="AA320" s="1819"/>
      <c r="AB320" s="1829"/>
      <c r="AC320" s="1829"/>
      <c r="AD320" s="428"/>
      <c r="AE320" s="2420"/>
      <c r="AG320" s="1323"/>
      <c r="AH320" s="1441"/>
      <c r="AI320" s="1441"/>
      <c r="AJ320" s="1441"/>
      <c r="AK320" s="1441"/>
      <c r="AL320" s="1441"/>
      <c r="AM320" s="1441"/>
      <c r="AN320" s="1441"/>
      <c r="AO320" s="1441"/>
      <c r="AP320" s="1441"/>
      <c r="AQ320" s="1441"/>
      <c r="AR320" s="1441"/>
      <c r="AS320" s="1441"/>
      <c r="AT320" s="1441"/>
      <c r="AU320" s="1441"/>
      <c r="AV320" s="1441"/>
      <c r="AW320" s="1441"/>
      <c r="AX320" s="1441"/>
      <c r="AY320" s="1441"/>
      <c r="AZ320" s="1441"/>
      <c r="BA320" s="1441"/>
      <c r="BB320" s="1441"/>
      <c r="BC320" s="1441"/>
      <c r="BD320" s="1441"/>
      <c r="BE320" s="1441"/>
      <c r="BF320" s="1441"/>
      <c r="BG320" s="1441"/>
      <c r="BH320" s="1441"/>
      <c r="BI320" s="1441"/>
      <c r="BJ320" s="1442"/>
      <c r="BM320" s="1323"/>
      <c r="BN320" s="1441"/>
      <c r="BO320" s="1441"/>
      <c r="BP320" s="1441"/>
      <c r="BQ320" s="1441"/>
      <c r="BR320" s="1441"/>
      <c r="BS320" s="1441"/>
      <c r="BT320" s="1441"/>
      <c r="BU320" s="1441"/>
      <c r="BV320" s="1441"/>
      <c r="BW320" s="1441"/>
      <c r="BX320" s="1441"/>
      <c r="BY320" s="1441"/>
      <c r="BZ320" s="1441"/>
      <c r="CA320" s="1441"/>
      <c r="CB320" s="1441"/>
      <c r="CC320" s="1441"/>
      <c r="CD320" s="1441"/>
      <c r="CE320" s="1441"/>
      <c r="CF320" s="1441"/>
      <c r="CG320" s="1441"/>
      <c r="CH320" s="1441"/>
      <c r="CI320" s="1441"/>
      <c r="CJ320" s="1441"/>
      <c r="CK320" s="1441"/>
      <c r="CL320" s="1441"/>
      <c r="CM320" s="1441"/>
      <c r="CN320" s="1441"/>
      <c r="CO320" s="1441"/>
      <c r="CP320" s="1442"/>
      <c r="CQ320" s="2527"/>
      <c r="CR320" s="2423"/>
    </row>
    <row r="321" spans="1:96" ht="12.75" customHeight="1">
      <c r="A321" s="1745"/>
      <c r="B321" s="1745"/>
      <c r="C321" s="1745"/>
      <c r="D321" s="1745"/>
      <c r="E321" s="1745"/>
      <c r="F321" s="1803"/>
      <c r="G321" s="1803"/>
      <c r="H321" s="1361"/>
      <c r="I321" s="1361"/>
      <c r="J321" s="1361"/>
      <c r="K321" s="1361"/>
      <c r="L321" s="1477"/>
      <c r="M321"/>
      <c r="N321" s="1745"/>
      <c r="O321" s="1745"/>
      <c r="P321" s="1745"/>
      <c r="Q321" s="1745"/>
      <c r="R321" s="1745"/>
      <c r="S321" s="1361"/>
      <c r="T321" s="1361"/>
      <c r="U321" s="1361"/>
      <c r="V321" s="1361"/>
      <c r="W321" s="1361"/>
      <c r="X321" s="1361"/>
      <c r="Y321"/>
      <c r="Z321" s="1745"/>
      <c r="AA321" s="1746"/>
      <c r="AB321" s="1881"/>
      <c r="AC321" s="1881"/>
      <c r="AD321" s="429"/>
      <c r="AE321" s="2420"/>
      <c r="AG321" s="1323"/>
      <c r="AH321" s="1441"/>
      <c r="AI321" s="1441"/>
      <c r="AJ321" s="1441"/>
      <c r="AK321" s="1441"/>
      <c r="AL321" s="1441"/>
      <c r="AM321" s="1441"/>
      <c r="AN321" s="1441"/>
      <c r="AO321" s="1441"/>
      <c r="AP321" s="1441"/>
      <c r="AQ321" s="1441"/>
      <c r="AR321" s="1441"/>
      <c r="AS321" s="1441"/>
      <c r="AT321" s="1441"/>
      <c r="AU321" s="1441"/>
      <c r="AV321" s="1441"/>
      <c r="AW321" s="1441"/>
      <c r="AX321" s="1441"/>
      <c r="AY321" s="1441"/>
      <c r="AZ321" s="1441"/>
      <c r="BA321" s="1441"/>
      <c r="BB321" s="1441"/>
      <c r="BC321" s="1441"/>
      <c r="BD321" s="1441"/>
      <c r="BE321" s="1441"/>
      <c r="BF321" s="1441"/>
      <c r="BG321" s="1441"/>
      <c r="BH321" s="1441"/>
      <c r="BI321" s="1441"/>
      <c r="BJ321" s="1442"/>
      <c r="BM321" s="1323"/>
      <c r="BN321" s="1441"/>
      <c r="BO321" s="1441"/>
      <c r="BP321" s="1441"/>
      <c r="BQ321" s="1441"/>
      <c r="BR321" s="1441"/>
      <c r="BS321" s="1441"/>
      <c r="BT321" s="1441"/>
      <c r="BU321" s="1441"/>
      <c r="BV321" s="1441"/>
      <c r="BW321" s="1441"/>
      <c r="BX321" s="1441"/>
      <c r="BY321" s="1441"/>
      <c r="BZ321" s="1441"/>
      <c r="CA321" s="1441"/>
      <c r="CB321" s="1441"/>
      <c r="CC321" s="1441"/>
      <c r="CD321" s="1441"/>
      <c r="CE321" s="1441"/>
      <c r="CF321" s="1441"/>
      <c r="CG321" s="1441"/>
      <c r="CH321" s="1441"/>
      <c r="CI321" s="1441"/>
      <c r="CJ321" s="1441"/>
      <c r="CK321" s="1441"/>
      <c r="CL321" s="1441"/>
      <c r="CM321" s="1441"/>
      <c r="CN321" s="1441"/>
      <c r="CO321" s="1441"/>
      <c r="CP321" s="1442"/>
      <c r="CQ321" s="2527"/>
      <c r="CR321" s="2423"/>
    </row>
    <row r="322" spans="1:96" ht="12.75" customHeight="1">
      <c r="AE322"/>
      <c r="AF322" s="574"/>
      <c r="AG322" s="1323"/>
      <c r="AH322" s="1441"/>
      <c r="AI322" s="1441"/>
      <c r="AJ322" s="1441"/>
      <c r="AK322" s="1441"/>
      <c r="AL322" s="1441"/>
      <c r="AM322" s="1441"/>
      <c r="AN322" s="1441"/>
      <c r="AO322" s="1441"/>
      <c r="AP322" s="1441"/>
      <c r="AQ322" s="1441"/>
      <c r="AR322" s="1441"/>
      <c r="AS322" s="1441"/>
      <c r="AT322" s="1441"/>
      <c r="AU322" s="1441"/>
      <c r="AV322" s="1441"/>
      <c r="AW322" s="1441"/>
      <c r="AX322" s="1441"/>
      <c r="AY322" s="1441"/>
      <c r="AZ322" s="1441"/>
      <c r="BA322" s="1441"/>
      <c r="BB322" s="1441"/>
      <c r="BC322" s="1441"/>
      <c r="BD322" s="1441"/>
      <c r="BE322" s="1441"/>
      <c r="BF322" s="1441"/>
      <c r="BG322" s="1441"/>
      <c r="BH322" s="1441"/>
      <c r="BI322" s="1441"/>
      <c r="BJ322" s="1442"/>
      <c r="BM322" s="1323"/>
      <c r="BN322" s="1441"/>
      <c r="BO322" s="1441"/>
      <c r="BP322" s="1441"/>
      <c r="BQ322" s="1441"/>
      <c r="BR322" s="1441"/>
      <c r="BS322" s="1441"/>
      <c r="BT322" s="1441"/>
      <c r="BU322" s="1441"/>
      <c r="BV322" s="1441"/>
      <c r="BW322" s="1441"/>
      <c r="BX322" s="1441"/>
      <c r="BY322" s="1441"/>
      <c r="BZ322" s="1441"/>
      <c r="CA322" s="1441"/>
      <c r="CB322" s="1441"/>
      <c r="CC322" s="1441"/>
      <c r="CD322" s="1441"/>
      <c r="CE322" s="1441"/>
      <c r="CF322" s="1441"/>
      <c r="CG322" s="1441"/>
      <c r="CH322" s="1441"/>
      <c r="CI322" s="1441"/>
      <c r="CJ322" s="1441"/>
      <c r="CK322" s="1441"/>
      <c r="CL322" s="1441"/>
      <c r="CM322" s="1441"/>
      <c r="CN322" s="1441"/>
      <c r="CO322" s="1441"/>
      <c r="CP322" s="1442"/>
      <c r="CQ322" s="2527"/>
      <c r="CR322" s="2423"/>
    </row>
    <row r="323" spans="1:96" ht="12.75" customHeight="1">
      <c r="A323" s="1400" t="s">
        <v>2234</v>
      </c>
      <c r="B323" s="1400"/>
      <c r="C323" s="1400"/>
      <c r="D323" s="1400"/>
      <c r="E323" s="1400"/>
      <c r="F323" s="1400"/>
      <c r="G323" s="1400"/>
      <c r="H323" s="1400"/>
      <c r="I323" s="1400"/>
      <c r="J323" s="1400"/>
      <c r="K323" s="1400"/>
      <c r="L323" s="1400"/>
      <c r="M323" s="1400"/>
      <c r="N323" s="1400"/>
      <c r="O323" s="1400"/>
      <c r="P323" s="1400"/>
      <c r="Q323" s="1400"/>
      <c r="R323" s="1400"/>
      <c r="S323" s="1400"/>
      <c r="T323" s="1400"/>
      <c r="U323" s="1400"/>
      <c r="V323" s="1400"/>
      <c r="W323" s="1400"/>
      <c r="X323" s="1400"/>
      <c r="Y323" s="1400"/>
      <c r="Z323" s="1400"/>
      <c r="AA323" s="1400"/>
      <c r="AB323" s="1400"/>
      <c r="AC323" s="1400"/>
      <c r="AD323" s="1400"/>
      <c r="AE323" s="2526" t="s">
        <v>5751</v>
      </c>
      <c r="AF323" s="574"/>
      <c r="AG323" s="1400" t="s">
        <v>5740</v>
      </c>
      <c r="AH323" s="1400"/>
      <c r="AI323" s="1400"/>
      <c r="AJ323" s="1400"/>
      <c r="AK323" s="1400"/>
      <c r="AL323" s="1400"/>
      <c r="AM323" s="1400"/>
      <c r="AN323" s="1400"/>
      <c r="AO323" s="1400"/>
      <c r="AP323" s="1400"/>
      <c r="AQ323" s="1400"/>
      <c r="AR323" s="1400"/>
      <c r="AS323" s="1400"/>
      <c r="AT323" s="1400"/>
      <c r="AU323" s="1400"/>
      <c r="AV323" s="1400"/>
      <c r="AW323" s="1400"/>
      <c r="AX323" s="1400"/>
      <c r="AY323" s="1400"/>
      <c r="AZ323" s="1400"/>
      <c r="BA323" s="1400"/>
      <c r="BB323" s="1400"/>
      <c r="BC323" s="1400"/>
      <c r="BD323" s="1400"/>
      <c r="BE323" s="1400"/>
      <c r="BF323" s="1400"/>
      <c r="BG323" s="1400"/>
      <c r="BH323" s="1400"/>
      <c r="BI323" s="1400"/>
      <c r="BJ323" s="1400"/>
      <c r="BK323" s="2528" t="s">
        <v>5754</v>
      </c>
      <c r="BM323" s="1400" t="s">
        <v>5740</v>
      </c>
      <c r="BN323" s="1400"/>
      <c r="BO323" s="1400"/>
      <c r="BP323" s="1400"/>
      <c r="BQ323" s="1400"/>
      <c r="BR323" s="1400"/>
      <c r="BS323" s="1400"/>
      <c r="BT323" s="1400"/>
      <c r="BU323" s="1400"/>
      <c r="BV323" s="1400"/>
      <c r="BW323" s="1400"/>
      <c r="BX323" s="1400"/>
      <c r="BY323" s="1400"/>
      <c r="BZ323" s="1400"/>
      <c r="CA323" s="1400"/>
      <c r="CB323" s="1400"/>
      <c r="CC323" s="1400"/>
      <c r="CD323" s="1400"/>
      <c r="CE323" s="1400"/>
      <c r="CF323" s="1400"/>
      <c r="CG323" s="1400"/>
      <c r="CH323" s="1400"/>
      <c r="CI323" s="1400"/>
      <c r="CJ323" s="1400"/>
      <c r="CK323" s="1400"/>
      <c r="CL323" s="1400"/>
      <c r="CM323" s="1400"/>
      <c r="CN323" s="1400"/>
      <c r="CO323" s="1400"/>
      <c r="CP323" s="1400"/>
      <c r="CQ323" s="2527"/>
      <c r="CR323" s="2423"/>
    </row>
    <row r="324" spans="1:96" ht="12.75" customHeight="1">
      <c r="A324" s="1323" t="str">
        <f>CONCATENATE(+IF('Main Creation Page'!C3&lt;&gt;1,"House/Clan: "," "),+IF('Main Creation Page'!C3=2,'Main Creation Page'!AF32,IF('Main Creation Page'!C3=3,'Main Creation Page'!AF34," ")))</f>
        <v xml:space="preserve">  </v>
      </c>
      <c r="B324" s="1441"/>
      <c r="C324" s="1441"/>
      <c r="D324" s="1441"/>
      <c r="E324" s="1441"/>
      <c r="F324" s="1441"/>
      <c r="G324" s="1441"/>
      <c r="H324" s="1441"/>
      <c r="I324" s="1441"/>
      <c r="J324" s="1441"/>
      <c r="K324" s="1441"/>
      <c r="L324" s="1442"/>
      <c r="M324" s="1323"/>
      <c r="N324" s="1441"/>
      <c r="O324" s="1441"/>
      <c r="P324" s="1441"/>
      <c r="Q324" s="1441"/>
      <c r="R324" s="1441"/>
      <c r="S324" s="1441"/>
      <c r="T324" s="1441"/>
      <c r="U324" s="1441"/>
      <c r="V324" s="1441"/>
      <c r="W324" s="1441"/>
      <c r="X324" s="1441"/>
      <c r="Y324" s="1441"/>
      <c r="Z324" s="1441"/>
      <c r="AA324" s="1441"/>
      <c r="AB324" s="1441"/>
      <c r="AC324" s="1441"/>
      <c r="AD324" s="1442"/>
      <c r="AE324" s="2527"/>
      <c r="AF324" s="574"/>
      <c r="AG324" s="2507" t="s">
        <v>5748</v>
      </c>
      <c r="AH324" s="2417"/>
      <c r="AI324" s="2417"/>
      <c r="AJ324" s="2417"/>
      <c r="AK324" s="2417"/>
      <c r="AL324" s="2416"/>
      <c r="AM324" s="2417"/>
      <c r="AN324" s="2417"/>
      <c r="AO324" s="2417"/>
      <c r="AP324" s="2508" t="s">
        <v>5741</v>
      </c>
      <c r="AQ324" s="2509"/>
      <c r="AR324" s="2509"/>
      <c r="AS324" s="2509"/>
      <c r="AT324" s="2509"/>
      <c r="AU324" s="2507"/>
      <c r="AV324" s="2417"/>
      <c r="AW324" s="2417"/>
      <c r="AX324" s="2417"/>
      <c r="AY324" s="2417"/>
      <c r="AZ324" s="2417"/>
      <c r="BA324" s="2507" t="s">
        <v>5742</v>
      </c>
      <c r="BB324" s="2417"/>
      <c r="BC324" s="2417"/>
      <c r="BD324" s="2417"/>
      <c r="BE324" s="2418"/>
      <c r="BF324" s="2418"/>
      <c r="BG324" s="2506"/>
      <c r="BH324" s="2506"/>
      <c r="BI324" s="2506"/>
      <c r="BJ324" s="2506"/>
      <c r="BK324" s="2529"/>
      <c r="BM324" s="2507" t="s">
        <v>5748</v>
      </c>
      <c r="BN324" s="2417"/>
      <c r="BO324" s="2417"/>
      <c r="BP324" s="2417"/>
      <c r="BQ324" s="2417"/>
      <c r="BR324" s="2416"/>
      <c r="BS324" s="2417"/>
      <c r="BT324" s="2417"/>
      <c r="BU324" s="2417"/>
      <c r="BV324" s="2508" t="s">
        <v>5741</v>
      </c>
      <c r="BW324" s="2509"/>
      <c r="BX324" s="2509"/>
      <c r="BY324" s="2509"/>
      <c r="BZ324" s="2509"/>
      <c r="CA324" s="2507"/>
      <c r="CB324" s="2417"/>
      <c r="CC324" s="2417"/>
      <c r="CD324" s="2417"/>
      <c r="CE324" s="2417"/>
      <c r="CF324" s="2417"/>
      <c r="CG324" s="2507" t="s">
        <v>5742</v>
      </c>
      <c r="CH324" s="2417"/>
      <c r="CI324" s="2417"/>
      <c r="CJ324" s="2417"/>
      <c r="CK324" s="2418"/>
      <c r="CL324" s="2418"/>
      <c r="CM324" s="2506"/>
      <c r="CN324" s="2506"/>
      <c r="CO324" s="2506"/>
      <c r="CP324" s="2506"/>
      <c r="CQ324" s="2527"/>
      <c r="CR324" s="2423"/>
    </row>
    <row r="325" spans="1:96" ht="12.75" customHeight="1">
      <c r="A325" s="1760" t="s">
        <v>6125</v>
      </c>
      <c r="B325" s="1760"/>
      <c r="C325" s="1760"/>
      <c r="D325" s="1760"/>
      <c r="E325" s="1760"/>
      <c r="F325" s="1760"/>
      <c r="G325" s="1760"/>
      <c r="H325" s="1760"/>
      <c r="I325" s="1760"/>
      <c r="J325" s="1760"/>
      <c r="K325" s="1760"/>
      <c r="L325" s="1760"/>
      <c r="M325" s="1760"/>
      <c r="N325" s="1760"/>
      <c r="O325" s="1760"/>
      <c r="P325" s="1760"/>
      <c r="Q325" s="1760"/>
      <c r="R325" s="1760"/>
      <c r="S325" s="1760"/>
      <c r="T325" s="1760"/>
      <c r="U325" s="1760"/>
      <c r="V325" s="1760"/>
      <c r="W325" s="1760"/>
      <c r="X325" s="1760"/>
      <c r="Y325" s="1760"/>
      <c r="Z325" s="1760"/>
      <c r="AA325" s="1760"/>
      <c r="AB325" s="1760"/>
      <c r="AC325" s="1760"/>
      <c r="AD325" s="1760"/>
      <c r="AE325" s="2527"/>
      <c r="AF325" s="574"/>
      <c r="AG325" s="2510" t="s">
        <v>5743</v>
      </c>
      <c r="AH325" s="2510"/>
      <c r="AI325" s="2510"/>
      <c r="AJ325" s="2510"/>
      <c r="AK325" s="2510"/>
      <c r="AL325" s="2512"/>
      <c r="AM325" s="2513"/>
      <c r="AN325" s="2513"/>
      <c r="AO325" s="2513"/>
      <c r="AP325" s="2520" t="s">
        <v>5750</v>
      </c>
      <c r="AQ325" s="2509"/>
      <c r="AR325" s="2509"/>
      <c r="AS325" s="2509"/>
      <c r="AT325" s="2509"/>
      <c r="AU325" s="2512"/>
      <c r="AV325" s="2512"/>
      <c r="AW325" s="2518" t="s">
        <v>5749</v>
      </c>
      <c r="AX325" s="2505"/>
      <c r="AY325" s="2505"/>
      <c r="AZ325" s="2505"/>
      <c r="BA325" s="2519" t="s">
        <v>5744</v>
      </c>
      <c r="BB325" s="2521"/>
      <c r="BC325" s="2521"/>
      <c r="BD325" s="2522"/>
      <c r="BE325" s="2512"/>
      <c r="BF325" s="2513"/>
      <c r="BG325" s="2513"/>
      <c r="BH325" s="2513"/>
      <c r="BI325" s="2513"/>
      <c r="BJ325" s="2513"/>
      <c r="BK325" s="2529"/>
      <c r="BM325" s="2510" t="s">
        <v>5743</v>
      </c>
      <c r="BN325" s="2510"/>
      <c r="BO325" s="2510"/>
      <c r="BP325" s="2510"/>
      <c r="BQ325" s="2510"/>
      <c r="BR325" s="2512"/>
      <c r="BS325" s="2513"/>
      <c r="BT325" s="2513"/>
      <c r="BU325" s="2513"/>
      <c r="BV325" s="2520" t="s">
        <v>5750</v>
      </c>
      <c r="BW325" s="2509"/>
      <c r="BX325" s="2509"/>
      <c r="BY325" s="2509"/>
      <c r="BZ325" s="2509"/>
      <c r="CA325" s="2512"/>
      <c r="CB325" s="2512"/>
      <c r="CC325" s="2518" t="s">
        <v>5749</v>
      </c>
      <c r="CD325" s="2505"/>
      <c r="CE325" s="2505"/>
      <c r="CF325" s="2505"/>
      <c r="CG325" s="2519" t="s">
        <v>5744</v>
      </c>
      <c r="CH325" s="2521"/>
      <c r="CI325" s="2521"/>
      <c r="CJ325" s="2522"/>
      <c r="CK325" s="2512"/>
      <c r="CL325" s="2513"/>
      <c r="CM325" s="2513"/>
      <c r="CN325" s="2513"/>
      <c r="CO325" s="2513"/>
      <c r="CP325" s="2513"/>
      <c r="CQ325" s="2527"/>
      <c r="CR325" s="2423"/>
    </row>
    <row r="326" spans="1:96" ht="12.75" customHeight="1">
      <c r="A326" s="1760"/>
      <c r="B326" s="1760"/>
      <c r="C326" s="1760"/>
      <c r="D326" s="1760"/>
      <c r="E326" s="1760"/>
      <c r="F326" s="1760"/>
      <c r="G326" s="1760"/>
      <c r="H326" s="1760"/>
      <c r="I326" s="1760"/>
      <c r="J326" s="1760"/>
      <c r="K326" s="1760"/>
      <c r="L326" s="1760"/>
      <c r="M326" s="1760"/>
      <c r="N326" s="1760"/>
      <c r="O326" s="1760"/>
      <c r="P326" s="1760"/>
      <c r="Q326" s="1760"/>
      <c r="R326" s="1760"/>
      <c r="S326" s="1760"/>
      <c r="T326" s="1760"/>
      <c r="U326" s="1760"/>
      <c r="V326" s="1760"/>
      <c r="W326" s="1760"/>
      <c r="X326" s="1760"/>
      <c r="Y326" s="1760"/>
      <c r="Z326" s="1760"/>
      <c r="AA326" s="1760"/>
      <c r="AB326" s="1760"/>
      <c r="AC326" s="1760"/>
      <c r="AD326" s="1760"/>
      <c r="AE326" s="2527"/>
      <c r="AG326" s="2415" t="s">
        <v>5745</v>
      </c>
      <c r="AH326" s="2415"/>
      <c r="AI326" s="2415"/>
      <c r="AJ326" s="2415"/>
      <c r="AK326" s="2415"/>
      <c r="AL326" s="2514"/>
      <c r="AM326" s="2506"/>
      <c r="AN326" s="2506"/>
      <c r="AO326" s="2506"/>
      <c r="AP326" s="2418" t="s">
        <v>5746</v>
      </c>
      <c r="AQ326" s="1315"/>
      <c r="AR326" s="1315"/>
      <c r="AS326" s="1315"/>
      <c r="AT326" s="1315"/>
      <c r="AU326" s="2504"/>
      <c r="AV326" s="1315"/>
      <c r="AW326" s="2418" t="s">
        <v>5745</v>
      </c>
      <c r="AX326" s="2418"/>
      <c r="AY326" s="2418"/>
      <c r="AZ326" s="2418"/>
      <c r="BA326" s="2418"/>
      <c r="BB326" s="2418" t="s">
        <v>5746</v>
      </c>
      <c r="BC326" s="2506"/>
      <c r="BD326" s="2506"/>
      <c r="BE326" s="2504"/>
      <c r="BF326" s="2505"/>
      <c r="BG326" s="2505"/>
      <c r="BH326" s="2505"/>
      <c r="BI326" s="2505"/>
      <c r="BJ326" s="2505"/>
      <c r="BK326" s="2529"/>
      <c r="BM326" s="2415" t="s">
        <v>5745</v>
      </c>
      <c r="BN326" s="2415"/>
      <c r="BO326" s="2415"/>
      <c r="BP326" s="2415"/>
      <c r="BQ326" s="2415"/>
      <c r="BR326" s="2514"/>
      <c r="BS326" s="2506"/>
      <c r="BT326" s="2506"/>
      <c r="BU326" s="2506"/>
      <c r="BV326" s="2418" t="s">
        <v>5746</v>
      </c>
      <c r="BW326" s="1315"/>
      <c r="BX326" s="1315"/>
      <c r="BY326" s="1315"/>
      <c r="BZ326" s="1315"/>
      <c r="CA326" s="2504"/>
      <c r="CB326" s="1315"/>
      <c r="CC326" s="2418" t="s">
        <v>5745</v>
      </c>
      <c r="CD326" s="2418"/>
      <c r="CE326" s="2418"/>
      <c r="CF326" s="2418"/>
      <c r="CG326" s="2418"/>
      <c r="CH326" s="2418" t="s">
        <v>5746</v>
      </c>
      <c r="CI326" s="2506"/>
      <c r="CJ326" s="2506"/>
      <c r="CK326" s="2504"/>
      <c r="CL326" s="2505"/>
      <c r="CM326" s="2505"/>
      <c r="CN326" s="2505"/>
      <c r="CO326" s="2505"/>
      <c r="CP326" s="2505"/>
      <c r="CQ326" s="2527"/>
      <c r="CR326" s="2423"/>
    </row>
    <row r="327" spans="1:96" ht="12.75" customHeight="1">
      <c r="A327" s="1760"/>
      <c r="B327" s="1760"/>
      <c r="C327" s="1760"/>
      <c r="D327" s="1760"/>
      <c r="E327" s="1760"/>
      <c r="F327" s="1760"/>
      <c r="G327" s="1760"/>
      <c r="H327" s="1760"/>
      <c r="I327" s="1760"/>
      <c r="J327" s="1760"/>
      <c r="K327" s="1760"/>
      <c r="L327" s="1760"/>
      <c r="M327" s="1760"/>
      <c r="N327" s="1760"/>
      <c r="O327" s="1760"/>
      <c r="P327" s="1760"/>
      <c r="Q327" s="1760"/>
      <c r="R327" s="1760"/>
      <c r="S327" s="1760"/>
      <c r="T327" s="1760"/>
      <c r="U327" s="1760"/>
      <c r="V327" s="1760"/>
      <c r="W327" s="1760"/>
      <c r="X327" s="1760"/>
      <c r="Y327" s="1760"/>
      <c r="Z327" s="1760"/>
      <c r="AA327" s="1760"/>
      <c r="AB327" s="1760"/>
      <c r="AC327" s="1760"/>
      <c r="AD327" s="1760"/>
      <c r="AE327" s="2527"/>
      <c r="AG327" s="2415" t="s">
        <v>5745</v>
      </c>
      <c r="AH327" s="2415"/>
      <c r="AI327" s="2415"/>
      <c r="AJ327" s="2415"/>
      <c r="AK327" s="2415"/>
      <c r="AL327" s="2514"/>
      <c r="AM327" s="2506"/>
      <c r="AN327" s="2506"/>
      <c r="AO327" s="2506"/>
      <c r="AP327" s="2418" t="s">
        <v>5746</v>
      </c>
      <c r="AQ327" s="1315"/>
      <c r="AR327" s="1315"/>
      <c r="AS327" s="1315"/>
      <c r="AT327" s="1315"/>
      <c r="AU327" s="2504"/>
      <c r="AV327" s="1315"/>
      <c r="AW327" s="2418" t="s">
        <v>5745</v>
      </c>
      <c r="AX327" s="2418"/>
      <c r="AY327" s="2418"/>
      <c r="AZ327" s="2418"/>
      <c r="BA327" s="2418"/>
      <c r="BB327" s="2418" t="s">
        <v>5746</v>
      </c>
      <c r="BC327" s="2506"/>
      <c r="BD327" s="2506"/>
      <c r="BE327" s="2504"/>
      <c r="BF327" s="2505"/>
      <c r="BG327" s="2505"/>
      <c r="BH327" s="2505"/>
      <c r="BI327" s="2505"/>
      <c r="BJ327" s="2505"/>
      <c r="BK327" s="2529"/>
      <c r="BM327" s="2415" t="s">
        <v>5745</v>
      </c>
      <c r="BN327" s="2415"/>
      <c r="BO327" s="2415"/>
      <c r="BP327" s="2415"/>
      <c r="BQ327" s="2415"/>
      <c r="BR327" s="2514"/>
      <c r="BS327" s="2506"/>
      <c r="BT327" s="2506"/>
      <c r="BU327" s="2506"/>
      <c r="BV327" s="2418" t="s">
        <v>5746</v>
      </c>
      <c r="BW327" s="1315"/>
      <c r="BX327" s="1315"/>
      <c r="BY327" s="1315"/>
      <c r="BZ327" s="1315"/>
      <c r="CA327" s="2504"/>
      <c r="CB327" s="1315"/>
      <c r="CC327" s="2418" t="s">
        <v>5745</v>
      </c>
      <c r="CD327" s="2418"/>
      <c r="CE327" s="2418"/>
      <c r="CF327" s="2418"/>
      <c r="CG327" s="2418"/>
      <c r="CH327" s="2418" t="s">
        <v>5746</v>
      </c>
      <c r="CI327" s="2506"/>
      <c r="CJ327" s="2506"/>
      <c r="CK327" s="2504"/>
      <c r="CL327" s="2505"/>
      <c r="CM327" s="2505"/>
      <c r="CN327" s="2505"/>
      <c r="CO327" s="2505"/>
      <c r="CP327" s="2505"/>
      <c r="CQ327" s="2527"/>
      <c r="CR327" s="2423"/>
    </row>
    <row r="328" spans="1:96" ht="12.75" customHeight="1">
      <c r="A328" s="1760"/>
      <c r="B328" s="1760"/>
      <c r="C328" s="1760"/>
      <c r="D328" s="1760"/>
      <c r="E328" s="1760"/>
      <c r="F328" s="1760"/>
      <c r="G328" s="1760"/>
      <c r="H328" s="1760"/>
      <c r="I328" s="1760"/>
      <c r="J328" s="1760"/>
      <c r="K328" s="1760"/>
      <c r="L328" s="1760"/>
      <c r="M328" s="1760"/>
      <c r="N328" s="1760"/>
      <c r="O328" s="1760"/>
      <c r="P328" s="1760"/>
      <c r="Q328" s="1760"/>
      <c r="R328" s="1760"/>
      <c r="S328" s="1760"/>
      <c r="T328" s="1760"/>
      <c r="U328" s="1760"/>
      <c r="V328" s="1760"/>
      <c r="W328" s="1760"/>
      <c r="X328" s="1760"/>
      <c r="Y328" s="1760"/>
      <c r="Z328" s="1760"/>
      <c r="AA328" s="1760"/>
      <c r="AB328" s="1760"/>
      <c r="AC328" s="1760"/>
      <c r="AD328" s="1760"/>
      <c r="AE328" s="2527"/>
      <c r="AG328" s="2162" t="s">
        <v>5752</v>
      </c>
      <c r="AH328" s="2162"/>
      <c r="AI328" s="2162"/>
      <c r="AJ328" s="2162"/>
      <c r="AK328" s="2162"/>
      <c r="AL328" s="2162"/>
      <c r="AM328" s="2162"/>
      <c r="AN328" s="2162"/>
      <c r="AO328" s="2162"/>
      <c r="AP328" s="2162"/>
      <c r="AQ328" s="2162"/>
      <c r="AR328" s="2162"/>
      <c r="AS328" s="2162"/>
      <c r="AT328" s="2162"/>
      <c r="AU328" s="2162"/>
      <c r="AV328" s="2162"/>
      <c r="AW328" s="2162"/>
      <c r="AX328" s="2162"/>
      <c r="AY328" s="2162"/>
      <c r="AZ328" s="2162"/>
      <c r="BA328" s="2162"/>
      <c r="BB328" s="2162"/>
      <c r="BC328" s="2162"/>
      <c r="BD328" s="2162"/>
      <c r="BE328" s="2162"/>
      <c r="BF328" s="2162"/>
      <c r="BG328" s="2162"/>
      <c r="BH328" s="2162"/>
      <c r="BI328" s="2162"/>
      <c r="BJ328" s="2162"/>
      <c r="BK328" s="2529"/>
      <c r="BM328" s="2162" t="s">
        <v>5752</v>
      </c>
      <c r="BN328" s="2162"/>
      <c r="BO328" s="2162"/>
      <c r="BP328" s="2162"/>
      <c r="BQ328" s="2162"/>
      <c r="BR328" s="2162"/>
      <c r="BS328" s="2162"/>
      <c r="BT328" s="2162"/>
      <c r="BU328" s="2162"/>
      <c r="BV328" s="2162"/>
      <c r="BW328" s="2162"/>
      <c r="BX328" s="2162"/>
      <c r="BY328" s="2162"/>
      <c r="BZ328" s="2162"/>
      <c r="CA328" s="2162"/>
      <c r="CB328" s="2162"/>
      <c r="CC328" s="2162"/>
      <c r="CD328" s="2162"/>
      <c r="CE328" s="2162"/>
      <c r="CF328" s="2162"/>
      <c r="CG328" s="2162"/>
      <c r="CH328" s="2162"/>
      <c r="CI328" s="2162"/>
      <c r="CJ328" s="2162"/>
      <c r="CK328" s="2162"/>
      <c r="CL328" s="2162"/>
      <c r="CM328" s="2162"/>
      <c r="CN328" s="2162"/>
      <c r="CO328" s="2162"/>
      <c r="CP328" s="2162"/>
      <c r="CQ328" s="2527"/>
      <c r="CR328" s="2423"/>
    </row>
    <row r="329" spans="1:96" ht="12.75" customHeight="1">
      <c r="A329" s="1760"/>
      <c r="B329" s="1760"/>
      <c r="C329" s="1760"/>
      <c r="D329" s="1760"/>
      <c r="E329" s="1760"/>
      <c r="F329" s="1760"/>
      <c r="G329" s="1760"/>
      <c r="H329" s="1760"/>
      <c r="I329" s="1760"/>
      <c r="J329" s="1760"/>
      <c r="K329" s="1760"/>
      <c r="L329" s="1760"/>
      <c r="M329" s="1760"/>
      <c r="N329" s="1760"/>
      <c r="O329" s="1760"/>
      <c r="P329" s="1760"/>
      <c r="Q329" s="1760"/>
      <c r="R329" s="1760"/>
      <c r="S329" s="1760"/>
      <c r="T329" s="1760"/>
      <c r="U329" s="1760"/>
      <c r="V329" s="1760"/>
      <c r="W329" s="1760"/>
      <c r="X329" s="1760"/>
      <c r="Y329" s="1760"/>
      <c r="Z329" s="1760"/>
      <c r="AA329" s="1760"/>
      <c r="AB329" s="1760"/>
      <c r="AC329" s="1760"/>
      <c r="AD329" s="1760"/>
      <c r="AE329" s="2527"/>
      <c r="AG329" s="1760"/>
      <c r="AH329" s="1760"/>
      <c r="AI329" s="1760"/>
      <c r="AJ329" s="1760"/>
      <c r="AK329" s="1760"/>
      <c r="AL329" s="1760"/>
      <c r="AM329" s="1760"/>
      <c r="AN329" s="1760"/>
      <c r="AO329" s="1760"/>
      <c r="AP329" s="1760"/>
      <c r="AQ329" s="1760"/>
      <c r="AR329" s="1760"/>
      <c r="AS329" s="1760"/>
      <c r="AT329" s="1760"/>
      <c r="AU329" s="1760"/>
      <c r="AV329" s="1760"/>
      <c r="AW329" s="1760"/>
      <c r="AX329" s="1760"/>
      <c r="AY329" s="1760"/>
      <c r="AZ329" s="1760"/>
      <c r="BA329" s="1760"/>
      <c r="BB329" s="1760"/>
      <c r="BC329" s="1760"/>
      <c r="BD329" s="1760"/>
      <c r="BE329" s="1760"/>
      <c r="BF329" s="1760"/>
      <c r="BG329" s="1760"/>
      <c r="BH329" s="1760"/>
      <c r="BI329" s="1760"/>
      <c r="BJ329" s="1760"/>
      <c r="BK329" s="2529"/>
      <c r="BM329" s="1760"/>
      <c r="BN329" s="1760"/>
      <c r="BO329" s="1760"/>
      <c r="BP329" s="1760"/>
      <c r="BQ329" s="1760"/>
      <c r="BR329" s="1760"/>
      <c r="BS329" s="1760"/>
      <c r="BT329" s="1760"/>
      <c r="BU329" s="1760"/>
      <c r="BV329" s="1760"/>
      <c r="BW329" s="1760"/>
      <c r="BX329" s="1760"/>
      <c r="BY329" s="1760"/>
      <c r="BZ329" s="1760"/>
      <c r="CA329" s="1760"/>
      <c r="CB329" s="1760"/>
      <c r="CC329" s="1760"/>
      <c r="CD329" s="1760"/>
      <c r="CE329" s="1760"/>
      <c r="CF329" s="1760"/>
      <c r="CG329" s="1760"/>
      <c r="CH329" s="1760"/>
      <c r="CI329" s="1760"/>
      <c r="CJ329" s="1760"/>
      <c r="CK329" s="1760"/>
      <c r="CL329" s="1760"/>
      <c r="CM329" s="1760"/>
      <c r="CN329" s="1760"/>
      <c r="CO329" s="1760"/>
      <c r="CP329" s="1760"/>
      <c r="CQ329" s="2527"/>
      <c r="CR329" s="2423"/>
    </row>
    <row r="330" spans="1:96" ht="12.75" customHeight="1">
      <c r="A330" s="1760"/>
      <c r="B330" s="1760"/>
      <c r="C330" s="1760"/>
      <c r="D330" s="1760"/>
      <c r="E330" s="1760"/>
      <c r="F330" s="1760"/>
      <c r="G330" s="1760"/>
      <c r="H330" s="1760"/>
      <c r="I330" s="1760"/>
      <c r="J330" s="1760"/>
      <c r="K330" s="1760"/>
      <c r="L330" s="1760"/>
      <c r="M330" s="1760"/>
      <c r="N330" s="1760"/>
      <c r="O330" s="1760"/>
      <c r="P330" s="1760"/>
      <c r="Q330" s="1760"/>
      <c r="R330" s="1760"/>
      <c r="S330" s="1760"/>
      <c r="T330" s="1760"/>
      <c r="U330" s="1760"/>
      <c r="V330" s="1760"/>
      <c r="W330" s="1760"/>
      <c r="X330" s="1760"/>
      <c r="Y330" s="1760"/>
      <c r="Z330" s="1760"/>
      <c r="AA330" s="1760"/>
      <c r="AB330" s="1760"/>
      <c r="AC330" s="1760"/>
      <c r="AD330" s="1760"/>
      <c r="AE330" s="2527"/>
      <c r="AG330" s="1760"/>
      <c r="AH330" s="1760"/>
      <c r="AI330" s="1760"/>
      <c r="AJ330" s="1760"/>
      <c r="AK330" s="1760"/>
      <c r="AL330" s="1760"/>
      <c r="AM330" s="1760"/>
      <c r="AN330" s="1760"/>
      <c r="AO330" s="1760"/>
      <c r="AP330" s="1760"/>
      <c r="AQ330" s="1760"/>
      <c r="AR330" s="1760"/>
      <c r="AS330" s="1760"/>
      <c r="AT330" s="1760"/>
      <c r="AU330" s="1760"/>
      <c r="AV330" s="1760"/>
      <c r="AW330" s="1760"/>
      <c r="AX330" s="1760"/>
      <c r="AY330" s="1760"/>
      <c r="AZ330" s="1760"/>
      <c r="BA330" s="1760"/>
      <c r="BB330" s="1760"/>
      <c r="BC330" s="1760"/>
      <c r="BD330" s="1760"/>
      <c r="BE330" s="1760"/>
      <c r="BF330" s="1760"/>
      <c r="BG330" s="1760"/>
      <c r="BH330" s="1760"/>
      <c r="BI330" s="1760"/>
      <c r="BJ330" s="1760"/>
      <c r="BK330" s="2529"/>
      <c r="BM330" s="1760"/>
      <c r="BN330" s="1760"/>
      <c r="BO330" s="1760"/>
      <c r="BP330" s="1760"/>
      <c r="BQ330" s="1760"/>
      <c r="BR330" s="1760"/>
      <c r="BS330" s="1760"/>
      <c r="BT330" s="1760"/>
      <c r="BU330" s="1760"/>
      <c r="BV330" s="1760"/>
      <c r="BW330" s="1760"/>
      <c r="BX330" s="1760"/>
      <c r="BY330" s="1760"/>
      <c r="BZ330" s="1760"/>
      <c r="CA330" s="1760"/>
      <c r="CB330" s="1760"/>
      <c r="CC330" s="1760"/>
      <c r="CD330" s="1760"/>
      <c r="CE330" s="1760"/>
      <c r="CF330" s="1760"/>
      <c r="CG330" s="1760"/>
      <c r="CH330" s="1760"/>
      <c r="CI330" s="1760"/>
      <c r="CJ330" s="1760"/>
      <c r="CK330" s="1760"/>
      <c r="CL330" s="1760"/>
      <c r="CM330" s="1760"/>
      <c r="CN330" s="1760"/>
      <c r="CO330" s="1760"/>
      <c r="CP330" s="1760"/>
      <c r="CQ330" s="2527"/>
      <c r="CR330" s="2423"/>
    </row>
    <row r="331" spans="1:96" ht="12.75" customHeight="1">
      <c r="A331" s="1760"/>
      <c r="B331" s="1760"/>
      <c r="C331" s="1760"/>
      <c r="D331" s="1760"/>
      <c r="E331" s="1760"/>
      <c r="F331" s="1760"/>
      <c r="G331" s="1760"/>
      <c r="H331" s="1760"/>
      <c r="I331" s="1760"/>
      <c r="J331" s="1760"/>
      <c r="K331" s="1760"/>
      <c r="L331" s="1760"/>
      <c r="M331" s="1760"/>
      <c r="N331" s="1760"/>
      <c r="O331" s="1760"/>
      <c r="P331" s="1760"/>
      <c r="Q331" s="1760"/>
      <c r="R331" s="1760"/>
      <c r="S331" s="1760"/>
      <c r="T331" s="1760"/>
      <c r="U331" s="1760"/>
      <c r="V331" s="1760"/>
      <c r="W331" s="1760"/>
      <c r="X331" s="1760"/>
      <c r="Y331" s="1760"/>
      <c r="Z331" s="1760"/>
      <c r="AA331" s="1760"/>
      <c r="AB331" s="1760"/>
      <c r="AC331" s="1760"/>
      <c r="AD331" s="1760"/>
      <c r="AE331" s="2527"/>
      <c r="AG331" s="1760"/>
      <c r="AH331" s="1760"/>
      <c r="AI331" s="1760"/>
      <c r="AJ331" s="1760"/>
      <c r="AK331" s="1760"/>
      <c r="AL331" s="1760"/>
      <c r="AM331" s="1760"/>
      <c r="AN331" s="1760"/>
      <c r="AO331" s="1760"/>
      <c r="AP331" s="1760"/>
      <c r="AQ331" s="1760"/>
      <c r="AR331" s="1760"/>
      <c r="AS331" s="1760"/>
      <c r="AT331" s="1760"/>
      <c r="AU331" s="1760"/>
      <c r="AV331" s="1760"/>
      <c r="AW331" s="1760"/>
      <c r="AX331" s="1760"/>
      <c r="AY331" s="1760"/>
      <c r="AZ331" s="1760"/>
      <c r="BA331" s="1760"/>
      <c r="BB331" s="1760"/>
      <c r="BC331" s="1760"/>
      <c r="BD331" s="1760"/>
      <c r="BE331" s="1760"/>
      <c r="BF331" s="1760"/>
      <c r="BG331" s="1760"/>
      <c r="BH331" s="1760"/>
      <c r="BI331" s="1760"/>
      <c r="BJ331" s="1760"/>
      <c r="BK331" s="2529"/>
      <c r="BM331" s="1760"/>
      <c r="BN331" s="1760"/>
      <c r="BO331" s="1760"/>
      <c r="BP331" s="1760"/>
      <c r="BQ331" s="1760"/>
      <c r="BR331" s="1760"/>
      <c r="BS331" s="1760"/>
      <c r="BT331" s="1760"/>
      <c r="BU331" s="1760"/>
      <c r="BV331" s="1760"/>
      <c r="BW331" s="1760"/>
      <c r="BX331" s="1760"/>
      <c r="BY331" s="1760"/>
      <c r="BZ331" s="1760"/>
      <c r="CA331" s="1760"/>
      <c r="CB331" s="1760"/>
      <c r="CC331" s="1760"/>
      <c r="CD331" s="1760"/>
      <c r="CE331" s="1760"/>
      <c r="CF331" s="1760"/>
      <c r="CG331" s="1760"/>
      <c r="CH331" s="1760"/>
      <c r="CI331" s="1760"/>
      <c r="CJ331" s="1760"/>
      <c r="CK331" s="1760"/>
      <c r="CL331" s="1760"/>
      <c r="CM331" s="1760"/>
      <c r="CN331" s="1760"/>
      <c r="CO331" s="1760"/>
      <c r="CP331" s="1760"/>
      <c r="CQ331" s="2527"/>
      <c r="CR331" s="2423"/>
    </row>
    <row r="332" spans="1:96" ht="12.75" customHeight="1">
      <c r="A332" s="1760"/>
      <c r="B332" s="1760"/>
      <c r="C332" s="1760"/>
      <c r="D332" s="1760"/>
      <c r="E332" s="1760"/>
      <c r="F332" s="1760"/>
      <c r="G332" s="1760"/>
      <c r="H332" s="1760"/>
      <c r="I332" s="1760"/>
      <c r="J332" s="1760"/>
      <c r="K332" s="1760"/>
      <c r="L332" s="1760"/>
      <c r="M332" s="1760"/>
      <c r="N332" s="1760"/>
      <c r="O332" s="1760"/>
      <c r="P332" s="1760"/>
      <c r="Q332" s="1760"/>
      <c r="R332" s="1760"/>
      <c r="S332" s="1760"/>
      <c r="T332" s="1760"/>
      <c r="U332" s="1760"/>
      <c r="V332" s="1760"/>
      <c r="W332" s="1760"/>
      <c r="X332" s="1760"/>
      <c r="Y332" s="1760"/>
      <c r="Z332" s="1760"/>
      <c r="AA332" s="1760"/>
      <c r="AB332" s="1760"/>
      <c r="AC332" s="1760"/>
      <c r="AD332" s="1760"/>
      <c r="AE332" s="2527"/>
      <c r="AF332" s="574"/>
      <c r="AG332" s="1760"/>
      <c r="AH332" s="1760"/>
      <c r="AI332" s="1760"/>
      <c r="AJ332" s="1760"/>
      <c r="AK332" s="1760"/>
      <c r="AL332" s="1760"/>
      <c r="AM332" s="1760"/>
      <c r="AN332" s="1760"/>
      <c r="AO332" s="1760"/>
      <c r="AP332" s="1760"/>
      <c r="AQ332" s="1760"/>
      <c r="AR332" s="1760"/>
      <c r="AS332" s="1760"/>
      <c r="AT332" s="1760"/>
      <c r="AU332" s="1760"/>
      <c r="AV332" s="1760"/>
      <c r="AW332" s="1760"/>
      <c r="AX332" s="1760"/>
      <c r="AY332" s="1760"/>
      <c r="AZ332" s="1760"/>
      <c r="BA332" s="1760"/>
      <c r="BB332" s="1760"/>
      <c r="BC332" s="1760"/>
      <c r="BD332" s="1760"/>
      <c r="BE332" s="1760"/>
      <c r="BF332" s="1760"/>
      <c r="BG332" s="1760"/>
      <c r="BH332" s="1760"/>
      <c r="BI332" s="1760"/>
      <c r="BJ332" s="1760"/>
      <c r="BK332" s="2529"/>
      <c r="BM332" s="1760"/>
      <c r="BN332" s="1760"/>
      <c r="BO332" s="1760"/>
      <c r="BP332" s="1760"/>
      <c r="BQ332" s="1760"/>
      <c r="BR332" s="1760"/>
      <c r="BS332" s="1760"/>
      <c r="BT332" s="1760"/>
      <c r="BU332" s="1760"/>
      <c r="BV332" s="1760"/>
      <c r="BW332" s="1760"/>
      <c r="BX332" s="1760"/>
      <c r="BY332" s="1760"/>
      <c r="BZ332" s="1760"/>
      <c r="CA332" s="1760"/>
      <c r="CB332" s="1760"/>
      <c r="CC332" s="1760"/>
      <c r="CD332" s="1760"/>
      <c r="CE332" s="1760"/>
      <c r="CF332" s="1760"/>
      <c r="CG332" s="1760"/>
      <c r="CH332" s="1760"/>
      <c r="CI332" s="1760"/>
      <c r="CJ332" s="1760"/>
      <c r="CK332" s="1760"/>
      <c r="CL332" s="1760"/>
      <c r="CM332" s="1760"/>
      <c r="CN332" s="1760"/>
      <c r="CO332" s="1760"/>
      <c r="CP332" s="1760"/>
      <c r="CQ332" s="2527"/>
      <c r="CR332" s="2423"/>
    </row>
    <row r="333" spans="1:96" ht="12.75" customHeight="1">
      <c r="A333" s="1760"/>
      <c r="B333" s="1760"/>
      <c r="C333" s="1760"/>
      <c r="D333" s="1760"/>
      <c r="E333" s="1760"/>
      <c r="F333" s="1760"/>
      <c r="G333" s="1760"/>
      <c r="H333" s="1760"/>
      <c r="I333" s="1760"/>
      <c r="J333" s="1760"/>
      <c r="K333" s="1760"/>
      <c r="L333" s="1760"/>
      <c r="M333" s="1760"/>
      <c r="N333" s="1760"/>
      <c r="O333" s="1760"/>
      <c r="P333" s="1760"/>
      <c r="Q333" s="1760"/>
      <c r="R333" s="1760"/>
      <c r="S333" s="1760"/>
      <c r="T333" s="1760"/>
      <c r="U333" s="1760"/>
      <c r="V333" s="1760"/>
      <c r="W333" s="1760"/>
      <c r="X333" s="1760"/>
      <c r="Y333" s="1760"/>
      <c r="Z333" s="1760"/>
      <c r="AA333" s="1760"/>
      <c r="AB333" s="1760"/>
      <c r="AC333" s="1760"/>
      <c r="AD333" s="1760"/>
      <c r="AE333" s="2527"/>
      <c r="AG333" s="1760"/>
      <c r="AH333" s="1760"/>
      <c r="AI333" s="1760"/>
      <c r="AJ333" s="1760"/>
      <c r="AK333" s="1760"/>
      <c r="AL333" s="1760"/>
      <c r="AM333" s="1760"/>
      <c r="AN333" s="1760"/>
      <c r="AO333" s="1760"/>
      <c r="AP333" s="1760"/>
      <c r="AQ333" s="1760"/>
      <c r="AR333" s="1760"/>
      <c r="AS333" s="1760"/>
      <c r="AT333" s="1760"/>
      <c r="AU333" s="1760"/>
      <c r="AV333" s="1760"/>
      <c r="AW333" s="1760"/>
      <c r="AX333" s="1760"/>
      <c r="AY333" s="1760"/>
      <c r="AZ333" s="1760"/>
      <c r="BA333" s="1760"/>
      <c r="BB333" s="1760"/>
      <c r="BC333" s="1760"/>
      <c r="BD333" s="1760"/>
      <c r="BE333" s="1760"/>
      <c r="BF333" s="1760"/>
      <c r="BG333" s="1760"/>
      <c r="BH333" s="1760"/>
      <c r="BI333" s="1760"/>
      <c r="BJ333" s="1760"/>
      <c r="BK333" s="2529"/>
      <c r="BM333" s="1760"/>
      <c r="BN333" s="1760"/>
      <c r="BO333" s="1760"/>
      <c r="BP333" s="1760"/>
      <c r="BQ333" s="1760"/>
      <c r="BR333" s="1760"/>
      <c r="BS333" s="1760"/>
      <c r="BT333" s="1760"/>
      <c r="BU333" s="1760"/>
      <c r="BV333" s="1760"/>
      <c r="BW333" s="1760"/>
      <c r="BX333" s="1760"/>
      <c r="BY333" s="1760"/>
      <c r="BZ333" s="1760"/>
      <c r="CA333" s="1760"/>
      <c r="CB333" s="1760"/>
      <c r="CC333" s="1760"/>
      <c r="CD333" s="1760"/>
      <c r="CE333" s="1760"/>
      <c r="CF333" s="1760"/>
      <c r="CG333" s="1760"/>
      <c r="CH333" s="1760"/>
      <c r="CI333" s="1760"/>
      <c r="CJ333" s="1760"/>
      <c r="CK333" s="1760"/>
      <c r="CL333" s="1760"/>
      <c r="CM333" s="1760"/>
      <c r="CN333" s="1760"/>
      <c r="CO333" s="1760"/>
      <c r="CP333" s="1760"/>
      <c r="CQ333" s="2527"/>
      <c r="CR333" s="2423"/>
    </row>
    <row r="334" spans="1:96" customFormat="1" ht="12.75" customHeight="1">
      <c r="A334" s="1760"/>
      <c r="B334" s="1760"/>
      <c r="C334" s="1760"/>
      <c r="D334" s="1760"/>
      <c r="E334" s="1760"/>
      <c r="F334" s="1760"/>
      <c r="G334" s="1760"/>
      <c r="H334" s="1760"/>
      <c r="I334" s="1760"/>
      <c r="J334" s="1760"/>
      <c r="K334" s="1760"/>
      <c r="L334" s="1760"/>
      <c r="M334" s="1760"/>
      <c r="N334" s="1760"/>
      <c r="O334" s="1760"/>
      <c r="P334" s="1760"/>
      <c r="Q334" s="1760"/>
      <c r="R334" s="1760"/>
      <c r="S334" s="1760"/>
      <c r="T334" s="1760"/>
      <c r="U334" s="1760"/>
      <c r="V334" s="1760"/>
      <c r="W334" s="1760"/>
      <c r="X334" s="1760"/>
      <c r="Y334" s="1760"/>
      <c r="Z334" s="1760"/>
      <c r="AA334" s="1760"/>
      <c r="AB334" s="1760"/>
      <c r="AC334" s="1760"/>
      <c r="AD334" s="1760"/>
      <c r="AE334" s="2527"/>
      <c r="AF334" s="574"/>
      <c r="AG334" s="1400" t="s">
        <v>5747</v>
      </c>
      <c r="AH334" s="1400"/>
      <c r="AI334" s="1400"/>
      <c r="AJ334" s="1400"/>
      <c r="AK334" s="1400"/>
      <c r="AL334" s="1400"/>
      <c r="AM334" s="1400"/>
      <c r="AN334" s="1400"/>
      <c r="AO334" s="1400"/>
      <c r="AP334" s="1400"/>
      <c r="AQ334" s="1400"/>
      <c r="AR334" s="1400"/>
      <c r="AS334" s="1400"/>
      <c r="AT334" s="1317"/>
      <c r="AU334" s="1317"/>
      <c r="AV334" s="1317"/>
      <c r="AW334" s="1317"/>
      <c r="AX334" s="1317"/>
      <c r="AY334" s="1317"/>
      <c r="AZ334" s="1317"/>
      <c r="BA334" s="1317"/>
      <c r="BB334" s="1317"/>
      <c r="BC334" s="1317"/>
      <c r="BD334" s="1317"/>
      <c r="BE334" s="1317"/>
      <c r="BF334" s="1317"/>
      <c r="BG334" s="1317"/>
      <c r="BH334" s="1317"/>
      <c r="BI334" s="1317"/>
      <c r="BJ334" s="1317"/>
      <c r="BK334" s="2529"/>
      <c r="BL334" s="572"/>
      <c r="BM334" s="1400" t="s">
        <v>5747</v>
      </c>
      <c r="BN334" s="1400"/>
      <c r="BO334" s="1400"/>
      <c r="BP334" s="1400"/>
      <c r="BQ334" s="1400"/>
      <c r="BR334" s="1400"/>
      <c r="BS334" s="1400"/>
      <c r="BT334" s="1400"/>
      <c r="BU334" s="1400"/>
      <c r="BV334" s="1400"/>
      <c r="BW334" s="1400"/>
      <c r="BX334" s="1400"/>
      <c r="BY334" s="1400"/>
      <c r="BZ334" s="1317"/>
      <c r="CA334" s="1317"/>
      <c r="CB334" s="1317"/>
      <c r="CC334" s="1317"/>
      <c r="CD334" s="1317"/>
      <c r="CE334" s="1317"/>
      <c r="CF334" s="1317"/>
      <c r="CG334" s="1317"/>
      <c r="CH334" s="1317"/>
      <c r="CI334" s="1317"/>
      <c r="CJ334" s="1317"/>
      <c r="CK334" s="1317"/>
      <c r="CL334" s="1317"/>
      <c r="CM334" s="1317"/>
      <c r="CN334" s="1317"/>
      <c r="CO334" s="1317"/>
      <c r="CP334" s="1317"/>
      <c r="CQ334" s="2527"/>
      <c r="CR334" s="2423"/>
    </row>
    <row r="335" spans="1:96" ht="12.75" customHeight="1">
      <c r="A335" s="1760"/>
      <c r="B335" s="1760"/>
      <c r="C335" s="1760"/>
      <c r="D335" s="1760"/>
      <c r="E335" s="1760"/>
      <c r="F335" s="1760"/>
      <c r="G335" s="1760"/>
      <c r="H335" s="1760"/>
      <c r="I335" s="1760"/>
      <c r="J335" s="1760"/>
      <c r="K335" s="1760"/>
      <c r="L335" s="1760"/>
      <c r="M335" s="1760"/>
      <c r="N335" s="1760"/>
      <c r="O335" s="1760"/>
      <c r="P335" s="1760"/>
      <c r="Q335" s="1760"/>
      <c r="R335" s="1760"/>
      <c r="S335" s="1760"/>
      <c r="T335" s="1760"/>
      <c r="U335" s="1760"/>
      <c r="V335" s="1760"/>
      <c r="W335" s="1760"/>
      <c r="X335" s="1760"/>
      <c r="Y335" s="1760"/>
      <c r="Z335" s="1760"/>
      <c r="AA335" s="1760"/>
      <c r="AB335" s="1760"/>
      <c r="AC335" s="1760"/>
      <c r="AD335" s="1760"/>
      <c r="AE335" s="2527"/>
      <c r="AG335" s="1760"/>
      <c r="AH335" s="1760"/>
      <c r="AI335" s="1760"/>
      <c r="AJ335" s="1760"/>
      <c r="AK335" s="1760"/>
      <c r="AL335" s="1760"/>
      <c r="AM335" s="1760"/>
      <c r="AN335" s="1760"/>
      <c r="AO335" s="1760"/>
      <c r="AP335" s="1760"/>
      <c r="AQ335" s="1760"/>
      <c r="AR335" s="1760"/>
      <c r="AS335" s="1760"/>
      <c r="AT335" s="1760"/>
      <c r="AU335" s="1760"/>
      <c r="AV335" s="1760"/>
      <c r="AW335" s="1760"/>
      <c r="AX335" s="1760"/>
      <c r="AY335" s="1760"/>
      <c r="AZ335" s="1760"/>
      <c r="BA335" s="1760"/>
      <c r="BB335" s="1760"/>
      <c r="BC335" s="1760"/>
      <c r="BD335" s="1760"/>
      <c r="BE335" s="1760"/>
      <c r="BF335" s="1760"/>
      <c r="BG335" s="1760"/>
      <c r="BH335" s="1760"/>
      <c r="BI335" s="1760"/>
      <c r="BJ335" s="1760"/>
      <c r="BK335" s="2529"/>
      <c r="BM335" s="1760"/>
      <c r="BN335" s="1760"/>
      <c r="BO335" s="1760"/>
      <c r="BP335" s="1760"/>
      <c r="BQ335" s="1760"/>
      <c r="BR335" s="1760"/>
      <c r="BS335" s="1760"/>
      <c r="BT335" s="1760"/>
      <c r="BU335" s="1760"/>
      <c r="BV335" s="1760"/>
      <c r="BW335" s="1760"/>
      <c r="BX335" s="1760"/>
      <c r="BY335" s="1760"/>
      <c r="BZ335" s="1760"/>
      <c r="CA335" s="1760"/>
      <c r="CB335" s="1760"/>
      <c r="CC335" s="1760"/>
      <c r="CD335" s="1760"/>
      <c r="CE335" s="1760"/>
      <c r="CF335" s="1760"/>
      <c r="CG335" s="1760"/>
      <c r="CH335" s="1760"/>
      <c r="CI335" s="1760"/>
      <c r="CJ335" s="1760"/>
      <c r="CK335" s="1760"/>
      <c r="CL335" s="1760"/>
      <c r="CM335" s="1760"/>
      <c r="CN335" s="1760"/>
      <c r="CO335" s="1760"/>
      <c r="CP335" s="1760"/>
      <c r="CQ335" s="2527"/>
      <c r="CR335" s="2423"/>
    </row>
    <row r="336" spans="1:96" ht="12.75" customHeight="1">
      <c r="A336" s="1760"/>
      <c r="B336" s="1760"/>
      <c r="C336" s="1760"/>
      <c r="D336" s="1760"/>
      <c r="E336" s="1760"/>
      <c r="F336" s="1760"/>
      <c r="G336" s="1760"/>
      <c r="H336" s="1760"/>
      <c r="I336" s="1760"/>
      <c r="J336" s="1760"/>
      <c r="K336" s="1760"/>
      <c r="L336" s="1760"/>
      <c r="M336" s="1760"/>
      <c r="N336" s="1760"/>
      <c r="O336" s="1760"/>
      <c r="P336" s="1760"/>
      <c r="Q336" s="1760"/>
      <c r="R336" s="1760"/>
      <c r="S336" s="1760"/>
      <c r="T336" s="1760"/>
      <c r="U336" s="1760"/>
      <c r="V336" s="1760"/>
      <c r="W336" s="1760"/>
      <c r="X336" s="1760"/>
      <c r="Y336" s="1760"/>
      <c r="Z336" s="1760"/>
      <c r="AA336" s="1760"/>
      <c r="AB336" s="1760"/>
      <c r="AC336" s="1760"/>
      <c r="AD336" s="1760"/>
      <c r="AE336" s="2527"/>
      <c r="AG336" s="1760"/>
      <c r="AH336" s="1760"/>
      <c r="AI336" s="1760"/>
      <c r="AJ336" s="1760"/>
      <c r="AK336" s="1760"/>
      <c r="AL336" s="1760"/>
      <c r="AM336" s="1760"/>
      <c r="AN336" s="1760"/>
      <c r="AO336" s="1760"/>
      <c r="AP336" s="1760"/>
      <c r="AQ336" s="1760"/>
      <c r="AR336" s="1760"/>
      <c r="AS336" s="1760"/>
      <c r="AT336" s="1760"/>
      <c r="AU336" s="1760"/>
      <c r="AV336" s="1760"/>
      <c r="AW336" s="1760"/>
      <c r="AX336" s="1760"/>
      <c r="AY336" s="1760"/>
      <c r="AZ336" s="1760"/>
      <c r="BA336" s="1760"/>
      <c r="BB336" s="1760"/>
      <c r="BC336" s="1760"/>
      <c r="BD336" s="1760"/>
      <c r="BE336" s="1760"/>
      <c r="BF336" s="1760"/>
      <c r="BG336" s="1760"/>
      <c r="BH336" s="1760"/>
      <c r="BI336" s="1760"/>
      <c r="BJ336" s="1760"/>
      <c r="BK336" s="2529"/>
      <c r="BM336" s="1760"/>
      <c r="BN336" s="1760"/>
      <c r="BO336" s="1760"/>
      <c r="BP336" s="1760"/>
      <c r="BQ336" s="1760"/>
      <c r="BR336" s="1760"/>
      <c r="BS336" s="1760"/>
      <c r="BT336" s="1760"/>
      <c r="BU336" s="1760"/>
      <c r="BV336" s="1760"/>
      <c r="BW336" s="1760"/>
      <c r="BX336" s="1760"/>
      <c r="BY336" s="1760"/>
      <c r="BZ336" s="1760"/>
      <c r="CA336" s="1760"/>
      <c r="CB336" s="1760"/>
      <c r="CC336" s="1760"/>
      <c r="CD336" s="1760"/>
      <c r="CE336" s="1760"/>
      <c r="CF336" s="1760"/>
      <c r="CG336" s="1760"/>
      <c r="CH336" s="1760"/>
      <c r="CI336" s="1760"/>
      <c r="CJ336" s="1760"/>
      <c r="CK336" s="1760"/>
      <c r="CL336" s="1760"/>
      <c r="CM336" s="1760"/>
      <c r="CN336" s="1760"/>
      <c r="CO336" s="1760"/>
      <c r="CP336" s="1760"/>
      <c r="CQ336" s="2527"/>
      <c r="CR336" s="2423"/>
    </row>
    <row r="337" spans="1:96" ht="12.75" customHeight="1">
      <c r="A337" s="1760"/>
      <c r="B337" s="1760"/>
      <c r="C337" s="1760"/>
      <c r="D337" s="1760"/>
      <c r="E337" s="1760"/>
      <c r="F337" s="1760"/>
      <c r="G337" s="1760"/>
      <c r="H337" s="1760"/>
      <c r="I337" s="1760"/>
      <c r="J337" s="1760"/>
      <c r="K337" s="1760"/>
      <c r="L337" s="1760"/>
      <c r="M337" s="1760"/>
      <c r="N337" s="1760"/>
      <c r="O337" s="1760"/>
      <c r="P337" s="1760"/>
      <c r="Q337" s="1760"/>
      <c r="R337" s="1760"/>
      <c r="S337" s="1760"/>
      <c r="T337" s="1760"/>
      <c r="U337" s="1760"/>
      <c r="V337" s="1760"/>
      <c r="W337" s="1760"/>
      <c r="X337" s="1760"/>
      <c r="Y337" s="1760"/>
      <c r="Z337" s="1760"/>
      <c r="AA337" s="1760"/>
      <c r="AB337" s="1760"/>
      <c r="AC337" s="1760"/>
      <c r="AD337" s="1760"/>
      <c r="AE337" s="2527"/>
      <c r="AG337" s="1323"/>
      <c r="AH337" s="1441"/>
      <c r="AI337" s="1441"/>
      <c r="AJ337" s="1441"/>
      <c r="AK337" s="1441"/>
      <c r="AL337" s="1441"/>
      <c r="AM337" s="1441"/>
      <c r="AN337" s="1441"/>
      <c r="AO337" s="1441"/>
      <c r="AP337" s="1441"/>
      <c r="AQ337" s="1441"/>
      <c r="AR337" s="1441"/>
      <c r="AS337" s="1441"/>
      <c r="AT337" s="1441"/>
      <c r="AU337" s="1441"/>
      <c r="AV337" s="1441"/>
      <c r="AW337" s="1441"/>
      <c r="AX337" s="1441"/>
      <c r="AY337" s="1441"/>
      <c r="AZ337" s="1441"/>
      <c r="BA337" s="1441"/>
      <c r="BB337" s="1441"/>
      <c r="BC337" s="1441"/>
      <c r="BD337" s="1441"/>
      <c r="BE337" s="1441"/>
      <c r="BF337" s="1441"/>
      <c r="BG337" s="1441"/>
      <c r="BH337" s="1441"/>
      <c r="BI337" s="1441"/>
      <c r="BJ337" s="1442"/>
      <c r="BK337" s="2529"/>
      <c r="BM337" s="1323"/>
      <c r="BN337" s="1441"/>
      <c r="BO337" s="1441"/>
      <c r="BP337" s="1441"/>
      <c r="BQ337" s="1441"/>
      <c r="BR337" s="1441"/>
      <c r="BS337" s="1441"/>
      <c r="BT337" s="1441"/>
      <c r="BU337" s="1441"/>
      <c r="BV337" s="1441"/>
      <c r="BW337" s="1441"/>
      <c r="BX337" s="1441"/>
      <c r="BY337" s="1441"/>
      <c r="BZ337" s="1441"/>
      <c r="CA337" s="1441"/>
      <c r="CB337" s="1441"/>
      <c r="CC337" s="1441"/>
      <c r="CD337" s="1441"/>
      <c r="CE337" s="1441"/>
      <c r="CF337" s="1441"/>
      <c r="CG337" s="1441"/>
      <c r="CH337" s="1441"/>
      <c r="CI337" s="1441"/>
      <c r="CJ337" s="1441"/>
      <c r="CK337" s="1441"/>
      <c r="CL337" s="1441"/>
      <c r="CM337" s="1441"/>
      <c r="CN337" s="1441"/>
      <c r="CO337" s="1441"/>
      <c r="CP337" s="1442"/>
      <c r="CQ337" s="2527"/>
      <c r="CR337" s="2423"/>
    </row>
    <row r="338" spans="1:96" ht="12.75" customHeight="1">
      <c r="A338" s="1760"/>
      <c r="B338" s="1760"/>
      <c r="C338" s="1760"/>
      <c r="D338" s="1760"/>
      <c r="E338" s="1760"/>
      <c r="F338" s="1760"/>
      <c r="G338" s="1760"/>
      <c r="H338" s="1760"/>
      <c r="I338" s="1760"/>
      <c r="J338" s="1760"/>
      <c r="K338" s="1760"/>
      <c r="L338" s="1760"/>
      <c r="M338" s="1760"/>
      <c r="N338" s="1760"/>
      <c r="O338" s="1760"/>
      <c r="P338" s="1760"/>
      <c r="Q338" s="1760"/>
      <c r="R338" s="1760"/>
      <c r="S338" s="1760"/>
      <c r="T338" s="1760"/>
      <c r="U338" s="1760"/>
      <c r="V338" s="1760"/>
      <c r="W338" s="1760"/>
      <c r="X338" s="1760"/>
      <c r="Y338" s="1760"/>
      <c r="Z338" s="1760"/>
      <c r="AA338" s="1760"/>
      <c r="AB338" s="1760"/>
      <c r="AC338" s="1760"/>
      <c r="AD338" s="1760"/>
      <c r="AE338" s="2527"/>
      <c r="AG338" s="1323"/>
      <c r="AH338" s="1441"/>
      <c r="AI338" s="1441"/>
      <c r="AJ338" s="1441"/>
      <c r="AK338" s="1441"/>
      <c r="AL338" s="1441"/>
      <c r="AM338" s="1441"/>
      <c r="AN338" s="1441"/>
      <c r="AO338" s="1441"/>
      <c r="AP338" s="1441"/>
      <c r="AQ338" s="1441"/>
      <c r="AR338" s="1441"/>
      <c r="AS338" s="1441"/>
      <c r="AT338" s="1441"/>
      <c r="AU338" s="1441"/>
      <c r="AV338" s="1441"/>
      <c r="AW338" s="1441"/>
      <c r="AX338" s="1441"/>
      <c r="AY338" s="1441"/>
      <c r="AZ338" s="1441"/>
      <c r="BA338" s="1441"/>
      <c r="BB338" s="1441"/>
      <c r="BC338" s="1441"/>
      <c r="BD338" s="1441"/>
      <c r="BE338" s="1441"/>
      <c r="BF338" s="1441"/>
      <c r="BG338" s="1441"/>
      <c r="BH338" s="1441"/>
      <c r="BI338" s="1441"/>
      <c r="BJ338" s="1442"/>
      <c r="BK338" s="2529"/>
      <c r="BM338" s="1323"/>
      <c r="BN338" s="1441"/>
      <c r="BO338" s="1441"/>
      <c r="BP338" s="1441"/>
      <c r="BQ338" s="1441"/>
      <c r="BR338" s="1441"/>
      <c r="BS338" s="1441"/>
      <c r="BT338" s="1441"/>
      <c r="BU338" s="1441"/>
      <c r="BV338" s="1441"/>
      <c r="BW338" s="1441"/>
      <c r="BX338" s="1441"/>
      <c r="BY338" s="1441"/>
      <c r="BZ338" s="1441"/>
      <c r="CA338" s="1441"/>
      <c r="CB338" s="1441"/>
      <c r="CC338" s="1441"/>
      <c r="CD338" s="1441"/>
      <c r="CE338" s="1441"/>
      <c r="CF338" s="1441"/>
      <c r="CG338" s="1441"/>
      <c r="CH338" s="1441"/>
      <c r="CI338" s="1441"/>
      <c r="CJ338" s="1441"/>
      <c r="CK338" s="1441"/>
      <c r="CL338" s="1441"/>
      <c r="CM338" s="1441"/>
      <c r="CN338" s="1441"/>
      <c r="CO338" s="1441"/>
      <c r="CP338" s="1442"/>
      <c r="CQ338" s="2527"/>
      <c r="CR338" s="2423"/>
    </row>
    <row r="339" spans="1:96" ht="12.75" customHeight="1">
      <c r="A339" s="1760"/>
      <c r="B339" s="1760"/>
      <c r="C339" s="1760"/>
      <c r="D339" s="1760"/>
      <c r="E339" s="1760"/>
      <c r="F339" s="1760"/>
      <c r="G339" s="1760"/>
      <c r="H339" s="1760"/>
      <c r="I339" s="1760"/>
      <c r="J339" s="1760"/>
      <c r="K339" s="1760"/>
      <c r="L339" s="1760"/>
      <c r="M339" s="1760"/>
      <c r="N339" s="1760"/>
      <c r="O339" s="1760"/>
      <c r="P339" s="1760"/>
      <c r="Q339" s="1760"/>
      <c r="R339" s="1760"/>
      <c r="S339" s="1760"/>
      <c r="T339" s="1760"/>
      <c r="U339" s="1760"/>
      <c r="V339" s="1760"/>
      <c r="W339" s="1760"/>
      <c r="X339" s="1760"/>
      <c r="Y339" s="1760"/>
      <c r="Z339" s="1760"/>
      <c r="AA339" s="1760"/>
      <c r="AB339" s="1760"/>
      <c r="AC339" s="1760"/>
      <c r="AD339" s="1760"/>
      <c r="AE339" s="2527"/>
      <c r="AG339" s="1323"/>
      <c r="AH339" s="1441"/>
      <c r="AI339" s="1441"/>
      <c r="AJ339" s="1441"/>
      <c r="AK339" s="1441"/>
      <c r="AL339" s="1441"/>
      <c r="AM339" s="1441"/>
      <c r="AN339" s="1441"/>
      <c r="AO339" s="1441"/>
      <c r="AP339" s="1441"/>
      <c r="AQ339" s="1441"/>
      <c r="AR339" s="1441"/>
      <c r="AS339" s="1441"/>
      <c r="AT339" s="1441"/>
      <c r="AU339" s="1441"/>
      <c r="AV339" s="1441"/>
      <c r="AW339" s="1441"/>
      <c r="AX339" s="1441"/>
      <c r="AY339" s="1441"/>
      <c r="AZ339" s="1441"/>
      <c r="BA339" s="1441"/>
      <c r="BB339" s="1441"/>
      <c r="BC339" s="1441"/>
      <c r="BD339" s="1441"/>
      <c r="BE339" s="1441"/>
      <c r="BF339" s="1441"/>
      <c r="BG339" s="1441"/>
      <c r="BH339" s="1441"/>
      <c r="BI339" s="1441"/>
      <c r="BJ339" s="1442"/>
      <c r="BK339" s="2529"/>
      <c r="BM339" s="1323"/>
      <c r="BN339" s="1441"/>
      <c r="BO339" s="1441"/>
      <c r="BP339" s="1441"/>
      <c r="BQ339" s="1441"/>
      <c r="BR339" s="1441"/>
      <c r="BS339" s="1441"/>
      <c r="BT339" s="1441"/>
      <c r="BU339" s="1441"/>
      <c r="BV339" s="1441"/>
      <c r="BW339" s="1441"/>
      <c r="BX339" s="1441"/>
      <c r="BY339" s="1441"/>
      <c r="BZ339" s="1441"/>
      <c r="CA339" s="1441"/>
      <c r="CB339" s="1441"/>
      <c r="CC339" s="1441"/>
      <c r="CD339" s="1441"/>
      <c r="CE339" s="1441"/>
      <c r="CF339" s="1441"/>
      <c r="CG339" s="1441"/>
      <c r="CH339" s="1441"/>
      <c r="CI339" s="1441"/>
      <c r="CJ339" s="1441"/>
      <c r="CK339" s="1441"/>
      <c r="CL339" s="1441"/>
      <c r="CM339" s="1441"/>
      <c r="CN339" s="1441"/>
      <c r="CO339" s="1441"/>
      <c r="CP339" s="1442"/>
      <c r="CQ339" s="2527"/>
      <c r="CR339" s="2423"/>
    </row>
    <row r="340" spans="1:96" ht="12.75" customHeight="1">
      <c r="A340" s="1760"/>
      <c r="B340" s="1760"/>
      <c r="C340" s="1760"/>
      <c r="D340" s="1760"/>
      <c r="E340" s="1760"/>
      <c r="F340" s="1760"/>
      <c r="G340" s="1760"/>
      <c r="H340" s="1760"/>
      <c r="I340" s="1760"/>
      <c r="J340" s="1760"/>
      <c r="K340" s="1760"/>
      <c r="L340" s="1760"/>
      <c r="M340" s="1760"/>
      <c r="N340" s="1760"/>
      <c r="O340" s="1760"/>
      <c r="P340" s="1760"/>
      <c r="Q340" s="1760"/>
      <c r="R340" s="1760"/>
      <c r="S340" s="1760"/>
      <c r="T340" s="1760"/>
      <c r="U340" s="1760"/>
      <c r="V340" s="1760"/>
      <c r="W340" s="1760"/>
      <c r="X340" s="1760"/>
      <c r="Y340" s="1760"/>
      <c r="Z340" s="1760"/>
      <c r="AA340" s="1760"/>
      <c r="AB340" s="1760"/>
      <c r="AC340" s="1760"/>
      <c r="AD340" s="1760"/>
      <c r="AE340" s="2527"/>
      <c r="AG340" s="1323"/>
      <c r="AH340" s="1441"/>
      <c r="AI340" s="1441"/>
      <c r="AJ340" s="1441"/>
      <c r="AK340" s="1441"/>
      <c r="AL340" s="1441"/>
      <c r="AM340" s="1441"/>
      <c r="AN340" s="1441"/>
      <c r="AO340" s="1441"/>
      <c r="AP340" s="1441"/>
      <c r="AQ340" s="1441"/>
      <c r="AR340" s="1441"/>
      <c r="AS340" s="1441"/>
      <c r="AT340" s="1441"/>
      <c r="AU340" s="1441"/>
      <c r="AV340" s="1441"/>
      <c r="AW340" s="1441"/>
      <c r="AX340" s="1441"/>
      <c r="AY340" s="1441"/>
      <c r="AZ340" s="1441"/>
      <c r="BA340" s="1441"/>
      <c r="BB340" s="1441"/>
      <c r="BC340" s="1441"/>
      <c r="BD340" s="1441"/>
      <c r="BE340" s="1441"/>
      <c r="BF340" s="1441"/>
      <c r="BG340" s="1441"/>
      <c r="BH340" s="1441"/>
      <c r="BI340" s="1441"/>
      <c r="BJ340" s="1442"/>
      <c r="BK340" s="2529"/>
      <c r="BM340" s="1323"/>
      <c r="BN340" s="1441"/>
      <c r="BO340" s="1441"/>
      <c r="BP340" s="1441"/>
      <c r="BQ340" s="1441"/>
      <c r="BR340" s="1441"/>
      <c r="BS340" s="1441"/>
      <c r="BT340" s="1441"/>
      <c r="BU340" s="1441"/>
      <c r="BV340" s="1441"/>
      <c r="BW340" s="1441"/>
      <c r="BX340" s="1441"/>
      <c r="BY340" s="1441"/>
      <c r="BZ340" s="1441"/>
      <c r="CA340" s="1441"/>
      <c r="CB340" s="1441"/>
      <c r="CC340" s="1441"/>
      <c r="CD340" s="1441"/>
      <c r="CE340" s="1441"/>
      <c r="CF340" s="1441"/>
      <c r="CG340" s="1441"/>
      <c r="CH340" s="1441"/>
      <c r="CI340" s="1441"/>
      <c r="CJ340" s="1441"/>
      <c r="CK340" s="1441"/>
      <c r="CL340" s="1441"/>
      <c r="CM340" s="1441"/>
      <c r="CN340" s="1441"/>
      <c r="CO340" s="1441"/>
      <c r="CP340" s="1442"/>
      <c r="CQ340" s="2527"/>
      <c r="CR340" s="2423"/>
    </row>
    <row r="341" spans="1:96">
      <c r="A341" s="1760"/>
      <c r="B341" s="1760"/>
      <c r="C341" s="1760"/>
      <c r="D341" s="1760"/>
      <c r="E341" s="1760"/>
      <c r="F341" s="1760"/>
      <c r="G341" s="1760"/>
      <c r="H341" s="1760"/>
      <c r="I341" s="1760"/>
      <c r="J341" s="1760"/>
      <c r="K341" s="1760"/>
      <c r="L341" s="1760"/>
      <c r="M341" s="1760"/>
      <c r="N341" s="1760"/>
      <c r="O341" s="1760"/>
      <c r="P341" s="1760"/>
      <c r="Q341" s="1760"/>
      <c r="R341" s="1760"/>
      <c r="S341" s="1760"/>
      <c r="T341" s="1760"/>
      <c r="U341" s="1760"/>
      <c r="V341" s="1760"/>
      <c r="W341" s="1760"/>
      <c r="X341" s="1760"/>
      <c r="Y341" s="1760"/>
      <c r="Z341" s="1760"/>
      <c r="AA341" s="1760"/>
      <c r="AB341" s="1760"/>
      <c r="AC341" s="1760"/>
      <c r="AD341" s="1760"/>
      <c r="AE341" s="2527"/>
      <c r="AG341" s="1323"/>
      <c r="AH341" s="1441"/>
      <c r="AI341" s="1441"/>
      <c r="AJ341" s="1441"/>
      <c r="AK341" s="1441"/>
      <c r="AL341" s="1441"/>
      <c r="AM341" s="1441"/>
      <c r="AN341" s="1441"/>
      <c r="AO341" s="1441"/>
      <c r="AP341" s="1441"/>
      <c r="AQ341" s="1441"/>
      <c r="AR341" s="1441"/>
      <c r="AS341" s="1441"/>
      <c r="AT341" s="1441"/>
      <c r="AU341" s="1441"/>
      <c r="AV341" s="1441"/>
      <c r="AW341" s="1441"/>
      <c r="AX341" s="1441"/>
      <c r="AY341" s="1441"/>
      <c r="AZ341" s="1441"/>
      <c r="BA341" s="1441"/>
      <c r="BB341" s="1441"/>
      <c r="BC341" s="1441"/>
      <c r="BD341" s="1441"/>
      <c r="BE341" s="1441"/>
      <c r="BF341" s="1441"/>
      <c r="BG341" s="1441"/>
      <c r="BH341" s="1441"/>
      <c r="BI341" s="1441"/>
      <c r="BJ341" s="1442"/>
      <c r="BK341" s="2529"/>
      <c r="BM341" s="1323"/>
      <c r="BN341" s="1441"/>
      <c r="BO341" s="1441"/>
      <c r="BP341" s="1441"/>
      <c r="BQ341" s="1441"/>
      <c r="BR341" s="1441"/>
      <c r="BS341" s="1441"/>
      <c r="BT341" s="1441"/>
      <c r="BU341" s="1441"/>
      <c r="BV341" s="1441"/>
      <c r="BW341" s="1441"/>
      <c r="BX341" s="1441"/>
      <c r="BY341" s="1441"/>
      <c r="BZ341" s="1441"/>
      <c r="CA341" s="1441"/>
      <c r="CB341" s="1441"/>
      <c r="CC341" s="1441"/>
      <c r="CD341" s="1441"/>
      <c r="CE341" s="1441"/>
      <c r="CF341" s="1441"/>
      <c r="CG341" s="1441"/>
      <c r="CH341" s="1441"/>
      <c r="CI341" s="1441"/>
      <c r="CJ341" s="1441"/>
      <c r="CK341" s="1441"/>
      <c r="CL341" s="1441"/>
      <c r="CM341" s="1441"/>
      <c r="CN341" s="1441"/>
      <c r="CO341" s="1441"/>
      <c r="CP341" s="1442"/>
      <c r="CQ341" s="2527"/>
      <c r="CR341" s="2423"/>
    </row>
    <row r="342" spans="1:96" ht="12.75" customHeight="1">
      <c r="A342"/>
      <c r="B342"/>
      <c r="C342"/>
      <c r="D342"/>
      <c r="E342"/>
      <c r="F342"/>
      <c r="G342"/>
      <c r="H342"/>
      <c r="I342"/>
      <c r="J342"/>
      <c r="K342"/>
      <c r="L342"/>
      <c r="M342"/>
      <c r="N342"/>
      <c r="O342"/>
      <c r="P342"/>
      <c r="Q342"/>
      <c r="R342"/>
      <c r="S342"/>
      <c r="T342"/>
      <c r="U342"/>
      <c r="V342"/>
      <c r="W342"/>
      <c r="X342"/>
      <c r="Y342"/>
      <c r="Z342"/>
      <c r="AA342"/>
      <c r="AB342"/>
      <c r="AC342"/>
      <c r="AD342"/>
      <c r="AG342" t="s">
        <v>1232</v>
      </c>
      <c r="BF342"/>
      <c r="BG342"/>
      <c r="BH342"/>
      <c r="BI342"/>
      <c r="BJ342"/>
      <c r="BK342" s="2529"/>
    </row>
    <row r="343" spans="1:96" ht="12.75" customHeight="1" outlineLevel="1">
      <c r="A343" s="1400" t="s">
        <v>3579</v>
      </c>
      <c r="B343" s="1400"/>
      <c r="C343" s="1400"/>
      <c r="D343" s="1400"/>
      <c r="E343" s="1400"/>
      <c r="F343" s="1400"/>
      <c r="G343" s="1400"/>
      <c r="H343" s="1400"/>
      <c r="I343" s="1400"/>
      <c r="J343" s="1400"/>
      <c r="K343" s="1400"/>
      <c r="L343" s="1400"/>
      <c r="M343" s="1400"/>
      <c r="N343" s="1400"/>
      <c r="O343" s="1400"/>
      <c r="P343" s="1400"/>
      <c r="Q343" s="1400"/>
      <c r="R343" s="1400"/>
      <c r="S343" s="1400"/>
      <c r="T343" s="1400"/>
      <c r="U343" s="1400"/>
      <c r="V343" s="1400"/>
      <c r="W343" s="1400"/>
      <c r="X343" s="1400"/>
      <c r="Y343" s="1400"/>
      <c r="Z343" s="1400"/>
      <c r="AA343" s="1400"/>
      <c r="AB343" s="1400"/>
      <c r="AC343" s="1400"/>
      <c r="AD343" s="1400"/>
      <c r="AG343" s="1400" t="s">
        <v>3580</v>
      </c>
      <c r="AH343" s="1400"/>
      <c r="AI343" s="1400"/>
      <c r="AJ343" s="1400"/>
      <c r="AK343" s="1400"/>
      <c r="AL343" s="1400"/>
      <c r="AM343" s="1400"/>
      <c r="AN343" s="1400"/>
      <c r="AO343" s="1400"/>
      <c r="AP343" s="1400"/>
      <c r="AQ343" s="1400"/>
      <c r="AR343" s="1400"/>
      <c r="AS343" s="1400"/>
      <c r="AT343" s="1400"/>
      <c r="AU343" s="1400"/>
      <c r="AV343" s="1400"/>
      <c r="AW343" s="1400"/>
      <c r="AX343" s="1400"/>
      <c r="AY343" s="1400"/>
      <c r="AZ343" s="1400"/>
      <c r="BA343" s="1400"/>
      <c r="BB343" s="1400"/>
      <c r="BC343" s="1400"/>
      <c r="BD343" s="1400"/>
      <c r="BE343" s="1400"/>
      <c r="BF343" s="1400"/>
      <c r="BG343" s="1400"/>
      <c r="BH343" s="1400"/>
      <c r="BI343" s="1400"/>
      <c r="BJ343" s="1400"/>
      <c r="BK343" s="10"/>
      <c r="BL343" s="572"/>
      <c r="BM343" s="1400" t="s">
        <v>3580</v>
      </c>
      <c r="BN343" s="1400"/>
      <c r="BO343" s="1400"/>
      <c r="BP343" s="1400"/>
      <c r="BQ343" s="1400"/>
      <c r="BR343" s="1400"/>
      <c r="BS343" s="1400"/>
      <c r="BT343" s="1400"/>
      <c r="BU343" s="1400"/>
      <c r="BV343" s="1400"/>
      <c r="BW343" s="1400"/>
      <c r="BX343" s="1400"/>
      <c r="BY343" s="1400"/>
      <c r="BZ343" s="1400"/>
      <c r="CA343" s="1400"/>
      <c r="CB343" s="1400"/>
      <c r="CC343" s="1400"/>
      <c r="CD343" s="1400"/>
      <c r="CE343" s="1400"/>
      <c r="CF343" s="1400"/>
      <c r="CG343" s="1400"/>
      <c r="CH343" s="1400"/>
      <c r="CI343" s="1400"/>
      <c r="CJ343" s="1400"/>
      <c r="CK343" s="1400"/>
      <c r="CL343" s="1400"/>
      <c r="CM343" s="1400"/>
      <c r="CN343" s="1400"/>
      <c r="CO343" s="1400"/>
      <c r="CP343" s="1400"/>
    </row>
    <row r="344" spans="1:96" ht="12.75" customHeight="1" outlineLevel="1">
      <c r="A344" s="1760"/>
      <c r="B344" s="1760"/>
      <c r="C344" s="1760"/>
      <c r="D344" s="1760"/>
      <c r="E344" s="1760"/>
      <c r="F344" s="1760"/>
      <c r="G344" s="1760"/>
      <c r="H344" s="1760"/>
      <c r="I344" s="1760"/>
      <c r="J344" s="1760"/>
      <c r="K344" s="1760"/>
      <c r="L344" s="1760"/>
      <c r="M344" s="1760"/>
      <c r="N344" s="1760"/>
      <c r="O344" s="1760"/>
      <c r="P344" s="1760"/>
      <c r="Q344" s="1760"/>
      <c r="R344" s="1760"/>
      <c r="S344" s="1760"/>
      <c r="T344" s="1760"/>
      <c r="U344" s="1760"/>
      <c r="V344" s="1760"/>
      <c r="W344" s="1760"/>
      <c r="X344" s="1760"/>
      <c r="Y344" s="1760"/>
      <c r="Z344" s="1760"/>
      <c r="AA344" s="1760"/>
      <c r="AB344" s="1760"/>
      <c r="AC344" s="1760"/>
      <c r="AD344" s="1760"/>
      <c r="AG344" s="1339" t="s">
        <v>2742</v>
      </c>
      <c r="AH344" s="1344"/>
      <c r="AI344" s="1344"/>
      <c r="AJ344" s="1344"/>
      <c r="AK344" s="1344"/>
      <c r="AL344" s="1344"/>
      <c r="AM344" s="1298"/>
      <c r="AN344" s="1298"/>
      <c r="AO344" s="1298"/>
      <c r="AP344" s="1298"/>
      <c r="AQ344" s="1296"/>
      <c r="AR344" s="1400" t="s">
        <v>3977</v>
      </c>
      <c r="AS344" s="1400"/>
      <c r="AT344" s="1400"/>
      <c r="AU344" s="1380" t="s">
        <v>5217</v>
      </c>
      <c r="AV344" s="1396"/>
      <c r="AX344" s="1339" t="s">
        <v>2742</v>
      </c>
      <c r="AY344" s="1298"/>
      <c r="AZ344" s="1298"/>
      <c r="BA344" s="1298"/>
      <c r="BB344" s="1298"/>
      <c r="BC344" s="1298"/>
      <c r="BD344" s="1298"/>
      <c r="BE344" s="1296"/>
      <c r="BF344" s="1400" t="s">
        <v>3977</v>
      </c>
      <c r="BG344" s="1400"/>
      <c r="BH344" s="1400"/>
      <c r="BI344" s="1380" t="s">
        <v>5217</v>
      </c>
      <c r="BJ344" s="1396"/>
      <c r="BK344" s="10"/>
      <c r="BL344" s="572"/>
      <c r="BM344" s="1339" t="s">
        <v>2742</v>
      </c>
      <c r="BN344" s="1344"/>
      <c r="BO344" s="1344"/>
      <c r="BP344" s="1344"/>
      <c r="BQ344" s="1344"/>
      <c r="BR344" s="1344"/>
      <c r="BS344" s="1298"/>
      <c r="BT344" s="1298"/>
      <c r="BU344" s="1298"/>
      <c r="BV344" s="1298"/>
      <c r="BW344" s="1296"/>
      <c r="BX344" s="1400" t="s">
        <v>3977</v>
      </c>
      <c r="BY344" s="1400"/>
      <c r="BZ344" s="1400"/>
      <c r="CA344" s="1380" t="s">
        <v>5217</v>
      </c>
      <c r="CB344" s="1396"/>
      <c r="CD344" s="1339" t="s">
        <v>2742</v>
      </c>
      <c r="CE344" s="1298"/>
      <c r="CF344" s="1298"/>
      <c r="CG344" s="1298"/>
      <c r="CH344" s="1298"/>
      <c r="CI344" s="1298"/>
      <c r="CJ344" s="1298"/>
      <c r="CK344" s="1296"/>
      <c r="CL344" s="1400" t="s">
        <v>3977</v>
      </c>
      <c r="CM344" s="1400"/>
      <c r="CN344" s="1400"/>
      <c r="CO344" s="1380" t="s">
        <v>5217</v>
      </c>
      <c r="CP344" s="1396"/>
    </row>
    <row r="345" spans="1:96" ht="12.75" customHeight="1" outlineLevel="1">
      <c r="A345" s="1760"/>
      <c r="B345" s="1760"/>
      <c r="C345" s="1760"/>
      <c r="D345" s="1760"/>
      <c r="E345" s="1760"/>
      <c r="F345" s="1760"/>
      <c r="G345" s="1760"/>
      <c r="H345" s="1760"/>
      <c r="I345" s="1760"/>
      <c r="J345" s="1760"/>
      <c r="K345" s="1760"/>
      <c r="L345" s="1760"/>
      <c r="M345" s="1760"/>
      <c r="N345" s="1760"/>
      <c r="O345" s="1760"/>
      <c r="P345" s="1760"/>
      <c r="Q345" s="1760"/>
      <c r="R345" s="1760"/>
      <c r="S345" s="1760"/>
      <c r="T345" s="1760"/>
      <c r="U345" s="1760"/>
      <c r="V345" s="1760"/>
      <c r="W345" s="1760"/>
      <c r="X345" s="1760"/>
      <c r="Y345" s="1760"/>
      <c r="Z345" s="1760"/>
      <c r="AA345" s="1760"/>
      <c r="AB345" s="1760"/>
      <c r="AC345" s="1760"/>
      <c r="AD345" s="1760"/>
      <c r="AG345" s="1364"/>
      <c r="AH345" s="1298"/>
      <c r="AI345" s="1298"/>
      <c r="AJ345" s="1298"/>
      <c r="AK345" s="1298"/>
      <c r="AL345" s="1298"/>
      <c r="AM345" s="1298"/>
      <c r="AN345" s="1298"/>
      <c r="AO345" s="1298"/>
      <c r="AP345" s="1298"/>
      <c r="AQ345" s="1296"/>
      <c r="AR345" s="1361"/>
      <c r="AS345" s="1361"/>
      <c r="AT345" s="1361"/>
      <c r="AU345" s="1361"/>
      <c r="AV345" s="1362"/>
      <c r="AX345" s="1364"/>
      <c r="AY345" s="1298"/>
      <c r="AZ345" s="1298"/>
      <c r="BA345" s="1298"/>
      <c r="BB345" s="1298"/>
      <c r="BC345" s="1298"/>
      <c r="BD345" s="1298"/>
      <c r="BE345" s="1296"/>
      <c r="BF345" s="1361"/>
      <c r="BG345" s="1361"/>
      <c r="BH345" s="1361"/>
      <c r="BI345" s="1361"/>
      <c r="BJ345" s="1362"/>
      <c r="BK345" s="10"/>
      <c r="BL345" s="572"/>
      <c r="BM345" s="1364"/>
      <c r="BN345" s="1298"/>
      <c r="BO345" s="1298"/>
      <c r="BP345" s="1298"/>
      <c r="BQ345" s="1298"/>
      <c r="BR345" s="1298"/>
      <c r="BS345" s="1298"/>
      <c r="BT345" s="1298"/>
      <c r="BU345" s="1298"/>
      <c r="BV345" s="1298"/>
      <c r="BW345" s="1296"/>
      <c r="BX345" s="1361"/>
      <c r="BY345" s="1361"/>
      <c r="BZ345" s="1361"/>
      <c r="CA345" s="1361"/>
      <c r="CB345" s="1362"/>
      <c r="CD345" s="1364"/>
      <c r="CE345" s="1298"/>
      <c r="CF345" s="1298"/>
      <c r="CG345" s="1298"/>
      <c r="CH345" s="1298"/>
      <c r="CI345" s="1298"/>
      <c r="CJ345" s="1298"/>
      <c r="CK345" s="1296"/>
      <c r="CL345" s="1361"/>
      <c r="CM345" s="1361"/>
      <c r="CN345" s="1361"/>
      <c r="CO345" s="1361"/>
      <c r="CP345" s="1362"/>
    </row>
    <row r="346" spans="1:96" ht="12.75" customHeight="1" outlineLevel="1">
      <c r="A346" s="1760"/>
      <c r="B346" s="1760"/>
      <c r="C346" s="1760"/>
      <c r="D346" s="1760"/>
      <c r="E346" s="1760"/>
      <c r="F346" s="1760"/>
      <c r="G346" s="1760"/>
      <c r="H346" s="1760"/>
      <c r="I346" s="1760"/>
      <c r="J346" s="1760"/>
      <c r="K346" s="1760"/>
      <c r="L346" s="1760"/>
      <c r="M346" s="1760"/>
      <c r="N346" s="1760"/>
      <c r="O346" s="1760"/>
      <c r="P346" s="1760"/>
      <c r="Q346" s="1760"/>
      <c r="R346" s="1760"/>
      <c r="S346" s="1760"/>
      <c r="T346" s="1760"/>
      <c r="U346" s="1760"/>
      <c r="V346" s="1760"/>
      <c r="W346" s="1760"/>
      <c r="X346" s="1760"/>
      <c r="Y346" s="1760"/>
      <c r="Z346" s="1760"/>
      <c r="AA346" s="1760"/>
      <c r="AB346" s="1760"/>
      <c r="AC346" s="1760"/>
      <c r="AD346" s="1760"/>
      <c r="AG346" s="1369"/>
      <c r="AH346" s="1298"/>
      <c r="AI346" s="1298"/>
      <c r="AJ346" s="1298"/>
      <c r="AK346" s="1298"/>
      <c r="AL346" s="1298"/>
      <c r="AM346" s="1298"/>
      <c r="AN346" s="1298"/>
      <c r="AO346" s="1298"/>
      <c r="AP346" s="1298"/>
      <c r="AQ346" s="1296"/>
      <c r="AR346" s="1363"/>
      <c r="AS346" s="1363"/>
      <c r="AT346" s="1363"/>
      <c r="AU346" s="1363"/>
      <c r="AV346" s="1362"/>
      <c r="AX346" s="1369"/>
      <c r="AY346" s="1298"/>
      <c r="AZ346" s="1298"/>
      <c r="BA346" s="1298"/>
      <c r="BB346" s="1298"/>
      <c r="BC346" s="1298"/>
      <c r="BD346" s="1298"/>
      <c r="BE346" s="1296"/>
      <c r="BF346" s="1363"/>
      <c r="BG346" s="1363"/>
      <c r="BH346" s="1363"/>
      <c r="BI346" s="1363"/>
      <c r="BJ346" s="1362"/>
      <c r="BM346" s="1369"/>
      <c r="BN346" s="1298"/>
      <c r="BO346" s="1298"/>
      <c r="BP346" s="1298"/>
      <c r="BQ346" s="1298"/>
      <c r="BR346" s="1298"/>
      <c r="BS346" s="1298"/>
      <c r="BT346" s="1298"/>
      <c r="BU346" s="1298"/>
      <c r="BV346" s="1298"/>
      <c r="BW346" s="1296"/>
      <c r="BX346" s="1363"/>
      <c r="BY346" s="1363"/>
      <c r="BZ346" s="1363"/>
      <c r="CA346" s="1363"/>
      <c r="CB346" s="1362"/>
      <c r="CD346" s="1369"/>
      <c r="CE346" s="1298"/>
      <c r="CF346" s="1298"/>
      <c r="CG346" s="1298"/>
      <c r="CH346" s="1298"/>
      <c r="CI346" s="1298"/>
      <c r="CJ346" s="1298"/>
      <c r="CK346" s="1296"/>
      <c r="CL346" s="1363"/>
      <c r="CM346" s="1363"/>
      <c r="CN346" s="1363"/>
      <c r="CO346" s="1363"/>
      <c r="CP346" s="1362"/>
    </row>
    <row r="347" spans="1:96" ht="12.75" customHeight="1" outlineLevel="1">
      <c r="A347" s="1760"/>
      <c r="B347" s="1760"/>
      <c r="C347" s="1760"/>
      <c r="D347" s="1760"/>
      <c r="E347" s="1760"/>
      <c r="F347" s="1760"/>
      <c r="G347" s="1760"/>
      <c r="H347" s="1760"/>
      <c r="I347" s="1760"/>
      <c r="J347" s="1760"/>
      <c r="K347" s="1760"/>
      <c r="L347" s="1760"/>
      <c r="M347" s="1760"/>
      <c r="N347" s="1760"/>
      <c r="O347" s="1760"/>
      <c r="P347" s="1760"/>
      <c r="Q347" s="1760"/>
      <c r="R347" s="1760"/>
      <c r="S347" s="1760"/>
      <c r="T347" s="1760"/>
      <c r="U347" s="1760"/>
      <c r="V347" s="1760"/>
      <c r="W347" s="1760"/>
      <c r="X347" s="1760"/>
      <c r="Y347" s="1760"/>
      <c r="Z347" s="1760"/>
      <c r="AA347" s="1760"/>
      <c r="AB347" s="1760"/>
      <c r="AC347" s="1760"/>
      <c r="AD347" s="1760"/>
      <c r="AG347" s="1364"/>
      <c r="AH347" s="1298"/>
      <c r="AI347" s="1298"/>
      <c r="AJ347" s="1298"/>
      <c r="AK347" s="1298"/>
      <c r="AL347" s="1298"/>
      <c r="AM347" s="1298"/>
      <c r="AN347" s="1298"/>
      <c r="AO347" s="1298"/>
      <c r="AP347" s="1298"/>
      <c r="AQ347" s="1296"/>
      <c r="AR347" s="1361"/>
      <c r="AS347" s="1361"/>
      <c r="AT347" s="1361"/>
      <c r="AU347" s="1361"/>
      <c r="AV347" s="1362"/>
      <c r="AX347" s="1364"/>
      <c r="AY347" s="1298"/>
      <c r="AZ347" s="1298"/>
      <c r="BA347" s="1298"/>
      <c r="BB347" s="1298"/>
      <c r="BC347" s="1298"/>
      <c r="BD347" s="1298"/>
      <c r="BE347" s="1296"/>
      <c r="BF347" s="1361"/>
      <c r="BG347" s="1361"/>
      <c r="BH347" s="1361"/>
      <c r="BI347" s="1361"/>
      <c r="BJ347" s="1362"/>
      <c r="BM347" s="1364"/>
      <c r="BN347" s="1298"/>
      <c r="BO347" s="1298"/>
      <c r="BP347" s="1298"/>
      <c r="BQ347" s="1298"/>
      <c r="BR347" s="1298"/>
      <c r="BS347" s="1298"/>
      <c r="BT347" s="1298"/>
      <c r="BU347" s="1298"/>
      <c r="BV347" s="1298"/>
      <c r="BW347" s="1296"/>
      <c r="BX347" s="1361"/>
      <c r="BY347" s="1361"/>
      <c r="BZ347" s="1361"/>
      <c r="CA347" s="1361"/>
      <c r="CB347" s="1362"/>
      <c r="CD347" s="1364"/>
      <c r="CE347" s="1298"/>
      <c r="CF347" s="1298"/>
      <c r="CG347" s="1298"/>
      <c r="CH347" s="1298"/>
      <c r="CI347" s="1298"/>
      <c r="CJ347" s="1298"/>
      <c r="CK347" s="1296"/>
      <c r="CL347" s="1361"/>
      <c r="CM347" s="1361"/>
      <c r="CN347" s="1361"/>
      <c r="CO347" s="1361"/>
      <c r="CP347" s="1362"/>
    </row>
    <row r="348" spans="1:96" ht="12.75" customHeight="1" outlineLevel="1">
      <c r="A348" s="1760"/>
      <c r="B348" s="1760"/>
      <c r="C348" s="1760"/>
      <c r="D348" s="1760"/>
      <c r="E348" s="1760"/>
      <c r="F348" s="1760"/>
      <c r="G348" s="1760"/>
      <c r="H348" s="1760"/>
      <c r="I348" s="1760"/>
      <c r="J348" s="1760"/>
      <c r="K348" s="1760"/>
      <c r="L348" s="1760"/>
      <c r="M348" s="1760"/>
      <c r="N348" s="1760"/>
      <c r="O348" s="1760"/>
      <c r="P348" s="1760"/>
      <c r="Q348" s="1760"/>
      <c r="R348" s="1760"/>
      <c r="S348" s="1760"/>
      <c r="T348" s="1760"/>
      <c r="U348" s="1760"/>
      <c r="V348" s="1760"/>
      <c r="W348" s="1760"/>
      <c r="X348" s="1760"/>
      <c r="Y348" s="1760"/>
      <c r="Z348" s="1760"/>
      <c r="AA348" s="1760"/>
      <c r="AB348" s="1760"/>
      <c r="AC348" s="1760"/>
      <c r="AD348" s="1760"/>
      <c r="AG348" s="1369"/>
      <c r="AH348" s="1298"/>
      <c r="AI348" s="1298"/>
      <c r="AJ348" s="1298"/>
      <c r="AK348" s="1298"/>
      <c r="AL348" s="1298"/>
      <c r="AM348" s="1298"/>
      <c r="AN348" s="1298"/>
      <c r="AO348" s="1298"/>
      <c r="AP348" s="1298"/>
      <c r="AQ348" s="1296"/>
      <c r="AR348" s="1363"/>
      <c r="AS348" s="1363"/>
      <c r="AT348" s="1363"/>
      <c r="AU348" s="1363"/>
      <c r="AV348" s="1362"/>
      <c r="AX348" s="1369"/>
      <c r="AY348" s="1298"/>
      <c r="AZ348" s="1298"/>
      <c r="BA348" s="1298"/>
      <c r="BB348" s="1298"/>
      <c r="BC348" s="1298"/>
      <c r="BD348" s="1298"/>
      <c r="BE348" s="1296"/>
      <c r="BF348" s="1363"/>
      <c r="BG348" s="1363"/>
      <c r="BH348" s="1363"/>
      <c r="BI348" s="1363"/>
      <c r="BJ348" s="1362"/>
      <c r="BM348" s="1369"/>
      <c r="BN348" s="1298"/>
      <c r="BO348" s="1298"/>
      <c r="BP348" s="1298"/>
      <c r="BQ348" s="1298"/>
      <c r="BR348" s="1298"/>
      <c r="BS348" s="1298"/>
      <c r="BT348" s="1298"/>
      <c r="BU348" s="1298"/>
      <c r="BV348" s="1298"/>
      <c r="BW348" s="1296"/>
      <c r="BX348" s="1363"/>
      <c r="BY348" s="1363"/>
      <c r="BZ348" s="1363"/>
      <c r="CA348" s="1363"/>
      <c r="CB348" s="1362"/>
      <c r="CD348" s="1369"/>
      <c r="CE348" s="1298"/>
      <c r="CF348" s="1298"/>
      <c r="CG348" s="1298"/>
      <c r="CH348" s="1298"/>
      <c r="CI348" s="1298"/>
      <c r="CJ348" s="1298"/>
      <c r="CK348" s="1296"/>
      <c r="CL348" s="1363"/>
      <c r="CM348" s="1363"/>
      <c r="CN348" s="1363"/>
      <c r="CO348" s="1363"/>
      <c r="CP348" s="1362"/>
    </row>
    <row r="349" spans="1:96" ht="12.75" customHeight="1" outlineLevel="1">
      <c r="A349" s="1760"/>
      <c r="B349" s="1760"/>
      <c r="C349" s="1760"/>
      <c r="D349" s="1760"/>
      <c r="E349" s="1760"/>
      <c r="F349" s="1760"/>
      <c r="G349" s="1760"/>
      <c r="H349" s="1760"/>
      <c r="I349" s="1760"/>
      <c r="J349" s="1760"/>
      <c r="K349" s="1760"/>
      <c r="L349" s="1760"/>
      <c r="M349" s="1760"/>
      <c r="N349" s="1760"/>
      <c r="O349" s="1760"/>
      <c r="P349" s="1760"/>
      <c r="Q349" s="1760"/>
      <c r="R349" s="1760"/>
      <c r="S349" s="1760"/>
      <c r="T349" s="1760"/>
      <c r="U349" s="1760"/>
      <c r="V349" s="1760"/>
      <c r="W349" s="1760"/>
      <c r="X349" s="1760"/>
      <c r="Y349" s="1760"/>
      <c r="Z349" s="1760"/>
      <c r="AA349" s="1760"/>
      <c r="AB349" s="1760"/>
      <c r="AC349" s="1760"/>
      <c r="AD349" s="1760"/>
      <c r="AG349" s="1364"/>
      <c r="AH349" s="1298"/>
      <c r="AI349" s="1298"/>
      <c r="AJ349" s="1298"/>
      <c r="AK349" s="1298"/>
      <c r="AL349" s="1298"/>
      <c r="AM349" s="1298"/>
      <c r="AN349" s="1298"/>
      <c r="AO349" s="1298"/>
      <c r="AP349" s="1298"/>
      <c r="AQ349" s="1296"/>
      <c r="AR349" s="1361"/>
      <c r="AS349" s="1361"/>
      <c r="AT349" s="1361"/>
      <c r="AU349" s="1361"/>
      <c r="AV349" s="1362"/>
      <c r="AX349" s="1364"/>
      <c r="AY349" s="1298"/>
      <c r="AZ349" s="1298"/>
      <c r="BA349" s="1298"/>
      <c r="BB349" s="1298"/>
      <c r="BC349" s="1298"/>
      <c r="BD349" s="1298"/>
      <c r="BE349" s="1296"/>
      <c r="BF349" s="1361"/>
      <c r="BG349" s="1361"/>
      <c r="BH349" s="1361"/>
      <c r="BI349" s="1361"/>
      <c r="BJ349" s="1362"/>
      <c r="BM349" s="1364"/>
      <c r="BN349" s="1298"/>
      <c r="BO349" s="1298"/>
      <c r="BP349" s="1298"/>
      <c r="BQ349" s="1298"/>
      <c r="BR349" s="1298"/>
      <c r="BS349" s="1298"/>
      <c r="BT349" s="1298"/>
      <c r="BU349" s="1298"/>
      <c r="BV349" s="1298"/>
      <c r="BW349" s="1296"/>
      <c r="BX349" s="1361"/>
      <c r="BY349" s="1361"/>
      <c r="BZ349" s="1361"/>
      <c r="CA349" s="1361"/>
      <c r="CB349" s="1362"/>
      <c r="CD349" s="1364"/>
      <c r="CE349" s="1298"/>
      <c r="CF349" s="1298"/>
      <c r="CG349" s="1298"/>
      <c r="CH349" s="1298"/>
      <c r="CI349" s="1298"/>
      <c r="CJ349" s="1298"/>
      <c r="CK349" s="1296"/>
      <c r="CL349" s="1361"/>
      <c r="CM349" s="1361"/>
      <c r="CN349" s="1361"/>
      <c r="CO349" s="1361"/>
      <c r="CP349" s="1362"/>
    </row>
    <row r="350" spans="1:96" ht="12.75" customHeight="1" outlineLevel="1">
      <c r="A350" s="1760"/>
      <c r="B350" s="1760"/>
      <c r="C350" s="1760"/>
      <c r="D350" s="1760"/>
      <c r="E350" s="1760"/>
      <c r="F350" s="1760"/>
      <c r="G350" s="1760"/>
      <c r="H350" s="1760"/>
      <c r="I350" s="1760"/>
      <c r="J350" s="1760"/>
      <c r="K350" s="1760"/>
      <c r="L350" s="1760"/>
      <c r="M350" s="1760"/>
      <c r="N350" s="1760"/>
      <c r="O350" s="1760"/>
      <c r="P350" s="1760"/>
      <c r="Q350" s="1760"/>
      <c r="R350" s="1760"/>
      <c r="S350" s="1760"/>
      <c r="T350" s="1760"/>
      <c r="U350" s="1760"/>
      <c r="V350" s="1760"/>
      <c r="W350" s="1760"/>
      <c r="X350" s="1760"/>
      <c r="Y350" s="1760"/>
      <c r="Z350" s="1760"/>
      <c r="AA350" s="1760"/>
      <c r="AB350" s="1760"/>
      <c r="AC350" s="1760"/>
      <c r="AD350" s="1760"/>
      <c r="AG350" s="1369"/>
      <c r="AH350" s="1298"/>
      <c r="AI350" s="1298"/>
      <c r="AJ350" s="1298"/>
      <c r="AK350" s="1298"/>
      <c r="AL350" s="1298"/>
      <c r="AM350" s="1298"/>
      <c r="AN350" s="1298"/>
      <c r="AO350" s="1298"/>
      <c r="AP350" s="1298"/>
      <c r="AQ350" s="1296"/>
      <c r="AR350" s="1363"/>
      <c r="AS350" s="1363"/>
      <c r="AT350" s="1363"/>
      <c r="AU350" s="1363"/>
      <c r="AV350" s="1362"/>
      <c r="AX350" s="1369"/>
      <c r="AY350" s="1298"/>
      <c r="AZ350" s="1298"/>
      <c r="BA350" s="1298"/>
      <c r="BB350" s="1298"/>
      <c r="BC350" s="1298"/>
      <c r="BD350" s="1298"/>
      <c r="BE350" s="1296"/>
      <c r="BF350" s="1363"/>
      <c r="BG350" s="1363"/>
      <c r="BH350" s="1363"/>
      <c r="BI350" s="1363"/>
      <c r="BJ350" s="1362"/>
      <c r="BM350" s="1369"/>
      <c r="BN350" s="1298"/>
      <c r="BO350" s="1298"/>
      <c r="BP350" s="1298"/>
      <c r="BQ350" s="1298"/>
      <c r="BR350" s="1298"/>
      <c r="BS350" s="1298"/>
      <c r="BT350" s="1298"/>
      <c r="BU350" s="1298"/>
      <c r="BV350" s="1298"/>
      <c r="BW350" s="1296"/>
      <c r="BX350" s="1363"/>
      <c r="BY350" s="1363"/>
      <c r="BZ350" s="1363"/>
      <c r="CA350" s="1363"/>
      <c r="CB350" s="1362"/>
      <c r="CD350" s="1369"/>
      <c r="CE350" s="1298"/>
      <c r="CF350" s="1298"/>
      <c r="CG350" s="1298"/>
      <c r="CH350" s="1298"/>
      <c r="CI350" s="1298"/>
      <c r="CJ350" s="1298"/>
      <c r="CK350" s="1296"/>
      <c r="CL350" s="1363"/>
      <c r="CM350" s="1363"/>
      <c r="CN350" s="1363"/>
      <c r="CO350" s="1363"/>
      <c r="CP350" s="1362"/>
    </row>
    <row r="351" spans="1:96" ht="12.75" customHeight="1" outlineLevel="1">
      <c r="A351" s="1760"/>
      <c r="B351" s="1760"/>
      <c r="C351" s="1760"/>
      <c r="D351" s="1760"/>
      <c r="E351" s="1760"/>
      <c r="F351" s="1760"/>
      <c r="G351" s="1760"/>
      <c r="H351" s="1760"/>
      <c r="I351" s="1760"/>
      <c r="J351" s="1760"/>
      <c r="K351" s="1760"/>
      <c r="L351" s="1760"/>
      <c r="M351" s="1760"/>
      <c r="N351" s="1760"/>
      <c r="O351" s="1760"/>
      <c r="P351" s="1760"/>
      <c r="Q351" s="1760"/>
      <c r="R351" s="1760"/>
      <c r="S351" s="1760"/>
      <c r="T351" s="1760"/>
      <c r="U351" s="1760"/>
      <c r="V351" s="1760"/>
      <c r="W351" s="1760"/>
      <c r="X351" s="1760"/>
      <c r="Y351" s="1760"/>
      <c r="Z351" s="1760"/>
      <c r="AA351" s="1760"/>
      <c r="AB351" s="1760"/>
      <c r="AC351" s="1760"/>
      <c r="AD351" s="1760"/>
      <c r="AG351" s="1364"/>
      <c r="AH351" s="1298"/>
      <c r="AI351" s="1298"/>
      <c r="AJ351" s="1298"/>
      <c r="AK351" s="1298"/>
      <c r="AL351" s="1298"/>
      <c r="AM351" s="1298"/>
      <c r="AN351" s="1298"/>
      <c r="AO351" s="1298"/>
      <c r="AP351" s="1298"/>
      <c r="AQ351" s="1296"/>
      <c r="AR351" s="1361"/>
      <c r="AS351" s="1361"/>
      <c r="AT351" s="1361"/>
      <c r="AU351" s="1361"/>
      <c r="AV351" s="1362"/>
      <c r="AX351" s="1364"/>
      <c r="AY351" s="1298"/>
      <c r="AZ351" s="1298"/>
      <c r="BA351" s="1298"/>
      <c r="BB351" s="1298"/>
      <c r="BC351" s="1298"/>
      <c r="BD351" s="1298"/>
      <c r="BE351" s="1296"/>
      <c r="BF351" s="1361"/>
      <c r="BG351" s="1361"/>
      <c r="BH351" s="1361"/>
      <c r="BI351" s="1361"/>
      <c r="BJ351" s="1362"/>
      <c r="BM351" s="1364"/>
      <c r="BN351" s="1298"/>
      <c r="BO351" s="1298"/>
      <c r="BP351" s="1298"/>
      <c r="BQ351" s="1298"/>
      <c r="BR351" s="1298"/>
      <c r="BS351" s="1298"/>
      <c r="BT351" s="1298"/>
      <c r="BU351" s="1298"/>
      <c r="BV351" s="1298"/>
      <c r="BW351" s="1296"/>
      <c r="BX351" s="1361"/>
      <c r="BY351" s="1361"/>
      <c r="BZ351" s="1361"/>
      <c r="CA351" s="1361"/>
      <c r="CB351" s="1362"/>
      <c r="CD351" s="1364"/>
      <c r="CE351" s="1298"/>
      <c r="CF351" s="1298"/>
      <c r="CG351" s="1298"/>
      <c r="CH351" s="1298"/>
      <c r="CI351" s="1298"/>
      <c r="CJ351" s="1298"/>
      <c r="CK351" s="1296"/>
      <c r="CL351" s="1361"/>
      <c r="CM351" s="1361"/>
      <c r="CN351" s="1361"/>
      <c r="CO351" s="1361"/>
      <c r="CP351" s="1362"/>
    </row>
    <row r="352" spans="1:96" ht="12.75" customHeight="1" outlineLevel="1">
      <c r="A352" s="1760"/>
      <c r="B352" s="1760"/>
      <c r="C352" s="1760"/>
      <c r="D352" s="1760"/>
      <c r="E352" s="1760"/>
      <c r="F352" s="1760"/>
      <c r="G352" s="1760"/>
      <c r="H352" s="1760"/>
      <c r="I352" s="1760"/>
      <c r="J352" s="1760"/>
      <c r="K352" s="1760"/>
      <c r="L352" s="1760"/>
      <c r="M352" s="1760"/>
      <c r="N352" s="1760"/>
      <c r="O352" s="1760"/>
      <c r="P352" s="1760"/>
      <c r="Q352" s="1760"/>
      <c r="R352" s="1760"/>
      <c r="S352" s="1760"/>
      <c r="T352" s="1760"/>
      <c r="U352" s="1760"/>
      <c r="V352" s="1760"/>
      <c r="W352" s="1760"/>
      <c r="X352" s="1760"/>
      <c r="Y352" s="1760"/>
      <c r="Z352" s="1760"/>
      <c r="AA352" s="1760"/>
      <c r="AB352" s="1760"/>
      <c r="AC352" s="1760"/>
      <c r="AD352" s="1760"/>
      <c r="AG352" s="1369"/>
      <c r="AH352" s="1298"/>
      <c r="AI352" s="1298"/>
      <c r="AJ352" s="1298"/>
      <c r="AK352" s="1298"/>
      <c r="AL352" s="1298"/>
      <c r="AM352" s="1298"/>
      <c r="AN352" s="1298"/>
      <c r="AO352" s="1298"/>
      <c r="AP352" s="1298"/>
      <c r="AQ352" s="1296"/>
      <c r="AR352" s="1363"/>
      <c r="AS352" s="1363"/>
      <c r="AT352" s="1363"/>
      <c r="AU352" s="1363"/>
      <c r="AV352" s="1362"/>
      <c r="AX352" s="1369"/>
      <c r="AY352" s="1298"/>
      <c r="AZ352" s="1298"/>
      <c r="BA352" s="1298"/>
      <c r="BB352" s="1298"/>
      <c r="BC352" s="1298"/>
      <c r="BD352" s="1298"/>
      <c r="BE352" s="1296"/>
      <c r="BF352" s="1363"/>
      <c r="BG352" s="1363"/>
      <c r="BH352" s="1363"/>
      <c r="BI352" s="1363"/>
      <c r="BJ352" s="1362"/>
      <c r="BM352" s="1369"/>
      <c r="BN352" s="1298"/>
      <c r="BO352" s="1298"/>
      <c r="BP352" s="1298"/>
      <c r="BQ352" s="1298"/>
      <c r="BR352" s="1298"/>
      <c r="BS352" s="1298"/>
      <c r="BT352" s="1298"/>
      <c r="BU352" s="1298"/>
      <c r="BV352" s="1298"/>
      <c r="BW352" s="1296"/>
      <c r="BX352" s="1363"/>
      <c r="BY352" s="1363"/>
      <c r="BZ352" s="1363"/>
      <c r="CA352" s="1363"/>
      <c r="CB352" s="1362"/>
      <c r="CD352" s="1369"/>
      <c r="CE352" s="1298"/>
      <c r="CF352" s="1298"/>
      <c r="CG352" s="1298"/>
      <c r="CH352" s="1298"/>
      <c r="CI352" s="1298"/>
      <c r="CJ352" s="1298"/>
      <c r="CK352" s="1296"/>
      <c r="CL352" s="1363"/>
      <c r="CM352" s="1363"/>
      <c r="CN352" s="1363"/>
      <c r="CO352" s="1363"/>
      <c r="CP352" s="1362"/>
    </row>
    <row r="353" spans="1:94" ht="12.75" customHeight="1" outlineLevel="1">
      <c r="A353" s="1760"/>
      <c r="B353" s="1760"/>
      <c r="C353" s="1760"/>
      <c r="D353" s="1760"/>
      <c r="E353" s="1760"/>
      <c r="F353" s="1760"/>
      <c r="G353" s="1760"/>
      <c r="H353" s="1760"/>
      <c r="I353" s="1760"/>
      <c r="J353" s="1760"/>
      <c r="K353" s="1760"/>
      <c r="L353" s="1760"/>
      <c r="M353" s="1760"/>
      <c r="N353" s="1760"/>
      <c r="O353" s="1760"/>
      <c r="P353" s="1760"/>
      <c r="Q353" s="1760"/>
      <c r="R353" s="1760"/>
      <c r="S353" s="1760"/>
      <c r="T353" s="1760"/>
      <c r="U353" s="1760"/>
      <c r="V353" s="1760"/>
      <c r="W353" s="1760"/>
      <c r="X353" s="1760"/>
      <c r="Y353" s="1760"/>
      <c r="Z353" s="1760"/>
      <c r="AA353" s="1760"/>
      <c r="AB353" s="1760"/>
      <c r="AC353" s="1760"/>
      <c r="AD353" s="1760"/>
      <c r="AG353" s="1364"/>
      <c r="AH353" s="1298"/>
      <c r="AI353" s="1298"/>
      <c r="AJ353" s="1298"/>
      <c r="AK353" s="1298"/>
      <c r="AL353" s="1298"/>
      <c r="AM353" s="1298"/>
      <c r="AN353" s="1298"/>
      <c r="AO353" s="1298"/>
      <c r="AP353" s="1298"/>
      <c r="AQ353" s="1296"/>
      <c r="AR353" s="1361"/>
      <c r="AS353" s="1361"/>
      <c r="AT353" s="1361"/>
      <c r="AU353" s="1361"/>
      <c r="AV353" s="1362"/>
      <c r="AX353" s="1364"/>
      <c r="AY353" s="1298"/>
      <c r="AZ353" s="1298"/>
      <c r="BA353" s="1298"/>
      <c r="BB353" s="1298"/>
      <c r="BC353" s="1298"/>
      <c r="BD353" s="1298"/>
      <c r="BE353" s="1296"/>
      <c r="BF353" s="1361"/>
      <c r="BG353" s="1361"/>
      <c r="BH353" s="1361"/>
      <c r="BI353" s="1361"/>
      <c r="BJ353" s="1362"/>
      <c r="BM353" s="1364"/>
      <c r="BN353" s="1298"/>
      <c r="BO353" s="1298"/>
      <c r="BP353" s="1298"/>
      <c r="BQ353" s="1298"/>
      <c r="BR353" s="1298"/>
      <c r="BS353" s="1298"/>
      <c r="BT353" s="1298"/>
      <c r="BU353" s="1298"/>
      <c r="BV353" s="1298"/>
      <c r="BW353" s="1296"/>
      <c r="BX353" s="1361"/>
      <c r="BY353" s="1361"/>
      <c r="BZ353" s="1361"/>
      <c r="CA353" s="1361"/>
      <c r="CB353" s="1362"/>
      <c r="CD353" s="1364"/>
      <c r="CE353" s="1298"/>
      <c r="CF353" s="1298"/>
      <c r="CG353" s="1298"/>
      <c r="CH353" s="1298"/>
      <c r="CI353" s="1298"/>
      <c r="CJ353" s="1298"/>
      <c r="CK353" s="1296"/>
      <c r="CL353" s="1361"/>
      <c r="CM353" s="1361"/>
      <c r="CN353" s="1361"/>
      <c r="CO353" s="1361"/>
      <c r="CP353" s="1362"/>
    </row>
    <row r="354" spans="1:94" ht="12.75" customHeight="1" outlineLevel="1">
      <c r="A354" s="1760"/>
      <c r="B354" s="1760"/>
      <c r="C354" s="1760"/>
      <c r="D354" s="1760"/>
      <c r="E354" s="1760"/>
      <c r="F354" s="1760"/>
      <c r="G354" s="1760"/>
      <c r="H354" s="1760"/>
      <c r="I354" s="1760"/>
      <c r="J354" s="1760"/>
      <c r="K354" s="1760"/>
      <c r="L354" s="1760"/>
      <c r="M354" s="1760"/>
      <c r="N354" s="1760"/>
      <c r="O354" s="1760"/>
      <c r="P354" s="1760"/>
      <c r="Q354" s="1760"/>
      <c r="R354" s="1760"/>
      <c r="S354" s="1760"/>
      <c r="T354" s="1760"/>
      <c r="U354" s="1760"/>
      <c r="V354" s="1760"/>
      <c r="W354" s="1760"/>
      <c r="X354" s="1760"/>
      <c r="Y354" s="1760"/>
      <c r="Z354" s="1760"/>
      <c r="AA354" s="1760"/>
      <c r="AB354" s="1760"/>
      <c r="AC354" s="1760"/>
      <c r="AD354" s="1760"/>
      <c r="AG354" s="1369"/>
      <c r="AH354" s="1298"/>
      <c r="AI354" s="1298"/>
      <c r="AJ354" s="1298"/>
      <c r="AK354" s="1298"/>
      <c r="AL354" s="1298"/>
      <c r="AM354" s="1298"/>
      <c r="AN354" s="1298"/>
      <c r="AO354" s="1298"/>
      <c r="AP354" s="1298"/>
      <c r="AQ354" s="1296"/>
      <c r="AR354" s="1363"/>
      <c r="AS354" s="1363"/>
      <c r="AT354" s="1363"/>
      <c r="AU354" s="1363"/>
      <c r="AV354" s="1362"/>
      <c r="AX354" s="1369"/>
      <c r="AY354" s="1298"/>
      <c r="AZ354" s="1298"/>
      <c r="BA354" s="1298"/>
      <c r="BB354" s="1298"/>
      <c r="BC354" s="1298"/>
      <c r="BD354" s="1298"/>
      <c r="BE354" s="1296"/>
      <c r="BF354" s="1363"/>
      <c r="BG354" s="1363"/>
      <c r="BH354" s="1363"/>
      <c r="BI354" s="1363"/>
      <c r="BJ354" s="1362"/>
      <c r="BM354" s="1369"/>
      <c r="BN354" s="1298"/>
      <c r="BO354" s="1298"/>
      <c r="BP354" s="1298"/>
      <c r="BQ354" s="1298"/>
      <c r="BR354" s="1298"/>
      <c r="BS354" s="1298"/>
      <c r="BT354" s="1298"/>
      <c r="BU354" s="1298"/>
      <c r="BV354" s="1298"/>
      <c r="BW354" s="1296"/>
      <c r="BX354" s="1363"/>
      <c r="BY354" s="1363"/>
      <c r="BZ354" s="1363"/>
      <c r="CA354" s="1363"/>
      <c r="CB354" s="1362"/>
      <c r="CD354" s="1369"/>
      <c r="CE354" s="1298"/>
      <c r="CF354" s="1298"/>
      <c r="CG354" s="1298"/>
      <c r="CH354" s="1298"/>
      <c r="CI354" s="1298"/>
      <c r="CJ354" s="1298"/>
      <c r="CK354" s="1296"/>
      <c r="CL354" s="1363"/>
      <c r="CM354" s="1363"/>
      <c r="CN354" s="1363"/>
      <c r="CO354" s="1363"/>
      <c r="CP354" s="1362"/>
    </row>
    <row r="355" spans="1:94" ht="12.75" customHeight="1" outlineLevel="1">
      <c r="A355" s="1760"/>
      <c r="B355" s="1760"/>
      <c r="C355" s="1760"/>
      <c r="D355" s="1760"/>
      <c r="E355" s="1760"/>
      <c r="F355" s="1760"/>
      <c r="G355" s="1760"/>
      <c r="H355" s="1760"/>
      <c r="I355" s="1760"/>
      <c r="J355" s="1760"/>
      <c r="K355" s="1760"/>
      <c r="L355" s="1760"/>
      <c r="M355" s="1760"/>
      <c r="N355" s="1760"/>
      <c r="O355" s="1760"/>
      <c r="P355" s="1760"/>
      <c r="Q355" s="1760"/>
      <c r="R355" s="1760"/>
      <c r="S355" s="1760"/>
      <c r="T355" s="1760"/>
      <c r="U355" s="1760"/>
      <c r="V355" s="1760"/>
      <c r="W355" s="1760"/>
      <c r="X355" s="1760"/>
      <c r="Y355" s="1760"/>
      <c r="Z355" s="1760"/>
      <c r="AA355" s="1760"/>
      <c r="AB355" s="1760"/>
      <c r="AC355" s="1760"/>
      <c r="AD355" s="1760"/>
      <c r="AG355" s="1364"/>
      <c r="AH355" s="1298"/>
      <c r="AI355" s="1298"/>
      <c r="AJ355" s="1298"/>
      <c r="AK355" s="1298"/>
      <c r="AL355" s="1298"/>
      <c r="AM355" s="1298"/>
      <c r="AN355" s="1298"/>
      <c r="AO355" s="1298"/>
      <c r="AP355" s="1298"/>
      <c r="AQ355" s="1296"/>
      <c r="AR355" s="1361"/>
      <c r="AS355" s="1361"/>
      <c r="AT355" s="1361"/>
      <c r="AU355" s="1361"/>
      <c r="AV355" s="1362"/>
      <c r="AX355" s="1364"/>
      <c r="AY355" s="1298"/>
      <c r="AZ355" s="1298"/>
      <c r="BA355" s="1298"/>
      <c r="BB355" s="1298"/>
      <c r="BC355" s="1298"/>
      <c r="BD355" s="1298"/>
      <c r="BE355" s="1296"/>
      <c r="BF355" s="1361"/>
      <c r="BG355" s="1361"/>
      <c r="BH355" s="1361"/>
      <c r="BI355" s="1361"/>
      <c r="BJ355" s="1362"/>
      <c r="BM355" s="1364"/>
      <c r="BN355" s="1298"/>
      <c r="BO355" s="1298"/>
      <c r="BP355" s="1298"/>
      <c r="BQ355" s="1298"/>
      <c r="BR355" s="1298"/>
      <c r="BS355" s="1298"/>
      <c r="BT355" s="1298"/>
      <c r="BU355" s="1298"/>
      <c r="BV355" s="1298"/>
      <c r="BW355" s="1296"/>
      <c r="BX355" s="1361"/>
      <c r="BY355" s="1361"/>
      <c r="BZ355" s="1361"/>
      <c r="CA355" s="1361"/>
      <c r="CB355" s="1362"/>
      <c r="CD355" s="1364"/>
      <c r="CE355" s="1298"/>
      <c r="CF355" s="1298"/>
      <c r="CG355" s="1298"/>
      <c r="CH355" s="1298"/>
      <c r="CI355" s="1298"/>
      <c r="CJ355" s="1298"/>
      <c r="CK355" s="1296"/>
      <c r="CL355" s="1361"/>
      <c r="CM355" s="1361"/>
      <c r="CN355" s="1361"/>
      <c r="CO355" s="1361"/>
      <c r="CP355" s="1362"/>
    </row>
    <row r="356" spans="1:94" ht="12.75" customHeight="1" outlineLevel="1">
      <c r="A356" s="1760"/>
      <c r="B356" s="1760"/>
      <c r="C356" s="1760"/>
      <c r="D356" s="1760"/>
      <c r="E356" s="1760"/>
      <c r="F356" s="1760"/>
      <c r="G356" s="1760"/>
      <c r="H356" s="1760"/>
      <c r="I356" s="1760"/>
      <c r="J356" s="1760"/>
      <c r="K356" s="1760"/>
      <c r="L356" s="1760"/>
      <c r="M356" s="1760"/>
      <c r="N356" s="1760"/>
      <c r="O356" s="1760"/>
      <c r="P356" s="1760"/>
      <c r="Q356" s="1760"/>
      <c r="R356" s="1760"/>
      <c r="S356" s="1760"/>
      <c r="T356" s="1760"/>
      <c r="U356" s="1760"/>
      <c r="V356" s="1760"/>
      <c r="W356" s="1760"/>
      <c r="X356" s="1760"/>
      <c r="Y356" s="1760"/>
      <c r="Z356" s="1760"/>
      <c r="AA356" s="1760"/>
      <c r="AB356" s="1760"/>
      <c r="AC356" s="1760"/>
      <c r="AD356" s="1760"/>
      <c r="AG356" s="1369"/>
      <c r="AH356" s="1298"/>
      <c r="AI356" s="1298"/>
      <c r="AJ356" s="1298"/>
      <c r="AK356" s="1298"/>
      <c r="AL356" s="1298"/>
      <c r="AM356" s="1298"/>
      <c r="AN356" s="1298"/>
      <c r="AO356" s="1298"/>
      <c r="AP356" s="1298"/>
      <c r="AQ356" s="1296"/>
      <c r="AR356" s="1363"/>
      <c r="AS356" s="1363"/>
      <c r="AT356" s="1363"/>
      <c r="AU356" s="1363"/>
      <c r="AV356" s="1362"/>
      <c r="AX356" s="1369"/>
      <c r="AY356" s="1298"/>
      <c r="AZ356" s="1298"/>
      <c r="BA356" s="1298"/>
      <c r="BB356" s="1298"/>
      <c r="BC356" s="1298"/>
      <c r="BD356" s="1298"/>
      <c r="BE356" s="1296"/>
      <c r="BF356" s="1363"/>
      <c r="BG356" s="1363"/>
      <c r="BH356" s="1363"/>
      <c r="BI356" s="1363"/>
      <c r="BJ356" s="1362"/>
      <c r="BM356" s="1369"/>
      <c r="BN356" s="1298"/>
      <c r="BO356" s="1298"/>
      <c r="BP356" s="1298"/>
      <c r="BQ356" s="1298"/>
      <c r="BR356" s="1298"/>
      <c r="BS356" s="1298"/>
      <c r="BT356" s="1298"/>
      <c r="BU356" s="1298"/>
      <c r="BV356" s="1298"/>
      <c r="BW356" s="1296"/>
      <c r="BX356" s="1363"/>
      <c r="BY356" s="1363"/>
      <c r="BZ356" s="1363"/>
      <c r="CA356" s="1363"/>
      <c r="CB356" s="1362"/>
      <c r="CD356" s="1369"/>
      <c r="CE356" s="1298"/>
      <c r="CF356" s="1298"/>
      <c r="CG356" s="1298"/>
      <c r="CH356" s="1298"/>
      <c r="CI356" s="1298"/>
      <c r="CJ356" s="1298"/>
      <c r="CK356" s="1296"/>
      <c r="CL356" s="1363"/>
      <c r="CM356" s="1363"/>
      <c r="CN356" s="1363"/>
      <c r="CO356" s="1363"/>
      <c r="CP356" s="1362"/>
    </row>
    <row r="357" spans="1:94" ht="12.75" customHeight="1" outlineLevel="1">
      <c r="A357" s="1760"/>
      <c r="B357" s="1760"/>
      <c r="C357" s="1760"/>
      <c r="D357" s="1760"/>
      <c r="E357" s="1760"/>
      <c r="F357" s="1760"/>
      <c r="G357" s="1760"/>
      <c r="H357" s="1760"/>
      <c r="I357" s="1760"/>
      <c r="J357" s="1760"/>
      <c r="K357" s="1760"/>
      <c r="L357" s="1760"/>
      <c r="M357" s="1760"/>
      <c r="N357" s="1760"/>
      <c r="O357" s="1760"/>
      <c r="P357" s="1760"/>
      <c r="Q357" s="1760"/>
      <c r="R357" s="1760"/>
      <c r="S357" s="1760"/>
      <c r="T357" s="1760"/>
      <c r="U357" s="1760"/>
      <c r="V357" s="1760"/>
      <c r="W357" s="1760"/>
      <c r="X357" s="1760"/>
      <c r="Y357" s="1760"/>
      <c r="Z357" s="1760"/>
      <c r="AA357" s="1760"/>
      <c r="AB357" s="1760"/>
      <c r="AC357" s="1760"/>
      <c r="AD357" s="1760"/>
      <c r="AG357" s="1364"/>
      <c r="AH357" s="1298"/>
      <c r="AI357" s="1298"/>
      <c r="AJ357" s="1298"/>
      <c r="AK357" s="1298"/>
      <c r="AL357" s="1298"/>
      <c r="AM357" s="1298"/>
      <c r="AN357" s="1298"/>
      <c r="AO357" s="1298"/>
      <c r="AP357" s="1298"/>
      <c r="AQ357" s="1296"/>
      <c r="AR357" s="1361"/>
      <c r="AS357" s="1361"/>
      <c r="AT357" s="1361"/>
      <c r="AU357" s="1361"/>
      <c r="AV357" s="1362"/>
      <c r="AX357" s="1364"/>
      <c r="AY357" s="1298"/>
      <c r="AZ357" s="1298"/>
      <c r="BA357" s="1298"/>
      <c r="BB357" s="1298"/>
      <c r="BC357" s="1298"/>
      <c r="BD357" s="1298"/>
      <c r="BE357" s="1296"/>
      <c r="BF357" s="1361"/>
      <c r="BG357" s="1361"/>
      <c r="BH357" s="1361"/>
      <c r="BI357" s="1361"/>
      <c r="BJ357" s="1362"/>
      <c r="BM357" s="1364"/>
      <c r="BN357" s="1298"/>
      <c r="BO357" s="1298"/>
      <c r="BP357" s="1298"/>
      <c r="BQ357" s="1298"/>
      <c r="BR357" s="1298"/>
      <c r="BS357" s="1298"/>
      <c r="BT357" s="1298"/>
      <c r="BU357" s="1298"/>
      <c r="BV357" s="1298"/>
      <c r="BW357" s="1296"/>
      <c r="BX357" s="1361"/>
      <c r="BY357" s="1361"/>
      <c r="BZ357" s="1361"/>
      <c r="CA357" s="1361"/>
      <c r="CB357" s="1362"/>
      <c r="CD357" s="1364"/>
      <c r="CE357" s="1298"/>
      <c r="CF357" s="1298"/>
      <c r="CG357" s="1298"/>
      <c r="CH357" s="1298"/>
      <c r="CI357" s="1298"/>
      <c r="CJ357" s="1298"/>
      <c r="CK357" s="1296"/>
      <c r="CL357" s="1361"/>
      <c r="CM357" s="1361"/>
      <c r="CN357" s="1361"/>
      <c r="CO357" s="1361"/>
      <c r="CP357" s="1362"/>
    </row>
    <row r="358" spans="1:94" ht="12.75" customHeight="1" outlineLevel="1">
      <c r="A358" s="1760"/>
      <c r="B358" s="1760"/>
      <c r="C358" s="1760"/>
      <c r="D358" s="1760"/>
      <c r="E358" s="1760"/>
      <c r="F358" s="1760"/>
      <c r="G358" s="1760"/>
      <c r="H358" s="1760"/>
      <c r="I358" s="1760"/>
      <c r="J358" s="1760"/>
      <c r="K358" s="1760"/>
      <c r="L358" s="1760"/>
      <c r="M358" s="1760"/>
      <c r="N358" s="1760"/>
      <c r="O358" s="1760"/>
      <c r="P358" s="1760"/>
      <c r="Q358" s="1760"/>
      <c r="R358" s="1760"/>
      <c r="S358" s="1760"/>
      <c r="T358" s="1760"/>
      <c r="U358" s="1760"/>
      <c r="V358" s="1760"/>
      <c r="W358" s="1760"/>
      <c r="X358" s="1760"/>
      <c r="Y358" s="1760"/>
      <c r="Z358" s="1760"/>
      <c r="AA358" s="1760"/>
      <c r="AB358" s="1760"/>
      <c r="AC358" s="1760"/>
      <c r="AD358" s="1760"/>
      <c r="AG358" s="1369"/>
      <c r="AH358" s="1298"/>
      <c r="AI358" s="1298"/>
      <c r="AJ358" s="1298"/>
      <c r="AK358" s="1298"/>
      <c r="AL358" s="1298"/>
      <c r="AM358" s="1298"/>
      <c r="AN358" s="1298"/>
      <c r="AO358" s="1298"/>
      <c r="AP358" s="1298"/>
      <c r="AQ358" s="1296"/>
      <c r="AR358" s="1363"/>
      <c r="AS358" s="1363"/>
      <c r="AT358" s="1363"/>
      <c r="AU358" s="1363"/>
      <c r="AV358" s="1362"/>
      <c r="AX358" s="1369"/>
      <c r="AY358" s="1298"/>
      <c r="AZ358" s="1298"/>
      <c r="BA358" s="1298"/>
      <c r="BB358" s="1298"/>
      <c r="BC358" s="1298"/>
      <c r="BD358" s="1298"/>
      <c r="BE358" s="1296"/>
      <c r="BF358" s="1363"/>
      <c r="BG358" s="1363"/>
      <c r="BH358" s="1363"/>
      <c r="BI358" s="1363"/>
      <c r="BJ358" s="1362"/>
      <c r="BM358" s="1369"/>
      <c r="BN358" s="1298"/>
      <c r="BO358" s="1298"/>
      <c r="BP358" s="1298"/>
      <c r="BQ358" s="1298"/>
      <c r="BR358" s="1298"/>
      <c r="BS358" s="1298"/>
      <c r="BT358" s="1298"/>
      <c r="BU358" s="1298"/>
      <c r="BV358" s="1298"/>
      <c r="BW358" s="1296"/>
      <c r="BX358" s="1363"/>
      <c r="BY358" s="1363"/>
      <c r="BZ358" s="1363"/>
      <c r="CA358" s="1363"/>
      <c r="CB358" s="1362"/>
      <c r="CD358" s="1369"/>
      <c r="CE358" s="1298"/>
      <c r="CF358" s="1298"/>
      <c r="CG358" s="1298"/>
      <c r="CH358" s="1298"/>
      <c r="CI358" s="1298"/>
      <c r="CJ358" s="1298"/>
      <c r="CK358" s="1296"/>
      <c r="CL358" s="1363"/>
      <c r="CM358" s="1363"/>
      <c r="CN358" s="1363"/>
      <c r="CO358" s="1363"/>
      <c r="CP358" s="1362"/>
    </row>
    <row r="359" spans="1:94" ht="12.75" customHeight="1" outlineLevel="1">
      <c r="A359" s="1760"/>
      <c r="B359" s="1760"/>
      <c r="C359" s="1760"/>
      <c r="D359" s="1760"/>
      <c r="E359" s="1760"/>
      <c r="F359" s="1760"/>
      <c r="G359" s="1760"/>
      <c r="H359" s="1760"/>
      <c r="I359" s="1760"/>
      <c r="J359" s="1760"/>
      <c r="K359" s="1760"/>
      <c r="L359" s="1760"/>
      <c r="M359" s="1760"/>
      <c r="N359" s="1760"/>
      <c r="O359" s="1760"/>
      <c r="P359" s="1760"/>
      <c r="Q359" s="1760"/>
      <c r="R359" s="1760"/>
      <c r="S359" s="1760"/>
      <c r="T359" s="1760"/>
      <c r="U359" s="1760"/>
      <c r="V359" s="1760"/>
      <c r="W359" s="1760"/>
      <c r="X359" s="1760"/>
      <c r="Y359" s="1760"/>
      <c r="Z359" s="1760"/>
      <c r="AA359" s="1760"/>
      <c r="AB359" s="1760"/>
      <c r="AC359" s="1760"/>
      <c r="AD359" s="1760"/>
      <c r="AG359" s="1364"/>
      <c r="AH359" s="1298"/>
      <c r="AI359" s="1298"/>
      <c r="AJ359" s="1298"/>
      <c r="AK359" s="1298"/>
      <c r="AL359" s="1298"/>
      <c r="AM359" s="1298"/>
      <c r="AN359" s="1298"/>
      <c r="AO359" s="1298"/>
      <c r="AP359" s="1298"/>
      <c r="AQ359" s="1296"/>
      <c r="AR359" s="1361"/>
      <c r="AS359" s="1361"/>
      <c r="AT359" s="1361"/>
      <c r="AU359" s="1361"/>
      <c r="AV359" s="1362"/>
      <c r="AX359" s="1364"/>
      <c r="AY359" s="1298"/>
      <c r="AZ359" s="1298"/>
      <c r="BA359" s="1298"/>
      <c r="BB359" s="1298"/>
      <c r="BC359" s="1298"/>
      <c r="BD359" s="1298"/>
      <c r="BE359" s="1296"/>
      <c r="BF359" s="1361"/>
      <c r="BG359" s="1361"/>
      <c r="BH359" s="1361"/>
      <c r="BI359" s="1361"/>
      <c r="BJ359" s="1362"/>
      <c r="BM359" s="1364"/>
      <c r="BN359" s="1298"/>
      <c r="BO359" s="1298"/>
      <c r="BP359" s="1298"/>
      <c r="BQ359" s="1298"/>
      <c r="BR359" s="1298"/>
      <c r="BS359" s="1298"/>
      <c r="BT359" s="1298"/>
      <c r="BU359" s="1298"/>
      <c r="BV359" s="1298"/>
      <c r="BW359" s="1296"/>
      <c r="BX359" s="1361"/>
      <c r="BY359" s="1361"/>
      <c r="BZ359" s="1361"/>
      <c r="CA359" s="1361"/>
      <c r="CB359" s="1362"/>
      <c r="CD359" s="1364"/>
      <c r="CE359" s="1298"/>
      <c r="CF359" s="1298"/>
      <c r="CG359" s="1298"/>
      <c r="CH359" s="1298"/>
      <c r="CI359" s="1298"/>
      <c r="CJ359" s="1298"/>
      <c r="CK359" s="1296"/>
      <c r="CL359" s="1361"/>
      <c r="CM359" s="1361"/>
      <c r="CN359" s="1361"/>
      <c r="CO359" s="1361"/>
      <c r="CP359" s="1362"/>
    </row>
    <row r="360" spans="1:94" ht="12.75" customHeight="1" outlineLevel="1">
      <c r="A360" s="1760"/>
      <c r="B360" s="1760"/>
      <c r="C360" s="1760"/>
      <c r="D360" s="1760"/>
      <c r="E360" s="1760"/>
      <c r="F360" s="1760"/>
      <c r="G360" s="1760"/>
      <c r="H360" s="1760"/>
      <c r="I360" s="1760"/>
      <c r="J360" s="1760"/>
      <c r="K360" s="1760"/>
      <c r="L360" s="1760"/>
      <c r="M360" s="1760"/>
      <c r="N360" s="1760"/>
      <c r="O360" s="1760"/>
      <c r="P360" s="1760"/>
      <c r="Q360" s="1760"/>
      <c r="R360" s="1760"/>
      <c r="S360" s="1760"/>
      <c r="T360" s="1760"/>
      <c r="U360" s="1760"/>
      <c r="V360" s="1760"/>
      <c r="W360" s="1760"/>
      <c r="X360" s="1760"/>
      <c r="Y360" s="1760"/>
      <c r="Z360" s="1760"/>
      <c r="AA360" s="1760"/>
      <c r="AB360" s="1760"/>
      <c r="AC360" s="1760"/>
      <c r="AD360" s="1760"/>
      <c r="AG360" s="1369"/>
      <c r="AH360" s="1298"/>
      <c r="AI360" s="1298"/>
      <c r="AJ360" s="1298"/>
      <c r="AK360" s="1298"/>
      <c r="AL360" s="1298"/>
      <c r="AM360" s="1298"/>
      <c r="AN360" s="1298"/>
      <c r="AO360" s="1298"/>
      <c r="AP360" s="1298"/>
      <c r="AQ360" s="1296"/>
      <c r="AR360" s="1363"/>
      <c r="AS360" s="1363"/>
      <c r="AT360" s="1363"/>
      <c r="AU360" s="1363"/>
      <c r="AV360" s="1362"/>
      <c r="AX360" s="1369"/>
      <c r="AY360" s="1298"/>
      <c r="AZ360" s="1298"/>
      <c r="BA360" s="1298"/>
      <c r="BB360" s="1298"/>
      <c r="BC360" s="1298"/>
      <c r="BD360" s="1298"/>
      <c r="BE360" s="1296"/>
      <c r="BF360" s="1363"/>
      <c r="BG360" s="1363"/>
      <c r="BH360" s="1363"/>
      <c r="BI360" s="1363"/>
      <c r="BJ360" s="1362"/>
      <c r="BM360" s="1369"/>
      <c r="BN360" s="1298"/>
      <c r="BO360" s="1298"/>
      <c r="BP360" s="1298"/>
      <c r="BQ360" s="1298"/>
      <c r="BR360" s="1298"/>
      <c r="BS360" s="1298"/>
      <c r="BT360" s="1298"/>
      <c r="BU360" s="1298"/>
      <c r="BV360" s="1298"/>
      <c r="BW360" s="1296"/>
      <c r="BX360" s="1363"/>
      <c r="BY360" s="1363"/>
      <c r="BZ360" s="1363"/>
      <c r="CA360" s="1363"/>
      <c r="CB360" s="1362"/>
      <c r="CD360" s="1369"/>
      <c r="CE360" s="1298"/>
      <c r="CF360" s="1298"/>
      <c r="CG360" s="1298"/>
      <c r="CH360" s="1298"/>
      <c r="CI360" s="1298"/>
      <c r="CJ360" s="1298"/>
      <c r="CK360" s="1296"/>
      <c r="CL360" s="1363"/>
      <c r="CM360" s="1363"/>
      <c r="CN360" s="1363"/>
      <c r="CO360" s="1363"/>
      <c r="CP360" s="1362"/>
    </row>
    <row r="361" spans="1:94" ht="12.75" customHeight="1" outlineLevel="1">
      <c r="A361" s="1760"/>
      <c r="B361" s="1760"/>
      <c r="C361" s="1760"/>
      <c r="D361" s="1760"/>
      <c r="E361" s="1760"/>
      <c r="F361" s="1760"/>
      <c r="G361" s="1760"/>
      <c r="H361" s="1760"/>
      <c r="I361" s="1760"/>
      <c r="J361" s="1760"/>
      <c r="K361" s="1760"/>
      <c r="L361" s="1760"/>
      <c r="M361" s="1760"/>
      <c r="N361" s="1760"/>
      <c r="O361" s="1760"/>
      <c r="P361" s="1760"/>
      <c r="Q361" s="1760"/>
      <c r="R361" s="1760"/>
      <c r="S361" s="1760"/>
      <c r="T361" s="1760"/>
      <c r="U361" s="1760"/>
      <c r="V361" s="1760"/>
      <c r="W361" s="1760"/>
      <c r="X361" s="1760"/>
      <c r="Y361" s="1760"/>
      <c r="Z361" s="1760"/>
      <c r="AA361" s="1760"/>
      <c r="AB361" s="1760"/>
      <c r="AC361" s="1760"/>
      <c r="AD361" s="1760"/>
      <c r="AG361" s="1364"/>
      <c r="AH361" s="1298"/>
      <c r="AI361" s="1298"/>
      <c r="AJ361" s="1298"/>
      <c r="AK361" s="1298"/>
      <c r="AL361" s="1298"/>
      <c r="AM361" s="1298"/>
      <c r="AN361" s="1298"/>
      <c r="AO361" s="1298"/>
      <c r="AP361" s="1298"/>
      <c r="AQ361" s="1296"/>
      <c r="AR361" s="1361"/>
      <c r="AS361" s="1361"/>
      <c r="AT361" s="1361"/>
      <c r="AU361" s="1361"/>
      <c r="AV361" s="1362"/>
      <c r="AX361" s="1364"/>
      <c r="AY361" s="1298"/>
      <c r="AZ361" s="1298"/>
      <c r="BA361" s="1298"/>
      <c r="BB361" s="1298"/>
      <c r="BC361" s="1298"/>
      <c r="BD361" s="1298"/>
      <c r="BE361" s="1296"/>
      <c r="BF361" s="1361"/>
      <c r="BG361" s="1361"/>
      <c r="BH361" s="1361"/>
      <c r="BI361" s="1361"/>
      <c r="BJ361" s="1362"/>
      <c r="BM361" s="1364"/>
      <c r="BN361" s="1298"/>
      <c r="BO361" s="1298"/>
      <c r="BP361" s="1298"/>
      <c r="BQ361" s="1298"/>
      <c r="BR361" s="1298"/>
      <c r="BS361" s="1298"/>
      <c r="BT361" s="1298"/>
      <c r="BU361" s="1298"/>
      <c r="BV361" s="1298"/>
      <c r="BW361" s="1296"/>
      <c r="BX361" s="1361"/>
      <c r="BY361" s="1361"/>
      <c r="BZ361" s="1361"/>
      <c r="CA361" s="1361"/>
      <c r="CB361" s="1362"/>
      <c r="CD361" s="1364"/>
      <c r="CE361" s="1298"/>
      <c r="CF361" s="1298"/>
      <c r="CG361" s="1298"/>
      <c r="CH361" s="1298"/>
      <c r="CI361" s="1298"/>
      <c r="CJ361" s="1298"/>
      <c r="CK361" s="1296"/>
      <c r="CL361" s="1361"/>
      <c r="CM361" s="1361"/>
      <c r="CN361" s="1361"/>
      <c r="CO361" s="1361"/>
      <c r="CP361" s="1362"/>
    </row>
    <row r="362" spans="1:94" ht="12.75" customHeight="1" outlineLevel="1">
      <c r="A362" s="1760"/>
      <c r="B362" s="1760"/>
      <c r="C362" s="1760"/>
      <c r="D362" s="1760"/>
      <c r="E362" s="1760"/>
      <c r="F362" s="1760"/>
      <c r="G362" s="1760"/>
      <c r="H362" s="1760"/>
      <c r="I362" s="1760"/>
      <c r="J362" s="1760"/>
      <c r="K362" s="1760"/>
      <c r="L362" s="1760"/>
      <c r="M362" s="1760"/>
      <c r="N362" s="1760"/>
      <c r="O362" s="1760"/>
      <c r="P362" s="1760"/>
      <c r="Q362" s="1760"/>
      <c r="R362" s="1760"/>
      <c r="S362" s="1760"/>
      <c r="T362" s="1760"/>
      <c r="U362" s="1760"/>
      <c r="V362" s="1760"/>
      <c r="W362" s="1760"/>
      <c r="X362" s="1760"/>
      <c r="Y362" s="1760"/>
      <c r="Z362" s="1760"/>
      <c r="AA362" s="1760"/>
      <c r="AB362" s="1760"/>
      <c r="AC362" s="1760"/>
      <c r="AD362" s="1760"/>
      <c r="AG362" s="1369"/>
      <c r="AH362" s="1298"/>
      <c r="AI362" s="1298"/>
      <c r="AJ362" s="1298"/>
      <c r="AK362" s="1298"/>
      <c r="AL362" s="1298"/>
      <c r="AM362" s="1298"/>
      <c r="AN362" s="1298"/>
      <c r="AO362" s="1298"/>
      <c r="AP362" s="1298"/>
      <c r="AQ362" s="1296"/>
      <c r="AR362" s="1363"/>
      <c r="AS362" s="1363"/>
      <c r="AT362" s="1363"/>
      <c r="AU362" s="1363"/>
      <c r="AV362" s="1362"/>
      <c r="AX362" s="1369"/>
      <c r="AY362" s="1298"/>
      <c r="AZ362" s="1298"/>
      <c r="BA362" s="1298"/>
      <c r="BB362" s="1298"/>
      <c r="BC362" s="1298"/>
      <c r="BD362" s="1298"/>
      <c r="BE362" s="1296"/>
      <c r="BF362" s="1363"/>
      <c r="BG362" s="1363"/>
      <c r="BH362" s="1363"/>
      <c r="BI362" s="1363"/>
      <c r="BJ362" s="1362"/>
      <c r="BM362" s="1369"/>
      <c r="BN362" s="1298"/>
      <c r="BO362" s="1298"/>
      <c r="BP362" s="1298"/>
      <c r="BQ362" s="1298"/>
      <c r="BR362" s="1298"/>
      <c r="BS362" s="1298"/>
      <c r="BT362" s="1298"/>
      <c r="BU362" s="1298"/>
      <c r="BV362" s="1298"/>
      <c r="BW362" s="1296"/>
      <c r="BX362" s="1363"/>
      <c r="BY362" s="1363"/>
      <c r="BZ362" s="1363"/>
      <c r="CA362" s="1363"/>
      <c r="CB362" s="1362"/>
      <c r="CD362" s="1369"/>
      <c r="CE362" s="1298"/>
      <c r="CF362" s="1298"/>
      <c r="CG362" s="1298"/>
      <c r="CH362" s="1298"/>
      <c r="CI362" s="1298"/>
      <c r="CJ362" s="1298"/>
      <c r="CK362" s="1296"/>
      <c r="CL362" s="1363"/>
      <c r="CM362" s="1363"/>
      <c r="CN362" s="1363"/>
      <c r="CO362" s="1363"/>
      <c r="CP362" s="1362"/>
    </row>
    <row r="363" spans="1:94" ht="12.75" customHeight="1" outlineLevel="1">
      <c r="A363" s="1760"/>
      <c r="B363" s="1760"/>
      <c r="C363" s="1760"/>
      <c r="D363" s="1760"/>
      <c r="E363" s="1760"/>
      <c r="F363" s="1760"/>
      <c r="G363" s="1760"/>
      <c r="H363" s="1760"/>
      <c r="I363" s="1760"/>
      <c r="J363" s="1760"/>
      <c r="K363" s="1760"/>
      <c r="L363" s="1760"/>
      <c r="M363" s="1760"/>
      <c r="N363" s="1760"/>
      <c r="O363" s="1760"/>
      <c r="P363" s="1760"/>
      <c r="Q363" s="1760"/>
      <c r="R363" s="1760"/>
      <c r="S363" s="1760"/>
      <c r="T363" s="1760"/>
      <c r="U363" s="1760"/>
      <c r="V363" s="1760"/>
      <c r="W363" s="1760"/>
      <c r="X363" s="1760"/>
      <c r="Y363" s="1760"/>
      <c r="Z363" s="1760"/>
      <c r="AA363" s="1760"/>
      <c r="AB363" s="1760"/>
      <c r="AC363" s="1760"/>
      <c r="AD363" s="1760"/>
      <c r="AG363" s="1364"/>
      <c r="AH363" s="1298"/>
      <c r="AI363" s="1298"/>
      <c r="AJ363" s="1298"/>
      <c r="AK363" s="1298"/>
      <c r="AL363" s="1298"/>
      <c r="AM363" s="1298"/>
      <c r="AN363" s="1298"/>
      <c r="AO363" s="1298"/>
      <c r="AP363" s="1298"/>
      <c r="AQ363" s="1296"/>
      <c r="AR363" s="1361"/>
      <c r="AS363" s="1361"/>
      <c r="AT363" s="1361"/>
      <c r="AU363" s="1361"/>
      <c r="AV363" s="1362"/>
      <c r="AX363" s="1364"/>
      <c r="AY363" s="1298"/>
      <c r="AZ363" s="1298"/>
      <c r="BA363" s="1298"/>
      <c r="BB363" s="1298"/>
      <c r="BC363" s="1298"/>
      <c r="BD363" s="1298"/>
      <c r="BE363" s="1296"/>
      <c r="BF363" s="1361"/>
      <c r="BG363" s="1361"/>
      <c r="BH363" s="1361"/>
      <c r="BI363" s="1361"/>
      <c r="BJ363" s="1362"/>
      <c r="BM363" s="1364"/>
      <c r="BN363" s="1298"/>
      <c r="BO363" s="1298"/>
      <c r="BP363" s="1298"/>
      <c r="BQ363" s="1298"/>
      <c r="BR363" s="1298"/>
      <c r="BS363" s="1298"/>
      <c r="BT363" s="1298"/>
      <c r="BU363" s="1298"/>
      <c r="BV363" s="1298"/>
      <c r="BW363" s="1296"/>
      <c r="BX363" s="1361"/>
      <c r="BY363" s="1361"/>
      <c r="BZ363" s="1361"/>
      <c r="CA363" s="1361"/>
      <c r="CB363" s="1362"/>
      <c r="CD363" s="1364"/>
      <c r="CE363" s="1298"/>
      <c r="CF363" s="1298"/>
      <c r="CG363" s="1298"/>
      <c r="CH363" s="1298"/>
      <c r="CI363" s="1298"/>
      <c r="CJ363" s="1298"/>
      <c r="CK363" s="1296"/>
      <c r="CL363" s="1361"/>
      <c r="CM363" s="1361"/>
      <c r="CN363" s="1361"/>
      <c r="CO363" s="1361"/>
      <c r="CP363" s="1362"/>
    </row>
    <row r="364" spans="1:94" ht="12.75" customHeight="1" outlineLevel="1">
      <c r="A364" s="1760"/>
      <c r="B364" s="1760"/>
      <c r="C364" s="1760"/>
      <c r="D364" s="1760"/>
      <c r="E364" s="1760"/>
      <c r="F364" s="1760"/>
      <c r="G364" s="1760"/>
      <c r="H364" s="1760"/>
      <c r="I364" s="1760"/>
      <c r="J364" s="1760"/>
      <c r="K364" s="1760"/>
      <c r="L364" s="1760"/>
      <c r="M364" s="1760"/>
      <c r="N364" s="1760"/>
      <c r="O364" s="1760"/>
      <c r="P364" s="1760"/>
      <c r="Q364" s="1760"/>
      <c r="R364" s="1760"/>
      <c r="S364" s="1760"/>
      <c r="T364" s="1760"/>
      <c r="U364" s="1760"/>
      <c r="V364" s="1760"/>
      <c r="W364" s="1760"/>
      <c r="X364" s="1760"/>
      <c r="Y364" s="1760"/>
      <c r="Z364" s="1760"/>
      <c r="AA364" s="1760"/>
      <c r="AB364" s="1760"/>
      <c r="AC364" s="1760"/>
      <c r="AD364" s="1760"/>
      <c r="AG364" s="1369"/>
      <c r="AH364" s="1298"/>
      <c r="AI364" s="1298"/>
      <c r="AJ364" s="1298"/>
      <c r="AK364" s="1298"/>
      <c r="AL364" s="1298"/>
      <c r="AM364" s="1298"/>
      <c r="AN364" s="1298"/>
      <c r="AO364" s="1298"/>
      <c r="AP364" s="1298"/>
      <c r="AQ364" s="1296"/>
      <c r="AR364" s="1363"/>
      <c r="AS364" s="1363"/>
      <c r="AT364" s="1363"/>
      <c r="AU364" s="1363"/>
      <c r="AV364" s="1362"/>
      <c r="AX364" s="1369"/>
      <c r="AY364" s="1298"/>
      <c r="AZ364" s="1298"/>
      <c r="BA364" s="1298"/>
      <c r="BB364" s="1298"/>
      <c r="BC364" s="1298"/>
      <c r="BD364" s="1298"/>
      <c r="BE364" s="1296"/>
      <c r="BF364" s="1363"/>
      <c r="BG364" s="1363"/>
      <c r="BH364" s="1363"/>
      <c r="BI364" s="1363"/>
      <c r="BJ364" s="1362"/>
      <c r="BM364" s="1369"/>
      <c r="BN364" s="1298"/>
      <c r="BO364" s="1298"/>
      <c r="BP364" s="1298"/>
      <c r="BQ364" s="1298"/>
      <c r="BR364" s="1298"/>
      <c r="BS364" s="1298"/>
      <c r="BT364" s="1298"/>
      <c r="BU364" s="1298"/>
      <c r="BV364" s="1298"/>
      <c r="BW364" s="1296"/>
      <c r="BX364" s="1363"/>
      <c r="BY364" s="1363"/>
      <c r="BZ364" s="1363"/>
      <c r="CA364" s="1363"/>
      <c r="CB364" s="1362"/>
      <c r="CD364" s="1369"/>
      <c r="CE364" s="1298"/>
      <c r="CF364" s="1298"/>
      <c r="CG364" s="1298"/>
      <c r="CH364" s="1298"/>
      <c r="CI364" s="1298"/>
      <c r="CJ364" s="1298"/>
      <c r="CK364" s="1296"/>
      <c r="CL364" s="1363"/>
      <c r="CM364" s="1363"/>
      <c r="CN364" s="1363"/>
      <c r="CO364" s="1363"/>
      <c r="CP364" s="1362"/>
    </row>
    <row r="365" spans="1:94" ht="12.75" customHeight="1" outlineLevel="1">
      <c r="A365" s="1760"/>
      <c r="B365" s="1760"/>
      <c r="C365" s="1760"/>
      <c r="D365" s="1760"/>
      <c r="E365" s="1760"/>
      <c r="F365" s="1760"/>
      <c r="G365" s="1760"/>
      <c r="H365" s="1760"/>
      <c r="I365" s="1760"/>
      <c r="J365" s="1760"/>
      <c r="K365" s="1760"/>
      <c r="L365" s="1760"/>
      <c r="M365" s="1760"/>
      <c r="N365" s="1760"/>
      <c r="O365" s="1760"/>
      <c r="P365" s="1760"/>
      <c r="Q365" s="1760"/>
      <c r="R365" s="1760"/>
      <c r="S365" s="1760"/>
      <c r="T365" s="1760"/>
      <c r="U365" s="1760"/>
      <c r="V365" s="1760"/>
      <c r="W365" s="1760"/>
      <c r="X365" s="1760"/>
      <c r="Y365" s="1760"/>
      <c r="Z365" s="1760"/>
      <c r="AA365" s="1760"/>
      <c r="AB365" s="1760"/>
      <c r="AC365" s="1760"/>
      <c r="AD365" s="1760"/>
      <c r="AG365" s="1364"/>
      <c r="AH365" s="1298"/>
      <c r="AI365" s="1298"/>
      <c r="AJ365" s="1298"/>
      <c r="AK365" s="1298"/>
      <c r="AL365" s="1298"/>
      <c r="AM365" s="1298"/>
      <c r="AN365" s="1298"/>
      <c r="AO365" s="1298"/>
      <c r="AP365" s="1298"/>
      <c r="AQ365" s="1296"/>
      <c r="AR365" s="1361"/>
      <c r="AS365" s="1361"/>
      <c r="AT365" s="1361"/>
      <c r="AU365" s="1361"/>
      <c r="AV365" s="1362"/>
      <c r="AX365" s="1364"/>
      <c r="AY365" s="1298"/>
      <c r="AZ365" s="1298"/>
      <c r="BA365" s="1298"/>
      <c r="BB365" s="1298"/>
      <c r="BC365" s="1298"/>
      <c r="BD365" s="1298"/>
      <c r="BE365" s="1296"/>
      <c r="BF365" s="1361"/>
      <c r="BG365" s="1361"/>
      <c r="BH365" s="1361"/>
      <c r="BI365" s="1361"/>
      <c r="BJ365" s="1362"/>
      <c r="BM365" s="1364"/>
      <c r="BN365" s="1298"/>
      <c r="BO365" s="1298"/>
      <c r="BP365" s="1298"/>
      <c r="BQ365" s="1298"/>
      <c r="BR365" s="1298"/>
      <c r="BS365" s="1298"/>
      <c r="BT365" s="1298"/>
      <c r="BU365" s="1298"/>
      <c r="BV365" s="1298"/>
      <c r="BW365" s="1296"/>
      <c r="BX365" s="1361"/>
      <c r="BY365" s="1361"/>
      <c r="BZ365" s="1361"/>
      <c r="CA365" s="1361"/>
      <c r="CB365" s="1362"/>
      <c r="CD365" s="1364"/>
      <c r="CE365" s="1298"/>
      <c r="CF365" s="1298"/>
      <c r="CG365" s="1298"/>
      <c r="CH365" s="1298"/>
      <c r="CI365" s="1298"/>
      <c r="CJ365" s="1298"/>
      <c r="CK365" s="1296"/>
      <c r="CL365" s="1361"/>
      <c r="CM365" s="1361"/>
      <c r="CN365" s="1361"/>
      <c r="CO365" s="1361"/>
      <c r="CP365" s="1362"/>
    </row>
    <row r="366" spans="1:94" ht="12.75" customHeight="1" outlineLevel="1">
      <c r="A366" s="1760"/>
      <c r="B366" s="1760"/>
      <c r="C366" s="1760"/>
      <c r="D366" s="1760"/>
      <c r="E366" s="1760"/>
      <c r="F366" s="1760"/>
      <c r="G366" s="1760"/>
      <c r="H366" s="1760"/>
      <c r="I366" s="1760"/>
      <c r="J366" s="1760"/>
      <c r="K366" s="1760"/>
      <c r="L366" s="1760"/>
      <c r="M366" s="1760"/>
      <c r="N366" s="1760"/>
      <c r="O366" s="1760"/>
      <c r="P366" s="1760"/>
      <c r="Q366" s="1760"/>
      <c r="R366" s="1760"/>
      <c r="S366" s="1760"/>
      <c r="T366" s="1760"/>
      <c r="U366" s="1760"/>
      <c r="V366" s="1760"/>
      <c r="W366" s="1760"/>
      <c r="X366" s="1760"/>
      <c r="Y366" s="1760"/>
      <c r="Z366" s="1760"/>
      <c r="AA366" s="1760"/>
      <c r="AB366" s="1760"/>
      <c r="AC366" s="1760"/>
      <c r="AD366" s="1760"/>
      <c r="AG366" s="1369"/>
      <c r="AH366" s="1298"/>
      <c r="AI366" s="1298"/>
      <c r="AJ366" s="1298"/>
      <c r="AK366" s="1298"/>
      <c r="AL366" s="1298"/>
      <c r="AM366" s="1298"/>
      <c r="AN366" s="1298"/>
      <c r="AO366" s="1298"/>
      <c r="AP366" s="1298"/>
      <c r="AQ366" s="1296"/>
      <c r="AR366" s="1363"/>
      <c r="AS366" s="1363"/>
      <c r="AT366" s="1363"/>
      <c r="AU366" s="1363"/>
      <c r="AV366" s="1362"/>
      <c r="AX366" s="1369"/>
      <c r="AY366" s="1298"/>
      <c r="AZ366" s="1298"/>
      <c r="BA366" s="1298"/>
      <c r="BB366" s="1298"/>
      <c r="BC366" s="1298"/>
      <c r="BD366" s="1298"/>
      <c r="BE366" s="1296"/>
      <c r="BF366" s="1363"/>
      <c r="BG366" s="1363"/>
      <c r="BH366" s="1363"/>
      <c r="BI366" s="1363"/>
      <c r="BJ366" s="1362"/>
      <c r="BM366" s="1369"/>
      <c r="BN366" s="1298"/>
      <c r="BO366" s="1298"/>
      <c r="BP366" s="1298"/>
      <c r="BQ366" s="1298"/>
      <c r="BR366" s="1298"/>
      <c r="BS366" s="1298"/>
      <c r="BT366" s="1298"/>
      <c r="BU366" s="1298"/>
      <c r="BV366" s="1298"/>
      <c r="BW366" s="1296"/>
      <c r="BX366" s="1363"/>
      <c r="BY366" s="1363"/>
      <c r="BZ366" s="1363"/>
      <c r="CA366" s="1363"/>
      <c r="CB366" s="1362"/>
      <c r="CD366" s="1369"/>
      <c r="CE366" s="1298"/>
      <c r="CF366" s="1298"/>
      <c r="CG366" s="1298"/>
      <c r="CH366" s="1298"/>
      <c r="CI366" s="1298"/>
      <c r="CJ366" s="1298"/>
      <c r="CK366" s="1296"/>
      <c r="CL366" s="1363"/>
      <c r="CM366" s="1363"/>
      <c r="CN366" s="1363"/>
      <c r="CO366" s="1363"/>
      <c r="CP366" s="1362"/>
    </row>
    <row r="367" spans="1:94" ht="12.75" customHeight="1" outlineLevel="1">
      <c r="A367" s="1760"/>
      <c r="B367" s="1760"/>
      <c r="C367" s="1760"/>
      <c r="D367" s="1760"/>
      <c r="E367" s="1760"/>
      <c r="F367" s="1760"/>
      <c r="G367" s="1760"/>
      <c r="H367" s="1760"/>
      <c r="I367" s="1760"/>
      <c r="J367" s="1760"/>
      <c r="K367" s="1760"/>
      <c r="L367" s="1760"/>
      <c r="M367" s="1760"/>
      <c r="N367" s="1760"/>
      <c r="O367" s="1760"/>
      <c r="P367" s="1760"/>
      <c r="Q367" s="1760"/>
      <c r="R367" s="1760"/>
      <c r="S367" s="1760"/>
      <c r="T367" s="1760"/>
      <c r="U367" s="1760"/>
      <c r="V367" s="1760"/>
      <c r="W367" s="1760"/>
      <c r="X367" s="1760"/>
      <c r="Y367" s="1760"/>
      <c r="Z367" s="1760"/>
      <c r="AA367" s="1760"/>
      <c r="AB367" s="1760"/>
      <c r="AC367" s="1760"/>
      <c r="AD367" s="1760"/>
      <c r="AG367" s="1364"/>
      <c r="AH367" s="1298"/>
      <c r="AI367" s="1298"/>
      <c r="AJ367" s="1298"/>
      <c r="AK367" s="1298"/>
      <c r="AL367" s="1298"/>
      <c r="AM367" s="1298"/>
      <c r="AN367" s="1298"/>
      <c r="AO367" s="1298"/>
      <c r="AP367" s="1298"/>
      <c r="AQ367" s="1296"/>
      <c r="AR367" s="1361"/>
      <c r="AS367" s="1361"/>
      <c r="AT367" s="1361"/>
      <c r="AU367" s="1361"/>
      <c r="AV367" s="1362"/>
      <c r="AX367" s="1364"/>
      <c r="AY367" s="1298"/>
      <c r="AZ367" s="1298"/>
      <c r="BA367" s="1298"/>
      <c r="BB367" s="1298"/>
      <c r="BC367" s="1298"/>
      <c r="BD367" s="1298"/>
      <c r="BE367" s="1296"/>
      <c r="BF367" s="1361"/>
      <c r="BG367" s="1361"/>
      <c r="BH367" s="1361"/>
      <c r="BI367" s="1361"/>
      <c r="BJ367" s="1362"/>
      <c r="BM367" s="1364"/>
      <c r="BN367" s="1298"/>
      <c r="BO367" s="1298"/>
      <c r="BP367" s="1298"/>
      <c r="BQ367" s="1298"/>
      <c r="BR367" s="1298"/>
      <c r="BS367" s="1298"/>
      <c r="BT367" s="1298"/>
      <c r="BU367" s="1298"/>
      <c r="BV367" s="1298"/>
      <c r="BW367" s="1296"/>
      <c r="BX367" s="1361"/>
      <c r="BY367" s="1361"/>
      <c r="BZ367" s="1361"/>
      <c r="CA367" s="1361"/>
      <c r="CB367" s="1362"/>
      <c r="CD367" s="1364"/>
      <c r="CE367" s="1298"/>
      <c r="CF367" s="1298"/>
      <c r="CG367" s="1298"/>
      <c r="CH367" s="1298"/>
      <c r="CI367" s="1298"/>
      <c r="CJ367" s="1298"/>
      <c r="CK367" s="1296"/>
      <c r="CL367" s="1361"/>
      <c r="CM367" s="1361"/>
      <c r="CN367" s="1361"/>
      <c r="CO367" s="1361"/>
      <c r="CP367" s="1362"/>
    </row>
    <row r="368" spans="1:94" ht="12.75" customHeight="1" outlineLevel="1">
      <c r="A368" s="1760"/>
      <c r="B368" s="1760"/>
      <c r="C368" s="1760"/>
      <c r="D368" s="1760"/>
      <c r="E368" s="1760"/>
      <c r="F368" s="1760"/>
      <c r="G368" s="1760"/>
      <c r="H368" s="1760"/>
      <c r="I368" s="1760"/>
      <c r="J368" s="1760"/>
      <c r="K368" s="1760"/>
      <c r="L368" s="1760"/>
      <c r="M368" s="1760"/>
      <c r="N368" s="1760"/>
      <c r="O368" s="1760"/>
      <c r="P368" s="1760"/>
      <c r="Q368" s="1760"/>
      <c r="R368" s="1760"/>
      <c r="S368" s="1760"/>
      <c r="T368" s="1760"/>
      <c r="U368" s="1760"/>
      <c r="V368" s="1760"/>
      <c r="W368" s="1760"/>
      <c r="X368" s="1760"/>
      <c r="Y368" s="1760"/>
      <c r="Z368" s="1760"/>
      <c r="AA368" s="1760"/>
      <c r="AB368" s="1760"/>
      <c r="AC368" s="1760"/>
      <c r="AD368" s="1760"/>
      <c r="AG368" s="1369"/>
      <c r="AH368" s="1298"/>
      <c r="AI368" s="1298"/>
      <c r="AJ368" s="1298"/>
      <c r="AK368" s="1298"/>
      <c r="AL368" s="1298"/>
      <c r="AM368" s="1298"/>
      <c r="AN368" s="1298"/>
      <c r="AO368" s="1298"/>
      <c r="AP368" s="1298"/>
      <c r="AQ368" s="1296"/>
      <c r="AR368" s="1363"/>
      <c r="AS368" s="1363"/>
      <c r="AT368" s="1363"/>
      <c r="AU368" s="1363"/>
      <c r="AV368" s="1362"/>
      <c r="AX368" s="1369"/>
      <c r="AY368" s="1298"/>
      <c r="AZ368" s="1298"/>
      <c r="BA368" s="1298"/>
      <c r="BB368" s="1298"/>
      <c r="BC368" s="1298"/>
      <c r="BD368" s="1298"/>
      <c r="BE368" s="1296"/>
      <c r="BF368" s="1363"/>
      <c r="BG368" s="1363"/>
      <c r="BH368" s="1363"/>
      <c r="BI368" s="1363"/>
      <c r="BJ368" s="1362"/>
      <c r="BM368" s="1369"/>
      <c r="BN368" s="1298"/>
      <c r="BO368" s="1298"/>
      <c r="BP368" s="1298"/>
      <c r="BQ368" s="1298"/>
      <c r="BR368" s="1298"/>
      <c r="BS368" s="1298"/>
      <c r="BT368" s="1298"/>
      <c r="BU368" s="1298"/>
      <c r="BV368" s="1298"/>
      <c r="BW368" s="1296"/>
      <c r="BX368" s="1363"/>
      <c r="BY368" s="1363"/>
      <c r="BZ368" s="1363"/>
      <c r="CA368" s="1363"/>
      <c r="CB368" s="1362"/>
      <c r="CD368" s="1369"/>
      <c r="CE368" s="1298"/>
      <c r="CF368" s="1298"/>
      <c r="CG368" s="1298"/>
      <c r="CH368" s="1298"/>
      <c r="CI368" s="1298"/>
      <c r="CJ368" s="1298"/>
      <c r="CK368" s="1296"/>
      <c r="CL368" s="1363"/>
      <c r="CM368" s="1363"/>
      <c r="CN368" s="1363"/>
      <c r="CO368" s="1363"/>
      <c r="CP368" s="1362"/>
    </row>
    <row r="369" spans="1:94" ht="12.75" customHeight="1" outlineLevel="1">
      <c r="A369" s="1760"/>
      <c r="B369" s="1760"/>
      <c r="C369" s="1760"/>
      <c r="D369" s="1760"/>
      <c r="E369" s="1760"/>
      <c r="F369" s="1760"/>
      <c r="G369" s="1760"/>
      <c r="H369" s="1760"/>
      <c r="I369" s="1760"/>
      <c r="J369" s="1760"/>
      <c r="K369" s="1760"/>
      <c r="L369" s="1760"/>
      <c r="M369" s="1760"/>
      <c r="N369" s="1760"/>
      <c r="O369" s="1760"/>
      <c r="P369" s="1760"/>
      <c r="Q369" s="1760"/>
      <c r="R369" s="1760"/>
      <c r="S369" s="1760"/>
      <c r="T369" s="1760"/>
      <c r="U369" s="1760"/>
      <c r="V369" s="1760"/>
      <c r="W369" s="1760"/>
      <c r="X369" s="1760"/>
      <c r="Y369" s="1760"/>
      <c r="Z369" s="1760"/>
      <c r="AA369" s="1760"/>
      <c r="AB369" s="1760"/>
      <c r="AC369" s="1760"/>
      <c r="AD369" s="1760"/>
      <c r="AG369" s="1364"/>
      <c r="AH369" s="1298"/>
      <c r="AI369" s="1298"/>
      <c r="AJ369" s="1298"/>
      <c r="AK369" s="1298"/>
      <c r="AL369" s="1298"/>
      <c r="AM369" s="1298"/>
      <c r="AN369" s="1298"/>
      <c r="AO369" s="1298"/>
      <c r="AP369" s="1298"/>
      <c r="AQ369" s="1296"/>
      <c r="AR369" s="1361"/>
      <c r="AS369" s="1361"/>
      <c r="AT369" s="1361"/>
      <c r="AU369" s="1361"/>
      <c r="AV369" s="1362"/>
      <c r="AX369" s="1364"/>
      <c r="AY369" s="1298"/>
      <c r="AZ369" s="1298"/>
      <c r="BA369" s="1298"/>
      <c r="BB369" s="1298"/>
      <c r="BC369" s="1298"/>
      <c r="BD369" s="1298"/>
      <c r="BE369" s="1296"/>
      <c r="BF369" s="1361"/>
      <c r="BG369" s="1361"/>
      <c r="BH369" s="1361"/>
      <c r="BI369" s="1361"/>
      <c r="BJ369" s="1362"/>
      <c r="BM369" s="1364"/>
      <c r="BN369" s="1298"/>
      <c r="BO369" s="1298"/>
      <c r="BP369" s="1298"/>
      <c r="BQ369" s="1298"/>
      <c r="BR369" s="1298"/>
      <c r="BS369" s="1298"/>
      <c r="BT369" s="1298"/>
      <c r="BU369" s="1298"/>
      <c r="BV369" s="1298"/>
      <c r="BW369" s="1296"/>
      <c r="BX369" s="1361"/>
      <c r="BY369" s="1361"/>
      <c r="BZ369" s="1361"/>
      <c r="CA369" s="1361"/>
      <c r="CB369" s="1362"/>
      <c r="CD369" s="1364"/>
      <c r="CE369" s="1298"/>
      <c r="CF369" s="1298"/>
      <c r="CG369" s="1298"/>
      <c r="CH369" s="1298"/>
      <c r="CI369" s="1298"/>
      <c r="CJ369" s="1298"/>
      <c r="CK369" s="1296"/>
      <c r="CL369" s="1361"/>
      <c r="CM369" s="1361"/>
      <c r="CN369" s="1361"/>
      <c r="CO369" s="1361"/>
      <c r="CP369" s="1362"/>
    </row>
    <row r="370" spans="1:94" ht="12.75" customHeight="1" outlineLevel="1">
      <c r="A370" s="1760"/>
      <c r="B370" s="1760"/>
      <c r="C370" s="1760"/>
      <c r="D370" s="1760"/>
      <c r="E370" s="1760"/>
      <c r="F370" s="1760"/>
      <c r="G370" s="1760"/>
      <c r="H370" s="1760"/>
      <c r="I370" s="1760"/>
      <c r="J370" s="1760"/>
      <c r="K370" s="1760"/>
      <c r="L370" s="1760"/>
      <c r="M370" s="1760"/>
      <c r="N370" s="1760"/>
      <c r="O370" s="1760"/>
      <c r="P370" s="1760"/>
      <c r="Q370" s="1760"/>
      <c r="R370" s="1760"/>
      <c r="S370" s="1760"/>
      <c r="T370" s="1760"/>
      <c r="U370" s="1760"/>
      <c r="V370" s="1760"/>
      <c r="W370" s="1760"/>
      <c r="X370" s="1760"/>
      <c r="Y370" s="1760"/>
      <c r="Z370" s="1760"/>
      <c r="AA370" s="1760"/>
      <c r="AB370" s="1760"/>
      <c r="AC370" s="1760"/>
      <c r="AD370" s="1760"/>
      <c r="AG370" s="1369"/>
      <c r="AH370" s="1298"/>
      <c r="AI370" s="1298"/>
      <c r="AJ370" s="1298"/>
      <c r="AK370" s="1298"/>
      <c r="AL370" s="1298"/>
      <c r="AM370" s="1298"/>
      <c r="AN370" s="1298"/>
      <c r="AO370" s="1298"/>
      <c r="AP370" s="1298"/>
      <c r="AQ370" s="1296"/>
      <c r="AR370" s="1363"/>
      <c r="AS370" s="1363"/>
      <c r="AT370" s="1363"/>
      <c r="AU370" s="1363"/>
      <c r="AV370" s="1362"/>
      <c r="AX370" s="1369"/>
      <c r="AY370" s="1298"/>
      <c r="AZ370" s="1298"/>
      <c r="BA370" s="1298"/>
      <c r="BB370" s="1298"/>
      <c r="BC370" s="1298"/>
      <c r="BD370" s="1298"/>
      <c r="BE370" s="1296"/>
      <c r="BF370" s="1363"/>
      <c r="BG370" s="1363"/>
      <c r="BH370" s="1363"/>
      <c r="BI370" s="1363"/>
      <c r="BJ370" s="1362"/>
      <c r="BM370" s="1369"/>
      <c r="BN370" s="1298"/>
      <c r="BO370" s="1298"/>
      <c r="BP370" s="1298"/>
      <c r="BQ370" s="1298"/>
      <c r="BR370" s="1298"/>
      <c r="BS370" s="1298"/>
      <c r="BT370" s="1298"/>
      <c r="BU370" s="1298"/>
      <c r="BV370" s="1298"/>
      <c r="BW370" s="1296"/>
      <c r="BX370" s="1363"/>
      <c r="BY370" s="1363"/>
      <c r="BZ370" s="1363"/>
      <c r="CA370" s="1363"/>
      <c r="CB370" s="1362"/>
      <c r="CD370" s="1369"/>
      <c r="CE370" s="1298"/>
      <c r="CF370" s="1298"/>
      <c r="CG370" s="1298"/>
      <c r="CH370" s="1298"/>
      <c r="CI370" s="1298"/>
      <c r="CJ370" s="1298"/>
      <c r="CK370" s="1296"/>
      <c r="CL370" s="1363"/>
      <c r="CM370" s="1363"/>
      <c r="CN370" s="1363"/>
      <c r="CO370" s="1363"/>
      <c r="CP370" s="1362"/>
    </row>
    <row r="371" spans="1:94" ht="12.75" customHeight="1" outlineLevel="1">
      <c r="A371" s="1760"/>
      <c r="B371" s="1760"/>
      <c r="C371" s="1760"/>
      <c r="D371" s="1760"/>
      <c r="E371" s="1760"/>
      <c r="F371" s="1760"/>
      <c r="G371" s="1760"/>
      <c r="H371" s="1760"/>
      <c r="I371" s="1760"/>
      <c r="J371" s="1760"/>
      <c r="K371" s="1760"/>
      <c r="L371" s="1760"/>
      <c r="M371" s="1760"/>
      <c r="N371" s="1760"/>
      <c r="O371" s="1760"/>
      <c r="P371" s="1760"/>
      <c r="Q371" s="1760"/>
      <c r="R371" s="1760"/>
      <c r="S371" s="1760"/>
      <c r="T371" s="1760"/>
      <c r="U371" s="1760"/>
      <c r="V371" s="1760"/>
      <c r="W371" s="1760"/>
      <c r="X371" s="1760"/>
      <c r="Y371" s="1760"/>
      <c r="Z371" s="1760"/>
      <c r="AA371" s="1760"/>
      <c r="AB371" s="1760"/>
      <c r="AC371" s="1760"/>
      <c r="AD371" s="1760"/>
      <c r="AG371" s="1364"/>
      <c r="AH371" s="1298"/>
      <c r="AI371" s="1298"/>
      <c r="AJ371" s="1298"/>
      <c r="AK371" s="1298"/>
      <c r="AL371" s="1298"/>
      <c r="AM371" s="1298"/>
      <c r="AN371" s="1298"/>
      <c r="AO371" s="1298"/>
      <c r="AP371" s="1298"/>
      <c r="AQ371" s="1296"/>
      <c r="AR371" s="1361"/>
      <c r="AS371" s="1361"/>
      <c r="AT371" s="1361"/>
      <c r="AU371" s="1361"/>
      <c r="AV371" s="1362"/>
      <c r="AX371" s="1364"/>
      <c r="AY371" s="1298"/>
      <c r="AZ371" s="1298"/>
      <c r="BA371" s="1298"/>
      <c r="BB371" s="1298"/>
      <c r="BC371" s="1298"/>
      <c r="BD371" s="1298"/>
      <c r="BE371" s="1296"/>
      <c r="BF371" s="1361"/>
      <c r="BG371" s="1361"/>
      <c r="BH371" s="1361"/>
      <c r="BI371" s="1361"/>
      <c r="BJ371" s="1362"/>
      <c r="BM371" s="1364"/>
      <c r="BN371" s="1298"/>
      <c r="BO371" s="1298"/>
      <c r="BP371" s="1298"/>
      <c r="BQ371" s="1298"/>
      <c r="BR371" s="1298"/>
      <c r="BS371" s="1298"/>
      <c r="BT371" s="1298"/>
      <c r="BU371" s="1298"/>
      <c r="BV371" s="1298"/>
      <c r="BW371" s="1296"/>
      <c r="BX371" s="1361"/>
      <c r="BY371" s="1361"/>
      <c r="BZ371" s="1361"/>
      <c r="CA371" s="1361"/>
      <c r="CB371" s="1362"/>
      <c r="CD371" s="1364"/>
      <c r="CE371" s="1298"/>
      <c r="CF371" s="1298"/>
      <c r="CG371" s="1298"/>
      <c r="CH371" s="1298"/>
      <c r="CI371" s="1298"/>
      <c r="CJ371" s="1298"/>
      <c r="CK371" s="1296"/>
      <c r="CL371" s="1361"/>
      <c r="CM371" s="1361"/>
      <c r="CN371" s="1361"/>
      <c r="CO371" s="1361"/>
      <c r="CP371" s="1362"/>
    </row>
    <row r="372" spans="1:94" ht="12.75" customHeight="1" outlineLevel="1">
      <c r="A372" s="1760"/>
      <c r="B372" s="1760"/>
      <c r="C372" s="1760"/>
      <c r="D372" s="1760"/>
      <c r="E372" s="1760"/>
      <c r="F372" s="1760"/>
      <c r="G372" s="1760"/>
      <c r="H372" s="1760"/>
      <c r="I372" s="1760"/>
      <c r="J372" s="1760"/>
      <c r="K372" s="1760"/>
      <c r="L372" s="1760"/>
      <c r="M372" s="1760"/>
      <c r="N372" s="1760"/>
      <c r="O372" s="1760"/>
      <c r="P372" s="1760"/>
      <c r="Q372" s="1760"/>
      <c r="R372" s="1760"/>
      <c r="S372" s="1760"/>
      <c r="T372" s="1760"/>
      <c r="U372" s="1760"/>
      <c r="V372" s="1760"/>
      <c r="W372" s="1760"/>
      <c r="X372" s="1760"/>
      <c r="Y372" s="1760"/>
      <c r="Z372" s="1760"/>
      <c r="AA372" s="1760"/>
      <c r="AB372" s="1760"/>
      <c r="AC372" s="1760"/>
      <c r="AD372" s="1760"/>
      <c r="AG372" s="1369"/>
      <c r="AH372" s="1298"/>
      <c r="AI372" s="1298"/>
      <c r="AJ372" s="1298"/>
      <c r="AK372" s="1298"/>
      <c r="AL372" s="1298"/>
      <c r="AM372" s="1298"/>
      <c r="AN372" s="1298"/>
      <c r="AO372" s="1298"/>
      <c r="AP372" s="1298"/>
      <c r="AQ372" s="1296"/>
      <c r="AR372" s="1363"/>
      <c r="AS372" s="1363"/>
      <c r="AT372" s="1363"/>
      <c r="AU372" s="1363"/>
      <c r="AV372" s="1362"/>
      <c r="AX372" s="1369"/>
      <c r="AY372" s="1298"/>
      <c r="AZ372" s="1298"/>
      <c r="BA372" s="1298"/>
      <c r="BB372" s="1298"/>
      <c r="BC372" s="1298"/>
      <c r="BD372" s="1298"/>
      <c r="BE372" s="1296"/>
      <c r="BF372" s="1363"/>
      <c r="BG372" s="1363"/>
      <c r="BH372" s="1363"/>
      <c r="BI372" s="1363"/>
      <c r="BJ372" s="1362"/>
      <c r="BM372" s="1369"/>
      <c r="BN372" s="1298"/>
      <c r="BO372" s="1298"/>
      <c r="BP372" s="1298"/>
      <c r="BQ372" s="1298"/>
      <c r="BR372" s="1298"/>
      <c r="BS372" s="1298"/>
      <c r="BT372" s="1298"/>
      <c r="BU372" s="1298"/>
      <c r="BV372" s="1298"/>
      <c r="BW372" s="1296"/>
      <c r="BX372" s="1363"/>
      <c r="BY372" s="1363"/>
      <c r="BZ372" s="1363"/>
      <c r="CA372" s="1363"/>
      <c r="CB372" s="1362"/>
      <c r="CD372" s="1369"/>
      <c r="CE372" s="1298"/>
      <c r="CF372" s="1298"/>
      <c r="CG372" s="1298"/>
      <c r="CH372" s="1298"/>
      <c r="CI372" s="1298"/>
      <c r="CJ372" s="1298"/>
      <c r="CK372" s="1296"/>
      <c r="CL372" s="1363"/>
      <c r="CM372" s="1363"/>
      <c r="CN372" s="1363"/>
      <c r="CO372" s="1363"/>
      <c r="CP372" s="1362"/>
    </row>
    <row r="373" spans="1:94" ht="12.75" customHeight="1" outlineLevel="1">
      <c r="A373" s="1760"/>
      <c r="B373" s="1760"/>
      <c r="C373" s="1760"/>
      <c r="D373" s="1760"/>
      <c r="E373" s="1760"/>
      <c r="F373" s="1760"/>
      <c r="G373" s="1760"/>
      <c r="H373" s="1760"/>
      <c r="I373" s="1760"/>
      <c r="J373" s="1760"/>
      <c r="K373" s="1760"/>
      <c r="L373" s="1760"/>
      <c r="M373" s="1760"/>
      <c r="N373" s="1760"/>
      <c r="O373" s="1760"/>
      <c r="P373" s="1760"/>
      <c r="Q373" s="1760"/>
      <c r="R373" s="1760"/>
      <c r="S373" s="1760"/>
      <c r="T373" s="1760"/>
      <c r="U373" s="1760"/>
      <c r="V373" s="1760"/>
      <c r="W373" s="1760"/>
      <c r="X373" s="1760"/>
      <c r="Y373" s="1760"/>
      <c r="Z373" s="1760"/>
      <c r="AA373" s="1760"/>
      <c r="AB373" s="1760"/>
      <c r="AC373" s="1760"/>
      <c r="AD373" s="1760"/>
      <c r="AG373" s="1364"/>
      <c r="AH373" s="1298"/>
      <c r="AI373" s="1298"/>
      <c r="AJ373" s="1298"/>
      <c r="AK373" s="1298"/>
      <c r="AL373" s="1298"/>
      <c r="AM373" s="1298"/>
      <c r="AN373" s="1298"/>
      <c r="AO373" s="1298"/>
      <c r="AP373" s="1298"/>
      <c r="AQ373" s="1296"/>
      <c r="AR373" s="1361"/>
      <c r="AS373" s="1361"/>
      <c r="AT373" s="1361"/>
      <c r="AU373" s="1361"/>
      <c r="AV373" s="1362"/>
      <c r="AX373" s="1364"/>
      <c r="AY373" s="1298"/>
      <c r="AZ373" s="1298"/>
      <c r="BA373" s="1298"/>
      <c r="BB373" s="1298"/>
      <c r="BC373" s="1298"/>
      <c r="BD373" s="1298"/>
      <c r="BE373" s="1296"/>
      <c r="BF373" s="1361"/>
      <c r="BG373" s="1361"/>
      <c r="BH373" s="1361"/>
      <c r="BI373" s="1361"/>
      <c r="BJ373" s="1362"/>
      <c r="BM373" s="1364"/>
      <c r="BN373" s="1298"/>
      <c r="BO373" s="1298"/>
      <c r="BP373" s="1298"/>
      <c r="BQ373" s="1298"/>
      <c r="BR373" s="1298"/>
      <c r="BS373" s="1298"/>
      <c r="BT373" s="1298"/>
      <c r="BU373" s="1298"/>
      <c r="BV373" s="1298"/>
      <c r="BW373" s="1296"/>
      <c r="BX373" s="1361"/>
      <c r="BY373" s="1361"/>
      <c r="BZ373" s="1361"/>
      <c r="CA373" s="1361"/>
      <c r="CB373" s="1362"/>
      <c r="CD373" s="1364"/>
      <c r="CE373" s="1298"/>
      <c r="CF373" s="1298"/>
      <c r="CG373" s="1298"/>
      <c r="CH373" s="1298"/>
      <c r="CI373" s="1298"/>
      <c r="CJ373" s="1298"/>
      <c r="CK373" s="1296"/>
      <c r="CL373" s="1361"/>
      <c r="CM373" s="1361"/>
      <c r="CN373" s="1361"/>
      <c r="CO373" s="1361"/>
      <c r="CP373" s="1362"/>
    </row>
    <row r="374" spans="1:94" ht="12.75" customHeight="1" outlineLevel="1">
      <c r="A374" s="1760"/>
      <c r="B374" s="1760"/>
      <c r="C374" s="1760"/>
      <c r="D374" s="1760"/>
      <c r="E374" s="1760"/>
      <c r="F374" s="1760"/>
      <c r="G374" s="1760"/>
      <c r="H374" s="1760"/>
      <c r="I374" s="1760"/>
      <c r="J374" s="1760"/>
      <c r="K374" s="1760"/>
      <c r="L374" s="1760"/>
      <c r="M374" s="1760"/>
      <c r="N374" s="1760"/>
      <c r="O374" s="1760"/>
      <c r="P374" s="1760"/>
      <c r="Q374" s="1760"/>
      <c r="R374" s="1760"/>
      <c r="S374" s="1760"/>
      <c r="T374" s="1760"/>
      <c r="U374" s="1760"/>
      <c r="V374" s="1760"/>
      <c r="W374" s="1760"/>
      <c r="X374" s="1760"/>
      <c r="Y374" s="1760"/>
      <c r="Z374" s="1760"/>
      <c r="AA374" s="1760"/>
      <c r="AB374" s="1760"/>
      <c r="AC374" s="1760"/>
      <c r="AD374" s="1760"/>
      <c r="AG374" s="1369"/>
      <c r="AH374" s="1298"/>
      <c r="AI374" s="1298"/>
      <c r="AJ374" s="1298"/>
      <c r="AK374" s="1298"/>
      <c r="AL374" s="1298"/>
      <c r="AM374" s="1298"/>
      <c r="AN374" s="1298"/>
      <c r="AO374" s="1298"/>
      <c r="AP374" s="1298"/>
      <c r="AQ374" s="1296"/>
      <c r="AR374" s="1363"/>
      <c r="AS374" s="1363"/>
      <c r="AT374" s="1363"/>
      <c r="AU374" s="1363"/>
      <c r="AV374" s="1362"/>
      <c r="AX374" s="1369"/>
      <c r="AY374" s="1298"/>
      <c r="AZ374" s="1298"/>
      <c r="BA374" s="1298"/>
      <c r="BB374" s="1298"/>
      <c r="BC374" s="1298"/>
      <c r="BD374" s="1298"/>
      <c r="BE374" s="1296"/>
      <c r="BF374" s="1363"/>
      <c r="BG374" s="1363"/>
      <c r="BH374" s="1363"/>
      <c r="BI374" s="1363"/>
      <c r="BJ374" s="1362"/>
      <c r="BM374" s="1369"/>
      <c r="BN374" s="1298"/>
      <c r="BO374" s="1298"/>
      <c r="BP374" s="1298"/>
      <c r="BQ374" s="1298"/>
      <c r="BR374" s="1298"/>
      <c r="BS374" s="1298"/>
      <c r="BT374" s="1298"/>
      <c r="BU374" s="1298"/>
      <c r="BV374" s="1298"/>
      <c r="BW374" s="1296"/>
      <c r="BX374" s="1363"/>
      <c r="BY374" s="1363"/>
      <c r="BZ374" s="1363"/>
      <c r="CA374" s="1363"/>
      <c r="CB374" s="1362"/>
      <c r="CD374" s="1369"/>
      <c r="CE374" s="1298"/>
      <c r="CF374" s="1298"/>
      <c r="CG374" s="1298"/>
      <c r="CH374" s="1298"/>
      <c r="CI374" s="1298"/>
      <c r="CJ374" s="1298"/>
      <c r="CK374" s="1296"/>
      <c r="CL374" s="1363"/>
      <c r="CM374" s="1363"/>
      <c r="CN374" s="1363"/>
      <c r="CO374" s="1363"/>
      <c r="CP374" s="1362"/>
    </row>
    <row r="375" spans="1:94" ht="12.75" customHeight="1" outlineLevel="1">
      <c r="A375" s="1760"/>
      <c r="B375" s="1760"/>
      <c r="C375" s="1760"/>
      <c r="D375" s="1760"/>
      <c r="E375" s="1760"/>
      <c r="F375" s="1760"/>
      <c r="G375" s="1760"/>
      <c r="H375" s="1760"/>
      <c r="I375" s="1760"/>
      <c r="J375" s="1760"/>
      <c r="K375" s="1760"/>
      <c r="L375" s="1760"/>
      <c r="M375" s="1760"/>
      <c r="N375" s="1760"/>
      <c r="O375" s="1760"/>
      <c r="P375" s="1760"/>
      <c r="Q375" s="1760"/>
      <c r="R375" s="1760"/>
      <c r="S375" s="1760"/>
      <c r="T375" s="1760"/>
      <c r="U375" s="1760"/>
      <c r="V375" s="1760"/>
      <c r="W375" s="1760"/>
      <c r="X375" s="1760"/>
      <c r="Y375" s="1760"/>
      <c r="Z375" s="1760"/>
      <c r="AA375" s="1760"/>
      <c r="AB375" s="1760"/>
      <c r="AC375" s="1760"/>
      <c r="AD375" s="1760"/>
      <c r="AG375" s="1364"/>
      <c r="AH375" s="1298"/>
      <c r="AI375" s="1298"/>
      <c r="AJ375" s="1298"/>
      <c r="AK375" s="1298"/>
      <c r="AL375" s="1298"/>
      <c r="AM375" s="1298"/>
      <c r="AN375" s="1298"/>
      <c r="AO375" s="1298"/>
      <c r="AP375" s="1298"/>
      <c r="AQ375" s="1296"/>
      <c r="AR375" s="1361"/>
      <c r="AS375" s="1361"/>
      <c r="AT375" s="1361"/>
      <c r="AU375" s="1361"/>
      <c r="AV375" s="1362"/>
      <c r="AX375" s="1364"/>
      <c r="AY375" s="1298"/>
      <c r="AZ375" s="1298"/>
      <c r="BA375" s="1298"/>
      <c r="BB375" s="1298"/>
      <c r="BC375" s="1298"/>
      <c r="BD375" s="1298"/>
      <c r="BE375" s="1296"/>
      <c r="BF375" s="1361"/>
      <c r="BG375" s="1361"/>
      <c r="BH375" s="1361"/>
      <c r="BI375" s="1361"/>
      <c r="BJ375" s="1362"/>
      <c r="BM375" s="1364"/>
      <c r="BN375" s="1298"/>
      <c r="BO375" s="1298"/>
      <c r="BP375" s="1298"/>
      <c r="BQ375" s="1298"/>
      <c r="BR375" s="1298"/>
      <c r="BS375" s="1298"/>
      <c r="BT375" s="1298"/>
      <c r="BU375" s="1298"/>
      <c r="BV375" s="1298"/>
      <c r="BW375" s="1296"/>
      <c r="BX375" s="1361"/>
      <c r="BY375" s="1361"/>
      <c r="BZ375" s="1361"/>
      <c r="CA375" s="1361"/>
      <c r="CB375" s="1362"/>
      <c r="CD375" s="1364"/>
      <c r="CE375" s="1298"/>
      <c r="CF375" s="1298"/>
      <c r="CG375" s="1298"/>
      <c r="CH375" s="1298"/>
      <c r="CI375" s="1298"/>
      <c r="CJ375" s="1298"/>
      <c r="CK375" s="1296"/>
      <c r="CL375" s="1361"/>
      <c r="CM375" s="1361"/>
      <c r="CN375" s="1361"/>
      <c r="CO375" s="1361"/>
      <c r="CP375" s="1362"/>
    </row>
    <row r="376" spans="1:94" ht="12.75" customHeight="1" outlineLevel="1">
      <c r="A376" s="1760"/>
      <c r="B376" s="1760"/>
      <c r="C376" s="1760"/>
      <c r="D376" s="1760"/>
      <c r="E376" s="1760"/>
      <c r="F376" s="1760"/>
      <c r="G376" s="1760"/>
      <c r="H376" s="1760"/>
      <c r="I376" s="1760"/>
      <c r="J376" s="1760"/>
      <c r="K376" s="1760"/>
      <c r="L376" s="1760"/>
      <c r="M376" s="1760"/>
      <c r="N376" s="1760"/>
      <c r="O376" s="1760"/>
      <c r="P376" s="1760"/>
      <c r="Q376" s="1760"/>
      <c r="R376" s="1760"/>
      <c r="S376" s="1760"/>
      <c r="T376" s="1760"/>
      <c r="U376" s="1760"/>
      <c r="V376" s="1760"/>
      <c r="W376" s="1760"/>
      <c r="X376" s="1760"/>
      <c r="Y376" s="1760"/>
      <c r="Z376" s="1760"/>
      <c r="AA376" s="1760"/>
      <c r="AB376" s="1760"/>
      <c r="AC376" s="1760"/>
      <c r="AD376" s="1760"/>
      <c r="AG376" s="1369"/>
      <c r="AH376" s="1298"/>
      <c r="AI376" s="1298"/>
      <c r="AJ376" s="1298"/>
      <c r="AK376" s="1298"/>
      <c r="AL376" s="1298"/>
      <c r="AM376" s="1298"/>
      <c r="AN376" s="1298"/>
      <c r="AO376" s="1298"/>
      <c r="AP376" s="1298"/>
      <c r="AQ376" s="1296"/>
      <c r="AR376" s="1363"/>
      <c r="AS376" s="1363"/>
      <c r="AT376" s="1363"/>
      <c r="AU376" s="1363"/>
      <c r="AV376" s="1362"/>
      <c r="AX376" s="1369"/>
      <c r="AY376" s="1298"/>
      <c r="AZ376" s="1298"/>
      <c r="BA376" s="1298"/>
      <c r="BB376" s="1298"/>
      <c r="BC376" s="1298"/>
      <c r="BD376" s="1298"/>
      <c r="BE376" s="1296"/>
      <c r="BF376" s="1363"/>
      <c r="BG376" s="1363"/>
      <c r="BH376" s="1363"/>
      <c r="BI376" s="1363"/>
      <c r="BJ376" s="1362"/>
      <c r="BM376" s="1369"/>
      <c r="BN376" s="1298"/>
      <c r="BO376" s="1298"/>
      <c r="BP376" s="1298"/>
      <c r="BQ376" s="1298"/>
      <c r="BR376" s="1298"/>
      <c r="BS376" s="1298"/>
      <c r="BT376" s="1298"/>
      <c r="BU376" s="1298"/>
      <c r="BV376" s="1298"/>
      <c r="BW376" s="1296"/>
      <c r="BX376" s="1363"/>
      <c r="BY376" s="1363"/>
      <c r="BZ376" s="1363"/>
      <c r="CA376" s="1363"/>
      <c r="CB376" s="1362"/>
      <c r="CD376" s="1369"/>
      <c r="CE376" s="1298"/>
      <c r="CF376" s="1298"/>
      <c r="CG376" s="1298"/>
      <c r="CH376" s="1298"/>
      <c r="CI376" s="1298"/>
      <c r="CJ376" s="1298"/>
      <c r="CK376" s="1296"/>
      <c r="CL376" s="1363"/>
      <c r="CM376" s="1363"/>
      <c r="CN376" s="1363"/>
      <c r="CO376" s="1363"/>
      <c r="CP376" s="1362"/>
    </row>
    <row r="377" spans="1:94" ht="12.75" customHeight="1" outlineLevel="1">
      <c r="A377" s="1760"/>
      <c r="B377" s="1760"/>
      <c r="C377" s="1760"/>
      <c r="D377" s="1760"/>
      <c r="E377" s="1760"/>
      <c r="F377" s="1760"/>
      <c r="G377" s="1760"/>
      <c r="H377" s="1760"/>
      <c r="I377" s="1760"/>
      <c r="J377" s="1760"/>
      <c r="K377" s="1760"/>
      <c r="L377" s="1760"/>
      <c r="M377" s="1760"/>
      <c r="N377" s="1760"/>
      <c r="O377" s="1760"/>
      <c r="P377" s="1760"/>
      <c r="Q377" s="1760"/>
      <c r="R377" s="1760"/>
      <c r="S377" s="1760"/>
      <c r="T377" s="1760"/>
      <c r="U377" s="1760"/>
      <c r="V377" s="1760"/>
      <c r="W377" s="1760"/>
      <c r="X377" s="1760"/>
      <c r="Y377" s="1760"/>
      <c r="Z377" s="1760"/>
      <c r="AA377" s="1760"/>
      <c r="AB377" s="1760"/>
      <c r="AC377" s="1760"/>
      <c r="AD377" s="1760"/>
      <c r="AG377" s="1364"/>
      <c r="AH377" s="1298"/>
      <c r="AI377" s="1298"/>
      <c r="AJ377" s="1298"/>
      <c r="AK377" s="1298"/>
      <c r="AL377" s="1298"/>
      <c r="AM377" s="1298"/>
      <c r="AN377" s="1298"/>
      <c r="AO377" s="1298"/>
      <c r="AP377" s="1298"/>
      <c r="AQ377" s="1296"/>
      <c r="AR377" s="1361"/>
      <c r="AS377" s="1361"/>
      <c r="AT377" s="1361"/>
      <c r="AU377" s="1361"/>
      <c r="AV377" s="1362"/>
      <c r="AX377" s="1364"/>
      <c r="AY377" s="1298"/>
      <c r="AZ377" s="1298"/>
      <c r="BA377" s="1298"/>
      <c r="BB377" s="1298"/>
      <c r="BC377" s="1298"/>
      <c r="BD377" s="1298"/>
      <c r="BE377" s="1296"/>
      <c r="BF377" s="1361"/>
      <c r="BG377" s="1361"/>
      <c r="BH377" s="1361"/>
      <c r="BI377" s="1361"/>
      <c r="BJ377" s="1362"/>
      <c r="BM377" s="1364"/>
      <c r="BN377" s="1298"/>
      <c r="BO377" s="1298"/>
      <c r="BP377" s="1298"/>
      <c r="BQ377" s="1298"/>
      <c r="BR377" s="1298"/>
      <c r="BS377" s="1298"/>
      <c r="BT377" s="1298"/>
      <c r="BU377" s="1298"/>
      <c r="BV377" s="1298"/>
      <c r="BW377" s="1296"/>
      <c r="BX377" s="1361"/>
      <c r="BY377" s="1361"/>
      <c r="BZ377" s="1361"/>
      <c r="CA377" s="1361"/>
      <c r="CB377" s="1362"/>
      <c r="CD377" s="1364"/>
      <c r="CE377" s="1298"/>
      <c r="CF377" s="1298"/>
      <c r="CG377" s="1298"/>
      <c r="CH377" s="1298"/>
      <c r="CI377" s="1298"/>
      <c r="CJ377" s="1298"/>
      <c r="CK377" s="1296"/>
      <c r="CL377" s="1361"/>
      <c r="CM377" s="1361"/>
      <c r="CN377" s="1361"/>
      <c r="CO377" s="1361"/>
      <c r="CP377" s="1362"/>
    </row>
    <row r="378" spans="1:94" ht="12.75" customHeight="1" outlineLevel="1">
      <c r="A378" s="1760"/>
      <c r="B378" s="1760"/>
      <c r="C378" s="1760"/>
      <c r="D378" s="1760"/>
      <c r="E378" s="1760"/>
      <c r="F378" s="1760"/>
      <c r="G378" s="1760"/>
      <c r="H378" s="1760"/>
      <c r="I378" s="1760"/>
      <c r="J378" s="1760"/>
      <c r="K378" s="1760"/>
      <c r="L378" s="1760"/>
      <c r="M378" s="1760"/>
      <c r="N378" s="1760"/>
      <c r="O378" s="1760"/>
      <c r="P378" s="1760"/>
      <c r="Q378" s="1760"/>
      <c r="R378" s="1760"/>
      <c r="S378" s="1760"/>
      <c r="T378" s="1760"/>
      <c r="U378" s="1760"/>
      <c r="V378" s="1760"/>
      <c r="W378" s="1760"/>
      <c r="X378" s="1760"/>
      <c r="Y378" s="1760"/>
      <c r="Z378" s="1760"/>
      <c r="AA378" s="1760"/>
      <c r="AB378" s="1760"/>
      <c r="AC378" s="1760"/>
      <c r="AD378" s="1760"/>
      <c r="AG378" s="1369"/>
      <c r="AH378" s="1298"/>
      <c r="AI378" s="1298"/>
      <c r="AJ378" s="1298"/>
      <c r="AK378" s="1298"/>
      <c r="AL378" s="1298"/>
      <c r="AM378" s="1298"/>
      <c r="AN378" s="1298"/>
      <c r="AO378" s="1298"/>
      <c r="AP378" s="1298"/>
      <c r="AQ378" s="1296"/>
      <c r="AR378" s="1363"/>
      <c r="AS378" s="1363"/>
      <c r="AT378" s="1363"/>
      <c r="AU378" s="1363"/>
      <c r="AV378" s="1362"/>
      <c r="AX378" s="1369"/>
      <c r="AY378" s="1298"/>
      <c r="AZ378" s="1298"/>
      <c r="BA378" s="1298"/>
      <c r="BB378" s="1298"/>
      <c r="BC378" s="1298"/>
      <c r="BD378" s="1298"/>
      <c r="BE378" s="1296"/>
      <c r="BF378" s="1363"/>
      <c r="BG378" s="1363"/>
      <c r="BH378" s="1363"/>
      <c r="BI378" s="1363"/>
      <c r="BJ378" s="1362"/>
      <c r="BM378" s="1369"/>
      <c r="BN378" s="1298"/>
      <c r="BO378" s="1298"/>
      <c r="BP378" s="1298"/>
      <c r="BQ378" s="1298"/>
      <c r="BR378" s="1298"/>
      <c r="BS378" s="1298"/>
      <c r="BT378" s="1298"/>
      <c r="BU378" s="1298"/>
      <c r="BV378" s="1298"/>
      <c r="BW378" s="1296"/>
      <c r="BX378" s="1363"/>
      <c r="BY378" s="1363"/>
      <c r="BZ378" s="1363"/>
      <c r="CA378" s="1363"/>
      <c r="CB378" s="1362"/>
      <c r="CD378" s="1369"/>
      <c r="CE378" s="1298"/>
      <c r="CF378" s="1298"/>
      <c r="CG378" s="1298"/>
      <c r="CH378" s="1298"/>
      <c r="CI378" s="1298"/>
      <c r="CJ378" s="1298"/>
      <c r="CK378" s="1296"/>
      <c r="CL378" s="1363"/>
      <c r="CM378" s="1363"/>
      <c r="CN378" s="1363"/>
      <c r="CO378" s="1363"/>
      <c r="CP378" s="1362"/>
    </row>
    <row r="379" spans="1:94" ht="12.75" customHeight="1" outlineLevel="1">
      <c r="A379" s="1760"/>
      <c r="B379" s="1760"/>
      <c r="C379" s="1760"/>
      <c r="D379" s="1760"/>
      <c r="E379" s="1760"/>
      <c r="F379" s="1760"/>
      <c r="G379" s="1760"/>
      <c r="H379" s="1760"/>
      <c r="I379" s="1760"/>
      <c r="J379" s="1760"/>
      <c r="K379" s="1760"/>
      <c r="L379" s="1760"/>
      <c r="M379" s="1760"/>
      <c r="N379" s="1760"/>
      <c r="O379" s="1760"/>
      <c r="P379" s="1760"/>
      <c r="Q379" s="1760"/>
      <c r="R379" s="1760"/>
      <c r="S379" s="1760"/>
      <c r="T379" s="1760"/>
      <c r="U379" s="1760"/>
      <c r="V379" s="1760"/>
      <c r="W379" s="1760"/>
      <c r="X379" s="1760"/>
      <c r="Y379" s="1760"/>
      <c r="Z379" s="1760"/>
      <c r="AA379" s="1760"/>
      <c r="AB379" s="1760"/>
      <c r="AC379" s="1760"/>
      <c r="AD379" s="1760"/>
      <c r="AG379" s="1364"/>
      <c r="AH379" s="1298"/>
      <c r="AI379" s="1298"/>
      <c r="AJ379" s="1298"/>
      <c r="AK379" s="1298"/>
      <c r="AL379" s="1298"/>
      <c r="AM379" s="1298"/>
      <c r="AN379" s="1298"/>
      <c r="AO379" s="1298"/>
      <c r="AP379" s="1298"/>
      <c r="AQ379" s="1296"/>
      <c r="AR379" s="1361"/>
      <c r="AS379" s="1361"/>
      <c r="AT379" s="1361"/>
      <c r="AU379" s="1361"/>
      <c r="AV379" s="1362"/>
      <c r="AX379" s="1364"/>
      <c r="AY379" s="1298"/>
      <c r="AZ379" s="1298"/>
      <c r="BA379" s="1298"/>
      <c r="BB379" s="1298"/>
      <c r="BC379" s="1298"/>
      <c r="BD379" s="1298"/>
      <c r="BE379" s="1296"/>
      <c r="BF379" s="1361"/>
      <c r="BG379" s="1361"/>
      <c r="BH379" s="1361"/>
      <c r="BI379" s="1361"/>
      <c r="BJ379" s="1362"/>
      <c r="BM379" s="1364"/>
      <c r="BN379" s="1298"/>
      <c r="BO379" s="1298"/>
      <c r="BP379" s="1298"/>
      <c r="BQ379" s="1298"/>
      <c r="BR379" s="1298"/>
      <c r="BS379" s="1298"/>
      <c r="BT379" s="1298"/>
      <c r="BU379" s="1298"/>
      <c r="BV379" s="1298"/>
      <c r="BW379" s="1296"/>
      <c r="BX379" s="1361"/>
      <c r="BY379" s="1361"/>
      <c r="BZ379" s="1361"/>
      <c r="CA379" s="1361"/>
      <c r="CB379" s="1362"/>
      <c r="CD379" s="1364"/>
      <c r="CE379" s="1298"/>
      <c r="CF379" s="1298"/>
      <c r="CG379" s="1298"/>
      <c r="CH379" s="1298"/>
      <c r="CI379" s="1298"/>
      <c r="CJ379" s="1298"/>
      <c r="CK379" s="1296"/>
      <c r="CL379" s="1361"/>
      <c r="CM379" s="1361"/>
      <c r="CN379" s="1361"/>
      <c r="CO379" s="1361"/>
      <c r="CP379" s="1362"/>
    </row>
    <row r="380" spans="1:94" ht="12.75" customHeight="1" outlineLevel="1">
      <c r="A380" s="1760"/>
      <c r="B380" s="1760"/>
      <c r="C380" s="1760"/>
      <c r="D380" s="1760"/>
      <c r="E380" s="1760"/>
      <c r="F380" s="1760"/>
      <c r="G380" s="1760"/>
      <c r="H380" s="1760"/>
      <c r="I380" s="1760"/>
      <c r="J380" s="1760"/>
      <c r="K380" s="1760"/>
      <c r="L380" s="1760"/>
      <c r="M380" s="1760"/>
      <c r="N380" s="1760"/>
      <c r="O380" s="1760"/>
      <c r="P380" s="1760"/>
      <c r="Q380" s="1760"/>
      <c r="R380" s="1760"/>
      <c r="S380" s="1760"/>
      <c r="T380" s="1760"/>
      <c r="U380" s="1760"/>
      <c r="V380" s="1760"/>
      <c r="W380" s="1760"/>
      <c r="X380" s="1760"/>
      <c r="Y380" s="1760"/>
      <c r="Z380" s="1760"/>
      <c r="AA380" s="1760"/>
      <c r="AB380" s="1760"/>
      <c r="AC380" s="1760"/>
      <c r="AD380" s="1760"/>
      <c r="AG380" s="1369"/>
      <c r="AH380" s="1298"/>
      <c r="AI380" s="1298"/>
      <c r="AJ380" s="1298"/>
      <c r="AK380" s="1298"/>
      <c r="AL380" s="1298"/>
      <c r="AM380" s="1298"/>
      <c r="AN380" s="1298"/>
      <c r="AO380" s="1298"/>
      <c r="AP380" s="1298"/>
      <c r="AQ380" s="1296"/>
      <c r="AR380" s="1363"/>
      <c r="AS380" s="1363"/>
      <c r="AT380" s="1363"/>
      <c r="AU380" s="1363"/>
      <c r="AV380" s="1362"/>
      <c r="AX380" s="1369"/>
      <c r="AY380" s="1298"/>
      <c r="AZ380" s="1298"/>
      <c r="BA380" s="1298"/>
      <c r="BB380" s="1298"/>
      <c r="BC380" s="1298"/>
      <c r="BD380" s="1298"/>
      <c r="BE380" s="1296"/>
      <c r="BF380" s="1363"/>
      <c r="BG380" s="1363"/>
      <c r="BH380" s="1363"/>
      <c r="BI380" s="1363"/>
      <c r="BJ380" s="1362"/>
      <c r="BM380" s="1369"/>
      <c r="BN380" s="1298"/>
      <c r="BO380" s="1298"/>
      <c r="BP380" s="1298"/>
      <c r="BQ380" s="1298"/>
      <c r="BR380" s="1298"/>
      <c r="BS380" s="1298"/>
      <c r="BT380" s="1298"/>
      <c r="BU380" s="1298"/>
      <c r="BV380" s="1298"/>
      <c r="BW380" s="1296"/>
      <c r="BX380" s="1363"/>
      <c r="BY380" s="1363"/>
      <c r="BZ380" s="1363"/>
      <c r="CA380" s="1363"/>
      <c r="CB380" s="1362"/>
      <c r="CD380" s="1369"/>
      <c r="CE380" s="1298"/>
      <c r="CF380" s="1298"/>
      <c r="CG380" s="1298"/>
      <c r="CH380" s="1298"/>
      <c r="CI380" s="1298"/>
      <c r="CJ380" s="1298"/>
      <c r="CK380" s="1296"/>
      <c r="CL380" s="1363"/>
      <c r="CM380" s="1363"/>
      <c r="CN380" s="1363"/>
      <c r="CO380" s="1363"/>
      <c r="CP380" s="1362"/>
    </row>
    <row r="381" spans="1:94" ht="12.75" customHeight="1" outlineLevel="1">
      <c r="A381" s="1760"/>
      <c r="B381" s="1760"/>
      <c r="C381" s="1760"/>
      <c r="D381" s="1760"/>
      <c r="E381" s="1760"/>
      <c r="F381" s="1760"/>
      <c r="G381" s="1760"/>
      <c r="H381" s="1760"/>
      <c r="I381" s="1760"/>
      <c r="J381" s="1760"/>
      <c r="K381" s="1760"/>
      <c r="L381" s="1760"/>
      <c r="M381" s="1760"/>
      <c r="N381" s="1760"/>
      <c r="O381" s="1760"/>
      <c r="P381" s="1760"/>
      <c r="Q381" s="1760"/>
      <c r="R381" s="1760"/>
      <c r="S381" s="1760"/>
      <c r="T381" s="1760"/>
      <c r="U381" s="1760"/>
      <c r="V381" s="1760"/>
      <c r="W381" s="1760"/>
      <c r="X381" s="1760"/>
      <c r="Y381" s="1760"/>
      <c r="Z381" s="1760"/>
      <c r="AA381" s="1760"/>
      <c r="AB381" s="1760"/>
      <c r="AC381" s="1760"/>
      <c r="AD381" s="1760"/>
      <c r="AG381" s="1364"/>
      <c r="AH381" s="1298"/>
      <c r="AI381" s="1298"/>
      <c r="AJ381" s="1298"/>
      <c r="AK381" s="1298"/>
      <c r="AL381" s="1298"/>
      <c r="AM381" s="1298"/>
      <c r="AN381" s="1298"/>
      <c r="AO381" s="1298"/>
      <c r="AP381" s="1298"/>
      <c r="AQ381" s="1296"/>
      <c r="AR381" s="1361"/>
      <c r="AS381" s="1361"/>
      <c r="AT381" s="1361"/>
      <c r="AU381" s="1361"/>
      <c r="AV381" s="1362"/>
      <c r="AX381" s="1364"/>
      <c r="AY381" s="1298"/>
      <c r="AZ381" s="1298"/>
      <c r="BA381" s="1298"/>
      <c r="BB381" s="1298"/>
      <c r="BC381" s="1298"/>
      <c r="BD381" s="1298"/>
      <c r="BE381" s="1296"/>
      <c r="BF381" s="1361"/>
      <c r="BG381" s="1361"/>
      <c r="BH381" s="1361"/>
      <c r="BI381" s="1361"/>
      <c r="BJ381" s="1362"/>
      <c r="BM381" s="1364"/>
      <c r="BN381" s="1298"/>
      <c r="BO381" s="1298"/>
      <c r="BP381" s="1298"/>
      <c r="BQ381" s="1298"/>
      <c r="BR381" s="1298"/>
      <c r="BS381" s="1298"/>
      <c r="BT381" s="1298"/>
      <c r="BU381" s="1298"/>
      <c r="BV381" s="1298"/>
      <c r="BW381" s="1296"/>
      <c r="BX381" s="1361"/>
      <c r="BY381" s="1361"/>
      <c r="BZ381" s="1361"/>
      <c r="CA381" s="1361"/>
      <c r="CB381" s="1362"/>
      <c r="CD381" s="1364"/>
      <c r="CE381" s="1298"/>
      <c r="CF381" s="1298"/>
      <c r="CG381" s="1298"/>
      <c r="CH381" s="1298"/>
      <c r="CI381" s="1298"/>
      <c r="CJ381" s="1298"/>
      <c r="CK381" s="1296"/>
      <c r="CL381" s="1361"/>
      <c r="CM381" s="1361"/>
      <c r="CN381" s="1361"/>
      <c r="CO381" s="1361"/>
      <c r="CP381" s="1362"/>
    </row>
    <row r="382" spans="1:94" ht="12.75" customHeight="1" outlineLevel="1">
      <c r="A382" s="1760"/>
      <c r="B382" s="1760"/>
      <c r="C382" s="1760"/>
      <c r="D382" s="1760"/>
      <c r="E382" s="1760"/>
      <c r="F382" s="1760"/>
      <c r="G382" s="1760"/>
      <c r="H382" s="1760"/>
      <c r="I382" s="1760"/>
      <c r="J382" s="1760"/>
      <c r="K382" s="1760"/>
      <c r="L382" s="1760"/>
      <c r="M382" s="1760"/>
      <c r="N382" s="1760"/>
      <c r="O382" s="1760"/>
      <c r="P382" s="1760"/>
      <c r="Q382" s="1760"/>
      <c r="R382" s="1760"/>
      <c r="S382" s="1760"/>
      <c r="T382" s="1760"/>
      <c r="U382" s="1760"/>
      <c r="V382" s="1760"/>
      <c r="W382" s="1760"/>
      <c r="X382" s="1760"/>
      <c r="Y382" s="1760"/>
      <c r="Z382" s="1760"/>
      <c r="AA382" s="1760"/>
      <c r="AB382" s="1760"/>
      <c r="AC382" s="1760"/>
      <c r="AD382" s="1760"/>
      <c r="AG382" s="1369"/>
      <c r="AH382" s="1298"/>
      <c r="AI382" s="1298"/>
      <c r="AJ382" s="1298"/>
      <c r="AK382" s="1298"/>
      <c r="AL382" s="1298"/>
      <c r="AM382" s="1298"/>
      <c r="AN382" s="1298"/>
      <c r="AO382" s="1298"/>
      <c r="AP382" s="1298"/>
      <c r="AQ382" s="1296"/>
      <c r="AR382" s="1363"/>
      <c r="AS382" s="1363"/>
      <c r="AT382" s="1363"/>
      <c r="AU382" s="1363"/>
      <c r="AV382" s="1362"/>
      <c r="AX382" s="1369"/>
      <c r="AY382" s="1298"/>
      <c r="AZ382" s="1298"/>
      <c r="BA382" s="1298"/>
      <c r="BB382" s="1298"/>
      <c r="BC382" s="1298"/>
      <c r="BD382" s="1298"/>
      <c r="BE382" s="1296"/>
      <c r="BF382" s="1363"/>
      <c r="BG382" s="1363"/>
      <c r="BH382" s="1363"/>
      <c r="BI382" s="1363"/>
      <c r="BJ382" s="1362"/>
      <c r="BM382" s="1369"/>
      <c r="BN382" s="1298"/>
      <c r="BO382" s="1298"/>
      <c r="BP382" s="1298"/>
      <c r="BQ382" s="1298"/>
      <c r="BR382" s="1298"/>
      <c r="BS382" s="1298"/>
      <c r="BT382" s="1298"/>
      <c r="BU382" s="1298"/>
      <c r="BV382" s="1298"/>
      <c r="BW382" s="1296"/>
      <c r="BX382" s="1363"/>
      <c r="BY382" s="1363"/>
      <c r="BZ382" s="1363"/>
      <c r="CA382" s="1363"/>
      <c r="CB382" s="1362"/>
      <c r="CD382" s="1369"/>
      <c r="CE382" s="1298"/>
      <c r="CF382" s="1298"/>
      <c r="CG382" s="1298"/>
      <c r="CH382" s="1298"/>
      <c r="CI382" s="1298"/>
      <c r="CJ382" s="1298"/>
      <c r="CK382" s="1296"/>
      <c r="CL382" s="1363"/>
      <c r="CM382" s="1363"/>
      <c r="CN382" s="1363"/>
      <c r="CO382" s="1363"/>
      <c r="CP382" s="1362"/>
    </row>
    <row r="383" spans="1:94" ht="12.75" customHeight="1" outlineLevel="1">
      <c r="A383" s="1760"/>
      <c r="B383" s="1760"/>
      <c r="C383" s="1760"/>
      <c r="D383" s="1760"/>
      <c r="E383" s="1760"/>
      <c r="F383" s="1760"/>
      <c r="G383" s="1760"/>
      <c r="H383" s="1760"/>
      <c r="I383" s="1760"/>
      <c r="J383" s="1760"/>
      <c r="K383" s="1760"/>
      <c r="L383" s="1760"/>
      <c r="M383" s="1760"/>
      <c r="N383" s="1760"/>
      <c r="O383" s="1760"/>
      <c r="P383" s="1760"/>
      <c r="Q383" s="1760"/>
      <c r="R383" s="1760"/>
      <c r="S383" s="1760"/>
      <c r="T383" s="1760"/>
      <c r="U383" s="1760"/>
      <c r="V383" s="1760"/>
      <c r="W383" s="1760"/>
      <c r="X383" s="1760"/>
      <c r="Y383" s="1760"/>
      <c r="Z383" s="1760"/>
      <c r="AA383" s="1760"/>
      <c r="AB383" s="1760"/>
      <c r="AC383" s="1760"/>
      <c r="AD383" s="1760"/>
      <c r="AG383" s="1364"/>
      <c r="AH383" s="1298"/>
      <c r="AI383" s="1298"/>
      <c r="AJ383" s="1298"/>
      <c r="AK383" s="1298"/>
      <c r="AL383" s="1298"/>
      <c r="AM383" s="1298"/>
      <c r="AN383" s="1298"/>
      <c r="AO383" s="1298"/>
      <c r="AP383" s="1298"/>
      <c r="AQ383" s="1296"/>
      <c r="AR383" s="1361"/>
      <c r="AS383" s="1361"/>
      <c r="AT383" s="1361"/>
      <c r="AU383" s="1361"/>
      <c r="AV383" s="1362"/>
      <c r="AX383" s="1364"/>
      <c r="AY383" s="1298"/>
      <c r="AZ383" s="1298"/>
      <c r="BA383" s="1298"/>
      <c r="BB383" s="1298"/>
      <c r="BC383" s="1298"/>
      <c r="BD383" s="1298"/>
      <c r="BE383" s="1296"/>
      <c r="BF383" s="1361"/>
      <c r="BG383" s="1361"/>
      <c r="BH383" s="1361"/>
      <c r="BI383" s="1361"/>
      <c r="BJ383" s="1362"/>
      <c r="BM383" s="1364"/>
      <c r="BN383" s="1298"/>
      <c r="BO383" s="1298"/>
      <c r="BP383" s="1298"/>
      <c r="BQ383" s="1298"/>
      <c r="BR383" s="1298"/>
      <c r="BS383" s="1298"/>
      <c r="BT383" s="1298"/>
      <c r="BU383" s="1298"/>
      <c r="BV383" s="1298"/>
      <c r="BW383" s="1296"/>
      <c r="BX383" s="1361"/>
      <c r="BY383" s="1361"/>
      <c r="BZ383" s="1361"/>
      <c r="CA383" s="1361"/>
      <c r="CB383" s="1362"/>
      <c r="CD383" s="1364"/>
      <c r="CE383" s="1298"/>
      <c r="CF383" s="1298"/>
      <c r="CG383" s="1298"/>
      <c r="CH383" s="1298"/>
      <c r="CI383" s="1298"/>
      <c r="CJ383" s="1298"/>
      <c r="CK383" s="1296"/>
      <c r="CL383" s="1361"/>
      <c r="CM383" s="1361"/>
      <c r="CN383" s="1361"/>
      <c r="CO383" s="1361"/>
      <c r="CP383" s="1362"/>
    </row>
    <row r="384" spans="1:94" ht="12.75" customHeight="1" outlineLevel="1">
      <c r="A384" s="1760"/>
      <c r="B384" s="1760"/>
      <c r="C384" s="1760"/>
      <c r="D384" s="1760"/>
      <c r="E384" s="1760"/>
      <c r="F384" s="1760"/>
      <c r="G384" s="1760"/>
      <c r="H384" s="1760"/>
      <c r="I384" s="1760"/>
      <c r="J384" s="1760"/>
      <c r="K384" s="1760"/>
      <c r="L384" s="1760"/>
      <c r="M384" s="1760"/>
      <c r="N384" s="1760"/>
      <c r="O384" s="1760"/>
      <c r="P384" s="1760"/>
      <c r="Q384" s="1760"/>
      <c r="R384" s="1760"/>
      <c r="S384" s="1760"/>
      <c r="T384" s="1760"/>
      <c r="U384" s="1760"/>
      <c r="V384" s="1760"/>
      <c r="W384" s="1760"/>
      <c r="X384" s="1760"/>
      <c r="Y384" s="1760"/>
      <c r="Z384" s="1760"/>
      <c r="AA384" s="1760"/>
      <c r="AB384" s="1760"/>
      <c r="AC384" s="1760"/>
      <c r="AD384" s="1760"/>
      <c r="AG384" s="1369"/>
      <c r="AH384" s="1298"/>
      <c r="AI384" s="1298"/>
      <c r="AJ384" s="1298"/>
      <c r="AK384" s="1298"/>
      <c r="AL384" s="1298"/>
      <c r="AM384" s="1298"/>
      <c r="AN384" s="1298"/>
      <c r="AO384" s="1298"/>
      <c r="AP384" s="1298"/>
      <c r="AQ384" s="1296"/>
      <c r="AR384" s="1363"/>
      <c r="AS384" s="1363"/>
      <c r="AT384" s="1363"/>
      <c r="AU384" s="1363"/>
      <c r="AV384" s="1362"/>
      <c r="AX384" s="1369"/>
      <c r="AY384" s="1298"/>
      <c r="AZ384" s="1298"/>
      <c r="BA384" s="1298"/>
      <c r="BB384" s="1298"/>
      <c r="BC384" s="1298"/>
      <c r="BD384" s="1298"/>
      <c r="BE384" s="1296"/>
      <c r="BF384" s="1363"/>
      <c r="BG384" s="1363"/>
      <c r="BH384" s="1363"/>
      <c r="BI384" s="1363"/>
      <c r="BJ384" s="1362"/>
      <c r="BM384" s="1369"/>
      <c r="BN384" s="1298"/>
      <c r="BO384" s="1298"/>
      <c r="BP384" s="1298"/>
      <c r="BQ384" s="1298"/>
      <c r="BR384" s="1298"/>
      <c r="BS384" s="1298"/>
      <c r="BT384" s="1298"/>
      <c r="BU384" s="1298"/>
      <c r="BV384" s="1298"/>
      <c r="BW384" s="1296"/>
      <c r="BX384" s="1363"/>
      <c r="BY384" s="1363"/>
      <c r="BZ384" s="1363"/>
      <c r="CA384" s="1363"/>
      <c r="CB384" s="1362"/>
      <c r="CD384" s="1369"/>
      <c r="CE384" s="1298"/>
      <c r="CF384" s="1298"/>
      <c r="CG384" s="1298"/>
      <c r="CH384" s="1298"/>
      <c r="CI384" s="1298"/>
      <c r="CJ384" s="1298"/>
      <c r="CK384" s="1296"/>
      <c r="CL384" s="1363"/>
      <c r="CM384" s="1363"/>
      <c r="CN384" s="1363"/>
      <c r="CO384" s="1363"/>
      <c r="CP384" s="1362"/>
    </row>
    <row r="385" spans="1:94" ht="12.75" customHeight="1" outlineLevel="1">
      <c r="A385" s="1760"/>
      <c r="B385" s="1760"/>
      <c r="C385" s="1760"/>
      <c r="D385" s="1760"/>
      <c r="E385" s="1760"/>
      <c r="F385" s="1760"/>
      <c r="G385" s="1760"/>
      <c r="H385" s="1760"/>
      <c r="I385" s="1760"/>
      <c r="J385" s="1760"/>
      <c r="K385" s="1760"/>
      <c r="L385" s="1760"/>
      <c r="M385" s="1760"/>
      <c r="N385" s="1760"/>
      <c r="O385" s="1760"/>
      <c r="P385" s="1760"/>
      <c r="Q385" s="1760"/>
      <c r="R385" s="1760"/>
      <c r="S385" s="1760"/>
      <c r="T385" s="1760"/>
      <c r="U385" s="1760"/>
      <c r="V385" s="1760"/>
      <c r="W385" s="1760"/>
      <c r="X385" s="1760"/>
      <c r="Y385" s="1760"/>
      <c r="Z385" s="1760"/>
      <c r="AA385" s="1760"/>
      <c r="AB385" s="1760"/>
      <c r="AC385" s="1760"/>
      <c r="AD385" s="1760"/>
      <c r="AG385" s="1364"/>
      <c r="AH385" s="1298"/>
      <c r="AI385" s="1298"/>
      <c r="AJ385" s="1298"/>
      <c r="AK385" s="1298"/>
      <c r="AL385" s="1298"/>
      <c r="AM385" s="1298"/>
      <c r="AN385" s="1298"/>
      <c r="AO385" s="1298"/>
      <c r="AP385" s="1298"/>
      <c r="AQ385" s="1296"/>
      <c r="AR385" s="1361"/>
      <c r="AS385" s="1361"/>
      <c r="AT385" s="1361"/>
      <c r="AU385" s="1361"/>
      <c r="AV385" s="1362"/>
      <c r="AX385" s="1364"/>
      <c r="AY385" s="1298"/>
      <c r="AZ385" s="1298"/>
      <c r="BA385" s="1298"/>
      <c r="BB385" s="1298"/>
      <c r="BC385" s="1298"/>
      <c r="BD385" s="1298"/>
      <c r="BE385" s="1296"/>
      <c r="BF385" s="1361"/>
      <c r="BG385" s="1361"/>
      <c r="BH385" s="1361"/>
      <c r="BI385" s="1361"/>
      <c r="BJ385" s="1362"/>
      <c r="BM385" s="1364"/>
      <c r="BN385" s="1298"/>
      <c r="BO385" s="1298"/>
      <c r="BP385" s="1298"/>
      <c r="BQ385" s="1298"/>
      <c r="BR385" s="1298"/>
      <c r="BS385" s="1298"/>
      <c r="BT385" s="1298"/>
      <c r="BU385" s="1298"/>
      <c r="BV385" s="1298"/>
      <c r="BW385" s="1296"/>
      <c r="BX385" s="1361"/>
      <c r="BY385" s="1361"/>
      <c r="BZ385" s="1361"/>
      <c r="CA385" s="1361"/>
      <c r="CB385" s="1362"/>
      <c r="CD385" s="1364"/>
      <c r="CE385" s="1298"/>
      <c r="CF385" s="1298"/>
      <c r="CG385" s="1298"/>
      <c r="CH385" s="1298"/>
      <c r="CI385" s="1298"/>
      <c r="CJ385" s="1298"/>
      <c r="CK385" s="1296"/>
      <c r="CL385" s="1361"/>
      <c r="CM385" s="1361"/>
      <c r="CN385" s="1361"/>
      <c r="CO385" s="1361"/>
      <c r="CP385" s="1362"/>
    </row>
    <row r="386" spans="1:94" ht="12.75" customHeight="1" outlineLevel="1">
      <c r="A386" s="1760"/>
      <c r="B386" s="1760"/>
      <c r="C386" s="1760"/>
      <c r="D386" s="1760"/>
      <c r="E386" s="1760"/>
      <c r="F386" s="1760"/>
      <c r="G386" s="1760"/>
      <c r="H386" s="1760"/>
      <c r="I386" s="1760"/>
      <c r="J386" s="1760"/>
      <c r="K386" s="1760"/>
      <c r="L386" s="1760"/>
      <c r="M386" s="1760"/>
      <c r="N386" s="1760"/>
      <c r="O386" s="1760"/>
      <c r="P386" s="1760"/>
      <c r="Q386" s="1760"/>
      <c r="R386" s="1760"/>
      <c r="S386" s="1760"/>
      <c r="T386" s="1760"/>
      <c r="U386" s="1760"/>
      <c r="V386" s="1760"/>
      <c r="W386" s="1760"/>
      <c r="X386" s="1760"/>
      <c r="Y386" s="1760"/>
      <c r="Z386" s="1760"/>
      <c r="AA386" s="1760"/>
      <c r="AB386" s="1760"/>
      <c r="AC386" s="1760"/>
      <c r="AD386" s="1760"/>
      <c r="AG386" s="1369"/>
      <c r="AH386" s="1298"/>
      <c r="AI386" s="1298"/>
      <c r="AJ386" s="1298"/>
      <c r="AK386" s="1298"/>
      <c r="AL386" s="1298"/>
      <c r="AM386" s="1298"/>
      <c r="AN386" s="1298"/>
      <c r="AO386" s="1298"/>
      <c r="AP386" s="1298"/>
      <c r="AQ386" s="1296"/>
      <c r="AR386" s="1363"/>
      <c r="AS386" s="1363"/>
      <c r="AT386" s="1363"/>
      <c r="AU386" s="1363"/>
      <c r="AV386" s="1362"/>
      <c r="AX386" s="1369"/>
      <c r="AY386" s="1298"/>
      <c r="AZ386" s="1298"/>
      <c r="BA386" s="1298"/>
      <c r="BB386" s="1298"/>
      <c r="BC386" s="1298"/>
      <c r="BD386" s="1298"/>
      <c r="BE386" s="1296"/>
      <c r="BF386" s="1363"/>
      <c r="BG386" s="1363"/>
      <c r="BH386" s="1363"/>
      <c r="BI386" s="1363"/>
      <c r="BJ386" s="1362"/>
      <c r="BM386" s="1369"/>
      <c r="BN386" s="1298"/>
      <c r="BO386" s="1298"/>
      <c r="BP386" s="1298"/>
      <c r="BQ386" s="1298"/>
      <c r="BR386" s="1298"/>
      <c r="BS386" s="1298"/>
      <c r="BT386" s="1298"/>
      <c r="BU386" s="1298"/>
      <c r="BV386" s="1298"/>
      <c r="BW386" s="1296"/>
      <c r="BX386" s="1363"/>
      <c r="BY386" s="1363"/>
      <c r="BZ386" s="1363"/>
      <c r="CA386" s="1363"/>
      <c r="CB386" s="1362"/>
      <c r="CD386" s="1369"/>
      <c r="CE386" s="1298"/>
      <c r="CF386" s="1298"/>
      <c r="CG386" s="1298"/>
      <c r="CH386" s="1298"/>
      <c r="CI386" s="1298"/>
      <c r="CJ386" s="1298"/>
      <c r="CK386" s="1296"/>
      <c r="CL386" s="1363"/>
      <c r="CM386" s="1363"/>
      <c r="CN386" s="1363"/>
      <c r="CO386" s="1363"/>
      <c r="CP386" s="1362"/>
    </row>
    <row r="387" spans="1:94" ht="12.75" customHeight="1" outlineLevel="1">
      <c r="A387" s="1760"/>
      <c r="B387" s="1760"/>
      <c r="C387" s="1760"/>
      <c r="D387" s="1760"/>
      <c r="E387" s="1760"/>
      <c r="F387" s="1760"/>
      <c r="G387" s="1760"/>
      <c r="H387" s="1760"/>
      <c r="I387" s="1760"/>
      <c r="J387" s="1760"/>
      <c r="K387" s="1760"/>
      <c r="L387" s="1760"/>
      <c r="M387" s="1760"/>
      <c r="N387" s="1760"/>
      <c r="O387" s="1760"/>
      <c r="P387" s="1760"/>
      <c r="Q387" s="1760"/>
      <c r="R387" s="1760"/>
      <c r="S387" s="1760"/>
      <c r="T387" s="1760"/>
      <c r="U387" s="1760"/>
      <c r="V387" s="1760"/>
      <c r="W387" s="1760"/>
      <c r="X387" s="1760"/>
      <c r="Y387" s="1760"/>
      <c r="Z387" s="1760"/>
      <c r="AA387" s="1760"/>
      <c r="AB387" s="1760"/>
      <c r="AC387" s="1760"/>
      <c r="AD387" s="1760"/>
      <c r="AG387" s="1364"/>
      <c r="AH387" s="1298"/>
      <c r="AI387" s="1298"/>
      <c r="AJ387" s="1298"/>
      <c r="AK387" s="1298"/>
      <c r="AL387" s="1298"/>
      <c r="AM387" s="1298"/>
      <c r="AN387" s="1298"/>
      <c r="AO387" s="1298"/>
      <c r="AP387" s="1298"/>
      <c r="AQ387" s="1296"/>
      <c r="AR387" s="1361"/>
      <c r="AS387" s="1361"/>
      <c r="AT387" s="1361"/>
      <c r="AU387" s="1361"/>
      <c r="AV387" s="1362"/>
      <c r="AX387" s="1364"/>
      <c r="AY387" s="1298"/>
      <c r="AZ387" s="1298"/>
      <c r="BA387" s="1298"/>
      <c r="BB387" s="1298"/>
      <c r="BC387" s="1298"/>
      <c r="BD387" s="1298"/>
      <c r="BE387" s="1296"/>
      <c r="BF387" s="1361"/>
      <c r="BG387" s="1361"/>
      <c r="BH387" s="1361"/>
      <c r="BI387" s="1361"/>
      <c r="BJ387" s="1362"/>
      <c r="BM387" s="1364"/>
      <c r="BN387" s="1298"/>
      <c r="BO387" s="1298"/>
      <c r="BP387" s="1298"/>
      <c r="BQ387" s="1298"/>
      <c r="BR387" s="1298"/>
      <c r="BS387" s="1298"/>
      <c r="BT387" s="1298"/>
      <c r="BU387" s="1298"/>
      <c r="BV387" s="1298"/>
      <c r="BW387" s="1296"/>
      <c r="BX387" s="1361"/>
      <c r="BY387" s="1361"/>
      <c r="BZ387" s="1361"/>
      <c r="CA387" s="1361"/>
      <c r="CB387" s="1362"/>
      <c r="CD387" s="1364"/>
      <c r="CE387" s="1298"/>
      <c r="CF387" s="1298"/>
      <c r="CG387" s="1298"/>
      <c r="CH387" s="1298"/>
      <c r="CI387" s="1298"/>
      <c r="CJ387" s="1298"/>
      <c r="CK387" s="1296"/>
      <c r="CL387" s="1361"/>
      <c r="CM387" s="1361"/>
      <c r="CN387" s="1361"/>
      <c r="CO387" s="1361"/>
      <c r="CP387" s="1362"/>
    </row>
    <row r="388" spans="1:94" ht="12.75" customHeight="1" outlineLevel="1">
      <c r="A388" s="1760"/>
      <c r="B388" s="1760"/>
      <c r="C388" s="1760"/>
      <c r="D388" s="1760"/>
      <c r="E388" s="1760"/>
      <c r="F388" s="1760"/>
      <c r="G388" s="1760"/>
      <c r="H388" s="1760"/>
      <c r="I388" s="1760"/>
      <c r="J388" s="1760"/>
      <c r="K388" s="1760"/>
      <c r="L388" s="1760"/>
      <c r="M388" s="1760"/>
      <c r="N388" s="1760"/>
      <c r="O388" s="1760"/>
      <c r="P388" s="1760"/>
      <c r="Q388" s="1760"/>
      <c r="R388" s="1760"/>
      <c r="S388" s="1760"/>
      <c r="T388" s="1760"/>
      <c r="U388" s="1760"/>
      <c r="V388" s="1760"/>
      <c r="W388" s="1760"/>
      <c r="X388" s="1760"/>
      <c r="Y388" s="1760"/>
      <c r="Z388" s="1760"/>
      <c r="AA388" s="1760"/>
      <c r="AB388" s="1760"/>
      <c r="AC388" s="1760"/>
      <c r="AD388" s="1760"/>
      <c r="AG388" s="1369"/>
      <c r="AH388" s="1298"/>
      <c r="AI388" s="1298"/>
      <c r="AJ388" s="1298"/>
      <c r="AK388" s="1298"/>
      <c r="AL388" s="1298"/>
      <c r="AM388" s="1298"/>
      <c r="AN388" s="1298"/>
      <c r="AO388" s="1298"/>
      <c r="AP388" s="1298"/>
      <c r="AQ388" s="1296"/>
      <c r="AR388" s="1363"/>
      <c r="AS388" s="1363"/>
      <c r="AT388" s="1363"/>
      <c r="AU388" s="1363"/>
      <c r="AV388" s="1362"/>
      <c r="AX388" s="1369"/>
      <c r="AY388" s="1298"/>
      <c r="AZ388" s="1298"/>
      <c r="BA388" s="1298"/>
      <c r="BB388" s="1298"/>
      <c r="BC388" s="1298"/>
      <c r="BD388" s="1298"/>
      <c r="BE388" s="1296"/>
      <c r="BF388" s="1363"/>
      <c r="BG388" s="1363"/>
      <c r="BH388" s="1363"/>
      <c r="BI388" s="1363"/>
      <c r="BJ388" s="1362"/>
      <c r="BM388" s="1369"/>
      <c r="BN388" s="1298"/>
      <c r="BO388" s="1298"/>
      <c r="BP388" s="1298"/>
      <c r="BQ388" s="1298"/>
      <c r="BR388" s="1298"/>
      <c r="BS388" s="1298"/>
      <c r="BT388" s="1298"/>
      <c r="BU388" s="1298"/>
      <c r="BV388" s="1298"/>
      <c r="BW388" s="1296"/>
      <c r="BX388" s="1363"/>
      <c r="BY388" s="1363"/>
      <c r="BZ388" s="1363"/>
      <c r="CA388" s="1363"/>
      <c r="CB388" s="1362"/>
      <c r="CD388" s="1369"/>
      <c r="CE388" s="1298"/>
      <c r="CF388" s="1298"/>
      <c r="CG388" s="1298"/>
      <c r="CH388" s="1298"/>
      <c r="CI388" s="1298"/>
      <c r="CJ388" s="1298"/>
      <c r="CK388" s="1296"/>
      <c r="CL388" s="1363"/>
      <c r="CM388" s="1363"/>
      <c r="CN388" s="1363"/>
      <c r="CO388" s="1363"/>
      <c r="CP388" s="1362"/>
    </row>
    <row r="389" spans="1:94" ht="12.75" customHeight="1" outlineLevel="1">
      <c r="A389" s="1760"/>
      <c r="B389" s="1760"/>
      <c r="C389" s="1760"/>
      <c r="D389" s="1760"/>
      <c r="E389" s="1760"/>
      <c r="F389" s="1760"/>
      <c r="G389" s="1760"/>
      <c r="H389" s="1760"/>
      <c r="I389" s="1760"/>
      <c r="J389" s="1760"/>
      <c r="K389" s="1760"/>
      <c r="L389" s="1760"/>
      <c r="M389" s="1760"/>
      <c r="N389" s="1760"/>
      <c r="O389" s="1760"/>
      <c r="P389" s="1760"/>
      <c r="Q389" s="1760"/>
      <c r="R389" s="1760"/>
      <c r="S389" s="1760"/>
      <c r="T389" s="1760"/>
      <c r="U389" s="1760"/>
      <c r="V389" s="1760"/>
      <c r="W389" s="1760"/>
      <c r="X389" s="1760"/>
      <c r="Y389" s="1760"/>
      <c r="Z389" s="1760"/>
      <c r="AA389" s="1760"/>
      <c r="AB389" s="1760"/>
      <c r="AC389" s="1760"/>
      <c r="AD389" s="1760"/>
      <c r="AG389" s="1364"/>
      <c r="AH389" s="1298"/>
      <c r="AI389" s="1298"/>
      <c r="AJ389" s="1298"/>
      <c r="AK389" s="1298"/>
      <c r="AL389" s="1298"/>
      <c r="AM389" s="1298"/>
      <c r="AN389" s="1298"/>
      <c r="AO389" s="1298"/>
      <c r="AP389" s="1298"/>
      <c r="AQ389" s="1296"/>
      <c r="AR389" s="1361"/>
      <c r="AS389" s="1361"/>
      <c r="AT389" s="1361"/>
      <c r="AU389" s="1361"/>
      <c r="AV389" s="1362"/>
      <c r="AX389" s="1364"/>
      <c r="AY389" s="1298"/>
      <c r="AZ389" s="1298"/>
      <c r="BA389" s="1298"/>
      <c r="BB389" s="1298"/>
      <c r="BC389" s="1298"/>
      <c r="BD389" s="1298"/>
      <c r="BE389" s="1296"/>
      <c r="BF389" s="1361"/>
      <c r="BG389" s="1361"/>
      <c r="BH389" s="1361"/>
      <c r="BI389" s="1361"/>
      <c r="BJ389" s="1362"/>
      <c r="BM389" s="1364"/>
      <c r="BN389" s="1298"/>
      <c r="BO389" s="1298"/>
      <c r="BP389" s="1298"/>
      <c r="BQ389" s="1298"/>
      <c r="BR389" s="1298"/>
      <c r="BS389" s="1298"/>
      <c r="BT389" s="1298"/>
      <c r="BU389" s="1298"/>
      <c r="BV389" s="1298"/>
      <c r="BW389" s="1296"/>
      <c r="BX389" s="1361"/>
      <c r="BY389" s="1361"/>
      <c r="BZ389" s="1361"/>
      <c r="CA389" s="1361"/>
      <c r="CB389" s="1362"/>
      <c r="CD389" s="1364"/>
      <c r="CE389" s="1298"/>
      <c r="CF389" s="1298"/>
      <c r="CG389" s="1298"/>
      <c r="CH389" s="1298"/>
      <c r="CI389" s="1298"/>
      <c r="CJ389" s="1298"/>
      <c r="CK389" s="1296"/>
      <c r="CL389" s="1361"/>
      <c r="CM389" s="1361"/>
      <c r="CN389" s="1361"/>
      <c r="CO389" s="1361"/>
      <c r="CP389" s="1362"/>
    </row>
    <row r="390" spans="1:94" ht="12.75" customHeight="1" outlineLevel="1">
      <c r="A390" s="1760"/>
      <c r="B390" s="1760"/>
      <c r="C390" s="1760"/>
      <c r="D390" s="1760"/>
      <c r="E390" s="1760"/>
      <c r="F390" s="1760"/>
      <c r="G390" s="1760"/>
      <c r="H390" s="1760"/>
      <c r="I390" s="1760"/>
      <c r="J390" s="1760"/>
      <c r="K390" s="1760"/>
      <c r="L390" s="1760"/>
      <c r="M390" s="1760"/>
      <c r="N390" s="1760"/>
      <c r="O390" s="1760"/>
      <c r="P390" s="1760"/>
      <c r="Q390" s="1760"/>
      <c r="R390" s="1760"/>
      <c r="S390" s="1760"/>
      <c r="T390" s="1760"/>
      <c r="U390" s="1760"/>
      <c r="V390" s="1760"/>
      <c r="W390" s="1760"/>
      <c r="X390" s="1760"/>
      <c r="Y390" s="1760"/>
      <c r="Z390" s="1760"/>
      <c r="AA390" s="1760"/>
      <c r="AB390" s="1760"/>
      <c r="AC390" s="1760"/>
      <c r="AD390" s="1760"/>
      <c r="AG390" s="1369"/>
      <c r="AH390" s="1298"/>
      <c r="AI390" s="1298"/>
      <c r="AJ390" s="1298"/>
      <c r="AK390" s="1298"/>
      <c r="AL390" s="1298"/>
      <c r="AM390" s="1298"/>
      <c r="AN390" s="1298"/>
      <c r="AO390" s="1298"/>
      <c r="AP390" s="1298"/>
      <c r="AQ390" s="1296"/>
      <c r="AR390" s="1363"/>
      <c r="AS390" s="1363"/>
      <c r="AT390" s="1363"/>
      <c r="AU390" s="1363"/>
      <c r="AV390" s="1362"/>
      <c r="AX390" s="1369"/>
      <c r="AY390" s="1298"/>
      <c r="AZ390" s="1298"/>
      <c r="BA390" s="1298"/>
      <c r="BB390" s="1298"/>
      <c r="BC390" s="1298"/>
      <c r="BD390" s="1298"/>
      <c r="BE390" s="1296"/>
      <c r="BF390" s="1363"/>
      <c r="BG390" s="1363"/>
      <c r="BH390" s="1363"/>
      <c r="BI390" s="1363"/>
      <c r="BJ390" s="1362"/>
      <c r="BM390" s="1369"/>
      <c r="BN390" s="1298"/>
      <c r="BO390" s="1298"/>
      <c r="BP390" s="1298"/>
      <c r="BQ390" s="1298"/>
      <c r="BR390" s="1298"/>
      <c r="BS390" s="1298"/>
      <c r="BT390" s="1298"/>
      <c r="BU390" s="1298"/>
      <c r="BV390" s="1298"/>
      <c r="BW390" s="1296"/>
      <c r="BX390" s="1363"/>
      <c r="BY390" s="1363"/>
      <c r="BZ390" s="1363"/>
      <c r="CA390" s="1363"/>
      <c r="CB390" s="1362"/>
      <c r="CD390" s="1369"/>
      <c r="CE390" s="1298"/>
      <c r="CF390" s="1298"/>
      <c r="CG390" s="1298"/>
      <c r="CH390" s="1298"/>
      <c r="CI390" s="1298"/>
      <c r="CJ390" s="1298"/>
      <c r="CK390" s="1296"/>
      <c r="CL390" s="1363"/>
      <c r="CM390" s="1363"/>
      <c r="CN390" s="1363"/>
      <c r="CO390" s="1363"/>
      <c r="CP390" s="1362"/>
    </row>
    <row r="391" spans="1:94" ht="12.75" customHeight="1" outlineLevel="1">
      <c r="A391" s="1760"/>
      <c r="B391" s="1760"/>
      <c r="C391" s="1760"/>
      <c r="D391" s="1760"/>
      <c r="E391" s="1760"/>
      <c r="F391" s="1760"/>
      <c r="G391" s="1760"/>
      <c r="H391" s="1760"/>
      <c r="I391" s="1760"/>
      <c r="J391" s="1760"/>
      <c r="K391" s="1760"/>
      <c r="L391" s="1760"/>
      <c r="M391" s="1760"/>
      <c r="N391" s="1760"/>
      <c r="O391" s="1760"/>
      <c r="P391" s="1760"/>
      <c r="Q391" s="1760"/>
      <c r="R391" s="1760"/>
      <c r="S391" s="1760"/>
      <c r="T391" s="1760"/>
      <c r="U391" s="1760"/>
      <c r="V391" s="1760"/>
      <c r="W391" s="1760"/>
      <c r="X391" s="1760"/>
      <c r="Y391" s="1760"/>
      <c r="Z391" s="1760"/>
      <c r="AA391" s="1760"/>
      <c r="AB391" s="1760"/>
      <c r="AC391" s="1760"/>
      <c r="AD391" s="1760"/>
      <c r="AG391" s="1364"/>
      <c r="AH391" s="1298"/>
      <c r="AI391" s="1298"/>
      <c r="AJ391" s="1298"/>
      <c r="AK391" s="1298"/>
      <c r="AL391" s="1298"/>
      <c r="AM391" s="1298"/>
      <c r="AN391" s="1298"/>
      <c r="AO391" s="1298"/>
      <c r="AP391" s="1298"/>
      <c r="AQ391" s="1296"/>
      <c r="AR391" s="1361"/>
      <c r="AS391" s="1361"/>
      <c r="AT391" s="1361"/>
      <c r="AU391" s="1361"/>
      <c r="AV391" s="1362"/>
      <c r="AX391" s="1364"/>
      <c r="AY391" s="1298"/>
      <c r="AZ391" s="1298"/>
      <c r="BA391" s="1298"/>
      <c r="BB391" s="1298"/>
      <c r="BC391" s="1298"/>
      <c r="BD391" s="1298"/>
      <c r="BE391" s="1296"/>
      <c r="BF391" s="1361"/>
      <c r="BG391" s="1361"/>
      <c r="BH391" s="1361"/>
      <c r="BI391" s="1361"/>
      <c r="BJ391" s="1362"/>
      <c r="BM391" s="1364"/>
      <c r="BN391" s="1298"/>
      <c r="BO391" s="1298"/>
      <c r="BP391" s="1298"/>
      <c r="BQ391" s="1298"/>
      <c r="BR391" s="1298"/>
      <c r="BS391" s="1298"/>
      <c r="BT391" s="1298"/>
      <c r="BU391" s="1298"/>
      <c r="BV391" s="1298"/>
      <c r="BW391" s="1296"/>
      <c r="BX391" s="1361"/>
      <c r="BY391" s="1361"/>
      <c r="BZ391" s="1361"/>
      <c r="CA391" s="1361"/>
      <c r="CB391" s="1362"/>
      <c r="CD391" s="1364"/>
      <c r="CE391" s="1298"/>
      <c r="CF391" s="1298"/>
      <c r="CG391" s="1298"/>
      <c r="CH391" s="1298"/>
      <c r="CI391" s="1298"/>
      <c r="CJ391" s="1298"/>
      <c r="CK391" s="1296"/>
      <c r="CL391" s="1361"/>
      <c r="CM391" s="1361"/>
      <c r="CN391" s="1361"/>
      <c r="CO391" s="1361"/>
      <c r="CP391" s="1362"/>
    </row>
    <row r="392" spans="1:94" ht="12.75" customHeight="1" outlineLevel="1">
      <c r="A392" s="1760"/>
      <c r="B392" s="1760"/>
      <c r="C392" s="1760"/>
      <c r="D392" s="1760"/>
      <c r="E392" s="1760"/>
      <c r="F392" s="1760"/>
      <c r="G392" s="1760"/>
      <c r="H392" s="1760"/>
      <c r="I392" s="1760"/>
      <c r="J392" s="1760"/>
      <c r="K392" s="1760"/>
      <c r="L392" s="1760"/>
      <c r="M392" s="1760"/>
      <c r="N392" s="1760"/>
      <c r="O392" s="1760"/>
      <c r="P392" s="1760"/>
      <c r="Q392" s="1760"/>
      <c r="R392" s="1760"/>
      <c r="S392" s="1760"/>
      <c r="T392" s="1760"/>
      <c r="U392" s="1760"/>
      <c r="V392" s="1760"/>
      <c r="W392" s="1760"/>
      <c r="X392" s="1760"/>
      <c r="Y392" s="1760"/>
      <c r="Z392" s="1760"/>
      <c r="AA392" s="1760"/>
      <c r="AB392" s="1760"/>
      <c r="AC392" s="1760"/>
      <c r="AD392" s="1760"/>
      <c r="AG392" s="1369"/>
      <c r="AH392" s="1298"/>
      <c r="AI392" s="1298"/>
      <c r="AJ392" s="1298"/>
      <c r="AK392" s="1298"/>
      <c r="AL392" s="1298"/>
      <c r="AM392" s="1298"/>
      <c r="AN392" s="1298"/>
      <c r="AO392" s="1298"/>
      <c r="AP392" s="1298"/>
      <c r="AQ392" s="1296"/>
      <c r="AR392" s="1363"/>
      <c r="AS392" s="1363"/>
      <c r="AT392" s="1363"/>
      <c r="AU392" s="1363"/>
      <c r="AV392" s="1362"/>
      <c r="AX392" s="1369"/>
      <c r="AY392" s="1298"/>
      <c r="AZ392" s="1298"/>
      <c r="BA392" s="1298"/>
      <c r="BB392" s="1298"/>
      <c r="BC392" s="1298"/>
      <c r="BD392" s="1298"/>
      <c r="BE392" s="1296"/>
      <c r="BF392" s="1363"/>
      <c r="BG392" s="1363"/>
      <c r="BH392" s="1363"/>
      <c r="BI392" s="1363"/>
      <c r="BJ392" s="1362"/>
      <c r="BM392" s="1369"/>
      <c r="BN392" s="1298"/>
      <c r="BO392" s="1298"/>
      <c r="BP392" s="1298"/>
      <c r="BQ392" s="1298"/>
      <c r="BR392" s="1298"/>
      <c r="BS392" s="1298"/>
      <c r="BT392" s="1298"/>
      <c r="BU392" s="1298"/>
      <c r="BV392" s="1298"/>
      <c r="BW392" s="1296"/>
      <c r="BX392" s="1363"/>
      <c r="BY392" s="1363"/>
      <c r="BZ392" s="1363"/>
      <c r="CA392" s="1363"/>
      <c r="CB392" s="1362"/>
      <c r="CD392" s="1369"/>
      <c r="CE392" s="1298"/>
      <c r="CF392" s="1298"/>
      <c r="CG392" s="1298"/>
      <c r="CH392" s="1298"/>
      <c r="CI392" s="1298"/>
      <c r="CJ392" s="1298"/>
      <c r="CK392" s="1296"/>
      <c r="CL392" s="1363"/>
      <c r="CM392" s="1363"/>
      <c r="CN392" s="1363"/>
      <c r="CO392" s="1363"/>
      <c r="CP392" s="1362"/>
    </row>
    <row r="393" spans="1:94" ht="12.75" customHeight="1" outlineLevel="1">
      <c r="A393" s="1760"/>
      <c r="B393" s="1760"/>
      <c r="C393" s="1760"/>
      <c r="D393" s="1760"/>
      <c r="E393" s="1760"/>
      <c r="F393" s="1760"/>
      <c r="G393" s="1760"/>
      <c r="H393" s="1760"/>
      <c r="I393" s="1760"/>
      <c r="J393" s="1760"/>
      <c r="K393" s="1760"/>
      <c r="L393" s="1760"/>
      <c r="M393" s="1760"/>
      <c r="N393" s="1760"/>
      <c r="O393" s="1760"/>
      <c r="P393" s="1760"/>
      <c r="Q393" s="1760"/>
      <c r="R393" s="1760"/>
      <c r="S393" s="1760"/>
      <c r="T393" s="1760"/>
      <c r="U393" s="1760"/>
      <c r="V393" s="1760"/>
      <c r="W393" s="1760"/>
      <c r="X393" s="1760"/>
      <c r="Y393" s="1760"/>
      <c r="Z393" s="1760"/>
      <c r="AA393" s="1760"/>
      <c r="AB393" s="1760"/>
      <c r="AC393" s="1760"/>
      <c r="AD393" s="1760"/>
      <c r="AG393" s="1364"/>
      <c r="AH393" s="1298"/>
      <c r="AI393" s="1298"/>
      <c r="AJ393" s="1298"/>
      <c r="AK393" s="1298"/>
      <c r="AL393" s="1298"/>
      <c r="AM393" s="1298"/>
      <c r="AN393" s="1298"/>
      <c r="AO393" s="1298"/>
      <c r="AP393" s="1298"/>
      <c r="AQ393" s="1296"/>
      <c r="AR393" s="1361"/>
      <c r="AS393" s="1361"/>
      <c r="AT393" s="1361"/>
      <c r="AU393" s="1361"/>
      <c r="AV393" s="1362"/>
      <c r="AX393" s="1364"/>
      <c r="AY393" s="1298"/>
      <c r="AZ393" s="1298"/>
      <c r="BA393" s="1298"/>
      <c r="BB393" s="1298"/>
      <c r="BC393" s="1298"/>
      <c r="BD393" s="1298"/>
      <c r="BE393" s="1296"/>
      <c r="BF393" s="1361"/>
      <c r="BG393" s="1361"/>
      <c r="BH393" s="1361"/>
      <c r="BI393" s="1361"/>
      <c r="BJ393" s="1362"/>
      <c r="BM393" s="1364"/>
      <c r="BN393" s="1298"/>
      <c r="BO393" s="1298"/>
      <c r="BP393" s="1298"/>
      <c r="BQ393" s="1298"/>
      <c r="BR393" s="1298"/>
      <c r="BS393" s="1298"/>
      <c r="BT393" s="1298"/>
      <c r="BU393" s="1298"/>
      <c r="BV393" s="1298"/>
      <c r="BW393" s="1296"/>
      <c r="BX393" s="1361"/>
      <c r="BY393" s="1361"/>
      <c r="BZ393" s="1361"/>
      <c r="CA393" s="1361"/>
      <c r="CB393" s="1362"/>
      <c r="CD393" s="1364"/>
      <c r="CE393" s="1298"/>
      <c r="CF393" s="1298"/>
      <c r="CG393" s="1298"/>
      <c r="CH393" s="1298"/>
      <c r="CI393" s="1298"/>
      <c r="CJ393" s="1298"/>
      <c r="CK393" s="1296"/>
      <c r="CL393" s="1361"/>
      <c r="CM393" s="1361"/>
      <c r="CN393" s="1361"/>
      <c r="CO393" s="1361"/>
      <c r="CP393" s="1362"/>
    </row>
    <row r="394" spans="1:94" ht="12.75" customHeight="1" outlineLevel="1">
      <c r="A394" s="1760"/>
      <c r="B394" s="1760"/>
      <c r="C394" s="1760"/>
      <c r="D394" s="1760"/>
      <c r="E394" s="1760"/>
      <c r="F394" s="1760"/>
      <c r="G394" s="1760"/>
      <c r="H394" s="1760"/>
      <c r="I394" s="1760"/>
      <c r="J394" s="1760"/>
      <c r="K394" s="1760"/>
      <c r="L394" s="1760"/>
      <c r="M394" s="1760"/>
      <c r="N394" s="1760"/>
      <c r="O394" s="1760"/>
      <c r="P394" s="1760"/>
      <c r="Q394" s="1760"/>
      <c r="R394" s="1760"/>
      <c r="S394" s="1760"/>
      <c r="T394" s="1760"/>
      <c r="U394" s="1760"/>
      <c r="V394" s="1760"/>
      <c r="W394" s="1760"/>
      <c r="X394" s="1760"/>
      <c r="Y394" s="1760"/>
      <c r="Z394" s="1760"/>
      <c r="AA394" s="1760"/>
      <c r="AB394" s="1760"/>
      <c r="AC394" s="1760"/>
      <c r="AD394" s="1760"/>
      <c r="AG394" s="1369"/>
      <c r="AH394" s="1298"/>
      <c r="AI394" s="1298"/>
      <c r="AJ394" s="1298"/>
      <c r="AK394" s="1298"/>
      <c r="AL394" s="1298"/>
      <c r="AM394" s="1298"/>
      <c r="AN394" s="1298"/>
      <c r="AO394" s="1298"/>
      <c r="AP394" s="1298"/>
      <c r="AQ394" s="1296"/>
      <c r="AR394" s="1363"/>
      <c r="AS394" s="1363"/>
      <c r="AT394" s="1363"/>
      <c r="AU394" s="1363"/>
      <c r="AV394" s="1362"/>
      <c r="AX394" s="1369"/>
      <c r="AY394" s="1298"/>
      <c r="AZ394" s="1298"/>
      <c r="BA394" s="1298"/>
      <c r="BB394" s="1298"/>
      <c r="BC394" s="1298"/>
      <c r="BD394" s="1298"/>
      <c r="BE394" s="1296"/>
      <c r="BF394" s="1363"/>
      <c r="BG394" s="1363"/>
      <c r="BH394" s="1363"/>
      <c r="BI394" s="1363"/>
      <c r="BJ394" s="1362"/>
      <c r="BM394" s="1369"/>
      <c r="BN394" s="1298"/>
      <c r="BO394" s="1298"/>
      <c r="BP394" s="1298"/>
      <c r="BQ394" s="1298"/>
      <c r="BR394" s="1298"/>
      <c r="BS394" s="1298"/>
      <c r="BT394" s="1298"/>
      <c r="BU394" s="1298"/>
      <c r="BV394" s="1298"/>
      <c r="BW394" s="1296"/>
      <c r="BX394" s="1363"/>
      <c r="BY394" s="1363"/>
      <c r="BZ394" s="1363"/>
      <c r="CA394" s="1363"/>
      <c r="CB394" s="1362"/>
      <c r="CD394" s="1369"/>
      <c r="CE394" s="1298"/>
      <c r="CF394" s="1298"/>
      <c r="CG394" s="1298"/>
      <c r="CH394" s="1298"/>
      <c r="CI394" s="1298"/>
      <c r="CJ394" s="1298"/>
      <c r="CK394" s="1296"/>
      <c r="CL394" s="1363"/>
      <c r="CM394" s="1363"/>
      <c r="CN394" s="1363"/>
      <c r="CO394" s="1363"/>
      <c r="CP394" s="1362"/>
    </row>
    <row r="395" spans="1:94" ht="12.75" customHeight="1" outlineLevel="1">
      <c r="A395" s="1760"/>
      <c r="B395" s="1760"/>
      <c r="C395" s="1760"/>
      <c r="D395" s="1760"/>
      <c r="E395" s="1760"/>
      <c r="F395" s="1760"/>
      <c r="G395" s="1760"/>
      <c r="H395" s="1760"/>
      <c r="I395" s="1760"/>
      <c r="J395" s="1760"/>
      <c r="K395" s="1760"/>
      <c r="L395" s="1760"/>
      <c r="M395" s="1760"/>
      <c r="N395" s="1760"/>
      <c r="O395" s="1760"/>
      <c r="P395" s="1760"/>
      <c r="Q395" s="1760"/>
      <c r="R395" s="1760"/>
      <c r="S395" s="1760"/>
      <c r="T395" s="1760"/>
      <c r="U395" s="1760"/>
      <c r="V395" s="1760"/>
      <c r="W395" s="1760"/>
      <c r="X395" s="1760"/>
      <c r="Y395" s="1760"/>
      <c r="Z395" s="1760"/>
      <c r="AA395" s="1760"/>
      <c r="AB395" s="1760"/>
      <c r="AC395" s="1760"/>
      <c r="AD395" s="1760"/>
      <c r="AG395" s="1364"/>
      <c r="AH395" s="1298"/>
      <c r="AI395" s="1298"/>
      <c r="AJ395" s="1298"/>
      <c r="AK395" s="1298"/>
      <c r="AL395" s="1298"/>
      <c r="AM395" s="1298"/>
      <c r="AN395" s="1298"/>
      <c r="AO395" s="1298"/>
      <c r="AP395" s="1298"/>
      <c r="AQ395" s="1296"/>
      <c r="AR395" s="1361"/>
      <c r="AS395" s="1361"/>
      <c r="AT395" s="1361"/>
      <c r="AU395" s="1361"/>
      <c r="AV395" s="1362"/>
      <c r="AX395" s="1364"/>
      <c r="AY395" s="1298"/>
      <c r="AZ395" s="1298"/>
      <c r="BA395" s="1298"/>
      <c r="BB395" s="1298"/>
      <c r="BC395" s="1298"/>
      <c r="BD395" s="1298"/>
      <c r="BE395" s="1296"/>
      <c r="BF395" s="1361"/>
      <c r="BG395" s="1361"/>
      <c r="BH395" s="1361"/>
      <c r="BI395" s="1361"/>
      <c r="BJ395" s="1362"/>
      <c r="BM395" s="1364"/>
      <c r="BN395" s="1298"/>
      <c r="BO395" s="1298"/>
      <c r="BP395" s="1298"/>
      <c r="BQ395" s="1298"/>
      <c r="BR395" s="1298"/>
      <c r="BS395" s="1298"/>
      <c r="BT395" s="1298"/>
      <c r="BU395" s="1298"/>
      <c r="BV395" s="1298"/>
      <c r="BW395" s="1296"/>
      <c r="BX395" s="1361"/>
      <c r="BY395" s="1361"/>
      <c r="BZ395" s="1361"/>
      <c r="CA395" s="1361"/>
      <c r="CB395" s="1362"/>
      <c r="CD395" s="1364"/>
      <c r="CE395" s="1298"/>
      <c r="CF395" s="1298"/>
      <c r="CG395" s="1298"/>
      <c r="CH395" s="1298"/>
      <c r="CI395" s="1298"/>
      <c r="CJ395" s="1298"/>
      <c r="CK395" s="1296"/>
      <c r="CL395" s="1361"/>
      <c r="CM395" s="1361"/>
      <c r="CN395" s="1361"/>
      <c r="CO395" s="1361"/>
      <c r="CP395" s="1362"/>
    </row>
    <row r="396" spans="1:94" ht="12.75" customHeight="1" outlineLevel="1">
      <c r="A396" s="1760"/>
      <c r="B396" s="1760"/>
      <c r="C396" s="1760"/>
      <c r="D396" s="1760"/>
      <c r="E396" s="1760"/>
      <c r="F396" s="1760"/>
      <c r="G396" s="1760"/>
      <c r="H396" s="1760"/>
      <c r="I396" s="1760"/>
      <c r="J396" s="1760"/>
      <c r="K396" s="1760"/>
      <c r="L396" s="1760"/>
      <c r="M396" s="1760"/>
      <c r="N396" s="1760"/>
      <c r="O396" s="1760"/>
      <c r="P396" s="1760"/>
      <c r="Q396" s="1760"/>
      <c r="R396" s="1760"/>
      <c r="S396" s="1760"/>
      <c r="T396" s="1760"/>
      <c r="U396" s="1760"/>
      <c r="V396" s="1760"/>
      <c r="W396" s="1760"/>
      <c r="X396" s="1760"/>
      <c r="Y396" s="1760"/>
      <c r="Z396" s="1760"/>
      <c r="AA396" s="1760"/>
      <c r="AB396" s="1760"/>
      <c r="AC396" s="1760"/>
      <c r="AD396" s="1760"/>
      <c r="AG396" s="1369"/>
      <c r="AH396" s="1298"/>
      <c r="AI396" s="1298"/>
      <c r="AJ396" s="1298"/>
      <c r="AK396" s="1298"/>
      <c r="AL396" s="1298"/>
      <c r="AM396" s="1298"/>
      <c r="AN396" s="1298"/>
      <c r="AO396" s="1298"/>
      <c r="AP396" s="1298"/>
      <c r="AQ396" s="1296"/>
      <c r="AR396" s="1363"/>
      <c r="AS396" s="1363"/>
      <c r="AT396" s="1363"/>
      <c r="AU396" s="1363"/>
      <c r="AV396" s="1362"/>
      <c r="AX396" s="1369"/>
      <c r="AY396" s="1298"/>
      <c r="AZ396" s="1298"/>
      <c r="BA396" s="1298"/>
      <c r="BB396" s="1298"/>
      <c r="BC396" s="1298"/>
      <c r="BD396" s="1298"/>
      <c r="BE396" s="1296"/>
      <c r="BF396" s="1363"/>
      <c r="BG396" s="1363"/>
      <c r="BH396" s="1363"/>
      <c r="BI396" s="1363"/>
      <c r="BJ396" s="1362"/>
      <c r="BM396" s="1369"/>
      <c r="BN396" s="1298"/>
      <c r="BO396" s="1298"/>
      <c r="BP396" s="1298"/>
      <c r="BQ396" s="1298"/>
      <c r="BR396" s="1298"/>
      <c r="BS396" s="1298"/>
      <c r="BT396" s="1298"/>
      <c r="BU396" s="1298"/>
      <c r="BV396" s="1298"/>
      <c r="BW396" s="1296"/>
      <c r="BX396" s="1363"/>
      <c r="BY396" s="1363"/>
      <c r="BZ396" s="1363"/>
      <c r="CA396" s="1363"/>
      <c r="CB396" s="1362"/>
      <c r="CD396" s="1369"/>
      <c r="CE396" s="1298"/>
      <c r="CF396" s="1298"/>
      <c r="CG396" s="1298"/>
      <c r="CH396" s="1298"/>
      <c r="CI396" s="1298"/>
      <c r="CJ396" s="1298"/>
      <c r="CK396" s="1296"/>
      <c r="CL396" s="1363"/>
      <c r="CM396" s="1363"/>
      <c r="CN396" s="1363"/>
      <c r="CO396" s="1363"/>
      <c r="CP396" s="1362"/>
    </row>
    <row r="397" spans="1:94" ht="12.75" customHeight="1" outlineLevel="1">
      <c r="A397" s="1760"/>
      <c r="B397" s="1760"/>
      <c r="C397" s="1760"/>
      <c r="D397" s="1760"/>
      <c r="E397" s="1760"/>
      <c r="F397" s="1760"/>
      <c r="G397" s="1760"/>
      <c r="H397" s="1760"/>
      <c r="I397" s="1760"/>
      <c r="J397" s="1760"/>
      <c r="K397" s="1760"/>
      <c r="L397" s="1760"/>
      <c r="M397" s="1760"/>
      <c r="N397" s="1760"/>
      <c r="O397" s="1760"/>
      <c r="P397" s="1760"/>
      <c r="Q397" s="1760"/>
      <c r="R397" s="1760"/>
      <c r="S397" s="1760"/>
      <c r="T397" s="1760"/>
      <c r="U397" s="1760"/>
      <c r="V397" s="1760"/>
      <c r="W397" s="1760"/>
      <c r="X397" s="1760"/>
      <c r="Y397" s="1760"/>
      <c r="Z397" s="1760"/>
      <c r="AA397" s="1760"/>
      <c r="AB397" s="1760"/>
      <c r="AC397" s="1760"/>
      <c r="AD397" s="1760"/>
      <c r="AG397" s="1364"/>
      <c r="AH397" s="1298"/>
      <c r="AI397" s="1298"/>
      <c r="AJ397" s="1298"/>
      <c r="AK397" s="1298"/>
      <c r="AL397" s="1298"/>
      <c r="AM397" s="1298"/>
      <c r="AN397" s="1298"/>
      <c r="AO397" s="1298"/>
      <c r="AP397" s="1298"/>
      <c r="AQ397" s="1296"/>
      <c r="AR397" s="1361"/>
      <c r="AS397" s="1361"/>
      <c r="AT397" s="1361"/>
      <c r="AU397" s="1361"/>
      <c r="AV397" s="1362"/>
      <c r="AX397" s="1364"/>
      <c r="AY397" s="1298"/>
      <c r="AZ397" s="1298"/>
      <c r="BA397" s="1298"/>
      <c r="BB397" s="1298"/>
      <c r="BC397" s="1298"/>
      <c r="BD397" s="1298"/>
      <c r="BE397" s="1296"/>
      <c r="BF397" s="1361"/>
      <c r="BG397" s="1361"/>
      <c r="BH397" s="1361"/>
      <c r="BI397" s="1361"/>
      <c r="BJ397" s="1362"/>
      <c r="BM397" s="1364"/>
      <c r="BN397" s="1298"/>
      <c r="BO397" s="1298"/>
      <c r="BP397" s="1298"/>
      <c r="BQ397" s="1298"/>
      <c r="BR397" s="1298"/>
      <c r="BS397" s="1298"/>
      <c r="BT397" s="1298"/>
      <c r="BU397" s="1298"/>
      <c r="BV397" s="1298"/>
      <c r="BW397" s="1296"/>
      <c r="BX397" s="1361"/>
      <c r="BY397" s="1361"/>
      <c r="BZ397" s="1361"/>
      <c r="CA397" s="1361"/>
      <c r="CB397" s="1362"/>
      <c r="CD397" s="1364"/>
      <c r="CE397" s="1298"/>
      <c r="CF397" s="1298"/>
      <c r="CG397" s="1298"/>
      <c r="CH397" s="1298"/>
      <c r="CI397" s="1298"/>
      <c r="CJ397" s="1298"/>
      <c r="CK397" s="1296"/>
      <c r="CL397" s="1361"/>
      <c r="CM397" s="1361"/>
      <c r="CN397" s="1361"/>
      <c r="CO397" s="1361"/>
      <c r="CP397" s="1362"/>
    </row>
    <row r="398" spans="1:94" ht="12.75" customHeight="1" outlineLevel="1">
      <c r="A398" s="1760"/>
      <c r="B398" s="1760"/>
      <c r="C398" s="1760"/>
      <c r="D398" s="1760"/>
      <c r="E398" s="1760"/>
      <c r="F398" s="1760"/>
      <c r="G398" s="1760"/>
      <c r="H398" s="1760"/>
      <c r="I398" s="1760"/>
      <c r="J398" s="1760"/>
      <c r="K398" s="1760"/>
      <c r="L398" s="1760"/>
      <c r="M398" s="1760"/>
      <c r="N398" s="1760"/>
      <c r="O398" s="1760"/>
      <c r="P398" s="1760"/>
      <c r="Q398" s="1760"/>
      <c r="R398" s="1760"/>
      <c r="S398" s="1760"/>
      <c r="T398" s="1760"/>
      <c r="U398" s="1760"/>
      <c r="V398" s="1760"/>
      <c r="W398" s="1760"/>
      <c r="X398" s="1760"/>
      <c r="Y398" s="1760"/>
      <c r="Z398" s="1760"/>
      <c r="AA398" s="1760"/>
      <c r="AB398" s="1760"/>
      <c r="AC398" s="1760"/>
      <c r="AD398" s="1760"/>
      <c r="AG398" s="1369"/>
      <c r="AH398" s="1298"/>
      <c r="AI398" s="1298"/>
      <c r="AJ398" s="1298"/>
      <c r="AK398" s="1298"/>
      <c r="AL398" s="1298"/>
      <c r="AM398" s="1298"/>
      <c r="AN398" s="1298"/>
      <c r="AO398" s="1298"/>
      <c r="AP398" s="1298"/>
      <c r="AQ398" s="1296"/>
      <c r="AR398" s="1363"/>
      <c r="AS398" s="1363"/>
      <c r="AT398" s="1363"/>
      <c r="AU398" s="1363"/>
      <c r="AV398" s="1362"/>
      <c r="AX398" s="1369"/>
      <c r="AY398" s="1298"/>
      <c r="AZ398" s="1298"/>
      <c r="BA398" s="1298"/>
      <c r="BB398" s="1298"/>
      <c r="BC398" s="1298"/>
      <c r="BD398" s="1298"/>
      <c r="BE398" s="1296"/>
      <c r="BF398" s="1363"/>
      <c r="BG398" s="1363"/>
      <c r="BH398" s="1363"/>
      <c r="BI398" s="1363"/>
      <c r="BJ398" s="1362"/>
      <c r="BM398" s="1369"/>
      <c r="BN398" s="1298"/>
      <c r="BO398" s="1298"/>
      <c r="BP398" s="1298"/>
      <c r="BQ398" s="1298"/>
      <c r="BR398" s="1298"/>
      <c r="BS398" s="1298"/>
      <c r="BT398" s="1298"/>
      <c r="BU398" s="1298"/>
      <c r="BV398" s="1298"/>
      <c r="BW398" s="1296"/>
      <c r="BX398" s="1363"/>
      <c r="BY398" s="1363"/>
      <c r="BZ398" s="1363"/>
      <c r="CA398" s="1363"/>
      <c r="CB398" s="1362"/>
      <c r="CD398" s="1369"/>
      <c r="CE398" s="1298"/>
      <c r="CF398" s="1298"/>
      <c r="CG398" s="1298"/>
      <c r="CH398" s="1298"/>
      <c r="CI398" s="1298"/>
      <c r="CJ398" s="1298"/>
      <c r="CK398" s="1296"/>
      <c r="CL398" s="1363"/>
      <c r="CM398" s="1363"/>
      <c r="CN398" s="1363"/>
      <c r="CO398" s="1363"/>
      <c r="CP398" s="1362"/>
    </row>
    <row r="399" spans="1:94" ht="12.75" customHeight="1" outlineLevel="1">
      <c r="A399" s="1760"/>
      <c r="B399" s="1760"/>
      <c r="C399" s="1760"/>
      <c r="D399" s="1760"/>
      <c r="E399" s="1760"/>
      <c r="F399" s="1760"/>
      <c r="G399" s="1760"/>
      <c r="H399" s="1760"/>
      <c r="I399" s="1760"/>
      <c r="J399" s="1760"/>
      <c r="K399" s="1760"/>
      <c r="L399" s="1760"/>
      <c r="M399" s="1760"/>
      <c r="N399" s="1760"/>
      <c r="O399" s="1760"/>
      <c r="P399" s="1760"/>
      <c r="Q399" s="1760"/>
      <c r="R399" s="1760"/>
      <c r="S399" s="1760"/>
      <c r="T399" s="1760"/>
      <c r="U399" s="1760"/>
      <c r="V399" s="1760"/>
      <c r="W399" s="1760"/>
      <c r="X399" s="1760"/>
      <c r="Y399" s="1760"/>
      <c r="Z399" s="1760"/>
      <c r="AA399" s="1760"/>
      <c r="AB399" s="1760"/>
      <c r="AC399" s="1760"/>
      <c r="AD399" s="1760"/>
      <c r="AG399" s="1364"/>
      <c r="AH399" s="1298"/>
      <c r="AI399" s="1298"/>
      <c r="AJ399" s="1298"/>
      <c r="AK399" s="1298"/>
      <c r="AL399" s="1298"/>
      <c r="AM399" s="1298"/>
      <c r="AN399" s="1298"/>
      <c r="AO399" s="1298"/>
      <c r="AP399" s="1298"/>
      <c r="AQ399" s="1296"/>
      <c r="AR399" s="1361"/>
      <c r="AS399" s="1361"/>
      <c r="AT399" s="1361"/>
      <c r="AU399" s="1361"/>
      <c r="AV399" s="1362"/>
      <c r="AX399" s="1364"/>
      <c r="AY399" s="1298"/>
      <c r="AZ399" s="1298"/>
      <c r="BA399" s="1298"/>
      <c r="BB399" s="1298"/>
      <c r="BC399" s="1298"/>
      <c r="BD399" s="1298"/>
      <c r="BE399" s="1296"/>
      <c r="BF399" s="1361"/>
      <c r="BG399" s="1361"/>
      <c r="BH399" s="1361"/>
      <c r="BI399" s="1361"/>
      <c r="BJ399" s="1362"/>
      <c r="BM399" s="1364"/>
      <c r="BN399" s="1298"/>
      <c r="BO399" s="1298"/>
      <c r="BP399" s="1298"/>
      <c r="BQ399" s="1298"/>
      <c r="BR399" s="1298"/>
      <c r="BS399" s="1298"/>
      <c r="BT399" s="1298"/>
      <c r="BU399" s="1298"/>
      <c r="BV399" s="1298"/>
      <c r="BW399" s="1296"/>
      <c r="BX399" s="1361"/>
      <c r="BY399" s="1361"/>
      <c r="BZ399" s="1361"/>
      <c r="CA399" s="1361"/>
      <c r="CB399" s="1362"/>
      <c r="CD399" s="1364"/>
      <c r="CE399" s="1298"/>
      <c r="CF399" s="1298"/>
      <c r="CG399" s="1298"/>
      <c r="CH399" s="1298"/>
      <c r="CI399" s="1298"/>
      <c r="CJ399" s="1298"/>
      <c r="CK399" s="1296"/>
      <c r="CL399" s="1361"/>
      <c r="CM399" s="1361"/>
      <c r="CN399" s="1361"/>
      <c r="CO399" s="1361"/>
      <c r="CP399" s="1362"/>
    </row>
    <row r="400" spans="1:94" ht="12.75" customHeight="1" outlineLevel="1">
      <c r="A400" s="1760"/>
      <c r="B400" s="1760"/>
      <c r="C400" s="1760"/>
      <c r="D400" s="1760"/>
      <c r="E400" s="1760"/>
      <c r="F400" s="1760"/>
      <c r="G400" s="1760"/>
      <c r="H400" s="1760"/>
      <c r="I400" s="1760"/>
      <c r="J400" s="1760"/>
      <c r="K400" s="1760"/>
      <c r="L400" s="1760"/>
      <c r="M400" s="1760"/>
      <c r="N400" s="1760"/>
      <c r="O400" s="1760"/>
      <c r="P400" s="1760"/>
      <c r="Q400" s="1760"/>
      <c r="R400" s="1760"/>
      <c r="S400" s="1760"/>
      <c r="T400" s="1760"/>
      <c r="U400" s="1760"/>
      <c r="V400" s="1760"/>
      <c r="W400" s="1760"/>
      <c r="X400" s="1760"/>
      <c r="Y400" s="1760"/>
      <c r="Z400" s="1760"/>
      <c r="AA400" s="1760"/>
      <c r="AB400" s="1760"/>
      <c r="AC400" s="1760"/>
      <c r="AD400" s="1760"/>
      <c r="AG400" s="1386"/>
      <c r="AH400" s="1387"/>
      <c r="AI400" s="1387"/>
      <c r="AJ400" s="1387"/>
      <c r="AK400" s="1387"/>
      <c r="AL400" s="1387"/>
      <c r="AM400" s="1387"/>
      <c r="AN400" s="1387"/>
      <c r="AO400" s="1387"/>
      <c r="AP400" s="1387"/>
      <c r="AQ400" s="1388"/>
      <c r="AR400" s="1373"/>
      <c r="AS400" s="1373"/>
      <c r="AT400" s="1373"/>
      <c r="AU400" s="1373"/>
      <c r="AV400" s="1374"/>
      <c r="AW400" s="502"/>
      <c r="AX400" s="1386"/>
      <c r="AY400" s="1387"/>
      <c r="AZ400" s="1387"/>
      <c r="BA400" s="1387"/>
      <c r="BB400" s="1387"/>
      <c r="BC400" s="1387"/>
      <c r="BD400" s="1387"/>
      <c r="BE400" s="1388"/>
      <c r="BF400" s="1373"/>
      <c r="BG400" s="1373"/>
      <c r="BH400" s="1373"/>
      <c r="BI400" s="1373"/>
      <c r="BJ400" s="1374"/>
      <c r="BM400" s="1369"/>
      <c r="BN400" s="1298"/>
      <c r="BO400" s="1298"/>
      <c r="BP400" s="1298"/>
      <c r="BQ400" s="1298"/>
      <c r="BR400" s="1298"/>
      <c r="BS400" s="1298"/>
      <c r="BT400" s="1298"/>
      <c r="BU400" s="1298"/>
      <c r="BV400" s="1298"/>
      <c r="BW400" s="1296"/>
      <c r="BX400" s="1363"/>
      <c r="BY400" s="1363"/>
      <c r="BZ400" s="1363"/>
      <c r="CA400" s="1363"/>
      <c r="CB400" s="1362"/>
      <c r="CD400" s="1369"/>
      <c r="CE400" s="1298"/>
      <c r="CF400" s="1298"/>
      <c r="CG400" s="1298"/>
      <c r="CH400" s="1298"/>
      <c r="CI400" s="1298"/>
      <c r="CJ400" s="1298"/>
      <c r="CK400" s="1296"/>
      <c r="CL400" s="1363"/>
      <c r="CM400" s="1363"/>
      <c r="CN400" s="1363"/>
      <c r="CO400" s="1363"/>
      <c r="CP400" s="1362"/>
    </row>
    <row r="401" spans="1:94" outlineLevel="1">
      <c r="A401" s="1760"/>
      <c r="B401" s="1760"/>
      <c r="C401" s="1760"/>
      <c r="D401" s="1760"/>
      <c r="E401" s="1760"/>
      <c r="F401" s="1760"/>
      <c r="G401" s="1760"/>
      <c r="H401" s="1760"/>
      <c r="I401" s="1760"/>
      <c r="J401" s="1760"/>
      <c r="K401" s="1760"/>
      <c r="L401" s="1760"/>
      <c r="M401" s="1760"/>
      <c r="N401" s="1760"/>
      <c r="O401" s="1760"/>
      <c r="P401" s="1760"/>
      <c r="Q401" s="1760"/>
      <c r="R401" s="1760"/>
      <c r="S401" s="1760"/>
      <c r="T401" s="1760"/>
      <c r="U401" s="1760"/>
      <c r="V401" s="1760"/>
      <c r="W401" s="1760"/>
      <c r="X401" s="1760"/>
      <c r="Y401" s="1760"/>
      <c r="Z401" s="1760"/>
      <c r="AA401" s="1760"/>
      <c r="AB401" s="1760"/>
      <c r="AC401" s="1760"/>
      <c r="AD401" s="1760"/>
      <c r="AE401"/>
      <c r="AF401" s="574"/>
      <c r="AG401" s="1375" t="s">
        <v>1080</v>
      </c>
      <c r="AH401" s="1376"/>
      <c r="AI401" s="1376"/>
      <c r="AJ401" s="1376"/>
      <c r="AK401" s="1376"/>
      <c r="AL401" s="1376"/>
      <c r="AM401" s="1376"/>
      <c r="AN401" s="1376"/>
      <c r="AO401" s="1376"/>
      <c r="AP401" s="1376"/>
      <c r="AQ401" s="1377"/>
      <c r="AR401" s="1361">
        <f>SUM(AR345:AT400)</f>
        <v>0</v>
      </c>
      <c r="AS401" s="1361"/>
      <c r="AT401" s="1361"/>
      <c r="AU401" s="1361">
        <v>0</v>
      </c>
      <c r="AV401" s="1362"/>
      <c r="AW401" s="502"/>
      <c r="AX401" s="1375" t="s">
        <v>1080</v>
      </c>
      <c r="AY401" s="1378"/>
      <c r="AZ401" s="1378"/>
      <c r="BA401" s="1378"/>
      <c r="BB401" s="1378"/>
      <c r="BC401" s="1378"/>
      <c r="BD401" s="1378"/>
      <c r="BE401" s="1379"/>
      <c r="BF401" s="1361">
        <f>SUM(BF345:BH400)</f>
        <v>0</v>
      </c>
      <c r="BG401" s="1361"/>
      <c r="BH401" s="1361"/>
      <c r="BI401" s="1361">
        <v>0</v>
      </c>
      <c r="BJ401" s="1362"/>
      <c r="BM401" s="1375" t="s">
        <v>1079</v>
      </c>
      <c r="BN401" s="1376"/>
      <c r="BO401" s="1376"/>
      <c r="BP401" s="1376"/>
      <c r="BQ401" s="1376"/>
      <c r="BR401" s="1376"/>
      <c r="BS401" s="1376"/>
      <c r="BT401" s="1376"/>
      <c r="BU401" s="1376"/>
      <c r="BV401" s="1376"/>
      <c r="BW401" s="1377"/>
      <c r="BX401" s="1361">
        <f>SUM(BX345:BZ400)</f>
        <v>0</v>
      </c>
      <c r="BY401" s="1361"/>
      <c r="BZ401" s="1361"/>
      <c r="CA401" s="1361">
        <v>0</v>
      </c>
      <c r="CB401" s="1362"/>
      <c r="CC401" s="502"/>
      <c r="CD401" s="1375" t="s">
        <v>1080</v>
      </c>
      <c r="CE401" s="1378"/>
      <c r="CF401" s="1378"/>
      <c r="CG401" s="1378"/>
      <c r="CH401" s="1378"/>
      <c r="CI401" s="1378"/>
      <c r="CJ401" s="1378"/>
      <c r="CK401" s="1379"/>
      <c r="CL401" s="1361">
        <f>SUM(CL345:CN400)</f>
        <v>0</v>
      </c>
      <c r="CM401" s="1361"/>
      <c r="CN401" s="1361"/>
      <c r="CO401" s="1361">
        <v>0</v>
      </c>
      <c r="CP401" s="1362"/>
    </row>
    <row r="402" spans="1:94" customFormat="1">
      <c r="AF402" s="574"/>
      <c r="AG402" t="s">
        <v>1233</v>
      </c>
      <c r="BL402" s="574"/>
    </row>
    <row r="403" spans="1:94" s="979" customFormat="1"/>
    <row r="404" spans="1:94" ht="15.75" customHeight="1" outlineLevel="1">
      <c r="A404" s="1620" t="s">
        <v>3271</v>
      </c>
      <c r="B404" s="1620"/>
      <c r="C404" s="1620"/>
      <c r="D404" s="1620"/>
      <c r="E404" s="1620"/>
      <c r="F404" s="1620"/>
      <c r="G404" s="1620"/>
      <c r="H404" s="1620"/>
      <c r="I404" s="1620"/>
      <c r="J404" s="1620"/>
      <c r="K404" s="1620"/>
      <c r="L404" s="1620"/>
      <c r="M404" s="1620"/>
      <c r="N404" s="1620"/>
      <c r="O404" s="1620"/>
      <c r="P404" s="1620"/>
      <c r="Q404" s="1620"/>
      <c r="R404" s="1620"/>
      <c r="S404" s="1620"/>
      <c r="T404" s="1620"/>
      <c r="U404" s="1620"/>
      <c r="V404" s="1620"/>
      <c r="W404" s="1620"/>
      <c r="X404" s="1620"/>
      <c r="Y404" s="1620"/>
      <c r="Z404" s="1620"/>
      <c r="AA404" s="1620"/>
      <c r="AB404" s="1620"/>
      <c r="AC404" s="1620"/>
      <c r="AD404" s="1620"/>
      <c r="AE404" s="592">
        <f>Funds!L12</f>
        <v>4</v>
      </c>
      <c r="AF404" s="592"/>
      <c r="AG404" s="1620" t="s">
        <v>3272</v>
      </c>
      <c r="AH404" s="1621"/>
      <c r="AI404" s="1621"/>
      <c r="AJ404" s="1621"/>
      <c r="AK404" s="1621"/>
      <c r="AL404" s="1621"/>
      <c r="AM404" s="1621"/>
      <c r="AN404" s="1621"/>
      <c r="AO404" s="1621"/>
      <c r="AP404" s="1621"/>
      <c r="AQ404" s="1621"/>
      <c r="AR404" s="1621"/>
      <c r="AS404" s="1621"/>
      <c r="AT404" s="1621"/>
      <c r="AU404" s="1621"/>
      <c r="AV404" s="1621"/>
      <c r="AW404" s="1621"/>
      <c r="AX404" s="1621"/>
      <c r="AY404" s="1621"/>
      <c r="AZ404" s="1621"/>
      <c r="BA404" s="1621"/>
      <c r="BB404" s="1621"/>
      <c r="BC404" s="1621"/>
      <c r="BD404" s="1621"/>
      <c r="BE404" s="1621"/>
      <c r="BF404" s="1621"/>
      <c r="BG404" s="1621"/>
      <c r="BH404" s="1621"/>
      <c r="BI404" s="1621"/>
      <c r="BJ404" s="1621"/>
      <c r="BM404" s="2478" t="s">
        <v>3272</v>
      </c>
      <c r="BN404" s="2479"/>
      <c r="BO404" s="2479"/>
      <c r="BP404" s="2479"/>
      <c r="BQ404" s="2479"/>
      <c r="BR404" s="2479"/>
      <c r="BS404" s="2479"/>
      <c r="BT404" s="2479"/>
      <c r="BU404" s="2479"/>
      <c r="BV404" s="2479"/>
      <c r="BW404" s="2479"/>
      <c r="BX404" s="2479"/>
      <c r="BY404" s="1621"/>
      <c r="BZ404" s="1621"/>
      <c r="CA404" s="1621"/>
      <c r="CB404" s="1621"/>
      <c r="CC404" s="1621"/>
      <c r="CD404" s="1621"/>
      <c r="CE404" s="1621"/>
      <c r="CF404" s="1621"/>
      <c r="CG404" s="1621"/>
      <c r="CH404" s="1621"/>
      <c r="CI404" s="1621"/>
      <c r="CJ404" s="1621"/>
      <c r="CK404" s="1621"/>
      <c r="CL404" s="1621"/>
      <c r="CM404" s="1621"/>
      <c r="CN404" s="1621"/>
      <c r="CO404" s="1621"/>
      <c r="CP404" s="1621"/>
    </row>
    <row r="405" spans="1:94" ht="15.75" customHeight="1" outlineLevel="1">
      <c r="A405" s="1383" t="s">
        <v>851</v>
      </c>
      <c r="B405" s="1384"/>
      <c r="C405" s="1499"/>
      <c r="D405" s="1469"/>
      <c r="E405" s="1469"/>
      <c r="F405" s="1469"/>
      <c r="G405" s="1469"/>
      <c r="H405" s="1469"/>
      <c r="I405" s="1467"/>
      <c r="J405" s="1383" t="s">
        <v>2988</v>
      </c>
      <c r="K405" s="1344">
        <v>7</v>
      </c>
      <c r="L405" s="1296"/>
      <c r="M405" s="1878" t="str">
        <f>VLOOKUP(AE404,Mount!U73:W87,2)</f>
        <v>Light Warhorse</v>
      </c>
      <c r="N405" s="1879"/>
      <c r="O405" s="1879"/>
      <c r="P405" s="1879"/>
      <c r="Q405" s="1880"/>
      <c r="R405" s="1389" t="s">
        <v>2296</v>
      </c>
      <c r="S405" s="1390"/>
      <c r="T405" s="1385">
        <f ca="1">INDIRECT(ADDRESS(17,VLOOKUP('Character Sheet'!$AE$404,Mount!$U$73:$Y$88,5),,,"Mount"))</f>
        <v>65</v>
      </c>
      <c r="U405" s="1311"/>
      <c r="V405" s="1383" t="s">
        <v>4728</v>
      </c>
      <c r="W405" s="1344"/>
      <c r="X405" s="1385">
        <f ca="1">INDIRECT(ADDRESS(20,VLOOKUP('Character Sheet'!$AE$404,Mount!$U$73:$Y$88,5),,,"Mount"))</f>
        <v>850</v>
      </c>
      <c r="Y405" s="1311"/>
      <c r="Z405" s="258" t="s">
        <v>2990</v>
      </c>
      <c r="AA405" s="255"/>
      <c r="AB405" s="259"/>
      <c r="AC405" s="260"/>
      <c r="AD405" s="171">
        <f ca="1">INDIRECT(ADDRESS(32,VLOOKUP('Character Sheet'!$AE$404,Mount!$U$73:$Y$88,5),,,"Mount"))</f>
        <v>4</v>
      </c>
      <c r="AE405" s="593">
        <f>Funds!L13</f>
        <v>12</v>
      </c>
      <c r="AF405" s="592"/>
      <c r="AG405" s="1383" t="s">
        <v>851</v>
      </c>
      <c r="AH405" s="1384"/>
      <c r="AI405" s="1499"/>
      <c r="AJ405" s="1469"/>
      <c r="AK405" s="1469"/>
      <c r="AL405" s="1469"/>
      <c r="AM405" s="1469"/>
      <c r="AN405" s="1469"/>
      <c r="AO405" s="1467"/>
      <c r="AP405" s="1383" t="s">
        <v>2988</v>
      </c>
      <c r="AQ405" s="1344">
        <v>7</v>
      </c>
      <c r="AR405" s="1296"/>
      <c r="AS405" s="1484" t="str">
        <f>VLOOKUP(AE405,Mount!U73:W87,2)</f>
        <v>Donkey</v>
      </c>
      <c r="AT405" s="1298"/>
      <c r="AU405" s="1298"/>
      <c r="AV405" s="1298"/>
      <c r="AW405" s="1296"/>
      <c r="AX405" s="1389" t="s">
        <v>2296</v>
      </c>
      <c r="AY405" s="1390"/>
      <c r="AZ405" s="1385">
        <f ca="1">INDIRECT(ADDRESS(17,VLOOKUP('Character Sheet'!$AE$405,Mount!$U$73:$AA$88,7),,,"Mount"))</f>
        <v>58</v>
      </c>
      <c r="BA405" s="1311"/>
      <c r="BB405" s="1383" t="s">
        <v>4728</v>
      </c>
      <c r="BC405" s="1344"/>
      <c r="BD405" s="1385">
        <f ca="1">INDIRECT(ADDRESS(20,VLOOKUP('Character Sheet'!$AE$405,Mount!$U$73:$AA$88,7),,,"Mount"))</f>
        <v>380</v>
      </c>
      <c r="BE405" s="1311"/>
      <c r="BF405" s="258" t="s">
        <v>2990</v>
      </c>
      <c r="BG405" s="255"/>
      <c r="BH405" s="259"/>
      <c r="BI405" s="260"/>
      <c r="BJ405" s="171">
        <f ca="1">INDIRECT(ADDRESS(32,VLOOKUP('Character Sheet'!$AE$405,Mount!$U$73:$AA$88,7),,,"Mount"))</f>
        <v>3</v>
      </c>
      <c r="BK405" s="594"/>
      <c r="BL405" s="495"/>
      <c r="BM405" s="2475" t="s">
        <v>851</v>
      </c>
      <c r="BN405" s="2476"/>
      <c r="BO405" s="2477"/>
      <c r="BP405" s="1473"/>
      <c r="BQ405" s="1473"/>
      <c r="BR405" s="1473"/>
      <c r="BS405" s="1473"/>
      <c r="BT405" s="1473"/>
      <c r="BU405" s="1473"/>
      <c r="BV405" s="2475" t="s">
        <v>2988</v>
      </c>
      <c r="BW405" s="1457">
        <v>7</v>
      </c>
      <c r="BX405" s="1315"/>
      <c r="BY405" s="1484" t="str">
        <f>VLOOKUP(BK406,Mount!U73:W87,2)</f>
        <v>Donkey</v>
      </c>
      <c r="BZ405" s="1298"/>
      <c r="CA405" s="1298"/>
      <c r="CB405" s="1298"/>
      <c r="CC405" s="1296"/>
      <c r="CD405" s="1389" t="s">
        <v>2296</v>
      </c>
      <c r="CE405" s="1390"/>
      <c r="CF405" s="1385">
        <f ca="1">INDIRECT(ADDRESS(17,VLOOKUP('Character Sheet'!$AE$405,Mount!$U$73:$AA$88,7),,,"Mount"))</f>
        <v>58</v>
      </c>
      <c r="CG405" s="1311"/>
      <c r="CH405" s="1383" t="s">
        <v>4728</v>
      </c>
      <c r="CI405" s="1344"/>
      <c r="CJ405" s="1385">
        <f ca="1">INDIRECT(ADDRESS(20,VLOOKUP('Character Sheet'!$AE$405,Mount!$U$73:$AA$88,7),,,"Mount"))</f>
        <v>380</v>
      </c>
      <c r="CK405" s="1311"/>
      <c r="CL405" s="258" t="s">
        <v>2990</v>
      </c>
      <c r="CM405" s="255"/>
      <c r="CN405" s="259"/>
      <c r="CO405" s="260"/>
      <c r="CP405" s="171">
        <f ca="1">INDIRECT(ADDRESS(32,VLOOKUP('Character Sheet'!$AE$405,Mount!$U$73:$AA$88,7),,,"Mount"))</f>
        <v>3</v>
      </c>
    </row>
    <row r="406" spans="1:94" outlineLevel="1">
      <c r="A406" s="1383" t="s">
        <v>2989</v>
      </c>
      <c r="B406" s="1384"/>
      <c r="C406" s="1499"/>
      <c r="D406" s="1469"/>
      <c r="E406" s="1469"/>
      <c r="F406" s="1469"/>
      <c r="G406" s="1469"/>
      <c r="H406" s="1469"/>
      <c r="I406" s="1467"/>
      <c r="J406" s="1604" t="s">
        <v>2295</v>
      </c>
      <c r="K406" s="1605"/>
      <c r="L406" s="1606"/>
      <c r="M406" s="1607" t="s">
        <v>1001</v>
      </c>
      <c r="N406" s="1344"/>
      <c r="O406" s="1344"/>
      <c r="P406" s="315" t="s">
        <v>5217</v>
      </c>
      <c r="Q406" s="403">
        <f ca="1">INDIRECT(ADDRESS(62,VLOOKUP('Character Sheet'!$AE$404,Mount!$U$73:$Y$88,5),,,"Mount"))</f>
        <v>1400</v>
      </c>
      <c r="R406" s="1389" t="s">
        <v>2297</v>
      </c>
      <c r="S406" s="1390"/>
      <c r="T406" s="1385">
        <f ca="1">INDIRECT(ADDRESS(18,VLOOKUP('Character Sheet'!$AE$404,Mount!$U$73:$Y$88,5),,,"Mount"))</f>
        <v>1100</v>
      </c>
      <c r="U406" s="1311"/>
      <c r="V406" s="1383" t="s">
        <v>4729</v>
      </c>
      <c r="W406" s="1344"/>
      <c r="X406" s="1385">
        <f ca="1">INDIRECT(ADDRESS(19,VLOOKUP('Character Sheet'!$AE$404,Mount!$U$73:$Y$88,5),,,"Mount"))</f>
        <v>425</v>
      </c>
      <c r="Y406" s="1311"/>
      <c r="Z406" s="258" t="s">
        <v>217</v>
      </c>
      <c r="AA406" s="255"/>
      <c r="AB406" s="263"/>
      <c r="AC406" s="269"/>
      <c r="AD406" s="171">
        <f ca="1">INDIRECT(ADDRESS(33,VLOOKUP('Character Sheet'!$AE$404,Mount!$U$73:$Y$88,5),,,"Mount"))</f>
        <v>11</v>
      </c>
      <c r="AE406" s="62"/>
      <c r="AF406" s="62"/>
      <c r="AG406" s="1383" t="s">
        <v>2989</v>
      </c>
      <c r="AH406" s="1384"/>
      <c r="AI406" s="1499"/>
      <c r="AJ406" s="1469"/>
      <c r="AK406" s="1469"/>
      <c r="AL406" s="1469"/>
      <c r="AM406" s="1469"/>
      <c r="AN406" s="1469"/>
      <c r="AO406" s="1467"/>
      <c r="AP406" s="1604" t="s">
        <v>2295</v>
      </c>
      <c r="AQ406" s="1605"/>
      <c r="AR406" s="1606"/>
      <c r="AS406" s="1607" t="s">
        <v>1001</v>
      </c>
      <c r="AT406" s="1344"/>
      <c r="AU406" s="1344"/>
      <c r="AV406" s="315" t="s">
        <v>5217</v>
      </c>
      <c r="AW406" s="403">
        <f ca="1">INDIRECT(ADDRESS(62,VLOOKUP('Character Sheet'!$AE$405,Mount!$U$73:$Y$88,5),,,"Mount"))</f>
        <v>160</v>
      </c>
      <c r="AX406" s="1389" t="s">
        <v>2297</v>
      </c>
      <c r="AY406" s="1390"/>
      <c r="AZ406" s="1385">
        <f ca="1">INDIRECT(ADDRESS(18,VLOOKUP('Character Sheet'!$AE$405,Mount!$U$73:$AA$88,7),,,"Mount"))</f>
        <v>400</v>
      </c>
      <c r="BA406" s="1311"/>
      <c r="BB406" s="1383" t="s">
        <v>4729</v>
      </c>
      <c r="BC406" s="1344"/>
      <c r="BD406" s="1385">
        <f ca="1">INDIRECT(ADDRESS(19,VLOOKUP('Character Sheet'!$AE$405,Mount!$U$73:$AA$88,7),,,"Mount"))</f>
        <v>190</v>
      </c>
      <c r="BE406" s="1311"/>
      <c r="BF406" s="258" t="s">
        <v>217</v>
      </c>
      <c r="BG406" s="255"/>
      <c r="BH406" s="263"/>
      <c r="BI406" s="269"/>
      <c r="BJ406" s="171">
        <f ca="1">INDIRECT(ADDRESS(33,VLOOKUP('Character Sheet'!$AE$405,Mount!$U$73:$AA$88,7),,,"Mount"))</f>
        <v>7</v>
      </c>
      <c r="BK406" s="593">
        <f>Funds!L14</f>
        <v>12</v>
      </c>
      <c r="BL406" s="592"/>
      <c r="BM406" s="2475" t="s">
        <v>2989</v>
      </c>
      <c r="BN406" s="2476"/>
      <c r="BO406" s="2477"/>
      <c r="BP406" s="1473"/>
      <c r="BQ406" s="1473"/>
      <c r="BR406" s="1473"/>
      <c r="BS406" s="1473"/>
      <c r="BT406" s="1473"/>
      <c r="BU406" s="1473"/>
      <c r="BV406" s="2475" t="s">
        <v>2295</v>
      </c>
      <c r="BW406" s="2476"/>
      <c r="BX406" s="2476"/>
      <c r="BY406" s="1607" t="s">
        <v>1001</v>
      </c>
      <c r="BZ406" s="1344"/>
      <c r="CA406" s="1344"/>
      <c r="CB406" s="315" t="s">
        <v>5217</v>
      </c>
      <c r="CC406" s="403">
        <f ca="1">INDIRECT(ADDRESS(62,VLOOKUP('Character Sheet'!$AE$405,Mount!$U$73:$Y$88,5),,,"Mount"))</f>
        <v>160</v>
      </c>
      <c r="CD406" s="1389" t="s">
        <v>2297</v>
      </c>
      <c r="CE406" s="1390"/>
      <c r="CF406" s="1385">
        <f ca="1">INDIRECT(ADDRESS(18,VLOOKUP('Character Sheet'!$AE$405,Mount!$U$73:$AA$88,7),,,"Mount"))</f>
        <v>400</v>
      </c>
      <c r="CG406" s="1311"/>
      <c r="CH406" s="1383" t="s">
        <v>4729</v>
      </c>
      <c r="CI406" s="1344"/>
      <c r="CJ406" s="1385">
        <f ca="1">INDIRECT(ADDRESS(19,VLOOKUP('Character Sheet'!$AE$405,Mount!$U$73:$AA$88,7),,,"Mount"))</f>
        <v>190</v>
      </c>
      <c r="CK406" s="1311"/>
      <c r="CL406" s="258" t="s">
        <v>217</v>
      </c>
      <c r="CM406" s="255"/>
      <c r="CN406" s="263"/>
      <c r="CO406" s="269"/>
      <c r="CP406" s="171">
        <f ca="1">INDIRECT(ADDRESS(33,VLOOKUP('Character Sheet'!$AE$405,Mount!$U$73:$AA$88,7),,,"Mount"))</f>
        <v>7</v>
      </c>
    </row>
    <row r="407" spans="1:94" outlineLevel="1">
      <c r="A407" s="1383" t="s">
        <v>2991</v>
      </c>
      <c r="B407" s="1384"/>
      <c r="C407" s="1499"/>
      <c r="D407" s="1469"/>
      <c r="E407" s="1469"/>
      <c r="F407" s="1469"/>
      <c r="G407" s="1469"/>
      <c r="H407" s="1469"/>
      <c r="I407" s="1467"/>
      <c r="J407" s="1383" t="s">
        <v>2992</v>
      </c>
      <c r="K407" s="1613"/>
      <c r="L407" s="1384"/>
      <c r="M407" s="1614">
        <f ca="1">INDIRECT(ADDRESS(34,VLOOKUP('Character Sheet'!$AE$404,Mount!$U$73:$Y$88,5),,,"Mount"))</f>
        <v>0.1</v>
      </c>
      <c r="N407" s="1466"/>
      <c r="O407" s="1466"/>
      <c r="P407" s="1483"/>
      <c r="Q407" s="955">
        <v>0.5</v>
      </c>
      <c r="R407" s="1383" t="s">
        <v>2298</v>
      </c>
      <c r="S407" s="1345"/>
      <c r="T407" s="1487" t="str">
        <f>IF(Q407&lt;0.6,"Average",IF(Q407&lt;0.85,"Superior",IF(Q407&lt;0.95,"Superb","Great")))</f>
        <v>Average</v>
      </c>
      <c r="U407" s="1489"/>
      <c r="V407" s="1601" t="s">
        <v>1936</v>
      </c>
      <c r="W407" s="1344"/>
      <c r="X407" s="1385">
        <f ca="1">INDIRECT(ADDRESS(21,VLOOKUP('Character Sheet'!$AE$404,Mount!$U$73:$Y$88,5),,,"Mount"))</f>
        <v>1275</v>
      </c>
      <c r="Y407" s="1311"/>
      <c r="Z407" s="1383" t="s">
        <v>4732</v>
      </c>
      <c r="AA407" s="1345"/>
      <c r="AB407" s="1521">
        <f ca="1">INDIRECT(ADDRESS(23,VLOOKUP('Character Sheet'!$AE$404,Mount!$U$73:$Y$88,5),,,"Mount"))</f>
        <v>77</v>
      </c>
      <c r="AC407" s="1471"/>
      <c r="AD407" s="1450"/>
      <c r="AG407" s="1383" t="s">
        <v>2991</v>
      </c>
      <c r="AH407" s="1384"/>
      <c r="AI407" s="1499"/>
      <c r="AJ407" s="1469"/>
      <c r="AK407" s="1469"/>
      <c r="AL407" s="1469"/>
      <c r="AM407" s="1469"/>
      <c r="AN407" s="1469"/>
      <c r="AO407" s="1467"/>
      <c r="AP407" s="1383" t="s">
        <v>2992</v>
      </c>
      <c r="AQ407" s="1613"/>
      <c r="AR407" s="1384"/>
      <c r="AS407" s="1614">
        <f ca="1">INDIRECT(ADDRESS(34,VLOOKUP('Character Sheet'!$AE$405,Mount!$U$73:$Y$88,5),,,"Mount"))</f>
        <v>0.1</v>
      </c>
      <c r="AT407" s="1466"/>
      <c r="AU407" s="1466"/>
      <c r="AV407" s="1483"/>
      <c r="AW407" s="955">
        <v>0.5</v>
      </c>
      <c r="AX407" s="1383" t="s">
        <v>2298</v>
      </c>
      <c r="AY407" s="1345"/>
      <c r="AZ407" s="1487" t="str">
        <f>IF(AW407&lt;0.6,"Average",IF(AW407&lt;0.85,"Superior",IF(AW407&lt;0.95,"Superb","Great")))</f>
        <v>Average</v>
      </c>
      <c r="BA407" s="1489"/>
      <c r="BB407" s="1601" t="s">
        <v>1936</v>
      </c>
      <c r="BC407" s="1344"/>
      <c r="BD407" s="1385">
        <f ca="1">INDIRECT(ADDRESS(21,VLOOKUP('Character Sheet'!$AE$405,Mount!$U$73:$AA$88,7),,,"Mount"))</f>
        <v>570</v>
      </c>
      <c r="BE407" s="1311"/>
      <c r="BF407" s="1383" t="s">
        <v>4732</v>
      </c>
      <c r="BG407" s="1345"/>
      <c r="BH407" s="1521">
        <f ca="1">INDIRECT(ADDRESS(23,VLOOKUP('Character Sheet'!$AE$405,Mount!$U$73:$AA$88,7),,,"Mount"))</f>
        <v>53</v>
      </c>
      <c r="BI407" s="1471"/>
      <c r="BJ407" s="1450"/>
      <c r="BK407" s="594"/>
      <c r="BL407" s="495"/>
      <c r="BM407" s="2475" t="s">
        <v>2991</v>
      </c>
      <c r="BN407" s="2476"/>
      <c r="BO407" s="2477"/>
      <c r="BP407" s="1473"/>
      <c r="BQ407" s="1473"/>
      <c r="BR407" s="1473"/>
      <c r="BS407" s="1473"/>
      <c r="BT407" s="1473"/>
      <c r="BU407" s="1473"/>
      <c r="BV407" s="2475" t="s">
        <v>2992</v>
      </c>
      <c r="BW407" s="2476"/>
      <c r="BX407" s="2476"/>
      <c r="BY407" s="1614">
        <f ca="1">INDIRECT(ADDRESS(34,VLOOKUP('Character Sheet'!$AE$405,Mount!$U$73:$Y$88,5),,,"Mount"))</f>
        <v>0.1</v>
      </c>
      <c r="BZ407" s="1466"/>
      <c r="CA407" s="1466"/>
      <c r="CB407" s="1483"/>
      <c r="CC407" s="955">
        <v>0.5</v>
      </c>
      <c r="CD407" s="1383" t="s">
        <v>2298</v>
      </c>
      <c r="CE407" s="1345"/>
      <c r="CF407" s="1487" t="str">
        <f>IF(CC407&lt;0.6,"Average",IF(CC407&lt;0.85,"Superior",IF(CC407&lt;0.95,"Superb","Great")))</f>
        <v>Average</v>
      </c>
      <c r="CG407" s="1489"/>
      <c r="CH407" s="1601" t="s">
        <v>1936</v>
      </c>
      <c r="CI407" s="1344"/>
      <c r="CJ407" s="1385">
        <f ca="1">INDIRECT(ADDRESS(21,VLOOKUP('Character Sheet'!$AE$405,Mount!$U$73:$AA$88,7),,,"Mount"))</f>
        <v>570</v>
      </c>
      <c r="CK407" s="1311"/>
      <c r="CL407" s="1383" t="s">
        <v>4732</v>
      </c>
      <c r="CM407" s="1345"/>
      <c r="CN407" s="1521">
        <f ca="1">INDIRECT(ADDRESS(23,VLOOKUP('Character Sheet'!$AE$405,Mount!$U$73:$AA$88,7),,,"Mount"))</f>
        <v>53</v>
      </c>
      <c r="CO407" s="1471"/>
      <c r="CP407" s="1450"/>
    </row>
    <row r="408" spans="1:94" outlineLevel="1">
      <c r="A408" s="1601" t="s">
        <v>2093</v>
      </c>
      <c r="B408" s="1608"/>
      <c r="C408" s="1608"/>
      <c r="D408" s="1608"/>
      <c r="E408" s="1609"/>
      <c r="F408" s="268" t="str">
        <f>IF('System Lookups'!I206&lt;&gt;"None","Y","N")</f>
        <v>Y</v>
      </c>
      <c r="G408" s="1383" t="s">
        <v>1618</v>
      </c>
      <c r="H408" s="1298"/>
      <c r="I408" s="1298"/>
      <c r="J408" s="1298"/>
      <c r="K408" s="1298"/>
      <c r="L408" s="1298"/>
      <c r="M408" s="1610">
        <f ca="1">VLOOKUP(G413,'System Lookups'!$F$30:$N$50,6)</f>
        <v>0.94</v>
      </c>
      <c r="N408" s="1611"/>
      <c r="O408" s="1296"/>
      <c r="P408" s="1612">
        <f ca="1">VLOOKUP(G413,'System Lookups'!$F$4:$G$27,2)</f>
        <v>0.82</v>
      </c>
      <c r="Q408" s="1394"/>
      <c r="R408" s="1383" t="s">
        <v>4735</v>
      </c>
      <c r="S408" s="1345"/>
      <c r="T408" s="1385">
        <f ca="1">INDIRECT(ADDRESS(25,VLOOKUP('Character Sheet'!$AE$404,Mount!$U$73:$Y$88,5),,,"Mount"))</f>
        <v>17</v>
      </c>
      <c r="U408" s="1311"/>
      <c r="V408" s="1339" t="s">
        <v>1935</v>
      </c>
      <c r="W408" s="1344"/>
      <c r="X408" s="1385">
        <f ca="1">INDIRECT(ADDRESS(22,VLOOKUP('Character Sheet'!$AE$404,Mount!$U$73:$Y$88,5),,,"Mount"))</f>
        <v>2125</v>
      </c>
      <c r="Y408" s="1311"/>
      <c r="Z408" s="1383" t="s">
        <v>4733</v>
      </c>
      <c r="AA408" s="1345"/>
      <c r="AB408" s="1521">
        <f ca="1">INDIRECT(ADDRESS(24,VLOOKUP('Character Sheet'!$AE$404,Mount!$U$73:$Y$88,5),,,"Mount"))</f>
        <v>32</v>
      </c>
      <c r="AC408" s="1471"/>
      <c r="AD408" s="1450"/>
      <c r="AG408" s="1601" t="s">
        <v>2093</v>
      </c>
      <c r="AH408" s="1608"/>
      <c r="AI408" s="1608"/>
      <c r="AJ408" s="1608"/>
      <c r="AK408" s="1609"/>
      <c r="AL408" s="268" t="str">
        <f>IF('System Lookups'!I206&lt;&gt;"None","Y","N")</f>
        <v>Y</v>
      </c>
      <c r="AM408" s="1383" t="s">
        <v>1618</v>
      </c>
      <c r="AN408" s="1298"/>
      <c r="AO408" s="1298"/>
      <c r="AP408" s="1298"/>
      <c r="AQ408" s="1298"/>
      <c r="AR408" s="1298"/>
      <c r="AS408" s="1610">
        <f ca="1">VLOOKUP(AM413,'System Lookups'!$F$30:$N$50,6)</f>
        <v>0.88</v>
      </c>
      <c r="AT408" s="1611"/>
      <c r="AU408" s="1296"/>
      <c r="AV408" s="1612">
        <f ca="1">VLOOKUP(AM413,'System Lookups'!$F$4:$G$27,2)</f>
        <v>0.73</v>
      </c>
      <c r="AW408" s="1394"/>
      <c r="AX408" s="1383" t="s">
        <v>4735</v>
      </c>
      <c r="AY408" s="1345"/>
      <c r="AZ408" s="1385">
        <f ca="1">INDIRECT(ADDRESS(25,VLOOKUP('Character Sheet'!$AE$405,Mount!$U$73:$AA$88,7),,,"Mount"))</f>
        <v>14</v>
      </c>
      <c r="BA408" s="1311"/>
      <c r="BB408" s="1339" t="s">
        <v>1935</v>
      </c>
      <c r="BC408" s="1344"/>
      <c r="BD408" s="1385">
        <f ca="1">INDIRECT(ADDRESS(22,VLOOKUP('Character Sheet'!$AE$405,Mount!$U$73:$AA$88,7),,,"Mount"))</f>
        <v>950</v>
      </c>
      <c r="BE408" s="1311"/>
      <c r="BF408" s="1383" t="s">
        <v>4733</v>
      </c>
      <c r="BG408" s="1345"/>
      <c r="BH408" s="1521">
        <f ca="1">INDIRECT(ADDRESS(24,VLOOKUP('Character Sheet'!$AE$405,Mount!$U$73:$AA$88,7),,,"Mount"))</f>
        <v>28</v>
      </c>
      <c r="BI408" s="1471"/>
      <c r="BJ408" s="1450"/>
      <c r="BK408" s="594"/>
      <c r="BL408" s="495"/>
      <c r="BM408" s="2480" t="s">
        <v>2093</v>
      </c>
      <c r="BN408" s="2481"/>
      <c r="BO408" s="2481"/>
      <c r="BP408" s="2481"/>
      <c r="BQ408" s="2481"/>
      <c r="BR408" s="268" t="str">
        <f>IF('System Lookups'!AN205&lt;&gt;"None","Y","N")</f>
        <v>Y</v>
      </c>
      <c r="BS408" s="2475" t="s">
        <v>1618</v>
      </c>
      <c r="BT408" s="1315"/>
      <c r="BU408" s="1315"/>
      <c r="BV408" s="1315"/>
      <c r="BW408" s="1315"/>
      <c r="BX408" s="1315"/>
      <c r="BY408" s="1610">
        <f ca="1">VLOOKUP(BS413,'System Lookups'!$F$30:$N$50,6)</f>
        <v>0.88</v>
      </c>
      <c r="BZ408" s="1611"/>
      <c r="CA408" s="1296"/>
      <c r="CB408" s="1612">
        <f ca="1">VLOOKUP(BS413,'System Lookups'!$F$4:$G$27,2)</f>
        <v>0.73</v>
      </c>
      <c r="CC408" s="1394"/>
      <c r="CD408" s="1383" t="s">
        <v>4735</v>
      </c>
      <c r="CE408" s="1345"/>
      <c r="CF408" s="1385">
        <f ca="1">INDIRECT(ADDRESS(25,VLOOKUP('Character Sheet'!$AE$405,Mount!$U$73:$AA$88,7),,,"Mount"))</f>
        <v>14</v>
      </c>
      <c r="CG408" s="1311"/>
      <c r="CH408" s="1339" t="s">
        <v>1935</v>
      </c>
      <c r="CI408" s="1344"/>
      <c r="CJ408" s="1385">
        <f ca="1">INDIRECT(ADDRESS(22,VLOOKUP('Character Sheet'!$AE$405,Mount!$U$73:$AA$88,7),,,"Mount"))</f>
        <v>950</v>
      </c>
      <c r="CK408" s="1311"/>
      <c r="CL408" s="1383" t="s">
        <v>4733</v>
      </c>
      <c r="CM408" s="1345"/>
      <c r="CN408" s="1521">
        <f ca="1">INDIRECT(ADDRESS(24,VLOOKUP('Character Sheet'!$AE$405,Mount!$U$73:$AA$88,7),,,"Mount"))</f>
        <v>28</v>
      </c>
      <c r="CO408" s="1471"/>
      <c r="CP408" s="1450"/>
    </row>
    <row r="409" spans="1:94" outlineLevel="1">
      <c r="A409" s="1601" t="s">
        <v>4668</v>
      </c>
      <c r="B409" s="1344"/>
      <c r="C409" s="1344"/>
      <c r="D409" s="1344"/>
      <c r="E409" s="1345"/>
      <c r="F409" s="128" t="s">
        <v>5222</v>
      </c>
      <c r="G409" s="1602" t="str">
        <f ca="1">IF(AD3&lt;20,"Required"," ")</f>
        <v xml:space="preserve"> </v>
      </c>
      <c r="H409" s="1471"/>
      <c r="I409" s="1450"/>
      <c r="J409" s="1498"/>
      <c r="K409" s="1298"/>
      <c r="L409" s="1296"/>
      <c r="M409" s="1603" t="s">
        <v>5147</v>
      </c>
      <c r="N409" s="1340"/>
      <c r="O409" s="1340"/>
      <c r="P409" s="1340"/>
      <c r="Q409" s="1340"/>
      <c r="R409" s="1340"/>
      <c r="S409" s="1340"/>
      <c r="T409" s="1340"/>
      <c r="U409" s="1341"/>
      <c r="V409" s="1511" t="s">
        <v>1517</v>
      </c>
      <c r="W409" s="1590"/>
      <c r="X409" s="1590"/>
      <c r="Y409" s="1590"/>
      <c r="Z409" s="1590"/>
      <c r="AA409" s="1590"/>
      <c r="AB409" s="1590"/>
      <c r="AC409" s="1590"/>
      <c r="AD409" s="1591"/>
      <c r="AG409" s="1601" t="s">
        <v>4668</v>
      </c>
      <c r="AH409" s="1344"/>
      <c r="AI409" s="1344"/>
      <c r="AJ409" s="1344"/>
      <c r="AK409" s="1345"/>
      <c r="AL409" s="128" t="s">
        <v>5222</v>
      </c>
      <c r="AM409" s="1602" t="str">
        <f ca="1">IF(AD3&lt;20,"Required"," ")</f>
        <v xml:space="preserve"> </v>
      </c>
      <c r="AN409" s="1471"/>
      <c r="AO409" s="1450"/>
      <c r="AP409" s="1498"/>
      <c r="AQ409" s="1298"/>
      <c r="AR409" s="1296"/>
      <c r="AS409" s="1603" t="s">
        <v>5147</v>
      </c>
      <c r="AT409" s="1340"/>
      <c r="AU409" s="1340"/>
      <c r="AV409" s="1340"/>
      <c r="AW409" s="1340"/>
      <c r="AX409" s="1340"/>
      <c r="AY409" s="1340"/>
      <c r="AZ409" s="1340"/>
      <c r="BA409" s="1341"/>
      <c r="BB409" s="1511" t="s">
        <v>1517</v>
      </c>
      <c r="BC409" s="1590"/>
      <c r="BD409" s="1590"/>
      <c r="BE409" s="1590"/>
      <c r="BF409" s="1590"/>
      <c r="BG409" s="1590"/>
      <c r="BH409" s="1590"/>
      <c r="BI409" s="1590"/>
      <c r="BJ409" s="1591"/>
      <c r="BM409" s="2480" t="s">
        <v>4668</v>
      </c>
      <c r="BN409" s="1457"/>
      <c r="BO409" s="1457"/>
      <c r="BP409" s="1457"/>
      <c r="BQ409" s="1457"/>
      <c r="BR409" s="573" t="s">
        <v>5222</v>
      </c>
      <c r="BS409" s="2484" t="str">
        <f>IF(BI3&lt;20,"Required"," ")</f>
        <v>Required</v>
      </c>
      <c r="BT409" s="1455"/>
      <c r="BU409" s="1455"/>
      <c r="BV409" s="1315"/>
      <c r="BW409" s="1315"/>
      <c r="BX409" s="1315"/>
      <c r="BY409" s="1603" t="s">
        <v>5147</v>
      </c>
      <c r="BZ409" s="1340"/>
      <c r="CA409" s="1340"/>
      <c r="CB409" s="1340"/>
      <c r="CC409" s="1340"/>
      <c r="CD409" s="1340"/>
      <c r="CE409" s="1340"/>
      <c r="CF409" s="1340"/>
      <c r="CG409" s="1341"/>
      <c r="CH409" s="1511" t="s">
        <v>1517</v>
      </c>
      <c r="CI409" s="1590"/>
      <c r="CJ409" s="1590"/>
      <c r="CK409" s="1590"/>
      <c r="CL409" s="1590"/>
      <c r="CM409" s="1590"/>
      <c r="CN409" s="1590"/>
      <c r="CO409" s="1590"/>
      <c r="CP409" s="1591"/>
    </row>
    <row r="410" spans="1:94" ht="15.75" customHeight="1" outlineLevel="1">
      <c r="A410" s="1561" t="s">
        <v>2724</v>
      </c>
      <c r="B410" s="1590"/>
      <c r="C410" s="1590"/>
      <c r="D410" s="1590"/>
      <c r="E410" s="1590"/>
      <c r="F410" s="1591"/>
      <c r="G410" s="1561" t="s">
        <v>5370</v>
      </c>
      <c r="H410" s="1590"/>
      <c r="I410" s="1591"/>
      <c r="J410" s="1561" t="s">
        <v>5085</v>
      </c>
      <c r="K410" s="1590"/>
      <c r="L410" s="1591"/>
      <c r="M410" s="1595"/>
      <c r="N410" s="1344"/>
      <c r="O410" s="1344"/>
      <c r="P410" s="1344"/>
      <c r="Q410" s="1344"/>
      <c r="R410" s="1344"/>
      <c r="S410" s="1344"/>
      <c r="T410" s="1344"/>
      <c r="U410" s="1345"/>
      <c r="V410" s="1566" t="s">
        <v>1518</v>
      </c>
      <c r="W410" s="1482"/>
      <c r="X410" s="1482"/>
      <c r="Y410" s="1567"/>
      <c r="Z410" s="262">
        <f ca="1">VLOOKUP(G413,'System Lookups'!$F$30:$N$50,7)</f>
        <v>6</v>
      </c>
      <c r="AA410" s="265" t="s">
        <v>1519</v>
      </c>
      <c r="AB410" s="261"/>
      <c r="AC410" s="264"/>
      <c r="AD410" s="267">
        <f ca="1">VLOOKUP(G413,'System Lookups'!$F$30:$N$50,8)</f>
        <v>3</v>
      </c>
      <c r="AG410" s="1561" t="s">
        <v>2724</v>
      </c>
      <c r="AH410" s="1590"/>
      <c r="AI410" s="1590"/>
      <c r="AJ410" s="1590"/>
      <c r="AK410" s="1590"/>
      <c r="AL410" s="1591"/>
      <c r="AM410" s="1561" t="s">
        <v>5370</v>
      </c>
      <c r="AN410" s="1590"/>
      <c r="AO410" s="1591"/>
      <c r="AP410" s="1561" t="s">
        <v>5085</v>
      </c>
      <c r="AQ410" s="1590"/>
      <c r="AR410" s="1591"/>
      <c r="AS410" s="1595"/>
      <c r="AT410" s="1344"/>
      <c r="AU410" s="1344"/>
      <c r="AV410" s="1344"/>
      <c r="AW410" s="1344"/>
      <c r="AX410" s="1344"/>
      <c r="AY410" s="1344"/>
      <c r="AZ410" s="1344"/>
      <c r="BA410" s="1345"/>
      <c r="BB410" s="1566" t="s">
        <v>1518</v>
      </c>
      <c r="BC410" s="1482"/>
      <c r="BD410" s="1482"/>
      <c r="BE410" s="1567"/>
      <c r="BF410" s="262">
        <f ca="1">VLOOKUP(AM413,'System Lookups'!$F$30:$N$50,7)</f>
        <v>5</v>
      </c>
      <c r="BG410" s="265" t="s">
        <v>1519</v>
      </c>
      <c r="BH410" s="261"/>
      <c r="BI410" s="264"/>
      <c r="BJ410" s="267">
        <f ca="1">VLOOKUP(AM413,'System Lookups'!$F$30:$N$50,8)</f>
        <v>2</v>
      </c>
      <c r="BM410" s="2482" t="s">
        <v>2724</v>
      </c>
      <c r="BN410" s="2483"/>
      <c r="BO410" s="2483"/>
      <c r="BP410" s="2483"/>
      <c r="BQ410" s="2483"/>
      <c r="BR410" s="2483"/>
      <c r="BS410" s="2482" t="s">
        <v>5370</v>
      </c>
      <c r="BT410" s="2483"/>
      <c r="BU410" s="2483"/>
      <c r="BV410" s="2482" t="s">
        <v>5085</v>
      </c>
      <c r="BW410" s="2483"/>
      <c r="BX410" s="2483"/>
      <c r="BY410" s="1595"/>
      <c r="BZ410" s="1344"/>
      <c r="CA410" s="1344"/>
      <c r="CB410" s="1344"/>
      <c r="CC410" s="1344"/>
      <c r="CD410" s="1344"/>
      <c r="CE410" s="1344"/>
      <c r="CF410" s="1344"/>
      <c r="CG410" s="1345"/>
      <c r="CH410" s="1566" t="s">
        <v>1518</v>
      </c>
      <c r="CI410" s="1482"/>
      <c r="CJ410" s="1482"/>
      <c r="CK410" s="1567"/>
      <c r="CL410" s="262">
        <f ca="1">VLOOKUP(BS413,'System Lookups'!$F$30:$N$50,7)</f>
        <v>5</v>
      </c>
      <c r="CM410" s="265" t="s">
        <v>1519</v>
      </c>
      <c r="CN410" s="261"/>
      <c r="CO410" s="264"/>
      <c r="CP410" s="267">
        <f ca="1">VLOOKUP(BS413,'System Lookups'!$F$30:$N$50,8)</f>
        <v>2</v>
      </c>
    </row>
    <row r="411" spans="1:94" ht="15.75" customHeight="1" outlineLevel="1">
      <c r="A411" s="1571" t="s">
        <v>4438</v>
      </c>
      <c r="B411" s="1571"/>
      <c r="C411" s="1571"/>
      <c r="D411" s="1571"/>
      <c r="E411" s="1571"/>
      <c r="F411" s="1571"/>
      <c r="G411" s="1470">
        <f ca="1">INDIRECT(ADDRESS(3,VLOOKUP('Character Sheet'!$AE$404,Mount!$U$73:$Y$88,5),,,"Mount"))</f>
        <v>18</v>
      </c>
      <c r="H411" s="1471"/>
      <c r="I411" s="1450"/>
      <c r="J411" s="1460">
        <f ca="1">INDIRECT(ADDRESS(4,VLOOKUP('Character Sheet'!$AE$404,Mount!$U$73:$Y$88,5),,,"Mount"))</f>
        <v>0.85</v>
      </c>
      <c r="K411" s="1466"/>
      <c r="L411" s="1483"/>
      <c r="M411" s="1595"/>
      <c r="N411" s="1344"/>
      <c r="O411" s="1344"/>
      <c r="P411" s="1344"/>
      <c r="Q411" s="1344"/>
      <c r="R411" s="1344"/>
      <c r="S411" s="1344"/>
      <c r="T411" s="1344"/>
      <c r="U411" s="1345"/>
      <c r="V411" s="1511" t="s">
        <v>219</v>
      </c>
      <c r="W411" s="1590"/>
      <c r="X411" s="1590"/>
      <c r="Y411" s="1590"/>
      <c r="Z411" s="1590"/>
      <c r="AA411" s="1590"/>
      <c r="AB411" s="1590"/>
      <c r="AC411" s="1590"/>
      <c r="AD411" s="1591"/>
      <c r="AG411" s="1571" t="s">
        <v>4438</v>
      </c>
      <c r="AH411" s="1571"/>
      <c r="AI411" s="1571"/>
      <c r="AJ411" s="1571"/>
      <c r="AK411" s="1571"/>
      <c r="AL411" s="1571"/>
      <c r="AM411" s="1470">
        <f ca="1">INDIRECT(ADDRESS(3,VLOOKUP('Character Sheet'!$AE$405,Mount!$U$73:$AA$88,7),,,"Mount"))</f>
        <v>14</v>
      </c>
      <c r="AN411" s="1471"/>
      <c r="AO411" s="1450"/>
      <c r="AP411" s="1460">
        <f ca="1">INDIRECT(ADDRESS(4,VLOOKUP('Character Sheet'!$AE$405,Mount!$U$73:$AA$88,7),,,"Mount"))</f>
        <v>0.73</v>
      </c>
      <c r="AQ411" s="1466"/>
      <c r="AR411" s="1483"/>
      <c r="AS411" s="1595"/>
      <c r="AT411" s="1344"/>
      <c r="AU411" s="1344"/>
      <c r="AV411" s="1344"/>
      <c r="AW411" s="1344"/>
      <c r="AX411" s="1344"/>
      <c r="AY411" s="1344"/>
      <c r="AZ411" s="1344"/>
      <c r="BA411" s="1345"/>
      <c r="BB411" s="1511" t="s">
        <v>219</v>
      </c>
      <c r="BC411" s="1590"/>
      <c r="BD411" s="1590"/>
      <c r="BE411" s="1590"/>
      <c r="BF411" s="1590"/>
      <c r="BG411" s="1590"/>
      <c r="BH411" s="1590"/>
      <c r="BI411" s="1590"/>
      <c r="BJ411" s="1591"/>
      <c r="BM411" s="1571" t="s">
        <v>4438</v>
      </c>
      <c r="BN411" s="1571"/>
      <c r="BO411" s="1571"/>
      <c r="BP411" s="1571"/>
      <c r="BQ411" s="1571"/>
      <c r="BR411" s="1571"/>
      <c r="BS411" s="1470">
        <f ca="1">INDIRECT(ADDRESS(3,VLOOKUP('Character Sheet'!$AE$405,Mount!$U$73:$AA$88,7),,,"Mount"))</f>
        <v>14</v>
      </c>
      <c r="BT411" s="1471"/>
      <c r="BU411" s="1450"/>
      <c r="BV411" s="1460">
        <f ca="1">INDIRECT(ADDRESS(4,VLOOKUP('Character Sheet'!$AE$405,Mount!$U$73:$AA$88,7),,,"Mount"))</f>
        <v>0.73</v>
      </c>
      <c r="BW411" s="1466"/>
      <c r="BX411" s="1483"/>
      <c r="BY411" s="1595"/>
      <c r="BZ411" s="1344"/>
      <c r="CA411" s="1344"/>
      <c r="CB411" s="1344"/>
      <c r="CC411" s="1344"/>
      <c r="CD411" s="1344"/>
      <c r="CE411" s="1344"/>
      <c r="CF411" s="1344"/>
      <c r="CG411" s="1345"/>
      <c r="CH411" s="1511" t="s">
        <v>219</v>
      </c>
      <c r="CI411" s="1590"/>
      <c r="CJ411" s="1590"/>
      <c r="CK411" s="1590"/>
      <c r="CL411" s="1590"/>
      <c r="CM411" s="1590"/>
      <c r="CN411" s="1590"/>
      <c r="CO411" s="1590"/>
      <c r="CP411" s="1591"/>
    </row>
    <row r="412" spans="1:94" ht="15.75" customHeight="1" outlineLevel="1">
      <c r="A412" s="1571" t="s">
        <v>4439</v>
      </c>
      <c r="B412" s="1571"/>
      <c r="C412" s="1571"/>
      <c r="D412" s="1571"/>
      <c r="E412" s="1571"/>
      <c r="F412" s="1571"/>
      <c r="G412" s="1470">
        <f ca="1">INDIRECT(ADDRESS(13,VLOOKUP('Character Sheet'!$AE$404,Mount!$U$73:$Y$88,5),,,"Mount"))</f>
        <v>16</v>
      </c>
      <c r="H412" s="1471"/>
      <c r="I412" s="1450"/>
      <c r="J412" s="1460">
        <f ca="1">INDIRECT(ADDRESS(14,VLOOKUP('Character Sheet'!$AE$404,Mount!$U$73:$Y$88,5),,,"Mount"))</f>
        <v>0.79</v>
      </c>
      <c r="K412" s="1466"/>
      <c r="L412" s="1483"/>
      <c r="M412" s="1595"/>
      <c r="N412" s="1344"/>
      <c r="O412" s="1344"/>
      <c r="P412" s="1344"/>
      <c r="Q412" s="1344"/>
      <c r="R412" s="1344"/>
      <c r="S412" s="1344"/>
      <c r="T412" s="1344"/>
      <c r="U412" s="1345"/>
      <c r="V412" s="1578" t="s">
        <v>1937</v>
      </c>
      <c r="W412" s="1567"/>
      <c r="X412" s="271">
        <f ca="1">VLOOKUP(G413,'System Lookups'!$F$30:$N$50,3)</f>
        <v>0.08</v>
      </c>
      <c r="Y412" s="1578" t="s">
        <v>1820</v>
      </c>
      <c r="Z412" s="1567"/>
      <c r="AA412" s="271">
        <f ca="1">VLOOKUP(G413,'System Lookups'!$F$30:$N$50,4)</f>
        <v>0.05</v>
      </c>
      <c r="AB412" s="1578" t="s">
        <v>4734</v>
      </c>
      <c r="AC412" s="1482"/>
      <c r="AD412" s="270">
        <f ca="1">VLOOKUP(G413,'System Lookups'!$F$30:$N$50,5)</f>
        <v>0.03</v>
      </c>
      <c r="AG412" s="1571" t="s">
        <v>4439</v>
      </c>
      <c r="AH412" s="1571"/>
      <c r="AI412" s="1571"/>
      <c r="AJ412" s="1571"/>
      <c r="AK412" s="1571"/>
      <c r="AL412" s="1571"/>
      <c r="AM412" s="1470">
        <f ca="1">INDIRECT(ADDRESS(13,VLOOKUP('Character Sheet'!$AE$405,Mount!$U$73:$AA$88,7),,,"Mount"))</f>
        <v>14</v>
      </c>
      <c r="AN412" s="1471"/>
      <c r="AO412" s="1450"/>
      <c r="AP412" s="1460">
        <f ca="1">INDIRECT(ADDRESS(14,VLOOKUP('Character Sheet'!$AE$405,Mount!$U$73:$AA$88,7),,,"Mount"))</f>
        <v>0.73</v>
      </c>
      <c r="AQ412" s="1466"/>
      <c r="AR412" s="1483"/>
      <c r="AS412" s="1595"/>
      <c r="AT412" s="1344"/>
      <c r="AU412" s="1344"/>
      <c r="AV412" s="1344"/>
      <c r="AW412" s="1344"/>
      <c r="AX412" s="1344"/>
      <c r="AY412" s="1344"/>
      <c r="AZ412" s="1344"/>
      <c r="BA412" s="1345"/>
      <c r="BB412" s="1578" t="s">
        <v>1937</v>
      </c>
      <c r="BC412" s="1567"/>
      <c r="BD412" s="271">
        <f ca="1">VLOOKUP(AM413,'System Lookups'!$F$30:$N$50,3)</f>
        <v>7.0000000000000007E-2</v>
      </c>
      <c r="BE412" s="1578" t="s">
        <v>1820</v>
      </c>
      <c r="BF412" s="1567"/>
      <c r="BG412" s="271">
        <f ca="1">VLOOKUP(AM413,'System Lookups'!$F$30:$N$50,4)</f>
        <v>0.04</v>
      </c>
      <c r="BH412" s="1578" t="s">
        <v>4734</v>
      </c>
      <c r="BI412" s="1482"/>
      <c r="BJ412" s="270">
        <f ca="1">VLOOKUP(AM413,'System Lookups'!$F$30:$N$50,5)</f>
        <v>0.02</v>
      </c>
      <c r="BM412" s="1571" t="s">
        <v>4439</v>
      </c>
      <c r="BN412" s="1571"/>
      <c r="BO412" s="1571"/>
      <c r="BP412" s="1571"/>
      <c r="BQ412" s="1571"/>
      <c r="BR412" s="1571"/>
      <c r="BS412" s="1470">
        <f ca="1">INDIRECT(ADDRESS(13,VLOOKUP('Character Sheet'!$AE$405,Mount!$U$73:$AA$88,7),,,"Mount"))</f>
        <v>14</v>
      </c>
      <c r="BT412" s="1471"/>
      <c r="BU412" s="1450"/>
      <c r="BV412" s="1460">
        <f ca="1">INDIRECT(ADDRESS(14,VLOOKUP('Character Sheet'!$AE$405,Mount!$U$73:$AA$88,7),,,"Mount"))</f>
        <v>0.73</v>
      </c>
      <c r="BW412" s="1466"/>
      <c r="BX412" s="1483"/>
      <c r="BY412" s="1595"/>
      <c r="BZ412" s="1344"/>
      <c r="CA412" s="1344"/>
      <c r="CB412" s="1344"/>
      <c r="CC412" s="1344"/>
      <c r="CD412" s="1344"/>
      <c r="CE412" s="1344"/>
      <c r="CF412" s="1344"/>
      <c r="CG412" s="1345"/>
      <c r="CH412" s="1578" t="s">
        <v>1937</v>
      </c>
      <c r="CI412" s="1567"/>
      <c r="CJ412" s="271">
        <f ca="1">VLOOKUP(BS413,'System Lookups'!$F$30:$N$50,3)</f>
        <v>7.0000000000000007E-2</v>
      </c>
      <c r="CK412" s="1578" t="s">
        <v>1820</v>
      </c>
      <c r="CL412" s="1567"/>
      <c r="CM412" s="271">
        <f ca="1">VLOOKUP(BS413,'System Lookups'!$F$30:$N$50,4)</f>
        <v>0.04</v>
      </c>
      <c r="CN412" s="1578" t="s">
        <v>4734</v>
      </c>
      <c r="CO412" s="1482"/>
      <c r="CP412" s="270">
        <f ca="1">VLOOKUP(BS413,'System Lookups'!$F$30:$N$50,5)</f>
        <v>0.02</v>
      </c>
    </row>
    <row r="413" spans="1:94" ht="15.75" customHeight="1" outlineLevel="1">
      <c r="A413" s="1571" t="s">
        <v>2822</v>
      </c>
      <c r="B413" s="1571"/>
      <c r="C413" s="1571"/>
      <c r="D413" s="1571"/>
      <c r="E413" s="1571"/>
      <c r="F413" s="1571"/>
      <c r="G413" s="1470">
        <f ca="1">INDIRECT(ADDRESS(5,VLOOKUP('Character Sheet'!$AE$404,Mount!$U$73:$Y$88,5),,,"Mount"))</f>
        <v>17</v>
      </c>
      <c r="H413" s="1471"/>
      <c r="I413" s="1450"/>
      <c r="J413" s="1460">
        <f ca="1">INDIRECT(ADDRESS(6,VLOOKUP('Character Sheet'!$AE$404,Mount!$U$73:$Y$88,5),,,"Mount"))</f>
        <v>0.82</v>
      </c>
      <c r="K413" s="1466"/>
      <c r="L413" s="1466"/>
      <c r="M413" s="1575" t="s">
        <v>2639</v>
      </c>
      <c r="N413" s="1576"/>
      <c r="O413" s="1577"/>
      <c r="P413" s="457">
        <v>21</v>
      </c>
      <c r="Q413" s="458">
        <v>29</v>
      </c>
      <c r="R413" s="458"/>
      <c r="S413" s="458">
        <v>45</v>
      </c>
      <c r="T413" s="459"/>
      <c r="U413"/>
      <c r="V413" s="1596" t="s">
        <v>1201</v>
      </c>
      <c r="W413" s="1486"/>
      <c r="X413" s="1486"/>
      <c r="Y413" s="1486"/>
      <c r="Z413" s="1486"/>
      <c r="AA413" s="1459" t="s">
        <v>1202</v>
      </c>
      <c r="AB413" s="1597"/>
      <c r="AC413" s="1597"/>
      <c r="AD413" s="1598"/>
      <c r="AG413" s="1571" t="s">
        <v>2822</v>
      </c>
      <c r="AH413" s="1571"/>
      <c r="AI413" s="1571"/>
      <c r="AJ413" s="1571"/>
      <c r="AK413" s="1571"/>
      <c r="AL413" s="1571"/>
      <c r="AM413" s="1470">
        <f ca="1">INDIRECT(ADDRESS(5,VLOOKUP('Character Sheet'!$AE$405,Mount!$U$73:$AA$88,7),,,"Mount"))</f>
        <v>14</v>
      </c>
      <c r="AN413" s="1471"/>
      <c r="AO413" s="1450"/>
      <c r="AP413" s="1460">
        <f ca="1">INDIRECT(ADDRESS(6,VLOOKUP('Character Sheet'!$AE$405,Mount!$U$73:$AA$88,7),,,"Mount"))</f>
        <v>0.73</v>
      </c>
      <c r="AQ413" s="1466"/>
      <c r="AR413" s="1466"/>
      <c r="AS413" s="1575" t="s">
        <v>2639</v>
      </c>
      <c r="AT413" s="1576"/>
      <c r="AU413" s="1577"/>
      <c r="AV413" s="457">
        <v>1</v>
      </c>
      <c r="AW413" s="458">
        <v>29</v>
      </c>
      <c r="AX413" s="458"/>
      <c r="AY413" s="458">
        <v>45</v>
      </c>
      <c r="AZ413" s="459"/>
      <c r="BA413"/>
      <c r="BB413" s="1596" t="s">
        <v>1201</v>
      </c>
      <c r="BC413" s="1486"/>
      <c r="BD413" s="1486"/>
      <c r="BE413" s="1486"/>
      <c r="BF413" s="1486"/>
      <c r="BG413" s="1459" t="s">
        <v>1202</v>
      </c>
      <c r="BH413" s="1597"/>
      <c r="BI413" s="1597"/>
      <c r="BJ413" s="1598"/>
      <c r="BM413" s="1571" t="s">
        <v>2822</v>
      </c>
      <c r="BN413" s="1571"/>
      <c r="BO413" s="1571"/>
      <c r="BP413" s="1571"/>
      <c r="BQ413" s="1571"/>
      <c r="BR413" s="1571"/>
      <c r="BS413" s="1470">
        <f ca="1">INDIRECT(ADDRESS(5,VLOOKUP('Character Sheet'!$AE$405,Mount!$U$73:$AA$88,7),,,"Mount"))</f>
        <v>14</v>
      </c>
      <c r="BT413" s="1471"/>
      <c r="BU413" s="1450"/>
      <c r="BV413" s="1460">
        <f ca="1">INDIRECT(ADDRESS(6,VLOOKUP('Character Sheet'!$AE$405,Mount!$U$73:$AA$88,7),,,"Mount"))</f>
        <v>0.73</v>
      </c>
      <c r="BW413" s="1466"/>
      <c r="BX413" s="1466"/>
      <c r="BY413" s="1575" t="s">
        <v>2639</v>
      </c>
      <c r="BZ413" s="1576"/>
      <c r="CA413" s="1577">
        <v>45</v>
      </c>
      <c r="CB413" s="457">
        <v>42</v>
      </c>
      <c r="CC413" s="458">
        <v>29</v>
      </c>
      <c r="CD413" s="458">
        <v>45</v>
      </c>
      <c r="CE413" s="458">
        <v>42</v>
      </c>
      <c r="CF413" s="459"/>
      <c r="CG413"/>
      <c r="CH413" s="1596" t="s">
        <v>1201</v>
      </c>
      <c r="CI413" s="1486"/>
      <c r="CJ413" s="1486"/>
      <c r="CK413" s="1486"/>
      <c r="CL413" s="1486"/>
      <c r="CM413" s="1459" t="s">
        <v>1202</v>
      </c>
      <c r="CN413" s="1597"/>
      <c r="CO413" s="1597"/>
      <c r="CP413" s="1598"/>
    </row>
    <row r="414" spans="1:94" ht="15.75" customHeight="1" outlineLevel="1">
      <c r="A414" s="1571" t="s">
        <v>2823</v>
      </c>
      <c r="B414" s="1571"/>
      <c r="C414" s="1571"/>
      <c r="D414" s="1571"/>
      <c r="E414" s="1571"/>
      <c r="F414" s="1571"/>
      <c r="G414" s="1470">
        <f ca="1">INDIRECT(ADDRESS(9,VLOOKUP('Character Sheet'!$AE$404,Mount!$U$73:$Y$88,5),,,"Mount"))</f>
        <v>3</v>
      </c>
      <c r="H414" s="1471"/>
      <c r="I414" s="1450"/>
      <c r="J414" s="1460">
        <f ca="1">INDIRECT(ADDRESS(10,VLOOKUP('Character Sheet'!$AE$404,Mount!$U$73:$Y$88,5),,,"Mount"))</f>
        <v>0.25</v>
      </c>
      <c r="K414" s="1466"/>
      <c r="L414" s="1483"/>
      <c r="M414" s="1575" t="s">
        <v>1845</v>
      </c>
      <c r="N414" s="1576"/>
      <c r="O414" s="1577"/>
      <c r="P414" s="1585">
        <v>17</v>
      </c>
      <c r="Q414" s="1586">
        <v>18</v>
      </c>
      <c r="R414" s="1586"/>
      <c r="S414" s="1586"/>
      <c r="T414" s="1587"/>
      <c r="U414"/>
      <c r="V414" s="1565" t="s">
        <v>1520</v>
      </c>
      <c r="W414" s="1344"/>
      <c r="X414" s="1344"/>
      <c r="Y414" s="1345"/>
      <c r="Z414" s="276">
        <f ca="1">INDIRECT(ADDRESS(65,VLOOKUP('Character Sheet'!$AE$404,Mount!$U$73:$Y$88,5),,,"Mount"))</f>
        <v>32</v>
      </c>
      <c r="AA414" s="1588" t="s">
        <v>3667</v>
      </c>
      <c r="AB414" s="1589"/>
      <c r="AC414" s="277">
        <v>7</v>
      </c>
      <c r="AD414" s="277">
        <v>12</v>
      </c>
      <c r="AG414" s="1571" t="s">
        <v>2823</v>
      </c>
      <c r="AH414" s="1571"/>
      <c r="AI414" s="1571"/>
      <c r="AJ414" s="1571"/>
      <c r="AK414" s="1571"/>
      <c r="AL414" s="1571"/>
      <c r="AM414" s="1470">
        <f ca="1">INDIRECT(ADDRESS(9,VLOOKUP('Character Sheet'!$AE$405,Mount!$U$73:$AA$88,7),,,"Mount"))</f>
        <v>4</v>
      </c>
      <c r="AN414" s="1471"/>
      <c r="AO414" s="1450"/>
      <c r="AP414" s="1460">
        <f ca="1">INDIRECT(ADDRESS(10,VLOOKUP('Character Sheet'!$AE$405,Mount!$U$73:$AA$88,7),,,"Mount"))</f>
        <v>0.3</v>
      </c>
      <c r="AQ414" s="1466"/>
      <c r="AR414" s="1483"/>
      <c r="AS414" s="1575" t="s">
        <v>1845</v>
      </c>
      <c r="AT414" s="1576"/>
      <c r="AU414" s="1577"/>
      <c r="AV414" s="1585">
        <v>11</v>
      </c>
      <c r="AW414" s="1586">
        <v>18</v>
      </c>
      <c r="AX414" s="1586"/>
      <c r="AY414" s="1586"/>
      <c r="AZ414" s="1587"/>
      <c r="BA414"/>
      <c r="BB414" s="1565" t="s">
        <v>1520</v>
      </c>
      <c r="BC414" s="1344"/>
      <c r="BD414" s="1344"/>
      <c r="BE414" s="1345"/>
      <c r="BF414" s="276">
        <f ca="1">INDIRECT(ADDRESS(65,VLOOKUP('Character Sheet'!$AE$405,Mount!$U$73:$AA$88,7),,,"Mount"))</f>
        <v>20</v>
      </c>
      <c r="BG414" s="1588" t="s">
        <v>3667</v>
      </c>
      <c r="BH414" s="1589"/>
      <c r="BI414" s="277">
        <v>7</v>
      </c>
      <c r="BJ414" s="277">
        <v>12</v>
      </c>
      <c r="BM414" s="1571" t="s">
        <v>2823</v>
      </c>
      <c r="BN414" s="1571"/>
      <c r="BO414" s="1571"/>
      <c r="BP414" s="1571"/>
      <c r="BQ414" s="1571"/>
      <c r="BR414" s="1571"/>
      <c r="BS414" s="1470">
        <f ca="1">INDIRECT(ADDRESS(9,VLOOKUP('Character Sheet'!$AE$405,Mount!$U$73:$AA$88,7),,,"Mount"))</f>
        <v>4</v>
      </c>
      <c r="BT414" s="1471"/>
      <c r="BU414" s="1450"/>
      <c r="BV414" s="1460">
        <f ca="1">INDIRECT(ADDRESS(10,VLOOKUP('Character Sheet'!$AE$405,Mount!$U$73:$AA$88,7),,,"Mount"))</f>
        <v>0.3</v>
      </c>
      <c r="BW414" s="1466"/>
      <c r="BX414" s="1483"/>
      <c r="BY414" s="1575" t="s">
        <v>1845</v>
      </c>
      <c r="BZ414" s="1576"/>
      <c r="CA414" s="1577">
        <v>22</v>
      </c>
      <c r="CB414" s="1585">
        <v>22</v>
      </c>
      <c r="CC414" s="1586">
        <v>18</v>
      </c>
      <c r="CD414" s="1586"/>
      <c r="CE414" s="1586"/>
      <c r="CF414" s="1587"/>
      <c r="CG414"/>
      <c r="CH414" s="1565" t="s">
        <v>1520</v>
      </c>
      <c r="CI414" s="1344"/>
      <c r="CJ414" s="1344"/>
      <c r="CK414" s="1345"/>
      <c r="CL414" s="276">
        <f ca="1">INDIRECT(ADDRESS(65,VLOOKUP('Character Sheet'!$AE$405,Mount!$U$73:$AA$88,7),,,"Mount"))</f>
        <v>20</v>
      </c>
      <c r="CM414" s="1588" t="s">
        <v>3667</v>
      </c>
      <c r="CN414" s="1589"/>
      <c r="CO414" s="277">
        <v>7</v>
      </c>
      <c r="CP414" s="277">
        <v>12</v>
      </c>
    </row>
    <row r="415" spans="1:94" ht="15.75" customHeight="1" outlineLevel="1">
      <c r="A415" s="1571" t="s">
        <v>2824</v>
      </c>
      <c r="B415" s="1571"/>
      <c r="C415" s="1571"/>
      <c r="D415" s="1571"/>
      <c r="E415" s="1571"/>
      <c r="F415" s="1571"/>
      <c r="G415" s="1470">
        <f ca="1">INDIRECT(ADDRESS(11,VLOOKUP('Character Sheet'!$AE$404,Mount!$U$73:$Y$88,5),,,"Mount"))</f>
        <v>5</v>
      </c>
      <c r="H415" s="1471"/>
      <c r="I415" s="1450"/>
      <c r="J415" s="1460">
        <f ca="1">INDIRECT(ADDRESS(12,VLOOKUP('Character Sheet'!$AE$404,Mount!$U$73:$Y$88,5),,,"Mount"))</f>
        <v>0.35</v>
      </c>
      <c r="K415" s="1466"/>
      <c r="L415" s="1483"/>
      <c r="M415" s="1575" t="s">
        <v>1974</v>
      </c>
      <c r="N415" s="1576"/>
      <c r="O415" s="1577"/>
      <c r="P415" s="1572">
        <v>3</v>
      </c>
      <c r="Q415" s="1573"/>
      <c r="R415" s="1573"/>
      <c r="S415" s="1573"/>
      <c r="T415" s="1574"/>
      <c r="U415"/>
      <c r="V415" s="1565" t="s">
        <v>1521</v>
      </c>
      <c r="W415" s="1298"/>
      <c r="X415" s="1298"/>
      <c r="Y415" s="1296"/>
      <c r="Z415" s="268">
        <f ca="1">INDIRECT(ADDRESS(66,VLOOKUP('Character Sheet'!$AE$404,Mount!$U$73:$Y$88,5),,,"Mount"))</f>
        <v>40</v>
      </c>
      <c r="AA415" s="1588" t="s">
        <v>1199</v>
      </c>
      <c r="AB415" s="1589"/>
      <c r="AC415" s="277">
        <v>4</v>
      </c>
      <c r="AD415" s="277">
        <v>7</v>
      </c>
      <c r="AG415" s="1571" t="s">
        <v>2824</v>
      </c>
      <c r="AH415" s="1571"/>
      <c r="AI415" s="1571"/>
      <c r="AJ415" s="1571"/>
      <c r="AK415" s="1571"/>
      <c r="AL415" s="1571"/>
      <c r="AM415" s="1470">
        <f ca="1">INDIRECT(ADDRESS(11,VLOOKUP('Character Sheet'!$AE$405,Mount!$U$73:$AA$88,7),,,"Mount"))</f>
        <v>6</v>
      </c>
      <c r="AN415" s="1471"/>
      <c r="AO415" s="1450"/>
      <c r="AP415" s="1460">
        <f ca="1">INDIRECT(ADDRESS(12,VLOOKUP('Character Sheet'!$AE$405,Mount!$U$73:$AA$88,7),,,"Mount"))</f>
        <v>0.4</v>
      </c>
      <c r="AQ415" s="1466"/>
      <c r="AR415" s="1483"/>
      <c r="AS415" s="1575" t="s">
        <v>1974</v>
      </c>
      <c r="AT415" s="1576"/>
      <c r="AU415" s="1577"/>
      <c r="AV415" s="1572">
        <v>4</v>
      </c>
      <c r="AW415" s="1573"/>
      <c r="AX415" s="1573"/>
      <c r="AY415" s="1573"/>
      <c r="AZ415" s="1574"/>
      <c r="BA415"/>
      <c r="BB415" s="1565" t="s">
        <v>1521</v>
      </c>
      <c r="BC415" s="1298"/>
      <c r="BD415" s="1298"/>
      <c r="BE415" s="1296"/>
      <c r="BF415" s="268">
        <f ca="1">INDIRECT(ADDRESS(66,VLOOKUP('Character Sheet'!$AE$405,Mount!$U$73:$AA$88,7),,,"Mount"))</f>
        <v>25</v>
      </c>
      <c r="BG415" s="1588" t="s">
        <v>1199</v>
      </c>
      <c r="BH415" s="1589"/>
      <c r="BI415" s="277">
        <v>4</v>
      </c>
      <c r="BJ415" s="277">
        <v>7</v>
      </c>
      <c r="BM415" s="1571" t="s">
        <v>2824</v>
      </c>
      <c r="BN415" s="1571"/>
      <c r="BO415" s="1571"/>
      <c r="BP415" s="1571"/>
      <c r="BQ415" s="1571"/>
      <c r="BR415" s="1571"/>
      <c r="BS415" s="1470">
        <f ca="1">INDIRECT(ADDRESS(11,VLOOKUP('Character Sheet'!$AE$405,Mount!$U$73:$AA$88,7),,,"Mount"))</f>
        <v>6</v>
      </c>
      <c r="BT415" s="1471"/>
      <c r="BU415" s="1450"/>
      <c r="BV415" s="1460">
        <f ca="1">INDIRECT(ADDRESS(12,VLOOKUP('Character Sheet'!$AE$405,Mount!$U$73:$AA$88,7),,,"Mount"))</f>
        <v>0.4</v>
      </c>
      <c r="BW415" s="1466"/>
      <c r="BX415" s="1483"/>
      <c r="BY415" s="1575" t="s">
        <v>1974</v>
      </c>
      <c r="BZ415" s="1576"/>
      <c r="CA415" s="1577">
        <v>4</v>
      </c>
      <c r="CB415" s="1572">
        <v>16</v>
      </c>
      <c r="CC415" s="1573"/>
      <c r="CD415" s="1573"/>
      <c r="CE415" s="1573"/>
      <c r="CF415" s="1574"/>
      <c r="CG415"/>
      <c r="CH415" s="1565" t="s">
        <v>1521</v>
      </c>
      <c r="CI415" s="1298"/>
      <c r="CJ415" s="1298"/>
      <c r="CK415" s="1296"/>
      <c r="CL415" s="268">
        <f ca="1">INDIRECT(ADDRESS(66,VLOOKUP('Character Sheet'!$AE$405,Mount!$U$73:$AA$88,7),,,"Mount"))</f>
        <v>25</v>
      </c>
      <c r="CM415" s="1588" t="s">
        <v>1199</v>
      </c>
      <c r="CN415" s="1589"/>
      <c r="CO415" s="277">
        <v>4</v>
      </c>
      <c r="CP415" s="277">
        <v>7</v>
      </c>
    </row>
    <row r="416" spans="1:94" ht="15.75" customHeight="1" outlineLevel="1">
      <c r="A416" s="1571" t="s">
        <v>2825</v>
      </c>
      <c r="B416" s="1571"/>
      <c r="C416" s="1571"/>
      <c r="D416" s="1571"/>
      <c r="E416" s="1571"/>
      <c r="F416" s="1571"/>
      <c r="G416" s="1470">
        <f ca="1">INDIRECT(ADDRESS(7,VLOOKUP('Character Sheet'!$AE$404,Mount!$U$73:$Y$88,5),,,"Mount"))</f>
        <v>12</v>
      </c>
      <c r="H416" s="1471"/>
      <c r="I416" s="1450"/>
      <c r="J416" s="1460">
        <f ca="1">INDIRECT(ADDRESS(8,VLOOKUP('Character Sheet'!$AE$404,Mount!$U$73:$Y$88,5),,,"Mount"))</f>
        <v>0.66</v>
      </c>
      <c r="K416" s="1466"/>
      <c r="L416" s="1466"/>
      <c r="M416" s="1575" t="s">
        <v>1523</v>
      </c>
      <c r="N416" s="1576"/>
      <c r="O416" s="1577"/>
      <c r="P416" s="1580"/>
      <c r="Q416" s="1298"/>
      <c r="R416" s="1298"/>
      <c r="S416" s="1298"/>
      <c r="T416" s="1298"/>
      <c r="U416" s="1296"/>
      <c r="V416" s="1565" t="s">
        <v>1522</v>
      </c>
      <c r="W416" s="1344"/>
      <c r="X416" s="1344"/>
      <c r="Y416" s="1345"/>
      <c r="Z416" s="268">
        <f ca="1">INDIRECT(ADDRESS(67,VLOOKUP('Character Sheet'!$AE$404,Mount!$U$73:$Y$88,5),,,"Mount"))</f>
        <v>53</v>
      </c>
      <c r="AA416" s="1599" t="s">
        <v>1200</v>
      </c>
      <c r="AB416" s="1600"/>
      <c r="AC416" s="278">
        <v>1</v>
      </c>
      <c r="AD416" s="278">
        <v>4</v>
      </c>
      <c r="AG416" s="1571" t="s">
        <v>2825</v>
      </c>
      <c r="AH416" s="1571"/>
      <c r="AI416" s="1571"/>
      <c r="AJ416" s="1571"/>
      <c r="AK416" s="1571"/>
      <c r="AL416" s="1571"/>
      <c r="AM416" s="1470">
        <f ca="1">INDIRECT(ADDRESS(7,VLOOKUP('Character Sheet'!$AE$405,Mount!$U$73:$AA$88,7),,,"Mount"))</f>
        <v>10</v>
      </c>
      <c r="AN416" s="1471"/>
      <c r="AO416" s="1450"/>
      <c r="AP416" s="1460">
        <f ca="1">INDIRECT(ADDRESS(8,VLOOKUP('Character Sheet'!$AE$405,Mount!$U$73:$AA$88,7),,,"Mount"))</f>
        <v>0.57999999999999996</v>
      </c>
      <c r="AQ416" s="1466"/>
      <c r="AR416" s="1466"/>
      <c r="AS416" s="1575" t="s">
        <v>1523</v>
      </c>
      <c r="AT416" s="1576"/>
      <c r="AU416" s="1577"/>
      <c r="AV416" s="1580"/>
      <c r="AW416" s="1298"/>
      <c r="AX416" s="1298"/>
      <c r="AY416" s="1298"/>
      <c r="AZ416" s="1298"/>
      <c r="BA416" s="1296"/>
      <c r="BB416" s="1565" t="s">
        <v>1522</v>
      </c>
      <c r="BC416" s="1344"/>
      <c r="BD416" s="1344"/>
      <c r="BE416" s="1345"/>
      <c r="BF416" s="268">
        <f ca="1">INDIRECT(ADDRESS(67,VLOOKUP('Character Sheet'!$AE$405,Mount!$U$73:$Y$88,5),,,"Mount"))</f>
        <v>30</v>
      </c>
      <c r="BG416" s="1599" t="s">
        <v>1200</v>
      </c>
      <c r="BH416" s="1600"/>
      <c r="BI416" s="278">
        <v>1</v>
      </c>
      <c r="BJ416" s="278">
        <v>4</v>
      </c>
      <c r="BM416" s="1571" t="s">
        <v>2825</v>
      </c>
      <c r="BN416" s="1571"/>
      <c r="BO416" s="1571"/>
      <c r="BP416" s="1571"/>
      <c r="BQ416" s="1571"/>
      <c r="BR416" s="1571"/>
      <c r="BS416" s="1470">
        <f ca="1">INDIRECT(ADDRESS(7,VLOOKUP('Character Sheet'!$AE$405,Mount!$U$73:$AA$88,7),,,"Mount"))</f>
        <v>10</v>
      </c>
      <c r="BT416" s="1471"/>
      <c r="BU416" s="1450"/>
      <c r="BV416" s="1460">
        <f ca="1">INDIRECT(ADDRESS(8,VLOOKUP('Character Sheet'!$AE$405,Mount!$U$73:$AA$88,7),,,"Mount"))</f>
        <v>0.57999999999999996</v>
      </c>
      <c r="BW416" s="1466"/>
      <c r="BX416" s="1466"/>
      <c r="BY416" s="1575" t="s">
        <v>1523</v>
      </c>
      <c r="BZ416" s="1576"/>
      <c r="CA416" s="1577"/>
      <c r="CB416" s="1580"/>
      <c r="CC416" s="1298"/>
      <c r="CD416" s="1298"/>
      <c r="CE416" s="1298"/>
      <c r="CF416" s="1298"/>
      <c r="CG416" s="1296"/>
      <c r="CH416" s="1565" t="s">
        <v>1522</v>
      </c>
      <c r="CI416" s="1344"/>
      <c r="CJ416" s="1344"/>
      <c r="CK416" s="1345"/>
      <c r="CL416" s="268">
        <f ca="1">INDIRECT(ADDRESS(67,VLOOKUP('Character Sheet'!$AE$405,Mount!$U$73:$Y$88,5),,,"Mount"))</f>
        <v>30</v>
      </c>
      <c r="CM416" s="1599" t="s">
        <v>1200</v>
      </c>
      <c r="CN416" s="1600"/>
      <c r="CO416" s="278">
        <v>1</v>
      </c>
      <c r="CP416" s="278">
        <v>4</v>
      </c>
    </row>
    <row r="417" spans="1:94" ht="13.5" outlineLevel="1" thickBot="1">
      <c r="A417" s="1571" t="s">
        <v>3705</v>
      </c>
      <c r="B417" s="1571"/>
      <c r="C417" s="1571"/>
      <c r="D417" s="1571"/>
      <c r="E417" s="1571"/>
      <c r="F417" s="1571"/>
      <c r="G417" s="1470">
        <f ca="1">INDIRECT(ADDRESS(15,VLOOKUP('Character Sheet'!$AE$404,Mount!$U$73:$Y$88,5),,,"Mount"))</f>
        <v>14</v>
      </c>
      <c r="H417" s="1471"/>
      <c r="I417" s="1450"/>
      <c r="J417" s="1460">
        <f ca="1">INDIRECT(ADDRESS(16,VLOOKUP('Character Sheet'!$AE$404,Mount!$U$73:$Y$88,5),,,"Mount"))</f>
        <v>0.73</v>
      </c>
      <c r="K417" s="1466"/>
      <c r="L417" s="1466"/>
      <c r="M417" s="1566" t="s">
        <v>4670</v>
      </c>
      <c r="N417" s="1482"/>
      <c r="O417" s="1482"/>
      <c r="P417" s="1482"/>
      <c r="Q417" s="1567"/>
      <c r="R417" s="275">
        <f ca="1">INDIRECT(ADDRESS(26,VLOOKUP('Character Sheet'!$AE$404,Mount!$U$73:$Y$88,5),,,"Mount"))</f>
        <v>4</v>
      </c>
      <c r="S417" s="274" t="s">
        <v>2091</v>
      </c>
      <c r="T417" s="273">
        <v>-1</v>
      </c>
      <c r="U417" s="266" t="s">
        <v>2092</v>
      </c>
      <c r="V417" s="1517" t="s">
        <v>2560</v>
      </c>
      <c r="W417" s="1518"/>
      <c r="X417" s="1518"/>
      <c r="Y417" s="1518"/>
      <c r="Z417" s="1518"/>
      <c r="AA417" s="1518"/>
      <c r="AB417" s="1518"/>
      <c r="AC417" s="1518"/>
      <c r="AD417" s="1519"/>
      <c r="AG417" s="1571" t="s">
        <v>3705</v>
      </c>
      <c r="AH417" s="1571"/>
      <c r="AI417" s="1571"/>
      <c r="AJ417" s="1571"/>
      <c r="AK417" s="1571"/>
      <c r="AL417" s="1571"/>
      <c r="AM417" s="1470">
        <f ca="1">INDIRECT(ADDRESS(15,VLOOKUP('Character Sheet'!$AE$405,Mount!$U$73:$AA$88,7),,,"Mount"))</f>
        <v>12</v>
      </c>
      <c r="AN417" s="1471"/>
      <c r="AO417" s="1450"/>
      <c r="AP417" s="1460">
        <f ca="1">INDIRECT(ADDRESS(16,VLOOKUP('Character Sheet'!$AE$405,Mount!$U$73:$AA$88,7),,,"Mount"))</f>
        <v>0.66</v>
      </c>
      <c r="AQ417" s="1466"/>
      <c r="AR417" s="1466"/>
      <c r="AS417" s="1566" t="s">
        <v>4670</v>
      </c>
      <c r="AT417" s="1482"/>
      <c r="AU417" s="1482"/>
      <c r="AV417" s="1482"/>
      <c r="AW417" s="1567"/>
      <c r="AX417" s="275">
        <f ca="1">INDIRECT(ADDRESS(26,VLOOKUP('Character Sheet'!$AE$405,Mount!$U$73:$AA$88,7),,,"Mount"))</f>
        <v>4</v>
      </c>
      <c r="AY417" s="274" t="s">
        <v>2091</v>
      </c>
      <c r="AZ417" s="273">
        <v>-1</v>
      </c>
      <c r="BA417" s="266" t="s">
        <v>2092</v>
      </c>
      <c r="BB417" s="1517" t="s">
        <v>2560</v>
      </c>
      <c r="BC417" s="1518"/>
      <c r="BD417" s="1518"/>
      <c r="BE417" s="1518"/>
      <c r="BF417" s="1518"/>
      <c r="BG417" s="1518"/>
      <c r="BH417" s="1518"/>
      <c r="BI417" s="1518"/>
      <c r="BJ417" s="1519"/>
      <c r="BM417" s="1571" t="s">
        <v>3705</v>
      </c>
      <c r="BN417" s="1571"/>
      <c r="BO417" s="1571"/>
      <c r="BP417" s="1571"/>
      <c r="BQ417" s="1571"/>
      <c r="BR417" s="1571"/>
      <c r="BS417" s="1470">
        <f ca="1">INDIRECT(ADDRESS(15,VLOOKUP('Character Sheet'!$AE$405,Mount!$U$73:$AA$88,7),,,"Mount"))</f>
        <v>12</v>
      </c>
      <c r="BT417" s="1471"/>
      <c r="BU417" s="1450"/>
      <c r="BV417" s="1460">
        <f ca="1">INDIRECT(ADDRESS(16,VLOOKUP('Character Sheet'!$AE$405,Mount!$U$73:$AA$88,7),,,"Mount"))</f>
        <v>0.66</v>
      </c>
      <c r="BW417" s="1466"/>
      <c r="BX417" s="1466"/>
      <c r="BY417" s="1566" t="s">
        <v>4670</v>
      </c>
      <c r="BZ417" s="1482"/>
      <c r="CA417" s="1482"/>
      <c r="CB417" s="1482"/>
      <c r="CC417" s="1567"/>
      <c r="CD417" s="275">
        <f ca="1">INDIRECT(ADDRESS(26,VLOOKUP('Character Sheet'!$AE$405,Mount!$U$73:$AA$88,7),,,"Mount"))</f>
        <v>4</v>
      </c>
      <c r="CE417" s="274" t="s">
        <v>2091</v>
      </c>
      <c r="CF417" s="273">
        <v>-1</v>
      </c>
      <c r="CG417" s="266" t="s">
        <v>2092</v>
      </c>
      <c r="CH417" s="1517" t="s">
        <v>2560</v>
      </c>
      <c r="CI417" s="1518"/>
      <c r="CJ417" s="1518"/>
      <c r="CK417" s="1518"/>
      <c r="CL417" s="1518"/>
      <c r="CM417" s="1518"/>
      <c r="CN417" s="1518"/>
      <c r="CO417" s="1518"/>
      <c r="CP417" s="1519"/>
    </row>
    <row r="418" spans="1:94" ht="17.25" customHeight="1" outlineLevel="1" thickTop="1">
      <c r="A418" s="1511" t="s">
        <v>949</v>
      </c>
      <c r="B418" s="1590"/>
      <c r="C418" s="1590"/>
      <c r="D418" s="1590"/>
      <c r="E418" s="1590"/>
      <c r="F418" s="1591"/>
      <c r="G418" s="1511" t="s">
        <v>5370</v>
      </c>
      <c r="H418" s="1590"/>
      <c r="I418" s="1591"/>
      <c r="J418" s="1511" t="s">
        <v>5085</v>
      </c>
      <c r="K418" s="1590"/>
      <c r="L418" s="1590"/>
      <c r="M418" s="1566" t="s">
        <v>2090</v>
      </c>
      <c r="N418" s="1482"/>
      <c r="O418" s="1482"/>
      <c r="P418" s="1482"/>
      <c r="Q418" s="1567"/>
      <c r="R418" s="275">
        <f ca="1">INDIRECT(ADDRESS(27,VLOOKUP('Character Sheet'!$AE$404,Mount!$U$73:$Y$88,5),,,"Mount"))</f>
        <v>4</v>
      </c>
      <c r="S418" s="1581"/>
      <c r="T418" s="1175"/>
      <c r="U418" s="1582"/>
      <c r="V418" s="1583" t="s">
        <v>1062</v>
      </c>
      <c r="W418" s="1584"/>
      <c r="X418" s="1584"/>
      <c r="Y418" s="1584"/>
      <c r="Z418" s="1584"/>
      <c r="AA418" s="393" t="s">
        <v>2763</v>
      </c>
      <c r="AB418" s="393" t="s">
        <v>5222</v>
      </c>
      <c r="AC418" s="393" t="s">
        <v>5222</v>
      </c>
      <c r="AD418" s="394"/>
      <c r="AG418" s="1511" t="s">
        <v>949</v>
      </c>
      <c r="AH418" s="1590"/>
      <c r="AI418" s="1590"/>
      <c r="AJ418" s="1590"/>
      <c r="AK418" s="1590"/>
      <c r="AL418" s="1591"/>
      <c r="AM418" s="1511" t="s">
        <v>5370</v>
      </c>
      <c r="AN418" s="1590"/>
      <c r="AO418" s="1591"/>
      <c r="AP418" s="1511" t="s">
        <v>5085</v>
      </c>
      <c r="AQ418" s="1590"/>
      <c r="AR418" s="1590"/>
      <c r="AS418" s="1566" t="s">
        <v>2090</v>
      </c>
      <c r="AT418" s="1482"/>
      <c r="AU418" s="1482"/>
      <c r="AV418" s="1482"/>
      <c r="AW418" s="1567"/>
      <c r="AX418" s="275">
        <f ca="1">INDIRECT(ADDRESS(27,VLOOKUP('Character Sheet'!$AE$405,Mount!$U$73:$AA$88,7),,,"Mount"))</f>
        <v>4.5</v>
      </c>
      <c r="AY418" s="1581"/>
      <c r="AZ418" s="1175"/>
      <c r="BA418" s="1582"/>
      <c r="BB418" s="1583" t="s">
        <v>1062</v>
      </c>
      <c r="BC418" s="1584"/>
      <c r="BD418" s="1584"/>
      <c r="BE418" s="1584"/>
      <c r="BF418" s="1584"/>
      <c r="BG418" s="393" t="s">
        <v>2763</v>
      </c>
      <c r="BH418" s="393" t="s">
        <v>5222</v>
      </c>
      <c r="BI418" s="393" t="s">
        <v>5222</v>
      </c>
      <c r="BJ418" s="394"/>
      <c r="BM418" s="1511" t="s">
        <v>949</v>
      </c>
      <c r="BN418" s="1590"/>
      <c r="BO418" s="1590"/>
      <c r="BP418" s="1590"/>
      <c r="BQ418" s="1590"/>
      <c r="BR418" s="1591"/>
      <c r="BS418" s="1511" t="s">
        <v>5370</v>
      </c>
      <c r="BT418" s="1590"/>
      <c r="BU418" s="1591"/>
      <c r="BV418" s="1511" t="s">
        <v>5085</v>
      </c>
      <c r="BW418" s="1590"/>
      <c r="BX418" s="1590"/>
      <c r="BY418" s="1566" t="s">
        <v>2090</v>
      </c>
      <c r="BZ418" s="1482"/>
      <c r="CA418" s="1482"/>
      <c r="CB418" s="1482"/>
      <c r="CC418" s="1567"/>
      <c r="CD418" s="275">
        <f ca="1">INDIRECT(ADDRESS(27,VLOOKUP('Character Sheet'!$AE$405,Mount!$U$73:$AA$88,7),,,"Mount"))</f>
        <v>4.5</v>
      </c>
      <c r="CE418" s="1581"/>
      <c r="CF418" s="1175"/>
      <c r="CG418" s="1582"/>
      <c r="CH418" s="1583" t="s">
        <v>1062</v>
      </c>
      <c r="CI418" s="1584"/>
      <c r="CJ418" s="1584"/>
      <c r="CK418" s="1584"/>
      <c r="CL418" s="1584"/>
      <c r="CM418" s="393" t="s">
        <v>2763</v>
      </c>
      <c r="CN418" s="393" t="s">
        <v>5222</v>
      </c>
      <c r="CO418" s="393" t="s">
        <v>5222</v>
      </c>
      <c r="CP418" s="394"/>
    </row>
    <row r="419" spans="1:94" ht="17.25" customHeight="1" outlineLevel="1">
      <c r="A419" s="1565" t="s">
        <v>3035</v>
      </c>
      <c r="B419" s="1469"/>
      <c r="C419" s="1469"/>
      <c r="D419" s="1467"/>
      <c r="E419" s="1487">
        <v>10</v>
      </c>
      <c r="F419" s="1489"/>
      <c r="G419" s="1470">
        <f>E419+2</f>
        <v>12</v>
      </c>
      <c r="H419" s="1471"/>
      <c r="I419" s="1450"/>
      <c r="J419" s="1460">
        <f>VLOOKUP(G419,'System Lookups'!$F$4:$G$27,2)</f>
        <v>0.66</v>
      </c>
      <c r="K419" s="1466"/>
      <c r="L419" s="1483"/>
      <c r="M419" s="1566" t="s">
        <v>4671</v>
      </c>
      <c r="N419" s="1482"/>
      <c r="O419" s="1482"/>
      <c r="P419" s="1482"/>
      <c r="Q419" s="1567"/>
      <c r="R419" s="275">
        <f ca="1">INDIRECT(ADDRESS(28,VLOOKUP('Character Sheet'!$AE$404,Mount!$U$73:$Y$88,5),,,"Mount"))</f>
        <v>12</v>
      </c>
      <c r="S419" s="274" t="s">
        <v>2091</v>
      </c>
      <c r="T419" s="273">
        <v>-5</v>
      </c>
      <c r="U419" s="266" t="s">
        <v>2092</v>
      </c>
      <c r="V419" s="1579" t="s">
        <v>1063</v>
      </c>
      <c r="W419" s="1557"/>
      <c r="X419" s="1557"/>
      <c r="Y419" s="1557"/>
      <c r="Z419" s="1557"/>
      <c r="AA419" s="279" t="s">
        <v>2763</v>
      </c>
      <c r="AB419" s="279" t="s">
        <v>5222</v>
      </c>
      <c r="AC419" s="279" t="s">
        <v>5222</v>
      </c>
      <c r="AD419" s="395">
        <f ca="1">0.4+$J$414</f>
        <v>0.65</v>
      </c>
      <c r="AG419" s="1565" t="s">
        <v>3035</v>
      </c>
      <c r="AH419" s="1469"/>
      <c r="AI419" s="1469"/>
      <c r="AJ419" s="1467"/>
      <c r="AK419" s="1487">
        <v>10</v>
      </c>
      <c r="AL419" s="1489"/>
      <c r="AM419" s="1470">
        <f>AK419+2</f>
        <v>12</v>
      </c>
      <c r="AN419" s="1471"/>
      <c r="AO419" s="1450"/>
      <c r="AP419" s="1460">
        <f>VLOOKUP(AM419,'System Lookups'!$F$4:$G$27,2)</f>
        <v>0.66</v>
      </c>
      <c r="AQ419" s="1466"/>
      <c r="AR419" s="1483"/>
      <c r="AS419" s="1566" t="s">
        <v>4671</v>
      </c>
      <c r="AT419" s="1482"/>
      <c r="AU419" s="1482"/>
      <c r="AV419" s="1482"/>
      <c r="AW419" s="1567"/>
      <c r="AX419" s="275">
        <f ca="1">INDIRECT(ADDRESS(28,VLOOKUP('Character Sheet'!$AE$405,Mount!$U$73:$AA$88,7),,,"Mount"))</f>
        <v>12</v>
      </c>
      <c r="AY419" s="274" t="s">
        <v>2091</v>
      </c>
      <c r="AZ419" s="273">
        <v>-5</v>
      </c>
      <c r="BA419" s="266" t="s">
        <v>2092</v>
      </c>
      <c r="BB419" s="1579" t="s">
        <v>1063</v>
      </c>
      <c r="BC419" s="1557"/>
      <c r="BD419" s="1557"/>
      <c r="BE419" s="1557"/>
      <c r="BF419" s="1557"/>
      <c r="BG419" s="279" t="s">
        <v>2763</v>
      </c>
      <c r="BH419" s="279" t="s">
        <v>5222</v>
      </c>
      <c r="BI419" s="279" t="s">
        <v>5222</v>
      </c>
      <c r="BJ419" s="395">
        <f ca="1">0.4+$AP$414</f>
        <v>0.7</v>
      </c>
      <c r="BM419" s="1565" t="s">
        <v>3035</v>
      </c>
      <c r="BN419" s="1469"/>
      <c r="BO419" s="1469"/>
      <c r="BP419" s="1467"/>
      <c r="BQ419" s="1487">
        <v>10</v>
      </c>
      <c r="BR419" s="1489"/>
      <c r="BS419" s="1470">
        <f>BQ419+2</f>
        <v>12</v>
      </c>
      <c r="BT419" s="1471"/>
      <c r="BU419" s="1450"/>
      <c r="BV419" s="1460">
        <f>VLOOKUP(BS419,'System Lookups'!$F$4:$G$27,2)</f>
        <v>0.66</v>
      </c>
      <c r="BW419" s="1466"/>
      <c r="BX419" s="1483"/>
      <c r="BY419" s="1566" t="s">
        <v>4671</v>
      </c>
      <c r="BZ419" s="1482"/>
      <c r="CA419" s="1482"/>
      <c r="CB419" s="1482"/>
      <c r="CC419" s="1567"/>
      <c r="CD419" s="275">
        <f ca="1">INDIRECT(ADDRESS(28,VLOOKUP('Character Sheet'!$AE$405,Mount!$U$73:$AA$88,7),,,"Mount"))</f>
        <v>12</v>
      </c>
      <c r="CE419" s="274" t="s">
        <v>2091</v>
      </c>
      <c r="CF419" s="273">
        <v>-5</v>
      </c>
      <c r="CG419" s="266" t="s">
        <v>2092</v>
      </c>
      <c r="CH419" s="1579" t="s">
        <v>1063</v>
      </c>
      <c r="CI419" s="1557"/>
      <c r="CJ419" s="1557"/>
      <c r="CK419" s="1557"/>
      <c r="CL419" s="1557"/>
      <c r="CM419" s="279" t="s">
        <v>2763</v>
      </c>
      <c r="CN419" s="279" t="s">
        <v>5222</v>
      </c>
      <c r="CO419" s="279" t="s">
        <v>5222</v>
      </c>
      <c r="CP419" s="395">
        <f ca="1">0.4+$AP$414</f>
        <v>0.7</v>
      </c>
    </row>
    <row r="420" spans="1:94" outlineLevel="1">
      <c r="A420" s="1465" t="s">
        <v>2530</v>
      </c>
      <c r="B420" s="1344"/>
      <c r="C420" s="1344"/>
      <c r="D420" s="1344"/>
      <c r="E420" s="1344"/>
      <c r="F420" s="1345"/>
      <c r="G420" s="1470">
        <f ca="1">CEILING((IF(G412&gt;10,IF(G412&gt;14,(G412+(G412-14)),G412),0)+IF(G415&gt;10,IF(G415&gt;14,(G415+(G415-14)),G415),0)+IF(G416&gt;10,IF(G416&gt;14,(G416+(G416-14)),G416),0)+G419+(1))/4,1)</f>
        <v>11</v>
      </c>
      <c r="H420" s="1471"/>
      <c r="I420" s="1450"/>
      <c r="J420" s="1460">
        <f ca="1">VLOOKUP(G420,'System Lookups'!$F$4:$G$27,2)</f>
        <v>0.62</v>
      </c>
      <c r="K420" s="1466"/>
      <c r="L420" s="1483"/>
      <c r="M420" s="1566" t="s">
        <v>4672</v>
      </c>
      <c r="N420" s="1482"/>
      <c r="O420" s="1482"/>
      <c r="P420" s="1482"/>
      <c r="Q420" s="1567"/>
      <c r="R420" s="275">
        <f ca="1">INDIRECT(ADDRESS(29,VLOOKUP('Character Sheet'!$AE$404,Mount!$U$73:$Y$88,5),,,"Mount"))</f>
        <v>12.1</v>
      </c>
      <c r="S420" s="1581"/>
      <c r="T420" s="1175"/>
      <c r="U420" s="1582"/>
      <c r="V420" s="1579" t="s">
        <v>1064</v>
      </c>
      <c r="W420" s="1557"/>
      <c r="X420" s="1557"/>
      <c r="Y420" s="1557"/>
      <c r="Z420" s="1557"/>
      <c r="AA420" s="279" t="s">
        <v>2763</v>
      </c>
      <c r="AB420" s="279" t="s">
        <v>5222</v>
      </c>
      <c r="AC420" s="279" t="s">
        <v>5222</v>
      </c>
      <c r="AD420" s="395">
        <f ca="1">0.4+$J$414</f>
        <v>0.65</v>
      </c>
      <c r="AG420" s="1465" t="s">
        <v>2530</v>
      </c>
      <c r="AH420" s="1344"/>
      <c r="AI420" s="1344"/>
      <c r="AJ420" s="1344"/>
      <c r="AK420" s="1344"/>
      <c r="AL420" s="1345"/>
      <c r="AM420" s="1470">
        <f ca="1">CEILING((IF(AM412&gt;10,IF(AM412&gt;14,(AM412+(AM412-14)),AM412),0)+IF(AM415&gt;10,IF(AM415&gt;14,(AM415+(AM415-14)),AM415),0)+IF(AM416&gt;10,IF(AM416&gt;14,(AM416+(AM416-14)),AM416),0)+AM419+(1))/4,1)</f>
        <v>7</v>
      </c>
      <c r="AN420" s="1471"/>
      <c r="AO420" s="1450"/>
      <c r="AP420" s="1460">
        <f ca="1">VLOOKUP(AM420,'System Lookups'!$F$4:$G$27,2)</f>
        <v>0.45</v>
      </c>
      <c r="AQ420" s="1466"/>
      <c r="AR420" s="1483"/>
      <c r="AS420" s="1566" t="s">
        <v>4672</v>
      </c>
      <c r="AT420" s="1482"/>
      <c r="AU420" s="1482"/>
      <c r="AV420" s="1482"/>
      <c r="AW420" s="1567"/>
      <c r="AX420" s="275">
        <f ca="1">INDIRECT(ADDRESS(29,VLOOKUP('Character Sheet'!$AE$405,Mount!$U$73:$AA$88,7),,,"Mount"))</f>
        <v>13.6</v>
      </c>
      <c r="AY420" s="1581"/>
      <c r="AZ420" s="1175"/>
      <c r="BA420" s="1582"/>
      <c r="BB420" s="1579" t="s">
        <v>1064</v>
      </c>
      <c r="BC420" s="1557"/>
      <c r="BD420" s="1557"/>
      <c r="BE420" s="1557"/>
      <c r="BF420" s="1557"/>
      <c r="BG420" s="279" t="s">
        <v>2763</v>
      </c>
      <c r="BH420" s="279" t="s">
        <v>5222</v>
      </c>
      <c r="BI420" s="279" t="s">
        <v>5222</v>
      </c>
      <c r="BJ420" s="395">
        <f ca="1">0.4+$AP$414</f>
        <v>0.7</v>
      </c>
      <c r="BM420" s="1465" t="s">
        <v>2530</v>
      </c>
      <c r="BN420" s="1344"/>
      <c r="BO420" s="1344"/>
      <c r="BP420" s="1344"/>
      <c r="BQ420" s="1344"/>
      <c r="BR420" s="1345"/>
      <c r="BS420" s="1470">
        <f ca="1">CEILING((IF(BS412&gt;10,IF(BS412&gt;14,(BS412+(BS412-14)),BS412),0)+IF(BS415&gt;10,IF(BS415&gt;14,(BS415+(BS415-14)),BS415),0)+IF(BS416&gt;10,IF(BS416&gt;14,(BS416+(BS416-14)),BS416),0)+BS419+(1))/4,1)</f>
        <v>7</v>
      </c>
      <c r="BT420" s="1471"/>
      <c r="BU420" s="1450"/>
      <c r="BV420" s="1460">
        <f ca="1">VLOOKUP(BS420,'System Lookups'!$F$4:$G$27,2)</f>
        <v>0.45</v>
      </c>
      <c r="BW420" s="1466"/>
      <c r="BX420" s="1483"/>
      <c r="BY420" s="1566" t="s">
        <v>4672</v>
      </c>
      <c r="BZ420" s="1482"/>
      <c r="CA420" s="1482"/>
      <c r="CB420" s="1482"/>
      <c r="CC420" s="1567"/>
      <c r="CD420" s="275">
        <f ca="1">INDIRECT(ADDRESS(29,VLOOKUP('Character Sheet'!$AE$405,Mount!$U$73:$AA$88,7),,,"Mount"))</f>
        <v>13.6</v>
      </c>
      <c r="CE420" s="1581"/>
      <c r="CF420" s="1175"/>
      <c r="CG420" s="1582"/>
      <c r="CH420" s="1579" t="s">
        <v>1064</v>
      </c>
      <c r="CI420" s="1557"/>
      <c r="CJ420" s="1557"/>
      <c r="CK420" s="1557"/>
      <c r="CL420" s="1557"/>
      <c r="CM420" s="279" t="s">
        <v>2763</v>
      </c>
      <c r="CN420" s="279" t="s">
        <v>5222</v>
      </c>
      <c r="CO420" s="279" t="s">
        <v>5222</v>
      </c>
      <c r="CP420" s="395">
        <f ca="1">0.4+$AP$414</f>
        <v>0.7</v>
      </c>
    </row>
    <row r="421" spans="1:94" ht="13.5" outlineLevel="1" thickBot="1">
      <c r="A421" s="1465" t="s">
        <v>2094</v>
      </c>
      <c r="B421" s="1344"/>
      <c r="C421" s="1344"/>
      <c r="D421" s="1344"/>
      <c r="E421" s="1344"/>
      <c r="F421" s="1345"/>
      <c r="G421" s="1568">
        <f ca="1">SQRT(G412)</f>
        <v>4</v>
      </c>
      <c r="H421" s="1569"/>
      <c r="I421" s="1570"/>
      <c r="J421" s="1460"/>
      <c r="K421" s="1466"/>
      <c r="L421" s="1483"/>
      <c r="M421" s="1566" t="s">
        <v>735</v>
      </c>
      <c r="N421" s="1482"/>
      <c r="O421" s="1482"/>
      <c r="P421" s="1482"/>
      <c r="Q421" s="1567"/>
      <c r="R421" s="275">
        <f ca="1">INDIRECT(ADDRESS(30,VLOOKUP('Character Sheet'!$AE$404,Mount!$U$73:$Y$88,5),,,"Mount"))</f>
        <v>24</v>
      </c>
      <c r="S421" s="274" t="s">
        <v>2091</v>
      </c>
      <c r="T421" s="273">
        <v>-1</v>
      </c>
      <c r="U421" s="266" t="s">
        <v>5426</v>
      </c>
      <c r="V421" s="1592" t="s">
        <v>1065</v>
      </c>
      <c r="W421" s="1593"/>
      <c r="X421" s="1593"/>
      <c r="Y421" s="1593"/>
      <c r="Z421" s="1593"/>
      <c r="AA421" s="400" t="s">
        <v>2763</v>
      </c>
      <c r="AB421" s="400" t="str">
        <f>IF($AB$418="Y","Y","N")</f>
        <v>Y</v>
      </c>
      <c r="AC421" s="400" t="s">
        <v>5222</v>
      </c>
      <c r="AD421" s="401">
        <f ca="1">0.4+$J$414</f>
        <v>0.65</v>
      </c>
      <c r="AG421" s="1465" t="s">
        <v>2094</v>
      </c>
      <c r="AH421" s="1344"/>
      <c r="AI421" s="1344"/>
      <c r="AJ421" s="1344"/>
      <c r="AK421" s="1344"/>
      <c r="AL421" s="1345"/>
      <c r="AM421" s="1568">
        <f ca="1">SQRT(AM412)</f>
        <v>3.7416573867739413</v>
      </c>
      <c r="AN421" s="1569"/>
      <c r="AO421" s="1570"/>
      <c r="AP421" s="1460"/>
      <c r="AQ421" s="1466"/>
      <c r="AR421" s="1483"/>
      <c r="AS421" s="1566" t="s">
        <v>735</v>
      </c>
      <c r="AT421" s="1482"/>
      <c r="AU421" s="1482"/>
      <c r="AV421" s="1482"/>
      <c r="AW421" s="1567"/>
      <c r="AX421" s="275">
        <f ca="1">INDIRECT(ADDRESS(30,VLOOKUP('Character Sheet'!$AE$405,Mount!$U$73:$AA$88,7),,,"Mount"))</f>
        <v>24</v>
      </c>
      <c r="AY421" s="274" t="s">
        <v>2091</v>
      </c>
      <c r="AZ421" s="273">
        <v>-1</v>
      </c>
      <c r="BA421" s="266" t="s">
        <v>5426</v>
      </c>
      <c r="BB421" s="1592" t="s">
        <v>1065</v>
      </c>
      <c r="BC421" s="1593"/>
      <c r="BD421" s="1593"/>
      <c r="BE421" s="1593"/>
      <c r="BF421" s="1593"/>
      <c r="BG421" s="400" t="s">
        <v>2763</v>
      </c>
      <c r="BH421" s="400" t="str">
        <f>IF($AB$418="Y","Y","N")</f>
        <v>Y</v>
      </c>
      <c r="BI421" s="400" t="s">
        <v>5222</v>
      </c>
      <c r="BJ421" s="401">
        <f ca="1">0.4+$AP$414</f>
        <v>0.7</v>
      </c>
      <c r="BM421" s="1465" t="s">
        <v>2094</v>
      </c>
      <c r="BN421" s="1344"/>
      <c r="BO421" s="1344"/>
      <c r="BP421" s="1344"/>
      <c r="BQ421" s="1344"/>
      <c r="BR421" s="1345"/>
      <c r="BS421" s="1568">
        <f ca="1">SQRT(BS412)</f>
        <v>3.7416573867739413</v>
      </c>
      <c r="BT421" s="1569"/>
      <c r="BU421" s="1570"/>
      <c r="BV421" s="1460"/>
      <c r="BW421" s="1466"/>
      <c r="BX421" s="1483"/>
      <c r="BY421" s="1566" t="s">
        <v>735</v>
      </c>
      <c r="BZ421" s="1482"/>
      <c r="CA421" s="1482"/>
      <c r="CB421" s="1482"/>
      <c r="CC421" s="1567"/>
      <c r="CD421" s="275">
        <f ca="1">INDIRECT(ADDRESS(30,VLOOKUP('Character Sheet'!$AE$405,Mount!$U$73:$AA$88,7),,,"Mount"))</f>
        <v>24</v>
      </c>
      <c r="CE421" s="274" t="s">
        <v>2091</v>
      </c>
      <c r="CF421" s="273">
        <v>-1</v>
      </c>
      <c r="CG421" s="266" t="s">
        <v>5426</v>
      </c>
      <c r="CH421" s="1592" t="s">
        <v>1065</v>
      </c>
      <c r="CI421" s="1593"/>
      <c r="CJ421" s="1593"/>
      <c r="CK421" s="1593"/>
      <c r="CL421" s="1593"/>
      <c r="CM421" s="400" t="s">
        <v>2763</v>
      </c>
      <c r="CN421" s="400" t="str">
        <f>IF($AB$418="Y","Y","N")</f>
        <v>Y</v>
      </c>
      <c r="CO421" s="400" t="s">
        <v>5222</v>
      </c>
      <c r="CP421" s="401">
        <f ca="1">0.4+$AP$414</f>
        <v>0.7</v>
      </c>
    </row>
    <row r="422" spans="1:94" ht="13.5" outlineLevel="1" thickTop="1">
      <c r="A422" s="1463"/>
      <c r="B422" s="1463"/>
      <c r="C422" s="1463"/>
      <c r="D422" s="1463"/>
      <c r="E422" s="1463"/>
      <c r="F422" s="1463"/>
      <c r="G422" s="1463"/>
      <c r="H422" s="1463"/>
      <c r="I422" s="1463"/>
      <c r="J422" s="1463"/>
      <c r="K422" s="1463"/>
      <c r="L422" s="1464"/>
      <c r="M422" s="1566" t="s">
        <v>736</v>
      </c>
      <c r="N422" s="1482"/>
      <c r="O422" s="1482"/>
      <c r="P422" s="1482"/>
      <c r="Q422" s="1567"/>
      <c r="R422" s="275">
        <f ca="1">INDIRECT(ADDRESS(31,VLOOKUP('Character Sheet'!$AE$404,Mount!$U$73:$Y$88,5),,,"Mount"))</f>
        <v>29.5</v>
      </c>
      <c r="S422" s="1594"/>
      <c r="T422" s="1535"/>
      <c r="U422" s="1535"/>
      <c r="V422" s="1584" t="s">
        <v>2551</v>
      </c>
      <c r="W422" s="1584"/>
      <c r="X422" s="1584"/>
      <c r="Y422" s="1584"/>
      <c r="Z422" s="1584"/>
      <c r="AA422" s="393" t="s">
        <v>2763</v>
      </c>
      <c r="AB422" s="402" t="str">
        <f>IF($AB$418="Y","Y","N")</f>
        <v>Y</v>
      </c>
      <c r="AC422" s="393" t="s">
        <v>5222</v>
      </c>
      <c r="AD422" s="389"/>
      <c r="AE422" s="272"/>
      <c r="AF422" s="272"/>
      <c r="AG422" s="1463"/>
      <c r="AH422" s="1463"/>
      <c r="AI422" s="1463"/>
      <c r="AJ422" s="1463"/>
      <c r="AK422" s="1463"/>
      <c r="AL422" s="1463"/>
      <c r="AM422" s="1463"/>
      <c r="AN422" s="1463"/>
      <c r="AO422" s="1463"/>
      <c r="AP422" s="1463"/>
      <c r="AQ422" s="1463"/>
      <c r="AR422" s="1464"/>
      <c r="AS422" s="1566" t="s">
        <v>736</v>
      </c>
      <c r="AT422" s="1482"/>
      <c r="AU422" s="1482"/>
      <c r="AV422" s="1482"/>
      <c r="AW422" s="1567"/>
      <c r="AX422" s="275">
        <f ca="1">INDIRECT(ADDRESS(31,VLOOKUP('Character Sheet'!$AE$405,Mount!$U$73:$AA$88,7),,,"Mount"))</f>
        <v>32.700000000000003</v>
      </c>
      <c r="AY422" s="1594"/>
      <c r="AZ422" s="1535"/>
      <c r="BA422" s="1535"/>
      <c r="BB422" s="1584" t="s">
        <v>2551</v>
      </c>
      <c r="BC422" s="1584"/>
      <c r="BD422" s="1584"/>
      <c r="BE422" s="1584"/>
      <c r="BF422" s="1584"/>
      <c r="BG422" s="393" t="s">
        <v>2763</v>
      </c>
      <c r="BH422" s="402" t="str">
        <f>IF($BH$418="Y","Y","N")</f>
        <v>Y</v>
      </c>
      <c r="BI422" s="393" t="s">
        <v>5224</v>
      </c>
      <c r="BJ422" s="389"/>
      <c r="BM422" s="1463"/>
      <c r="BN422" s="1463"/>
      <c r="BO422" s="1463"/>
      <c r="BP422" s="1463"/>
      <c r="BQ422" s="1463"/>
      <c r="BR422" s="1463"/>
      <c r="BS422" s="1463"/>
      <c r="BT422" s="1463"/>
      <c r="BU422" s="1463"/>
      <c r="BV422" s="1463"/>
      <c r="BW422" s="1463"/>
      <c r="BX422" s="1464"/>
      <c r="BY422" s="1566" t="s">
        <v>736</v>
      </c>
      <c r="BZ422" s="1482"/>
      <c r="CA422" s="1482"/>
      <c r="CB422" s="1482"/>
      <c r="CC422" s="1567"/>
      <c r="CD422" s="275">
        <f ca="1">INDIRECT(ADDRESS(31,VLOOKUP('Character Sheet'!$AE$405,Mount!$U$73:$AA$88,7),,,"Mount"))</f>
        <v>32.700000000000003</v>
      </c>
      <c r="CE422" s="1594"/>
      <c r="CF422" s="1535"/>
      <c r="CG422" s="1535"/>
      <c r="CH422" s="1584" t="s">
        <v>2551</v>
      </c>
      <c r="CI422" s="1584"/>
      <c r="CJ422" s="1584"/>
      <c r="CK422" s="1584"/>
      <c r="CL422" s="1584"/>
      <c r="CM422" s="393" t="s">
        <v>2763</v>
      </c>
      <c r="CN422" s="402" t="str">
        <f>IF($BH$418="Y","Y","N")</f>
        <v>Y</v>
      </c>
      <c r="CO422" s="393" t="s">
        <v>5224</v>
      </c>
      <c r="CP422" s="389"/>
    </row>
    <row r="423" spans="1:94" outlineLevel="1">
      <c r="A423" s="1561" t="s">
        <v>3992</v>
      </c>
      <c r="B423" s="1562"/>
      <c r="C423" s="1562"/>
      <c r="D423" s="1562"/>
      <c r="E423" s="1562"/>
      <c r="F423" s="1562"/>
      <c r="G423" s="1562"/>
      <c r="H423" s="1562"/>
      <c r="I423" s="1562"/>
      <c r="J423" s="1562"/>
      <c r="K423" s="1562"/>
      <c r="L423" s="1562"/>
      <c r="M423" s="1562"/>
      <c r="N423" s="1562"/>
      <c r="O423" s="1562"/>
      <c r="P423" s="1562"/>
      <c r="Q423" s="1562"/>
      <c r="R423" s="1562"/>
      <c r="S423" s="1562"/>
      <c r="T423" s="1562"/>
      <c r="U423" s="1563"/>
      <c r="V423" s="1564" t="s">
        <v>1066</v>
      </c>
      <c r="W423" s="1564"/>
      <c r="X423" s="1564"/>
      <c r="Y423" s="1564"/>
      <c r="Z423" s="1564"/>
      <c r="AA423" s="391" t="s">
        <v>2763</v>
      </c>
      <c r="AB423" s="398" t="str">
        <f ca="1">IF($G$416&gt;6,"Y","N")</f>
        <v>Y</v>
      </c>
      <c r="AC423" s="396" t="s">
        <v>5222</v>
      </c>
      <c r="AD423" s="392">
        <f ca="1">0.4+$J$414</f>
        <v>0.65</v>
      </c>
      <c r="AE423" s="272"/>
      <c r="AF423" s="272"/>
      <c r="AG423" s="1561" t="s">
        <v>3992</v>
      </c>
      <c r="AH423" s="1562"/>
      <c r="AI423" s="1562"/>
      <c r="AJ423" s="1562"/>
      <c r="AK423" s="1562"/>
      <c r="AL423" s="1562"/>
      <c r="AM423" s="1562"/>
      <c r="AN423" s="1562"/>
      <c r="AO423" s="1562"/>
      <c r="AP423" s="1562"/>
      <c r="AQ423" s="1562"/>
      <c r="AR423" s="1562"/>
      <c r="AS423" s="1562"/>
      <c r="AT423" s="1562"/>
      <c r="AU423" s="1562"/>
      <c r="AV423" s="1562"/>
      <c r="AW423" s="1562"/>
      <c r="AX423" s="1562"/>
      <c r="AY423" s="1562"/>
      <c r="AZ423" s="1562"/>
      <c r="BA423" s="1563"/>
      <c r="BB423" s="1564" t="s">
        <v>1066</v>
      </c>
      <c r="BC423" s="1564"/>
      <c r="BD423" s="1564"/>
      <c r="BE423" s="1564"/>
      <c r="BF423" s="1564"/>
      <c r="BG423" s="391" t="s">
        <v>2763</v>
      </c>
      <c r="BH423" s="398" t="str">
        <f ca="1">IF($AM$416&gt;6,"Y","N")</f>
        <v>Y</v>
      </c>
      <c r="BI423" s="396" t="s">
        <v>5224</v>
      </c>
      <c r="BJ423" s="392">
        <f ca="1">0.4+$AP$414</f>
        <v>0.7</v>
      </c>
      <c r="BM423" s="1561" t="s">
        <v>3992</v>
      </c>
      <c r="BN423" s="1562"/>
      <c r="BO423" s="1562"/>
      <c r="BP423" s="1562"/>
      <c r="BQ423" s="1562"/>
      <c r="BR423" s="1562"/>
      <c r="BS423" s="1562"/>
      <c r="BT423" s="1562"/>
      <c r="BU423" s="1562"/>
      <c r="BV423" s="1562"/>
      <c r="BW423" s="1562"/>
      <c r="BX423" s="1562"/>
      <c r="BY423" s="1562"/>
      <c r="BZ423" s="1562"/>
      <c r="CA423" s="1562"/>
      <c r="CB423" s="1562"/>
      <c r="CC423" s="1562"/>
      <c r="CD423" s="1562"/>
      <c r="CE423" s="1562"/>
      <c r="CF423" s="1562"/>
      <c r="CG423" s="1563"/>
      <c r="CH423" s="1564" t="s">
        <v>1066</v>
      </c>
      <c r="CI423" s="1564"/>
      <c r="CJ423" s="1564"/>
      <c r="CK423" s="1564"/>
      <c r="CL423" s="1564"/>
      <c r="CM423" s="391" t="s">
        <v>2763</v>
      </c>
      <c r="CN423" s="398" t="str">
        <f ca="1">IF($AM$416&gt;6,"Y","N")</f>
        <v>Y</v>
      </c>
      <c r="CO423" s="396" t="s">
        <v>5224</v>
      </c>
      <c r="CP423" s="392">
        <f ca="1">0.4+$AP$414</f>
        <v>0.7</v>
      </c>
    </row>
    <row r="424" spans="1:94" outlineLevel="1">
      <c r="A424" s="1459" t="s">
        <v>4825</v>
      </c>
      <c r="B424" s="1298"/>
      <c r="C424" s="1298"/>
      <c r="D424" s="1298"/>
      <c r="E424" s="1298"/>
      <c r="F424" s="1511" t="s">
        <v>1109</v>
      </c>
      <c r="G424" s="1298"/>
      <c r="H424" s="1298"/>
      <c r="I424" s="1296"/>
      <c r="J424" s="1511" t="s">
        <v>209</v>
      </c>
      <c r="K424" s="1382"/>
      <c r="L424" s="1311"/>
      <c r="M424" s="1511" t="s">
        <v>2014</v>
      </c>
      <c r="N424" s="1382"/>
      <c r="O424" s="1311"/>
      <c r="P424" s="1511" t="s">
        <v>1830</v>
      </c>
      <c r="Q424" s="1382"/>
      <c r="R424" s="1382"/>
      <c r="S424" s="1382"/>
      <c r="T424" s="1382"/>
      <c r="U424" s="1311"/>
      <c r="V424" s="1557" t="s">
        <v>1067</v>
      </c>
      <c r="W424" s="1557"/>
      <c r="X424" s="1557"/>
      <c r="Y424" s="1557"/>
      <c r="Z424" s="1557"/>
      <c r="AA424" s="279" t="s">
        <v>2763</v>
      </c>
      <c r="AB424" s="399" t="str">
        <f ca="1">IF($G$416&gt;7,"Y","N")</f>
        <v>Y</v>
      </c>
      <c r="AC424" s="396" t="s">
        <v>5222</v>
      </c>
      <c r="AD424" s="388" t="str">
        <f ca="1">IF(G416&gt;9,CONCATENATE(G416-9," extra"), " ")</f>
        <v>3 extra</v>
      </c>
      <c r="AG424" s="1459" t="s">
        <v>4825</v>
      </c>
      <c r="AH424" s="1298"/>
      <c r="AI424" s="1298"/>
      <c r="AJ424" s="1298"/>
      <c r="AK424" s="1298"/>
      <c r="AL424" s="1511" t="s">
        <v>1109</v>
      </c>
      <c r="AM424" s="1298"/>
      <c r="AN424" s="1298"/>
      <c r="AO424" s="1296"/>
      <c r="AP424" s="1511" t="s">
        <v>209</v>
      </c>
      <c r="AQ424" s="1382"/>
      <c r="AR424" s="1311"/>
      <c r="AS424" s="1511" t="s">
        <v>2014</v>
      </c>
      <c r="AT424" s="1382"/>
      <c r="AU424" s="1311"/>
      <c r="AV424" s="1511" t="s">
        <v>1830</v>
      </c>
      <c r="AW424" s="1382"/>
      <c r="AX424" s="1382"/>
      <c r="AY424" s="1382"/>
      <c r="AZ424" s="1382"/>
      <c r="BA424" s="1311"/>
      <c r="BB424" s="1557" t="s">
        <v>1067</v>
      </c>
      <c r="BC424" s="1557"/>
      <c r="BD424" s="1557"/>
      <c r="BE424" s="1557"/>
      <c r="BF424" s="1557"/>
      <c r="BG424" s="279" t="s">
        <v>2763</v>
      </c>
      <c r="BH424" s="399" t="str">
        <f ca="1">IF($AM$416&gt;7,"Y","N")</f>
        <v>Y</v>
      </c>
      <c r="BI424" s="396" t="s">
        <v>5224</v>
      </c>
      <c r="BJ424" s="388" t="str">
        <f ca="1">IF(AM416&gt;9,CONCATENATE(AM416-9," extra"), " ")</f>
        <v>1 extra</v>
      </c>
      <c r="BM424" s="1459" t="s">
        <v>4825</v>
      </c>
      <c r="BN424" s="1298"/>
      <c r="BO424" s="1298"/>
      <c r="BP424" s="1298"/>
      <c r="BQ424" s="1298"/>
      <c r="BR424" s="1511" t="s">
        <v>1109</v>
      </c>
      <c r="BS424" s="1298"/>
      <c r="BT424" s="1298"/>
      <c r="BU424" s="1296"/>
      <c r="BV424" s="1511" t="s">
        <v>209</v>
      </c>
      <c r="BW424" s="1382"/>
      <c r="BX424" s="1311"/>
      <c r="BY424" s="1511" t="s">
        <v>2014</v>
      </c>
      <c r="BZ424" s="1382"/>
      <c r="CA424" s="1311"/>
      <c r="CB424" s="1511" t="s">
        <v>1830</v>
      </c>
      <c r="CC424" s="1382"/>
      <c r="CD424" s="1382"/>
      <c r="CE424" s="1382"/>
      <c r="CF424" s="1382"/>
      <c r="CG424" s="1311"/>
      <c r="CH424" s="1557" t="s">
        <v>1067</v>
      </c>
      <c r="CI424" s="1557"/>
      <c r="CJ424" s="1557"/>
      <c r="CK424" s="1557"/>
      <c r="CL424" s="1557"/>
      <c r="CM424" s="279" t="s">
        <v>2763</v>
      </c>
      <c r="CN424" s="399" t="str">
        <f ca="1">IF($AM$416&gt;7,"Y","N")</f>
        <v>Y</v>
      </c>
      <c r="CO424" s="396" t="s">
        <v>5224</v>
      </c>
      <c r="CP424" s="388" t="str">
        <f ca="1">IF(BS416&gt;9,CONCATENATE(BS416-9," extra"), " ")</f>
        <v>1 extra</v>
      </c>
    </row>
    <row r="425" spans="1:94" outlineLevel="1">
      <c r="A425" s="1459" t="s">
        <v>4168</v>
      </c>
      <c r="B425" s="1298"/>
      <c r="C425" s="1298"/>
      <c r="D425" s="1298"/>
      <c r="E425" s="1298"/>
      <c r="F425" s="1460">
        <v>7.0000000000000007E-2</v>
      </c>
      <c r="G425" s="1461"/>
      <c r="H425" s="1461"/>
      <c r="I425" s="1462"/>
      <c r="J425" s="1460">
        <f ca="1">INDIRECT(ADDRESS(41,VLOOKUP('Character Sheet'!$AE$404,Mount!$U$73:$Y$88,5),,,"Mount"))</f>
        <v>0.21</v>
      </c>
      <c r="K425" s="1466"/>
      <c r="L425" s="1466"/>
      <c r="M425" s="1460">
        <f ca="1">INDIRECT(ADDRESS(42,VLOOKUP('Character Sheet'!$AE$404,Mount!$U$73:$Y$88,5),,,"Mount"))</f>
        <v>0.28000000000000003</v>
      </c>
      <c r="N425" s="1466"/>
      <c r="O425" s="1466"/>
      <c r="P425" s="1556"/>
      <c r="Q425" s="1469"/>
      <c r="R425" s="1469"/>
      <c r="S425" s="1469"/>
      <c r="T425" s="1469"/>
      <c r="U425" s="1467"/>
      <c r="V425" s="1557" t="s">
        <v>2552</v>
      </c>
      <c r="W425" s="1557"/>
      <c r="X425" s="1557"/>
      <c r="Y425" s="1557"/>
      <c r="Z425" s="1557"/>
      <c r="AA425" s="279" t="s">
        <v>2763</v>
      </c>
      <c r="AB425" s="399" t="str">
        <f ca="1">IF(Funds!L12=14,"N",IF($J$432&gt;0.24,"Y","N"))</f>
        <v>N</v>
      </c>
      <c r="AC425" s="396" t="s">
        <v>5224</v>
      </c>
      <c r="AD425" s="390">
        <f ca="1">0.4+$J$432</f>
        <v>0.62</v>
      </c>
      <c r="AG425" s="1459" t="s">
        <v>4168</v>
      </c>
      <c r="AH425" s="1298"/>
      <c r="AI425" s="1298"/>
      <c r="AJ425" s="1298"/>
      <c r="AK425" s="1298"/>
      <c r="AL425" s="1460">
        <v>7.0000000000000007E-2</v>
      </c>
      <c r="AM425" s="1461"/>
      <c r="AN425" s="1461"/>
      <c r="AO425" s="1462"/>
      <c r="AP425" s="1460">
        <f ca="1">INDIRECT(ADDRESS(41,VLOOKUP('Character Sheet'!$AE$405,Mount!$U$73:$AA$88,7),,,"Mount"))</f>
        <v>0.21</v>
      </c>
      <c r="AQ425" s="1466"/>
      <c r="AR425" s="1466"/>
      <c r="AS425" s="1460">
        <f ca="1">INDIRECT(ADDRESS(42,VLOOKUP('Character Sheet'!$AE$405,Mount!$U$73:$AA$88,7),,,"Mount"))</f>
        <v>0.28000000000000003</v>
      </c>
      <c r="AT425" s="1466"/>
      <c r="AU425" s="1466"/>
      <c r="AV425" s="1556"/>
      <c r="AW425" s="1469"/>
      <c r="AX425" s="1469"/>
      <c r="AY425" s="1469"/>
      <c r="AZ425" s="1469"/>
      <c r="BA425" s="1467"/>
      <c r="BB425" s="1557" t="s">
        <v>2552</v>
      </c>
      <c r="BC425" s="1557"/>
      <c r="BD425" s="1557"/>
      <c r="BE425" s="1557"/>
      <c r="BF425" s="1557"/>
      <c r="BG425" s="279" t="s">
        <v>2763</v>
      </c>
      <c r="BH425" s="399" t="str">
        <f ca="1">IF(Funds!L12=14,"N",IF($AP$432&gt;0.24,"Y","N"))</f>
        <v>Y</v>
      </c>
      <c r="BI425" s="396" t="s">
        <v>5224</v>
      </c>
      <c r="BJ425" s="390">
        <f ca="1">0.4+$AP$432</f>
        <v>0.73</v>
      </c>
      <c r="BM425" s="1459" t="s">
        <v>4168</v>
      </c>
      <c r="BN425" s="1298"/>
      <c r="BO425" s="1298"/>
      <c r="BP425" s="1298"/>
      <c r="BQ425" s="1298"/>
      <c r="BR425" s="1460">
        <v>7.0000000000000007E-2</v>
      </c>
      <c r="BS425" s="1461"/>
      <c r="BT425" s="1461"/>
      <c r="BU425" s="1462"/>
      <c r="BV425" s="1460">
        <f ca="1">INDIRECT(ADDRESS(41,VLOOKUP('Character Sheet'!$AE$405,Mount!$U$73:$AA$88,7),,,"Mount"))</f>
        <v>0.21</v>
      </c>
      <c r="BW425" s="1466"/>
      <c r="BX425" s="1466"/>
      <c r="BY425" s="1460">
        <f ca="1">INDIRECT(ADDRESS(42,VLOOKUP('Character Sheet'!$AE$405,Mount!$U$73:$AA$88,7),,,"Mount"))</f>
        <v>0.28000000000000003</v>
      </c>
      <c r="BZ425" s="1466"/>
      <c r="CA425" s="1466"/>
      <c r="CB425" s="1556"/>
      <c r="CC425" s="1469"/>
      <c r="CD425" s="1469"/>
      <c r="CE425" s="1469"/>
      <c r="CF425" s="1469"/>
      <c r="CG425" s="1467"/>
      <c r="CH425" s="1557" t="s">
        <v>2552</v>
      </c>
      <c r="CI425" s="1557"/>
      <c r="CJ425" s="1557"/>
      <c r="CK425" s="1557"/>
      <c r="CL425" s="1557"/>
      <c r="CM425" s="279" t="s">
        <v>2763</v>
      </c>
      <c r="CN425" s="399" t="str">
        <f ca="1">IF(Funds!AQ12=14,"N",IF($AP$432&gt;0.24,"Y","N"))</f>
        <v>Y</v>
      </c>
      <c r="CO425" s="396" t="s">
        <v>5224</v>
      </c>
      <c r="CP425" s="390">
        <f ca="1">0.4+$AP$432</f>
        <v>0.73</v>
      </c>
    </row>
    <row r="426" spans="1:94" outlineLevel="1">
      <c r="A426" s="1459" t="s">
        <v>4169</v>
      </c>
      <c r="B426" s="1298"/>
      <c r="C426" s="1298"/>
      <c r="D426" s="1298"/>
      <c r="E426" s="1298"/>
      <c r="F426" s="1460">
        <v>7.0000000000000007E-2</v>
      </c>
      <c r="G426" s="1461"/>
      <c r="H426" s="1461"/>
      <c r="I426" s="1462"/>
      <c r="J426" s="1460">
        <f ca="1">INDIRECT(ADDRESS(43,VLOOKUP('Character Sheet'!$AE$404,Mount!$U$73:$Y$88,5),,,"Mount"))</f>
        <v>0.3</v>
      </c>
      <c r="K426" s="1466"/>
      <c r="L426" s="1466"/>
      <c r="M426" s="1460">
        <f ca="1">INDIRECT(ADDRESS(44,VLOOKUP('Character Sheet'!$AE$404,Mount!$U$73:$Y$88,5),,,"Mount"))</f>
        <v>0.37</v>
      </c>
      <c r="N426" s="1466"/>
      <c r="O426" s="1466"/>
      <c r="P426" s="1556"/>
      <c r="Q426" s="1469"/>
      <c r="R426" s="1469"/>
      <c r="S426" s="1469"/>
      <c r="T426" s="1469"/>
      <c r="U426" s="1467"/>
      <c r="V426" s="1557" t="s">
        <v>2553</v>
      </c>
      <c r="W426" s="1557"/>
      <c r="X426" s="1557"/>
      <c r="Y426" s="1557"/>
      <c r="Z426" s="1557"/>
      <c r="AA426" s="279" t="s">
        <v>2763</v>
      </c>
      <c r="AB426" s="399" t="str">
        <f ca="1">IF($J$432&gt;0.24,"Y",IF($G$416&gt;7,"Y","N"))</f>
        <v>Y</v>
      </c>
      <c r="AC426" s="396" t="s">
        <v>5222</v>
      </c>
      <c r="AD426" s="390">
        <f ca="1">0.4+$J$432</f>
        <v>0.62</v>
      </c>
      <c r="AG426" s="1459" t="s">
        <v>4169</v>
      </c>
      <c r="AH426" s="1298"/>
      <c r="AI426" s="1298"/>
      <c r="AJ426" s="1298"/>
      <c r="AK426" s="1298"/>
      <c r="AL426" s="1460">
        <v>7.0000000000000007E-2</v>
      </c>
      <c r="AM426" s="1461"/>
      <c r="AN426" s="1461"/>
      <c r="AO426" s="1462"/>
      <c r="AP426" s="1460">
        <f ca="1">INDIRECT(ADDRESS(43,VLOOKUP('Character Sheet'!$AE$405,Mount!$U$73:$AA$88,7),,,"Mount"))</f>
        <v>0.39</v>
      </c>
      <c r="AQ426" s="1466"/>
      <c r="AR426" s="1466"/>
      <c r="AS426" s="1460">
        <f ca="1">INDIRECT(ADDRESS(44,VLOOKUP('Character Sheet'!$AE$405,Mount!$U$73:$AA$88,7),,,"Mount"))</f>
        <v>0.46</v>
      </c>
      <c r="AT426" s="1466"/>
      <c r="AU426" s="1466"/>
      <c r="AV426" s="1556"/>
      <c r="AW426" s="1469"/>
      <c r="AX426" s="1469"/>
      <c r="AY426" s="1469"/>
      <c r="AZ426" s="1469"/>
      <c r="BA426" s="1467"/>
      <c r="BB426" s="1557" t="s">
        <v>2553</v>
      </c>
      <c r="BC426" s="1557"/>
      <c r="BD426" s="1557"/>
      <c r="BE426" s="1557"/>
      <c r="BF426" s="1557"/>
      <c r="BG426" s="279" t="s">
        <v>2763</v>
      </c>
      <c r="BH426" s="399" t="str">
        <f ca="1">IF($AP$432&gt;0.24,"Y",IF($AM$416&gt;7,"Y","N"))</f>
        <v>Y</v>
      </c>
      <c r="BI426" s="396" t="s">
        <v>5224</v>
      </c>
      <c r="BJ426" s="390">
        <f ca="1">0.4+$AP$432</f>
        <v>0.73</v>
      </c>
      <c r="BM426" s="1459" t="s">
        <v>4169</v>
      </c>
      <c r="BN426" s="1298"/>
      <c r="BO426" s="1298"/>
      <c r="BP426" s="1298"/>
      <c r="BQ426" s="1298"/>
      <c r="BR426" s="1460">
        <v>7.0000000000000007E-2</v>
      </c>
      <c r="BS426" s="1461"/>
      <c r="BT426" s="1461"/>
      <c r="BU426" s="1462"/>
      <c r="BV426" s="1460">
        <f ca="1">INDIRECT(ADDRESS(43,VLOOKUP('Character Sheet'!$AE$405,Mount!$U$73:$AA$88,7),,,"Mount"))</f>
        <v>0.39</v>
      </c>
      <c r="BW426" s="1466"/>
      <c r="BX426" s="1466"/>
      <c r="BY426" s="1460">
        <f ca="1">INDIRECT(ADDRESS(44,VLOOKUP('Character Sheet'!$AE$405,Mount!$U$73:$AA$88,7),,,"Mount"))</f>
        <v>0.46</v>
      </c>
      <c r="BZ426" s="1466"/>
      <c r="CA426" s="1466"/>
      <c r="CB426" s="1556"/>
      <c r="CC426" s="1469"/>
      <c r="CD426" s="1469"/>
      <c r="CE426" s="1469"/>
      <c r="CF426" s="1469"/>
      <c r="CG426" s="1467"/>
      <c r="CH426" s="1557" t="s">
        <v>2553</v>
      </c>
      <c r="CI426" s="1557"/>
      <c r="CJ426" s="1557"/>
      <c r="CK426" s="1557"/>
      <c r="CL426" s="1557"/>
      <c r="CM426" s="279" t="s">
        <v>2763</v>
      </c>
      <c r="CN426" s="399" t="str">
        <f ca="1">IF($AP$432&gt;0.24,"Y",IF($AM$416&gt;7,"Y","N"))</f>
        <v>Y</v>
      </c>
      <c r="CO426" s="396" t="s">
        <v>5224</v>
      </c>
      <c r="CP426" s="390">
        <f ca="1">0.4+$AP$432</f>
        <v>0.73</v>
      </c>
    </row>
    <row r="427" spans="1:94" outlineLevel="1">
      <c r="A427" s="1459" t="s">
        <v>2283</v>
      </c>
      <c r="B427" s="1298"/>
      <c r="C427" s="1298"/>
      <c r="D427" s="1298"/>
      <c r="E427" s="1298"/>
      <c r="F427" s="1460">
        <v>7.0000000000000007E-2</v>
      </c>
      <c r="G427" s="1461"/>
      <c r="H427" s="1461"/>
      <c r="I427" s="1462"/>
      <c r="J427" s="1460">
        <f ca="1">INDIRECT(ADDRESS(45,VLOOKUP('Character Sheet'!$AE$404,Mount!$U$73:$Y$88,5),,,"Mount"))</f>
        <v>0.24</v>
      </c>
      <c r="K427" s="1466"/>
      <c r="L427" s="1466"/>
      <c r="M427" s="1460">
        <f ca="1">INDIRECT(ADDRESS(46,VLOOKUP('Character Sheet'!$AE$404,Mount!$U$73:$Y$88,5),,,"Mount"))</f>
        <v>0.31</v>
      </c>
      <c r="N427" s="1466"/>
      <c r="O427" s="1466"/>
      <c r="P427" s="1556"/>
      <c r="Q427" s="1469"/>
      <c r="R427" s="1469"/>
      <c r="S427" s="1469"/>
      <c r="T427" s="1469"/>
      <c r="U427" s="1467"/>
      <c r="V427" s="1557" t="s">
        <v>2554</v>
      </c>
      <c r="W427" s="1557"/>
      <c r="X427" s="1557"/>
      <c r="Y427" s="1557"/>
      <c r="Z427" s="1557"/>
      <c r="AA427" s="279" t="s">
        <v>2763</v>
      </c>
      <c r="AB427" s="399" t="str">
        <f>IF(Funds!L12=14,"Y","N")</f>
        <v>N</v>
      </c>
      <c r="AC427" s="396" t="s">
        <v>5224</v>
      </c>
      <c r="AD427" s="390">
        <f ca="1">0.4+$J$414</f>
        <v>0.65</v>
      </c>
      <c r="AG427" s="1459" t="s">
        <v>2283</v>
      </c>
      <c r="AH427" s="1298"/>
      <c r="AI427" s="1298"/>
      <c r="AJ427" s="1298"/>
      <c r="AK427" s="1298"/>
      <c r="AL427" s="1460">
        <v>7.0000000000000007E-2</v>
      </c>
      <c r="AM427" s="1461"/>
      <c r="AN427" s="1461"/>
      <c r="AO427" s="1462"/>
      <c r="AP427" s="1460">
        <f ca="1">INDIRECT(ADDRESS(45,VLOOKUP('Character Sheet'!$AE$405,Mount!$U$73:$AA$88,7),,,"Mount"))</f>
        <v>0.24</v>
      </c>
      <c r="AQ427" s="1466"/>
      <c r="AR427" s="1466"/>
      <c r="AS427" s="1460">
        <f ca="1">INDIRECT(ADDRESS(46,VLOOKUP('Character Sheet'!$AE$405,Mount!$U$73:$AA$88,7),,,"Mount"))</f>
        <v>0.31</v>
      </c>
      <c r="AT427" s="1466"/>
      <c r="AU427" s="1466"/>
      <c r="AV427" s="1556"/>
      <c r="AW427" s="1469"/>
      <c r="AX427" s="1469"/>
      <c r="AY427" s="1469"/>
      <c r="AZ427" s="1469"/>
      <c r="BA427" s="1467"/>
      <c r="BB427" s="1557" t="s">
        <v>2554</v>
      </c>
      <c r="BC427" s="1557"/>
      <c r="BD427" s="1557"/>
      <c r="BE427" s="1557"/>
      <c r="BF427" s="1557"/>
      <c r="BG427" s="279" t="s">
        <v>2763</v>
      </c>
      <c r="BH427" s="399" t="str">
        <f>IF(Funds!L12=14,"Y","N")</f>
        <v>N</v>
      </c>
      <c r="BI427" s="396" t="s">
        <v>5224</v>
      </c>
      <c r="BJ427" s="390">
        <f ca="1">0.4+$AP$414</f>
        <v>0.7</v>
      </c>
      <c r="BM427" s="1459" t="s">
        <v>2283</v>
      </c>
      <c r="BN427" s="1298"/>
      <c r="BO427" s="1298"/>
      <c r="BP427" s="1298"/>
      <c r="BQ427" s="1298"/>
      <c r="BR427" s="1460">
        <v>7.0000000000000007E-2</v>
      </c>
      <c r="BS427" s="1461"/>
      <c r="BT427" s="1461"/>
      <c r="BU427" s="1462"/>
      <c r="BV427" s="1460">
        <f ca="1">INDIRECT(ADDRESS(45,VLOOKUP('Character Sheet'!$AE$405,Mount!$U$73:$AA$88,7),,,"Mount"))</f>
        <v>0.24</v>
      </c>
      <c r="BW427" s="1466"/>
      <c r="BX427" s="1466"/>
      <c r="BY427" s="1460">
        <f ca="1">INDIRECT(ADDRESS(46,VLOOKUP('Character Sheet'!$AE$405,Mount!$U$73:$AA$88,7),,,"Mount"))</f>
        <v>0.31</v>
      </c>
      <c r="BZ427" s="1466"/>
      <c r="CA427" s="1466"/>
      <c r="CB427" s="1556"/>
      <c r="CC427" s="1469"/>
      <c r="CD427" s="1469"/>
      <c r="CE427" s="1469"/>
      <c r="CF427" s="1469"/>
      <c r="CG427" s="1467"/>
      <c r="CH427" s="1557" t="s">
        <v>2554</v>
      </c>
      <c r="CI427" s="1557"/>
      <c r="CJ427" s="1557"/>
      <c r="CK427" s="1557"/>
      <c r="CL427" s="1557"/>
      <c r="CM427" s="279" t="s">
        <v>2763</v>
      </c>
      <c r="CN427" s="399" t="str">
        <f>IF(Funds!AQ12=14,"Y","N")</f>
        <v>N</v>
      </c>
      <c r="CO427" s="396" t="s">
        <v>5224</v>
      </c>
      <c r="CP427" s="390">
        <f ca="1">0.4+$AP$414</f>
        <v>0.7</v>
      </c>
    </row>
    <row r="428" spans="1:94" outlineLevel="1">
      <c r="A428" s="1459" t="s">
        <v>2383</v>
      </c>
      <c r="B428" s="1298"/>
      <c r="C428" s="1298"/>
      <c r="D428" s="1298"/>
      <c r="E428" s="1298"/>
      <c r="F428" s="1460">
        <v>0.03</v>
      </c>
      <c r="G428" s="1461"/>
      <c r="H428" s="1461"/>
      <c r="I428" s="1462"/>
      <c r="J428" s="1460">
        <f ca="1">INDIRECT(ADDRESS(45,VLOOKUP('Character Sheet'!$AE$404,Mount!$U$73:$Y$88,5),,,"Mount"))</f>
        <v>0.24</v>
      </c>
      <c r="K428" s="1466"/>
      <c r="L428" s="1466"/>
      <c r="M428" s="1460">
        <f ca="1">F428+J428</f>
        <v>0.27</v>
      </c>
      <c r="N428" s="1466"/>
      <c r="O428" s="1466"/>
      <c r="P428" s="1556"/>
      <c r="Q428" s="1469"/>
      <c r="R428" s="1469"/>
      <c r="S428" s="1469"/>
      <c r="T428" s="1469"/>
      <c r="U428" s="1467"/>
      <c r="V428" s="1557" t="s">
        <v>2555</v>
      </c>
      <c r="W428" s="1557"/>
      <c r="X428" s="1557"/>
      <c r="Y428" s="1557"/>
      <c r="Z428" s="1557"/>
      <c r="AA428" s="279" t="s">
        <v>4633</v>
      </c>
      <c r="AB428" s="399" t="str">
        <f>IF($AE$404&gt;5,"N","Y")</f>
        <v>Y</v>
      </c>
      <c r="AC428" s="396" t="s">
        <v>5224</v>
      </c>
      <c r="AD428" s="253"/>
      <c r="AG428" s="1459" t="s">
        <v>2383</v>
      </c>
      <c r="AH428" s="1298"/>
      <c r="AI428" s="1298"/>
      <c r="AJ428" s="1298"/>
      <c r="AK428" s="1298"/>
      <c r="AL428" s="1460">
        <v>0.03</v>
      </c>
      <c r="AM428" s="1461"/>
      <c r="AN428" s="1461"/>
      <c r="AO428" s="1462"/>
      <c r="AP428" s="1460">
        <f ca="1">INDIRECT(ADDRESS(45,VLOOKUP('Character Sheet'!$AE$405,Mount!$U$73:$AA$88,7),,,"Mount"))</f>
        <v>0.24</v>
      </c>
      <c r="AQ428" s="1466"/>
      <c r="AR428" s="1466"/>
      <c r="AS428" s="1460">
        <f ca="1">AL428+AP428</f>
        <v>0.27</v>
      </c>
      <c r="AT428" s="1466"/>
      <c r="AU428" s="1466"/>
      <c r="AV428" s="1556"/>
      <c r="AW428" s="1469"/>
      <c r="AX428" s="1469"/>
      <c r="AY428" s="1469"/>
      <c r="AZ428" s="1469"/>
      <c r="BA428" s="1467"/>
      <c r="BB428" s="1557" t="s">
        <v>2555</v>
      </c>
      <c r="BC428" s="1557"/>
      <c r="BD428" s="1557"/>
      <c r="BE428" s="1557"/>
      <c r="BF428" s="1557"/>
      <c r="BG428" s="279" t="s">
        <v>4633</v>
      </c>
      <c r="BH428" s="399" t="str">
        <f>IF($AE$405&gt;5,"N","Y")</f>
        <v>N</v>
      </c>
      <c r="BI428" s="396" t="s">
        <v>5224</v>
      </c>
      <c r="BJ428" s="253"/>
      <c r="BM428" s="1459" t="s">
        <v>2383</v>
      </c>
      <c r="BN428" s="1298"/>
      <c r="BO428" s="1298"/>
      <c r="BP428" s="1298"/>
      <c r="BQ428" s="1298"/>
      <c r="BR428" s="1460">
        <v>0.03</v>
      </c>
      <c r="BS428" s="1461"/>
      <c r="BT428" s="1461"/>
      <c r="BU428" s="1462"/>
      <c r="BV428" s="1460">
        <f ca="1">INDIRECT(ADDRESS(45,VLOOKUP('Character Sheet'!$AE$405,Mount!$U$73:$AA$88,7),,,"Mount"))</f>
        <v>0.24</v>
      </c>
      <c r="BW428" s="1466"/>
      <c r="BX428" s="1466"/>
      <c r="BY428" s="1460">
        <f ca="1">BR428+BV428</f>
        <v>0.27</v>
      </c>
      <c r="BZ428" s="1466"/>
      <c r="CA428" s="1466"/>
      <c r="CB428" s="1556"/>
      <c r="CC428" s="1469"/>
      <c r="CD428" s="1469"/>
      <c r="CE428" s="1469"/>
      <c r="CF428" s="1469"/>
      <c r="CG428" s="1467"/>
      <c r="CH428" s="1557" t="s">
        <v>2555</v>
      </c>
      <c r="CI428" s="1557"/>
      <c r="CJ428" s="1557"/>
      <c r="CK428" s="1557"/>
      <c r="CL428" s="1557"/>
      <c r="CM428" s="279" t="s">
        <v>4633</v>
      </c>
      <c r="CN428" s="399" t="str">
        <f>IF($AE$405&gt;5,"N","Y")</f>
        <v>N</v>
      </c>
      <c r="CO428" s="396" t="s">
        <v>5224</v>
      </c>
      <c r="CP428" s="253"/>
    </row>
    <row r="429" spans="1:94" outlineLevel="1">
      <c r="A429" s="1459" t="s">
        <v>2384</v>
      </c>
      <c r="B429" s="1298"/>
      <c r="C429" s="1298"/>
      <c r="D429" s="1298"/>
      <c r="E429" s="1298"/>
      <c r="F429" s="1460">
        <v>0.02</v>
      </c>
      <c r="G429" s="1461"/>
      <c r="H429" s="1461"/>
      <c r="I429" s="1462"/>
      <c r="J429" s="1460">
        <f ca="1">J428/2</f>
        <v>0.12</v>
      </c>
      <c r="K429" s="1466"/>
      <c r="L429" s="1466"/>
      <c r="M429" s="1460">
        <f ca="1">F429+J429</f>
        <v>0.13999999999999999</v>
      </c>
      <c r="N429" s="1466"/>
      <c r="O429" s="1466"/>
      <c r="P429" s="1556"/>
      <c r="Q429" s="1469"/>
      <c r="R429" s="1469"/>
      <c r="S429" s="1469"/>
      <c r="T429" s="1469"/>
      <c r="U429" s="1467"/>
      <c r="V429" s="1557" t="s">
        <v>2556</v>
      </c>
      <c r="W429" s="1557"/>
      <c r="X429" s="1557"/>
      <c r="Y429" s="1557"/>
      <c r="Z429" s="1557"/>
      <c r="AA429" s="279" t="s">
        <v>4633</v>
      </c>
      <c r="AB429" s="397" t="str">
        <f>IF($AE$404&gt;5,"N","Y")</f>
        <v>Y</v>
      </c>
      <c r="AC429" s="396" t="s">
        <v>5224</v>
      </c>
      <c r="AD429" s="253"/>
      <c r="AG429" s="1459" t="s">
        <v>2384</v>
      </c>
      <c r="AH429" s="1298"/>
      <c r="AI429" s="1298"/>
      <c r="AJ429" s="1298"/>
      <c r="AK429" s="1298"/>
      <c r="AL429" s="1460">
        <v>0.02</v>
      </c>
      <c r="AM429" s="1461"/>
      <c r="AN429" s="1461"/>
      <c r="AO429" s="1462"/>
      <c r="AP429" s="1460">
        <f ca="1">AP428/2</f>
        <v>0.12</v>
      </c>
      <c r="AQ429" s="1466"/>
      <c r="AR429" s="1466"/>
      <c r="AS429" s="1460">
        <f ca="1">AL429+AP429</f>
        <v>0.13999999999999999</v>
      </c>
      <c r="AT429" s="1466"/>
      <c r="AU429" s="1466"/>
      <c r="AV429" s="1556"/>
      <c r="AW429" s="1469"/>
      <c r="AX429" s="1469"/>
      <c r="AY429" s="1469"/>
      <c r="AZ429" s="1469"/>
      <c r="BA429" s="1467"/>
      <c r="BB429" s="1557" t="s">
        <v>2556</v>
      </c>
      <c r="BC429" s="1557"/>
      <c r="BD429" s="1557"/>
      <c r="BE429" s="1557"/>
      <c r="BF429" s="1557"/>
      <c r="BG429" s="279" t="s">
        <v>4633</v>
      </c>
      <c r="BH429" s="397" t="str">
        <f>IF($AE$405&gt;5,"N","Y")</f>
        <v>N</v>
      </c>
      <c r="BI429" s="396" t="s">
        <v>5224</v>
      </c>
      <c r="BJ429" s="253"/>
      <c r="BM429" s="1459" t="s">
        <v>2384</v>
      </c>
      <c r="BN429" s="1298"/>
      <c r="BO429" s="1298"/>
      <c r="BP429" s="1298"/>
      <c r="BQ429" s="1298"/>
      <c r="BR429" s="1460">
        <v>0.02</v>
      </c>
      <c r="BS429" s="1461"/>
      <c r="BT429" s="1461"/>
      <c r="BU429" s="1462"/>
      <c r="BV429" s="1460">
        <f ca="1">BV428/2</f>
        <v>0.12</v>
      </c>
      <c r="BW429" s="1466"/>
      <c r="BX429" s="1466"/>
      <c r="BY429" s="1460">
        <f ca="1">BR429+BV429</f>
        <v>0.13999999999999999</v>
      </c>
      <c r="BZ429" s="1466"/>
      <c r="CA429" s="1466"/>
      <c r="CB429" s="1556"/>
      <c r="CC429" s="1469"/>
      <c r="CD429" s="1469"/>
      <c r="CE429" s="1469"/>
      <c r="CF429" s="1469"/>
      <c r="CG429" s="1467"/>
      <c r="CH429" s="1557" t="s">
        <v>2556</v>
      </c>
      <c r="CI429" s="1557"/>
      <c r="CJ429" s="1557"/>
      <c r="CK429" s="1557"/>
      <c r="CL429" s="1557"/>
      <c r="CM429" s="279" t="s">
        <v>4633</v>
      </c>
      <c r="CN429" s="397" t="str">
        <f>IF($AE$405&gt;5,"N","Y")</f>
        <v>N</v>
      </c>
      <c r="CO429" s="396" t="s">
        <v>5224</v>
      </c>
      <c r="CP429" s="253"/>
    </row>
    <row r="430" spans="1:94" outlineLevel="1">
      <c r="A430" s="1459" t="s">
        <v>660</v>
      </c>
      <c r="B430" s="1298"/>
      <c r="C430" s="1298"/>
      <c r="D430" s="1298"/>
      <c r="E430" s="1298"/>
      <c r="F430" s="1460">
        <v>0.4</v>
      </c>
      <c r="G430" s="1461"/>
      <c r="H430" s="1461"/>
      <c r="I430" s="1462"/>
      <c r="J430" s="1460">
        <f ca="1">INDIRECT(ADDRESS(35,VLOOKUP('Character Sheet'!$AE$404,Mount!$U$73:$Y$88,5),,,"Mount"))</f>
        <v>0.12</v>
      </c>
      <c r="K430" s="1466"/>
      <c r="L430" s="1466"/>
      <c r="M430" s="1460">
        <f ca="1">INDIRECT(ADDRESS(36,VLOOKUP('Character Sheet'!$AE$404,Mount!$U$73:$Y$88,5),,,"Mount"))</f>
        <v>0.52</v>
      </c>
      <c r="N430" s="1466"/>
      <c r="O430" s="1466"/>
      <c r="P430" s="1556"/>
      <c r="Q430" s="1469"/>
      <c r="R430" s="1469"/>
      <c r="S430" s="1469"/>
      <c r="T430" s="1469"/>
      <c r="U430" s="1467"/>
      <c r="V430" s="1557" t="s">
        <v>2557</v>
      </c>
      <c r="W430" s="1557"/>
      <c r="X430" s="1557"/>
      <c r="Y430" s="1557"/>
      <c r="Z430" s="1557"/>
      <c r="AA430" s="279" t="s">
        <v>4633</v>
      </c>
      <c r="AB430" s="279" t="str">
        <f>IF($AE$404&gt;5,"N","Y")</f>
        <v>Y</v>
      </c>
      <c r="AC430" s="396" t="s">
        <v>5224</v>
      </c>
      <c r="AD430" s="253"/>
      <c r="AG430" s="1459" t="s">
        <v>660</v>
      </c>
      <c r="AH430" s="1298"/>
      <c r="AI430" s="1298"/>
      <c r="AJ430" s="1298"/>
      <c r="AK430" s="1298"/>
      <c r="AL430" s="1460">
        <v>0.4</v>
      </c>
      <c r="AM430" s="1461"/>
      <c r="AN430" s="1461"/>
      <c r="AO430" s="1462"/>
      <c r="AP430" s="1460">
        <f ca="1">INDIRECT(ADDRESS(35,VLOOKUP('Character Sheet'!$AE$405,Mount!$U$73:$AA$88,7),,,"Mount"))</f>
        <v>0.05</v>
      </c>
      <c r="AQ430" s="1466"/>
      <c r="AR430" s="1466"/>
      <c r="AS430" s="1460">
        <f ca="1">INDIRECT(ADDRESS(36,VLOOKUP('Character Sheet'!$AE$405,Mount!$U$73:$AA$88,7),,,"Mount"))</f>
        <v>0.45</v>
      </c>
      <c r="AT430" s="1466"/>
      <c r="AU430" s="1466"/>
      <c r="AV430" s="1556"/>
      <c r="AW430" s="1469"/>
      <c r="AX430" s="1469"/>
      <c r="AY430" s="1469"/>
      <c r="AZ430" s="1469"/>
      <c r="BA430" s="1467"/>
      <c r="BB430" s="1557" t="s">
        <v>2557</v>
      </c>
      <c r="BC430" s="1557"/>
      <c r="BD430" s="1557"/>
      <c r="BE430" s="1557"/>
      <c r="BF430" s="1557"/>
      <c r="BG430" s="279" t="s">
        <v>4633</v>
      </c>
      <c r="BH430" s="279" t="str">
        <f>IF($AE$405&gt;5,"N","Y")</f>
        <v>N</v>
      </c>
      <c r="BI430" s="396" t="s">
        <v>5224</v>
      </c>
      <c r="BJ430" s="253"/>
      <c r="BM430" s="1459" t="s">
        <v>660</v>
      </c>
      <c r="BN430" s="1298"/>
      <c r="BO430" s="1298"/>
      <c r="BP430" s="1298"/>
      <c r="BQ430" s="1298"/>
      <c r="BR430" s="1460">
        <v>0.4</v>
      </c>
      <c r="BS430" s="1461"/>
      <c r="BT430" s="1461"/>
      <c r="BU430" s="1462"/>
      <c r="BV430" s="1460">
        <f ca="1">INDIRECT(ADDRESS(35,VLOOKUP('Character Sheet'!$AE$405,Mount!$U$73:$AA$88,7),,,"Mount"))</f>
        <v>0.05</v>
      </c>
      <c r="BW430" s="1466"/>
      <c r="BX430" s="1466"/>
      <c r="BY430" s="1460">
        <f ca="1">INDIRECT(ADDRESS(36,VLOOKUP('Character Sheet'!$AE$405,Mount!$U$73:$AA$88,7),,,"Mount"))</f>
        <v>0.45</v>
      </c>
      <c r="BZ430" s="1466"/>
      <c r="CA430" s="1466"/>
      <c r="CB430" s="1556"/>
      <c r="CC430" s="1469"/>
      <c r="CD430" s="1469"/>
      <c r="CE430" s="1469"/>
      <c r="CF430" s="1469"/>
      <c r="CG430" s="1467"/>
      <c r="CH430" s="1557" t="s">
        <v>2557</v>
      </c>
      <c r="CI430" s="1557"/>
      <c r="CJ430" s="1557"/>
      <c r="CK430" s="1557"/>
      <c r="CL430" s="1557"/>
      <c r="CM430" s="279" t="s">
        <v>4633</v>
      </c>
      <c r="CN430" s="279" t="str">
        <f>IF($AE$405&gt;5,"N","Y")</f>
        <v>N</v>
      </c>
      <c r="CO430" s="396" t="s">
        <v>5224</v>
      </c>
      <c r="CP430" s="253"/>
    </row>
    <row r="431" spans="1:94" outlineLevel="1">
      <c r="A431" s="1459" t="s">
        <v>661</v>
      </c>
      <c r="B431" s="1298"/>
      <c r="C431" s="1298"/>
      <c r="D431" s="1298"/>
      <c r="E431" s="1298"/>
      <c r="F431" s="1460">
        <v>0.4</v>
      </c>
      <c r="G431" s="1461"/>
      <c r="H431" s="1461"/>
      <c r="I431" s="1462"/>
      <c r="J431" s="1460">
        <f ca="1">INDIRECT(ADDRESS(37,VLOOKUP('Character Sheet'!$AE$404,Mount!$U$73:$Y$88,5),,,"Mount"))</f>
        <v>0.2</v>
      </c>
      <c r="K431" s="1466"/>
      <c r="L431" s="1466"/>
      <c r="M431" s="1460">
        <f ca="1">INDIRECT(ADDRESS(38,VLOOKUP('Character Sheet'!$AE$404,Mount!$U$73:$Y$88,5),,,"Mount"))</f>
        <v>0.60000000000000009</v>
      </c>
      <c r="N431" s="1466"/>
      <c r="O431" s="1466"/>
      <c r="P431" s="1556"/>
      <c r="Q431" s="1469"/>
      <c r="R431" s="1469"/>
      <c r="S431" s="1469"/>
      <c r="T431" s="1469"/>
      <c r="U431" s="1467"/>
      <c r="V431" s="1558" t="s">
        <v>2558</v>
      </c>
      <c r="W431" s="1559"/>
      <c r="X431" s="1559"/>
      <c r="Y431" s="1559"/>
      <c r="Z431" s="1560"/>
      <c r="AA431" s="279" t="s">
        <v>4633</v>
      </c>
      <c r="AB431" s="279" t="str">
        <f>IF($AE$404&gt;5,"N","Y")</f>
        <v>Y</v>
      </c>
      <c r="AC431" s="396" t="s">
        <v>5224</v>
      </c>
      <c r="AD431" s="390">
        <f ca="1">0.4+$J$414</f>
        <v>0.65</v>
      </c>
      <c r="AG431" s="1459" t="s">
        <v>661</v>
      </c>
      <c r="AH431" s="1298"/>
      <c r="AI431" s="1298"/>
      <c r="AJ431" s="1298"/>
      <c r="AK431" s="1298"/>
      <c r="AL431" s="1460">
        <v>0.4</v>
      </c>
      <c r="AM431" s="1461"/>
      <c r="AN431" s="1461"/>
      <c r="AO431" s="1462"/>
      <c r="AP431" s="1460">
        <f ca="1">INDIRECT(ADDRESS(37,VLOOKUP('Character Sheet'!$AE$405,Mount!$U$73:$AA$88,7),,,"Mount"))</f>
        <v>0.15</v>
      </c>
      <c r="AQ431" s="1466"/>
      <c r="AR431" s="1466"/>
      <c r="AS431" s="1460">
        <f ca="1">INDIRECT(ADDRESS(38,VLOOKUP('Character Sheet'!$AE$405,Mount!$U$73:$AA$88,7),,,"Mount"))</f>
        <v>0.55000000000000004</v>
      </c>
      <c r="AT431" s="1466"/>
      <c r="AU431" s="1466"/>
      <c r="AV431" s="1556"/>
      <c r="AW431" s="1469"/>
      <c r="AX431" s="1469"/>
      <c r="AY431" s="1469"/>
      <c r="AZ431" s="1469"/>
      <c r="BA431" s="1467"/>
      <c r="BB431" s="1558" t="s">
        <v>2558</v>
      </c>
      <c r="BC431" s="1559"/>
      <c r="BD431" s="1559"/>
      <c r="BE431" s="1559"/>
      <c r="BF431" s="1560"/>
      <c r="BG431" s="279" t="s">
        <v>4633</v>
      </c>
      <c r="BH431" s="279" t="str">
        <f>IF($AE$405&gt;5,"N","Y")</f>
        <v>N</v>
      </c>
      <c r="BI431" s="396" t="s">
        <v>5224</v>
      </c>
      <c r="BJ431" s="390">
        <f ca="1">0.4+$AP$414</f>
        <v>0.7</v>
      </c>
      <c r="BM431" s="1459" t="s">
        <v>661</v>
      </c>
      <c r="BN431" s="1298"/>
      <c r="BO431" s="1298"/>
      <c r="BP431" s="1298"/>
      <c r="BQ431" s="1298"/>
      <c r="BR431" s="1460">
        <v>0.4</v>
      </c>
      <c r="BS431" s="1461"/>
      <c r="BT431" s="1461"/>
      <c r="BU431" s="1462"/>
      <c r="BV431" s="1460">
        <f ca="1">INDIRECT(ADDRESS(37,VLOOKUP('Character Sheet'!$AE$405,Mount!$U$73:$AA$88,7),,,"Mount"))</f>
        <v>0.15</v>
      </c>
      <c r="BW431" s="1466"/>
      <c r="BX431" s="1466"/>
      <c r="BY431" s="1460">
        <f ca="1">INDIRECT(ADDRESS(38,VLOOKUP('Character Sheet'!$AE$405,Mount!$U$73:$AA$88,7),,,"Mount"))</f>
        <v>0.55000000000000004</v>
      </c>
      <c r="BZ431" s="1466"/>
      <c r="CA431" s="1466"/>
      <c r="CB431" s="1556"/>
      <c r="CC431" s="1469"/>
      <c r="CD431" s="1469"/>
      <c r="CE431" s="1469"/>
      <c r="CF431" s="1469"/>
      <c r="CG431" s="1467"/>
      <c r="CH431" s="1558" t="s">
        <v>2558</v>
      </c>
      <c r="CI431" s="1559"/>
      <c r="CJ431" s="1559"/>
      <c r="CK431" s="1559"/>
      <c r="CL431" s="1560"/>
      <c r="CM431" s="279" t="s">
        <v>4633</v>
      </c>
      <c r="CN431" s="279" t="str">
        <f>IF($AE$405&gt;5,"N","Y")</f>
        <v>N</v>
      </c>
      <c r="CO431" s="396" t="s">
        <v>5224</v>
      </c>
      <c r="CP431" s="390">
        <f ca="1">0.4+$AP$414</f>
        <v>0.7</v>
      </c>
    </row>
    <row r="432" spans="1:94" ht="9.9499999999999993" customHeight="1" outlineLevel="1">
      <c r="A432" s="1459" t="s">
        <v>662</v>
      </c>
      <c r="B432" s="1298"/>
      <c r="C432" s="1298"/>
      <c r="D432" s="1298"/>
      <c r="E432" s="1298"/>
      <c r="F432" s="1460">
        <v>0.4</v>
      </c>
      <c r="G432" s="1461"/>
      <c r="H432" s="1461"/>
      <c r="I432" s="1462"/>
      <c r="J432" s="1460">
        <f ca="1">INDIRECT(ADDRESS(39,VLOOKUP('Character Sheet'!$AE$404,Mount!$U$73:$Y$88,5),,,"Mount"))</f>
        <v>0.22</v>
      </c>
      <c r="K432" s="1466"/>
      <c r="L432" s="1466"/>
      <c r="M432" s="1460">
        <f ca="1">INDIRECT(ADDRESS(40,VLOOKUP('Character Sheet'!$AE$404,Mount!$U$73:$Y$88,5),,,"Mount"))</f>
        <v>0.62</v>
      </c>
      <c r="N432" s="1466"/>
      <c r="O432" s="1466"/>
      <c r="P432" s="1556"/>
      <c r="Q432" s="1469"/>
      <c r="R432" s="1469"/>
      <c r="S432" s="1469"/>
      <c r="T432" s="1469"/>
      <c r="U432" s="1467"/>
      <c r="V432" s="1557" t="s">
        <v>2559</v>
      </c>
      <c r="W432" s="1557"/>
      <c r="X432" s="1557"/>
      <c r="Y432" s="1557"/>
      <c r="Z432" s="1557"/>
      <c r="AA432" s="279" t="s">
        <v>4633</v>
      </c>
      <c r="AB432" s="279" t="str">
        <f ca="1">IF($AE$404&gt;5,"N",IF(G416&gt;8,"Y","N"))</f>
        <v>Y</v>
      </c>
      <c r="AC432" s="396" t="s">
        <v>5224</v>
      </c>
      <c r="AD432" s="390">
        <f ca="1">0.4+$J$414</f>
        <v>0.65</v>
      </c>
      <c r="AG432" s="1459" t="s">
        <v>662</v>
      </c>
      <c r="AH432" s="1298"/>
      <c r="AI432" s="1298"/>
      <c r="AJ432" s="1298"/>
      <c r="AK432" s="1298"/>
      <c r="AL432" s="1460">
        <v>0.4</v>
      </c>
      <c r="AM432" s="1461"/>
      <c r="AN432" s="1461"/>
      <c r="AO432" s="1462"/>
      <c r="AP432" s="1460">
        <f ca="1">INDIRECT(ADDRESS(39,VLOOKUP('Character Sheet'!$AE$405,Mount!$U$73:$AA$88,7),,,"Mount"))</f>
        <v>0.33</v>
      </c>
      <c r="AQ432" s="1466"/>
      <c r="AR432" s="1466"/>
      <c r="AS432" s="1460">
        <f ca="1">INDIRECT(ADDRESS(40,VLOOKUP('Character Sheet'!$AE$405,Mount!$U$73:$AA$88,7),,,"Mount"))</f>
        <v>0.73</v>
      </c>
      <c r="AT432" s="1466"/>
      <c r="AU432" s="1466"/>
      <c r="AV432" s="1556"/>
      <c r="AW432" s="1469"/>
      <c r="AX432" s="1469"/>
      <c r="AY432" s="1469"/>
      <c r="AZ432" s="1469"/>
      <c r="BA432" s="1467"/>
      <c r="BB432" s="1557" t="s">
        <v>2559</v>
      </c>
      <c r="BC432" s="1557"/>
      <c r="BD432" s="1557"/>
      <c r="BE432" s="1557"/>
      <c r="BF432" s="1557"/>
      <c r="BG432" s="279" t="s">
        <v>4633</v>
      </c>
      <c r="BH432" s="279" t="str">
        <f>IF($AE$405&gt;5,"N",IF(AM416&gt;8,"Y","N"))</f>
        <v>N</v>
      </c>
      <c r="BI432" s="396" t="s">
        <v>5224</v>
      </c>
      <c r="BJ432" s="390">
        <f ca="1">0.4+$AP$414</f>
        <v>0.7</v>
      </c>
      <c r="BM432" s="1459" t="s">
        <v>662</v>
      </c>
      <c r="BN432" s="1298"/>
      <c r="BO432" s="1298"/>
      <c r="BP432" s="1298"/>
      <c r="BQ432" s="1298"/>
      <c r="BR432" s="1460">
        <v>0.4</v>
      </c>
      <c r="BS432" s="1461"/>
      <c r="BT432" s="1461"/>
      <c r="BU432" s="1462"/>
      <c r="BV432" s="1460">
        <f ca="1">INDIRECT(ADDRESS(39,VLOOKUP('Character Sheet'!$AE$405,Mount!$U$73:$AA$88,7),,,"Mount"))</f>
        <v>0.33</v>
      </c>
      <c r="BW432" s="1466"/>
      <c r="BX432" s="1466"/>
      <c r="BY432" s="1460">
        <f ca="1">INDIRECT(ADDRESS(40,VLOOKUP('Character Sheet'!$AE$405,Mount!$U$73:$AA$88,7),,,"Mount"))</f>
        <v>0.73</v>
      </c>
      <c r="BZ432" s="1466"/>
      <c r="CA432" s="1466"/>
      <c r="CB432" s="1556"/>
      <c r="CC432" s="1469"/>
      <c r="CD432" s="1469"/>
      <c r="CE432" s="1469"/>
      <c r="CF432" s="1469"/>
      <c r="CG432" s="1467"/>
      <c r="CH432" s="1557" t="s">
        <v>2559</v>
      </c>
      <c r="CI432" s="1557"/>
      <c r="CJ432" s="1557"/>
      <c r="CK432" s="1557"/>
      <c r="CL432" s="1557"/>
      <c r="CM432" s="279" t="s">
        <v>4633</v>
      </c>
      <c r="CN432" s="279" t="str">
        <f>IF($AE$405&gt;5,"N",IF(BS416&gt;8,"Y","N"))</f>
        <v>N</v>
      </c>
      <c r="CO432" s="396" t="s">
        <v>5224</v>
      </c>
      <c r="CP432" s="390">
        <f ca="1">0.4+$AP$414</f>
        <v>0.7</v>
      </c>
    </row>
    <row r="433" spans="1:94" outlineLevel="1">
      <c r="A433"/>
      <c r="B433"/>
      <c r="C433"/>
      <c r="D433"/>
      <c r="E433"/>
      <c r="F433"/>
      <c r="G433"/>
      <c r="H433"/>
      <c r="I433"/>
      <c r="J433"/>
      <c r="K433"/>
      <c r="L433"/>
      <c r="M433"/>
      <c r="N433"/>
      <c r="O433"/>
      <c r="P433"/>
      <c r="Q433"/>
      <c r="R433"/>
      <c r="S433"/>
      <c r="T433"/>
      <c r="U433"/>
      <c r="V433"/>
      <c r="W433"/>
      <c r="X433"/>
      <c r="Y433"/>
      <c r="Z433"/>
      <c r="AA433"/>
      <c r="AB433"/>
      <c r="AC433"/>
      <c r="AD433"/>
      <c r="AE433" s="414">
        <f>Combat!F249</f>
        <v>8</v>
      </c>
      <c r="AF433" s="414"/>
      <c r="AG433"/>
      <c r="AH433"/>
      <c r="AI433"/>
      <c r="AJ433"/>
      <c r="AK433"/>
      <c r="AL433"/>
      <c r="AM433"/>
      <c r="AN433"/>
      <c r="AO433"/>
      <c r="AP433"/>
      <c r="AQ433"/>
      <c r="AR433"/>
      <c r="AS433"/>
      <c r="AT433"/>
      <c r="AU433"/>
      <c r="AV433"/>
      <c r="AW433"/>
      <c r="AX433"/>
      <c r="AY433"/>
      <c r="AZ433"/>
      <c r="BA433"/>
      <c r="BB433"/>
      <c r="BC433"/>
      <c r="BD433"/>
      <c r="BE433"/>
      <c r="BF433"/>
      <c r="BG433"/>
      <c r="BH433"/>
      <c r="BI433"/>
      <c r="BJ433"/>
      <c r="BM433"/>
      <c r="BN433"/>
      <c r="BO433"/>
      <c r="BP433"/>
      <c r="BQ433"/>
      <c r="BR433"/>
      <c r="BS433"/>
      <c r="BT433"/>
      <c r="BU433"/>
      <c r="BV433"/>
      <c r="BW433"/>
      <c r="BX433"/>
      <c r="BY433"/>
      <c r="BZ433"/>
      <c r="CA433"/>
      <c r="CB433"/>
      <c r="CC433"/>
      <c r="CD433"/>
      <c r="CE433"/>
      <c r="CF433"/>
      <c r="CG433"/>
      <c r="CH433"/>
      <c r="CI433"/>
      <c r="CJ433"/>
      <c r="CK433"/>
      <c r="CL433"/>
      <c r="CM433"/>
      <c r="CN433"/>
      <c r="CO433"/>
      <c r="CP433"/>
    </row>
    <row r="434" spans="1:94" outlineLevel="1">
      <c r="A434" s="1511" t="s">
        <v>663</v>
      </c>
      <c r="B434" s="1553"/>
      <c r="C434" s="1553"/>
      <c r="D434" s="1553"/>
      <c r="E434" s="1553"/>
      <c r="F434" s="1553"/>
      <c r="G434" s="1311"/>
      <c r="H434" s="1494" t="s">
        <v>5067</v>
      </c>
      <c r="I434" s="1495"/>
      <c r="J434" s="1494" t="s">
        <v>3805</v>
      </c>
      <c r="K434" s="1495"/>
      <c r="L434" s="1494" t="s">
        <v>1333</v>
      </c>
      <c r="M434" s="1495"/>
      <c r="N434" s="1494" t="s">
        <v>4740</v>
      </c>
      <c r="O434" s="1362"/>
      <c r="P434" s="1494" t="s">
        <v>2005</v>
      </c>
      <c r="Q434" s="1495"/>
      <c r="R434" s="1550" t="s">
        <v>3977</v>
      </c>
      <c r="S434" s="1551"/>
      <c r="T434" s="1494" t="s">
        <v>3604</v>
      </c>
      <c r="U434" s="1362"/>
      <c r="V434" s="1494" t="s">
        <v>3605</v>
      </c>
      <c r="W434" s="1495"/>
      <c r="X434" s="1554" t="s">
        <v>664</v>
      </c>
      <c r="Y434" s="1555"/>
      <c r="Z434" s="1494" t="s">
        <v>3606</v>
      </c>
      <c r="AA434" s="1495"/>
      <c r="AB434" s="1495"/>
      <c r="AC434" s="1495"/>
      <c r="AD434" s="1498"/>
      <c r="AE434" s="414">
        <f>Combat!F250</f>
        <v>8</v>
      </c>
      <c r="AF434" s="414"/>
      <c r="AG434" s="1552" t="s">
        <v>663</v>
      </c>
      <c r="AH434" s="1553"/>
      <c r="AI434" s="1553"/>
      <c r="AJ434" s="1553"/>
      <c r="AK434" s="1553"/>
      <c r="AL434" s="1553"/>
      <c r="AM434" s="1311"/>
      <c r="AN434" s="1494" t="s">
        <v>5067</v>
      </c>
      <c r="AO434" s="1495"/>
      <c r="AP434" s="1494" t="s">
        <v>3805</v>
      </c>
      <c r="AQ434" s="1495"/>
      <c r="AR434" s="1494" t="s">
        <v>1333</v>
      </c>
      <c r="AS434" s="1495"/>
      <c r="AT434" s="1494" t="s">
        <v>4740</v>
      </c>
      <c r="AU434" s="1362"/>
      <c r="AV434" s="1494" t="s">
        <v>2005</v>
      </c>
      <c r="AW434" s="1495"/>
      <c r="AX434" s="1550" t="s">
        <v>3977</v>
      </c>
      <c r="AY434" s="1551"/>
      <c r="AZ434" s="1494" t="s">
        <v>3604</v>
      </c>
      <c r="BA434" s="1362"/>
      <c r="BB434" s="1494" t="s">
        <v>3605</v>
      </c>
      <c r="BC434" s="1495"/>
      <c r="BD434" s="1554" t="s">
        <v>664</v>
      </c>
      <c r="BE434" s="1555"/>
      <c r="BF434" s="1494" t="s">
        <v>3606</v>
      </c>
      <c r="BG434" s="1495"/>
      <c r="BH434" s="1495"/>
      <c r="BI434" s="1495"/>
      <c r="BJ434" s="1315"/>
      <c r="BM434" s="1552" t="s">
        <v>663</v>
      </c>
      <c r="BN434" s="1553"/>
      <c r="BO434" s="1553"/>
      <c r="BP434" s="1553"/>
      <c r="BQ434" s="1553"/>
      <c r="BR434" s="1553"/>
      <c r="BS434" s="1311"/>
      <c r="BT434" s="1494" t="s">
        <v>5067</v>
      </c>
      <c r="BU434" s="1495"/>
      <c r="BV434" s="1494" t="s">
        <v>3805</v>
      </c>
      <c r="BW434" s="1495"/>
      <c r="BX434" s="1494" t="s">
        <v>1333</v>
      </c>
      <c r="BY434" s="1495"/>
      <c r="BZ434" s="1494" t="s">
        <v>4740</v>
      </c>
      <c r="CA434" s="1362"/>
      <c r="CB434" s="1494" t="s">
        <v>2005</v>
      </c>
      <c r="CC434" s="1495"/>
      <c r="CD434" s="1550" t="s">
        <v>3977</v>
      </c>
      <c r="CE434" s="1551"/>
      <c r="CF434" s="1494" t="s">
        <v>3604</v>
      </c>
      <c r="CG434" s="1362"/>
      <c r="CH434" s="1494" t="s">
        <v>3605</v>
      </c>
      <c r="CI434" s="1495"/>
      <c r="CJ434" s="1554" t="s">
        <v>664</v>
      </c>
      <c r="CK434" s="1555"/>
      <c r="CL434" s="1494" t="s">
        <v>3606</v>
      </c>
      <c r="CM434" s="1495"/>
      <c r="CN434" s="1495"/>
      <c r="CO434" s="1495"/>
      <c r="CP434" s="1315"/>
    </row>
    <row r="435" spans="1:94" ht="15.75" customHeight="1" outlineLevel="1">
      <c r="A435" s="1481" t="s">
        <v>4781</v>
      </c>
      <c r="B435" s="1482"/>
      <c r="C435" s="1344" t="s">
        <v>737</v>
      </c>
      <c r="D435" s="1344"/>
      <c r="E435" s="1344"/>
      <c r="F435" s="1344"/>
      <c r="G435" s="1345"/>
      <c r="H435" s="1549">
        <f ca="1">INDIRECT(ADDRESS(57,VLOOKUP('Character Sheet'!$AE$404,Mount!$U$73:$Y$88,5),,,"Mount"))</f>
        <v>1</v>
      </c>
      <c r="I435" s="1477"/>
      <c r="J435" s="1549">
        <f ca="1">INDIRECT(ADDRESS(58,VLOOKUP('Character Sheet'!$AE$404,Mount!$U$73:$Y$88,5),,,"Mount"))</f>
        <v>0</v>
      </c>
      <c r="K435" s="1477"/>
      <c r="L435" s="1549">
        <f ca="1">INDIRECT(ADDRESS(59,VLOOKUP('Character Sheet'!$AE$404,Mount!$U$73:$Y$88,5),,,"Mount"))</f>
        <v>0</v>
      </c>
      <c r="M435" s="1477"/>
      <c r="N435" s="1477">
        <f ca="1">INDIRECT(ADDRESS(60,VLOOKUP('Character Sheet'!$AE$404,Mount!$U$73:$Y$88,5),,,"Mount"))</f>
        <v>1</v>
      </c>
      <c r="O435" s="1362"/>
      <c r="P435" s="1549">
        <f ca="1">INDIRECT(ADDRESS(61,VLOOKUP('Character Sheet'!$AE$404,Mount!$U$73:$Y$88,5),,,"Mount"))</f>
        <v>1</v>
      </c>
      <c r="Q435" s="1477"/>
      <c r="R435" s="1492">
        <v>0</v>
      </c>
      <c r="S435" s="1493"/>
      <c r="T435" s="1493">
        <v>3</v>
      </c>
      <c r="U435" s="1362"/>
      <c r="V435" s="1493">
        <v>0</v>
      </c>
      <c r="W435" s="1493"/>
      <c r="X435" s="1546">
        <v>0</v>
      </c>
      <c r="Y435" s="1362"/>
      <c r="Z435" s="1532"/>
      <c r="AA435" s="1532"/>
      <c r="AB435" s="1532"/>
      <c r="AC435" s="1532"/>
      <c r="AD435" s="1498"/>
      <c r="AE435" s="414">
        <f>Combat!F253</f>
        <v>8</v>
      </c>
      <c r="AF435" s="414"/>
      <c r="AG435" s="1481" t="s">
        <v>4781</v>
      </c>
      <c r="AH435" s="1482"/>
      <c r="AI435" s="1344" t="s">
        <v>737</v>
      </c>
      <c r="AJ435" s="1344"/>
      <c r="AK435" s="1344"/>
      <c r="AL435" s="1344"/>
      <c r="AM435" s="1345"/>
      <c r="AN435" s="1549">
        <f ca="1">INDIRECT(ADDRESS(57,VLOOKUP('Character Sheet'!$AE$405,Mount!$U$73:$AA$88,7),,,"Mount"))</f>
        <v>1</v>
      </c>
      <c r="AO435" s="1477"/>
      <c r="AP435" s="1549">
        <f ca="1">INDIRECT(ADDRESS(58,VLOOKUP('Character Sheet'!$AE$405,Mount!$U$73:$AA$88,7),,,"Mount"))</f>
        <v>0</v>
      </c>
      <c r="AQ435" s="1477"/>
      <c r="AR435" s="1549">
        <f ca="1">INDIRECT(ADDRESS(59,VLOOKUP('Character Sheet'!$AE$405,Mount!$U$73:$AA$88,7),,,"Mount"))</f>
        <v>0</v>
      </c>
      <c r="AS435" s="1477"/>
      <c r="AT435" s="1477">
        <f ca="1">INDIRECT(ADDRESS(60,VLOOKUP('Character Sheet'!$AE$405,Mount!$U$73:$AA$88,7),,,"Mount"))</f>
        <v>1</v>
      </c>
      <c r="AU435" s="1362"/>
      <c r="AV435" s="1549">
        <f ca="1">INDIRECT(ADDRESS(61,VLOOKUP('Character Sheet'!$AE$405,Mount!$U$73:$AA$88,7),,,"Mount"))</f>
        <v>1</v>
      </c>
      <c r="AW435" s="1477"/>
      <c r="AX435" s="1492">
        <v>0</v>
      </c>
      <c r="AY435" s="1493"/>
      <c r="AZ435" s="1493">
        <v>3</v>
      </c>
      <c r="BA435" s="1362"/>
      <c r="BB435" s="1493">
        <v>0</v>
      </c>
      <c r="BC435" s="1493"/>
      <c r="BD435" s="1546">
        <v>0</v>
      </c>
      <c r="BE435" s="1362"/>
      <c r="BF435" s="1532"/>
      <c r="BG435" s="1532"/>
      <c r="BH435" s="1532"/>
      <c r="BI435" s="1532"/>
      <c r="BJ435" s="1315"/>
      <c r="BM435" s="1481" t="s">
        <v>4781</v>
      </c>
      <c r="BN435" s="1482"/>
      <c r="BO435" s="1344" t="s">
        <v>737</v>
      </c>
      <c r="BP435" s="1344"/>
      <c r="BQ435" s="1344"/>
      <c r="BR435" s="1344"/>
      <c r="BS435" s="1345"/>
      <c r="BT435" s="1549">
        <f ca="1">INDIRECT(ADDRESS(57,VLOOKUP('Character Sheet'!$BK$406,Mount!$U$73:$AA$88,7),,,"Mount"))</f>
        <v>1</v>
      </c>
      <c r="BU435" s="1477"/>
      <c r="BV435" s="1549">
        <f ca="1">INDIRECT(ADDRESS(58,VLOOKUP('Character Sheet'!$AE$405,Mount!$U$73:$AA$88,7),,,"Mount"))</f>
        <v>0</v>
      </c>
      <c r="BW435" s="1477"/>
      <c r="BX435" s="1549">
        <f ca="1">INDIRECT(ADDRESS(59,VLOOKUP('Character Sheet'!$AE$405,Mount!$U$73:$AA$88,7),,,"Mount"))</f>
        <v>0</v>
      </c>
      <c r="BY435" s="1477"/>
      <c r="BZ435" s="1477">
        <f ca="1">INDIRECT(ADDRESS(60,VLOOKUP('Character Sheet'!$AE$405,Mount!$U$73:$AA$88,7),,,"Mount"))</f>
        <v>1</v>
      </c>
      <c r="CA435" s="1362"/>
      <c r="CB435" s="1549">
        <f ca="1">INDIRECT(ADDRESS(61,VLOOKUP('Character Sheet'!$AE$405,Mount!$U$73:$AA$88,7),,,"Mount"))</f>
        <v>1</v>
      </c>
      <c r="CC435" s="1477"/>
      <c r="CD435" s="1492">
        <v>0</v>
      </c>
      <c r="CE435" s="1493"/>
      <c r="CF435" s="1493">
        <v>3</v>
      </c>
      <c r="CG435" s="1362"/>
      <c r="CH435" s="1493">
        <v>0</v>
      </c>
      <c r="CI435" s="1493"/>
      <c r="CJ435" s="1546">
        <v>0</v>
      </c>
      <c r="CK435" s="1362"/>
      <c r="CL435" s="1532"/>
      <c r="CM435" s="1532"/>
      <c r="CN435" s="1532"/>
      <c r="CO435" s="1532"/>
      <c r="CP435" s="1315"/>
    </row>
    <row r="436" spans="1:94" ht="15.75" customHeight="1" outlineLevel="1">
      <c r="A436" s="1481" t="s">
        <v>4660</v>
      </c>
      <c r="B436" s="1482"/>
      <c r="C436" s="1497" t="str">
        <f>VLOOKUP(AE433,Mount!$A$69:$D$76,2)</f>
        <v>None</v>
      </c>
      <c r="D436" s="1387"/>
      <c r="E436" s="1387"/>
      <c r="F436" s="1387"/>
      <c r="G436" s="1388"/>
      <c r="H436" s="1490">
        <f ca="1">INDIRECT(ADDRESS(57,VLOOKUP('Character Sheet'!$AE$404,Mount!$U$73:$Y$88,5),,,"Mount"))+VLOOKUP(AE433,Mount!A69:M76,7)+Combat!K249</f>
        <v>1</v>
      </c>
      <c r="I436" s="1477"/>
      <c r="J436" s="1490">
        <f ca="1">INDIRECT(ADDRESS(58,VLOOKUP('Character Sheet'!$AE$404,Mount!$U$73:$Y$88,5),,,"Mount"))+VLOOKUP(AE433,Mount!A69:M76,8)+Combat!L249</f>
        <v>0</v>
      </c>
      <c r="K436" s="1477"/>
      <c r="L436" s="1490">
        <f ca="1">INDIRECT(ADDRESS(59,VLOOKUP('Character Sheet'!$AE$404,Mount!$U$73:$Y$88,5),,,"Mount"))+VLOOKUP(AE433,Mount!A69:M76,9)+Combat!M249</f>
        <v>0</v>
      </c>
      <c r="M436" s="1477"/>
      <c r="N436" s="1491">
        <f ca="1">INDIRECT(ADDRESS(60,VLOOKUP('Character Sheet'!$AE$404,Mount!$U$73:$Y$88,5),,,"Mount"))+VLOOKUP(AE433,Mount!A69:M76,10)+Combat!N249</f>
        <v>1</v>
      </c>
      <c r="O436" s="1362"/>
      <c r="P436" s="1490">
        <f ca="1">INDIRECT(ADDRESS(61,VLOOKUP('Character Sheet'!$AE$404,Mount!$U$73:$Y$88,5),,,"Mount"))+VLOOKUP(AE433,Mount!A69:M76,11)+Combat!O249</f>
        <v>1</v>
      </c>
      <c r="Q436" s="1477"/>
      <c r="R436" s="1492">
        <f ca="1">INDIRECT(ADDRESS(18,VLOOKUP('Character Sheet'!$AE$404,Mount!$U$73:$Y$88,5),,,"Mount"))*VLOOKUP(AE433,Mount!A69:M76,5)</f>
        <v>0</v>
      </c>
      <c r="S436" s="1493"/>
      <c r="T436" s="1496">
        <f>VLOOKUP(AE433,Mount!A69:P76,14)</f>
        <v>0</v>
      </c>
      <c r="U436" s="1362"/>
      <c r="V436" s="1493">
        <f>VLOOKUP(AE433,Mount!A69:P76,15)</f>
        <v>0</v>
      </c>
      <c r="W436" s="1493"/>
      <c r="X436" s="1493">
        <f>VLOOKUP(AE433,Mount!A69:M76,13)</f>
        <v>0</v>
      </c>
      <c r="Y436" s="1493"/>
      <c r="Z436" s="1532"/>
      <c r="AA436" s="1532"/>
      <c r="AB436" s="1532"/>
      <c r="AC436" s="1532"/>
      <c r="AD436" s="1498"/>
      <c r="AE436" s="414">
        <f>Combat!$F$254</f>
        <v>8</v>
      </c>
      <c r="AF436" s="414"/>
      <c r="AG436" s="1481" t="s">
        <v>4660</v>
      </c>
      <c r="AH436" s="1482"/>
      <c r="AI436" s="1497" t="str">
        <f>VLOOKUP(AE435,Mount!$A$69:$D$76,2)</f>
        <v>None</v>
      </c>
      <c r="AJ436" s="1387"/>
      <c r="AK436" s="1387"/>
      <c r="AL436" s="1387"/>
      <c r="AM436" s="1388"/>
      <c r="AN436" s="1490">
        <f ca="1">INDIRECT(ADDRESS(57,VLOOKUP('Character Sheet'!$AE$405,Mount!$U$73:$AA$88,7),,,"Mount"))+VLOOKUP(AE435,Mount!A69:M76,7)+Combat!K253</f>
        <v>1</v>
      </c>
      <c r="AO436" s="1477"/>
      <c r="AP436" s="1490">
        <f ca="1">INDIRECT(ADDRESS(58,VLOOKUP('Character Sheet'!$AE$405,Mount!$U$73:$AA$88,7),,,"Mount"))+VLOOKUP(AE435,Mount!A69:M76,8)+Combat!L253</f>
        <v>0</v>
      </c>
      <c r="AQ436" s="1477"/>
      <c r="AR436" s="1490">
        <f ca="1">INDIRECT(ADDRESS(59,VLOOKUP('Character Sheet'!$AE$405,Mount!$U$73:$AA$88,7),,,"Mount"))+VLOOKUP(AE435,Mount!A69:M76,9)+Combat!M253</f>
        <v>0</v>
      </c>
      <c r="AS436" s="1477"/>
      <c r="AT436" s="1491">
        <f ca="1">INDIRECT(ADDRESS(60,VLOOKUP('Character Sheet'!$AE$405,Mount!$U$73:$AA$88,7),,,"Mount"))+VLOOKUP(AE435,Mount!A69:M76,10)+Combat!N253</f>
        <v>1</v>
      </c>
      <c r="AU436" s="1362"/>
      <c r="AV436" s="1490">
        <f ca="1">INDIRECT(ADDRESS(61,VLOOKUP('Character Sheet'!$AE$405,Mount!$U$73:$AA$88,7),,,"Mount"))+VLOOKUP(AE435,Mount!A69:M76,11)+Combat!O253</f>
        <v>1</v>
      </c>
      <c r="AW436" s="1477"/>
      <c r="AX436" s="1492">
        <f ca="1">INDIRECT(ADDRESS(18,VLOOKUP('Character Sheet'!$AE$405,Mount!$U$73:$AA$88,7),,,"Mount"))*VLOOKUP(AE435,Mount!A69:M76,5)</f>
        <v>0</v>
      </c>
      <c r="AY436" s="1493"/>
      <c r="AZ436" s="1496">
        <f>VLOOKUP(AE435,Mount!A69:P76,14)</f>
        <v>0</v>
      </c>
      <c r="BA436" s="1362"/>
      <c r="BB436" s="1493">
        <f>VLOOKUP(AE435,Mount!A69:P76,15)</f>
        <v>0</v>
      </c>
      <c r="BC436" s="1493"/>
      <c r="BD436" s="1493">
        <f>VLOOKUP(AE435,Mount!A69:P76,13)</f>
        <v>0</v>
      </c>
      <c r="BE436" s="1493"/>
      <c r="BF436" s="1532"/>
      <c r="BG436" s="1532"/>
      <c r="BH436" s="1532"/>
      <c r="BI436" s="1532"/>
      <c r="BJ436" s="1315"/>
      <c r="BK436" s="414">
        <f>Combat!$F$257</f>
        <v>8</v>
      </c>
      <c r="BL436" s="414"/>
      <c r="BM436" s="1481" t="s">
        <v>4660</v>
      </c>
      <c r="BN436" s="1482"/>
      <c r="BO436" s="1497" t="str">
        <f>VLOOKUP(BK436,Mount!$A$69:$D$76,2)</f>
        <v>None</v>
      </c>
      <c r="BP436" s="1387"/>
      <c r="BQ436" s="1387"/>
      <c r="BR436" s="1387"/>
      <c r="BS436" s="1388"/>
      <c r="BT436" s="2487">
        <f ca="1">INDIRECT(ADDRESS(57,VLOOKUP('Character Sheet'!$BK$406,Mount!$U$73:$AA$88,7),,,"Mount"))+VLOOKUP($BK$436,Mount!$A$69:$M$76,7)+Combat!K$257</f>
        <v>1</v>
      </c>
      <c r="BU436" s="2488"/>
      <c r="BV436" s="2487">
        <f ca="1">INDIRECT(ADDRESS(57,VLOOKUP('Character Sheet'!$BK$406,Mount!$U$73:$AA$88,7),,,"Mount"))+VLOOKUP($BK$436,Mount!$A$69:$M$76,7)+Combat!M$257</f>
        <v>1</v>
      </c>
      <c r="BW436" s="2488"/>
      <c r="BX436" s="2487">
        <f ca="1">INDIRECT(ADDRESS(57,VLOOKUP('Character Sheet'!$BK$406,Mount!$U$73:$AA$88,7),,,"Mount"))+VLOOKUP($BK$436,Mount!$A$69:$M$76,7)+Combat!O$257</f>
        <v>1</v>
      </c>
      <c r="BY436" s="2488"/>
      <c r="BZ436" s="2485">
        <f ca="1">INDIRECT(ADDRESS(57,VLOOKUP('Character Sheet'!$BK$406,Mount!$U$73:$AA$88,7),,,"Mount"))+VLOOKUP($BK$436,Mount!$A$69:$M$76,7)+Combat!Q$257</f>
        <v>1</v>
      </c>
      <c r="CA436" s="2486"/>
      <c r="CB436" s="2487">
        <f ca="1">INDIRECT(ADDRESS(57,VLOOKUP('Character Sheet'!$BK$406,Mount!$U$73:$AA$88,7),,,"Mount"))+VLOOKUP($BK$436,Mount!$A$69:$M$76,7)+Combat!S$257</f>
        <v>1</v>
      </c>
      <c r="CC436" s="2488"/>
      <c r="CD436" s="2489">
        <f ca="1">INDIRECT(ADDRESS(57,VLOOKUP('Character Sheet'!$BK$406,Mount!$U$73:$AA$88,7),,,"Mount"))+VLOOKUP($BK$436,Mount!$A$69:$M$76,7)+Combat!U$257</f>
        <v>1</v>
      </c>
      <c r="CE436" s="2490"/>
      <c r="CF436" s="2491">
        <f>VLOOKUP(BK436,Mount!A69:P76,14)</f>
        <v>0</v>
      </c>
      <c r="CG436" s="1847"/>
      <c r="CH436" s="2491">
        <f>VLOOKUP(BK436,Mount!A69:P76,15)</f>
        <v>0</v>
      </c>
      <c r="CI436" s="1847"/>
      <c r="CJ436" s="2491">
        <f>VLOOKUP(AE435,Mount!$A$69:$P$76,13)</f>
        <v>0</v>
      </c>
      <c r="CK436" s="1847"/>
      <c r="CL436" s="1532"/>
      <c r="CM436" s="1532"/>
      <c r="CN436" s="1532"/>
      <c r="CO436" s="1532"/>
      <c r="CP436" s="1315"/>
    </row>
    <row r="437" spans="1:94" ht="15.75" customHeight="1" outlineLevel="1">
      <c r="A437" s="1547" t="s">
        <v>4661</v>
      </c>
      <c r="B437" s="1548"/>
      <c r="C437" s="1463" t="str">
        <f>VLOOKUP(AE434,Mount!$A$77:$D$84,2)</f>
        <v>None</v>
      </c>
      <c r="D437" s="1298"/>
      <c r="E437" s="1298"/>
      <c r="F437" s="1298"/>
      <c r="G437" s="1296"/>
      <c r="H437" s="1490">
        <f ca="1">INDIRECT(ADDRESS(57,VLOOKUP('Character Sheet'!$AE$404,Mount!$U$73:$Y$88,5),,,"Mount"))+VLOOKUP(AE434,Mount!A77:M84,7)+Combat!K250</f>
        <v>1</v>
      </c>
      <c r="I437" s="1477"/>
      <c r="J437" s="1490">
        <f ca="1">INDIRECT(ADDRESS(58,VLOOKUP('Character Sheet'!$AE$404,Mount!$U$73:$Y$88,5),,,"Mount"))+VLOOKUP(AE434,Mount!A77:M84,8)+Combat!L250</f>
        <v>0</v>
      </c>
      <c r="K437" s="1477"/>
      <c r="L437" s="1490">
        <f ca="1">INDIRECT(ADDRESS(59,VLOOKUP('Character Sheet'!$AE$404,Mount!$U$73:$Y$88,5),,,"Mount"))+VLOOKUP(AE434,Mount!A77:M84,9)+Combat!M250</f>
        <v>0</v>
      </c>
      <c r="M437" s="1477"/>
      <c r="N437" s="1491">
        <f ca="1">INDIRECT(ADDRESS(60,VLOOKUP('Character Sheet'!$AE$404,Mount!$U$73:$Y$88,5),,,"Mount"))+VLOOKUP(AE434,Mount!A77:M84,10)+Combat!N250</f>
        <v>1</v>
      </c>
      <c r="O437" s="1362"/>
      <c r="P437" s="1490">
        <f ca="1">INDIRECT(ADDRESS(61,VLOOKUP('Character Sheet'!$AE$404,Mount!$U$73:$Y$88,5),,,"Mount"))+VLOOKUP(AE434,Mount!A77:M84,11)+Combat!O250</f>
        <v>1</v>
      </c>
      <c r="Q437" s="1477"/>
      <c r="R437" s="1492">
        <f ca="1">INDIRECT(ADDRESS(18,VLOOKUP('Character Sheet'!$AE$404,Mount!$U$73:$Y$88,5),,,"Mount"))*VLOOKUP(AE434,Mount!A77:M84,5)</f>
        <v>0</v>
      </c>
      <c r="S437" s="1493"/>
      <c r="T437" s="1493">
        <f>VLOOKUP(AE434,Mount!A77:P84,14)</f>
        <v>0</v>
      </c>
      <c r="U437" s="1362"/>
      <c r="V437" s="1493">
        <f>VLOOKUP(AE434,Mount!A77:P84,15)</f>
        <v>0</v>
      </c>
      <c r="W437" s="1493"/>
      <c r="X437" s="1493">
        <f>VLOOKUP(AE434,Mount!A77:M84,13)</f>
        <v>0</v>
      </c>
      <c r="Y437" s="1493"/>
      <c r="Z437" s="1532"/>
      <c r="AA437" s="1532"/>
      <c r="AB437" s="1532"/>
      <c r="AC437" s="1532"/>
      <c r="AD437" s="1498"/>
      <c r="AG437" s="1547" t="s">
        <v>4661</v>
      </c>
      <c r="AH437" s="1548"/>
      <c r="AI437" s="1463" t="str">
        <f>VLOOKUP(AE436,Mount!$A$77:$D$84,2)</f>
        <v>None</v>
      </c>
      <c r="AJ437" s="1298"/>
      <c r="AK437" s="1298"/>
      <c r="AL437" s="1298"/>
      <c r="AM437" s="1296"/>
      <c r="AN437" s="1490">
        <f ca="1">INDIRECT(ADDRESS(57,VLOOKUP('Character Sheet'!$AE$405,Mount!$U$73:$AA$88,7),,,"Mount"))+VLOOKUP(AE436,Mount!A69:M76,7)+Combat!K254</f>
        <v>1</v>
      </c>
      <c r="AO437" s="1477"/>
      <c r="AP437" s="1490">
        <f ca="1">INDIRECT(ADDRESS(58,VLOOKUP('Character Sheet'!$AE$405,Mount!$U$73:$AA$88,7),,,"Mount"))+VLOOKUP(AE436,Mount!A69:M76,8)+Combat!L254</f>
        <v>0</v>
      </c>
      <c r="AQ437" s="1477"/>
      <c r="AR437" s="1490">
        <f ca="1">INDIRECT(ADDRESS(59,VLOOKUP('Character Sheet'!$AE$405,Mount!$U$73:$AA$88,7),,,"Mount"))+VLOOKUP(AE436,Mount!A69:M76,9)+Combat!M254</f>
        <v>0</v>
      </c>
      <c r="AS437" s="1477"/>
      <c r="AT437" s="1491">
        <f ca="1">INDIRECT(ADDRESS(60,VLOOKUP('Character Sheet'!$AE$405,Mount!$U$73:$AA$88,7),,,"Mount"))+VLOOKUP(AE436,Mount!A69:M76,10)+Combat!N254</f>
        <v>1</v>
      </c>
      <c r="AU437" s="1362"/>
      <c r="AV437" s="1490">
        <f ca="1">INDIRECT(ADDRESS(61,VLOOKUP('Character Sheet'!$AE$405,Mount!$U$73:$AA$88,7),,,"Mount"))+VLOOKUP(AE436,Mount!A69:M76,11)+Combat!O254</f>
        <v>1</v>
      </c>
      <c r="AW437" s="1477"/>
      <c r="AX437" s="1492">
        <f ca="1">INDIRECT(ADDRESS(18,VLOOKUP('Character Sheet'!$AE$405,Mount!$U$73:$AA$88,7),,,"Mount"))*VLOOKUP(AE436,Mount!A69:M76,5)</f>
        <v>0</v>
      </c>
      <c r="AY437" s="1493"/>
      <c r="AZ437" s="1493">
        <f>VLOOKUP(AE436,Mount!A69:P76,14)</f>
        <v>0</v>
      </c>
      <c r="BA437" s="1362"/>
      <c r="BB437" s="1493">
        <f>VLOOKUP(AE436,Mount!A69:P76,15)</f>
        <v>0</v>
      </c>
      <c r="BC437" s="1493"/>
      <c r="BD437" s="1493">
        <f>VLOOKUP(AE436,Mount!A69:P76,13)</f>
        <v>0</v>
      </c>
      <c r="BE437" s="1493"/>
      <c r="BF437" s="1532"/>
      <c r="BG437" s="1532"/>
      <c r="BH437" s="1532"/>
      <c r="BI437" s="1532"/>
      <c r="BJ437" s="1315"/>
      <c r="BK437" s="414">
        <f>Combat!$F$258</f>
        <v>8</v>
      </c>
      <c r="BL437" s="414"/>
      <c r="BM437" s="1547" t="s">
        <v>4661</v>
      </c>
      <c r="BN437" s="1548"/>
      <c r="BO437" s="1463" t="str">
        <f>VLOOKUP(BK437,Mount!$A$77:$D$84,2)</f>
        <v>None</v>
      </c>
      <c r="BP437" s="1298"/>
      <c r="BQ437" s="1298"/>
      <c r="BR437" s="1298"/>
      <c r="BS437" s="1296"/>
      <c r="BT437" s="2487">
        <f ca="1">INDIRECT(ADDRESS(57,VLOOKUP('Character Sheet'!$BK$406,Mount!$U$73:$AA$88,7),,,"Mount"))+VLOOKUP($BK$437,Mount!$A$69:$M$76,7)+Combat!K$258</f>
        <v>1</v>
      </c>
      <c r="BU437" s="2488"/>
      <c r="BV437" s="2487">
        <f ca="1">INDIRECT(ADDRESS(57,VLOOKUP('Character Sheet'!$BK$406,Mount!$U$73:$AA$88,7),,,"Mount"))+VLOOKUP($BK$437,Mount!$A$69:$M$76,7)+Combat!M$258</f>
        <v>1</v>
      </c>
      <c r="BW437" s="2488"/>
      <c r="BX437" s="2487">
        <f ca="1">INDIRECT(ADDRESS(57,VLOOKUP('Character Sheet'!$BK$406,Mount!$U$73:$AA$88,7),,,"Mount"))+VLOOKUP($BK$437,Mount!$A$69:$M$76,7)+Combat!O$258</f>
        <v>1</v>
      </c>
      <c r="BY437" s="2488"/>
      <c r="BZ437" s="2485">
        <f ca="1">INDIRECT(ADDRESS(57,VLOOKUP('Character Sheet'!$BK$406,Mount!$U$73:$AA$88,7),,,"Mount"))+VLOOKUP($BK$437,Mount!$A$69:$M$76,7)+Combat!Q$258</f>
        <v>1</v>
      </c>
      <c r="CA437" s="2486"/>
      <c r="CB437" s="2487">
        <f ca="1">INDIRECT(ADDRESS(57,VLOOKUP('Character Sheet'!$BK$406,Mount!$U$73:$AA$88,7),,,"Mount"))+VLOOKUP($BK$437,Mount!$A$69:$M$76,7)+Combat!S$258</f>
        <v>1</v>
      </c>
      <c r="CC437" s="2488"/>
      <c r="CD437" s="2489">
        <f ca="1">INDIRECT(ADDRESS(57,VLOOKUP('Character Sheet'!$BK$406,Mount!$U$73:$AA$88,7),,,"Mount"))+VLOOKUP($BK$437,Mount!$A$69:$M$76,7)+Combat!U$258</f>
        <v>1</v>
      </c>
      <c r="CE437" s="2490"/>
      <c r="CF437" s="2491">
        <f>VLOOKUP(BK437,Mount!A70:P77,14)</f>
        <v>0</v>
      </c>
      <c r="CG437" s="1847"/>
      <c r="CH437" s="2491">
        <f>VLOOKUP(BK437,Mount!A69:P76,15)</f>
        <v>0</v>
      </c>
      <c r="CI437" s="1847"/>
      <c r="CJ437" s="2491">
        <f>VLOOKUP(AE436,Mount!$A$69:$P$76,13)</f>
        <v>0</v>
      </c>
      <c r="CK437" s="1847"/>
      <c r="CL437" s="1532"/>
      <c r="CM437" s="1532"/>
      <c r="CN437" s="1532"/>
      <c r="CO437" s="1532"/>
      <c r="CP437" s="1315"/>
    </row>
    <row r="438" spans="1:94" outlineLevel="1">
      <c r="A438" s="1511" t="s">
        <v>665</v>
      </c>
      <c r="B438" s="1382"/>
      <c r="C438" s="1382"/>
      <c r="D438" s="1382"/>
      <c r="E438" s="1382"/>
      <c r="F438" s="1382"/>
      <c r="G438" s="1382"/>
      <c r="H438" s="1382"/>
      <c r="I438" s="1382"/>
      <c r="J438" s="1382"/>
      <c r="K438" s="1382"/>
      <c r="L438" s="1382"/>
      <c r="M438" s="1382"/>
      <c r="N438" s="1382"/>
      <c r="O438" s="1382"/>
      <c r="P438" s="1382"/>
      <c r="Q438" s="1382"/>
      <c r="R438" s="1382"/>
      <c r="S438" s="1382"/>
      <c r="T438" s="1382"/>
      <c r="U438" s="1382"/>
      <c r="V438" s="1382"/>
      <c r="W438" s="1382"/>
      <c r="X438" s="1382"/>
      <c r="Y438" s="1382"/>
      <c r="Z438" s="1382"/>
      <c r="AA438" s="1382"/>
      <c r="AB438" s="1382"/>
      <c r="AC438" s="1382"/>
      <c r="AD438" s="1311"/>
      <c r="AG438" s="1511" t="s">
        <v>665</v>
      </c>
      <c r="AH438" s="1382"/>
      <c r="AI438" s="1382"/>
      <c r="AJ438" s="1382"/>
      <c r="AK438" s="1382"/>
      <c r="AL438" s="1382"/>
      <c r="AM438" s="1382"/>
      <c r="AN438" s="1382"/>
      <c r="AO438" s="1382"/>
      <c r="AP438" s="1382"/>
      <c r="AQ438" s="1382"/>
      <c r="AR438" s="1382"/>
      <c r="AS438" s="1382"/>
      <c r="AT438" s="1382"/>
      <c r="AU438" s="1382"/>
      <c r="AV438" s="1382"/>
      <c r="AW438" s="1382"/>
      <c r="AX438" s="1382"/>
      <c r="AY438" s="1382"/>
      <c r="AZ438" s="1382"/>
      <c r="BA438" s="1382"/>
      <c r="BB438" s="1382"/>
      <c r="BC438" s="1382"/>
      <c r="BD438" s="1382"/>
      <c r="BE438" s="1382"/>
      <c r="BF438" s="1382"/>
      <c r="BG438" s="1382"/>
      <c r="BH438" s="1382"/>
      <c r="BI438" s="1382"/>
      <c r="BJ438" s="1311"/>
      <c r="BM438" s="1511" t="s">
        <v>665</v>
      </c>
      <c r="BN438" s="1382"/>
      <c r="BO438" s="1382"/>
      <c r="BP438" s="1382"/>
      <c r="BQ438" s="1382"/>
      <c r="BR438" s="1382"/>
      <c r="BS438" s="1382"/>
      <c r="BT438" s="1382"/>
      <c r="BU438" s="1382"/>
      <c r="BV438" s="1382"/>
      <c r="BW438" s="1382"/>
      <c r="BX438" s="1382"/>
      <c r="BY438" s="1382"/>
      <c r="BZ438" s="1382"/>
      <c r="CA438" s="1382"/>
      <c r="CB438" s="1382"/>
      <c r="CC438" s="1382"/>
      <c r="CD438" s="1382"/>
      <c r="CE438" s="1382"/>
      <c r="CF438" s="1382"/>
      <c r="CG438" s="1382"/>
      <c r="CH438" s="1382"/>
      <c r="CI438" s="1382"/>
      <c r="CJ438" s="1382"/>
      <c r="CK438" s="1382"/>
      <c r="CL438" s="1382"/>
      <c r="CM438" s="1382"/>
      <c r="CN438" s="1382"/>
      <c r="CO438" s="1382"/>
      <c r="CP438" s="1311"/>
    </row>
    <row r="439" spans="1:94" outlineLevel="1">
      <c r="A439" s="1526" t="s">
        <v>666</v>
      </c>
      <c r="B439" s="1533"/>
      <c r="C439" s="1533"/>
      <c r="D439" s="1533"/>
      <c r="E439" s="1533"/>
      <c r="F439" s="1387"/>
      <c r="G439" s="1388"/>
      <c r="H439" s="1537" t="s">
        <v>667</v>
      </c>
      <c r="I439" s="1538"/>
      <c r="J439" s="1539"/>
      <c r="K439" s="1526" t="s">
        <v>3765</v>
      </c>
      <c r="L439" s="1543"/>
      <c r="M439" s="1528"/>
      <c r="N439" s="1537" t="s">
        <v>668</v>
      </c>
      <c r="O439" s="1539"/>
      <c r="P439" s="1526" t="s">
        <v>1109</v>
      </c>
      <c r="Q439" s="1543"/>
      <c r="R439" s="1528"/>
      <c r="S439" s="1526" t="s">
        <v>209</v>
      </c>
      <c r="T439" s="1513"/>
      <c r="U439" s="1526" t="s">
        <v>2014</v>
      </c>
      <c r="V439" s="1527"/>
      <c r="W439" s="1528"/>
      <c r="X439" s="1494" t="s">
        <v>669</v>
      </c>
      <c r="Y439" s="1477"/>
      <c r="Z439" s="1477"/>
      <c r="AA439" s="1477"/>
      <c r="AB439" s="1477"/>
      <c r="AC439" s="1362"/>
      <c r="AD439" s="1362"/>
      <c r="AG439" s="1526" t="s">
        <v>666</v>
      </c>
      <c r="AH439" s="1533"/>
      <c r="AI439" s="1533"/>
      <c r="AJ439" s="1533"/>
      <c r="AK439" s="1533"/>
      <c r="AL439" s="1387"/>
      <c r="AM439" s="1388"/>
      <c r="AN439" s="1537" t="s">
        <v>667</v>
      </c>
      <c r="AO439" s="1538"/>
      <c r="AP439" s="1539"/>
      <c r="AQ439" s="1526" t="s">
        <v>3765</v>
      </c>
      <c r="AR439" s="1543"/>
      <c r="AS439" s="1528"/>
      <c r="AT439" s="1537" t="s">
        <v>668</v>
      </c>
      <c r="AU439" s="1539"/>
      <c r="AV439" s="1526" t="s">
        <v>1109</v>
      </c>
      <c r="AW439" s="1543"/>
      <c r="AX439" s="1528"/>
      <c r="AY439" s="1526" t="s">
        <v>209</v>
      </c>
      <c r="AZ439" s="1513"/>
      <c r="BA439" s="1526" t="s">
        <v>2014</v>
      </c>
      <c r="BB439" s="1527"/>
      <c r="BC439" s="1528"/>
      <c r="BD439" s="1494" t="s">
        <v>669</v>
      </c>
      <c r="BE439" s="1477"/>
      <c r="BF439" s="1477"/>
      <c r="BG439" s="1477"/>
      <c r="BH439" s="1477"/>
      <c r="BI439" s="1362"/>
      <c r="BJ439" s="1362"/>
      <c r="BM439" s="1526" t="s">
        <v>666</v>
      </c>
      <c r="BN439" s="1533"/>
      <c r="BO439" s="1533"/>
      <c r="BP439" s="1533"/>
      <c r="BQ439" s="1533"/>
      <c r="BR439" s="1387"/>
      <c r="BS439" s="1388"/>
      <c r="BT439" s="1537" t="s">
        <v>667</v>
      </c>
      <c r="BU439" s="1538"/>
      <c r="BV439" s="1539"/>
      <c r="BW439" s="1526" t="s">
        <v>3765</v>
      </c>
      <c r="BX439" s="1543"/>
      <c r="BY439" s="1528"/>
      <c r="BZ439" s="1537" t="s">
        <v>668</v>
      </c>
      <c r="CA439" s="1539"/>
      <c r="CB439" s="1526" t="s">
        <v>1109</v>
      </c>
      <c r="CC439" s="1543"/>
      <c r="CD439" s="1528"/>
      <c r="CE439" s="1526" t="s">
        <v>209</v>
      </c>
      <c r="CF439" s="1513"/>
      <c r="CG439" s="1526" t="s">
        <v>2014</v>
      </c>
      <c r="CH439" s="1527"/>
      <c r="CI439" s="1528"/>
      <c r="CJ439" s="1494" t="s">
        <v>669</v>
      </c>
      <c r="CK439" s="1477"/>
      <c r="CL439" s="1477"/>
      <c r="CM439" s="1477"/>
      <c r="CN439" s="1477"/>
      <c r="CO439" s="1362"/>
      <c r="CP439" s="1362"/>
    </row>
    <row r="440" spans="1:94" outlineLevel="1">
      <c r="A440" s="1534"/>
      <c r="B440" s="1535"/>
      <c r="C440" s="1535"/>
      <c r="D440" s="1535"/>
      <c r="E440" s="1535"/>
      <c r="F440" s="1535"/>
      <c r="G440" s="1536"/>
      <c r="H440" s="1540"/>
      <c r="I440" s="1541"/>
      <c r="J440" s="1542"/>
      <c r="K440" s="1529"/>
      <c r="L440" s="1530"/>
      <c r="M440" s="1531"/>
      <c r="N440" s="1540"/>
      <c r="O440" s="1542"/>
      <c r="P440" s="1529"/>
      <c r="Q440" s="1530"/>
      <c r="R440" s="1531"/>
      <c r="S440" s="1529"/>
      <c r="T440" s="1531"/>
      <c r="U440" s="1529"/>
      <c r="V440" s="1530"/>
      <c r="W440" s="1531"/>
      <c r="X440" s="1362"/>
      <c r="Y440" s="1362"/>
      <c r="Z440" s="1362"/>
      <c r="AA440" s="1362"/>
      <c r="AB440" s="1362"/>
      <c r="AC440" s="1362"/>
      <c r="AD440" s="1362"/>
      <c r="AG440" s="1534"/>
      <c r="AH440" s="1535"/>
      <c r="AI440" s="1535"/>
      <c r="AJ440" s="1535"/>
      <c r="AK440" s="1535"/>
      <c r="AL440" s="1535"/>
      <c r="AM440" s="1536"/>
      <c r="AN440" s="1540"/>
      <c r="AO440" s="1541"/>
      <c r="AP440" s="1542"/>
      <c r="AQ440" s="1529"/>
      <c r="AR440" s="1530"/>
      <c r="AS440" s="1531"/>
      <c r="AT440" s="1540"/>
      <c r="AU440" s="1542"/>
      <c r="AV440" s="1529"/>
      <c r="AW440" s="1530"/>
      <c r="AX440" s="1531"/>
      <c r="AY440" s="1529"/>
      <c r="AZ440" s="1531"/>
      <c r="BA440" s="1529"/>
      <c r="BB440" s="1530"/>
      <c r="BC440" s="1531"/>
      <c r="BD440" s="1362"/>
      <c r="BE440" s="1362"/>
      <c r="BF440" s="1362"/>
      <c r="BG440" s="1362"/>
      <c r="BH440" s="1362"/>
      <c r="BI440" s="1362"/>
      <c r="BJ440" s="1362"/>
      <c r="BM440" s="1534"/>
      <c r="BN440" s="1535"/>
      <c r="BO440" s="1535"/>
      <c r="BP440" s="1535"/>
      <c r="BQ440" s="1535"/>
      <c r="BR440" s="1535"/>
      <c r="BS440" s="1536"/>
      <c r="BT440" s="1540"/>
      <c r="BU440" s="1541"/>
      <c r="BV440" s="1542"/>
      <c r="BW440" s="1529"/>
      <c r="BX440" s="1530"/>
      <c r="BY440" s="1531"/>
      <c r="BZ440" s="1540"/>
      <c r="CA440" s="1542"/>
      <c r="CB440" s="1529"/>
      <c r="CC440" s="1530"/>
      <c r="CD440" s="1531"/>
      <c r="CE440" s="1529"/>
      <c r="CF440" s="1531"/>
      <c r="CG440" s="1529"/>
      <c r="CH440" s="1530"/>
      <c r="CI440" s="1531"/>
      <c r="CJ440" s="1362"/>
      <c r="CK440" s="1362"/>
      <c r="CL440" s="1362"/>
      <c r="CM440" s="1362"/>
      <c r="CN440" s="1362"/>
      <c r="CO440" s="1362"/>
      <c r="CP440" s="1362"/>
    </row>
    <row r="441" spans="1:94" outlineLevel="1">
      <c r="A441" s="1485" t="s">
        <v>4662</v>
      </c>
      <c r="B441" s="1486"/>
      <c r="C441" s="1486"/>
      <c r="D441" s="1486"/>
      <c r="E441" s="1486"/>
      <c r="F441" s="1298"/>
      <c r="G441" s="1296"/>
      <c r="H441" s="1477">
        <f ca="1">HLOOKUP(S441,Combat!BK$3:BP$6,2)</f>
        <v>5</v>
      </c>
      <c r="I441" s="1362"/>
      <c r="J441" s="1362"/>
      <c r="K441" s="1487">
        <f ca="1">INDIRECT(ADDRESS(49,VLOOKUP('Character Sheet'!$AE$404,Mount!$U$73:$Y$88,5),,,"Mount"))</f>
        <v>5</v>
      </c>
      <c r="L441" s="1488"/>
      <c r="M441" s="1489"/>
      <c r="N441" s="1487">
        <f ca="1">INDIRECT(ADDRESS(50,VLOOKUP('Character Sheet'!$AE$404,Mount!$U$73:$Y$88,5),,,"Mount"))</f>
        <v>0</v>
      </c>
      <c r="O441" s="1311"/>
      <c r="P441" s="1544">
        <v>0.4</v>
      </c>
      <c r="Q441" s="1545"/>
      <c r="R441" s="1545"/>
      <c r="S441" s="1474">
        <f ca="1">INDIRECT(ADDRESS(47,VLOOKUP('Character Sheet'!$AE$404,Mount!$U$73:$Y$88,5),,,"Mount"))</f>
        <v>0.12</v>
      </c>
      <c r="T441" s="1311"/>
      <c r="U441" s="1474">
        <f ca="1">INDIRECT(ADDRESS(48,VLOOKUP('Character Sheet'!$AE$404,Mount!$U$73:$Y$88,5),,,"Mount"))</f>
        <v>0.52</v>
      </c>
      <c r="V441" s="1475"/>
      <c r="W441" s="1476"/>
      <c r="X441" s="1477"/>
      <c r="Y441" s="1477"/>
      <c r="Z441" s="1477"/>
      <c r="AA441" s="1477"/>
      <c r="AB441" s="1477"/>
      <c r="AC441" s="1362"/>
      <c r="AD441" s="1362"/>
      <c r="AG441" s="1485" t="s">
        <v>4662</v>
      </c>
      <c r="AH441" s="1486"/>
      <c r="AI441" s="1486"/>
      <c r="AJ441" s="1486"/>
      <c r="AK441" s="1486"/>
      <c r="AL441" s="1298"/>
      <c r="AM441" s="1296"/>
      <c r="AN441" s="1477">
        <f ca="1">HLOOKUP(AY441,Combat!BK$3:BP$6,2)</f>
        <v>5</v>
      </c>
      <c r="AO441" s="1362"/>
      <c r="AP441" s="1362"/>
      <c r="AQ441" s="1487">
        <f ca="1">INDIRECT(ADDRESS(49,VLOOKUP('Character Sheet'!$AE$405,Mount!$U$73:$AA$88,7),,,"Mount"))</f>
        <v>5</v>
      </c>
      <c r="AR441" s="1488"/>
      <c r="AS441" s="1489"/>
      <c r="AT441" s="1487">
        <f ca="1">INDIRECT(ADDRESS(50,VLOOKUP('Character Sheet'!$AE$405,Mount!$U$73:$AA$88,7),,,"Mount"))</f>
        <v>0</v>
      </c>
      <c r="AU441" s="1311"/>
      <c r="AV441" s="1544">
        <v>0.4</v>
      </c>
      <c r="AW441" s="1545"/>
      <c r="AX441" s="1545"/>
      <c r="AY441" s="1474">
        <f ca="1">INDIRECT(ADDRESS(47,VLOOKUP('Character Sheet'!$AE$405,Mount!$U$73:$AA$88,7),,,"Mount"))</f>
        <v>7.0000000000000007E-2</v>
      </c>
      <c r="AZ441" s="1311"/>
      <c r="BA441" s="1474">
        <f ca="1">INDIRECT(ADDRESS(48,VLOOKUP('Character Sheet'!$AE$405,Mount!$U$73:$AA$88,7),,,"Mount"))</f>
        <v>0.47000000000000003</v>
      </c>
      <c r="BB441" s="1475"/>
      <c r="BC441" s="1476"/>
      <c r="BD441" s="1477"/>
      <c r="BE441" s="1477"/>
      <c r="BF441" s="1477"/>
      <c r="BG441" s="1477"/>
      <c r="BH441" s="1477"/>
      <c r="BI441" s="1362"/>
      <c r="BJ441" s="1362"/>
      <c r="BM441" s="1485" t="s">
        <v>4662</v>
      </c>
      <c r="BN441" s="1486"/>
      <c r="BO441" s="1486"/>
      <c r="BP441" s="1486"/>
      <c r="BQ441" s="1486"/>
      <c r="BR441" s="1298"/>
      <c r="BS441" s="1296"/>
      <c r="BT441" s="1477">
        <f ca="1">HLOOKUP(CE441,Combat!BK$3:BP$6,2)</f>
        <v>5</v>
      </c>
      <c r="BU441" s="1362"/>
      <c r="BV441" s="1362"/>
      <c r="BW441" s="1487">
        <f ca="1">INDIRECT(ADDRESS(49,VLOOKUP('Character Sheet'!$AE$405,Mount!$U$73:$AA$88,7),,,"Mount"))</f>
        <v>5</v>
      </c>
      <c r="BX441" s="1488"/>
      <c r="BY441" s="1489"/>
      <c r="BZ441" s="1487">
        <f ca="1">INDIRECT(ADDRESS(50,VLOOKUP('Character Sheet'!$AE$405,Mount!$U$73:$AA$88,7),,,"Mount"))</f>
        <v>0</v>
      </c>
      <c r="CA441" s="1311"/>
      <c r="CB441" s="1544">
        <v>0.4</v>
      </c>
      <c r="CC441" s="1545"/>
      <c r="CD441" s="1545"/>
      <c r="CE441" s="1474">
        <f ca="1">INDIRECT(ADDRESS(47,VLOOKUP('Character Sheet'!$AE$405,Mount!$U$73:$AA$88,7),,,"Mount"))</f>
        <v>7.0000000000000007E-2</v>
      </c>
      <c r="CF441" s="1311"/>
      <c r="CG441" s="1474">
        <f ca="1">INDIRECT(ADDRESS(48,VLOOKUP('Character Sheet'!$AE$405,Mount!$U$73:$AA$88,7),,,"Mount"))</f>
        <v>0.47000000000000003</v>
      </c>
      <c r="CH441" s="1475"/>
      <c r="CI441" s="1476"/>
      <c r="CJ441" s="1477"/>
      <c r="CK441" s="1477"/>
      <c r="CL441" s="1477"/>
      <c r="CM441" s="1477"/>
      <c r="CN441" s="1477"/>
      <c r="CO441" s="1362"/>
      <c r="CP441" s="1362"/>
    </row>
    <row r="442" spans="1:94" outlineLevel="1">
      <c r="A442" s="1485" t="s">
        <v>4663</v>
      </c>
      <c r="B442" s="1486"/>
      <c r="C442" s="1486"/>
      <c r="D442" s="1486"/>
      <c r="E442" s="1486"/>
      <c r="F442" s="1298"/>
      <c r="G442" s="1296"/>
      <c r="H442" s="1477">
        <f ca="1">HLOOKUP(S442,Combat!BK$3:BP$6,4)</f>
        <v>9</v>
      </c>
      <c r="I442" s="1362"/>
      <c r="J442" s="1362"/>
      <c r="K442" s="1487">
        <f ca="1">INDIRECT(ADDRESS(54,VLOOKUP('Character Sheet'!$AE$404,Mount!$U$73:$Y$88,5),,,"Mount"))</f>
        <v>22</v>
      </c>
      <c r="L442" s="1488"/>
      <c r="M442" s="1489"/>
      <c r="N442" s="1487">
        <f ca="1">INDIRECT(ADDRESS(55,VLOOKUP('Character Sheet'!$AE$404,Mount!$U$73:$Y$88,5),,,"Mount"))</f>
        <v>0</v>
      </c>
      <c r="O442" s="1311"/>
      <c r="P442" s="1474">
        <v>0.5</v>
      </c>
      <c r="Q442" s="1475"/>
      <c r="R442" s="1476"/>
      <c r="S442" s="1474">
        <f ca="1">INDIRECT(ADDRESS(52,VLOOKUP('Character Sheet'!$AE$404,Mount!$U$73:$Y$88,5),,,"Mount"))</f>
        <v>0.14000000000000001</v>
      </c>
      <c r="T442" s="1311"/>
      <c r="U442" s="1474">
        <f ca="1">INDIRECT(ADDRESS(53,VLOOKUP('Character Sheet'!$AE$404,Mount!$U$73:$Y$88,5),,,"Mount"))</f>
        <v>0.64</v>
      </c>
      <c r="V442" s="1475"/>
      <c r="W442" s="1476"/>
      <c r="X442" s="1477"/>
      <c r="Y442" s="1477"/>
      <c r="Z442" s="1477"/>
      <c r="AA442" s="1477"/>
      <c r="AB442" s="1477"/>
      <c r="AC442" s="1362"/>
      <c r="AD442" s="1362"/>
      <c r="AG442" s="1485" t="s">
        <v>4663</v>
      </c>
      <c r="AH442" s="1486"/>
      <c r="AI442" s="1486"/>
      <c r="AJ442" s="1486"/>
      <c r="AK442" s="1486"/>
      <c r="AL442" s="1298"/>
      <c r="AM442" s="1296"/>
      <c r="AN442" s="1477">
        <f ca="1">HLOOKUP(AY442,Combat!BK$3:BP$6,4)</f>
        <v>9</v>
      </c>
      <c r="AO442" s="1362"/>
      <c r="AP442" s="1362"/>
      <c r="AQ442" s="1487">
        <f ca="1">INDIRECT(ADDRESS(54,VLOOKUP('Character Sheet'!$AE$405,Mount!$U$73:$AA$88,7),,,"Mount"))</f>
        <v>22</v>
      </c>
      <c r="AR442" s="1488"/>
      <c r="AS442" s="1489"/>
      <c r="AT442" s="1487">
        <f ca="1">INDIRECT(ADDRESS(55,VLOOKUP('Character Sheet'!$AE$405,Mount!$U$73:$AA$88,7),,,"Mount"))</f>
        <v>0</v>
      </c>
      <c r="AU442" s="1311"/>
      <c r="AV442" s="1474">
        <v>0.5</v>
      </c>
      <c r="AW442" s="1475"/>
      <c r="AX442" s="1476"/>
      <c r="AY442" s="1474">
        <f ca="1">INDIRECT(ADDRESS(52,VLOOKUP('Character Sheet'!$AE$405,Mount!$U$73:$AA$88,7),,,"Mount"))</f>
        <v>7.0000000000000007E-2</v>
      </c>
      <c r="AZ442" s="1311"/>
      <c r="BA442" s="1474">
        <f ca="1">INDIRECT(ADDRESS(53,VLOOKUP('Character Sheet'!$AE$405,Mount!$U$73:$AA$88,7),,,"Mount"))</f>
        <v>0.57000000000000006</v>
      </c>
      <c r="BB442" s="1475"/>
      <c r="BC442" s="1476"/>
      <c r="BD442" s="1477"/>
      <c r="BE442" s="1477"/>
      <c r="BF442" s="1477"/>
      <c r="BG442" s="1477"/>
      <c r="BH442" s="1477"/>
      <c r="BI442" s="1362"/>
      <c r="BJ442" s="1362"/>
      <c r="BM442" s="1485" t="s">
        <v>4663</v>
      </c>
      <c r="BN442" s="1486"/>
      <c r="BO442" s="1486"/>
      <c r="BP442" s="1486"/>
      <c r="BQ442" s="1486"/>
      <c r="BR442" s="1298"/>
      <c r="BS442" s="1296"/>
      <c r="BT442" s="1477">
        <f ca="1">HLOOKUP(CE442,Combat!BK$3:BP$6,4)</f>
        <v>9</v>
      </c>
      <c r="BU442" s="1362"/>
      <c r="BV442" s="1362"/>
      <c r="BW442" s="1487">
        <f ca="1">INDIRECT(ADDRESS(54,VLOOKUP('Character Sheet'!$AE$405,Mount!$U$73:$AA$88,7),,,"Mount"))</f>
        <v>22</v>
      </c>
      <c r="BX442" s="1488"/>
      <c r="BY442" s="1489"/>
      <c r="BZ442" s="1487">
        <f ca="1">INDIRECT(ADDRESS(55,VLOOKUP('Character Sheet'!$AE$405,Mount!$U$73:$AA$88,7),,,"Mount"))</f>
        <v>0</v>
      </c>
      <c r="CA442" s="1311"/>
      <c r="CB442" s="1474">
        <v>0.5</v>
      </c>
      <c r="CC442" s="1475"/>
      <c r="CD442" s="1476"/>
      <c r="CE442" s="1474">
        <f ca="1">INDIRECT(ADDRESS(52,VLOOKUP('Character Sheet'!$AE$405,Mount!$U$73:$AA$88,7),,,"Mount"))</f>
        <v>7.0000000000000007E-2</v>
      </c>
      <c r="CF442" s="1311"/>
      <c r="CG442" s="1474">
        <f ca="1">INDIRECT(ADDRESS(53,VLOOKUP('Character Sheet'!$AE$405,Mount!$U$73:$AA$88,7),,,"Mount"))</f>
        <v>0.57000000000000006</v>
      </c>
      <c r="CH442" s="1475"/>
      <c r="CI442" s="1476"/>
      <c r="CJ442" s="1477"/>
      <c r="CK442" s="1477"/>
      <c r="CL442" s="1477"/>
      <c r="CM442" s="1477"/>
      <c r="CN442" s="1477"/>
      <c r="CO442" s="1362"/>
      <c r="CP442" s="1362"/>
    </row>
    <row r="443" spans="1:94" outlineLevel="1">
      <c r="A443" s="1498"/>
      <c r="B443" s="1298"/>
      <c r="C443" s="1298"/>
      <c r="D443" s="1298"/>
      <c r="E443" s="1298"/>
      <c r="F443" s="1298"/>
      <c r="G443" s="1296"/>
      <c r="H443" s="1362"/>
      <c r="I443" s="1362"/>
      <c r="J443" s="1362"/>
      <c r="K443" s="1385"/>
      <c r="L443" s="1382"/>
      <c r="M443" s="1311"/>
      <c r="N443" s="1385"/>
      <c r="O443" s="1311"/>
      <c r="P443" s="1478"/>
      <c r="Q443" s="1479"/>
      <c r="R443" s="1480"/>
      <c r="S443" s="1478"/>
      <c r="T443" s="1311"/>
      <c r="U443" s="1478"/>
      <c r="V443" s="1479"/>
      <c r="W443" s="1480"/>
      <c r="X443" s="1362"/>
      <c r="Y443" s="1362"/>
      <c r="Z443" s="1362"/>
      <c r="AA443" s="1362"/>
      <c r="AB443" s="1362"/>
      <c r="AC443" s="1362"/>
      <c r="AD443" s="1362"/>
      <c r="AG443" s="1498"/>
      <c r="AH443" s="1298"/>
      <c r="AI443" s="1298"/>
      <c r="AJ443" s="1298"/>
      <c r="AK443" s="1298"/>
      <c r="AL443" s="1298"/>
      <c r="AM443" s="1296"/>
      <c r="AN443" s="1362"/>
      <c r="AO443" s="1362"/>
      <c r="AP443" s="1362"/>
      <c r="AQ443" s="1385"/>
      <c r="AR443" s="1382"/>
      <c r="AS443" s="1311"/>
      <c r="AT443" s="1385"/>
      <c r="AU443" s="1311"/>
      <c r="AV443" s="1478"/>
      <c r="AW443" s="1479"/>
      <c r="AX443" s="1480"/>
      <c r="AY443" s="1478"/>
      <c r="AZ443" s="1311"/>
      <c r="BA443" s="1478"/>
      <c r="BB443" s="1479"/>
      <c r="BC443" s="1480"/>
      <c r="BD443" s="1362"/>
      <c r="BE443" s="1362"/>
      <c r="BF443" s="1362"/>
      <c r="BG443" s="1362"/>
      <c r="BH443" s="1362"/>
      <c r="BI443" s="1362"/>
      <c r="BJ443" s="1362"/>
      <c r="BM443" s="1498"/>
      <c r="BN443" s="1298"/>
      <c r="BO443" s="1298"/>
      <c r="BP443" s="1298"/>
      <c r="BQ443" s="1298"/>
      <c r="BR443" s="1298"/>
      <c r="BS443" s="1296"/>
      <c r="BT443" s="1362"/>
      <c r="BU443" s="1362"/>
      <c r="BV443" s="1362"/>
      <c r="BW443" s="1385"/>
      <c r="BX443" s="1382"/>
      <c r="BY443" s="1311"/>
      <c r="BZ443" s="1385"/>
      <c r="CA443" s="1311"/>
      <c r="CB443" s="1478"/>
      <c r="CC443" s="1479"/>
      <c r="CD443" s="1480"/>
      <c r="CE443" s="1478"/>
      <c r="CF443" s="1311"/>
      <c r="CG443" s="1478"/>
      <c r="CH443" s="1479"/>
      <c r="CI443" s="1480"/>
      <c r="CJ443" s="1362"/>
      <c r="CK443" s="1362"/>
      <c r="CL443" s="1362"/>
      <c r="CM443" s="1362"/>
      <c r="CN443" s="1362"/>
      <c r="CO443" s="1362"/>
      <c r="CP443" s="1362"/>
    </row>
    <row r="444" spans="1:94" ht="12.75" customHeight="1" outlineLevel="1">
      <c r="A444" s="1498"/>
      <c r="B444" s="1298"/>
      <c r="C444" s="1298"/>
      <c r="D444" s="1298"/>
      <c r="E444" s="1298"/>
      <c r="F444" s="1298"/>
      <c r="G444" s="1296"/>
      <c r="H444" s="1362"/>
      <c r="I444" s="1362"/>
      <c r="J444" s="1362"/>
      <c r="K444" s="1385"/>
      <c r="L444" s="1382"/>
      <c r="M444" s="1311"/>
      <c r="N444" s="1385"/>
      <c r="O444" s="1311"/>
      <c r="P444" s="1478"/>
      <c r="Q444" s="1479"/>
      <c r="R444" s="1480"/>
      <c r="S444" s="1478"/>
      <c r="T444" s="1311"/>
      <c r="U444" s="1478"/>
      <c r="V444" s="1479"/>
      <c r="W444" s="1480"/>
      <c r="X444" s="1362"/>
      <c r="Y444" s="1362"/>
      <c r="Z444" s="1362"/>
      <c r="AA444" s="1362"/>
      <c r="AB444" s="1362"/>
      <c r="AC444" s="1362"/>
      <c r="AD444" s="1362"/>
      <c r="AG444" s="1498"/>
      <c r="AH444" s="1298"/>
      <c r="AI444" s="1298"/>
      <c r="AJ444" s="1298"/>
      <c r="AK444" s="1298"/>
      <c r="AL444" s="1298"/>
      <c r="AM444" s="1296"/>
      <c r="AN444" s="1362"/>
      <c r="AO444" s="1362"/>
      <c r="AP444" s="1362"/>
      <c r="AQ444" s="1385"/>
      <c r="AR444" s="1382"/>
      <c r="AS444" s="1311"/>
      <c r="AT444" s="1385"/>
      <c r="AU444" s="1311"/>
      <c r="AV444" s="1478"/>
      <c r="AW444" s="1479"/>
      <c r="AX444" s="1480"/>
      <c r="AY444" s="1478"/>
      <c r="AZ444" s="1311"/>
      <c r="BA444" s="1478"/>
      <c r="BB444" s="1479"/>
      <c r="BC444" s="1480"/>
      <c r="BD444" s="1362"/>
      <c r="BE444" s="1362"/>
      <c r="BF444" s="1362"/>
      <c r="BG444" s="1362"/>
      <c r="BH444" s="1362"/>
      <c r="BI444" s="1362"/>
      <c r="BJ444" s="1362"/>
      <c r="BM444" s="1498"/>
      <c r="BN444" s="1298"/>
      <c r="BO444" s="1298"/>
      <c r="BP444" s="1298"/>
      <c r="BQ444" s="1298"/>
      <c r="BR444" s="1298"/>
      <c r="BS444" s="1296"/>
      <c r="BT444" s="1362"/>
      <c r="BU444" s="1362"/>
      <c r="BV444" s="1362"/>
      <c r="BW444" s="1385"/>
      <c r="BX444" s="1382"/>
      <c r="BY444" s="1311"/>
      <c r="BZ444" s="1385"/>
      <c r="CA444" s="1311"/>
      <c r="CB444" s="1478"/>
      <c r="CC444" s="1479"/>
      <c r="CD444" s="1480"/>
      <c r="CE444" s="1478"/>
      <c r="CF444" s="1311"/>
      <c r="CG444" s="1478"/>
      <c r="CH444" s="1479"/>
      <c r="CI444" s="1480"/>
      <c r="CJ444" s="1362"/>
      <c r="CK444" s="1362"/>
      <c r="CL444" s="1362"/>
      <c r="CM444" s="1362"/>
      <c r="CN444" s="1362"/>
      <c r="CO444" s="1362"/>
      <c r="CP444" s="1362"/>
    </row>
    <row r="445" spans="1:94" ht="12.75" customHeight="1" outlineLevel="1">
      <c r="A445" s="1511" t="s">
        <v>2963</v>
      </c>
      <c r="B445" s="1382"/>
      <c r="C445" s="1382"/>
      <c r="D445" s="1382"/>
      <c r="E445" s="1382"/>
      <c r="F445" s="1382"/>
      <c r="G445" s="1382"/>
      <c r="H445" s="1382"/>
      <c r="I445" s="1382"/>
      <c r="J445" s="1382"/>
      <c r="K445" s="1512"/>
      <c r="L445" s="1512"/>
      <c r="M445" s="1512"/>
      <c r="N445" s="1512"/>
      <c r="O445" s="1513"/>
      <c r="P445" s="1514" t="s">
        <v>2964</v>
      </c>
      <c r="Q445" s="1515"/>
      <c r="R445" s="1515"/>
      <c r="S445" s="1515"/>
      <c r="T445" s="1515"/>
      <c r="U445" s="1515"/>
      <c r="V445" s="1515"/>
      <c r="W445" s="1515"/>
      <c r="X445" s="1515"/>
      <c r="Y445" s="1515"/>
      <c r="Z445" s="1515"/>
      <c r="AA445" s="1515"/>
      <c r="AB445" s="1515"/>
      <c r="AC445" s="1516"/>
      <c r="AD445" s="1516"/>
      <c r="AE445" s="313"/>
      <c r="AF445" s="313"/>
      <c r="AG445" s="1511" t="s">
        <v>2963</v>
      </c>
      <c r="AH445" s="1382"/>
      <c r="AI445" s="1382"/>
      <c r="AJ445" s="1382"/>
      <c r="AK445" s="1382"/>
      <c r="AL445" s="1382"/>
      <c r="AM445" s="1382"/>
      <c r="AN445" s="1382"/>
      <c r="AO445" s="1382"/>
      <c r="AP445" s="1382"/>
      <c r="AQ445" s="1512"/>
      <c r="AR445" s="1512"/>
      <c r="AS445" s="1512"/>
      <c r="AT445" s="1512"/>
      <c r="AU445" s="1513"/>
      <c r="AV445" s="1514" t="s">
        <v>2964</v>
      </c>
      <c r="AW445" s="1515"/>
      <c r="AX445" s="1515"/>
      <c r="AY445" s="1515"/>
      <c r="AZ445" s="1515"/>
      <c r="BA445" s="1515"/>
      <c r="BB445" s="1515"/>
      <c r="BC445" s="1515"/>
      <c r="BD445" s="1515"/>
      <c r="BE445" s="1515"/>
      <c r="BF445" s="1515"/>
      <c r="BG445" s="1515"/>
      <c r="BH445" s="1515"/>
      <c r="BI445" s="1516"/>
      <c r="BJ445" s="1516"/>
      <c r="BM445" s="1511" t="s">
        <v>2963</v>
      </c>
      <c r="BN445" s="1382"/>
      <c r="BO445" s="1382"/>
      <c r="BP445" s="1382"/>
      <c r="BQ445" s="1382"/>
      <c r="BR445" s="1382"/>
      <c r="BS445" s="1382"/>
      <c r="BT445" s="1382"/>
      <c r="BU445" s="1382"/>
      <c r="BV445" s="1382"/>
      <c r="BW445" s="1512"/>
      <c r="BX445" s="1512"/>
      <c r="BY445" s="1512"/>
      <c r="BZ445" s="1512"/>
      <c r="CA445" s="1513"/>
      <c r="CB445" s="1514" t="s">
        <v>2964</v>
      </c>
      <c r="CC445" s="1515"/>
      <c r="CD445" s="1515"/>
      <c r="CE445" s="1515"/>
      <c r="CF445" s="1515"/>
      <c r="CG445" s="1515"/>
      <c r="CH445" s="1515"/>
      <c r="CI445" s="1515"/>
      <c r="CJ445" s="1515"/>
      <c r="CK445" s="1515"/>
      <c r="CL445" s="1515"/>
      <c r="CM445" s="1515"/>
      <c r="CN445" s="1515"/>
      <c r="CO445" s="1516"/>
      <c r="CP445" s="1516"/>
    </row>
    <row r="446" spans="1:94" ht="13.5" outlineLevel="1" thickBot="1">
      <c r="A446" s="1517" t="s">
        <v>2963</v>
      </c>
      <c r="B446" s="1518"/>
      <c r="C446" s="1518"/>
      <c r="D446" s="1518"/>
      <c r="E446" s="1519"/>
      <c r="F446" s="1517" t="s">
        <v>5217</v>
      </c>
      <c r="G446" s="1518"/>
      <c r="H446" s="1518"/>
      <c r="I446" s="1518"/>
      <c r="J446" s="1519"/>
      <c r="K446" s="1520" t="s">
        <v>3977</v>
      </c>
      <c r="L446" s="1374"/>
      <c r="M446" s="1374"/>
      <c r="N446" s="1374"/>
      <c r="O446" s="1374"/>
      <c r="P446" s="1521" t="str">
        <f ca="1">IF((SUM(K447:K460)+S3)&gt;(0.6*X406),"Fatigue warning!", " ")</f>
        <v xml:space="preserve"> </v>
      </c>
      <c r="Q446" s="1382"/>
      <c r="R446" s="1382"/>
      <c r="S446" s="1382"/>
      <c r="T446" s="1311"/>
      <c r="U446" s="505">
        <f ca="1">0.6*X406</f>
        <v>255</v>
      </c>
      <c r="V446" s="506">
        <f ca="1">SUM(K447:K460)+S3</f>
        <v>230.5</v>
      </c>
      <c r="W446" s="1382"/>
      <c r="X446" s="1382"/>
      <c r="Y446" s="1382"/>
      <c r="Z446" s="1382"/>
      <c r="AA446" s="1382"/>
      <c r="AB446" s="1382"/>
      <c r="AC446" s="1382"/>
      <c r="AD446" s="1311"/>
      <c r="AG446" s="1517" t="s">
        <v>2963</v>
      </c>
      <c r="AH446" s="1518"/>
      <c r="AI446" s="1518"/>
      <c r="AJ446" s="1518"/>
      <c r="AK446" s="1519"/>
      <c r="AL446" s="1517" t="s">
        <v>5217</v>
      </c>
      <c r="AM446" s="1518"/>
      <c r="AN446" s="1518"/>
      <c r="AO446" s="1518"/>
      <c r="AP446" s="1519"/>
      <c r="AQ446" s="1520" t="s">
        <v>3977</v>
      </c>
      <c r="AR446" s="1374"/>
      <c r="AS446" s="1374"/>
      <c r="AT446" s="1374"/>
      <c r="AU446" s="1374"/>
      <c r="AV446" s="1521" t="str">
        <f ca="1">IF((SUM(AQ447:AQ459))&gt;(0.6*BD406),"Fatigue warning!", " ")</f>
        <v xml:space="preserve"> </v>
      </c>
      <c r="AW446" s="1382"/>
      <c r="AX446" s="1382"/>
      <c r="AY446" s="1382"/>
      <c r="AZ446" s="1311"/>
      <c r="BA446" s="505">
        <f ca="1">0.6*BD406</f>
        <v>114</v>
      </c>
      <c r="BB446" s="506">
        <f ca="1">SUM(AQ447:AQ459)</f>
        <v>37.5</v>
      </c>
      <c r="BC446" s="1382"/>
      <c r="BD446" s="1382"/>
      <c r="BE446" s="1382"/>
      <c r="BF446" s="1382"/>
      <c r="BG446" s="1382"/>
      <c r="BH446" s="1382"/>
      <c r="BI446" s="1382"/>
      <c r="BJ446" s="1311"/>
      <c r="BM446" s="1517" t="s">
        <v>2963</v>
      </c>
      <c r="BN446" s="1518"/>
      <c r="BO446" s="1518"/>
      <c r="BP446" s="1518"/>
      <c r="BQ446" s="1519"/>
      <c r="BR446" s="1517" t="s">
        <v>5217</v>
      </c>
      <c r="BS446" s="1518"/>
      <c r="BT446" s="1518"/>
      <c r="BU446" s="1518"/>
      <c r="BV446" s="1519"/>
      <c r="BW446" s="1520" t="s">
        <v>3977</v>
      </c>
      <c r="BX446" s="1374"/>
      <c r="BY446" s="1374"/>
      <c r="BZ446" s="1374"/>
      <c r="CA446" s="1374"/>
      <c r="CB446" s="1521" t="str">
        <f ca="1">IF((SUM(BW447:BW459))&gt;(0.6*CJ406),"Fatigue warning!", " ")</f>
        <v xml:space="preserve"> </v>
      </c>
      <c r="CC446" s="1382"/>
      <c r="CD446" s="1382"/>
      <c r="CE446" s="1382"/>
      <c r="CF446" s="1311"/>
      <c r="CG446" s="505">
        <f ca="1">0.6*CJ406</f>
        <v>114</v>
      </c>
      <c r="CH446" s="506">
        <f ca="1">SUM(BW447:BW459)</f>
        <v>37.5</v>
      </c>
      <c r="CI446" s="1382"/>
      <c r="CJ446" s="1382"/>
      <c r="CK446" s="1382"/>
      <c r="CL446" s="1382"/>
      <c r="CM446" s="1382"/>
      <c r="CN446" s="1382"/>
      <c r="CO446" s="1382"/>
      <c r="CP446" s="1311"/>
    </row>
    <row r="447" spans="1:94" ht="13.5" outlineLevel="1" thickTop="1">
      <c r="A447" s="2049" t="str">
        <f>VLOOKUP($AE$433,Mount!$A$69:$M$76,2)</f>
        <v>None</v>
      </c>
      <c r="B447" s="2050"/>
      <c r="C447" s="2050"/>
      <c r="D447" s="2050"/>
      <c r="E447" s="2050"/>
      <c r="F447" s="1706">
        <f>VLOOKUP($AE$433,Mount!$A$69:$M$76,6)</f>
        <v>0</v>
      </c>
      <c r="G447" s="1707"/>
      <c r="H447" s="1707"/>
      <c r="I447" s="1707"/>
      <c r="J447" s="1707"/>
      <c r="K447" s="1706">
        <f ca="1">VLOOKUP($AE$433,Mount!$A$69:$M$76,5)*T406</f>
        <v>0</v>
      </c>
      <c r="L447" s="1707"/>
      <c r="M447" s="1707"/>
      <c r="N447" s="1707"/>
      <c r="O447" s="1708"/>
      <c r="P447" s="1467"/>
      <c r="Q447" s="1457"/>
      <c r="R447" s="1457"/>
      <c r="S447" s="1457"/>
      <c r="T447" s="1457"/>
      <c r="U447" s="1457"/>
      <c r="V447" s="1457"/>
      <c r="W447" s="1457"/>
      <c r="X447" s="1457"/>
      <c r="Y447" s="1457"/>
      <c r="Z447" s="1457"/>
      <c r="AA447" s="1457"/>
      <c r="AB447" s="1457"/>
      <c r="AC447" s="1315"/>
      <c r="AD447" s="1315"/>
      <c r="AG447" s="1522" t="str">
        <f>VLOOKUP($AE$433,Mount!$A$69:$M$76,2)</f>
        <v>None</v>
      </c>
      <c r="AH447" s="1523"/>
      <c r="AI447" s="1523"/>
      <c r="AJ447" s="1523"/>
      <c r="AK447" s="1524"/>
      <c r="AL447" s="1451">
        <f>VLOOKUP($AE$435,Mount!$A$69:$M$76,6)</f>
        <v>0</v>
      </c>
      <c r="AM447" s="1452"/>
      <c r="AN447" s="1452"/>
      <c r="AO447" s="1452"/>
      <c r="AP447" s="1525"/>
      <c r="AQ447" s="1451">
        <f ca="1">VLOOKUP($AE$435,Mount!$A$69:$M$76,5)*AZ406</f>
        <v>0</v>
      </c>
      <c r="AR447" s="1452"/>
      <c r="AS447" s="1452"/>
      <c r="AT447" s="1452"/>
      <c r="AU447" s="1453"/>
      <c r="AV447" s="1467"/>
      <c r="AW447" s="1457"/>
      <c r="AX447" s="1457"/>
      <c r="AY447" s="1457"/>
      <c r="AZ447" s="1457"/>
      <c r="BA447" s="1457"/>
      <c r="BB447" s="1457"/>
      <c r="BC447" s="1457"/>
      <c r="BD447" s="1457"/>
      <c r="BE447" s="1457"/>
      <c r="BF447" s="1457"/>
      <c r="BG447" s="1457"/>
      <c r="BH447" s="1457"/>
      <c r="BI447" s="1315"/>
      <c r="BJ447" s="1315"/>
      <c r="BM447" s="1522" t="str">
        <f>VLOOKUP($AE$433,Mount!$A$69:$M$76,2)</f>
        <v>None</v>
      </c>
      <c r="BN447" s="1523"/>
      <c r="BO447" s="1523"/>
      <c r="BP447" s="1523"/>
      <c r="BQ447" s="1524"/>
      <c r="BR447" s="1451">
        <f>VLOOKUP($AE$435,Mount!$A$69:$M$76,6)</f>
        <v>0</v>
      </c>
      <c r="BS447" s="1452"/>
      <c r="BT447" s="1452"/>
      <c r="BU447" s="1452"/>
      <c r="BV447" s="1525"/>
      <c r="BW447" s="1451">
        <f ca="1">VLOOKUP($AE$435,Mount!$A$69:$M$76,5)*CF406</f>
        <v>0</v>
      </c>
      <c r="BX447" s="1452"/>
      <c r="BY447" s="1452"/>
      <c r="BZ447" s="1452"/>
      <c r="CA447" s="1453"/>
      <c r="CB447" s="1467"/>
      <c r="CC447" s="1457"/>
      <c r="CD447" s="1457"/>
      <c r="CE447" s="1457"/>
      <c r="CF447" s="1457"/>
      <c r="CG447" s="1457"/>
      <c r="CH447" s="1457"/>
      <c r="CI447" s="1457"/>
      <c r="CJ447" s="1457"/>
      <c r="CK447" s="1457"/>
      <c r="CL447" s="1457"/>
      <c r="CM447" s="1457"/>
      <c r="CN447" s="1457"/>
      <c r="CO447" s="1315"/>
      <c r="CP447" s="1315"/>
    </row>
    <row r="448" spans="1:94" ht="12.75" customHeight="1" outlineLevel="1">
      <c r="A448" s="1456" t="str">
        <f>VLOOKUP($AE$434,Mount!$A$77:$M$84,2)</f>
        <v>None</v>
      </c>
      <c r="B448" s="1473"/>
      <c r="C448" s="1473"/>
      <c r="D448" s="1473"/>
      <c r="E448" s="1473"/>
      <c r="F448" s="1454">
        <f>VLOOKUP($AE$434,Mount!$A$77:$M$84,6)</f>
        <v>0</v>
      </c>
      <c r="G448" s="1455"/>
      <c r="H448" s="1455"/>
      <c r="I448" s="1455"/>
      <c r="J448" s="1455"/>
      <c r="K448" s="1454">
        <f ca="1">VLOOKUP($AE$434,Mount!$A$77:$M$84,5)*T406</f>
        <v>0</v>
      </c>
      <c r="L448" s="1455"/>
      <c r="M448" s="1455"/>
      <c r="N448" s="1455"/>
      <c r="O448" s="1709"/>
      <c r="P448" s="1467"/>
      <c r="Q448" s="1457"/>
      <c r="R448" s="1457"/>
      <c r="S448" s="1457"/>
      <c r="T448" s="1457"/>
      <c r="U448" s="1457"/>
      <c r="V448" s="1457"/>
      <c r="W448" s="1457"/>
      <c r="X448" s="1457"/>
      <c r="Y448" s="1457"/>
      <c r="Z448" s="1457"/>
      <c r="AA448" s="1457"/>
      <c r="AB448" s="1457"/>
      <c r="AC448" s="1315"/>
      <c r="AD448" s="1315"/>
      <c r="AG448" s="1468" t="str">
        <f>VLOOKUP($AE$434,Mount!$A$77:$M$84,2)</f>
        <v>None</v>
      </c>
      <c r="AH448" s="1469"/>
      <c r="AI448" s="1469"/>
      <c r="AJ448" s="1469"/>
      <c r="AK448" s="1467"/>
      <c r="AL448" s="1470">
        <f>VLOOKUP($AE$436,Mount!$A$77:$M$84,6)</f>
        <v>0</v>
      </c>
      <c r="AM448" s="1471"/>
      <c r="AN448" s="1471"/>
      <c r="AO448" s="1471"/>
      <c r="AP448" s="1450"/>
      <c r="AQ448" s="1470">
        <f ca="1">VLOOKUP($AE$436,Mount!$A$77:$M$84,5)*AZ406</f>
        <v>0</v>
      </c>
      <c r="AR448" s="1471"/>
      <c r="AS448" s="1471"/>
      <c r="AT448" s="1471"/>
      <c r="AU448" s="1472"/>
      <c r="AV448" s="1467"/>
      <c r="AW448" s="1457"/>
      <c r="AX448" s="1457"/>
      <c r="AY448" s="1457"/>
      <c r="AZ448" s="1457"/>
      <c r="BA448" s="1457"/>
      <c r="BB448" s="1457"/>
      <c r="BC448" s="1457"/>
      <c r="BD448" s="1457"/>
      <c r="BE448" s="1457"/>
      <c r="BF448" s="1457"/>
      <c r="BG448" s="1457"/>
      <c r="BH448" s="1457"/>
      <c r="BI448" s="1315"/>
      <c r="BJ448" s="1315"/>
      <c r="BM448" s="1468" t="str">
        <f>VLOOKUP($AE$434,Mount!$A$77:$M$84,2)</f>
        <v>None</v>
      </c>
      <c r="BN448" s="1469"/>
      <c r="BO448" s="1469"/>
      <c r="BP448" s="1469"/>
      <c r="BQ448" s="1467"/>
      <c r="BR448" s="1470">
        <f>VLOOKUP($AE$436,Mount!$A$77:$M$84,6)</f>
        <v>0</v>
      </c>
      <c r="BS448" s="1471"/>
      <c r="BT448" s="1471"/>
      <c r="BU448" s="1471"/>
      <c r="BV448" s="1450"/>
      <c r="BW448" s="1470">
        <f ca="1">VLOOKUP($AE$436,Mount!$A$77:$M$84,5)*CF406</f>
        <v>0</v>
      </c>
      <c r="BX448" s="1471"/>
      <c r="BY448" s="1471"/>
      <c r="BZ448" s="1471"/>
      <c r="CA448" s="1472"/>
      <c r="CB448" s="1467"/>
      <c r="CC448" s="1457"/>
      <c r="CD448" s="1457"/>
      <c r="CE448" s="1457"/>
      <c r="CF448" s="1457"/>
      <c r="CG448" s="1457"/>
      <c r="CH448" s="1457"/>
      <c r="CI448" s="1457"/>
      <c r="CJ448" s="1457"/>
      <c r="CK448" s="1457"/>
      <c r="CL448" s="1457"/>
      <c r="CM448" s="1457"/>
      <c r="CN448" s="1457"/>
      <c r="CO448" s="1315"/>
      <c r="CP448" s="1315"/>
    </row>
    <row r="449" spans="1:94" outlineLevel="1">
      <c r="A449" s="1456" t="s">
        <v>2745</v>
      </c>
      <c r="B449" s="1457"/>
      <c r="C449" s="1457"/>
      <c r="D449" s="1457"/>
      <c r="E449" s="307" t="s">
        <v>589</v>
      </c>
      <c r="F449" s="1454">
        <f>IF(E449="A", 20, 100)</f>
        <v>20</v>
      </c>
      <c r="G449" s="1455"/>
      <c r="H449" s="1455"/>
      <c r="I449" s="1455"/>
      <c r="J449" s="1455"/>
      <c r="K449" s="1454">
        <v>2</v>
      </c>
      <c r="L449" s="1362"/>
      <c r="M449" s="1362"/>
      <c r="N449" s="1362"/>
      <c r="O449" s="1458"/>
      <c r="P449" s="1467"/>
      <c r="Q449" s="1457"/>
      <c r="R449" s="1457"/>
      <c r="S449" s="1457"/>
      <c r="T449" s="1457"/>
      <c r="U449" s="1457"/>
      <c r="V449" s="1457"/>
      <c r="W449" s="1457"/>
      <c r="X449" s="1457"/>
      <c r="Y449" s="1457"/>
      <c r="Z449" s="1457"/>
      <c r="AA449" s="1457"/>
      <c r="AB449" s="1457"/>
      <c r="AC449" s="1315"/>
      <c r="AD449" s="1315"/>
      <c r="AG449" s="1456" t="s">
        <v>2745</v>
      </c>
      <c r="AH449" s="1457"/>
      <c r="AI449" s="1457"/>
      <c r="AJ449" s="1457"/>
      <c r="AK449" s="307" t="s">
        <v>589</v>
      </c>
      <c r="AL449" s="1454">
        <f>IF(AK449="A", 20, 100)</f>
        <v>20</v>
      </c>
      <c r="AM449" s="1455"/>
      <c r="AN449" s="1455"/>
      <c r="AO449" s="1455"/>
      <c r="AP449" s="1455"/>
      <c r="AQ449" s="1454">
        <v>2</v>
      </c>
      <c r="AR449" s="1362"/>
      <c r="AS449" s="1362"/>
      <c r="AT449" s="1362"/>
      <c r="AU449" s="1458"/>
      <c r="AV449" s="1467"/>
      <c r="AW449" s="1457"/>
      <c r="AX449" s="1457"/>
      <c r="AY449" s="1457"/>
      <c r="AZ449" s="1457"/>
      <c r="BA449" s="1457"/>
      <c r="BB449" s="1457"/>
      <c r="BC449" s="1457"/>
      <c r="BD449" s="1457"/>
      <c r="BE449" s="1457"/>
      <c r="BF449" s="1457"/>
      <c r="BG449" s="1457"/>
      <c r="BH449" s="1457"/>
      <c r="BI449" s="1315"/>
      <c r="BJ449" s="1315"/>
      <c r="BM449" s="1456" t="s">
        <v>2745</v>
      </c>
      <c r="BN449" s="1457"/>
      <c r="BO449" s="1457"/>
      <c r="BP449" s="1457"/>
      <c r="BQ449" s="307" t="s">
        <v>589</v>
      </c>
      <c r="BR449" s="1454">
        <f>IF(BQ449="A", 20, 100)</f>
        <v>20</v>
      </c>
      <c r="BS449" s="1455"/>
      <c r="BT449" s="1455"/>
      <c r="BU449" s="1455"/>
      <c r="BV449" s="1455"/>
      <c r="BW449" s="1454">
        <v>2</v>
      </c>
      <c r="BX449" s="1362"/>
      <c r="BY449" s="1362"/>
      <c r="BZ449" s="1362"/>
      <c r="CA449" s="1458"/>
      <c r="CB449" s="1467"/>
      <c r="CC449" s="1457"/>
      <c r="CD449" s="1457"/>
      <c r="CE449" s="1457"/>
      <c r="CF449" s="1457"/>
      <c r="CG449" s="1457"/>
      <c r="CH449" s="1457"/>
      <c r="CI449" s="1457"/>
      <c r="CJ449" s="1457"/>
      <c r="CK449" s="1457"/>
      <c r="CL449" s="1457"/>
      <c r="CM449" s="1457"/>
      <c r="CN449" s="1457"/>
      <c r="CO449" s="1315"/>
      <c r="CP449" s="1315"/>
    </row>
    <row r="450" spans="1:94" outlineLevel="1">
      <c r="A450" s="1456" t="s">
        <v>1005</v>
      </c>
      <c r="B450" s="1457"/>
      <c r="C450" s="1457"/>
      <c r="D450" s="1457"/>
      <c r="E450" s="307" t="s">
        <v>589</v>
      </c>
      <c r="F450" s="1454">
        <f>IF(E450="A", 12, 24)</f>
        <v>12</v>
      </c>
      <c r="G450" s="1455"/>
      <c r="H450" s="1455"/>
      <c r="I450" s="1455"/>
      <c r="J450" s="1455"/>
      <c r="K450" s="1454">
        <f>IF(E450="A", 2.5, 0.5)</f>
        <v>2.5</v>
      </c>
      <c r="L450" s="1362"/>
      <c r="M450" s="1362"/>
      <c r="N450" s="1362"/>
      <c r="O450" s="1458"/>
      <c r="P450" s="1467"/>
      <c r="Q450" s="1457"/>
      <c r="R450" s="1457"/>
      <c r="S450" s="1457"/>
      <c r="T450" s="1457"/>
      <c r="U450" s="1457"/>
      <c r="V450" s="1457"/>
      <c r="W450" s="1457"/>
      <c r="X450" s="1457"/>
      <c r="Y450" s="1457"/>
      <c r="Z450" s="1457"/>
      <c r="AA450" s="1457"/>
      <c r="AB450" s="1457"/>
      <c r="AC450" s="1315"/>
      <c r="AD450" s="1315"/>
      <c r="AG450" s="1456" t="s">
        <v>1005</v>
      </c>
      <c r="AH450" s="1457"/>
      <c r="AI450" s="1457"/>
      <c r="AJ450" s="1457"/>
      <c r="AK450" s="307" t="s">
        <v>589</v>
      </c>
      <c r="AL450" s="1454">
        <f>IF(AK450="A", 12, 24)</f>
        <v>12</v>
      </c>
      <c r="AM450" s="1455"/>
      <c r="AN450" s="1455"/>
      <c r="AO450" s="1455"/>
      <c r="AP450" s="1455"/>
      <c r="AQ450" s="1454">
        <f>IF(AK450="A", 2.5, 0.5)</f>
        <v>2.5</v>
      </c>
      <c r="AR450" s="1362"/>
      <c r="AS450" s="1362"/>
      <c r="AT450" s="1362"/>
      <c r="AU450" s="1458"/>
      <c r="AV450" s="1467"/>
      <c r="AW450" s="1457"/>
      <c r="AX450" s="1457"/>
      <c r="AY450" s="1457"/>
      <c r="AZ450" s="1457"/>
      <c r="BA450" s="1457"/>
      <c r="BB450" s="1457"/>
      <c r="BC450" s="1457"/>
      <c r="BD450" s="1457"/>
      <c r="BE450" s="1457"/>
      <c r="BF450" s="1457"/>
      <c r="BG450" s="1457"/>
      <c r="BH450" s="1457"/>
      <c r="BI450" s="1315"/>
      <c r="BJ450" s="1315"/>
      <c r="BM450" s="1456" t="s">
        <v>1005</v>
      </c>
      <c r="BN450" s="1457"/>
      <c r="BO450" s="1457"/>
      <c r="BP450" s="1457"/>
      <c r="BQ450" s="307" t="s">
        <v>589</v>
      </c>
      <c r="BR450" s="1454">
        <f>IF(BQ450="A", 12, 24)</f>
        <v>12</v>
      </c>
      <c r="BS450" s="1455"/>
      <c r="BT450" s="1455"/>
      <c r="BU450" s="1455"/>
      <c r="BV450" s="1455"/>
      <c r="BW450" s="1454">
        <f>IF(BQ450="A", 2.5, 0.5)</f>
        <v>2.5</v>
      </c>
      <c r="BX450" s="1362"/>
      <c r="BY450" s="1362"/>
      <c r="BZ450" s="1362"/>
      <c r="CA450" s="1458"/>
      <c r="CB450" s="1467"/>
      <c r="CC450" s="1457"/>
      <c r="CD450" s="1457"/>
      <c r="CE450" s="1457"/>
      <c r="CF450" s="1457"/>
      <c r="CG450" s="1457"/>
      <c r="CH450" s="1457"/>
      <c r="CI450" s="1457"/>
      <c r="CJ450" s="1457"/>
      <c r="CK450" s="1457"/>
      <c r="CL450" s="1457"/>
      <c r="CM450" s="1457"/>
      <c r="CN450" s="1457"/>
      <c r="CO450" s="1315"/>
      <c r="CP450" s="1315"/>
    </row>
    <row r="451" spans="1:94" outlineLevel="1">
      <c r="A451" s="1456" t="s">
        <v>2781</v>
      </c>
      <c r="B451" s="1457"/>
      <c r="C451" s="1457"/>
      <c r="D451" s="307" t="s">
        <v>4629</v>
      </c>
      <c r="E451" s="307" t="s">
        <v>589</v>
      </c>
      <c r="F451" s="1454">
        <f>IF(E451="A", IF(D451="R",60,100),  IF(D451="R", 200, 300))</f>
        <v>60</v>
      </c>
      <c r="G451" s="1455"/>
      <c r="H451" s="1455"/>
      <c r="I451" s="1455"/>
      <c r="J451" s="1455"/>
      <c r="K451" s="1454">
        <f>IF(D451="r", 15, 25)</f>
        <v>15</v>
      </c>
      <c r="L451" s="1362"/>
      <c r="M451" s="1362"/>
      <c r="N451" s="1362"/>
      <c r="O451" s="1458"/>
      <c r="P451" s="1450"/>
      <c r="Q451" s="1362"/>
      <c r="R451" s="1362"/>
      <c r="S451" s="1362"/>
      <c r="T451" s="1362"/>
      <c r="U451" s="1362"/>
      <c r="V451" s="1362"/>
      <c r="W451" s="1362"/>
      <c r="X451" s="1362"/>
      <c r="Y451" s="1362"/>
      <c r="Z451" s="1362"/>
      <c r="AA451" s="1362"/>
      <c r="AB451" s="1362"/>
      <c r="AC451" s="1362"/>
      <c r="AD451" s="1362"/>
      <c r="AG451" s="1456" t="s">
        <v>2781</v>
      </c>
      <c r="AH451" s="1457"/>
      <c r="AI451" s="1457"/>
      <c r="AJ451" s="307" t="s">
        <v>4629</v>
      </c>
      <c r="AK451" s="307" t="s">
        <v>589</v>
      </c>
      <c r="AL451" s="1454">
        <f>IF(AK451="A", IF(AJ451="R",60,100),  IF(AJ451="R", 200, 300))</f>
        <v>60</v>
      </c>
      <c r="AM451" s="1455"/>
      <c r="AN451" s="1455"/>
      <c r="AO451" s="1455"/>
      <c r="AP451" s="1455"/>
      <c r="AQ451" s="1454">
        <f>IF(AJ451="r", 15, 25)</f>
        <v>15</v>
      </c>
      <c r="AR451" s="1362"/>
      <c r="AS451" s="1362"/>
      <c r="AT451" s="1362"/>
      <c r="AU451" s="1458"/>
      <c r="AV451" s="1450"/>
      <c r="AW451" s="1362"/>
      <c r="AX451" s="1362"/>
      <c r="AY451" s="1362"/>
      <c r="AZ451" s="1362"/>
      <c r="BA451" s="1362"/>
      <c r="BB451" s="1362"/>
      <c r="BC451" s="1362"/>
      <c r="BD451" s="1362"/>
      <c r="BE451" s="1362"/>
      <c r="BF451" s="1362"/>
      <c r="BG451" s="1362"/>
      <c r="BH451" s="1362"/>
      <c r="BI451" s="1362"/>
      <c r="BJ451" s="1362"/>
      <c r="BM451" s="1456" t="s">
        <v>2781</v>
      </c>
      <c r="BN451" s="1457"/>
      <c r="BO451" s="1457"/>
      <c r="BP451" s="307" t="s">
        <v>4629</v>
      </c>
      <c r="BQ451" s="307" t="s">
        <v>589</v>
      </c>
      <c r="BR451" s="1454">
        <f>IF(BQ451="A", IF(BP451="R",60,100),  IF(BP451="R", 200, 300))</f>
        <v>60</v>
      </c>
      <c r="BS451" s="1455"/>
      <c r="BT451" s="1455"/>
      <c r="BU451" s="1455"/>
      <c r="BV451" s="1455"/>
      <c r="BW451" s="1454">
        <f>IF(BP451="r", 15, 25)</f>
        <v>15</v>
      </c>
      <c r="BX451" s="1362"/>
      <c r="BY451" s="1362"/>
      <c r="BZ451" s="1362"/>
      <c r="CA451" s="1458"/>
      <c r="CB451" s="1450"/>
      <c r="CC451" s="1362"/>
      <c r="CD451" s="1362"/>
      <c r="CE451" s="1362"/>
      <c r="CF451" s="1362"/>
      <c r="CG451" s="1362"/>
      <c r="CH451" s="1362"/>
      <c r="CI451" s="1362"/>
      <c r="CJ451" s="1362"/>
      <c r="CK451" s="1362"/>
      <c r="CL451" s="1362"/>
      <c r="CM451" s="1362"/>
      <c r="CN451" s="1362"/>
      <c r="CO451" s="1362"/>
      <c r="CP451" s="1362"/>
    </row>
    <row r="452" spans="1:94" outlineLevel="1">
      <c r="A452" s="1468" t="s">
        <v>2684</v>
      </c>
      <c r="B452" s="1344"/>
      <c r="C452" s="1344"/>
      <c r="D452" s="1345"/>
      <c r="E452" s="307">
        <v>2</v>
      </c>
      <c r="F452" s="1454">
        <f>E452*6</f>
        <v>12</v>
      </c>
      <c r="G452" s="1455"/>
      <c r="H452" s="1455"/>
      <c r="I452" s="1455"/>
      <c r="J452" s="1455"/>
      <c r="K452" s="1454">
        <f>E452</f>
        <v>2</v>
      </c>
      <c r="L452" s="1362"/>
      <c r="M452" s="1362"/>
      <c r="N452" s="1362"/>
      <c r="O452" s="1458"/>
      <c r="P452" s="1467"/>
      <c r="Q452" s="1457"/>
      <c r="R452" s="1457"/>
      <c r="S452" s="1457"/>
      <c r="T452" s="1457"/>
      <c r="U452" s="1457"/>
      <c r="V452" s="1457"/>
      <c r="W452" s="1457"/>
      <c r="X452" s="1457"/>
      <c r="Y452" s="1457"/>
      <c r="Z452" s="1457"/>
      <c r="AA452" s="1457"/>
      <c r="AB452" s="1457"/>
      <c r="AC452" s="1315"/>
      <c r="AD452" s="1315"/>
      <c r="AG452" s="1468" t="s">
        <v>2684</v>
      </c>
      <c r="AH452" s="1344"/>
      <c r="AI452" s="1344"/>
      <c r="AJ452" s="1345"/>
      <c r="AK452" s="307">
        <v>2</v>
      </c>
      <c r="AL452" s="1454">
        <f>AK452*6</f>
        <v>12</v>
      </c>
      <c r="AM452" s="1455"/>
      <c r="AN452" s="1455"/>
      <c r="AO452" s="1455"/>
      <c r="AP452" s="1455"/>
      <c r="AQ452" s="1454">
        <f>AK452</f>
        <v>2</v>
      </c>
      <c r="AR452" s="1362"/>
      <c r="AS452" s="1362"/>
      <c r="AT452" s="1362"/>
      <c r="AU452" s="1458"/>
      <c r="AV452" s="1473"/>
      <c r="AW452" s="1457"/>
      <c r="AX452" s="1457"/>
      <c r="AY452" s="1457"/>
      <c r="AZ452" s="1457"/>
      <c r="BA452" s="1457"/>
      <c r="BB452" s="1457"/>
      <c r="BC452" s="1457"/>
      <c r="BD452" s="1457"/>
      <c r="BE452" s="1457"/>
      <c r="BF452" s="1457"/>
      <c r="BG452" s="1457"/>
      <c r="BH452" s="1457"/>
      <c r="BI452" s="1315"/>
      <c r="BJ452" s="1315"/>
      <c r="BM452" s="1468" t="s">
        <v>2684</v>
      </c>
      <c r="BN452" s="1344"/>
      <c r="BO452" s="1344"/>
      <c r="BP452" s="1345"/>
      <c r="BQ452" s="307">
        <v>2</v>
      </c>
      <c r="BR452" s="1454">
        <f>BQ452*6</f>
        <v>12</v>
      </c>
      <c r="BS452" s="1455"/>
      <c r="BT452" s="1455"/>
      <c r="BU452" s="1455"/>
      <c r="BV452" s="1455"/>
      <c r="BW452" s="1454">
        <f>BQ452</f>
        <v>2</v>
      </c>
      <c r="BX452" s="1362"/>
      <c r="BY452" s="1362"/>
      <c r="BZ452" s="1362"/>
      <c r="CA452" s="1458"/>
      <c r="CB452" s="1473"/>
      <c r="CC452" s="1457"/>
      <c r="CD452" s="1457"/>
      <c r="CE452" s="1457"/>
      <c r="CF452" s="1457"/>
      <c r="CG452" s="1457"/>
      <c r="CH452" s="1457"/>
      <c r="CI452" s="1457"/>
      <c r="CJ452" s="1457"/>
      <c r="CK452" s="1457"/>
      <c r="CL452" s="1457"/>
      <c r="CM452" s="1457"/>
      <c r="CN452" s="1457"/>
      <c r="CO452" s="1315"/>
      <c r="CP452" s="1315"/>
    </row>
    <row r="453" spans="1:94" outlineLevel="1">
      <c r="A453" s="1500" t="s">
        <v>1004</v>
      </c>
      <c r="B453" s="1501"/>
      <c r="C453" s="1501"/>
      <c r="D453" s="1502"/>
      <c r="E453" s="413">
        <v>2</v>
      </c>
      <c r="F453" s="1507">
        <f>E453*9</f>
        <v>18</v>
      </c>
      <c r="G453" s="1508"/>
      <c r="H453" s="1508"/>
      <c r="I453" s="1508"/>
      <c r="J453" s="1510"/>
      <c r="K453" s="1507">
        <f>E453*5</f>
        <v>10</v>
      </c>
      <c r="L453" s="1508"/>
      <c r="M453" s="1508"/>
      <c r="N453" s="1508"/>
      <c r="O453" s="1509"/>
      <c r="P453" s="1467"/>
      <c r="Q453" s="1457"/>
      <c r="R453" s="1457"/>
      <c r="S453" s="1457"/>
      <c r="T453" s="1457"/>
      <c r="U453" s="1457"/>
      <c r="V453" s="1457"/>
      <c r="W453" s="1457"/>
      <c r="X453" s="1457"/>
      <c r="Y453" s="1457"/>
      <c r="Z453" s="1457"/>
      <c r="AA453" s="1457"/>
      <c r="AB453" s="1457"/>
      <c r="AC453" s="1315"/>
      <c r="AD453" s="1315"/>
      <c r="AG453" s="1500" t="s">
        <v>1004</v>
      </c>
      <c r="AH453" s="1501"/>
      <c r="AI453" s="1501"/>
      <c r="AJ453" s="1502"/>
      <c r="AK453" s="413">
        <v>2</v>
      </c>
      <c r="AL453" s="1507">
        <f>AK453*9</f>
        <v>18</v>
      </c>
      <c r="AM453" s="1508"/>
      <c r="AN453" s="1508"/>
      <c r="AO453" s="1508"/>
      <c r="AP453" s="1510"/>
      <c r="AQ453" s="1507">
        <f>AK453*5</f>
        <v>10</v>
      </c>
      <c r="AR453" s="1508"/>
      <c r="AS453" s="1508"/>
      <c r="AT453" s="1508"/>
      <c r="AU453" s="1509"/>
      <c r="AV453" s="1473"/>
      <c r="AW453" s="1457"/>
      <c r="AX453" s="1457"/>
      <c r="AY453" s="1457"/>
      <c r="AZ453" s="1457"/>
      <c r="BA453" s="1457"/>
      <c r="BB453" s="1457"/>
      <c r="BC453" s="1457"/>
      <c r="BD453" s="1457"/>
      <c r="BE453" s="1457"/>
      <c r="BF453" s="1457"/>
      <c r="BG453" s="1457"/>
      <c r="BH453" s="1457"/>
      <c r="BI453" s="1315"/>
      <c r="BJ453" s="1315"/>
      <c r="BM453" s="1500" t="s">
        <v>1004</v>
      </c>
      <c r="BN453" s="1501"/>
      <c r="BO453" s="1501"/>
      <c r="BP453" s="1502"/>
      <c r="BQ453" s="413">
        <v>2</v>
      </c>
      <c r="BR453" s="1507">
        <f>BQ453*9</f>
        <v>18</v>
      </c>
      <c r="BS453" s="1508"/>
      <c r="BT453" s="1508"/>
      <c r="BU453" s="1508"/>
      <c r="BV453" s="1510"/>
      <c r="BW453" s="1507">
        <f>BQ453*5</f>
        <v>10</v>
      </c>
      <c r="BX453" s="1508"/>
      <c r="BY453" s="1508"/>
      <c r="BZ453" s="1508"/>
      <c r="CA453" s="1509"/>
      <c r="CB453" s="1473"/>
      <c r="CC453" s="1457"/>
      <c r="CD453" s="1457"/>
      <c r="CE453" s="1457"/>
      <c r="CF453" s="1457"/>
      <c r="CG453" s="1457"/>
      <c r="CH453" s="1457"/>
      <c r="CI453" s="1457"/>
      <c r="CJ453" s="1457"/>
      <c r="CK453" s="1457"/>
      <c r="CL453" s="1457"/>
      <c r="CM453" s="1457"/>
      <c r="CN453" s="1457"/>
      <c r="CO453" s="1315"/>
      <c r="CP453" s="1315"/>
    </row>
    <row r="454" spans="1:94" ht="13.5" outlineLevel="1" thickBot="1">
      <c r="A454" s="1917" t="s">
        <v>2749</v>
      </c>
      <c r="B454" s="1918"/>
      <c r="C454" s="1918"/>
      <c r="D454" s="1919"/>
      <c r="E454" s="312">
        <v>2</v>
      </c>
      <c r="F454" s="1505">
        <f>E454*0.5</f>
        <v>1</v>
      </c>
      <c r="G454" s="1505"/>
      <c r="H454" s="1505"/>
      <c r="I454" s="1505"/>
      <c r="J454" s="1505"/>
      <c r="K454" s="1505">
        <f>E454*3</f>
        <v>6</v>
      </c>
      <c r="L454" s="1505"/>
      <c r="M454" s="1505"/>
      <c r="N454" s="1505"/>
      <c r="O454" s="1506"/>
      <c r="P454" s="1473"/>
      <c r="Q454" s="1457"/>
      <c r="R454" s="1457"/>
      <c r="S454" s="1457"/>
      <c r="T454" s="1457"/>
      <c r="U454" s="1457"/>
      <c r="V454" s="1457"/>
      <c r="W454" s="1457"/>
      <c r="X454" s="1457"/>
      <c r="Y454" s="1457"/>
      <c r="Z454" s="1457"/>
      <c r="AA454" s="1457"/>
      <c r="AB454" s="1457"/>
      <c r="AC454" s="1315"/>
      <c r="AD454" s="1315"/>
      <c r="AG454" s="1503" t="s">
        <v>2749</v>
      </c>
      <c r="AH454" s="1504"/>
      <c r="AI454" s="1504"/>
      <c r="AJ454" s="1504"/>
      <c r="AK454" s="312">
        <v>2</v>
      </c>
      <c r="AL454" s="1505">
        <f>AK454*0.5</f>
        <v>1</v>
      </c>
      <c r="AM454" s="1505"/>
      <c r="AN454" s="1505"/>
      <c r="AO454" s="1505"/>
      <c r="AP454" s="1505"/>
      <c r="AQ454" s="1505">
        <f>AK454*3</f>
        <v>6</v>
      </c>
      <c r="AR454" s="1505"/>
      <c r="AS454" s="1505"/>
      <c r="AT454" s="1505"/>
      <c r="AU454" s="1506"/>
      <c r="AV454" s="1473"/>
      <c r="AW454" s="1457"/>
      <c r="AX454" s="1457"/>
      <c r="AY454" s="1457"/>
      <c r="AZ454" s="1457"/>
      <c r="BA454" s="1457"/>
      <c r="BB454" s="1457"/>
      <c r="BC454" s="1457"/>
      <c r="BD454" s="1457"/>
      <c r="BE454" s="1457"/>
      <c r="BF454" s="1457"/>
      <c r="BG454" s="1457"/>
      <c r="BH454" s="1457"/>
      <c r="BI454" s="1315"/>
      <c r="BJ454" s="1315"/>
      <c r="BM454" s="1503" t="s">
        <v>2749</v>
      </c>
      <c r="BN454" s="1504"/>
      <c r="BO454" s="1504"/>
      <c r="BP454" s="1504"/>
      <c r="BQ454" s="312">
        <v>2</v>
      </c>
      <c r="BR454" s="1505">
        <f>BQ454*0.5</f>
        <v>1</v>
      </c>
      <c r="BS454" s="1505"/>
      <c r="BT454" s="1505"/>
      <c r="BU454" s="1505"/>
      <c r="BV454" s="1505"/>
      <c r="BW454" s="1505">
        <f>BQ454*3</f>
        <v>6</v>
      </c>
      <c r="BX454" s="1505"/>
      <c r="BY454" s="1505"/>
      <c r="BZ454" s="1505"/>
      <c r="CA454" s="1506"/>
      <c r="CB454" s="1473"/>
      <c r="CC454" s="1457"/>
      <c r="CD454" s="1457"/>
      <c r="CE454" s="1457"/>
      <c r="CF454" s="1457"/>
      <c r="CG454" s="1457"/>
      <c r="CH454" s="1457"/>
      <c r="CI454" s="1457"/>
      <c r="CJ454" s="1457"/>
      <c r="CK454" s="1457"/>
      <c r="CL454" s="1457"/>
      <c r="CM454" s="1457"/>
      <c r="CN454" s="1457"/>
      <c r="CO454" s="1315"/>
      <c r="CP454" s="1315"/>
    </row>
    <row r="455" spans="1:94" ht="13.5" outlineLevel="1" thickTop="1">
      <c r="A455" s="1915"/>
      <c r="B455" s="1916"/>
      <c r="C455" s="1916"/>
      <c r="D455" s="1916"/>
      <c r="E455" s="1467"/>
      <c r="F455" s="1499"/>
      <c r="G455" s="1469"/>
      <c r="H455" s="1469"/>
      <c r="I455" s="1469"/>
      <c r="J455" s="1467"/>
      <c r="K455" s="1454"/>
      <c r="L455" s="1362"/>
      <c r="M455" s="1362"/>
      <c r="N455" s="1362"/>
      <c r="O455" s="1362"/>
      <c r="P455" s="1455"/>
      <c r="Q455" s="1362"/>
      <c r="R455" s="1362"/>
      <c r="S455" s="1362"/>
      <c r="T455" s="1362"/>
      <c r="U455" s="1362"/>
      <c r="V455" s="1362"/>
      <c r="W455" s="1362"/>
      <c r="X455" s="1362"/>
      <c r="Y455" s="1362"/>
      <c r="Z455" s="1362"/>
      <c r="AA455" s="1362"/>
      <c r="AB455" s="1362"/>
      <c r="AC455" s="1362"/>
      <c r="AD455" s="1362"/>
      <c r="AG455" s="1499"/>
      <c r="AH455" s="1469"/>
      <c r="AI455" s="1469"/>
      <c r="AJ455" s="1469"/>
      <c r="AK455" s="1467"/>
      <c r="AL455" s="1499"/>
      <c r="AM455" s="1469"/>
      <c r="AN455" s="1469"/>
      <c r="AO455" s="1469"/>
      <c r="AP455" s="1467"/>
      <c r="AQ455" s="1454"/>
      <c r="AR455" s="1362"/>
      <c r="AS455" s="1362"/>
      <c r="AT455" s="1362"/>
      <c r="AU455" s="1362"/>
      <c r="AV455" s="1455"/>
      <c r="AW455" s="1362"/>
      <c r="AX455" s="1362"/>
      <c r="AY455" s="1362"/>
      <c r="AZ455" s="1362"/>
      <c r="BA455" s="1362"/>
      <c r="BB455" s="1362"/>
      <c r="BC455" s="1362"/>
      <c r="BD455" s="1362"/>
      <c r="BE455" s="1362"/>
      <c r="BF455" s="1362"/>
      <c r="BG455" s="1362"/>
      <c r="BH455" s="1362"/>
      <c r="BI455" s="1362"/>
      <c r="BJ455" s="1362"/>
      <c r="BM455" s="1499"/>
      <c r="BN455" s="1469"/>
      <c r="BO455" s="1469"/>
      <c r="BP455" s="1469"/>
      <c r="BQ455" s="1467"/>
      <c r="BR455" s="1499"/>
      <c r="BS455" s="1469"/>
      <c r="BT455" s="1469"/>
      <c r="BU455" s="1469"/>
      <c r="BV455" s="1467"/>
      <c r="BW455" s="1454"/>
      <c r="BX455" s="1362"/>
      <c r="BY455" s="1362"/>
      <c r="BZ455" s="1362"/>
      <c r="CA455" s="1362"/>
      <c r="CB455" s="1455"/>
      <c r="CC455" s="1362"/>
      <c r="CD455" s="1362"/>
      <c r="CE455" s="1362"/>
      <c r="CF455" s="1362"/>
      <c r="CG455" s="1362"/>
      <c r="CH455" s="1362"/>
      <c r="CI455" s="1362"/>
      <c r="CJ455" s="1362"/>
      <c r="CK455" s="1362"/>
      <c r="CL455" s="1362"/>
      <c r="CM455" s="1362"/>
      <c r="CN455" s="1362"/>
      <c r="CO455" s="1362"/>
      <c r="CP455" s="1362"/>
    </row>
    <row r="456" spans="1:94" outlineLevel="1">
      <c r="A456" s="1499"/>
      <c r="B456" s="1469"/>
      <c r="C456" s="1469"/>
      <c r="D456" s="1469"/>
      <c r="E456" s="1467"/>
      <c r="F456" s="1499"/>
      <c r="G456" s="1469"/>
      <c r="H456" s="1469"/>
      <c r="I456" s="1469"/>
      <c r="J456" s="1467"/>
      <c r="K456" s="1454"/>
      <c r="L456" s="1362"/>
      <c r="M456" s="1362"/>
      <c r="N456" s="1362"/>
      <c r="O456" s="1362"/>
      <c r="P456" s="1455"/>
      <c r="Q456" s="1362"/>
      <c r="R456" s="1362"/>
      <c r="S456" s="1362"/>
      <c r="T456" s="1362"/>
      <c r="U456" s="1362"/>
      <c r="V456" s="1362"/>
      <c r="W456" s="1362"/>
      <c r="X456" s="1362"/>
      <c r="Y456" s="1362"/>
      <c r="Z456" s="1362"/>
      <c r="AA456" s="1362"/>
      <c r="AB456" s="1362"/>
      <c r="AC456" s="1362"/>
      <c r="AD456" s="1362"/>
      <c r="AG456" s="1499"/>
      <c r="AH456" s="1469"/>
      <c r="AI456" s="1469"/>
      <c r="AJ456" s="1469"/>
      <c r="AK456" s="1467"/>
      <c r="AL456" s="1499"/>
      <c r="AM456" s="1469"/>
      <c r="AN456" s="1469"/>
      <c r="AO456" s="1469"/>
      <c r="AP456" s="1467"/>
      <c r="AQ456" s="1454"/>
      <c r="AR456" s="1362"/>
      <c r="AS456" s="1362"/>
      <c r="AT456" s="1362"/>
      <c r="AU456" s="1362"/>
      <c r="AV456" s="1455"/>
      <c r="AW456" s="1362"/>
      <c r="AX456" s="1362"/>
      <c r="AY456" s="1362"/>
      <c r="AZ456" s="1362"/>
      <c r="BA456" s="1362"/>
      <c r="BB456" s="1362"/>
      <c r="BC456" s="1362"/>
      <c r="BD456" s="1362"/>
      <c r="BE456" s="1362"/>
      <c r="BF456" s="1362"/>
      <c r="BG456" s="1362"/>
      <c r="BH456" s="1362"/>
      <c r="BI456" s="1362"/>
      <c r="BJ456" s="1362"/>
      <c r="BM456" s="1499"/>
      <c r="BN456" s="1469"/>
      <c r="BO456" s="1469"/>
      <c r="BP456" s="1469"/>
      <c r="BQ456" s="1467"/>
      <c r="BR456" s="1499"/>
      <c r="BS456" s="1469"/>
      <c r="BT456" s="1469"/>
      <c r="BU456" s="1469"/>
      <c r="BV456" s="1467"/>
      <c r="BW456" s="1454"/>
      <c r="BX456" s="1362"/>
      <c r="BY456" s="1362"/>
      <c r="BZ456" s="1362"/>
      <c r="CA456" s="1362"/>
      <c r="CB456" s="1455"/>
      <c r="CC456" s="1362"/>
      <c r="CD456" s="1362"/>
      <c r="CE456" s="1362"/>
      <c r="CF456" s="1362"/>
      <c r="CG456" s="1362"/>
      <c r="CH456" s="1362"/>
      <c r="CI456" s="1362"/>
      <c r="CJ456" s="1362"/>
      <c r="CK456" s="1362"/>
      <c r="CL456" s="1362"/>
      <c r="CM456" s="1362"/>
      <c r="CN456" s="1362"/>
      <c r="CO456" s="1362"/>
      <c r="CP456" s="1362"/>
    </row>
    <row r="457" spans="1:94" outlineLevel="1">
      <c r="A457" s="1499"/>
      <c r="B457" s="1469"/>
      <c r="C457" s="1469"/>
      <c r="D457" s="1469"/>
      <c r="E457" s="1467"/>
      <c r="F457" s="1499"/>
      <c r="G457" s="1469"/>
      <c r="H457" s="1469"/>
      <c r="I457" s="1469"/>
      <c r="J457" s="1467"/>
      <c r="K457" s="1454"/>
      <c r="L457" s="1362"/>
      <c r="M457" s="1362"/>
      <c r="N457" s="1362"/>
      <c r="O457" s="1362"/>
      <c r="P457" s="1455"/>
      <c r="Q457" s="1362"/>
      <c r="R457" s="1362"/>
      <c r="S457" s="1362"/>
      <c r="T457" s="1362"/>
      <c r="U457" s="1362"/>
      <c r="V457" s="1362"/>
      <c r="W457" s="1362"/>
      <c r="X457" s="1362"/>
      <c r="Y457" s="1362"/>
      <c r="Z457" s="1362"/>
      <c r="AA457" s="1362"/>
      <c r="AB457" s="1362"/>
      <c r="AC457" s="1362"/>
      <c r="AD457" s="1362"/>
      <c r="AG457" s="1499"/>
      <c r="AH457" s="1469"/>
      <c r="AI457" s="1469"/>
      <c r="AJ457" s="1469"/>
      <c r="AK457" s="1467"/>
      <c r="AL457" s="1499"/>
      <c r="AM457" s="1469"/>
      <c r="AN457" s="1469"/>
      <c r="AO457" s="1469"/>
      <c r="AP457" s="1467"/>
      <c r="AQ457" s="1454"/>
      <c r="AR457" s="1362"/>
      <c r="AS457" s="1362"/>
      <c r="AT457" s="1362"/>
      <c r="AU457" s="1362"/>
      <c r="AV457" s="1455"/>
      <c r="AW457" s="1362"/>
      <c r="AX457" s="1362"/>
      <c r="AY457" s="1362"/>
      <c r="AZ457" s="1362"/>
      <c r="BA457" s="1362"/>
      <c r="BB457" s="1362"/>
      <c r="BC457" s="1362"/>
      <c r="BD457" s="1362"/>
      <c r="BE457" s="1362"/>
      <c r="BF457" s="1362"/>
      <c r="BG457" s="1362"/>
      <c r="BH457" s="1362"/>
      <c r="BI457" s="1362"/>
      <c r="BJ457" s="1362"/>
      <c r="BM457" s="1499"/>
      <c r="BN457" s="1469"/>
      <c r="BO457" s="1469"/>
      <c r="BP457" s="1469"/>
      <c r="BQ457" s="1467"/>
      <c r="BR457" s="1499"/>
      <c r="BS457" s="1469"/>
      <c r="BT457" s="1469"/>
      <c r="BU457" s="1469"/>
      <c r="BV457" s="1467"/>
      <c r="BW457" s="1454"/>
      <c r="BX457" s="1362"/>
      <c r="BY457" s="1362"/>
      <c r="BZ457" s="1362"/>
      <c r="CA457" s="1362"/>
      <c r="CB457" s="1455"/>
      <c r="CC457" s="1362"/>
      <c r="CD457" s="1362"/>
      <c r="CE457" s="1362"/>
      <c r="CF457" s="1362"/>
      <c r="CG457" s="1362"/>
      <c r="CH457" s="1362"/>
      <c r="CI457" s="1362"/>
      <c r="CJ457" s="1362"/>
      <c r="CK457" s="1362"/>
      <c r="CL457" s="1362"/>
      <c r="CM457" s="1362"/>
      <c r="CN457" s="1362"/>
      <c r="CO457" s="1362"/>
      <c r="CP457" s="1362"/>
    </row>
    <row r="458" spans="1:94" outlineLevel="1">
      <c r="A458" s="1499"/>
      <c r="B458" s="1469"/>
      <c r="C458" s="1469"/>
      <c r="D458" s="1469"/>
      <c r="E458" s="1467"/>
      <c r="F458" s="1499"/>
      <c r="G458" s="1469"/>
      <c r="H458" s="1469"/>
      <c r="I458" s="1469"/>
      <c r="J458" s="1467"/>
      <c r="K458" s="1454"/>
      <c r="L458" s="1362"/>
      <c r="M458" s="1362"/>
      <c r="N458" s="1362"/>
      <c r="O458" s="1362"/>
      <c r="P458" s="1473"/>
      <c r="Q458" s="1457"/>
      <c r="R458" s="1457"/>
      <c r="S458" s="1457"/>
      <c r="T458" s="1457"/>
      <c r="U458" s="1457"/>
      <c r="V458" s="1457"/>
      <c r="W458" s="1457"/>
      <c r="X458" s="1457"/>
      <c r="Y458" s="1457"/>
      <c r="Z458" s="1457"/>
      <c r="AA458" s="1457"/>
      <c r="AB458" s="1457"/>
      <c r="AC458" s="1315"/>
      <c r="AD458" s="1315"/>
      <c r="AE458"/>
      <c r="AF458" s="574"/>
      <c r="AG458" s="1499"/>
      <c r="AH458" s="1469"/>
      <c r="AI458" s="1469"/>
      <c r="AJ458" s="1469"/>
      <c r="AK458" s="1467"/>
      <c r="AL458" s="1499"/>
      <c r="AM458" s="1469"/>
      <c r="AN458" s="1469"/>
      <c r="AO458" s="1469"/>
      <c r="AP458" s="1467"/>
      <c r="AQ458" s="1454"/>
      <c r="AR458" s="1362"/>
      <c r="AS458" s="1362"/>
      <c r="AT458" s="1362"/>
      <c r="AU458" s="1362"/>
      <c r="AV458" s="1473"/>
      <c r="AW458" s="1457"/>
      <c r="AX458" s="1457"/>
      <c r="AY458" s="1457"/>
      <c r="AZ458" s="1457"/>
      <c r="BA458" s="1457"/>
      <c r="BB458" s="1457"/>
      <c r="BC458" s="1457"/>
      <c r="BD458" s="1457"/>
      <c r="BE458" s="1457"/>
      <c r="BF458" s="1457"/>
      <c r="BG458" s="1457"/>
      <c r="BH458" s="1457"/>
      <c r="BI458" s="1315"/>
      <c r="BJ458" s="1315"/>
      <c r="BM458" s="1499"/>
      <c r="BN458" s="1469"/>
      <c r="BO458" s="1469"/>
      <c r="BP458" s="1469"/>
      <c r="BQ458" s="1467"/>
      <c r="BR458" s="1499"/>
      <c r="BS458" s="1469"/>
      <c r="BT458" s="1469"/>
      <c r="BU458" s="1469"/>
      <c r="BV458" s="1467"/>
      <c r="BW458" s="1454"/>
      <c r="BX458" s="1362"/>
      <c r="BY458" s="1362"/>
      <c r="BZ458" s="1362"/>
      <c r="CA458" s="1362"/>
      <c r="CB458" s="1473"/>
      <c r="CC458" s="1457"/>
      <c r="CD458" s="1457"/>
      <c r="CE458" s="1457"/>
      <c r="CF458" s="1457"/>
      <c r="CG458" s="1457"/>
      <c r="CH458" s="1457"/>
      <c r="CI458" s="1457"/>
      <c r="CJ458" s="1457"/>
      <c r="CK458" s="1457"/>
      <c r="CL458" s="1457"/>
      <c r="CM458" s="1457"/>
      <c r="CN458" s="1457"/>
      <c r="CO458" s="1315"/>
      <c r="CP458" s="1315"/>
    </row>
    <row r="459" spans="1:94" outlineLevel="1">
      <c r="A459" s="1499"/>
      <c r="B459" s="1469"/>
      <c r="C459" s="1469"/>
      <c r="D459" s="1469"/>
      <c r="E459" s="1467"/>
      <c r="F459" s="1499"/>
      <c r="G459" s="1469"/>
      <c r="H459" s="1469"/>
      <c r="I459" s="1469"/>
      <c r="J459" s="1467"/>
      <c r="K459" s="1454"/>
      <c r="L459" s="1362"/>
      <c r="M459" s="1362"/>
      <c r="N459" s="1362"/>
      <c r="O459" s="1362"/>
      <c r="P459" s="1473"/>
      <c r="Q459" s="1457"/>
      <c r="R459" s="1457"/>
      <c r="S459" s="1457"/>
      <c r="T459" s="1457"/>
      <c r="U459" s="1457"/>
      <c r="V459" s="1457"/>
      <c r="W459" s="1457"/>
      <c r="X459" s="1457"/>
      <c r="Y459" s="1457"/>
      <c r="Z459" s="1457"/>
      <c r="AA459" s="1457"/>
      <c r="AB459" s="1457"/>
      <c r="AC459" s="1315"/>
      <c r="AD459" s="1315"/>
      <c r="AE459" s="565"/>
      <c r="AF459" s="574"/>
      <c r="AG459" s="1499"/>
      <c r="AH459" s="1469"/>
      <c r="AI459" s="1469"/>
      <c r="AJ459" s="1469"/>
      <c r="AK459" s="1467"/>
      <c r="AL459" s="1499"/>
      <c r="AM459" s="1469"/>
      <c r="AN459" s="1469"/>
      <c r="AO459" s="1469"/>
      <c r="AP459" s="1467"/>
      <c r="AQ459" s="1454"/>
      <c r="AR459" s="1362"/>
      <c r="AS459" s="1362"/>
      <c r="AT459" s="1362"/>
      <c r="AU459" s="1362"/>
      <c r="AV459" s="1473"/>
      <c r="AW459" s="1457"/>
      <c r="AX459" s="1457"/>
      <c r="AY459" s="1457"/>
      <c r="AZ459" s="1457"/>
      <c r="BA459" s="1457"/>
      <c r="BB459" s="1457"/>
      <c r="BC459" s="1457"/>
      <c r="BD459" s="1457"/>
      <c r="BE459" s="1457"/>
      <c r="BF459" s="1457"/>
      <c r="BG459" s="1457"/>
      <c r="BH459" s="1457"/>
      <c r="BI459" s="1315"/>
      <c r="BJ459" s="1315"/>
      <c r="BM459" s="1499"/>
      <c r="BN459" s="1469"/>
      <c r="BO459" s="1469"/>
      <c r="BP459" s="1469"/>
      <c r="BQ459" s="1467"/>
      <c r="BR459" s="1499"/>
      <c r="BS459" s="1469"/>
      <c r="BT459" s="1469"/>
      <c r="BU459" s="1469"/>
      <c r="BV459" s="1467"/>
      <c r="BW459" s="1454"/>
      <c r="BX459" s="1362"/>
      <c r="BY459" s="1362"/>
      <c r="BZ459" s="1362"/>
      <c r="CA459" s="1362"/>
      <c r="CB459" s="1473"/>
      <c r="CC459" s="1457"/>
      <c r="CD459" s="1457"/>
      <c r="CE459" s="1457"/>
      <c r="CF459" s="1457"/>
      <c r="CG459" s="1457"/>
      <c r="CH459" s="1457"/>
      <c r="CI459" s="1457"/>
      <c r="CJ459" s="1457"/>
      <c r="CK459" s="1457"/>
      <c r="CL459" s="1457"/>
      <c r="CM459" s="1457"/>
      <c r="CN459" s="1457"/>
      <c r="CO459" s="1315"/>
      <c r="CP459" s="1315"/>
    </row>
    <row r="460" spans="1:94" ht="14.1" customHeight="1">
      <c r="A460"/>
      <c r="B460"/>
      <c r="C460"/>
      <c r="D460"/>
      <c r="E460"/>
      <c r="F460"/>
      <c r="G460"/>
      <c r="H460"/>
      <c r="I460"/>
      <c r="J460"/>
      <c r="K460"/>
      <c r="L460"/>
      <c r="M460"/>
      <c r="N460"/>
      <c r="O460"/>
      <c r="P460"/>
      <c r="Q460"/>
      <c r="R460"/>
      <c r="S460"/>
      <c r="T460"/>
      <c r="U460"/>
      <c r="V460"/>
      <c r="W460"/>
      <c r="X460"/>
      <c r="Y460"/>
      <c r="Z460"/>
      <c r="AA460"/>
      <c r="AB460"/>
      <c r="AC460"/>
      <c r="AD460"/>
      <c r="AH460" s="488"/>
      <c r="AI460" s="488"/>
      <c r="AJ460" s="488"/>
    </row>
    <row r="461" spans="1:94" ht="14.1" customHeight="1">
      <c r="A461" s="1906" t="s">
        <v>420</v>
      </c>
      <c r="B461" s="1906"/>
      <c r="C461" s="1906"/>
      <c r="D461" s="1906"/>
      <c r="E461" s="1906"/>
      <c r="F461" s="1906"/>
      <c r="G461" s="1906"/>
      <c r="H461" s="1906"/>
      <c r="I461" s="1906"/>
      <c r="J461" s="1906"/>
      <c r="K461" s="1906"/>
      <c r="L461" s="1906"/>
      <c r="M461" s="1906"/>
      <c r="N461" s="1906"/>
      <c r="O461" s="1906"/>
      <c r="P461" s="1906"/>
      <c r="Q461" s="1906"/>
      <c r="R461" s="1906"/>
      <c r="S461" s="1906"/>
      <c r="T461" s="1906"/>
      <c r="U461" s="1906"/>
      <c r="V461" s="1906"/>
      <c r="W461" s="1906"/>
      <c r="X461" s="1906"/>
      <c r="Y461" s="1906"/>
      <c r="Z461" s="1906"/>
      <c r="AA461" s="1906"/>
      <c r="AB461" s="1906"/>
      <c r="AC461" s="1906"/>
      <c r="AD461" s="1906"/>
      <c r="AG461" t="s">
        <v>1234</v>
      </c>
      <c r="AH461" s="489"/>
      <c r="AI461" s="489"/>
      <c r="AJ461" s="489"/>
    </row>
    <row r="462" spans="1:94" ht="14.1" customHeight="1" thickBot="1">
      <c r="A462" s="1690"/>
      <c r="B462" s="1690"/>
      <c r="C462" s="1690"/>
      <c r="D462" s="1690"/>
      <c r="E462" s="1690"/>
      <c r="F462" s="1690"/>
      <c r="G462" s="1690"/>
      <c r="H462" s="1690"/>
      <c r="I462" s="1690"/>
      <c r="J462" s="1690"/>
      <c r="K462" s="1690"/>
      <c r="L462" s="1690"/>
      <c r="M462" s="1690"/>
      <c r="N462" s="1690"/>
      <c r="O462" s="1690"/>
      <c r="P462" s="1690"/>
      <c r="Q462" s="1690"/>
      <c r="R462" s="1690"/>
      <c r="S462" s="1690"/>
      <c r="T462" s="1690"/>
      <c r="U462" s="1690"/>
      <c r="V462" s="1690"/>
      <c r="W462" s="1690"/>
      <c r="X462" s="1690"/>
      <c r="Y462" s="1690"/>
      <c r="Z462" s="1690"/>
      <c r="AA462" s="1690"/>
      <c r="AB462" s="1690"/>
      <c r="AC462" s="1690"/>
      <c r="AD462" s="1690"/>
      <c r="AG462"/>
      <c r="AH462" s="50"/>
      <c r="AI462" s="50"/>
      <c r="AJ462" s="50"/>
    </row>
    <row r="463" spans="1:94" ht="14.1" customHeight="1" thickTop="1" thickBot="1">
      <c r="A463" s="2386" t="s">
        <v>5343</v>
      </c>
      <c r="B463" s="2387"/>
      <c r="C463" s="2387"/>
      <c r="D463" s="2387"/>
      <c r="E463" s="2387"/>
      <c r="F463" s="2387"/>
      <c r="G463" s="2387"/>
      <c r="H463" s="2387"/>
      <c r="I463" s="2387"/>
      <c r="J463" s="2388"/>
      <c r="K463" s="1713" t="s">
        <v>5344</v>
      </c>
      <c r="L463" s="1714"/>
      <c r="M463" s="1714"/>
      <c r="N463" s="1714"/>
      <c r="O463" s="1715"/>
      <c r="P463" s="332"/>
      <c r="Q463" s="332"/>
      <c r="R463" s="333"/>
      <c r="S463"/>
      <c r="T463"/>
      <c r="U463" s="1912" t="s">
        <v>3849</v>
      </c>
      <c r="V463" s="1913"/>
      <c r="W463" s="1913"/>
      <c r="X463" s="1913"/>
      <c r="Y463" s="1913"/>
      <c r="Z463" s="1913"/>
      <c r="AA463" s="1913"/>
      <c r="AB463" s="1913"/>
      <c r="AC463" s="1913"/>
      <c r="AD463" s="1914"/>
      <c r="AG463"/>
      <c r="AH463" s="50"/>
      <c r="AI463" s="50"/>
      <c r="AJ463" s="50"/>
    </row>
    <row r="464" spans="1:94" ht="14.1" customHeight="1" thickTop="1">
      <c r="A464" s="1907" t="s">
        <v>626</v>
      </c>
      <c r="B464" s="1908"/>
      <c r="C464" s="1887" t="s">
        <v>5339</v>
      </c>
      <c r="D464" s="1889" t="s">
        <v>5340</v>
      </c>
      <c r="E464" s="1890"/>
      <c r="F464" s="1890"/>
      <c r="G464" s="1887" t="s">
        <v>5092</v>
      </c>
      <c r="H464" s="1710" t="s">
        <v>3845</v>
      </c>
      <c r="I464" s="1711"/>
      <c r="J464" s="1711"/>
      <c r="K464" s="1887" t="s">
        <v>5339</v>
      </c>
      <c r="L464" s="1712" t="s">
        <v>697</v>
      </c>
      <c r="M464" s="1712"/>
      <c r="N464" s="1712"/>
      <c r="O464" s="1887" t="s">
        <v>5092</v>
      </c>
      <c r="P464" s="2390" t="s">
        <v>5342</v>
      </c>
      <c r="Q464" s="2391"/>
      <c r="R464" s="2392"/>
      <c r="S464" s="361"/>
      <c r="T464" s="90"/>
      <c r="U464" s="320">
        <v>1</v>
      </c>
      <c r="V464" s="321">
        <v>2</v>
      </c>
      <c r="W464" s="321">
        <v>3</v>
      </c>
      <c r="X464" s="321">
        <v>4</v>
      </c>
      <c r="Y464" s="321">
        <v>5</v>
      </c>
      <c r="Z464" s="321">
        <v>6</v>
      </c>
      <c r="AA464" s="321">
        <v>7</v>
      </c>
      <c r="AB464" s="321">
        <v>8</v>
      </c>
      <c r="AC464" s="321">
        <v>9</v>
      </c>
      <c r="AD464" s="322">
        <v>10</v>
      </c>
      <c r="AH464"/>
      <c r="AI464"/>
    </row>
    <row r="465" spans="1:36" ht="14.1" customHeight="1">
      <c r="A465" s="1909"/>
      <c r="B465" s="1910"/>
      <c r="C465" s="1888"/>
      <c r="D465" s="1911" t="s">
        <v>5341</v>
      </c>
      <c r="E465" s="1911"/>
      <c r="F465" s="1911"/>
      <c r="G465" s="1888"/>
      <c r="H465" s="1920" t="s">
        <v>3844</v>
      </c>
      <c r="I465" s="2389"/>
      <c r="J465" s="2389"/>
      <c r="K465" s="1888"/>
      <c r="L465" s="1920" t="s">
        <v>4741</v>
      </c>
      <c r="M465" s="1920"/>
      <c r="N465" s="1920"/>
      <c r="O465" s="1888"/>
      <c r="P465" s="2393" t="s">
        <v>3844</v>
      </c>
      <c r="Q465" s="2369"/>
      <c r="R465" s="2394"/>
      <c r="S465" s="361"/>
      <c r="T465" s="90"/>
      <c r="U465" s="323">
        <v>11</v>
      </c>
      <c r="V465" s="324">
        <v>12</v>
      </c>
      <c r="W465" s="324">
        <v>13</v>
      </c>
      <c r="X465" s="324">
        <v>14</v>
      </c>
      <c r="Y465" s="324">
        <v>15</v>
      </c>
      <c r="Z465" s="324">
        <v>16</v>
      </c>
      <c r="AA465" s="324">
        <v>17</v>
      </c>
      <c r="AB465" s="324">
        <v>18</v>
      </c>
      <c r="AC465" s="324">
        <v>19</v>
      </c>
      <c r="AD465" s="325">
        <v>20</v>
      </c>
      <c r="AH465"/>
      <c r="AI465"/>
    </row>
    <row r="466" spans="1:36" ht="14.1" customHeight="1">
      <c r="A466" s="1891">
        <f t="shared" ref="A466:A475" si="3">$P$10</f>
        <v>19</v>
      </c>
      <c r="B466" s="1892"/>
      <c r="C466" s="165" t="s">
        <v>5339</v>
      </c>
      <c r="D466" s="1892">
        <v>1</v>
      </c>
      <c r="E466" s="1869"/>
      <c r="F466" s="1869"/>
      <c r="G466" s="164" t="s">
        <v>5092</v>
      </c>
      <c r="H466" s="1899">
        <f t="shared" ref="H466:H475" si="4">A466+D466</f>
        <v>20</v>
      </c>
      <c r="I466" s="1900"/>
      <c r="J466" s="1900"/>
      <c r="K466" s="165" t="s">
        <v>5339</v>
      </c>
      <c r="L466" s="1903">
        <f t="shared" ref="L466:L475" ca="1" si="5">$V$41+$V$42+$V$43</f>
        <v>2</v>
      </c>
      <c r="M466" s="1904"/>
      <c r="N466" s="1905"/>
      <c r="O466" s="164" t="s">
        <v>5092</v>
      </c>
      <c r="P466" s="1921">
        <f t="shared" ref="P466:P475" ca="1" si="6">H466+L466</f>
        <v>22</v>
      </c>
      <c r="Q466" s="1869"/>
      <c r="R466" s="1922"/>
      <c r="S466" s="361"/>
      <c r="T466" s="90"/>
      <c r="U466" s="323">
        <v>21</v>
      </c>
      <c r="V466" s="324">
        <v>22</v>
      </c>
      <c r="W466" s="324">
        <v>23</v>
      </c>
      <c r="X466" s="324">
        <v>24</v>
      </c>
      <c r="Y466" s="324">
        <v>25</v>
      </c>
      <c r="Z466" s="324">
        <v>26</v>
      </c>
      <c r="AA466" s="324">
        <v>27</v>
      </c>
      <c r="AB466" s="324">
        <v>28</v>
      </c>
      <c r="AC466" s="324">
        <v>29</v>
      </c>
      <c r="AD466" s="325">
        <v>30</v>
      </c>
      <c r="AH466"/>
      <c r="AI466"/>
    </row>
    <row r="467" spans="1:36" ht="14.1" customHeight="1">
      <c r="A467" s="1891">
        <f t="shared" si="3"/>
        <v>19</v>
      </c>
      <c r="B467" s="1892"/>
      <c r="C467" s="165" t="s">
        <v>5339</v>
      </c>
      <c r="D467" s="1892">
        <v>2</v>
      </c>
      <c r="E467" s="1869"/>
      <c r="F467" s="1869"/>
      <c r="G467" s="164" t="s">
        <v>5092</v>
      </c>
      <c r="H467" s="1899">
        <f t="shared" si="4"/>
        <v>21</v>
      </c>
      <c r="I467" s="1900"/>
      <c r="J467" s="1900"/>
      <c r="K467" s="165" t="s">
        <v>5339</v>
      </c>
      <c r="L467" s="1903">
        <f t="shared" ca="1" si="5"/>
        <v>2</v>
      </c>
      <c r="M467" s="1904"/>
      <c r="N467" s="1905"/>
      <c r="O467" s="164" t="s">
        <v>5092</v>
      </c>
      <c r="P467" s="1921">
        <f t="shared" ca="1" si="6"/>
        <v>23</v>
      </c>
      <c r="Q467" s="1869"/>
      <c r="R467" s="1922"/>
      <c r="S467" s="361"/>
      <c r="T467" s="90"/>
      <c r="U467" s="323">
        <v>31</v>
      </c>
      <c r="V467" s="324">
        <v>32</v>
      </c>
      <c r="W467" s="324">
        <v>33</v>
      </c>
      <c r="X467" s="324">
        <v>34</v>
      </c>
      <c r="Y467" s="324">
        <v>35</v>
      </c>
      <c r="Z467" s="324">
        <v>36</v>
      </c>
      <c r="AA467" s="324">
        <v>37</v>
      </c>
      <c r="AB467" s="324">
        <v>38</v>
      </c>
      <c r="AC467" s="324">
        <v>39</v>
      </c>
      <c r="AD467" s="325">
        <v>40</v>
      </c>
      <c r="AH467"/>
      <c r="AI467"/>
    </row>
    <row r="468" spans="1:36" ht="14.1" customHeight="1">
      <c r="A468" s="1891">
        <f t="shared" si="3"/>
        <v>19</v>
      </c>
      <c r="B468" s="1892"/>
      <c r="C468" s="165" t="s">
        <v>5339</v>
      </c>
      <c r="D468" s="1892">
        <v>3</v>
      </c>
      <c r="E468" s="1869"/>
      <c r="F468" s="1869"/>
      <c r="G468" s="164" t="s">
        <v>5092</v>
      </c>
      <c r="H468" s="1899">
        <f t="shared" si="4"/>
        <v>22</v>
      </c>
      <c r="I468" s="1900"/>
      <c r="J468" s="1900"/>
      <c r="K468" s="165" t="s">
        <v>5339</v>
      </c>
      <c r="L468" s="1903">
        <f t="shared" ca="1" si="5"/>
        <v>2</v>
      </c>
      <c r="M468" s="1904"/>
      <c r="N468" s="1905"/>
      <c r="O468" s="164" t="s">
        <v>5092</v>
      </c>
      <c r="P468" s="1921">
        <f t="shared" ca="1" si="6"/>
        <v>24</v>
      </c>
      <c r="Q468" s="1869"/>
      <c r="R468" s="1922"/>
      <c r="S468" s="361"/>
      <c r="T468" s="90"/>
      <c r="U468" s="323">
        <v>41</v>
      </c>
      <c r="V468" s="324">
        <v>42</v>
      </c>
      <c r="W468" s="324">
        <v>43</v>
      </c>
      <c r="X468" s="324">
        <v>44</v>
      </c>
      <c r="Y468" s="324">
        <v>45</v>
      </c>
      <c r="Z468" s="324">
        <v>46</v>
      </c>
      <c r="AA468" s="324">
        <v>47</v>
      </c>
      <c r="AB468" s="324">
        <v>48</v>
      </c>
      <c r="AC468" s="324">
        <v>49</v>
      </c>
      <c r="AD468" s="325">
        <v>50</v>
      </c>
      <c r="AH468"/>
      <c r="AI468"/>
    </row>
    <row r="469" spans="1:36" ht="14.1" customHeight="1" thickBot="1">
      <c r="A469" s="1891">
        <f t="shared" si="3"/>
        <v>19</v>
      </c>
      <c r="B469" s="1892"/>
      <c r="C469" s="165" t="s">
        <v>5339</v>
      </c>
      <c r="D469" s="1892">
        <v>4</v>
      </c>
      <c r="E469" s="1869"/>
      <c r="F469" s="1869"/>
      <c r="G469" s="164" t="s">
        <v>5092</v>
      </c>
      <c r="H469" s="1899">
        <f t="shared" si="4"/>
        <v>23</v>
      </c>
      <c r="I469" s="1900"/>
      <c r="J469" s="1900"/>
      <c r="K469" s="165" t="s">
        <v>5339</v>
      </c>
      <c r="L469" s="1903">
        <f t="shared" ca="1" si="5"/>
        <v>2</v>
      </c>
      <c r="M469" s="1904"/>
      <c r="N469" s="1905"/>
      <c r="O469" s="164" t="s">
        <v>5092</v>
      </c>
      <c r="P469" s="1921">
        <f t="shared" ca="1" si="6"/>
        <v>25</v>
      </c>
      <c r="Q469" s="1869"/>
      <c r="R469" s="1922"/>
      <c r="S469" s="361"/>
      <c r="T469" s="90"/>
      <c r="U469" s="326">
        <v>51</v>
      </c>
      <c r="V469" s="327">
        <v>52</v>
      </c>
      <c r="W469" s="327">
        <v>53</v>
      </c>
      <c r="X469" s="327">
        <v>54</v>
      </c>
      <c r="Y469" s="327">
        <v>55</v>
      </c>
      <c r="Z469" s="327">
        <v>56</v>
      </c>
      <c r="AA469" s="327">
        <v>57</v>
      </c>
      <c r="AB469" s="327">
        <v>58</v>
      </c>
      <c r="AC469" s="327">
        <v>59</v>
      </c>
      <c r="AD469" s="328">
        <v>60</v>
      </c>
      <c r="AG469"/>
      <c r="AH469"/>
    </row>
    <row r="470" spans="1:36" ht="14.1" customHeight="1" thickTop="1" thickBot="1">
      <c r="A470" s="1891">
        <f t="shared" si="3"/>
        <v>19</v>
      </c>
      <c r="B470" s="1892"/>
      <c r="C470" s="165" t="s">
        <v>5339</v>
      </c>
      <c r="D470" s="1873">
        <v>5</v>
      </c>
      <c r="E470" s="1869"/>
      <c r="F470" s="1869"/>
      <c r="G470" s="164" t="s">
        <v>5092</v>
      </c>
      <c r="H470" s="1899">
        <f t="shared" si="4"/>
        <v>24</v>
      </c>
      <c r="I470" s="1900"/>
      <c r="J470" s="1900"/>
      <c r="K470" s="165" t="s">
        <v>5339</v>
      </c>
      <c r="L470" s="1903">
        <f t="shared" ca="1" si="5"/>
        <v>2</v>
      </c>
      <c r="M470" s="1904"/>
      <c r="N470" s="1905"/>
      <c r="O470" s="164" t="s">
        <v>5092</v>
      </c>
      <c r="P470" s="1921">
        <f t="shared" ca="1" si="6"/>
        <v>26</v>
      </c>
      <c r="Q470" s="1869"/>
      <c r="R470" s="1922"/>
      <c r="S470" s="102"/>
      <c r="AG470"/>
      <c r="AH470"/>
    </row>
    <row r="471" spans="1:36" ht="14.1" customHeight="1">
      <c r="A471" s="1891">
        <f t="shared" si="3"/>
        <v>19</v>
      </c>
      <c r="B471" s="1892"/>
      <c r="C471" s="165" t="s">
        <v>5339</v>
      </c>
      <c r="D471" s="1873">
        <v>6</v>
      </c>
      <c r="E471" s="1869"/>
      <c r="F471" s="1869"/>
      <c r="G471" s="164" t="s">
        <v>5092</v>
      </c>
      <c r="H471" s="1899">
        <f t="shared" si="4"/>
        <v>25</v>
      </c>
      <c r="I471" s="1900"/>
      <c r="J471" s="1900"/>
      <c r="K471" s="165" t="s">
        <v>5339</v>
      </c>
      <c r="L471" s="1903">
        <f t="shared" ca="1" si="5"/>
        <v>2</v>
      </c>
      <c r="M471" s="1904"/>
      <c r="N471" s="1905"/>
      <c r="O471" s="164" t="s">
        <v>5092</v>
      </c>
      <c r="P471" s="1921">
        <f t="shared" ca="1" si="6"/>
        <v>27</v>
      </c>
      <c r="Q471" s="1869"/>
      <c r="R471" s="1922"/>
      <c r="S471" s="102"/>
      <c r="T471" s="1938" t="s">
        <v>388</v>
      </c>
      <c r="U471" s="1939"/>
      <c r="V471" s="1939"/>
      <c r="W471" s="336" t="s">
        <v>3142</v>
      </c>
      <c r="X471" s="1939" t="s">
        <v>388</v>
      </c>
      <c r="Y471" s="1941"/>
      <c r="Z471" s="1941"/>
      <c r="AA471" s="336" t="s">
        <v>3142</v>
      </c>
      <c r="AB471" s="1939" t="s">
        <v>388</v>
      </c>
      <c r="AC471" s="1941"/>
      <c r="AD471" s="337" t="s">
        <v>3142</v>
      </c>
      <c r="AG471"/>
      <c r="AH471"/>
    </row>
    <row r="472" spans="1:36" ht="14.1" customHeight="1">
      <c r="A472" s="1891">
        <f t="shared" si="3"/>
        <v>19</v>
      </c>
      <c r="B472" s="1892"/>
      <c r="C472" s="165" t="s">
        <v>5339</v>
      </c>
      <c r="D472" s="1873">
        <v>7</v>
      </c>
      <c r="E472" s="1869"/>
      <c r="F472" s="1869"/>
      <c r="G472" s="164" t="s">
        <v>5092</v>
      </c>
      <c r="H472" s="1899">
        <f t="shared" si="4"/>
        <v>26</v>
      </c>
      <c r="I472" s="1900"/>
      <c r="J472" s="1900"/>
      <c r="K472" s="165" t="s">
        <v>5339</v>
      </c>
      <c r="L472" s="1903">
        <f t="shared" ca="1" si="5"/>
        <v>2</v>
      </c>
      <c r="M472" s="1904"/>
      <c r="N472" s="1905"/>
      <c r="O472" s="164" t="s">
        <v>5092</v>
      </c>
      <c r="P472" s="1921">
        <f t="shared" ca="1" si="6"/>
        <v>28</v>
      </c>
      <c r="Q472" s="1869"/>
      <c r="R472" s="1922"/>
      <c r="S472" s="102"/>
      <c r="T472" s="2454" t="s">
        <v>5331</v>
      </c>
      <c r="U472" s="1940"/>
      <c r="V472" s="1940"/>
      <c r="W472" s="298">
        <v>0</v>
      </c>
      <c r="X472" s="1940" t="s">
        <v>3455</v>
      </c>
      <c r="Y472" s="1315"/>
      <c r="Z472" s="1315"/>
      <c r="AA472" s="298">
        <f ca="1">IF(Skills!AA186&gt;0.45,IF(Skills!AA186&gt;0.75,2,3),4)</f>
        <v>4</v>
      </c>
      <c r="AB472" s="1940" t="s">
        <v>5328</v>
      </c>
      <c r="AC472" s="1315"/>
      <c r="AD472" s="338">
        <v>1</v>
      </c>
      <c r="AG472"/>
      <c r="AH472"/>
    </row>
    <row r="473" spans="1:36" ht="14.1" customHeight="1">
      <c r="A473" s="1891">
        <f t="shared" si="3"/>
        <v>19</v>
      </c>
      <c r="B473" s="1892"/>
      <c r="C473" s="165" t="s">
        <v>5339</v>
      </c>
      <c r="D473" s="1873">
        <v>8</v>
      </c>
      <c r="E473" s="1869"/>
      <c r="F473" s="1869"/>
      <c r="G473" s="164" t="s">
        <v>5092</v>
      </c>
      <c r="H473" s="1899">
        <f t="shared" si="4"/>
        <v>27</v>
      </c>
      <c r="I473" s="1900"/>
      <c r="J473" s="1900"/>
      <c r="K473" s="165" t="s">
        <v>5339</v>
      </c>
      <c r="L473" s="1903">
        <f t="shared" ca="1" si="5"/>
        <v>2</v>
      </c>
      <c r="M473" s="1904"/>
      <c r="N473" s="1905"/>
      <c r="O473" s="164" t="s">
        <v>5092</v>
      </c>
      <c r="P473" s="1921">
        <f t="shared" ca="1" si="6"/>
        <v>29</v>
      </c>
      <c r="Q473" s="1869"/>
      <c r="R473" s="1922"/>
      <c r="S473" s="102"/>
      <c r="T473" s="2454" t="s">
        <v>5332</v>
      </c>
      <c r="U473" s="1940"/>
      <c r="V473" s="1940"/>
      <c r="W473" s="298">
        <v>1</v>
      </c>
      <c r="X473" s="1930" t="s">
        <v>5336</v>
      </c>
      <c r="Y473" s="1930"/>
      <c r="Z473" s="1930"/>
      <c r="AA473" s="299">
        <f ca="1">IF(Skills!AA36&gt;0.45,IF(Skills!AA36&gt;0.75,2,3),4)</f>
        <v>4</v>
      </c>
      <c r="AB473" s="1930" t="s">
        <v>1684</v>
      </c>
      <c r="AC473" s="1315"/>
      <c r="AD473" s="339">
        <f>IF('Main Creation Page'!C6=1,IF('Main Creation Page'!C6=2,1,1),IF('Main Creation Page'!C3=3,IF('Main Creation Page'!C3=4,2,2),3))</f>
        <v>3</v>
      </c>
      <c r="AG473"/>
      <c r="AH473"/>
    </row>
    <row r="474" spans="1:36" ht="14.1" customHeight="1">
      <c r="A474" s="1891">
        <f t="shared" si="3"/>
        <v>19</v>
      </c>
      <c r="B474" s="1892"/>
      <c r="C474" s="165" t="s">
        <v>5339</v>
      </c>
      <c r="D474" s="1873">
        <v>9</v>
      </c>
      <c r="E474" s="1869"/>
      <c r="F474" s="1869"/>
      <c r="G474" s="164" t="s">
        <v>5092</v>
      </c>
      <c r="H474" s="1899">
        <f t="shared" si="4"/>
        <v>28</v>
      </c>
      <c r="I474" s="1900"/>
      <c r="J474" s="1900"/>
      <c r="K474" s="165" t="s">
        <v>5339</v>
      </c>
      <c r="L474" s="1903">
        <f t="shared" ca="1" si="5"/>
        <v>2</v>
      </c>
      <c r="M474" s="1904"/>
      <c r="N474" s="1905"/>
      <c r="O474" s="164" t="s">
        <v>5092</v>
      </c>
      <c r="P474" s="1921">
        <f t="shared" ca="1" si="6"/>
        <v>30</v>
      </c>
      <c r="Q474" s="1869"/>
      <c r="R474" s="1922"/>
      <c r="S474" s="102"/>
      <c r="T474" s="2454" t="s">
        <v>5333</v>
      </c>
      <c r="U474" s="1940"/>
      <c r="V474" s="1940"/>
      <c r="W474" s="298">
        <f ca="1">IF(P479&gt;0.45,2,3)</f>
        <v>3</v>
      </c>
      <c r="X474" s="1930" t="s">
        <v>2328</v>
      </c>
      <c r="Y474" s="1931"/>
      <c r="Z474" s="1931"/>
      <c r="AA474" s="299">
        <f ca="1">IF(Skills!AA37&gt;0.45,IF(Skills!AA37&gt;0.75,2,3),4)</f>
        <v>4</v>
      </c>
      <c r="AB474" s="1930" t="s">
        <v>1613</v>
      </c>
      <c r="AC474" s="1315"/>
      <c r="AD474" s="339">
        <v>3</v>
      </c>
      <c r="AG474"/>
      <c r="AH474"/>
    </row>
    <row r="475" spans="1:36" ht="14.1" customHeight="1" thickBot="1">
      <c r="A475" s="1961">
        <f t="shared" si="3"/>
        <v>19</v>
      </c>
      <c r="B475" s="1962"/>
      <c r="C475" s="335" t="s">
        <v>5339</v>
      </c>
      <c r="D475" s="1942">
        <v>10</v>
      </c>
      <c r="E475" s="1943"/>
      <c r="F475" s="1943"/>
      <c r="G475" s="334" t="s">
        <v>5092</v>
      </c>
      <c r="H475" s="2029">
        <f t="shared" si="4"/>
        <v>29</v>
      </c>
      <c r="I475" s="2030"/>
      <c r="J475" s="2030"/>
      <c r="K475" s="335" t="s">
        <v>5339</v>
      </c>
      <c r="L475" s="2031">
        <f t="shared" ca="1" si="5"/>
        <v>2</v>
      </c>
      <c r="M475" s="2032"/>
      <c r="N475" s="2033"/>
      <c r="O475" s="334" t="s">
        <v>5092</v>
      </c>
      <c r="P475" s="2452">
        <f t="shared" ca="1" si="6"/>
        <v>31</v>
      </c>
      <c r="Q475" s="1943"/>
      <c r="R475" s="2453"/>
      <c r="S475" s="102"/>
      <c r="T475" s="1960" t="s">
        <v>5334</v>
      </c>
      <c r="U475" s="1958"/>
      <c r="V475" s="1958"/>
      <c r="W475" s="340">
        <f ca="1">IF(P479&gt;0.45,IF(P479&gt;0.75,2,3),4)</f>
        <v>4</v>
      </c>
      <c r="X475" s="1958" t="s">
        <v>5335</v>
      </c>
      <c r="Y475" s="1959"/>
      <c r="Z475" s="1959"/>
      <c r="AA475" s="340">
        <f ca="1">IF(Skills!AA39&gt;0.45,IF(Skills!AA39&gt;0.75,2,3),4)</f>
        <v>4</v>
      </c>
      <c r="AB475" s="1885" t="s">
        <v>1639</v>
      </c>
      <c r="AC475" s="1886"/>
      <c r="AD475" s="341">
        <f ca="1">IF(Magick!A3&lt;&gt;38,VLOOKUP(VLOOKUP(Magick!$A$3,Magick!$AD$5:$AU$48,9)*100,magestuff!$B$134:$F$138,2),VLOOKUP(VLOOKUP(21,Magick!$AD$5:$AU$48,9)*100,magestuff!$B$134:$F$138,2))</f>
        <v>3</v>
      </c>
      <c r="AE475"/>
      <c r="AF475" s="574"/>
      <c r="AG475"/>
      <c r="AH475"/>
      <c r="AI475"/>
    </row>
    <row r="476" spans="1:36" ht="14.1" customHeight="1" thickBot="1">
      <c r="A476"/>
      <c r="B476"/>
      <c r="C476"/>
      <c r="D476"/>
      <c r="E476"/>
      <c r="F476"/>
      <c r="G476"/>
      <c r="H476"/>
      <c r="I476"/>
      <c r="J476"/>
      <c r="K476"/>
      <c r="L476"/>
      <c r="M476"/>
      <c r="N476"/>
      <c r="O476"/>
      <c r="P476"/>
      <c r="Q476"/>
      <c r="R476"/>
      <c r="S476"/>
      <c r="T476"/>
      <c r="U476"/>
      <c r="V476"/>
      <c r="W476"/>
      <c r="X476"/>
      <c r="Y476"/>
      <c r="Z476"/>
      <c r="AA476"/>
      <c r="AB476"/>
      <c r="AC476"/>
      <c r="AD476"/>
      <c r="AE476"/>
      <c r="AF476" s="574"/>
      <c r="AG476"/>
      <c r="AI476"/>
      <c r="AJ476"/>
    </row>
    <row r="477" spans="1:36" ht="14.1" customHeight="1">
      <c r="A477" s="1979"/>
      <c r="B477" s="1980"/>
      <c r="C477" s="1980"/>
      <c r="D477" s="1980"/>
      <c r="E477" s="1981"/>
      <c r="F477" s="1901" t="s">
        <v>3765</v>
      </c>
      <c r="G477" s="1902"/>
      <c r="H477" s="1969" t="s">
        <v>1742</v>
      </c>
      <c r="I477" s="1969"/>
      <c r="J477" s="2023" t="s">
        <v>2525</v>
      </c>
      <c r="K477" s="2024"/>
      <c r="L477" s="1969" t="s">
        <v>5512</v>
      </c>
      <c r="M477" s="2014"/>
      <c r="N477" s="1969" t="s">
        <v>3264</v>
      </c>
      <c r="O477" s="1969"/>
      <c r="P477" s="1894"/>
      <c r="Q477" s="1894"/>
      <c r="R477" s="1894"/>
      <c r="S477" s="2037"/>
      <c r="T477" s="1993" t="s">
        <v>3781</v>
      </c>
      <c r="U477" s="1714"/>
      <c r="V477" s="2015"/>
      <c r="W477" s="1923" t="s">
        <v>3572</v>
      </c>
      <c r="X477" s="1924"/>
      <c r="Y477" s="1924"/>
      <c r="Z477" s="1924"/>
      <c r="AA477" s="1924"/>
      <c r="AB477" s="1924"/>
      <c r="AC477" s="1924"/>
      <c r="AD477" s="1925"/>
      <c r="AE477"/>
      <c r="AF477" s="574"/>
      <c r="AG477"/>
    </row>
    <row r="478" spans="1:36" ht="14.1" customHeight="1" thickBot="1">
      <c r="A478" s="1966" t="s">
        <v>3607</v>
      </c>
      <c r="B478" s="1967"/>
      <c r="C478" s="1967"/>
      <c r="D478" s="1967"/>
      <c r="E478" s="1968"/>
      <c r="F478" s="1965" t="s">
        <v>4744</v>
      </c>
      <c r="G478" s="1897"/>
      <c r="H478" s="1897" t="s">
        <v>962</v>
      </c>
      <c r="I478" s="1897"/>
      <c r="J478" s="1932" t="s">
        <v>3142</v>
      </c>
      <c r="K478" s="1531"/>
      <c r="L478" s="1897" t="s">
        <v>3142</v>
      </c>
      <c r="M478" s="1955"/>
      <c r="N478" s="1897" t="s">
        <v>5511</v>
      </c>
      <c r="O478" s="1897"/>
      <c r="P478" s="1897" t="s">
        <v>209</v>
      </c>
      <c r="Q478" s="1897"/>
      <c r="R478" s="1897" t="s">
        <v>2014</v>
      </c>
      <c r="S478" s="1898"/>
      <c r="T478" s="2034">
        <f>P8</f>
        <v>48</v>
      </c>
      <c r="U478" s="2035"/>
      <c r="V478" s="2036"/>
      <c r="W478" s="1926"/>
      <c r="X478" s="1927"/>
      <c r="Y478" s="1927"/>
      <c r="Z478" s="1927"/>
      <c r="AA478" s="1927"/>
      <c r="AB478" s="1927"/>
      <c r="AC478" s="1927"/>
      <c r="AD478" s="1928"/>
      <c r="AE478"/>
      <c r="AF478" s="574"/>
      <c r="AG478"/>
    </row>
    <row r="479" spans="1:36" ht="14.1" customHeight="1" thickBot="1">
      <c r="A479" s="1929" t="str">
        <f>VLOOKUP(Combat!F236,Combat!$BQ$5:$BR$71,2)</f>
        <v>Dagger</v>
      </c>
      <c r="B479" s="1441"/>
      <c r="C479" s="1441"/>
      <c r="D479" s="1441"/>
      <c r="E479" s="1442"/>
      <c r="F479" s="1893">
        <f>X47</f>
        <v>7</v>
      </c>
      <c r="G479" s="1893"/>
      <c r="H479" s="1893">
        <f ca="1">Y47</f>
        <v>0</v>
      </c>
      <c r="I479" s="1893"/>
      <c r="J479" s="1318">
        <f ca="1">AB47</f>
        <v>7</v>
      </c>
      <c r="K479" s="1311"/>
      <c r="L479" s="1318">
        <f ca="1">AD47</f>
        <v>1</v>
      </c>
      <c r="M479" s="1489"/>
      <c r="N479" s="1963">
        <f>Z47</f>
        <v>10</v>
      </c>
      <c r="O479" s="1964"/>
      <c r="P479" s="1895">
        <f ca="1">M47</f>
        <v>0</v>
      </c>
      <c r="Q479" s="1895"/>
      <c r="R479" s="1895">
        <f ca="1">O47</f>
        <v>0.36</v>
      </c>
      <c r="S479" s="1896"/>
      <c r="T479" s="2446"/>
      <c r="U479" s="1692"/>
      <c r="V479" s="1693"/>
      <c r="W479" s="1934" t="s">
        <v>1682</v>
      </c>
      <c r="X479" s="1935"/>
      <c r="Y479" s="1935"/>
      <c r="Z479" s="1882" t="s">
        <v>1680</v>
      </c>
      <c r="AA479" s="1883"/>
      <c r="AB479" s="1883"/>
      <c r="AC479" s="1883"/>
      <c r="AD479" s="1884"/>
      <c r="AE479"/>
      <c r="AF479" s="574"/>
      <c r="AG479"/>
    </row>
    <row r="480" spans="1:36" ht="14.1" customHeight="1" thickBot="1">
      <c r="A480" s="1929" t="str">
        <f>VLOOKUP(Combat!F237,Combat!$BQ$5:$BR$71,2)</f>
        <v>Quarterstaff</v>
      </c>
      <c r="B480" s="1441"/>
      <c r="C480" s="1441"/>
      <c r="D480" s="1441"/>
      <c r="E480" s="1442"/>
      <c r="F480" s="1893">
        <f>X48</f>
        <v>15</v>
      </c>
      <c r="G480" s="1893"/>
      <c r="H480" s="1893">
        <f ca="1">Y48</f>
        <v>0</v>
      </c>
      <c r="I480" s="1893"/>
      <c r="J480" s="1318">
        <f ca="1">AB48</f>
        <v>9</v>
      </c>
      <c r="K480" s="1311"/>
      <c r="L480" s="1318">
        <f ca="1">AD48</f>
        <v>2</v>
      </c>
      <c r="M480" s="1489"/>
      <c r="N480" s="1963">
        <f>Z48</f>
        <v>9</v>
      </c>
      <c r="O480" s="1964"/>
      <c r="P480" s="1895">
        <f ca="1">M48</f>
        <v>0</v>
      </c>
      <c r="Q480" s="1895"/>
      <c r="R480" s="1895">
        <f ca="1">O48</f>
        <v>0.32</v>
      </c>
      <c r="S480" s="1896"/>
      <c r="T480" s="2447"/>
      <c r="U480" s="1666"/>
      <c r="V480" s="1696"/>
      <c r="W480" s="1935"/>
      <c r="X480" s="1935"/>
      <c r="Y480" s="1935"/>
      <c r="Z480" s="1882" t="s">
        <v>1683</v>
      </c>
      <c r="AA480" s="1936"/>
      <c r="AB480" s="1882" t="s">
        <v>623</v>
      </c>
      <c r="AC480" s="1883"/>
      <c r="AD480" s="1884"/>
      <c r="AE480"/>
      <c r="AF480" s="574"/>
      <c r="AG480"/>
    </row>
    <row r="481" spans="1:78" ht="14.1" customHeight="1" thickBot="1">
      <c r="A481" s="1929" t="str">
        <f>VLOOKUP(Combat!F238,Combat!$BQ$5:$BR$71,2)</f>
        <v>Infantry Spear</v>
      </c>
      <c r="B481" s="1441"/>
      <c r="C481" s="1441"/>
      <c r="D481" s="1441"/>
      <c r="E481" s="1442"/>
      <c r="F481" s="1893">
        <f>X49</f>
        <v>15</v>
      </c>
      <c r="G481" s="1893"/>
      <c r="H481" s="1893">
        <f ca="1">Y49</f>
        <v>0</v>
      </c>
      <c r="I481" s="1893"/>
      <c r="J481" s="1318">
        <f ca="1">AB49</f>
        <v>9</v>
      </c>
      <c r="K481" s="1311"/>
      <c r="L481" s="1318">
        <f ca="1">AD49</f>
        <v>2</v>
      </c>
      <c r="M481" s="1489"/>
      <c r="N481" s="1963">
        <f>Z49</f>
        <v>10</v>
      </c>
      <c r="O481" s="1964"/>
      <c r="P481" s="1895">
        <f ca="1">M49</f>
        <v>0</v>
      </c>
      <c r="Q481" s="1895"/>
      <c r="R481" s="1895">
        <f ca="1">O49</f>
        <v>0.32</v>
      </c>
      <c r="S481" s="1896"/>
      <c r="T481" s="2448"/>
      <c r="U481" s="1175"/>
      <c r="V481" s="2449"/>
      <c r="W481" s="1937" t="s">
        <v>3303</v>
      </c>
      <c r="X481" s="1935"/>
      <c r="Y481" s="1935"/>
      <c r="Z481" s="1691">
        <v>-0.4</v>
      </c>
      <c r="AA481" s="1933"/>
      <c r="AB481" s="1691">
        <v>-0.5</v>
      </c>
      <c r="AC481" s="1883"/>
      <c r="AD481" s="1884"/>
      <c r="AE481"/>
      <c r="AF481" s="574"/>
      <c r="AG481"/>
    </row>
    <row r="482" spans="1:78" ht="14.1" customHeight="1" thickBot="1">
      <c r="A482" s="1929" t="str">
        <f>VLOOKUP(Combat!F239,Combat!$BQ$5:$BR$71,2)</f>
        <v>Sword: Saex</v>
      </c>
      <c r="B482" s="1441"/>
      <c r="C482" s="1441"/>
      <c r="D482" s="1441"/>
      <c r="E482" s="1442"/>
      <c r="F482" s="1893">
        <f>X50</f>
        <v>14</v>
      </c>
      <c r="G482" s="1893"/>
      <c r="H482" s="1893">
        <f ca="1">Y50</f>
        <v>0</v>
      </c>
      <c r="I482" s="1893"/>
      <c r="J482" s="1318">
        <f ca="1">AB50</f>
        <v>9</v>
      </c>
      <c r="K482" s="1311"/>
      <c r="L482" s="1318">
        <f ca="1">AD50</f>
        <v>2</v>
      </c>
      <c r="M482" s="1489"/>
      <c r="N482" s="1963">
        <f>Z50</f>
        <v>9</v>
      </c>
      <c r="O482" s="1964"/>
      <c r="P482" s="1895">
        <f ca="1">M50</f>
        <v>0</v>
      </c>
      <c r="Q482" s="1895"/>
      <c r="R482" s="1895">
        <f ca="1">O50</f>
        <v>0.32</v>
      </c>
      <c r="S482" s="1896"/>
      <c r="T482" s="2450"/>
      <c r="U482" s="2451"/>
      <c r="V482" s="1699"/>
      <c r="W482" s="1937" t="s">
        <v>1681</v>
      </c>
      <c r="X482" s="1935"/>
      <c r="Y482" s="1935"/>
      <c r="Z482" s="1691">
        <v>-0.6</v>
      </c>
      <c r="AA482" s="1933"/>
      <c r="AB482" s="1691">
        <v>-0.7</v>
      </c>
      <c r="AC482" s="1883"/>
      <c r="AD482" s="1884"/>
      <c r="AE482"/>
      <c r="AF482" s="574"/>
      <c r="AG482"/>
    </row>
    <row r="483" spans="1:78" ht="14.1" customHeight="1" thickBot="1">
      <c r="A483" s="1929" t="s">
        <v>3851</v>
      </c>
      <c r="B483" s="1441"/>
      <c r="C483" s="1441"/>
      <c r="D483" s="1441"/>
      <c r="E483" s="1442"/>
      <c r="F483" s="1956">
        <f>Combat!N83</f>
        <v>6</v>
      </c>
      <c r="G483" s="2026"/>
      <c r="H483" s="1956">
        <f ca="1">Combat!P83</f>
        <v>0</v>
      </c>
      <c r="I483" s="1957"/>
      <c r="J483" s="1318">
        <f ca="1">Combat!Y83</f>
        <v>7</v>
      </c>
      <c r="K483" s="1311"/>
      <c r="L483" s="1487">
        <f ca="1">Combat!Z83</f>
        <v>1</v>
      </c>
      <c r="M483" s="1489"/>
      <c r="N483" s="1956">
        <f>Combat!Q83</f>
        <v>9</v>
      </c>
      <c r="O483" s="1957"/>
      <c r="P483" s="2133">
        <f ca="1">T26+Q26</f>
        <v>0.12</v>
      </c>
      <c r="Q483" s="1486"/>
      <c r="R483" s="2133">
        <f ca="1">V26</f>
        <v>0.52</v>
      </c>
      <c r="S483" s="2457"/>
      <c r="T483" s="1993" t="s">
        <v>3848</v>
      </c>
      <c r="U483" s="1994"/>
      <c r="V483" s="1995"/>
      <c r="W483" s="1937" t="s">
        <v>3307</v>
      </c>
      <c r="X483" s="1935"/>
      <c r="Y483" s="1935"/>
      <c r="Z483" s="1691">
        <v>-0.5</v>
      </c>
      <c r="AA483" s="1933"/>
      <c r="AB483" s="1691">
        <v>-0.4</v>
      </c>
      <c r="AC483" s="1883"/>
      <c r="AD483" s="1884"/>
      <c r="AE483"/>
      <c r="AF483" s="574"/>
      <c r="AG483"/>
    </row>
    <row r="484" spans="1:78" ht="14.1" customHeight="1" thickBot="1">
      <c r="A484" s="1950" t="s">
        <v>3850</v>
      </c>
      <c r="B484" s="1951"/>
      <c r="C484" s="1951"/>
      <c r="D484" s="1951"/>
      <c r="E484" s="1952"/>
      <c r="F484" s="1953">
        <f>Combat!N85</f>
        <v>12</v>
      </c>
      <c r="G484" s="2025"/>
      <c r="H484" s="1953">
        <f ca="1">Combat!P85</f>
        <v>0</v>
      </c>
      <c r="I484" s="1954"/>
      <c r="J484" s="2027">
        <f ca="1">Combat!Y85</f>
        <v>9</v>
      </c>
      <c r="K484" s="2028"/>
      <c r="L484" s="1982">
        <f ca="1">Combat!Z85</f>
        <v>2</v>
      </c>
      <c r="M484" s="1983"/>
      <c r="N484" s="1953">
        <f>Combat!Q85</f>
        <v>8</v>
      </c>
      <c r="O484" s="1954"/>
      <c r="P484" s="2041">
        <f ca="1">T27+Q27</f>
        <v>0.08</v>
      </c>
      <c r="Q484" s="2455"/>
      <c r="R484" s="2041">
        <f ca="1">V27</f>
        <v>0.48000000000000004</v>
      </c>
      <c r="S484" s="2042"/>
      <c r="T484" s="2034">
        <f>P9</f>
        <v>37</v>
      </c>
      <c r="U484" s="2035"/>
      <c r="V484" s="2036"/>
      <c r="W484" s="1937" t="s">
        <v>3308</v>
      </c>
      <c r="X484" s="1935"/>
      <c r="Y484" s="1935"/>
      <c r="Z484" s="1674">
        <v>0</v>
      </c>
      <c r="AA484" s="2456"/>
      <c r="AB484" s="1674">
        <v>0</v>
      </c>
      <c r="AC484" s="1883"/>
      <c r="AD484" s="1884"/>
      <c r="AE484"/>
      <c r="AF484" s="574"/>
      <c r="AG484"/>
    </row>
    <row r="485" spans="1:78" ht="14.1" customHeight="1" thickBot="1">
      <c r="L485" s="342"/>
      <c r="M485" s="342"/>
      <c r="N485" s="342"/>
      <c r="O485" s="342"/>
      <c r="P485" s="342"/>
      <c r="Q485" s="343"/>
      <c r="R485" s="331"/>
      <c r="S485" s="343"/>
      <c r="T485" s="343"/>
      <c r="U485" s="343"/>
      <c r="V485" s="331"/>
      <c r="W485" s="1937" t="s">
        <v>3309</v>
      </c>
      <c r="X485" s="1935"/>
      <c r="Y485" s="1935"/>
      <c r="Z485" s="1691">
        <v>-0.1</v>
      </c>
      <c r="AA485" s="1933"/>
      <c r="AB485" s="1674" t="s">
        <v>151</v>
      </c>
      <c r="AC485" s="1883"/>
      <c r="AD485" s="1884"/>
      <c r="AE485"/>
      <c r="AF485" s="574"/>
      <c r="AG485"/>
    </row>
    <row r="486" spans="1:78" ht="14.1" customHeight="1" thickBot="1">
      <c r="A486" s="2021" t="s">
        <v>5370</v>
      </c>
      <c r="B486" s="1941"/>
      <c r="C486" s="1941"/>
      <c r="D486" s="2022"/>
      <c r="E486" s="1948" t="s">
        <v>3847</v>
      </c>
      <c r="F486" s="1948"/>
      <c r="G486" s="1949"/>
      <c r="I486" s="1978" t="s">
        <v>1279</v>
      </c>
      <c r="J486" s="1714"/>
      <c r="K486" s="1715"/>
      <c r="L486" s="2038" t="s">
        <v>3846</v>
      </c>
      <c r="M486" s="2039"/>
      <c r="N486" s="2040"/>
      <c r="P486" s="2006" t="s">
        <v>1413</v>
      </c>
      <c r="Q486" s="2007"/>
      <c r="R486" s="2007"/>
      <c r="S486" s="2007"/>
      <c r="T486" s="2007"/>
      <c r="W486" s="1937" t="s">
        <v>3310</v>
      </c>
      <c r="X486" s="1935"/>
      <c r="Y486" s="1935"/>
      <c r="Z486" s="1691">
        <v>-0.25</v>
      </c>
      <c r="AA486" s="1933"/>
      <c r="AB486" s="1674" t="s">
        <v>151</v>
      </c>
      <c r="AC486" s="1883"/>
      <c r="AD486" s="1884"/>
      <c r="AE486"/>
      <c r="AF486" s="574"/>
      <c r="AG486"/>
    </row>
    <row r="487" spans="1:78" ht="14.1" customHeight="1" thickBot="1">
      <c r="A487" s="1724" t="s">
        <v>1057</v>
      </c>
      <c r="B487" s="1457"/>
      <c r="C487" s="1457"/>
      <c r="D487" s="1315"/>
      <c r="E487" s="1732">
        <f>J11</f>
        <v>0.76</v>
      </c>
      <c r="F487" s="1477"/>
      <c r="G487" s="1733"/>
      <c r="I487" s="1929" t="s">
        <v>212</v>
      </c>
      <c r="J487" s="1344"/>
      <c r="K487" s="1345"/>
      <c r="L487" s="1895">
        <f ca="1">V28</f>
        <v>0.62</v>
      </c>
      <c r="M487" s="1477"/>
      <c r="N487" s="1733"/>
      <c r="P487" s="2444" t="s">
        <v>941</v>
      </c>
      <c r="Q487" s="2445"/>
      <c r="R487" s="363" t="s">
        <v>4719</v>
      </c>
      <c r="S487" s="363" t="s">
        <v>3615</v>
      </c>
      <c r="T487" s="373" t="s">
        <v>2810</v>
      </c>
      <c r="W487" s="1937" t="s">
        <v>3311</v>
      </c>
      <c r="X487" s="1935"/>
      <c r="Y487" s="1935"/>
      <c r="Z487" s="1691">
        <v>-0.05</v>
      </c>
      <c r="AA487" s="1933"/>
      <c r="AB487" s="1691">
        <v>0</v>
      </c>
      <c r="AC487" s="1883"/>
      <c r="AD487" s="1884"/>
      <c r="AE487"/>
      <c r="AF487" s="574"/>
      <c r="AG487"/>
      <c r="AJ487"/>
      <c r="AK487"/>
      <c r="AV487"/>
      <c r="AW487"/>
      <c r="AX487"/>
      <c r="AY487"/>
      <c r="AZ487"/>
      <c r="BA487"/>
      <c r="BB487"/>
      <c r="BC487"/>
      <c r="BD487"/>
      <c r="BE487"/>
      <c r="BF487"/>
      <c r="BG487"/>
      <c r="BH487"/>
      <c r="BI487"/>
      <c r="BJ487"/>
      <c r="BK487" s="10"/>
      <c r="BL487" s="572"/>
      <c r="BM487" s="37"/>
      <c r="BN487" s="10"/>
      <c r="BO487" s="10"/>
      <c r="BP487"/>
      <c r="BQ487"/>
      <c r="BR487"/>
      <c r="BS487"/>
      <c r="BT487"/>
      <c r="BU487"/>
      <c r="BV487"/>
      <c r="BW487"/>
      <c r="BX487"/>
      <c r="BY487"/>
      <c r="BZ487"/>
    </row>
    <row r="488" spans="1:78" ht="14.1" customHeight="1" thickBot="1">
      <c r="A488" s="1724" t="s">
        <v>3774</v>
      </c>
      <c r="B488" s="1457"/>
      <c r="C488" s="1457"/>
      <c r="D488" s="1315"/>
      <c r="E488" s="1732">
        <f>J10</f>
        <v>0.9</v>
      </c>
      <c r="F488" s="1477"/>
      <c r="G488" s="1733"/>
      <c r="I488" s="1929" t="s">
        <v>211</v>
      </c>
      <c r="J488" s="1344"/>
      <c r="K488" s="1345"/>
      <c r="L488" s="1895">
        <f ca="1">V27</f>
        <v>0.48000000000000004</v>
      </c>
      <c r="M488" s="1477"/>
      <c r="N488" s="1733"/>
      <c r="P488" s="1973" t="s">
        <v>3064</v>
      </c>
      <c r="Q488" s="1974"/>
      <c r="R488" s="362">
        <v>1</v>
      </c>
      <c r="S488" s="362">
        <v>2</v>
      </c>
      <c r="T488" s="362" t="s">
        <v>5222</v>
      </c>
      <c r="W488" s="1937" t="s">
        <v>3312</v>
      </c>
      <c r="X488" s="1935"/>
      <c r="Y488" s="1935"/>
      <c r="Z488" s="1691">
        <v>-0.3</v>
      </c>
      <c r="AA488" s="1933"/>
      <c r="AB488" s="1691">
        <v>-0.6</v>
      </c>
      <c r="AC488" s="1883"/>
      <c r="AD488" s="1884"/>
      <c r="AE488"/>
      <c r="AF488" s="574"/>
      <c r="AG488"/>
      <c r="AJ488"/>
      <c r="AK488"/>
      <c r="AV488"/>
      <c r="AW488"/>
      <c r="AX488"/>
      <c r="AY488"/>
      <c r="AZ488"/>
      <c r="BA488"/>
      <c r="BB488"/>
      <c r="BC488"/>
      <c r="BD488"/>
      <c r="BE488"/>
      <c r="BF488"/>
      <c r="BG488"/>
      <c r="BH488"/>
      <c r="BI488"/>
      <c r="BJ488"/>
      <c r="BK488" s="10"/>
      <c r="BL488" s="572"/>
      <c r="BM488" s="37"/>
      <c r="BN488" s="10"/>
      <c r="BO488" s="10"/>
      <c r="BP488"/>
      <c r="BQ488"/>
      <c r="BR488"/>
      <c r="BS488"/>
      <c r="BT488"/>
      <c r="BU488"/>
      <c r="BV488"/>
      <c r="BW488"/>
      <c r="BX488"/>
      <c r="BY488"/>
      <c r="BZ488"/>
    </row>
    <row r="489" spans="1:78" ht="14.1" customHeight="1" thickBot="1">
      <c r="A489" s="1724" t="s">
        <v>3773</v>
      </c>
      <c r="B489" s="1457"/>
      <c r="C489" s="1457"/>
      <c r="D489" s="1315"/>
      <c r="E489" s="1732">
        <f>J14</f>
        <v>0.76</v>
      </c>
      <c r="F489" s="1477"/>
      <c r="G489" s="1733"/>
      <c r="I489" s="1950" t="s">
        <v>213</v>
      </c>
      <c r="J489" s="1970"/>
      <c r="K489" s="1971"/>
      <c r="L489" s="2020">
        <f ca="1">V29</f>
        <v>0.46</v>
      </c>
      <c r="M489" s="1945"/>
      <c r="N489" s="1946"/>
      <c r="P489" s="1973" t="s">
        <v>3476</v>
      </c>
      <c r="Q489" s="1974"/>
      <c r="R489" s="362">
        <v>2</v>
      </c>
      <c r="S489" s="362">
        <v>11</v>
      </c>
      <c r="T489" s="362" t="str">
        <f>IF('Main Creation Page'!$E$16&gt;='Character Sheet'!S489,"Y","N")</f>
        <v>Y</v>
      </c>
      <c r="W489" s="1937" t="s">
        <v>3313</v>
      </c>
      <c r="X489" s="1935"/>
      <c r="Y489" s="1935"/>
      <c r="Z489" s="1691">
        <v>-0.15</v>
      </c>
      <c r="AA489" s="1933"/>
      <c r="AB489" s="1691">
        <v>-0.1</v>
      </c>
      <c r="AC489" s="1883"/>
      <c r="AD489" s="1884"/>
      <c r="AE489"/>
      <c r="AF489" s="574"/>
      <c r="AG489"/>
      <c r="AJ489"/>
      <c r="AK489"/>
      <c r="AV489"/>
      <c r="AW489"/>
      <c r="AX489"/>
      <c r="AY489"/>
      <c r="AZ489"/>
      <c r="BA489"/>
      <c r="BB489"/>
      <c r="BC489"/>
      <c r="BD489"/>
      <c r="BE489"/>
      <c r="BF489"/>
      <c r="BG489"/>
      <c r="BH489"/>
      <c r="BI489"/>
      <c r="BJ489"/>
      <c r="BK489" s="10"/>
      <c r="BL489" s="572"/>
      <c r="BM489" s="37"/>
      <c r="BN489" s="10"/>
      <c r="BO489" s="10"/>
      <c r="BP489"/>
      <c r="BQ489"/>
      <c r="BR489"/>
      <c r="BS489"/>
      <c r="BT489"/>
      <c r="BU489"/>
      <c r="BV489"/>
      <c r="BW489"/>
      <c r="BX489"/>
      <c r="BY489"/>
      <c r="BZ489"/>
    </row>
    <row r="490" spans="1:78" ht="13.5" thickBot="1">
      <c r="A490" s="1724" t="s">
        <v>3542</v>
      </c>
      <c r="B490" s="1457"/>
      <c r="C490" s="1457"/>
      <c r="D490" s="1315"/>
      <c r="E490" s="1732">
        <f>K38</f>
        <v>0.94</v>
      </c>
      <c r="F490" s="1477"/>
      <c r="G490" s="1733"/>
      <c r="P490" s="1973" t="s">
        <v>3065</v>
      </c>
      <c r="Q490" s="1974"/>
      <c r="R490" s="362">
        <v>3</v>
      </c>
      <c r="S490" s="362">
        <v>16</v>
      </c>
      <c r="T490" s="362" t="str">
        <f>IF('Main Creation Page'!$E$16&gt;='Character Sheet'!S490,"Y","N")</f>
        <v>Y</v>
      </c>
      <c r="W490" s="1937" t="s">
        <v>3314</v>
      </c>
      <c r="X490" s="1935"/>
      <c r="Y490" s="1935"/>
      <c r="Z490" s="1691">
        <v>-0.25</v>
      </c>
      <c r="AA490" s="1933"/>
      <c r="AB490" s="1691">
        <v>-0.15</v>
      </c>
      <c r="AC490" s="1883"/>
      <c r="AD490" s="1884"/>
      <c r="AG490"/>
      <c r="AJ490"/>
      <c r="AK490"/>
      <c r="AV490"/>
      <c r="AW490"/>
      <c r="AX490"/>
      <c r="AY490"/>
      <c r="AZ490"/>
      <c r="BA490"/>
      <c r="BB490"/>
      <c r="BC490"/>
      <c r="BD490"/>
      <c r="BE490"/>
      <c r="BF490"/>
      <c r="BG490"/>
      <c r="BH490"/>
      <c r="BI490"/>
      <c r="BJ490"/>
      <c r="BK490" s="10"/>
      <c r="BL490" s="572"/>
      <c r="BM490" s="37"/>
      <c r="BN490" s="10"/>
      <c r="BO490" s="10"/>
      <c r="BP490"/>
      <c r="BQ490"/>
      <c r="BR490"/>
      <c r="BS490"/>
      <c r="BT490"/>
      <c r="BU490"/>
      <c r="BV490"/>
      <c r="BW490"/>
      <c r="BX490"/>
      <c r="BY490"/>
      <c r="BZ490"/>
    </row>
    <row r="491" spans="1:78" ht="14.1" customHeight="1" thickBot="1">
      <c r="A491" s="1984" t="s">
        <v>3035</v>
      </c>
      <c r="B491" s="1985"/>
      <c r="C491" s="1985"/>
      <c r="D491" s="1886"/>
      <c r="E491" s="1944">
        <f>K35</f>
        <v>0.66</v>
      </c>
      <c r="F491" s="1945"/>
      <c r="G491" s="1946"/>
      <c r="W491" s="1937" t="s">
        <v>3315</v>
      </c>
      <c r="X491" s="1935"/>
      <c r="Y491" s="1935"/>
      <c r="Z491" s="1691">
        <v>-0.4</v>
      </c>
      <c r="AA491" s="1884"/>
      <c r="AB491" s="1691">
        <v>-0.45</v>
      </c>
      <c r="AC491" s="1883"/>
      <c r="AD491" s="1884"/>
      <c r="AH491"/>
      <c r="AI491"/>
      <c r="AJ491"/>
      <c r="AK491"/>
      <c r="AL491"/>
      <c r="AM491"/>
      <c r="AN491"/>
      <c r="AO491"/>
      <c r="AP491"/>
      <c r="AQ491"/>
      <c r="AR491"/>
      <c r="AS491"/>
      <c r="AT491"/>
      <c r="AU491"/>
      <c r="AV491"/>
      <c r="AW491"/>
      <c r="AX491"/>
      <c r="AY491"/>
      <c r="AZ491"/>
      <c r="BA491"/>
      <c r="BB491"/>
      <c r="BC491"/>
      <c r="BD491"/>
      <c r="BE491"/>
      <c r="BF491"/>
      <c r="BG491"/>
      <c r="BH491"/>
      <c r="BI491"/>
      <c r="BJ491"/>
      <c r="BK491" s="10"/>
      <c r="BL491" s="572"/>
      <c r="BM491" s="37"/>
      <c r="BN491" s="10"/>
      <c r="BO491" s="10"/>
      <c r="BP491"/>
      <c r="BQ491"/>
      <c r="BR491"/>
      <c r="BS491"/>
      <c r="BT491"/>
      <c r="BU491"/>
      <c r="BV491"/>
      <c r="BW491"/>
      <c r="BX491"/>
      <c r="BY491"/>
    </row>
    <row r="492" spans="1:78" ht="14.1" customHeight="1">
      <c r="A492" s="1688" t="s">
        <v>3571</v>
      </c>
      <c r="B492" s="1689"/>
      <c r="C492" s="1689"/>
      <c r="D492" s="1689"/>
      <c r="E492" s="1689"/>
      <c r="F492" s="1689"/>
      <c r="G492" s="1689"/>
      <c r="H492" s="1689"/>
      <c r="I492" s="1689"/>
      <c r="J492" s="1689"/>
      <c r="K492" s="1689"/>
      <c r="L492" s="1689"/>
      <c r="M492" s="1689"/>
      <c r="N492" s="1689"/>
      <c r="O492" s="1689"/>
      <c r="P492" s="1689"/>
      <c r="Q492" s="1689"/>
      <c r="R492" s="1689"/>
      <c r="S492" s="1689"/>
      <c r="T492" s="1689"/>
      <c r="U492" s="1689"/>
      <c r="V492" s="1689"/>
      <c r="W492" s="1689"/>
      <c r="X492" s="1689"/>
      <c r="Y492" s="1689"/>
      <c r="Z492" s="1689"/>
      <c r="AA492" s="1689"/>
      <c r="AB492" s="1689"/>
      <c r="AC492" s="1689"/>
      <c r="AD492" s="1689"/>
      <c r="AN492"/>
      <c r="AO492"/>
      <c r="AP492"/>
      <c r="AQ492"/>
      <c r="AR492"/>
      <c r="AS492"/>
      <c r="AT492"/>
      <c r="AU492"/>
      <c r="AV492"/>
      <c r="AW492"/>
      <c r="AX492"/>
      <c r="AY492"/>
      <c r="AZ492"/>
      <c r="BA492"/>
      <c r="BB492"/>
      <c r="BC492"/>
      <c r="BD492"/>
      <c r="BE492"/>
      <c r="BF492"/>
      <c r="BG492"/>
      <c r="BH492"/>
      <c r="BI492"/>
      <c r="BJ492"/>
      <c r="BK492" s="10"/>
      <c r="BL492" s="572"/>
      <c r="BM492" s="37"/>
      <c r="BN492" s="10"/>
      <c r="BO492" s="10"/>
      <c r="BP492"/>
      <c r="BQ492"/>
      <c r="BR492"/>
      <c r="BS492"/>
      <c r="BT492"/>
      <c r="BU492"/>
      <c r="BV492"/>
      <c r="BW492"/>
      <c r="BX492"/>
      <c r="BY492"/>
    </row>
    <row r="493" spans="1:78" ht="14.1" customHeight="1" thickBot="1">
      <c r="A493" s="2511"/>
      <c r="B493" s="2511"/>
      <c r="C493" s="2511"/>
      <c r="D493" s="2511"/>
      <c r="E493" s="2511"/>
      <c r="F493" s="2511"/>
      <c r="G493" s="2511"/>
      <c r="H493" s="2511"/>
      <c r="I493" s="2511"/>
      <c r="J493" s="2511"/>
      <c r="K493" s="2511"/>
      <c r="L493" s="2511"/>
      <c r="M493" s="2511"/>
      <c r="N493" s="2511"/>
      <c r="O493" s="2511"/>
      <c r="P493" s="2511"/>
      <c r="Q493" s="2511"/>
      <c r="R493" s="2511"/>
      <c r="S493" s="2511"/>
      <c r="T493" s="2511"/>
      <c r="U493" s="2511"/>
      <c r="V493" s="2511"/>
      <c r="W493" s="2511"/>
      <c r="X493" s="2511"/>
      <c r="Y493" s="2511"/>
      <c r="Z493" s="2511"/>
      <c r="AA493" s="2511"/>
      <c r="AB493" s="2511"/>
      <c r="AC493" s="2511"/>
      <c r="AD493" s="2511"/>
      <c r="AN493" s="565"/>
      <c r="AO493" s="565"/>
      <c r="AP493" s="565"/>
      <c r="AQ493" s="565"/>
      <c r="AR493" s="565"/>
      <c r="AS493" s="565"/>
      <c r="AT493" s="565"/>
      <c r="AU493" s="565"/>
      <c r="AV493" s="565"/>
      <c r="AW493" s="565"/>
      <c r="AX493" s="565"/>
      <c r="AY493" s="565"/>
      <c r="AZ493" s="565"/>
      <c r="BA493" s="565"/>
      <c r="BB493" s="565"/>
      <c r="BC493" s="565"/>
      <c r="BD493" s="565"/>
      <c r="BE493" s="565"/>
      <c r="BF493" s="565"/>
      <c r="BG493" s="565"/>
      <c r="BH493" s="565"/>
      <c r="BI493" s="565"/>
      <c r="BJ493" s="565"/>
      <c r="BK493" s="549"/>
      <c r="BL493" s="572"/>
      <c r="BM493" s="553"/>
      <c r="BN493" s="549"/>
      <c r="BO493" s="549"/>
      <c r="BP493" s="565"/>
      <c r="BQ493" s="565"/>
      <c r="BR493" s="565"/>
      <c r="BS493" s="565"/>
      <c r="BT493" s="565"/>
      <c r="BU493" s="565"/>
      <c r="BV493" s="565"/>
      <c r="BW493" s="565"/>
      <c r="BX493" s="565"/>
      <c r="BY493" s="565"/>
    </row>
    <row r="494" spans="1:78" ht="14.1" customHeight="1" thickBot="1">
      <c r="A494" s="2018" t="s">
        <v>3608</v>
      </c>
      <c r="B494" s="2019"/>
      <c r="C494" s="2019"/>
      <c r="D494" s="2019"/>
      <c r="E494" s="1997"/>
      <c r="F494" s="1997"/>
      <c r="G494" s="1997"/>
      <c r="H494" s="1997"/>
      <c r="I494" s="1997"/>
      <c r="J494" s="2016" t="str">
        <f>VLOOKUP(AE52,Combat!$BQ$5:$BT$14,4)</f>
        <v>Longbow</v>
      </c>
      <c r="K494" s="2017"/>
      <c r="L494" s="2017"/>
      <c r="M494" s="2017"/>
      <c r="N494" s="2017"/>
      <c r="O494" s="1997"/>
      <c r="P494" s="1997"/>
      <c r="Q494" s="2019" t="s">
        <v>972</v>
      </c>
      <c r="R494" s="2019"/>
      <c r="S494" s="2019"/>
      <c r="T494" s="2019"/>
      <c r="U494" s="1997"/>
      <c r="V494" s="1997"/>
      <c r="W494" s="1997"/>
      <c r="X494" s="1996"/>
      <c r="Y494" s="1996"/>
      <c r="Z494" s="1996"/>
      <c r="AA494" s="1997"/>
      <c r="AB494" s="1997"/>
      <c r="AC494" s="1997"/>
      <c r="AD494" s="1998"/>
      <c r="AN494"/>
      <c r="AO494"/>
      <c r="AP494"/>
      <c r="AQ494"/>
      <c r="AR494"/>
      <c r="AS494"/>
      <c r="AT494"/>
      <c r="AU494"/>
      <c r="AV494"/>
      <c r="AW494"/>
      <c r="AX494"/>
      <c r="AY494"/>
      <c r="AZ494"/>
      <c r="BA494"/>
      <c r="BB494"/>
      <c r="BC494"/>
      <c r="BD494"/>
      <c r="BE494"/>
      <c r="BF494"/>
      <c r="BG494"/>
      <c r="BH494"/>
      <c r="BI494"/>
      <c r="BJ494"/>
      <c r="BK494" s="10"/>
      <c r="BL494" s="572"/>
      <c r="BM494" s="37"/>
      <c r="BN494" s="10"/>
      <c r="BO494" s="10"/>
      <c r="BP494"/>
      <c r="BQ494"/>
      <c r="BR494"/>
      <c r="BS494"/>
      <c r="BT494"/>
      <c r="BU494"/>
      <c r="BV494"/>
      <c r="BW494"/>
      <c r="BX494"/>
      <c r="BY494"/>
    </row>
    <row r="495" spans="1:78" ht="14.1" customHeight="1" thickBot="1">
      <c r="A495" s="1975" t="s">
        <v>963</v>
      </c>
      <c r="B495" s="1976"/>
      <c r="C495" s="1976"/>
      <c r="D495" s="1976"/>
      <c r="E495" s="1976"/>
      <c r="F495" s="1976"/>
      <c r="G495" s="1976"/>
      <c r="H495" s="1976"/>
      <c r="I495" s="1977"/>
      <c r="J495" s="2426" t="s">
        <v>964</v>
      </c>
      <c r="K495" s="2427"/>
      <c r="L495" s="2427"/>
      <c r="M495" s="2427"/>
      <c r="N495" s="2427"/>
      <c r="O495" s="2427"/>
      <c r="P495" s="2427"/>
      <c r="Q495" s="2427"/>
      <c r="R495" s="2428"/>
      <c r="S495" s="2432" t="s">
        <v>965</v>
      </c>
      <c r="T495" s="2433"/>
      <c r="U495" s="2433"/>
      <c r="V495" s="2433"/>
      <c r="W495" s="2433"/>
      <c r="X495" s="2433"/>
      <c r="Y495" s="2433"/>
      <c r="Z495" s="2433"/>
      <c r="AA495" s="2434"/>
      <c r="AB495" s="2435" t="s">
        <v>3143</v>
      </c>
      <c r="AC495" s="2436"/>
      <c r="AD495" s="2437"/>
      <c r="AW495"/>
      <c r="AX495"/>
      <c r="AY495"/>
      <c r="AZ495"/>
      <c r="BA495"/>
      <c r="BB495"/>
      <c r="BC495"/>
      <c r="BD495"/>
      <c r="BE495"/>
      <c r="BF495"/>
      <c r="BG495"/>
      <c r="BH495"/>
      <c r="BI495"/>
      <c r="BJ495"/>
      <c r="BK495" s="10"/>
      <c r="BL495" s="572"/>
      <c r="BM495" s="37"/>
      <c r="BN495" s="10"/>
      <c r="BO495" s="10"/>
      <c r="BP495"/>
      <c r="BQ495"/>
      <c r="BR495"/>
      <c r="BS495"/>
      <c r="BT495"/>
      <c r="BU495"/>
      <c r="BV495"/>
      <c r="BW495"/>
      <c r="BX495"/>
      <c r="BY495"/>
    </row>
    <row r="496" spans="1:78" ht="14.1" customHeight="1">
      <c r="A496" s="1990" t="s">
        <v>2014</v>
      </c>
      <c r="B496" s="1991"/>
      <c r="C496" s="1992" t="s">
        <v>3764</v>
      </c>
      <c r="D496" s="1992"/>
      <c r="E496" s="1992"/>
      <c r="F496" s="1986" t="s">
        <v>3765</v>
      </c>
      <c r="G496" s="1987"/>
      <c r="H496" s="1727" t="s">
        <v>1742</v>
      </c>
      <c r="I496" s="1728"/>
      <c r="J496" s="1990" t="s">
        <v>2014</v>
      </c>
      <c r="K496" s="1991"/>
      <c r="L496" s="2429" t="s">
        <v>3764</v>
      </c>
      <c r="M496" s="2430"/>
      <c r="N496" s="2431"/>
      <c r="O496" s="1986" t="s">
        <v>3765</v>
      </c>
      <c r="P496" s="1987"/>
      <c r="Q496" s="1727" t="s">
        <v>1742</v>
      </c>
      <c r="R496" s="2424"/>
      <c r="S496" s="1990" t="s">
        <v>2014</v>
      </c>
      <c r="T496" s="1991"/>
      <c r="U496" s="2441" t="s">
        <v>3764</v>
      </c>
      <c r="V496" s="2442"/>
      <c r="W496" s="2443"/>
      <c r="X496" s="1986" t="s">
        <v>3765</v>
      </c>
      <c r="Y496" s="1987"/>
      <c r="Z496" s="1727" t="s">
        <v>1742</v>
      </c>
      <c r="AA496" s="2424"/>
      <c r="AB496" s="1999"/>
      <c r="AC496" s="2000"/>
      <c r="AD496" s="2001"/>
      <c r="AN496"/>
      <c r="AU496"/>
      <c r="AV496"/>
      <c r="AW496"/>
      <c r="AX496"/>
      <c r="AY496"/>
      <c r="AZ496"/>
      <c r="BA496"/>
      <c r="BB496"/>
      <c r="BC496"/>
      <c r="BD496"/>
      <c r="BE496"/>
      <c r="BF496"/>
      <c r="BG496"/>
      <c r="BH496"/>
      <c r="BI496"/>
      <c r="BJ496"/>
      <c r="BK496" s="10"/>
      <c r="BL496" s="572"/>
      <c r="BM496" s="37"/>
      <c r="BN496" s="10"/>
      <c r="BO496" s="10"/>
      <c r="BP496"/>
      <c r="BQ496"/>
      <c r="BR496"/>
      <c r="BS496"/>
      <c r="BT496"/>
      <c r="BU496"/>
      <c r="BV496"/>
      <c r="BW496"/>
      <c r="BX496"/>
      <c r="BY496"/>
    </row>
    <row r="497" spans="1:56" ht="14.1" customHeight="1" thickBot="1">
      <c r="A497" s="1725" t="s">
        <v>4741</v>
      </c>
      <c r="B497" s="1726"/>
      <c r="C497" s="1972" t="s">
        <v>4065</v>
      </c>
      <c r="D497" s="1972"/>
      <c r="E497" s="1972"/>
      <c r="F497" s="1988"/>
      <c r="G497" s="1989"/>
      <c r="H497" s="1729"/>
      <c r="I497" s="1730"/>
      <c r="J497" s="1725" t="s">
        <v>4741</v>
      </c>
      <c r="K497" s="1726"/>
      <c r="L497" s="2011" t="s">
        <v>4065</v>
      </c>
      <c r="M497" s="2012"/>
      <c r="N497" s="2013"/>
      <c r="O497" s="1988"/>
      <c r="P497" s="1989"/>
      <c r="Q497" s="1729"/>
      <c r="R497" s="2425"/>
      <c r="S497" s="1725" t="s">
        <v>4741</v>
      </c>
      <c r="T497" s="1726"/>
      <c r="U497" s="2438" t="s">
        <v>4065</v>
      </c>
      <c r="V497" s="2439"/>
      <c r="W497" s="2440"/>
      <c r="X497" s="1988"/>
      <c r="Y497" s="1989"/>
      <c r="Z497" s="1729"/>
      <c r="AA497" s="2425"/>
      <c r="AB497" s="2002"/>
      <c r="AC497" s="2003"/>
      <c r="AD497" s="2004"/>
      <c r="AU497"/>
      <c r="AV497"/>
      <c r="AW497"/>
      <c r="AX497"/>
    </row>
    <row r="498" spans="1:56" ht="14.1" customHeight="1">
      <c r="A498" s="1734">
        <f>IF($A$506&lt;&gt;" ",A56, " ")</f>
        <v>0</v>
      </c>
      <c r="B498" s="1735"/>
      <c r="C498" s="1731">
        <f>IF($A$506&lt;&gt;" ",C56, " ")</f>
        <v>20</v>
      </c>
      <c r="D498" s="1731"/>
      <c r="E498" s="1731"/>
      <c r="F498" s="1947">
        <f>IF($A$506&lt;&gt;" ",F56," ")</f>
        <v>19</v>
      </c>
      <c r="G498" s="1947"/>
      <c r="H498" s="1947">
        <f ca="1">IF($A$506&lt;&gt;" ",H56," ")</f>
        <v>2</v>
      </c>
      <c r="I498" s="2005"/>
      <c r="J498" s="1734">
        <f>IF($A$506&lt;&gt;" ",J56, " ")</f>
        <v>0</v>
      </c>
      <c r="K498" s="1735"/>
      <c r="L498" s="1731">
        <f>IF($A$506&lt;&gt;" ",L56, " ")</f>
        <v>20</v>
      </c>
      <c r="M498" s="1731"/>
      <c r="N498" s="1731"/>
      <c r="O498" s="1947">
        <f>IF($A$506&lt;&gt;" ",O56," ")</f>
        <v>25</v>
      </c>
      <c r="P498" s="1947"/>
      <c r="Q498" s="1947">
        <f ca="1">IF($A$506&lt;&gt;" ",Q56," ")</f>
        <v>2</v>
      </c>
      <c r="R498" s="2005"/>
      <c r="S498" s="1734">
        <f>IF($A$506&lt;&gt;" ",S56, " ")</f>
        <v>0</v>
      </c>
      <c r="T498" s="1735"/>
      <c r="U498" s="1731">
        <f>IF($A$506&lt;&gt;" ",U56, " ")</f>
        <v>20</v>
      </c>
      <c r="V498" s="1731"/>
      <c r="W498" s="1731"/>
      <c r="X498" s="1947">
        <f>IF($A$506&lt;&gt;" ",X56," ")</f>
        <v>27</v>
      </c>
      <c r="Y498" s="1947"/>
      <c r="Z498" s="1947">
        <f ca="1">IF($A$506&lt;&gt;" ",Z56," ")</f>
        <v>2</v>
      </c>
      <c r="AA498" s="2005"/>
      <c r="AB498" s="2008" t="s">
        <v>698</v>
      </c>
      <c r="AC498" s="2009"/>
      <c r="AD498" s="2010"/>
      <c r="AH498" s="90"/>
      <c r="AI498"/>
      <c r="AJ498"/>
      <c r="AK498"/>
      <c r="AL498"/>
      <c r="AM498"/>
      <c r="AU498"/>
      <c r="AV498"/>
      <c r="AW498"/>
      <c r="AX498"/>
    </row>
    <row r="499" spans="1:56" ht="14.1" customHeight="1">
      <c r="A499" s="1685">
        <f>IF($A$506&lt;&gt;" ",A57, " ")</f>
        <v>-0.05</v>
      </c>
      <c r="B499" s="1686"/>
      <c r="C499" s="1687">
        <f>IF($A$506&lt;&gt;" ",C57, " ")</f>
        <v>40</v>
      </c>
      <c r="D499" s="1687"/>
      <c r="E499" s="1687"/>
      <c r="F499" s="1644">
        <f>IF($A$506&lt;&gt;" ",F57," ")</f>
        <v>14</v>
      </c>
      <c r="G499" s="1644"/>
      <c r="H499" s="1644">
        <f ca="1">IF($A$506&lt;&gt;" ",H57," ")</f>
        <v>1</v>
      </c>
      <c r="I499" s="1703"/>
      <c r="J499" s="1685">
        <f>IF($A$506&lt;&gt;" ",J57, " ")</f>
        <v>-0.05</v>
      </c>
      <c r="K499" s="1686"/>
      <c r="L499" s="1687">
        <f>IF($A$506&lt;&gt;" ",L57, " ")</f>
        <v>40</v>
      </c>
      <c r="M499" s="1687"/>
      <c r="N499" s="1687"/>
      <c r="O499" s="1644">
        <f>IF($A$506&lt;&gt;" ",O57," ")</f>
        <v>21</v>
      </c>
      <c r="P499" s="1644"/>
      <c r="Q499" s="1644">
        <f ca="1">IF($A$506&lt;&gt;" ",Q57," ")</f>
        <v>1</v>
      </c>
      <c r="R499" s="1703"/>
      <c r="S499" s="1685">
        <f>IF($A$506&lt;&gt;" ",S57, " ")</f>
        <v>-0.05</v>
      </c>
      <c r="T499" s="1686"/>
      <c r="U499" s="1687">
        <f>IF($A$506&lt;&gt;" ",U57, " ")</f>
        <v>40</v>
      </c>
      <c r="V499" s="1687"/>
      <c r="W499" s="1687"/>
      <c r="X499" s="1644">
        <f>IF($A$506&lt;&gt;" ",X57," ")</f>
        <v>20</v>
      </c>
      <c r="Y499" s="1644"/>
      <c r="Z499" s="1644">
        <f ca="1">IF($A$506&lt;&gt;" ",Z57," ")</f>
        <v>2</v>
      </c>
      <c r="AA499" s="1703"/>
      <c r="AB499" s="1700" t="s">
        <v>81</v>
      </c>
      <c r="AC499" s="1701"/>
      <c r="AD499" s="1702"/>
      <c r="AH499" s="90"/>
      <c r="AI499"/>
      <c r="AJ499" s="364"/>
      <c r="AK499"/>
      <c r="AL499"/>
      <c r="AM499"/>
      <c r="AU499"/>
      <c r="AV499"/>
      <c r="AW499"/>
      <c r="AX499"/>
    </row>
    <row r="500" spans="1:56" ht="14.1" customHeight="1">
      <c r="A500" s="1685">
        <f>IF($A$506&lt;&gt;" ",A58, " ")</f>
        <v>-0.1</v>
      </c>
      <c r="B500" s="1686"/>
      <c r="C500" s="1687">
        <f>IF($A$506&lt;&gt;" ",C58, " ")</f>
        <v>150</v>
      </c>
      <c r="D500" s="1687"/>
      <c r="E500" s="1687"/>
      <c r="F500" s="1644">
        <f>IF($A$506&lt;&gt;" ",F58," ")</f>
        <v>9</v>
      </c>
      <c r="G500" s="1644"/>
      <c r="H500" s="1644">
        <f ca="1">IF($A$506&lt;&gt;" ",H58," ")</f>
        <v>0</v>
      </c>
      <c r="I500" s="1703"/>
      <c r="J500" s="1685">
        <f>IF($A$506&lt;&gt;" ",J58, " ")</f>
        <v>-0.1</v>
      </c>
      <c r="K500" s="1686"/>
      <c r="L500" s="1687">
        <f>IF($A$506&lt;&gt;" ",L58, " ")</f>
        <v>125</v>
      </c>
      <c r="M500" s="1687"/>
      <c r="N500" s="1687"/>
      <c r="O500" s="1644">
        <f>IF($A$506&lt;&gt;" ",O58," ")</f>
        <v>17</v>
      </c>
      <c r="P500" s="1644"/>
      <c r="Q500" s="1644">
        <f ca="1">IF($A$506&lt;&gt;" ",Q58," ")</f>
        <v>0</v>
      </c>
      <c r="R500" s="1703"/>
      <c r="S500" s="1685">
        <f>IF($A$506&lt;&gt;" ",S58, " ")</f>
        <v>-0.1</v>
      </c>
      <c r="T500" s="1686"/>
      <c r="U500" s="1687">
        <f>IF($A$506&lt;&gt;" ",U58, " ")</f>
        <v>80</v>
      </c>
      <c r="V500" s="1687"/>
      <c r="W500" s="1687"/>
      <c r="X500" s="1644">
        <f>IF($A$506&lt;&gt;" ",X58," ")</f>
        <v>19</v>
      </c>
      <c r="Y500" s="1644"/>
      <c r="Z500" s="1644">
        <f ca="1">IF($A$506&lt;&gt;" ",Z58," ")</f>
        <v>1</v>
      </c>
      <c r="AA500" s="1703"/>
      <c r="AB500" s="1700" t="s">
        <v>699</v>
      </c>
      <c r="AC500" s="1701"/>
      <c r="AD500" s="1702"/>
      <c r="AH500" s="90"/>
      <c r="AI500"/>
      <c r="AJ500"/>
      <c r="AK500"/>
      <c r="AL500"/>
      <c r="AM500"/>
      <c r="AO500"/>
      <c r="AP500"/>
      <c r="AQ500"/>
      <c r="AT500"/>
      <c r="AU500"/>
      <c r="AV500"/>
      <c r="AW500"/>
      <c r="AX500"/>
    </row>
    <row r="501" spans="1:56" ht="14.1" customHeight="1">
      <c r="A501" s="1685">
        <f>IF($A$506&lt;&gt;" ",A59, " ")</f>
        <v>-0.2</v>
      </c>
      <c r="B501" s="1686"/>
      <c r="C501" s="1687">
        <f>IF($A$506&lt;&gt;" ",C59, " ")</f>
        <v>750</v>
      </c>
      <c r="D501" s="1687"/>
      <c r="E501" s="1687"/>
      <c r="F501" s="1644">
        <f>IF($A$506&lt;&gt;" ",F59," ")</f>
        <v>3</v>
      </c>
      <c r="G501" s="1644"/>
      <c r="H501" s="1644">
        <f ca="1">IF($A$506&lt;&gt;" ",H59," ")</f>
        <v>0</v>
      </c>
      <c r="I501" s="1703"/>
      <c r="J501" s="1685">
        <f>IF($A$506&lt;&gt;" ",J59, " ")</f>
        <v>-0.2</v>
      </c>
      <c r="K501" s="1686"/>
      <c r="L501" s="1687">
        <f>IF($A$506&lt;&gt;" ",L59, " ")</f>
        <v>650</v>
      </c>
      <c r="M501" s="1687"/>
      <c r="N501" s="1687"/>
      <c r="O501" s="1644">
        <f>IF($A$506&lt;&gt;" ",O59," ")</f>
        <v>10</v>
      </c>
      <c r="P501" s="1644"/>
      <c r="Q501" s="1644">
        <f ca="1">IF($A$506&lt;&gt;" ",Q59," ")</f>
        <v>0</v>
      </c>
      <c r="R501" s="1703"/>
      <c r="S501" s="1685">
        <f>IF($A$506&lt;&gt;" ",S59, " ")</f>
        <v>-0.2</v>
      </c>
      <c r="T501" s="1686"/>
      <c r="U501" s="1687">
        <f>IF($A$506&lt;&gt;" ",U59, " ")</f>
        <v>575</v>
      </c>
      <c r="V501" s="1687"/>
      <c r="W501" s="1687"/>
      <c r="X501" s="1644">
        <f>IF($A$506&lt;&gt;" ",X59," ")</f>
        <v>11</v>
      </c>
      <c r="Y501" s="1644"/>
      <c r="Z501" s="1644">
        <f ca="1">IF($A$506&lt;&gt;" ",Z59," ")</f>
        <v>0</v>
      </c>
      <c r="AA501" s="1703"/>
      <c r="AB501" s="1700" t="s">
        <v>4297</v>
      </c>
      <c r="AC501" s="1701"/>
      <c r="AD501" s="1702"/>
      <c r="AE501"/>
      <c r="AF501" s="574"/>
      <c r="AH501" s="90"/>
      <c r="AI501"/>
      <c r="AJ501"/>
      <c r="AK501"/>
      <c r="AN501"/>
      <c r="AO501"/>
      <c r="AP501"/>
      <c r="AQ501"/>
      <c r="AU501"/>
      <c r="AV501"/>
      <c r="AW501"/>
      <c r="AX501"/>
    </row>
    <row r="502" spans="1:56" ht="14.1" customHeight="1" thickBot="1">
      <c r="A502" s="1642">
        <f>IF($A$506&lt;&gt;" ",A60, " ")</f>
        <v>-0.3</v>
      </c>
      <c r="B502" s="1643"/>
      <c r="C502" s="1637">
        <f>IF($A$506&lt;&gt;" ",C60, " ")</f>
        <v>1200</v>
      </c>
      <c r="D502" s="1637"/>
      <c r="E502" s="1637"/>
      <c r="F502" s="1638">
        <f>IF($A$506&lt;&gt;" ",F60," ")</f>
        <v>-1</v>
      </c>
      <c r="G502" s="1638"/>
      <c r="H502" s="1638">
        <f ca="1">IF($A$506&lt;&gt;" ",H60," ")</f>
        <v>0</v>
      </c>
      <c r="I502" s="1661"/>
      <c r="J502" s="1642">
        <f>IF($A$506&lt;&gt;" ",J60, " ")</f>
        <v>-0.3</v>
      </c>
      <c r="K502" s="1643"/>
      <c r="L502" s="1637">
        <f>IF($A$506&lt;&gt;" ",L60, " ")</f>
        <v>1000</v>
      </c>
      <c r="M502" s="1637"/>
      <c r="N502" s="1637"/>
      <c r="O502" s="1638">
        <f>IF($A$506&lt;&gt;" ",O60," ")</f>
        <v>6</v>
      </c>
      <c r="P502" s="1638"/>
      <c r="Q502" s="1638">
        <f ca="1">IF($A$506&lt;&gt;" ",Q60," ")</f>
        <v>0</v>
      </c>
      <c r="R502" s="1661"/>
      <c r="S502" s="1642">
        <f>IF($A$506&lt;&gt;" ",S60, " ")</f>
        <v>-0.3</v>
      </c>
      <c r="T502" s="1643"/>
      <c r="U502" s="1637">
        <f>IF($A$506&lt;&gt;" ",U60, " ")</f>
        <v>850</v>
      </c>
      <c r="V502" s="1637"/>
      <c r="W502" s="1637"/>
      <c r="X502" s="1638">
        <f>IF($A$506&lt;&gt;" ",X60," ")</f>
        <v>7</v>
      </c>
      <c r="Y502" s="1638"/>
      <c r="Z502" s="1638">
        <f ca="1">IF($A$506&lt;&gt;" ",Z60," ")</f>
        <v>0</v>
      </c>
      <c r="AA502" s="1661"/>
      <c r="AB502" s="1667" t="s">
        <v>833</v>
      </c>
      <c r="AC502" s="1668"/>
      <c r="AD502" s="1669"/>
      <c r="AE502"/>
      <c r="AF502" s="574"/>
      <c r="AG502"/>
      <c r="AH502"/>
      <c r="AN502"/>
      <c r="AO502"/>
      <c r="AP502"/>
      <c r="AQ502"/>
      <c r="AU502"/>
      <c r="AV502"/>
      <c r="AW502"/>
      <c r="AX502"/>
    </row>
    <row r="503" spans="1:56" ht="14.1" customHeight="1" thickBot="1">
      <c r="A503" s="346"/>
      <c r="B503" s="347"/>
      <c r="C503" s="348"/>
      <c r="D503" s="348"/>
      <c r="E503" s="348"/>
      <c r="F503" s="349"/>
      <c r="G503" s="349"/>
      <c r="H503" s="348"/>
      <c r="I503" s="348"/>
      <c r="J503" s="346"/>
      <c r="K503" s="347"/>
      <c r="L503" s="348"/>
      <c r="M503" s="348"/>
      <c r="N503" s="348"/>
      <c r="O503" s="349" t="s">
        <v>2225</v>
      </c>
      <c r="P503" s="349"/>
      <c r="Q503" s="348"/>
      <c r="R503" s="350"/>
      <c r="S503" s="346"/>
      <c r="T503" s="347"/>
      <c r="U503" s="351"/>
      <c r="V503" s="345"/>
      <c r="W503" s="345"/>
      <c r="X503" s="349"/>
      <c r="Y503" s="349"/>
      <c r="Z503" s="348"/>
      <c r="AA503" s="348"/>
      <c r="AB503" s="352"/>
      <c r="AC503" s="353"/>
      <c r="AD503" s="353"/>
      <c r="AE503"/>
      <c r="AF503" s="574"/>
      <c r="AG503"/>
      <c r="AH503"/>
      <c r="AI503" s="90"/>
      <c r="AN503"/>
      <c r="AU503"/>
      <c r="AV503"/>
      <c r="AW503"/>
      <c r="AX503"/>
      <c r="AY503"/>
      <c r="AZ503"/>
      <c r="BA503"/>
      <c r="BB503"/>
    </row>
    <row r="504" spans="1:56" ht="14.1" customHeight="1" thickBot="1">
      <c r="A504" s="1677" t="s">
        <v>3573</v>
      </c>
      <c r="B504" s="1694"/>
      <c r="C504" s="1695"/>
      <c r="D504" s="1696"/>
      <c r="E504" s="1677" t="s">
        <v>3574</v>
      </c>
      <c r="F504" s="1678"/>
      <c r="G504" s="1679"/>
      <c r="H504" s="1677" t="s">
        <v>2014</v>
      </c>
      <c r="I504" s="1678"/>
      <c r="J504" s="1679"/>
      <c r="K504" s="1677" t="s">
        <v>3575</v>
      </c>
      <c r="L504" s="1678"/>
      <c r="M504" s="1679"/>
      <c r="N504" s="1659" t="s">
        <v>923</v>
      </c>
      <c r="O504" s="1660"/>
      <c r="P504" s="1655"/>
      <c r="R504" s="1670" t="s">
        <v>921</v>
      </c>
      <c r="S504" s="1663"/>
      <c r="T504" s="1663"/>
      <c r="U504" s="1663"/>
      <c r="V504" s="1663"/>
      <c r="W504" s="1663"/>
      <c r="X504" s="1663"/>
      <c r="Y504" s="1664"/>
      <c r="Z504" s="374">
        <f>ROUND(+'Main Creation Page'!E13/10,0)</f>
        <v>2</v>
      </c>
      <c r="AA504"/>
      <c r="AB504"/>
      <c r="AE504"/>
      <c r="AF504" s="574"/>
      <c r="AG504"/>
      <c r="AH504"/>
      <c r="AI504"/>
      <c r="AN504"/>
      <c r="AU504"/>
      <c r="AV504"/>
      <c r="AW504"/>
      <c r="AX504"/>
      <c r="AY504"/>
      <c r="AZ504"/>
      <c r="BA504"/>
      <c r="BB504"/>
      <c r="BC504"/>
      <c r="BD504"/>
    </row>
    <row r="505" spans="1:56" ht="14.1" customHeight="1" thickBot="1">
      <c r="A505" s="1697"/>
      <c r="B505" s="1698"/>
      <c r="C505" s="1698"/>
      <c r="D505" s="1699"/>
      <c r="E505" s="1680"/>
      <c r="F505" s="1681"/>
      <c r="G505" s="1682"/>
      <c r="H505" s="1680"/>
      <c r="I505" s="1681"/>
      <c r="J505" s="1682"/>
      <c r="K505" s="1680"/>
      <c r="L505" s="1681"/>
      <c r="M505" s="1682"/>
      <c r="N505" s="1659"/>
      <c r="O505" s="1660"/>
      <c r="P505" s="1655"/>
      <c r="R505" s="1665" t="s">
        <v>922</v>
      </c>
      <c r="S505" s="1666"/>
      <c r="T505" s="1666"/>
      <c r="U505" s="1666"/>
      <c r="V505" s="1666"/>
      <c r="W505" s="1666"/>
      <c r="X505" s="1666"/>
      <c r="Y505" s="1666"/>
      <c r="Z505" s="376">
        <f>ROUND(+'Main Creation Page'!E13/10,0)*0.1</f>
        <v>0.2</v>
      </c>
      <c r="AA505"/>
      <c r="AB505"/>
      <c r="AE505"/>
      <c r="AF505" s="574"/>
      <c r="AG505"/>
      <c r="AH505"/>
      <c r="AI505"/>
      <c r="AJ505"/>
      <c r="AK505"/>
      <c r="AL505"/>
    </row>
    <row r="506" spans="1:56" ht="13.5" customHeight="1" thickBot="1">
      <c r="A506" s="1674" t="str">
        <f>IF(AE52&gt;4," ",IF(AE52=4,"Elven",IF(AE52=3,"Long",IF(AE52=2,"Composite", "Short"))))</f>
        <v>Long</v>
      </c>
      <c r="B506" s="1704"/>
      <c r="C506" s="1704"/>
      <c r="D506" s="1705"/>
      <c r="E506" s="1691">
        <f ca="1">IF(A506&lt;&gt;" ",Skills!AA151, " ")</f>
        <v>0.06</v>
      </c>
      <c r="F506" s="2047"/>
      <c r="G506" s="2048"/>
      <c r="H506" s="1691">
        <f ca="1">IF(AE52&gt;4," ",IF(AE52=4,Skills!AD154,IF(AE52=3,Skills!AD155,IF(AE52=2,Skills!AD152, Skills!AD156))))</f>
        <v>0.16</v>
      </c>
      <c r="I506" s="1692"/>
      <c r="J506" s="1693"/>
      <c r="K506" s="1674" t="str">
        <f>IF(A506&lt;&gt;" "," /8/9", " ")</f>
        <v xml:space="preserve"> /8/9</v>
      </c>
      <c r="L506" s="1675"/>
      <c r="M506" s="1676"/>
      <c r="N506" s="2046" t="str">
        <f>IF('Main Creation Page'!E9&gt;=15,"Y","N")</f>
        <v>Y</v>
      </c>
      <c r="O506" s="1883"/>
      <c r="P506" s="1884"/>
      <c r="R506" s="1656" t="s">
        <v>4284</v>
      </c>
      <c r="S506" s="1657"/>
      <c r="T506" s="1657"/>
      <c r="U506" s="1657"/>
      <c r="V506" s="1658"/>
      <c r="W506" s="1658"/>
      <c r="X506" s="1658"/>
      <c r="Y506" s="1658"/>
      <c r="Z506" s="365">
        <f ca="1">VLOOKUP((VLOOKUP(AE52,Combat!$BQ$5:$BU$71,5)-IF(E50&lt;5,3,0)),Combat!$A$2:$Y$150,25)</f>
        <v>7</v>
      </c>
      <c r="AB506" s="347"/>
      <c r="AE506"/>
      <c r="AF506" s="574"/>
      <c r="AG506"/>
      <c r="AH506"/>
      <c r="AI506"/>
      <c r="AJ506"/>
      <c r="AK506"/>
      <c r="AL506"/>
    </row>
    <row r="507" spans="1:56" ht="14.1" customHeight="1" thickBot="1">
      <c r="A507"/>
      <c r="B507"/>
      <c r="C507"/>
      <c r="D507"/>
      <c r="E507"/>
      <c r="F507"/>
      <c r="G507"/>
      <c r="H507"/>
      <c r="I507"/>
      <c r="J507"/>
      <c r="K507"/>
      <c r="L507"/>
      <c r="M507"/>
      <c r="O507"/>
      <c r="Q507"/>
      <c r="R507" s="1656" t="s">
        <v>3762</v>
      </c>
      <c r="S507" s="1657"/>
      <c r="T507" s="1657"/>
      <c r="U507" s="1657"/>
      <c r="V507" s="1658"/>
      <c r="W507" s="1658"/>
      <c r="X507" s="1658"/>
      <c r="Y507" s="1658"/>
      <c r="Z507" s="365">
        <f ca="1">VLOOKUP((VLOOKUP(AE52,Combat!$BQ$5:$BU$71,5)-IF(AE52&lt;5,3,0)),Combat!$A$2:$Y$150,25)</f>
        <v>7</v>
      </c>
      <c r="AB507" s="347"/>
      <c r="AE507"/>
      <c r="AF507" s="574"/>
      <c r="AG507"/>
      <c r="AH507"/>
      <c r="AI507"/>
      <c r="AJ507"/>
      <c r="AK507"/>
      <c r="AL507"/>
    </row>
    <row r="508" spans="1:56" ht="14.1" customHeight="1" thickBot="1">
      <c r="K508" s="347"/>
      <c r="R508" s="1656" t="s">
        <v>3763</v>
      </c>
      <c r="S508" s="1657"/>
      <c r="T508" s="1657"/>
      <c r="U508" s="1657"/>
      <c r="V508" s="1658"/>
      <c r="W508" s="1658"/>
      <c r="X508" s="1658"/>
      <c r="Y508" s="1658"/>
      <c r="Z508" s="365">
        <f ca="1">IF(U52&gt;7,U52-3,IF(U52&gt;5,IF((U52-2)&lt;0,0,U52-2),IF((U52-1)&lt;0,0,U52-1)))</f>
        <v>5</v>
      </c>
      <c r="AA508" s="1662" t="s">
        <v>971</v>
      </c>
      <c r="AB508" s="1663"/>
      <c r="AC508" s="1663"/>
      <c r="AD508" s="1664"/>
      <c r="AE508"/>
      <c r="AF508" s="574"/>
      <c r="AG508"/>
      <c r="AH508"/>
      <c r="AI508"/>
      <c r="AJ508"/>
      <c r="AK508"/>
      <c r="AL508"/>
      <c r="AM508"/>
    </row>
    <row r="509" spans="1:56" ht="14.1" customHeight="1" thickBot="1">
      <c r="AE509"/>
      <c r="AF509" s="574"/>
      <c r="AG509"/>
      <c r="AH509"/>
      <c r="AI509"/>
      <c r="AJ509"/>
      <c r="AK509"/>
      <c r="AL509"/>
      <c r="AM509"/>
    </row>
    <row r="510" spans="1:56" ht="14.1" customHeight="1" thickBot="1">
      <c r="A510" s="1671" t="s">
        <v>1875</v>
      </c>
      <c r="B510" s="1672"/>
      <c r="C510" s="1672"/>
      <c r="D510" s="1672"/>
      <c r="E510" s="1672"/>
      <c r="F510" s="1672"/>
      <c r="G510" s="1673"/>
      <c r="H510"/>
      <c r="I510" s="1671" t="s">
        <v>1875</v>
      </c>
      <c r="J510" s="1672"/>
      <c r="K510" s="1672"/>
      <c r="L510" s="1672"/>
      <c r="M510" s="1672"/>
      <c r="N510" s="1672"/>
      <c r="O510" s="1673"/>
      <c r="P510"/>
      <c r="Q510" s="1671" t="s">
        <v>1875</v>
      </c>
      <c r="R510" s="1672"/>
      <c r="S510" s="1672"/>
      <c r="T510" s="1672"/>
      <c r="U510" s="1672"/>
      <c r="V510" s="1672"/>
      <c r="W510" s="1673"/>
      <c r="AE510"/>
      <c r="AF510" s="574"/>
      <c r="AG510"/>
      <c r="AH510"/>
      <c r="AI510"/>
      <c r="AL510"/>
      <c r="AM510"/>
      <c r="AO510"/>
      <c r="AP510"/>
      <c r="AQ510"/>
      <c r="AR510"/>
      <c r="AS510"/>
      <c r="AT510"/>
      <c r="AU510"/>
      <c r="AV510"/>
      <c r="AW510"/>
      <c r="AX510"/>
      <c r="AY510"/>
      <c r="AZ510"/>
      <c r="BA510"/>
      <c r="BB510"/>
      <c r="BC510"/>
      <c r="BD510"/>
    </row>
    <row r="511" spans="1:56" ht="14.1" customHeight="1" thickBot="1">
      <c r="A511" s="1648" t="s">
        <v>5468</v>
      </c>
      <c r="B511" s="1649"/>
      <c r="C511" s="1650"/>
      <c r="D511" s="1653"/>
      <c r="E511" s="1654"/>
      <c r="F511" s="1654"/>
      <c r="G511" s="1655"/>
      <c r="H511"/>
      <c r="I511" s="1648" t="s">
        <v>5468</v>
      </c>
      <c r="J511" s="1649"/>
      <c r="K511" s="1650"/>
      <c r="L511" s="1653"/>
      <c r="M511" s="1654"/>
      <c r="N511" s="1654"/>
      <c r="O511" s="1655"/>
      <c r="P511"/>
      <c r="Q511" s="1648" t="s">
        <v>5468</v>
      </c>
      <c r="R511" s="1649"/>
      <c r="S511" s="1650"/>
      <c r="T511" s="1653"/>
      <c r="U511" s="1654"/>
      <c r="V511" s="1654"/>
      <c r="W511" s="1655"/>
      <c r="AE511"/>
      <c r="AF511" s="574"/>
      <c r="AG511"/>
      <c r="AH511"/>
      <c r="AI511"/>
      <c r="AL511"/>
      <c r="AM511"/>
      <c r="AO511"/>
      <c r="AP511"/>
      <c r="AQ511"/>
      <c r="AR511"/>
      <c r="AS511"/>
      <c r="AT511"/>
      <c r="AU511"/>
      <c r="AV511"/>
      <c r="AW511"/>
      <c r="AX511"/>
      <c r="AY511"/>
      <c r="AZ511"/>
      <c r="BA511"/>
      <c r="BB511"/>
      <c r="BC511"/>
      <c r="BD511"/>
    </row>
    <row r="512" spans="1:56" ht="14.1" customHeight="1" thickBot="1">
      <c r="A512" s="354"/>
      <c r="B512" s="354"/>
      <c r="C512" s="354"/>
      <c r="D512" s="354"/>
      <c r="E512" s="354"/>
      <c r="F512" s="354"/>
      <c r="G512" s="354"/>
      <c r="H512"/>
      <c r="I512" s="354"/>
      <c r="J512" s="354"/>
      <c r="K512" s="354"/>
      <c r="L512" s="354"/>
      <c r="M512" s="354"/>
      <c r="N512" s="354"/>
      <c r="O512" s="354"/>
      <c r="P512"/>
      <c r="Q512" s="354"/>
      <c r="R512" s="354"/>
      <c r="S512" s="354"/>
      <c r="T512" s="354"/>
      <c r="U512" s="354"/>
      <c r="V512" s="354"/>
      <c r="W512" s="354"/>
      <c r="AE512"/>
      <c r="AF512" s="574"/>
      <c r="AG512"/>
      <c r="AH512"/>
      <c r="AK512"/>
      <c r="AL512"/>
      <c r="AM512"/>
      <c r="AN512"/>
      <c r="AO512"/>
      <c r="AP512"/>
      <c r="AQ512"/>
      <c r="AR512"/>
      <c r="AS512"/>
      <c r="AT512"/>
      <c r="AU512"/>
      <c r="AV512"/>
      <c r="AW512"/>
      <c r="AX512"/>
      <c r="AY512"/>
      <c r="AZ512"/>
      <c r="BA512"/>
      <c r="BB512"/>
      <c r="BC512"/>
    </row>
    <row r="513" spans="1:55" ht="14.1" customHeight="1" thickBot="1">
      <c r="A513" s="354"/>
      <c r="B513" s="354"/>
      <c r="C513" s="354"/>
      <c r="D513" s="354"/>
      <c r="E513" s="354"/>
      <c r="F513" s="354"/>
      <c r="G513" s="354"/>
      <c r="H513"/>
      <c r="I513" s="354"/>
      <c r="J513" s="354"/>
      <c r="K513" s="354"/>
      <c r="L513" s="354"/>
      <c r="M513" s="354"/>
      <c r="N513" s="354"/>
      <c r="O513" s="354"/>
      <c r="P513"/>
      <c r="Q513" s="354"/>
      <c r="R513" s="354"/>
      <c r="S513" s="354"/>
      <c r="T513" s="354"/>
      <c r="U513" s="354"/>
      <c r="V513" s="354"/>
      <c r="W513" s="354"/>
      <c r="X513" s="355"/>
      <c r="Y513" s="355"/>
      <c r="Z513" s="355"/>
      <c r="AA513" s="355"/>
      <c r="AB513" s="355"/>
      <c r="AC513" s="355"/>
      <c r="AD513"/>
      <c r="AE513"/>
      <c r="AF513" s="574"/>
      <c r="AG513"/>
      <c r="AH513"/>
      <c r="AK513"/>
      <c r="AL513"/>
      <c r="AM513"/>
      <c r="AN513"/>
      <c r="AO513"/>
      <c r="AP513"/>
      <c r="AQ513"/>
      <c r="AR513"/>
      <c r="AS513"/>
      <c r="AT513"/>
      <c r="AU513"/>
      <c r="AV513"/>
      <c r="AW513"/>
      <c r="AX513"/>
      <c r="AY513"/>
      <c r="AZ513"/>
      <c r="BA513"/>
      <c r="BB513"/>
      <c r="BC513"/>
    </row>
    <row r="514" spans="1:55" ht="13.5" thickBot="1">
      <c r="A514" s="375"/>
      <c r="B514" s="375"/>
      <c r="C514" s="375"/>
      <c r="D514" s="375"/>
      <c r="E514" s="375"/>
      <c r="F514" s="375"/>
      <c r="G514"/>
      <c r="H514"/>
      <c r="I514" s="375"/>
      <c r="J514" s="375"/>
      <c r="K514" s="375"/>
      <c r="L514" s="375"/>
      <c r="M514" s="375"/>
      <c r="N514" s="375"/>
      <c r="O514"/>
      <c r="Q514" s="375"/>
      <c r="R514" s="375"/>
      <c r="S514" s="375"/>
      <c r="T514" s="375"/>
      <c r="U514" s="375"/>
      <c r="V514" s="375"/>
      <c r="W514"/>
      <c r="AD514"/>
      <c r="AG514"/>
      <c r="AH514"/>
      <c r="AK514"/>
      <c r="AL514"/>
      <c r="AM514"/>
      <c r="AN514"/>
      <c r="AO514"/>
      <c r="AP514"/>
      <c r="AQ514"/>
      <c r="AR514"/>
      <c r="AS514"/>
      <c r="AT514"/>
      <c r="AU514"/>
      <c r="AV514"/>
      <c r="AW514"/>
      <c r="AX514"/>
      <c r="AY514"/>
      <c r="AZ514"/>
      <c r="BA514"/>
      <c r="BB514"/>
      <c r="BC514"/>
    </row>
    <row r="515" spans="1:55">
      <c r="A515" s="62"/>
      <c r="B515" s="62"/>
      <c r="C515" s="62"/>
      <c r="D515" s="62"/>
      <c r="E515" s="62"/>
      <c r="F515" s="62"/>
      <c r="G515"/>
      <c r="H515"/>
      <c r="I515" s="62"/>
      <c r="J515" s="62"/>
      <c r="K515" s="62"/>
      <c r="L515" s="62"/>
      <c r="M515" s="62"/>
      <c r="N515" s="62"/>
      <c r="O515"/>
      <c r="Q515" s="62"/>
      <c r="R515" s="62"/>
      <c r="S515" s="62"/>
      <c r="T515" s="62"/>
      <c r="U515" s="62"/>
      <c r="V515" s="62"/>
      <c r="W515"/>
      <c r="AD515"/>
      <c r="AH515"/>
      <c r="AK515"/>
      <c r="AL515"/>
      <c r="AM515"/>
      <c r="AN515"/>
      <c r="AO515"/>
      <c r="AP515"/>
      <c r="AQ515"/>
      <c r="AR515"/>
      <c r="AS515"/>
      <c r="AT515"/>
      <c r="AU515"/>
      <c r="AV515"/>
      <c r="AW515"/>
      <c r="AX515"/>
    </row>
    <row r="516" spans="1:55" ht="14.1" customHeight="1">
      <c r="A516" s="62"/>
      <c r="B516" s="62"/>
      <c r="C516" s="62"/>
      <c r="D516" s="62"/>
      <c r="E516" s="62"/>
      <c r="F516" s="62"/>
      <c r="G516"/>
      <c r="H516"/>
      <c r="I516" s="62"/>
      <c r="J516" s="62"/>
      <c r="K516" s="62"/>
      <c r="L516" s="62"/>
      <c r="M516" s="62"/>
      <c r="N516" s="62"/>
      <c r="O516"/>
      <c r="Q516" s="62"/>
      <c r="R516" s="62"/>
      <c r="S516" s="62"/>
      <c r="T516" s="62"/>
      <c r="U516" s="62"/>
      <c r="V516" s="62"/>
      <c r="W516"/>
      <c r="AD516"/>
      <c r="AH516"/>
      <c r="AI516"/>
      <c r="AJ516"/>
      <c r="AK516"/>
      <c r="AL516"/>
      <c r="AM516"/>
      <c r="AN516"/>
      <c r="AO516"/>
      <c r="AP516"/>
      <c r="AQ516"/>
      <c r="AR516"/>
      <c r="AS516"/>
      <c r="AT516"/>
      <c r="AU516"/>
      <c r="AV516"/>
      <c r="AW516"/>
      <c r="AX516"/>
    </row>
    <row r="517" spans="1:55" ht="14.1" customHeight="1">
      <c r="A517" s="62"/>
      <c r="B517" s="62"/>
      <c r="C517" s="62"/>
      <c r="D517" s="62"/>
      <c r="E517" s="62"/>
      <c r="F517" s="62"/>
      <c r="G517" s="979"/>
      <c r="H517" s="979"/>
      <c r="I517" s="62"/>
      <c r="J517" s="62"/>
      <c r="K517" s="62"/>
      <c r="L517" s="62"/>
      <c r="M517" s="62"/>
      <c r="N517" s="62"/>
      <c r="O517" s="979"/>
      <c r="Q517" s="62"/>
      <c r="R517" s="62"/>
      <c r="S517" s="62"/>
      <c r="T517" s="62"/>
      <c r="U517" s="62"/>
      <c r="V517" s="62"/>
      <c r="W517" s="979"/>
      <c r="AD517" s="979"/>
      <c r="AH517" s="979"/>
      <c r="AI517" s="979"/>
      <c r="AJ517" s="979"/>
      <c r="AK517" s="979"/>
      <c r="AL517" s="979"/>
      <c r="AM517" s="979"/>
      <c r="AN517" s="979"/>
      <c r="AO517" s="979"/>
      <c r="AP517" s="979"/>
      <c r="AQ517" s="979"/>
      <c r="AR517" s="979"/>
      <c r="AS517" s="979"/>
      <c r="AT517" s="979"/>
      <c r="AU517" s="979"/>
      <c r="AV517" s="979"/>
      <c r="AW517" s="979"/>
      <c r="AX517" s="979"/>
    </row>
    <row r="518" spans="1:55" ht="14.1" customHeight="1">
      <c r="A518" s="1688" t="s">
        <v>1832</v>
      </c>
      <c r="B518" s="1689"/>
      <c r="C518" s="1689"/>
      <c r="D518" s="1689"/>
      <c r="E518" s="1689"/>
      <c r="F518" s="1689"/>
      <c r="G518" s="1689"/>
      <c r="H518" s="1689"/>
      <c r="I518" s="1689"/>
      <c r="J518" s="1689"/>
      <c r="K518" s="1689"/>
      <c r="L518" s="1689"/>
      <c r="M518" s="1689"/>
      <c r="N518" s="1689"/>
      <c r="O518" s="1689"/>
      <c r="P518" s="1689"/>
      <c r="Q518" s="1689"/>
      <c r="R518" s="1689"/>
      <c r="S518" s="1689"/>
      <c r="T518" s="1689"/>
      <c r="U518" s="1689"/>
      <c r="V518" s="1689"/>
      <c r="W518" s="1689"/>
      <c r="X518" s="1689"/>
      <c r="Y518" s="1689"/>
      <c r="Z518" s="1689"/>
      <c r="AA518" s="1689"/>
      <c r="AB518" s="1689"/>
      <c r="AC518" s="1689"/>
      <c r="AD518" s="1689"/>
      <c r="AG518" t="s">
        <v>2397</v>
      </c>
    </row>
    <row r="519" spans="1:55" ht="14.1" customHeight="1">
      <c r="A519" s="1690"/>
      <c r="B519" s="1690"/>
      <c r="C519" s="1690"/>
      <c r="D519" s="1690"/>
      <c r="E519" s="1690"/>
      <c r="F519" s="1690"/>
      <c r="G519" s="1690"/>
      <c r="H519" s="1690"/>
      <c r="I519" s="1690"/>
      <c r="J519" s="1690"/>
      <c r="K519" s="1690"/>
      <c r="L519" s="1690"/>
      <c r="M519" s="1690"/>
      <c r="N519" s="1690"/>
      <c r="O519" s="1690"/>
      <c r="P519" s="1690"/>
      <c r="Q519" s="1690"/>
      <c r="R519" s="1690"/>
      <c r="S519" s="1690"/>
      <c r="T519" s="1690"/>
      <c r="U519" s="1690"/>
      <c r="V519" s="1690"/>
      <c r="W519" s="1690"/>
      <c r="X519" s="1690"/>
      <c r="Y519" s="1690"/>
      <c r="Z519" s="1690"/>
      <c r="AA519" s="1690"/>
      <c r="AB519" s="1690"/>
      <c r="AC519" s="1690"/>
      <c r="AD519" s="1690"/>
    </row>
    <row r="520" spans="1:55" ht="14.1" customHeight="1">
      <c r="A520" s="1380" t="s">
        <v>1108</v>
      </c>
      <c r="B520" s="1381"/>
      <c r="C520" s="1381"/>
      <c r="D520" s="1381"/>
      <c r="E520" s="1381"/>
      <c r="F520" s="1381"/>
      <c r="G520" s="1396"/>
      <c r="H520" s="1400" t="s">
        <v>5067</v>
      </c>
      <c r="I520" s="1400"/>
      <c r="J520" s="1400" t="s">
        <v>3805</v>
      </c>
      <c r="K520" s="1400"/>
      <c r="L520" s="1400" t="s">
        <v>1333</v>
      </c>
      <c r="M520" s="1400"/>
      <c r="N520" s="1380" t="s">
        <v>4740</v>
      </c>
      <c r="O520" s="1396"/>
      <c r="P520" s="1380" t="s">
        <v>2005</v>
      </c>
      <c r="Q520" s="1396"/>
      <c r="R520" s="1380" t="s">
        <v>4035</v>
      </c>
      <c r="S520" s="1311"/>
      <c r="T520" s="1380" t="s">
        <v>3604</v>
      </c>
      <c r="U520" s="1311"/>
      <c r="V520" s="1380" t="s">
        <v>3605</v>
      </c>
      <c r="W520" s="1311"/>
      <c r="Z520" s="1511" t="s">
        <v>388</v>
      </c>
      <c r="AA520" s="1298"/>
      <c r="AB520" s="1298"/>
      <c r="AC520" s="1296"/>
      <c r="AD520" s="295" t="s">
        <v>3142</v>
      </c>
    </row>
    <row r="521" spans="1:55" ht="14.1" customHeight="1">
      <c r="A521" s="1318" t="s">
        <v>694</v>
      </c>
      <c r="B521" s="1311"/>
      <c r="C521" s="1318" t="str">
        <f>VLOOKUP(Combat!F244,Combat!$BQ$5:$BX$20,8)</f>
        <v>Cuirbolli Helm</v>
      </c>
      <c r="D521" s="1382"/>
      <c r="E521" s="1382"/>
      <c r="F521" s="1382"/>
      <c r="G521" s="1311"/>
      <c r="H521" s="1314">
        <f>I41</f>
        <v>6</v>
      </c>
      <c r="I521" s="1314"/>
      <c r="J521" s="1314">
        <f>K41</f>
        <v>8</v>
      </c>
      <c r="K521" s="1314"/>
      <c r="L521" s="1314">
        <f>M41</f>
        <v>5</v>
      </c>
      <c r="M521" s="1314"/>
      <c r="N521" s="1314">
        <f>O41</f>
        <v>6</v>
      </c>
      <c r="O521" s="1314"/>
      <c r="P521" s="1314">
        <f>Q41</f>
        <v>6</v>
      </c>
      <c r="Q521" s="1314"/>
      <c r="R521" s="1314" t="str">
        <f>S41</f>
        <v>0,0,0,0,0,</v>
      </c>
      <c r="S521" s="1314"/>
      <c r="T521" s="1314">
        <f>V41</f>
        <v>0</v>
      </c>
      <c r="U521" s="1314"/>
      <c r="V521" s="1312">
        <f>W41</f>
        <v>0</v>
      </c>
      <c r="W521" s="1311"/>
      <c r="Z521" s="1641" t="s">
        <v>5329</v>
      </c>
      <c r="AA521" s="1298"/>
      <c r="AB521" s="1298"/>
      <c r="AC521" s="1296"/>
      <c r="AD521" s="171" t="e">
        <f>VLOOKUP((VLOOKUP($A$43,Combat!$BQ$5:$CA$32,7)),Combat!$A$156:$AI$171,25)</f>
        <v>#N/A</v>
      </c>
    </row>
    <row r="522" spans="1:55" ht="14.1" customHeight="1">
      <c r="A522" s="1318" t="s">
        <v>695</v>
      </c>
      <c r="B522" s="1311"/>
      <c r="C522" s="1318" t="str">
        <f>VLOOKUP(Combat!F245,Combat!$BQ$5:$BZ$30,10)</f>
        <v>Cuirbolli Cuirass</v>
      </c>
      <c r="D522" s="1382"/>
      <c r="E522" s="1382"/>
      <c r="F522" s="1382"/>
      <c r="G522" s="1311"/>
      <c r="H522" s="1314">
        <f>I42</f>
        <v>8</v>
      </c>
      <c r="I522" s="1314"/>
      <c r="J522" s="1314">
        <f>K42</f>
        <v>10</v>
      </c>
      <c r="K522" s="1314"/>
      <c r="L522" s="1314">
        <f>M42</f>
        <v>7</v>
      </c>
      <c r="M522" s="1314"/>
      <c r="N522" s="1314">
        <f>O42</f>
        <v>8</v>
      </c>
      <c r="O522" s="1314"/>
      <c r="P522" s="1314">
        <f>Q42</f>
        <v>6</v>
      </c>
      <c r="Q522" s="1314"/>
      <c r="R522" s="1314" t="str">
        <f>S42</f>
        <v>0,0,0,0,0,</v>
      </c>
      <c r="S522" s="1314"/>
      <c r="T522" s="1314">
        <f>V42</f>
        <v>0</v>
      </c>
      <c r="U522" s="1314"/>
      <c r="V522" s="1312">
        <f>W42</f>
        <v>0</v>
      </c>
      <c r="W522" s="1311"/>
      <c r="Z522" s="1641" t="s">
        <v>5330</v>
      </c>
      <c r="AA522" s="1298"/>
      <c r="AB522" s="1298"/>
      <c r="AC522" s="1296"/>
      <c r="AD522" s="171" t="e">
        <f>VLOOKUP((VLOOKUP($A$43,Combat!$BQ$5:$CA$32,7)),Combat!$A$156:$AI$171,26)</f>
        <v>#N/A</v>
      </c>
    </row>
    <row r="523" spans="1:55" ht="14.1" customHeight="1">
      <c r="A523" s="1647" t="s">
        <v>696</v>
      </c>
      <c r="B523" s="1311"/>
      <c r="C523" s="1318" t="str">
        <f>VLOOKUP(Combat!F246,Combat!$BQ$5:$BV$18,6)</f>
        <v>Target, Wood</v>
      </c>
      <c r="D523" s="1382"/>
      <c r="E523" s="1382"/>
      <c r="F523" s="1382"/>
      <c r="G523" s="1311"/>
      <c r="H523" s="1314">
        <f>I43</f>
        <v>10</v>
      </c>
      <c r="I523" s="1314"/>
      <c r="J523" s="1314">
        <f>K43</f>
        <v>9</v>
      </c>
      <c r="K523" s="1314"/>
      <c r="L523" s="1314">
        <f>M43</f>
        <v>12</v>
      </c>
      <c r="M523" s="1314"/>
      <c r="N523" s="1314">
        <f>O43</f>
        <v>10</v>
      </c>
      <c r="O523" s="1314"/>
      <c r="P523" s="1314">
        <f>Q43</f>
        <v>10</v>
      </c>
      <c r="Q523" s="1314"/>
      <c r="R523" s="1314" t="str">
        <f>S43</f>
        <v>0,0,0,0,0,</v>
      </c>
      <c r="S523" s="1314"/>
      <c r="T523" s="1314">
        <f ca="1">V43</f>
        <v>2</v>
      </c>
      <c r="U523" s="1314"/>
      <c r="V523" s="1312">
        <f>W43</f>
        <v>0</v>
      </c>
      <c r="W523" s="1311"/>
      <c r="AP523" s="138"/>
      <c r="AQ523" s="138"/>
    </row>
    <row r="524" spans="1:55" ht="14.1" customHeight="1" thickBot="1">
      <c r="A524" s="331"/>
      <c r="B524" s="141"/>
      <c r="C524" s="344"/>
      <c r="D524" s="141"/>
      <c r="E524" s="141"/>
      <c r="F524" s="141"/>
      <c r="G524" s="141"/>
      <c r="H524" s="356"/>
      <c r="I524" s="356"/>
      <c r="J524" s="356"/>
      <c r="K524" s="356"/>
      <c r="L524" s="356"/>
      <c r="M524" s="356"/>
      <c r="N524" s="356"/>
      <c r="O524" s="356"/>
      <c r="P524" s="356"/>
      <c r="Q524" s="356"/>
      <c r="R524" s="356"/>
      <c r="S524" s="356"/>
      <c r="T524" s="356"/>
      <c r="U524" s="356"/>
      <c r="V524" s="356"/>
      <c r="W524" s="141"/>
    </row>
    <row r="525" spans="1:55" ht="14.1" customHeight="1" thickTop="1" thickBot="1">
      <c r="A525" s="1636" t="s">
        <v>4298</v>
      </c>
      <c r="B525" s="1635"/>
      <c r="C525" s="1622" t="s">
        <v>3303</v>
      </c>
      <c r="D525" s="1622"/>
      <c r="E525" s="1622"/>
      <c r="F525" s="187"/>
      <c r="G525" s="168"/>
      <c r="H525" s="167"/>
      <c r="I525" s="170" t="s">
        <v>679</v>
      </c>
      <c r="J525" s="167"/>
      <c r="K525" s="167"/>
      <c r="L525" s="167"/>
      <c r="M525" s="167"/>
      <c r="N525" s="167"/>
      <c r="O525" s="167"/>
      <c r="P525" s="167"/>
    </row>
    <row r="526" spans="1:55" ht="14.1" customHeight="1" thickTop="1" thickBot="1">
      <c r="A526" s="1634" t="s">
        <v>4299</v>
      </c>
      <c r="B526" s="1635"/>
      <c r="C526" s="1622" t="s">
        <v>3304</v>
      </c>
      <c r="D526" s="1622"/>
      <c r="E526" s="1622"/>
      <c r="F526" s="187"/>
      <c r="G526" s="168"/>
      <c r="H526" s="168"/>
      <c r="I526" s="168" t="s">
        <v>680</v>
      </c>
      <c r="J526" s="168"/>
      <c r="K526" s="168"/>
      <c r="L526" s="168"/>
      <c r="M526" s="168"/>
      <c r="N526" s="168"/>
      <c r="O526" s="168"/>
      <c r="P526" s="168"/>
    </row>
    <row r="527" spans="1:55" ht="14.1" customHeight="1" thickTop="1" thickBot="1">
      <c r="A527" s="1634" t="s">
        <v>4300</v>
      </c>
      <c r="B527" s="1635"/>
      <c r="C527" s="1622" t="s">
        <v>3307</v>
      </c>
      <c r="D527" s="1622"/>
      <c r="E527" s="1622"/>
      <c r="F527" s="187"/>
      <c r="G527" s="168"/>
      <c r="H527" s="168"/>
      <c r="I527" s="168" t="s">
        <v>681</v>
      </c>
      <c r="J527" s="168"/>
      <c r="K527" s="168"/>
      <c r="L527" s="168"/>
      <c r="M527" s="168"/>
      <c r="N527" s="168"/>
      <c r="O527" s="168"/>
      <c r="P527" s="168"/>
    </row>
    <row r="528" spans="1:55" ht="14.1" customHeight="1" thickTop="1" thickBot="1">
      <c r="A528" s="1634" t="s">
        <v>4301</v>
      </c>
      <c r="B528" s="1635"/>
      <c r="C528" s="1622" t="s">
        <v>3308</v>
      </c>
      <c r="D528" s="1622"/>
      <c r="E528" s="1622"/>
      <c r="F528" s="187"/>
      <c r="G528" s="168"/>
      <c r="H528" s="168"/>
      <c r="I528" s="168" t="s">
        <v>682</v>
      </c>
      <c r="J528" s="168"/>
      <c r="K528" s="168"/>
      <c r="L528" s="168"/>
      <c r="M528" s="168"/>
      <c r="N528" s="168"/>
      <c r="O528" s="168"/>
      <c r="P528" s="168"/>
    </row>
    <row r="529" spans="1:30" ht="14.1" customHeight="1" thickTop="1" thickBot="1">
      <c r="A529" s="1634" t="s">
        <v>4302</v>
      </c>
      <c r="B529" s="1635"/>
      <c r="C529" s="1622" t="s">
        <v>3309</v>
      </c>
      <c r="D529" s="1622"/>
      <c r="E529" s="1622"/>
      <c r="F529" s="187"/>
      <c r="G529" s="187"/>
      <c r="H529" s="168"/>
      <c r="I529" s="168" t="s">
        <v>683</v>
      </c>
      <c r="J529" s="168"/>
      <c r="K529" s="168"/>
      <c r="L529" s="168"/>
      <c r="M529" s="168"/>
      <c r="N529" s="168"/>
      <c r="O529" s="168"/>
      <c r="P529" s="168"/>
    </row>
    <row r="530" spans="1:30" ht="14.1" customHeight="1" thickTop="1" thickBot="1">
      <c r="A530" s="1634" t="s">
        <v>3299</v>
      </c>
      <c r="B530" s="1635"/>
      <c r="C530" s="1622" t="s">
        <v>3310</v>
      </c>
      <c r="D530" s="1622"/>
      <c r="E530" s="1622"/>
      <c r="F530" s="187"/>
      <c r="G530" s="187"/>
      <c r="H530" s="167"/>
      <c r="I530" s="168" t="s">
        <v>1679</v>
      </c>
      <c r="J530" s="168"/>
      <c r="K530" s="168"/>
      <c r="L530" s="168"/>
      <c r="M530" s="168"/>
      <c r="N530" s="168"/>
      <c r="O530" s="168"/>
      <c r="P530" s="168"/>
    </row>
    <row r="531" spans="1:30" ht="14.1" customHeight="1" thickTop="1" thickBot="1">
      <c r="A531" s="1634" t="s">
        <v>3300</v>
      </c>
      <c r="B531" s="1635"/>
      <c r="C531" s="1622" t="s">
        <v>3311</v>
      </c>
      <c r="D531" s="1622"/>
      <c r="E531" s="1622"/>
      <c r="F531" s="187"/>
      <c r="G531" s="168"/>
      <c r="H531" s="167"/>
      <c r="I531" s="82" t="s">
        <v>2279</v>
      </c>
      <c r="J531" s="168"/>
      <c r="K531" s="168"/>
      <c r="L531" s="168"/>
      <c r="M531" s="168"/>
      <c r="N531" s="168"/>
      <c r="O531" s="168"/>
      <c r="P531" s="168"/>
      <c r="Q531" s="168"/>
      <c r="R531" s="168"/>
      <c r="S531" s="168"/>
      <c r="T531" s="168"/>
    </row>
    <row r="532" spans="1:30" ht="14.1" customHeight="1" thickTop="1" thickBot="1">
      <c r="A532" s="1634" t="s">
        <v>3301</v>
      </c>
      <c r="B532" s="1635"/>
      <c r="C532" s="1622" t="s">
        <v>3312</v>
      </c>
      <c r="D532" s="1622"/>
      <c r="E532" s="1622"/>
      <c r="F532" s="187"/>
      <c r="G532" s="168"/>
      <c r="H532" s="90" t="s">
        <v>2280</v>
      </c>
      <c r="I532" s="168" t="s">
        <v>2281</v>
      </c>
      <c r="J532" s="168"/>
      <c r="K532" s="168"/>
      <c r="L532" s="168"/>
      <c r="M532" s="168"/>
      <c r="N532" s="168"/>
      <c r="O532" s="168"/>
      <c r="P532" s="168"/>
      <c r="Q532" s="168"/>
      <c r="R532" s="168"/>
      <c r="S532" s="168"/>
      <c r="T532" s="168"/>
    </row>
    <row r="533" spans="1:30" ht="14.1" customHeight="1" thickTop="1" thickBot="1">
      <c r="A533" s="1634" t="s">
        <v>3305</v>
      </c>
      <c r="B533" s="1635"/>
      <c r="C533" s="1622" t="s">
        <v>3313</v>
      </c>
      <c r="D533" s="1622"/>
      <c r="E533" s="1622"/>
      <c r="F533" s="187"/>
      <c r="G533" s="187"/>
      <c r="H533" s="167"/>
      <c r="T533" s="82"/>
    </row>
    <row r="534" spans="1:30" ht="14.1" customHeight="1" thickTop="1" thickBot="1">
      <c r="A534" s="1634" t="s">
        <v>3306</v>
      </c>
      <c r="B534" s="1635"/>
      <c r="C534" s="1622" t="s">
        <v>3314</v>
      </c>
      <c r="D534" s="1622"/>
      <c r="E534" s="1622"/>
      <c r="F534" s="187"/>
      <c r="G534" s="187"/>
      <c r="H534" s="167"/>
      <c r="I534" s="168" t="s">
        <v>73</v>
      </c>
      <c r="T534" s="82"/>
    </row>
    <row r="535" spans="1:30" ht="14.1" customHeight="1" thickTop="1" thickBot="1">
      <c r="A535" s="1634" t="s">
        <v>3302</v>
      </c>
      <c r="B535" s="1635"/>
      <c r="C535" s="1622" t="s">
        <v>3315</v>
      </c>
      <c r="D535" s="1622"/>
      <c r="E535" s="1622"/>
      <c r="F535" s="187"/>
      <c r="G535" s="187"/>
      <c r="H535" s="167"/>
      <c r="I535" s="162" t="s">
        <v>5524</v>
      </c>
      <c r="U535" s="102"/>
      <c r="V535" s="102"/>
      <c r="W535" s="102"/>
      <c r="X535" s="167"/>
      <c r="Y535" s="138" t="s">
        <v>3316</v>
      </c>
    </row>
    <row r="536" spans="1:30" ht="14.1" customHeight="1" thickTop="1" thickBot="1">
      <c r="A536" s="329"/>
      <c r="B536" s="330"/>
      <c r="C536" s="64"/>
      <c r="D536" s="64"/>
      <c r="E536" s="64"/>
      <c r="F536" s="291"/>
      <c r="G536" s="291"/>
      <c r="H536" s="167"/>
      <c r="Y536" s="167" t="s">
        <v>1685</v>
      </c>
    </row>
    <row r="537" spans="1:30" ht="14.1" customHeight="1" thickTop="1" thickBot="1">
      <c r="A537" s="1683" t="s">
        <v>684</v>
      </c>
      <c r="B537" s="1632"/>
      <c r="C537" s="1632"/>
      <c r="D537" s="1632"/>
      <c r="E537" s="1632"/>
      <c r="F537" s="1632"/>
      <c r="G537" s="1632"/>
      <c r="H537" s="1632"/>
      <c r="I537" s="1632"/>
      <c r="J537" s="1633"/>
      <c r="Y537" s="167" t="s">
        <v>1686</v>
      </c>
    </row>
    <row r="538" spans="1:30" ht="14.1" customHeight="1" thickTop="1" thickBot="1">
      <c r="A538" s="1640" t="s">
        <v>4630</v>
      </c>
      <c r="B538" s="1684"/>
      <c r="C538" s="1628" t="s">
        <v>178</v>
      </c>
      <c r="D538" s="1629"/>
      <c r="E538" s="1628" t="s">
        <v>4627</v>
      </c>
      <c r="F538" s="1629"/>
      <c r="G538" s="1628" t="s">
        <v>5221</v>
      </c>
      <c r="H538" s="1629"/>
      <c r="I538" s="1628" t="s">
        <v>4622</v>
      </c>
      <c r="J538" s="1630"/>
      <c r="Y538" s="169" t="s">
        <v>69</v>
      </c>
    </row>
    <row r="539" spans="1:30" ht="14.1" customHeight="1" thickTop="1" thickBot="1">
      <c r="A539" s="1645">
        <f>H521</f>
        <v>6</v>
      </c>
      <c r="B539" s="1646"/>
      <c r="C539" s="1651">
        <f>J521</f>
        <v>8</v>
      </c>
      <c r="D539" s="1646"/>
      <c r="E539" s="1651">
        <f>L521</f>
        <v>5</v>
      </c>
      <c r="F539" s="1646"/>
      <c r="G539" s="1651">
        <f>N521</f>
        <v>6</v>
      </c>
      <c r="H539" s="1646"/>
      <c r="I539" s="1651">
        <f>P521</f>
        <v>6</v>
      </c>
      <c r="J539" s="1652"/>
      <c r="L539" s="182" t="s">
        <v>685</v>
      </c>
      <c r="M539" s="358"/>
      <c r="N539" s="358"/>
      <c r="O539" s="358"/>
      <c r="U539" s="183"/>
      <c r="V539" s="184"/>
      <c r="W539" s="185"/>
      <c r="X539" s="102"/>
      <c r="Y539" s="168" t="s">
        <v>70</v>
      </c>
      <c r="AD539" s="102"/>
    </row>
    <row r="540" spans="1:30" ht="14.1" customHeight="1" thickTop="1" thickBot="1">
      <c r="A540" s="1615"/>
      <c r="B540" s="1315"/>
      <c r="C540" s="1616"/>
      <c r="D540" s="1315"/>
      <c r="E540" s="1616"/>
      <c r="F540" s="1315"/>
      <c r="G540" s="1616"/>
      <c r="H540" s="1315"/>
      <c r="I540" s="1616"/>
      <c r="J540" s="1627"/>
      <c r="L540" s="182" t="s">
        <v>686</v>
      </c>
      <c r="M540" s="359"/>
      <c r="N540" s="359"/>
      <c r="O540" s="359"/>
      <c r="U540" s="186"/>
      <c r="V540" s="187"/>
      <c r="W540" s="188"/>
      <c r="Y540" s="168" t="s">
        <v>71</v>
      </c>
      <c r="AD540" s="102"/>
    </row>
    <row r="541" spans="1:30" ht="14.1" customHeight="1" thickTop="1" thickBot="1">
      <c r="A541" s="1615"/>
      <c r="B541" s="1315"/>
      <c r="C541" s="1616"/>
      <c r="D541" s="1315"/>
      <c r="E541" s="1616"/>
      <c r="F541" s="1315"/>
      <c r="G541" s="1616"/>
      <c r="H541" s="1315"/>
      <c r="I541" s="1616"/>
      <c r="J541" s="1627"/>
      <c r="L541" s="182" t="s">
        <v>686</v>
      </c>
      <c r="M541" s="359"/>
      <c r="N541" s="359"/>
      <c r="O541" s="359"/>
      <c r="U541" s="186"/>
      <c r="V541" s="187"/>
      <c r="W541" s="188"/>
      <c r="Y541" s="168" t="s">
        <v>72</v>
      </c>
      <c r="AD541" s="102"/>
    </row>
    <row r="542" spans="1:30" ht="14.1" customHeight="1" thickTop="1" thickBot="1">
      <c r="A542" s="1615"/>
      <c r="B542" s="1315"/>
      <c r="C542" s="1616"/>
      <c r="D542" s="1315"/>
      <c r="E542" s="1616"/>
      <c r="F542" s="1315"/>
      <c r="G542" s="1616"/>
      <c r="H542" s="1315"/>
      <c r="I542" s="1616"/>
      <c r="J542" s="1627"/>
      <c r="L542" s="182" t="s">
        <v>686</v>
      </c>
      <c r="M542" s="359"/>
      <c r="N542" s="359"/>
      <c r="O542" s="359"/>
      <c r="U542" s="189"/>
      <c r="V542" s="190"/>
      <c r="W542" s="191"/>
      <c r="X542" s="463" t="s">
        <v>2280</v>
      </c>
      <c r="Y542" s="168" t="s">
        <v>3819</v>
      </c>
      <c r="AD542" s="102"/>
    </row>
    <row r="543" spans="1:30" ht="14.1" customHeight="1" thickTop="1">
      <c r="A543" s="1615"/>
      <c r="B543" s="1315"/>
      <c r="C543" s="1616"/>
      <c r="D543" s="1315"/>
      <c r="E543" s="1616"/>
      <c r="F543" s="1315"/>
      <c r="G543" s="1616"/>
      <c r="H543" s="1315"/>
      <c r="I543" s="1616"/>
      <c r="J543" s="1627"/>
      <c r="L543" s="182" t="s">
        <v>686</v>
      </c>
      <c r="M543" s="359"/>
      <c r="N543" s="359"/>
      <c r="O543" s="359"/>
      <c r="X543" s="463" t="s">
        <v>2280</v>
      </c>
      <c r="Y543" s="168" t="s">
        <v>3818</v>
      </c>
      <c r="AD543" s="102"/>
    </row>
    <row r="544" spans="1:30" ht="14.1" customHeight="1" thickBot="1">
      <c r="A544" s="1617"/>
      <c r="B544" s="1618"/>
      <c r="C544" s="1619"/>
      <c r="D544" s="1618"/>
      <c r="E544" s="1619"/>
      <c r="F544" s="1618"/>
      <c r="G544" s="1619"/>
      <c r="H544" s="1618"/>
      <c r="I544" s="1619"/>
      <c r="J544" s="1623"/>
      <c r="L544" s="182" t="s">
        <v>686</v>
      </c>
      <c r="M544" s="360"/>
      <c r="N544" s="360"/>
      <c r="O544" s="360"/>
      <c r="U544" s="168"/>
      <c r="AD544" s="102"/>
    </row>
    <row r="545" spans="1:44" ht="14.1" customHeight="1" thickTop="1" thickBot="1">
      <c r="A545" s="357"/>
      <c r="B545" s="357"/>
      <c r="C545" s="357"/>
      <c r="D545" s="357"/>
      <c r="E545" s="357"/>
      <c r="G545" s="356"/>
      <c r="H545" s="356"/>
      <c r="I545" s="356"/>
      <c r="J545" s="356"/>
      <c r="K545" s="356"/>
      <c r="N545" s="356"/>
      <c r="O545" s="356"/>
      <c r="P545" s="356"/>
      <c r="Q545" s="356"/>
      <c r="R545" s="356"/>
      <c r="T545" s="182"/>
    </row>
    <row r="546" spans="1:44" ht="14.1" customHeight="1" thickTop="1" thickBot="1">
      <c r="A546" s="1631" t="s">
        <v>421</v>
      </c>
      <c r="B546" s="1632"/>
      <c r="C546" s="1632"/>
      <c r="D546" s="1632"/>
      <c r="E546" s="1632"/>
      <c r="F546" s="1632"/>
      <c r="G546" s="1632"/>
      <c r="H546" s="1632"/>
      <c r="I546" s="1632"/>
      <c r="J546" s="1633"/>
      <c r="K546" s="356"/>
      <c r="N546" s="356"/>
      <c r="O546" s="356"/>
      <c r="P546" s="356"/>
      <c r="Q546" s="356"/>
      <c r="R546" s="356"/>
      <c r="T546" s="182"/>
      <c r="U546" s="2043" t="s">
        <v>422</v>
      </c>
      <c r="V546" s="2044"/>
      <c r="W546" s="2044"/>
      <c r="X546" s="2044"/>
      <c r="Y546" s="2045"/>
      <c r="AD546" s="102"/>
      <c r="AQ546" s="62"/>
      <c r="AR546" s="62"/>
    </row>
    <row r="547" spans="1:44" ht="14.1" customHeight="1" thickTop="1" thickBot="1">
      <c r="A547" s="1640" t="s">
        <v>4630</v>
      </c>
      <c r="B547" s="1629"/>
      <c r="C547" s="1628" t="s">
        <v>178</v>
      </c>
      <c r="D547" s="1629"/>
      <c r="E547" s="1628" t="s">
        <v>4627</v>
      </c>
      <c r="F547" s="1629"/>
      <c r="G547" s="1628" t="s">
        <v>5221</v>
      </c>
      <c r="H547" s="1629"/>
      <c r="I547" s="1628" t="s">
        <v>4622</v>
      </c>
      <c r="J547" s="1630"/>
      <c r="K547" s="356"/>
      <c r="N547" s="356"/>
      <c r="O547" s="356"/>
      <c r="P547" s="356"/>
      <c r="Q547" s="356"/>
      <c r="R547" s="356"/>
      <c r="T547" s="182"/>
      <c r="U547" s="179" t="s">
        <v>4630</v>
      </c>
      <c r="V547" s="180" t="s">
        <v>178</v>
      </c>
      <c r="W547" s="180" t="s">
        <v>4627</v>
      </c>
      <c r="X547" s="180" t="s">
        <v>5221</v>
      </c>
      <c r="Y547" s="181" t="s">
        <v>4622</v>
      </c>
      <c r="AD547" s="102"/>
    </row>
    <row r="548" spans="1:44" ht="14.1" customHeight="1" thickTop="1">
      <c r="A548" s="1639">
        <f>H522</f>
        <v>8</v>
      </c>
      <c r="B548" s="1531"/>
      <c r="C548" s="1626">
        <f>J522</f>
        <v>10</v>
      </c>
      <c r="D548" s="1531"/>
      <c r="E548" s="1626">
        <f>L522</f>
        <v>7</v>
      </c>
      <c r="F548" s="1531"/>
      <c r="G548" s="1626">
        <f>N522</f>
        <v>8</v>
      </c>
      <c r="H548" s="1531"/>
      <c r="I548" s="1624">
        <f>P522</f>
        <v>6</v>
      </c>
      <c r="J548" s="1625"/>
      <c r="K548" s="356"/>
      <c r="L548" s="182" t="s">
        <v>685</v>
      </c>
      <c r="M548" s="358"/>
      <c r="N548" s="358"/>
      <c r="O548" s="358"/>
      <c r="P548" s="356"/>
      <c r="Q548" s="356"/>
      <c r="R548" s="356"/>
      <c r="T548" s="182"/>
      <c r="U548" s="172">
        <f>H523</f>
        <v>10</v>
      </c>
      <c r="V548" s="161">
        <f>J523</f>
        <v>9</v>
      </c>
      <c r="W548" s="161">
        <f>L523</f>
        <v>12</v>
      </c>
      <c r="X548" s="161">
        <f>N523</f>
        <v>10</v>
      </c>
      <c r="Y548" s="173">
        <f>P523</f>
        <v>10</v>
      </c>
      <c r="Z548" s="182" t="s">
        <v>685</v>
      </c>
      <c r="AD548" s="102"/>
    </row>
    <row r="549" spans="1:44" ht="14.1" customHeight="1">
      <c r="A549" s="1615"/>
      <c r="B549" s="1315"/>
      <c r="C549" s="1616"/>
      <c r="D549" s="1315"/>
      <c r="E549" s="1616"/>
      <c r="F549" s="1315"/>
      <c r="G549" s="1616"/>
      <c r="H549" s="1315"/>
      <c r="I549" s="1616"/>
      <c r="J549" s="1627"/>
      <c r="K549" s="356"/>
      <c r="L549" s="182" t="s">
        <v>686</v>
      </c>
      <c r="M549" s="359"/>
      <c r="N549" s="359"/>
      <c r="O549" s="359"/>
      <c r="P549" s="356"/>
      <c r="Q549" s="356"/>
      <c r="R549" s="356"/>
      <c r="T549" s="182"/>
      <c r="U549" s="177"/>
      <c r="V549" s="87"/>
      <c r="W549" s="87"/>
      <c r="X549" s="87"/>
      <c r="Y549" s="178"/>
      <c r="Z549" s="182" t="s">
        <v>686</v>
      </c>
      <c r="AD549" s="102"/>
    </row>
    <row r="550" spans="1:44" ht="14.1" customHeight="1">
      <c r="A550" s="1615"/>
      <c r="B550" s="1315"/>
      <c r="C550" s="1616"/>
      <c r="D550" s="1315"/>
      <c r="E550" s="1616"/>
      <c r="F550" s="1315"/>
      <c r="G550" s="1616"/>
      <c r="H550" s="1315"/>
      <c r="I550" s="1616"/>
      <c r="J550" s="1627"/>
      <c r="K550" s="356"/>
      <c r="L550" s="182" t="s">
        <v>686</v>
      </c>
      <c r="M550" s="359"/>
      <c r="N550" s="359"/>
      <c r="O550" s="359"/>
      <c r="P550" s="356"/>
      <c r="Q550" s="356"/>
      <c r="R550" s="356"/>
      <c r="T550" s="182"/>
      <c r="U550" s="177"/>
      <c r="V550" s="87"/>
      <c r="W550" s="87"/>
      <c r="X550" s="87"/>
      <c r="Y550" s="178"/>
      <c r="Z550" s="182" t="s">
        <v>686</v>
      </c>
      <c r="AD550" s="102"/>
    </row>
    <row r="551" spans="1:44" ht="14.1" customHeight="1">
      <c r="A551" s="1615"/>
      <c r="B551" s="1315"/>
      <c r="C551" s="1616"/>
      <c r="D551" s="1315"/>
      <c r="E551" s="1616"/>
      <c r="F551" s="1315"/>
      <c r="G551" s="1616"/>
      <c r="H551" s="1315"/>
      <c r="I551" s="1616"/>
      <c r="J551" s="1627"/>
      <c r="K551" s="356"/>
      <c r="L551" s="182" t="s">
        <v>686</v>
      </c>
      <c r="M551" s="359"/>
      <c r="N551" s="359"/>
      <c r="O551" s="359"/>
      <c r="P551" s="356"/>
      <c r="Q551" s="356"/>
      <c r="R551" s="356"/>
      <c r="T551" s="182"/>
      <c r="U551" s="177"/>
      <c r="V551" s="87"/>
      <c r="W551" s="87"/>
      <c r="X551" s="87"/>
      <c r="Y551" s="178"/>
      <c r="Z551" s="182" t="s">
        <v>686</v>
      </c>
      <c r="AD551" s="102"/>
    </row>
    <row r="552" spans="1:44" ht="14.1" customHeight="1">
      <c r="A552" s="1615"/>
      <c r="B552" s="1315"/>
      <c r="C552" s="1616"/>
      <c r="D552" s="1315"/>
      <c r="E552" s="1616"/>
      <c r="F552" s="1315"/>
      <c r="G552" s="1616"/>
      <c r="H552" s="1315"/>
      <c r="I552" s="1616"/>
      <c r="J552" s="1627"/>
      <c r="K552" s="356"/>
      <c r="L552" s="182" t="s">
        <v>686</v>
      </c>
      <c r="M552" s="359"/>
      <c r="N552" s="359"/>
      <c r="O552" s="359"/>
      <c r="P552" s="356"/>
      <c r="Q552" s="356"/>
      <c r="R552" s="356"/>
      <c r="T552" s="182"/>
      <c r="U552" s="177"/>
      <c r="V552" s="87"/>
      <c r="W552" s="87"/>
      <c r="X552" s="87"/>
      <c r="Y552" s="178"/>
      <c r="Z552" s="182" t="s">
        <v>686</v>
      </c>
      <c r="AD552" s="102"/>
    </row>
    <row r="553" spans="1:44" ht="14.1" customHeight="1" thickBot="1">
      <c r="A553" s="1617"/>
      <c r="B553" s="1618"/>
      <c r="C553" s="1619"/>
      <c r="D553" s="1618"/>
      <c r="E553" s="1619"/>
      <c r="F553" s="1618"/>
      <c r="G553" s="1619"/>
      <c r="H553" s="1618"/>
      <c r="I553" s="1619"/>
      <c r="J553" s="1623"/>
      <c r="K553" s="356"/>
      <c r="L553" s="182" t="s">
        <v>686</v>
      </c>
      <c r="M553" s="360"/>
      <c r="N553" s="360"/>
      <c r="O553" s="360"/>
      <c r="P553" s="356"/>
      <c r="Q553" s="356"/>
      <c r="R553" s="356"/>
      <c r="T553" s="182"/>
      <c r="U553" s="174"/>
      <c r="V553" s="175"/>
      <c r="W553" s="175"/>
      <c r="X553" s="175"/>
      <c r="Y553" s="176"/>
      <c r="Z553" s="182" t="s">
        <v>686</v>
      </c>
      <c r="AD553" s="102"/>
    </row>
    <row r="554" spans="1:44" ht="14.1" customHeight="1" thickTop="1">
      <c r="A554" s="357"/>
      <c r="B554" s="415"/>
      <c r="C554" s="357"/>
      <c r="D554" s="415"/>
      <c r="E554" s="357"/>
      <c r="F554" s="415"/>
      <c r="G554" s="357"/>
      <c r="H554" s="415"/>
      <c r="I554" s="357"/>
      <c r="J554" s="415"/>
      <c r="K554" s="356"/>
      <c r="L554" s="182"/>
      <c r="M554" s="360"/>
      <c r="N554" s="360"/>
      <c r="O554" s="360"/>
      <c r="P554" s="356"/>
      <c r="Q554" s="356"/>
      <c r="R554" s="356"/>
      <c r="T554" s="182"/>
      <c r="U554" s="356"/>
      <c r="V554" s="356"/>
      <c r="W554" s="356"/>
      <c r="X554" s="356"/>
      <c r="Y554" s="356"/>
      <c r="Z554" s="182"/>
      <c r="AD554" s="102"/>
    </row>
    <row r="555" spans="1:44" ht="14.1" customHeight="1">
      <c r="A555" s="357"/>
      <c r="B555" s="415"/>
      <c r="C555" s="357"/>
      <c r="D555" s="415"/>
      <c r="E555" s="357"/>
      <c r="F555" s="415"/>
      <c r="G555" s="357"/>
      <c r="H555" s="415"/>
      <c r="I555" s="357"/>
      <c r="J555" s="415"/>
      <c r="K555" s="356"/>
      <c r="L555" s="182"/>
      <c r="M555" s="360"/>
      <c r="N555" s="360"/>
      <c r="O555" s="360"/>
      <c r="P555" s="356"/>
      <c r="Q555" s="356"/>
      <c r="R555" s="356"/>
      <c r="T555" s="182"/>
      <c r="U555" s="356"/>
      <c r="V555" s="356"/>
      <c r="W555" s="356"/>
      <c r="X555" s="356"/>
      <c r="Y555" s="356"/>
      <c r="Z555" s="182"/>
      <c r="AD555" s="102"/>
    </row>
    <row r="556" spans="1:44" ht="14.1" customHeight="1">
      <c r="A556" s="357"/>
      <c r="B556" s="415"/>
      <c r="C556" s="357"/>
      <c r="D556" s="415"/>
      <c r="E556" s="357"/>
      <c r="F556" s="415"/>
      <c r="G556" s="357"/>
      <c r="H556" s="415"/>
      <c r="I556" s="357"/>
      <c r="J556" s="415"/>
      <c r="K556" s="356"/>
      <c r="L556" s="182"/>
      <c r="M556" s="360"/>
      <c r="N556" s="360"/>
      <c r="O556" s="360"/>
      <c r="P556" s="356"/>
      <c r="Q556" s="356"/>
      <c r="R556" s="356"/>
      <c r="T556" s="182"/>
      <c r="U556" s="356"/>
      <c r="V556" s="356"/>
      <c r="W556" s="356"/>
      <c r="X556" s="356"/>
      <c r="Y556" s="356"/>
      <c r="Z556" s="182"/>
      <c r="AD556" s="102"/>
    </row>
    <row r="557" spans="1:44" ht="14.1" customHeight="1">
      <c r="A557" s="357"/>
      <c r="B557" s="415"/>
      <c r="C557" s="357"/>
      <c r="D557" s="415"/>
      <c r="E557" s="357"/>
      <c r="F557" s="415"/>
      <c r="G557" s="357"/>
      <c r="H557" s="415"/>
      <c r="I557" s="357"/>
      <c r="J557" s="415"/>
      <c r="K557" s="356"/>
      <c r="L557" s="182"/>
      <c r="M557" s="360"/>
      <c r="N557" s="360"/>
      <c r="O557" s="360"/>
      <c r="P557" s="356"/>
      <c r="Q557" s="356"/>
      <c r="R557" s="356"/>
      <c r="T557" s="182"/>
      <c r="U557" s="356"/>
      <c r="V557" s="356"/>
      <c r="W557" s="356"/>
      <c r="X557" s="356"/>
      <c r="Y557" s="356"/>
      <c r="Z557" s="182"/>
      <c r="AD557" s="102"/>
    </row>
    <row r="558" spans="1:44" ht="14.1" customHeight="1">
      <c r="A558" s="357"/>
      <c r="B558" s="415"/>
      <c r="C558" s="357"/>
      <c r="D558" s="415"/>
      <c r="E558" s="357"/>
      <c r="F558" s="415"/>
      <c r="G558" s="357"/>
      <c r="H558" s="415"/>
      <c r="I558" s="357"/>
      <c r="J558" s="415"/>
      <c r="K558" s="356"/>
      <c r="L558" s="182"/>
      <c r="M558" s="360"/>
      <c r="N558" s="360"/>
      <c r="O558" s="360"/>
      <c r="P558" s="356"/>
      <c r="Q558" s="356"/>
      <c r="R558" s="356"/>
      <c r="T558" s="182"/>
      <c r="U558" s="356"/>
      <c r="V558" s="356"/>
      <c r="W558" s="356"/>
      <c r="X558" s="356"/>
      <c r="Y558" s="356"/>
      <c r="Z558" s="182"/>
      <c r="AD558" s="102"/>
    </row>
    <row r="559" spans="1:44" ht="14.1" customHeight="1">
      <c r="A559" s="357"/>
      <c r="B559" s="415"/>
      <c r="C559" s="357"/>
      <c r="D559" s="415"/>
      <c r="E559" s="357"/>
      <c r="F559" s="415"/>
      <c r="G559" s="357"/>
      <c r="H559" s="415"/>
      <c r="I559" s="357"/>
      <c r="J559" s="415"/>
      <c r="K559" s="356"/>
      <c r="L559" s="182"/>
      <c r="M559" s="360"/>
      <c r="N559" s="360"/>
      <c r="O559" s="360"/>
      <c r="P559" s="356"/>
      <c r="Q559" s="356"/>
      <c r="R559" s="356"/>
      <c r="T559" s="182"/>
      <c r="U559" s="356"/>
      <c r="V559" s="356"/>
      <c r="W559" s="356"/>
      <c r="X559" s="356"/>
      <c r="Y559" s="356"/>
      <c r="Z559" s="182"/>
      <c r="AD559" s="102"/>
    </row>
    <row r="560" spans="1:44" ht="14.1" customHeight="1">
      <c r="A560" s="357"/>
      <c r="B560" s="415"/>
      <c r="C560" s="357"/>
      <c r="D560" s="415"/>
      <c r="E560" s="357"/>
      <c r="F560" s="415"/>
      <c r="G560" s="357"/>
      <c r="H560" s="415"/>
      <c r="I560" s="357"/>
      <c r="J560" s="415"/>
      <c r="K560" s="356"/>
      <c r="L560" s="182"/>
      <c r="M560" s="360"/>
      <c r="N560" s="360"/>
      <c r="O560" s="360"/>
      <c r="P560" s="356"/>
      <c r="Q560" s="356"/>
      <c r="R560" s="356"/>
      <c r="T560" s="182"/>
      <c r="U560" s="356"/>
      <c r="V560" s="356"/>
      <c r="W560" s="356"/>
      <c r="X560" s="356"/>
      <c r="Y560" s="356"/>
      <c r="Z560" s="182"/>
      <c r="AD560" s="102"/>
    </row>
    <row r="561" spans="1:95" ht="14.1" customHeight="1">
      <c r="A561" s="357"/>
      <c r="B561" s="415"/>
      <c r="C561" s="357"/>
      <c r="D561" s="415"/>
      <c r="E561" s="357"/>
      <c r="F561" s="415"/>
      <c r="G561" s="357"/>
      <c r="H561" s="415"/>
      <c r="I561" s="357"/>
      <c r="J561" s="415"/>
      <c r="K561" s="356"/>
      <c r="L561" s="182"/>
      <c r="M561" s="360"/>
      <c r="N561" s="360"/>
      <c r="O561" s="360"/>
      <c r="P561" s="356"/>
      <c r="Q561" s="356"/>
      <c r="R561" s="356"/>
      <c r="T561" s="182"/>
      <c r="U561" s="356"/>
      <c r="V561" s="356"/>
      <c r="W561" s="356"/>
      <c r="X561" s="356"/>
      <c r="Y561" s="356"/>
      <c r="Z561" s="182"/>
      <c r="AD561" s="102"/>
    </row>
    <row r="562" spans="1:95" ht="14.1" customHeight="1">
      <c r="A562" s="357"/>
      <c r="B562" s="415"/>
      <c r="C562" s="357"/>
      <c r="D562" s="415"/>
      <c r="E562" s="357"/>
      <c r="F562" s="415"/>
      <c r="G562" s="357"/>
      <c r="H562" s="415"/>
      <c r="I562" s="357"/>
      <c r="J562" s="415"/>
      <c r="K562" s="356"/>
      <c r="L562" s="182"/>
      <c r="M562" s="360"/>
      <c r="N562" s="360"/>
      <c r="O562" s="360"/>
      <c r="P562" s="356"/>
      <c r="Q562" s="356"/>
      <c r="R562" s="356"/>
      <c r="T562" s="182"/>
      <c r="U562" s="356"/>
      <c r="V562" s="356"/>
      <c r="W562" s="356"/>
      <c r="X562" s="356"/>
      <c r="Y562" s="356"/>
      <c r="Z562" s="182"/>
      <c r="AD562" s="102"/>
    </row>
    <row r="563" spans="1:95" ht="14.1" customHeight="1">
      <c r="A563" s="357"/>
      <c r="B563" s="415"/>
      <c r="C563" s="357"/>
      <c r="D563" s="415"/>
      <c r="E563" s="357"/>
      <c r="F563" s="415"/>
      <c r="G563" s="357"/>
      <c r="H563" s="415"/>
      <c r="I563" s="357"/>
      <c r="J563" s="415"/>
      <c r="K563" s="356"/>
      <c r="L563" s="182"/>
      <c r="M563" s="360"/>
      <c r="N563" s="360"/>
      <c r="O563" s="360"/>
      <c r="P563" s="356"/>
      <c r="Q563" s="356"/>
      <c r="R563" s="356"/>
      <c r="T563" s="182"/>
      <c r="U563" s="356"/>
      <c r="V563" s="356"/>
      <c r="W563" s="356"/>
      <c r="X563" s="356"/>
      <c r="Y563" s="356"/>
      <c r="Z563" s="182"/>
      <c r="AD563" s="102"/>
    </row>
    <row r="564" spans="1:95" ht="14.1" customHeight="1">
      <c r="A564" s="357"/>
      <c r="B564" s="415"/>
      <c r="C564" s="357"/>
      <c r="D564" s="415"/>
      <c r="E564" s="357"/>
      <c r="F564" s="415"/>
      <c r="G564" s="357"/>
      <c r="H564" s="415"/>
      <c r="I564" s="357"/>
      <c r="J564" s="415"/>
      <c r="K564" s="356"/>
      <c r="L564" s="182"/>
      <c r="M564" s="360"/>
      <c r="N564" s="360"/>
      <c r="O564" s="360"/>
      <c r="P564" s="356"/>
      <c r="Q564" s="356"/>
      <c r="R564" s="356"/>
      <c r="T564" s="182"/>
      <c r="U564" s="356"/>
      <c r="V564" s="356"/>
      <c r="W564" s="356"/>
      <c r="X564" s="356"/>
      <c r="Y564" s="356"/>
      <c r="Z564" s="182"/>
      <c r="AD564" s="102"/>
    </row>
    <row r="565" spans="1:95" ht="14.1" customHeight="1">
      <c r="A565" s="357"/>
      <c r="B565" s="415"/>
      <c r="C565" s="357"/>
      <c r="D565" s="415"/>
      <c r="E565" s="357"/>
      <c r="F565" s="415"/>
      <c r="G565" s="357"/>
      <c r="H565" s="415"/>
      <c r="I565" s="357"/>
      <c r="J565" s="415"/>
      <c r="K565" s="356"/>
      <c r="L565" s="182"/>
      <c r="M565" s="360"/>
      <c r="N565" s="360"/>
      <c r="O565" s="360"/>
      <c r="P565" s="356"/>
      <c r="Q565" s="356"/>
      <c r="R565" s="356"/>
      <c r="T565" s="182"/>
      <c r="U565" s="356"/>
      <c r="V565" s="356"/>
      <c r="W565" s="356"/>
      <c r="X565" s="356"/>
      <c r="Y565" s="356"/>
      <c r="Z565" s="182"/>
      <c r="AD565" s="102"/>
    </row>
    <row r="566" spans="1:95" ht="14.1" customHeight="1">
      <c r="A566" s="357"/>
      <c r="B566" s="415"/>
      <c r="C566" s="357"/>
      <c r="D566" s="415"/>
      <c r="E566" s="357"/>
      <c r="F566" s="415"/>
      <c r="G566" s="357"/>
      <c r="H566" s="415"/>
      <c r="I566" s="357"/>
      <c r="J566" s="415"/>
      <c r="K566" s="356"/>
      <c r="L566" s="182"/>
      <c r="M566" s="360"/>
      <c r="N566" s="360"/>
      <c r="O566" s="360"/>
      <c r="P566" s="356"/>
      <c r="Q566" s="356"/>
      <c r="R566" s="356"/>
      <c r="T566" s="182"/>
      <c r="U566" s="356"/>
      <c r="V566" s="356"/>
      <c r="W566" s="356"/>
      <c r="X566" s="356"/>
      <c r="Y566" s="356"/>
      <c r="Z566" s="182"/>
      <c r="AD566" s="102"/>
    </row>
    <row r="567" spans="1:95">
      <c r="A567" s="357"/>
      <c r="B567" s="415"/>
      <c r="C567" s="357"/>
      <c r="D567" s="415"/>
      <c r="E567" s="357"/>
      <c r="F567" s="415"/>
      <c r="G567" s="357"/>
      <c r="H567" s="415"/>
      <c r="I567" s="357"/>
      <c r="J567" s="415"/>
      <c r="K567" s="356"/>
      <c r="L567" s="182"/>
      <c r="M567" s="360"/>
      <c r="N567" s="360"/>
      <c r="O567" s="360"/>
      <c r="P567" s="356"/>
      <c r="Q567" s="356"/>
      <c r="R567" s="356"/>
      <c r="T567" s="182"/>
      <c r="U567" s="356"/>
      <c r="V567" s="356"/>
      <c r="W567" s="356"/>
      <c r="X567" s="356"/>
      <c r="Y567" s="356"/>
      <c r="Z567" s="182"/>
      <c r="AD567" s="102"/>
      <c r="AE567" s="82" t="s">
        <v>1078</v>
      </c>
      <c r="AF567" s="82"/>
      <c r="CQ567" s="82" t="s">
        <v>1078</v>
      </c>
    </row>
    <row r="574" spans="1:95">
      <c r="A574"/>
      <c r="B574"/>
      <c r="C574"/>
      <c r="D574"/>
      <c r="E574"/>
      <c r="F574"/>
      <c r="G574"/>
      <c r="H574"/>
      <c r="I574"/>
      <c r="J574"/>
      <c r="K574"/>
      <c r="L574"/>
      <c r="M574"/>
      <c r="N574"/>
      <c r="O574"/>
      <c r="P574"/>
      <c r="Q574"/>
      <c r="R574"/>
      <c r="S574"/>
      <c r="T574"/>
      <c r="U574"/>
      <c r="V574"/>
      <c r="W574"/>
      <c r="X574"/>
      <c r="Y574"/>
      <c r="Z574"/>
      <c r="AA574"/>
      <c r="AB574"/>
      <c r="AC574"/>
      <c r="AD574"/>
    </row>
    <row r="575" spans="1:95">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c r="AA575" s="102"/>
      <c r="AB575" s="102"/>
      <c r="AC575" s="102"/>
      <c r="AD575" s="102"/>
    </row>
    <row r="576" spans="1:95">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c r="AA576" s="102"/>
      <c r="AB576" s="102"/>
      <c r="AC576" s="102"/>
      <c r="AD576" s="102"/>
    </row>
    <row r="577" spans="1:30">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c r="AA577" s="102"/>
      <c r="AB577" s="102"/>
      <c r="AC577" s="102"/>
      <c r="AD577" s="102"/>
    </row>
    <row r="578" spans="1:30">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c r="AA578" s="102"/>
      <c r="AB578" s="102"/>
      <c r="AC578" s="102"/>
      <c r="AD578" s="102"/>
    </row>
    <row r="579" spans="1:30">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c r="AA579" s="102"/>
      <c r="AB579" s="102"/>
      <c r="AC579" s="102"/>
      <c r="AD579" s="102"/>
    </row>
    <row r="580" spans="1:30">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c r="AA580" s="102"/>
      <c r="AB580" s="102"/>
      <c r="AC580" s="102"/>
      <c r="AD580" s="102"/>
    </row>
    <row r="581" spans="1:30">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c r="AA581" s="102"/>
      <c r="AB581" s="102"/>
      <c r="AC581" s="102"/>
      <c r="AD581" s="102"/>
    </row>
    <row r="582" spans="1:30">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c r="AA582" s="102"/>
      <c r="AB582" s="102"/>
      <c r="AC582" s="102"/>
      <c r="AD582" s="102"/>
    </row>
    <row r="583" spans="1:30">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c r="AA583" s="102"/>
      <c r="AB583" s="102"/>
      <c r="AC583" s="102"/>
      <c r="AD583" s="102"/>
    </row>
    <row r="584" spans="1:30">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c r="AA584" s="102"/>
      <c r="AB584" s="102"/>
      <c r="AC584" s="102"/>
      <c r="AD584" s="102"/>
    </row>
    <row r="585" spans="1:30">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c r="AA585" s="102"/>
      <c r="AB585" s="102"/>
      <c r="AC585" s="102"/>
      <c r="AD585" s="102"/>
    </row>
    <row r="586" spans="1:30">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c r="AA586" s="102"/>
      <c r="AB586" s="102"/>
      <c r="AC586" s="102"/>
      <c r="AD586" s="102"/>
    </row>
    <row r="587" spans="1:30">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c r="AA587" s="102"/>
      <c r="AB587" s="102"/>
      <c r="AC587" s="102"/>
      <c r="AD587" s="102"/>
    </row>
    <row r="588" spans="1:30">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c r="AA588" s="102"/>
      <c r="AB588" s="102"/>
      <c r="AC588" s="102"/>
      <c r="AD588" s="102"/>
    </row>
    <row r="589" spans="1:30">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c r="AA589" s="102"/>
      <c r="AB589" s="102"/>
      <c r="AC589" s="102"/>
      <c r="AD589" s="102"/>
    </row>
    <row r="590" spans="1:30">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c r="AA590" s="102"/>
      <c r="AB590" s="102"/>
      <c r="AC590" s="102"/>
      <c r="AD590" s="102"/>
    </row>
    <row r="591" spans="1:30">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c r="AA591" s="102"/>
      <c r="AB591" s="102"/>
      <c r="AC591" s="102"/>
      <c r="AD591" s="102"/>
    </row>
    <row r="592" spans="1:30">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c r="AA592" s="102"/>
      <c r="AB592" s="102"/>
      <c r="AC592" s="102"/>
      <c r="AD592" s="102"/>
    </row>
    <row r="593" spans="1:30">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c r="AA593" s="102"/>
      <c r="AB593" s="102"/>
      <c r="AC593" s="102"/>
      <c r="AD593" s="102"/>
    </row>
    <row r="594" spans="1:30">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c r="AA594" s="102"/>
      <c r="AB594" s="102"/>
      <c r="AC594" s="102"/>
      <c r="AD594" s="102"/>
    </row>
    <row r="595" spans="1:30">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c r="AA595" s="102"/>
      <c r="AB595" s="102"/>
      <c r="AC595" s="102"/>
      <c r="AD595" s="102"/>
    </row>
    <row r="596" spans="1:30">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c r="AA596" s="102"/>
      <c r="AB596" s="102"/>
      <c r="AC596" s="102"/>
      <c r="AD596" s="102"/>
    </row>
    <row r="597" spans="1:30">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c r="AA597" s="102"/>
      <c r="AB597" s="102"/>
      <c r="AC597" s="102"/>
      <c r="AD597" s="102"/>
    </row>
    <row r="598" spans="1:30">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c r="AA598" s="102"/>
      <c r="AB598" s="102"/>
      <c r="AC598" s="102"/>
      <c r="AD598" s="102"/>
    </row>
    <row r="599" spans="1:30">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c r="AA599" s="102"/>
      <c r="AB599" s="102"/>
      <c r="AC599" s="102"/>
      <c r="AD599" s="102"/>
    </row>
    <row r="600" spans="1:30">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c r="AA600" s="102"/>
      <c r="AB600" s="102"/>
      <c r="AC600" s="102"/>
      <c r="AD600" s="102"/>
    </row>
    <row r="601" spans="1:30">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c r="AA601" s="102"/>
      <c r="AB601" s="102"/>
      <c r="AC601" s="102"/>
      <c r="AD601" s="102"/>
    </row>
    <row r="602" spans="1:30">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c r="AA602" s="102"/>
      <c r="AB602" s="102"/>
      <c r="AC602" s="102"/>
      <c r="AD602" s="102"/>
    </row>
    <row r="603" spans="1:30">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c r="AA603" s="102"/>
      <c r="AB603" s="102"/>
      <c r="AC603" s="102"/>
      <c r="AD603" s="102"/>
    </row>
    <row r="604" spans="1:30">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c r="AA604" s="102"/>
      <c r="AB604" s="102"/>
      <c r="AC604" s="102"/>
      <c r="AD604" s="102"/>
    </row>
    <row r="605" spans="1:30">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c r="AA605" s="102"/>
      <c r="AB605" s="102"/>
      <c r="AC605" s="102"/>
      <c r="AD605" s="102"/>
    </row>
    <row r="606" spans="1:30">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c r="AA606" s="102"/>
      <c r="AB606" s="102"/>
      <c r="AC606" s="102"/>
      <c r="AD606" s="102"/>
    </row>
    <row r="607" spans="1:30">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c r="AA607" s="102"/>
      <c r="AB607" s="102"/>
      <c r="AC607" s="102"/>
      <c r="AD607" s="102"/>
    </row>
    <row r="608" spans="1:30">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c r="AA608" s="102"/>
      <c r="AB608" s="102"/>
      <c r="AC608" s="102"/>
      <c r="AD608" s="102"/>
    </row>
    <row r="609" spans="1:30">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c r="AA609" s="102"/>
      <c r="AB609" s="102"/>
      <c r="AC609" s="102"/>
      <c r="AD609" s="102"/>
    </row>
    <row r="610" spans="1:30">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c r="AA610" s="102"/>
      <c r="AB610" s="102"/>
      <c r="AC610" s="102"/>
      <c r="AD610" s="102"/>
    </row>
    <row r="611" spans="1:30">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c r="AA611" s="102"/>
      <c r="AB611" s="102"/>
      <c r="AC611" s="102"/>
      <c r="AD611" s="102"/>
    </row>
    <row r="612" spans="1:30">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c r="AA612" s="102"/>
      <c r="AB612" s="102"/>
      <c r="AC612" s="102"/>
      <c r="AD612" s="102"/>
    </row>
    <row r="613" spans="1:30">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c r="AA613" s="102"/>
      <c r="AB613" s="102"/>
      <c r="AC613" s="102"/>
      <c r="AD613" s="102"/>
    </row>
    <row r="614" spans="1:30">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c r="AA614" s="102"/>
      <c r="AB614" s="102"/>
      <c r="AC614" s="102"/>
      <c r="AD614" s="102"/>
    </row>
    <row r="615" spans="1:30">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c r="AA615" s="102"/>
      <c r="AB615" s="102"/>
      <c r="AC615" s="102"/>
      <c r="AD615" s="102"/>
    </row>
    <row r="616" spans="1:30">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c r="AA616" s="102"/>
      <c r="AB616" s="102"/>
      <c r="AC616" s="102"/>
      <c r="AD616" s="102"/>
    </row>
    <row r="617" spans="1:30">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c r="AA617" s="102"/>
      <c r="AB617" s="102"/>
      <c r="AC617" s="102"/>
      <c r="AD617" s="102"/>
    </row>
    <row r="618" spans="1:30">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c r="AA618" s="102"/>
      <c r="AB618" s="102"/>
      <c r="AC618" s="102"/>
      <c r="AD618" s="102"/>
    </row>
    <row r="619" spans="1:30">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c r="AA619" s="102"/>
      <c r="AB619" s="102"/>
      <c r="AC619" s="102"/>
      <c r="AD619" s="102"/>
    </row>
    <row r="620" spans="1:30">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c r="AA620" s="102"/>
      <c r="AB620" s="102"/>
      <c r="AC620" s="102"/>
      <c r="AD620" s="102"/>
    </row>
    <row r="621" spans="1:30">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c r="AA621" s="102"/>
      <c r="AB621" s="102"/>
      <c r="AC621" s="102"/>
      <c r="AD621" s="102"/>
    </row>
    <row r="622" spans="1:30">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c r="AA622" s="102"/>
      <c r="AB622" s="102"/>
      <c r="AC622" s="102"/>
      <c r="AD622" s="102"/>
    </row>
    <row r="623" spans="1:30">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c r="AA623" s="102"/>
      <c r="AB623" s="102"/>
      <c r="AC623" s="102"/>
      <c r="AD623" s="102"/>
    </row>
    <row r="624" spans="1:30">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c r="AA624" s="102"/>
      <c r="AB624" s="102"/>
      <c r="AC624" s="102"/>
      <c r="AD624" s="102"/>
    </row>
    <row r="625" spans="1:30">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c r="AA625" s="102"/>
      <c r="AB625" s="102"/>
      <c r="AC625" s="102"/>
      <c r="AD625" s="102"/>
    </row>
    <row r="626" spans="1:30">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c r="AA626" s="102"/>
      <c r="AB626" s="102"/>
      <c r="AC626" s="102"/>
      <c r="AD626" s="102"/>
    </row>
    <row r="627" spans="1:30">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c r="AA627" s="102"/>
      <c r="AB627" s="102"/>
      <c r="AC627" s="102"/>
      <c r="AD627" s="102"/>
    </row>
    <row r="628" spans="1:30">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c r="AA628" s="102"/>
      <c r="AB628" s="102"/>
      <c r="AC628" s="102"/>
      <c r="AD628" s="102"/>
    </row>
    <row r="629" spans="1:30">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c r="AA629" s="102"/>
      <c r="AB629" s="102"/>
      <c r="AC629" s="102"/>
      <c r="AD629" s="102"/>
    </row>
    <row r="630" spans="1:30">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c r="AA630" s="102"/>
      <c r="AB630" s="102"/>
      <c r="AC630" s="102"/>
      <c r="AD630" s="102"/>
    </row>
    <row r="631" spans="1:30">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c r="AA631" s="102"/>
      <c r="AB631" s="102"/>
      <c r="AC631" s="102"/>
      <c r="AD631" s="102"/>
    </row>
    <row r="632" spans="1:30">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c r="AA632" s="102"/>
      <c r="AB632" s="102"/>
      <c r="AC632" s="102"/>
      <c r="AD632" s="102"/>
    </row>
    <row r="633" spans="1:30">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c r="AA633" s="102"/>
      <c r="AB633" s="102"/>
      <c r="AC633" s="102"/>
      <c r="AD633" s="102"/>
    </row>
    <row r="634" spans="1:30">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c r="AA634" s="102"/>
      <c r="AB634" s="102"/>
      <c r="AC634" s="102"/>
      <c r="AD634" s="102"/>
    </row>
    <row r="635" spans="1:30">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c r="AA635" s="102"/>
      <c r="AB635" s="102"/>
      <c r="AC635" s="102"/>
      <c r="AD635" s="102"/>
    </row>
    <row r="636" spans="1:30">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c r="AA636" s="102"/>
      <c r="AB636" s="102"/>
      <c r="AC636" s="102"/>
      <c r="AD636" s="102"/>
    </row>
    <row r="637" spans="1:30">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c r="AA637" s="102"/>
      <c r="AB637" s="102"/>
      <c r="AC637" s="102"/>
      <c r="AD637" s="102"/>
    </row>
    <row r="638" spans="1:30">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row>
    <row r="639" spans="1:30">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c r="AA639" s="102"/>
      <c r="AB639" s="102"/>
      <c r="AC639" s="102"/>
      <c r="AD639" s="102"/>
    </row>
    <row r="640" spans="1:30">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c r="AA640" s="102"/>
      <c r="AB640" s="102"/>
      <c r="AC640" s="102"/>
      <c r="AD640" s="102"/>
    </row>
    <row r="641" spans="1:30">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c r="AA641" s="102"/>
      <c r="AB641" s="102"/>
      <c r="AC641" s="102"/>
      <c r="AD641" s="102"/>
    </row>
    <row r="642" spans="1:30">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c r="AA642" s="102"/>
      <c r="AB642" s="102"/>
      <c r="AC642" s="102"/>
      <c r="AD642" s="102"/>
    </row>
    <row r="643" spans="1:30">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c r="AA643" s="102"/>
      <c r="AB643" s="102"/>
      <c r="AC643" s="102"/>
      <c r="AD643" s="102"/>
    </row>
    <row r="644" spans="1:30">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c r="AA644" s="102"/>
      <c r="AB644" s="102"/>
      <c r="AC644" s="102"/>
      <c r="AD644" s="102"/>
    </row>
    <row r="645" spans="1:30">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c r="AA645" s="102"/>
      <c r="AB645" s="102"/>
      <c r="AC645" s="102"/>
      <c r="AD645" s="102"/>
    </row>
    <row r="646" spans="1:30">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c r="AA646" s="102"/>
      <c r="AB646" s="102"/>
      <c r="AC646" s="102"/>
      <c r="AD646" s="102"/>
    </row>
    <row r="647" spans="1:30">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c r="AA647" s="102"/>
      <c r="AB647" s="102"/>
      <c r="AC647" s="102"/>
      <c r="AD647" s="102"/>
    </row>
    <row r="648" spans="1:30">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c r="AA648" s="102"/>
      <c r="AB648" s="102"/>
      <c r="AC648" s="102"/>
      <c r="AD648" s="102"/>
    </row>
    <row r="649" spans="1:30">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c r="AA649" s="102"/>
      <c r="AB649" s="102"/>
      <c r="AC649" s="102"/>
      <c r="AD649" s="102"/>
    </row>
    <row r="650" spans="1:30">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c r="AA650" s="102"/>
      <c r="AB650" s="102"/>
      <c r="AC650" s="102"/>
      <c r="AD650" s="102"/>
    </row>
    <row r="651" spans="1:30">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c r="AA651" s="102"/>
      <c r="AB651" s="102"/>
      <c r="AC651" s="102"/>
      <c r="AD651" s="102"/>
    </row>
    <row r="652" spans="1:30">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c r="AA652" s="102"/>
      <c r="AB652" s="102"/>
      <c r="AC652" s="102"/>
      <c r="AD652" s="102"/>
    </row>
    <row r="653" spans="1:30">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c r="AA653" s="102"/>
      <c r="AB653" s="102"/>
      <c r="AC653" s="102"/>
      <c r="AD653" s="102"/>
    </row>
    <row r="654" spans="1:30">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c r="AA654" s="102"/>
      <c r="AB654" s="102"/>
      <c r="AC654" s="102"/>
      <c r="AD654" s="102"/>
    </row>
    <row r="655" spans="1:30">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c r="AA655" s="102"/>
      <c r="AB655" s="102"/>
      <c r="AC655" s="102"/>
      <c r="AD655" s="102"/>
    </row>
    <row r="656" spans="1:30">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c r="AA656" s="102"/>
      <c r="AB656" s="102"/>
      <c r="AC656" s="102"/>
      <c r="AD656" s="102"/>
    </row>
    <row r="657" spans="1:30">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c r="AA657" s="102"/>
      <c r="AB657" s="102"/>
      <c r="AC657" s="102"/>
      <c r="AD657" s="102"/>
    </row>
    <row r="658" spans="1:30">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c r="AA658" s="102"/>
      <c r="AB658" s="102"/>
      <c r="AC658" s="102"/>
      <c r="AD658" s="102"/>
    </row>
    <row r="659" spans="1:30">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c r="AA659" s="102"/>
      <c r="AB659" s="102"/>
      <c r="AC659" s="102"/>
      <c r="AD659" s="102"/>
    </row>
    <row r="660" spans="1:30">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c r="AA660" s="102"/>
      <c r="AB660" s="102"/>
      <c r="AC660" s="102"/>
      <c r="AD660" s="102"/>
    </row>
    <row r="661" spans="1:30">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c r="AA661" s="102"/>
      <c r="AB661" s="102"/>
      <c r="AC661" s="102"/>
      <c r="AD661" s="102"/>
    </row>
    <row r="662" spans="1:30">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c r="AA662" s="102"/>
      <c r="AB662" s="102"/>
      <c r="AC662" s="102"/>
      <c r="AD662" s="102"/>
    </row>
    <row r="663" spans="1:30">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c r="AA663" s="102"/>
      <c r="AB663" s="102"/>
      <c r="AC663" s="102"/>
      <c r="AD663" s="102"/>
    </row>
    <row r="664" spans="1:30">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c r="AA664" s="102"/>
      <c r="AB664" s="102"/>
      <c r="AC664" s="102"/>
      <c r="AD664" s="102"/>
    </row>
    <row r="665" spans="1:30">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c r="AA665" s="102"/>
      <c r="AB665" s="102"/>
      <c r="AC665" s="102"/>
      <c r="AD665" s="102"/>
    </row>
    <row r="666" spans="1:30">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c r="AA666" s="102"/>
      <c r="AB666" s="102"/>
      <c r="AC666" s="102"/>
      <c r="AD666" s="102"/>
    </row>
    <row r="667" spans="1:30">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c r="AA667" s="102"/>
      <c r="AB667" s="102"/>
      <c r="AC667" s="102"/>
      <c r="AD667" s="102"/>
    </row>
    <row r="668" spans="1:30">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c r="AA668" s="102"/>
      <c r="AB668" s="102"/>
      <c r="AC668" s="102"/>
      <c r="AD668" s="102"/>
    </row>
    <row r="669" spans="1:30">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c r="AA669" s="102"/>
      <c r="AB669" s="102"/>
      <c r="AC669" s="102"/>
      <c r="AD669" s="102"/>
    </row>
    <row r="670" spans="1:30">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c r="AA670" s="102"/>
      <c r="AB670" s="102"/>
      <c r="AC670" s="102"/>
      <c r="AD670" s="102"/>
    </row>
    <row r="671" spans="1:30">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c r="AA671" s="102"/>
      <c r="AB671" s="102"/>
      <c r="AC671" s="102"/>
      <c r="AD671" s="102"/>
    </row>
    <row r="672" spans="1:30">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c r="AA672" s="102"/>
      <c r="AB672" s="102"/>
      <c r="AC672" s="102"/>
      <c r="AD672" s="102"/>
    </row>
    <row r="673" spans="1:30">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c r="AA673" s="102"/>
      <c r="AB673" s="102"/>
      <c r="AC673" s="102"/>
      <c r="AD673" s="102"/>
    </row>
    <row r="674" spans="1:30">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c r="AA674" s="102"/>
      <c r="AB674" s="102"/>
      <c r="AC674" s="102"/>
      <c r="AD674" s="102"/>
    </row>
    <row r="675" spans="1:30">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c r="AA675" s="102"/>
      <c r="AB675" s="102"/>
      <c r="AC675" s="102"/>
      <c r="AD675" s="102"/>
    </row>
    <row r="676" spans="1:30">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c r="AA676" s="102"/>
      <c r="AB676" s="102"/>
      <c r="AC676" s="102"/>
      <c r="AD676" s="102"/>
    </row>
    <row r="677" spans="1:30">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c r="AA677" s="102"/>
      <c r="AB677" s="102"/>
      <c r="AC677" s="102"/>
      <c r="AD677" s="102"/>
    </row>
    <row r="678" spans="1:30">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c r="AA678" s="102"/>
      <c r="AB678" s="102"/>
      <c r="AC678" s="102"/>
      <c r="AD678" s="102"/>
    </row>
    <row r="679" spans="1:30">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c r="AA679" s="102"/>
      <c r="AB679" s="102"/>
      <c r="AC679" s="102"/>
      <c r="AD679" s="102"/>
    </row>
    <row r="680" spans="1:30">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c r="AA680" s="102"/>
      <c r="AB680" s="102"/>
      <c r="AC680" s="102"/>
      <c r="AD680" s="102"/>
    </row>
    <row r="681" spans="1:30">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c r="AA681" s="102"/>
      <c r="AB681" s="102"/>
      <c r="AC681" s="102"/>
      <c r="AD681" s="102"/>
    </row>
    <row r="682" spans="1:30">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c r="AA682" s="102"/>
      <c r="AB682" s="102"/>
      <c r="AC682" s="102"/>
      <c r="AD682" s="102"/>
    </row>
    <row r="683" spans="1:30">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c r="AA683" s="102"/>
      <c r="AB683" s="102"/>
      <c r="AC683" s="102"/>
      <c r="AD683" s="102"/>
    </row>
    <row r="684" spans="1:30">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c r="AA684" s="102"/>
      <c r="AB684" s="102"/>
      <c r="AC684" s="102"/>
      <c r="AD684" s="102"/>
    </row>
    <row r="685" spans="1:30">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c r="AA685" s="102"/>
      <c r="AB685" s="102"/>
      <c r="AC685" s="102"/>
      <c r="AD685" s="102"/>
    </row>
    <row r="686" spans="1:30">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c r="AA686" s="102"/>
      <c r="AB686" s="102"/>
      <c r="AC686" s="102"/>
      <c r="AD686" s="102"/>
    </row>
    <row r="687" spans="1:30">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c r="AA687" s="102"/>
      <c r="AB687" s="102"/>
      <c r="AC687" s="102"/>
      <c r="AD687" s="102"/>
    </row>
    <row r="688" spans="1:30">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c r="AA688" s="102"/>
      <c r="AB688" s="102"/>
      <c r="AC688" s="102"/>
      <c r="AD688" s="102"/>
    </row>
    <row r="689" spans="1:30">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c r="AA689" s="102"/>
      <c r="AB689" s="102"/>
      <c r="AC689" s="102"/>
      <c r="AD689" s="102"/>
    </row>
    <row r="690" spans="1:30">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c r="AA690" s="102"/>
      <c r="AB690" s="102"/>
      <c r="AC690" s="102"/>
      <c r="AD690" s="102"/>
    </row>
    <row r="691" spans="1:30">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c r="AA691" s="102"/>
      <c r="AB691" s="102"/>
      <c r="AC691" s="102"/>
      <c r="AD691" s="102"/>
    </row>
    <row r="692" spans="1:30">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c r="AA692" s="102"/>
      <c r="AB692" s="102"/>
      <c r="AC692" s="102"/>
      <c r="AD692" s="102"/>
    </row>
    <row r="693" spans="1:30">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c r="AA693" s="102"/>
      <c r="AB693" s="102"/>
      <c r="AC693" s="102"/>
      <c r="AD693" s="102"/>
    </row>
    <row r="694" spans="1:30">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c r="AA694" s="102"/>
      <c r="AB694" s="102"/>
      <c r="AC694" s="102"/>
      <c r="AD694" s="102"/>
    </row>
    <row r="695" spans="1:30">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c r="AA695" s="102"/>
      <c r="AB695" s="102"/>
      <c r="AC695" s="102"/>
      <c r="AD695" s="102"/>
    </row>
    <row r="696" spans="1:30">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c r="AA696" s="102"/>
      <c r="AB696" s="102"/>
      <c r="AC696" s="102"/>
      <c r="AD696" s="102"/>
    </row>
    <row r="697" spans="1:30">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c r="AA697" s="102"/>
      <c r="AB697" s="102"/>
      <c r="AC697" s="102"/>
      <c r="AD697" s="102"/>
    </row>
    <row r="698" spans="1:30">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c r="AA698" s="102"/>
      <c r="AB698" s="102"/>
      <c r="AC698" s="102"/>
      <c r="AD698" s="102"/>
    </row>
    <row r="699" spans="1:30">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c r="AA699" s="102"/>
      <c r="AB699" s="102"/>
      <c r="AC699" s="102"/>
      <c r="AD699" s="102"/>
    </row>
    <row r="700" spans="1:30">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c r="AA700" s="102"/>
      <c r="AB700" s="102"/>
      <c r="AC700" s="102"/>
      <c r="AD700" s="102"/>
    </row>
    <row r="701" spans="1:30">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c r="AA701" s="102"/>
      <c r="AB701" s="102"/>
      <c r="AC701" s="102"/>
      <c r="AD701" s="102"/>
    </row>
    <row r="702" spans="1:30">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c r="AA702" s="102"/>
      <c r="AB702" s="102"/>
      <c r="AC702" s="102"/>
      <c r="AD702" s="102"/>
    </row>
    <row r="703" spans="1:30">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c r="AA703" s="102"/>
      <c r="AB703" s="102"/>
      <c r="AC703" s="102"/>
      <c r="AD703" s="102"/>
    </row>
    <row r="704" spans="1:30">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c r="AA704" s="102"/>
      <c r="AB704" s="102"/>
      <c r="AC704" s="102"/>
      <c r="AD704" s="102"/>
    </row>
    <row r="705" spans="1:30">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c r="AA705" s="102"/>
      <c r="AB705" s="102"/>
      <c r="AC705" s="102"/>
      <c r="AD705" s="102"/>
    </row>
    <row r="706" spans="1:30">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c r="AA706" s="102"/>
      <c r="AB706" s="102"/>
      <c r="AC706" s="102"/>
      <c r="AD706" s="102"/>
    </row>
    <row r="707" spans="1:30">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c r="AA707" s="102"/>
      <c r="AB707" s="102"/>
      <c r="AC707" s="102"/>
      <c r="AD707" s="102"/>
    </row>
    <row r="708" spans="1:30">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c r="AA708" s="102"/>
      <c r="AB708" s="102"/>
      <c r="AC708" s="102"/>
      <c r="AD708" s="102"/>
    </row>
    <row r="709" spans="1:30">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c r="AA709" s="102"/>
      <c r="AB709" s="102"/>
      <c r="AC709" s="102"/>
      <c r="AD709" s="102"/>
    </row>
    <row r="710" spans="1:30">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row>
    <row r="711" spans="1:30">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c r="AA711" s="102"/>
      <c r="AB711" s="102"/>
      <c r="AC711" s="102"/>
      <c r="AD711" s="102"/>
    </row>
    <row r="712" spans="1:30">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row>
    <row r="713" spans="1:30">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c r="AA713" s="102"/>
      <c r="AB713" s="102"/>
      <c r="AC713" s="102"/>
      <c r="AD713" s="102"/>
    </row>
    <row r="714" spans="1:30">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c r="AA714" s="102"/>
      <c r="AB714" s="102"/>
      <c r="AC714" s="102"/>
      <c r="AD714" s="102"/>
    </row>
    <row r="715" spans="1:30">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c r="AA715" s="102"/>
      <c r="AB715" s="102"/>
      <c r="AC715" s="102"/>
      <c r="AD715" s="102"/>
    </row>
    <row r="716" spans="1:30">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c r="AA716" s="102"/>
      <c r="AB716" s="102"/>
      <c r="AC716" s="102"/>
      <c r="AD716" s="102"/>
    </row>
    <row r="717" spans="1:30">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c r="AA717" s="102"/>
      <c r="AB717" s="102"/>
      <c r="AC717" s="102"/>
      <c r="AD717" s="102"/>
    </row>
    <row r="718" spans="1:30">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c r="AA718" s="102"/>
      <c r="AB718" s="102"/>
      <c r="AC718" s="102"/>
      <c r="AD718" s="102"/>
    </row>
    <row r="719" spans="1:30">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c r="AA719" s="102"/>
      <c r="AB719" s="102"/>
      <c r="AC719" s="102"/>
      <c r="AD719" s="102"/>
    </row>
    <row r="720" spans="1:30">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c r="AA720" s="102"/>
      <c r="AB720" s="102"/>
      <c r="AC720" s="102"/>
      <c r="AD720" s="102"/>
    </row>
    <row r="721" spans="1:30">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c r="AA721" s="102"/>
      <c r="AB721" s="102"/>
      <c r="AC721" s="102"/>
      <c r="AD721" s="102"/>
    </row>
    <row r="722" spans="1:30">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c r="AA722" s="102"/>
      <c r="AB722" s="102"/>
      <c r="AC722" s="102"/>
      <c r="AD722" s="102"/>
    </row>
    <row r="723" spans="1:30">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c r="AA723" s="102"/>
      <c r="AB723" s="102"/>
      <c r="AC723" s="102"/>
      <c r="AD723" s="102"/>
    </row>
    <row r="724" spans="1:30">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c r="AA724" s="102"/>
      <c r="AB724" s="102"/>
      <c r="AC724" s="102"/>
      <c r="AD724" s="102"/>
    </row>
    <row r="725" spans="1:30">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c r="AA725" s="102"/>
      <c r="AB725" s="102"/>
      <c r="AC725" s="102"/>
      <c r="AD725" s="102"/>
    </row>
    <row r="726" spans="1:30">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c r="AA726" s="102"/>
      <c r="AB726" s="102"/>
      <c r="AC726" s="102"/>
      <c r="AD726" s="102"/>
    </row>
    <row r="727" spans="1:30">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c r="AA727" s="102"/>
      <c r="AB727" s="102"/>
      <c r="AC727" s="102"/>
      <c r="AD727" s="102"/>
    </row>
    <row r="728" spans="1:30">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c r="AA728" s="102"/>
      <c r="AB728" s="102"/>
      <c r="AC728" s="102"/>
      <c r="AD728" s="102"/>
    </row>
    <row r="729" spans="1:30">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c r="AA729" s="102"/>
      <c r="AB729" s="102"/>
      <c r="AC729" s="102"/>
      <c r="AD729" s="102"/>
    </row>
    <row r="730" spans="1:30">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c r="AA730" s="102"/>
      <c r="AB730" s="102"/>
      <c r="AC730" s="102"/>
      <c r="AD730" s="102"/>
    </row>
    <row r="731" spans="1:30">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c r="AA731" s="102"/>
      <c r="AB731" s="102"/>
      <c r="AC731" s="102"/>
      <c r="AD731" s="102"/>
    </row>
    <row r="732" spans="1:30">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c r="AA732" s="102"/>
      <c r="AB732" s="102"/>
      <c r="AC732" s="102"/>
      <c r="AD732" s="102"/>
    </row>
    <row r="733" spans="1:30">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c r="AA733" s="102"/>
      <c r="AB733" s="102"/>
      <c r="AC733" s="102"/>
      <c r="AD733" s="102"/>
    </row>
    <row r="734" spans="1:30">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c r="AA734" s="102"/>
      <c r="AB734" s="102"/>
      <c r="AC734" s="102"/>
      <c r="AD734" s="102"/>
    </row>
    <row r="735" spans="1:30">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c r="AA735" s="102"/>
      <c r="AB735" s="102"/>
      <c r="AC735" s="102"/>
      <c r="AD735" s="102"/>
    </row>
    <row r="736" spans="1:30">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c r="AA736" s="102"/>
      <c r="AB736" s="102"/>
      <c r="AC736" s="102"/>
      <c r="AD736" s="102"/>
    </row>
    <row r="737" spans="1:30">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c r="AA737" s="102"/>
      <c r="AB737" s="102"/>
      <c r="AC737" s="102"/>
      <c r="AD737" s="102"/>
    </row>
    <row r="738" spans="1:30">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c r="AA738" s="102"/>
      <c r="AB738" s="102"/>
      <c r="AC738" s="102"/>
      <c r="AD738" s="102"/>
    </row>
    <row r="739" spans="1:30">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c r="AA739" s="102"/>
      <c r="AB739" s="102"/>
      <c r="AC739" s="102"/>
      <c r="AD739" s="102"/>
    </row>
    <row r="740" spans="1:30">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c r="AA740" s="102"/>
      <c r="AB740" s="102"/>
      <c r="AC740" s="102"/>
      <c r="AD740" s="102"/>
    </row>
    <row r="741" spans="1:30">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c r="AA741" s="102"/>
      <c r="AB741" s="102"/>
      <c r="AC741" s="102"/>
      <c r="AD741" s="102"/>
    </row>
    <row r="742" spans="1:30">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c r="AA742" s="102"/>
      <c r="AB742" s="102"/>
      <c r="AC742" s="102"/>
      <c r="AD742" s="102"/>
    </row>
    <row r="743" spans="1:30">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c r="AA743" s="102"/>
      <c r="AB743" s="102"/>
      <c r="AC743" s="102"/>
      <c r="AD743" s="102"/>
    </row>
    <row r="744" spans="1:30">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c r="AA744" s="102"/>
      <c r="AB744" s="102"/>
      <c r="AC744" s="102"/>
      <c r="AD744" s="102"/>
    </row>
    <row r="745" spans="1:30">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c r="AA745" s="102"/>
      <c r="AB745" s="102"/>
      <c r="AC745" s="102"/>
      <c r="AD745" s="102"/>
    </row>
    <row r="746" spans="1:30">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c r="AA746" s="102"/>
      <c r="AB746" s="102"/>
      <c r="AC746" s="102"/>
      <c r="AD746" s="102"/>
    </row>
    <row r="747" spans="1:30">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c r="AA747" s="102"/>
      <c r="AB747" s="102"/>
      <c r="AC747" s="102"/>
      <c r="AD747" s="102"/>
    </row>
    <row r="748" spans="1:30">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c r="AA748" s="102"/>
      <c r="AB748" s="102"/>
      <c r="AC748" s="102"/>
      <c r="AD748" s="102"/>
    </row>
    <row r="749" spans="1:30">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c r="AA749" s="102"/>
      <c r="AB749" s="102"/>
      <c r="AC749" s="102"/>
      <c r="AD749" s="102"/>
    </row>
    <row r="750" spans="1:30">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c r="AA750" s="102"/>
      <c r="AB750" s="102"/>
      <c r="AC750" s="102"/>
      <c r="AD750" s="102"/>
    </row>
    <row r="751" spans="1:30">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c r="AA751" s="102"/>
      <c r="AB751" s="102"/>
      <c r="AC751" s="102"/>
      <c r="AD751" s="102"/>
    </row>
    <row r="752" spans="1:30">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c r="AA752" s="102"/>
      <c r="AB752" s="102"/>
      <c r="AC752" s="102"/>
      <c r="AD752" s="102"/>
    </row>
    <row r="753" spans="1:30">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c r="AA753" s="102"/>
      <c r="AB753" s="102"/>
      <c r="AC753" s="102"/>
      <c r="AD753" s="102"/>
    </row>
    <row r="754" spans="1:30">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c r="AA754" s="102"/>
      <c r="AB754" s="102"/>
      <c r="AC754" s="102"/>
      <c r="AD754" s="102"/>
    </row>
    <row r="755" spans="1:30">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c r="AA755" s="102"/>
      <c r="AB755" s="102"/>
      <c r="AC755" s="102"/>
      <c r="AD755" s="102"/>
    </row>
    <row r="756" spans="1:30">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c r="AA756" s="102"/>
      <c r="AB756" s="102"/>
      <c r="AC756" s="102"/>
      <c r="AD756" s="102"/>
    </row>
    <row r="757" spans="1:30">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c r="AA757" s="102"/>
      <c r="AB757" s="102"/>
      <c r="AC757" s="102"/>
      <c r="AD757" s="102"/>
    </row>
    <row r="758" spans="1:30">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c r="AA758" s="102"/>
      <c r="AB758" s="102"/>
      <c r="AC758" s="102"/>
      <c r="AD758" s="102"/>
    </row>
    <row r="759" spans="1:30">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c r="AA759" s="102"/>
      <c r="AB759" s="102"/>
      <c r="AC759" s="102"/>
      <c r="AD759" s="102"/>
    </row>
    <row r="760" spans="1:30">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c r="AA760" s="102"/>
      <c r="AB760" s="102"/>
      <c r="AC760" s="102"/>
      <c r="AD760" s="102"/>
    </row>
    <row r="761" spans="1:30">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c r="AA761" s="102"/>
      <c r="AB761" s="102"/>
      <c r="AC761" s="102"/>
      <c r="AD761" s="102"/>
    </row>
    <row r="762" spans="1:30">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c r="AA762" s="102"/>
      <c r="AB762" s="102"/>
      <c r="AC762" s="102"/>
      <c r="AD762" s="102"/>
    </row>
    <row r="763" spans="1:30">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c r="AA763" s="102"/>
      <c r="AB763" s="102"/>
      <c r="AC763" s="102"/>
      <c r="AD763" s="102"/>
    </row>
    <row r="764" spans="1:30">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c r="AA764" s="102"/>
      <c r="AB764" s="102"/>
      <c r="AC764" s="102"/>
      <c r="AD764" s="102"/>
    </row>
    <row r="765" spans="1:30">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c r="AA765" s="102"/>
      <c r="AB765" s="102"/>
      <c r="AC765" s="102"/>
      <c r="AD765" s="102"/>
    </row>
    <row r="766" spans="1:30">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c r="AA766" s="102"/>
      <c r="AB766" s="102"/>
      <c r="AC766" s="102"/>
      <c r="AD766" s="102"/>
    </row>
    <row r="767" spans="1:30">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c r="AA767" s="102"/>
      <c r="AB767" s="102"/>
      <c r="AC767" s="102"/>
      <c r="AD767" s="102"/>
    </row>
    <row r="768" spans="1:30">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c r="AA768" s="102"/>
      <c r="AB768" s="102"/>
      <c r="AC768" s="102"/>
      <c r="AD768" s="102"/>
    </row>
    <row r="769" spans="1:30">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c r="AA769" s="102"/>
      <c r="AB769" s="102"/>
      <c r="AC769" s="102"/>
      <c r="AD769" s="102"/>
    </row>
    <row r="770" spans="1:30">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c r="AA770" s="102"/>
      <c r="AB770" s="102"/>
      <c r="AC770" s="102"/>
      <c r="AD770" s="102"/>
    </row>
    <row r="771" spans="1:30">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c r="AA771" s="102"/>
      <c r="AB771" s="102"/>
      <c r="AC771" s="102"/>
      <c r="AD771" s="102"/>
    </row>
    <row r="772" spans="1:30">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c r="AA772" s="102"/>
      <c r="AB772" s="102"/>
      <c r="AC772" s="102"/>
      <c r="AD772" s="102"/>
    </row>
    <row r="773" spans="1:30">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c r="AA773" s="102"/>
      <c r="AB773" s="102"/>
      <c r="AC773" s="102"/>
      <c r="AD773" s="102"/>
    </row>
    <row r="774" spans="1:30">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c r="AA774" s="102"/>
      <c r="AB774" s="102"/>
      <c r="AC774" s="102"/>
      <c r="AD774" s="102"/>
    </row>
    <row r="775" spans="1:30">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c r="AA775" s="102"/>
      <c r="AB775" s="102"/>
      <c r="AC775" s="102"/>
      <c r="AD775" s="102"/>
    </row>
    <row r="776" spans="1:30">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c r="AA776" s="102"/>
      <c r="AB776" s="102"/>
      <c r="AC776" s="102"/>
      <c r="AD776" s="102"/>
    </row>
    <row r="777" spans="1:30">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c r="AA777" s="102"/>
      <c r="AB777" s="102"/>
      <c r="AC777" s="102"/>
      <c r="AD777" s="102"/>
    </row>
    <row r="778" spans="1:30">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c r="AA778" s="102"/>
      <c r="AB778" s="102"/>
      <c r="AC778" s="102"/>
      <c r="AD778" s="102"/>
    </row>
    <row r="779" spans="1:30">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c r="AA779" s="102"/>
      <c r="AB779" s="102"/>
      <c r="AC779" s="102"/>
      <c r="AD779" s="102"/>
    </row>
    <row r="780" spans="1:30">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c r="AA780" s="102"/>
      <c r="AB780" s="102"/>
      <c r="AC780" s="102"/>
      <c r="AD780" s="102"/>
    </row>
    <row r="781" spans="1:30">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c r="AA781" s="102"/>
      <c r="AB781" s="102"/>
      <c r="AC781" s="102"/>
      <c r="AD781" s="102"/>
    </row>
    <row r="782" spans="1:30">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c r="AA782" s="102"/>
      <c r="AB782" s="102"/>
      <c r="AC782" s="102"/>
      <c r="AD782" s="102"/>
    </row>
    <row r="783" spans="1:30">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c r="AA783" s="102"/>
      <c r="AB783" s="102"/>
      <c r="AC783" s="102"/>
      <c r="AD783" s="102"/>
    </row>
    <row r="784" spans="1:30">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c r="AA784" s="102"/>
      <c r="AB784" s="102"/>
      <c r="AC784" s="102"/>
      <c r="AD784" s="102"/>
    </row>
    <row r="785" spans="1:30">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c r="AA785" s="102"/>
      <c r="AB785" s="102"/>
      <c r="AC785" s="102"/>
      <c r="AD785" s="102"/>
    </row>
    <row r="786" spans="1:30">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c r="AA786" s="102"/>
      <c r="AB786" s="102"/>
      <c r="AC786" s="102"/>
      <c r="AD786" s="102"/>
    </row>
    <row r="787" spans="1:30">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c r="AA787" s="102"/>
      <c r="AB787" s="102"/>
      <c r="AC787" s="102"/>
      <c r="AD787" s="102"/>
    </row>
    <row r="788" spans="1:30">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c r="AA788" s="102"/>
      <c r="AB788" s="102"/>
      <c r="AC788" s="102"/>
      <c r="AD788" s="102"/>
    </row>
    <row r="789" spans="1:30">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c r="AA789" s="102"/>
      <c r="AB789" s="102"/>
      <c r="AC789" s="102"/>
      <c r="AD789" s="102"/>
    </row>
    <row r="790" spans="1:30">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c r="AA790" s="102"/>
      <c r="AB790" s="102"/>
      <c r="AC790" s="102"/>
      <c r="AD790" s="102"/>
    </row>
    <row r="791" spans="1:30">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c r="AA791" s="102"/>
      <c r="AB791" s="102"/>
      <c r="AC791" s="102"/>
      <c r="AD791" s="102"/>
    </row>
    <row r="792" spans="1:30">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c r="AA792" s="102"/>
      <c r="AB792" s="102"/>
      <c r="AC792" s="102"/>
      <c r="AD792" s="102"/>
    </row>
    <row r="793" spans="1:30">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c r="AA793" s="102"/>
      <c r="AB793" s="102"/>
      <c r="AC793" s="102"/>
      <c r="AD793" s="102"/>
    </row>
    <row r="794" spans="1:30">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c r="AA794" s="102"/>
      <c r="AB794" s="102"/>
      <c r="AC794" s="102"/>
      <c r="AD794" s="102"/>
    </row>
    <row r="795" spans="1:30">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c r="AA795" s="102"/>
      <c r="AB795" s="102"/>
      <c r="AC795" s="102"/>
      <c r="AD795" s="102"/>
    </row>
    <row r="796" spans="1:30">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c r="AA796" s="102"/>
      <c r="AB796" s="102"/>
      <c r="AC796" s="102"/>
      <c r="AD796" s="102"/>
    </row>
    <row r="797" spans="1:30">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c r="AA797" s="102"/>
      <c r="AB797" s="102"/>
      <c r="AC797" s="102"/>
      <c r="AD797" s="102"/>
    </row>
    <row r="798" spans="1:30">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c r="AA798" s="102"/>
      <c r="AB798" s="102"/>
      <c r="AC798" s="102"/>
      <c r="AD798" s="102"/>
    </row>
    <row r="799" spans="1:30">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c r="AA799" s="102"/>
      <c r="AB799" s="102"/>
      <c r="AC799" s="102"/>
      <c r="AD799" s="102"/>
    </row>
    <row r="800" spans="1:30">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c r="AA800" s="102"/>
      <c r="AB800" s="102"/>
      <c r="AC800" s="102"/>
      <c r="AD800" s="102"/>
    </row>
    <row r="801" spans="1:30">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c r="AA801" s="102"/>
      <c r="AB801" s="102"/>
      <c r="AC801" s="102"/>
      <c r="AD801" s="102"/>
    </row>
    <row r="802" spans="1:30">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c r="AA802" s="102"/>
      <c r="AB802" s="102"/>
      <c r="AC802" s="102"/>
      <c r="AD802" s="102"/>
    </row>
    <row r="803" spans="1:30">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c r="AA803" s="102"/>
      <c r="AB803" s="102"/>
      <c r="AC803" s="102"/>
      <c r="AD803" s="102"/>
    </row>
    <row r="804" spans="1:30">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c r="AA804" s="102"/>
      <c r="AB804" s="102"/>
      <c r="AC804" s="102"/>
      <c r="AD804" s="102"/>
    </row>
    <row r="805" spans="1:30">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c r="AA805" s="102"/>
      <c r="AB805" s="102"/>
      <c r="AC805" s="102"/>
      <c r="AD805" s="102"/>
    </row>
    <row r="806" spans="1:30">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c r="AA806" s="102"/>
      <c r="AB806" s="102"/>
      <c r="AC806" s="102"/>
      <c r="AD806" s="102"/>
    </row>
    <row r="807" spans="1:30">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c r="AA807" s="102"/>
      <c r="AB807" s="102"/>
      <c r="AC807" s="102"/>
      <c r="AD807" s="102"/>
    </row>
    <row r="808" spans="1:30">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c r="AA808" s="102"/>
      <c r="AB808" s="102"/>
      <c r="AC808" s="102"/>
      <c r="AD808" s="102"/>
    </row>
    <row r="809" spans="1:30">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c r="AA809" s="102"/>
      <c r="AB809" s="102"/>
      <c r="AC809" s="102"/>
      <c r="AD809" s="102"/>
    </row>
    <row r="810" spans="1:30">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c r="AA810" s="102"/>
      <c r="AB810" s="102"/>
      <c r="AC810" s="102"/>
      <c r="AD810" s="102"/>
    </row>
    <row r="811" spans="1:30">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c r="AA811" s="102"/>
      <c r="AB811" s="102"/>
      <c r="AC811" s="102"/>
      <c r="AD811" s="102"/>
    </row>
    <row r="812" spans="1:30">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c r="AA812" s="102"/>
      <c r="AB812" s="102"/>
      <c r="AC812" s="102"/>
      <c r="AD812" s="102"/>
    </row>
    <row r="813" spans="1:30">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c r="AA813" s="102"/>
      <c r="AB813" s="102"/>
      <c r="AC813" s="102"/>
      <c r="AD813" s="102"/>
    </row>
    <row r="814" spans="1:30">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c r="AA814" s="102"/>
      <c r="AB814" s="102"/>
      <c r="AC814" s="102"/>
      <c r="AD814" s="102"/>
    </row>
    <row r="815" spans="1:30">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c r="AA815" s="102"/>
      <c r="AB815" s="102"/>
      <c r="AC815" s="102"/>
      <c r="AD815" s="102"/>
    </row>
    <row r="816" spans="1:30">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c r="AA816" s="102"/>
      <c r="AB816" s="102"/>
      <c r="AC816" s="102"/>
      <c r="AD816" s="102"/>
    </row>
    <row r="817" spans="1:30">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c r="AA817" s="102"/>
      <c r="AB817" s="102"/>
      <c r="AC817" s="102"/>
      <c r="AD817" s="102"/>
    </row>
    <row r="818" spans="1:30">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c r="AA818" s="102"/>
      <c r="AB818" s="102"/>
      <c r="AC818" s="102"/>
      <c r="AD818" s="102"/>
    </row>
    <row r="819" spans="1:30">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c r="AA819" s="102"/>
      <c r="AB819" s="102"/>
      <c r="AC819" s="102"/>
      <c r="AD819" s="102"/>
    </row>
    <row r="820" spans="1:30">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c r="AA820" s="102"/>
      <c r="AB820" s="102"/>
      <c r="AC820" s="102"/>
      <c r="AD820" s="102"/>
    </row>
    <row r="821" spans="1:30">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c r="AA821" s="102"/>
      <c r="AB821" s="102"/>
      <c r="AC821" s="102"/>
      <c r="AD821" s="102"/>
    </row>
    <row r="822" spans="1:30">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c r="AA822" s="102"/>
      <c r="AB822" s="102"/>
      <c r="AC822" s="102"/>
      <c r="AD822" s="102"/>
    </row>
    <row r="823" spans="1:30">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c r="AA823" s="102"/>
      <c r="AB823" s="102"/>
      <c r="AC823" s="102"/>
      <c r="AD823" s="102"/>
    </row>
    <row r="824" spans="1:30">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c r="AA824" s="102"/>
      <c r="AB824" s="102"/>
      <c r="AC824" s="102"/>
      <c r="AD824" s="102"/>
    </row>
    <row r="825" spans="1:30">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c r="AA825" s="102"/>
      <c r="AB825" s="102"/>
      <c r="AC825" s="102"/>
      <c r="AD825" s="102"/>
    </row>
    <row r="826" spans="1:30">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c r="AA826" s="102"/>
      <c r="AB826" s="102"/>
      <c r="AC826" s="102"/>
      <c r="AD826" s="102"/>
    </row>
    <row r="827" spans="1:30">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c r="AA827" s="102"/>
      <c r="AB827" s="102"/>
      <c r="AC827" s="102"/>
      <c r="AD827" s="102"/>
    </row>
    <row r="828" spans="1:30">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c r="AA828" s="102"/>
      <c r="AB828" s="102"/>
      <c r="AC828" s="102"/>
      <c r="AD828" s="102"/>
    </row>
    <row r="829" spans="1:30">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c r="AA829" s="102"/>
      <c r="AB829" s="102"/>
      <c r="AC829" s="102"/>
      <c r="AD829" s="102"/>
    </row>
    <row r="830" spans="1:30">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c r="AA830" s="102"/>
      <c r="AB830" s="102"/>
      <c r="AC830" s="102"/>
      <c r="AD830" s="102"/>
    </row>
    <row r="831" spans="1:30">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c r="AA831" s="102"/>
      <c r="AB831" s="102"/>
      <c r="AC831" s="102"/>
      <c r="AD831" s="102"/>
    </row>
    <row r="832" spans="1:30">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c r="AA832" s="102"/>
      <c r="AB832" s="102"/>
      <c r="AC832" s="102"/>
      <c r="AD832" s="102"/>
    </row>
    <row r="833" spans="1:30">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c r="AA833" s="102"/>
      <c r="AB833" s="102"/>
      <c r="AC833" s="102"/>
      <c r="AD833" s="102"/>
    </row>
    <row r="834" spans="1:30">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c r="AA834" s="102"/>
      <c r="AB834" s="102"/>
      <c r="AC834" s="102"/>
      <c r="AD834" s="102"/>
    </row>
    <row r="835" spans="1:30">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c r="AA835" s="102"/>
      <c r="AB835" s="102"/>
      <c r="AC835" s="102"/>
      <c r="AD835" s="102"/>
    </row>
    <row r="836" spans="1:30">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c r="AA836" s="102"/>
      <c r="AB836" s="102"/>
      <c r="AC836" s="102"/>
      <c r="AD836" s="102"/>
    </row>
    <row r="837" spans="1:30">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c r="AA837" s="102"/>
      <c r="AB837" s="102"/>
      <c r="AC837" s="102"/>
      <c r="AD837" s="102"/>
    </row>
    <row r="838" spans="1:30">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c r="AA838" s="102"/>
      <c r="AB838" s="102"/>
      <c r="AC838" s="102"/>
      <c r="AD838" s="102"/>
    </row>
    <row r="839" spans="1:30">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c r="AA839" s="102"/>
      <c r="AB839" s="102"/>
      <c r="AC839" s="102"/>
      <c r="AD839" s="102"/>
    </row>
    <row r="840" spans="1:30">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c r="AA840" s="102"/>
      <c r="AB840" s="102"/>
      <c r="AC840" s="102"/>
      <c r="AD840" s="102"/>
    </row>
    <row r="841" spans="1:30">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c r="AA841" s="102"/>
      <c r="AB841" s="102"/>
      <c r="AC841" s="102"/>
      <c r="AD841" s="102"/>
    </row>
    <row r="842" spans="1:30">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c r="AA842" s="102"/>
      <c r="AB842" s="102"/>
      <c r="AC842" s="102"/>
      <c r="AD842" s="102"/>
    </row>
    <row r="843" spans="1:30">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c r="AA843" s="102"/>
      <c r="AB843" s="102"/>
      <c r="AC843" s="102"/>
      <c r="AD843" s="102"/>
    </row>
    <row r="844" spans="1:30">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c r="AA844" s="102"/>
      <c r="AB844" s="102"/>
      <c r="AC844" s="102"/>
      <c r="AD844" s="102"/>
    </row>
    <row r="845" spans="1:30">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c r="AA845" s="102"/>
      <c r="AB845" s="102"/>
      <c r="AC845" s="102"/>
      <c r="AD845" s="102"/>
    </row>
    <row r="846" spans="1:30">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c r="AA846" s="102"/>
      <c r="AB846" s="102"/>
      <c r="AC846" s="102"/>
      <c r="AD846" s="102"/>
    </row>
    <row r="847" spans="1:30">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c r="AA847" s="102"/>
      <c r="AB847" s="102"/>
      <c r="AC847" s="102"/>
      <c r="AD847" s="102"/>
    </row>
    <row r="848" spans="1:30">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c r="AA848" s="102"/>
      <c r="AB848" s="102"/>
      <c r="AC848" s="102"/>
      <c r="AD848" s="102"/>
    </row>
    <row r="849" spans="1:30">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c r="AA849" s="102"/>
      <c r="AB849" s="102"/>
      <c r="AC849" s="102"/>
      <c r="AD849" s="102"/>
    </row>
    <row r="850" spans="1:30">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c r="AA850" s="102"/>
      <c r="AB850" s="102"/>
      <c r="AC850" s="102"/>
      <c r="AD850" s="102"/>
    </row>
    <row r="851" spans="1:30">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c r="AA851" s="102"/>
      <c r="AB851" s="102"/>
      <c r="AC851" s="102"/>
      <c r="AD851" s="102"/>
    </row>
    <row r="852" spans="1:30">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c r="AA852" s="102"/>
      <c r="AB852" s="102"/>
      <c r="AC852" s="102"/>
      <c r="AD852" s="102"/>
    </row>
    <row r="853" spans="1:30">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c r="AA853" s="102"/>
      <c r="AB853" s="102"/>
      <c r="AC853" s="102"/>
      <c r="AD853" s="102"/>
    </row>
    <row r="854" spans="1:30">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c r="AA854" s="102"/>
      <c r="AB854" s="102"/>
      <c r="AC854" s="102"/>
      <c r="AD854" s="102"/>
    </row>
    <row r="855" spans="1:30">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c r="AA855" s="102"/>
      <c r="AB855" s="102"/>
      <c r="AC855" s="102"/>
      <c r="AD855" s="102"/>
    </row>
    <row r="856" spans="1:30">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c r="AA856" s="102"/>
      <c r="AB856" s="102"/>
      <c r="AC856" s="102"/>
      <c r="AD856" s="102"/>
    </row>
    <row r="857" spans="1:30">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c r="AA857" s="102"/>
      <c r="AB857" s="102"/>
      <c r="AC857" s="102"/>
      <c r="AD857" s="102"/>
    </row>
    <row r="858" spans="1:30">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c r="AA858" s="102"/>
      <c r="AB858" s="102"/>
      <c r="AC858" s="102"/>
      <c r="AD858" s="102"/>
    </row>
    <row r="859" spans="1:30">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c r="AA859" s="102"/>
      <c r="AB859" s="102"/>
      <c r="AC859" s="102"/>
      <c r="AD859" s="102"/>
    </row>
    <row r="860" spans="1:30">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c r="AA860" s="102"/>
      <c r="AB860" s="102"/>
      <c r="AC860" s="102"/>
      <c r="AD860" s="102"/>
    </row>
    <row r="861" spans="1:30">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row>
    <row r="862" spans="1:30">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c r="AA862" s="102"/>
      <c r="AB862" s="102"/>
      <c r="AC862" s="102"/>
      <c r="AD862" s="102"/>
    </row>
    <row r="863" spans="1:30">
      <c r="H863" s="102"/>
    </row>
  </sheetData>
  <mergeCells count="7686">
    <mergeCell ref="BR307:BU307"/>
    <mergeCell ref="BV307:BZ307"/>
    <mergeCell ref="BM328:CP328"/>
    <mergeCell ref="BM329:CP329"/>
    <mergeCell ref="BM330:CP330"/>
    <mergeCell ref="BM331:CP331"/>
    <mergeCell ref="BM332:CP332"/>
    <mergeCell ref="BM333:CP333"/>
    <mergeCell ref="BM334:CP334"/>
    <mergeCell ref="BM335:CP335"/>
    <mergeCell ref="BM336:CP336"/>
    <mergeCell ref="BM337:CP337"/>
    <mergeCell ref="BM338:CP338"/>
    <mergeCell ref="BM339:CP339"/>
    <mergeCell ref="BM340:CP340"/>
    <mergeCell ref="BM316:CP316"/>
    <mergeCell ref="BM317:CP317"/>
    <mergeCell ref="BM318:CP318"/>
    <mergeCell ref="BM319:CP319"/>
    <mergeCell ref="BM320:CP320"/>
    <mergeCell ref="BM321:CP321"/>
    <mergeCell ref="BM322:CP322"/>
    <mergeCell ref="BM323:CP323"/>
    <mergeCell ref="BM324:BQ324"/>
    <mergeCell ref="BR324:BU324"/>
    <mergeCell ref="BV324:BZ324"/>
    <mergeCell ref="CA324:CF324"/>
    <mergeCell ref="CG324:CJ324"/>
    <mergeCell ref="CK324:CP324"/>
    <mergeCell ref="CA307:CB307"/>
    <mergeCell ref="CC307:CE307"/>
    <mergeCell ref="BM341:CP341"/>
    <mergeCell ref="CQ285:CR341"/>
    <mergeCell ref="BM325:BQ325"/>
    <mergeCell ref="BR325:BU325"/>
    <mergeCell ref="BV325:BZ325"/>
    <mergeCell ref="CA325:CB325"/>
    <mergeCell ref="CC325:CF325"/>
    <mergeCell ref="CG325:CJ325"/>
    <mergeCell ref="CK325:CP325"/>
    <mergeCell ref="BM326:BQ326"/>
    <mergeCell ref="BR326:BU326"/>
    <mergeCell ref="BV326:BZ326"/>
    <mergeCell ref="CA326:CB326"/>
    <mergeCell ref="CC326:CE326"/>
    <mergeCell ref="CF326:CG326"/>
    <mergeCell ref="CH326:CJ326"/>
    <mergeCell ref="CK326:CP326"/>
    <mergeCell ref="BM327:BQ327"/>
    <mergeCell ref="BR327:BU327"/>
    <mergeCell ref="BV327:BZ327"/>
    <mergeCell ref="CA327:CB327"/>
    <mergeCell ref="CC327:CE327"/>
    <mergeCell ref="CF327:CG327"/>
    <mergeCell ref="CH327:CJ327"/>
    <mergeCell ref="CK327:CP327"/>
    <mergeCell ref="BM309:CP309"/>
    <mergeCell ref="BM310:CP310"/>
    <mergeCell ref="BM311:CP311"/>
    <mergeCell ref="BM312:CP312"/>
    <mergeCell ref="BM313:CP313"/>
    <mergeCell ref="BM314:CP314"/>
    <mergeCell ref="BM315:CP315"/>
    <mergeCell ref="CF307:CG307"/>
    <mergeCell ref="CH307:CJ307"/>
    <mergeCell ref="CK307:CP307"/>
    <mergeCell ref="BM308:CP308"/>
    <mergeCell ref="BM298:CP298"/>
    <mergeCell ref="BM299:CP299"/>
    <mergeCell ref="BM300:CP300"/>
    <mergeCell ref="BM301:CP301"/>
    <mergeCell ref="BM302:CP302"/>
    <mergeCell ref="BM303:CP303"/>
    <mergeCell ref="BM304:BQ304"/>
    <mergeCell ref="BR304:BU304"/>
    <mergeCell ref="BV304:BZ304"/>
    <mergeCell ref="CA304:CF304"/>
    <mergeCell ref="CG304:CJ304"/>
    <mergeCell ref="CK304:CP304"/>
    <mergeCell ref="BM305:BQ305"/>
    <mergeCell ref="BR305:BU305"/>
    <mergeCell ref="BV305:BZ305"/>
    <mergeCell ref="CA305:CB305"/>
    <mergeCell ref="CC305:CF305"/>
    <mergeCell ref="CG305:CJ305"/>
    <mergeCell ref="CK305:CP305"/>
    <mergeCell ref="BM306:BQ306"/>
    <mergeCell ref="BR306:BU306"/>
    <mergeCell ref="BV306:BZ306"/>
    <mergeCell ref="CA306:CB306"/>
    <mergeCell ref="CC306:CE306"/>
    <mergeCell ref="CF306:CG306"/>
    <mergeCell ref="CH306:CJ306"/>
    <mergeCell ref="CK306:CP306"/>
    <mergeCell ref="BM307:BQ307"/>
    <mergeCell ref="BM289:BQ289"/>
    <mergeCell ref="BR289:BU289"/>
    <mergeCell ref="BV289:BZ289"/>
    <mergeCell ref="CA289:CB289"/>
    <mergeCell ref="CC289:CE289"/>
    <mergeCell ref="CF289:CG289"/>
    <mergeCell ref="CH289:CJ289"/>
    <mergeCell ref="CK289:CP289"/>
    <mergeCell ref="BM290:CP290"/>
    <mergeCell ref="BM291:CP291"/>
    <mergeCell ref="BM292:CP292"/>
    <mergeCell ref="BM293:CP293"/>
    <mergeCell ref="BM294:CP294"/>
    <mergeCell ref="BM295:CP295"/>
    <mergeCell ref="BM296:CP296"/>
    <mergeCell ref="BM297:CP297"/>
    <mergeCell ref="BM285:CP285"/>
    <mergeCell ref="BM286:BQ286"/>
    <mergeCell ref="BR286:BU286"/>
    <mergeCell ref="BV286:BZ286"/>
    <mergeCell ref="CA286:CF286"/>
    <mergeCell ref="CG286:CJ286"/>
    <mergeCell ref="CK286:CP286"/>
    <mergeCell ref="BM287:BQ287"/>
    <mergeCell ref="BR287:BU287"/>
    <mergeCell ref="BV287:BZ287"/>
    <mergeCell ref="CA287:CB287"/>
    <mergeCell ref="CC287:CF287"/>
    <mergeCell ref="CG287:CJ287"/>
    <mergeCell ref="CK287:CP287"/>
    <mergeCell ref="BM288:BQ288"/>
    <mergeCell ref="BR288:BU288"/>
    <mergeCell ref="BV288:BZ288"/>
    <mergeCell ref="CA288:CB288"/>
    <mergeCell ref="CC288:CE288"/>
    <mergeCell ref="CF288:CG288"/>
    <mergeCell ref="CH288:CJ288"/>
    <mergeCell ref="CK288:CP288"/>
    <mergeCell ref="BB327:BD327"/>
    <mergeCell ref="BE327:BJ327"/>
    <mergeCell ref="AG339:BJ339"/>
    <mergeCell ref="AG340:BJ340"/>
    <mergeCell ref="AG341:BJ341"/>
    <mergeCell ref="AU326:AV326"/>
    <mergeCell ref="AW326:AY326"/>
    <mergeCell ref="AZ326:BA326"/>
    <mergeCell ref="BB326:BD326"/>
    <mergeCell ref="BE326:BJ326"/>
    <mergeCell ref="AG328:BJ328"/>
    <mergeCell ref="AG329:BJ329"/>
    <mergeCell ref="AG330:BJ330"/>
    <mergeCell ref="AG331:BJ331"/>
    <mergeCell ref="AG332:BJ332"/>
    <mergeCell ref="AG333:BJ333"/>
    <mergeCell ref="AG334:BJ334"/>
    <mergeCell ref="AG335:BJ335"/>
    <mergeCell ref="AG336:BJ336"/>
    <mergeCell ref="AG337:BJ337"/>
    <mergeCell ref="AG317:BJ317"/>
    <mergeCell ref="AG318:BJ318"/>
    <mergeCell ref="AG319:BJ319"/>
    <mergeCell ref="AG320:BJ320"/>
    <mergeCell ref="AG321:BJ321"/>
    <mergeCell ref="AG305:AK305"/>
    <mergeCell ref="AE323:AE341"/>
    <mergeCell ref="AG308:BJ308"/>
    <mergeCell ref="AG309:BJ309"/>
    <mergeCell ref="AG310:BJ310"/>
    <mergeCell ref="BK323:BK342"/>
    <mergeCell ref="AG322:BJ322"/>
    <mergeCell ref="AG324:AK324"/>
    <mergeCell ref="AL324:AO324"/>
    <mergeCell ref="AP324:AT324"/>
    <mergeCell ref="BA324:BD324"/>
    <mergeCell ref="BE324:BJ324"/>
    <mergeCell ref="AG325:AK325"/>
    <mergeCell ref="AL325:AO325"/>
    <mergeCell ref="AP325:AT325"/>
    <mergeCell ref="AU325:AV325"/>
    <mergeCell ref="BE325:BJ325"/>
    <mergeCell ref="AG326:AK326"/>
    <mergeCell ref="AL326:AO326"/>
    <mergeCell ref="AP326:AT326"/>
    <mergeCell ref="AG338:BJ338"/>
    <mergeCell ref="AG323:BJ323"/>
    <mergeCell ref="AU324:AZ324"/>
    <mergeCell ref="AW325:AZ325"/>
    <mergeCell ref="BA325:BD325"/>
    <mergeCell ref="AG327:AK327"/>
    <mergeCell ref="AL327:AO327"/>
    <mergeCell ref="AP327:AT327"/>
    <mergeCell ref="AU327:AV327"/>
    <mergeCell ref="AW327:AY327"/>
    <mergeCell ref="AZ327:BA327"/>
    <mergeCell ref="AU286:AZ286"/>
    <mergeCell ref="BA286:BD286"/>
    <mergeCell ref="BB288:BD288"/>
    <mergeCell ref="AU288:AV288"/>
    <mergeCell ref="AW288:AY288"/>
    <mergeCell ref="AG306:AK306"/>
    <mergeCell ref="AL306:AO306"/>
    <mergeCell ref="AP306:AT306"/>
    <mergeCell ref="AU306:AV306"/>
    <mergeCell ref="AW306:AY306"/>
    <mergeCell ref="AZ306:BA306"/>
    <mergeCell ref="BB306:BD306"/>
    <mergeCell ref="BE306:BJ306"/>
    <mergeCell ref="AG307:AK307"/>
    <mergeCell ref="AL307:AO307"/>
    <mergeCell ref="AP307:AT307"/>
    <mergeCell ref="AU307:AV307"/>
    <mergeCell ref="AW307:AY307"/>
    <mergeCell ref="AZ307:BA307"/>
    <mergeCell ref="BB307:BD307"/>
    <mergeCell ref="BE307:BJ307"/>
    <mergeCell ref="AP289:AT289"/>
    <mergeCell ref="AW287:AZ287"/>
    <mergeCell ref="AU287:AV287"/>
    <mergeCell ref="AG294:BJ294"/>
    <mergeCell ref="BA287:BD287"/>
    <mergeCell ref="AL305:AO305"/>
    <mergeCell ref="AP305:AT305"/>
    <mergeCell ref="AU305:AV305"/>
    <mergeCell ref="AW305:AZ305"/>
    <mergeCell ref="BA305:BD305"/>
    <mergeCell ref="BE305:BJ305"/>
    <mergeCell ref="AG295:BJ295"/>
    <mergeCell ref="AG296:BJ296"/>
    <mergeCell ref="AG297:BJ297"/>
    <mergeCell ref="AG298:BJ298"/>
    <mergeCell ref="AG299:BJ299"/>
    <mergeCell ref="AG300:BJ300"/>
    <mergeCell ref="AG301:BJ301"/>
    <mergeCell ref="AG302:BJ302"/>
    <mergeCell ref="AG303:BJ303"/>
    <mergeCell ref="BE287:BJ287"/>
    <mergeCell ref="AG304:AK304"/>
    <mergeCell ref="AL304:AO304"/>
    <mergeCell ref="AP304:AT304"/>
    <mergeCell ref="AU304:AZ304"/>
    <mergeCell ref="BA304:BD304"/>
    <mergeCell ref="BE304:BJ304"/>
    <mergeCell ref="AG286:AK286"/>
    <mergeCell ref="AG287:AK287"/>
    <mergeCell ref="BW459:CA459"/>
    <mergeCell ref="CB459:CP459"/>
    <mergeCell ref="A492:AD493"/>
    <mergeCell ref="AG459:AK459"/>
    <mergeCell ref="AL459:AP459"/>
    <mergeCell ref="AQ459:AU459"/>
    <mergeCell ref="AV459:BJ459"/>
    <mergeCell ref="BM459:BQ459"/>
    <mergeCell ref="BR459:BV459"/>
    <mergeCell ref="CB458:CP458"/>
    <mergeCell ref="CB457:CP457"/>
    <mergeCell ref="CB456:CP456"/>
    <mergeCell ref="CB455:CP455"/>
    <mergeCell ref="CB454:CP454"/>
    <mergeCell ref="CB453:CP453"/>
    <mergeCell ref="BM454:BP454"/>
    <mergeCell ref="BR454:BV454"/>
    <mergeCell ref="CB452:CP452"/>
    <mergeCell ref="AL287:AO287"/>
    <mergeCell ref="AL288:AO288"/>
    <mergeCell ref="AL289:AO289"/>
    <mergeCell ref="AP286:AT286"/>
    <mergeCell ref="AP287:AT287"/>
    <mergeCell ref="AP288:AT288"/>
    <mergeCell ref="A53:B53"/>
    <mergeCell ref="Z174:AD175"/>
    <mergeCell ref="Z156:AD157"/>
    <mergeCell ref="S49:T49"/>
    <mergeCell ref="V97:X97"/>
    <mergeCell ref="Y68:Z68"/>
    <mergeCell ref="T91:U91"/>
    <mergeCell ref="T97:U97"/>
    <mergeCell ref="S54:T54"/>
    <mergeCell ref="Y80:Z80"/>
    <mergeCell ref="AE103:AE107"/>
    <mergeCell ref="AE66:AE76"/>
    <mergeCell ref="AE77:AE80"/>
    <mergeCell ref="AE81:AE91"/>
    <mergeCell ref="AE92:AE102"/>
    <mergeCell ref="AU65:AV65"/>
    <mergeCell ref="AS70:AT70"/>
    <mergeCell ref="AU70:AV70"/>
    <mergeCell ref="AS74:AT74"/>
    <mergeCell ref="AU73:AV73"/>
    <mergeCell ref="AU71:AV71"/>
    <mergeCell ref="AS79:AT79"/>
    <mergeCell ref="V78:X78"/>
    <mergeCell ref="V80:X80"/>
    <mergeCell ref="V81:X81"/>
    <mergeCell ref="Z50:AA50"/>
    <mergeCell ref="Z52:AA52"/>
    <mergeCell ref="S55:T55"/>
    <mergeCell ref="AA82:AC82"/>
    <mergeCell ref="AS66:AT66"/>
    <mergeCell ref="AS65:AT65"/>
    <mergeCell ref="Z54:AA55"/>
    <mergeCell ref="S53:AA53"/>
    <mergeCell ref="Z32:AD32"/>
    <mergeCell ref="AB52:AD52"/>
    <mergeCell ref="AC37:AD37"/>
    <mergeCell ref="Z33:AD33"/>
    <mergeCell ref="Z30:AD30"/>
    <mergeCell ref="AC36:AD36"/>
    <mergeCell ref="AC35:AD35"/>
    <mergeCell ref="Q44:W44"/>
    <mergeCell ref="S42:U42"/>
    <mergeCell ref="V52:Y52"/>
    <mergeCell ref="Z58:AA58"/>
    <mergeCell ref="AB54:AD55"/>
    <mergeCell ref="V47:W47"/>
    <mergeCell ref="V48:W48"/>
    <mergeCell ref="AA41:AD41"/>
    <mergeCell ref="AA42:AD42"/>
    <mergeCell ref="Z46:AA46"/>
    <mergeCell ref="Q48:R48"/>
    <mergeCell ref="U55:W55"/>
    <mergeCell ref="S56:T56"/>
    <mergeCell ref="Q45:R45"/>
    <mergeCell ref="Q40:R40"/>
    <mergeCell ref="S43:U43"/>
    <mergeCell ref="V30:W30"/>
    <mergeCell ref="V31:W31"/>
    <mergeCell ref="Q46:R46"/>
    <mergeCell ref="S46:T46"/>
    <mergeCell ref="U58:W58"/>
    <mergeCell ref="U54:W54"/>
    <mergeCell ref="AB53:AD53"/>
    <mergeCell ref="Q47:R47"/>
    <mergeCell ref="AU67:AV67"/>
    <mergeCell ref="AW67:AY67"/>
    <mergeCell ref="AS69:AT69"/>
    <mergeCell ref="AU68:AV68"/>
    <mergeCell ref="AS68:AT68"/>
    <mergeCell ref="AS72:AT72"/>
    <mergeCell ref="AS76:AT76"/>
    <mergeCell ref="AS71:AT71"/>
    <mergeCell ref="AU72:AV72"/>
    <mergeCell ref="AS73:AT73"/>
    <mergeCell ref="AS75:AT75"/>
    <mergeCell ref="AU75:AV75"/>
    <mergeCell ref="AA72:AC72"/>
    <mergeCell ref="AA74:AC74"/>
    <mergeCell ref="AA73:AC73"/>
    <mergeCell ref="AA75:AC75"/>
    <mergeCell ref="AA69:AC69"/>
    <mergeCell ref="AS67:AT67"/>
    <mergeCell ref="AS82:AT82"/>
    <mergeCell ref="AA67:AC67"/>
    <mergeCell ref="AA70:AC70"/>
    <mergeCell ref="AA68:AC68"/>
    <mergeCell ref="AU69:AV69"/>
    <mergeCell ref="AA81:AC81"/>
    <mergeCell ref="AA77:AC77"/>
    <mergeCell ref="AA78:AC78"/>
    <mergeCell ref="AA80:AC80"/>
    <mergeCell ref="AZ65:BA65"/>
    <mergeCell ref="AU66:AV66"/>
    <mergeCell ref="AW66:AY66"/>
    <mergeCell ref="AZ66:BA66"/>
    <mergeCell ref="AW65:AY65"/>
    <mergeCell ref="BW458:CA458"/>
    <mergeCell ref="BW456:CA456"/>
    <mergeCell ref="BW454:CA454"/>
    <mergeCell ref="BW452:CA452"/>
    <mergeCell ref="BM450:BP450"/>
    <mergeCell ref="BM457:BQ457"/>
    <mergeCell ref="BR457:BV457"/>
    <mergeCell ref="BW457:CA457"/>
    <mergeCell ref="BM458:BQ458"/>
    <mergeCell ref="BR458:BV458"/>
    <mergeCell ref="BM455:BQ455"/>
    <mergeCell ref="BR455:BV455"/>
    <mergeCell ref="BW455:CA455"/>
    <mergeCell ref="BM456:BQ456"/>
    <mergeCell ref="BR456:BV456"/>
    <mergeCell ref="BM453:BP453"/>
    <mergeCell ref="BR453:BV453"/>
    <mergeCell ref="BW453:CA453"/>
    <mergeCell ref="BM451:BO451"/>
    <mergeCell ref="BR451:BV451"/>
    <mergeCell ref="BW451:CA451"/>
    <mergeCell ref="CB451:CP451"/>
    <mergeCell ref="BM452:BP452"/>
    <mergeCell ref="BR452:BV452"/>
    <mergeCell ref="BR450:BV450"/>
    <mergeCell ref="BW450:CA450"/>
    <mergeCell ref="CB450:CP450"/>
    <mergeCell ref="BM449:BP449"/>
    <mergeCell ref="BR449:BV449"/>
    <mergeCell ref="BW449:CA449"/>
    <mergeCell ref="CB449:CP449"/>
    <mergeCell ref="BM448:BQ448"/>
    <mergeCell ref="BR448:BV448"/>
    <mergeCell ref="BW448:CA448"/>
    <mergeCell ref="CB448:CP448"/>
    <mergeCell ref="BM447:BQ447"/>
    <mergeCell ref="BR447:BV447"/>
    <mergeCell ref="BW447:CA447"/>
    <mergeCell ref="CB447:CP447"/>
    <mergeCell ref="BM445:CA445"/>
    <mergeCell ref="CB445:CP445"/>
    <mergeCell ref="BM446:BQ446"/>
    <mergeCell ref="BR446:BV446"/>
    <mergeCell ref="BW446:CA446"/>
    <mergeCell ref="CB446:CF446"/>
    <mergeCell ref="CI446:CP446"/>
    <mergeCell ref="CB444:CD444"/>
    <mergeCell ref="CE444:CF444"/>
    <mergeCell ref="CG444:CI444"/>
    <mergeCell ref="CJ444:CP444"/>
    <mergeCell ref="BM444:BS444"/>
    <mergeCell ref="BT444:BV444"/>
    <mergeCell ref="BW444:BY444"/>
    <mergeCell ref="BZ444:CA444"/>
    <mergeCell ref="CB443:CD443"/>
    <mergeCell ref="CE443:CF443"/>
    <mergeCell ref="CG443:CI443"/>
    <mergeCell ref="CJ443:CP443"/>
    <mergeCell ref="BM443:BS443"/>
    <mergeCell ref="BT443:BV443"/>
    <mergeCell ref="BW443:BY443"/>
    <mergeCell ref="BZ443:CA443"/>
    <mergeCell ref="CB442:CD442"/>
    <mergeCell ref="CE442:CF442"/>
    <mergeCell ref="CG442:CI442"/>
    <mergeCell ref="CJ442:CP442"/>
    <mergeCell ref="BM442:BS442"/>
    <mergeCell ref="BT442:BV442"/>
    <mergeCell ref="BW442:BY442"/>
    <mergeCell ref="BZ442:CA442"/>
    <mergeCell ref="CB441:CD441"/>
    <mergeCell ref="CE441:CF441"/>
    <mergeCell ref="CG441:CI441"/>
    <mergeCell ref="CJ441:CP441"/>
    <mergeCell ref="BM441:BS441"/>
    <mergeCell ref="BT441:BV441"/>
    <mergeCell ref="BW441:BY441"/>
    <mergeCell ref="BZ441:CA441"/>
    <mergeCell ref="CL437:CP437"/>
    <mergeCell ref="BM438:CP438"/>
    <mergeCell ref="BM439:BS440"/>
    <mergeCell ref="BT439:BV440"/>
    <mergeCell ref="BW439:BY440"/>
    <mergeCell ref="BZ439:CA440"/>
    <mergeCell ref="CB439:CD440"/>
    <mergeCell ref="CE439:CF440"/>
    <mergeCell ref="CG439:CI440"/>
    <mergeCell ref="CJ439:CP440"/>
    <mergeCell ref="CB437:CC437"/>
    <mergeCell ref="CD437:CE437"/>
    <mergeCell ref="CF437:CG437"/>
    <mergeCell ref="CH437:CI437"/>
    <mergeCell ref="CJ437:CK437"/>
    <mergeCell ref="CH436:CI436"/>
    <mergeCell ref="CJ436:CK436"/>
    <mergeCell ref="CB436:CC436"/>
    <mergeCell ref="CD436:CE436"/>
    <mergeCell ref="CF436:CG436"/>
    <mergeCell ref="CL436:CP436"/>
    <mergeCell ref="BM437:BN437"/>
    <mergeCell ref="BO437:BS437"/>
    <mergeCell ref="BT437:BU437"/>
    <mergeCell ref="BV437:BW437"/>
    <mergeCell ref="BX437:BY437"/>
    <mergeCell ref="BZ437:CA437"/>
    <mergeCell ref="BM436:BN436"/>
    <mergeCell ref="BO436:BS436"/>
    <mergeCell ref="BT436:BU436"/>
    <mergeCell ref="BV436:BW436"/>
    <mergeCell ref="BX436:BY436"/>
    <mergeCell ref="BZ436:CA436"/>
    <mergeCell ref="CJ435:CK435"/>
    <mergeCell ref="CH434:CI434"/>
    <mergeCell ref="CJ434:CK434"/>
    <mergeCell ref="CD434:CE434"/>
    <mergeCell ref="CF434:CG434"/>
    <mergeCell ref="CL435:CP435"/>
    <mergeCell ref="CB435:CC435"/>
    <mergeCell ref="BZ434:CA434"/>
    <mergeCell ref="CB434:CC434"/>
    <mergeCell ref="CD435:CE435"/>
    <mergeCell ref="CF435:CG435"/>
    <mergeCell ref="CH435:CI435"/>
    <mergeCell ref="BM435:BN435"/>
    <mergeCell ref="BO435:BS435"/>
    <mergeCell ref="BT435:BU435"/>
    <mergeCell ref="BV435:BW435"/>
    <mergeCell ref="BX435:BY435"/>
    <mergeCell ref="BZ435:CA435"/>
    <mergeCell ref="BM434:BS434"/>
    <mergeCell ref="BT434:BU434"/>
    <mergeCell ref="BV434:BW434"/>
    <mergeCell ref="BX434:BY434"/>
    <mergeCell ref="CB432:CG432"/>
    <mergeCell ref="CH432:CL432"/>
    <mergeCell ref="CL434:CP434"/>
    <mergeCell ref="BM431:BQ431"/>
    <mergeCell ref="BR431:BU431"/>
    <mergeCell ref="BM432:BQ432"/>
    <mergeCell ref="BR432:BU432"/>
    <mergeCell ref="BV432:BX432"/>
    <mergeCell ref="BY432:CA432"/>
    <mergeCell ref="BV431:BX431"/>
    <mergeCell ref="BY431:CA431"/>
    <mergeCell ref="CB429:CG429"/>
    <mergeCell ref="CH429:CL429"/>
    <mergeCell ref="CB430:CG430"/>
    <mergeCell ref="CH430:CL430"/>
    <mergeCell ref="CB431:CG431"/>
    <mergeCell ref="CH431:CL431"/>
    <mergeCell ref="BM430:BQ430"/>
    <mergeCell ref="BR430:BU430"/>
    <mergeCell ref="BV430:BX430"/>
    <mergeCell ref="BY430:CA430"/>
    <mergeCell ref="BM429:BQ429"/>
    <mergeCell ref="BR429:BU429"/>
    <mergeCell ref="BV429:BX429"/>
    <mergeCell ref="BY429:CA429"/>
    <mergeCell ref="CB428:CG428"/>
    <mergeCell ref="CH428:CL428"/>
    <mergeCell ref="BM427:BQ427"/>
    <mergeCell ref="BR427:BU427"/>
    <mergeCell ref="BM428:BQ428"/>
    <mergeCell ref="BR428:BU428"/>
    <mergeCell ref="BV428:BX428"/>
    <mergeCell ref="BY428:CA428"/>
    <mergeCell ref="BV427:BX427"/>
    <mergeCell ref="BY427:CA427"/>
    <mergeCell ref="CB425:CG425"/>
    <mergeCell ref="CH425:CL425"/>
    <mergeCell ref="CB426:CG426"/>
    <mergeCell ref="CH426:CL426"/>
    <mergeCell ref="CB427:CG427"/>
    <mergeCell ref="CH427:CL427"/>
    <mergeCell ref="BM426:BQ426"/>
    <mergeCell ref="BR426:BU426"/>
    <mergeCell ref="BV426:BX426"/>
    <mergeCell ref="BY426:CA426"/>
    <mergeCell ref="BM425:BQ425"/>
    <mergeCell ref="BR425:BU425"/>
    <mergeCell ref="BV425:BX425"/>
    <mergeCell ref="BY425:CA425"/>
    <mergeCell ref="BM423:CG423"/>
    <mergeCell ref="CH423:CL423"/>
    <mergeCell ref="BM424:BQ424"/>
    <mergeCell ref="BR424:BU424"/>
    <mergeCell ref="BV424:BX424"/>
    <mergeCell ref="BY424:CA424"/>
    <mergeCell ref="CB424:CG424"/>
    <mergeCell ref="CH424:CL424"/>
    <mergeCell ref="BM422:BX422"/>
    <mergeCell ref="BY422:CC422"/>
    <mergeCell ref="CE422:CG422"/>
    <mergeCell ref="CH422:CL422"/>
    <mergeCell ref="CE420:CG420"/>
    <mergeCell ref="CH420:CL420"/>
    <mergeCell ref="BM421:BR421"/>
    <mergeCell ref="BS421:BU421"/>
    <mergeCell ref="BV421:BX421"/>
    <mergeCell ref="BY421:CC421"/>
    <mergeCell ref="CH421:CL421"/>
    <mergeCell ref="BM420:BR420"/>
    <mergeCell ref="BS420:BU420"/>
    <mergeCell ref="BV420:BX420"/>
    <mergeCell ref="BY420:CC420"/>
    <mergeCell ref="CE418:CG418"/>
    <mergeCell ref="CH418:CL418"/>
    <mergeCell ref="BM419:BP419"/>
    <mergeCell ref="BQ419:BR419"/>
    <mergeCell ref="BS419:BU419"/>
    <mergeCell ref="BV419:BX419"/>
    <mergeCell ref="BY419:CC419"/>
    <mergeCell ref="CH419:CL419"/>
    <mergeCell ref="BM418:BR418"/>
    <mergeCell ref="BS418:BU418"/>
    <mergeCell ref="BV418:BX418"/>
    <mergeCell ref="BY418:CC418"/>
    <mergeCell ref="BY416:CA416"/>
    <mergeCell ref="CH417:CP417"/>
    <mergeCell ref="BM416:BR416"/>
    <mergeCell ref="BS416:BU416"/>
    <mergeCell ref="BV416:BX416"/>
    <mergeCell ref="BM417:BR417"/>
    <mergeCell ref="BS417:BU417"/>
    <mergeCell ref="BV417:BX417"/>
    <mergeCell ref="BY417:CC417"/>
    <mergeCell ref="CB415:CF415"/>
    <mergeCell ref="CH415:CK415"/>
    <mergeCell ref="CM415:CN415"/>
    <mergeCell ref="CH416:CK416"/>
    <mergeCell ref="CM416:CN416"/>
    <mergeCell ref="BM415:BR415"/>
    <mergeCell ref="BS415:BU415"/>
    <mergeCell ref="BV415:BX415"/>
    <mergeCell ref="BY415:CA415"/>
    <mergeCell ref="CB416:CG416"/>
    <mergeCell ref="CH413:CL413"/>
    <mergeCell ref="CM413:CP413"/>
    <mergeCell ref="BM412:BR412"/>
    <mergeCell ref="BM414:BR414"/>
    <mergeCell ref="BS414:BU414"/>
    <mergeCell ref="BV414:BX414"/>
    <mergeCell ref="BY414:CA414"/>
    <mergeCell ref="CB414:CF414"/>
    <mergeCell ref="CH414:CK414"/>
    <mergeCell ref="CM414:CN414"/>
    <mergeCell ref="BM413:BR413"/>
    <mergeCell ref="BS413:BU413"/>
    <mergeCell ref="BV413:BX413"/>
    <mergeCell ref="BY413:CA413"/>
    <mergeCell ref="BS412:BU412"/>
    <mergeCell ref="BV412:BX412"/>
    <mergeCell ref="BY412:CG412"/>
    <mergeCell ref="CH410:CK410"/>
    <mergeCell ref="CH411:CP411"/>
    <mergeCell ref="CH412:CI412"/>
    <mergeCell ref="CK412:CL412"/>
    <mergeCell ref="CN412:CO412"/>
    <mergeCell ref="BM411:BR411"/>
    <mergeCell ref="BS411:BU411"/>
    <mergeCell ref="BV411:BX411"/>
    <mergeCell ref="BY411:CG411"/>
    <mergeCell ref="BM410:BR410"/>
    <mergeCell ref="BS410:BU410"/>
    <mergeCell ref="BV410:BX410"/>
    <mergeCell ref="BY410:CG410"/>
    <mergeCell ref="CL408:CM408"/>
    <mergeCell ref="CN408:CP408"/>
    <mergeCell ref="BM409:BQ409"/>
    <mergeCell ref="BS409:BU409"/>
    <mergeCell ref="BV409:BX409"/>
    <mergeCell ref="BY409:CG409"/>
    <mergeCell ref="CH409:CP409"/>
    <mergeCell ref="CL407:CM407"/>
    <mergeCell ref="CN407:CP407"/>
    <mergeCell ref="BM408:BQ408"/>
    <mergeCell ref="BS408:BX408"/>
    <mergeCell ref="BY408:CA408"/>
    <mergeCell ref="CB408:CC408"/>
    <mergeCell ref="CD408:CE408"/>
    <mergeCell ref="CF408:CG408"/>
    <mergeCell ref="CH408:CI408"/>
    <mergeCell ref="CJ408:CK408"/>
    <mergeCell ref="CD407:CE407"/>
    <mergeCell ref="CF407:CG407"/>
    <mergeCell ref="CH407:CI407"/>
    <mergeCell ref="CJ407:CK407"/>
    <mergeCell ref="BM407:BN407"/>
    <mergeCell ref="BO407:BU407"/>
    <mergeCell ref="BV407:BX407"/>
    <mergeCell ref="BY407:CB407"/>
    <mergeCell ref="CD406:CE406"/>
    <mergeCell ref="CF406:CG406"/>
    <mergeCell ref="CH406:CI406"/>
    <mergeCell ref="CJ406:CK406"/>
    <mergeCell ref="BM406:BN406"/>
    <mergeCell ref="BO406:BU406"/>
    <mergeCell ref="BV406:BX406"/>
    <mergeCell ref="BY406:CA406"/>
    <mergeCell ref="BV405:BX405"/>
    <mergeCell ref="BY405:CC405"/>
    <mergeCell ref="CD405:CE405"/>
    <mergeCell ref="CF405:CG405"/>
    <mergeCell ref="CH405:CI405"/>
    <mergeCell ref="CJ405:CK405"/>
    <mergeCell ref="CL398:CN398"/>
    <mergeCell ref="CO398:CP398"/>
    <mergeCell ref="CL399:CN399"/>
    <mergeCell ref="CO399:CP399"/>
    <mergeCell ref="BM399:BW399"/>
    <mergeCell ref="BX399:BZ399"/>
    <mergeCell ref="CA399:CB399"/>
    <mergeCell ref="CD399:CK399"/>
    <mergeCell ref="BM398:BW398"/>
    <mergeCell ref="BX398:BZ398"/>
    <mergeCell ref="CA398:CB398"/>
    <mergeCell ref="CD398:CK398"/>
    <mergeCell ref="BM400:BW400"/>
    <mergeCell ref="BX400:BZ400"/>
    <mergeCell ref="CA400:CB400"/>
    <mergeCell ref="BM404:CP404"/>
    <mergeCell ref="BM405:BN405"/>
    <mergeCell ref="BO405:BU405"/>
    <mergeCell ref="CL397:CN397"/>
    <mergeCell ref="CO397:CP397"/>
    <mergeCell ref="BM396:BW396"/>
    <mergeCell ref="BX396:BZ396"/>
    <mergeCell ref="BM397:BW397"/>
    <mergeCell ref="BX397:BZ397"/>
    <mergeCell ref="CA397:CB397"/>
    <mergeCell ref="CD397:CK397"/>
    <mergeCell ref="CA396:CB396"/>
    <mergeCell ref="CD396:CK396"/>
    <mergeCell ref="CL394:CN394"/>
    <mergeCell ref="CO394:CP394"/>
    <mergeCell ref="CL395:CN395"/>
    <mergeCell ref="CO395:CP395"/>
    <mergeCell ref="CL396:CN396"/>
    <mergeCell ref="CO396:CP396"/>
    <mergeCell ref="BM395:BW395"/>
    <mergeCell ref="BX395:BZ395"/>
    <mergeCell ref="CA395:CB395"/>
    <mergeCell ref="CD395:CK395"/>
    <mergeCell ref="BM394:BW394"/>
    <mergeCell ref="BX394:BZ394"/>
    <mergeCell ref="CA394:CB394"/>
    <mergeCell ref="CD394:CK394"/>
    <mergeCell ref="CL393:CN393"/>
    <mergeCell ref="CO393:CP393"/>
    <mergeCell ref="BM392:BW392"/>
    <mergeCell ref="BX392:BZ392"/>
    <mergeCell ref="BM393:BW393"/>
    <mergeCell ref="BX393:BZ393"/>
    <mergeCell ref="CA393:CB393"/>
    <mergeCell ref="CD393:CK393"/>
    <mergeCell ref="CA392:CB392"/>
    <mergeCell ref="CD392:CK392"/>
    <mergeCell ref="CL390:CN390"/>
    <mergeCell ref="CO390:CP390"/>
    <mergeCell ref="CL391:CN391"/>
    <mergeCell ref="CO391:CP391"/>
    <mergeCell ref="CL392:CN392"/>
    <mergeCell ref="CO392:CP392"/>
    <mergeCell ref="BM391:BW391"/>
    <mergeCell ref="BX391:BZ391"/>
    <mergeCell ref="CA391:CB391"/>
    <mergeCell ref="CD391:CK391"/>
    <mergeCell ref="BM390:BW390"/>
    <mergeCell ref="BX390:BZ390"/>
    <mergeCell ref="CA390:CB390"/>
    <mergeCell ref="CD390:CK390"/>
    <mergeCell ref="CL389:CN389"/>
    <mergeCell ref="CO389:CP389"/>
    <mergeCell ref="BM388:BW388"/>
    <mergeCell ref="BX388:BZ388"/>
    <mergeCell ref="BM389:BW389"/>
    <mergeCell ref="BX389:BZ389"/>
    <mergeCell ref="CA389:CB389"/>
    <mergeCell ref="CD389:CK389"/>
    <mergeCell ref="CA388:CB388"/>
    <mergeCell ref="CD388:CK388"/>
    <mergeCell ref="CL386:CN386"/>
    <mergeCell ref="CO386:CP386"/>
    <mergeCell ref="CL387:CN387"/>
    <mergeCell ref="CO387:CP387"/>
    <mergeCell ref="CL388:CN388"/>
    <mergeCell ref="CO388:CP388"/>
    <mergeCell ref="BM387:BW387"/>
    <mergeCell ref="BX387:BZ387"/>
    <mergeCell ref="CA387:CB387"/>
    <mergeCell ref="CD387:CK387"/>
    <mergeCell ref="BM386:BW386"/>
    <mergeCell ref="BX386:BZ386"/>
    <mergeCell ref="CA386:CB386"/>
    <mergeCell ref="CD386:CK386"/>
    <mergeCell ref="CL385:CN385"/>
    <mergeCell ref="CO385:CP385"/>
    <mergeCell ref="BM384:BW384"/>
    <mergeCell ref="BX384:BZ384"/>
    <mergeCell ref="BM385:BW385"/>
    <mergeCell ref="BX385:BZ385"/>
    <mergeCell ref="CA385:CB385"/>
    <mergeCell ref="CD385:CK385"/>
    <mergeCell ref="CA384:CB384"/>
    <mergeCell ref="CD384:CK384"/>
    <mergeCell ref="CL382:CN382"/>
    <mergeCell ref="CO382:CP382"/>
    <mergeCell ref="CL383:CN383"/>
    <mergeCell ref="CO383:CP383"/>
    <mergeCell ref="CL384:CN384"/>
    <mergeCell ref="CO384:CP384"/>
    <mergeCell ref="BM383:BW383"/>
    <mergeCell ref="BX383:BZ383"/>
    <mergeCell ref="CA383:CB383"/>
    <mergeCell ref="CD383:CK383"/>
    <mergeCell ref="BM382:BW382"/>
    <mergeCell ref="BX382:BZ382"/>
    <mergeCell ref="CA382:CB382"/>
    <mergeCell ref="CD382:CK382"/>
    <mergeCell ref="CL381:CN381"/>
    <mergeCell ref="CO381:CP381"/>
    <mergeCell ref="BM380:BW380"/>
    <mergeCell ref="BX380:BZ380"/>
    <mergeCell ref="BM381:BW381"/>
    <mergeCell ref="BX381:BZ381"/>
    <mergeCell ref="CA381:CB381"/>
    <mergeCell ref="CD381:CK381"/>
    <mergeCell ref="CA380:CB380"/>
    <mergeCell ref="CD380:CK380"/>
    <mergeCell ref="CL378:CN378"/>
    <mergeCell ref="CO378:CP378"/>
    <mergeCell ref="CL379:CN379"/>
    <mergeCell ref="CO379:CP379"/>
    <mergeCell ref="CL380:CN380"/>
    <mergeCell ref="CO380:CP380"/>
    <mergeCell ref="BM379:BW379"/>
    <mergeCell ref="BX379:BZ379"/>
    <mergeCell ref="CA379:CB379"/>
    <mergeCell ref="CD379:CK379"/>
    <mergeCell ref="BM378:BW378"/>
    <mergeCell ref="BX378:BZ378"/>
    <mergeCell ref="CA378:CB378"/>
    <mergeCell ref="CD378:CK378"/>
    <mergeCell ref="CL377:CN377"/>
    <mergeCell ref="CO377:CP377"/>
    <mergeCell ref="BM376:BW376"/>
    <mergeCell ref="BX376:BZ376"/>
    <mergeCell ref="BM377:BW377"/>
    <mergeCell ref="BX377:BZ377"/>
    <mergeCell ref="CA377:CB377"/>
    <mergeCell ref="CD377:CK377"/>
    <mergeCell ref="CA376:CB376"/>
    <mergeCell ref="CD376:CK376"/>
    <mergeCell ref="CL374:CN374"/>
    <mergeCell ref="CO374:CP374"/>
    <mergeCell ref="CL375:CN375"/>
    <mergeCell ref="CO375:CP375"/>
    <mergeCell ref="CL376:CN376"/>
    <mergeCell ref="CO376:CP376"/>
    <mergeCell ref="BM375:BW375"/>
    <mergeCell ref="BX375:BZ375"/>
    <mergeCell ref="CA375:CB375"/>
    <mergeCell ref="CD375:CK375"/>
    <mergeCell ref="BM374:BW374"/>
    <mergeCell ref="BX374:BZ374"/>
    <mergeCell ref="CA374:CB374"/>
    <mergeCell ref="CD374:CK374"/>
    <mergeCell ref="CL373:CN373"/>
    <mergeCell ref="CO373:CP373"/>
    <mergeCell ref="BM372:BW372"/>
    <mergeCell ref="BX372:BZ372"/>
    <mergeCell ref="BM373:BW373"/>
    <mergeCell ref="BX373:BZ373"/>
    <mergeCell ref="CA373:CB373"/>
    <mergeCell ref="CD373:CK373"/>
    <mergeCell ref="CA372:CB372"/>
    <mergeCell ref="CD372:CK372"/>
    <mergeCell ref="CL370:CN370"/>
    <mergeCell ref="CO370:CP370"/>
    <mergeCell ref="CL371:CN371"/>
    <mergeCell ref="CO371:CP371"/>
    <mergeCell ref="CL372:CN372"/>
    <mergeCell ref="CO372:CP372"/>
    <mergeCell ref="BM371:BW371"/>
    <mergeCell ref="BX371:BZ371"/>
    <mergeCell ref="CA371:CB371"/>
    <mergeCell ref="CD371:CK371"/>
    <mergeCell ref="BM370:BW370"/>
    <mergeCell ref="BX370:BZ370"/>
    <mergeCell ref="CA370:CB370"/>
    <mergeCell ref="CD370:CK370"/>
    <mergeCell ref="CL369:CN369"/>
    <mergeCell ref="CO369:CP369"/>
    <mergeCell ref="BM368:BW368"/>
    <mergeCell ref="BX368:BZ368"/>
    <mergeCell ref="BM369:BW369"/>
    <mergeCell ref="BX369:BZ369"/>
    <mergeCell ref="CA369:CB369"/>
    <mergeCell ref="CD369:CK369"/>
    <mergeCell ref="CA368:CB368"/>
    <mergeCell ref="CD368:CK368"/>
    <mergeCell ref="CL366:CN366"/>
    <mergeCell ref="CO366:CP366"/>
    <mergeCell ref="CL367:CN367"/>
    <mergeCell ref="CO367:CP367"/>
    <mergeCell ref="CL368:CN368"/>
    <mergeCell ref="CO368:CP368"/>
    <mergeCell ref="BM367:BW367"/>
    <mergeCell ref="BX367:BZ367"/>
    <mergeCell ref="CA367:CB367"/>
    <mergeCell ref="CD367:CK367"/>
    <mergeCell ref="BM366:BW366"/>
    <mergeCell ref="BX366:BZ366"/>
    <mergeCell ref="CA366:CB366"/>
    <mergeCell ref="CD366:CK366"/>
    <mergeCell ref="CL365:CN365"/>
    <mergeCell ref="CO365:CP365"/>
    <mergeCell ref="BM364:BW364"/>
    <mergeCell ref="BX364:BZ364"/>
    <mergeCell ref="BM365:BW365"/>
    <mergeCell ref="BX365:BZ365"/>
    <mergeCell ref="CA365:CB365"/>
    <mergeCell ref="CD365:CK365"/>
    <mergeCell ref="CA364:CB364"/>
    <mergeCell ref="CD364:CK364"/>
    <mergeCell ref="CL362:CN362"/>
    <mergeCell ref="CO362:CP362"/>
    <mergeCell ref="CL363:CN363"/>
    <mergeCell ref="CO363:CP363"/>
    <mergeCell ref="CL364:CN364"/>
    <mergeCell ref="CO364:CP364"/>
    <mergeCell ref="BM363:BW363"/>
    <mergeCell ref="BX363:BZ363"/>
    <mergeCell ref="CA363:CB363"/>
    <mergeCell ref="CD363:CK363"/>
    <mergeCell ref="BM362:BW362"/>
    <mergeCell ref="BX362:BZ362"/>
    <mergeCell ref="CA362:CB362"/>
    <mergeCell ref="CD362:CK362"/>
    <mergeCell ref="CL361:CN361"/>
    <mergeCell ref="CO361:CP361"/>
    <mergeCell ref="BM360:BW360"/>
    <mergeCell ref="BX360:BZ360"/>
    <mergeCell ref="BM361:BW361"/>
    <mergeCell ref="BX361:BZ361"/>
    <mergeCell ref="CA361:CB361"/>
    <mergeCell ref="CD361:CK361"/>
    <mergeCell ref="CA360:CB360"/>
    <mergeCell ref="CD360:CK360"/>
    <mergeCell ref="CL358:CN358"/>
    <mergeCell ref="CO358:CP358"/>
    <mergeCell ref="CL359:CN359"/>
    <mergeCell ref="CO359:CP359"/>
    <mergeCell ref="CL360:CN360"/>
    <mergeCell ref="CO360:CP360"/>
    <mergeCell ref="BM359:BW359"/>
    <mergeCell ref="BX359:BZ359"/>
    <mergeCell ref="CA359:CB359"/>
    <mergeCell ref="CD359:CK359"/>
    <mergeCell ref="BM358:BW358"/>
    <mergeCell ref="BX358:BZ358"/>
    <mergeCell ref="CA358:CB358"/>
    <mergeCell ref="CD358:CK358"/>
    <mergeCell ref="CL357:CN357"/>
    <mergeCell ref="CO357:CP357"/>
    <mergeCell ref="BM356:BW356"/>
    <mergeCell ref="BX356:BZ356"/>
    <mergeCell ref="BM357:BW357"/>
    <mergeCell ref="BX357:BZ357"/>
    <mergeCell ref="CA357:CB357"/>
    <mergeCell ref="CD357:CK357"/>
    <mergeCell ref="CA356:CB356"/>
    <mergeCell ref="CD356:CK356"/>
    <mergeCell ref="CL354:CN354"/>
    <mergeCell ref="CO354:CP354"/>
    <mergeCell ref="CL355:CN355"/>
    <mergeCell ref="CO355:CP355"/>
    <mergeCell ref="CL356:CN356"/>
    <mergeCell ref="CO356:CP356"/>
    <mergeCell ref="BM355:BW355"/>
    <mergeCell ref="BX355:BZ355"/>
    <mergeCell ref="CA355:CB355"/>
    <mergeCell ref="CD355:CK355"/>
    <mergeCell ref="BM354:BW354"/>
    <mergeCell ref="BX354:BZ354"/>
    <mergeCell ref="CA354:CB354"/>
    <mergeCell ref="CD354:CK354"/>
    <mergeCell ref="CL353:CN353"/>
    <mergeCell ref="CO353:CP353"/>
    <mergeCell ref="BM352:BW352"/>
    <mergeCell ref="BX352:BZ352"/>
    <mergeCell ref="BM353:BW353"/>
    <mergeCell ref="BX353:BZ353"/>
    <mergeCell ref="CA353:CB353"/>
    <mergeCell ref="CD353:CK353"/>
    <mergeCell ref="CA352:CB352"/>
    <mergeCell ref="CD352:CK352"/>
    <mergeCell ref="CL350:CN350"/>
    <mergeCell ref="CO350:CP350"/>
    <mergeCell ref="CL351:CN351"/>
    <mergeCell ref="CO351:CP351"/>
    <mergeCell ref="CL352:CN352"/>
    <mergeCell ref="CO352:CP352"/>
    <mergeCell ref="BM351:BW351"/>
    <mergeCell ref="BX351:BZ351"/>
    <mergeCell ref="CA351:CB351"/>
    <mergeCell ref="CD351:CK351"/>
    <mergeCell ref="BM350:BW350"/>
    <mergeCell ref="BX350:BZ350"/>
    <mergeCell ref="CA350:CB350"/>
    <mergeCell ref="CD350:CK350"/>
    <mergeCell ref="CL349:CN349"/>
    <mergeCell ref="CO349:CP349"/>
    <mergeCell ref="BM348:BW348"/>
    <mergeCell ref="BX348:BZ348"/>
    <mergeCell ref="BM349:BW349"/>
    <mergeCell ref="BX349:BZ349"/>
    <mergeCell ref="CA349:CB349"/>
    <mergeCell ref="CD349:CK349"/>
    <mergeCell ref="CA348:CB348"/>
    <mergeCell ref="CD348:CK348"/>
    <mergeCell ref="CL346:CN346"/>
    <mergeCell ref="CO346:CP346"/>
    <mergeCell ref="CL347:CN347"/>
    <mergeCell ref="CO347:CP347"/>
    <mergeCell ref="CL348:CN348"/>
    <mergeCell ref="CO348:CP348"/>
    <mergeCell ref="BM347:BW347"/>
    <mergeCell ref="BX347:BZ347"/>
    <mergeCell ref="CA347:CB347"/>
    <mergeCell ref="CD347:CK347"/>
    <mergeCell ref="BM346:BW346"/>
    <mergeCell ref="BX346:BZ346"/>
    <mergeCell ref="CA346:CB346"/>
    <mergeCell ref="CD346:CK346"/>
    <mergeCell ref="CL345:CN345"/>
    <mergeCell ref="CO345:CP345"/>
    <mergeCell ref="BM344:BW344"/>
    <mergeCell ref="BX344:BZ344"/>
    <mergeCell ref="BM345:BW345"/>
    <mergeCell ref="BX345:BZ345"/>
    <mergeCell ref="CA345:CB345"/>
    <mergeCell ref="CD345:CK345"/>
    <mergeCell ref="CA344:CB344"/>
    <mergeCell ref="CD344:CK344"/>
    <mergeCell ref="CO111:CP111"/>
    <mergeCell ref="BM343:CP343"/>
    <mergeCell ref="CD111:CE111"/>
    <mergeCell ref="CF111:CH111"/>
    <mergeCell ref="CI111:CK111"/>
    <mergeCell ref="BV283:BX283"/>
    <mergeCell ref="BY283:CA283"/>
    <mergeCell ref="BM282:BS282"/>
    <mergeCell ref="BT282:BU282"/>
    <mergeCell ref="BV282:BX282"/>
    <mergeCell ref="CL344:CN344"/>
    <mergeCell ref="CO344:CP344"/>
    <mergeCell ref="CL111:CN111"/>
    <mergeCell ref="BM111:BV111"/>
    <mergeCell ref="BW111:BX111"/>
    <mergeCell ref="BY111:BZ111"/>
    <mergeCell ref="CA111:CC111"/>
    <mergeCell ref="CL283:CP283"/>
    <mergeCell ref="BM283:BS283"/>
    <mergeCell ref="BT283:BU283"/>
    <mergeCell ref="BY280:CA280"/>
    <mergeCell ref="CB280:CC280"/>
    <mergeCell ref="CO109:CP109"/>
    <mergeCell ref="BM110:BV110"/>
    <mergeCell ref="BW110:BX110"/>
    <mergeCell ref="BY110:BZ110"/>
    <mergeCell ref="CA110:CC110"/>
    <mergeCell ref="CD110:CE110"/>
    <mergeCell ref="CF110:CH110"/>
    <mergeCell ref="CI110:CK110"/>
    <mergeCell ref="CL110:CN110"/>
    <mergeCell ref="CO110:CP110"/>
    <mergeCell ref="CD109:CE109"/>
    <mergeCell ref="CF109:CH109"/>
    <mergeCell ref="CI109:CK109"/>
    <mergeCell ref="CL109:CN109"/>
    <mergeCell ref="BM109:BV109"/>
    <mergeCell ref="BW109:BX109"/>
    <mergeCell ref="BY109:BZ109"/>
    <mergeCell ref="CA109:CC109"/>
    <mergeCell ref="CO107:CP107"/>
    <mergeCell ref="BM108:BV108"/>
    <mergeCell ref="BW108:BX108"/>
    <mergeCell ref="BY108:BZ108"/>
    <mergeCell ref="CA108:CC108"/>
    <mergeCell ref="CD108:CE108"/>
    <mergeCell ref="CF108:CH108"/>
    <mergeCell ref="CI108:CK108"/>
    <mergeCell ref="CL108:CN108"/>
    <mergeCell ref="CO108:CP108"/>
    <mergeCell ref="CD107:CE107"/>
    <mergeCell ref="CF107:CH107"/>
    <mergeCell ref="CI107:CK107"/>
    <mergeCell ref="CL107:CN107"/>
    <mergeCell ref="BM107:BV107"/>
    <mergeCell ref="BW107:BX107"/>
    <mergeCell ref="BY107:BZ107"/>
    <mergeCell ref="CA107:CC107"/>
    <mergeCell ref="CO105:CP105"/>
    <mergeCell ref="BM106:BV106"/>
    <mergeCell ref="BW106:BX106"/>
    <mergeCell ref="BY106:BZ106"/>
    <mergeCell ref="CA106:CC106"/>
    <mergeCell ref="CD106:CE106"/>
    <mergeCell ref="CF106:CH106"/>
    <mergeCell ref="CI106:CK106"/>
    <mergeCell ref="CL106:CN106"/>
    <mergeCell ref="CO106:CP106"/>
    <mergeCell ref="CD105:CE105"/>
    <mergeCell ref="CF105:CH105"/>
    <mergeCell ref="CI105:CK105"/>
    <mergeCell ref="CL105:CN105"/>
    <mergeCell ref="BM105:BV105"/>
    <mergeCell ref="BW105:BX105"/>
    <mergeCell ref="BY105:BZ105"/>
    <mergeCell ref="CA105:CC105"/>
    <mergeCell ref="CQ103:CQ107"/>
    <mergeCell ref="BM104:BV104"/>
    <mergeCell ref="BW104:BX104"/>
    <mergeCell ref="BY104:BZ104"/>
    <mergeCell ref="CA104:CC104"/>
    <mergeCell ref="CD104:CE104"/>
    <mergeCell ref="CF104:CH104"/>
    <mergeCell ref="CI104:CK104"/>
    <mergeCell ref="CL104:CN104"/>
    <mergeCell ref="CO104:CP104"/>
    <mergeCell ref="CO102:CP102"/>
    <mergeCell ref="BM103:BV103"/>
    <mergeCell ref="BW103:BX103"/>
    <mergeCell ref="BY103:BZ103"/>
    <mergeCell ref="CA103:CC103"/>
    <mergeCell ref="CD103:CE103"/>
    <mergeCell ref="CF103:CH103"/>
    <mergeCell ref="CI103:CK103"/>
    <mergeCell ref="CL103:CN103"/>
    <mergeCell ref="CO103:CP103"/>
    <mergeCell ref="CD102:CE102"/>
    <mergeCell ref="CF102:CH102"/>
    <mergeCell ref="CI102:CK102"/>
    <mergeCell ref="CL102:CN102"/>
    <mergeCell ref="BM102:BV102"/>
    <mergeCell ref="BW102:BX102"/>
    <mergeCell ref="BY102:BZ102"/>
    <mergeCell ref="CA102:CC102"/>
    <mergeCell ref="CQ92:CQ102"/>
    <mergeCell ref="BM93:BV93"/>
    <mergeCell ref="BW93:BX93"/>
    <mergeCell ref="BY93:BZ93"/>
    <mergeCell ref="CO100:CP100"/>
    <mergeCell ref="BM101:BV101"/>
    <mergeCell ref="BW101:BX101"/>
    <mergeCell ref="BY101:BZ101"/>
    <mergeCell ref="CA101:CC101"/>
    <mergeCell ref="CD101:CE101"/>
    <mergeCell ref="CF101:CH101"/>
    <mergeCell ref="CI101:CK101"/>
    <mergeCell ref="CL101:CN101"/>
    <mergeCell ref="CO101:CP101"/>
    <mergeCell ref="CD100:CE100"/>
    <mergeCell ref="CF100:CH100"/>
    <mergeCell ref="CI100:CK100"/>
    <mergeCell ref="CL100:CN100"/>
    <mergeCell ref="BM100:BV100"/>
    <mergeCell ref="BW100:BX100"/>
    <mergeCell ref="BY100:BZ100"/>
    <mergeCell ref="CA100:CC100"/>
    <mergeCell ref="CO98:CP98"/>
    <mergeCell ref="BM99:BV99"/>
    <mergeCell ref="BW99:BX99"/>
    <mergeCell ref="BY99:BZ99"/>
    <mergeCell ref="CA99:CC99"/>
    <mergeCell ref="CD99:CE99"/>
    <mergeCell ref="CF99:CH99"/>
    <mergeCell ref="CI99:CK99"/>
    <mergeCell ref="CL99:CN99"/>
    <mergeCell ref="CO99:CP99"/>
    <mergeCell ref="CD98:CE98"/>
    <mergeCell ref="CF98:CH98"/>
    <mergeCell ref="CI98:CK98"/>
    <mergeCell ref="CL98:CN98"/>
    <mergeCell ref="BM98:BV98"/>
    <mergeCell ref="BW98:BX98"/>
    <mergeCell ref="BY98:BZ98"/>
    <mergeCell ref="CA98:CC98"/>
    <mergeCell ref="CO96:CP96"/>
    <mergeCell ref="BM97:BV97"/>
    <mergeCell ref="BW97:BX97"/>
    <mergeCell ref="BY97:BZ97"/>
    <mergeCell ref="CA97:CC97"/>
    <mergeCell ref="CD97:CE97"/>
    <mergeCell ref="CF97:CH97"/>
    <mergeCell ref="CI97:CK97"/>
    <mergeCell ref="CL97:CN97"/>
    <mergeCell ref="CO97:CP97"/>
    <mergeCell ref="CD96:CE96"/>
    <mergeCell ref="CF96:CH96"/>
    <mergeCell ref="CI96:CK96"/>
    <mergeCell ref="CL96:CN96"/>
    <mergeCell ref="BM96:BV96"/>
    <mergeCell ref="BW96:BX96"/>
    <mergeCell ref="BY96:BZ96"/>
    <mergeCell ref="CA96:CC96"/>
    <mergeCell ref="CO94:CP94"/>
    <mergeCell ref="BM95:BV95"/>
    <mergeCell ref="BW95:BX95"/>
    <mergeCell ref="BY95:BZ95"/>
    <mergeCell ref="CA95:CC95"/>
    <mergeCell ref="CD95:CE95"/>
    <mergeCell ref="CF95:CH95"/>
    <mergeCell ref="CI95:CK95"/>
    <mergeCell ref="CL95:CN95"/>
    <mergeCell ref="CO95:CP95"/>
    <mergeCell ref="CD94:CE94"/>
    <mergeCell ref="CF94:CH94"/>
    <mergeCell ref="CI94:CK94"/>
    <mergeCell ref="CL94:CN94"/>
    <mergeCell ref="BM94:BV94"/>
    <mergeCell ref="BW94:BX94"/>
    <mergeCell ref="BY94:BZ94"/>
    <mergeCell ref="CA94:CC94"/>
    <mergeCell ref="CI93:CK93"/>
    <mergeCell ref="CL93:CN93"/>
    <mergeCell ref="CO93:CP93"/>
    <mergeCell ref="CO91:CP91"/>
    <mergeCell ref="BM92:BV92"/>
    <mergeCell ref="BW92:BX92"/>
    <mergeCell ref="BY92:BZ92"/>
    <mergeCell ref="CA92:CC92"/>
    <mergeCell ref="CD92:CE92"/>
    <mergeCell ref="CF92:CH92"/>
    <mergeCell ref="CI92:CK92"/>
    <mergeCell ref="CL92:CN92"/>
    <mergeCell ref="CO92:CP92"/>
    <mergeCell ref="CD91:CE91"/>
    <mergeCell ref="CF91:CH91"/>
    <mergeCell ref="CI91:CK91"/>
    <mergeCell ref="CL91:CN91"/>
    <mergeCell ref="BM91:BV91"/>
    <mergeCell ref="BW91:BX91"/>
    <mergeCell ref="BY91:BZ91"/>
    <mergeCell ref="CA91:CC91"/>
    <mergeCell ref="CO89:CP89"/>
    <mergeCell ref="BM90:BV90"/>
    <mergeCell ref="BW90:BX90"/>
    <mergeCell ref="BY90:BZ90"/>
    <mergeCell ref="CA90:CC90"/>
    <mergeCell ref="CD90:CE90"/>
    <mergeCell ref="CF90:CH90"/>
    <mergeCell ref="CI90:CK90"/>
    <mergeCell ref="CL90:CN90"/>
    <mergeCell ref="CO90:CP90"/>
    <mergeCell ref="CD89:CE89"/>
    <mergeCell ref="CF89:CH89"/>
    <mergeCell ref="CI89:CK89"/>
    <mergeCell ref="CL89:CN89"/>
    <mergeCell ref="BM89:BV89"/>
    <mergeCell ref="BW89:BX89"/>
    <mergeCell ref="BY89:BZ89"/>
    <mergeCell ref="CA89:CC89"/>
    <mergeCell ref="CO87:CP87"/>
    <mergeCell ref="BM88:BV88"/>
    <mergeCell ref="BW88:BX88"/>
    <mergeCell ref="BY88:BZ88"/>
    <mergeCell ref="CA88:CC88"/>
    <mergeCell ref="CD88:CE88"/>
    <mergeCell ref="CF88:CH88"/>
    <mergeCell ref="CI88:CK88"/>
    <mergeCell ref="CL88:CN88"/>
    <mergeCell ref="CO88:CP88"/>
    <mergeCell ref="CD87:CE87"/>
    <mergeCell ref="CF87:CH87"/>
    <mergeCell ref="CI87:CK87"/>
    <mergeCell ref="CL87:CN87"/>
    <mergeCell ref="BM87:BV87"/>
    <mergeCell ref="BW87:BX87"/>
    <mergeCell ref="BY87:BZ87"/>
    <mergeCell ref="CA87:CC87"/>
    <mergeCell ref="CI84:CK84"/>
    <mergeCell ref="CL84:CN84"/>
    <mergeCell ref="CO84:CP84"/>
    <mergeCell ref="CD83:CE83"/>
    <mergeCell ref="CF83:CH83"/>
    <mergeCell ref="CI83:CK83"/>
    <mergeCell ref="CL83:CN83"/>
    <mergeCell ref="BM83:BV83"/>
    <mergeCell ref="BW83:BX83"/>
    <mergeCell ref="BY83:BZ83"/>
    <mergeCell ref="CA83:CC83"/>
    <mergeCell ref="CO85:CP85"/>
    <mergeCell ref="BM86:BV86"/>
    <mergeCell ref="BW86:BX86"/>
    <mergeCell ref="BY86:BZ86"/>
    <mergeCell ref="CA86:CC86"/>
    <mergeCell ref="CD86:CE86"/>
    <mergeCell ref="CF86:CH86"/>
    <mergeCell ref="CI86:CK86"/>
    <mergeCell ref="CL86:CN86"/>
    <mergeCell ref="CO86:CP86"/>
    <mergeCell ref="CD85:CE85"/>
    <mergeCell ref="CF85:CH85"/>
    <mergeCell ref="CI85:CK85"/>
    <mergeCell ref="CL85:CN85"/>
    <mergeCell ref="BM85:BV85"/>
    <mergeCell ref="BW85:BX85"/>
    <mergeCell ref="BY85:BZ85"/>
    <mergeCell ref="CA85:CC85"/>
    <mergeCell ref="CQ81:CQ91"/>
    <mergeCell ref="BM82:BV82"/>
    <mergeCell ref="BW82:BX82"/>
    <mergeCell ref="BY82:BZ82"/>
    <mergeCell ref="CA82:CC82"/>
    <mergeCell ref="CD82:CE82"/>
    <mergeCell ref="CF82:CH82"/>
    <mergeCell ref="CI82:CK82"/>
    <mergeCell ref="CL82:CN82"/>
    <mergeCell ref="CO82:CP82"/>
    <mergeCell ref="CO80:CP80"/>
    <mergeCell ref="BM81:BV81"/>
    <mergeCell ref="BW81:BX81"/>
    <mergeCell ref="BY81:BZ81"/>
    <mergeCell ref="CA81:CC81"/>
    <mergeCell ref="CD81:CE81"/>
    <mergeCell ref="CF81:CH81"/>
    <mergeCell ref="CI81:CK81"/>
    <mergeCell ref="CL81:CN81"/>
    <mergeCell ref="CO81:CP81"/>
    <mergeCell ref="CD80:CE80"/>
    <mergeCell ref="CF80:CH80"/>
    <mergeCell ref="CI80:CK80"/>
    <mergeCell ref="CL80:CN80"/>
    <mergeCell ref="BM80:BV80"/>
    <mergeCell ref="BW80:BX80"/>
    <mergeCell ref="BY80:BZ80"/>
    <mergeCell ref="CA80:CC80"/>
    <mergeCell ref="CO83:CP83"/>
    <mergeCell ref="BM84:BV84"/>
    <mergeCell ref="BW84:BX84"/>
    <mergeCell ref="BY84:BZ84"/>
    <mergeCell ref="CQ77:CQ80"/>
    <mergeCell ref="BM78:BV78"/>
    <mergeCell ref="BW78:BX78"/>
    <mergeCell ref="BY78:BZ78"/>
    <mergeCell ref="CA78:CC78"/>
    <mergeCell ref="CD78:CE78"/>
    <mergeCell ref="CF78:CH78"/>
    <mergeCell ref="CI78:CK78"/>
    <mergeCell ref="CL78:CN78"/>
    <mergeCell ref="CD77:CE77"/>
    <mergeCell ref="CF77:CH77"/>
    <mergeCell ref="CI77:CK77"/>
    <mergeCell ref="CL77:CN77"/>
    <mergeCell ref="BM77:BV77"/>
    <mergeCell ref="BW77:BX77"/>
    <mergeCell ref="BY77:BZ77"/>
    <mergeCell ref="CA77:CC77"/>
    <mergeCell ref="BW74:BX74"/>
    <mergeCell ref="BY74:BZ74"/>
    <mergeCell ref="CI74:CK74"/>
    <mergeCell ref="CL74:CN74"/>
    <mergeCell ref="CO74:CP74"/>
    <mergeCell ref="CD73:CE73"/>
    <mergeCell ref="CO78:CP78"/>
    <mergeCell ref="BM79:BV79"/>
    <mergeCell ref="BW79:BX79"/>
    <mergeCell ref="BY79:BZ79"/>
    <mergeCell ref="CA79:CC79"/>
    <mergeCell ref="CD79:CE79"/>
    <mergeCell ref="CF79:CH79"/>
    <mergeCell ref="CI79:CK79"/>
    <mergeCell ref="CL79:CN79"/>
    <mergeCell ref="CO79:CP79"/>
    <mergeCell ref="CO77:CP77"/>
    <mergeCell ref="CO75:CP75"/>
    <mergeCell ref="BM76:BV76"/>
    <mergeCell ref="BW76:BX76"/>
    <mergeCell ref="BY76:BZ76"/>
    <mergeCell ref="CA76:CC76"/>
    <mergeCell ref="CD76:CE76"/>
    <mergeCell ref="CF76:CH76"/>
    <mergeCell ref="CI76:CK76"/>
    <mergeCell ref="CL76:CN76"/>
    <mergeCell ref="CO76:CP76"/>
    <mergeCell ref="CD75:CE75"/>
    <mergeCell ref="CF75:CH75"/>
    <mergeCell ref="CI75:CK75"/>
    <mergeCell ref="CL75:CN75"/>
    <mergeCell ref="BW75:BX75"/>
    <mergeCell ref="BY75:BZ75"/>
    <mergeCell ref="CA75:CC75"/>
    <mergeCell ref="BT280:BU280"/>
    <mergeCell ref="BV280:BX280"/>
    <mergeCell ref="CO67:CP67"/>
    <mergeCell ref="BM68:BV68"/>
    <mergeCell ref="BW68:BX68"/>
    <mergeCell ref="BY68:BZ68"/>
    <mergeCell ref="CA68:CC68"/>
    <mergeCell ref="CD68:CE68"/>
    <mergeCell ref="CF68:CH68"/>
    <mergeCell ref="CI68:CK68"/>
    <mergeCell ref="CL68:CN68"/>
    <mergeCell ref="CO68:CP68"/>
    <mergeCell ref="CO66:CP66"/>
    <mergeCell ref="CD280:CE280"/>
    <mergeCell ref="CF280:CH280"/>
    <mergeCell ref="CI280:CK280"/>
    <mergeCell ref="CL280:CP280"/>
    <mergeCell ref="CB279:CC279"/>
    <mergeCell ref="CD279:CE279"/>
    <mergeCell ref="CF279:CH279"/>
    <mergeCell ref="CI279:CK279"/>
    <mergeCell ref="BM279:BS279"/>
    <mergeCell ref="BT279:BU279"/>
    <mergeCell ref="BV279:BX279"/>
    <mergeCell ref="BY279:CA279"/>
    <mergeCell ref="CL277:CP277"/>
    <mergeCell ref="BM278:BS278"/>
    <mergeCell ref="BT278:BU278"/>
    <mergeCell ref="BM74:BV74"/>
    <mergeCell ref="BV278:BX278"/>
    <mergeCell ref="CQ66:CQ76"/>
    <mergeCell ref="BM67:BV67"/>
    <mergeCell ref="BW67:BX67"/>
    <mergeCell ref="BY67:BZ67"/>
    <mergeCell ref="CA67:CC67"/>
    <mergeCell ref="CD67:CE67"/>
    <mergeCell ref="CF67:CH67"/>
    <mergeCell ref="CI67:CK67"/>
    <mergeCell ref="CL67:CN67"/>
    <mergeCell ref="CD66:CE66"/>
    <mergeCell ref="CF66:CH66"/>
    <mergeCell ref="CI66:CK66"/>
    <mergeCell ref="CL66:CN66"/>
    <mergeCell ref="BM66:BV66"/>
    <mergeCell ref="BW66:BX66"/>
    <mergeCell ref="BY66:BZ66"/>
    <mergeCell ref="CA66:CC66"/>
    <mergeCell ref="CO69:CP69"/>
    <mergeCell ref="BM70:BV70"/>
    <mergeCell ref="BM69:BV69"/>
    <mergeCell ref="BW69:BX69"/>
    <mergeCell ref="BY69:BZ69"/>
    <mergeCell ref="CA69:CC69"/>
    <mergeCell ref="CL71:CN71"/>
    <mergeCell ref="CI73:CK73"/>
    <mergeCell ref="CL73:CN73"/>
    <mergeCell ref="BM73:BV73"/>
    <mergeCell ref="BW73:BX73"/>
    <mergeCell ref="BY73:BZ73"/>
    <mergeCell ref="CA73:CC73"/>
    <mergeCell ref="CO71:CP71"/>
    <mergeCell ref="BM72:BV72"/>
    <mergeCell ref="CB283:CC283"/>
    <mergeCell ref="CD283:CE283"/>
    <mergeCell ref="CF283:CH283"/>
    <mergeCell ref="CI283:CK283"/>
    <mergeCell ref="CL281:CP281"/>
    <mergeCell ref="CI282:CK282"/>
    <mergeCell ref="CL282:CP282"/>
    <mergeCell ref="CB281:CC281"/>
    <mergeCell ref="CD281:CE281"/>
    <mergeCell ref="BY282:CA282"/>
    <mergeCell ref="CB282:CC282"/>
    <mergeCell ref="CD282:CE282"/>
    <mergeCell ref="CF282:CH282"/>
    <mergeCell ref="CF281:CH281"/>
    <mergeCell ref="CI281:CK281"/>
    <mergeCell ref="BM281:BS281"/>
    <mergeCell ref="BT281:BU281"/>
    <mergeCell ref="BV281:BX281"/>
    <mergeCell ref="BY281:CA281"/>
    <mergeCell ref="BY278:CA278"/>
    <mergeCell ref="CB278:CC278"/>
    <mergeCell ref="CD278:CE278"/>
    <mergeCell ref="CF278:CH278"/>
    <mergeCell ref="CI278:CK278"/>
    <mergeCell ref="CL278:CP278"/>
    <mergeCell ref="CB277:CC277"/>
    <mergeCell ref="CD277:CE277"/>
    <mergeCell ref="CF277:CH277"/>
    <mergeCell ref="CI277:CK277"/>
    <mergeCell ref="BM277:BS277"/>
    <mergeCell ref="BT277:BU277"/>
    <mergeCell ref="BV277:BX277"/>
    <mergeCell ref="BY277:CA277"/>
    <mergeCell ref="CL279:CP279"/>
    <mergeCell ref="BM280:BS280"/>
    <mergeCell ref="CL275:CP275"/>
    <mergeCell ref="BM276:BS276"/>
    <mergeCell ref="BT276:BU276"/>
    <mergeCell ref="BV276:BX276"/>
    <mergeCell ref="BY276:CA276"/>
    <mergeCell ref="CB276:CC276"/>
    <mergeCell ref="CD276:CE276"/>
    <mergeCell ref="CF276:CH276"/>
    <mergeCell ref="CI276:CK276"/>
    <mergeCell ref="CL276:CP276"/>
    <mergeCell ref="CB275:CC275"/>
    <mergeCell ref="CD275:CE275"/>
    <mergeCell ref="CF275:CH275"/>
    <mergeCell ref="CI275:CK275"/>
    <mergeCell ref="BM275:BS275"/>
    <mergeCell ref="BT275:BU275"/>
    <mergeCell ref="BV275:BX275"/>
    <mergeCell ref="BY275:CA275"/>
    <mergeCell ref="CL273:CP273"/>
    <mergeCell ref="BM274:BS274"/>
    <mergeCell ref="BT274:BU274"/>
    <mergeCell ref="BV274:BX274"/>
    <mergeCell ref="BY274:CA274"/>
    <mergeCell ref="CB274:CC274"/>
    <mergeCell ref="CD274:CE274"/>
    <mergeCell ref="CF274:CH274"/>
    <mergeCell ref="CI274:CK274"/>
    <mergeCell ref="CL274:CP274"/>
    <mergeCell ref="CB273:CC273"/>
    <mergeCell ref="CD273:CE273"/>
    <mergeCell ref="CF273:CH273"/>
    <mergeCell ref="CI273:CK273"/>
    <mergeCell ref="BM273:BS273"/>
    <mergeCell ref="BT273:BU273"/>
    <mergeCell ref="BV273:BX273"/>
    <mergeCell ref="BY273:CA273"/>
    <mergeCell ref="CL271:CP271"/>
    <mergeCell ref="BM272:BS272"/>
    <mergeCell ref="BT272:BU272"/>
    <mergeCell ref="BV272:BX272"/>
    <mergeCell ref="BY272:CA272"/>
    <mergeCell ref="CB272:CC272"/>
    <mergeCell ref="CD272:CE272"/>
    <mergeCell ref="CF272:CH272"/>
    <mergeCell ref="CI272:CK272"/>
    <mergeCell ref="CL272:CP272"/>
    <mergeCell ref="CB271:CC271"/>
    <mergeCell ref="CD271:CE271"/>
    <mergeCell ref="CF271:CH271"/>
    <mergeCell ref="CI271:CK271"/>
    <mergeCell ref="BM271:BS271"/>
    <mergeCell ref="BT271:BU271"/>
    <mergeCell ref="BV271:BX271"/>
    <mergeCell ref="BY271:CA271"/>
    <mergeCell ref="CL269:CP269"/>
    <mergeCell ref="BM270:BS270"/>
    <mergeCell ref="BT270:BU270"/>
    <mergeCell ref="BV270:BX270"/>
    <mergeCell ref="BY270:CA270"/>
    <mergeCell ref="CB270:CC270"/>
    <mergeCell ref="CD270:CE270"/>
    <mergeCell ref="CF270:CH270"/>
    <mergeCell ref="CI270:CK270"/>
    <mergeCell ref="CL270:CP270"/>
    <mergeCell ref="CB269:CC269"/>
    <mergeCell ref="CD269:CE269"/>
    <mergeCell ref="CF269:CH269"/>
    <mergeCell ref="CI269:CK269"/>
    <mergeCell ref="BM269:BS269"/>
    <mergeCell ref="BT269:BU269"/>
    <mergeCell ref="BV269:BX269"/>
    <mergeCell ref="BY269:CA269"/>
    <mergeCell ref="CL267:CP267"/>
    <mergeCell ref="BM268:BS268"/>
    <mergeCell ref="BT268:BU268"/>
    <mergeCell ref="BV268:BX268"/>
    <mergeCell ref="BY268:CA268"/>
    <mergeCell ref="CB268:CC268"/>
    <mergeCell ref="CD268:CE268"/>
    <mergeCell ref="CF268:CH268"/>
    <mergeCell ref="CI268:CK268"/>
    <mergeCell ref="CL268:CP268"/>
    <mergeCell ref="CB267:CC267"/>
    <mergeCell ref="CD267:CE267"/>
    <mergeCell ref="CF267:CH267"/>
    <mergeCell ref="CI267:CK267"/>
    <mergeCell ref="BM267:BS267"/>
    <mergeCell ref="BT267:BU267"/>
    <mergeCell ref="BV267:BX267"/>
    <mergeCell ref="BY267:CA267"/>
    <mergeCell ref="CL265:CP265"/>
    <mergeCell ref="BM266:BS266"/>
    <mergeCell ref="BT266:BU266"/>
    <mergeCell ref="BV266:BX266"/>
    <mergeCell ref="BY266:CA266"/>
    <mergeCell ref="CB266:CC266"/>
    <mergeCell ref="CD266:CE266"/>
    <mergeCell ref="CF266:CH266"/>
    <mergeCell ref="CI266:CK266"/>
    <mergeCell ref="CL266:CP266"/>
    <mergeCell ref="CB265:CC265"/>
    <mergeCell ref="CD265:CE265"/>
    <mergeCell ref="CF265:CH265"/>
    <mergeCell ref="CI265:CK265"/>
    <mergeCell ref="BM265:BS265"/>
    <mergeCell ref="BT265:BU265"/>
    <mergeCell ref="BV265:BX265"/>
    <mergeCell ref="BY265:CA265"/>
    <mergeCell ref="CL263:CP263"/>
    <mergeCell ref="BM264:BS264"/>
    <mergeCell ref="BT264:BU264"/>
    <mergeCell ref="BV264:BX264"/>
    <mergeCell ref="BY264:CA264"/>
    <mergeCell ref="CB264:CC264"/>
    <mergeCell ref="CD264:CE264"/>
    <mergeCell ref="CF264:CH264"/>
    <mergeCell ref="CI264:CK264"/>
    <mergeCell ref="CL264:CP264"/>
    <mergeCell ref="CB263:CC263"/>
    <mergeCell ref="CD263:CE263"/>
    <mergeCell ref="CF263:CH263"/>
    <mergeCell ref="CI263:CK263"/>
    <mergeCell ref="BM263:BS263"/>
    <mergeCell ref="BT263:BU263"/>
    <mergeCell ref="BV263:BX263"/>
    <mergeCell ref="BY263:CA263"/>
    <mergeCell ref="CL261:CP261"/>
    <mergeCell ref="BM262:BS262"/>
    <mergeCell ref="BT262:BU262"/>
    <mergeCell ref="BV262:BX262"/>
    <mergeCell ref="BY262:CA262"/>
    <mergeCell ref="CB262:CC262"/>
    <mergeCell ref="CD262:CE262"/>
    <mergeCell ref="CF262:CH262"/>
    <mergeCell ref="CI262:CK262"/>
    <mergeCell ref="CL262:CP262"/>
    <mergeCell ref="CB261:CC261"/>
    <mergeCell ref="CD261:CE261"/>
    <mergeCell ref="CF261:CH261"/>
    <mergeCell ref="CI261:CK261"/>
    <mergeCell ref="BM261:BS261"/>
    <mergeCell ref="BT261:BU261"/>
    <mergeCell ref="BV261:BX261"/>
    <mergeCell ref="BY261:CA261"/>
    <mergeCell ref="CL259:CP259"/>
    <mergeCell ref="BM260:BS260"/>
    <mergeCell ref="BT260:BU260"/>
    <mergeCell ref="BV260:BX260"/>
    <mergeCell ref="BY260:CA260"/>
    <mergeCell ref="CB260:CC260"/>
    <mergeCell ref="CD260:CE260"/>
    <mergeCell ref="CF260:CH260"/>
    <mergeCell ref="CI260:CK260"/>
    <mergeCell ref="CL260:CP260"/>
    <mergeCell ref="CB259:CC259"/>
    <mergeCell ref="CD259:CE259"/>
    <mergeCell ref="CF259:CH259"/>
    <mergeCell ref="CI259:CK259"/>
    <mergeCell ref="BM259:BS259"/>
    <mergeCell ref="BT259:BU259"/>
    <mergeCell ref="BV259:BX259"/>
    <mergeCell ref="BY259:CA259"/>
    <mergeCell ref="CL257:CP257"/>
    <mergeCell ref="BM258:BS258"/>
    <mergeCell ref="BT258:BU258"/>
    <mergeCell ref="BV258:BX258"/>
    <mergeCell ref="BY258:CA258"/>
    <mergeCell ref="CB258:CC258"/>
    <mergeCell ref="CD258:CE258"/>
    <mergeCell ref="CF258:CH258"/>
    <mergeCell ref="CI258:CK258"/>
    <mergeCell ref="CL258:CP258"/>
    <mergeCell ref="CB257:CC257"/>
    <mergeCell ref="CD257:CE257"/>
    <mergeCell ref="CF257:CH257"/>
    <mergeCell ref="CI257:CK257"/>
    <mergeCell ref="BM257:BS257"/>
    <mergeCell ref="BT257:BU257"/>
    <mergeCell ref="BV257:BX257"/>
    <mergeCell ref="BY257:CA257"/>
    <mergeCell ref="CL255:CP255"/>
    <mergeCell ref="BM256:BS256"/>
    <mergeCell ref="BT256:BU256"/>
    <mergeCell ref="BV256:BX256"/>
    <mergeCell ref="BY256:CA256"/>
    <mergeCell ref="CB256:CC256"/>
    <mergeCell ref="CD256:CE256"/>
    <mergeCell ref="CF256:CH256"/>
    <mergeCell ref="CI256:CK256"/>
    <mergeCell ref="CL256:CP256"/>
    <mergeCell ref="CB255:CC255"/>
    <mergeCell ref="CD255:CE255"/>
    <mergeCell ref="CF255:CH255"/>
    <mergeCell ref="CI255:CK255"/>
    <mergeCell ref="BM255:BS255"/>
    <mergeCell ref="BT255:BU255"/>
    <mergeCell ref="BV255:BX255"/>
    <mergeCell ref="BY255:CA255"/>
    <mergeCell ref="CL253:CP253"/>
    <mergeCell ref="BM254:BS254"/>
    <mergeCell ref="BT254:BU254"/>
    <mergeCell ref="BV254:BX254"/>
    <mergeCell ref="BY254:CA254"/>
    <mergeCell ref="CB254:CC254"/>
    <mergeCell ref="CD254:CE254"/>
    <mergeCell ref="CF254:CH254"/>
    <mergeCell ref="CI254:CK254"/>
    <mergeCell ref="CL254:CP254"/>
    <mergeCell ref="CB253:CC253"/>
    <mergeCell ref="CD253:CE253"/>
    <mergeCell ref="CF253:CH253"/>
    <mergeCell ref="CI253:CK253"/>
    <mergeCell ref="BM253:BS253"/>
    <mergeCell ref="BT253:BU253"/>
    <mergeCell ref="BV253:BX253"/>
    <mergeCell ref="BY253:CA253"/>
    <mergeCell ref="CL251:CP251"/>
    <mergeCell ref="BM252:BS252"/>
    <mergeCell ref="BT252:BU252"/>
    <mergeCell ref="BV252:BX252"/>
    <mergeCell ref="BY252:CA252"/>
    <mergeCell ref="CB252:CC252"/>
    <mergeCell ref="CD252:CE252"/>
    <mergeCell ref="CF252:CH252"/>
    <mergeCell ref="CI252:CK252"/>
    <mergeCell ref="CL252:CP252"/>
    <mergeCell ref="CB251:CC251"/>
    <mergeCell ref="CD251:CE251"/>
    <mergeCell ref="CF251:CH251"/>
    <mergeCell ref="CI251:CK251"/>
    <mergeCell ref="BM251:BS251"/>
    <mergeCell ref="BT251:BU251"/>
    <mergeCell ref="BV251:BX251"/>
    <mergeCell ref="BY251:CA251"/>
    <mergeCell ref="CL249:CP249"/>
    <mergeCell ref="BM250:BS250"/>
    <mergeCell ref="BT250:BU250"/>
    <mergeCell ref="BV250:BX250"/>
    <mergeCell ref="BY250:CA250"/>
    <mergeCell ref="CB250:CC250"/>
    <mergeCell ref="CD250:CE250"/>
    <mergeCell ref="CF250:CH250"/>
    <mergeCell ref="CI250:CK250"/>
    <mergeCell ref="CL250:CP250"/>
    <mergeCell ref="CB249:CC249"/>
    <mergeCell ref="CD249:CE249"/>
    <mergeCell ref="CF249:CH249"/>
    <mergeCell ref="CI249:CK249"/>
    <mergeCell ref="BM249:BS249"/>
    <mergeCell ref="BT249:BU249"/>
    <mergeCell ref="BV249:BX249"/>
    <mergeCell ref="BY249:CA249"/>
    <mergeCell ref="CL247:CP247"/>
    <mergeCell ref="BM248:BS248"/>
    <mergeCell ref="BT248:BU248"/>
    <mergeCell ref="BV248:BX248"/>
    <mergeCell ref="BY248:CA248"/>
    <mergeCell ref="CB248:CC248"/>
    <mergeCell ref="CD248:CE248"/>
    <mergeCell ref="CF248:CH248"/>
    <mergeCell ref="CI248:CK248"/>
    <mergeCell ref="CL248:CP248"/>
    <mergeCell ref="CB247:CC247"/>
    <mergeCell ref="CD247:CE247"/>
    <mergeCell ref="CF247:CH247"/>
    <mergeCell ref="CI247:CK247"/>
    <mergeCell ref="BM247:BS247"/>
    <mergeCell ref="BT247:BU247"/>
    <mergeCell ref="BV247:BX247"/>
    <mergeCell ref="BY247:CA247"/>
    <mergeCell ref="CL245:CP245"/>
    <mergeCell ref="BM246:BS246"/>
    <mergeCell ref="BT246:BU246"/>
    <mergeCell ref="BV246:BX246"/>
    <mergeCell ref="BY246:CA246"/>
    <mergeCell ref="CB246:CC246"/>
    <mergeCell ref="CD246:CE246"/>
    <mergeCell ref="CF246:CH246"/>
    <mergeCell ref="CI246:CK246"/>
    <mergeCell ref="CL246:CP246"/>
    <mergeCell ref="CB245:CC245"/>
    <mergeCell ref="CD245:CE245"/>
    <mergeCell ref="CF245:CH245"/>
    <mergeCell ref="CI245:CK245"/>
    <mergeCell ref="BM245:BS245"/>
    <mergeCell ref="BT245:BU245"/>
    <mergeCell ref="BV245:BX245"/>
    <mergeCell ref="BY245:CA245"/>
    <mergeCell ref="CL243:CP243"/>
    <mergeCell ref="BM244:BS244"/>
    <mergeCell ref="BT244:BU244"/>
    <mergeCell ref="BV244:BX244"/>
    <mergeCell ref="BY244:CA244"/>
    <mergeCell ref="CB244:CC244"/>
    <mergeCell ref="CD244:CE244"/>
    <mergeCell ref="CF244:CH244"/>
    <mergeCell ref="CI244:CK244"/>
    <mergeCell ref="CL244:CP244"/>
    <mergeCell ref="CB243:CC243"/>
    <mergeCell ref="CD243:CE243"/>
    <mergeCell ref="CF243:CH243"/>
    <mergeCell ref="CI243:CK243"/>
    <mergeCell ref="BM243:BS243"/>
    <mergeCell ref="BT243:BU243"/>
    <mergeCell ref="BV243:BX243"/>
    <mergeCell ref="BY243:CA243"/>
    <mergeCell ref="CL241:CP241"/>
    <mergeCell ref="BM242:BS242"/>
    <mergeCell ref="BT242:BU242"/>
    <mergeCell ref="BV242:BX242"/>
    <mergeCell ref="BY242:CA242"/>
    <mergeCell ref="CB242:CC242"/>
    <mergeCell ref="CD242:CE242"/>
    <mergeCell ref="CF242:CH242"/>
    <mergeCell ref="CI242:CK242"/>
    <mergeCell ref="CL242:CP242"/>
    <mergeCell ref="CB241:CC241"/>
    <mergeCell ref="CD241:CE241"/>
    <mergeCell ref="CF241:CH241"/>
    <mergeCell ref="CI241:CK241"/>
    <mergeCell ref="BM241:BS241"/>
    <mergeCell ref="BT241:BU241"/>
    <mergeCell ref="BV241:BX241"/>
    <mergeCell ref="BY241:CA241"/>
    <mergeCell ref="CL239:CP239"/>
    <mergeCell ref="BM240:BS240"/>
    <mergeCell ref="BT240:BU240"/>
    <mergeCell ref="BV240:BX240"/>
    <mergeCell ref="BY240:CA240"/>
    <mergeCell ref="CB240:CC240"/>
    <mergeCell ref="CD240:CE240"/>
    <mergeCell ref="CF240:CH240"/>
    <mergeCell ref="CI240:CK240"/>
    <mergeCell ref="CL240:CP240"/>
    <mergeCell ref="CB239:CC239"/>
    <mergeCell ref="CD239:CE239"/>
    <mergeCell ref="CF239:CH239"/>
    <mergeCell ref="CI239:CK239"/>
    <mergeCell ref="BM239:BS239"/>
    <mergeCell ref="BT239:BU239"/>
    <mergeCell ref="BV239:BX239"/>
    <mergeCell ref="BY239:CA239"/>
    <mergeCell ref="CL237:CP237"/>
    <mergeCell ref="BM238:BS238"/>
    <mergeCell ref="BT238:BU238"/>
    <mergeCell ref="BV238:BX238"/>
    <mergeCell ref="BY238:CA238"/>
    <mergeCell ref="CB238:CC238"/>
    <mergeCell ref="CD238:CE238"/>
    <mergeCell ref="CF238:CH238"/>
    <mergeCell ref="CI238:CK238"/>
    <mergeCell ref="CL238:CP238"/>
    <mergeCell ref="CB237:CC237"/>
    <mergeCell ref="CD237:CE237"/>
    <mergeCell ref="CF237:CH237"/>
    <mergeCell ref="CI237:CK237"/>
    <mergeCell ref="BM237:BS237"/>
    <mergeCell ref="BT237:BU237"/>
    <mergeCell ref="BV237:BX237"/>
    <mergeCell ref="BY237:CA237"/>
    <mergeCell ref="CL235:CP235"/>
    <mergeCell ref="BM236:BS236"/>
    <mergeCell ref="BT236:BU236"/>
    <mergeCell ref="BV236:BX236"/>
    <mergeCell ref="BY236:CA236"/>
    <mergeCell ref="CB236:CC236"/>
    <mergeCell ref="CD236:CE236"/>
    <mergeCell ref="CF236:CH236"/>
    <mergeCell ref="CI236:CK236"/>
    <mergeCell ref="CL236:CP236"/>
    <mergeCell ref="CB235:CC235"/>
    <mergeCell ref="CD235:CE235"/>
    <mergeCell ref="CF235:CH235"/>
    <mergeCell ref="CI235:CK235"/>
    <mergeCell ref="BM235:BS235"/>
    <mergeCell ref="BT235:BU235"/>
    <mergeCell ref="BV235:BX235"/>
    <mergeCell ref="BY235:CA235"/>
    <mergeCell ref="CL233:CP233"/>
    <mergeCell ref="BM234:BS234"/>
    <mergeCell ref="BT234:BU234"/>
    <mergeCell ref="BV234:BX234"/>
    <mergeCell ref="BY234:CA234"/>
    <mergeCell ref="CB234:CC234"/>
    <mergeCell ref="CD234:CE234"/>
    <mergeCell ref="CF234:CH234"/>
    <mergeCell ref="CI234:CK234"/>
    <mergeCell ref="CL234:CP234"/>
    <mergeCell ref="CB233:CC233"/>
    <mergeCell ref="CD233:CE233"/>
    <mergeCell ref="CF233:CH233"/>
    <mergeCell ref="CI233:CK233"/>
    <mergeCell ref="BM233:BS233"/>
    <mergeCell ref="BT233:BU233"/>
    <mergeCell ref="BV233:BX233"/>
    <mergeCell ref="BY233:CA233"/>
    <mergeCell ref="CL231:CP231"/>
    <mergeCell ref="BM232:BS232"/>
    <mergeCell ref="BT232:BU232"/>
    <mergeCell ref="BV232:BX232"/>
    <mergeCell ref="BY232:CA232"/>
    <mergeCell ref="CB232:CC232"/>
    <mergeCell ref="CD232:CE232"/>
    <mergeCell ref="CF232:CH232"/>
    <mergeCell ref="CI232:CK232"/>
    <mergeCell ref="CL232:CP232"/>
    <mergeCell ref="CB231:CC231"/>
    <mergeCell ref="CD231:CE231"/>
    <mergeCell ref="CF231:CH231"/>
    <mergeCell ref="CI231:CK231"/>
    <mergeCell ref="BM231:BS231"/>
    <mergeCell ref="BT231:BU231"/>
    <mergeCell ref="BV231:BX231"/>
    <mergeCell ref="BY231:CA231"/>
    <mergeCell ref="CL229:CP229"/>
    <mergeCell ref="BM230:BS230"/>
    <mergeCell ref="BT230:BU230"/>
    <mergeCell ref="BV230:BX230"/>
    <mergeCell ref="BY230:CA230"/>
    <mergeCell ref="CB230:CC230"/>
    <mergeCell ref="CD230:CE230"/>
    <mergeCell ref="CF230:CH230"/>
    <mergeCell ref="CI230:CK230"/>
    <mergeCell ref="CL230:CP230"/>
    <mergeCell ref="CB229:CC229"/>
    <mergeCell ref="CD229:CE229"/>
    <mergeCell ref="CF229:CH229"/>
    <mergeCell ref="CI229:CK229"/>
    <mergeCell ref="BM229:BS229"/>
    <mergeCell ref="BT229:BU229"/>
    <mergeCell ref="BV229:BX229"/>
    <mergeCell ref="BY229:CA229"/>
    <mergeCell ref="CL227:CP227"/>
    <mergeCell ref="BM228:BS228"/>
    <mergeCell ref="BT228:BU228"/>
    <mergeCell ref="BV228:BX228"/>
    <mergeCell ref="BY228:CA228"/>
    <mergeCell ref="CB228:CC228"/>
    <mergeCell ref="CD228:CE228"/>
    <mergeCell ref="CF228:CH228"/>
    <mergeCell ref="CI228:CK228"/>
    <mergeCell ref="CL228:CP228"/>
    <mergeCell ref="CB227:CC227"/>
    <mergeCell ref="CD227:CE227"/>
    <mergeCell ref="CF227:CH227"/>
    <mergeCell ref="CI227:CK227"/>
    <mergeCell ref="BM227:BS227"/>
    <mergeCell ref="BT227:BU227"/>
    <mergeCell ref="BV227:BX227"/>
    <mergeCell ref="BY227:CA227"/>
    <mergeCell ref="CL225:CP225"/>
    <mergeCell ref="BM226:BS226"/>
    <mergeCell ref="BT226:BU226"/>
    <mergeCell ref="BV226:BX226"/>
    <mergeCell ref="BY226:CA226"/>
    <mergeCell ref="CB226:CC226"/>
    <mergeCell ref="CD226:CE226"/>
    <mergeCell ref="CF226:CH226"/>
    <mergeCell ref="CI226:CK226"/>
    <mergeCell ref="CL226:CP226"/>
    <mergeCell ref="CB225:CC225"/>
    <mergeCell ref="CD225:CE225"/>
    <mergeCell ref="CF225:CH225"/>
    <mergeCell ref="CI225:CK225"/>
    <mergeCell ref="BM225:BS225"/>
    <mergeCell ref="BT225:BU225"/>
    <mergeCell ref="BV225:BX225"/>
    <mergeCell ref="BY225:CA225"/>
    <mergeCell ref="CB224:CC224"/>
    <mergeCell ref="CD224:CE224"/>
    <mergeCell ref="CF224:CH224"/>
    <mergeCell ref="CI224:CK224"/>
    <mergeCell ref="CL224:CP224"/>
    <mergeCell ref="CL219:CP219"/>
    <mergeCell ref="BM220:BQ220"/>
    <mergeCell ref="BR220:BW220"/>
    <mergeCell ref="BX220:BY220"/>
    <mergeCell ref="BZ220:CA220"/>
    <mergeCell ref="CB220:CC220"/>
    <mergeCell ref="CD220:CE220"/>
    <mergeCell ref="CF220:CH220"/>
    <mergeCell ref="CI220:CK220"/>
    <mergeCell ref="CL220:CP220"/>
    <mergeCell ref="CB219:CC219"/>
    <mergeCell ref="CD219:CE219"/>
    <mergeCell ref="CF219:CH219"/>
    <mergeCell ref="CI219:CK219"/>
    <mergeCell ref="BM219:BQ219"/>
    <mergeCell ref="BR219:BW219"/>
    <mergeCell ref="BX219:BY219"/>
    <mergeCell ref="BZ219:CA219"/>
    <mergeCell ref="BM223:CP223"/>
    <mergeCell ref="BM224:BS224"/>
    <mergeCell ref="BT224:BU224"/>
    <mergeCell ref="BV224:BX224"/>
    <mergeCell ref="BY224:CA224"/>
    <mergeCell ref="CL217:CP217"/>
    <mergeCell ref="BM218:BQ218"/>
    <mergeCell ref="BR218:BW218"/>
    <mergeCell ref="BX218:BY218"/>
    <mergeCell ref="BZ218:CA218"/>
    <mergeCell ref="CB218:CC218"/>
    <mergeCell ref="CD218:CE218"/>
    <mergeCell ref="CF218:CH218"/>
    <mergeCell ref="CI218:CK218"/>
    <mergeCell ref="CL218:CP218"/>
    <mergeCell ref="CB217:CC217"/>
    <mergeCell ref="CD217:CE217"/>
    <mergeCell ref="CF217:CH217"/>
    <mergeCell ref="CI217:CK217"/>
    <mergeCell ref="BM217:BQ217"/>
    <mergeCell ref="BR217:BW217"/>
    <mergeCell ref="BX217:BY217"/>
    <mergeCell ref="BZ217:CA217"/>
    <mergeCell ref="CL215:CP215"/>
    <mergeCell ref="BM216:BQ216"/>
    <mergeCell ref="BR216:BW216"/>
    <mergeCell ref="BX216:BY216"/>
    <mergeCell ref="BZ216:CA216"/>
    <mergeCell ref="CB216:CC216"/>
    <mergeCell ref="CD216:CE216"/>
    <mergeCell ref="CF216:CH216"/>
    <mergeCell ref="CI216:CK216"/>
    <mergeCell ref="CL216:CP216"/>
    <mergeCell ref="CB215:CC215"/>
    <mergeCell ref="CD215:CE215"/>
    <mergeCell ref="CF215:CH215"/>
    <mergeCell ref="CI215:CK215"/>
    <mergeCell ref="BM215:BQ215"/>
    <mergeCell ref="BR215:BW215"/>
    <mergeCell ref="BX215:BY215"/>
    <mergeCell ref="BZ215:CA215"/>
    <mergeCell ref="CL213:CP213"/>
    <mergeCell ref="BM214:BQ214"/>
    <mergeCell ref="BR214:BW214"/>
    <mergeCell ref="BX214:BY214"/>
    <mergeCell ref="BZ214:CA214"/>
    <mergeCell ref="CB214:CC214"/>
    <mergeCell ref="CD214:CE214"/>
    <mergeCell ref="CF214:CH214"/>
    <mergeCell ref="CI214:CK214"/>
    <mergeCell ref="CL214:CP214"/>
    <mergeCell ref="CB213:CC213"/>
    <mergeCell ref="CD213:CE213"/>
    <mergeCell ref="CF213:CH213"/>
    <mergeCell ref="CI213:CK213"/>
    <mergeCell ref="BM213:BQ213"/>
    <mergeCell ref="BR213:BW213"/>
    <mergeCell ref="BX213:BY213"/>
    <mergeCell ref="BZ213:CA213"/>
    <mergeCell ref="CL211:CP211"/>
    <mergeCell ref="BM212:BQ212"/>
    <mergeCell ref="BR212:BW212"/>
    <mergeCell ref="BX212:BY212"/>
    <mergeCell ref="BZ212:CA212"/>
    <mergeCell ref="CB212:CC212"/>
    <mergeCell ref="CD212:CE212"/>
    <mergeCell ref="CF212:CH212"/>
    <mergeCell ref="CI212:CK212"/>
    <mergeCell ref="CL212:CP212"/>
    <mergeCell ref="CB211:CC211"/>
    <mergeCell ref="CD211:CE211"/>
    <mergeCell ref="CF211:CH211"/>
    <mergeCell ref="CI211:CK211"/>
    <mergeCell ref="BM211:BQ211"/>
    <mergeCell ref="BR211:BW211"/>
    <mergeCell ref="BX211:BY211"/>
    <mergeCell ref="BZ211:CA211"/>
    <mergeCell ref="CL209:CP209"/>
    <mergeCell ref="BM210:BQ210"/>
    <mergeCell ref="BR210:BW210"/>
    <mergeCell ref="BX210:BY210"/>
    <mergeCell ref="BZ210:CA210"/>
    <mergeCell ref="CB210:CC210"/>
    <mergeCell ref="CD210:CE210"/>
    <mergeCell ref="CF210:CH210"/>
    <mergeCell ref="CI210:CK210"/>
    <mergeCell ref="CL210:CP210"/>
    <mergeCell ref="CB209:CC209"/>
    <mergeCell ref="CD209:CE209"/>
    <mergeCell ref="CF209:CH209"/>
    <mergeCell ref="CI209:CK209"/>
    <mergeCell ref="BM209:BQ209"/>
    <mergeCell ref="BR209:BW209"/>
    <mergeCell ref="BX209:BY209"/>
    <mergeCell ref="BZ209:CA209"/>
    <mergeCell ref="CL207:CP207"/>
    <mergeCell ref="BM208:BQ208"/>
    <mergeCell ref="BR208:BW208"/>
    <mergeCell ref="BX208:BY208"/>
    <mergeCell ref="BZ208:CA208"/>
    <mergeCell ref="CB208:CC208"/>
    <mergeCell ref="CD208:CE208"/>
    <mergeCell ref="CF208:CH208"/>
    <mergeCell ref="CI208:CK208"/>
    <mergeCell ref="CL208:CP208"/>
    <mergeCell ref="CB207:CC207"/>
    <mergeCell ref="CD207:CE207"/>
    <mergeCell ref="CF207:CH207"/>
    <mergeCell ref="CI207:CK207"/>
    <mergeCell ref="BM207:BQ207"/>
    <mergeCell ref="BR207:BW207"/>
    <mergeCell ref="BX207:BY207"/>
    <mergeCell ref="BZ207:CA207"/>
    <mergeCell ref="CL205:CP205"/>
    <mergeCell ref="BM206:BQ206"/>
    <mergeCell ref="BR206:BW206"/>
    <mergeCell ref="BX206:BY206"/>
    <mergeCell ref="BZ206:CA206"/>
    <mergeCell ref="CB206:CC206"/>
    <mergeCell ref="CD206:CE206"/>
    <mergeCell ref="CF206:CH206"/>
    <mergeCell ref="CI206:CK206"/>
    <mergeCell ref="CL206:CP206"/>
    <mergeCell ref="CB205:CC205"/>
    <mergeCell ref="CD205:CE205"/>
    <mergeCell ref="CF205:CH205"/>
    <mergeCell ref="CI205:CK205"/>
    <mergeCell ref="BM205:BQ205"/>
    <mergeCell ref="BR205:BW205"/>
    <mergeCell ref="BX205:BY205"/>
    <mergeCell ref="BZ205:CA205"/>
    <mergeCell ref="CL203:CP203"/>
    <mergeCell ref="BM204:BQ204"/>
    <mergeCell ref="BR204:BW204"/>
    <mergeCell ref="BX204:BY204"/>
    <mergeCell ref="BZ204:CA204"/>
    <mergeCell ref="CB204:CC204"/>
    <mergeCell ref="CD204:CE204"/>
    <mergeCell ref="CF204:CH204"/>
    <mergeCell ref="CI204:CK204"/>
    <mergeCell ref="CL204:CP204"/>
    <mergeCell ref="CB203:CC203"/>
    <mergeCell ref="CD203:CE203"/>
    <mergeCell ref="CF203:CH203"/>
    <mergeCell ref="CI203:CK203"/>
    <mergeCell ref="BM203:BQ203"/>
    <mergeCell ref="BR203:BW203"/>
    <mergeCell ref="BX203:BY203"/>
    <mergeCell ref="BZ203:CA203"/>
    <mergeCell ref="CL201:CP201"/>
    <mergeCell ref="BM202:BQ202"/>
    <mergeCell ref="BR202:BW202"/>
    <mergeCell ref="BX202:BY202"/>
    <mergeCell ref="BZ202:CA202"/>
    <mergeCell ref="CB202:CC202"/>
    <mergeCell ref="CD202:CE202"/>
    <mergeCell ref="CF202:CH202"/>
    <mergeCell ref="CI202:CK202"/>
    <mergeCell ref="CL202:CP202"/>
    <mergeCell ref="CB201:CC201"/>
    <mergeCell ref="CD201:CE201"/>
    <mergeCell ref="CF201:CH201"/>
    <mergeCell ref="CI201:CK201"/>
    <mergeCell ref="BM201:BQ201"/>
    <mergeCell ref="BR201:BW201"/>
    <mergeCell ref="BX201:BY201"/>
    <mergeCell ref="BZ201:CA201"/>
    <mergeCell ref="CL199:CP199"/>
    <mergeCell ref="BM200:BQ200"/>
    <mergeCell ref="BR200:BW200"/>
    <mergeCell ref="BX200:BY200"/>
    <mergeCell ref="BZ200:CA200"/>
    <mergeCell ref="CB200:CC200"/>
    <mergeCell ref="CD200:CE200"/>
    <mergeCell ref="CF200:CH200"/>
    <mergeCell ref="CI200:CK200"/>
    <mergeCell ref="CL200:CP200"/>
    <mergeCell ref="CB199:CC199"/>
    <mergeCell ref="CD199:CE199"/>
    <mergeCell ref="CF199:CH199"/>
    <mergeCell ref="CI199:CK199"/>
    <mergeCell ref="BM199:BQ199"/>
    <mergeCell ref="BR199:BW199"/>
    <mergeCell ref="BX199:BY199"/>
    <mergeCell ref="BZ199:CA199"/>
    <mergeCell ref="CL197:CP197"/>
    <mergeCell ref="BM198:BQ198"/>
    <mergeCell ref="BR198:BW198"/>
    <mergeCell ref="BX198:BY198"/>
    <mergeCell ref="BZ198:CA198"/>
    <mergeCell ref="CB198:CC198"/>
    <mergeCell ref="CD198:CE198"/>
    <mergeCell ref="CF198:CH198"/>
    <mergeCell ref="CI198:CK198"/>
    <mergeCell ref="CL198:CP198"/>
    <mergeCell ref="CB197:CC197"/>
    <mergeCell ref="CD197:CE197"/>
    <mergeCell ref="CF197:CH197"/>
    <mergeCell ref="CI197:CK197"/>
    <mergeCell ref="BM197:BQ197"/>
    <mergeCell ref="BR197:BW197"/>
    <mergeCell ref="BX197:BY197"/>
    <mergeCell ref="BZ197:CA197"/>
    <mergeCell ref="CL195:CP195"/>
    <mergeCell ref="BM196:BQ196"/>
    <mergeCell ref="BR196:BW196"/>
    <mergeCell ref="BX196:BY196"/>
    <mergeCell ref="BZ196:CA196"/>
    <mergeCell ref="CB196:CC196"/>
    <mergeCell ref="CD196:CE196"/>
    <mergeCell ref="CF196:CH196"/>
    <mergeCell ref="CI196:CK196"/>
    <mergeCell ref="CL196:CP196"/>
    <mergeCell ref="CB195:CC195"/>
    <mergeCell ref="CD195:CE195"/>
    <mergeCell ref="CF195:CH195"/>
    <mergeCell ref="CI195:CK195"/>
    <mergeCell ref="BM195:BQ195"/>
    <mergeCell ref="BR195:BW195"/>
    <mergeCell ref="BX195:BY195"/>
    <mergeCell ref="BZ195:CA195"/>
    <mergeCell ref="CL193:CP193"/>
    <mergeCell ref="BM194:BQ194"/>
    <mergeCell ref="BR194:BW194"/>
    <mergeCell ref="BX194:BY194"/>
    <mergeCell ref="BZ194:CA194"/>
    <mergeCell ref="CB194:CC194"/>
    <mergeCell ref="CD194:CE194"/>
    <mergeCell ref="CF194:CH194"/>
    <mergeCell ref="CI194:CK194"/>
    <mergeCell ref="CL194:CP194"/>
    <mergeCell ref="CB193:CC193"/>
    <mergeCell ref="CD193:CE193"/>
    <mergeCell ref="CF193:CH193"/>
    <mergeCell ref="CI193:CK193"/>
    <mergeCell ref="BM193:BQ193"/>
    <mergeCell ref="BR193:BW193"/>
    <mergeCell ref="BX193:BY193"/>
    <mergeCell ref="BZ193:CA193"/>
    <mergeCell ref="CL191:CP191"/>
    <mergeCell ref="BM192:BQ192"/>
    <mergeCell ref="BR192:BW192"/>
    <mergeCell ref="BX192:BY192"/>
    <mergeCell ref="BZ192:CA192"/>
    <mergeCell ref="CB192:CC192"/>
    <mergeCell ref="CD192:CE192"/>
    <mergeCell ref="CF192:CH192"/>
    <mergeCell ref="CI192:CK192"/>
    <mergeCell ref="CL192:CP192"/>
    <mergeCell ref="CB191:CC191"/>
    <mergeCell ref="CD191:CE191"/>
    <mergeCell ref="CF191:CH191"/>
    <mergeCell ref="CI191:CK191"/>
    <mergeCell ref="BM191:BQ191"/>
    <mergeCell ref="BR191:BW191"/>
    <mergeCell ref="BX191:BY191"/>
    <mergeCell ref="BZ191:CA191"/>
    <mergeCell ref="CL189:CP189"/>
    <mergeCell ref="BM190:BQ190"/>
    <mergeCell ref="BR190:BW190"/>
    <mergeCell ref="BX190:BY190"/>
    <mergeCell ref="BZ190:CA190"/>
    <mergeCell ref="CB190:CC190"/>
    <mergeCell ref="CD190:CE190"/>
    <mergeCell ref="CF190:CH190"/>
    <mergeCell ref="CI190:CK190"/>
    <mergeCell ref="CL190:CP190"/>
    <mergeCell ref="CB189:CC189"/>
    <mergeCell ref="CD189:CE189"/>
    <mergeCell ref="CF189:CH189"/>
    <mergeCell ref="CI189:CK189"/>
    <mergeCell ref="BM189:BQ189"/>
    <mergeCell ref="BR189:BW189"/>
    <mergeCell ref="BX189:BY189"/>
    <mergeCell ref="BZ189:CA189"/>
    <mergeCell ref="CL187:CP187"/>
    <mergeCell ref="BM188:BQ188"/>
    <mergeCell ref="BR188:BW188"/>
    <mergeCell ref="BX188:BY188"/>
    <mergeCell ref="BZ188:CA188"/>
    <mergeCell ref="CB188:CC188"/>
    <mergeCell ref="CD188:CE188"/>
    <mergeCell ref="CF188:CH188"/>
    <mergeCell ref="CI188:CK188"/>
    <mergeCell ref="CL188:CP188"/>
    <mergeCell ref="CB187:CC187"/>
    <mergeCell ref="CD187:CE187"/>
    <mergeCell ref="CF187:CH187"/>
    <mergeCell ref="CI187:CK187"/>
    <mergeCell ref="BM187:BQ187"/>
    <mergeCell ref="BR187:BW187"/>
    <mergeCell ref="BX187:BY187"/>
    <mergeCell ref="BZ187:CA187"/>
    <mergeCell ref="CL185:CP185"/>
    <mergeCell ref="BM186:BQ186"/>
    <mergeCell ref="BR186:BW186"/>
    <mergeCell ref="BX186:BY186"/>
    <mergeCell ref="BZ186:CA186"/>
    <mergeCell ref="CB186:CC186"/>
    <mergeCell ref="CD186:CE186"/>
    <mergeCell ref="CF186:CH186"/>
    <mergeCell ref="CI186:CK186"/>
    <mergeCell ref="CL186:CP186"/>
    <mergeCell ref="CB185:CC185"/>
    <mergeCell ref="CD185:CE185"/>
    <mergeCell ref="CF185:CH185"/>
    <mergeCell ref="CI185:CK185"/>
    <mergeCell ref="BM185:BQ185"/>
    <mergeCell ref="BR185:BW185"/>
    <mergeCell ref="BX185:BY185"/>
    <mergeCell ref="BZ185:CA185"/>
    <mergeCell ref="CL183:CP183"/>
    <mergeCell ref="BM184:BQ184"/>
    <mergeCell ref="BR184:BW184"/>
    <mergeCell ref="BX184:BY184"/>
    <mergeCell ref="BZ184:CA184"/>
    <mergeCell ref="CB184:CC184"/>
    <mergeCell ref="CD184:CE184"/>
    <mergeCell ref="CF184:CH184"/>
    <mergeCell ref="CI184:CK184"/>
    <mergeCell ref="CL184:CP184"/>
    <mergeCell ref="CB183:CC183"/>
    <mergeCell ref="CD183:CE183"/>
    <mergeCell ref="CF183:CH183"/>
    <mergeCell ref="CI183:CK183"/>
    <mergeCell ref="BM183:BQ183"/>
    <mergeCell ref="BR183:BW183"/>
    <mergeCell ref="BX183:BY183"/>
    <mergeCell ref="BZ183:CA183"/>
    <mergeCell ref="CL181:CP181"/>
    <mergeCell ref="BM182:BQ182"/>
    <mergeCell ref="BR182:BW182"/>
    <mergeCell ref="BX182:BY182"/>
    <mergeCell ref="BZ182:CA182"/>
    <mergeCell ref="CB182:CC182"/>
    <mergeCell ref="CD182:CE182"/>
    <mergeCell ref="CF182:CH182"/>
    <mergeCell ref="CI182:CK182"/>
    <mergeCell ref="CL182:CP182"/>
    <mergeCell ref="CB181:CC181"/>
    <mergeCell ref="CD181:CE181"/>
    <mergeCell ref="CF181:CH181"/>
    <mergeCell ref="CI181:CK181"/>
    <mergeCell ref="BM181:BQ181"/>
    <mergeCell ref="BR181:BW181"/>
    <mergeCell ref="BX181:BY181"/>
    <mergeCell ref="BZ181:CA181"/>
    <mergeCell ref="CL179:CP179"/>
    <mergeCell ref="BM180:BQ180"/>
    <mergeCell ref="BR180:BW180"/>
    <mergeCell ref="BX180:BY180"/>
    <mergeCell ref="BZ180:CA180"/>
    <mergeCell ref="CB180:CC180"/>
    <mergeCell ref="CD180:CE180"/>
    <mergeCell ref="CF180:CH180"/>
    <mergeCell ref="CI180:CK180"/>
    <mergeCell ref="CL180:CP180"/>
    <mergeCell ref="CB179:CC179"/>
    <mergeCell ref="CD179:CE179"/>
    <mergeCell ref="CF179:CH179"/>
    <mergeCell ref="CI179:CK179"/>
    <mergeCell ref="BM179:BQ179"/>
    <mergeCell ref="BR179:BW179"/>
    <mergeCell ref="BX179:BY179"/>
    <mergeCell ref="BZ179:CA179"/>
    <mergeCell ref="CL177:CP177"/>
    <mergeCell ref="BM178:BQ178"/>
    <mergeCell ref="BR178:BW178"/>
    <mergeCell ref="BX178:BY178"/>
    <mergeCell ref="BZ178:CA178"/>
    <mergeCell ref="CB178:CC178"/>
    <mergeCell ref="CD178:CE178"/>
    <mergeCell ref="CF178:CH178"/>
    <mergeCell ref="CI178:CK178"/>
    <mergeCell ref="CL178:CP178"/>
    <mergeCell ref="CB177:CC177"/>
    <mergeCell ref="CD177:CE177"/>
    <mergeCell ref="CF177:CH177"/>
    <mergeCell ref="CI177:CK177"/>
    <mergeCell ref="BM177:BQ177"/>
    <mergeCell ref="BR177:BW177"/>
    <mergeCell ref="BX177:BY177"/>
    <mergeCell ref="BZ177:CA177"/>
    <mergeCell ref="BY72:BZ72"/>
    <mergeCell ref="CA72:CC72"/>
    <mergeCell ref="CD72:CE72"/>
    <mergeCell ref="CI72:CK72"/>
    <mergeCell ref="CL72:CN72"/>
    <mergeCell ref="CO72:CP72"/>
    <mergeCell ref="CD71:CE71"/>
    <mergeCell ref="CF71:CH71"/>
    <mergeCell ref="CI71:CK71"/>
    <mergeCell ref="CO73:CP73"/>
    <mergeCell ref="BM71:BV71"/>
    <mergeCell ref="BW71:BX71"/>
    <mergeCell ref="BY71:BZ71"/>
    <mergeCell ref="CA71:CC71"/>
    <mergeCell ref="CL175:CP175"/>
    <mergeCell ref="BM176:BQ176"/>
    <mergeCell ref="BR176:BW176"/>
    <mergeCell ref="BX176:BY176"/>
    <mergeCell ref="BZ176:CA176"/>
    <mergeCell ref="CB176:CC176"/>
    <mergeCell ref="CD176:CE176"/>
    <mergeCell ref="CF176:CH176"/>
    <mergeCell ref="CI176:CK176"/>
    <mergeCell ref="CL176:CP176"/>
    <mergeCell ref="CB175:CC175"/>
    <mergeCell ref="CD175:CE175"/>
    <mergeCell ref="CF175:CH175"/>
    <mergeCell ref="CI175:CK175"/>
    <mergeCell ref="BM175:BQ175"/>
    <mergeCell ref="BR175:BW175"/>
    <mergeCell ref="BX175:BY175"/>
    <mergeCell ref="BM75:BV75"/>
    <mergeCell ref="BZ175:CA175"/>
    <mergeCell ref="CI174:CK174"/>
    <mergeCell ref="CL174:CP174"/>
    <mergeCell ref="CN49:CP49"/>
    <mergeCell ref="CN50:CP50"/>
    <mergeCell ref="CN51:CP51"/>
    <mergeCell ref="CN52:CP52"/>
    <mergeCell ref="CI53:CM53"/>
    <mergeCell ref="CI54:CM54"/>
    <mergeCell ref="CI55:CM55"/>
    <mergeCell ref="CI56:CM56"/>
    <mergeCell ref="CI49:CM49"/>
    <mergeCell ref="CI50:CM50"/>
    <mergeCell ref="CI51:CM51"/>
    <mergeCell ref="CI52:CM52"/>
    <mergeCell ref="CG56:CH56"/>
    <mergeCell ref="CG57:CH57"/>
    <mergeCell ref="CG58:CH58"/>
    <mergeCell ref="CG59:CH59"/>
    <mergeCell ref="CN53:CP53"/>
    <mergeCell ref="CN54:CP54"/>
    <mergeCell ref="CN55:CP55"/>
    <mergeCell ref="CN56:CP56"/>
    <mergeCell ref="CI57:CM57"/>
    <mergeCell ref="CI58:CM58"/>
    <mergeCell ref="CI59:CM59"/>
    <mergeCell ref="CN57:CP57"/>
    <mergeCell ref="CN58:CP58"/>
    <mergeCell ref="CN59:CP59"/>
    <mergeCell ref="CO70:CP70"/>
    <mergeCell ref="CF69:CH69"/>
    <mergeCell ref="CI69:CK69"/>
    <mergeCell ref="CL69:CN69"/>
    <mergeCell ref="AX237:AY237"/>
    <mergeCell ref="AZ237:BB237"/>
    <mergeCell ref="CG55:CH55"/>
    <mergeCell ref="CD53:CF53"/>
    <mergeCell ref="CD54:CF54"/>
    <mergeCell ref="CD55:CF55"/>
    <mergeCell ref="CD56:CF56"/>
    <mergeCell ref="CG53:CH53"/>
    <mergeCell ref="CG54:CH54"/>
    <mergeCell ref="BC233:BE233"/>
    <mergeCell ref="BF233:BJ233"/>
    <mergeCell ref="BM173:CP173"/>
    <mergeCell ref="CD57:CF57"/>
    <mergeCell ref="CD58:CF58"/>
    <mergeCell ref="CD59:CF59"/>
    <mergeCell ref="BM65:BV65"/>
    <mergeCell ref="BW65:BX65"/>
    <mergeCell ref="BY65:BZ65"/>
    <mergeCell ref="CA65:CC65"/>
    <mergeCell ref="CD65:CE65"/>
    <mergeCell ref="CF65:CH65"/>
    <mergeCell ref="CI65:CK65"/>
    <mergeCell ref="CL65:CN65"/>
    <mergeCell ref="CO65:CP65"/>
    <mergeCell ref="CI70:CK70"/>
    <mergeCell ref="CL70:CN70"/>
    <mergeCell ref="BK66:BK76"/>
    <mergeCell ref="BK77:BK80"/>
    <mergeCell ref="AX227:AY227"/>
    <mergeCell ref="AZ227:BB227"/>
    <mergeCell ref="BM174:BQ174"/>
    <mergeCell ref="BR174:BW174"/>
    <mergeCell ref="CD51:CF51"/>
    <mergeCell ref="CD52:CF52"/>
    <mergeCell ref="CG49:CH49"/>
    <mergeCell ref="CG50:CH50"/>
    <mergeCell ref="CG51:CH51"/>
    <mergeCell ref="CG52:CH52"/>
    <mergeCell ref="BW70:BX70"/>
    <mergeCell ref="BY70:BZ70"/>
    <mergeCell ref="CA70:CC70"/>
    <mergeCell ref="CD70:CE70"/>
    <mergeCell ref="CF70:CH70"/>
    <mergeCell ref="BX174:BY174"/>
    <mergeCell ref="BZ174:CA174"/>
    <mergeCell ref="CB174:CC174"/>
    <mergeCell ref="CD174:CE174"/>
    <mergeCell ref="CF174:CH174"/>
    <mergeCell ref="CF73:CH73"/>
    <mergeCell ref="CA84:CC84"/>
    <mergeCell ref="CD84:CE84"/>
    <mergeCell ref="CF84:CH84"/>
    <mergeCell ref="CA93:CC93"/>
    <mergeCell ref="CD93:CE93"/>
    <mergeCell ref="CF93:CH93"/>
    <mergeCell ref="CF72:CH72"/>
    <mergeCell ref="CA74:CC74"/>
    <mergeCell ref="CD74:CE74"/>
    <mergeCell ref="CF74:CH74"/>
    <mergeCell ref="CD49:CF49"/>
    <mergeCell ref="CD50:CF50"/>
    <mergeCell ref="CD69:CE69"/>
    <mergeCell ref="BW72:BX72"/>
    <mergeCell ref="BF238:BJ238"/>
    <mergeCell ref="AV238:AW238"/>
    <mergeCell ref="AX238:AY238"/>
    <mergeCell ref="AZ238:BB238"/>
    <mergeCell ref="BC238:BE238"/>
    <mergeCell ref="BK81:BK91"/>
    <mergeCell ref="BK92:BK102"/>
    <mergeCell ref="AP238:AR238"/>
    <mergeCell ref="AS238:AU238"/>
    <mergeCell ref="BC237:BE237"/>
    <mergeCell ref="BF237:BJ237"/>
    <mergeCell ref="BF235:BJ235"/>
    <mergeCell ref="AV236:AW236"/>
    <mergeCell ref="AX236:AY236"/>
    <mergeCell ref="BC236:BE236"/>
    <mergeCell ref="BF181:BJ181"/>
    <mergeCell ref="AX182:AY182"/>
    <mergeCell ref="BF183:BJ183"/>
    <mergeCell ref="AX183:AY183"/>
    <mergeCell ref="BC184:BE184"/>
    <mergeCell ref="AZ184:BB184"/>
    <mergeCell ref="BF184:BJ184"/>
    <mergeCell ref="BF185:BJ185"/>
    <mergeCell ref="AX185:AY185"/>
    <mergeCell ref="AU83:AV83"/>
    <mergeCell ref="AS86:AT86"/>
    <mergeCell ref="AS85:AT85"/>
    <mergeCell ref="AS84:AT84"/>
    <mergeCell ref="BF227:BJ227"/>
    <mergeCell ref="AP237:AR237"/>
    <mergeCell ref="AS237:AU237"/>
    <mergeCell ref="AV237:AW237"/>
    <mergeCell ref="P483:Q483"/>
    <mergeCell ref="W486:Y486"/>
    <mergeCell ref="Z485:AA485"/>
    <mergeCell ref="P487:Q487"/>
    <mergeCell ref="R482:S482"/>
    <mergeCell ref="P482:Q482"/>
    <mergeCell ref="P466:R466"/>
    <mergeCell ref="T479:V479"/>
    <mergeCell ref="T480:V482"/>
    <mergeCell ref="Z483:AA483"/>
    <mergeCell ref="AB474:AC474"/>
    <mergeCell ref="AB473:AC473"/>
    <mergeCell ref="P475:R475"/>
    <mergeCell ref="W482:Y482"/>
    <mergeCell ref="W483:Y483"/>
    <mergeCell ref="T472:V472"/>
    <mergeCell ref="X472:Z472"/>
    <mergeCell ref="T484:V484"/>
    <mergeCell ref="P484:Q484"/>
    <mergeCell ref="Z484:AA484"/>
    <mergeCell ref="AB487:AD487"/>
    <mergeCell ref="AB471:AC471"/>
    <mergeCell ref="AB482:AD482"/>
    <mergeCell ref="AB485:AD485"/>
    <mergeCell ref="AB483:AD483"/>
    <mergeCell ref="AB481:AD481"/>
    <mergeCell ref="R483:S483"/>
    <mergeCell ref="T473:V473"/>
    <mergeCell ref="T474:V474"/>
    <mergeCell ref="P473:R473"/>
    <mergeCell ref="P472:R472"/>
    <mergeCell ref="Z479:AD479"/>
    <mergeCell ref="Z496:AA497"/>
    <mergeCell ref="S497:T497"/>
    <mergeCell ref="S495:AA495"/>
    <mergeCell ref="S496:T496"/>
    <mergeCell ref="AB484:AD484"/>
    <mergeCell ref="Z487:AA487"/>
    <mergeCell ref="Z486:AA486"/>
    <mergeCell ref="W484:Y484"/>
    <mergeCell ref="U498:W498"/>
    <mergeCell ref="AB491:AD491"/>
    <mergeCell ref="AB495:AD495"/>
    <mergeCell ref="X499:Y499"/>
    <mergeCell ref="U499:W499"/>
    <mergeCell ref="X496:Y497"/>
    <mergeCell ref="O498:P498"/>
    <mergeCell ref="Z490:AA490"/>
    <mergeCell ref="Z489:AA489"/>
    <mergeCell ref="Z488:AA488"/>
    <mergeCell ref="AB489:AD489"/>
    <mergeCell ref="AB486:AD486"/>
    <mergeCell ref="Q494:W494"/>
    <mergeCell ref="U497:W497"/>
    <mergeCell ref="U496:W496"/>
    <mergeCell ref="W490:Y490"/>
    <mergeCell ref="Q499:R499"/>
    <mergeCell ref="O496:P497"/>
    <mergeCell ref="W487:Y487"/>
    <mergeCell ref="W485:Y485"/>
    <mergeCell ref="W488:Y488"/>
    <mergeCell ref="N484:O484"/>
    <mergeCell ref="X500:Y500"/>
    <mergeCell ref="S500:T500"/>
    <mergeCell ref="U500:W500"/>
    <mergeCell ref="Z491:AA491"/>
    <mergeCell ref="AB500:AD500"/>
    <mergeCell ref="AB499:AD499"/>
    <mergeCell ref="AB488:AD488"/>
    <mergeCell ref="W491:Y491"/>
    <mergeCell ref="AB490:AD490"/>
    <mergeCell ref="Q496:R497"/>
    <mergeCell ref="S498:T498"/>
    <mergeCell ref="S499:T499"/>
    <mergeCell ref="J495:R495"/>
    <mergeCell ref="J496:K496"/>
    <mergeCell ref="Z498:AA498"/>
    <mergeCell ref="L496:N496"/>
    <mergeCell ref="BC264:BE264"/>
    <mergeCell ref="AP276:AR276"/>
    <mergeCell ref="AS276:AU276"/>
    <mergeCell ref="AG276:AM276"/>
    <mergeCell ref="AG275:AM275"/>
    <mergeCell ref="AN275:AO275"/>
    <mergeCell ref="AP275:AR275"/>
    <mergeCell ref="AS275:AU275"/>
    <mergeCell ref="Z295:AB295"/>
    <mergeCell ref="AV270:AW270"/>
    <mergeCell ref="AP270:AR270"/>
    <mergeCell ref="BC282:BE282"/>
    <mergeCell ref="BC279:BE279"/>
    <mergeCell ref="BC278:BE278"/>
    <mergeCell ref="AS280:AU280"/>
    <mergeCell ref="AS281:AU281"/>
    <mergeCell ref="P431:U431"/>
    <mergeCell ref="P429:U429"/>
    <mergeCell ref="M421:Q421"/>
    <mergeCell ref="P424:U424"/>
    <mergeCell ref="S422:U422"/>
    <mergeCell ref="AG311:BJ311"/>
    <mergeCell ref="AG312:BJ312"/>
    <mergeCell ref="AG313:BJ313"/>
    <mergeCell ref="AG314:BJ314"/>
    <mergeCell ref="AG315:BJ315"/>
    <mergeCell ref="AG316:BJ316"/>
    <mergeCell ref="AZ288:BA288"/>
    <mergeCell ref="AZ289:BA289"/>
    <mergeCell ref="AE316:AE321"/>
    <mergeCell ref="AE291:AE315"/>
    <mergeCell ref="AG285:BJ285"/>
    <mergeCell ref="BF264:BJ264"/>
    <mergeCell ref="BF267:BJ267"/>
    <mergeCell ref="BC267:BE267"/>
    <mergeCell ref="AP269:AR269"/>
    <mergeCell ref="AS269:AU269"/>
    <mergeCell ref="AV269:AW269"/>
    <mergeCell ref="AX269:AY269"/>
    <mergeCell ref="BF269:BJ269"/>
    <mergeCell ref="BC268:BE268"/>
    <mergeCell ref="AX268:AY268"/>
    <mergeCell ref="AG277:AM277"/>
    <mergeCell ref="AN277:AO277"/>
    <mergeCell ref="AG271:AM271"/>
    <mergeCell ref="AG272:AM272"/>
    <mergeCell ref="AG268:AM268"/>
    <mergeCell ref="AN268:AO268"/>
    <mergeCell ref="AP277:AR277"/>
    <mergeCell ref="BF270:BJ270"/>
    <mergeCell ref="AG270:AM270"/>
    <mergeCell ref="AN270:AO270"/>
    <mergeCell ref="AN273:AO273"/>
    <mergeCell ref="AG273:AM273"/>
    <mergeCell ref="BF274:BJ274"/>
    <mergeCell ref="AG274:AM274"/>
    <mergeCell ref="AN276:AO276"/>
    <mergeCell ref="AV280:AW280"/>
    <mergeCell ref="BC281:BE281"/>
    <mergeCell ref="AZ270:BB270"/>
    <mergeCell ref="AP280:AR280"/>
    <mergeCell ref="AZ281:BB281"/>
    <mergeCell ref="AV281:AW281"/>
    <mergeCell ref="AS273:AU273"/>
    <mergeCell ref="AP273:AR273"/>
    <mergeCell ref="BF283:BJ283"/>
    <mergeCell ref="AX280:AY280"/>
    <mergeCell ref="AZ280:BB280"/>
    <mergeCell ref="BC280:BE280"/>
    <mergeCell ref="AX281:AY281"/>
    <mergeCell ref="BF277:BJ277"/>
    <mergeCell ref="BF278:BJ278"/>
    <mergeCell ref="AV277:AW277"/>
    <mergeCell ref="AX267:AY267"/>
    <mergeCell ref="AZ267:BB267"/>
    <mergeCell ref="AS268:AU268"/>
    <mergeCell ref="AS279:AU279"/>
    <mergeCell ref="AP278:AR278"/>
    <mergeCell ref="AS278:AU278"/>
    <mergeCell ref="AS282:AU282"/>
    <mergeCell ref="BC270:BE270"/>
    <mergeCell ref="AZ269:BB269"/>
    <mergeCell ref="BC269:BE269"/>
    <mergeCell ref="AS270:AU270"/>
    <mergeCell ref="AP282:AR282"/>
    <mergeCell ref="AP274:AR274"/>
    <mergeCell ref="AS274:AU274"/>
    <mergeCell ref="AX277:AY277"/>
    <mergeCell ref="AZ277:BB277"/>
    <mergeCell ref="AS277:AU277"/>
    <mergeCell ref="AP281:AR281"/>
    <mergeCell ref="BF268:BJ268"/>
    <mergeCell ref="AV268:AW268"/>
    <mergeCell ref="AP268:AR268"/>
    <mergeCell ref="AZ268:BB268"/>
    <mergeCell ref="AX274:AY274"/>
    <mergeCell ref="AX270:AY270"/>
    <mergeCell ref="BF282:BJ282"/>
    <mergeCell ref="BF281:BJ281"/>
    <mergeCell ref="AV278:AW278"/>
    <mergeCell ref="AX278:AY278"/>
    <mergeCell ref="BC277:BE277"/>
    <mergeCell ref="AV279:AW279"/>
    <mergeCell ref="AZ278:BB278"/>
    <mergeCell ref="BF279:BJ279"/>
    <mergeCell ref="BF280:BJ280"/>
    <mergeCell ref="BF275:BJ275"/>
    <mergeCell ref="BF273:BJ273"/>
    <mergeCell ref="AX272:AY272"/>
    <mergeCell ref="AZ272:BB272"/>
    <mergeCell ref="BC272:BE272"/>
    <mergeCell ref="AV273:AW273"/>
    <mergeCell ref="AX273:AY273"/>
    <mergeCell ref="AZ273:BB273"/>
    <mergeCell ref="BC273:BE273"/>
    <mergeCell ref="AV272:AW272"/>
    <mergeCell ref="AV275:AW275"/>
    <mergeCell ref="AX275:AY275"/>
    <mergeCell ref="AX279:AY279"/>
    <mergeCell ref="AN278:AO278"/>
    <mergeCell ref="AV282:AW282"/>
    <mergeCell ref="AX282:AY282"/>
    <mergeCell ref="AZ282:BB282"/>
    <mergeCell ref="H294:J294"/>
    <mergeCell ref="A290:I290"/>
    <mergeCell ref="A293:G293"/>
    <mergeCell ref="A303:G303"/>
    <mergeCell ref="A292:G292"/>
    <mergeCell ref="V293:X293"/>
    <mergeCell ref="H281:I281"/>
    <mergeCell ref="A300:F300"/>
    <mergeCell ref="H296:J296"/>
    <mergeCell ref="K297:L297"/>
    <mergeCell ref="K296:L296"/>
    <mergeCell ref="H300:J300"/>
    <mergeCell ref="H297:J297"/>
    <mergeCell ref="AN281:AO281"/>
    <mergeCell ref="A289:I289"/>
    <mergeCell ref="AG279:AM279"/>
    <mergeCell ref="AN279:AO279"/>
    <mergeCell ref="AP279:AR279"/>
    <mergeCell ref="AG278:AM278"/>
    <mergeCell ref="AG280:AM280"/>
    <mergeCell ref="AG283:AM283"/>
    <mergeCell ref="AN283:AO283"/>
    <mergeCell ref="AG282:AM282"/>
    <mergeCell ref="AN282:AO282"/>
    <mergeCell ref="AG281:AM281"/>
    <mergeCell ref="AG290:BJ290"/>
    <mergeCell ref="AG291:BJ291"/>
    <mergeCell ref="AG292:BJ292"/>
    <mergeCell ref="A352:AD352"/>
    <mergeCell ref="G418:I418"/>
    <mergeCell ref="G413:I413"/>
    <mergeCell ref="J413:L413"/>
    <mergeCell ref="A363:AD363"/>
    <mergeCell ref="A362:AD362"/>
    <mergeCell ref="A364:AD364"/>
    <mergeCell ref="A365:AD365"/>
    <mergeCell ref="A356:AD356"/>
    <mergeCell ref="AZ279:BB279"/>
    <mergeCell ref="K293:L293"/>
    <mergeCell ref="K302:L302"/>
    <mergeCell ref="A301:F301"/>
    <mergeCell ref="N297:R297"/>
    <mergeCell ref="S300:U300"/>
    <mergeCell ref="F288:I288"/>
    <mergeCell ref="S292:U292"/>
    <mergeCell ref="AN280:AO280"/>
    <mergeCell ref="A287:E287"/>
    <mergeCell ref="M279:O279"/>
    <mergeCell ref="H303:J303"/>
    <mergeCell ref="S299:U299"/>
    <mergeCell ref="AG293:BJ293"/>
    <mergeCell ref="AG288:AK288"/>
    <mergeCell ref="AG289:AK289"/>
    <mergeCell ref="AL286:AO286"/>
    <mergeCell ref="BE288:BJ288"/>
    <mergeCell ref="AU289:AV289"/>
    <mergeCell ref="AW289:AY289"/>
    <mergeCell ref="BB289:BD289"/>
    <mergeCell ref="BE289:BJ289"/>
    <mergeCell ref="BE286:BJ286"/>
    <mergeCell ref="J414:L414"/>
    <mergeCell ref="J411:L411"/>
    <mergeCell ref="J418:L418"/>
    <mergeCell ref="A380:AD380"/>
    <mergeCell ref="X406:Y406"/>
    <mergeCell ref="G411:I411"/>
    <mergeCell ref="A367:AD367"/>
    <mergeCell ref="A368:AD368"/>
    <mergeCell ref="P414:T414"/>
    <mergeCell ref="A406:B406"/>
    <mergeCell ref="J409:L409"/>
    <mergeCell ref="A399:AD399"/>
    <mergeCell ref="A408:E408"/>
    <mergeCell ref="A397:AD397"/>
    <mergeCell ref="A411:F411"/>
    <mergeCell ref="A387:AD387"/>
    <mergeCell ref="M411:U411"/>
    <mergeCell ref="Y412:Z412"/>
    <mergeCell ref="AA414:AB414"/>
    <mergeCell ref="M418:Q418"/>
    <mergeCell ref="A410:F410"/>
    <mergeCell ref="BF276:BJ276"/>
    <mergeCell ref="BF272:BJ272"/>
    <mergeCell ref="BC276:BE276"/>
    <mergeCell ref="AZ274:BB274"/>
    <mergeCell ref="AV274:AW274"/>
    <mergeCell ref="A349:AD349"/>
    <mergeCell ref="J419:L419"/>
    <mergeCell ref="AA415:AB415"/>
    <mergeCell ref="P425:U425"/>
    <mergeCell ref="V425:Z425"/>
    <mergeCell ref="M412:U412"/>
    <mergeCell ref="A320:G320"/>
    <mergeCell ref="A333:AD333"/>
    <mergeCell ref="A412:F412"/>
    <mergeCell ref="A401:AD401"/>
    <mergeCell ref="A388:AD388"/>
    <mergeCell ref="A400:AD400"/>
    <mergeCell ref="A357:AD357"/>
    <mergeCell ref="A353:AD353"/>
    <mergeCell ref="A329:AD329"/>
    <mergeCell ref="J416:L416"/>
    <mergeCell ref="A330:AD330"/>
    <mergeCell ref="V419:Z419"/>
    <mergeCell ref="V420:Z420"/>
    <mergeCell ref="A339:AD339"/>
    <mergeCell ref="V412:W412"/>
    <mergeCell ref="V409:AD409"/>
    <mergeCell ref="V411:AD411"/>
    <mergeCell ref="Z407:AA407"/>
    <mergeCell ref="M416:O416"/>
    <mergeCell ref="BF271:BJ271"/>
    <mergeCell ref="AV271:AW271"/>
    <mergeCell ref="AX271:AY271"/>
    <mergeCell ref="AZ271:BB271"/>
    <mergeCell ref="AN272:AO272"/>
    <mergeCell ref="AN266:AO266"/>
    <mergeCell ref="AP266:AR266"/>
    <mergeCell ref="AS266:AU266"/>
    <mergeCell ref="AV267:AW267"/>
    <mergeCell ref="C405:I405"/>
    <mergeCell ref="P416:U416"/>
    <mergeCell ref="T408:U408"/>
    <mergeCell ref="A373:AD373"/>
    <mergeCell ref="A381:AD381"/>
    <mergeCell ref="A375:AD375"/>
    <mergeCell ref="A376:AD376"/>
    <mergeCell ref="A404:AD404"/>
    <mergeCell ref="A361:AD361"/>
    <mergeCell ref="A354:AD354"/>
    <mergeCell ref="A355:AD355"/>
    <mergeCell ref="A405:B405"/>
    <mergeCell ref="T407:U407"/>
    <mergeCell ref="V410:Y410"/>
    <mergeCell ref="G409:I409"/>
    <mergeCell ref="C407:I407"/>
    <mergeCell ref="A358:AD358"/>
    <mergeCell ref="A407:B407"/>
    <mergeCell ref="A351:AD351"/>
    <mergeCell ref="A346:AD346"/>
    <mergeCell ref="A347:AD347"/>
    <mergeCell ref="A345:AD345"/>
    <mergeCell ref="A350:AD350"/>
    <mergeCell ref="AX264:AY264"/>
    <mergeCell ref="AZ264:BB264"/>
    <mergeCell ref="AX266:AY266"/>
    <mergeCell ref="AG264:AM264"/>
    <mergeCell ref="AN264:AO264"/>
    <mergeCell ref="AP264:AR264"/>
    <mergeCell ref="AS264:AU264"/>
    <mergeCell ref="AZ275:BB275"/>
    <mergeCell ref="BC275:BE275"/>
    <mergeCell ref="AV276:AW276"/>
    <mergeCell ref="BC274:BE274"/>
    <mergeCell ref="AX276:AY276"/>
    <mergeCell ref="AZ276:BB276"/>
    <mergeCell ref="AG269:AM269"/>
    <mergeCell ref="AS267:AU267"/>
    <mergeCell ref="AG267:AM267"/>
    <mergeCell ref="AN267:AO267"/>
    <mergeCell ref="AP267:AR267"/>
    <mergeCell ref="AP272:AR272"/>
    <mergeCell ref="BC271:BE271"/>
    <mergeCell ref="AS272:AU272"/>
    <mergeCell ref="AN271:AO271"/>
    <mergeCell ref="AP271:AR271"/>
    <mergeCell ref="AS271:AU271"/>
    <mergeCell ref="AN274:AO274"/>
    <mergeCell ref="AN269:AO269"/>
    <mergeCell ref="BF265:BJ265"/>
    <mergeCell ref="BC266:BE266"/>
    <mergeCell ref="BC265:BE265"/>
    <mergeCell ref="BF266:BJ266"/>
    <mergeCell ref="BC263:BE263"/>
    <mergeCell ref="AG262:AM262"/>
    <mergeCell ref="AN262:AO262"/>
    <mergeCell ref="AP262:AR262"/>
    <mergeCell ref="AS262:AU262"/>
    <mergeCell ref="AV262:AW262"/>
    <mergeCell ref="AX262:AY262"/>
    <mergeCell ref="AZ262:BB262"/>
    <mergeCell ref="BC262:BE262"/>
    <mergeCell ref="AS263:AU263"/>
    <mergeCell ref="AV263:AW263"/>
    <mergeCell ref="AX263:AY263"/>
    <mergeCell ref="AZ263:BB263"/>
    <mergeCell ref="BF262:BJ262"/>
    <mergeCell ref="BF263:BJ263"/>
    <mergeCell ref="AG263:AM263"/>
    <mergeCell ref="AN263:AO263"/>
    <mergeCell ref="AP263:AR263"/>
    <mergeCell ref="AV264:AW264"/>
    <mergeCell ref="AV266:AW266"/>
    <mergeCell ref="AG265:AM265"/>
    <mergeCell ref="AN265:AO265"/>
    <mergeCell ref="AP265:AR265"/>
    <mergeCell ref="AS265:AU265"/>
    <mergeCell ref="AZ266:BB266"/>
    <mergeCell ref="AV265:AW265"/>
    <mergeCell ref="AX265:AY265"/>
    <mergeCell ref="AZ265:BB265"/>
    <mergeCell ref="BF260:BJ260"/>
    <mergeCell ref="AG261:AM261"/>
    <mergeCell ref="AN261:AO261"/>
    <mergeCell ref="AP261:AR261"/>
    <mergeCell ref="AS261:AU261"/>
    <mergeCell ref="AV261:AW261"/>
    <mergeCell ref="AX261:AY261"/>
    <mergeCell ref="AZ261:BB261"/>
    <mergeCell ref="BC261:BE261"/>
    <mergeCell ref="BF261:BJ261"/>
    <mergeCell ref="AV260:AW260"/>
    <mergeCell ref="AX260:AY260"/>
    <mergeCell ref="AZ260:BB260"/>
    <mergeCell ref="BC260:BE260"/>
    <mergeCell ref="AG260:AM260"/>
    <mergeCell ref="AN260:AO260"/>
    <mergeCell ref="AS260:AU260"/>
    <mergeCell ref="AP260:AR260"/>
    <mergeCell ref="BF258:BJ258"/>
    <mergeCell ref="AG259:AM259"/>
    <mergeCell ref="AN259:AO259"/>
    <mergeCell ref="AP259:AR259"/>
    <mergeCell ref="AS259:AU259"/>
    <mergeCell ref="AV259:AW259"/>
    <mergeCell ref="AX259:AY259"/>
    <mergeCell ref="AZ259:BB259"/>
    <mergeCell ref="BC259:BE259"/>
    <mergeCell ref="BF259:BJ259"/>
    <mergeCell ref="AV258:AW258"/>
    <mergeCell ref="AX258:AY258"/>
    <mergeCell ref="AZ258:BB258"/>
    <mergeCell ref="BC258:BE258"/>
    <mergeCell ref="AG258:AM258"/>
    <mergeCell ref="AN258:AO258"/>
    <mergeCell ref="AP258:AR258"/>
    <mergeCell ref="AS258:AU258"/>
    <mergeCell ref="BF256:BJ256"/>
    <mergeCell ref="AG257:AM257"/>
    <mergeCell ref="AN257:AO257"/>
    <mergeCell ref="AP257:AR257"/>
    <mergeCell ref="AS257:AU257"/>
    <mergeCell ref="AV257:AW257"/>
    <mergeCell ref="AX257:AY257"/>
    <mergeCell ref="AZ257:BB257"/>
    <mergeCell ref="BC257:BE257"/>
    <mergeCell ref="BF257:BJ257"/>
    <mergeCell ref="AV256:AW256"/>
    <mergeCell ref="AX256:AY256"/>
    <mergeCell ref="AZ256:BB256"/>
    <mergeCell ref="BC256:BE256"/>
    <mergeCell ref="AG256:AM256"/>
    <mergeCell ref="AN256:AO256"/>
    <mergeCell ref="AP256:AR256"/>
    <mergeCell ref="AS256:AU256"/>
    <mergeCell ref="BF254:BJ254"/>
    <mergeCell ref="AG255:AM255"/>
    <mergeCell ref="AN255:AO255"/>
    <mergeCell ref="AP255:AR255"/>
    <mergeCell ref="AS255:AU255"/>
    <mergeCell ref="AV255:AW255"/>
    <mergeCell ref="AX255:AY255"/>
    <mergeCell ref="AZ255:BB255"/>
    <mergeCell ref="BC255:BE255"/>
    <mergeCell ref="BF255:BJ255"/>
    <mergeCell ref="AV254:AW254"/>
    <mergeCell ref="AX254:AY254"/>
    <mergeCell ref="AZ254:BB254"/>
    <mergeCell ref="BC254:BE254"/>
    <mergeCell ref="AG254:AM254"/>
    <mergeCell ref="AN254:AO254"/>
    <mergeCell ref="AP254:AR254"/>
    <mergeCell ref="AS254:AU254"/>
    <mergeCell ref="BF252:BJ252"/>
    <mergeCell ref="AG253:AM253"/>
    <mergeCell ref="AN253:AO253"/>
    <mergeCell ref="AP253:AR253"/>
    <mergeCell ref="AS253:AU253"/>
    <mergeCell ref="AV253:AW253"/>
    <mergeCell ref="AX253:AY253"/>
    <mergeCell ref="AZ253:BB253"/>
    <mergeCell ref="BC253:BE253"/>
    <mergeCell ref="BF253:BJ253"/>
    <mergeCell ref="AV252:AW252"/>
    <mergeCell ref="AX252:AY252"/>
    <mergeCell ref="AZ252:BB252"/>
    <mergeCell ref="BC252:BE252"/>
    <mergeCell ref="AG252:AM252"/>
    <mergeCell ref="AN252:AO252"/>
    <mergeCell ref="AP252:AR252"/>
    <mergeCell ref="AS252:AU252"/>
    <mergeCell ref="BF250:BJ250"/>
    <mergeCell ref="AG251:AM251"/>
    <mergeCell ref="AN251:AO251"/>
    <mergeCell ref="AP251:AR251"/>
    <mergeCell ref="AS251:AU251"/>
    <mergeCell ref="AV251:AW251"/>
    <mergeCell ref="AX251:AY251"/>
    <mergeCell ref="AZ251:BB251"/>
    <mergeCell ref="BC251:BE251"/>
    <mergeCell ref="BF251:BJ251"/>
    <mergeCell ref="AV250:AW250"/>
    <mergeCell ref="AX250:AY250"/>
    <mergeCell ref="AZ250:BB250"/>
    <mergeCell ref="BC250:BE250"/>
    <mergeCell ref="AG250:AM250"/>
    <mergeCell ref="AN250:AO250"/>
    <mergeCell ref="AP250:AR250"/>
    <mergeCell ref="AS250:AU250"/>
    <mergeCell ref="BF248:BJ248"/>
    <mergeCell ref="AG249:AM249"/>
    <mergeCell ref="AN249:AO249"/>
    <mergeCell ref="AP249:AR249"/>
    <mergeCell ref="AS249:AU249"/>
    <mergeCell ref="AV249:AW249"/>
    <mergeCell ref="AX249:AY249"/>
    <mergeCell ref="AZ249:BB249"/>
    <mergeCell ref="BC249:BE249"/>
    <mergeCell ref="BF249:BJ249"/>
    <mergeCell ref="AV248:AW248"/>
    <mergeCell ref="AX248:AY248"/>
    <mergeCell ref="AZ248:BB248"/>
    <mergeCell ref="BC248:BE248"/>
    <mergeCell ref="AG248:AM248"/>
    <mergeCell ref="AN248:AO248"/>
    <mergeCell ref="AP248:AR248"/>
    <mergeCell ref="AS248:AU248"/>
    <mergeCell ref="BF246:BJ246"/>
    <mergeCell ref="AG247:AM247"/>
    <mergeCell ref="AN247:AO247"/>
    <mergeCell ref="AP247:AR247"/>
    <mergeCell ref="AS247:AU247"/>
    <mergeCell ref="AV247:AW247"/>
    <mergeCell ref="AX247:AY247"/>
    <mergeCell ref="AZ247:BB247"/>
    <mergeCell ref="BC247:BE247"/>
    <mergeCell ref="BF247:BJ247"/>
    <mergeCell ref="AV246:AW246"/>
    <mergeCell ref="AX246:AY246"/>
    <mergeCell ref="AZ246:BB246"/>
    <mergeCell ref="BC246:BE246"/>
    <mergeCell ref="AG246:AM246"/>
    <mergeCell ref="AN246:AO246"/>
    <mergeCell ref="AP246:AR246"/>
    <mergeCell ref="AS246:AU246"/>
    <mergeCell ref="BF244:BJ244"/>
    <mergeCell ref="AN245:AO245"/>
    <mergeCell ref="AP245:AR245"/>
    <mergeCell ref="AS245:AU245"/>
    <mergeCell ref="AV245:AW245"/>
    <mergeCell ref="AX245:AY245"/>
    <mergeCell ref="AZ245:BB245"/>
    <mergeCell ref="BC245:BE245"/>
    <mergeCell ref="BF245:BJ245"/>
    <mergeCell ref="AS244:AU244"/>
    <mergeCell ref="AV244:AW244"/>
    <mergeCell ref="AX244:AY244"/>
    <mergeCell ref="AZ244:BB244"/>
    <mergeCell ref="BF242:BJ242"/>
    <mergeCell ref="AG243:AM243"/>
    <mergeCell ref="AN243:AO243"/>
    <mergeCell ref="AP243:AR243"/>
    <mergeCell ref="AS243:AU243"/>
    <mergeCell ref="AV243:AW243"/>
    <mergeCell ref="AX243:AY243"/>
    <mergeCell ref="AZ243:BB243"/>
    <mergeCell ref="BC243:BE243"/>
    <mergeCell ref="BF243:BJ243"/>
    <mergeCell ref="AG244:AM244"/>
    <mergeCell ref="AN244:AO244"/>
    <mergeCell ref="BC242:BE242"/>
    <mergeCell ref="BC244:BE244"/>
    <mergeCell ref="AV242:AW242"/>
    <mergeCell ref="AX242:AY242"/>
    <mergeCell ref="AZ242:BB242"/>
    <mergeCell ref="AG245:AM245"/>
    <mergeCell ref="AP244:AR244"/>
    <mergeCell ref="AZ240:BB240"/>
    <mergeCell ref="BC240:BE240"/>
    <mergeCell ref="AS241:AU241"/>
    <mergeCell ref="AV241:AW241"/>
    <mergeCell ref="AX241:AY241"/>
    <mergeCell ref="AZ241:BB241"/>
    <mergeCell ref="BF239:BJ239"/>
    <mergeCell ref="AG240:AM240"/>
    <mergeCell ref="AN240:AO240"/>
    <mergeCell ref="AP240:AR240"/>
    <mergeCell ref="AS240:AU240"/>
    <mergeCell ref="BF240:BJ240"/>
    <mergeCell ref="AV239:AW239"/>
    <mergeCell ref="AX239:AY239"/>
    <mergeCell ref="AZ239:BB239"/>
    <mergeCell ref="BC239:BE239"/>
    <mergeCell ref="AS239:AU239"/>
    <mergeCell ref="AG241:AM241"/>
    <mergeCell ref="BF241:BJ241"/>
    <mergeCell ref="BC241:BE241"/>
    <mergeCell ref="AV240:AW240"/>
    <mergeCell ref="AX240:AY240"/>
    <mergeCell ref="AG239:AM239"/>
    <mergeCell ref="AN239:AO239"/>
    <mergeCell ref="AV234:AW234"/>
    <mergeCell ref="AX234:AY234"/>
    <mergeCell ref="AZ234:BB234"/>
    <mergeCell ref="BC234:BE234"/>
    <mergeCell ref="AS236:AU236"/>
    <mergeCell ref="AX235:AY235"/>
    <mergeCell ref="AZ235:BB235"/>
    <mergeCell ref="BC235:BE235"/>
    <mergeCell ref="AZ236:BB236"/>
    <mergeCell ref="BC231:BE231"/>
    <mergeCell ref="BF229:BJ229"/>
    <mergeCell ref="AV230:AW230"/>
    <mergeCell ref="AX230:AY230"/>
    <mergeCell ref="AZ230:BB230"/>
    <mergeCell ref="BC228:BE228"/>
    <mergeCell ref="BF230:BJ230"/>
    <mergeCell ref="AV229:AW229"/>
    <mergeCell ref="AX229:AY229"/>
    <mergeCell ref="AZ229:BB229"/>
    <mergeCell ref="BC229:BE229"/>
    <mergeCell ref="BC230:BE230"/>
    <mergeCell ref="BF231:BJ231"/>
    <mergeCell ref="BF232:BJ232"/>
    <mergeCell ref="AV231:AW231"/>
    <mergeCell ref="AX231:AY231"/>
    <mergeCell ref="AZ231:BB231"/>
    <mergeCell ref="BF228:BJ228"/>
    <mergeCell ref="AZ228:BB228"/>
    <mergeCell ref="AN238:AO238"/>
    <mergeCell ref="R241:S241"/>
    <mergeCell ref="H242:I242"/>
    <mergeCell ref="J242:L242"/>
    <mergeCell ref="Z255:AD255"/>
    <mergeCell ref="M241:O241"/>
    <mergeCell ref="H246:I246"/>
    <mergeCell ref="J250:L250"/>
    <mergeCell ref="J246:L246"/>
    <mergeCell ref="H263:I263"/>
    <mergeCell ref="H249:I249"/>
    <mergeCell ref="J262:L262"/>
    <mergeCell ref="J257:L257"/>
    <mergeCell ref="M257:O257"/>
    <mergeCell ref="J259:L259"/>
    <mergeCell ref="J258:L258"/>
    <mergeCell ref="M254:O254"/>
    <mergeCell ref="J254:L254"/>
    <mergeCell ref="H258:I258"/>
    <mergeCell ref="J263:L263"/>
    <mergeCell ref="M263:O263"/>
    <mergeCell ref="W246:Y246"/>
    <mergeCell ref="P246:Q246"/>
    <mergeCell ref="T260:V260"/>
    <mergeCell ref="R260:S260"/>
    <mergeCell ref="H260:I260"/>
    <mergeCell ref="Z247:AD247"/>
    <mergeCell ref="R243:S243"/>
    <mergeCell ref="H252:I252"/>
    <mergeCell ref="A263:G263"/>
    <mergeCell ref="J251:L251"/>
    <mergeCell ref="H244:I244"/>
    <mergeCell ref="A252:G252"/>
    <mergeCell ref="A267:G267"/>
    <mergeCell ref="A264:G264"/>
    <mergeCell ref="A265:G265"/>
    <mergeCell ref="J244:L244"/>
    <mergeCell ref="H257:I257"/>
    <mergeCell ref="A258:G258"/>
    <mergeCell ref="J271:L271"/>
    <mergeCell ref="M267:O267"/>
    <mergeCell ref="M260:O260"/>
    <mergeCell ref="J269:L269"/>
    <mergeCell ref="H253:I253"/>
    <mergeCell ref="J260:L260"/>
    <mergeCell ref="M246:O246"/>
    <mergeCell ref="M264:O264"/>
    <mergeCell ref="A266:G266"/>
    <mergeCell ref="H268:I268"/>
    <mergeCell ref="M258:O258"/>
    <mergeCell ref="A270:G270"/>
    <mergeCell ref="J270:L270"/>
    <mergeCell ref="J265:L265"/>
    <mergeCell ref="J268:L268"/>
    <mergeCell ref="M266:O266"/>
    <mergeCell ref="J266:L266"/>
    <mergeCell ref="J253:L253"/>
    <mergeCell ref="A271:G271"/>
    <mergeCell ref="H271:I271"/>
    <mergeCell ref="A319:G319"/>
    <mergeCell ref="P277:Q277"/>
    <mergeCell ref="R277:S277"/>
    <mergeCell ref="R278:S278"/>
    <mergeCell ref="P278:Q278"/>
    <mergeCell ref="A295:G295"/>
    <mergeCell ref="F287:I287"/>
    <mergeCell ref="A277:G277"/>
    <mergeCell ref="V291:X291"/>
    <mergeCell ref="K288:T288"/>
    <mergeCell ref="W282:Y282"/>
    <mergeCell ref="A280:G280"/>
    <mergeCell ref="H292:J292"/>
    <mergeCell ref="H291:L291"/>
    <mergeCell ref="A254:G254"/>
    <mergeCell ref="H254:I254"/>
    <mergeCell ref="G420:I420"/>
    <mergeCell ref="A379:AD379"/>
    <mergeCell ref="P408:Q408"/>
    <mergeCell ref="G416:I416"/>
    <mergeCell ref="A338:AD338"/>
    <mergeCell ref="A413:F413"/>
    <mergeCell ref="M428:O428"/>
    <mergeCell ref="V422:Z422"/>
    <mergeCell ref="M419:Q419"/>
    <mergeCell ref="M410:U410"/>
    <mergeCell ref="M427:O427"/>
    <mergeCell ref="A423:U423"/>
    <mergeCell ref="F424:I424"/>
    <mergeCell ref="A321:G321"/>
    <mergeCell ref="H321:J321"/>
    <mergeCell ref="S321:U321"/>
    <mergeCell ref="A390:AD390"/>
    <mergeCell ref="A391:AD391"/>
    <mergeCell ref="X408:Y408"/>
    <mergeCell ref="V408:W408"/>
    <mergeCell ref="A341:AD341"/>
    <mergeCell ref="A323:AD323"/>
    <mergeCell ref="A327:AD327"/>
    <mergeCell ref="A334:AD334"/>
    <mergeCell ref="A325:AD325"/>
    <mergeCell ref="A366:AD366"/>
    <mergeCell ref="A378:AD378"/>
    <mergeCell ref="A398:AD398"/>
    <mergeCell ref="A384:AD384"/>
    <mergeCell ref="M424:O424"/>
    <mergeCell ref="M420:Q420"/>
    <mergeCell ref="S420:U420"/>
    <mergeCell ref="V224:W224"/>
    <mergeCell ref="T220:V220"/>
    <mergeCell ref="Y103:Z103"/>
    <mergeCell ref="Y99:Z99"/>
    <mergeCell ref="V99:X99"/>
    <mergeCell ref="P442:R442"/>
    <mergeCell ref="P443:R443"/>
    <mergeCell ref="T99:U99"/>
    <mergeCell ref="J435:K435"/>
    <mergeCell ref="N443:O443"/>
    <mergeCell ref="K443:M443"/>
    <mergeCell ref="N442:O442"/>
    <mergeCell ref="K439:M440"/>
    <mergeCell ref="S320:U320"/>
    <mergeCell ref="M242:O242"/>
    <mergeCell ref="M261:O261"/>
    <mergeCell ref="M253:O253"/>
    <mergeCell ref="R248:S248"/>
    <mergeCell ref="P259:Q259"/>
    <mergeCell ref="P260:Q260"/>
    <mergeCell ref="P264:Q264"/>
    <mergeCell ref="M252:O252"/>
    <mergeCell ref="M243:O243"/>
    <mergeCell ref="T239:V239"/>
    <mergeCell ref="P250:Q250"/>
    <mergeCell ref="Z264:AD264"/>
    <mergeCell ref="A422:L422"/>
    <mergeCell ref="A359:AD359"/>
    <mergeCell ref="A360:AD360"/>
    <mergeCell ref="M324:AD324"/>
    <mergeCell ref="A348:AD348"/>
    <mergeCell ref="A389:AD389"/>
    <mergeCell ref="J241:L241"/>
    <mergeCell ref="G165:K165"/>
    <mergeCell ref="J226:K226"/>
    <mergeCell ref="H239:I239"/>
    <mergeCell ref="O110:P110"/>
    <mergeCell ref="O109:P109"/>
    <mergeCell ref="O108:P108"/>
    <mergeCell ref="O100:P100"/>
    <mergeCell ref="Q100:S100"/>
    <mergeCell ref="O111:P111"/>
    <mergeCell ref="Q101:S101"/>
    <mergeCell ref="O120:P120"/>
    <mergeCell ref="O118:P119"/>
    <mergeCell ref="J139:K139"/>
    <mergeCell ref="J140:K140"/>
    <mergeCell ref="L142:N142"/>
    <mergeCell ref="O145:P145"/>
    <mergeCell ref="Q117:T117"/>
    <mergeCell ref="P239:Q239"/>
    <mergeCell ref="H240:I240"/>
    <mergeCell ref="O98:P98"/>
    <mergeCell ref="O97:P97"/>
    <mergeCell ref="O91:P91"/>
    <mergeCell ref="O105:P105"/>
    <mergeCell ref="Q95:S95"/>
    <mergeCell ref="Q97:S97"/>
    <mergeCell ref="M108:N108"/>
    <mergeCell ref="M99:N99"/>
    <mergeCell ref="M103:N103"/>
    <mergeCell ref="M107:N107"/>
    <mergeCell ref="N115:P115"/>
    <mergeCell ref="M109:N109"/>
    <mergeCell ref="O106:P106"/>
    <mergeCell ref="M106:N106"/>
    <mergeCell ref="M104:N104"/>
    <mergeCell ref="M91:N91"/>
    <mergeCell ref="Q84:S84"/>
    <mergeCell ref="Q83:S83"/>
    <mergeCell ref="O89:P89"/>
    <mergeCell ref="M89:N89"/>
    <mergeCell ref="M92:N92"/>
    <mergeCell ref="Q128:R128"/>
    <mergeCell ref="Q125:R125"/>
    <mergeCell ref="H241:I241"/>
    <mergeCell ref="J247:L247"/>
    <mergeCell ref="J248:L248"/>
    <mergeCell ref="H247:I247"/>
    <mergeCell ref="V70:X70"/>
    <mergeCell ref="T76:U76"/>
    <mergeCell ref="T77:U77"/>
    <mergeCell ref="T82:U82"/>
    <mergeCell ref="T81:U81"/>
    <mergeCell ref="V79:X79"/>
    <mergeCell ref="Q98:S98"/>
    <mergeCell ref="Q105:S105"/>
    <mergeCell ref="Q111:S111"/>
    <mergeCell ref="Q106:S106"/>
    <mergeCell ref="V91:X91"/>
    <mergeCell ref="Q120:R120"/>
    <mergeCell ref="Q122:R122"/>
    <mergeCell ref="Q121:R121"/>
    <mergeCell ref="Q96:S96"/>
    <mergeCell ref="V227:W227"/>
    <mergeCell ref="W117:X117"/>
    <mergeCell ref="T224:U224"/>
    <mergeCell ref="T246:V246"/>
    <mergeCell ref="M239:O239"/>
    <mergeCell ref="AB58:AD58"/>
    <mergeCell ref="AB59:AD59"/>
    <mergeCell ref="Y81:Z81"/>
    <mergeCell ref="AA76:AC76"/>
    <mergeCell ref="V68:X68"/>
    <mergeCell ref="S59:T59"/>
    <mergeCell ref="V82:X82"/>
    <mergeCell ref="M93:N93"/>
    <mergeCell ref="M96:N96"/>
    <mergeCell ref="M97:N97"/>
    <mergeCell ref="O93:P93"/>
    <mergeCell ref="M90:N90"/>
    <mergeCell ref="M98:N98"/>
    <mergeCell ref="T89:U89"/>
    <mergeCell ref="T90:U90"/>
    <mergeCell ref="Y77:Z77"/>
    <mergeCell ref="Y67:Z67"/>
    <mergeCell ref="Z59:AA59"/>
    <mergeCell ref="AA71:AC71"/>
    <mergeCell ref="O76:P76"/>
    <mergeCell ref="V88:X88"/>
    <mergeCell ref="V93:X93"/>
    <mergeCell ref="Q77:S77"/>
    <mergeCell ref="Q82:S82"/>
    <mergeCell ref="Q89:S89"/>
    <mergeCell ref="Q90:S90"/>
    <mergeCell ref="Q88:S88"/>
    <mergeCell ref="Q93:S93"/>
    <mergeCell ref="M80:N80"/>
    <mergeCell ref="AA85:AC85"/>
    <mergeCell ref="AA86:AC86"/>
    <mergeCell ref="O79:P79"/>
    <mergeCell ref="O66:P66"/>
    <mergeCell ref="Q67:S67"/>
    <mergeCell ref="Y69:Z69"/>
    <mergeCell ref="Y74:Z74"/>
    <mergeCell ref="U57:W57"/>
    <mergeCell ref="T75:U75"/>
    <mergeCell ref="T65:U65"/>
    <mergeCell ref="Q79:S79"/>
    <mergeCell ref="V73:X73"/>
    <mergeCell ref="V74:X74"/>
    <mergeCell ref="O82:P82"/>
    <mergeCell ref="O73:P73"/>
    <mergeCell ref="O59:P59"/>
    <mergeCell ref="O60:P60"/>
    <mergeCell ref="T85:U85"/>
    <mergeCell ref="T88:U88"/>
    <mergeCell ref="T74:U74"/>
    <mergeCell ref="Y79:Z79"/>
    <mergeCell ref="X58:Y58"/>
    <mergeCell ref="Q78:S78"/>
    <mergeCell ref="Y87:Z87"/>
    <mergeCell ref="A25:G25"/>
    <mergeCell ref="H24:I24"/>
    <mergeCell ref="H38:J38"/>
    <mergeCell ref="O40:P40"/>
    <mergeCell ref="S45:T45"/>
    <mergeCell ref="V45:W45"/>
    <mergeCell ref="H39:J39"/>
    <mergeCell ref="H36:J36"/>
    <mergeCell ref="A32:G32"/>
    <mergeCell ref="H33:I33"/>
    <mergeCell ref="J33:K33"/>
    <mergeCell ref="S48:T48"/>
    <mergeCell ref="S47:T47"/>
    <mergeCell ref="X27:Y27"/>
    <mergeCell ref="V28:W28"/>
    <mergeCell ref="V27:W27"/>
    <mergeCell ref="AB50:AC50"/>
    <mergeCell ref="T30:U30"/>
    <mergeCell ref="T31:U31"/>
    <mergeCell ref="Q30:S30"/>
    <mergeCell ref="S40:U40"/>
    <mergeCell ref="S41:U41"/>
    <mergeCell ref="V46:W46"/>
    <mergeCell ref="Y43:Z43"/>
    <mergeCell ref="Z45:AA45"/>
    <mergeCell ref="O27:P27"/>
    <mergeCell ref="O30:P30"/>
    <mergeCell ref="J25:U25"/>
    <mergeCell ref="K41:L41"/>
    <mergeCell ref="K46:L46"/>
    <mergeCell ref="I41:J41"/>
    <mergeCell ref="Q49:R49"/>
    <mergeCell ref="Z20:AD20"/>
    <mergeCell ref="Z21:AD21"/>
    <mergeCell ref="AB46:AC46"/>
    <mergeCell ref="X29:Y29"/>
    <mergeCell ref="X30:Y30"/>
    <mergeCell ref="X33:Y33"/>
    <mergeCell ref="X37:AB37"/>
    <mergeCell ref="AA14:AD14"/>
    <mergeCell ref="X26:Y26"/>
    <mergeCell ref="X42:Z42"/>
    <mergeCell ref="X21:Y21"/>
    <mergeCell ref="X24:Y24"/>
    <mergeCell ref="X25:Y25"/>
    <mergeCell ref="X23:Y23"/>
    <mergeCell ref="V25:W25"/>
    <mergeCell ref="Z26:AD26"/>
    <mergeCell ref="X28:Y28"/>
    <mergeCell ref="AA40:AD40"/>
    <mergeCell ref="X44:AD44"/>
    <mergeCell ref="X41:Z41"/>
    <mergeCell ref="AA43:AD43"/>
    <mergeCell ref="A9:F9"/>
    <mergeCell ref="A14:F14"/>
    <mergeCell ref="A13:F13"/>
    <mergeCell ref="A12:F12"/>
    <mergeCell ref="A11:F11"/>
    <mergeCell ref="A10:F10"/>
    <mergeCell ref="A16:F16"/>
    <mergeCell ref="X16:Z16"/>
    <mergeCell ref="T19:U19"/>
    <mergeCell ref="V17:Z17"/>
    <mergeCell ref="Z18:AD18"/>
    <mergeCell ref="H19:I19"/>
    <mergeCell ref="X19:Y19"/>
    <mergeCell ref="G17:I17"/>
    <mergeCell ref="J19:K19"/>
    <mergeCell ref="V49:W49"/>
    <mergeCell ref="T32:U32"/>
    <mergeCell ref="Z22:AD22"/>
    <mergeCell ref="Z23:AD23"/>
    <mergeCell ref="X40:Z40"/>
    <mergeCell ref="M44:P45"/>
    <mergeCell ref="X32:Y32"/>
    <mergeCell ref="H32:I32"/>
    <mergeCell ref="H35:J35"/>
    <mergeCell ref="O23:P23"/>
    <mergeCell ref="A43:H43"/>
    <mergeCell ref="K42:L42"/>
    <mergeCell ref="A39:G39"/>
    <mergeCell ref="N34:P34"/>
    <mergeCell ref="Q34:W34"/>
    <mergeCell ref="L28:N28"/>
    <mergeCell ref="O26:P26"/>
    <mergeCell ref="H59:I59"/>
    <mergeCell ref="J54:K54"/>
    <mergeCell ref="A50:E50"/>
    <mergeCell ref="A54:B54"/>
    <mergeCell ref="A46:E46"/>
    <mergeCell ref="Z57:AA57"/>
    <mergeCell ref="U56:W56"/>
    <mergeCell ref="L29:N29"/>
    <mergeCell ref="Z29:AD29"/>
    <mergeCell ref="Z28:AD28"/>
    <mergeCell ref="Z27:AD27"/>
    <mergeCell ref="T23:U23"/>
    <mergeCell ref="J24:K24"/>
    <mergeCell ref="J23:K23"/>
    <mergeCell ref="Q43:R43"/>
    <mergeCell ref="Q42:R42"/>
    <mergeCell ref="M41:N41"/>
    <mergeCell ref="O41:P41"/>
    <mergeCell ref="O42:P42"/>
    <mergeCell ref="T29:U29"/>
    <mergeCell ref="Q32:S32"/>
    <mergeCell ref="V29:W29"/>
    <mergeCell ref="V26:W26"/>
    <mergeCell ref="L33:N33"/>
    <mergeCell ref="K35:M35"/>
    <mergeCell ref="A27:G27"/>
    <mergeCell ref="H29:I29"/>
    <mergeCell ref="A28:G28"/>
    <mergeCell ref="J31:K31"/>
    <mergeCell ref="Q24:S24"/>
    <mergeCell ref="L23:N23"/>
    <mergeCell ref="Z25:AD25"/>
    <mergeCell ref="M81:N81"/>
    <mergeCell ref="Q52:T52"/>
    <mergeCell ref="S50:T50"/>
    <mergeCell ref="Q68:S68"/>
    <mergeCell ref="Q72:S72"/>
    <mergeCell ref="Q73:S73"/>
    <mergeCell ref="O72:P72"/>
    <mergeCell ref="T87:U87"/>
    <mergeCell ref="T84:U84"/>
    <mergeCell ref="M88:N88"/>
    <mergeCell ref="M83:N83"/>
    <mergeCell ref="Q56:R56"/>
    <mergeCell ref="Q86:S86"/>
    <mergeCell ref="O87:P87"/>
    <mergeCell ref="O78:P78"/>
    <mergeCell ref="O85:P85"/>
    <mergeCell ref="O84:P84"/>
    <mergeCell ref="L60:N60"/>
    <mergeCell ref="M71:N71"/>
    <mergeCell ref="M87:N87"/>
    <mergeCell ref="O74:P74"/>
    <mergeCell ref="Q75:S75"/>
    <mergeCell ref="Q76:S76"/>
    <mergeCell ref="Q87:S87"/>
    <mergeCell ref="Q57:R57"/>
    <mergeCell ref="O67:P67"/>
    <mergeCell ref="M67:N67"/>
    <mergeCell ref="M79:N79"/>
    <mergeCell ref="M74:N74"/>
    <mergeCell ref="M73:N73"/>
    <mergeCell ref="Q51:R51"/>
    <mergeCell ref="T80:U80"/>
    <mergeCell ref="O81:P81"/>
    <mergeCell ref="T102:U102"/>
    <mergeCell ref="T105:U105"/>
    <mergeCell ref="S118:U119"/>
    <mergeCell ref="Q92:S92"/>
    <mergeCell ref="T83:U83"/>
    <mergeCell ref="T86:U86"/>
    <mergeCell ref="V86:X86"/>
    <mergeCell ref="V100:X100"/>
    <mergeCell ref="V98:X98"/>
    <mergeCell ref="Q126:R126"/>
    <mergeCell ref="V95:X95"/>
    <mergeCell ref="V94:X94"/>
    <mergeCell ref="T110:U110"/>
    <mergeCell ref="Q118:R119"/>
    <mergeCell ref="Y97:Z97"/>
    <mergeCell ref="AB122:AC122"/>
    <mergeCell ref="Z126:AA126"/>
    <mergeCell ref="Z125:AA125"/>
    <mergeCell ref="V92:X92"/>
    <mergeCell ref="Q91:S91"/>
    <mergeCell ref="AA92:AC92"/>
    <mergeCell ref="AC113:AD113"/>
    <mergeCell ref="AA96:AC96"/>
    <mergeCell ref="Q85:S85"/>
    <mergeCell ref="AA88:AC88"/>
    <mergeCell ref="AA84:AC84"/>
    <mergeCell ref="Y82:Z82"/>
    <mergeCell ref="Q94:S94"/>
    <mergeCell ref="T92:U92"/>
    <mergeCell ref="V96:X96"/>
    <mergeCell ref="Y96:Z96"/>
    <mergeCell ref="T104:U104"/>
    <mergeCell ref="Q103:S103"/>
    <mergeCell ref="X123:Y123"/>
    <mergeCell ref="S123:U123"/>
    <mergeCell ref="AA107:AC107"/>
    <mergeCell ref="AC114:AD114"/>
    <mergeCell ref="Y105:Z105"/>
    <mergeCell ref="V103:X103"/>
    <mergeCell ref="Q113:S113"/>
    <mergeCell ref="Z128:AA128"/>
    <mergeCell ref="AA106:AC106"/>
    <mergeCell ref="Y106:Z106"/>
    <mergeCell ref="T111:U111"/>
    <mergeCell ref="Q109:S109"/>
    <mergeCell ref="Q108:S108"/>
    <mergeCell ref="T108:U108"/>
    <mergeCell ref="Q81:S81"/>
    <mergeCell ref="Y95:Z95"/>
    <mergeCell ref="V111:X111"/>
    <mergeCell ref="AD118:AD119"/>
    <mergeCell ref="AA110:AC110"/>
    <mergeCell ref="V104:X104"/>
    <mergeCell ref="W114:Y114"/>
    <mergeCell ref="V106:X106"/>
    <mergeCell ref="T114:V114"/>
    <mergeCell ref="Z123:AA123"/>
    <mergeCell ref="Z124:AA124"/>
    <mergeCell ref="Z122:AA122"/>
    <mergeCell ref="V107:X107"/>
    <mergeCell ref="Q99:S99"/>
    <mergeCell ref="O99:P99"/>
    <mergeCell ref="O101:P101"/>
    <mergeCell ref="Y100:Z100"/>
    <mergeCell ref="I113:K113"/>
    <mergeCell ref="J127:K127"/>
    <mergeCell ref="Q114:S114"/>
    <mergeCell ref="U116:X116"/>
    <mergeCell ref="V120:W120"/>
    <mergeCell ref="U115:X115"/>
    <mergeCell ref="U117:V117"/>
    <mergeCell ref="I114:K114"/>
    <mergeCell ref="AA102:AC102"/>
    <mergeCell ref="S120:U120"/>
    <mergeCell ref="V121:W121"/>
    <mergeCell ref="X125:Y125"/>
    <mergeCell ref="X118:Y119"/>
    <mergeCell ref="T103:U103"/>
    <mergeCell ref="Q110:S110"/>
    <mergeCell ref="X122:Y122"/>
    <mergeCell ref="X121:Y121"/>
    <mergeCell ref="X126:Y126"/>
    <mergeCell ref="V118:W119"/>
    <mergeCell ref="Q115:T115"/>
    <mergeCell ref="Q116:T116"/>
    <mergeCell ref="L128:N128"/>
    <mergeCell ref="N117:P117"/>
    <mergeCell ref="O125:P125"/>
    <mergeCell ref="Z127:AA127"/>
    <mergeCell ref="T100:U100"/>
    <mergeCell ref="V101:X101"/>
    <mergeCell ref="T101:U101"/>
    <mergeCell ref="W113:Y113"/>
    <mergeCell ref="Y111:Z111"/>
    <mergeCell ref="Y110:Z110"/>
    <mergeCell ref="Z113:AB113"/>
    <mergeCell ref="V123:W123"/>
    <mergeCell ref="T109:U109"/>
    <mergeCell ref="L113:M113"/>
    <mergeCell ref="K115:M115"/>
    <mergeCell ref="Y117:AA117"/>
    <mergeCell ref="X120:Y120"/>
    <mergeCell ref="Z118:AA119"/>
    <mergeCell ref="V122:W122"/>
    <mergeCell ref="V126:W126"/>
    <mergeCell ref="AA103:AC103"/>
    <mergeCell ref="AB124:AC124"/>
    <mergeCell ref="AB125:AC125"/>
    <mergeCell ref="AB123:AC123"/>
    <mergeCell ref="V108:X108"/>
    <mergeCell ref="AA109:AC109"/>
    <mergeCell ref="AA105:AC105"/>
    <mergeCell ref="V125:W125"/>
    <mergeCell ref="S126:U126"/>
    <mergeCell ref="S128:U128"/>
    <mergeCell ref="L121:N121"/>
    <mergeCell ref="O122:P122"/>
    <mergeCell ref="L125:N125"/>
    <mergeCell ref="L127:N127"/>
    <mergeCell ref="S122:U122"/>
    <mergeCell ref="S125:U125"/>
    <mergeCell ref="AB129:AC129"/>
    <mergeCell ref="Z129:AA129"/>
    <mergeCell ref="AB127:AC127"/>
    <mergeCell ref="AB126:AC126"/>
    <mergeCell ref="Z121:AA121"/>
    <mergeCell ref="AB128:AC128"/>
    <mergeCell ref="O138:P138"/>
    <mergeCell ref="L136:N136"/>
    <mergeCell ref="L138:N138"/>
    <mergeCell ref="T137:U137"/>
    <mergeCell ref="Q138:S138"/>
    <mergeCell ref="V128:W128"/>
    <mergeCell ref="X128:Y128"/>
    <mergeCell ref="V127:W127"/>
    <mergeCell ref="S121:U121"/>
    <mergeCell ref="Q123:R123"/>
    <mergeCell ref="X124:Y124"/>
    <mergeCell ref="V124:W124"/>
    <mergeCell ref="Q152:S152"/>
    <mergeCell ref="Q150:S150"/>
    <mergeCell ref="J152:K152"/>
    <mergeCell ref="L144:N144"/>
    <mergeCell ref="J143:K143"/>
    <mergeCell ref="J144:K144"/>
    <mergeCell ref="V141:W141"/>
    <mergeCell ref="X147:Y147"/>
    <mergeCell ref="AB131:AC131"/>
    <mergeCell ref="Z132:AA132"/>
    <mergeCell ref="AB134:AC134"/>
    <mergeCell ref="X136:Y136"/>
    <mergeCell ref="X143:Y143"/>
    <mergeCell ref="V139:W139"/>
    <mergeCell ref="X139:Y139"/>
    <mergeCell ref="Z137:AD137"/>
    <mergeCell ref="Z144:AD144"/>
    <mergeCell ref="AC143:AD143"/>
    <mergeCell ref="Z146:AD146"/>
    <mergeCell ref="X137:Y137"/>
    <mergeCell ref="X135:Y135"/>
    <mergeCell ref="AB133:AC133"/>
    <mergeCell ref="Z135:AA135"/>
    <mergeCell ref="Z133:AA133"/>
    <mergeCell ref="V145:W145"/>
    <mergeCell ref="AB132:AC132"/>
    <mergeCell ref="V132:W132"/>
    <mergeCell ref="AB141:AD141"/>
    <mergeCell ref="Z141:AA141"/>
    <mergeCell ref="Z143:AA143"/>
    <mergeCell ref="X146:Y146"/>
    <mergeCell ref="Z139:AD139"/>
    <mergeCell ref="A158:F158"/>
    <mergeCell ref="A162:F162"/>
    <mergeCell ref="L157:M157"/>
    <mergeCell ref="O153:P153"/>
    <mergeCell ref="AB154:AD154"/>
    <mergeCell ref="X152:Y152"/>
    <mergeCell ref="T151:U151"/>
    <mergeCell ref="T150:U150"/>
    <mergeCell ref="T149:U149"/>
    <mergeCell ref="V149:W149"/>
    <mergeCell ref="T148:U148"/>
    <mergeCell ref="V148:W148"/>
    <mergeCell ref="X148:Y148"/>
    <mergeCell ref="O148:P148"/>
    <mergeCell ref="O146:P146"/>
    <mergeCell ref="W157:Y157"/>
    <mergeCell ref="V147:W147"/>
    <mergeCell ref="L153:N153"/>
    <mergeCell ref="V150:W150"/>
    <mergeCell ref="N157:O157"/>
    <mergeCell ref="G161:K161"/>
    <mergeCell ref="G162:K162"/>
    <mergeCell ref="H151:I151"/>
    <mergeCell ref="Q148:S148"/>
    <mergeCell ref="T152:U152"/>
    <mergeCell ref="T153:U153"/>
    <mergeCell ref="L152:N152"/>
    <mergeCell ref="J154:K154"/>
    <mergeCell ref="J150:K150"/>
    <mergeCell ref="J153:K153"/>
    <mergeCell ref="J149:K149"/>
    <mergeCell ref="Q153:S153"/>
    <mergeCell ref="L169:M169"/>
    <mergeCell ref="L151:N151"/>
    <mergeCell ref="O151:P151"/>
    <mergeCell ref="L166:M166"/>
    <mergeCell ref="R161:S161"/>
    <mergeCell ref="R158:S158"/>
    <mergeCell ref="N162:O162"/>
    <mergeCell ref="L163:M163"/>
    <mergeCell ref="R156:S156"/>
    <mergeCell ref="O154:P154"/>
    <mergeCell ref="P160:Q160"/>
    <mergeCell ref="N170:O170"/>
    <mergeCell ref="L162:M162"/>
    <mergeCell ref="H154:I154"/>
    <mergeCell ref="O2:R2"/>
    <mergeCell ref="O3:R3"/>
    <mergeCell ref="J8:L8"/>
    <mergeCell ref="J7:O7"/>
    <mergeCell ref="L6:M6"/>
    <mergeCell ref="N9:O9"/>
    <mergeCell ref="M8:M17"/>
    <mergeCell ref="P8:S8"/>
    <mergeCell ref="O4:R4"/>
    <mergeCell ref="S13:W13"/>
    <mergeCell ref="T11:V11"/>
    <mergeCell ref="T12:V12"/>
    <mergeCell ref="T10:V10"/>
    <mergeCell ref="N12:S12"/>
    <mergeCell ref="T28:U28"/>
    <mergeCell ref="Q28:S28"/>
    <mergeCell ref="Q145:S145"/>
    <mergeCell ref="O144:P144"/>
    <mergeCell ref="A163:F163"/>
    <mergeCell ref="N164:O164"/>
    <mergeCell ref="G160:K160"/>
    <mergeCell ref="R174:S174"/>
    <mergeCell ref="J146:K146"/>
    <mergeCell ref="T140:U140"/>
    <mergeCell ref="X150:Y150"/>
    <mergeCell ref="Q154:S154"/>
    <mergeCell ref="O149:P149"/>
    <mergeCell ref="V153:W153"/>
    <mergeCell ref="V152:W152"/>
    <mergeCell ref="L160:M160"/>
    <mergeCell ref="J142:K142"/>
    <mergeCell ref="J141:K141"/>
    <mergeCell ref="A145:G145"/>
    <mergeCell ref="A144:G144"/>
    <mergeCell ref="A146:G146"/>
    <mergeCell ref="J148:K148"/>
    <mergeCell ref="J147:K147"/>
    <mergeCell ref="W168:Y168"/>
    <mergeCell ref="Q140:S140"/>
    <mergeCell ref="J145:K145"/>
    <mergeCell ref="A153:G153"/>
    <mergeCell ref="A151:G151"/>
    <mergeCell ref="A149:G149"/>
    <mergeCell ref="A150:G150"/>
    <mergeCell ref="H149:I149"/>
    <mergeCell ref="L154:N154"/>
    <mergeCell ref="O152:P152"/>
    <mergeCell ref="A143:G143"/>
    <mergeCell ref="A147:G147"/>
    <mergeCell ref="H150:I150"/>
    <mergeCell ref="L213:M213"/>
    <mergeCell ref="P177:Q177"/>
    <mergeCell ref="N186:O186"/>
    <mergeCell ref="N185:O185"/>
    <mergeCell ref="N187:O187"/>
    <mergeCell ref="N188:O188"/>
    <mergeCell ref="R167:S167"/>
    <mergeCell ref="A175:E175"/>
    <mergeCell ref="N176:O176"/>
    <mergeCell ref="L171:M171"/>
    <mergeCell ref="H135:I135"/>
    <mergeCell ref="H146:I146"/>
    <mergeCell ref="G157:K157"/>
    <mergeCell ref="A154:G154"/>
    <mergeCell ref="H140:I140"/>
    <mergeCell ref="P156:Q156"/>
    <mergeCell ref="Q149:S149"/>
    <mergeCell ref="P157:Q157"/>
    <mergeCell ref="O150:P150"/>
    <mergeCell ref="R176:S176"/>
    <mergeCell ref="H144:I144"/>
    <mergeCell ref="A173:AD173"/>
    <mergeCell ref="W164:Y164"/>
    <mergeCell ref="N169:O169"/>
    <mergeCell ref="Z161:AD161"/>
    <mergeCell ref="P162:Q162"/>
    <mergeCell ref="W178:Y178"/>
    <mergeCell ref="W180:Y180"/>
    <mergeCell ref="T181:V181"/>
    <mergeCell ref="R178:S178"/>
    <mergeCell ref="Z197:AD197"/>
    <mergeCell ref="W192:Y192"/>
    <mergeCell ref="L30:N30"/>
    <mergeCell ref="J30:K30"/>
    <mergeCell ref="Q29:S29"/>
    <mergeCell ref="V32:W32"/>
    <mergeCell ref="G12:I12"/>
    <mergeCell ref="J13:L13"/>
    <mergeCell ref="J20:K20"/>
    <mergeCell ref="L20:N20"/>
    <mergeCell ref="L21:N21"/>
    <mergeCell ref="H20:I20"/>
    <mergeCell ref="N17:R17"/>
    <mergeCell ref="V22:W22"/>
    <mergeCell ref="J16:L16"/>
    <mergeCell ref="J15:L15"/>
    <mergeCell ref="H27:I27"/>
    <mergeCell ref="A30:G30"/>
    <mergeCell ref="J32:K32"/>
    <mergeCell ref="A29:G29"/>
    <mergeCell ref="H31:I31"/>
    <mergeCell ref="A15:F15"/>
    <mergeCell ref="Q27:S27"/>
    <mergeCell ref="Q23:S23"/>
    <mergeCell ref="T27:U27"/>
    <mergeCell ref="A20:G20"/>
    <mergeCell ref="N15:R15"/>
    <mergeCell ref="N13:R13"/>
    <mergeCell ref="S15:W15"/>
    <mergeCell ref="A21:G21"/>
    <mergeCell ref="H23:I23"/>
    <mergeCell ref="J14:L14"/>
    <mergeCell ref="V24:W24"/>
    <mergeCell ref="O24:P24"/>
    <mergeCell ref="A1:F1"/>
    <mergeCell ref="A3:F3"/>
    <mergeCell ref="V19:W19"/>
    <mergeCell ref="Q22:S22"/>
    <mergeCell ref="P10:S10"/>
    <mergeCell ref="A4:F4"/>
    <mergeCell ref="A8:F8"/>
    <mergeCell ref="A5:F5"/>
    <mergeCell ref="G4:I4"/>
    <mergeCell ref="G5:I5"/>
    <mergeCell ref="Q21:S21"/>
    <mergeCell ref="T21:U21"/>
    <mergeCell ref="O20:P20"/>
    <mergeCell ref="O22:P22"/>
    <mergeCell ref="O21:P21"/>
    <mergeCell ref="T22:U22"/>
    <mergeCell ref="Q20:S20"/>
    <mergeCell ref="T20:U20"/>
    <mergeCell ref="R7:S7"/>
    <mergeCell ref="O1:R1"/>
    <mergeCell ref="A22:G22"/>
    <mergeCell ref="H21:I21"/>
    <mergeCell ref="V21:W21"/>
    <mergeCell ref="G1:N1"/>
    <mergeCell ref="T8:V8"/>
    <mergeCell ref="T9:V9"/>
    <mergeCell ref="G3:I3"/>
    <mergeCell ref="O5:R5"/>
    <mergeCell ref="M4:N4"/>
    <mergeCell ref="O6:R6"/>
    <mergeCell ref="J6:K6"/>
    <mergeCell ref="S1:X1"/>
    <mergeCell ref="S2:X2"/>
    <mergeCell ref="S6:W6"/>
    <mergeCell ref="A24:G24"/>
    <mergeCell ref="A26:G26"/>
    <mergeCell ref="J17:L17"/>
    <mergeCell ref="P7:Q7"/>
    <mergeCell ref="N8:O8"/>
    <mergeCell ref="M3:N3"/>
    <mergeCell ref="A2:F2"/>
    <mergeCell ref="G2:N2"/>
    <mergeCell ref="A7:F7"/>
    <mergeCell ref="G8:I8"/>
    <mergeCell ref="G7:I7"/>
    <mergeCell ref="G6:I6"/>
    <mergeCell ref="A6:F6"/>
    <mergeCell ref="J4:L4"/>
    <mergeCell ref="J5:L5"/>
    <mergeCell ref="M5:N5"/>
    <mergeCell ref="T26:U26"/>
    <mergeCell ref="Q26:S26"/>
    <mergeCell ref="T7:AD7"/>
    <mergeCell ref="X9:Z9"/>
    <mergeCell ref="AB9:AD9"/>
    <mergeCell ref="AB8:AC8"/>
    <mergeCell ref="X8:Z8"/>
    <mergeCell ref="A17:F17"/>
    <mergeCell ref="A18:Y18"/>
    <mergeCell ref="Q19:S19"/>
    <mergeCell ref="P9:S9"/>
    <mergeCell ref="S16:W16"/>
    <mergeCell ref="X22:Y22"/>
    <mergeCell ref="V23:W23"/>
    <mergeCell ref="H26:I26"/>
    <mergeCell ref="X20:Y20"/>
    <mergeCell ref="N11:S11"/>
    <mergeCell ref="X10:AD10"/>
    <mergeCell ref="N10:O10"/>
    <mergeCell ref="X11:Z12"/>
    <mergeCell ref="AA12:AD12"/>
    <mergeCell ref="O19:P19"/>
    <mergeCell ref="J22:K22"/>
    <mergeCell ref="L22:N22"/>
    <mergeCell ref="AA11:AD11"/>
    <mergeCell ref="X15:Z15"/>
    <mergeCell ref="X13:Z13"/>
    <mergeCell ref="AA13:AD13"/>
    <mergeCell ref="S14:W14"/>
    <mergeCell ref="G14:I14"/>
    <mergeCell ref="A19:G19"/>
    <mergeCell ref="G16:I16"/>
    <mergeCell ref="N14:R14"/>
    <mergeCell ref="N16:R16"/>
    <mergeCell ref="J21:K21"/>
    <mergeCell ref="L26:N26"/>
    <mergeCell ref="G15:I15"/>
    <mergeCell ref="H22:I22"/>
    <mergeCell ref="X14:Z14"/>
    <mergeCell ref="AA15:AD15"/>
    <mergeCell ref="S17:T17"/>
    <mergeCell ref="Z19:AD19"/>
    <mergeCell ref="AC16:AD16"/>
    <mergeCell ref="AA16:AB16"/>
    <mergeCell ref="L24:N24"/>
    <mergeCell ref="AC17:AD17"/>
    <mergeCell ref="J9:L9"/>
    <mergeCell ref="J12:L12"/>
    <mergeCell ref="J10:L10"/>
    <mergeCell ref="G9:I9"/>
    <mergeCell ref="J11:L11"/>
    <mergeCell ref="G10:I10"/>
    <mergeCell ref="G11:I11"/>
    <mergeCell ref="G13:I13"/>
    <mergeCell ref="L19:N19"/>
    <mergeCell ref="AA17:AB17"/>
    <mergeCell ref="V20:W20"/>
    <mergeCell ref="A37:G37"/>
    <mergeCell ref="A35:G35"/>
    <mergeCell ref="A34:G34"/>
    <mergeCell ref="K37:M37"/>
    <mergeCell ref="A36:G36"/>
    <mergeCell ref="A33:G33"/>
    <mergeCell ref="A23:G23"/>
    <mergeCell ref="L31:N31"/>
    <mergeCell ref="N37:W37"/>
    <mergeCell ref="Q31:S31"/>
    <mergeCell ref="J28:K28"/>
    <mergeCell ref="L27:N27"/>
    <mergeCell ref="H25:I25"/>
    <mergeCell ref="H34:J34"/>
    <mergeCell ref="K36:M36"/>
    <mergeCell ref="J26:K26"/>
    <mergeCell ref="O28:P28"/>
    <mergeCell ref="K34:M34"/>
    <mergeCell ref="H28:I28"/>
    <mergeCell ref="J29:K29"/>
    <mergeCell ref="O29:P29"/>
    <mergeCell ref="A31:G31"/>
    <mergeCell ref="H37:J37"/>
    <mergeCell ref="H30:I30"/>
    <mergeCell ref="J27:K27"/>
    <mergeCell ref="T24:U24"/>
    <mergeCell ref="I40:J40"/>
    <mergeCell ref="O31:P31"/>
    <mergeCell ref="N52:P52"/>
    <mergeCell ref="A44:L44"/>
    <mergeCell ref="A41:H41"/>
    <mergeCell ref="M85:N85"/>
    <mergeCell ref="A49:E49"/>
    <mergeCell ref="M86:N86"/>
    <mergeCell ref="O86:P86"/>
    <mergeCell ref="O58:P58"/>
    <mergeCell ref="M68:N68"/>
    <mergeCell ref="O75:P75"/>
    <mergeCell ref="F60:G60"/>
    <mergeCell ref="M40:N40"/>
    <mergeCell ref="M78:N78"/>
    <mergeCell ref="O68:P68"/>
    <mergeCell ref="O69:P69"/>
    <mergeCell ref="A47:E47"/>
    <mergeCell ref="G46:I46"/>
    <mergeCell ref="A42:H42"/>
    <mergeCell ref="O83:P83"/>
    <mergeCell ref="H57:I57"/>
    <mergeCell ref="A57:B57"/>
    <mergeCell ref="K48:L48"/>
    <mergeCell ref="I42:J42"/>
    <mergeCell ref="C55:E55"/>
    <mergeCell ref="L56:N56"/>
    <mergeCell ref="M42:N42"/>
    <mergeCell ref="O47:P47"/>
    <mergeCell ref="A45:L45"/>
    <mergeCell ref="J58:K58"/>
    <mergeCell ref="L58:N58"/>
    <mergeCell ref="H56:I56"/>
    <mergeCell ref="F56:G56"/>
    <mergeCell ref="G49:I49"/>
    <mergeCell ref="O43:P43"/>
    <mergeCell ref="M47:N47"/>
    <mergeCell ref="L57:N57"/>
    <mergeCell ref="J57:K57"/>
    <mergeCell ref="O50:P50"/>
    <mergeCell ref="O48:P48"/>
    <mergeCell ref="O54:P55"/>
    <mergeCell ref="O56:P56"/>
    <mergeCell ref="J52:M52"/>
    <mergeCell ref="J56:K56"/>
    <mergeCell ref="O46:P46"/>
    <mergeCell ref="O57:P57"/>
    <mergeCell ref="A58:B58"/>
    <mergeCell ref="F54:G55"/>
    <mergeCell ref="F57:G57"/>
    <mergeCell ref="A56:B56"/>
    <mergeCell ref="A55:B55"/>
    <mergeCell ref="A51:E51"/>
    <mergeCell ref="G51:I51"/>
    <mergeCell ref="K51:L51"/>
    <mergeCell ref="M51:N51"/>
    <mergeCell ref="O51:P51"/>
    <mergeCell ref="C54:E54"/>
    <mergeCell ref="C53:I53"/>
    <mergeCell ref="K47:L47"/>
    <mergeCell ref="J55:K55"/>
    <mergeCell ref="C60:E60"/>
    <mergeCell ref="M66:N66"/>
    <mergeCell ref="A65:L65"/>
    <mergeCell ref="M65:N65"/>
    <mergeCell ref="H58:I58"/>
    <mergeCell ref="J60:K60"/>
    <mergeCell ref="J59:K59"/>
    <mergeCell ref="O65:P65"/>
    <mergeCell ref="AT181:AU181"/>
    <mergeCell ref="AV181:AW181"/>
    <mergeCell ref="AR182:AS182"/>
    <mergeCell ref="O102:P102"/>
    <mergeCell ref="O94:P94"/>
    <mergeCell ref="O95:P95"/>
    <mergeCell ref="O90:P90"/>
    <mergeCell ref="O96:P96"/>
    <mergeCell ref="O88:P88"/>
    <mergeCell ref="M100:N100"/>
    <mergeCell ref="M102:N102"/>
    <mergeCell ref="O103:P103"/>
    <mergeCell ref="M101:N101"/>
    <mergeCell ref="O104:P104"/>
    <mergeCell ref="T180:V180"/>
    <mergeCell ref="W181:Y181"/>
    <mergeCell ref="R180:S180"/>
    <mergeCell ref="P179:Q179"/>
    <mergeCell ref="AB135:AC135"/>
    <mergeCell ref="L161:M161"/>
    <mergeCell ref="M50:N50"/>
    <mergeCell ref="A142:G142"/>
    <mergeCell ref="E52:I52"/>
    <mergeCell ref="C56:E56"/>
    <mergeCell ref="L54:N54"/>
    <mergeCell ref="L55:N55"/>
    <mergeCell ref="N178:O178"/>
    <mergeCell ref="T167:V167"/>
    <mergeCell ref="T166:V166"/>
    <mergeCell ref="P166:Q166"/>
    <mergeCell ref="N165:O165"/>
    <mergeCell ref="N160:O160"/>
    <mergeCell ref="A167:F167"/>
    <mergeCell ref="A165:F165"/>
    <mergeCell ref="A168:F168"/>
    <mergeCell ref="G164:K164"/>
    <mergeCell ref="G163:K163"/>
    <mergeCell ref="N161:O161"/>
    <mergeCell ref="A164:F164"/>
    <mergeCell ref="M72:N72"/>
    <mergeCell ref="M70:N70"/>
    <mergeCell ref="M75:N75"/>
    <mergeCell ref="L149:N149"/>
    <mergeCell ref="T145:U145"/>
    <mergeCell ref="O137:P137"/>
    <mergeCell ref="G166:K166"/>
    <mergeCell ref="T160:V160"/>
    <mergeCell ref="T159:V159"/>
    <mergeCell ref="G170:K170"/>
    <mergeCell ref="G169:K169"/>
    <mergeCell ref="L159:M159"/>
    <mergeCell ref="A152:G152"/>
    <mergeCell ref="G158:K158"/>
    <mergeCell ref="A159:F159"/>
    <mergeCell ref="J123:K123"/>
    <mergeCell ref="H133:I133"/>
    <mergeCell ref="Q136:R136"/>
    <mergeCell ref="Q142:S142"/>
    <mergeCell ref="V144:W144"/>
    <mergeCell ref="Q143:S143"/>
    <mergeCell ref="V142:W142"/>
    <mergeCell ref="V135:W135"/>
    <mergeCell ref="L134:N134"/>
    <mergeCell ref="T138:U138"/>
    <mergeCell ref="S134:U134"/>
    <mergeCell ref="Q134:R134"/>
    <mergeCell ref="Q135:R135"/>
    <mergeCell ref="O134:P134"/>
    <mergeCell ref="L146:N146"/>
    <mergeCell ref="AZ178:BB178"/>
    <mergeCell ref="AR177:AS177"/>
    <mergeCell ref="AZ177:BB177"/>
    <mergeCell ref="X154:Y154"/>
    <mergeCell ref="Z163:AD163"/>
    <mergeCell ref="G159:K159"/>
    <mergeCell ref="Z150:AD150"/>
    <mergeCell ref="F175:K175"/>
    <mergeCell ref="Q137:S137"/>
    <mergeCell ref="Q139:S139"/>
    <mergeCell ref="S135:U135"/>
    <mergeCell ref="O139:P139"/>
    <mergeCell ref="H152:I152"/>
    <mergeCell ref="H153:I153"/>
    <mergeCell ref="H148:I148"/>
    <mergeCell ref="J151:K151"/>
    <mergeCell ref="P164:Q164"/>
    <mergeCell ref="L148:N148"/>
    <mergeCell ref="Q151:S151"/>
    <mergeCell ref="O49:P49"/>
    <mergeCell ref="O70:P70"/>
    <mergeCell ref="O71:P71"/>
    <mergeCell ref="L59:N59"/>
    <mergeCell ref="M94:N94"/>
    <mergeCell ref="O92:P92"/>
    <mergeCell ref="O107:P107"/>
    <mergeCell ref="Q104:S104"/>
    <mergeCell ref="Q102:S102"/>
    <mergeCell ref="S51:T51"/>
    <mergeCell ref="Q132:R132"/>
    <mergeCell ref="X134:Y134"/>
    <mergeCell ref="M69:N69"/>
    <mergeCell ref="H116:J116"/>
    <mergeCell ref="L123:N123"/>
    <mergeCell ref="L124:N124"/>
    <mergeCell ref="O121:P121"/>
    <mergeCell ref="J125:K125"/>
    <mergeCell ref="H117:J117"/>
    <mergeCell ref="J129:K129"/>
    <mergeCell ref="M105:N105"/>
    <mergeCell ref="M110:N110"/>
    <mergeCell ref="M111:N111"/>
    <mergeCell ref="T147:U147"/>
    <mergeCell ref="X138:Y138"/>
    <mergeCell ref="X144:Y144"/>
    <mergeCell ref="J135:K135"/>
    <mergeCell ref="L147:N147"/>
    <mergeCell ref="O143:P143"/>
    <mergeCell ref="O140:P140"/>
    <mergeCell ref="T143:U143"/>
    <mergeCell ref="T144:U144"/>
    <mergeCell ref="V143:W143"/>
    <mergeCell ref="Y83:Z83"/>
    <mergeCell ref="AA89:AC89"/>
    <mergeCell ref="Y91:Z91"/>
    <mergeCell ref="Y92:Z92"/>
    <mergeCell ref="Y93:Z93"/>
    <mergeCell ref="AA104:AC104"/>
    <mergeCell ref="V87:X87"/>
    <mergeCell ref="Q129:R129"/>
    <mergeCell ref="Q133:R133"/>
    <mergeCell ref="L141:N141"/>
    <mergeCell ref="M95:N95"/>
    <mergeCell ref="O80:P80"/>
    <mergeCell ref="O77:P77"/>
    <mergeCell ref="M77:N77"/>
    <mergeCell ref="Q141:S141"/>
    <mergeCell ref="O141:P141"/>
    <mergeCell ref="Z138:AD138"/>
    <mergeCell ref="AB130:AC130"/>
    <mergeCell ref="Z130:AA130"/>
    <mergeCell ref="Z131:AA131"/>
    <mergeCell ref="V137:W137"/>
    <mergeCell ref="V140:W140"/>
    <mergeCell ref="X131:Y131"/>
    <mergeCell ref="V130:W130"/>
    <mergeCell ref="X130:Y130"/>
    <mergeCell ref="X132:Y132"/>
    <mergeCell ref="O132:P132"/>
    <mergeCell ref="L132:N132"/>
    <mergeCell ref="Z120:AA120"/>
    <mergeCell ref="R175:S175"/>
    <mergeCell ref="AG173:BJ173"/>
    <mergeCell ref="BF174:BJ174"/>
    <mergeCell ref="BC174:BE174"/>
    <mergeCell ref="AV174:AW174"/>
    <mergeCell ref="AG174:AK174"/>
    <mergeCell ref="AX174:AY174"/>
    <mergeCell ref="X151:Y151"/>
    <mergeCell ref="X153:Y153"/>
    <mergeCell ref="Z167:AD167"/>
    <mergeCell ref="T78:U78"/>
    <mergeCell ref="T73:U73"/>
    <mergeCell ref="M84:N84"/>
    <mergeCell ref="L122:N122"/>
    <mergeCell ref="L137:N137"/>
    <mergeCell ref="O142:P142"/>
    <mergeCell ref="O136:P136"/>
    <mergeCell ref="O135:P135"/>
    <mergeCell ref="O147:P147"/>
    <mergeCell ref="L145:N145"/>
    <mergeCell ref="Q80:S80"/>
    <mergeCell ref="Q107:S107"/>
    <mergeCell ref="Q124:R124"/>
    <mergeCell ref="S124:U124"/>
    <mergeCell ref="AZ174:BB174"/>
    <mergeCell ref="AL174:AQ174"/>
    <mergeCell ref="AR174:AS174"/>
    <mergeCell ref="AT174:AU174"/>
    <mergeCell ref="X142:Y142"/>
    <mergeCell ref="X149:Y149"/>
    <mergeCell ref="T164:V164"/>
    <mergeCell ref="R162:S162"/>
    <mergeCell ref="T168:V168"/>
    <mergeCell ref="Z159:AD159"/>
    <mergeCell ref="Z160:AD160"/>
    <mergeCell ref="W161:Y161"/>
    <mergeCell ref="W159:Y159"/>
    <mergeCell ref="Z158:AD158"/>
    <mergeCell ref="W158:Y158"/>
    <mergeCell ref="Z171:AD171"/>
    <mergeCell ref="Z164:AD164"/>
    <mergeCell ref="W166:Y166"/>
    <mergeCell ref="Z162:AD162"/>
    <mergeCell ref="W160:Y160"/>
    <mergeCell ref="Q146:S146"/>
    <mergeCell ref="P161:Q161"/>
    <mergeCell ref="P159:Q159"/>
    <mergeCell ref="R160:S160"/>
    <mergeCell ref="P158:Q158"/>
    <mergeCell ref="P165:Q165"/>
    <mergeCell ref="R171:S171"/>
    <mergeCell ref="V146:W146"/>
    <mergeCell ref="A155:AD155"/>
    <mergeCell ref="A148:G148"/>
    <mergeCell ref="G156:K156"/>
    <mergeCell ref="L150:N150"/>
    <mergeCell ref="A170:F170"/>
    <mergeCell ref="L158:M158"/>
    <mergeCell ref="N159:O159"/>
    <mergeCell ref="Z154:AA154"/>
    <mergeCell ref="G168:K168"/>
    <mergeCell ref="G171:K171"/>
    <mergeCell ref="L167:M167"/>
    <mergeCell ref="L168:M168"/>
    <mergeCell ref="BF178:BJ178"/>
    <mergeCell ref="AT177:AU177"/>
    <mergeCell ref="BC177:BE177"/>
    <mergeCell ref="AZ176:BB176"/>
    <mergeCell ref="AV176:AW176"/>
    <mergeCell ref="AX176:AY176"/>
    <mergeCell ref="AG175:AK175"/>
    <mergeCell ref="AL175:AQ175"/>
    <mergeCell ref="AR176:AS176"/>
    <mergeCell ref="AT176:AU176"/>
    <mergeCell ref="BF175:BJ175"/>
    <mergeCell ref="AV177:AW177"/>
    <mergeCell ref="AR178:AS178"/>
    <mergeCell ref="AT178:AU178"/>
    <mergeCell ref="AX178:AY178"/>
    <mergeCell ref="BC178:BE178"/>
    <mergeCell ref="BF176:BJ176"/>
    <mergeCell ref="BF177:BJ177"/>
    <mergeCell ref="BC175:BE175"/>
    <mergeCell ref="AZ175:BB175"/>
    <mergeCell ref="AR175:AS175"/>
    <mergeCell ref="AV175:AW175"/>
    <mergeCell ref="AV178:AW178"/>
    <mergeCell ref="AX177:AY177"/>
    <mergeCell ref="AX175:AY175"/>
    <mergeCell ref="AT175:AU175"/>
    <mergeCell ref="Z178:AD178"/>
    <mergeCell ref="AT194:AU194"/>
    <mergeCell ref="AR193:AS193"/>
    <mergeCell ref="AT193:AU193"/>
    <mergeCell ref="AR196:AS196"/>
    <mergeCell ref="AT196:AU196"/>
    <mergeCell ref="AR195:AS195"/>
    <mergeCell ref="AT195:AU195"/>
    <mergeCell ref="AV200:AW200"/>
    <mergeCell ref="AX200:AY200"/>
    <mergeCell ref="AV182:AW182"/>
    <mergeCell ref="AR179:AS179"/>
    <mergeCell ref="Z189:AD189"/>
    <mergeCell ref="AT183:AU183"/>
    <mergeCell ref="AT184:AU184"/>
    <mergeCell ref="AR183:AS183"/>
    <mergeCell ref="AR184:AS184"/>
    <mergeCell ref="AT185:AU185"/>
    <mergeCell ref="AV187:AW187"/>
    <mergeCell ref="AP230:AR230"/>
    <mergeCell ref="AR180:AS180"/>
    <mergeCell ref="Z190:AD190"/>
    <mergeCell ref="Z200:AD200"/>
    <mergeCell ref="Z199:AD199"/>
    <mergeCell ref="AN226:AO226"/>
    <mergeCell ref="AV225:AW225"/>
    <mergeCell ref="AS226:AU226"/>
    <mergeCell ref="AN225:AO225"/>
    <mergeCell ref="BC179:BE179"/>
    <mergeCell ref="BC182:BE182"/>
    <mergeCell ref="Z185:AD185"/>
    <mergeCell ref="BC181:BE181"/>
    <mergeCell ref="AZ182:BB182"/>
    <mergeCell ref="AX180:AY180"/>
    <mergeCell ref="AV184:AW184"/>
    <mergeCell ref="AX184:AY184"/>
    <mergeCell ref="AZ179:BB179"/>
    <mergeCell ref="AV180:AW180"/>
    <mergeCell ref="Z179:AD179"/>
    <mergeCell ref="Z183:AD183"/>
    <mergeCell ref="W198:Y198"/>
    <mergeCell ref="T193:V193"/>
    <mergeCell ref="AP226:AR226"/>
    <mergeCell ref="AX228:AY228"/>
    <mergeCell ref="AV208:AW208"/>
    <mergeCell ref="AZ183:BB183"/>
    <mergeCell ref="BC183:BE183"/>
    <mergeCell ref="BC188:BE188"/>
    <mergeCell ref="AZ181:BB181"/>
    <mergeCell ref="AZ226:BB226"/>
    <mergeCell ref="AZ185:BB185"/>
    <mergeCell ref="BC185:BE185"/>
    <mergeCell ref="Z232:AB232"/>
    <mergeCell ref="Z230:AB230"/>
    <mergeCell ref="AZ191:BB191"/>
    <mergeCell ref="AZ189:BB189"/>
    <mergeCell ref="AZ187:BB187"/>
    <mergeCell ref="BC187:BE187"/>
    <mergeCell ref="AZ188:BB188"/>
    <mergeCell ref="AR194:AS194"/>
    <mergeCell ref="Z186:AD186"/>
    <mergeCell ref="Z196:AD196"/>
    <mergeCell ref="Z201:AD201"/>
    <mergeCell ref="Z184:AD184"/>
    <mergeCell ref="Z203:AD203"/>
    <mergeCell ref="Z198:AD198"/>
    <mergeCell ref="AP232:AR232"/>
    <mergeCell ref="AS232:AU232"/>
    <mergeCell ref="AV232:AW232"/>
    <mergeCell ref="Z225:AB225"/>
    <mergeCell ref="AR185:AS185"/>
    <mergeCell ref="AR186:AS186"/>
    <mergeCell ref="AN227:AO227"/>
    <mergeCell ref="AP227:AR227"/>
    <mergeCell ref="AS227:AU227"/>
    <mergeCell ref="BF224:BJ224"/>
    <mergeCell ref="Z188:AD188"/>
    <mergeCell ref="AX179:AY179"/>
    <mergeCell ref="AR188:AS188"/>
    <mergeCell ref="AV183:AW183"/>
    <mergeCell ref="AR181:AS181"/>
    <mergeCell ref="AT182:AU182"/>
    <mergeCell ref="BF179:BJ179"/>
    <mergeCell ref="BF182:BJ182"/>
    <mergeCell ref="AX181:AY181"/>
    <mergeCell ref="Z206:AD206"/>
    <mergeCell ref="Z207:AD207"/>
    <mergeCell ref="BF187:BJ187"/>
    <mergeCell ref="AT179:AU179"/>
    <mergeCell ref="AV179:AW179"/>
    <mergeCell ref="AT180:AU180"/>
    <mergeCell ref="AV185:AW185"/>
    <mergeCell ref="AX188:AY188"/>
    <mergeCell ref="AV191:AW191"/>
    <mergeCell ref="W207:Y207"/>
    <mergeCell ref="W215:Y215"/>
    <mergeCell ref="W249:Y249"/>
    <mergeCell ref="AS225:AU225"/>
    <mergeCell ref="AP228:AR228"/>
    <mergeCell ref="AS228:AU228"/>
    <mergeCell ref="AV228:AW228"/>
    <mergeCell ref="W241:Y241"/>
    <mergeCell ref="W242:Y242"/>
    <mergeCell ref="W248:Y248"/>
    <mergeCell ref="W216:Y216"/>
    <mergeCell ref="Z213:AD213"/>
    <mergeCell ref="Z214:AD214"/>
    <mergeCell ref="Z211:AD211"/>
    <mergeCell ref="Z212:AD212"/>
    <mergeCell ref="Z215:AD215"/>
    <mergeCell ref="W209:Y209"/>
    <mergeCell ref="W210:Y210"/>
    <mergeCell ref="W211:Y211"/>
    <mergeCell ref="Z209:AD209"/>
    <mergeCell ref="X225:Y225"/>
    <mergeCell ref="V228:W228"/>
    <mergeCell ref="Z224:AD224"/>
    <mergeCell ref="X224:Y224"/>
    <mergeCell ref="Z239:AD239"/>
    <mergeCell ref="Z208:AD208"/>
    <mergeCell ref="T219:V219"/>
    <mergeCell ref="W213:Y213"/>
    <mergeCell ref="W214:Y214"/>
    <mergeCell ref="AG237:AM237"/>
    <mergeCell ref="AN237:AO237"/>
    <mergeCell ref="A238:AD238"/>
    <mergeCell ref="T214:V214"/>
    <mergeCell ref="R214:S214"/>
    <mergeCell ref="R190:S190"/>
    <mergeCell ref="T197:V197"/>
    <mergeCell ref="T211:V211"/>
    <mergeCell ref="T213:V213"/>
    <mergeCell ref="R207:S207"/>
    <mergeCell ref="R188:S188"/>
    <mergeCell ref="W204:Y204"/>
    <mergeCell ref="P216:Q216"/>
    <mergeCell ref="R211:S211"/>
    <mergeCell ref="T189:V189"/>
    <mergeCell ref="W199:Y199"/>
    <mergeCell ref="R196:S196"/>
    <mergeCell ref="R201:S201"/>
    <mergeCell ref="T210:V210"/>
    <mergeCell ref="T208:V208"/>
    <mergeCell ref="R189:S189"/>
    <mergeCell ref="P199:Q199"/>
    <mergeCell ref="W189:Y189"/>
    <mergeCell ref="P188:Q188"/>
    <mergeCell ref="W206:Y206"/>
    <mergeCell ref="W190:Y190"/>
    <mergeCell ref="W191:Y191"/>
    <mergeCell ref="W203:Y203"/>
    <mergeCell ref="T204:V204"/>
    <mergeCell ref="P213:Q213"/>
    <mergeCell ref="W200:Y200"/>
    <mergeCell ref="R193:S193"/>
    <mergeCell ref="W193:Y193"/>
    <mergeCell ref="P195:Q195"/>
    <mergeCell ref="P198:Q198"/>
    <mergeCell ref="T217:V217"/>
    <mergeCell ref="J249:L249"/>
    <mergeCell ref="J245:L245"/>
    <mergeCell ref="J264:L264"/>
    <mergeCell ref="H248:I248"/>
    <mergeCell ref="J261:L261"/>
    <mergeCell ref="H261:I261"/>
    <mergeCell ref="A262:G262"/>
    <mergeCell ref="H262:I262"/>
    <mergeCell ref="A261:G261"/>
    <mergeCell ref="P258:Q258"/>
    <mergeCell ref="P248:Q248"/>
    <mergeCell ref="A248:G248"/>
    <mergeCell ref="A250:G250"/>
    <mergeCell ref="M259:O259"/>
    <mergeCell ref="A255:G255"/>
    <mergeCell ref="H255:I255"/>
    <mergeCell ref="P257:Q257"/>
    <mergeCell ref="M247:O247"/>
    <mergeCell ref="P256:Q256"/>
    <mergeCell ref="A245:G245"/>
    <mergeCell ref="A246:G246"/>
    <mergeCell ref="A253:G253"/>
    <mergeCell ref="A256:G256"/>
    <mergeCell ref="M262:O262"/>
    <mergeCell ref="P262:Q262"/>
    <mergeCell ref="J256:L256"/>
    <mergeCell ref="R255:S255"/>
    <mergeCell ref="H259:I259"/>
    <mergeCell ref="P263:Q263"/>
    <mergeCell ref="P255:Q255"/>
    <mergeCell ref="H256:I256"/>
    <mergeCell ref="A283:G283"/>
    <mergeCell ref="K289:T289"/>
    <mergeCell ref="J281:L281"/>
    <mergeCell ref="R280:S280"/>
    <mergeCell ref="M281:O281"/>
    <mergeCell ref="R279:S279"/>
    <mergeCell ref="K287:T287"/>
    <mergeCell ref="P280:Q280"/>
    <mergeCell ref="S294:U294"/>
    <mergeCell ref="A278:G278"/>
    <mergeCell ref="J280:L280"/>
    <mergeCell ref="H278:I278"/>
    <mergeCell ref="H280:I280"/>
    <mergeCell ref="T279:V279"/>
    <mergeCell ref="H277:I277"/>
    <mergeCell ref="W278:Y278"/>
    <mergeCell ref="T278:V278"/>
    <mergeCell ref="W277:Y277"/>
    <mergeCell ref="A299:F299"/>
    <mergeCell ref="V296:X296"/>
    <mergeCell ref="A294:G294"/>
    <mergeCell ref="H293:J293"/>
    <mergeCell ref="Z299:AB299"/>
    <mergeCell ref="Z294:AB294"/>
    <mergeCell ref="Z296:AB296"/>
    <mergeCell ref="V302:X302"/>
    <mergeCell ref="S293:U293"/>
    <mergeCell ref="N294:R294"/>
    <mergeCell ref="N296:R296"/>
    <mergeCell ref="S296:U296"/>
    <mergeCell ref="S297:U297"/>
    <mergeCell ref="A302:F302"/>
    <mergeCell ref="H302:J302"/>
    <mergeCell ref="H299:J299"/>
    <mergeCell ref="H301:J301"/>
    <mergeCell ref="A298:G298"/>
    <mergeCell ref="K294:L294"/>
    <mergeCell ref="Z301:AB301"/>
    <mergeCell ref="H298:J298"/>
    <mergeCell ref="K299:L299"/>
    <mergeCell ref="A296:G296"/>
    <mergeCell ref="Z300:AB300"/>
    <mergeCell ref="Z298:AB298"/>
    <mergeCell ref="A297:G297"/>
    <mergeCell ref="N302:R302"/>
    <mergeCell ref="Z293:AB293"/>
    <mergeCell ref="M276:O276"/>
    <mergeCell ref="A276:G276"/>
    <mergeCell ref="A286:E286"/>
    <mergeCell ref="A285:I285"/>
    <mergeCell ref="J273:L273"/>
    <mergeCell ref="H283:I283"/>
    <mergeCell ref="H282:I282"/>
    <mergeCell ref="A281:G281"/>
    <mergeCell ref="H274:I274"/>
    <mergeCell ref="A291:G291"/>
    <mergeCell ref="K285:AD285"/>
    <mergeCell ref="M283:O283"/>
    <mergeCell ref="M277:O277"/>
    <mergeCell ref="F286:I286"/>
    <mergeCell ref="U289:AD289"/>
    <mergeCell ref="P281:Q281"/>
    <mergeCell ref="Z291:AC291"/>
    <mergeCell ref="T282:V282"/>
    <mergeCell ref="T280:V280"/>
    <mergeCell ref="U286:AD286"/>
    <mergeCell ref="Z276:AD276"/>
    <mergeCell ref="W279:Y279"/>
    <mergeCell ref="K290:T290"/>
    <mergeCell ref="Z274:AD274"/>
    <mergeCell ref="Z277:AD277"/>
    <mergeCell ref="A288:E288"/>
    <mergeCell ref="A282:G282"/>
    <mergeCell ref="A279:G279"/>
    <mergeCell ref="J282:L282"/>
    <mergeCell ref="T283:V283"/>
    <mergeCell ref="J279:L279"/>
    <mergeCell ref="P279:Q279"/>
    <mergeCell ref="A275:G275"/>
    <mergeCell ref="T273:V273"/>
    <mergeCell ref="T277:V277"/>
    <mergeCell ref="W271:Y271"/>
    <mergeCell ref="T274:V274"/>
    <mergeCell ref="M272:O272"/>
    <mergeCell ref="M273:O273"/>
    <mergeCell ref="P271:Q271"/>
    <mergeCell ref="T271:V271"/>
    <mergeCell ref="W274:Y274"/>
    <mergeCell ref="M271:O271"/>
    <mergeCell ref="M274:O274"/>
    <mergeCell ref="R268:S268"/>
    <mergeCell ref="W276:Y276"/>
    <mergeCell ref="M278:O278"/>
    <mergeCell ref="A274:G274"/>
    <mergeCell ref="P268:Q268"/>
    <mergeCell ref="J272:L272"/>
    <mergeCell ref="P272:Q272"/>
    <mergeCell ref="R272:S272"/>
    <mergeCell ref="R270:S270"/>
    <mergeCell ref="P269:Q269"/>
    <mergeCell ref="R269:S269"/>
    <mergeCell ref="P274:Q274"/>
    <mergeCell ref="P276:Q276"/>
    <mergeCell ref="J277:L277"/>
    <mergeCell ref="A269:G269"/>
    <mergeCell ref="M270:O270"/>
    <mergeCell ref="A273:G273"/>
    <mergeCell ref="J276:L276"/>
    <mergeCell ref="R276:S276"/>
    <mergeCell ref="J275:L275"/>
    <mergeCell ref="W273:Y273"/>
    <mergeCell ref="T265:V265"/>
    <mergeCell ref="T267:V267"/>
    <mergeCell ref="T272:V272"/>
    <mergeCell ref="R273:S273"/>
    <mergeCell ref="T256:V256"/>
    <mergeCell ref="J255:L255"/>
    <mergeCell ref="T261:V261"/>
    <mergeCell ref="T276:V276"/>
    <mergeCell ref="T253:V253"/>
    <mergeCell ref="W262:Y262"/>
    <mergeCell ref="W264:Y264"/>
    <mergeCell ref="T248:V248"/>
    <mergeCell ref="R254:S254"/>
    <mergeCell ref="R253:S253"/>
    <mergeCell ref="W261:Y261"/>
    <mergeCell ref="T275:V275"/>
    <mergeCell ref="R267:S267"/>
    <mergeCell ref="R251:S251"/>
    <mergeCell ref="R249:S249"/>
    <mergeCell ref="R265:S265"/>
    <mergeCell ref="W252:Y252"/>
    <mergeCell ref="T249:V249"/>
    <mergeCell ref="W267:Y267"/>
    <mergeCell ref="W256:Y256"/>
    <mergeCell ref="T251:V251"/>
    <mergeCell ref="W254:Y254"/>
    <mergeCell ref="W251:Y251"/>
    <mergeCell ref="R262:S262"/>
    <mergeCell ref="T258:V258"/>
    <mergeCell ref="R271:S271"/>
    <mergeCell ref="M275:O275"/>
    <mergeCell ref="P275:Q275"/>
    <mergeCell ref="M269:O269"/>
    <mergeCell ref="T269:V269"/>
    <mergeCell ref="R275:S275"/>
    <mergeCell ref="R274:S274"/>
    <mergeCell ref="W275:Y275"/>
    <mergeCell ref="W272:Y272"/>
    <mergeCell ref="T264:V264"/>
    <mergeCell ref="T259:V259"/>
    <mergeCell ref="M268:O268"/>
    <mergeCell ref="M265:O265"/>
    <mergeCell ref="R246:S246"/>
    <mergeCell ref="R266:S266"/>
    <mergeCell ref="W268:Y268"/>
    <mergeCell ref="W270:Y270"/>
    <mergeCell ref="W269:Y269"/>
    <mergeCell ref="P252:Q252"/>
    <mergeCell ref="R247:S247"/>
    <mergeCell ref="R257:S257"/>
    <mergeCell ref="W259:Y259"/>
    <mergeCell ref="W255:Y255"/>
    <mergeCell ref="R264:S264"/>
    <mergeCell ref="R263:S263"/>
    <mergeCell ref="T250:V250"/>
    <mergeCell ref="W250:Y250"/>
    <mergeCell ref="W253:Y253"/>
    <mergeCell ref="T252:V252"/>
    <mergeCell ref="R250:S250"/>
    <mergeCell ref="M256:O256"/>
    <mergeCell ref="M255:O255"/>
    <mergeCell ref="T270:V270"/>
    <mergeCell ref="T268:V268"/>
    <mergeCell ref="H265:I265"/>
    <mergeCell ref="Z220:AD220"/>
    <mergeCell ref="O229:P229"/>
    <mergeCell ref="W220:Y220"/>
    <mergeCell ref="W219:Y219"/>
    <mergeCell ref="O232:P232"/>
    <mergeCell ref="Q231:S231"/>
    <mergeCell ref="T226:U226"/>
    <mergeCell ref="V229:W229"/>
    <mergeCell ref="O230:P230"/>
    <mergeCell ref="T243:V243"/>
    <mergeCell ref="R244:S244"/>
    <mergeCell ref="R245:S245"/>
    <mergeCell ref="P247:Q247"/>
    <mergeCell ref="T245:V245"/>
    <mergeCell ref="L236:O236"/>
    <mergeCell ref="P251:Q251"/>
    <mergeCell ref="M250:O250"/>
    <mergeCell ref="M249:O249"/>
    <mergeCell ref="W247:Y247"/>
    <mergeCell ref="P249:Q249"/>
    <mergeCell ref="W240:Y240"/>
    <mergeCell ref="T241:V241"/>
    <mergeCell ref="Q229:S229"/>
    <mergeCell ref="A224:I224"/>
    <mergeCell ref="A229:I229"/>
    <mergeCell ref="A227:I227"/>
    <mergeCell ref="J240:L240"/>
    <mergeCell ref="W245:Y245"/>
    <mergeCell ref="P253:Q253"/>
    <mergeCell ref="T231:U231"/>
    <mergeCell ref="V230:W230"/>
    <mergeCell ref="T198:V198"/>
    <mergeCell ref="R195:S195"/>
    <mergeCell ref="R202:S202"/>
    <mergeCell ref="R217:S217"/>
    <mergeCell ref="R220:S220"/>
    <mergeCell ref="A223:AD223"/>
    <mergeCell ref="L217:M217"/>
    <mergeCell ref="Z218:AD218"/>
    <mergeCell ref="A221:B221"/>
    <mergeCell ref="R218:S218"/>
    <mergeCell ref="L225:N225"/>
    <mergeCell ref="Z226:AB226"/>
    <mergeCell ref="Z227:AB227"/>
    <mergeCell ref="T227:U227"/>
    <mergeCell ref="O231:P231"/>
    <mergeCell ref="Z219:AD219"/>
    <mergeCell ref="R219:S219"/>
    <mergeCell ref="W218:Y218"/>
    <mergeCell ref="N220:O220"/>
    <mergeCell ref="T218:V218"/>
    <mergeCell ref="J227:K227"/>
    <mergeCell ref="P219:Q219"/>
    <mergeCell ref="N217:O217"/>
    <mergeCell ref="P217:Q217"/>
    <mergeCell ref="N218:O218"/>
    <mergeCell ref="Z217:AD217"/>
    <mergeCell ref="W217:Y217"/>
    <mergeCell ref="V226:W226"/>
    <mergeCell ref="Q226:S226"/>
    <mergeCell ref="L218:M218"/>
    <mergeCell ref="W205:Y205"/>
    <mergeCell ref="T206:V206"/>
    <mergeCell ref="R187:S187"/>
    <mergeCell ref="T183:V183"/>
    <mergeCell ref="T190:V190"/>
    <mergeCell ref="L198:M198"/>
    <mergeCell ref="T196:V196"/>
    <mergeCell ref="N196:O196"/>
    <mergeCell ref="P190:Q190"/>
    <mergeCell ref="R198:S198"/>
    <mergeCell ref="R200:S200"/>
    <mergeCell ref="T188:V188"/>
    <mergeCell ref="L190:M190"/>
    <mergeCell ref="L191:M191"/>
    <mergeCell ref="L192:M192"/>
    <mergeCell ref="N192:O192"/>
    <mergeCell ref="P189:Q189"/>
    <mergeCell ref="P191:Q191"/>
    <mergeCell ref="L210:M210"/>
    <mergeCell ref="N207:O207"/>
    <mergeCell ref="T192:V192"/>
    <mergeCell ref="P204:Q204"/>
    <mergeCell ref="L199:M199"/>
    <mergeCell ref="R208:S208"/>
    <mergeCell ref="L207:M207"/>
    <mergeCell ref="L196:M196"/>
    <mergeCell ref="N194:O194"/>
    <mergeCell ref="N198:O198"/>
    <mergeCell ref="N202:O202"/>
    <mergeCell ref="N195:O195"/>
    <mergeCell ref="L197:M197"/>
    <mergeCell ref="L195:M195"/>
    <mergeCell ref="R197:S197"/>
    <mergeCell ref="P197:Q197"/>
    <mergeCell ref="L177:M177"/>
    <mergeCell ref="T212:V212"/>
    <mergeCell ref="T199:V199"/>
    <mergeCell ref="T202:V202"/>
    <mergeCell ref="R203:S203"/>
    <mergeCell ref="P215:Q215"/>
    <mergeCell ref="T201:V201"/>
    <mergeCell ref="N208:O208"/>
    <mergeCell ref="L206:M206"/>
    <mergeCell ref="N210:O210"/>
    <mergeCell ref="N213:O213"/>
    <mergeCell ref="L202:M202"/>
    <mergeCell ref="L201:M201"/>
    <mergeCell ref="N201:O201"/>
    <mergeCell ref="T215:V215"/>
    <mergeCell ref="P212:Q212"/>
    <mergeCell ref="R213:S213"/>
    <mergeCell ref="N214:O214"/>
    <mergeCell ref="L200:M200"/>
    <mergeCell ref="P208:Q208"/>
    <mergeCell ref="P205:Q205"/>
    <mergeCell ref="P206:Q206"/>
    <mergeCell ref="P214:Q214"/>
    <mergeCell ref="P201:Q201"/>
    <mergeCell ref="P200:Q200"/>
    <mergeCell ref="N212:O212"/>
    <mergeCell ref="P202:Q202"/>
    <mergeCell ref="P209:Q209"/>
    <mergeCell ref="L209:M209"/>
    <mergeCell ref="N199:O199"/>
    <mergeCell ref="R206:S206"/>
    <mergeCell ref="R199:S199"/>
    <mergeCell ref="N193:O193"/>
    <mergeCell ref="N179:O179"/>
    <mergeCell ref="T175:V175"/>
    <mergeCell ref="T194:V194"/>
    <mergeCell ref="L194:M194"/>
    <mergeCell ref="N168:O168"/>
    <mergeCell ref="T184:V184"/>
    <mergeCell ref="T185:V185"/>
    <mergeCell ref="T186:V186"/>
    <mergeCell ref="P168:Q168"/>
    <mergeCell ref="T177:V177"/>
    <mergeCell ref="R177:S177"/>
    <mergeCell ref="R192:S192"/>
    <mergeCell ref="T178:V178"/>
    <mergeCell ref="L183:M183"/>
    <mergeCell ref="R186:S186"/>
    <mergeCell ref="L182:M182"/>
    <mergeCell ref="L181:M181"/>
    <mergeCell ref="P182:Q182"/>
    <mergeCell ref="P185:Q185"/>
    <mergeCell ref="T182:V182"/>
    <mergeCell ref="R194:S194"/>
    <mergeCell ref="P183:Q183"/>
    <mergeCell ref="P184:Q184"/>
    <mergeCell ref="P187:Q187"/>
    <mergeCell ref="P186:Q186"/>
    <mergeCell ref="L175:M175"/>
    <mergeCell ref="P181:Q181"/>
    <mergeCell ref="L178:M178"/>
    <mergeCell ref="L179:M179"/>
    <mergeCell ref="P194:Q194"/>
    <mergeCell ref="L193:M193"/>
    <mergeCell ref="A38:G38"/>
    <mergeCell ref="A40:H40"/>
    <mergeCell ref="M43:N43"/>
    <mergeCell ref="I43:J43"/>
    <mergeCell ref="K38:M38"/>
    <mergeCell ref="K39:M39"/>
    <mergeCell ref="K40:L40"/>
    <mergeCell ref="J133:K133"/>
    <mergeCell ref="H143:I143"/>
    <mergeCell ref="K49:L49"/>
    <mergeCell ref="G48:I48"/>
    <mergeCell ref="G50:I50"/>
    <mergeCell ref="A48:E48"/>
    <mergeCell ref="A60:B60"/>
    <mergeCell ref="C57:E57"/>
    <mergeCell ref="A52:D52"/>
    <mergeCell ref="M49:N49"/>
    <mergeCell ref="K43:L43"/>
    <mergeCell ref="M48:N48"/>
    <mergeCell ref="J53:R53"/>
    <mergeCell ref="Q58:R58"/>
    <mergeCell ref="Q54:R55"/>
    <mergeCell ref="M46:N46"/>
    <mergeCell ref="G47:I47"/>
    <mergeCell ref="K50:L50"/>
    <mergeCell ref="Q50:R50"/>
    <mergeCell ref="C59:E59"/>
    <mergeCell ref="F59:G59"/>
    <mergeCell ref="H60:I60"/>
    <mergeCell ref="F58:G58"/>
    <mergeCell ref="C58:E58"/>
    <mergeCell ref="H54:I55"/>
    <mergeCell ref="A59:B59"/>
    <mergeCell ref="A114:F114"/>
    <mergeCell ref="G114:H114"/>
    <mergeCell ref="L114:M114"/>
    <mergeCell ref="H120:I120"/>
    <mergeCell ref="L120:N120"/>
    <mergeCell ref="N114:P114"/>
    <mergeCell ref="A115:E116"/>
    <mergeCell ref="A120:G120"/>
    <mergeCell ref="F116:G116"/>
    <mergeCell ref="A117:E117"/>
    <mergeCell ref="F117:G117"/>
    <mergeCell ref="J126:K126"/>
    <mergeCell ref="H127:I127"/>
    <mergeCell ref="H128:I128"/>
    <mergeCell ref="A128:G128"/>
    <mergeCell ref="N116:P116"/>
    <mergeCell ref="O127:P127"/>
    <mergeCell ref="O128:P128"/>
    <mergeCell ref="L126:N126"/>
    <mergeCell ref="O126:P126"/>
    <mergeCell ref="G113:H113"/>
    <mergeCell ref="O123:P123"/>
    <mergeCell ref="A113:F113"/>
    <mergeCell ref="H115:J115"/>
    <mergeCell ref="H118:I119"/>
    <mergeCell ref="A123:G123"/>
    <mergeCell ref="A124:G124"/>
    <mergeCell ref="H124:I124"/>
    <mergeCell ref="H122:I122"/>
    <mergeCell ref="M82:N82"/>
    <mergeCell ref="M76:N76"/>
    <mergeCell ref="A121:G121"/>
    <mergeCell ref="H121:I121"/>
    <mergeCell ref="H126:I126"/>
    <mergeCell ref="H129:I129"/>
    <mergeCell ref="A131:G131"/>
    <mergeCell ref="A125:G125"/>
    <mergeCell ref="O129:P129"/>
    <mergeCell ref="L130:N130"/>
    <mergeCell ref="O131:P131"/>
    <mergeCell ref="H123:I123"/>
    <mergeCell ref="J121:K121"/>
    <mergeCell ref="J124:K124"/>
    <mergeCell ref="H125:I125"/>
    <mergeCell ref="F115:G115"/>
    <mergeCell ref="K117:M117"/>
    <mergeCell ref="J120:K120"/>
    <mergeCell ref="L129:N129"/>
    <mergeCell ref="L118:N119"/>
    <mergeCell ref="A118:G119"/>
    <mergeCell ref="J118:K119"/>
    <mergeCell ref="J122:K122"/>
    <mergeCell ref="H131:I131"/>
    <mergeCell ref="O130:P130"/>
    <mergeCell ref="J128:K128"/>
    <mergeCell ref="A126:G126"/>
    <mergeCell ref="A127:G127"/>
    <mergeCell ref="H130:I130"/>
    <mergeCell ref="A129:G129"/>
    <mergeCell ref="A122:G122"/>
    <mergeCell ref="O124:P124"/>
    <mergeCell ref="K116:M116"/>
    <mergeCell ref="L131:N131"/>
    <mergeCell ref="J130:K130"/>
    <mergeCell ref="J131:K131"/>
    <mergeCell ref="H134:I134"/>
    <mergeCell ref="A135:G135"/>
    <mergeCell ref="H141:I141"/>
    <mergeCell ref="L133:N133"/>
    <mergeCell ref="L135:N135"/>
    <mergeCell ref="A137:G137"/>
    <mergeCell ref="A141:G141"/>
    <mergeCell ref="H142:I142"/>
    <mergeCell ref="A132:G132"/>
    <mergeCell ref="J136:K136"/>
    <mergeCell ref="J132:K132"/>
    <mergeCell ref="H137:I137"/>
    <mergeCell ref="A134:G134"/>
    <mergeCell ref="J134:K134"/>
    <mergeCell ref="A130:G130"/>
    <mergeCell ref="H132:I132"/>
    <mergeCell ref="J138:K138"/>
    <mergeCell ref="H136:I136"/>
    <mergeCell ref="J137:K137"/>
    <mergeCell ref="H138:I138"/>
    <mergeCell ref="W194:Y194"/>
    <mergeCell ref="V154:W154"/>
    <mergeCell ref="W167:Y167"/>
    <mergeCell ref="W188:Y188"/>
    <mergeCell ref="L187:M187"/>
    <mergeCell ref="N215:O215"/>
    <mergeCell ref="L186:M186"/>
    <mergeCell ref="T161:V161"/>
    <mergeCell ref="T154:U154"/>
    <mergeCell ref="W162:Y162"/>
    <mergeCell ref="N166:O166"/>
    <mergeCell ref="V151:W151"/>
    <mergeCell ref="P192:Q192"/>
    <mergeCell ref="P176:Q176"/>
    <mergeCell ref="R215:S215"/>
    <mergeCell ref="T162:V162"/>
    <mergeCell ref="R168:S168"/>
    <mergeCell ref="T209:V209"/>
    <mergeCell ref="T203:V203"/>
    <mergeCell ref="T200:V200"/>
    <mergeCell ref="T169:V169"/>
    <mergeCell ref="T179:V179"/>
    <mergeCell ref="N174:O174"/>
    <mergeCell ref="P193:Q193"/>
    <mergeCell ref="W184:Y184"/>
    <mergeCell ref="P169:Q169"/>
    <mergeCell ref="P180:Q180"/>
    <mergeCell ref="P167:Q167"/>
    <mergeCell ref="W169:Y169"/>
    <mergeCell ref="P175:Q175"/>
    <mergeCell ref="W179:Y179"/>
    <mergeCell ref="W183:Y183"/>
    <mergeCell ref="N191:O191"/>
    <mergeCell ref="N189:O189"/>
    <mergeCell ref="W163:Y163"/>
    <mergeCell ref="N163:O163"/>
    <mergeCell ref="L156:M156"/>
    <mergeCell ref="N156:O156"/>
    <mergeCell ref="R157:S157"/>
    <mergeCell ref="R163:S163"/>
    <mergeCell ref="L174:M174"/>
    <mergeCell ref="L170:M170"/>
    <mergeCell ref="W170:Y170"/>
    <mergeCell ref="N158:O158"/>
    <mergeCell ref="L189:M189"/>
    <mergeCell ref="L185:M185"/>
    <mergeCell ref="N190:O190"/>
    <mergeCell ref="Z165:AD165"/>
    <mergeCell ref="T191:V191"/>
    <mergeCell ref="N184:O184"/>
    <mergeCell ref="Z182:AD182"/>
    <mergeCell ref="W182:Y182"/>
    <mergeCell ref="Z187:AD187"/>
    <mergeCell ref="R191:S191"/>
    <mergeCell ref="P178:Q178"/>
    <mergeCell ref="Z181:AD181"/>
    <mergeCell ref="R182:S182"/>
    <mergeCell ref="Z168:AD168"/>
    <mergeCell ref="R179:S179"/>
    <mergeCell ref="W187:Y187"/>
    <mergeCell ref="Z176:AD176"/>
    <mergeCell ref="Z169:AD169"/>
    <mergeCell ref="Z180:AD180"/>
    <mergeCell ref="Z170:AD170"/>
    <mergeCell ref="W197:Y197"/>
    <mergeCell ref="Z202:AD202"/>
    <mergeCell ref="AB136:AC136"/>
    <mergeCell ref="L139:N139"/>
    <mergeCell ref="Z145:AD145"/>
    <mergeCell ref="P174:Q174"/>
    <mergeCell ref="L188:M188"/>
    <mergeCell ref="T187:V187"/>
    <mergeCell ref="R184:S184"/>
    <mergeCell ref="N182:O182"/>
    <mergeCell ref="N183:O183"/>
    <mergeCell ref="N181:O181"/>
    <mergeCell ref="N180:O180"/>
    <mergeCell ref="R181:S181"/>
    <mergeCell ref="R185:S185"/>
    <mergeCell ref="R183:S183"/>
    <mergeCell ref="Z147:AD147"/>
    <mergeCell ref="Z149:AD149"/>
    <mergeCell ref="Z148:AD148"/>
    <mergeCell ref="Z151:AD151"/>
    <mergeCell ref="Z152:AD152"/>
    <mergeCell ref="Z153:AD153"/>
    <mergeCell ref="W175:Y175"/>
    <mergeCell ref="W176:Y176"/>
    <mergeCell ref="N171:O171"/>
    <mergeCell ref="L164:M164"/>
    <mergeCell ref="L176:M176"/>
    <mergeCell ref="L180:M180"/>
    <mergeCell ref="N177:O177"/>
    <mergeCell ref="Q147:S147"/>
    <mergeCell ref="T163:V163"/>
    <mergeCell ref="L165:M165"/>
    <mergeCell ref="A174:E174"/>
    <mergeCell ref="H147:I147"/>
    <mergeCell ref="H145:I145"/>
    <mergeCell ref="F174:K174"/>
    <mergeCell ref="A166:F166"/>
    <mergeCell ref="A169:F169"/>
    <mergeCell ref="A136:G136"/>
    <mergeCell ref="A161:F161"/>
    <mergeCell ref="A160:F160"/>
    <mergeCell ref="A157:F157"/>
    <mergeCell ref="A156:F156"/>
    <mergeCell ref="G167:K167"/>
    <mergeCell ref="A171:F171"/>
    <mergeCell ref="L140:N140"/>
    <mergeCell ref="A133:G133"/>
    <mergeCell ref="X129:Y129"/>
    <mergeCell ref="N175:O175"/>
    <mergeCell ref="N167:O167"/>
    <mergeCell ref="L143:N143"/>
    <mergeCell ref="P163:Q163"/>
    <mergeCell ref="Q144:S144"/>
    <mergeCell ref="S132:U132"/>
    <mergeCell ref="T156:V156"/>
    <mergeCell ref="R164:S164"/>
    <mergeCell ref="A140:G140"/>
    <mergeCell ref="A138:G138"/>
    <mergeCell ref="H139:I139"/>
    <mergeCell ref="T146:U146"/>
    <mergeCell ref="T174:V174"/>
    <mergeCell ref="X133:Y133"/>
    <mergeCell ref="T171:V171"/>
    <mergeCell ref="A139:G139"/>
    <mergeCell ref="Y84:Z84"/>
    <mergeCell ref="T106:U106"/>
    <mergeCell ref="AB117:AD117"/>
    <mergeCell ref="AA111:AC111"/>
    <mergeCell ref="AB120:AC120"/>
    <mergeCell ref="AB118:AC119"/>
    <mergeCell ref="V102:X102"/>
    <mergeCell ref="Y98:Z98"/>
    <mergeCell ref="Y101:Z101"/>
    <mergeCell ref="V89:X89"/>
    <mergeCell ref="AA95:AC95"/>
    <mergeCell ref="V85:X85"/>
    <mergeCell ref="T107:U107"/>
    <mergeCell ref="AA98:AC98"/>
    <mergeCell ref="Y94:Z94"/>
    <mergeCell ref="AA94:AC94"/>
    <mergeCell ref="V105:X105"/>
    <mergeCell ref="T93:U93"/>
    <mergeCell ref="AA87:AC87"/>
    <mergeCell ref="AA108:AC108"/>
    <mergeCell ref="AA93:AC93"/>
    <mergeCell ref="AA91:AC91"/>
    <mergeCell ref="Y89:Z89"/>
    <mergeCell ref="V90:X90"/>
    <mergeCell ref="AA101:AC101"/>
    <mergeCell ref="AA90:AC90"/>
    <mergeCell ref="AA100:AC100"/>
    <mergeCell ref="Y90:Z90"/>
    <mergeCell ref="T113:V113"/>
    <mergeCell ref="V110:X110"/>
    <mergeCell ref="A112:AD112"/>
    <mergeCell ref="Z114:AB114"/>
    <mergeCell ref="Z60:AA60"/>
    <mergeCell ref="Y66:Z66"/>
    <mergeCell ref="AA65:AC65"/>
    <mergeCell ref="AA66:AC66"/>
    <mergeCell ref="Q65:S65"/>
    <mergeCell ref="Y65:Z65"/>
    <mergeCell ref="Q60:R60"/>
    <mergeCell ref="V76:X76"/>
    <mergeCell ref="V75:X75"/>
    <mergeCell ref="V72:X72"/>
    <mergeCell ref="T79:U79"/>
    <mergeCell ref="U60:W60"/>
    <mergeCell ref="Q74:S74"/>
    <mergeCell ref="Y73:Z73"/>
    <mergeCell ref="Q69:S69"/>
    <mergeCell ref="Q70:S70"/>
    <mergeCell ref="Q66:S66"/>
    <mergeCell ref="V71:X71"/>
    <mergeCell ref="Y70:Z70"/>
    <mergeCell ref="V66:X66"/>
    <mergeCell ref="Y75:Z75"/>
    <mergeCell ref="T72:U72"/>
    <mergeCell ref="L214:M214"/>
    <mergeCell ref="T176:V176"/>
    <mergeCell ref="L184:M184"/>
    <mergeCell ref="S58:T58"/>
    <mergeCell ref="T69:U69"/>
    <mergeCell ref="AB60:AD60"/>
    <mergeCell ref="T70:U70"/>
    <mergeCell ref="Q71:S71"/>
    <mergeCell ref="Q59:R59"/>
    <mergeCell ref="Y104:Z104"/>
    <mergeCell ref="Z250:AD250"/>
    <mergeCell ref="P241:Q241"/>
    <mergeCell ref="T244:V244"/>
    <mergeCell ref="M244:O244"/>
    <mergeCell ref="W243:Y243"/>
    <mergeCell ref="W244:Y244"/>
    <mergeCell ref="Z248:AD248"/>
    <mergeCell ref="P237:R237"/>
    <mergeCell ref="R239:S239"/>
    <mergeCell ref="S133:U133"/>
    <mergeCell ref="V131:W131"/>
    <mergeCell ref="V136:W136"/>
    <mergeCell ref="S130:U130"/>
    <mergeCell ref="X141:Y141"/>
    <mergeCell ref="X145:Y145"/>
    <mergeCell ref="R165:S165"/>
    <mergeCell ref="Z205:AD205"/>
    <mergeCell ref="P240:Q240"/>
    <mergeCell ref="S233:W233"/>
    <mergeCell ref="W195:Y195"/>
    <mergeCell ref="L215:M215"/>
    <mergeCell ref="N204:O204"/>
    <mergeCell ref="Z275:AD275"/>
    <mergeCell ref="A236:D236"/>
    <mergeCell ref="A239:G239"/>
    <mergeCell ref="J228:K228"/>
    <mergeCell ref="J231:K231"/>
    <mergeCell ref="O225:P225"/>
    <mergeCell ref="O226:P226"/>
    <mergeCell ref="A272:G272"/>
    <mergeCell ref="P266:Q266"/>
    <mergeCell ref="P273:Q273"/>
    <mergeCell ref="H267:I267"/>
    <mergeCell ref="P254:Q254"/>
    <mergeCell ref="T262:V262"/>
    <mergeCell ref="T263:V263"/>
    <mergeCell ref="R259:S259"/>
    <mergeCell ref="R261:S261"/>
    <mergeCell ref="Z204:AD204"/>
    <mergeCell ref="Z210:AD210"/>
    <mergeCell ref="T207:V207"/>
    <mergeCell ref="T232:U232"/>
    <mergeCell ref="T254:V254"/>
    <mergeCell ref="R210:S210"/>
    <mergeCell ref="P210:Q210"/>
    <mergeCell ref="N211:O211"/>
    <mergeCell ref="AA242:AD242"/>
    <mergeCell ref="L221:M221"/>
    <mergeCell ref="A228:I228"/>
    <mergeCell ref="L227:N227"/>
    <mergeCell ref="A230:I230"/>
    <mergeCell ref="A231:I231"/>
    <mergeCell ref="A226:I226"/>
    <mergeCell ref="T216:V216"/>
    <mergeCell ref="N197:O197"/>
    <mergeCell ref="T195:V195"/>
    <mergeCell ref="L208:M208"/>
    <mergeCell ref="N200:O200"/>
    <mergeCell ref="N203:O203"/>
    <mergeCell ref="P203:Q203"/>
    <mergeCell ref="T205:V205"/>
    <mergeCell ref="P196:Q196"/>
    <mergeCell ref="S127:U127"/>
    <mergeCell ref="T141:U141"/>
    <mergeCell ref="S129:U129"/>
    <mergeCell ref="R170:S170"/>
    <mergeCell ref="R159:S159"/>
    <mergeCell ref="R166:S166"/>
    <mergeCell ref="P171:Q171"/>
    <mergeCell ref="P170:Q170"/>
    <mergeCell ref="W165:Y165"/>
    <mergeCell ref="W174:Y174"/>
    <mergeCell ref="L203:M203"/>
    <mergeCell ref="R204:S204"/>
    <mergeCell ref="N205:O205"/>
    <mergeCell ref="L205:M205"/>
    <mergeCell ref="L204:M204"/>
    <mergeCell ref="T157:V157"/>
    <mergeCell ref="T158:V158"/>
    <mergeCell ref="O133:P133"/>
    <mergeCell ref="X140:Y140"/>
    <mergeCell ref="Q127:R127"/>
    <mergeCell ref="V138:W138"/>
    <mergeCell ref="Q131:R131"/>
    <mergeCell ref="T142:U142"/>
    <mergeCell ref="X127:Y127"/>
    <mergeCell ref="A305:G305"/>
    <mergeCell ref="H316:J316"/>
    <mergeCell ref="A308:G308"/>
    <mergeCell ref="A306:G306"/>
    <mergeCell ref="A307:G307"/>
    <mergeCell ref="K306:L306"/>
    <mergeCell ref="N219:O219"/>
    <mergeCell ref="O228:P228"/>
    <mergeCell ref="A304:G304"/>
    <mergeCell ref="H276:I276"/>
    <mergeCell ref="H275:I275"/>
    <mergeCell ref="Q224:S224"/>
    <mergeCell ref="O224:P224"/>
    <mergeCell ref="P270:Q270"/>
    <mergeCell ref="H243:I243"/>
    <mergeCell ref="Q230:S230"/>
    <mergeCell ref="A240:G240"/>
    <mergeCell ref="R258:S258"/>
    <mergeCell ref="R256:S256"/>
    <mergeCell ref="R252:S252"/>
    <mergeCell ref="H273:I273"/>
    <mergeCell ref="H269:I269"/>
    <mergeCell ref="K292:L292"/>
    <mergeCell ref="K308:L308"/>
    <mergeCell ref="N309:R309"/>
    <mergeCell ref="S306:U306"/>
    <mergeCell ref="A309:G309"/>
    <mergeCell ref="H272:I272"/>
    <mergeCell ref="M245:O245"/>
    <mergeCell ref="H270:I270"/>
    <mergeCell ref="P267:Q267"/>
    <mergeCell ref="T257:V257"/>
    <mergeCell ref="K315:L315"/>
    <mergeCell ref="K316:L316"/>
    <mergeCell ref="N321:R321"/>
    <mergeCell ref="V319:X319"/>
    <mergeCell ref="N320:R320"/>
    <mergeCell ref="V315:X315"/>
    <mergeCell ref="A332:AD332"/>
    <mergeCell ref="A343:AD343"/>
    <mergeCell ref="A337:AD337"/>
    <mergeCell ref="V316:X316"/>
    <mergeCell ref="S317:U317"/>
    <mergeCell ref="Z317:AA317"/>
    <mergeCell ref="S315:U315"/>
    <mergeCell ref="A328:AD328"/>
    <mergeCell ref="S318:U318"/>
    <mergeCell ref="H311:J311"/>
    <mergeCell ref="K311:L311"/>
    <mergeCell ref="A335:AD335"/>
    <mergeCell ref="N307:R307"/>
    <mergeCell ref="M406:O406"/>
    <mergeCell ref="M407:P407"/>
    <mergeCell ref="R407:S407"/>
    <mergeCell ref="AB407:AD407"/>
    <mergeCell ref="AB408:AD408"/>
    <mergeCell ref="V305:X305"/>
    <mergeCell ref="N318:R318"/>
    <mergeCell ref="A382:AD382"/>
    <mergeCell ref="A383:AD383"/>
    <mergeCell ref="A377:AD377"/>
    <mergeCell ref="A395:AD395"/>
    <mergeCell ref="C406:I406"/>
    <mergeCell ref="A396:AD396"/>
    <mergeCell ref="K317:L317"/>
    <mergeCell ref="Z318:AA318"/>
    <mergeCell ref="S316:U316"/>
    <mergeCell ref="A331:AD331"/>
    <mergeCell ref="AB320:AC320"/>
    <mergeCell ref="S309:U309"/>
    <mergeCell ref="A311:G311"/>
    <mergeCell ref="H313:J313"/>
    <mergeCell ref="H315:J315"/>
    <mergeCell ref="N312:R312"/>
    <mergeCell ref="A312:G312"/>
    <mergeCell ref="N315:R315"/>
    <mergeCell ref="H314:J314"/>
    <mergeCell ref="A318:G318"/>
    <mergeCell ref="A310:G310"/>
    <mergeCell ref="A317:G317"/>
    <mergeCell ref="A324:L324"/>
    <mergeCell ref="N316:R316"/>
    <mergeCell ref="H310:J310"/>
    <mergeCell ref="A392:AD392"/>
    <mergeCell ref="A393:AD393"/>
    <mergeCell ref="P415:T415"/>
    <mergeCell ref="M415:O415"/>
    <mergeCell ref="G408:L408"/>
    <mergeCell ref="G415:I415"/>
    <mergeCell ref="A414:F414"/>
    <mergeCell ref="G414:I414"/>
    <mergeCell ref="V414:Y414"/>
    <mergeCell ref="M414:O414"/>
    <mergeCell ref="M413:O413"/>
    <mergeCell ref="A415:F415"/>
    <mergeCell ref="V415:Y415"/>
    <mergeCell ref="H317:J317"/>
    <mergeCell ref="A340:AD340"/>
    <mergeCell ref="A336:AD336"/>
    <mergeCell ref="V413:Z413"/>
    <mergeCell ref="AB412:AC412"/>
    <mergeCell ref="A344:AD344"/>
    <mergeCell ref="V320:X320"/>
    <mergeCell ref="A326:AD326"/>
    <mergeCell ref="K321:L321"/>
    <mergeCell ref="K320:L320"/>
    <mergeCell ref="Z320:AA320"/>
    <mergeCell ref="H318:J318"/>
    <mergeCell ref="A370:AD370"/>
    <mergeCell ref="A372:AD372"/>
    <mergeCell ref="A374:AD374"/>
    <mergeCell ref="A371:AD371"/>
    <mergeCell ref="A409:E409"/>
    <mergeCell ref="V406:W406"/>
    <mergeCell ref="J406:L406"/>
    <mergeCell ref="A313:G313"/>
    <mergeCell ref="A315:G315"/>
    <mergeCell ref="A316:G316"/>
    <mergeCell ref="S313:U313"/>
    <mergeCell ref="S310:U310"/>
    <mergeCell ref="H312:J312"/>
    <mergeCell ref="AB319:AC319"/>
    <mergeCell ref="J405:L405"/>
    <mergeCell ref="P432:U432"/>
    <mergeCell ref="A431:E431"/>
    <mergeCell ref="J430:L430"/>
    <mergeCell ref="M429:O429"/>
    <mergeCell ref="V421:Z421"/>
    <mergeCell ref="V424:Z424"/>
    <mergeCell ref="J420:L420"/>
    <mergeCell ref="F426:I426"/>
    <mergeCell ref="M425:O425"/>
    <mergeCell ref="A424:E424"/>
    <mergeCell ref="J429:L429"/>
    <mergeCell ref="J425:L425"/>
    <mergeCell ref="F425:I425"/>
    <mergeCell ref="A425:E425"/>
    <mergeCell ref="F428:I428"/>
    <mergeCell ref="J428:L428"/>
    <mergeCell ref="J424:L424"/>
    <mergeCell ref="M426:O426"/>
    <mergeCell ref="A426:E426"/>
    <mergeCell ref="A427:E427"/>
    <mergeCell ref="G412:I412"/>
    <mergeCell ref="A314:G314"/>
    <mergeCell ref="A394:AD394"/>
    <mergeCell ref="H434:I434"/>
    <mergeCell ref="A429:E429"/>
    <mergeCell ref="V416:Y416"/>
    <mergeCell ref="M409:U409"/>
    <mergeCell ref="R408:S408"/>
    <mergeCell ref="X405:Y405"/>
    <mergeCell ref="AA416:AB416"/>
    <mergeCell ref="J415:L415"/>
    <mergeCell ref="M422:Q422"/>
    <mergeCell ref="G417:I417"/>
    <mergeCell ref="A416:F416"/>
    <mergeCell ref="J410:L410"/>
    <mergeCell ref="AA413:AD413"/>
    <mergeCell ref="K450:O450"/>
    <mergeCell ref="F450:J450"/>
    <mergeCell ref="P449:AD449"/>
    <mergeCell ref="M408:O408"/>
    <mergeCell ref="A418:F418"/>
    <mergeCell ref="E419:F419"/>
    <mergeCell ref="A420:F420"/>
    <mergeCell ref="V418:Z418"/>
    <mergeCell ref="V430:Z430"/>
    <mergeCell ref="V417:AD417"/>
    <mergeCell ref="A417:F417"/>
    <mergeCell ref="A428:E428"/>
    <mergeCell ref="A430:E430"/>
    <mergeCell ref="F430:I430"/>
    <mergeCell ref="J431:L431"/>
    <mergeCell ref="V423:Z423"/>
    <mergeCell ref="F429:I429"/>
    <mergeCell ref="P428:U428"/>
    <mergeCell ref="V428:Z428"/>
    <mergeCell ref="J427:L427"/>
    <mergeCell ref="F427:I427"/>
    <mergeCell ref="P427:U427"/>
    <mergeCell ref="G421:I421"/>
    <mergeCell ref="V429:Z429"/>
    <mergeCell ref="V427:Z427"/>
    <mergeCell ref="V432:Z432"/>
    <mergeCell ref="R434:S434"/>
    <mergeCell ref="T437:U437"/>
    <mergeCell ref="L436:M436"/>
    <mergeCell ref="H436:I436"/>
    <mergeCell ref="F449:J449"/>
    <mergeCell ref="Z434:AD434"/>
    <mergeCell ref="P430:U430"/>
    <mergeCell ref="J426:L426"/>
    <mergeCell ref="M432:O432"/>
    <mergeCell ref="M431:O431"/>
    <mergeCell ref="V431:Z431"/>
    <mergeCell ref="T435:U435"/>
    <mergeCell ref="X442:AD442"/>
    <mergeCell ref="Z437:AD437"/>
    <mergeCell ref="S442:T442"/>
    <mergeCell ref="F431:I431"/>
    <mergeCell ref="S441:T441"/>
    <mergeCell ref="X443:AD443"/>
    <mergeCell ref="U439:W440"/>
    <mergeCell ref="H437:I437"/>
    <mergeCell ref="A439:G440"/>
    <mergeCell ref="Z435:AD435"/>
    <mergeCell ref="X434:Y434"/>
    <mergeCell ref="M430:O430"/>
    <mergeCell ref="F432:I432"/>
    <mergeCell ref="A432:E432"/>
    <mergeCell ref="R435:S435"/>
    <mergeCell ref="H439:J440"/>
    <mergeCell ref="J434:K434"/>
    <mergeCell ref="J432:L432"/>
    <mergeCell ref="P434:Q434"/>
    <mergeCell ref="T434:U434"/>
    <mergeCell ref="N434:O434"/>
    <mergeCell ref="L434:M434"/>
    <mergeCell ref="A434:G434"/>
    <mergeCell ref="N435:O435"/>
    <mergeCell ref="H442:J442"/>
    <mergeCell ref="Z436:AD436"/>
    <mergeCell ref="P445:AD445"/>
    <mergeCell ref="K451:O451"/>
    <mergeCell ref="A445:O445"/>
    <mergeCell ref="A447:E447"/>
    <mergeCell ref="P446:T446"/>
    <mergeCell ref="A437:B437"/>
    <mergeCell ref="U444:W444"/>
    <mergeCell ref="X439:AD440"/>
    <mergeCell ref="S444:T444"/>
    <mergeCell ref="A450:D450"/>
    <mergeCell ref="A451:C451"/>
    <mergeCell ref="S439:T440"/>
    <mergeCell ref="N437:O437"/>
    <mergeCell ref="V437:W437"/>
    <mergeCell ref="X437:Y437"/>
    <mergeCell ref="A436:B436"/>
    <mergeCell ref="A448:E448"/>
    <mergeCell ref="A446:E446"/>
    <mergeCell ref="F451:J451"/>
    <mergeCell ref="L435:M435"/>
    <mergeCell ref="L437:M437"/>
    <mergeCell ref="N441:O441"/>
    <mergeCell ref="N439:O440"/>
    <mergeCell ref="P451:AD451"/>
    <mergeCell ref="F446:J446"/>
    <mergeCell ref="P435:Q435"/>
    <mergeCell ref="V435:W435"/>
    <mergeCell ref="X435:Y435"/>
    <mergeCell ref="P437:Q437"/>
    <mergeCell ref="R436:S436"/>
    <mergeCell ref="P436:Q436"/>
    <mergeCell ref="C437:G437"/>
    <mergeCell ref="A442:G442"/>
    <mergeCell ref="N444:O444"/>
    <mergeCell ref="J437:K437"/>
    <mergeCell ref="N436:O436"/>
    <mergeCell ref="A438:AD438"/>
    <mergeCell ref="H435:I435"/>
    <mergeCell ref="C435:G435"/>
    <mergeCell ref="F448:J448"/>
    <mergeCell ref="T521:U521"/>
    <mergeCell ref="N521:O521"/>
    <mergeCell ref="J522:K522"/>
    <mergeCell ref="J521:K521"/>
    <mergeCell ref="L522:M522"/>
    <mergeCell ref="N522:O522"/>
    <mergeCell ref="L502:N502"/>
    <mergeCell ref="C534:E534"/>
    <mergeCell ref="C527:E527"/>
    <mergeCell ref="J523:K523"/>
    <mergeCell ref="I538:J538"/>
    <mergeCell ref="P456:AD456"/>
    <mergeCell ref="F452:J452"/>
    <mergeCell ref="A449:D449"/>
    <mergeCell ref="V436:W436"/>
    <mergeCell ref="X441:AD441"/>
    <mergeCell ref="P454:AD454"/>
    <mergeCell ref="K449:O449"/>
    <mergeCell ref="A456:E456"/>
    <mergeCell ref="U442:W442"/>
    <mergeCell ref="X436:Y436"/>
    <mergeCell ref="A463:J463"/>
    <mergeCell ref="P468:R468"/>
    <mergeCell ref="H465:J465"/>
    <mergeCell ref="A452:D452"/>
    <mergeCell ref="A453:D453"/>
    <mergeCell ref="K457:O457"/>
    <mergeCell ref="F453:J453"/>
    <mergeCell ref="P452:AD452"/>
    <mergeCell ref="D466:F466"/>
    <mergeCell ref="A459:E459"/>
    <mergeCell ref="F459:J459"/>
    <mergeCell ref="T478:V478"/>
    <mergeCell ref="R477:S477"/>
    <mergeCell ref="L482:M482"/>
    <mergeCell ref="L481:M481"/>
    <mergeCell ref="N482:O482"/>
    <mergeCell ref="P488:Q488"/>
    <mergeCell ref="L488:N488"/>
    <mergeCell ref="L487:N487"/>
    <mergeCell ref="L486:N486"/>
    <mergeCell ref="I487:K487"/>
    <mergeCell ref="R484:S484"/>
    <mergeCell ref="U546:Y546"/>
    <mergeCell ref="V523:W523"/>
    <mergeCell ref="T522:U522"/>
    <mergeCell ref="L523:M523"/>
    <mergeCell ref="N523:O523"/>
    <mergeCell ref="T523:U523"/>
    <mergeCell ref="P523:Q523"/>
    <mergeCell ref="V522:W522"/>
    <mergeCell ref="R523:S523"/>
    <mergeCell ref="P522:Q522"/>
    <mergeCell ref="H501:I501"/>
    <mergeCell ref="N506:P506"/>
    <mergeCell ref="V520:W520"/>
    <mergeCell ref="G538:H538"/>
    <mergeCell ref="U501:W501"/>
    <mergeCell ref="O501:P501"/>
    <mergeCell ref="L501:N501"/>
    <mergeCell ref="Q501:R501"/>
    <mergeCell ref="S501:T501"/>
    <mergeCell ref="E506:G506"/>
    <mergeCell ref="F501:G501"/>
    <mergeCell ref="X498:Y498"/>
    <mergeCell ref="P486:T486"/>
    <mergeCell ref="J482:K482"/>
    <mergeCell ref="I488:K488"/>
    <mergeCell ref="Z482:AA482"/>
    <mergeCell ref="F499:G499"/>
    <mergeCell ref="AB498:AD498"/>
    <mergeCell ref="J497:K497"/>
    <mergeCell ref="J498:K498"/>
    <mergeCell ref="H498:I498"/>
    <mergeCell ref="L498:N498"/>
    <mergeCell ref="L497:N497"/>
    <mergeCell ref="P481:Q481"/>
    <mergeCell ref="L477:M477"/>
    <mergeCell ref="L474:N474"/>
    <mergeCell ref="T477:V477"/>
    <mergeCell ref="H478:I478"/>
    <mergeCell ref="J494:P494"/>
    <mergeCell ref="A494:I494"/>
    <mergeCell ref="L489:N489"/>
    <mergeCell ref="E487:G487"/>
    <mergeCell ref="A486:D486"/>
    <mergeCell ref="H481:I481"/>
    <mergeCell ref="J477:K477"/>
    <mergeCell ref="P478:Q478"/>
    <mergeCell ref="F484:G484"/>
    <mergeCell ref="F483:G483"/>
    <mergeCell ref="A483:E483"/>
    <mergeCell ref="J484:K484"/>
    <mergeCell ref="H483:I483"/>
    <mergeCell ref="J483:K483"/>
    <mergeCell ref="N477:O477"/>
    <mergeCell ref="A501:B501"/>
    <mergeCell ref="C497:E497"/>
    <mergeCell ref="P489:Q489"/>
    <mergeCell ref="P490:Q490"/>
    <mergeCell ref="A488:D488"/>
    <mergeCell ref="H482:I482"/>
    <mergeCell ref="A495:I495"/>
    <mergeCell ref="G464:G465"/>
    <mergeCell ref="A457:E457"/>
    <mergeCell ref="E489:G489"/>
    <mergeCell ref="A458:E458"/>
    <mergeCell ref="I486:K486"/>
    <mergeCell ref="A481:E481"/>
    <mergeCell ref="H473:J473"/>
    <mergeCell ref="H472:J472"/>
    <mergeCell ref="F482:G482"/>
    <mergeCell ref="A480:E480"/>
    <mergeCell ref="H466:J466"/>
    <mergeCell ref="A471:B471"/>
    <mergeCell ref="A477:E477"/>
    <mergeCell ref="A473:B473"/>
    <mergeCell ref="D471:F471"/>
    <mergeCell ref="A474:B474"/>
    <mergeCell ref="L467:N467"/>
    <mergeCell ref="D474:F474"/>
    <mergeCell ref="L469:N469"/>
    <mergeCell ref="L470:N470"/>
    <mergeCell ref="L473:N473"/>
    <mergeCell ref="D467:F467"/>
    <mergeCell ref="H467:J467"/>
    <mergeCell ref="L468:N468"/>
    <mergeCell ref="K459:O459"/>
    <mergeCell ref="X475:Z475"/>
    <mergeCell ref="T475:V475"/>
    <mergeCell ref="A475:B475"/>
    <mergeCell ref="R480:S480"/>
    <mergeCell ref="N479:O479"/>
    <mergeCell ref="F478:G478"/>
    <mergeCell ref="N478:O478"/>
    <mergeCell ref="N480:O480"/>
    <mergeCell ref="L480:M480"/>
    <mergeCell ref="R481:S481"/>
    <mergeCell ref="A478:E478"/>
    <mergeCell ref="H477:I477"/>
    <mergeCell ref="P479:Q479"/>
    <mergeCell ref="H499:I499"/>
    <mergeCell ref="W489:Y489"/>
    <mergeCell ref="N481:O481"/>
    <mergeCell ref="I489:K489"/>
    <mergeCell ref="L484:M484"/>
    <mergeCell ref="L499:N499"/>
    <mergeCell ref="A482:E482"/>
    <mergeCell ref="F481:G481"/>
    <mergeCell ref="C499:E499"/>
    <mergeCell ref="A491:D491"/>
    <mergeCell ref="F496:G497"/>
    <mergeCell ref="A496:B496"/>
    <mergeCell ref="C496:E496"/>
    <mergeCell ref="J499:K499"/>
    <mergeCell ref="O499:P499"/>
    <mergeCell ref="T483:V483"/>
    <mergeCell ref="X494:AD494"/>
    <mergeCell ref="AB496:AD497"/>
    <mergeCell ref="Q498:R498"/>
    <mergeCell ref="D470:F470"/>
    <mergeCell ref="D468:F468"/>
    <mergeCell ref="H468:J468"/>
    <mergeCell ref="F500:G500"/>
    <mergeCell ref="L500:N500"/>
    <mergeCell ref="J500:K500"/>
    <mergeCell ref="D475:F475"/>
    <mergeCell ref="E491:G491"/>
    <mergeCell ref="F498:G498"/>
    <mergeCell ref="A489:D489"/>
    <mergeCell ref="E486:G486"/>
    <mergeCell ref="A484:E484"/>
    <mergeCell ref="H484:I484"/>
    <mergeCell ref="L479:M479"/>
    <mergeCell ref="L478:M478"/>
    <mergeCell ref="L483:M483"/>
    <mergeCell ref="N483:O483"/>
    <mergeCell ref="A487:D487"/>
    <mergeCell ref="H475:J475"/>
    <mergeCell ref="L475:N475"/>
    <mergeCell ref="P467:R467"/>
    <mergeCell ref="C464:C465"/>
    <mergeCell ref="A467:B467"/>
    <mergeCell ref="W477:AD478"/>
    <mergeCell ref="A479:E479"/>
    <mergeCell ref="F480:G480"/>
    <mergeCell ref="L472:N472"/>
    <mergeCell ref="A468:B468"/>
    <mergeCell ref="X474:Z474"/>
    <mergeCell ref="H479:I479"/>
    <mergeCell ref="J478:K478"/>
    <mergeCell ref="H471:J471"/>
    <mergeCell ref="H474:J474"/>
    <mergeCell ref="P480:Q480"/>
    <mergeCell ref="Z481:AA481"/>
    <mergeCell ref="P474:R474"/>
    <mergeCell ref="W479:Y480"/>
    <mergeCell ref="Z480:AA480"/>
    <mergeCell ref="J480:K480"/>
    <mergeCell ref="H480:I480"/>
    <mergeCell ref="J481:K481"/>
    <mergeCell ref="X473:Z473"/>
    <mergeCell ref="W481:Y481"/>
    <mergeCell ref="T471:V471"/>
    <mergeCell ref="P469:R469"/>
    <mergeCell ref="P470:R470"/>
    <mergeCell ref="P471:R471"/>
    <mergeCell ref="A470:B470"/>
    <mergeCell ref="L471:N471"/>
    <mergeCell ref="D472:F472"/>
    <mergeCell ref="AB472:AC472"/>
    <mergeCell ref="X471:Z471"/>
    <mergeCell ref="F457:J457"/>
    <mergeCell ref="K454:O454"/>
    <mergeCell ref="F458:J458"/>
    <mergeCell ref="K453:O453"/>
    <mergeCell ref="F454:J454"/>
    <mergeCell ref="F455:J455"/>
    <mergeCell ref="H444:J444"/>
    <mergeCell ref="K452:O452"/>
    <mergeCell ref="L466:N466"/>
    <mergeCell ref="P455:AD455"/>
    <mergeCell ref="P453:AD453"/>
    <mergeCell ref="O464:O465"/>
    <mergeCell ref="P459:AD459"/>
    <mergeCell ref="A461:AD462"/>
    <mergeCell ref="A464:B465"/>
    <mergeCell ref="D465:F465"/>
    <mergeCell ref="U463:AD463"/>
    <mergeCell ref="A455:E455"/>
    <mergeCell ref="A454:D454"/>
    <mergeCell ref="P457:AD457"/>
    <mergeCell ref="A466:B466"/>
    <mergeCell ref="K458:O458"/>
    <mergeCell ref="L465:N465"/>
    <mergeCell ref="P458:AD458"/>
    <mergeCell ref="P464:R464"/>
    <mergeCell ref="P465:R465"/>
    <mergeCell ref="V405:W405"/>
    <mergeCell ref="P426:U426"/>
    <mergeCell ref="R406:S406"/>
    <mergeCell ref="M405:Q405"/>
    <mergeCell ref="Z408:AA408"/>
    <mergeCell ref="T406:U406"/>
    <mergeCell ref="G410:I410"/>
    <mergeCell ref="A385:AD385"/>
    <mergeCell ref="AB321:AC321"/>
    <mergeCell ref="Z321:AA321"/>
    <mergeCell ref="D473:F473"/>
    <mergeCell ref="AB480:AD480"/>
    <mergeCell ref="AB475:AC475"/>
    <mergeCell ref="K464:K465"/>
    <mergeCell ref="D464:F464"/>
    <mergeCell ref="K455:O455"/>
    <mergeCell ref="K456:O456"/>
    <mergeCell ref="X444:AD444"/>
    <mergeCell ref="A444:G444"/>
    <mergeCell ref="K444:M444"/>
    <mergeCell ref="P444:R444"/>
    <mergeCell ref="A469:B469"/>
    <mergeCell ref="A472:B472"/>
    <mergeCell ref="F479:G479"/>
    <mergeCell ref="P477:Q477"/>
    <mergeCell ref="J479:K479"/>
    <mergeCell ref="R479:S479"/>
    <mergeCell ref="R478:S478"/>
    <mergeCell ref="H470:J470"/>
    <mergeCell ref="D469:F469"/>
    <mergeCell ref="H469:J469"/>
    <mergeCell ref="F477:G477"/>
    <mergeCell ref="K314:L314"/>
    <mergeCell ref="K318:L318"/>
    <mergeCell ref="K310:L310"/>
    <mergeCell ref="H266:I266"/>
    <mergeCell ref="N304:R304"/>
    <mergeCell ref="P265:Q265"/>
    <mergeCell ref="T266:V266"/>
    <mergeCell ref="Z269:AD269"/>
    <mergeCell ref="T436:U436"/>
    <mergeCell ref="V321:X321"/>
    <mergeCell ref="A421:F421"/>
    <mergeCell ref="M417:Q417"/>
    <mergeCell ref="J417:L417"/>
    <mergeCell ref="J412:L412"/>
    <mergeCell ref="V407:W407"/>
    <mergeCell ref="X407:Y407"/>
    <mergeCell ref="J407:L407"/>
    <mergeCell ref="T405:U405"/>
    <mergeCell ref="R405:S405"/>
    <mergeCell ref="A386:AD386"/>
    <mergeCell ref="S418:U418"/>
    <mergeCell ref="G419:I419"/>
    <mergeCell ref="A419:D419"/>
    <mergeCell ref="V426:Z426"/>
    <mergeCell ref="C436:G436"/>
    <mergeCell ref="J436:K436"/>
    <mergeCell ref="V434:W434"/>
    <mergeCell ref="A435:B435"/>
    <mergeCell ref="N317:R317"/>
    <mergeCell ref="S319:U319"/>
    <mergeCell ref="V317:X317"/>
    <mergeCell ref="H320:J320"/>
    <mergeCell ref="AB312:AC312"/>
    <mergeCell ref="H295:J295"/>
    <mergeCell ref="K319:L319"/>
    <mergeCell ref="N319:R319"/>
    <mergeCell ref="H319:J319"/>
    <mergeCell ref="Z319:AA319"/>
    <mergeCell ref="AB317:AC317"/>
    <mergeCell ref="K313:L313"/>
    <mergeCell ref="AB313:AC313"/>
    <mergeCell ref="Z314:AA314"/>
    <mergeCell ref="N308:R308"/>
    <mergeCell ref="N305:R305"/>
    <mergeCell ref="N306:R306"/>
    <mergeCell ref="S305:U305"/>
    <mergeCell ref="H264:I264"/>
    <mergeCell ref="AA97:AC97"/>
    <mergeCell ref="AA99:AC99"/>
    <mergeCell ref="W177:Y177"/>
    <mergeCell ref="V133:W133"/>
    <mergeCell ref="Z134:AA134"/>
    <mergeCell ref="T139:U139"/>
    <mergeCell ref="Z136:AA136"/>
    <mergeCell ref="V129:W129"/>
    <mergeCell ref="W171:Y171"/>
    <mergeCell ref="W156:Y156"/>
    <mergeCell ref="R169:S169"/>
    <mergeCell ref="T165:V165"/>
    <mergeCell ref="Q130:R130"/>
    <mergeCell ref="V134:W134"/>
    <mergeCell ref="S136:U136"/>
    <mergeCell ref="Z140:AD140"/>
    <mergeCell ref="Z142:AD142"/>
    <mergeCell ref="N216:O216"/>
    <mergeCell ref="L219:M219"/>
    <mergeCell ref="P220:Q220"/>
    <mergeCell ref="L230:N230"/>
    <mergeCell ref="T96:U96"/>
    <mergeCell ref="T94:U94"/>
    <mergeCell ref="T98:U98"/>
    <mergeCell ref="S131:U131"/>
    <mergeCell ref="T170:V170"/>
    <mergeCell ref="T95:U95"/>
    <mergeCell ref="V109:X109"/>
    <mergeCell ref="L220:M220"/>
    <mergeCell ref="L211:M211"/>
    <mergeCell ref="L228:N228"/>
    <mergeCell ref="O227:P227"/>
    <mergeCell ref="R209:S209"/>
    <mergeCell ref="P207:Q207"/>
    <mergeCell ref="P211:Q211"/>
    <mergeCell ref="R212:S212"/>
    <mergeCell ref="R216:S216"/>
    <mergeCell ref="L216:M216"/>
    <mergeCell ref="R205:S205"/>
    <mergeCell ref="N209:O209"/>
    <mergeCell ref="N206:O206"/>
    <mergeCell ref="Q225:S225"/>
    <mergeCell ref="V225:W225"/>
    <mergeCell ref="L229:N229"/>
    <mergeCell ref="L226:N226"/>
    <mergeCell ref="L212:M212"/>
    <mergeCell ref="L224:N224"/>
    <mergeCell ref="T229:U229"/>
    <mergeCell ref="W185:Y185"/>
    <mergeCell ref="E236:G236"/>
    <mergeCell ref="A232:I232"/>
    <mergeCell ref="H234:K234"/>
    <mergeCell ref="H233:K233"/>
    <mergeCell ref="J232:K232"/>
    <mergeCell ref="J229:K229"/>
    <mergeCell ref="J225:K225"/>
    <mergeCell ref="A225:I225"/>
    <mergeCell ref="L235:O235"/>
    <mergeCell ref="T225:U225"/>
    <mergeCell ref="T242:V242"/>
    <mergeCell ref="P233:R233"/>
    <mergeCell ref="P235:R235"/>
    <mergeCell ref="T240:V240"/>
    <mergeCell ref="X237:AD237"/>
    <mergeCell ref="M251:O251"/>
    <mergeCell ref="L234:O234"/>
    <mergeCell ref="L233:O233"/>
    <mergeCell ref="S234:W234"/>
    <mergeCell ref="P234:R234"/>
    <mergeCell ref="L232:N232"/>
    <mergeCell ref="A242:G242"/>
    <mergeCell ref="R240:S240"/>
    <mergeCell ref="P242:Q242"/>
    <mergeCell ref="R242:S242"/>
    <mergeCell ref="T230:U230"/>
    <mergeCell ref="Q228:S228"/>
    <mergeCell ref="S236:W236"/>
    <mergeCell ref="S235:W235"/>
    <mergeCell ref="L231:N231"/>
    <mergeCell ref="J230:K230"/>
    <mergeCell ref="T228:U228"/>
    <mergeCell ref="S307:U307"/>
    <mergeCell ref="Q232:S232"/>
    <mergeCell ref="P244:Q244"/>
    <mergeCell ref="J239:L239"/>
    <mergeCell ref="A268:G268"/>
    <mergeCell ref="J267:L267"/>
    <mergeCell ref="A257:G257"/>
    <mergeCell ref="A260:G260"/>
    <mergeCell ref="P245:Q245"/>
    <mergeCell ref="M248:O248"/>
    <mergeCell ref="J252:L252"/>
    <mergeCell ref="P218:Q218"/>
    <mergeCell ref="J224:K224"/>
    <mergeCell ref="K286:T286"/>
    <mergeCell ref="Z302:AB302"/>
    <mergeCell ref="V294:X294"/>
    <mergeCell ref="R283:S283"/>
    <mergeCell ref="P283:Q283"/>
    <mergeCell ref="J283:L283"/>
    <mergeCell ref="M280:O280"/>
    <mergeCell ref="A251:G251"/>
    <mergeCell ref="A259:G259"/>
    <mergeCell ref="E237:G237"/>
    <mergeCell ref="A237:D237"/>
    <mergeCell ref="L237:O237"/>
    <mergeCell ref="H237:K237"/>
    <mergeCell ref="A235:D235"/>
    <mergeCell ref="E235:G235"/>
    <mergeCell ref="H235:K235"/>
    <mergeCell ref="H236:K236"/>
    <mergeCell ref="H245:I245"/>
    <mergeCell ref="P261:Q261"/>
    <mergeCell ref="S304:U304"/>
    <mergeCell ref="Z267:AD267"/>
    <mergeCell ref="M240:O240"/>
    <mergeCell ref="P236:R236"/>
    <mergeCell ref="A241:G241"/>
    <mergeCell ref="P243:Q243"/>
    <mergeCell ref="J243:L243"/>
    <mergeCell ref="H250:I250"/>
    <mergeCell ref="H251:I251"/>
    <mergeCell ref="A243:G243"/>
    <mergeCell ref="A244:G244"/>
    <mergeCell ref="A247:G247"/>
    <mergeCell ref="A249:G249"/>
    <mergeCell ref="K309:L309"/>
    <mergeCell ref="W263:Y263"/>
    <mergeCell ref="V308:X308"/>
    <mergeCell ref="S308:U308"/>
    <mergeCell ref="H305:J305"/>
    <mergeCell ref="K307:L307"/>
    <mergeCell ref="H306:J306"/>
    <mergeCell ref="H308:J308"/>
    <mergeCell ref="Z309:AA309"/>
    <mergeCell ref="V301:X301"/>
    <mergeCell ref="H307:J307"/>
    <mergeCell ref="Z268:AD268"/>
    <mergeCell ref="W283:Y283"/>
    <mergeCell ref="U288:AD288"/>
    <mergeCell ref="AB307:AC307"/>
    <mergeCell ref="V292:X292"/>
    <mergeCell ref="N291:U291"/>
    <mergeCell ref="Z297:AB297"/>
    <mergeCell ref="K305:L305"/>
    <mergeCell ref="V312:X312"/>
    <mergeCell ref="H304:J304"/>
    <mergeCell ref="K304:L304"/>
    <mergeCell ref="N292:R292"/>
    <mergeCell ref="J278:L278"/>
    <mergeCell ref="J274:L274"/>
    <mergeCell ref="Z306:AB306"/>
    <mergeCell ref="V306:X306"/>
    <mergeCell ref="Z292:AB292"/>
    <mergeCell ref="Z283:AD283"/>
    <mergeCell ref="Z308:AA308"/>
    <mergeCell ref="AB308:AC308"/>
    <mergeCell ref="Z280:AD280"/>
    <mergeCell ref="Z313:AA313"/>
    <mergeCell ref="AB318:AC318"/>
    <mergeCell ref="V304:X304"/>
    <mergeCell ref="H279:I279"/>
    <mergeCell ref="W280:Y280"/>
    <mergeCell ref="S298:U298"/>
    <mergeCell ref="N298:R298"/>
    <mergeCell ref="N295:R295"/>
    <mergeCell ref="V299:X299"/>
    <mergeCell ref="V297:X297"/>
    <mergeCell ref="R282:S282"/>
    <mergeCell ref="M282:O282"/>
    <mergeCell ref="H309:J309"/>
    <mergeCell ref="N303:R303"/>
    <mergeCell ref="V307:X307"/>
    <mergeCell ref="V300:X300"/>
    <mergeCell ref="K295:L295"/>
    <mergeCell ref="S295:U295"/>
    <mergeCell ref="P282:Q282"/>
    <mergeCell ref="X226:Y226"/>
    <mergeCell ref="V309:X309"/>
    <mergeCell ref="K303:L303"/>
    <mergeCell ref="K312:L312"/>
    <mergeCell ref="K300:L300"/>
    <mergeCell ref="N293:R293"/>
    <mergeCell ref="K301:L301"/>
    <mergeCell ref="Z281:AD281"/>
    <mergeCell ref="W281:Y281"/>
    <mergeCell ref="S301:U301"/>
    <mergeCell ref="V318:X318"/>
    <mergeCell ref="AB309:AC309"/>
    <mergeCell ref="AB310:AC310"/>
    <mergeCell ref="Z310:AA310"/>
    <mergeCell ref="V303:X303"/>
    <mergeCell ref="V295:X295"/>
    <mergeCell ref="Z312:AA312"/>
    <mergeCell ref="V313:X313"/>
    <mergeCell ref="V314:X314"/>
    <mergeCell ref="Z303:AB303"/>
    <mergeCell ref="R281:S281"/>
    <mergeCell ref="N313:R313"/>
    <mergeCell ref="N314:R314"/>
    <mergeCell ref="S303:U303"/>
    <mergeCell ref="K298:L298"/>
    <mergeCell ref="N300:R300"/>
    <mergeCell ref="N301:R301"/>
    <mergeCell ref="V298:X298"/>
    <mergeCell ref="N299:R299"/>
    <mergeCell ref="U287:AD287"/>
    <mergeCell ref="Z282:AD282"/>
    <mergeCell ref="T281:V281"/>
    <mergeCell ref="AV235:AW235"/>
    <mergeCell ref="N311:R311"/>
    <mergeCell ref="S312:U312"/>
    <mergeCell ref="V310:X310"/>
    <mergeCell ref="N310:R310"/>
    <mergeCell ref="S314:U314"/>
    <mergeCell ref="Z304:AB304"/>
    <mergeCell ref="AB311:AC311"/>
    <mergeCell ref="V311:X311"/>
    <mergeCell ref="S311:U311"/>
    <mergeCell ref="S302:U302"/>
    <mergeCell ref="Z305:AB305"/>
    <mergeCell ref="U290:AD290"/>
    <mergeCell ref="Z307:AA307"/>
    <mergeCell ref="AV224:AW224"/>
    <mergeCell ref="AN228:AO228"/>
    <mergeCell ref="AS229:AU229"/>
    <mergeCell ref="AN231:AO231"/>
    <mergeCell ref="AP231:AR231"/>
    <mergeCell ref="AS231:AU231"/>
    <mergeCell ref="AN229:AO229"/>
    <mergeCell ref="AP229:AR229"/>
    <mergeCell ref="AS230:AU230"/>
    <mergeCell ref="AG228:AM228"/>
    <mergeCell ref="AG231:AM231"/>
    <mergeCell ref="Z231:AB231"/>
    <mergeCell ref="X233:AD233"/>
    <mergeCell ref="Z229:AD229"/>
    <mergeCell ref="AG229:AM229"/>
    <mergeCell ref="X229:Y229"/>
    <mergeCell ref="X228:Y228"/>
    <mergeCell ref="X230:Y230"/>
    <mergeCell ref="Z254:AD254"/>
    <mergeCell ref="Z246:AD246"/>
    <mergeCell ref="X236:AD236"/>
    <mergeCell ref="Z256:AD256"/>
    <mergeCell ref="Z259:AD259"/>
    <mergeCell ref="AG266:AM266"/>
    <mergeCell ref="X234:AD234"/>
    <mergeCell ref="Z261:AD261"/>
    <mergeCell ref="Z260:AD260"/>
    <mergeCell ref="Z257:AD257"/>
    <mergeCell ref="W265:Y265"/>
    <mergeCell ref="W266:Y266"/>
    <mergeCell ref="W258:Y258"/>
    <mergeCell ref="W257:Y257"/>
    <mergeCell ref="Z262:AD262"/>
    <mergeCell ref="W239:Y239"/>
    <mergeCell ref="Z266:AD266"/>
    <mergeCell ref="AG236:AM236"/>
    <mergeCell ref="Z249:AD249"/>
    <mergeCell ref="Z258:AD258"/>
    <mergeCell ref="Z265:AD265"/>
    <mergeCell ref="AG238:AM238"/>
    <mergeCell ref="AN234:AO234"/>
    <mergeCell ref="AP234:AR234"/>
    <mergeCell ref="Z241:AD241"/>
    <mergeCell ref="AN230:AO230"/>
    <mergeCell ref="AX211:AY211"/>
    <mergeCell ref="X227:Y227"/>
    <mergeCell ref="AP236:AR236"/>
    <mergeCell ref="BC227:BE227"/>
    <mergeCell ref="AG227:AM227"/>
    <mergeCell ref="AP224:AR224"/>
    <mergeCell ref="AS224:AU224"/>
    <mergeCell ref="W196:Y196"/>
    <mergeCell ref="AR202:AS202"/>
    <mergeCell ref="AZ205:BB205"/>
    <mergeCell ref="BC205:BE205"/>
    <mergeCell ref="AR203:AS203"/>
    <mergeCell ref="AT203:AU203"/>
    <mergeCell ref="AR207:AS207"/>
    <mergeCell ref="AT207:AU207"/>
    <mergeCell ref="AR212:AS212"/>
    <mergeCell ref="AR216:AS216"/>
    <mergeCell ref="X231:Y231"/>
    <mergeCell ref="AG232:AM232"/>
    <mergeCell ref="AG233:AM233"/>
    <mergeCell ref="AN233:AO233"/>
    <mergeCell ref="AN232:AO232"/>
    <mergeCell ref="AV227:AW227"/>
    <mergeCell ref="AN241:AO241"/>
    <mergeCell ref="AP239:AR239"/>
    <mergeCell ref="AS233:AU233"/>
    <mergeCell ref="AV233:AW233"/>
    <mergeCell ref="AP241:AR241"/>
    <mergeCell ref="AX233:AY233"/>
    <mergeCell ref="AZ233:BB233"/>
    <mergeCell ref="BC186:BE186"/>
    <mergeCell ref="AZ186:BB186"/>
    <mergeCell ref="AX186:AY186"/>
    <mergeCell ref="AX187:AY187"/>
    <mergeCell ref="AZ194:BB194"/>
    <mergeCell ref="BC194:BE194"/>
    <mergeCell ref="AX195:AY195"/>
    <mergeCell ref="AZ198:BB198"/>
    <mergeCell ref="BC198:BE198"/>
    <mergeCell ref="AZ202:BB202"/>
    <mergeCell ref="BC202:BE202"/>
    <mergeCell ref="AZ224:BB224"/>
    <mergeCell ref="AX225:AY225"/>
    <mergeCell ref="AZ225:BB225"/>
    <mergeCell ref="AX219:AY219"/>
    <mergeCell ref="AX212:AY212"/>
    <mergeCell ref="AX199:AY199"/>
    <mergeCell ref="AX196:AY196"/>
    <mergeCell ref="BC208:BE208"/>
    <mergeCell ref="BF194:BJ194"/>
    <mergeCell ref="Z263:AD263"/>
    <mergeCell ref="AP225:AR225"/>
    <mergeCell ref="AP233:AR233"/>
    <mergeCell ref="BC226:BE226"/>
    <mergeCell ref="AG223:BJ223"/>
    <mergeCell ref="AN224:AO224"/>
    <mergeCell ref="AR221:AS221"/>
    <mergeCell ref="AX224:AY224"/>
    <mergeCell ref="BF186:BJ186"/>
    <mergeCell ref="BC191:BE191"/>
    <mergeCell ref="Z193:AD193"/>
    <mergeCell ref="Z192:AD192"/>
    <mergeCell ref="Z191:AD191"/>
    <mergeCell ref="Z194:AD194"/>
    <mergeCell ref="AX232:AY232"/>
    <mergeCell ref="AZ232:BB232"/>
    <mergeCell ref="BC232:BE232"/>
    <mergeCell ref="Z195:AD195"/>
    <mergeCell ref="AG230:AM230"/>
    <mergeCell ref="BF195:BJ195"/>
    <mergeCell ref="AV196:AW196"/>
    <mergeCell ref="AT186:AU186"/>
    <mergeCell ref="AR187:AS187"/>
    <mergeCell ref="AT187:AU187"/>
    <mergeCell ref="AR197:AS197"/>
    <mergeCell ref="AZ196:BB196"/>
    <mergeCell ref="BC196:BE196"/>
    <mergeCell ref="BF196:BJ196"/>
    <mergeCell ref="AZ195:BB195"/>
    <mergeCell ref="BC195:BE195"/>
    <mergeCell ref="AV195:AW195"/>
    <mergeCell ref="BF188:BJ188"/>
    <mergeCell ref="AZ190:BB190"/>
    <mergeCell ref="AR189:AS189"/>
    <mergeCell ref="BC190:BE190"/>
    <mergeCell ref="BF190:BJ190"/>
    <mergeCell ref="AR190:AS190"/>
    <mergeCell ref="AT190:AU190"/>
    <mergeCell ref="AV190:AW190"/>
    <mergeCell ref="AX190:AY190"/>
    <mergeCell ref="AX189:AY189"/>
    <mergeCell ref="AT192:AU192"/>
    <mergeCell ref="AV192:AW192"/>
    <mergeCell ref="AR191:AS191"/>
    <mergeCell ref="AT191:AU191"/>
    <mergeCell ref="AZ192:BB192"/>
    <mergeCell ref="BC192:BE192"/>
    <mergeCell ref="BF192:BJ192"/>
    <mergeCell ref="BC189:BE189"/>
    <mergeCell ref="AV188:AW188"/>
    <mergeCell ref="BF189:BJ189"/>
    <mergeCell ref="AV189:AW189"/>
    <mergeCell ref="AT188:AU188"/>
    <mergeCell ref="AX191:AY191"/>
    <mergeCell ref="AR192:AS192"/>
    <mergeCell ref="AT189:AU189"/>
    <mergeCell ref="BF205:BJ205"/>
    <mergeCell ref="BF198:BJ198"/>
    <mergeCell ref="AZ199:BB199"/>
    <mergeCell ref="BC199:BE199"/>
    <mergeCell ref="AR201:AS201"/>
    <mergeCell ref="AT201:AU201"/>
    <mergeCell ref="AV201:AW201"/>
    <mergeCell ref="AX201:AY201"/>
    <mergeCell ref="AZ201:BB201"/>
    <mergeCell ref="BC201:BE201"/>
    <mergeCell ref="AR199:AS199"/>
    <mergeCell ref="AT199:AU199"/>
    <mergeCell ref="BF199:BJ199"/>
    <mergeCell ref="AR200:AS200"/>
    <mergeCell ref="AT200:AU200"/>
    <mergeCell ref="AZ200:BB200"/>
    <mergeCell ref="BC200:BE200"/>
    <mergeCell ref="BF200:BJ200"/>
    <mergeCell ref="AX205:AY205"/>
    <mergeCell ref="AV198:AW198"/>
    <mergeCell ref="AX198:AY198"/>
    <mergeCell ref="AV199:AW199"/>
    <mergeCell ref="AR198:AS198"/>
    <mergeCell ref="BG75:BI75"/>
    <mergeCell ref="BE76:BF76"/>
    <mergeCell ref="BB109:BD109"/>
    <mergeCell ref="BG81:BI81"/>
    <mergeCell ref="BG82:BI82"/>
    <mergeCell ref="BG83:BI83"/>
    <mergeCell ref="BF214:BJ214"/>
    <mergeCell ref="BF211:BJ211"/>
    <mergeCell ref="AZ212:BB212"/>
    <mergeCell ref="BC212:BE212"/>
    <mergeCell ref="BF212:BJ212"/>
    <mergeCell ref="AZ214:BB214"/>
    <mergeCell ref="BC214:BE214"/>
    <mergeCell ref="AZ215:BB215"/>
    <mergeCell ref="BC215:BE215"/>
    <mergeCell ref="BF201:BJ201"/>
    <mergeCell ref="AZ197:BB197"/>
    <mergeCell ref="BC197:BE197"/>
    <mergeCell ref="BF197:BJ197"/>
    <mergeCell ref="BF191:BJ191"/>
    <mergeCell ref="BG106:BI106"/>
    <mergeCell ref="BB106:BD106"/>
    <mergeCell ref="AZ106:BA106"/>
    <mergeCell ref="BC180:BE180"/>
    <mergeCell ref="BF180:BJ180"/>
    <mergeCell ref="AZ180:BB180"/>
    <mergeCell ref="BC176:BE176"/>
    <mergeCell ref="AZ210:BB210"/>
    <mergeCell ref="BC210:BE210"/>
    <mergeCell ref="AZ213:BB213"/>
    <mergeCell ref="BC213:BE213"/>
    <mergeCell ref="AZ206:BB206"/>
    <mergeCell ref="BE72:BF72"/>
    <mergeCell ref="AW72:AY72"/>
    <mergeCell ref="AZ72:BA72"/>
    <mergeCell ref="BE75:BF75"/>
    <mergeCell ref="AW69:AY69"/>
    <mergeCell ref="AW73:AY73"/>
    <mergeCell ref="AX216:AY216"/>
    <mergeCell ref="BF217:BJ217"/>
    <mergeCell ref="BG65:BI65"/>
    <mergeCell ref="BB66:BD66"/>
    <mergeCell ref="BE66:BF66"/>
    <mergeCell ref="AZ217:BB217"/>
    <mergeCell ref="BC217:BE217"/>
    <mergeCell ref="AZ216:BB216"/>
    <mergeCell ref="BC216:BE216"/>
    <mergeCell ref="BF213:BJ213"/>
    <mergeCell ref="BB65:BD65"/>
    <mergeCell ref="BE65:BF65"/>
    <mergeCell ref="BF215:BJ215"/>
    <mergeCell ref="BF216:BJ216"/>
    <mergeCell ref="AV214:AW214"/>
    <mergeCell ref="AX214:AY214"/>
    <mergeCell ref="AV215:AW215"/>
    <mergeCell ref="AX215:AY215"/>
    <mergeCell ref="AV197:AW197"/>
    <mergeCell ref="AX197:AY197"/>
    <mergeCell ref="AV193:AW193"/>
    <mergeCell ref="AX193:AY193"/>
    <mergeCell ref="AX192:AY192"/>
    <mergeCell ref="BG66:BI66"/>
    <mergeCell ref="BF193:BJ193"/>
    <mergeCell ref="AV194:AW194"/>
    <mergeCell ref="BE67:BF67"/>
    <mergeCell ref="BG67:BI67"/>
    <mergeCell ref="BB68:BD68"/>
    <mergeCell ref="BE68:BF68"/>
    <mergeCell ref="AZ68:BA68"/>
    <mergeCell ref="AZ69:BA69"/>
    <mergeCell ref="AW68:AY68"/>
    <mergeCell ref="BE69:BF69"/>
    <mergeCell ref="BG69:BI69"/>
    <mergeCell ref="AW70:AY70"/>
    <mergeCell ref="AZ70:BA70"/>
    <mergeCell ref="BB70:BD70"/>
    <mergeCell ref="BE70:BF70"/>
    <mergeCell ref="BG70:BI70"/>
    <mergeCell ref="BB69:BD69"/>
    <mergeCell ref="AS96:AT96"/>
    <mergeCell ref="BB73:BD73"/>
    <mergeCell ref="BE73:BF73"/>
    <mergeCell ref="AS77:AT77"/>
    <mergeCell ref="AU76:AV76"/>
    <mergeCell ref="BB76:BD76"/>
    <mergeCell ref="AW79:AY79"/>
    <mergeCell ref="AS78:AT78"/>
    <mergeCell ref="AU78:AV78"/>
    <mergeCell ref="AW78:AY78"/>
    <mergeCell ref="AZ76:BA76"/>
    <mergeCell ref="BB77:BD77"/>
    <mergeCell ref="AS81:AT81"/>
    <mergeCell ref="AS80:AT80"/>
    <mergeCell ref="AU79:AV79"/>
    <mergeCell ref="AU82:AV82"/>
    <mergeCell ref="BG72:BI72"/>
    <mergeCell ref="BE83:BF83"/>
    <mergeCell ref="AS101:AT101"/>
    <mergeCell ref="AZ107:BA107"/>
    <mergeCell ref="AZ109:BA109"/>
    <mergeCell ref="AU103:AV103"/>
    <mergeCell ref="AS103:AT103"/>
    <mergeCell ref="AW91:AY91"/>
    <mergeCell ref="AU106:AV106"/>
    <mergeCell ref="AU105:AV105"/>
    <mergeCell ref="AZ99:BA99"/>
    <mergeCell ref="AZ97:BA97"/>
    <mergeCell ref="AW108:AY108"/>
    <mergeCell ref="AW109:AY109"/>
    <mergeCell ref="AW102:AY102"/>
    <mergeCell ref="AZ96:BA96"/>
    <mergeCell ref="BB101:BD101"/>
    <mergeCell ref="BB99:BD99"/>
    <mergeCell ref="BB100:BD100"/>
    <mergeCell ref="AS100:AT100"/>
    <mergeCell ref="AS99:AT99"/>
    <mergeCell ref="AU108:AV108"/>
    <mergeCell ref="AU102:AV102"/>
    <mergeCell ref="BB104:BD104"/>
    <mergeCell ref="BE97:BF97"/>
    <mergeCell ref="BE90:BF90"/>
    <mergeCell ref="AU107:AV107"/>
    <mergeCell ref="AU109:AV109"/>
    <mergeCell ref="BB107:BD107"/>
    <mergeCell ref="AZ105:BA105"/>
    <mergeCell ref="BE99:BF99"/>
    <mergeCell ref="AU85:AV85"/>
    <mergeCell ref="AW85:AY85"/>
    <mergeCell ref="AB56:AD56"/>
    <mergeCell ref="AS83:AT83"/>
    <mergeCell ref="AU81:AV81"/>
    <mergeCell ref="AU80:AV80"/>
    <mergeCell ref="AW80:AY80"/>
    <mergeCell ref="AZ80:BA80"/>
    <mergeCell ref="BB80:BD80"/>
    <mergeCell ref="AW81:AY81"/>
    <mergeCell ref="AZ81:BA81"/>
    <mergeCell ref="BB81:BD81"/>
    <mergeCell ref="AW83:AY83"/>
    <mergeCell ref="AZ83:BA83"/>
    <mergeCell ref="BB83:BD83"/>
    <mergeCell ref="BB67:BD67"/>
    <mergeCell ref="BB72:BD72"/>
    <mergeCell ref="AW75:AY75"/>
    <mergeCell ref="T71:U71"/>
    <mergeCell ref="V77:X77"/>
    <mergeCell ref="V65:X65"/>
    <mergeCell ref="Y72:Z72"/>
    <mergeCell ref="Y76:Z76"/>
    <mergeCell ref="Y71:Z71"/>
    <mergeCell ref="T67:U67"/>
    <mergeCell ref="V69:X69"/>
    <mergeCell ref="T68:U68"/>
    <mergeCell ref="AA83:AC83"/>
    <mergeCell ref="X56:Y56"/>
    <mergeCell ref="T66:U66"/>
    <mergeCell ref="U59:W59"/>
    <mergeCell ref="S60:T60"/>
    <mergeCell ref="V67:X67"/>
    <mergeCell ref="X60:Y60"/>
    <mergeCell ref="Z49:AA49"/>
    <mergeCell ref="AB45:AC45"/>
    <mergeCell ref="V33:W33"/>
    <mergeCell ref="AB48:AC48"/>
    <mergeCell ref="Z47:AA47"/>
    <mergeCell ref="O33:P33"/>
    <mergeCell ref="X235:Y235"/>
    <mergeCell ref="Z235:AC235"/>
    <mergeCell ref="Z245:AD245"/>
    <mergeCell ref="Z244:AD244"/>
    <mergeCell ref="Z243:AD243"/>
    <mergeCell ref="A369:AD369"/>
    <mergeCell ref="AS94:AT94"/>
    <mergeCell ref="AS93:AT93"/>
    <mergeCell ref="AS98:AT98"/>
    <mergeCell ref="AS97:AT97"/>
    <mergeCell ref="AS92:AT92"/>
    <mergeCell ref="AS91:AT91"/>
    <mergeCell ref="AS95:AT95"/>
    <mergeCell ref="Q33:S33"/>
    <mergeCell ref="T33:U33"/>
    <mergeCell ref="N36:P36"/>
    <mergeCell ref="X35:AB35"/>
    <mergeCell ref="X36:AB36"/>
    <mergeCell ref="Q36:W36"/>
    <mergeCell ref="N35:W35"/>
    <mergeCell ref="AA79:AC79"/>
    <mergeCell ref="Y78:Z78"/>
    <mergeCell ref="N39:AD39"/>
    <mergeCell ref="N38:P38"/>
    <mergeCell ref="Q38:AD38"/>
    <mergeCell ref="AB47:AC47"/>
    <mergeCell ref="X54:Y55"/>
    <mergeCell ref="Z56:AA56"/>
    <mergeCell ref="X57:Y57"/>
    <mergeCell ref="X59:Y59"/>
    <mergeCell ref="L32:N32"/>
    <mergeCell ref="Q41:R41"/>
    <mergeCell ref="S57:T57"/>
    <mergeCell ref="V50:W50"/>
    <mergeCell ref="A490:D490"/>
    <mergeCell ref="A497:B497"/>
    <mergeCell ref="H496:I497"/>
    <mergeCell ref="C498:E498"/>
    <mergeCell ref="E488:G488"/>
    <mergeCell ref="E490:G490"/>
    <mergeCell ref="A498:B498"/>
    <mergeCell ref="O32:P32"/>
    <mergeCell ref="X232:Y232"/>
    <mergeCell ref="Z252:AD252"/>
    <mergeCell ref="S237:W237"/>
    <mergeCell ref="Q227:S227"/>
    <mergeCell ref="AB314:AC314"/>
    <mergeCell ref="Z311:AA311"/>
    <mergeCell ref="W260:Y260"/>
    <mergeCell ref="V232:W232"/>
    <mergeCell ref="V231:W231"/>
    <mergeCell ref="AC231:AD231"/>
    <mergeCell ref="T255:V255"/>
    <mergeCell ref="T247:V247"/>
    <mergeCell ref="Z240:AD240"/>
    <mergeCell ref="Z278:AD278"/>
    <mergeCell ref="AB49:AC49"/>
    <mergeCell ref="J421:L421"/>
    <mergeCell ref="A500:B500"/>
    <mergeCell ref="C500:E500"/>
    <mergeCell ref="A499:B499"/>
    <mergeCell ref="H500:I500"/>
    <mergeCell ref="O500:P500"/>
    <mergeCell ref="Z500:AA500"/>
    <mergeCell ref="Q500:R500"/>
    <mergeCell ref="Z499:AA499"/>
    <mergeCell ref="A443:G443"/>
    <mergeCell ref="S443:T443"/>
    <mergeCell ref="R437:S437"/>
    <mergeCell ref="U441:W441"/>
    <mergeCell ref="U443:W443"/>
    <mergeCell ref="P439:R440"/>
    <mergeCell ref="P441:R441"/>
    <mergeCell ref="H443:J443"/>
    <mergeCell ref="A441:G441"/>
    <mergeCell ref="K441:M441"/>
    <mergeCell ref="H441:J441"/>
    <mergeCell ref="K442:M442"/>
    <mergeCell ref="F447:J447"/>
    <mergeCell ref="K447:O447"/>
    <mergeCell ref="K448:O448"/>
    <mergeCell ref="P447:AD447"/>
    <mergeCell ref="P448:AD448"/>
    <mergeCell ref="W446:AD446"/>
    <mergeCell ref="K446:O446"/>
    <mergeCell ref="F456:J456"/>
    <mergeCell ref="H464:J464"/>
    <mergeCell ref="L464:N464"/>
    <mergeCell ref="P450:AD450"/>
    <mergeCell ref="K463:O463"/>
    <mergeCell ref="A537:J537"/>
    <mergeCell ref="A538:B538"/>
    <mergeCell ref="E538:F538"/>
    <mergeCell ref="J501:K501"/>
    <mergeCell ref="C501:E501"/>
    <mergeCell ref="A518:AD519"/>
    <mergeCell ref="Z522:AC522"/>
    <mergeCell ref="L511:O511"/>
    <mergeCell ref="R520:S520"/>
    <mergeCell ref="A527:B527"/>
    <mergeCell ref="C523:G523"/>
    <mergeCell ref="Q511:S511"/>
    <mergeCell ref="P521:Q521"/>
    <mergeCell ref="R522:S522"/>
    <mergeCell ref="V521:W521"/>
    <mergeCell ref="R521:S521"/>
    <mergeCell ref="H506:J506"/>
    <mergeCell ref="C525:E525"/>
    <mergeCell ref="A504:D505"/>
    <mergeCell ref="A502:B502"/>
    <mergeCell ref="P520:Q520"/>
    <mergeCell ref="AB501:AD501"/>
    <mergeCell ref="Z501:AA501"/>
    <mergeCell ref="A506:D506"/>
    <mergeCell ref="E504:G505"/>
    <mergeCell ref="F502:G502"/>
    <mergeCell ref="L521:M521"/>
    <mergeCell ref="I510:O510"/>
    <mergeCell ref="H520:I520"/>
    <mergeCell ref="L520:M520"/>
    <mergeCell ref="Q510:W510"/>
    <mergeCell ref="T520:U520"/>
    <mergeCell ref="T511:W511"/>
    <mergeCell ref="R506:Y506"/>
    <mergeCell ref="D511:G511"/>
    <mergeCell ref="N504:P505"/>
    <mergeCell ref="Z502:AA502"/>
    <mergeCell ref="AA508:AD508"/>
    <mergeCell ref="R505:Y505"/>
    <mergeCell ref="Q502:R502"/>
    <mergeCell ref="X502:Y502"/>
    <mergeCell ref="AB502:AD502"/>
    <mergeCell ref="R504:Y504"/>
    <mergeCell ref="A510:G510"/>
    <mergeCell ref="R508:Y508"/>
    <mergeCell ref="R507:Y507"/>
    <mergeCell ref="Z520:AC520"/>
    <mergeCell ref="H502:I502"/>
    <mergeCell ref="K506:M506"/>
    <mergeCell ref="J502:K502"/>
    <mergeCell ref="K504:M505"/>
    <mergeCell ref="H504:J505"/>
    <mergeCell ref="Z521:AC521"/>
    <mergeCell ref="S502:T502"/>
    <mergeCell ref="U502:W502"/>
    <mergeCell ref="X501:Y501"/>
    <mergeCell ref="N520:O520"/>
    <mergeCell ref="A540:B540"/>
    <mergeCell ref="A539:B539"/>
    <mergeCell ref="C538:D538"/>
    <mergeCell ref="C522:G522"/>
    <mergeCell ref="C521:G521"/>
    <mergeCell ref="A521:B521"/>
    <mergeCell ref="A522:B522"/>
    <mergeCell ref="H522:I522"/>
    <mergeCell ref="H521:I521"/>
    <mergeCell ref="A523:B523"/>
    <mergeCell ref="I511:K511"/>
    <mergeCell ref="C531:E531"/>
    <mergeCell ref="A529:B529"/>
    <mergeCell ref="A533:B533"/>
    <mergeCell ref="A535:B535"/>
    <mergeCell ref="C535:E535"/>
    <mergeCell ref="A526:B526"/>
    <mergeCell ref="C539:D539"/>
    <mergeCell ref="C529:E529"/>
    <mergeCell ref="J520:K520"/>
    <mergeCell ref="I539:J539"/>
    <mergeCell ref="G539:H539"/>
    <mergeCell ref="E539:F539"/>
    <mergeCell ref="C532:E532"/>
    <mergeCell ref="A511:C511"/>
    <mergeCell ref="A528:B528"/>
    <mergeCell ref="A534:B534"/>
    <mergeCell ref="C533:E533"/>
    <mergeCell ref="A530:B530"/>
    <mergeCell ref="A532:B532"/>
    <mergeCell ref="A531:B531"/>
    <mergeCell ref="C528:E528"/>
    <mergeCell ref="A525:B525"/>
    <mergeCell ref="C526:E526"/>
    <mergeCell ref="H523:I523"/>
    <mergeCell ref="A520:G520"/>
    <mergeCell ref="C502:E502"/>
    <mergeCell ref="O502:P502"/>
    <mergeCell ref="A548:B548"/>
    <mergeCell ref="A547:B547"/>
    <mergeCell ref="A549:B549"/>
    <mergeCell ref="C544:D544"/>
    <mergeCell ref="A550:B550"/>
    <mergeCell ref="C550:D550"/>
    <mergeCell ref="E550:F550"/>
    <mergeCell ref="G550:H550"/>
    <mergeCell ref="C543:D543"/>
    <mergeCell ref="C542:D542"/>
    <mergeCell ref="G542:H542"/>
    <mergeCell ref="I541:J541"/>
    <mergeCell ref="E542:F542"/>
    <mergeCell ref="I542:J542"/>
    <mergeCell ref="I543:J543"/>
    <mergeCell ref="E541:F541"/>
    <mergeCell ref="I540:J540"/>
    <mergeCell ref="A543:B543"/>
    <mergeCell ref="A542:B542"/>
    <mergeCell ref="E540:F540"/>
    <mergeCell ref="G540:H540"/>
    <mergeCell ref="A541:B541"/>
    <mergeCell ref="E544:F544"/>
    <mergeCell ref="G544:H544"/>
    <mergeCell ref="C541:D541"/>
    <mergeCell ref="C540:D540"/>
    <mergeCell ref="G541:H541"/>
    <mergeCell ref="E543:F543"/>
    <mergeCell ref="G543:H543"/>
    <mergeCell ref="C530:E530"/>
    <mergeCell ref="I553:J553"/>
    <mergeCell ref="I548:J548"/>
    <mergeCell ref="G548:H548"/>
    <mergeCell ref="E548:F548"/>
    <mergeCell ref="I551:J551"/>
    <mergeCell ref="I552:J552"/>
    <mergeCell ref="I549:J549"/>
    <mergeCell ref="I550:J550"/>
    <mergeCell ref="C548:D548"/>
    <mergeCell ref="C547:D547"/>
    <mergeCell ref="C549:D549"/>
    <mergeCell ref="E549:F549"/>
    <mergeCell ref="G549:H549"/>
    <mergeCell ref="I544:J544"/>
    <mergeCell ref="E547:F547"/>
    <mergeCell ref="G547:H547"/>
    <mergeCell ref="I547:J547"/>
    <mergeCell ref="A546:J546"/>
    <mergeCell ref="A544:B544"/>
    <mergeCell ref="A551:B551"/>
    <mergeCell ref="C551:D551"/>
    <mergeCell ref="E551:F551"/>
    <mergeCell ref="G551:H551"/>
    <mergeCell ref="A552:B552"/>
    <mergeCell ref="C552:D552"/>
    <mergeCell ref="E552:F552"/>
    <mergeCell ref="G552:H552"/>
    <mergeCell ref="A553:B553"/>
    <mergeCell ref="C553:D553"/>
    <mergeCell ref="E553:F553"/>
    <mergeCell ref="G553:H553"/>
    <mergeCell ref="AR363:AT363"/>
    <mergeCell ref="AU363:AV363"/>
    <mergeCell ref="AI405:AO405"/>
    <mergeCell ref="AU368:AV368"/>
    <mergeCell ref="AG404:BJ404"/>
    <mergeCell ref="AU397:AV397"/>
    <mergeCell ref="BI362:BJ362"/>
    <mergeCell ref="AG360:AQ360"/>
    <mergeCell ref="AR360:AT360"/>
    <mergeCell ref="AU370:AV370"/>
    <mergeCell ref="AX370:BE370"/>
    <mergeCell ref="BI366:BJ366"/>
    <mergeCell ref="AU365:AV365"/>
    <mergeCell ref="AX365:BE365"/>
    <mergeCell ref="BF365:BH365"/>
    <mergeCell ref="BI368:BJ368"/>
    <mergeCell ref="AR368:AT368"/>
    <mergeCell ref="AU364:AV364"/>
    <mergeCell ref="AX364:BE364"/>
    <mergeCell ref="AG363:AQ363"/>
    <mergeCell ref="AR370:AT370"/>
    <mergeCell ref="AG373:AQ373"/>
    <mergeCell ref="AR373:AT373"/>
    <mergeCell ref="AX361:BE361"/>
    <mergeCell ref="AR371:AT371"/>
    <mergeCell ref="AG378:AQ378"/>
    <mergeCell ref="AR378:AT378"/>
    <mergeCell ref="AU378:AV378"/>
    <mergeCell ref="AG408:AK408"/>
    <mergeCell ref="AM408:AR408"/>
    <mergeCell ref="AS408:AU408"/>
    <mergeCell ref="AV408:AW408"/>
    <mergeCell ref="AX408:AY408"/>
    <mergeCell ref="AZ408:BA408"/>
    <mergeCell ref="BB408:BC408"/>
    <mergeCell ref="BD408:BE408"/>
    <mergeCell ref="BB407:BC407"/>
    <mergeCell ref="BD407:BE407"/>
    <mergeCell ref="AG407:AH407"/>
    <mergeCell ref="AI407:AO407"/>
    <mergeCell ref="AP407:AR407"/>
    <mergeCell ref="AS407:AV407"/>
    <mergeCell ref="AX407:AY407"/>
    <mergeCell ref="AG397:AQ397"/>
    <mergeCell ref="BB406:BC406"/>
    <mergeCell ref="BD406:BE406"/>
    <mergeCell ref="AG406:AH406"/>
    <mergeCell ref="AI406:AO406"/>
    <mergeCell ref="AG376:AQ376"/>
    <mergeCell ref="AX380:BE380"/>
    <mergeCell ref="AU379:AV379"/>
    <mergeCell ref="AX379:BE379"/>
    <mergeCell ref="AU377:AV377"/>
    <mergeCell ref="AX377:BE377"/>
    <mergeCell ref="AG374:AQ374"/>
    <mergeCell ref="AG375:AQ375"/>
    <mergeCell ref="AP410:AR410"/>
    <mergeCell ref="AS410:BA410"/>
    <mergeCell ref="BB409:BJ409"/>
    <mergeCell ref="AM410:AO410"/>
    <mergeCell ref="BF408:BG408"/>
    <mergeCell ref="BH408:BJ408"/>
    <mergeCell ref="AG409:AK409"/>
    <mergeCell ref="AM409:AO409"/>
    <mergeCell ref="AP409:AR409"/>
    <mergeCell ref="AS409:BA409"/>
    <mergeCell ref="AZ407:BA407"/>
    <mergeCell ref="BF407:BG407"/>
    <mergeCell ref="BH407:BJ407"/>
    <mergeCell ref="AR376:AT376"/>
    <mergeCell ref="AU376:AV376"/>
    <mergeCell ref="AX376:BE376"/>
    <mergeCell ref="AP406:AR406"/>
    <mergeCell ref="AS406:AU406"/>
    <mergeCell ref="AX406:AY406"/>
    <mergeCell ref="AZ406:BA406"/>
    <mergeCell ref="AX397:BE397"/>
    <mergeCell ref="AP405:AR405"/>
    <mergeCell ref="AR397:AT397"/>
    <mergeCell ref="AG377:AQ377"/>
    <mergeCell ref="AR377:AT377"/>
    <mergeCell ref="BF380:BH380"/>
    <mergeCell ref="BI380:BJ380"/>
    <mergeCell ref="AG379:AQ379"/>
    <mergeCell ref="AR379:AT379"/>
    <mergeCell ref="AG380:AQ380"/>
    <mergeCell ref="AR380:AT380"/>
    <mergeCell ref="AU380:AV380"/>
    <mergeCell ref="BB421:BF421"/>
    <mergeCell ref="AS422:AW422"/>
    <mergeCell ref="AY422:BA422"/>
    <mergeCell ref="BB422:BF422"/>
    <mergeCell ref="AY420:BA420"/>
    <mergeCell ref="BB420:BF420"/>
    <mergeCell ref="BB416:BE416"/>
    <mergeCell ref="AG412:AL412"/>
    <mergeCell ref="AM412:AO412"/>
    <mergeCell ref="AP412:AR412"/>
    <mergeCell ref="BB410:BE410"/>
    <mergeCell ref="AG411:AL411"/>
    <mergeCell ref="AM411:AO411"/>
    <mergeCell ref="AP411:AR411"/>
    <mergeCell ref="AS411:BA411"/>
    <mergeCell ref="BB411:BJ411"/>
    <mergeCell ref="AG410:AL410"/>
    <mergeCell ref="AP418:AR418"/>
    <mergeCell ref="AG413:AL413"/>
    <mergeCell ref="AM413:AO413"/>
    <mergeCell ref="AP413:AR413"/>
    <mergeCell ref="AS413:AU413"/>
    <mergeCell ref="BB413:BF413"/>
    <mergeCell ref="BG413:BJ413"/>
    <mergeCell ref="BB412:BC412"/>
    <mergeCell ref="BE412:BF412"/>
    <mergeCell ref="AS412:BA412"/>
    <mergeCell ref="BB414:BE414"/>
    <mergeCell ref="BB415:BE415"/>
    <mergeCell ref="BG415:BH415"/>
    <mergeCell ref="BG416:BH416"/>
    <mergeCell ref="AG417:AL417"/>
    <mergeCell ref="AM417:AO417"/>
    <mergeCell ref="AP417:AR417"/>
    <mergeCell ref="AS417:AW417"/>
    <mergeCell ref="BB417:BJ417"/>
    <mergeCell ref="AG416:AL416"/>
    <mergeCell ref="AM416:AO416"/>
    <mergeCell ref="AV415:AZ415"/>
    <mergeCell ref="AS415:AU415"/>
    <mergeCell ref="BH412:BI412"/>
    <mergeCell ref="AS419:AW419"/>
    <mergeCell ref="BB419:BF419"/>
    <mergeCell ref="AP416:AR416"/>
    <mergeCell ref="AS418:AW418"/>
    <mergeCell ref="AV416:BA416"/>
    <mergeCell ref="AS416:AU416"/>
    <mergeCell ref="AY418:BA418"/>
    <mergeCell ref="BB418:BF418"/>
    <mergeCell ref="AG414:AL414"/>
    <mergeCell ref="AM414:AO414"/>
    <mergeCell ref="AV414:AZ414"/>
    <mergeCell ref="BG414:BH414"/>
    <mergeCell ref="AP414:AR414"/>
    <mergeCell ref="AS414:AU414"/>
    <mergeCell ref="AG418:AL418"/>
    <mergeCell ref="AM418:AO418"/>
    <mergeCell ref="AG415:AL415"/>
    <mergeCell ref="AS425:AU425"/>
    <mergeCell ref="AG423:BA423"/>
    <mergeCell ref="BB423:BF423"/>
    <mergeCell ref="AG424:AK424"/>
    <mergeCell ref="AL424:AO424"/>
    <mergeCell ref="AP424:AR424"/>
    <mergeCell ref="AS424:AU424"/>
    <mergeCell ref="AV424:BA424"/>
    <mergeCell ref="BB424:BF424"/>
    <mergeCell ref="AP420:AR420"/>
    <mergeCell ref="AG419:AJ419"/>
    <mergeCell ref="AK419:AL419"/>
    <mergeCell ref="AM419:AO419"/>
    <mergeCell ref="AP419:AR419"/>
    <mergeCell ref="AS420:AW420"/>
    <mergeCell ref="AM421:AO421"/>
    <mergeCell ref="AP427:AR427"/>
    <mergeCell ref="AS427:AU427"/>
    <mergeCell ref="AV425:BA425"/>
    <mergeCell ref="BB425:BF425"/>
    <mergeCell ref="AV426:BA426"/>
    <mergeCell ref="BB426:BF426"/>
    <mergeCell ref="AV427:BA427"/>
    <mergeCell ref="BB427:BF427"/>
    <mergeCell ref="AP426:AR426"/>
    <mergeCell ref="AS426:AU426"/>
    <mergeCell ref="AG427:AK427"/>
    <mergeCell ref="AL427:AO427"/>
    <mergeCell ref="AG420:AL420"/>
    <mergeCell ref="AM420:AO420"/>
    <mergeCell ref="AP421:AR421"/>
    <mergeCell ref="AS421:AW421"/>
    <mergeCell ref="AP429:AR429"/>
    <mergeCell ref="AS429:AU429"/>
    <mergeCell ref="AV428:BA428"/>
    <mergeCell ref="BB428:BF428"/>
    <mergeCell ref="AP428:AR428"/>
    <mergeCell ref="AS428:AU428"/>
    <mergeCell ref="AV429:BA429"/>
    <mergeCell ref="BB429:BF429"/>
    <mergeCell ref="AV431:BA431"/>
    <mergeCell ref="BB431:BF431"/>
    <mergeCell ref="AG430:AK430"/>
    <mergeCell ref="AL430:AO430"/>
    <mergeCell ref="AP430:AR430"/>
    <mergeCell ref="AS430:AU430"/>
    <mergeCell ref="AV430:BA430"/>
    <mergeCell ref="BB430:BF430"/>
    <mergeCell ref="AV432:BA432"/>
    <mergeCell ref="BB432:BF432"/>
    <mergeCell ref="AG431:AK431"/>
    <mergeCell ref="AL431:AO431"/>
    <mergeCell ref="AG432:AK432"/>
    <mergeCell ref="AL432:AO432"/>
    <mergeCell ref="AP432:AR432"/>
    <mergeCell ref="AS432:AU432"/>
    <mergeCell ref="AP431:AR431"/>
    <mergeCell ref="AS431:AU431"/>
    <mergeCell ref="AG429:AK429"/>
    <mergeCell ref="AL429:AO429"/>
    <mergeCell ref="AG428:AK428"/>
    <mergeCell ref="AL428:AO428"/>
    <mergeCell ref="AX435:AY435"/>
    <mergeCell ref="BB436:BC436"/>
    <mergeCell ref="BD436:BE436"/>
    <mergeCell ref="BF436:BJ436"/>
    <mergeCell ref="AZ435:BA435"/>
    <mergeCell ref="BB435:BC435"/>
    <mergeCell ref="BD435:BE435"/>
    <mergeCell ref="AG437:AH437"/>
    <mergeCell ref="AN437:AO437"/>
    <mergeCell ref="AP437:AQ437"/>
    <mergeCell ref="AR437:AS437"/>
    <mergeCell ref="AT437:AU437"/>
    <mergeCell ref="AV437:AW437"/>
    <mergeCell ref="AI437:AM437"/>
    <mergeCell ref="AX437:AY437"/>
    <mergeCell ref="AV435:AW435"/>
    <mergeCell ref="AX434:AY434"/>
    <mergeCell ref="AZ434:BA434"/>
    <mergeCell ref="AG434:AM434"/>
    <mergeCell ref="AN434:AO434"/>
    <mergeCell ref="AP434:AQ434"/>
    <mergeCell ref="AR434:AS434"/>
    <mergeCell ref="BB434:BC434"/>
    <mergeCell ref="BD434:BE434"/>
    <mergeCell ref="BF435:BJ435"/>
    <mergeCell ref="BF434:BJ434"/>
    <mergeCell ref="AG435:AH435"/>
    <mergeCell ref="AI435:AM435"/>
    <mergeCell ref="AN435:AO435"/>
    <mergeCell ref="AP435:AQ435"/>
    <mergeCell ref="AR435:AS435"/>
    <mergeCell ref="AT435:AU435"/>
    <mergeCell ref="BA439:BC440"/>
    <mergeCell ref="BD439:BJ440"/>
    <mergeCell ref="AZ437:BA437"/>
    <mergeCell ref="BB437:BC437"/>
    <mergeCell ref="BD437:BE437"/>
    <mergeCell ref="BF437:BJ437"/>
    <mergeCell ref="AN441:AP441"/>
    <mergeCell ref="AQ441:AS441"/>
    <mergeCell ref="AT441:AU441"/>
    <mergeCell ref="AG438:BJ438"/>
    <mergeCell ref="AG439:AM440"/>
    <mergeCell ref="AN439:AP440"/>
    <mergeCell ref="AQ439:AS440"/>
    <mergeCell ref="AT439:AU440"/>
    <mergeCell ref="AV439:AX440"/>
    <mergeCell ref="AY439:AZ440"/>
    <mergeCell ref="AV441:AX441"/>
    <mergeCell ref="AY441:AZ441"/>
    <mergeCell ref="BA441:BC441"/>
    <mergeCell ref="BD441:BJ441"/>
    <mergeCell ref="AG441:AM441"/>
    <mergeCell ref="BD444:BJ444"/>
    <mergeCell ref="AV447:BJ447"/>
    <mergeCell ref="AG445:AU445"/>
    <mergeCell ref="AV445:BJ445"/>
    <mergeCell ref="AG446:AK446"/>
    <mergeCell ref="AL446:AP446"/>
    <mergeCell ref="AQ446:AU446"/>
    <mergeCell ref="AV446:AZ446"/>
    <mergeCell ref="BC446:BJ446"/>
    <mergeCell ref="AG447:AK447"/>
    <mergeCell ref="AL447:AP447"/>
    <mergeCell ref="AT444:AU444"/>
    <mergeCell ref="AG443:AM443"/>
    <mergeCell ref="AN443:AP443"/>
    <mergeCell ref="AQ443:AS443"/>
    <mergeCell ref="AT443:AU443"/>
    <mergeCell ref="AN444:AP444"/>
    <mergeCell ref="AV456:BJ456"/>
    <mergeCell ref="AQ456:AU456"/>
    <mergeCell ref="AV458:BJ458"/>
    <mergeCell ref="AG457:AK457"/>
    <mergeCell ref="AL457:AP457"/>
    <mergeCell ref="AQ457:AU457"/>
    <mergeCell ref="AV457:BJ457"/>
    <mergeCell ref="AG458:AK458"/>
    <mergeCell ref="AL458:AP458"/>
    <mergeCell ref="AQ458:AU458"/>
    <mergeCell ref="AG456:AK456"/>
    <mergeCell ref="AL456:AP456"/>
    <mergeCell ref="AV453:BJ453"/>
    <mergeCell ref="AG453:AJ453"/>
    <mergeCell ref="AG455:AK455"/>
    <mergeCell ref="AL455:AP455"/>
    <mergeCell ref="AQ455:AU455"/>
    <mergeCell ref="AV455:BJ455"/>
    <mergeCell ref="AV454:BJ454"/>
    <mergeCell ref="AG454:AJ454"/>
    <mergeCell ref="AL454:AP454"/>
    <mergeCell ref="AQ454:AU454"/>
    <mergeCell ref="AQ453:AU453"/>
    <mergeCell ref="AL453:AP453"/>
    <mergeCell ref="AG436:AH436"/>
    <mergeCell ref="Y107:Z107"/>
    <mergeCell ref="Y102:Z102"/>
    <mergeCell ref="Y109:Z109"/>
    <mergeCell ref="Y108:Z108"/>
    <mergeCell ref="Z48:AA48"/>
    <mergeCell ref="AM415:AO415"/>
    <mergeCell ref="AP415:AR415"/>
    <mergeCell ref="AS405:AW405"/>
    <mergeCell ref="AQ449:AU449"/>
    <mergeCell ref="AG450:AJ450"/>
    <mergeCell ref="AL450:AP450"/>
    <mergeCell ref="AG442:AM442"/>
    <mergeCell ref="AN442:AP442"/>
    <mergeCell ref="AQ442:AS442"/>
    <mergeCell ref="AT442:AU442"/>
    <mergeCell ref="AV442:AX442"/>
    <mergeCell ref="AV443:AX443"/>
    <mergeCell ref="AV444:AX444"/>
    <mergeCell ref="AN436:AO436"/>
    <mergeCell ref="AP436:AQ436"/>
    <mergeCell ref="AR436:AS436"/>
    <mergeCell ref="AT436:AU436"/>
    <mergeCell ref="AV436:AW436"/>
    <mergeCell ref="AX436:AY436"/>
    <mergeCell ref="AT434:AU434"/>
    <mergeCell ref="AV434:AW434"/>
    <mergeCell ref="AY444:AZ444"/>
    <mergeCell ref="AZ436:BA436"/>
    <mergeCell ref="AI436:AM436"/>
    <mergeCell ref="AG444:AM444"/>
    <mergeCell ref="BA444:BC444"/>
    <mergeCell ref="AV451:BJ451"/>
    <mergeCell ref="AQ447:AU447"/>
    <mergeCell ref="AL452:AP452"/>
    <mergeCell ref="AG449:AJ449"/>
    <mergeCell ref="AL449:AP449"/>
    <mergeCell ref="AQ450:AU450"/>
    <mergeCell ref="AG426:AK426"/>
    <mergeCell ref="AL426:AO426"/>
    <mergeCell ref="AG425:AK425"/>
    <mergeCell ref="AL425:AO425"/>
    <mergeCell ref="AG422:AR422"/>
    <mergeCell ref="AG421:AL421"/>
    <mergeCell ref="AP425:AR425"/>
    <mergeCell ref="AQ452:AU452"/>
    <mergeCell ref="AV450:BJ450"/>
    <mergeCell ref="AV449:BJ449"/>
    <mergeCell ref="AG448:AK448"/>
    <mergeCell ref="AL448:AP448"/>
    <mergeCell ref="AQ448:AU448"/>
    <mergeCell ref="AV448:BJ448"/>
    <mergeCell ref="AQ444:AS444"/>
    <mergeCell ref="AQ451:AU451"/>
    <mergeCell ref="AV452:BJ452"/>
    <mergeCell ref="AG452:AJ452"/>
    <mergeCell ref="AG451:AI451"/>
    <mergeCell ref="AL451:AP451"/>
    <mergeCell ref="BA442:BC442"/>
    <mergeCell ref="BD442:BJ442"/>
    <mergeCell ref="AY442:AZ442"/>
    <mergeCell ref="AY443:AZ443"/>
    <mergeCell ref="BA443:BC443"/>
    <mergeCell ref="BD443:BJ443"/>
    <mergeCell ref="BG74:BI74"/>
    <mergeCell ref="AU77:AV77"/>
    <mergeCell ref="AW77:AY77"/>
    <mergeCell ref="AZ77:BA77"/>
    <mergeCell ref="AU74:AV74"/>
    <mergeCell ref="AZ73:BA73"/>
    <mergeCell ref="BB74:BD74"/>
    <mergeCell ref="BE80:BF80"/>
    <mergeCell ref="BG80:BI80"/>
    <mergeCell ref="BE79:BF79"/>
    <mergeCell ref="BG79:BI79"/>
    <mergeCell ref="BE81:BF81"/>
    <mergeCell ref="AS102:AT102"/>
    <mergeCell ref="AS107:AT107"/>
    <mergeCell ref="AS105:AT105"/>
    <mergeCell ref="AU99:AV99"/>
    <mergeCell ref="AW99:AY99"/>
    <mergeCell ref="AS90:AT90"/>
    <mergeCell ref="AS89:AT89"/>
    <mergeCell ref="AS88:AT88"/>
    <mergeCell ref="AS87:AT87"/>
    <mergeCell ref="AU100:AV100"/>
    <mergeCell ref="AZ100:BA100"/>
    <mergeCell ref="AW100:AY100"/>
    <mergeCell ref="AU101:AV101"/>
    <mergeCell ref="AU98:AV98"/>
    <mergeCell ref="AW98:AY98"/>
    <mergeCell ref="BB97:BD97"/>
    <mergeCell ref="AZ91:BA91"/>
    <mergeCell ref="BB91:BD91"/>
    <mergeCell ref="AZ84:BA84"/>
    <mergeCell ref="BB84:BD84"/>
    <mergeCell ref="BK103:BK107"/>
    <mergeCell ref="Z273:AD273"/>
    <mergeCell ref="Z272:AD272"/>
    <mergeCell ref="Z270:AD270"/>
    <mergeCell ref="Z271:AD271"/>
    <mergeCell ref="AB316:AC316"/>
    <mergeCell ref="Z315:AA315"/>
    <mergeCell ref="AW103:AY103"/>
    <mergeCell ref="AX194:AY194"/>
    <mergeCell ref="BF218:BJ218"/>
    <mergeCell ref="BF219:BJ219"/>
    <mergeCell ref="BC219:BE219"/>
    <mergeCell ref="AR213:AS213"/>
    <mergeCell ref="AT213:AU213"/>
    <mergeCell ref="AV213:AW213"/>
    <mergeCell ref="AX213:AY213"/>
    <mergeCell ref="AT220:AU220"/>
    <mergeCell ref="AZ203:BB203"/>
    <mergeCell ref="BC203:BE203"/>
    <mergeCell ref="AR205:AS205"/>
    <mergeCell ref="AT205:AU205"/>
    <mergeCell ref="AV205:AW205"/>
    <mergeCell ref="BF203:BJ203"/>
    <mergeCell ref="AR204:AS204"/>
    <mergeCell ref="AT204:AU204"/>
    <mergeCell ref="AV204:AW204"/>
    <mergeCell ref="AX204:AY204"/>
    <mergeCell ref="AZ204:BB204"/>
    <mergeCell ref="BC204:BE204"/>
    <mergeCell ref="BF204:BJ204"/>
    <mergeCell ref="AV203:AW203"/>
    <mergeCell ref="AX203:AY203"/>
    <mergeCell ref="AT202:AU202"/>
    <mergeCell ref="AV217:AW217"/>
    <mergeCell ref="AV219:AW219"/>
    <mergeCell ref="AB121:AC121"/>
    <mergeCell ref="Y115:AD116"/>
    <mergeCell ref="AV212:AW212"/>
    <mergeCell ref="AV216:AW216"/>
    <mergeCell ref="AS111:AT111"/>
    <mergeCell ref="AG344:AQ344"/>
    <mergeCell ref="AR345:AT345"/>
    <mergeCell ref="AV220:AW220"/>
    <mergeCell ref="AG242:AM242"/>
    <mergeCell ref="AN242:AO242"/>
    <mergeCell ref="AP242:AR242"/>
    <mergeCell ref="AS242:AU242"/>
    <mergeCell ref="Z253:AD253"/>
    <mergeCell ref="Z251:AD251"/>
    <mergeCell ref="W186:Y186"/>
    <mergeCell ref="W201:Y201"/>
    <mergeCell ref="W202:Y202"/>
    <mergeCell ref="W208:Y208"/>
    <mergeCell ref="W212:Y212"/>
    <mergeCell ref="Z216:AD216"/>
    <mergeCell ref="AN236:AO236"/>
    <mergeCell ref="AV218:AW218"/>
    <mergeCell ref="AT197:AU197"/>
    <mergeCell ref="AV186:AW186"/>
    <mergeCell ref="AG235:AM235"/>
    <mergeCell ref="AN235:AO235"/>
    <mergeCell ref="AP235:AR235"/>
    <mergeCell ref="AS235:AU235"/>
    <mergeCell ref="AG234:AM234"/>
    <mergeCell ref="AX226:AY226"/>
    <mergeCell ref="AG225:AM225"/>
    <mergeCell ref="AG224:AM224"/>
    <mergeCell ref="BC224:BE224"/>
    <mergeCell ref="BF236:BJ236"/>
    <mergeCell ref="BF234:BJ234"/>
    <mergeCell ref="AS234:AU234"/>
    <mergeCell ref="AU357:AV357"/>
    <mergeCell ref="AP283:AR283"/>
    <mergeCell ref="AS283:AU283"/>
    <mergeCell ref="AR361:AT361"/>
    <mergeCell ref="AU361:AV361"/>
    <mergeCell ref="AT218:AU218"/>
    <mergeCell ref="AU110:AV110"/>
    <mergeCell ref="AU111:AV111"/>
    <mergeCell ref="Z166:AD166"/>
    <mergeCell ref="Z177:AD177"/>
    <mergeCell ref="AR211:AS211"/>
    <mergeCell ref="AV211:AW211"/>
    <mergeCell ref="AR206:AS206"/>
    <mergeCell ref="AT206:AU206"/>
    <mergeCell ref="AV206:AW206"/>
    <mergeCell ref="AR209:AS209"/>
    <mergeCell ref="AT209:AU209"/>
    <mergeCell ref="AV209:AW209"/>
    <mergeCell ref="AR208:AS208"/>
    <mergeCell ref="AT208:AU208"/>
    <mergeCell ref="AV207:AW207"/>
    <mergeCell ref="AG226:AM226"/>
    <mergeCell ref="Z279:AD279"/>
    <mergeCell ref="Z316:AA316"/>
    <mergeCell ref="AB315:AC315"/>
    <mergeCell ref="AT219:AU219"/>
    <mergeCell ref="AR217:AS217"/>
    <mergeCell ref="AT217:AU217"/>
    <mergeCell ref="AR218:AS218"/>
    <mergeCell ref="BC283:BE283"/>
    <mergeCell ref="AX210:AY210"/>
    <mergeCell ref="AX208:AY208"/>
    <mergeCell ref="AZ208:BB208"/>
    <mergeCell ref="AZ283:BB283"/>
    <mergeCell ref="BF344:BH344"/>
    <mergeCell ref="BF345:BH345"/>
    <mergeCell ref="AG359:AQ359"/>
    <mergeCell ref="AG361:AQ361"/>
    <mergeCell ref="AR349:AT349"/>
    <mergeCell ref="AR348:AT348"/>
    <mergeCell ref="BF361:BH361"/>
    <mergeCell ref="AG367:AQ367"/>
    <mergeCell ref="AU362:AV362"/>
    <mergeCell ref="AX362:BE362"/>
    <mergeCell ref="AX220:AY220"/>
    <mergeCell ref="AR220:AS220"/>
    <mergeCell ref="AU345:AV345"/>
    <mergeCell ref="AX345:BE345"/>
    <mergeCell ref="AG357:AQ357"/>
    <mergeCell ref="BF353:BH353"/>
    <mergeCell ref="AR367:AT367"/>
    <mergeCell ref="AU367:AV367"/>
    <mergeCell ref="AX367:BE367"/>
    <mergeCell ref="BF226:BJ226"/>
    <mergeCell ref="BF225:BJ225"/>
    <mergeCell ref="BC225:BE225"/>
    <mergeCell ref="AV226:AW226"/>
    <mergeCell ref="AG355:AQ355"/>
    <mergeCell ref="BE111:BF111"/>
    <mergeCell ref="BG111:BI111"/>
    <mergeCell ref="BE110:BF110"/>
    <mergeCell ref="BC193:BE193"/>
    <mergeCell ref="AX207:AY207"/>
    <mergeCell ref="BF202:BJ202"/>
    <mergeCell ref="AZ219:BB219"/>
    <mergeCell ref="AZ220:BB220"/>
    <mergeCell ref="AV210:AW210"/>
    <mergeCell ref="AW111:AY111"/>
    <mergeCell ref="AS110:AT110"/>
    <mergeCell ref="AW107:AY107"/>
    <mergeCell ref="AS108:AT108"/>
    <mergeCell ref="AX218:AY218"/>
    <mergeCell ref="AX217:AY217"/>
    <mergeCell ref="AR214:AS214"/>
    <mergeCell ref="AT214:AU214"/>
    <mergeCell ref="AW110:AY110"/>
    <mergeCell ref="AR215:AS215"/>
    <mergeCell ref="AT215:AU215"/>
    <mergeCell ref="AS109:AT109"/>
    <mergeCell ref="AT211:AU211"/>
    <mergeCell ref="AR210:AS210"/>
    <mergeCell ref="AT210:AU210"/>
    <mergeCell ref="AV202:AW202"/>
    <mergeCell ref="AX202:AY202"/>
    <mergeCell ref="AT198:AU198"/>
    <mergeCell ref="AX283:AY283"/>
    <mergeCell ref="AV283:AW283"/>
    <mergeCell ref="AG343:BJ343"/>
    <mergeCell ref="BF349:BH349"/>
    <mergeCell ref="AX344:BE344"/>
    <mergeCell ref="AW97:AY97"/>
    <mergeCell ref="BC220:BE220"/>
    <mergeCell ref="AX206:AY206"/>
    <mergeCell ref="BC206:BE206"/>
    <mergeCell ref="AZ207:BB207"/>
    <mergeCell ref="BC207:BE207"/>
    <mergeCell ref="AX209:AY209"/>
    <mergeCell ref="AZ209:BB209"/>
    <mergeCell ref="BC209:BE209"/>
    <mergeCell ref="AZ193:BB193"/>
    <mergeCell ref="BI352:BJ352"/>
    <mergeCell ref="BG99:BI99"/>
    <mergeCell ref="BB105:BD105"/>
    <mergeCell ref="AR344:AT344"/>
    <mergeCell ref="AG345:AQ345"/>
    <mergeCell ref="AG346:AQ346"/>
    <mergeCell ref="BI349:BJ349"/>
    <mergeCell ref="BF348:BH348"/>
    <mergeCell ref="BI348:BJ348"/>
    <mergeCell ref="AG347:AQ347"/>
    <mergeCell ref="AR347:AT347"/>
    <mergeCell ref="AZ211:BB211"/>
    <mergeCell ref="BC211:BE211"/>
    <mergeCell ref="BF206:BJ206"/>
    <mergeCell ref="BF210:BJ210"/>
    <mergeCell ref="BF207:BJ207"/>
    <mergeCell ref="BF208:BJ208"/>
    <mergeCell ref="BF209:BJ209"/>
    <mergeCell ref="AT212:AU212"/>
    <mergeCell ref="AT216:AU216"/>
    <mergeCell ref="AR346:AT346"/>
    <mergeCell ref="AS106:AT106"/>
    <mergeCell ref="AS104:AT104"/>
    <mergeCell ref="AR219:AS219"/>
    <mergeCell ref="AZ218:BB218"/>
    <mergeCell ref="BC218:BE218"/>
    <mergeCell ref="AG364:AQ364"/>
    <mergeCell ref="AR364:AT364"/>
    <mergeCell ref="AG350:AQ350"/>
    <mergeCell ref="AR350:AT350"/>
    <mergeCell ref="AG351:AQ351"/>
    <mergeCell ref="AR351:AT351"/>
    <mergeCell ref="AU351:AV351"/>
    <mergeCell ref="AX351:BE351"/>
    <mergeCell ref="BF352:BH352"/>
    <mergeCell ref="AX353:BE353"/>
    <mergeCell ref="BI353:BJ353"/>
    <mergeCell ref="AG354:AQ354"/>
    <mergeCell ref="AR354:AT354"/>
    <mergeCell ref="AU354:AV354"/>
    <mergeCell ref="AX354:BE354"/>
    <mergeCell ref="AR358:AT358"/>
    <mergeCell ref="AR359:AT359"/>
    <mergeCell ref="BI346:BJ346"/>
    <mergeCell ref="BI359:BJ359"/>
    <mergeCell ref="AU356:AV356"/>
    <mergeCell ref="AU346:AV346"/>
    <mergeCell ref="AX346:BE346"/>
    <mergeCell ref="BI345:BJ345"/>
    <mergeCell ref="BF346:BH346"/>
    <mergeCell ref="AG348:AQ348"/>
    <mergeCell ref="AU344:AV344"/>
    <mergeCell ref="BI344:BJ344"/>
    <mergeCell ref="AG349:AQ349"/>
    <mergeCell ref="AU347:AV347"/>
    <mergeCell ref="AX347:BE347"/>
    <mergeCell ref="AX348:BE348"/>
    <mergeCell ref="BF347:BH347"/>
    <mergeCell ref="BI347:BJ347"/>
    <mergeCell ref="AU352:AV352"/>
    <mergeCell ref="BF359:BH359"/>
    <mergeCell ref="AU359:AV359"/>
    <mergeCell ref="AU355:AV355"/>
    <mergeCell ref="BI355:BJ355"/>
    <mergeCell ref="BI357:BJ357"/>
    <mergeCell ref="BI351:BJ351"/>
    <mergeCell ref="BF354:BH354"/>
    <mergeCell ref="BI354:BJ354"/>
    <mergeCell ref="AR353:AT353"/>
    <mergeCell ref="BF356:BH356"/>
    <mergeCell ref="AG358:AQ358"/>
    <mergeCell ref="AG352:AQ352"/>
    <mergeCell ref="AG356:AQ356"/>
    <mergeCell ref="AR356:AT356"/>
    <mergeCell ref="AU358:AV358"/>
    <mergeCell ref="BF350:BH350"/>
    <mergeCell ref="AX358:BE358"/>
    <mergeCell ref="BF358:BH358"/>
    <mergeCell ref="BI358:BJ358"/>
    <mergeCell ref="AX359:BE359"/>
    <mergeCell ref="AX355:BE355"/>
    <mergeCell ref="BF355:BH355"/>
    <mergeCell ref="AX352:BE352"/>
    <mergeCell ref="BF351:BH351"/>
    <mergeCell ref="AG353:AQ353"/>
    <mergeCell ref="AR352:AT352"/>
    <mergeCell ref="AX350:BE350"/>
    <mergeCell ref="AU375:AV375"/>
    <mergeCell ref="AX375:BE375"/>
    <mergeCell ref="BF372:BH372"/>
    <mergeCell ref="BF360:BH360"/>
    <mergeCell ref="BI360:BJ360"/>
    <mergeCell ref="AX357:BE357"/>
    <mergeCell ref="BF357:BH357"/>
    <mergeCell ref="BI350:BJ350"/>
    <mergeCell ref="AU350:AV350"/>
    <mergeCell ref="AX356:BE356"/>
    <mergeCell ref="AU360:AV360"/>
    <mergeCell ref="BI356:BJ356"/>
    <mergeCell ref="BF362:BH362"/>
    <mergeCell ref="AX363:BE363"/>
    <mergeCell ref="BF363:BH363"/>
    <mergeCell ref="BF375:BH375"/>
    <mergeCell ref="BI375:BJ375"/>
    <mergeCell ref="AR374:AT374"/>
    <mergeCell ref="AU374:AV374"/>
    <mergeCell ref="AX374:BE374"/>
    <mergeCell ref="BF373:BH373"/>
    <mergeCell ref="BI373:BJ373"/>
    <mergeCell ref="BF374:BH374"/>
    <mergeCell ref="BI374:BJ374"/>
    <mergeCell ref="AR375:AT375"/>
    <mergeCell ref="AX368:BE368"/>
    <mergeCell ref="AU353:AV353"/>
    <mergeCell ref="AR355:AT355"/>
    <mergeCell ref="AR357:AT357"/>
    <mergeCell ref="BF368:BH368"/>
    <mergeCell ref="AG362:AQ362"/>
    <mergeCell ref="AR362:AT362"/>
    <mergeCell ref="AX360:BE360"/>
    <mergeCell ref="BI370:BJ370"/>
    <mergeCell ref="AR369:AT369"/>
    <mergeCell ref="AU369:AV369"/>
    <mergeCell ref="AX369:BE369"/>
    <mergeCell ref="BF369:BH369"/>
    <mergeCell ref="AG369:AQ369"/>
    <mergeCell ref="BI372:BJ372"/>
    <mergeCell ref="BI371:BJ371"/>
    <mergeCell ref="AG372:AQ372"/>
    <mergeCell ref="AR372:AT372"/>
    <mergeCell ref="AU372:AV372"/>
    <mergeCell ref="AX372:BE372"/>
    <mergeCell ref="BF371:BH371"/>
    <mergeCell ref="AG371:AQ371"/>
    <mergeCell ref="BI365:BJ365"/>
    <mergeCell ref="AG366:AQ366"/>
    <mergeCell ref="AR366:AT366"/>
    <mergeCell ref="AU366:AV366"/>
    <mergeCell ref="AX366:BE366"/>
    <mergeCell ref="BF367:BH367"/>
    <mergeCell ref="BI367:BJ367"/>
    <mergeCell ref="AX371:BE371"/>
    <mergeCell ref="BF366:BH366"/>
    <mergeCell ref="AR365:AT365"/>
    <mergeCell ref="AG370:AQ370"/>
    <mergeCell ref="AG368:AQ368"/>
    <mergeCell ref="BI369:BJ369"/>
    <mergeCell ref="BF370:BH370"/>
    <mergeCell ref="AG365:AQ365"/>
    <mergeCell ref="AG382:AQ382"/>
    <mergeCell ref="AR382:AT382"/>
    <mergeCell ref="AU382:AV382"/>
    <mergeCell ref="AX382:BE382"/>
    <mergeCell ref="BF381:BH381"/>
    <mergeCell ref="BI381:BJ381"/>
    <mergeCell ref="BF382:BH382"/>
    <mergeCell ref="BI382:BJ382"/>
    <mergeCell ref="AG381:AQ381"/>
    <mergeCell ref="AR381:AT381"/>
    <mergeCell ref="BF384:BH384"/>
    <mergeCell ref="BI384:BJ384"/>
    <mergeCell ref="AG383:AQ383"/>
    <mergeCell ref="AR383:AT383"/>
    <mergeCell ref="AG384:AQ384"/>
    <mergeCell ref="AR384:AT384"/>
    <mergeCell ref="AU384:AV384"/>
    <mergeCell ref="AX384:BE384"/>
    <mergeCell ref="AU383:AV383"/>
    <mergeCell ref="AX383:BE383"/>
    <mergeCell ref="AR385:AT385"/>
    <mergeCell ref="AU385:AV385"/>
    <mergeCell ref="AX385:BE385"/>
    <mergeCell ref="BF387:BH387"/>
    <mergeCell ref="BI387:BJ387"/>
    <mergeCell ref="AG386:AQ386"/>
    <mergeCell ref="AR386:AT386"/>
    <mergeCell ref="AU386:AV386"/>
    <mergeCell ref="AX386:BE386"/>
    <mergeCell ref="BF385:BH385"/>
    <mergeCell ref="BI385:BJ385"/>
    <mergeCell ref="BF386:BH386"/>
    <mergeCell ref="BI386:BJ386"/>
    <mergeCell ref="AG385:AQ385"/>
    <mergeCell ref="AX392:BE392"/>
    <mergeCell ref="AU391:AV391"/>
    <mergeCell ref="AX391:BE391"/>
    <mergeCell ref="AG389:AQ389"/>
    <mergeCell ref="AR389:AT389"/>
    <mergeCell ref="AU389:AV389"/>
    <mergeCell ref="AX389:BE389"/>
    <mergeCell ref="BF391:BH391"/>
    <mergeCell ref="BI391:BJ391"/>
    <mergeCell ref="AG390:AQ390"/>
    <mergeCell ref="AR390:AT390"/>
    <mergeCell ref="BF389:BH389"/>
    <mergeCell ref="BI389:BJ389"/>
    <mergeCell ref="BF390:BH390"/>
    <mergeCell ref="BI390:BJ390"/>
    <mergeCell ref="AU390:AV390"/>
    <mergeCell ref="AX390:BE390"/>
    <mergeCell ref="BI388:BJ388"/>
    <mergeCell ref="AG387:AQ387"/>
    <mergeCell ref="AR387:AT387"/>
    <mergeCell ref="AG388:AQ388"/>
    <mergeCell ref="AR388:AT388"/>
    <mergeCell ref="AU388:AV388"/>
    <mergeCell ref="AG65:AR65"/>
    <mergeCell ref="AG405:AH405"/>
    <mergeCell ref="AZ405:BA405"/>
    <mergeCell ref="AG399:AQ399"/>
    <mergeCell ref="AR399:AT399"/>
    <mergeCell ref="BB405:BC405"/>
    <mergeCell ref="BI401:BJ401"/>
    <mergeCell ref="BF397:BH397"/>
    <mergeCell ref="AG401:AQ401"/>
    <mergeCell ref="AR401:AT401"/>
    <mergeCell ref="AU401:AV401"/>
    <mergeCell ref="AG400:AQ400"/>
    <mergeCell ref="AR400:AT400"/>
    <mergeCell ref="AX401:BE401"/>
    <mergeCell ref="BD405:BE405"/>
    <mergeCell ref="AU400:AV400"/>
    <mergeCell ref="AX400:BE400"/>
    <mergeCell ref="AX405:AY405"/>
    <mergeCell ref="AU399:AV399"/>
    <mergeCell ref="AX394:BE394"/>
    <mergeCell ref="AG391:AQ391"/>
    <mergeCell ref="AR391:AT391"/>
    <mergeCell ref="AG392:AQ392"/>
    <mergeCell ref="AR392:AT392"/>
    <mergeCell ref="AG396:AQ396"/>
    <mergeCell ref="AR396:AT396"/>
    <mergeCell ref="AU396:AV396"/>
    <mergeCell ref="AX396:BE396"/>
    <mergeCell ref="AU395:AV395"/>
    <mergeCell ref="AX395:BE395"/>
    <mergeCell ref="AU392:AV392"/>
    <mergeCell ref="AR393:AT393"/>
    <mergeCell ref="AG398:AQ398"/>
    <mergeCell ref="AR398:AT398"/>
    <mergeCell ref="AU398:AV398"/>
    <mergeCell ref="AX398:BE398"/>
    <mergeCell ref="AU393:AV393"/>
    <mergeCell ref="AX393:BE393"/>
    <mergeCell ref="BF395:BH395"/>
    <mergeCell ref="BI395:BJ395"/>
    <mergeCell ref="AG394:AQ394"/>
    <mergeCell ref="AR394:AT394"/>
    <mergeCell ref="AG395:AQ395"/>
    <mergeCell ref="AR395:AT395"/>
    <mergeCell ref="BE71:BF71"/>
    <mergeCell ref="BG71:BI71"/>
    <mergeCell ref="BG73:BI73"/>
    <mergeCell ref="AU91:AV91"/>
    <mergeCell ref="BF396:BH396"/>
    <mergeCell ref="BI396:BJ396"/>
    <mergeCell ref="BE77:BF77"/>
    <mergeCell ref="AZ78:BA78"/>
    <mergeCell ref="BB78:BD78"/>
    <mergeCell ref="AZ74:BA74"/>
    <mergeCell ref="AZ82:BA82"/>
    <mergeCell ref="BB82:BD82"/>
    <mergeCell ref="AW96:AY96"/>
    <mergeCell ref="AU97:AV97"/>
    <mergeCell ref="AU90:AV90"/>
    <mergeCell ref="AW90:AY90"/>
    <mergeCell ref="AZ90:BA90"/>
    <mergeCell ref="BB90:BD90"/>
    <mergeCell ref="AW74:AY74"/>
    <mergeCell ref="AG393:AQ393"/>
    <mergeCell ref="BE74:BF74"/>
    <mergeCell ref="CD400:CK400"/>
    <mergeCell ref="BI397:BJ397"/>
    <mergeCell ref="BF398:BH398"/>
    <mergeCell ref="BI398:BJ398"/>
    <mergeCell ref="BI393:BJ393"/>
    <mergeCell ref="BG76:BI76"/>
    <mergeCell ref="BG77:BI77"/>
    <mergeCell ref="BF394:BH394"/>
    <mergeCell ref="BI394:BJ394"/>
    <mergeCell ref="BE78:BF78"/>
    <mergeCell ref="BG78:BI78"/>
    <mergeCell ref="CO400:CP400"/>
    <mergeCell ref="AX399:BE399"/>
    <mergeCell ref="BF393:BH393"/>
    <mergeCell ref="AZ75:BA75"/>
    <mergeCell ref="BB75:BD75"/>
    <mergeCell ref="BF388:BH388"/>
    <mergeCell ref="BB103:BD103"/>
    <mergeCell ref="AZ101:BA101"/>
    <mergeCell ref="AZ102:BA102"/>
    <mergeCell ref="BB102:BD102"/>
    <mergeCell ref="AZ79:BA79"/>
    <mergeCell ref="BB79:BD79"/>
    <mergeCell ref="AX388:BE388"/>
    <mergeCell ref="AX387:BE387"/>
    <mergeCell ref="AX349:BE349"/>
    <mergeCell ref="BG97:BI97"/>
    <mergeCell ref="AZ108:BA108"/>
    <mergeCell ref="BB108:BD108"/>
    <mergeCell ref="BG104:BI104"/>
    <mergeCell ref="BE105:BF105"/>
    <mergeCell ref="AZ95:BA95"/>
    <mergeCell ref="BB95:BD95"/>
    <mergeCell ref="BE94:BF94"/>
    <mergeCell ref="BG94:BI94"/>
    <mergeCell ref="BE95:BF95"/>
    <mergeCell ref="BG95:BI95"/>
    <mergeCell ref="BE92:BF92"/>
    <mergeCell ref="BG92:BI92"/>
    <mergeCell ref="BG89:BI89"/>
    <mergeCell ref="AZ89:BA89"/>
    <mergeCell ref="AU89:AV89"/>
    <mergeCell ref="AW89:AY89"/>
    <mergeCell ref="CO401:CP401"/>
    <mergeCell ref="BF400:BH400"/>
    <mergeCell ref="BI400:BJ400"/>
    <mergeCell ref="BM401:BW401"/>
    <mergeCell ref="BX401:BZ401"/>
    <mergeCell ref="CA401:CB401"/>
    <mergeCell ref="CD401:CK401"/>
    <mergeCell ref="CL400:CN400"/>
    <mergeCell ref="BF401:BH401"/>
    <mergeCell ref="AU387:AV387"/>
    <mergeCell ref="AU349:AV349"/>
    <mergeCell ref="AU348:AV348"/>
    <mergeCell ref="BG105:BI105"/>
    <mergeCell ref="BE108:BF108"/>
    <mergeCell ref="BG108:BI108"/>
    <mergeCell ref="BE106:BF106"/>
    <mergeCell ref="BE107:BF107"/>
    <mergeCell ref="BG107:BI107"/>
    <mergeCell ref="AZ111:BA111"/>
    <mergeCell ref="BB111:BD111"/>
    <mergeCell ref="BB110:BD110"/>
    <mergeCell ref="AZ110:BA110"/>
    <mergeCell ref="AZ104:BA104"/>
    <mergeCell ref="BG110:BI110"/>
    <mergeCell ref="BG109:BI109"/>
    <mergeCell ref="BE109:BF109"/>
    <mergeCell ref="BE104:BF104"/>
    <mergeCell ref="BE100:BF100"/>
    <mergeCell ref="BG100:BI100"/>
    <mergeCell ref="AZ98:BA98"/>
    <mergeCell ref="BB98:BD98"/>
    <mergeCell ref="AU96:AV96"/>
    <mergeCell ref="AW104:AY104"/>
    <mergeCell ref="AW105:AY105"/>
    <mergeCell ref="AW106:AY106"/>
    <mergeCell ref="AU104:AV104"/>
    <mergeCell ref="AW101:AY101"/>
    <mergeCell ref="BE96:BF96"/>
    <mergeCell ref="BG96:BI96"/>
    <mergeCell ref="CN161:CP161"/>
    <mergeCell ref="CD162:CF162"/>
    <mergeCell ref="CG162:CH162"/>
    <mergeCell ref="CN162:CP162"/>
    <mergeCell ref="CD163:CF163"/>
    <mergeCell ref="CG163:CH163"/>
    <mergeCell ref="BF399:BH399"/>
    <mergeCell ref="AU86:AV86"/>
    <mergeCell ref="AW86:AY86"/>
    <mergeCell ref="AZ86:BA86"/>
    <mergeCell ref="BB86:BD86"/>
    <mergeCell ref="BE88:BF88"/>
    <mergeCell ref="BG88:BI88"/>
    <mergeCell ref="AU87:AV87"/>
    <mergeCell ref="AW87:AY87"/>
    <mergeCell ref="AZ87:BA87"/>
    <mergeCell ref="BB87:BD87"/>
    <mergeCell ref="BE86:BF86"/>
    <mergeCell ref="BG86:BI86"/>
    <mergeCell ref="BE87:BF87"/>
    <mergeCell ref="BG87:BI87"/>
    <mergeCell ref="AU394:AV394"/>
    <mergeCell ref="AX378:BE378"/>
    <mergeCell ref="BF377:BH377"/>
    <mergeCell ref="BI377:BJ377"/>
    <mergeCell ref="BF378:BH378"/>
    <mergeCell ref="BI378:BJ378"/>
    <mergeCell ref="AU371:AV371"/>
    <mergeCell ref="AU373:AV373"/>
    <mergeCell ref="AX373:BE373"/>
    <mergeCell ref="BF220:BJ220"/>
    <mergeCell ref="BE89:BF89"/>
    <mergeCell ref="BB85:BD85"/>
    <mergeCell ref="BE84:BF84"/>
    <mergeCell ref="AU84:AV84"/>
    <mergeCell ref="AW71:AY71"/>
    <mergeCell ref="CL401:CN401"/>
    <mergeCell ref="BI399:BJ399"/>
    <mergeCell ref="BF392:BH392"/>
    <mergeCell ref="BI392:BJ392"/>
    <mergeCell ref="AU381:AV381"/>
    <mergeCell ref="AX381:BE381"/>
    <mergeCell ref="BF383:BH383"/>
    <mergeCell ref="BI383:BJ383"/>
    <mergeCell ref="BF379:BH379"/>
    <mergeCell ref="BI379:BJ379"/>
    <mergeCell ref="BF376:BH376"/>
    <mergeCell ref="BI376:BJ376"/>
    <mergeCell ref="BI361:BJ361"/>
    <mergeCell ref="BI363:BJ363"/>
    <mergeCell ref="BF364:BH364"/>
    <mergeCell ref="BI364:BJ364"/>
    <mergeCell ref="BE101:BF101"/>
    <mergeCell ref="BG101:BI101"/>
    <mergeCell ref="BG102:BI102"/>
    <mergeCell ref="BE102:BF102"/>
    <mergeCell ref="BE103:BF103"/>
    <mergeCell ref="BG103:BI103"/>
    <mergeCell ref="AZ103:BA103"/>
    <mergeCell ref="CD161:CF161"/>
    <mergeCell ref="CG161:CH161"/>
    <mergeCell ref="BE98:BF98"/>
    <mergeCell ref="BG98:BI98"/>
    <mergeCell ref="CI161:CM161"/>
    <mergeCell ref="AU95:AV95"/>
    <mergeCell ref="AW95:AY95"/>
    <mergeCell ref="BB96:BD96"/>
    <mergeCell ref="Y1:AB1"/>
    <mergeCell ref="Y6:AB6"/>
    <mergeCell ref="BB89:BD89"/>
    <mergeCell ref="AZ88:BA88"/>
    <mergeCell ref="AW76:AY76"/>
    <mergeCell ref="Y88:Z88"/>
    <mergeCell ref="AG9:AK9"/>
    <mergeCell ref="AJ13:AK13"/>
    <mergeCell ref="AJ14:AK14"/>
    <mergeCell ref="AG14:AI14"/>
    <mergeCell ref="AJ10:AK10"/>
    <mergeCell ref="AJ11:AK11"/>
    <mergeCell ref="AJ12:AK12"/>
    <mergeCell ref="AG10:AI10"/>
    <mergeCell ref="AG11:AI11"/>
    <mergeCell ref="AG12:AI12"/>
    <mergeCell ref="AC2:AD2"/>
    <mergeCell ref="AC4:AD4"/>
    <mergeCell ref="Y2:AB2"/>
    <mergeCell ref="Y3:AB3"/>
    <mergeCell ref="Y4:AB4"/>
    <mergeCell ref="AG1:BJ2"/>
    <mergeCell ref="X34:AD34"/>
    <mergeCell ref="Y86:Z86"/>
    <mergeCell ref="Z31:AD31"/>
    <mergeCell ref="X31:Y31"/>
    <mergeCell ref="Z24:AD24"/>
    <mergeCell ref="BG68:BI68"/>
    <mergeCell ref="BE82:BF82"/>
    <mergeCell ref="BG85:BI85"/>
    <mergeCell ref="BG84:BI84"/>
    <mergeCell ref="S3:W3"/>
    <mergeCell ref="S4:W4"/>
    <mergeCell ref="S5:W5"/>
    <mergeCell ref="AU94:AV94"/>
    <mergeCell ref="AW94:AY94"/>
    <mergeCell ref="AZ94:BA94"/>
    <mergeCell ref="BB94:BD94"/>
    <mergeCell ref="AU92:AV92"/>
    <mergeCell ref="AW92:AY92"/>
    <mergeCell ref="AU93:AV93"/>
    <mergeCell ref="AW93:AY93"/>
    <mergeCell ref="AZ93:BA93"/>
    <mergeCell ref="BB93:BD93"/>
    <mergeCell ref="AZ92:BA92"/>
    <mergeCell ref="BB92:BD92"/>
    <mergeCell ref="AU88:AV88"/>
    <mergeCell ref="AW88:AY88"/>
    <mergeCell ref="AW84:AY84"/>
    <mergeCell ref="AC5:AD5"/>
    <mergeCell ref="Y5:AB5"/>
    <mergeCell ref="V83:X83"/>
    <mergeCell ref="Y85:Z85"/>
    <mergeCell ref="V84:X84"/>
    <mergeCell ref="AW82:AY82"/>
    <mergeCell ref="AZ67:BA67"/>
    <mergeCell ref="AG13:AI13"/>
    <mergeCell ref="AZ71:BA71"/>
    <mergeCell ref="BB71:BD71"/>
    <mergeCell ref="AB57:AD57"/>
    <mergeCell ref="AZ85:BA85"/>
    <mergeCell ref="V51:W51"/>
    <mergeCell ref="Z51:AA51"/>
    <mergeCell ref="AB51:AC51"/>
    <mergeCell ref="CD170:CF170"/>
    <mergeCell ref="CG170:CH170"/>
    <mergeCell ref="CN170:CP170"/>
    <mergeCell ref="CD165:CF165"/>
    <mergeCell ref="CG165:CH165"/>
    <mergeCell ref="CN165:CP165"/>
    <mergeCell ref="CD166:CF166"/>
    <mergeCell ref="CG166:CH166"/>
    <mergeCell ref="CN166:CP166"/>
    <mergeCell ref="CD167:CF167"/>
    <mergeCell ref="CG167:CH167"/>
    <mergeCell ref="CN167:CP167"/>
    <mergeCell ref="CD168:CF168"/>
    <mergeCell ref="CG168:CH168"/>
    <mergeCell ref="CN168:CP168"/>
    <mergeCell ref="CD169:CF169"/>
    <mergeCell ref="CG169:CH169"/>
    <mergeCell ref="CN169:CP169"/>
    <mergeCell ref="CN163:CP163"/>
    <mergeCell ref="CD164:CF164"/>
    <mergeCell ref="CG164:CH164"/>
    <mergeCell ref="CN164:CP164"/>
    <mergeCell ref="BG90:BI90"/>
    <mergeCell ref="BE91:BF91"/>
    <mergeCell ref="BG91:BI91"/>
    <mergeCell ref="BE93:BF93"/>
    <mergeCell ref="BG93:BI93"/>
    <mergeCell ref="BB88:BD88"/>
    <mergeCell ref="BE85:BF85"/>
  </mergeCells>
  <phoneticPr fontId="24" type="noConversion"/>
  <conditionalFormatting sqref="U464:AD469">
    <cfRule type="cellIs" dxfId="323" priority="1" stopIfTrue="1" operator="between">
      <formula>$P$466</formula>
      <formula>$P$475</formula>
    </cfRule>
  </conditionalFormatting>
  <conditionalFormatting sqref="AB431:AB432 BH431:BH432 CN431:CN432">
    <cfRule type="expression" dxfId="322" priority="2" stopIfTrue="1">
      <formula>$T$407="Great"</formula>
    </cfRule>
  </conditionalFormatting>
  <conditionalFormatting sqref="AB429 BH429 CN429">
    <cfRule type="expression" dxfId="321" priority="3" stopIfTrue="1">
      <formula>OR($T$407="Great",$T$407="Superb",$T$407="Superior")</formula>
    </cfRule>
  </conditionalFormatting>
  <conditionalFormatting sqref="AB430 BH430 CN430">
    <cfRule type="expression" dxfId="320" priority="4" stopIfTrue="1">
      <formula>OR($T$407="Great",$T$407="Superb")</formula>
    </cfRule>
  </conditionalFormatting>
  <conditionalFormatting sqref="A114:F114">
    <cfRule type="cellIs" dxfId="319" priority="5" stopIfTrue="1" operator="equal">
      <formula>23</formula>
    </cfRule>
  </conditionalFormatting>
  <printOptions horizontalCentered="1" verticalCentered="1"/>
  <pageMargins left="0.25" right="0.25" top="0" bottom="0.25" header="0" footer="0.15"/>
  <pageSetup orientation="portrait" r:id="rId1"/>
  <headerFooter alignWithMargins="0">
    <oddFooter>&amp;CChivalry &amp; Sorcery: The Rebirth Character Sheet © Mystic Station Designs, LLC Chivalry &amp; Sorcery&amp;XTM&amp;X of BGD LTD.&amp;R&amp;P</oddFooter>
  </headerFooter>
  <legacyDrawing r:id="rId2"/>
</worksheet>
</file>

<file path=xl/worksheets/sheet4.xml><?xml version="1.0" encoding="utf-8"?>
<worksheet xmlns="http://schemas.openxmlformats.org/spreadsheetml/2006/main" xmlns:r="http://schemas.openxmlformats.org/officeDocument/2006/relationships">
  <sheetPr codeName="Sheet2">
    <tabColor rgb="FF0070C0"/>
  </sheetPr>
  <dimension ref="A1:AL88"/>
  <sheetViews>
    <sheetView workbookViewId="0">
      <pane ySplit="1" topLeftCell="A2" activePane="bottomLeft" state="frozen"/>
      <selection activeCell="A2" sqref="A2"/>
      <selection pane="bottomLeft" activeCell="P13" sqref="P13"/>
    </sheetView>
  </sheetViews>
  <sheetFormatPr defaultColWidth="0" defaultRowHeight="12" zeroHeight="1"/>
  <cols>
    <col min="1" max="11" width="5.7109375" style="602" customWidth="1"/>
    <col min="12" max="15" width="5.85546875" style="602" customWidth="1"/>
    <col min="16" max="19" width="5.7109375" style="602" customWidth="1"/>
    <col min="20" max="20" width="7" style="602" customWidth="1"/>
    <col min="21" max="26" width="5.7109375" style="602" customWidth="1"/>
    <col min="27" max="27" width="5.85546875" style="602" bestFit="1" customWidth="1"/>
    <col min="28" max="31" width="4.7109375" style="602" customWidth="1"/>
    <col min="32" max="32" width="4.7109375" style="602" hidden="1" customWidth="1"/>
    <col min="33" max="33" width="8.85546875" style="602" bestFit="1" customWidth="1"/>
    <col min="34" max="38" width="9.140625" style="602" customWidth="1"/>
    <col min="39" max="16384" width="9.140625" style="602" hidden="1"/>
  </cols>
  <sheetData>
    <row r="1" spans="1:36" ht="20.25" customHeight="1">
      <c r="A1" s="1222" t="s">
        <v>5621</v>
      </c>
      <c r="B1" s="1223"/>
      <c r="C1" s="1223"/>
      <c r="D1" s="1223"/>
      <c r="E1" s="1223"/>
      <c r="F1" s="1223"/>
      <c r="G1" s="1223"/>
      <c r="H1" s="1223"/>
      <c r="I1" s="1223"/>
      <c r="J1" s="1223"/>
      <c r="K1" s="1223"/>
      <c r="L1" s="1223"/>
      <c r="M1" s="1223"/>
      <c r="N1" s="1223"/>
      <c r="O1" s="1223"/>
      <c r="P1" s="1223"/>
      <c r="Q1" s="1223"/>
      <c r="R1" s="1223"/>
      <c r="S1" s="1223"/>
      <c r="T1" s="1223"/>
      <c r="U1" s="1223"/>
      <c r="V1" s="1223"/>
      <c r="W1" s="1223"/>
      <c r="X1" s="1223"/>
      <c r="Y1" s="1223"/>
      <c r="Z1" s="1223"/>
      <c r="AA1" s="1223"/>
      <c r="AB1" s="2580"/>
      <c r="AC1" s="1221"/>
      <c r="AD1" s="1221"/>
    </row>
    <row r="2" spans="1:36" ht="11.1" customHeight="1" thickBot="1">
      <c r="A2" s="1207" t="s">
        <v>3987</v>
      </c>
      <c r="B2" s="1207"/>
      <c r="C2" s="1208"/>
      <c r="D2" s="2582" t="str">
        <f>IF('Main Creation Page'!E14&gt;11,"Accurate Counting", " ")</f>
        <v>Accurate Counting</v>
      </c>
      <c r="E2" s="2583"/>
      <c r="F2" s="2584"/>
      <c r="G2" s="707"/>
      <c r="H2" s="707"/>
      <c r="I2" s="707"/>
      <c r="J2" s="707"/>
      <c r="K2" s="2581" t="s">
        <v>5145</v>
      </c>
      <c r="L2" s="2536"/>
      <c r="M2" s="2536"/>
      <c r="N2" s="2552"/>
      <c r="O2" s="622" t="str">
        <f>IF('Main Creation Page'!$C$3=1,IF('System Lookups'!$B$174&gt;4,"Y","N"),IF('Main Creation Page'!$C$3=2,IF('System Lookups'!$C$174&gt;1,"Y","N"),"N"))</f>
        <v>Y</v>
      </c>
      <c r="P2" s="598"/>
      <c r="Q2" s="613"/>
      <c r="R2" s="1257" t="s">
        <v>1446</v>
      </c>
      <c r="S2" s="1257" t="s">
        <v>1449</v>
      </c>
      <c r="T2" s="1257" t="s">
        <v>1447</v>
      </c>
      <c r="U2" s="1257" t="s">
        <v>6183</v>
      </c>
      <c r="V2" s="905"/>
      <c r="W2" s="905"/>
      <c r="X2" s="598"/>
      <c r="Y2" s="598"/>
      <c r="AA2" s="2585" t="s">
        <v>3285</v>
      </c>
      <c r="AB2" s="1272"/>
      <c r="AC2" s="1272"/>
      <c r="AD2" s="1272"/>
    </row>
    <row r="3" spans="1:36" ht="15" customHeight="1" thickTop="1">
      <c r="A3" s="1207" t="s">
        <v>3988</v>
      </c>
      <c r="B3" s="1208"/>
      <c r="C3" s="906" t="str">
        <f>IF('Main Creation Page'!I31="F","Y","N")</f>
        <v>N</v>
      </c>
      <c r="D3" s="907">
        <v>1</v>
      </c>
      <c r="E3" s="674"/>
      <c r="F3" s="674">
        <v>1</v>
      </c>
      <c r="G3" s="636"/>
      <c r="H3" s="908"/>
      <c r="K3" s="2551" t="s">
        <v>3549</v>
      </c>
      <c r="L3" s="1207"/>
      <c r="M3" s="1207"/>
      <c r="N3" s="1208"/>
      <c r="O3" s="1076" t="s">
        <v>5224</v>
      </c>
      <c r="P3" s="1075" t="str">
        <f>IF($O$2="Y",$O$3,IF(OR('Main Creation Page'!$C$3=2,'Main Creation Page'!$C$3=3),"N",IF('System Lookups'!$B$174=4,IF(VLOOKUP('Main Creation Page'!$C$27,Status_Guildsman,10)="Y",$O$3,"N"),IF(AND('Main Creation Page'!C3=4,'System Lookups'!E174=5),"Y","N"))))</f>
        <v>N</v>
      </c>
      <c r="Q3" s="598"/>
      <c r="R3" s="1260"/>
      <c r="S3" s="1260"/>
      <c r="T3" s="1260"/>
      <c r="U3" s="1260"/>
      <c r="V3" s="598"/>
      <c r="W3" s="598"/>
      <c r="X3" s="598"/>
      <c r="Y3" s="598"/>
      <c r="Z3" s="909">
        <v>25</v>
      </c>
      <c r="AA3" s="1221"/>
      <c r="AB3" s="1221"/>
      <c r="AC3" s="1221"/>
      <c r="AD3" s="1221"/>
      <c r="AF3" s="602" t="str">
        <f>IF(C3="Y",+Skills!$A$217,"")</f>
        <v/>
      </c>
    </row>
    <row r="4" spans="1:36" ht="12.95" customHeight="1" thickBot="1">
      <c r="A4" s="1207" t="s">
        <v>1741</v>
      </c>
      <c r="B4" s="1207"/>
      <c r="C4" s="1207"/>
      <c r="D4" s="1207"/>
      <c r="E4" s="1207"/>
      <c r="F4" s="1208"/>
      <c r="G4" s="697" t="str">
        <f>IF(AND('Main Creation Page'!E14&gt;12,'Main Creation Page'!E13&gt;13),IF('Main Creation Page'!K5=3,"N","Y"), "N")</f>
        <v>N</v>
      </c>
      <c r="H4" s="707"/>
      <c r="I4" s="707"/>
      <c r="J4" s="2570" t="s">
        <v>5712</v>
      </c>
      <c r="K4" s="2570"/>
      <c r="L4" s="2570"/>
      <c r="M4" s="2570"/>
      <c r="N4" s="2574"/>
      <c r="O4" s="628">
        <v>8</v>
      </c>
      <c r="P4" s="622">
        <f>IF($P$3="N",0,IF('Main Creation Page'!$C$3=3,'System Lookups'!$K$205+1,IF('Main Creation Page'!$C$3=2,'System Lookups'!$J$205,IF('System Lookups'!$B$174&lt;5,IF('System Lookups'!$I$191="Merchant Prince",7,$O$4)+3,'System Lookups'!$I$205+IF(OR('Main Creation Page'!$C$3=4,'Main Creation Page'!$C$3=6),1,0)))))</f>
        <v>0</v>
      </c>
      <c r="Q4" s="910">
        <v>25.1</v>
      </c>
      <c r="R4" s="622">
        <f ca="1">COUNTIF(Skills!E5:E897,"c")</f>
        <v>17</v>
      </c>
      <c r="S4" s="622">
        <v>0</v>
      </c>
      <c r="T4" s="622">
        <f ca="1">COUNTIF(Skills!E5:E907,"c")</f>
        <v>17</v>
      </c>
      <c r="U4" s="622">
        <f>COUNTIF(Skills!AJ5:AJ897,"&gt;0")</f>
        <v>0</v>
      </c>
      <c r="V4" s="2586" t="s">
        <v>5430</v>
      </c>
      <c r="W4" s="2586"/>
      <c r="X4" s="2586"/>
      <c r="Y4" s="2586"/>
      <c r="Z4" s="2586"/>
      <c r="AA4" s="911"/>
      <c r="AB4" s="761">
        <f>VLOOKUP((VLOOKUP(AC4,'Main Creation Page'!$A$9:$E$17,5)+MAX(DISC,VLOOKUP(AC5,'Main Creation Page'!$A$9:$E$17,5))),'System Lookups'!$I$5:$J$13,2)</f>
        <v>2</v>
      </c>
      <c r="AC4" s="602">
        <v>8</v>
      </c>
      <c r="AF4" s="602" t="str">
        <f>IF(C3="Y",Skills!$A$255,"")</f>
        <v/>
      </c>
    </row>
    <row r="5" spans="1:36" ht="12.95" customHeight="1" thickTop="1" thickBot="1">
      <c r="A5" s="2576" t="s">
        <v>5566</v>
      </c>
      <c r="B5" s="2576"/>
      <c r="C5" s="2576"/>
      <c r="D5" s="2576"/>
      <c r="E5" s="2577"/>
      <c r="F5" s="2578"/>
      <c r="G5" s="912" t="s">
        <v>5222</v>
      </c>
      <c r="H5" s="707"/>
      <c r="I5" s="707"/>
      <c r="J5" s="707"/>
      <c r="K5" s="598"/>
      <c r="L5" s="2587" t="str">
        <f>IF(P3="N","Chivalric Training:","Scholarly Option:")</f>
        <v>Chivalric Training:</v>
      </c>
      <c r="M5" s="2587"/>
      <c r="N5" s="2587"/>
      <c r="O5" s="2587"/>
      <c r="P5" s="598"/>
      <c r="Q5" s="913">
        <v>25.2</v>
      </c>
      <c r="R5" s="622">
        <f ca="1">IF('Main Creation Page'!C3=2,'System Lookups'!J205+1,IF('Main Creation Page'!C3=3,'System Lookups'!K205+1,'System Lookups'!I205))+IF('Main Creation Page'!K5=3,1,0)+IF(D22="Y",5,0)+IF('SA&amp;DD'!D9="Y",1,0)+IF(OR('Main Creation Page'!C3=4,'Main Creation Page'!C3=6),1,0)</f>
        <v>18</v>
      </c>
      <c r="S5" s="622">
        <v>0</v>
      </c>
      <c r="T5" s="622">
        <f ca="1">COUNTIF(Skills!BA5:BA907,"&gt;0")-U4-IF(Skills!BA217&gt;0,5,0)</f>
        <v>7</v>
      </c>
      <c r="U5" s="598"/>
      <c r="V5" s="2553" t="s">
        <v>4292</v>
      </c>
      <c r="W5" s="1207"/>
      <c r="X5" s="1207"/>
      <c r="Y5" s="1207"/>
      <c r="Z5" s="1207"/>
      <c r="AC5" s="602">
        <v>7</v>
      </c>
      <c r="AF5" s="602" t="str">
        <f>IF(C3="Y",Skills!$A$252,"")</f>
        <v/>
      </c>
      <c r="AJ5" s="672"/>
    </row>
    <row r="6" spans="1:36" ht="12.95" customHeight="1" thickTop="1" thickBot="1">
      <c r="A6" s="1207" t="s">
        <v>286</v>
      </c>
      <c r="B6" s="1207"/>
      <c r="C6" s="1207"/>
      <c r="D6" s="1207"/>
      <c r="E6" s="1207"/>
      <c r="F6" s="1208"/>
      <c r="G6" s="912" t="s">
        <v>5222</v>
      </c>
      <c r="H6" s="707"/>
      <c r="I6" s="707"/>
      <c r="J6" s="707"/>
      <c r="K6" s="662"/>
      <c r="L6" s="2536" t="s">
        <v>1335</v>
      </c>
      <c r="M6" s="2588"/>
      <c r="N6" s="2588"/>
      <c r="O6" s="2589"/>
      <c r="P6" s="622" t="str">
        <f>$O$2</f>
        <v>Y</v>
      </c>
      <c r="Q6" s="913">
        <v>25.4</v>
      </c>
      <c r="R6" s="622">
        <f>IF(D11="Y",2,0)+IF(AND(D13="Y",RACE=2),1,0)+IF(AND(D15="Y",RACE=3),1,0)</f>
        <v>2</v>
      </c>
      <c r="S6" s="622">
        <v>1</v>
      </c>
      <c r="T6" s="622">
        <f>ABS(COUNTIF(Skills!$AO$5:$AO$907,"=1"))+IF(ISNUMBER(FIND("Z",Skills!$I$217)),-5,0)</f>
        <v>2</v>
      </c>
      <c r="U6" s="598"/>
      <c r="V6" s="2553" t="s">
        <v>2160</v>
      </c>
      <c r="W6" s="2553"/>
      <c r="X6" s="2553"/>
      <c r="Y6" s="2553"/>
      <c r="Z6" s="2553"/>
      <c r="AJ6" s="603"/>
    </row>
    <row r="7" spans="1:36" ht="11.1" customHeight="1" thickTop="1" thickBot="1">
      <c r="A7" s="1207" t="s">
        <v>4804</v>
      </c>
      <c r="B7" s="1207"/>
      <c r="C7" s="1207"/>
      <c r="D7" s="1207"/>
      <c r="K7" s="662"/>
      <c r="L7" s="2536" t="str">
        <f>IF($P$3="Y","Noble skill","Riding a War-horse")</f>
        <v>Riding a War-horse</v>
      </c>
      <c r="M7" s="1690"/>
      <c r="N7" s="1690"/>
      <c r="O7" s="2556"/>
      <c r="P7" s="622" t="str">
        <f>IF($P$3="Y","Y",$O$2)</f>
        <v>Y</v>
      </c>
      <c r="Q7" s="913">
        <v>25.5</v>
      </c>
      <c r="R7" s="622">
        <v>6</v>
      </c>
      <c r="S7" s="622">
        <v>1</v>
      </c>
      <c r="T7" s="622">
        <f ca="1">SUM(Skills!AX6:AX907)+IF(Skills!AX217&gt;0,-5,0)</f>
        <v>2</v>
      </c>
      <c r="U7" s="598"/>
      <c r="V7" s="2553" t="s">
        <v>418</v>
      </c>
      <c r="W7" s="1207"/>
      <c r="X7" s="1207"/>
      <c r="Y7" s="1207"/>
      <c r="Z7" s="1207"/>
      <c r="AF7" s="602" t="str">
        <f>IF(C3="N","Brawling",IF('Main Creation Page'!C26&gt;70,"Courtly Manners",""))</f>
        <v>Brawling</v>
      </c>
      <c r="AJ7" s="603"/>
    </row>
    <row r="8" spans="1:36" ht="10.5" customHeight="1" thickTop="1" thickBot="1">
      <c r="A8" s="638" t="str">
        <f>IF('Main Creation Page'!E26="serf", "Conditioning"," ")</f>
        <v xml:space="preserve"> </v>
      </c>
      <c r="B8" s="636"/>
      <c r="C8" s="598" t="str">
        <f>IF('Main Creation Page'!E26="serf", "Endurance"," ")</f>
        <v xml:space="preserve"> </v>
      </c>
      <c r="D8" s="636"/>
      <c r="E8" s="638"/>
      <c r="F8" s="598"/>
      <c r="G8" s="598" t="s">
        <v>2810</v>
      </c>
      <c r="H8" s="598" t="s">
        <v>2240</v>
      </c>
      <c r="K8" s="662"/>
      <c r="L8" s="2536" t="str">
        <f>IF($P$3="Y","Foreign Language (Spoken)","Mounted Combat")</f>
        <v>Mounted Combat</v>
      </c>
      <c r="M8" s="1690"/>
      <c r="N8" s="1690"/>
      <c r="O8" s="2556"/>
      <c r="P8" s="1067" t="str">
        <f>IF($P$3="Y","Y",$O$2)</f>
        <v>Y</v>
      </c>
      <c r="Q8" s="913">
        <v>25.6</v>
      </c>
      <c r="R8" s="622">
        <v>4</v>
      </c>
      <c r="S8" s="622">
        <v>0</v>
      </c>
      <c r="T8" s="622">
        <f ca="1">SUM(Skills!AY6:AY907)+IF(Skills!AY217&gt;0,-5,0)-U4</f>
        <v>0</v>
      </c>
      <c r="U8" s="1257" t="s">
        <v>1448</v>
      </c>
      <c r="V8" s="2553" t="s">
        <v>419</v>
      </c>
      <c r="W8" s="2554"/>
      <c r="X8" s="1207"/>
      <c r="Y8" s="1207"/>
      <c r="Z8" s="1207"/>
      <c r="AF8" s="602" t="str">
        <f>IF(AND(C3="Y",'Main Creation Page'!C26&lt;71),+Skills!$A$217,"")</f>
        <v/>
      </c>
      <c r="AJ8" s="603"/>
    </row>
    <row r="9" spans="1:36" ht="11.1" customHeight="1" thickTop="1" thickBot="1">
      <c r="A9" s="1207" t="s">
        <v>676</v>
      </c>
      <c r="B9" s="1207"/>
      <c r="C9" s="1207"/>
      <c r="D9" s="1207"/>
      <c r="E9" s="2554"/>
      <c r="F9" s="1208"/>
      <c r="G9" s="622">
        <f>IF('Main Creation Page'!E26="Serf", 2, IF('Main Creation Page'!E26="Rural Freeman", 3, IF('Main Creation Page'!E26="Townsman", 5, IF('Main Creation Page'!E26="Guildsman", 7,0))))</f>
        <v>0</v>
      </c>
      <c r="H9" s="622">
        <f>ABS(SUM(Skills!AM5:AM876))</f>
        <v>0</v>
      </c>
      <c r="I9" s="914">
        <v>25.9</v>
      </c>
      <c r="L9" s="2536" t="str">
        <f>IF($P$3="Y","Ancient Language (Spoken)","Cavalry Lances")</f>
        <v>Cavalry Lances</v>
      </c>
      <c r="M9" s="1690"/>
      <c r="N9" s="1690"/>
      <c r="O9" s="2556"/>
      <c r="P9" s="1067" t="str">
        <f>IF($P$3="Y","Y",$O$2)</f>
        <v>Y</v>
      </c>
      <c r="Q9" s="913">
        <v>25.7</v>
      </c>
      <c r="R9" s="622">
        <f>IF(('Main Creation Page'!E13+'Main Creation Page'!E14)&lt;20,1,IF(('Main Creation Page'!E13+'Main Creation Page'!E14)&lt;30,2,IF(('Main Creation Page'!E13+'Main Creation Page'!E14)&lt;36,3,IF(('Main Creation Page'!E13+'Main Creation Page'!E14)&lt;40,4,5))))</f>
        <v>3</v>
      </c>
      <c r="S9" s="622">
        <v>0</v>
      </c>
      <c r="T9" s="622">
        <f ca="1">SUM(Skills!AZ6:AZ907)+IF(Skills!AZ217&gt;0,-5,0)</f>
        <v>0</v>
      </c>
      <c r="U9" s="1260"/>
      <c r="V9" s="2553" t="s">
        <v>417</v>
      </c>
      <c r="W9" s="2554"/>
      <c r="X9" s="1207"/>
      <c r="Y9" s="1207"/>
      <c r="Z9" s="1207"/>
      <c r="AF9" s="602" t="str">
        <f>IF(AND(C3="Y",'Main Creation Page'!C26&lt;71),+Skills!$A$255,"")</f>
        <v/>
      </c>
      <c r="AJ9" s="721"/>
    </row>
    <row r="10" spans="1:36" ht="11.1" customHeight="1" thickTop="1">
      <c r="A10" s="707"/>
      <c r="B10" s="707"/>
      <c r="C10" s="707"/>
      <c r="D10" s="707"/>
      <c r="E10" s="707" t="s">
        <v>1690</v>
      </c>
      <c r="G10" s="707" t="s">
        <v>1279</v>
      </c>
      <c r="I10" s="707" t="s">
        <v>1279</v>
      </c>
      <c r="J10" s="707"/>
      <c r="K10" s="662"/>
      <c r="L10" s="2536" t="str">
        <f>IF($P$3="Y","Foreign Language (Written)","Wear Light Armour")</f>
        <v>Wear Light Armour</v>
      </c>
      <c r="M10" s="1690"/>
      <c r="N10" s="1690"/>
      <c r="O10" s="2556"/>
      <c r="P10" s="1067" t="str">
        <f>IF($P$3="Y",IF('Main Creation Page'!$E$14&gt;9,"Y","N"),$O$2)</f>
        <v>Y</v>
      </c>
      <c r="Q10" s="915">
        <v>25.1</v>
      </c>
      <c r="R10" s="622">
        <f>5+INT(R15/U10)</f>
        <v>5</v>
      </c>
      <c r="S10" s="622">
        <v>1</v>
      </c>
      <c r="T10" s="622">
        <f>ABS(SUM(Skills!AL5:AL907))-T6</f>
        <v>1</v>
      </c>
      <c r="U10" s="622">
        <f>AB4</f>
        <v>2</v>
      </c>
      <c r="V10" s="2559" t="s">
        <v>1497</v>
      </c>
      <c r="W10" s="2554"/>
      <c r="X10" s="2554"/>
      <c r="Y10" s="2554"/>
      <c r="Z10" s="2554"/>
      <c r="AF10" s="602" t="str">
        <f>IF(AND(C3="Y",'Main Creation Page'!C26&lt;71),+Skills!$A$252,"")</f>
        <v/>
      </c>
      <c r="AH10" s="980"/>
      <c r="AJ10" s="721"/>
    </row>
    <row r="11" spans="1:36" ht="11.1" customHeight="1">
      <c r="A11" s="2551" t="s">
        <v>2167</v>
      </c>
      <c r="B11" s="2590"/>
      <c r="C11" s="2537"/>
      <c r="D11" s="628" t="s">
        <v>5222</v>
      </c>
      <c r="E11" s="2575" t="str">
        <f>IF(D11="Y",VLOOKUP('Main Creation Page'!$AD$31,'System Lookups'!$O$4:$T$15,2)," ")</f>
        <v>Libra/The Scales</v>
      </c>
      <c r="F11" s="2575"/>
      <c r="G11" s="2569" t="str">
        <f>IF(D11="Y",VLOOKUP('Main Creation Page'!$AD$31,'System Lookups'!$O$4:$T$15,5)," ")</f>
        <v>Lore</v>
      </c>
      <c r="H11" s="2569"/>
      <c r="I11" s="2569" t="str">
        <f>IF(D11="Y",VLOOKUP('Main Creation Page'!$AD$31,'System Lookups'!$O$4:$T$15,6)," ")</f>
        <v>Perception</v>
      </c>
      <c r="J11" s="2569"/>
      <c r="K11" s="662"/>
      <c r="L11" s="2536" t="str">
        <f>IF($P$3="Y","Ancient Language (Written)","Courtly Manners?")</f>
        <v>Courtly Manners?</v>
      </c>
      <c r="M11" s="1690"/>
      <c r="N11" s="1690"/>
      <c r="O11" s="2556"/>
      <c r="P11" s="1067" t="str">
        <f>IF($P$3="Y",IF('Main Creation Page'!$E$14&gt;12,"Y","N"),$O$2)</f>
        <v>Y</v>
      </c>
      <c r="Q11" s="598"/>
      <c r="R11" s="622">
        <f ca="1">SUM(R4:R10)</f>
        <v>55</v>
      </c>
      <c r="S11" s="622">
        <v>0</v>
      </c>
      <c r="T11" s="622">
        <f ca="1">SUM(T4:T10)</f>
        <v>29</v>
      </c>
      <c r="U11" s="598"/>
      <c r="V11" s="2553" t="s">
        <v>2161</v>
      </c>
      <c r="W11" s="1207"/>
      <c r="X11" s="1207"/>
      <c r="Y11" s="1207"/>
      <c r="Z11" s="1207"/>
      <c r="AJ11" s="598"/>
    </row>
    <row r="12" spans="1:36" ht="11.1" customHeight="1">
      <c r="A12" s="598"/>
      <c r="B12" s="598"/>
      <c r="C12" s="598"/>
      <c r="D12" s="598"/>
      <c r="E12" s="707" t="s">
        <v>1740</v>
      </c>
      <c r="G12" s="707" t="s">
        <v>1279</v>
      </c>
      <c r="H12" s="707"/>
      <c r="K12" s="662"/>
      <c r="L12" s="2536" t="s">
        <v>1336</v>
      </c>
      <c r="M12" s="1690"/>
      <c r="N12" s="1690"/>
      <c r="O12" s="2556"/>
      <c r="P12" s="1067" t="str">
        <f>IF('Main Creation Page'!K5=3,"N",IF('Main Creation Page'!$E$14&gt;8,IF($P$3="Y","Y",$O$2)))</f>
        <v>N</v>
      </c>
      <c r="R12" s="1305">
        <f>VLOOKUP(Experience!R15,'System Lookups'!I15:J20,2)</f>
        <v>5000</v>
      </c>
      <c r="S12" s="1213"/>
      <c r="T12" s="632" t="s">
        <v>3810</v>
      </c>
      <c r="U12" s="598"/>
      <c r="V12" s="598"/>
      <c r="W12" s="598"/>
      <c r="X12" s="598"/>
    </row>
    <row r="13" spans="1:36" ht="11.1" customHeight="1">
      <c r="A13" s="2536" t="s">
        <v>411</v>
      </c>
      <c r="B13" s="1291"/>
      <c r="C13" s="2537"/>
      <c r="D13" s="1068" t="s">
        <v>5222</v>
      </c>
      <c r="E13" s="2579" t="str">
        <f>IF('Main Creation Page'!C3=2,VLOOKUP('Main Creation Page'!AD32,'Racial Lookups'!B30:E42,2)," ")</f>
        <v xml:space="preserve"> </v>
      </c>
      <c r="F13" s="2579"/>
      <c r="G13" s="2569" t="str">
        <f>IF('Main Creation Page'!C3=2,VLOOKUP('Main Creation Page'!AD32,'Racial Lookups'!B30:E42,3)," ")</f>
        <v xml:space="preserve"> </v>
      </c>
      <c r="H13" s="2569"/>
      <c r="K13" s="662"/>
      <c r="L13" s="2551" t="str">
        <f>"# of "&amp;IF($P$3="Y","Lore","Combat")&amp;" skills"</f>
        <v># of Combat skills</v>
      </c>
      <c r="M13" s="2551"/>
      <c r="N13" s="2551"/>
      <c r="O13" s="2552"/>
      <c r="P13" s="622">
        <f ca="1">IF($O$2="Y",IF('Main Creation Page'!$C$3=1,2+'System Lookups'!$I$193,IF('Main Creation Page'!$C$3=2,2+'System Lookups'!$J$193,0))-COUNTIF(P15:P18,"Y"),$P$4-COUNTIF($P$6:$P$12,"Y")-3)</f>
        <v>6</v>
      </c>
      <c r="Q13" s="910">
        <v>26.1</v>
      </c>
      <c r="R13" s="1282">
        <f>5000+(IF('Main Creation Page'!AD38="D",VLOOKUP(50, 'Racial Lookups'!A286:X298,23),VLOOKUP('Main Creation Page'!AD39, 'Racial Lookups'!A286:X298,23)))</f>
        <v>5000</v>
      </c>
      <c r="S13" s="1213"/>
      <c r="T13" s="686" t="s">
        <v>248</v>
      </c>
      <c r="U13" s="662"/>
      <c r="V13" s="662"/>
      <c r="W13" s="598"/>
      <c r="X13" s="598"/>
    </row>
    <row r="14" spans="1:36" ht="11.1" customHeight="1">
      <c r="A14" s="598"/>
      <c r="B14" s="598"/>
      <c r="C14" s="598"/>
      <c r="D14" s="598"/>
      <c r="E14" s="707" t="s">
        <v>1740</v>
      </c>
      <c r="G14" s="707" t="s">
        <v>941</v>
      </c>
      <c r="I14" s="707" t="s">
        <v>1279</v>
      </c>
      <c r="J14" s="707"/>
      <c r="K14" s="662"/>
      <c r="L14" s="2536" t="s">
        <v>5523</v>
      </c>
      <c r="M14" s="1690"/>
      <c r="N14" s="1690"/>
      <c r="O14" s="2556"/>
      <c r="P14" s="622" t="str">
        <f ca="1">IF(AND($P$3="N",'Main Creation Page'!I26&gt;59),$O$2,"N")</f>
        <v>N</v>
      </c>
      <c r="Q14" s="598"/>
      <c r="R14" s="918" t="s">
        <v>3519</v>
      </c>
      <c r="U14" s="598"/>
      <c r="V14" s="609"/>
      <c r="W14" s="598"/>
      <c r="X14" s="598"/>
    </row>
    <row r="15" spans="1:36" ht="9.9499999999999993" customHeight="1">
      <c r="A15" s="2536" t="s">
        <v>412</v>
      </c>
      <c r="B15" s="1291"/>
      <c r="C15" s="2537"/>
      <c r="D15" s="628" t="s">
        <v>5224</v>
      </c>
      <c r="E15" s="2575" t="str">
        <f>IF('Main Creation Page'!C3=3,VLOOKUP('Main Creation Page'!AD34,'Racial Lookups'!A109:E120,2)," ")</f>
        <v xml:space="preserve"> </v>
      </c>
      <c r="F15" s="2575"/>
      <c r="G15" s="2569" t="str">
        <f>IF('Main Creation Page'!C3=3,VLOOKUP('Main Creation Page'!AD34,'Racial Lookups'!A109:E120,3)," ")</f>
        <v xml:space="preserve"> </v>
      </c>
      <c r="H15" s="2569"/>
      <c r="I15" s="2539" t="str">
        <f>IF('Main Creation Page'!C3=3,VLOOKUP('Main Creation Page'!AD34,'Racial Lookups'!A109:E120,4)," ")</f>
        <v xml:space="preserve"> </v>
      </c>
      <c r="J15" s="2540"/>
      <c r="K15" s="662"/>
      <c r="L15" s="2570" t="s">
        <v>3985</v>
      </c>
      <c r="M15" s="1690"/>
      <c r="N15" s="1690"/>
      <c r="O15" s="2556"/>
      <c r="P15" s="628" t="s">
        <v>5224</v>
      </c>
      <c r="Q15" s="598"/>
      <c r="R15" s="2567">
        <f>'System Lookups'!C180</f>
        <v>1</v>
      </c>
      <c r="S15" s="2568"/>
      <c r="T15" s="686" t="s">
        <v>5286</v>
      </c>
      <c r="U15" s="598"/>
      <c r="V15" s="609"/>
      <c r="W15" s="598"/>
      <c r="X15" s="598"/>
    </row>
    <row r="16" spans="1:36" ht="9.9499999999999993" customHeight="1">
      <c r="A16" s="598"/>
      <c r="B16" s="598"/>
      <c r="C16" s="598"/>
      <c r="D16" s="598"/>
      <c r="E16" s="707"/>
      <c r="F16" s="707"/>
      <c r="G16" s="707"/>
      <c r="H16" s="707"/>
      <c r="K16" s="598"/>
      <c r="L16" s="2570" t="s">
        <v>2156</v>
      </c>
      <c r="M16" s="1690"/>
      <c r="N16" s="1690"/>
      <c r="O16" s="2556"/>
      <c r="P16" s="628" t="s">
        <v>5224</v>
      </c>
      <c r="Q16" s="598"/>
      <c r="R16" s="2557">
        <f>Skills!AI5+Skills!AI15+Skills!AI58+Skills!AI106+Skills!AI130+Skills!AI150+Skills!AI213+Skills!AI235+Skills!AI297+Skills!AI472+Skills!AI553+Skills!AI587+Skills!AI743+Skills!AI781+Skills!AI790+Skills!AI801+Skills!AI808+Skills!AI837+Skills!AI848+Skills!AI857+Skills!AI878+Skills!AI886+Skills!AI897</f>
        <v>0</v>
      </c>
      <c r="S16" s="2558"/>
      <c r="T16" s="686" t="s">
        <v>3250</v>
      </c>
      <c r="U16" s="598"/>
      <c r="V16" s="609"/>
      <c r="W16" s="598"/>
      <c r="X16" s="598"/>
      <c r="Y16" s="598"/>
    </row>
    <row r="17" spans="1:30" ht="9.9499999999999993" customHeight="1">
      <c r="A17" s="598"/>
      <c r="B17" s="598"/>
      <c r="C17" s="611" t="s">
        <v>4315</v>
      </c>
      <c r="D17" s="622" t="str">
        <f>IF('SA&amp;DD'!D35="Y","Y","N")</f>
        <v>N</v>
      </c>
      <c r="E17" s="743">
        <f>IF('SA&amp;DD'!D35="Y",0.11+'SA&amp;DD'!G35/100,0)</f>
        <v>0</v>
      </c>
      <c r="F17" s="622">
        <f>IF(D17="Y",IF('Main Creation Page'!E6="Well",4,3),0)</f>
        <v>0</v>
      </c>
      <c r="G17" s="707"/>
      <c r="H17" s="707"/>
      <c r="K17" s="598"/>
      <c r="L17" s="2536" t="s">
        <v>3986</v>
      </c>
      <c r="M17" s="1690"/>
      <c r="N17" s="1690"/>
      <c r="O17" s="2556"/>
      <c r="P17" s="628" t="s">
        <v>5224</v>
      </c>
      <c r="Q17" s="598"/>
      <c r="R17" s="919" t="s">
        <v>3520</v>
      </c>
      <c r="U17" s="598"/>
      <c r="V17" s="598"/>
      <c r="W17" s="598"/>
      <c r="X17" s="598"/>
      <c r="Y17" s="598"/>
    </row>
    <row r="18" spans="1:30" ht="9.9499999999999993" customHeight="1">
      <c r="A18" s="598"/>
      <c r="B18" s="598"/>
      <c r="C18" s="611" t="s">
        <v>3743</v>
      </c>
      <c r="D18" s="622" t="str">
        <f>IF('SA&amp;DD'!D65="Y","Y",(IF('SA&amp;DD'!D69="Y","Y","N")))</f>
        <v>N</v>
      </c>
      <c r="E18" s="598"/>
      <c r="F18" s="598"/>
      <c r="G18" s="707"/>
      <c r="H18" s="707"/>
      <c r="K18" s="598"/>
      <c r="L18" s="2551" t="s">
        <v>2158</v>
      </c>
      <c r="M18" s="1690"/>
      <c r="N18" s="1690"/>
      <c r="O18" s="2556"/>
      <c r="P18" s="628" t="s">
        <v>5224</v>
      </c>
      <c r="Q18" s="598"/>
      <c r="R18" s="2567">
        <f>'System Lookups'!C188</f>
        <v>1</v>
      </c>
      <c r="S18" s="1213"/>
      <c r="T18" s="686" t="s">
        <v>5286</v>
      </c>
      <c r="X18" s="598"/>
      <c r="Y18" s="598"/>
    </row>
    <row r="19" spans="1:30" ht="9.9499999999999993" customHeight="1">
      <c r="A19" s="598"/>
      <c r="B19" s="598"/>
      <c r="C19" s="611" t="s">
        <v>3745</v>
      </c>
      <c r="D19" s="622" t="str">
        <f>IF('SA&amp;DD'!D65="Y","Y","N")</f>
        <v>N</v>
      </c>
      <c r="E19" s="622">
        <f>ROUNDUP('SA&amp;DD'!G65/2,0)</f>
        <v>5</v>
      </c>
      <c r="F19" s="598"/>
      <c r="G19" s="707"/>
      <c r="H19" s="707"/>
      <c r="K19" s="598"/>
      <c r="L19"/>
      <c r="M19"/>
      <c r="N19"/>
      <c r="O19"/>
      <c r="P19"/>
      <c r="Q19" s="598"/>
      <c r="R19" s="2557">
        <f>Skills!AG5+Skills!AG15+Skills!AG58+Skills!AG106+Skills!AG130+Skills!AG150+Skills!AG213+Skills!AG235+Skills!AG297+Skills!AG472+Skills!AG553+Skills!AG587+Skills!AG743+Skills!AG781+Skills!AG790+Skills!AG801+Skills!AG808+Skills!AG837+Skills!AG848+Skills!AG857+Skills!AG878+Skills!AG886+Skills!AG897</f>
        <v>0</v>
      </c>
      <c r="S19" s="2558"/>
      <c r="T19" s="686" t="s">
        <v>3250</v>
      </c>
      <c r="U19" s="598"/>
      <c r="V19" s="598"/>
      <c r="W19" s="598"/>
      <c r="X19" s="598"/>
      <c r="Y19" s="598"/>
      <c r="Z19" s="598"/>
    </row>
    <row r="20" spans="1:30" ht="9.9499999999999993" customHeight="1">
      <c r="A20" s="598"/>
      <c r="B20" s="598"/>
      <c r="C20" s="598"/>
      <c r="D20" s="611" t="str">
        <f>IF('SA&amp;DD'!D65="Y",IF('Main Creation Page'!E12&gt;15,"1/2d10"," ")," ")</f>
        <v xml:space="preserve"> </v>
      </c>
      <c r="E20" s="628"/>
      <c r="F20" s="598"/>
      <c r="G20" s="707"/>
      <c r="H20" s="707"/>
      <c r="K20" s="598"/>
      <c r="L20"/>
      <c r="M20"/>
      <c r="N20"/>
      <c r="O20"/>
      <c r="P20"/>
      <c r="Q20" s="598"/>
    </row>
    <row r="21" spans="1:30" ht="9.9499999999999993" customHeight="1">
      <c r="A21" s="598"/>
      <c r="B21" s="598"/>
      <c r="C21" s="598"/>
      <c r="D21" s="611" t="str">
        <f>IF('SA&amp;DD'!D65="Y",IF('Main Creation Page'!E13&gt;13,"1/2d10"," ")," ")</f>
        <v xml:space="preserve"> </v>
      </c>
      <c r="E21" s="628"/>
      <c r="F21" s="598"/>
      <c r="G21" s="707"/>
      <c r="H21" s="707"/>
      <c r="K21" s="598"/>
      <c r="L21"/>
      <c r="M21"/>
      <c r="N21"/>
      <c r="O21"/>
      <c r="P21"/>
      <c r="Q21" s="598"/>
      <c r="R21" s="714">
        <v>1</v>
      </c>
      <c r="S21" s="714">
        <v>0.75</v>
      </c>
      <c r="T21" s="714">
        <v>0.2</v>
      </c>
      <c r="U21" s="714">
        <v>0.1</v>
      </c>
      <c r="V21" s="714">
        <v>0.05</v>
      </c>
      <c r="W21" s="714">
        <v>0.04</v>
      </c>
      <c r="X21" s="714">
        <v>0.03</v>
      </c>
      <c r="Y21" s="714">
        <v>0.02</v>
      </c>
      <c r="Z21" s="714">
        <v>0.01</v>
      </c>
      <c r="AA21" s="632" t="s">
        <v>1394</v>
      </c>
    </row>
    <row r="22" spans="1:30" ht="9.9499999999999993" customHeight="1">
      <c r="A22" s="598"/>
      <c r="B22" s="2538" t="s">
        <v>3744</v>
      </c>
      <c r="C22" s="2538"/>
      <c r="D22" s="622" t="str">
        <f>IF('SA&amp;DD'!C47="Y",(IF('SA&amp;DD'!D47="Y","Y","N")),"N")</f>
        <v>Y</v>
      </c>
      <c r="E22" s="598"/>
      <c r="F22" s="598"/>
      <c r="G22" s="707"/>
      <c r="H22" s="707"/>
      <c r="K22" s="598"/>
      <c r="L22"/>
      <c r="M22"/>
      <c r="N22"/>
      <c r="O22"/>
      <c r="P22"/>
      <c r="Q22" s="598"/>
      <c r="R22" s="920">
        <f>R12</f>
        <v>5000</v>
      </c>
      <c r="S22" s="920">
        <f>$R$12*0.75</f>
        <v>3750</v>
      </c>
      <c r="T22" s="920">
        <f>$R$12*0.2</f>
        <v>1000</v>
      </c>
      <c r="U22" s="920">
        <f>$R$12*0.1</f>
        <v>500</v>
      </c>
      <c r="V22" s="920">
        <f>$R$12*0.05</f>
        <v>250</v>
      </c>
      <c r="W22" s="920">
        <f>$R$12*0.04</f>
        <v>200</v>
      </c>
      <c r="X22" s="920">
        <f>$R$12*0.03</f>
        <v>150</v>
      </c>
      <c r="Y22" s="920">
        <f>$R$12*0.02</f>
        <v>100</v>
      </c>
      <c r="Z22" s="920">
        <f>$R$12*0.01</f>
        <v>50</v>
      </c>
      <c r="AA22" s="632" t="s">
        <v>1395</v>
      </c>
    </row>
    <row r="23" spans="1:30" ht="9.9499999999999993" customHeight="1">
      <c r="A23" s="598"/>
      <c r="B23" s="2538"/>
      <c r="C23" s="2538"/>
      <c r="D23" s="622">
        <f>IF(D22="Y",5,0)</f>
        <v>5</v>
      </c>
      <c r="E23" s="598"/>
      <c r="F23" s="598"/>
      <c r="K23" s="598"/>
      <c r="L23"/>
      <c r="M23"/>
      <c r="N23"/>
      <c r="O23"/>
      <c r="P23"/>
      <c r="Q23" s="598"/>
      <c r="R23" s="598"/>
      <c r="S23" s="598"/>
      <c r="T23" s="598"/>
      <c r="U23" s="598"/>
      <c r="V23" s="598"/>
      <c r="W23" s="598"/>
      <c r="X23" s="598"/>
      <c r="AA23" s="598"/>
    </row>
    <row r="24" spans="1:30" ht="12.75">
      <c r="A24" s="598"/>
      <c r="B24" s="2538"/>
      <c r="C24" s="2538"/>
      <c r="D24" s="598" t="s">
        <v>6123</v>
      </c>
      <c r="E24" s="598"/>
      <c r="F24" s="598"/>
      <c r="G24" s="602" t="s">
        <v>6124</v>
      </c>
      <c r="K24" s="598"/>
      <c r="L24"/>
      <c r="M24"/>
      <c r="N24"/>
      <c r="O24"/>
      <c r="P24"/>
      <c r="Q24" s="910">
        <v>26.2</v>
      </c>
      <c r="R24" s="680">
        <f>1+((1*(('Main Creation Page'!$E$13-10)/2))+(1*(Experience!$R$15/3)))</f>
        <v>3.8333333333333335</v>
      </c>
      <c r="S24" s="632" t="s">
        <v>1342</v>
      </c>
      <c r="T24" s="598"/>
      <c r="U24" s="598"/>
      <c r="V24" s="912"/>
      <c r="W24" s="622">
        <f>V24*R24</f>
        <v>0</v>
      </c>
      <c r="Z24" s="2564" t="s">
        <v>4218</v>
      </c>
      <c r="AA24" s="2565"/>
      <c r="AB24" s="2565"/>
      <c r="AC24" s="2565"/>
      <c r="AD24" s="2566"/>
    </row>
    <row r="25" spans="1:30" ht="12.75">
      <c r="A25" s="598"/>
      <c r="B25" s="598"/>
      <c r="C25" s="611" t="s">
        <v>413</v>
      </c>
      <c r="D25" s="609">
        <f>IF($D$22="N",0,IF('Main Creation Page'!$E$14&gt;16,2,0)+IF('Main Creation Page'!$E$14&gt;16,IF('Main Creation Page'!$E$17&gt;16,IF('Main Creation Page'!$E$13&gt;14,2,0),0),0))</f>
        <v>4</v>
      </c>
      <c r="E25" s="598"/>
      <c r="F25" s="598"/>
      <c r="G25" s="1060">
        <f>SUM(Skills!$L$297:$L$788)</f>
        <v>0</v>
      </c>
      <c r="H25" s="1063"/>
      <c r="K25" s="598"/>
      <c r="L25"/>
      <c r="M25"/>
      <c r="N25"/>
      <c r="O25"/>
      <c r="P25"/>
      <c r="Q25" s="598"/>
      <c r="S25" s="632" t="s">
        <v>2095</v>
      </c>
      <c r="Z25" s="2543">
        <v>50</v>
      </c>
      <c r="AA25" s="2544"/>
      <c r="AB25" s="739" t="s">
        <v>1340</v>
      </c>
      <c r="AC25" s="922"/>
      <c r="AD25" s="923"/>
    </row>
    <row r="26" spans="1:30" ht="9.9499999999999993" customHeight="1">
      <c r="A26" s="598"/>
      <c r="B26" s="598"/>
      <c r="C26" s="611" t="s">
        <v>414</v>
      </c>
      <c r="D26" s="609">
        <f>IF('Main Creation Page'!$E$14&gt;12,3,0)</f>
        <v>3</v>
      </c>
      <c r="E26" s="1207" t="s">
        <v>416</v>
      </c>
      <c r="F26" s="1207"/>
      <c r="G26" s="1060">
        <f>COUNTIF(Skills!$L$297:$L$788,"=1")</f>
        <v>0</v>
      </c>
      <c r="H26" s="1062">
        <v>1</v>
      </c>
      <c r="K26" s="598"/>
      <c r="L26"/>
      <c r="M26"/>
      <c r="N26"/>
      <c r="O26"/>
      <c r="P26"/>
      <c r="Q26" s="598"/>
      <c r="S26" s="632" t="s">
        <v>2096</v>
      </c>
      <c r="Z26" s="2543">
        <f>Z25*6</f>
        <v>300</v>
      </c>
      <c r="AA26" s="2544"/>
      <c r="AB26" s="739" t="s">
        <v>1339</v>
      </c>
      <c r="AC26" s="739"/>
      <c r="AD26" s="677">
        <f>'Main Creation Page'!E12</f>
        <v>15</v>
      </c>
    </row>
    <row r="27" spans="1:30" ht="9.9499999999999993" customHeight="1">
      <c r="A27" s="598"/>
      <c r="B27" s="598"/>
      <c r="C27" s="611" t="s">
        <v>415</v>
      </c>
      <c r="D27" s="609">
        <f>IF('Main Creation Page'!$E$17&gt;16,3,0)</f>
        <v>3</v>
      </c>
      <c r="E27" s="1207" t="s">
        <v>416</v>
      </c>
      <c r="F27" s="1207"/>
      <c r="G27" s="1060">
        <f>COUNTIF(Skills!$L$297:$L$788,"=2")</f>
        <v>0</v>
      </c>
      <c r="H27" s="1062">
        <v>2</v>
      </c>
      <c r="K27" s="598"/>
      <c r="L27" s="2560"/>
      <c r="M27" s="2560"/>
      <c r="N27" s="2560"/>
      <c r="O27" s="2560"/>
      <c r="Q27" s="598"/>
      <c r="V27" s="598"/>
      <c r="W27" s="598"/>
      <c r="X27" s="598"/>
      <c r="Z27" s="2545">
        <f>Z26*'Main Creation Page'!E12</f>
        <v>4500</v>
      </c>
      <c r="AA27" s="2546"/>
      <c r="AB27" s="925" t="s">
        <v>1341</v>
      </c>
      <c r="AC27" s="926"/>
      <c r="AD27" s="927"/>
    </row>
    <row r="28" spans="1:30" ht="9.9499999999999993" customHeight="1">
      <c r="A28" s="598"/>
      <c r="B28" s="598"/>
      <c r="C28" s="611"/>
      <c r="D28" s="609"/>
      <c r="E28" s="603"/>
      <c r="F28" s="603"/>
      <c r="G28" s="921"/>
      <c r="H28" s="619"/>
      <c r="K28" s="598"/>
      <c r="L28" s="598"/>
      <c r="M28" s="598"/>
      <c r="N28" s="924"/>
      <c r="O28" s="924"/>
      <c r="Q28" s="598"/>
      <c r="V28" s="598"/>
      <c r="W28" s="598"/>
      <c r="X28" s="598"/>
    </row>
    <row r="29" spans="1:30" ht="2.1" customHeight="1" thickBot="1">
      <c r="A29" s="887"/>
      <c r="B29" s="887"/>
      <c r="C29" s="887"/>
      <c r="D29" s="887"/>
      <c r="E29" s="887"/>
      <c r="F29" s="888"/>
      <c r="G29" s="889"/>
      <c r="H29" s="888"/>
      <c r="I29" s="888"/>
      <c r="J29" s="888"/>
      <c r="K29" s="888"/>
      <c r="L29" s="888"/>
      <c r="M29" s="888"/>
      <c r="N29" s="888"/>
      <c r="O29" s="888"/>
      <c r="P29" s="888"/>
      <c r="Q29" s="888"/>
      <c r="R29" s="888"/>
      <c r="S29" s="888"/>
      <c r="T29" s="888"/>
      <c r="U29" s="888"/>
      <c r="V29" s="888"/>
      <c r="W29" s="888"/>
      <c r="X29" s="888"/>
      <c r="Y29" s="888"/>
      <c r="Z29" s="888"/>
      <c r="AA29" s="888"/>
      <c r="AB29" s="888"/>
      <c r="AC29" s="888"/>
      <c r="AD29" s="888"/>
    </row>
    <row r="30" spans="1:30" ht="9.9499999999999993" customHeight="1" thickTop="1">
      <c r="A30" s="707"/>
      <c r="B30" s="707"/>
      <c r="C30" s="707"/>
      <c r="D30" s="707"/>
      <c r="E30" s="707" t="s">
        <v>4445</v>
      </c>
      <c r="F30" s="707"/>
      <c r="G30" s="928"/>
      <c r="H30" s="707"/>
      <c r="I30" s="598"/>
      <c r="J30" s="603"/>
      <c r="K30" s="598"/>
      <c r="L30" s="598"/>
      <c r="M30" s="598"/>
      <c r="N30" s="598"/>
      <c r="O30" s="598"/>
      <c r="P30" s="686" t="s">
        <v>3865</v>
      </c>
      <c r="Q30" s="598"/>
      <c r="R30" s="598"/>
      <c r="S30" s="598"/>
      <c r="T30" s="598"/>
      <c r="U30" s="598"/>
    </row>
    <row r="31" spans="1:30" ht="9.9499999999999993" customHeight="1">
      <c r="A31" s="1063" t="s">
        <v>4809</v>
      </c>
      <c r="B31" s="707"/>
      <c r="C31" s="707"/>
      <c r="D31" s="929" t="s">
        <v>5224</v>
      </c>
      <c r="E31" s="929" t="s">
        <v>5224</v>
      </c>
      <c r="F31" s="609">
        <f>IF(AND(D31="Y",E31="Y"),$U$22,IF(AND(D31="N",E31="N"),0,$T$22))</f>
        <v>0</v>
      </c>
      <c r="G31" s="598">
        <f>(SUM(F31:F34)+G37+G40+R37+R40+AD37)</f>
        <v>0</v>
      </c>
      <c r="H31" s="603" t="s">
        <v>1397</v>
      </c>
      <c r="I31" s="636"/>
      <c r="J31" s="636"/>
      <c r="K31" s="636"/>
      <c r="L31" s="636"/>
      <c r="M31" s="598"/>
      <c r="N31" s="598"/>
      <c r="O31" s="598"/>
      <c r="P31" s="2561">
        <f>R13+'Master Spell List'!U1058+SUM(Skills!BH5:BH912)</f>
        <v>5000</v>
      </c>
      <c r="Q31" s="2562"/>
      <c r="R31" s="2562"/>
      <c r="S31" s="2563"/>
      <c r="T31" s="598"/>
      <c r="U31" s="598"/>
      <c r="Z31" s="922" t="s">
        <v>2102</v>
      </c>
      <c r="AA31" s="930"/>
      <c r="AB31" s="931" t="s">
        <v>2101</v>
      </c>
      <c r="AC31" s="931" t="s">
        <v>2100</v>
      </c>
      <c r="AD31" s="931" t="s">
        <v>3738</v>
      </c>
    </row>
    <row r="32" spans="1:30" ht="9.9499999999999993" customHeight="1">
      <c r="A32" s="1063" t="s">
        <v>4810</v>
      </c>
      <c r="B32" s="707"/>
      <c r="C32" s="707"/>
      <c r="D32" s="929" t="s">
        <v>5224</v>
      </c>
      <c r="E32" s="929" t="s">
        <v>5224</v>
      </c>
      <c r="F32" s="609">
        <f>IF(D32="Y",Experience!$X$22,0)</f>
        <v>0</v>
      </c>
      <c r="G32" s="598">
        <f>INT((+R37)*(IF('Main Creation Page'!E6="Well",0.15,IF('Main Creation Page'!E6="Poor",0.05,0.1)))+(R40*(IF('Main Creation Page'!E6="Well",0.15,IF('Main Creation Page'!E6="Poor",0.1,0.05)))))</f>
        <v>0</v>
      </c>
      <c r="H32" s="932" t="s">
        <v>4266</v>
      </c>
      <c r="I32" s="932"/>
      <c r="J32" s="932"/>
      <c r="K32" s="932"/>
      <c r="L32" s="932"/>
      <c r="M32" s="598"/>
      <c r="N32" s="598"/>
      <c r="O32" s="598"/>
      <c r="P32" s="598" t="s">
        <v>4207</v>
      </c>
      <c r="T32" s="598"/>
      <c r="U32" s="598"/>
      <c r="Z32" s="2534" t="s">
        <v>2097</v>
      </c>
      <c r="AA32" s="2534">
        <v>1</v>
      </c>
      <c r="AB32" s="933">
        <v>0.05</v>
      </c>
      <c r="AC32" s="920">
        <v>25</v>
      </c>
      <c r="AD32" s="920">
        <v>50</v>
      </c>
    </row>
    <row r="33" spans="1:30" ht="9.9499999999999993" customHeight="1">
      <c r="A33" s="1063" t="s">
        <v>4807</v>
      </c>
      <c r="B33" s="707"/>
      <c r="C33" s="707"/>
      <c r="D33" s="929" t="s">
        <v>5224</v>
      </c>
      <c r="E33" s="929" t="s">
        <v>5224</v>
      </c>
      <c r="F33" s="609">
        <f>IF(AND(D33="Y",E33="Y"),$U$22,IF(AND(D33="N",E33="N"),0,$T$22))</f>
        <v>0</v>
      </c>
      <c r="G33" s="598">
        <f>G31+G32</f>
        <v>0</v>
      </c>
      <c r="H33" s="932" t="s">
        <v>2630</v>
      </c>
      <c r="I33" s="636"/>
      <c r="J33" s="636"/>
      <c r="K33" s="636"/>
      <c r="L33" s="636"/>
      <c r="M33" s="598"/>
      <c r="N33" s="598"/>
      <c r="O33" s="598"/>
      <c r="P33" s="598" t="s">
        <v>2844</v>
      </c>
      <c r="Z33" s="2534" t="s">
        <v>2098</v>
      </c>
      <c r="AA33" s="2534"/>
      <c r="AB33" s="933">
        <v>0.1</v>
      </c>
      <c r="AC33" s="920">
        <v>50</v>
      </c>
      <c r="AD33" s="920">
        <v>100</v>
      </c>
    </row>
    <row r="34" spans="1:30" ht="9.9499999999999993" customHeight="1">
      <c r="A34" s="1063" t="s">
        <v>4808</v>
      </c>
      <c r="B34" s="707"/>
      <c r="C34" s="707"/>
      <c r="D34" s="929" t="s">
        <v>5224</v>
      </c>
      <c r="E34" s="929" t="s">
        <v>5224</v>
      </c>
      <c r="F34" s="609">
        <f>IF(AND(D34="Y",E34="Y"),$S$22,IF(AND(D34="N",E34="N"),0,$R$22))</f>
        <v>0</v>
      </c>
      <c r="G34" s="598"/>
      <c r="H34" s="598"/>
      <c r="I34" s="598"/>
      <c r="J34" s="598"/>
      <c r="K34" s="598"/>
      <c r="L34" s="598"/>
      <c r="M34" s="598"/>
      <c r="N34" s="598"/>
      <c r="O34" s="598"/>
      <c r="P34" s="598" t="s">
        <v>2845</v>
      </c>
      <c r="T34" s="598"/>
      <c r="U34" s="598"/>
      <c r="V34" s="598"/>
      <c r="W34" s="598"/>
      <c r="X34" s="598"/>
      <c r="Z34" s="2534" t="s">
        <v>2099</v>
      </c>
      <c r="AA34" s="2534"/>
      <c r="AB34" s="933">
        <v>0.15</v>
      </c>
      <c r="AC34" s="920">
        <v>75</v>
      </c>
      <c r="AD34" s="920">
        <v>150</v>
      </c>
    </row>
    <row r="35" spans="1:30" ht="9.9499999999999993" customHeight="1">
      <c r="K35" s="598"/>
      <c r="L35" s="598"/>
      <c r="M35" s="598"/>
      <c r="N35" s="598"/>
      <c r="O35" s="598"/>
      <c r="P35" s="598" t="s">
        <v>290</v>
      </c>
      <c r="T35" s="598"/>
      <c r="U35" s="598"/>
      <c r="V35" s="598"/>
      <c r="W35" s="598"/>
      <c r="X35" s="598"/>
      <c r="Z35" s="598"/>
      <c r="AA35" s="598"/>
    </row>
    <row r="36" spans="1:30" ht="9.9499999999999993" customHeight="1">
      <c r="A36" s="934" t="s">
        <v>255</v>
      </c>
      <c r="B36" s="636"/>
      <c r="C36" s="636"/>
      <c r="D36" s="636"/>
      <c r="E36" s="636"/>
      <c r="F36" s="636"/>
      <c r="G36" s="636"/>
      <c r="H36" s="636"/>
      <c r="I36" s="636"/>
      <c r="J36" s="636"/>
      <c r="K36" s="598"/>
      <c r="L36" s="598"/>
      <c r="M36" s="598"/>
      <c r="N36" s="598"/>
      <c r="O36" s="598"/>
      <c r="P36" s="598"/>
      <c r="Q36" s="598"/>
      <c r="R36" s="598"/>
      <c r="S36" s="598"/>
      <c r="T36" s="598"/>
      <c r="U36" s="598"/>
      <c r="V36" s="598"/>
      <c r="W36" s="598"/>
      <c r="X36" s="598"/>
      <c r="Z36" s="598"/>
      <c r="AA36" s="598"/>
    </row>
    <row r="37" spans="1:30" ht="9.9499999999999993" customHeight="1">
      <c r="B37" s="598" t="s">
        <v>2869</v>
      </c>
      <c r="C37" s="598"/>
      <c r="D37" s="598"/>
      <c r="E37" s="598"/>
      <c r="G37" s="598">
        <f>SUM(B38:K39)*3</f>
        <v>0</v>
      </c>
      <c r="H37" s="598"/>
      <c r="I37" s="598"/>
      <c r="J37" s="598"/>
      <c r="K37" s="598"/>
      <c r="M37" s="598" t="s">
        <v>2420</v>
      </c>
      <c r="N37" s="598"/>
      <c r="O37" s="598"/>
      <c r="R37" s="598">
        <f>SUM(Q38:V39)*5</f>
        <v>0</v>
      </c>
      <c r="S37" s="598"/>
      <c r="T37" s="598"/>
      <c r="U37" s="598"/>
      <c r="V37" s="598"/>
      <c r="W37" s="598"/>
      <c r="X37" s="598"/>
      <c r="Z37" s="598" t="s">
        <v>4444</v>
      </c>
      <c r="AA37" s="598"/>
      <c r="AB37" s="598"/>
      <c r="AD37" s="598">
        <f>SUM(Z38:AE42)*3+COUNTA(Z38:AD42)*3</f>
        <v>0</v>
      </c>
    </row>
    <row r="38" spans="1:30" ht="9.9499999999999993" customHeight="1">
      <c r="B38" s="912"/>
      <c r="C38" s="912"/>
      <c r="D38" s="912"/>
      <c r="E38" s="912"/>
      <c r="F38" s="912"/>
      <c r="G38" s="912"/>
      <c r="H38" s="912"/>
      <c r="I38" s="912"/>
      <c r="J38" s="912"/>
      <c r="K38" s="912"/>
      <c r="M38" s="912"/>
      <c r="N38" s="912"/>
      <c r="O38" s="912"/>
      <c r="P38" s="912"/>
      <c r="Q38" s="912"/>
      <c r="R38" s="912"/>
      <c r="S38" s="912"/>
      <c r="T38" s="912"/>
      <c r="U38" s="912"/>
      <c r="V38" s="912"/>
      <c r="Z38" s="912"/>
      <c r="AA38" s="912"/>
      <c r="AB38" s="912"/>
      <c r="AC38" s="912"/>
      <c r="AD38" s="912"/>
    </row>
    <row r="39" spans="1:30" ht="9.9499999999999993" customHeight="1">
      <c r="B39" s="912"/>
      <c r="C39" s="912"/>
      <c r="D39" s="912"/>
      <c r="E39" s="912"/>
      <c r="F39" s="912"/>
      <c r="G39" s="912"/>
      <c r="H39" s="912"/>
      <c r="I39" s="912"/>
      <c r="J39" s="912"/>
      <c r="K39" s="912"/>
      <c r="M39" s="912"/>
      <c r="N39" s="912"/>
      <c r="O39" s="912"/>
      <c r="P39" s="912"/>
      <c r="Q39" s="912"/>
      <c r="R39" s="912"/>
      <c r="S39" s="912"/>
      <c r="T39" s="912"/>
      <c r="U39" s="912"/>
      <c r="V39" s="912"/>
      <c r="Z39" s="912"/>
      <c r="AA39" s="912"/>
      <c r="AB39" s="912"/>
      <c r="AC39" s="912"/>
      <c r="AD39" s="912"/>
    </row>
    <row r="40" spans="1:30" ht="9.9499999999999993" customHeight="1">
      <c r="B40" s="598" t="s">
        <v>4747</v>
      </c>
      <c r="C40" s="598"/>
      <c r="D40" s="598"/>
      <c r="G40" s="598">
        <f>SUM(B41:K42)*4</f>
        <v>0</v>
      </c>
      <c r="H40" s="598"/>
      <c r="I40" s="598"/>
      <c r="J40" s="598"/>
      <c r="K40" s="598"/>
      <c r="M40" s="598" t="s">
        <v>2421</v>
      </c>
      <c r="N40" s="598"/>
      <c r="O40" s="598"/>
      <c r="R40" s="598">
        <f>SUM(Q41:V42)*3+COUNTA(Q41:V42)*3</f>
        <v>0</v>
      </c>
      <c r="S40" s="598"/>
      <c r="T40" s="598"/>
      <c r="U40" s="598"/>
      <c r="V40" s="598"/>
      <c r="Z40" s="912"/>
      <c r="AA40" s="912"/>
      <c r="AB40" s="912"/>
      <c r="AC40" s="912"/>
      <c r="AD40" s="912"/>
    </row>
    <row r="41" spans="1:30" ht="9.9499999999999993" customHeight="1">
      <c r="B41" s="912"/>
      <c r="C41" s="912"/>
      <c r="D41" s="912"/>
      <c r="E41" s="912"/>
      <c r="F41" s="912"/>
      <c r="G41" s="912"/>
      <c r="H41" s="912"/>
      <c r="I41" s="912"/>
      <c r="J41" s="912"/>
      <c r="K41" s="912"/>
      <c r="M41" s="912">
        <v>10</v>
      </c>
      <c r="N41" s="912"/>
      <c r="O41" s="912"/>
      <c r="P41" s="912"/>
      <c r="Q41" s="912"/>
      <c r="R41" s="912"/>
      <c r="S41" s="912"/>
      <c r="T41" s="912"/>
      <c r="U41" s="912"/>
      <c r="V41" s="912"/>
      <c r="Z41" s="912"/>
      <c r="AA41" s="912"/>
      <c r="AB41" s="912"/>
      <c r="AC41" s="912"/>
      <c r="AD41" s="912"/>
    </row>
    <row r="42" spans="1:30" ht="9.9499999999999993" customHeight="1">
      <c r="B42" s="912"/>
      <c r="C42" s="912"/>
      <c r="D42" s="912"/>
      <c r="E42" s="912"/>
      <c r="F42" s="912"/>
      <c r="G42" s="912"/>
      <c r="H42" s="912"/>
      <c r="I42" s="912"/>
      <c r="J42" s="912"/>
      <c r="K42" s="912"/>
      <c r="M42" s="912"/>
      <c r="N42" s="912"/>
      <c r="O42" s="912"/>
      <c r="P42" s="912"/>
      <c r="Q42" s="912"/>
      <c r="R42" s="912"/>
      <c r="S42" s="912"/>
      <c r="T42" s="912"/>
      <c r="U42" s="912"/>
      <c r="V42" s="912"/>
    </row>
    <row r="43" spans="1:30" ht="9.9499999999999993" customHeight="1"/>
    <row r="44" spans="1:30" ht="9.9499999999999993" customHeight="1">
      <c r="A44" s="632" t="s">
        <v>4208</v>
      </c>
      <c r="K44" s="598"/>
      <c r="L44" s="598"/>
      <c r="N44" s="598"/>
      <c r="O44" s="598"/>
      <c r="P44" s="598"/>
    </row>
    <row r="45" spans="1:30" ht="9.9499999999999993" customHeight="1">
      <c r="A45" s="598" t="s">
        <v>4209</v>
      </c>
      <c r="B45" s="598"/>
      <c r="C45" s="598"/>
      <c r="D45" s="2571" t="s">
        <v>3611</v>
      </c>
      <c r="E45" s="2547" t="s">
        <v>3717</v>
      </c>
      <c r="F45" s="2547" t="s">
        <v>3612</v>
      </c>
      <c r="G45" s="2547" t="s">
        <v>3614</v>
      </c>
      <c r="H45" s="2571" t="s">
        <v>3613</v>
      </c>
      <c r="I45" s="2547" t="s">
        <v>780</v>
      </c>
      <c r="J45" s="2547" t="s">
        <v>779</v>
      </c>
      <c r="K45" s="2547" t="s">
        <v>3615</v>
      </c>
      <c r="L45" s="2547" t="s">
        <v>3616</v>
      </c>
      <c r="N45" s="935"/>
      <c r="O45" s="936" t="s">
        <v>1610</v>
      </c>
      <c r="P45" s="935"/>
      <c r="Q45" s="935"/>
      <c r="R45" s="2549" t="s">
        <v>274</v>
      </c>
      <c r="S45" s="2549"/>
      <c r="T45" s="1221"/>
      <c r="U45" s="1221"/>
      <c r="V45" s="1221"/>
      <c r="W45" s="636"/>
      <c r="X45" s="636"/>
    </row>
    <row r="46" spans="1:30" ht="9.9499999999999993" customHeight="1">
      <c r="A46" s="598" t="s">
        <v>4210</v>
      </c>
      <c r="B46" s="598"/>
      <c r="C46" s="598"/>
      <c r="D46" s="2572"/>
      <c r="E46" s="2548"/>
      <c r="F46" s="2548"/>
      <c r="G46" s="2573"/>
      <c r="H46" s="2572"/>
      <c r="I46" s="2548"/>
      <c r="J46" s="2548"/>
      <c r="K46" s="2548"/>
      <c r="L46" s="2548"/>
      <c r="N46" s="937" t="s">
        <v>3005</v>
      </c>
      <c r="O46" s="938" t="s">
        <v>4731</v>
      </c>
      <c r="P46" s="939" t="s">
        <v>3618</v>
      </c>
      <c r="Q46" s="939" t="s">
        <v>3619</v>
      </c>
      <c r="R46" s="940" t="s">
        <v>4211</v>
      </c>
      <c r="S46" s="632" t="s">
        <v>4212</v>
      </c>
      <c r="T46" s="632" t="s">
        <v>4213</v>
      </c>
      <c r="U46" s="2549" t="s">
        <v>3519</v>
      </c>
      <c r="V46" s="2542"/>
      <c r="W46" s="608"/>
      <c r="X46" s="608"/>
      <c r="Z46" s="2535" t="s">
        <v>3769</v>
      </c>
      <c r="AA46" s="1216"/>
      <c r="AB46" s="1216"/>
      <c r="AC46" s="1216"/>
    </row>
    <row r="47" spans="1:30" ht="9.9499999999999993" customHeight="1">
      <c r="D47" s="2572"/>
      <c r="E47" s="2548"/>
      <c r="F47" s="2548"/>
      <c r="G47" s="2573"/>
      <c r="H47" s="2572"/>
      <c r="I47" s="2548"/>
      <c r="J47" s="2548"/>
      <c r="K47" s="2548"/>
      <c r="L47" s="2548"/>
      <c r="N47" s="941">
        <v>1</v>
      </c>
      <c r="O47" s="942">
        <v>0.5</v>
      </c>
      <c r="P47" s="942">
        <v>0.08</v>
      </c>
      <c r="Q47" s="942">
        <v>0.99</v>
      </c>
      <c r="R47" s="943">
        <v>30</v>
      </c>
      <c r="S47" s="944">
        <v>15</v>
      </c>
      <c r="T47" s="609">
        <f>VLOOKUP('Main Creation Page'!$E$13,'System Lookups'!$F$109:$P$120,2)</f>
        <v>-4</v>
      </c>
      <c r="U47" s="2541" t="str">
        <f>CONCATENATE(R47+T47," / ",S47+T47)</f>
        <v>26 / 11</v>
      </c>
      <c r="V47" s="2541"/>
      <c r="W47" s="609"/>
      <c r="X47" s="609"/>
      <c r="Z47" s="1210" t="s">
        <v>3770</v>
      </c>
      <c r="AA47" s="1216"/>
      <c r="AB47" s="2555">
        <f ca="1">INT(RAND()*100)</f>
        <v>66</v>
      </c>
      <c r="AC47" s="1216"/>
    </row>
    <row r="48" spans="1:30" ht="9.9499999999999993" customHeight="1">
      <c r="C48" s="615" t="s">
        <v>4897</v>
      </c>
      <c r="D48" s="714">
        <f>VLOOKUP(+'Main Creation Page'!E9+'Main Creation Page'!$E$9,'System Lookups'!$A$3:$D$146,2)</f>
        <v>0.06</v>
      </c>
      <c r="E48" s="714">
        <f>VLOOKUP(+'Main Creation Page'!E9+'Main Creation Page'!$E$10,'System Lookups'!$A$3:$D$146,2)</f>
        <v>0.02</v>
      </c>
      <c r="F48" s="714">
        <f>VLOOKUP(+'Main Creation Page'!E9+'Main Creation Page'!$E$11,'System Lookups'!$A$3:$D$146,2)</f>
        <v>0.02</v>
      </c>
      <c r="G48" s="714">
        <f>VLOOKUP(+'Main Creation Page'!E9+'Main Creation Page'!$E$12,'System Lookups'!$A$3:$D$146,2)</f>
        <v>0.06</v>
      </c>
      <c r="H48" s="714">
        <f>VLOOKUP(+'Main Creation Page'!E9+'Main Creation Page'!$E$13,'System Lookups'!$A$3:$D$146,2)</f>
        <v>0.06</v>
      </c>
      <c r="I48" s="714">
        <f>VLOOKUP(+'Main Creation Page'!E9+'Main Creation Page'!$E$14,'System Lookups'!$A$3:$D$146,2)</f>
        <v>0.08</v>
      </c>
      <c r="J48" s="714">
        <f>VLOOKUP(+'Main Creation Page'!E9+'Main Creation Page'!$E$15,'System Lookups'!$A$3:$D$146,2)</f>
        <v>0.12</v>
      </c>
      <c r="K48" s="714">
        <f>VLOOKUP(+'Main Creation Page'!E9+'Main Creation Page'!$E$16,'System Lookups'!$A$3:$D$146,2)</f>
        <v>0.12</v>
      </c>
      <c r="L48" s="714">
        <f>VLOOKUP(+'Main Creation Page'!E9+'Main Creation Page'!$E$17,'System Lookups'!$A$3:$D$146,2)</f>
        <v>0.08</v>
      </c>
      <c r="M48" s="598"/>
      <c r="N48" s="941">
        <v>2</v>
      </c>
      <c r="O48" s="942">
        <v>0.4</v>
      </c>
      <c r="P48" s="942">
        <v>0.06</v>
      </c>
      <c r="Q48" s="942">
        <v>0.98</v>
      </c>
      <c r="R48" s="943">
        <v>45</v>
      </c>
      <c r="S48" s="944">
        <v>22</v>
      </c>
      <c r="T48" s="609">
        <f>VLOOKUP('Main Creation Page'!$E$13,'System Lookups'!$F$109:$P$120,3)</f>
        <v>-6</v>
      </c>
      <c r="U48" s="2541" t="str">
        <f t="shared" ref="U48:U56" si="0">CONCATENATE(R48+T48," / ",S48+T48)</f>
        <v>39 / 16</v>
      </c>
      <c r="V48" s="2542"/>
      <c r="W48" s="608"/>
      <c r="X48" s="608"/>
      <c r="Z48" s="1210" t="s">
        <v>1387</v>
      </c>
      <c r="AA48" s="1216"/>
      <c r="AB48" s="2555">
        <f ca="1">INT(RAND()*10)+1</f>
        <v>10</v>
      </c>
      <c r="AC48" s="1216"/>
    </row>
    <row r="49" spans="1:30" ht="9.9499999999999993" customHeight="1">
      <c r="C49" s="615" t="s">
        <v>4898</v>
      </c>
      <c r="D49" s="714">
        <f>VLOOKUP(+'Main Creation Page'!E10+'Main Creation Page'!$E$9,'System Lookups'!$A$3:$D$146,2)</f>
        <v>0.02</v>
      </c>
      <c r="E49" s="714">
        <f>VLOOKUP(+'Main Creation Page'!E10+'Main Creation Page'!$E$10,'System Lookups'!$A$3:$D$146,2)</f>
        <v>0</v>
      </c>
      <c r="F49" s="714">
        <f>VLOOKUP(+'Main Creation Page'!E10+'Main Creation Page'!$E$11,'System Lookups'!$A$3:$D$146,2)</f>
        <v>0</v>
      </c>
      <c r="G49" s="714">
        <f>VLOOKUP(+'Main Creation Page'!E10+'Main Creation Page'!$E$12,'System Lookups'!$A$3:$D$146,2)</f>
        <v>0.02</v>
      </c>
      <c r="H49" s="714">
        <f>VLOOKUP(+'Main Creation Page'!E10+'Main Creation Page'!$E$13,'System Lookups'!$A$3:$D$146,2)</f>
        <v>0.02</v>
      </c>
      <c r="I49" s="714">
        <f>VLOOKUP(+'Main Creation Page'!E10+'Main Creation Page'!$E$14,'System Lookups'!$A$3:$D$146,2)</f>
        <v>0.04</v>
      </c>
      <c r="J49" s="714">
        <f>VLOOKUP(+'Main Creation Page'!E10+'Main Creation Page'!$E$15,'System Lookups'!$A$3:$D$146,2)</f>
        <v>0.06</v>
      </c>
      <c r="K49" s="714">
        <f>VLOOKUP(+'Main Creation Page'!E10+'Main Creation Page'!$E$16,'System Lookups'!$A$3:$D$146,2)</f>
        <v>0.06</v>
      </c>
      <c r="L49" s="714">
        <f>VLOOKUP(+'Main Creation Page'!E10+'Main Creation Page'!$E$17,'System Lookups'!$A$3:$D$146,2)</f>
        <v>0.04</v>
      </c>
      <c r="M49" s="598"/>
      <c r="N49" s="941">
        <v>3</v>
      </c>
      <c r="O49" s="942">
        <v>0.3</v>
      </c>
      <c r="P49" s="942">
        <v>0.05</v>
      </c>
      <c r="Q49" s="942">
        <v>0.97</v>
      </c>
      <c r="R49" s="943">
        <v>60</v>
      </c>
      <c r="S49" s="944">
        <v>30</v>
      </c>
      <c r="T49" s="609">
        <f>VLOOKUP('Main Creation Page'!$E$13,'System Lookups'!$F$109:$P$120,4)</f>
        <v>-8</v>
      </c>
      <c r="U49" s="2541" t="str">
        <f t="shared" si="0"/>
        <v>52 / 22</v>
      </c>
      <c r="V49" s="2542"/>
      <c r="W49" s="608"/>
      <c r="X49" s="608"/>
      <c r="Z49" s="672" t="s">
        <v>673</v>
      </c>
      <c r="AA49" s="672"/>
      <c r="AB49" s="672"/>
      <c r="AC49" s="672"/>
      <c r="AD49" s="672"/>
    </row>
    <row r="50" spans="1:30" ht="9.9499999999999993" customHeight="1">
      <c r="C50" s="615" t="s">
        <v>5427</v>
      </c>
      <c r="D50" s="714">
        <f>VLOOKUP(+'Main Creation Page'!E11+'Main Creation Page'!$E$9,'System Lookups'!$A$3:$D$146,2)</f>
        <v>0.02</v>
      </c>
      <c r="E50" s="714">
        <f>VLOOKUP(+'Main Creation Page'!E11+'Main Creation Page'!$E$10,'System Lookups'!$A$3:$D$146,2)</f>
        <v>0</v>
      </c>
      <c r="F50" s="714">
        <f>VLOOKUP(+'Main Creation Page'!E11+'Main Creation Page'!$E$11,'System Lookups'!$A$3:$D$146,2)</f>
        <v>0</v>
      </c>
      <c r="G50" s="714">
        <f>VLOOKUP(+'Main Creation Page'!E11+'Main Creation Page'!$E$12,'System Lookups'!$A$3:$D$146,2)</f>
        <v>0.02</v>
      </c>
      <c r="H50" s="714">
        <f>VLOOKUP(+'Main Creation Page'!E11+'Main Creation Page'!$E$13,'System Lookups'!$A$3:$D$146,2)</f>
        <v>0.02</v>
      </c>
      <c r="I50" s="714">
        <f>VLOOKUP(+'Main Creation Page'!E11+'Main Creation Page'!$E$14,'System Lookups'!$A$3:$D$146,2)</f>
        <v>0.04</v>
      </c>
      <c r="J50" s="714">
        <f>VLOOKUP(+'Main Creation Page'!E11+'Main Creation Page'!$E$15,'System Lookups'!$A$3:$D$146,2)</f>
        <v>0.06</v>
      </c>
      <c r="K50" s="714">
        <f>VLOOKUP(+'Main Creation Page'!E11+'Main Creation Page'!$E$16,'System Lookups'!$A$3:$D$146,2)</f>
        <v>0.06</v>
      </c>
      <c r="L50" s="714">
        <f>VLOOKUP(+'Main Creation Page'!E11+'Main Creation Page'!$E$17,'System Lookups'!$A$3:$D$146,2)</f>
        <v>0.04</v>
      </c>
      <c r="M50" s="598"/>
      <c r="N50" s="941">
        <v>4</v>
      </c>
      <c r="O50" s="942">
        <v>0.2</v>
      </c>
      <c r="P50" s="942">
        <v>0.04</v>
      </c>
      <c r="Q50" s="942">
        <v>0.95</v>
      </c>
      <c r="R50" s="943">
        <v>75</v>
      </c>
      <c r="S50" s="944">
        <v>37</v>
      </c>
      <c r="T50" s="609">
        <f>VLOOKUP('Main Creation Page'!$E$13,'System Lookups'!$F$109:$P$120,5)</f>
        <v>-9</v>
      </c>
      <c r="U50" s="2541" t="str">
        <f t="shared" si="0"/>
        <v>66 / 28</v>
      </c>
      <c r="V50" s="2542"/>
      <c r="W50" s="608"/>
      <c r="X50" s="608"/>
      <c r="Z50" s="603" t="s">
        <v>1388</v>
      </c>
      <c r="AA50" s="603"/>
      <c r="AB50" s="603"/>
      <c r="AC50" s="603"/>
      <c r="AD50" s="603"/>
    </row>
    <row r="51" spans="1:30" ht="9.9499999999999993" customHeight="1">
      <c r="C51" s="615" t="s">
        <v>2261</v>
      </c>
      <c r="D51" s="714">
        <f>VLOOKUP(+'Main Creation Page'!E12+'Main Creation Page'!$E$9,'System Lookups'!$A$3:$D$146,2)</f>
        <v>0.06</v>
      </c>
      <c r="E51" s="714">
        <f>VLOOKUP(+'Main Creation Page'!E12+'Main Creation Page'!$E$10,'System Lookups'!$A$3:$D$146,2)</f>
        <v>0.02</v>
      </c>
      <c r="F51" s="714">
        <f>VLOOKUP(+'Main Creation Page'!E12+'Main Creation Page'!$E$11,'System Lookups'!$A$3:$D$146,2)</f>
        <v>0.02</v>
      </c>
      <c r="G51" s="714">
        <f>VLOOKUP(+'Main Creation Page'!E12+'Main Creation Page'!$E$12,'System Lookups'!$A$3:$D$146,2)</f>
        <v>0.06</v>
      </c>
      <c r="H51" s="714">
        <f>VLOOKUP(+'Main Creation Page'!E12+'Main Creation Page'!$E$13,'System Lookups'!$A$3:$D$146,2)</f>
        <v>0.06</v>
      </c>
      <c r="I51" s="714">
        <f>VLOOKUP(+'Main Creation Page'!E12+'Main Creation Page'!$E$14,'System Lookups'!$A$3:$D$146,2)</f>
        <v>0.08</v>
      </c>
      <c r="J51" s="714">
        <f>VLOOKUP(+'Main Creation Page'!E12+'Main Creation Page'!$E$15,'System Lookups'!$A$3:$D$146,2)</f>
        <v>0.12</v>
      </c>
      <c r="K51" s="714">
        <f>VLOOKUP(+'Main Creation Page'!E12+'Main Creation Page'!$E$16,'System Lookups'!$A$3:$D$146,2)</f>
        <v>0.12</v>
      </c>
      <c r="L51" s="714">
        <f>VLOOKUP(+'Main Creation Page'!E12+'Main Creation Page'!$E$17,'System Lookups'!$A$3:$D$146,2)</f>
        <v>0.08</v>
      </c>
      <c r="M51" s="598"/>
      <c r="N51" s="941">
        <v>5</v>
      </c>
      <c r="O51" s="942">
        <v>0.1</v>
      </c>
      <c r="P51" s="942">
        <v>0.03</v>
      </c>
      <c r="Q51" s="942">
        <v>0.92</v>
      </c>
      <c r="R51" s="943">
        <v>90</v>
      </c>
      <c r="S51" s="944">
        <v>45</v>
      </c>
      <c r="T51" s="609">
        <f>VLOOKUP('Main Creation Page'!$E$13,'System Lookups'!$F$109:$P$120,6)</f>
        <v>-11</v>
      </c>
      <c r="U51" s="2541" t="str">
        <f t="shared" si="0"/>
        <v>79 / 34</v>
      </c>
      <c r="V51" s="2542"/>
      <c r="W51" s="608"/>
      <c r="X51" s="608"/>
      <c r="Z51" s="603" t="s">
        <v>1390</v>
      </c>
      <c r="AA51" s="603"/>
      <c r="AB51" s="603"/>
      <c r="AC51" s="603"/>
      <c r="AD51" s="603"/>
    </row>
    <row r="52" spans="1:30" ht="9.9499999999999993" customHeight="1">
      <c r="C52" s="615" t="s">
        <v>2183</v>
      </c>
      <c r="D52" s="714">
        <f>VLOOKUP(+'Main Creation Page'!E13+'Main Creation Page'!$E$9,'System Lookups'!$A$3:$D$146,2)</f>
        <v>0.06</v>
      </c>
      <c r="E52" s="714">
        <f>VLOOKUP(+'Main Creation Page'!E13+'Main Creation Page'!$E$10,'System Lookups'!$A$3:$D$146,2)</f>
        <v>0.02</v>
      </c>
      <c r="F52" s="714">
        <f>VLOOKUP(+'Main Creation Page'!E13+'Main Creation Page'!$E$11,'System Lookups'!$A$3:$D$146,2)</f>
        <v>0.02</v>
      </c>
      <c r="G52" s="714">
        <f>VLOOKUP(+'Main Creation Page'!E13+'Main Creation Page'!$E$12,'System Lookups'!$A$3:$D$146,2)</f>
        <v>0.06</v>
      </c>
      <c r="H52" s="714">
        <f>VLOOKUP(+'Main Creation Page'!E13+'Main Creation Page'!$E$13,'System Lookups'!$A$3:$D$146,2)</f>
        <v>0.06</v>
      </c>
      <c r="I52" s="714">
        <f>VLOOKUP(+'Main Creation Page'!E13+'Main Creation Page'!$E$14,'System Lookups'!$A$3:$D$146,2)</f>
        <v>0.08</v>
      </c>
      <c r="J52" s="714">
        <f>VLOOKUP(+'Main Creation Page'!E13+'Main Creation Page'!$E$15,'System Lookups'!$A$3:$D$146,2)</f>
        <v>0.12</v>
      </c>
      <c r="K52" s="714">
        <f>VLOOKUP(+'Main Creation Page'!E13+'Main Creation Page'!$E$16,'System Lookups'!$A$3:$D$146,2)</f>
        <v>0.12</v>
      </c>
      <c r="L52" s="714">
        <f>VLOOKUP(+'Main Creation Page'!E13+'Main Creation Page'!$E$17,'System Lookups'!$A$3:$D$146,2)</f>
        <v>0.08</v>
      </c>
      <c r="M52" s="598"/>
      <c r="N52" s="941">
        <v>6</v>
      </c>
      <c r="O52" s="942">
        <v>0.05</v>
      </c>
      <c r="P52" s="942">
        <v>0.02</v>
      </c>
      <c r="Q52" s="942">
        <v>0.9</v>
      </c>
      <c r="R52" s="943">
        <v>120</v>
      </c>
      <c r="S52" s="944">
        <v>60</v>
      </c>
      <c r="T52" s="609">
        <f>VLOOKUP('Main Creation Page'!$E$13,'System Lookups'!$F$109:$P$120,7)</f>
        <v>-15</v>
      </c>
      <c r="U52" s="2541" t="str">
        <f t="shared" si="0"/>
        <v>105 / 45</v>
      </c>
      <c r="V52" s="2542"/>
      <c r="W52" s="608"/>
      <c r="X52" s="608"/>
      <c r="Z52" s="603" t="s">
        <v>1389</v>
      </c>
      <c r="AA52" s="603"/>
      <c r="AB52" s="603"/>
      <c r="AC52" s="603"/>
      <c r="AD52" s="603"/>
    </row>
    <row r="53" spans="1:30" ht="9.9499999999999993" customHeight="1">
      <c r="C53" s="615" t="s">
        <v>2962</v>
      </c>
      <c r="D53" s="714">
        <f>VLOOKUP(+'Main Creation Page'!E14+'Main Creation Page'!$E$9,'System Lookups'!$A$3:$D$146,2)</f>
        <v>0.08</v>
      </c>
      <c r="E53" s="714">
        <f>VLOOKUP(+'Main Creation Page'!E14+'Main Creation Page'!$E$10,'System Lookups'!$A$3:$D$146,2)</f>
        <v>0.04</v>
      </c>
      <c r="F53" s="714">
        <f>VLOOKUP(+'Main Creation Page'!E14+'Main Creation Page'!$E$11,'System Lookups'!$A$3:$D$146,2)</f>
        <v>0.04</v>
      </c>
      <c r="G53" s="714">
        <f>VLOOKUP(+'Main Creation Page'!E14+'Main Creation Page'!$E$12,'System Lookups'!$A$3:$D$146,2)</f>
        <v>0.08</v>
      </c>
      <c r="H53" s="714">
        <f>VLOOKUP(+'Main Creation Page'!E14+'Main Creation Page'!$E$13,'System Lookups'!$A$3:$D$146,2)</f>
        <v>0.08</v>
      </c>
      <c r="I53" s="714">
        <f>VLOOKUP(+'Main Creation Page'!E14+'Main Creation Page'!$E$14,'System Lookups'!$A$3:$D$146,2)</f>
        <v>0.1</v>
      </c>
      <c r="J53" s="714">
        <f>VLOOKUP(+'Main Creation Page'!E14+'Main Creation Page'!$E$15,'System Lookups'!$A$3:$D$146,2)</f>
        <v>0.14000000000000001</v>
      </c>
      <c r="K53" s="714">
        <f>VLOOKUP(+'Main Creation Page'!E14+'Main Creation Page'!$E$16,'System Lookups'!$A$3:$D$146,2)</f>
        <v>0.14000000000000001</v>
      </c>
      <c r="L53" s="714">
        <f>VLOOKUP(+'Main Creation Page'!E14+'Main Creation Page'!$E$17,'System Lookups'!$A$3:$D$146,2)</f>
        <v>0.1</v>
      </c>
      <c r="M53" s="598"/>
      <c r="N53" s="941">
        <v>7</v>
      </c>
      <c r="O53" s="942">
        <v>0.03</v>
      </c>
      <c r="P53" s="942">
        <v>0.01</v>
      </c>
      <c r="Q53" s="942">
        <v>0.85</v>
      </c>
      <c r="R53" s="943">
        <v>150</v>
      </c>
      <c r="S53" s="944">
        <v>75</v>
      </c>
      <c r="T53" s="609">
        <f>VLOOKUP('Main Creation Page'!$E$13,'System Lookups'!$F$109:$P$120,8)</f>
        <v>-19</v>
      </c>
      <c r="U53" s="2541" t="str">
        <f t="shared" si="0"/>
        <v>131 / 56</v>
      </c>
      <c r="V53" s="2542"/>
      <c r="W53" s="608"/>
      <c r="X53" s="608"/>
      <c r="Z53" s="721" t="s">
        <v>1391</v>
      </c>
      <c r="AA53" s="721"/>
      <c r="AB53" s="721"/>
      <c r="AC53" s="721"/>
      <c r="AD53" s="721"/>
    </row>
    <row r="54" spans="1:30" ht="9.9499999999999993" customHeight="1">
      <c r="C54" s="615" t="s">
        <v>1148</v>
      </c>
      <c r="D54" s="714">
        <f>VLOOKUP(+'Main Creation Page'!E15+'Main Creation Page'!$E$9,'System Lookups'!$A$3:$D$146,2)</f>
        <v>0.12</v>
      </c>
      <c r="E54" s="714">
        <f>VLOOKUP(+'Main Creation Page'!E15+'Main Creation Page'!$E$10,'System Lookups'!$A$3:$D$146,2)</f>
        <v>0.06</v>
      </c>
      <c r="F54" s="714">
        <f>VLOOKUP(+'Main Creation Page'!E15+'Main Creation Page'!$E$11,'System Lookups'!$A$3:$D$146,2)</f>
        <v>0.06</v>
      </c>
      <c r="G54" s="714">
        <f>VLOOKUP(+'Main Creation Page'!E15+'Main Creation Page'!$E$12,'System Lookups'!$A$3:$D$146,2)</f>
        <v>0.12</v>
      </c>
      <c r="H54" s="714">
        <f>VLOOKUP(+'Main Creation Page'!E15+'Main Creation Page'!$E$13,'System Lookups'!$A$3:$D$146,2)</f>
        <v>0.12</v>
      </c>
      <c r="I54" s="714">
        <f>VLOOKUP(+'Main Creation Page'!E15+'Main Creation Page'!$E$14,'System Lookups'!$A$3:$D$146,2)</f>
        <v>0.14000000000000001</v>
      </c>
      <c r="J54" s="714">
        <f>VLOOKUP(+'Main Creation Page'!E15+'Main Creation Page'!$E$15,'System Lookups'!$A$3:$D$146,2)</f>
        <v>0.2</v>
      </c>
      <c r="K54" s="714">
        <f>VLOOKUP(+'Main Creation Page'!E15+'Main Creation Page'!$E$16,'System Lookups'!$A$3:$D$146,2)</f>
        <v>0.2</v>
      </c>
      <c r="L54" s="714">
        <f>VLOOKUP(+'Main Creation Page'!E15+'Main Creation Page'!$E$17,'System Lookups'!$A$3:$D$146,2)</f>
        <v>0.14000000000000001</v>
      </c>
      <c r="M54" s="598"/>
      <c r="N54" s="941">
        <v>8</v>
      </c>
      <c r="O54" s="942">
        <v>0.02</v>
      </c>
      <c r="P54" s="942">
        <v>0.01</v>
      </c>
      <c r="Q54" s="942">
        <v>0.75</v>
      </c>
      <c r="R54" s="943">
        <v>195</v>
      </c>
      <c r="S54" s="944">
        <v>97</v>
      </c>
      <c r="T54" s="609">
        <f>VLOOKUP('Main Creation Page'!$E$13,'System Lookups'!$F$109:$P$120,9)</f>
        <v>-24</v>
      </c>
      <c r="U54" s="2541" t="str">
        <f t="shared" si="0"/>
        <v>171 / 73</v>
      </c>
      <c r="V54" s="2542"/>
      <c r="W54" s="608"/>
      <c r="X54" s="608"/>
      <c r="Z54" s="721" t="s">
        <v>1392</v>
      </c>
      <c r="AA54" s="721"/>
      <c r="AB54" s="721"/>
      <c r="AC54" s="721"/>
      <c r="AD54" s="721"/>
    </row>
    <row r="55" spans="1:30" ht="9.9499999999999993" customHeight="1">
      <c r="C55" s="615" t="s">
        <v>1147</v>
      </c>
      <c r="D55" s="714">
        <f>VLOOKUP(+'Main Creation Page'!E16+'Main Creation Page'!$E$9,'System Lookups'!$A$3:$D$146,2)</f>
        <v>0.12</v>
      </c>
      <c r="E55" s="714">
        <f>VLOOKUP(+'Main Creation Page'!E16+'Main Creation Page'!$E$10,'System Lookups'!$A$3:$D$146,2)</f>
        <v>0.06</v>
      </c>
      <c r="F55" s="714">
        <f>VLOOKUP(+'Main Creation Page'!E16+'Main Creation Page'!$E$11,'System Lookups'!$A$3:$D$146,2)</f>
        <v>0.06</v>
      </c>
      <c r="G55" s="714">
        <f>VLOOKUP(+'Main Creation Page'!E16+'Main Creation Page'!$E$12,'System Lookups'!$A$3:$D$146,2)</f>
        <v>0.12</v>
      </c>
      <c r="H55" s="714">
        <f>VLOOKUP(+'Main Creation Page'!E16+'Main Creation Page'!$E$13,'System Lookups'!$A$3:$D$146,2)</f>
        <v>0.12</v>
      </c>
      <c r="I55" s="714">
        <f>VLOOKUP(+'Main Creation Page'!E16+'Main Creation Page'!$E$14,'System Lookups'!$A$3:$D$146,2)</f>
        <v>0.14000000000000001</v>
      </c>
      <c r="J55" s="714">
        <f>VLOOKUP(+'Main Creation Page'!E16+'Main Creation Page'!$E$15,'System Lookups'!$A$3:$D$146,2)</f>
        <v>0.2</v>
      </c>
      <c r="K55" s="714">
        <f>VLOOKUP(+'Main Creation Page'!E16+'Main Creation Page'!$E$16,'System Lookups'!$A$3:$D$146,2)</f>
        <v>0.2</v>
      </c>
      <c r="L55" s="714">
        <f>VLOOKUP(+'Main Creation Page'!E16+'Main Creation Page'!$E$17,'System Lookups'!$A$3:$D$146,2)</f>
        <v>0.14000000000000001</v>
      </c>
      <c r="M55" s="598"/>
      <c r="N55" s="941">
        <v>9</v>
      </c>
      <c r="O55" s="942">
        <v>0.01</v>
      </c>
      <c r="P55" s="942">
        <v>0.01</v>
      </c>
      <c r="Q55" s="942">
        <v>0.65</v>
      </c>
      <c r="R55" s="943">
        <v>240</v>
      </c>
      <c r="S55" s="944">
        <v>120</v>
      </c>
      <c r="T55" s="609">
        <f>VLOOKUP('Main Creation Page'!$E$13,'System Lookups'!$F$109:$P$120,10)</f>
        <v>-30</v>
      </c>
      <c r="U55" s="2541" t="str">
        <f t="shared" si="0"/>
        <v>210 / 90</v>
      </c>
      <c r="V55" s="2542"/>
      <c r="W55" s="608"/>
      <c r="X55" s="608"/>
      <c r="Z55" s="2550" t="s">
        <v>1393</v>
      </c>
      <c r="AA55" s="2550"/>
      <c r="AB55" s="2550"/>
      <c r="AC55" s="2550"/>
      <c r="AD55" s="2550"/>
    </row>
    <row r="56" spans="1:30" ht="9.9499999999999993" customHeight="1">
      <c r="C56" s="615" t="s">
        <v>1149</v>
      </c>
      <c r="D56" s="714">
        <f>VLOOKUP(+'Main Creation Page'!E17+'Main Creation Page'!$E$9,'System Lookups'!$A$3:$D$146,2)</f>
        <v>0.08</v>
      </c>
      <c r="E56" s="714">
        <f>VLOOKUP(+'Main Creation Page'!E17+'Main Creation Page'!$E$10,'System Lookups'!$A$3:$D$146,2)</f>
        <v>0.04</v>
      </c>
      <c r="F56" s="714">
        <f>VLOOKUP(+'Main Creation Page'!E17+'Main Creation Page'!$E$11,'System Lookups'!$A$3:$D$146,2)</f>
        <v>0.04</v>
      </c>
      <c r="G56" s="714">
        <f>VLOOKUP(+'Main Creation Page'!E17+'Main Creation Page'!$E$12,'System Lookups'!$A$3:$D$146,2)</f>
        <v>0.08</v>
      </c>
      <c r="H56" s="714">
        <f>VLOOKUP(+'Main Creation Page'!E17+'Main Creation Page'!$E$13,'System Lookups'!$A$3:$D$146,2)</f>
        <v>0.08</v>
      </c>
      <c r="I56" s="714">
        <f>VLOOKUP(+'Main Creation Page'!E17+'Main Creation Page'!$E$14,'System Lookups'!$A$3:$D$146,2)</f>
        <v>0.1</v>
      </c>
      <c r="J56" s="714">
        <f>VLOOKUP(+'Main Creation Page'!E17+'Main Creation Page'!$E$15,'System Lookups'!$A$3:$D$146,2)</f>
        <v>0.14000000000000001</v>
      </c>
      <c r="K56" s="714">
        <f>VLOOKUP(+'Main Creation Page'!E17+'Main Creation Page'!$E$16,'System Lookups'!$A$3:$D$146,2)</f>
        <v>0.14000000000000001</v>
      </c>
      <c r="L56" s="714">
        <f>VLOOKUP(+'Main Creation Page'!E17+'Main Creation Page'!$E$17,'System Lookups'!$A$3:$D$146,2)</f>
        <v>0.1</v>
      </c>
      <c r="M56" s="598"/>
      <c r="N56" s="941">
        <v>10</v>
      </c>
      <c r="O56" s="942">
        <v>0</v>
      </c>
      <c r="P56" s="942">
        <v>0.01</v>
      </c>
      <c r="Q56" s="942">
        <v>0.5</v>
      </c>
      <c r="R56" s="943">
        <v>300</v>
      </c>
      <c r="S56" s="944">
        <v>150</v>
      </c>
      <c r="T56" s="609">
        <f>VLOOKUP('Main Creation Page'!$E$13,'System Lookups'!$F$109:$P$120,11)</f>
        <v>-38</v>
      </c>
      <c r="U56" s="2541" t="str">
        <f t="shared" si="0"/>
        <v>262 / 112</v>
      </c>
      <c r="V56" s="2542"/>
      <c r="W56" s="608"/>
      <c r="X56" s="608"/>
    </row>
    <row r="57" spans="1:30" ht="9.9499999999999993" customHeight="1">
      <c r="C57" s="946" t="s">
        <v>3617</v>
      </c>
      <c r="D57" s="743">
        <f ca="1">Skills!$AD$838</f>
        <v>0.29000000000000004</v>
      </c>
      <c r="H57" s="615" t="s">
        <v>211</v>
      </c>
      <c r="I57" s="743">
        <f ca="1">Skills!$AD$169</f>
        <v>0.48000000000000004</v>
      </c>
    </row>
    <row r="58" spans="1:30" ht="9.9499999999999993" customHeight="1">
      <c r="C58" s="946" t="s">
        <v>1544</v>
      </c>
      <c r="D58" s="743">
        <f ca="1">Skills!$AD$840</f>
        <v>0.29000000000000004</v>
      </c>
      <c r="H58" s="615" t="s">
        <v>212</v>
      </c>
      <c r="I58" s="743">
        <f ca="1">Skills!$AD$122</f>
        <v>0.62</v>
      </c>
    </row>
    <row r="59" spans="1:30" ht="9.9499999999999993" customHeight="1">
      <c r="C59" s="946" t="s">
        <v>1982</v>
      </c>
      <c r="D59" s="743">
        <f ca="1">Skills!$AD$839</f>
        <v>0.29000000000000004</v>
      </c>
      <c r="H59" s="615" t="s">
        <v>213</v>
      </c>
      <c r="I59" s="743">
        <f ca="1">Skills!$AD$799</f>
        <v>0.46</v>
      </c>
    </row>
    <row r="60" spans="1:30" ht="9.9499999999999993" customHeight="1">
      <c r="C60" s="946" t="s">
        <v>1984</v>
      </c>
      <c r="D60" s="743">
        <f ca="1">Skills!$AD$842</f>
        <v>0.24</v>
      </c>
      <c r="H60" s="751" t="s">
        <v>2447</v>
      </c>
      <c r="I60" s="743">
        <f ca="1">Skills!$AD$165</f>
        <v>0.52</v>
      </c>
    </row>
    <row r="61" spans="1:30" ht="9.9499999999999993" customHeight="1">
      <c r="C61" s="946" t="s">
        <v>1983</v>
      </c>
      <c r="D61" s="743">
        <f ca="1">Skills!$AD$841</f>
        <v>0.25</v>
      </c>
      <c r="H61" s="685" t="s">
        <v>3993</v>
      </c>
      <c r="I61" s="743">
        <f>IF($E$6="Well",0,IF($E$6="Neutral",0.1,0))+IF('SA&amp;DD'!$D$33="Y",0.11+'SA&amp;DD'!$G$33/100,IF('SA&amp;DD'!$D$45="Y",0.03+'SA&amp;DD'!$G$45/100,0))</f>
        <v>0</v>
      </c>
    </row>
    <row r="62" spans="1:30" ht="9.9499999999999993" customHeight="1"/>
    <row r="63" spans="1:30" ht="9.9499999999999993" customHeight="1">
      <c r="J63" s="609" t="s">
        <v>3526</v>
      </c>
      <c r="K63" s="609" t="s">
        <v>3525</v>
      </c>
      <c r="L63" s="609" t="s">
        <v>1988</v>
      </c>
      <c r="Q63" s="598" t="s">
        <v>3527</v>
      </c>
    </row>
    <row r="64" spans="1:30">
      <c r="A64" s="598" t="s">
        <v>5257</v>
      </c>
      <c r="I64" s="947" t="s">
        <v>3005</v>
      </c>
      <c r="J64" s="947" t="s">
        <v>5216</v>
      </c>
      <c r="K64" s="947" t="s">
        <v>3006</v>
      </c>
      <c r="L64" s="947" t="s">
        <v>5216</v>
      </c>
      <c r="M64" s="947" t="s">
        <v>5217</v>
      </c>
      <c r="N64" s="598"/>
      <c r="O64" s="598" t="s">
        <v>5258</v>
      </c>
      <c r="P64" s="598"/>
      <c r="Q64" s="668" t="s">
        <v>3528</v>
      </c>
    </row>
    <row r="65" spans="1:17" ht="17.25" customHeight="1">
      <c r="A65" s="2530">
        <v>2</v>
      </c>
      <c r="B65" s="2531"/>
      <c r="C65" s="2531"/>
      <c r="D65" s="2531"/>
      <c r="E65" s="2532">
        <v>3</v>
      </c>
      <c r="F65" s="2533"/>
      <c r="G65" s="2533"/>
      <c r="H65" s="2533"/>
      <c r="I65" s="948">
        <f ca="1">INDEX(Skills_Table,'System Lookups'!$CQ$419,HLOOKUP("current df",Skill_Columns,2,FALSE))</f>
        <v>5</v>
      </c>
      <c r="J65" s="949">
        <f ca="1">IF(ISNA(VLOOKUP(I65,'System Lookups'!$J$55:$P$64,4))," ",VLOOKUP(I65,'System Lookups'!$J$55:$P$64,4))</f>
        <v>0.2</v>
      </c>
      <c r="K65" s="1071">
        <f ca="1">INDEX(Skills_Table,'System Lookups'!$CQ$419,HLOOKUP("Attribute Bonus",Skill_Columns,2,FALSE))</f>
        <v>0.08</v>
      </c>
      <c r="L65" s="1071">
        <f ca="1">INDEX(Skills_Table,'System Lookups'!$CQ$419,HLOOKUP("Total Skill Chance",Skill_Columns,2,FALSE))</f>
        <v>0.18</v>
      </c>
      <c r="M65" s="950">
        <f ca="1">IF(ISNA(VLOOKUP(I65,'System Lookups'!$J$55:$P$64,7))," ",VLOOKUP(I65,'System Lookups'!$J$55:$P$64,7))</f>
        <v>700</v>
      </c>
      <c r="N65" s="755"/>
      <c r="O65" s="598">
        <v>25</v>
      </c>
      <c r="P65" s="598">
        <f>N65*O65</f>
        <v>0</v>
      </c>
      <c r="Q65" s="951">
        <f ca="1">IF(M65=" "," ",+M65-(P65+P66+P67))</f>
        <v>700</v>
      </c>
    </row>
    <row r="66" spans="1:17" ht="9.9499999999999993" customHeight="1">
      <c r="I66" s="598"/>
      <c r="J66" s="598"/>
      <c r="K66" s="598"/>
      <c r="L66" s="598"/>
      <c r="M66" s="598"/>
      <c r="N66" s="755"/>
      <c r="O66" s="598">
        <v>75</v>
      </c>
      <c r="P66" s="598">
        <f>N66*O66</f>
        <v>0</v>
      </c>
    </row>
    <row r="67" spans="1:17" ht="9.9499999999999993" customHeight="1">
      <c r="I67" s="598"/>
      <c r="J67" s="598"/>
      <c r="K67" s="598"/>
      <c r="L67" s="598"/>
      <c r="M67" s="598"/>
      <c r="N67" s="755"/>
      <c r="O67" s="598">
        <v>50</v>
      </c>
      <c r="P67" s="598">
        <f>N67*O67</f>
        <v>0</v>
      </c>
    </row>
    <row r="68" spans="1:17"/>
    <row r="69" spans="1:17"/>
    <row r="70" spans="1:17" hidden="1"/>
    <row r="71" spans="1:17" hidden="1"/>
    <row r="72" spans="1:17" hidden="1"/>
    <row r="73" spans="1:17" hidden="1"/>
    <row r="74" spans="1:17" hidden="1"/>
    <row r="75" spans="1:17" hidden="1"/>
    <row r="76" spans="1:17" hidden="1"/>
    <row r="77" spans="1:17" hidden="1"/>
    <row r="78" spans="1:17" hidden="1"/>
    <row r="79" spans="1:17" hidden="1"/>
    <row r="80" spans="1:17" hidden="1"/>
    <row r="81" hidden="1"/>
    <row r="82" hidden="1"/>
    <row r="83" hidden="1"/>
    <row r="84" hidden="1"/>
    <row r="85" hidden="1"/>
    <row r="86" hidden="1"/>
    <row r="87" hidden="1"/>
    <row r="88" hidden="1"/>
  </sheetData>
  <mergeCells count="98">
    <mergeCell ref="A13:C13"/>
    <mergeCell ref="L10:O10"/>
    <mergeCell ref="L14:O14"/>
    <mergeCell ref="V4:Z4"/>
    <mergeCell ref="U8:U9"/>
    <mergeCell ref="A7:D7"/>
    <mergeCell ref="L7:O7"/>
    <mergeCell ref="L8:O8"/>
    <mergeCell ref="L5:O5"/>
    <mergeCell ref="L6:O6"/>
    <mergeCell ref="V5:Z5"/>
    <mergeCell ref="R12:S12"/>
    <mergeCell ref="V6:Z6"/>
    <mergeCell ref="L12:O12"/>
    <mergeCell ref="A11:C11"/>
    <mergeCell ref="V7:Z7"/>
    <mergeCell ref="A1:AD1"/>
    <mergeCell ref="A2:C2"/>
    <mergeCell ref="A3:B3"/>
    <mergeCell ref="K2:N2"/>
    <mergeCell ref="D2:F2"/>
    <mergeCell ref="AA2:AD3"/>
    <mergeCell ref="K3:N3"/>
    <mergeCell ref="S2:S3"/>
    <mergeCell ref="T2:T3"/>
    <mergeCell ref="R2:R3"/>
    <mergeCell ref="U2:U3"/>
    <mergeCell ref="E13:F13"/>
    <mergeCell ref="G13:H13"/>
    <mergeCell ref="E15:F15"/>
    <mergeCell ref="G15:H15"/>
    <mergeCell ref="E27:F27"/>
    <mergeCell ref="E26:F26"/>
    <mergeCell ref="A4:F4"/>
    <mergeCell ref="A9:F9"/>
    <mergeCell ref="J4:N4"/>
    <mergeCell ref="G11:H11"/>
    <mergeCell ref="E11:F11"/>
    <mergeCell ref="A5:F5"/>
    <mergeCell ref="A6:F6"/>
    <mergeCell ref="D45:D47"/>
    <mergeCell ref="E45:E47"/>
    <mergeCell ref="F45:F47"/>
    <mergeCell ref="G45:G47"/>
    <mergeCell ref="H45:H47"/>
    <mergeCell ref="J45:J47"/>
    <mergeCell ref="K45:K47"/>
    <mergeCell ref="Z24:AD24"/>
    <mergeCell ref="L11:O11"/>
    <mergeCell ref="R15:S15"/>
    <mergeCell ref="R16:S16"/>
    <mergeCell ref="R13:S13"/>
    <mergeCell ref="AB47:AC47"/>
    <mergeCell ref="I11:J11"/>
    <mergeCell ref="R18:S18"/>
    <mergeCell ref="V11:Z11"/>
    <mergeCell ref="Z25:AA25"/>
    <mergeCell ref="L15:O15"/>
    <mergeCell ref="L16:O16"/>
    <mergeCell ref="L17:O17"/>
    <mergeCell ref="I45:I47"/>
    <mergeCell ref="Z55:AD55"/>
    <mergeCell ref="L13:O13"/>
    <mergeCell ref="V8:Z8"/>
    <mergeCell ref="V9:Z9"/>
    <mergeCell ref="U51:V51"/>
    <mergeCell ref="U52:V52"/>
    <mergeCell ref="U53:V53"/>
    <mergeCell ref="AB48:AC48"/>
    <mergeCell ref="R45:V45"/>
    <mergeCell ref="L18:O18"/>
    <mergeCell ref="R19:S19"/>
    <mergeCell ref="V10:Z10"/>
    <mergeCell ref="L9:O9"/>
    <mergeCell ref="Z33:AA33"/>
    <mergeCell ref="L27:O27"/>
    <mergeCell ref="P31:S31"/>
    <mergeCell ref="U49:V49"/>
    <mergeCell ref="U46:V46"/>
    <mergeCell ref="U54:V54"/>
    <mergeCell ref="U55:V55"/>
    <mergeCell ref="U50:V50"/>
    <mergeCell ref="A65:D65"/>
    <mergeCell ref="E65:H65"/>
    <mergeCell ref="Z32:AA32"/>
    <mergeCell ref="Z46:AC46"/>
    <mergeCell ref="A15:C15"/>
    <mergeCell ref="B22:C24"/>
    <mergeCell ref="I15:J15"/>
    <mergeCell ref="U56:V56"/>
    <mergeCell ref="Z47:AA47"/>
    <mergeCell ref="Z48:AA48"/>
    <mergeCell ref="U47:V47"/>
    <mergeCell ref="U48:V48"/>
    <mergeCell ref="Z26:AA26"/>
    <mergeCell ref="Z27:AA27"/>
    <mergeCell ref="Z34:AA34"/>
    <mergeCell ref="L45:L47"/>
  </mergeCells>
  <phoneticPr fontId="17" type="noConversion"/>
  <conditionalFormatting sqref="L14:P18">
    <cfRule type="expression" dxfId="318" priority="1">
      <formula>$P$3="Y"</formula>
    </cfRule>
  </conditionalFormatting>
  <pageMargins left="0.5" right="0.5" top="0.5" bottom="0.5" header="0.5" footer="0.5"/>
  <pageSetup scale="95" orientation="landscape" verticalDpi="300" r:id="rId1"/>
  <headerFooter alignWithMargins="0"/>
  <legacyDrawing r:id="rId2"/>
</worksheet>
</file>

<file path=xl/worksheets/sheet5.xml><?xml version="1.0" encoding="utf-8"?>
<worksheet xmlns="http://schemas.openxmlformats.org/spreadsheetml/2006/main" xmlns:r="http://schemas.openxmlformats.org/officeDocument/2006/relationships">
  <sheetPr codeName="Sheet4">
    <tabColor rgb="FF0070C0"/>
  </sheetPr>
  <dimension ref="A1:BH984"/>
  <sheetViews>
    <sheetView zoomScale="130" zoomScaleNormal="130" workbookViewId="0">
      <pane xSplit="1" ySplit="4" topLeftCell="B5" activePane="bottomRight" state="frozen"/>
      <selection activeCell="A2" sqref="A2"/>
      <selection pane="topRight" activeCell="A2" sqref="A2"/>
      <selection pane="bottomLeft" activeCell="A2" sqref="A2"/>
      <selection pane="bottomRight" activeCell="X6" sqref="X6"/>
    </sheetView>
  </sheetViews>
  <sheetFormatPr defaultColWidth="9.140625" defaultRowHeight="12.75" outlineLevelRow="4" outlineLevelCol="1"/>
  <cols>
    <col min="1" max="1" width="24.85546875" style="1034" customWidth="1"/>
    <col min="2" max="4" width="2.7109375" style="1118" hidden="1" customWidth="1" outlineLevel="1"/>
    <col min="5" max="6" width="2.7109375" style="1043" hidden="1" customWidth="1" outlineLevel="1"/>
    <col min="7" max="7" width="2.7109375" style="1043" customWidth="1" collapsed="1"/>
    <col min="8" max="8" width="2.7109375" style="1043" customWidth="1"/>
    <col min="9" max="9" width="4.7109375" style="1043" hidden="1" customWidth="1" outlineLevel="1"/>
    <col min="10" max="12" width="2.7109375" style="1043" hidden="1" customWidth="1" outlineLevel="1"/>
    <col min="13" max="13" width="4.85546875" style="1043" hidden="1" customWidth="1" outlineLevel="1"/>
    <col min="14" max="14" width="2.7109375" style="1043" hidden="1" customWidth="1" outlineLevel="1"/>
    <col min="15" max="15" width="1.42578125" style="1043" customWidth="1" collapsed="1"/>
    <col min="16" max="16" width="4.28515625" style="1043" hidden="1" customWidth="1" outlineLevel="1"/>
    <col min="17" max="17" width="3" style="1043" hidden="1" customWidth="1" outlineLevel="1"/>
    <col min="18" max="18" width="0.7109375" style="1043" hidden="1" customWidth="1" outlineLevel="1"/>
    <col min="19" max="19" width="4.140625" style="1034" hidden="1" customWidth="1" outlineLevel="1"/>
    <col min="20" max="20" width="2.140625" style="1034" hidden="1" customWidth="1" outlineLevel="1"/>
    <col min="21" max="21" width="3.7109375" style="1043" hidden="1" customWidth="1" outlineLevel="1"/>
    <col min="22" max="22" width="3.7109375" style="1043" customWidth="1" collapsed="1"/>
    <col min="23" max="24" width="5.140625" style="1034" bestFit="1" customWidth="1"/>
    <col min="25" max="25" width="4.7109375" style="1034" customWidth="1"/>
    <col min="26" max="27" width="5.7109375" style="1034" customWidth="1"/>
    <col min="28" max="29" width="5.7109375" style="1034" hidden="1" customWidth="1" outlineLevel="1"/>
    <col min="30" max="30" width="5.7109375" style="1034" customWidth="1" collapsed="1"/>
    <col min="31" max="31" width="3.140625" style="1111" customWidth="1"/>
    <col min="32" max="32" width="3" style="1111" customWidth="1"/>
    <col min="33" max="33" width="5.140625" style="1034" bestFit="1" customWidth="1"/>
    <col min="34" max="34" width="3" style="1034" bestFit="1" customWidth="1"/>
    <col min="35" max="35" width="3.85546875" style="1080" bestFit="1" customWidth="1"/>
    <col min="36" max="41" width="2.5703125" style="1080" hidden="1" customWidth="1"/>
    <col min="42" max="42" width="4.28515625" style="1080" hidden="1" customWidth="1"/>
    <col min="43" max="43" width="4.85546875" style="1080" customWidth="1"/>
    <col min="44" max="44" width="5.7109375" style="1080" hidden="1" customWidth="1"/>
    <col min="45" max="46" width="5.7109375" style="1080" customWidth="1"/>
    <col min="47" max="47" width="9.140625" style="1080" customWidth="1"/>
    <col min="48" max="54" width="9.140625" style="1080" hidden="1" customWidth="1"/>
    <col min="55" max="55" width="42.5703125" style="1080" hidden="1" customWidth="1"/>
    <col min="56" max="58" width="9.140625" style="1080" hidden="1" customWidth="1"/>
    <col min="59" max="59" width="3.140625" style="1034" customWidth="1"/>
    <col min="60" max="60" width="7.28515625" style="1034" bestFit="1" customWidth="1"/>
    <col min="61" max="16384" width="9.140625" style="1034"/>
  </cols>
  <sheetData>
    <row r="1" spans="1:60" ht="21" thickTop="1">
      <c r="A1" s="1082" t="s">
        <v>2764</v>
      </c>
      <c r="B1" s="2630"/>
      <c r="C1" s="2630"/>
      <c r="D1" s="2630"/>
      <c r="E1" s="2630"/>
      <c r="F1" s="2630"/>
      <c r="G1" s="2630"/>
      <c r="H1" s="2630"/>
      <c r="I1" s="2630"/>
      <c r="J1" s="2630"/>
      <c r="K1" s="2630"/>
      <c r="L1" s="2630"/>
      <c r="M1" s="2630"/>
      <c r="N1" s="2630"/>
      <c r="O1" s="2630"/>
      <c r="P1" s="2630"/>
      <c r="Q1" s="2630"/>
      <c r="R1" s="2630"/>
      <c r="S1" s="2630"/>
      <c r="T1" s="2630"/>
      <c r="U1" s="2630"/>
      <c r="V1" s="2630"/>
      <c r="W1" s="2630"/>
      <c r="X1" s="2630"/>
      <c r="Y1" s="2630"/>
      <c r="Z1" s="2630"/>
      <c r="AA1" s="2630"/>
      <c r="AB1" s="2630"/>
      <c r="AC1" s="2630"/>
      <c r="AD1" s="2630"/>
      <c r="AE1" s="2630"/>
      <c r="AF1" s="2630"/>
      <c r="AG1" s="2630"/>
      <c r="AH1" s="2630"/>
      <c r="AI1" s="2630"/>
      <c r="AJ1" s="1081"/>
      <c r="AK1" s="1081"/>
      <c r="AL1" s="1081"/>
      <c r="AM1" s="1081"/>
      <c r="AN1" s="1081"/>
      <c r="AO1" s="1081"/>
      <c r="AP1" s="1081"/>
      <c r="AQ1" s="1081"/>
      <c r="AR1" s="1081"/>
      <c r="AS1" s="1081"/>
      <c r="AT1" s="1081"/>
      <c r="AU1" s="1081"/>
      <c r="AV1" s="2629"/>
      <c r="AW1" s="2629"/>
      <c r="AX1" s="2629"/>
      <c r="AY1" s="2629"/>
      <c r="AZ1" s="2629"/>
      <c r="BA1" s="2629"/>
      <c r="BB1" s="2629"/>
      <c r="BC1" s="2629"/>
      <c r="BD1" s="2629"/>
      <c r="BE1" s="2629"/>
      <c r="BF1" s="2629"/>
      <c r="BH1" s="1035">
        <v>25</v>
      </c>
    </row>
    <row r="2" spans="1:60">
      <c r="A2" s="1084" t="str">
        <f>IF('Main Creation Page'!C2="","NPC",'Main Creation Page'!C2)</f>
        <v>NPC</v>
      </c>
      <c r="B2" s="1036" t="s">
        <v>3033</v>
      </c>
      <c r="C2" s="1036"/>
      <c r="D2" s="1036"/>
      <c r="E2" s="2631" t="str">
        <f>'Character Sheet'!G2</f>
        <v>Clergy: Knight Chaplain</v>
      </c>
      <c r="F2" s="2632"/>
      <c r="G2" s="2632"/>
      <c r="H2" s="2632"/>
      <c r="I2" s="2632"/>
      <c r="J2" s="2632"/>
      <c r="K2" s="2632"/>
      <c r="L2" s="2632"/>
      <c r="M2" s="2632"/>
      <c r="N2" s="2632"/>
      <c r="O2" s="2632"/>
      <c r="P2" s="2632"/>
      <c r="Q2" s="2632"/>
      <c r="R2" s="2632"/>
      <c r="S2" s="2632"/>
      <c r="T2" s="1037"/>
      <c r="U2" s="1038"/>
      <c r="V2" s="2652" t="s">
        <v>1496</v>
      </c>
      <c r="W2" s="2653"/>
      <c r="X2" s="1039">
        <f>'Character Sheet'!AC37</f>
        <v>5000</v>
      </c>
      <c r="Y2" s="2637" t="s">
        <v>5656</v>
      </c>
      <c r="Z2" s="2638"/>
      <c r="AA2" s="2638"/>
      <c r="AB2" s="2638"/>
      <c r="AC2" s="2638"/>
      <c r="AD2" s="2638"/>
      <c r="AE2" s="1040"/>
      <c r="AF2" s="1079"/>
      <c r="AH2" s="1041"/>
      <c r="AJ2" s="1042"/>
      <c r="AK2" s="1042"/>
      <c r="AL2" s="1042"/>
      <c r="AM2" s="1042"/>
      <c r="AO2" s="1042"/>
      <c r="AU2" s="1081"/>
      <c r="AV2" s="2629"/>
      <c r="AW2" s="2629"/>
      <c r="AX2" s="2629"/>
      <c r="AY2" s="2629"/>
      <c r="AZ2" s="2629"/>
      <c r="BA2" s="2629"/>
      <c r="BB2" s="2629"/>
      <c r="BC2" s="2629"/>
      <c r="BD2" s="2629"/>
      <c r="BE2" s="2629"/>
      <c r="BF2" s="2629"/>
    </row>
    <row r="3" spans="1:60" ht="69.75" customHeight="1">
      <c r="A3" s="2639" t="s">
        <v>3320</v>
      </c>
      <c r="B3" s="2596" t="s">
        <v>443</v>
      </c>
      <c r="C3" s="2596" t="s">
        <v>444</v>
      </c>
      <c r="D3" s="2596" t="s">
        <v>1893</v>
      </c>
      <c r="E3" s="2619" t="s">
        <v>442</v>
      </c>
      <c r="F3" s="2619" t="s">
        <v>1895</v>
      </c>
      <c r="G3" s="2599" t="str">
        <f>CONCATENATE("TEACHER = ",COUNTIF(Skills!G5:G907,"&gt;0"))</f>
        <v>TEACHER = 0</v>
      </c>
      <c r="H3" s="2599" t="str">
        <f>CONCATENATE("MASTERY = ", +Experience!T10)</f>
        <v>MASTERY = 1</v>
      </c>
      <c r="I3" s="2611" t="s">
        <v>6186</v>
      </c>
      <c r="J3" s="2599" t="str">
        <f>CONCATENATE("Class = ", +Experience!H9)</f>
        <v>Class = 0</v>
      </c>
      <c r="K3" s="2599" t="s">
        <v>2172</v>
      </c>
      <c r="L3" s="2599" t="s">
        <v>41</v>
      </c>
      <c r="M3" s="2601" t="str">
        <f>CONCATENATE("Scholarly Option = ",COUNTIF(Skills!M5:M907,"Y"))</f>
        <v>Scholarly Option = 0</v>
      </c>
      <c r="N3" s="2603" t="s">
        <v>1897</v>
      </c>
      <c r="P3" s="2614" t="s">
        <v>6029</v>
      </c>
      <c r="Q3" s="2614"/>
      <c r="R3" s="2614"/>
      <c r="S3" s="2614"/>
      <c r="T3" s="1073"/>
      <c r="U3" s="2615" t="s">
        <v>3045</v>
      </c>
      <c r="V3" s="2635" t="s">
        <v>1302</v>
      </c>
      <c r="W3" s="2619" t="s">
        <v>440</v>
      </c>
      <c r="X3" s="2601" t="s">
        <v>5309</v>
      </c>
      <c r="Y3" s="2621" t="s">
        <v>1304</v>
      </c>
      <c r="Z3" s="2621" t="s">
        <v>1305</v>
      </c>
      <c r="AA3" s="2633" t="s">
        <v>3317</v>
      </c>
      <c r="AB3" s="2615" t="s">
        <v>945</v>
      </c>
      <c r="AC3" s="2617" t="s">
        <v>2837</v>
      </c>
      <c r="AD3" s="2623" t="s">
        <v>3318</v>
      </c>
      <c r="AE3" s="2595" t="s">
        <v>3319</v>
      </c>
      <c r="AF3" s="2595" t="s">
        <v>6185</v>
      </c>
      <c r="AG3" s="2627" t="s">
        <v>441</v>
      </c>
      <c r="AH3" s="1044" t="s">
        <v>4557</v>
      </c>
      <c r="AI3" s="2627" t="s">
        <v>6068</v>
      </c>
      <c r="AJ3" s="2625" t="s">
        <v>1894</v>
      </c>
      <c r="AK3" s="2625" t="s">
        <v>1895</v>
      </c>
      <c r="AL3" s="2625" t="s">
        <v>1301</v>
      </c>
      <c r="AM3" s="2625" t="s">
        <v>74</v>
      </c>
      <c r="AN3" s="2625" t="s">
        <v>5285</v>
      </c>
      <c r="AO3" s="2625" t="s">
        <v>6187</v>
      </c>
      <c r="AP3" s="2626" t="s">
        <v>1836</v>
      </c>
      <c r="AQ3" s="2627" t="s">
        <v>6069</v>
      </c>
      <c r="AR3" s="2628" t="s">
        <v>5707</v>
      </c>
      <c r="AU3" s="2627" t="s">
        <v>6159</v>
      </c>
      <c r="AV3" s="2629"/>
      <c r="AW3" s="2629"/>
      <c r="AX3" s="2629"/>
      <c r="AY3" s="2629"/>
      <c r="AZ3" s="2629"/>
      <c r="BA3" s="2629"/>
      <c r="BB3" s="2629"/>
      <c r="BC3" s="2629"/>
      <c r="BD3" s="2629"/>
      <c r="BE3" s="2629"/>
      <c r="BF3" s="2629"/>
      <c r="BH3" s="2613" t="s">
        <v>6071</v>
      </c>
    </row>
    <row r="4" spans="1:60">
      <c r="A4" s="2640"/>
      <c r="B4" s="2596"/>
      <c r="C4" s="2596"/>
      <c r="D4" s="2596"/>
      <c r="E4" s="2620"/>
      <c r="F4" s="2620"/>
      <c r="G4" s="2600"/>
      <c r="H4" s="2600"/>
      <c r="I4" s="2612"/>
      <c r="J4" s="2600"/>
      <c r="K4" s="2600"/>
      <c r="L4" s="2600"/>
      <c r="M4" s="2602"/>
      <c r="N4" s="2604"/>
      <c r="O4" s="1070"/>
      <c r="P4" s="1085" t="s">
        <v>4627</v>
      </c>
      <c r="Q4" s="1027"/>
      <c r="R4" s="1027"/>
      <c r="S4" s="1086" t="s">
        <v>4630</v>
      </c>
      <c r="U4" s="2616"/>
      <c r="V4" s="2636"/>
      <c r="W4" s="2620"/>
      <c r="X4" s="2602"/>
      <c r="Y4" s="2622"/>
      <c r="Z4" s="2622"/>
      <c r="AA4" s="2634"/>
      <c r="AB4" s="2616"/>
      <c r="AC4" s="2618"/>
      <c r="AD4" s="2624"/>
      <c r="AE4" s="2596"/>
      <c r="AF4" s="2596"/>
      <c r="AG4" s="2627"/>
      <c r="AI4" s="2627"/>
      <c r="AJ4" s="2625"/>
      <c r="AK4" s="2625"/>
      <c r="AL4" s="2625"/>
      <c r="AM4" s="2625"/>
      <c r="AN4" s="2625"/>
      <c r="AO4" s="2625"/>
      <c r="AP4" s="2626"/>
      <c r="AQ4" s="2627"/>
      <c r="AR4" s="2628"/>
      <c r="AU4" s="2627"/>
      <c r="AV4" s="2629"/>
      <c r="AW4" s="2629"/>
      <c r="AX4" s="2629"/>
      <c r="AY4" s="2629"/>
      <c r="AZ4" s="2629"/>
      <c r="BA4" s="2629"/>
      <c r="BB4" s="2629"/>
      <c r="BC4" s="2629"/>
      <c r="BD4" s="2629"/>
      <c r="BE4" s="2629"/>
      <c r="BF4" s="2629"/>
      <c r="BH4" s="2613"/>
    </row>
    <row r="5" spans="1:60" ht="15" customHeight="1">
      <c r="A5" s="1087" t="s">
        <v>1989</v>
      </c>
      <c r="B5" s="1088"/>
      <c r="C5" s="1088"/>
      <c r="D5" s="1088"/>
      <c r="F5" s="1027"/>
      <c r="G5" s="1027"/>
      <c r="H5" s="1027"/>
      <c r="I5" s="1089"/>
      <c r="J5" s="1089"/>
      <c r="K5" s="1089"/>
      <c r="L5" s="1089"/>
      <c r="M5" s="1089"/>
      <c r="N5" s="1027"/>
      <c r="O5" s="1085"/>
      <c r="T5" s="1090"/>
      <c r="U5" s="1089"/>
      <c r="V5" s="1089"/>
      <c r="W5" s="1089"/>
      <c r="X5" s="1089"/>
      <c r="AE5" s="1091"/>
      <c r="AF5" s="1091"/>
      <c r="AG5" s="1092">
        <f>SUM(AG7:AG14)</f>
        <v>0</v>
      </c>
      <c r="AH5" s="1092"/>
      <c r="AI5" s="1092">
        <f>SUM(AI7:AI14)</f>
        <v>0</v>
      </c>
      <c r="AJ5" s="1092"/>
      <c r="AK5" s="1092"/>
      <c r="AL5" s="1092"/>
      <c r="AM5" s="1092"/>
      <c r="AN5" s="1027"/>
      <c r="AO5" s="1092"/>
      <c r="BC5" s="1080" t="str">
        <f>IF(ISBLANK(AJ5),IF(ISBLANK(AI5),IF(RIGHT(A5,2)="en","Language Lore: "&amp;A5,IF(LEFT(A5,9)="Alquennas",A5,NA())),IF(RIGHT(A5,9)=" Medicina",A5&amp;": Healing Lore Skills",IF(OR(LEFT(A5,5)="Lore ",LEFT(A5,8)="Materia "),A5&amp;" Skills",IF(LEFT(A5,8)="Cooking ","Cooking &amp; Innkeeping Skills",A5)))),IF(LEFT(A5,9)="alertness","Alertness: "&amp;RIGHT(A5,5),IF(ISBLANK(BD5),A5,IF(RIGHT(BD5,2)=" (",BD5&amp;"Own)",BD5&amp;A5))))</f>
        <v>Agricultural Skills</v>
      </c>
      <c r="BE5" s="1080" t="str">
        <f>IF(OR(ISNUMBER(FIND("Lore",BF5)),ISNUMBER(FIND("Materia",BF5)),ISNUMBER(FIND("Lore",BD5))),"Lore","")</f>
        <v/>
      </c>
      <c r="BF5" s="1080" t="str">
        <f>IF(ISBLANK(AC5),IF(OR(ISNA(BC5),ISBLANK(BC5)),AU1,BC5),AU1)</f>
        <v>Agricultural Skills</v>
      </c>
    </row>
    <row r="6" spans="1:60" ht="11.1" customHeight="1" outlineLevel="1">
      <c r="A6" s="1093" t="s">
        <v>2702</v>
      </c>
      <c r="B6" s="1094"/>
      <c r="C6" s="1094"/>
      <c r="D6" s="1094"/>
      <c r="E6" s="1095" t="s">
        <v>5224</v>
      </c>
      <c r="F6" s="1095" t="s">
        <v>5224</v>
      </c>
      <c r="G6" s="1096">
        <v>0</v>
      </c>
      <c r="H6" s="1096" t="s">
        <v>5224</v>
      </c>
      <c r="I6" s="1096" t="s">
        <v>5224</v>
      </c>
      <c r="J6" s="1096" t="s">
        <v>5224</v>
      </c>
      <c r="K6" s="1096" t="s">
        <v>5224</v>
      </c>
      <c r="L6" s="1096" t="s">
        <v>5224</v>
      </c>
      <c r="M6" s="1096" t="s">
        <v>5224</v>
      </c>
      <c r="N6" s="1096" t="s">
        <v>4631</v>
      </c>
      <c r="O6" s="1097"/>
      <c r="P6" s="1097" t="s">
        <v>780</v>
      </c>
      <c r="Q6" s="1097">
        <f ca="1">INDIRECT(P6)</f>
        <v>17</v>
      </c>
      <c r="R6" s="1097"/>
      <c r="S6" s="1097" t="s">
        <v>3616</v>
      </c>
      <c r="T6" s="1097">
        <f t="shared" ref="T6:T13" ca="1" si="0">INDIRECT(S6)</f>
        <v>17</v>
      </c>
      <c r="U6" s="1027">
        <v>4</v>
      </c>
      <c r="V6" s="1027">
        <f t="shared" ref="V6:V13" si="1">IF(AP6+U6&gt;10,10,IF(AP6+U6&lt;1,1,AP6+U6))</f>
        <v>5</v>
      </c>
      <c r="W6" s="1098" t="e">
        <f>IF(OR(I6&lt;&gt;"N",E6="C"),IF(AND(N6&lt;&gt;"T",ISNUMBER(FIND("V",I6))),1,0),NA())+IF(H6="Y",IF(AND(N6="P",ISNUMBER(FIND("Z",I6))),2,1),0)+IF(J6="Y",1,0)+IF(K6="Y",3,0)+IF(BE6="Lore",L6*2+Experience!$D$25,0)+IF(M6="Y",1,0)</f>
        <v>#N/A</v>
      </c>
      <c r="X6" s="1099"/>
      <c r="Y6" s="1100">
        <f ca="1">IF(P6="NS",IFERROR(INDIRECT(S6),NA()),VLOOKUP(INDIRECT(P6)+INDIRECT(S6),'System Lookups'!$A$3:$D$146,2))</f>
        <v>0.1</v>
      </c>
      <c r="Z6" s="1100">
        <f t="shared" ref="Z6:Z13" si="2">IF(ISNA(W6),0,W6*0.03)+IF(X6&gt;0,X6*0.03,0)+IF(AND(ISNA(W6),X6&lt;=0),0,IF(G6&gt;0,G6*0.07,0))</f>
        <v>0</v>
      </c>
      <c r="AA6" s="1101">
        <f ca="1">IF(ISNA(Y6),0,Y6)+Z6</f>
        <v>0.1</v>
      </c>
      <c r="AB6" s="1102">
        <f>VLOOKUP(V6,'System Lookups'!$J$55:$P$64,3)</f>
        <v>0.1</v>
      </c>
      <c r="AC6" s="1103">
        <f>VLOOKUP(V6,'System Lookups'!$J$55:$P$64,4)</f>
        <v>0.2</v>
      </c>
      <c r="AD6" s="1104">
        <f t="shared" ref="AD6:AD13" ca="1" si="3">IF(AND(ISBLANK(X6),ISNA(W6)),IF(B6="~",0,AB6+AA6+IF(BB6&gt;0,0.05,0)),AA6+AC6+IF(BB6&gt;0,0.05,0))</f>
        <v>0.2</v>
      </c>
      <c r="AE6" s="1094">
        <f ca="1">(IF(AD6&gt;VLOOKUP(V6,'System Lookups'!$J$55:$P$63,6),(((AD6-VLOOKUP(V6,'System Lookups'!$J$55:$P$63,6))*100)/20),0))+AF6</f>
        <v>0</v>
      </c>
      <c r="AF6" s="1094"/>
      <c r="AG6" s="1092">
        <f t="shared" ref="AG6:AG13" si="4">IF(ISBLANK(X6),0,AQ6*X6+IF(ISNA(W6),1,0))</f>
        <v>0</v>
      </c>
      <c r="AH6" s="1092" t="str">
        <f>IF(X6&lt;=Experience!$R$15+1,"","*")</f>
        <v/>
      </c>
      <c r="AI6" s="1092"/>
      <c r="AJ6" s="1080">
        <f>IF(ISNUMBER(FIND("R",F6)),-1,0)</f>
        <v>0</v>
      </c>
      <c r="AK6" s="1080">
        <f>IF(F6="s",-2,0)</f>
        <v>0</v>
      </c>
      <c r="AL6" s="1080">
        <f>IF(AND(H6="Y",OR(N6="P",N6="S")),-1,0)</f>
        <v>0</v>
      </c>
      <c r="AM6" s="1092">
        <f>IF(J6="y",1,0)</f>
        <v>0</v>
      </c>
      <c r="AN6" s="1080">
        <f>IF(N6="P",-1,IF(N6="T",1,0))</f>
        <v>1</v>
      </c>
      <c r="AO6" s="1080">
        <f>IF(ISNUMBER(FIND("Z",I6)),1,0)</f>
        <v>0</v>
      </c>
      <c r="AP6" s="1080">
        <f t="shared" ref="AP6:AP13" si="5">SUM(AJ6:AN6)-AM6</f>
        <v>1</v>
      </c>
      <c r="AQ6" s="1027">
        <f>VLOOKUP(V6,'System Lookups'!$J$55:$P$64,7)</f>
        <v>700</v>
      </c>
      <c r="AR6" s="1080" t="str">
        <f ca="1">IF(AND(NOT(ISBLANK(AJ6)),ISNA(MATCH(ROW(),'System Lookups'!$C$526:$C$539,0))),"Y","N")</f>
        <v>Y</v>
      </c>
      <c r="AS6" s="1080">
        <f t="shared" ref="AS6:AS13" si="6">AG6-AI6</f>
        <v>0</v>
      </c>
      <c r="AU6" s="1080" t="e">
        <f>IF(AND(NOT(ISNUMBER($W6)),ISBLANK($X6)),NA(),IFERROR($W6+$X6,$X6))</f>
        <v>#N/A</v>
      </c>
      <c r="AV6" s="1080" t="str">
        <f t="shared" ref="AV6:AV67" si="7">IF(ISNUMBER(U6),CONCATENATE(IF(E6="C","C",""),IF(H6="Y","M",""),N6,IF(ISNUMBER(FIND("F",I6)),"Bk",""),IF(ISNUMBER(FIND("Z",I6)),"Zm",""),IF(J6="Y","L",""),IF(OR(K6="Y",AND(ISNUMBER(L6),L6&gt;0),M6="Y"),"Sa","")),"")</f>
        <v>T</v>
      </c>
      <c r="AW6" s="1080">
        <f>IF(OR(I6="N",ISBLANK(I6)),0,1)</f>
        <v>0</v>
      </c>
      <c r="AX6" s="1080">
        <f>IF($N6="P",IF(ISNUMBER(FIND("V",$I6)),1,0),0)</f>
        <v>0</v>
      </c>
      <c r="AY6" s="1080">
        <f>IF($N6="S",IF(ISNUMBER(FIND("V",$I6)),1,0),0)</f>
        <v>0</v>
      </c>
      <c r="AZ6" s="1080">
        <f>IF($N6="T",IF(ISNUMBER(FIND("V",$I6)),1,0),0)</f>
        <v>0</v>
      </c>
      <c r="BA6" s="1080">
        <f>IF($N6&lt;&gt;"T",IF(OR(ISNUMBER(FIND("C",$I6)),ISNUMBER(FIND("D",$I6)),ISNUMBER(FIND("E",$I6)),ISNUMBER(FIND("F",$I6)),ISNUMBER(FIND("L",$I6)),ISNUMBER(FIND("R",$I6)),ISNUMBER(FIND("S",$I6))),1,0),0)</f>
        <v>0</v>
      </c>
      <c r="BB6" s="1080">
        <f>IF(AND(RACE=1,'Main Creation Page'!$E$6="Well",OR(ISNUMBER(FIND(Experience!$G$11,BE6)),ISNUMBER(FIND(Experience!$G$11,BF6)),ISNUMBER(FIND(Experience!$I$11,BE6)),ISNUMBER(FIND(Experience!$I$11,BF6)))),1,0)</f>
        <v>0</v>
      </c>
      <c r="BC6" s="1080" t="str">
        <f t="shared" ref="BC6:BC69" si="8">IF(ISBLANK(AJ6),IF(ISBLANK(AI6),IF(RIGHT(A6,2)="en","Language Lore: "&amp;A6,IF(LEFT(A6,9)="Alquennas",A6,NA())),IF(RIGHT(A6,9)=" Medicina",A6&amp;": Healing Lore Skills",IF(OR(LEFT(A6,5)="Lore ",LEFT(A6,8)="Materia "),A6&amp;" Skills",IF(LEFT(A6,8)="Cooking ","Cooking &amp; Innkeeping Skills",A6)))),IF(LEFT(A6,9)="alertness","Alertness: "&amp;RIGHT(A6,5),IF(ISBLANK(BD6),A6,IF(RIGHT(BD6,2)=" (",BD6&amp;"Own)",BD6&amp;A6))))</f>
        <v>Aquaculture: Plant</v>
      </c>
      <c r="BE6" s="1080" t="str">
        <f t="shared" ref="BE6:BE67" si="9">IF(OR(ISNUMBER(FIND("Lore",BF6)),ISNUMBER(FIND("Materia",BF6)),ISNUMBER(FIND("Lore",BD6))),"Lore","")</f>
        <v/>
      </c>
      <c r="BF6" s="1080" t="str">
        <f t="shared" ref="BF6:BF68" si="10">IF(ISBLANK(AC6),IF(OR(ISNA(BC6),ISBLANK(BC6)),BF5,BC6),BF5)</f>
        <v>Agricultural Skills</v>
      </c>
    </row>
    <row r="7" spans="1:60" ht="11.1" customHeight="1" outlineLevel="1">
      <c r="A7" s="1028" t="s">
        <v>1990</v>
      </c>
      <c r="B7" s="1094"/>
      <c r="C7" s="1094"/>
      <c r="D7" s="1094"/>
      <c r="E7" s="1095" t="s">
        <v>5224</v>
      </c>
      <c r="F7" s="1095" t="s">
        <v>5224</v>
      </c>
      <c r="G7" s="1096">
        <v>0</v>
      </c>
      <c r="H7" s="1096" t="s">
        <v>5224</v>
      </c>
      <c r="I7" s="1096" t="s">
        <v>5224</v>
      </c>
      <c r="J7" s="1096" t="s">
        <v>5224</v>
      </c>
      <c r="K7" s="1096" t="s">
        <v>5224</v>
      </c>
      <c r="L7" s="1096" t="s">
        <v>5224</v>
      </c>
      <c r="M7" s="1096" t="s">
        <v>5224</v>
      </c>
      <c r="N7" s="1096" t="s">
        <v>4631</v>
      </c>
      <c r="O7" s="1097"/>
      <c r="P7" s="1097" t="s">
        <v>3615</v>
      </c>
      <c r="Q7" s="1097">
        <f t="shared" ref="Q7:Q13" ca="1" si="11">INDIRECT(P7)</f>
        <v>20</v>
      </c>
      <c r="R7" s="1097"/>
      <c r="S7" s="1097" t="s">
        <v>3616</v>
      </c>
      <c r="T7" s="1097">
        <f t="shared" ca="1" si="0"/>
        <v>17</v>
      </c>
      <c r="U7" s="1027">
        <v>3</v>
      </c>
      <c r="V7" s="1027">
        <f t="shared" si="1"/>
        <v>4</v>
      </c>
      <c r="W7" s="1098" t="e">
        <f>IF(OR(I7&lt;&gt;"N",E7="C"),IF(AND(N7&lt;&gt;"T",ISNUMBER(FIND("V",I7))),1,0),NA())+IF(H7="Y",IF(AND(N7="P",ISNUMBER(FIND("Z",I7))),2,1),0)+IF(J7="Y",1,0)+IF(K7="Y",3,0)+IF(BE7="Lore",L7*2+Experience!$D$25,0)+IF(M7="Y",1,0)</f>
        <v>#N/A</v>
      </c>
      <c r="X7" s="1099"/>
      <c r="Y7" s="1100">
        <f ca="1">IF(P7="NS",IFERROR(INDIRECT(S7),NA()),VLOOKUP(INDIRECT(P7)+INDIRECT(S7),'System Lookups'!$A$3:$D$146,2))</f>
        <v>0.14000000000000001</v>
      </c>
      <c r="Z7" s="1100">
        <f t="shared" si="2"/>
        <v>0</v>
      </c>
      <c r="AA7" s="1101">
        <f ca="1">IF(ISNA(Y7),0,Y7)+Z7</f>
        <v>0.14000000000000001</v>
      </c>
      <c r="AB7" s="1102">
        <f>VLOOKUP(V7,'System Lookups'!$J$55:$P$64,3)</f>
        <v>0.2</v>
      </c>
      <c r="AC7" s="1103">
        <f>VLOOKUP(V7,'System Lookups'!$J$55:$P$64,4)</f>
        <v>0.3</v>
      </c>
      <c r="AD7" s="1104">
        <f t="shared" ca="1" si="3"/>
        <v>0.34</v>
      </c>
      <c r="AE7" s="1094">
        <f ca="1">(IF(AD7&gt;VLOOKUP(V7,'System Lookups'!$J$55:$P$63,6),(((AD7-VLOOKUP(V7,'System Lookups'!$J$55:$P$63,6))*100)/20),0))+AF7</f>
        <v>0</v>
      </c>
      <c r="AF7" s="1094"/>
      <c r="AG7" s="1092">
        <f t="shared" si="4"/>
        <v>0</v>
      </c>
      <c r="AH7" s="1092" t="str">
        <f>IF(X7&lt;=Experience!$R$15+1,"","*")</f>
        <v/>
      </c>
      <c r="AI7" s="1092"/>
      <c r="AJ7" s="1080">
        <f t="shared" ref="AJ7:AJ13" si="12">IF(ISNUMBER(FIND("R",F7)),-1,0)</f>
        <v>0</v>
      </c>
      <c r="AK7" s="1080">
        <f>IF(F7="s",-2,0)</f>
        <v>0</v>
      </c>
      <c r="AL7" s="1080">
        <f t="shared" ref="AL7:AL13" si="13">IF(AND(H7="Y",OR(N7="P",N7="S")),-1,0)</f>
        <v>0</v>
      </c>
      <c r="AM7" s="1092">
        <f>IF(J7="y",1,0)</f>
        <v>0</v>
      </c>
      <c r="AN7" s="1080">
        <f>IF(N7="P",-1,IF(N7="T",1,0))</f>
        <v>1</v>
      </c>
      <c r="AO7" s="1080">
        <f t="shared" ref="AO7:AO13" si="14">IF(ISNUMBER(FIND("Z",I7)),1,0)</f>
        <v>0</v>
      </c>
      <c r="AP7" s="1080">
        <f t="shared" si="5"/>
        <v>1</v>
      </c>
      <c r="AQ7" s="1027">
        <f>VLOOKUP(V7,'System Lookups'!$J$55:$P$64,7)</f>
        <v>600</v>
      </c>
      <c r="AR7" s="1080" t="str">
        <f ca="1">IF(AND(NOT(ISBLANK(AJ7)),ISNA(MATCH(ROW(),'System Lookups'!$C$526:$C$539,0))),"Y","N")</f>
        <v>Y</v>
      </c>
      <c r="AS7" s="1080">
        <f t="shared" si="6"/>
        <v>0</v>
      </c>
      <c r="AU7" s="1080" t="e">
        <f t="shared" ref="AU7:AU67" si="15">IF(AND(NOT(ISNUMBER($W7)),ISBLANK($X7)),NA(),IFERROR($W7+$X7,$X7))</f>
        <v>#N/A</v>
      </c>
      <c r="AV7" s="1080" t="str">
        <f t="shared" si="7"/>
        <v>T</v>
      </c>
      <c r="AW7" s="1080">
        <f t="shared" ref="AW7:AW67" si="16">IF(OR(I7="N",ISBLANK(I7)),0,1)</f>
        <v>0</v>
      </c>
      <c r="AX7" s="1080">
        <f t="shared" ref="AX7:AX67" si="17">IF($N7="P",IF(ISNUMBER(FIND("V",$I7)),1,0),0)</f>
        <v>0</v>
      </c>
      <c r="AY7" s="1080">
        <f t="shared" ref="AY7:AY67" si="18">IF($N7="S",IF(ISNUMBER(FIND("V",$I7)),1,0),0)</f>
        <v>0</v>
      </c>
      <c r="AZ7" s="1080">
        <f t="shared" ref="AZ7:AZ67" si="19">IF($N7="T",IF(ISNUMBER(FIND("V",$I7)),1,0),0)</f>
        <v>0</v>
      </c>
      <c r="BA7" s="1080">
        <f t="shared" ref="BA7:BA67" si="20">IF($N7&lt;&gt;"T",IF(OR(ISNUMBER(FIND("C",$I7)),ISNUMBER(FIND("D",$I7)),ISNUMBER(FIND("E",$I7)),ISNUMBER(FIND("F",$I7)),ISNUMBER(FIND("L",$I7)),ISNUMBER(FIND("R",$I7)),ISNUMBER(FIND("S",$I7))),1,0),0)</f>
        <v>0</v>
      </c>
      <c r="BB7" s="1080">
        <f>IF(AND(RACE=1,'Main Creation Page'!$E$6="Well",OR(ISNUMBER(FIND(Experience!$G$11,BE7)),ISNUMBER(FIND(Experience!$G$11,BF7)),ISNUMBER(FIND(Experience!$I$11,BE7)),ISNUMBER(FIND(Experience!$I$11,BF7)))),1,0)</f>
        <v>0</v>
      </c>
      <c r="BC7" s="1080" t="str">
        <f t="shared" si="8"/>
        <v>Field Crops</v>
      </c>
      <c r="BE7" s="1080" t="str">
        <f t="shared" si="9"/>
        <v/>
      </c>
      <c r="BF7" s="1080" t="str">
        <f t="shared" si="10"/>
        <v>Agricultural Skills</v>
      </c>
    </row>
    <row r="8" spans="1:60" s="1106" customFormat="1" ht="11.1" customHeight="1" outlineLevel="1">
      <c r="A8" s="1028" t="s">
        <v>2370</v>
      </c>
      <c r="B8" s="1094"/>
      <c r="C8" s="1094"/>
      <c r="D8" s="1094"/>
      <c r="E8" s="1095" t="s">
        <v>5224</v>
      </c>
      <c r="F8" s="1095" t="s">
        <v>5224</v>
      </c>
      <c r="G8" s="1096">
        <v>0</v>
      </c>
      <c r="H8" s="1096" t="s">
        <v>5224</v>
      </c>
      <c r="I8" s="1096" t="s">
        <v>5224</v>
      </c>
      <c r="J8" s="1096" t="s">
        <v>5224</v>
      </c>
      <c r="K8" s="1096" t="s">
        <v>5224</v>
      </c>
      <c r="L8" s="1096" t="s">
        <v>5224</v>
      </c>
      <c r="M8" s="1096" t="s">
        <v>5224</v>
      </c>
      <c r="N8" s="1096" t="s">
        <v>4631</v>
      </c>
      <c r="O8" s="1097"/>
      <c r="P8" s="1097" t="s">
        <v>780</v>
      </c>
      <c r="Q8" s="1097">
        <f t="shared" ca="1" si="11"/>
        <v>17</v>
      </c>
      <c r="R8" s="1097"/>
      <c r="S8" s="1097" t="s">
        <v>3616</v>
      </c>
      <c r="T8" s="1097">
        <f t="shared" ca="1" si="0"/>
        <v>17</v>
      </c>
      <c r="U8" s="1027">
        <v>3</v>
      </c>
      <c r="V8" s="1027">
        <f t="shared" si="1"/>
        <v>4</v>
      </c>
      <c r="W8" s="1098" t="e">
        <f>IF(OR(I8&lt;&gt;"N",E8="C"),IF(AND(N8&lt;&gt;"T",ISNUMBER(FIND("V",I8))),1,0),NA())+IF(H8="Y",IF(AND(N8="P",ISNUMBER(FIND("Z",I8))),2,1),0)+IF(J8="Y",1,0)+IF(K8="Y",3,0)+IF(BE8="Lore",L8*2+Experience!$D$25,0)+IF(M8="Y",1,0)</f>
        <v>#N/A</v>
      </c>
      <c r="X8" s="1099"/>
      <c r="Y8" s="1100">
        <f ca="1">IF(P8="NS",IFERROR(INDIRECT(S8),NA()),VLOOKUP(INDIRECT(P8)+INDIRECT(S8),'System Lookups'!$A$3:$D$146,2))</f>
        <v>0.1</v>
      </c>
      <c r="Z8" s="1100">
        <f t="shared" si="2"/>
        <v>0</v>
      </c>
      <c r="AA8" s="1101">
        <f ca="1">IF(ISNA(Y8),0,Y8)+Z8</f>
        <v>0.1</v>
      </c>
      <c r="AB8" s="1102">
        <f>VLOOKUP(V8,'System Lookups'!$J$55:$P$64,3)</f>
        <v>0.2</v>
      </c>
      <c r="AC8" s="1103">
        <f>VLOOKUP(V8,'System Lookups'!$J$55:$P$64,4)</f>
        <v>0.3</v>
      </c>
      <c r="AD8" s="1104">
        <f t="shared" ca="1" si="3"/>
        <v>0.30000000000000004</v>
      </c>
      <c r="AE8" s="1094">
        <f ca="1">(IF(AD8&gt;VLOOKUP(V8,'System Lookups'!$J$55:$P$63,6),(((AD8-VLOOKUP(V8,'System Lookups'!$J$55:$P$63,6))*100)/20),0))+AF8</f>
        <v>0</v>
      </c>
      <c r="AF8" s="1094"/>
      <c r="AG8" s="1092">
        <f t="shared" si="4"/>
        <v>0</v>
      </c>
      <c r="AH8" s="1092" t="str">
        <f>IF(X8&lt;=Experience!$R$15+1,"","*")</f>
        <v/>
      </c>
      <c r="AI8" s="1092"/>
      <c r="AJ8" s="1080">
        <f t="shared" si="12"/>
        <v>0</v>
      </c>
      <c r="AK8" s="1080">
        <f>IF(F8="s",-2,0)</f>
        <v>0</v>
      </c>
      <c r="AL8" s="1080">
        <f t="shared" si="13"/>
        <v>0</v>
      </c>
      <c r="AM8" s="1092">
        <f>IF(J8="y",1,0)</f>
        <v>0</v>
      </c>
      <c r="AN8" s="1080">
        <f>IF(N8="P",-1,IF(N8="T",1,0))</f>
        <v>1</v>
      </c>
      <c r="AO8" s="1080">
        <f t="shared" si="14"/>
        <v>0</v>
      </c>
      <c r="AP8" s="1080">
        <f t="shared" si="5"/>
        <v>1</v>
      </c>
      <c r="AQ8" s="1027">
        <f>VLOOKUP(V8,'System Lookups'!$J$55:$P$64,7)</f>
        <v>600</v>
      </c>
      <c r="AR8" s="1080" t="str">
        <f ca="1">IF(AND(NOT(ISBLANK(AJ8)),ISNA(MATCH(ROW(),'System Lookups'!$C$526:$C$539,0))),"Y","N")</f>
        <v>Y</v>
      </c>
      <c r="AS8" s="1080">
        <f t="shared" si="6"/>
        <v>0</v>
      </c>
      <c r="AT8" s="1080"/>
      <c r="AU8" s="1080" t="e">
        <f t="shared" si="15"/>
        <v>#N/A</v>
      </c>
      <c r="AV8" s="1080" t="str">
        <f t="shared" si="7"/>
        <v>T</v>
      </c>
      <c r="AW8" s="1080">
        <f t="shared" si="16"/>
        <v>0</v>
      </c>
      <c r="AX8" s="1080">
        <f t="shared" si="17"/>
        <v>0</v>
      </c>
      <c r="AY8" s="1080">
        <f t="shared" si="18"/>
        <v>0</v>
      </c>
      <c r="AZ8" s="1080">
        <f t="shared" si="19"/>
        <v>0</v>
      </c>
      <c r="BA8" s="1080">
        <f t="shared" si="20"/>
        <v>0</v>
      </c>
      <c r="BB8" s="1080">
        <f>IF(AND(RACE=1,'Main Creation Page'!$E$6="Well",OR(ISNUMBER(FIND(Experience!$G$11,BE8)),ISNUMBER(FIND(Experience!$G$11,BF8)),ISNUMBER(FIND(Experience!$I$11,BE8)),ISNUMBER(FIND(Experience!$I$11,BF8)))),1,0)</f>
        <v>0</v>
      </c>
      <c r="BC8" s="1080" t="str">
        <f t="shared" si="8"/>
        <v>Fruit Crops</v>
      </c>
      <c r="BD8" s="1105"/>
      <c r="BE8" s="1080" t="str">
        <f t="shared" si="9"/>
        <v/>
      </c>
      <c r="BF8" s="1080" t="str">
        <f t="shared" si="10"/>
        <v>Agricultural Skills</v>
      </c>
    </row>
    <row r="9" spans="1:60" s="1106" customFormat="1" ht="11.1" customHeight="1" outlineLevel="1">
      <c r="A9" s="1093" t="s">
        <v>5636</v>
      </c>
      <c r="B9" s="1094"/>
      <c r="C9" s="1094"/>
      <c r="D9" s="1094"/>
      <c r="E9" s="1095" t="s">
        <v>5224</v>
      </c>
      <c r="F9" s="1095" t="s">
        <v>5224</v>
      </c>
      <c r="G9" s="1096">
        <v>0</v>
      </c>
      <c r="H9" s="1096" t="s">
        <v>5224</v>
      </c>
      <c r="I9" s="1096" t="s">
        <v>5224</v>
      </c>
      <c r="J9" s="1096" t="s">
        <v>5224</v>
      </c>
      <c r="K9" s="1096" t="s">
        <v>5224</v>
      </c>
      <c r="L9" s="1096" t="s">
        <v>5224</v>
      </c>
      <c r="M9" s="1096" t="s">
        <v>5224</v>
      </c>
      <c r="N9" s="1096" t="s">
        <v>4631</v>
      </c>
      <c r="O9" s="1097"/>
      <c r="P9" s="1097" t="s">
        <v>780</v>
      </c>
      <c r="Q9" s="1097">
        <f t="shared" ca="1" si="11"/>
        <v>17</v>
      </c>
      <c r="R9" s="1097"/>
      <c r="S9" s="1097" t="s">
        <v>3616</v>
      </c>
      <c r="T9" s="1097">
        <f t="shared" ca="1" si="0"/>
        <v>17</v>
      </c>
      <c r="U9" s="1027">
        <v>3</v>
      </c>
      <c r="V9" s="1027">
        <f t="shared" si="1"/>
        <v>4</v>
      </c>
      <c r="W9" s="1098" t="e">
        <f>IF(OR(I9&lt;&gt;"N",E9="C"),IF(AND(N9&lt;&gt;"T",ISNUMBER(FIND("V",I9))),1,0),NA())+IF(H9="Y",IF(AND(N9="P",ISNUMBER(FIND("Z",I9))),2,1),0)+IF(J9="Y",1,0)+IF(K9="Y",3,0)+IF(BE9="Lore",L9*2+Experience!$D$25,0)+IF(M9="Y",1,0)</f>
        <v>#N/A</v>
      </c>
      <c r="X9" s="1099"/>
      <c r="Y9" s="1100">
        <f ca="1">IF(P9="NS",IFERROR(INDIRECT(S9),NA()),VLOOKUP(INDIRECT(P9)+INDIRECT(S9),'System Lookups'!$A$3:$D$146,2))</f>
        <v>0.1</v>
      </c>
      <c r="Z9" s="1100">
        <f t="shared" si="2"/>
        <v>0</v>
      </c>
      <c r="AA9" s="1101">
        <f t="shared" ref="AA9:AA11" ca="1" si="21">IF(ISNA(Y9),0,Y9)+Z9</f>
        <v>0.1</v>
      </c>
      <c r="AB9" s="1102">
        <f>VLOOKUP(V9,'System Lookups'!$J$55:$P$64,3)</f>
        <v>0.2</v>
      </c>
      <c r="AC9" s="1103">
        <f>VLOOKUP(V9,'System Lookups'!$J$55:$P$64,4)</f>
        <v>0.3</v>
      </c>
      <c r="AD9" s="1104">
        <f t="shared" ca="1" si="3"/>
        <v>0.30000000000000004</v>
      </c>
      <c r="AE9" s="1094">
        <f ca="1">(IF(AD9&gt;VLOOKUP(V9,'System Lookups'!$J$55:$P$63,6),(((AD9-VLOOKUP(V9,'System Lookups'!$J$55:$P$63,6))*100)/20),0))+AF9</f>
        <v>0</v>
      </c>
      <c r="AF9" s="1094"/>
      <c r="AG9" s="1092">
        <f t="shared" si="4"/>
        <v>0</v>
      </c>
      <c r="AH9" s="1092" t="str">
        <f>IF(X9&lt;=Experience!$R$15+1,"","*")</f>
        <v/>
      </c>
      <c r="AI9" s="1092"/>
      <c r="AJ9" s="1080">
        <f t="shared" si="12"/>
        <v>0</v>
      </c>
      <c r="AK9" s="1080">
        <f t="shared" ref="AK9:AK11" si="22">IF(F9="s",-2,0)</f>
        <v>0</v>
      </c>
      <c r="AL9" s="1080">
        <f t="shared" si="13"/>
        <v>0</v>
      </c>
      <c r="AM9" s="1092">
        <f t="shared" ref="AM9:AM11" si="23">IF(J9="y",1,0)</f>
        <v>0</v>
      </c>
      <c r="AN9" s="1080">
        <f t="shared" ref="AN9:AN11" si="24">IF(N9="P",-1,IF(N9="T",1,0))</f>
        <v>1</v>
      </c>
      <c r="AO9" s="1080">
        <f t="shared" si="14"/>
        <v>0</v>
      </c>
      <c r="AP9" s="1080">
        <f t="shared" si="5"/>
        <v>1</v>
      </c>
      <c r="AQ9" s="1027">
        <f>VLOOKUP(V9,'System Lookups'!$J$55:$P$64,7)</f>
        <v>600</v>
      </c>
      <c r="AR9" s="1080" t="str">
        <f ca="1">IF(AND(NOT(ISBLANK(AJ9)),ISNA(MATCH(ROW(),'System Lookups'!$C$526:$C$539,0))),"Y","N")</f>
        <v>Y</v>
      </c>
      <c r="AS9" s="1080">
        <f t="shared" si="6"/>
        <v>0</v>
      </c>
      <c r="AT9" s="1080"/>
      <c r="AU9" s="1080" t="e">
        <f t="shared" si="15"/>
        <v>#N/A</v>
      </c>
      <c r="AV9" s="1080" t="str">
        <f t="shared" si="7"/>
        <v>T</v>
      </c>
      <c r="AW9" s="1080">
        <f t="shared" si="16"/>
        <v>0</v>
      </c>
      <c r="AX9" s="1080">
        <f t="shared" si="17"/>
        <v>0</v>
      </c>
      <c r="AY9" s="1080">
        <f t="shared" si="18"/>
        <v>0</v>
      </c>
      <c r="AZ9" s="1080">
        <f t="shared" si="19"/>
        <v>0</v>
      </c>
      <c r="BA9" s="1080">
        <f t="shared" si="20"/>
        <v>0</v>
      </c>
      <c r="BB9" s="1080">
        <f>IF(AND(RACE=1,'Main Creation Page'!$E$6="Well",OR(ISNUMBER(FIND(Experience!$G$11,BE9)),ISNUMBER(FIND(Experience!$G$11,BF9)),ISNUMBER(FIND(Experience!$I$11,BE9)),ISNUMBER(FIND(Experience!$I$11,BF9)))),1,0)</f>
        <v>0</v>
      </c>
      <c r="BC9" s="1080" t="str">
        <f t="shared" si="8"/>
        <v>Grafting</v>
      </c>
      <c r="BD9" s="1080"/>
      <c r="BE9" s="1080" t="str">
        <f t="shared" si="9"/>
        <v/>
      </c>
      <c r="BF9" s="1080" t="str">
        <f t="shared" si="10"/>
        <v>Agricultural Skills</v>
      </c>
    </row>
    <row r="10" spans="1:60" s="1106" customFormat="1" ht="11.1" customHeight="1" outlineLevel="1">
      <c r="A10" s="1093" t="s">
        <v>5637</v>
      </c>
      <c r="B10" s="1094"/>
      <c r="C10" s="1094"/>
      <c r="D10" s="1094"/>
      <c r="E10" s="1095" t="s">
        <v>5224</v>
      </c>
      <c r="F10" s="1095" t="s">
        <v>5224</v>
      </c>
      <c r="G10" s="1096">
        <v>0</v>
      </c>
      <c r="H10" s="1096" t="s">
        <v>5224</v>
      </c>
      <c r="I10" s="1096" t="s">
        <v>5224</v>
      </c>
      <c r="J10" s="1096" t="s">
        <v>5224</v>
      </c>
      <c r="K10" s="1096" t="s">
        <v>5224</v>
      </c>
      <c r="L10" s="1096" t="s">
        <v>5224</v>
      </c>
      <c r="M10" s="1096" t="s">
        <v>5224</v>
      </c>
      <c r="N10" s="1096" t="s">
        <v>4631</v>
      </c>
      <c r="O10" s="1097"/>
      <c r="P10" s="1097" t="s">
        <v>780</v>
      </c>
      <c r="Q10" s="1097">
        <f t="shared" ca="1" si="11"/>
        <v>17</v>
      </c>
      <c r="R10" s="1097"/>
      <c r="S10" s="1097" t="s">
        <v>3616</v>
      </c>
      <c r="T10" s="1097">
        <f t="shared" ca="1" si="0"/>
        <v>17</v>
      </c>
      <c r="U10" s="1027">
        <v>4</v>
      </c>
      <c r="V10" s="1027">
        <f t="shared" si="1"/>
        <v>5</v>
      </c>
      <c r="W10" s="1098" t="e">
        <f>IF(OR(I10&lt;&gt;"N",E10="C"),IF(AND(N10&lt;&gt;"T",ISNUMBER(FIND("V",I10))),1,0),NA())+IF(H10="Y",IF(AND(N10="P",ISNUMBER(FIND("Z",I10))),2,1),0)+IF(J10="Y",1,0)+IF(K10="Y",3,0)+IF(BE10="Lore",L10*2+Experience!$D$25,0)+IF(M10="Y",1,0)</f>
        <v>#N/A</v>
      </c>
      <c r="X10" s="1099"/>
      <c r="Y10" s="1100">
        <f ca="1">IF(P10="NS",IFERROR(INDIRECT(S10),NA()),VLOOKUP(INDIRECT(P10)+INDIRECT(S10),'System Lookups'!$A$3:$D$146,2))</f>
        <v>0.1</v>
      </c>
      <c r="Z10" s="1100">
        <f t="shared" si="2"/>
        <v>0</v>
      </c>
      <c r="AA10" s="1101">
        <f t="shared" ca="1" si="21"/>
        <v>0.1</v>
      </c>
      <c r="AB10" s="1102">
        <f>VLOOKUP(V10,'System Lookups'!$J$55:$P$64,3)</f>
        <v>0.1</v>
      </c>
      <c r="AC10" s="1103">
        <f>VLOOKUP(V10,'System Lookups'!$J$55:$P$64,4)</f>
        <v>0.2</v>
      </c>
      <c r="AD10" s="1104">
        <f t="shared" ca="1" si="3"/>
        <v>0.2</v>
      </c>
      <c r="AE10" s="1094">
        <f ca="1">(IF(AD10&gt;VLOOKUP(V10,'System Lookups'!$J$55:$P$63,6),(((AD10-VLOOKUP(V10,'System Lookups'!$J$55:$P$63,6))*100)/20),0))+AF10</f>
        <v>0</v>
      </c>
      <c r="AF10" s="1094"/>
      <c r="AG10" s="1092">
        <f t="shared" si="4"/>
        <v>0</v>
      </c>
      <c r="AH10" s="1092" t="str">
        <f>IF(X10&lt;=Experience!$R$15+1,"","*")</f>
        <v/>
      </c>
      <c r="AI10" s="1092"/>
      <c r="AJ10" s="1080">
        <f t="shared" si="12"/>
        <v>0</v>
      </c>
      <c r="AK10" s="1080">
        <f t="shared" si="22"/>
        <v>0</v>
      </c>
      <c r="AL10" s="1080">
        <f t="shared" si="13"/>
        <v>0</v>
      </c>
      <c r="AM10" s="1092">
        <f t="shared" si="23"/>
        <v>0</v>
      </c>
      <c r="AN10" s="1080">
        <f t="shared" si="24"/>
        <v>1</v>
      </c>
      <c r="AO10" s="1080">
        <f t="shared" si="14"/>
        <v>0</v>
      </c>
      <c r="AP10" s="1080">
        <f t="shared" si="5"/>
        <v>1</v>
      </c>
      <c r="AQ10" s="1027">
        <f>VLOOKUP(V10,'System Lookups'!$J$55:$P$64,7)</f>
        <v>700</v>
      </c>
      <c r="AR10" s="1080" t="str">
        <f ca="1">IF(AND(NOT(ISBLANK(AJ10)),ISNA(MATCH(ROW(),'System Lookups'!$C$526:$C$539,0))),"Y","N")</f>
        <v>Y</v>
      </c>
      <c r="AS10" s="1080">
        <f t="shared" si="6"/>
        <v>0</v>
      </c>
      <c r="AT10" s="1080"/>
      <c r="AU10" s="1080" t="e">
        <f t="shared" si="15"/>
        <v>#N/A</v>
      </c>
      <c r="AV10" s="1080" t="str">
        <f t="shared" si="7"/>
        <v>T</v>
      </c>
      <c r="AW10" s="1080">
        <f t="shared" si="16"/>
        <v>0</v>
      </c>
      <c r="AX10" s="1080">
        <f t="shared" si="17"/>
        <v>0</v>
      </c>
      <c r="AY10" s="1080">
        <f t="shared" si="18"/>
        <v>0</v>
      </c>
      <c r="AZ10" s="1080">
        <f t="shared" si="19"/>
        <v>0</v>
      </c>
      <c r="BA10" s="1080">
        <f t="shared" si="20"/>
        <v>0</v>
      </c>
      <c r="BB10" s="1080">
        <f>IF(AND(RACE=1,'Main Creation Page'!$E$6="Well",OR(ISNUMBER(FIND(Experience!$G$11,BE10)),ISNUMBER(FIND(Experience!$G$11,BF10)),ISNUMBER(FIND(Experience!$I$11,BE10)),ISNUMBER(FIND(Experience!$I$11,BF10)))),1,0)</f>
        <v>0</v>
      </c>
      <c r="BC10" s="1080" t="str">
        <f t="shared" si="8"/>
        <v>Hybrid Creation</v>
      </c>
      <c r="BD10" s="1080"/>
      <c r="BE10" s="1080" t="str">
        <f t="shared" si="9"/>
        <v/>
      </c>
      <c r="BF10" s="1080" t="str">
        <f t="shared" si="10"/>
        <v>Agricultural Skills</v>
      </c>
    </row>
    <row r="11" spans="1:60" s="1106" customFormat="1" ht="11.1" customHeight="1" outlineLevel="1">
      <c r="A11" s="1093" t="s">
        <v>5638</v>
      </c>
      <c r="B11" s="1094"/>
      <c r="C11" s="1094"/>
      <c r="D11" s="1094"/>
      <c r="E11" s="1095" t="s">
        <v>5224</v>
      </c>
      <c r="F11" s="1095" t="s">
        <v>5224</v>
      </c>
      <c r="G11" s="1096">
        <v>0</v>
      </c>
      <c r="H11" s="1096" t="s">
        <v>5224</v>
      </c>
      <c r="I11" s="1096" t="s">
        <v>5224</v>
      </c>
      <c r="J11" s="1096" t="s">
        <v>5224</v>
      </c>
      <c r="K11" s="1096" t="s">
        <v>5224</v>
      </c>
      <c r="L11" s="1096" t="s">
        <v>5224</v>
      </c>
      <c r="M11" s="1096" t="s">
        <v>5224</v>
      </c>
      <c r="N11" s="1096" t="s">
        <v>4631</v>
      </c>
      <c r="O11" s="1097"/>
      <c r="P11" s="1097" t="s">
        <v>3616</v>
      </c>
      <c r="Q11" s="1097">
        <f t="shared" ca="1" si="11"/>
        <v>17</v>
      </c>
      <c r="R11" s="1097"/>
      <c r="S11" s="1097" t="s">
        <v>3611</v>
      </c>
      <c r="T11" s="1097">
        <f t="shared" ca="1" si="0"/>
        <v>15</v>
      </c>
      <c r="U11" s="1027">
        <v>4</v>
      </c>
      <c r="V11" s="1027">
        <f t="shared" si="1"/>
        <v>5</v>
      </c>
      <c r="W11" s="1098" t="e">
        <f>IF(OR(I11&lt;&gt;"N",E11="C"),IF(AND(N11&lt;&gt;"T",ISNUMBER(FIND("V",I11))),1,0),NA())+IF(H11="Y",IF(AND(N11="P",ISNUMBER(FIND("Z",I11))),2,1),0)+IF(J11="Y",1,0)+IF(K11="Y",3,0)+IF(BE11="Lore",L11*2+Experience!$D$25,0)+IF(M11="Y",1,0)</f>
        <v>#N/A</v>
      </c>
      <c r="X11" s="1099"/>
      <c r="Y11" s="1100">
        <f ca="1">IF(P11="NS",IFERROR(INDIRECT(S11),NA()),VLOOKUP(INDIRECT(P11)+INDIRECT(S11),'System Lookups'!$A$3:$D$146,2))</f>
        <v>0.08</v>
      </c>
      <c r="Z11" s="1100">
        <f t="shared" si="2"/>
        <v>0</v>
      </c>
      <c r="AA11" s="1101">
        <f t="shared" ca="1" si="21"/>
        <v>0.08</v>
      </c>
      <c r="AB11" s="1102">
        <f>VLOOKUP(V11,'System Lookups'!$J$55:$P$64,3)</f>
        <v>0.1</v>
      </c>
      <c r="AC11" s="1103">
        <f>VLOOKUP(V11,'System Lookups'!$J$55:$P$64,4)</f>
        <v>0.2</v>
      </c>
      <c r="AD11" s="1104">
        <f t="shared" ca="1" si="3"/>
        <v>0.18</v>
      </c>
      <c r="AE11" s="1094">
        <f ca="1">(IF(AD11&gt;VLOOKUP(V11,'System Lookups'!$J$55:$P$63,6),(((AD11-VLOOKUP(V11,'System Lookups'!$J$55:$P$63,6))*100)/20),0))+AF11</f>
        <v>0</v>
      </c>
      <c r="AF11" s="1094"/>
      <c r="AG11" s="1092">
        <f t="shared" si="4"/>
        <v>0</v>
      </c>
      <c r="AH11" s="1092" t="str">
        <f>IF(X11&lt;=Experience!$R$15+1,"","*")</f>
        <v/>
      </c>
      <c r="AI11" s="1092"/>
      <c r="AJ11" s="1080">
        <f t="shared" si="12"/>
        <v>0</v>
      </c>
      <c r="AK11" s="1080">
        <f t="shared" si="22"/>
        <v>0</v>
      </c>
      <c r="AL11" s="1080">
        <f t="shared" si="13"/>
        <v>0</v>
      </c>
      <c r="AM11" s="1092">
        <f t="shared" si="23"/>
        <v>0</v>
      </c>
      <c r="AN11" s="1080">
        <f t="shared" si="24"/>
        <v>1</v>
      </c>
      <c r="AO11" s="1080">
        <f t="shared" si="14"/>
        <v>0</v>
      </c>
      <c r="AP11" s="1080">
        <f t="shared" si="5"/>
        <v>1</v>
      </c>
      <c r="AQ11" s="1027">
        <f>VLOOKUP(V11,'System Lookups'!$J$55:$P$64,7)</f>
        <v>700</v>
      </c>
      <c r="AR11" s="1080" t="str">
        <f ca="1">IF(AND(NOT(ISBLANK(AJ11)),ISNA(MATCH(ROW(),'System Lookups'!$C$526:$C$539,0))),"Y","N")</f>
        <v>Y</v>
      </c>
      <c r="AS11" s="1080">
        <f t="shared" si="6"/>
        <v>0</v>
      </c>
      <c r="AT11" s="1080"/>
      <c r="AU11" s="1080" t="e">
        <f t="shared" si="15"/>
        <v>#N/A</v>
      </c>
      <c r="AV11" s="1080" t="str">
        <f t="shared" si="7"/>
        <v>T</v>
      </c>
      <c r="AW11" s="1080">
        <f t="shared" si="16"/>
        <v>0</v>
      </c>
      <c r="AX11" s="1080">
        <f t="shared" si="17"/>
        <v>0</v>
      </c>
      <c r="AY11" s="1080">
        <f t="shared" si="18"/>
        <v>0</v>
      </c>
      <c r="AZ11" s="1080">
        <f t="shared" si="19"/>
        <v>0</v>
      </c>
      <c r="BA11" s="1080">
        <f t="shared" si="20"/>
        <v>0</v>
      </c>
      <c r="BB11" s="1080">
        <f>IF(AND(RACE=1,'Main Creation Page'!$E$6="Well",OR(ISNUMBER(FIND(Experience!$G$11,BE11)),ISNUMBER(FIND(Experience!$G$11,BF11)),ISNUMBER(FIND(Experience!$I$11,BE11)),ISNUMBER(FIND(Experience!$I$11,BF11)))),1,0)</f>
        <v>0</v>
      </c>
      <c r="BC11" s="1080" t="str">
        <f t="shared" si="8"/>
        <v>Plant Training</v>
      </c>
      <c r="BD11" s="1080"/>
      <c r="BE11" s="1080" t="str">
        <f t="shared" si="9"/>
        <v/>
      </c>
      <c r="BF11" s="1080" t="str">
        <f t="shared" si="10"/>
        <v>Agricultural Skills</v>
      </c>
    </row>
    <row r="12" spans="1:60" ht="11.1" customHeight="1" outlineLevel="1">
      <c r="A12" s="1107" t="s">
        <v>3590</v>
      </c>
      <c r="B12" s="1108"/>
      <c r="C12" s="1108"/>
      <c r="D12" s="1108"/>
      <c r="E12" s="1095" t="s">
        <v>5224</v>
      </c>
      <c r="F12" s="1095" t="s">
        <v>5224</v>
      </c>
      <c r="G12" s="1096">
        <v>0</v>
      </c>
      <c r="H12" s="1096" t="s">
        <v>5224</v>
      </c>
      <c r="I12" s="1096" t="s">
        <v>5224</v>
      </c>
      <c r="J12" s="1096" t="s">
        <v>5224</v>
      </c>
      <c r="K12" s="1096" t="s">
        <v>5224</v>
      </c>
      <c r="L12" s="1096" t="s">
        <v>5224</v>
      </c>
      <c r="M12" s="1096" t="s">
        <v>5224</v>
      </c>
      <c r="N12" s="1096" t="s">
        <v>4631</v>
      </c>
      <c r="O12" s="1097"/>
      <c r="P12" s="1097" t="s">
        <v>3616</v>
      </c>
      <c r="Q12" s="1097">
        <f t="shared" ca="1" si="11"/>
        <v>17</v>
      </c>
      <c r="R12" s="1097"/>
      <c r="S12" s="1097" t="s">
        <v>3616</v>
      </c>
      <c r="T12" s="1097">
        <f t="shared" ca="1" si="0"/>
        <v>17</v>
      </c>
      <c r="U12" s="1109">
        <v>2</v>
      </c>
      <c r="V12" s="1109">
        <f t="shared" si="1"/>
        <v>3</v>
      </c>
      <c r="W12" s="1098" t="e">
        <f>IF(OR(I12&lt;&gt;"N",E12="C"),IF(AND(N12&lt;&gt;"T",ISNUMBER(FIND("V",I12))),1,0),NA())+IF(H12="Y",IF(AND(N12="P",ISNUMBER(FIND("Z",I12))),2,1),0)+IF(J12="Y",1,0)+IF(K12="Y",3,0)+IF(BE12="Lore",L12*2+Experience!$D$25,0)+IF(M12="Y",1,0)</f>
        <v>#N/A</v>
      </c>
      <c r="X12" s="1099"/>
      <c r="Y12" s="1100">
        <f ca="1">IF(P12="NS",IFERROR(INDIRECT(S12),NA()),VLOOKUP(INDIRECT(P12)+INDIRECT(S12),'System Lookups'!$A$3:$D$146,2))</f>
        <v>0.1</v>
      </c>
      <c r="Z12" s="1100">
        <f t="shared" si="2"/>
        <v>0</v>
      </c>
      <c r="AA12" s="1101">
        <f ca="1">IF(ISNA(Y12),0,Y12)+Z12</f>
        <v>0.1</v>
      </c>
      <c r="AB12" s="1103">
        <f>VLOOKUP(V12,'System Lookups'!$J$55:$P$64,3)</f>
        <v>0.3</v>
      </c>
      <c r="AC12" s="1103">
        <f>VLOOKUP(V12,'System Lookups'!$J$55:$P$64,4)</f>
        <v>0.4</v>
      </c>
      <c r="AD12" s="1104">
        <f t="shared" ca="1" si="3"/>
        <v>0.4</v>
      </c>
      <c r="AE12" s="1094">
        <f ca="1">(IF(AD12&gt;VLOOKUP(V12,'System Lookups'!$J$55:$P$63,6),(((AD12-VLOOKUP(V12,'System Lookups'!$J$55:$P$63,6))*100)/20),0))+AF12</f>
        <v>0</v>
      </c>
      <c r="AF12" s="1108"/>
      <c r="AG12" s="1092">
        <f t="shared" si="4"/>
        <v>0</v>
      </c>
      <c r="AH12" s="1110" t="str">
        <f>IF(X12&lt;=Experience!$R$15+1,"","*")</f>
        <v/>
      </c>
      <c r="AI12" s="1110"/>
      <c r="AJ12" s="1080">
        <f t="shared" si="12"/>
        <v>0</v>
      </c>
      <c r="AK12" s="1105">
        <f>IF(F12="s",-2,0)</f>
        <v>0</v>
      </c>
      <c r="AL12" s="1080">
        <f t="shared" si="13"/>
        <v>0</v>
      </c>
      <c r="AM12" s="1110">
        <f>IF(J12="y",1,0)</f>
        <v>0</v>
      </c>
      <c r="AN12" s="1105">
        <f>IF(N12="P",-1,IF(N12="T",1,0))</f>
        <v>1</v>
      </c>
      <c r="AO12" s="1080">
        <f t="shared" si="14"/>
        <v>0</v>
      </c>
      <c r="AP12" s="1105">
        <f t="shared" si="5"/>
        <v>1</v>
      </c>
      <c r="AQ12" s="1027">
        <f>VLOOKUP(V12,'System Lookups'!$J$55:$P$64,7)</f>
        <v>500</v>
      </c>
      <c r="AR12" s="1080" t="str">
        <f ca="1">IF(AND(NOT(ISBLANK(AJ12)),ISNA(MATCH(ROW(),'System Lookups'!$C$526:$C$539,0))),"Y","N")</f>
        <v>Y</v>
      </c>
      <c r="AS12" s="1105">
        <f t="shared" si="6"/>
        <v>0</v>
      </c>
      <c r="AT12" s="1105"/>
      <c r="AU12" s="1080" t="e">
        <f t="shared" si="15"/>
        <v>#N/A</v>
      </c>
      <c r="AV12" s="1080" t="str">
        <f t="shared" si="7"/>
        <v>T</v>
      </c>
      <c r="AW12" s="1080">
        <f t="shared" si="16"/>
        <v>0</v>
      </c>
      <c r="AX12" s="1080">
        <f t="shared" si="17"/>
        <v>0</v>
      </c>
      <c r="AY12" s="1080">
        <f t="shared" si="18"/>
        <v>0</v>
      </c>
      <c r="AZ12" s="1080">
        <f t="shared" si="19"/>
        <v>0</v>
      </c>
      <c r="BA12" s="1080">
        <f t="shared" si="20"/>
        <v>0</v>
      </c>
      <c r="BB12" s="1080">
        <f>IF(AND(RACE=1,'Main Creation Page'!$E$6="Well",OR(ISNUMBER(FIND(Experience!$G$11,BE12)),ISNUMBER(FIND(Experience!$G$11,BF12)),ISNUMBER(FIND(Experience!$I$11,BE12)),ISNUMBER(FIND(Experience!$I$11,BF12)))),1,0)</f>
        <v>0</v>
      </c>
      <c r="BC12" s="1080" t="str">
        <f t="shared" si="8"/>
        <v>Vegetable Crops</v>
      </c>
      <c r="BE12" s="1080" t="str">
        <f t="shared" si="9"/>
        <v/>
      </c>
      <c r="BF12" s="1080" t="str">
        <f t="shared" si="10"/>
        <v>Agricultural Skills</v>
      </c>
    </row>
    <row r="13" spans="1:60" ht="11.1" customHeight="1" outlineLevel="1">
      <c r="A13" s="1028" t="s">
        <v>4427</v>
      </c>
      <c r="B13" s="1094"/>
      <c r="C13" s="1094"/>
      <c r="D13" s="1094"/>
      <c r="E13" s="1095" t="s">
        <v>5224</v>
      </c>
      <c r="F13" s="1095" t="s">
        <v>5224</v>
      </c>
      <c r="G13" s="1096">
        <v>0</v>
      </c>
      <c r="H13" s="1096" t="s">
        <v>5224</v>
      </c>
      <c r="I13" s="1096" t="s">
        <v>5224</v>
      </c>
      <c r="J13" s="1096" t="s">
        <v>5224</v>
      </c>
      <c r="K13" s="1096" t="s">
        <v>5224</v>
      </c>
      <c r="L13" s="1096" t="s">
        <v>5224</v>
      </c>
      <c r="M13" s="1096" t="s">
        <v>5224</v>
      </c>
      <c r="N13" s="1096" t="s">
        <v>4631</v>
      </c>
      <c r="O13" s="1097"/>
      <c r="P13" s="1097" t="s">
        <v>780</v>
      </c>
      <c r="Q13" s="1097">
        <f t="shared" ca="1" si="11"/>
        <v>17</v>
      </c>
      <c r="R13" s="1097"/>
      <c r="S13" s="1097" t="s">
        <v>3616</v>
      </c>
      <c r="T13" s="1097">
        <f t="shared" ca="1" si="0"/>
        <v>17</v>
      </c>
      <c r="U13" s="1027">
        <v>3</v>
      </c>
      <c r="V13" s="1027">
        <f t="shared" si="1"/>
        <v>4</v>
      </c>
      <c r="W13" s="1098" t="e">
        <f>IF(OR(I13&lt;&gt;"N",E13="C"),IF(AND(N13&lt;&gt;"T",ISNUMBER(FIND("V",I13))),1,0),NA())+IF(H13="Y",IF(AND(N13="P",ISNUMBER(FIND("Z",I13))),2,1),0)+IF(J13="Y",1,0)+IF(K13="Y",3,0)+IF(BE13="Lore",L13*2+Experience!$D$25,0)+IF(M13="Y",1,0)</f>
        <v>#N/A</v>
      </c>
      <c r="X13" s="1099"/>
      <c r="Y13" s="1100">
        <f ca="1">IF(P13="NS",IFERROR(INDIRECT(S13),NA()),VLOOKUP(INDIRECT(P13)+INDIRECT(S13),'System Lookups'!$A$3:$D$146,2))</f>
        <v>0.1</v>
      </c>
      <c r="Z13" s="1100">
        <f t="shared" si="2"/>
        <v>0</v>
      </c>
      <c r="AA13" s="1101">
        <f ca="1">IF(ISNA(Y13),0,Y13)+Z13</f>
        <v>0.1</v>
      </c>
      <c r="AB13" s="1102">
        <f>VLOOKUP(V13,'System Lookups'!$J$55:$P$64,3)</f>
        <v>0.2</v>
      </c>
      <c r="AC13" s="1103">
        <f>VLOOKUP(V13,'System Lookups'!$J$55:$P$64,4)</f>
        <v>0.3</v>
      </c>
      <c r="AD13" s="1104">
        <f t="shared" ca="1" si="3"/>
        <v>0.30000000000000004</v>
      </c>
      <c r="AE13" s="1094">
        <f ca="1">(IF(AD13&gt;VLOOKUP(V13,'System Lookups'!$J$55:$P$63,6),(((AD13-VLOOKUP(V13,'System Lookups'!$J$55:$P$63,6))*100)/20),0))+AF13</f>
        <v>0</v>
      </c>
      <c r="AF13" s="1094"/>
      <c r="AG13" s="1092">
        <f t="shared" si="4"/>
        <v>0</v>
      </c>
      <c r="AH13" s="1092" t="str">
        <f>IF(X13&lt;=Experience!$R$15+1,"","*")</f>
        <v/>
      </c>
      <c r="AI13" s="1092"/>
      <c r="AJ13" s="1080">
        <f t="shared" si="12"/>
        <v>0</v>
      </c>
      <c r="AK13" s="1080">
        <f>IF(F13="s",-2,0)</f>
        <v>0</v>
      </c>
      <c r="AL13" s="1080">
        <f t="shared" si="13"/>
        <v>0</v>
      </c>
      <c r="AM13" s="1092">
        <f>IF(J13="y",1,0)</f>
        <v>0</v>
      </c>
      <c r="AN13" s="1080">
        <f>IF(N13="P",-1,IF(N13="T",1,0))</f>
        <v>1</v>
      </c>
      <c r="AO13" s="1080">
        <f t="shared" si="14"/>
        <v>0</v>
      </c>
      <c r="AP13" s="1080">
        <f t="shared" si="5"/>
        <v>1</v>
      </c>
      <c r="AQ13" s="1027">
        <f>VLOOKUP(V13,'System Lookups'!$J$55:$P$64,7)</f>
        <v>600</v>
      </c>
      <c r="AR13" s="1080" t="str">
        <f ca="1">IF(AND(NOT(ISBLANK(AJ13)),ISNA(MATCH(ROW(),'System Lookups'!$C$526:$C$539,0))),"Y","N")</f>
        <v>Y</v>
      </c>
      <c r="AS13" s="1080">
        <f t="shared" si="6"/>
        <v>0</v>
      </c>
      <c r="AU13" s="1080" t="e">
        <f t="shared" si="15"/>
        <v>#N/A</v>
      </c>
      <c r="AV13" s="1080" t="str">
        <f t="shared" si="7"/>
        <v>T</v>
      </c>
      <c r="AW13" s="1080">
        <f t="shared" si="16"/>
        <v>0</v>
      </c>
      <c r="AX13" s="1080">
        <f t="shared" si="17"/>
        <v>0</v>
      </c>
      <c r="AY13" s="1080">
        <f t="shared" si="18"/>
        <v>0</v>
      </c>
      <c r="AZ13" s="1080">
        <f t="shared" si="19"/>
        <v>0</v>
      </c>
      <c r="BA13" s="1080">
        <f t="shared" si="20"/>
        <v>0</v>
      </c>
      <c r="BB13" s="1080">
        <f>IF(AND(RACE=1,'Main Creation Page'!$E$6="Well",OR(ISNUMBER(FIND(Experience!$G$11,BE13)),ISNUMBER(FIND(Experience!$G$11,BF13)),ISNUMBER(FIND(Experience!$I$11,BE13)),ISNUMBER(FIND(Experience!$I$11,BF13)))),1,0)</f>
        <v>0</v>
      </c>
      <c r="BC13" s="1080" t="str">
        <f t="shared" si="8"/>
        <v>Viniculture</v>
      </c>
      <c r="BE13" s="1080" t="str">
        <f t="shared" si="9"/>
        <v/>
      </c>
      <c r="BF13" s="1080" t="str">
        <f t="shared" si="10"/>
        <v>Agricultural Skills</v>
      </c>
    </row>
    <row r="14" spans="1:60" ht="11.1" customHeight="1" outlineLevel="1">
      <c r="B14" s="1111"/>
      <c r="C14" s="1111"/>
      <c r="D14" s="1111"/>
      <c r="V14" s="1027"/>
      <c r="W14" s="1112"/>
      <c r="AR14" s="1080" t="str">
        <f ca="1">IF(AND(NOT(ISBLANK(AJ14)),ISNA(MATCH(ROW(),'System Lookups'!$C$526:$C$539,0))),"Y","N")</f>
        <v>N</v>
      </c>
      <c r="AU14" s="1080" t="e">
        <f t="shared" si="15"/>
        <v>#N/A</v>
      </c>
      <c r="AV14" s="1080" t="str">
        <f t="shared" si="7"/>
        <v/>
      </c>
      <c r="AW14" s="1080">
        <f t="shared" si="16"/>
        <v>0</v>
      </c>
      <c r="AX14" s="1080">
        <f t="shared" si="17"/>
        <v>0</v>
      </c>
      <c r="AY14" s="1080">
        <f t="shared" si="18"/>
        <v>0</v>
      </c>
      <c r="AZ14" s="1080">
        <f t="shared" si="19"/>
        <v>0</v>
      </c>
      <c r="BA14" s="1080">
        <f t="shared" si="20"/>
        <v>0</v>
      </c>
      <c r="BB14" s="1080">
        <f>IF(AND(RACE=1,'Main Creation Page'!$E$6="Well",OR(ISNUMBER(FIND(Experience!$G$11,BE14)),ISNUMBER(FIND(Experience!$G$11,BF14)),ISNUMBER(FIND(Experience!$I$11,BE14)),ISNUMBER(FIND(Experience!$I$11,BF14)))),1,0)</f>
        <v>0</v>
      </c>
      <c r="BC14" s="1080" t="e">
        <f t="shared" si="8"/>
        <v>#N/A</v>
      </c>
      <c r="BE14" s="1080" t="str">
        <f t="shared" si="9"/>
        <v/>
      </c>
      <c r="BF14" s="1080" t="str">
        <f t="shared" si="10"/>
        <v>Agricultural Skills</v>
      </c>
    </row>
    <row r="15" spans="1:60" ht="15" customHeight="1">
      <c r="A15" s="1087" t="s">
        <v>1943</v>
      </c>
      <c r="B15" s="1091"/>
      <c r="C15" s="1091"/>
      <c r="D15" s="1091"/>
      <c r="F15" s="1027"/>
      <c r="G15" s="1027"/>
      <c r="H15" s="1027"/>
      <c r="I15" s="1085"/>
      <c r="J15" s="1085"/>
      <c r="K15" s="1085"/>
      <c r="L15" s="1085"/>
      <c r="M15" s="1085"/>
      <c r="N15" s="1027"/>
      <c r="O15" s="1027"/>
      <c r="P15" s="1027"/>
      <c r="Q15" s="1027"/>
      <c r="R15" s="1027"/>
      <c r="S15" s="1113"/>
      <c r="T15" s="1113"/>
      <c r="U15" s="1085"/>
      <c r="V15" s="1027"/>
      <c r="W15" s="1112" t="str">
        <f>IF(ISNA(SUM(W16:W57))," ",SUM(W16:W57))</f>
        <v xml:space="preserve"> </v>
      </c>
      <c r="X15" s="1114"/>
      <c r="AE15" s="1091"/>
      <c r="AF15" s="1091"/>
      <c r="AG15" s="1092">
        <f>SUM(AG19:AG57)</f>
        <v>0</v>
      </c>
      <c r="AH15" s="1092"/>
      <c r="AI15" s="1092">
        <f>SUM(AI19:AI57)</f>
        <v>0</v>
      </c>
      <c r="AM15" s="1092"/>
      <c r="AR15" s="1080" t="str">
        <f ca="1">IF(AND(NOT(ISBLANK(AJ15)),ISNA(MATCH(ROW(),'System Lookups'!$C$526:$C$539,0))),"Y","N")</f>
        <v>N</v>
      </c>
      <c r="AU15" s="1080" t="e">
        <f t="shared" si="15"/>
        <v>#N/A</v>
      </c>
      <c r="AV15" s="1080" t="str">
        <f t="shared" si="7"/>
        <v/>
      </c>
      <c r="AW15" s="1080">
        <f t="shared" si="16"/>
        <v>0</v>
      </c>
      <c r="AX15" s="1080">
        <f t="shared" si="17"/>
        <v>0</v>
      </c>
      <c r="AY15" s="1080">
        <f t="shared" si="18"/>
        <v>0</v>
      </c>
      <c r="AZ15" s="1080">
        <f t="shared" si="19"/>
        <v>0</v>
      </c>
      <c r="BA15" s="1080">
        <f t="shared" si="20"/>
        <v>0</v>
      </c>
      <c r="BB15" s="1080">
        <f>IF(AND(RACE=1,'Main Creation Page'!$E$6="Well",OR(ISNUMBER(FIND(Experience!$G$11,BE15)),ISNUMBER(FIND(Experience!$G$11,BF15)),ISNUMBER(FIND(Experience!$I$11,BE15)),ISNUMBER(FIND(Experience!$I$11,BF15)))),1,0)</f>
        <v>0</v>
      </c>
      <c r="BC15" s="1080" t="str">
        <f t="shared" si="8"/>
        <v>Animal Skills</v>
      </c>
      <c r="BE15" s="1080" t="str">
        <f t="shared" si="9"/>
        <v/>
      </c>
      <c r="BF15" s="1080" t="str">
        <f t="shared" si="10"/>
        <v>Animal Skills</v>
      </c>
    </row>
    <row r="16" spans="1:60" ht="15" customHeight="1" outlineLevel="1">
      <c r="A16" s="1115" t="s">
        <v>877</v>
      </c>
      <c r="B16" s="1116"/>
      <c r="C16" s="1116"/>
      <c r="D16" s="1116"/>
      <c r="F16" s="1027"/>
      <c r="G16" s="1027"/>
      <c r="H16" s="1027"/>
      <c r="I16" s="1027"/>
      <c r="J16" s="1027"/>
      <c r="K16" s="1027"/>
      <c r="L16" s="1027"/>
      <c r="M16" s="1027"/>
      <c r="N16" s="1027"/>
      <c r="O16" s="1097"/>
      <c r="P16" s="2597" t="s">
        <v>4426</v>
      </c>
      <c r="Q16" s="2598"/>
      <c r="R16" s="2598"/>
      <c r="S16" s="2598"/>
      <c r="T16" s="2598"/>
      <c r="U16" s="1027"/>
      <c r="V16" s="1027"/>
      <c r="W16" s="1112"/>
      <c r="X16" s="1092"/>
      <c r="AE16" s="1094"/>
      <c r="AF16" s="1094"/>
      <c r="AG16" s="1092"/>
      <c r="AH16" s="1092"/>
      <c r="AI16" s="1092"/>
      <c r="AM16" s="1092"/>
      <c r="AR16" s="1080" t="str">
        <f ca="1">IF(AND(NOT(ISBLANK(AJ16)),ISNA(MATCH(ROW(),'System Lookups'!$C$526:$C$539,0))),"Y","N")</f>
        <v>N</v>
      </c>
      <c r="AU16" s="1080" t="e">
        <f t="shared" si="15"/>
        <v>#N/A</v>
      </c>
      <c r="AV16" s="1080" t="str">
        <f t="shared" si="7"/>
        <v/>
      </c>
      <c r="AW16" s="1080">
        <f t="shared" si="16"/>
        <v>0</v>
      </c>
      <c r="AX16" s="1080">
        <f t="shared" si="17"/>
        <v>0</v>
      </c>
      <c r="AY16" s="1080">
        <f t="shared" si="18"/>
        <v>0</v>
      </c>
      <c r="AZ16" s="1080">
        <f t="shared" si="19"/>
        <v>0</v>
      </c>
      <c r="BA16" s="1080">
        <f t="shared" si="20"/>
        <v>0</v>
      </c>
      <c r="BB16" s="1080">
        <f>IF(AND(RACE=1,'Main Creation Page'!$E$6="Well",OR(ISNUMBER(FIND(Experience!$G$11,BE16)),ISNUMBER(FIND(Experience!$G$11,BF16)),ISNUMBER(FIND(Experience!$I$11,BE16)),ISNUMBER(FIND(Experience!$I$11,BF16)))),1,0)</f>
        <v>0</v>
      </c>
      <c r="BC16" s="1080" t="e">
        <f t="shared" si="8"/>
        <v>#N/A</v>
      </c>
      <c r="BE16" s="1080" t="str">
        <f t="shared" si="9"/>
        <v/>
      </c>
      <c r="BF16" s="1080" t="str">
        <f t="shared" si="10"/>
        <v>Animal Skills</v>
      </c>
    </row>
    <row r="17" spans="1:58" ht="11.1" customHeight="1" outlineLevel="2">
      <c r="A17" s="1093" t="s">
        <v>773</v>
      </c>
      <c r="B17" s="1094"/>
      <c r="C17" s="1094"/>
      <c r="D17" s="1094"/>
      <c r="E17" s="1095" t="s">
        <v>5224</v>
      </c>
      <c r="F17" s="1095" t="s">
        <v>5224</v>
      </c>
      <c r="G17" s="1096">
        <v>0</v>
      </c>
      <c r="H17" s="1096" t="s">
        <v>5224</v>
      </c>
      <c r="I17" s="1096" t="s">
        <v>5224</v>
      </c>
      <c r="J17" s="1096" t="s">
        <v>5224</v>
      </c>
      <c r="K17" s="1096" t="s">
        <v>5224</v>
      </c>
      <c r="L17" s="1096" t="s">
        <v>5224</v>
      </c>
      <c r="M17" s="1096" t="s">
        <v>5224</v>
      </c>
      <c r="N17" s="1096" t="s">
        <v>4631</v>
      </c>
      <c r="O17" s="1097"/>
      <c r="P17" s="1097" t="s">
        <v>780</v>
      </c>
      <c r="Q17" s="1097">
        <f t="shared" ref="Q17:Q28" ca="1" si="25">INDIRECT(P17)</f>
        <v>17</v>
      </c>
      <c r="R17" s="1097"/>
      <c r="S17" s="1097" t="s">
        <v>3616</v>
      </c>
      <c r="T17" s="1097">
        <f t="shared" ref="T17:T28" ca="1" si="26">INDIRECT(S17)</f>
        <v>17</v>
      </c>
      <c r="U17" s="1027">
        <v>4</v>
      </c>
      <c r="V17" s="1027">
        <f t="shared" ref="V17:V28" si="27">IF(AP17+U17&gt;10,10,IF(AP17+U17&lt;1,1,AP17+U17))</f>
        <v>5</v>
      </c>
      <c r="W17" s="1098" t="e">
        <f>IF(OR(I17&lt;&gt;"N",E17="C"),IF(AND(N17&lt;&gt;"T",ISNUMBER(FIND("V",I17))),1,0),NA())+IF(H17="Y",IF(AND(N17="P",ISNUMBER(FIND("Z",I17))),2,1),0)+IF(J17="Y",1,0)+IF(K17="Y",3,0)+IF(BE17="Lore",L17*2+Experience!$D$25,0)+IF(M17="Y",1,0)</f>
        <v>#N/A</v>
      </c>
      <c r="X17" s="1099"/>
      <c r="Y17" s="1100">
        <f ca="1">IF(P17="NS",IFERROR(INDIRECT(S17),NA()),VLOOKUP(INDIRECT(P17)+INDIRECT(S17),'System Lookups'!$A$3:$D$146,2))</f>
        <v>0.1</v>
      </c>
      <c r="Z17" s="1100">
        <f t="shared" ref="Z17:Z28" si="28">IF(ISNA(W17),0,W17*0.03)+IF(X17&gt;0,X17*0.03,0)+IF(AND(ISNA(W17),X17&lt;=0),0,IF(G17&gt;0,G17*0.07,0))</f>
        <v>0</v>
      </c>
      <c r="AA17" s="1101">
        <f t="shared" ref="AA17:AA28" ca="1" si="29">IF(ISNA(Y17),0,Y17)+Z17</f>
        <v>0.1</v>
      </c>
      <c r="AB17" s="1102">
        <f>VLOOKUP(V17,'System Lookups'!$J$55:$P$64,3)</f>
        <v>0.1</v>
      </c>
      <c r="AC17" s="1103">
        <f>VLOOKUP(V17,'System Lookups'!$J$55:$P$64,4)</f>
        <v>0.2</v>
      </c>
      <c r="AD17" s="1104">
        <f t="shared" ref="AD17:AD28" ca="1" si="30">IF(AND(ISBLANK(X17),ISNA(W17)),IF(B17="~",0,AB17+AA17+IF(BB17&gt;0,0.05,0)),AA17+AC17+IF(BB17&gt;0,0.05,0))</f>
        <v>0.2</v>
      </c>
      <c r="AE17" s="1094">
        <f ca="1">(IF(AD17&gt;VLOOKUP(V17,'System Lookups'!$J$55:$P$63,6),(((AD17-VLOOKUP(V17,'System Lookups'!$J$55:$P$63,6))*100)/20),0))+AF17</f>
        <v>0</v>
      </c>
      <c r="AF17" s="1094"/>
      <c r="AG17" s="1092">
        <f t="shared" ref="AG17:AG28" si="31">IF(ISBLANK(X17),0,AQ17*X17+IF(ISNA(W17),1,0))</f>
        <v>0</v>
      </c>
      <c r="AH17" s="1092" t="str">
        <f>IF(X17&lt;=Experience!$R$15+1,"","*")</f>
        <v/>
      </c>
      <c r="AI17" s="1092"/>
      <c r="AJ17" s="1080">
        <f t="shared" ref="AJ17:AJ28" si="32">IF(ISNUMBER(FIND("R",F17)),-1,0)</f>
        <v>0</v>
      </c>
      <c r="AK17" s="1080">
        <f t="shared" ref="AK17:AK28" si="33">IF(F17="s",-2,0)</f>
        <v>0</v>
      </c>
      <c r="AL17" s="1080">
        <f t="shared" ref="AL17:AL28" si="34">IF(AND(H17="Y",OR(N17="P",N17="S")),-1,0)</f>
        <v>0</v>
      </c>
      <c r="AM17" s="1092">
        <f t="shared" ref="AM17:AM28" si="35">IF(J17="y",1,0)</f>
        <v>0</v>
      </c>
      <c r="AN17" s="1080">
        <f t="shared" ref="AN17:AN28" si="36">IF(N17="P",-1,IF(N17="T",1,0))</f>
        <v>1</v>
      </c>
      <c r="AO17" s="1080">
        <f t="shared" ref="AO17:AO28" si="37">IF(ISNUMBER(FIND("Z",I17)),1,0)</f>
        <v>0</v>
      </c>
      <c r="AP17" s="1080">
        <f t="shared" ref="AP17:AP28" si="38">SUM(AJ17:AN17)-AM17</f>
        <v>1</v>
      </c>
      <c r="AQ17" s="1027">
        <f>VLOOKUP(V17,'System Lookups'!$J$55:$P$64,7)</f>
        <v>700</v>
      </c>
      <c r="AR17" s="1080" t="str">
        <f ca="1">IF(AND(NOT(ISBLANK(AJ17)),ISNA(MATCH(ROW(),'System Lookups'!$C$526:$C$539,0))),"Y","N")</f>
        <v>Y</v>
      </c>
      <c r="AS17" s="1080">
        <f t="shared" ref="AS17:AS28" si="39">AG17-AI17</f>
        <v>0</v>
      </c>
      <c r="AU17" s="1080" t="e">
        <f t="shared" si="15"/>
        <v>#N/A</v>
      </c>
      <c r="AV17" s="1080" t="str">
        <f t="shared" si="7"/>
        <v>T</v>
      </c>
      <c r="AW17" s="1080">
        <f t="shared" si="16"/>
        <v>0</v>
      </c>
      <c r="AX17" s="1080">
        <f t="shared" si="17"/>
        <v>0</v>
      </c>
      <c r="AY17" s="1080">
        <f t="shared" si="18"/>
        <v>0</v>
      </c>
      <c r="AZ17" s="1080">
        <f t="shared" si="19"/>
        <v>0</v>
      </c>
      <c r="BA17" s="1080">
        <f t="shared" si="20"/>
        <v>0</v>
      </c>
      <c r="BB17" s="1080">
        <f>IF(AND(RACE=1,'Main Creation Page'!$E$6="Well",OR(ISNUMBER(FIND(Experience!$G$11,BE17)),ISNUMBER(FIND(Experience!$G$11,BF17)),ISNUMBER(FIND(Experience!$I$11,BE17)),ISNUMBER(FIND(Experience!$I$11,BF17)))),1,0)</f>
        <v>0</v>
      </c>
      <c r="BC17" s="1080" t="str">
        <f t="shared" si="8"/>
        <v>Aquaculture: Animal</v>
      </c>
      <c r="BE17" s="1080" t="str">
        <f t="shared" si="9"/>
        <v/>
      </c>
      <c r="BF17" s="1080" t="str">
        <f t="shared" si="10"/>
        <v>Animal Skills</v>
      </c>
    </row>
    <row r="18" spans="1:58" ht="11.1" customHeight="1" outlineLevel="2">
      <c r="A18" s="1093" t="s">
        <v>297</v>
      </c>
      <c r="B18" s="1094"/>
      <c r="C18" s="1094"/>
      <c r="D18" s="1094"/>
      <c r="E18" s="1095" t="s">
        <v>5224</v>
      </c>
      <c r="F18" s="1095" t="s">
        <v>5224</v>
      </c>
      <c r="G18" s="1096">
        <v>0</v>
      </c>
      <c r="H18" s="1096" t="s">
        <v>5224</v>
      </c>
      <c r="I18" s="1096" t="s">
        <v>5224</v>
      </c>
      <c r="J18" s="1096" t="s">
        <v>5224</v>
      </c>
      <c r="K18" s="1096" t="s">
        <v>5224</v>
      </c>
      <c r="L18" s="1096" t="s">
        <v>5224</v>
      </c>
      <c r="M18" s="1096" t="s">
        <v>5224</v>
      </c>
      <c r="N18" s="1096" t="s">
        <v>4631</v>
      </c>
      <c r="O18" s="1097"/>
      <c r="P18" s="1097" t="s">
        <v>780</v>
      </c>
      <c r="Q18" s="1097">
        <f t="shared" ca="1" si="25"/>
        <v>17</v>
      </c>
      <c r="R18" s="1097"/>
      <c r="S18" s="1097" t="s">
        <v>3616</v>
      </c>
      <c r="T18" s="1097">
        <f t="shared" ca="1" si="26"/>
        <v>17</v>
      </c>
      <c r="U18" s="1027">
        <v>5</v>
      </c>
      <c r="V18" s="1027">
        <f t="shared" si="27"/>
        <v>6</v>
      </c>
      <c r="W18" s="1098" t="e">
        <f>IF(OR(I18&lt;&gt;"N",E18="C"),IF(AND(N18&lt;&gt;"T",ISNUMBER(FIND("V",I18))),1,0),NA())+IF(H18="Y",IF(AND(N18="P",ISNUMBER(FIND("Z",I18))),2,1),0)+IF(J18="Y",1,0)+IF(K18="Y",3,0)+IF(BE18="Lore",L18*2+Experience!$D$25,0)+IF(M18="Y",1,0)</f>
        <v>#N/A</v>
      </c>
      <c r="X18" s="1099"/>
      <c r="Y18" s="1100">
        <f ca="1">IF(P18="NS",IFERROR(INDIRECT(S18),NA()),VLOOKUP(INDIRECT(P18)+INDIRECT(S18),'System Lookups'!$A$3:$D$146,2))</f>
        <v>0.1</v>
      </c>
      <c r="Z18" s="1100">
        <f t="shared" si="28"/>
        <v>0</v>
      </c>
      <c r="AA18" s="1101">
        <f ca="1">IF(ISNA(Y18),0,Y18)+Z18</f>
        <v>0.1</v>
      </c>
      <c r="AB18" s="1102">
        <f>VLOOKUP(V18,'System Lookups'!$J$55:$P$64,3)</f>
        <v>0.05</v>
      </c>
      <c r="AC18" s="1103">
        <f>VLOOKUP(V18,'System Lookups'!$J$55:$P$64,4)</f>
        <v>0.1</v>
      </c>
      <c r="AD18" s="1104">
        <f t="shared" ca="1" si="30"/>
        <v>0.15000000000000002</v>
      </c>
      <c r="AE18" s="1094">
        <f ca="1">(IF(AD18&gt;VLOOKUP(V18,'System Lookups'!$J$55:$P$63,6),(((AD18-VLOOKUP(V18,'System Lookups'!$J$55:$P$63,6))*100)/20),0))+AF18</f>
        <v>0</v>
      </c>
      <c r="AF18" s="1094"/>
      <c r="AG18" s="1092">
        <f t="shared" si="31"/>
        <v>0</v>
      </c>
      <c r="AH18" s="1092" t="str">
        <f>IF(X18&lt;=Experience!$R$15+1,"","*")</f>
        <v/>
      </c>
      <c r="AI18" s="1092"/>
      <c r="AJ18" s="1080">
        <f t="shared" si="32"/>
        <v>0</v>
      </c>
      <c r="AK18" s="1080">
        <f>IF(F18="s",-2,0)</f>
        <v>0</v>
      </c>
      <c r="AL18" s="1080">
        <f t="shared" si="34"/>
        <v>0</v>
      </c>
      <c r="AM18" s="1092">
        <f>IF(J18="y",1,0)</f>
        <v>0</v>
      </c>
      <c r="AN18" s="1080">
        <f>IF(N18="P",-1,IF(N18="T",1,0))</f>
        <v>1</v>
      </c>
      <c r="AO18" s="1080">
        <f t="shared" si="37"/>
        <v>0</v>
      </c>
      <c r="AP18" s="1080">
        <f t="shared" si="38"/>
        <v>1</v>
      </c>
      <c r="AQ18" s="1027">
        <f>VLOOKUP(V18,'System Lookups'!$J$55:$P$64,7)</f>
        <v>800</v>
      </c>
      <c r="AR18" s="1080" t="str">
        <f ca="1">IF(AND(NOT(ISBLANK(AJ18)),ISNA(MATCH(ROW(),'System Lookups'!$C$526:$C$539,0))),"Y","N")</f>
        <v>Y</v>
      </c>
      <c r="AS18" s="1080">
        <f t="shared" si="39"/>
        <v>0</v>
      </c>
      <c r="AU18" s="1080" t="e">
        <f t="shared" si="15"/>
        <v>#N/A</v>
      </c>
      <c r="AV18" s="1080" t="str">
        <f t="shared" si="7"/>
        <v>T</v>
      </c>
      <c r="AW18" s="1080">
        <f t="shared" si="16"/>
        <v>0</v>
      </c>
      <c r="AX18" s="1080">
        <f t="shared" si="17"/>
        <v>0</v>
      </c>
      <c r="AY18" s="1080">
        <f t="shared" si="18"/>
        <v>0</v>
      </c>
      <c r="AZ18" s="1080">
        <f t="shared" si="19"/>
        <v>0</v>
      </c>
      <c r="BA18" s="1080">
        <f t="shared" si="20"/>
        <v>0</v>
      </c>
      <c r="BB18" s="1080">
        <f>IF(AND(RACE=1,'Main Creation Page'!$E$6="Well",OR(ISNUMBER(FIND(Experience!$G$11,BE18)),ISNUMBER(FIND(Experience!$G$11,BF18)),ISNUMBER(FIND(Experience!$I$11,BE18)),ISNUMBER(FIND(Experience!$I$11,BF18)))),1,0)</f>
        <v>0</v>
      </c>
      <c r="BC18" s="1080" t="str">
        <f t="shared" si="8"/>
        <v>Bear Raising</v>
      </c>
      <c r="BE18" s="1080" t="str">
        <f t="shared" si="9"/>
        <v/>
      </c>
      <c r="BF18" s="1080" t="str">
        <f t="shared" si="10"/>
        <v>Animal Skills</v>
      </c>
    </row>
    <row r="19" spans="1:58" ht="11.1" customHeight="1" outlineLevel="2">
      <c r="A19" s="1028" t="s">
        <v>692</v>
      </c>
      <c r="B19" s="1094"/>
      <c r="C19" s="1094"/>
      <c r="D19" s="1094"/>
      <c r="E19" s="1095" t="s">
        <v>5224</v>
      </c>
      <c r="F19" s="1095" t="s">
        <v>5224</v>
      </c>
      <c r="G19" s="1096">
        <v>0</v>
      </c>
      <c r="H19" s="1096" t="s">
        <v>5224</v>
      </c>
      <c r="I19" s="1096" t="s">
        <v>5224</v>
      </c>
      <c r="J19" s="1096" t="s">
        <v>5224</v>
      </c>
      <c r="K19" s="1096" t="s">
        <v>5224</v>
      </c>
      <c r="L19" s="1096" t="s">
        <v>5224</v>
      </c>
      <c r="M19" s="1096" t="s">
        <v>5224</v>
      </c>
      <c r="N19" s="1096" t="s">
        <v>4631</v>
      </c>
      <c r="O19" s="1097"/>
      <c r="P19" s="1097" t="s">
        <v>780</v>
      </c>
      <c r="Q19" s="1097">
        <f t="shared" ca="1" si="25"/>
        <v>17</v>
      </c>
      <c r="R19" s="1097"/>
      <c r="S19" s="1097" t="s">
        <v>3616</v>
      </c>
      <c r="T19" s="1097">
        <f t="shared" ca="1" si="26"/>
        <v>17</v>
      </c>
      <c r="U19" s="1027">
        <v>4</v>
      </c>
      <c r="V19" s="1027">
        <f t="shared" si="27"/>
        <v>5</v>
      </c>
      <c r="W19" s="1098" t="e">
        <f>IF(OR(I19&lt;&gt;"N",E19="C"),IF(AND(N19&lt;&gt;"T",ISNUMBER(FIND("V",I19))),1,0),NA())+IF(H19="Y",IF(AND(N19="P",ISNUMBER(FIND("Z",I19))),2,1),0)+IF(J19="Y",1,0)+IF(K19="Y",3,0)+IF(BE19="Lore",L19*2+Experience!$D$25,0)+IF(M19="Y",1,0)</f>
        <v>#N/A</v>
      </c>
      <c r="X19" s="1099"/>
      <c r="Y19" s="1100">
        <f ca="1">IF(P19="NS",IFERROR(INDIRECT(S19),NA()),VLOOKUP(INDIRECT(P19)+INDIRECT(S19),'System Lookups'!$A$3:$D$146,2))</f>
        <v>0.1</v>
      </c>
      <c r="Z19" s="1100">
        <f t="shared" si="28"/>
        <v>0</v>
      </c>
      <c r="AA19" s="1101">
        <f t="shared" ca="1" si="29"/>
        <v>0.1</v>
      </c>
      <c r="AB19" s="1102">
        <f>VLOOKUP(V19,'System Lookups'!$J$55:$P$64,3)</f>
        <v>0.1</v>
      </c>
      <c r="AC19" s="1103">
        <f>VLOOKUP(V19,'System Lookups'!$J$55:$P$64,4)</f>
        <v>0.2</v>
      </c>
      <c r="AD19" s="1104">
        <f t="shared" ca="1" si="30"/>
        <v>0.2</v>
      </c>
      <c r="AE19" s="1094">
        <f ca="1">(IF(AD19&gt;VLOOKUP(V19,'System Lookups'!$J$55:$P$63,6),(((AD19-VLOOKUP(V19,'System Lookups'!$J$55:$P$63,6))*100)/20),0))+AF19</f>
        <v>0</v>
      </c>
      <c r="AF19" s="1094"/>
      <c r="AG19" s="1092">
        <f t="shared" si="31"/>
        <v>0</v>
      </c>
      <c r="AH19" s="1092" t="str">
        <f>IF(X19&lt;=Experience!$R$15+1,"","*")</f>
        <v/>
      </c>
      <c r="AI19" s="1092"/>
      <c r="AJ19" s="1080">
        <f t="shared" si="32"/>
        <v>0</v>
      </c>
      <c r="AK19" s="1080">
        <f t="shared" si="33"/>
        <v>0</v>
      </c>
      <c r="AL19" s="1080">
        <f t="shared" si="34"/>
        <v>0</v>
      </c>
      <c r="AM19" s="1092">
        <f t="shared" si="35"/>
        <v>0</v>
      </c>
      <c r="AN19" s="1080">
        <f t="shared" si="36"/>
        <v>1</v>
      </c>
      <c r="AO19" s="1080">
        <f t="shared" si="37"/>
        <v>0</v>
      </c>
      <c r="AP19" s="1080">
        <f t="shared" si="38"/>
        <v>1</v>
      </c>
      <c r="AQ19" s="1027">
        <f>VLOOKUP(V19,'System Lookups'!$J$55:$P$64,7)</f>
        <v>700</v>
      </c>
      <c r="AR19" s="1080" t="str">
        <f ca="1">IF(AND(NOT(ISBLANK(AJ19)),ISNA(MATCH(ROW(),'System Lookups'!$C$526:$C$539,0))),"Y","N")</f>
        <v>Y</v>
      </c>
      <c r="AS19" s="1080">
        <f t="shared" si="39"/>
        <v>0</v>
      </c>
      <c r="AU19" s="1080" t="e">
        <f t="shared" si="15"/>
        <v>#N/A</v>
      </c>
      <c r="AV19" s="1080" t="str">
        <f t="shared" si="7"/>
        <v>T</v>
      </c>
      <c r="AW19" s="1080">
        <f t="shared" si="16"/>
        <v>0</v>
      </c>
      <c r="AX19" s="1080">
        <f t="shared" si="17"/>
        <v>0</v>
      </c>
      <c r="AY19" s="1080">
        <f t="shared" si="18"/>
        <v>0</v>
      </c>
      <c r="AZ19" s="1080">
        <f t="shared" si="19"/>
        <v>0</v>
      </c>
      <c r="BA19" s="1080">
        <f t="shared" si="20"/>
        <v>0</v>
      </c>
      <c r="BB19" s="1080">
        <f>IF(AND(RACE=1,'Main Creation Page'!$E$6="Well",OR(ISNUMBER(FIND(Experience!$G$11,BE19)),ISNUMBER(FIND(Experience!$G$11,BF19)),ISNUMBER(FIND(Experience!$I$11,BE19)),ISNUMBER(FIND(Experience!$I$11,BF19)))),1,0)</f>
        <v>0</v>
      </c>
      <c r="BC19" s="1080" t="str">
        <f t="shared" si="8"/>
        <v>Beekeeping</v>
      </c>
      <c r="BE19" s="1080" t="str">
        <f t="shared" si="9"/>
        <v/>
      </c>
      <c r="BF19" s="1080" t="str">
        <f t="shared" si="10"/>
        <v>Animal Skills</v>
      </c>
    </row>
    <row r="20" spans="1:58" ht="11.1" customHeight="1" outlineLevel="2">
      <c r="A20" s="1093" t="s">
        <v>5522</v>
      </c>
      <c r="B20" s="1094"/>
      <c r="C20" s="1094"/>
      <c r="D20" s="1094"/>
      <c r="E20" s="1095" t="s">
        <v>5224</v>
      </c>
      <c r="F20" s="1095" t="s">
        <v>5224</v>
      </c>
      <c r="G20" s="1096">
        <v>0</v>
      </c>
      <c r="H20" s="1096" t="s">
        <v>5224</v>
      </c>
      <c r="I20" s="1096" t="s">
        <v>5224</v>
      </c>
      <c r="J20" s="1096" t="s">
        <v>5224</v>
      </c>
      <c r="K20" s="1096" t="s">
        <v>5224</v>
      </c>
      <c r="L20" s="1096" t="s">
        <v>5224</v>
      </c>
      <c r="M20" s="1096" t="s">
        <v>5224</v>
      </c>
      <c r="N20" s="1096" t="s">
        <v>4631</v>
      </c>
      <c r="O20" s="1097"/>
      <c r="P20" s="1097" t="s">
        <v>780</v>
      </c>
      <c r="Q20" s="1097">
        <f t="shared" ca="1" si="25"/>
        <v>17</v>
      </c>
      <c r="R20" s="1097"/>
      <c r="S20" s="1097" t="s">
        <v>3616</v>
      </c>
      <c r="T20" s="1097">
        <f t="shared" ca="1" si="26"/>
        <v>17</v>
      </c>
      <c r="U20" s="1027">
        <v>4</v>
      </c>
      <c r="V20" s="1027">
        <f t="shared" si="27"/>
        <v>5</v>
      </c>
      <c r="W20" s="1098" t="e">
        <f>IF(OR(I20&lt;&gt;"N",E20="C"),IF(AND(N20&lt;&gt;"T",ISNUMBER(FIND("V",I20))),1,0),NA())+IF(H20="Y",IF(AND(N20="P",ISNUMBER(FIND("Z",I20))),2,1),0)+IF(J20="Y",1,0)+IF(K20="Y",3,0)+IF(BE20="Lore",L20*2+Experience!$D$25,0)+IF(M20="Y",1,0)</f>
        <v>#N/A</v>
      </c>
      <c r="X20" s="1099"/>
      <c r="Y20" s="1100">
        <f ca="1">IF(P20="NS",IFERROR(INDIRECT(S20),NA()),VLOOKUP(INDIRECT(P20)+INDIRECT(S20),'System Lookups'!$A$3:$D$146,2))</f>
        <v>0.1</v>
      </c>
      <c r="Z20" s="1100">
        <f t="shared" si="28"/>
        <v>0</v>
      </c>
      <c r="AA20" s="1101">
        <f t="shared" ca="1" si="29"/>
        <v>0.1</v>
      </c>
      <c r="AB20" s="1102">
        <f>VLOOKUP(V20,'System Lookups'!$J$55:$P$64,3)</f>
        <v>0.1</v>
      </c>
      <c r="AC20" s="1103">
        <f>VLOOKUP(V20,'System Lookups'!$J$55:$P$64,4)</f>
        <v>0.2</v>
      </c>
      <c r="AD20" s="1104">
        <f t="shared" ca="1" si="30"/>
        <v>0.2</v>
      </c>
      <c r="AE20" s="1094">
        <f ca="1">(IF(AD20&gt;VLOOKUP(V20,'System Lookups'!$J$55:$P$63,6),(((AD20-VLOOKUP(V20,'System Lookups'!$J$55:$P$63,6))*100)/20),0))+AF20</f>
        <v>0</v>
      </c>
      <c r="AF20" s="1094"/>
      <c r="AG20" s="1092">
        <f t="shared" si="31"/>
        <v>0</v>
      </c>
      <c r="AH20" s="1092" t="str">
        <f>IF(X20&lt;=Experience!$R$15+1,"","*")</f>
        <v/>
      </c>
      <c r="AI20" s="1092"/>
      <c r="AJ20" s="1080">
        <f t="shared" si="32"/>
        <v>0</v>
      </c>
      <c r="AK20" s="1080">
        <f t="shared" si="33"/>
        <v>0</v>
      </c>
      <c r="AL20" s="1080">
        <f t="shared" si="34"/>
        <v>0</v>
      </c>
      <c r="AM20" s="1092">
        <f t="shared" si="35"/>
        <v>0</v>
      </c>
      <c r="AN20" s="1080">
        <f t="shared" si="36"/>
        <v>1</v>
      </c>
      <c r="AO20" s="1080">
        <f t="shared" si="37"/>
        <v>0</v>
      </c>
      <c r="AP20" s="1080">
        <f t="shared" si="38"/>
        <v>1</v>
      </c>
      <c r="AQ20" s="1027">
        <f>VLOOKUP(V20,'System Lookups'!$J$55:$P$64,7)</f>
        <v>700</v>
      </c>
      <c r="AR20" s="1080" t="str">
        <f ca="1">IF(AND(NOT(ISBLANK(AJ20)),ISNA(MATCH(ROW(),'System Lookups'!$C$526:$C$539,0))),"Y","N")</f>
        <v>Y</v>
      </c>
      <c r="AS20" s="1080">
        <f t="shared" si="39"/>
        <v>0</v>
      </c>
      <c r="AU20" s="1080" t="e">
        <f t="shared" si="15"/>
        <v>#N/A</v>
      </c>
      <c r="AV20" s="1080" t="str">
        <f t="shared" si="7"/>
        <v>T</v>
      </c>
      <c r="AW20" s="1080">
        <f t="shared" si="16"/>
        <v>0</v>
      </c>
      <c r="AX20" s="1080">
        <f t="shared" si="17"/>
        <v>0</v>
      </c>
      <c r="AY20" s="1080">
        <f t="shared" si="18"/>
        <v>0</v>
      </c>
      <c r="AZ20" s="1080">
        <f t="shared" si="19"/>
        <v>0</v>
      </c>
      <c r="BA20" s="1080">
        <f t="shared" si="20"/>
        <v>0</v>
      </c>
      <c r="BB20" s="1080">
        <f>IF(AND(RACE=1,'Main Creation Page'!$E$6="Well",OR(ISNUMBER(FIND(Experience!$G$11,BE20)),ISNUMBER(FIND(Experience!$G$11,BF20)),ISNUMBER(FIND(Experience!$I$11,BE20)),ISNUMBER(FIND(Experience!$I$11,BF20)))),1,0)</f>
        <v>0</v>
      </c>
      <c r="BC20" s="1080" t="str">
        <f t="shared" si="8"/>
        <v>Bird of Prey Raising</v>
      </c>
      <c r="BE20" s="1080" t="str">
        <f t="shared" si="9"/>
        <v/>
      </c>
      <c r="BF20" s="1080" t="str">
        <f t="shared" si="10"/>
        <v>Animal Skills</v>
      </c>
    </row>
    <row r="21" spans="1:58" ht="11.1" customHeight="1" outlineLevel="2">
      <c r="A21" s="1028" t="s">
        <v>878</v>
      </c>
      <c r="B21" s="1094"/>
      <c r="C21" s="1094"/>
      <c r="D21" s="1094"/>
      <c r="E21" s="1095" t="s">
        <v>5224</v>
      </c>
      <c r="F21" s="1095" t="s">
        <v>5224</v>
      </c>
      <c r="G21" s="1096">
        <v>0</v>
      </c>
      <c r="H21" s="1096" t="s">
        <v>5224</v>
      </c>
      <c r="I21" s="1096" t="s">
        <v>5224</v>
      </c>
      <c r="J21" s="1096" t="s">
        <v>5224</v>
      </c>
      <c r="K21" s="1096" t="s">
        <v>5224</v>
      </c>
      <c r="L21" s="1096" t="s">
        <v>5224</v>
      </c>
      <c r="M21" s="1096" t="s">
        <v>5224</v>
      </c>
      <c r="N21" s="1096" t="s">
        <v>4631</v>
      </c>
      <c r="O21" s="1097"/>
      <c r="P21" s="1097" t="s">
        <v>780</v>
      </c>
      <c r="Q21" s="1097">
        <f t="shared" ca="1" si="25"/>
        <v>17</v>
      </c>
      <c r="R21" s="1097"/>
      <c r="S21" s="1097" t="s">
        <v>3616</v>
      </c>
      <c r="T21" s="1097">
        <f t="shared" ca="1" si="26"/>
        <v>17</v>
      </c>
      <c r="U21" s="1027">
        <v>3</v>
      </c>
      <c r="V21" s="1027">
        <f t="shared" si="27"/>
        <v>4</v>
      </c>
      <c r="W21" s="1098" t="e">
        <f>IF(OR(I21&lt;&gt;"N",E21="C"),IF(AND(N21&lt;&gt;"T",ISNUMBER(FIND("V",I21))),1,0),NA())+IF(H21="Y",IF(AND(N21="P",ISNUMBER(FIND("Z",I21))),2,1),0)+IF(J21="Y",1,0)+IF(K21="Y",3,0)+IF(BE21="Lore",L21*2+Experience!$D$25,0)+IF(M21="Y",1,0)</f>
        <v>#N/A</v>
      </c>
      <c r="X21" s="1099"/>
      <c r="Y21" s="1100">
        <f ca="1">IF(P21="NS",IFERROR(INDIRECT(S21),NA()),VLOOKUP(INDIRECT(P21)+INDIRECT(S21),'System Lookups'!$A$3:$D$146,2))</f>
        <v>0.1</v>
      </c>
      <c r="Z21" s="1100">
        <f t="shared" si="28"/>
        <v>0</v>
      </c>
      <c r="AA21" s="1101">
        <f t="shared" ca="1" si="29"/>
        <v>0.1</v>
      </c>
      <c r="AB21" s="1102">
        <f>VLOOKUP(V21,'System Lookups'!$J$55:$P$64,3)</f>
        <v>0.2</v>
      </c>
      <c r="AC21" s="1103">
        <f>VLOOKUP(V21,'System Lookups'!$J$55:$P$64,4)</f>
        <v>0.3</v>
      </c>
      <c r="AD21" s="1104">
        <f t="shared" ca="1" si="30"/>
        <v>0.30000000000000004</v>
      </c>
      <c r="AE21" s="1094">
        <f ca="1">(IF(AD21&gt;VLOOKUP(V21,'System Lookups'!$J$55:$P$63,6),(((AD21-VLOOKUP(V21,'System Lookups'!$J$55:$P$63,6))*100)/20),0))+AF21</f>
        <v>0</v>
      </c>
      <c r="AF21" s="1094"/>
      <c r="AG21" s="1092">
        <f t="shared" si="31"/>
        <v>0</v>
      </c>
      <c r="AH21" s="1092" t="str">
        <f>IF(X21&lt;=Experience!$R$15+1,"","*")</f>
        <v/>
      </c>
      <c r="AI21" s="1092"/>
      <c r="AJ21" s="1080">
        <f t="shared" si="32"/>
        <v>0</v>
      </c>
      <c r="AK21" s="1080">
        <f t="shared" si="33"/>
        <v>0</v>
      </c>
      <c r="AL21" s="1080">
        <f t="shared" si="34"/>
        <v>0</v>
      </c>
      <c r="AM21" s="1092">
        <f t="shared" si="35"/>
        <v>0</v>
      </c>
      <c r="AN21" s="1080">
        <f t="shared" si="36"/>
        <v>1</v>
      </c>
      <c r="AO21" s="1080">
        <f t="shared" si="37"/>
        <v>0</v>
      </c>
      <c r="AP21" s="1080">
        <f t="shared" si="38"/>
        <v>1</v>
      </c>
      <c r="AQ21" s="1027">
        <f>VLOOKUP(V21,'System Lookups'!$J$55:$P$64,7)</f>
        <v>600</v>
      </c>
      <c r="AR21" s="1080" t="str">
        <f ca="1">IF(AND(NOT(ISBLANK(AJ21)),ISNA(MATCH(ROW(),'System Lookups'!$C$526:$C$539,0))),"Y","N")</f>
        <v>Y</v>
      </c>
      <c r="AS21" s="1080">
        <f t="shared" si="39"/>
        <v>0</v>
      </c>
      <c r="AU21" s="1080" t="e">
        <f t="shared" si="15"/>
        <v>#N/A</v>
      </c>
      <c r="AV21" s="1080" t="str">
        <f t="shared" si="7"/>
        <v>T</v>
      </c>
      <c r="AW21" s="1080">
        <f t="shared" si="16"/>
        <v>0</v>
      </c>
      <c r="AX21" s="1080">
        <f t="shared" si="17"/>
        <v>0</v>
      </c>
      <c r="AY21" s="1080">
        <f t="shared" si="18"/>
        <v>0</v>
      </c>
      <c r="AZ21" s="1080">
        <f t="shared" si="19"/>
        <v>0</v>
      </c>
      <c r="BA21" s="1080">
        <f t="shared" si="20"/>
        <v>0</v>
      </c>
      <c r="BB21" s="1080">
        <f>IF(AND(RACE=1,'Main Creation Page'!$E$6="Well",OR(ISNUMBER(FIND(Experience!$G$11,BE21)),ISNUMBER(FIND(Experience!$G$11,BF21)),ISNUMBER(FIND(Experience!$I$11,BE21)),ISNUMBER(FIND(Experience!$I$11,BF21)))),1,0)</f>
        <v>0</v>
      </c>
      <c r="BC21" s="1080" t="str">
        <f t="shared" si="8"/>
        <v>Cattle Herding</v>
      </c>
      <c r="BE21" s="1080" t="str">
        <f t="shared" si="9"/>
        <v/>
      </c>
      <c r="BF21" s="1080" t="str">
        <f t="shared" si="10"/>
        <v>Animal Skills</v>
      </c>
    </row>
    <row r="22" spans="1:58" ht="11.1" customHeight="1" outlineLevel="2">
      <c r="A22" s="1093" t="s">
        <v>254</v>
      </c>
      <c r="B22" s="1094"/>
      <c r="C22" s="1094"/>
      <c r="D22" s="1094"/>
      <c r="E22" s="1095" t="s">
        <v>5224</v>
      </c>
      <c r="F22" s="1095" t="s">
        <v>5224</v>
      </c>
      <c r="G22" s="1096">
        <v>0</v>
      </c>
      <c r="H22" s="1096" t="s">
        <v>5224</v>
      </c>
      <c r="I22" s="1096" t="s">
        <v>5224</v>
      </c>
      <c r="J22" s="1096" t="s">
        <v>5224</v>
      </c>
      <c r="K22" s="1096" t="s">
        <v>5224</v>
      </c>
      <c r="L22" s="1096" t="s">
        <v>5224</v>
      </c>
      <c r="M22" s="1096" t="s">
        <v>5224</v>
      </c>
      <c r="N22" s="1096" t="s">
        <v>4631</v>
      </c>
      <c r="O22" s="1097"/>
      <c r="P22" s="1097" t="s">
        <v>3616</v>
      </c>
      <c r="Q22" s="1097">
        <f t="shared" ca="1" si="25"/>
        <v>17</v>
      </c>
      <c r="R22" s="1097"/>
      <c r="S22" s="1097" t="s">
        <v>3611</v>
      </c>
      <c r="T22" s="1097">
        <f t="shared" ca="1" si="26"/>
        <v>15</v>
      </c>
      <c r="U22" s="1027">
        <v>4</v>
      </c>
      <c r="V22" s="1027">
        <f t="shared" si="27"/>
        <v>5</v>
      </c>
      <c r="W22" s="1098" t="e">
        <f>IF(OR(I22&lt;&gt;"N",E22="C"),IF(AND(N22&lt;&gt;"T",ISNUMBER(FIND("V",I22))),1,0),NA())+IF(H22="Y",IF(AND(N22="P",ISNUMBER(FIND("Z",I22))),2,1),0)+IF(J22="Y",1,0)+IF(K22="Y",3,0)+IF(BE22="Lore",L22*2+Experience!$D$25,0)+IF(M22="Y",1,0)</f>
        <v>#N/A</v>
      </c>
      <c r="X22" s="1099"/>
      <c r="Y22" s="1100">
        <f ca="1">IF(P22="NS",IFERROR(INDIRECT(S22),NA()),VLOOKUP(INDIRECT(P22)+INDIRECT(S22),'System Lookups'!$A$3:$D$146,2))</f>
        <v>0.08</v>
      </c>
      <c r="Z22" s="1100">
        <f t="shared" si="28"/>
        <v>0</v>
      </c>
      <c r="AA22" s="1101">
        <f t="shared" ca="1" si="29"/>
        <v>0.08</v>
      </c>
      <c r="AB22" s="1102">
        <f>VLOOKUP(V22,'System Lookups'!$J$55:$P$64,3)</f>
        <v>0.1</v>
      </c>
      <c r="AC22" s="1103">
        <f>VLOOKUP(V22,'System Lookups'!$J$55:$P$64,4)</f>
        <v>0.2</v>
      </c>
      <c r="AD22" s="1104">
        <f t="shared" ca="1" si="30"/>
        <v>0.18</v>
      </c>
      <c r="AE22" s="1094">
        <f ca="1">(IF(AD22&gt;VLOOKUP(V22,'System Lookups'!$J$55:$P$63,6),(((AD22-VLOOKUP(V22,'System Lookups'!$J$55:$P$63,6))*100)/20),0))+AF22</f>
        <v>0</v>
      </c>
      <c r="AF22" s="1094"/>
      <c r="AG22" s="1092">
        <f t="shared" si="31"/>
        <v>0</v>
      </c>
      <c r="AH22" s="1092" t="str">
        <f>IF(X22&lt;=Experience!$R$15+1,"","*")</f>
        <v/>
      </c>
      <c r="AI22" s="1092"/>
      <c r="AJ22" s="1080">
        <f t="shared" si="32"/>
        <v>0</v>
      </c>
      <c r="AK22" s="1080">
        <f t="shared" si="33"/>
        <v>0</v>
      </c>
      <c r="AL22" s="1080">
        <f t="shared" si="34"/>
        <v>0</v>
      </c>
      <c r="AM22" s="1092">
        <f t="shared" si="35"/>
        <v>0</v>
      </c>
      <c r="AN22" s="1080">
        <f t="shared" si="36"/>
        <v>1</v>
      </c>
      <c r="AO22" s="1080">
        <f t="shared" si="37"/>
        <v>0</v>
      </c>
      <c r="AP22" s="1080">
        <f t="shared" si="38"/>
        <v>1</v>
      </c>
      <c r="AQ22" s="1027">
        <f>VLOOKUP(V22,'System Lookups'!$J$55:$P$64,7)</f>
        <v>700</v>
      </c>
      <c r="AR22" s="1080" t="str">
        <f ca="1">IF(AND(NOT(ISBLANK(AJ22)),ISNA(MATCH(ROW(),'System Lookups'!$C$526:$C$539,0))),"Y","N")</f>
        <v>Y</v>
      </c>
      <c r="AS22" s="1080">
        <f t="shared" si="39"/>
        <v>0</v>
      </c>
      <c r="AU22" s="1080" t="e">
        <f t="shared" si="15"/>
        <v>#N/A</v>
      </c>
      <c r="AV22" s="1080" t="str">
        <f t="shared" si="7"/>
        <v>T</v>
      </c>
      <c r="AW22" s="1080">
        <f t="shared" si="16"/>
        <v>0</v>
      </c>
      <c r="AX22" s="1080">
        <f t="shared" si="17"/>
        <v>0</v>
      </c>
      <c r="AY22" s="1080">
        <f t="shared" si="18"/>
        <v>0</v>
      </c>
      <c r="AZ22" s="1080">
        <f t="shared" si="19"/>
        <v>0</v>
      </c>
      <c r="BA22" s="1080">
        <f t="shared" si="20"/>
        <v>0</v>
      </c>
      <c r="BB22" s="1080">
        <f>IF(AND(RACE=1,'Main Creation Page'!$E$6="Well",OR(ISNUMBER(FIND(Experience!$G$11,BE22)),ISNUMBER(FIND(Experience!$G$11,BF22)),ISNUMBER(FIND(Experience!$I$11,BE22)),ISNUMBER(FIND(Experience!$I$11,BF22)))),1,0)</f>
        <v>0</v>
      </c>
      <c r="BC22" s="1080" t="str">
        <f t="shared" si="8"/>
        <v xml:space="preserve">Dog Breeding </v>
      </c>
      <c r="BE22" s="1080" t="str">
        <f t="shared" si="9"/>
        <v/>
      </c>
      <c r="BF22" s="1080" t="str">
        <f t="shared" si="10"/>
        <v>Animal Skills</v>
      </c>
    </row>
    <row r="23" spans="1:58" ht="11.1" customHeight="1" outlineLevel="2">
      <c r="A23" s="1028" t="s">
        <v>879</v>
      </c>
      <c r="B23" s="1094"/>
      <c r="C23" s="1094"/>
      <c r="D23" s="1094"/>
      <c r="E23" s="1095" t="s">
        <v>5224</v>
      </c>
      <c r="F23" s="1095" t="s">
        <v>5224</v>
      </c>
      <c r="G23" s="1096">
        <v>0</v>
      </c>
      <c r="H23" s="1096" t="s">
        <v>5224</v>
      </c>
      <c r="I23" s="1096" t="s">
        <v>5224</v>
      </c>
      <c r="J23" s="1096" t="s">
        <v>5224</v>
      </c>
      <c r="K23" s="1096" t="s">
        <v>5224</v>
      </c>
      <c r="L23" s="1096" t="s">
        <v>5224</v>
      </c>
      <c r="M23" s="1096" t="s">
        <v>5224</v>
      </c>
      <c r="N23" s="1096" t="s">
        <v>4631</v>
      </c>
      <c r="O23" s="1097"/>
      <c r="P23" s="1097" t="s">
        <v>3616</v>
      </c>
      <c r="Q23" s="1097">
        <f t="shared" ca="1" si="25"/>
        <v>17</v>
      </c>
      <c r="R23" s="1097"/>
      <c r="S23" s="1097" t="s">
        <v>3611</v>
      </c>
      <c r="T23" s="1097">
        <f t="shared" ca="1" si="26"/>
        <v>15</v>
      </c>
      <c r="U23" s="1027">
        <v>4</v>
      </c>
      <c r="V23" s="1027">
        <f t="shared" si="27"/>
        <v>5</v>
      </c>
      <c r="W23" s="1098" t="e">
        <f>IF(OR(I23&lt;&gt;"N",E23="C"),IF(AND(N23&lt;&gt;"T",ISNUMBER(FIND("V",I23))),1,0),NA())+IF(H23="Y",IF(AND(N23="P",ISNUMBER(FIND("Z",I23))),2,1),0)+IF(J23="Y",1,0)+IF(K23="Y",3,0)+IF(BE23="Lore",L23*2+Experience!$D$25,0)+IF(M23="Y",1,0)</f>
        <v>#N/A</v>
      </c>
      <c r="X23" s="1099"/>
      <c r="Y23" s="1100">
        <f ca="1">IF(P23="NS",IFERROR(INDIRECT(S23),NA()),VLOOKUP(INDIRECT(P23)+INDIRECT(S23),'System Lookups'!$A$3:$D$146,2))</f>
        <v>0.08</v>
      </c>
      <c r="Z23" s="1100">
        <f t="shared" si="28"/>
        <v>0</v>
      </c>
      <c r="AA23" s="1101">
        <f t="shared" ca="1" si="29"/>
        <v>0.08</v>
      </c>
      <c r="AB23" s="1102">
        <f>VLOOKUP(V23,'System Lookups'!$J$55:$P$64,3)</f>
        <v>0.1</v>
      </c>
      <c r="AC23" s="1103">
        <f>VLOOKUP(V23,'System Lookups'!$J$55:$P$64,4)</f>
        <v>0.2</v>
      </c>
      <c r="AD23" s="1104">
        <f t="shared" ca="1" si="30"/>
        <v>0.18</v>
      </c>
      <c r="AE23" s="1094">
        <f ca="1">(IF(AD23&gt;VLOOKUP(V23,'System Lookups'!$J$55:$P$63,6),(((AD23-VLOOKUP(V23,'System Lookups'!$J$55:$P$63,6))*100)/20),0))+AF23</f>
        <v>0</v>
      </c>
      <c r="AF23" s="1094"/>
      <c r="AG23" s="1092">
        <f t="shared" si="31"/>
        <v>0</v>
      </c>
      <c r="AH23" s="1092" t="str">
        <f>IF(X23&lt;=Experience!$R$15+1,"","*")</f>
        <v/>
      </c>
      <c r="AI23" s="1092"/>
      <c r="AJ23" s="1080">
        <f t="shared" si="32"/>
        <v>0</v>
      </c>
      <c r="AK23" s="1080">
        <f t="shared" si="33"/>
        <v>0</v>
      </c>
      <c r="AL23" s="1080">
        <f t="shared" si="34"/>
        <v>0</v>
      </c>
      <c r="AM23" s="1092">
        <f t="shared" si="35"/>
        <v>0</v>
      </c>
      <c r="AN23" s="1080">
        <f t="shared" si="36"/>
        <v>1</v>
      </c>
      <c r="AO23" s="1080">
        <f t="shared" si="37"/>
        <v>0</v>
      </c>
      <c r="AP23" s="1080">
        <f t="shared" si="38"/>
        <v>1</v>
      </c>
      <c r="AQ23" s="1027">
        <f>VLOOKUP(V23,'System Lookups'!$J$55:$P$64,7)</f>
        <v>700</v>
      </c>
      <c r="AR23" s="1080" t="str">
        <f ca="1">IF(AND(NOT(ISBLANK(AJ23)),ISNA(MATCH(ROW(),'System Lookups'!$C$526:$C$539,0))),"Y","N")</f>
        <v>Y</v>
      </c>
      <c r="AS23" s="1080">
        <f t="shared" si="39"/>
        <v>0</v>
      </c>
      <c r="AU23" s="1080" t="e">
        <f t="shared" si="15"/>
        <v>#N/A</v>
      </c>
      <c r="AV23" s="1080" t="str">
        <f t="shared" si="7"/>
        <v>T</v>
      </c>
      <c r="AW23" s="1080">
        <f t="shared" si="16"/>
        <v>0</v>
      </c>
      <c r="AX23" s="1080">
        <f t="shared" si="17"/>
        <v>0</v>
      </c>
      <c r="AY23" s="1080">
        <f t="shared" si="18"/>
        <v>0</v>
      </c>
      <c r="AZ23" s="1080">
        <f t="shared" si="19"/>
        <v>0</v>
      </c>
      <c r="BA23" s="1080">
        <f t="shared" si="20"/>
        <v>0</v>
      </c>
      <c r="BB23" s="1080">
        <f>IF(AND(RACE=1,'Main Creation Page'!$E$6="Well",OR(ISNUMBER(FIND(Experience!$G$11,BE23)),ISNUMBER(FIND(Experience!$G$11,BF23)),ISNUMBER(FIND(Experience!$I$11,BE23)),ISNUMBER(FIND(Experience!$I$11,BF23)))),1,0)</f>
        <v>0</v>
      </c>
      <c r="BC23" s="1080" t="str">
        <f t="shared" si="8"/>
        <v>Horse Breeding</v>
      </c>
      <c r="BE23" s="1080" t="str">
        <f t="shared" si="9"/>
        <v/>
      </c>
      <c r="BF23" s="1080" t="str">
        <f t="shared" si="10"/>
        <v>Animal Skills</v>
      </c>
    </row>
    <row r="24" spans="1:58" ht="11.1" customHeight="1" outlineLevel="2">
      <c r="A24" s="1028" t="s">
        <v>881</v>
      </c>
      <c r="B24" s="1094"/>
      <c r="C24" s="1094"/>
      <c r="D24" s="1094"/>
      <c r="E24" s="1095" t="s">
        <v>5224</v>
      </c>
      <c r="F24" s="1095" t="s">
        <v>5224</v>
      </c>
      <c r="G24" s="1096">
        <v>0</v>
      </c>
      <c r="H24" s="1096" t="s">
        <v>5224</v>
      </c>
      <c r="I24" s="1096" t="s">
        <v>5224</v>
      </c>
      <c r="J24" s="1096" t="s">
        <v>5224</v>
      </c>
      <c r="K24" s="1096" t="s">
        <v>5224</v>
      </c>
      <c r="L24" s="1096" t="s">
        <v>5224</v>
      </c>
      <c r="M24" s="1096" t="s">
        <v>5224</v>
      </c>
      <c r="N24" s="1096" t="s">
        <v>4631</v>
      </c>
      <c r="O24" s="1097"/>
      <c r="P24" s="1097" t="s">
        <v>3616</v>
      </c>
      <c r="Q24" s="1097">
        <f t="shared" ca="1" si="25"/>
        <v>17</v>
      </c>
      <c r="R24" s="1097"/>
      <c r="S24" s="1097" t="s">
        <v>3611</v>
      </c>
      <c r="T24" s="1097">
        <f t="shared" ca="1" si="26"/>
        <v>15</v>
      </c>
      <c r="U24" s="1027">
        <v>2</v>
      </c>
      <c r="V24" s="1027">
        <f t="shared" si="27"/>
        <v>3</v>
      </c>
      <c r="W24" s="1098" t="e">
        <f>IF(OR(I24&lt;&gt;"N",E24="C"),IF(AND(N24&lt;&gt;"T",ISNUMBER(FIND("V",I24))),1,0),NA())+IF(H24="Y",IF(AND(N24="P",ISNUMBER(FIND("Z",I24))),2,1),0)+IF(J24="Y",1,0)+IF(K24="Y",3,0)+IF(BE24="Lore",L24*2+Experience!$D$25,0)+IF(M24="Y",1,0)</f>
        <v>#N/A</v>
      </c>
      <c r="X24" s="1099"/>
      <c r="Y24" s="1100">
        <f ca="1">IF(P24="NS",IFERROR(INDIRECT(S24),NA()),VLOOKUP(INDIRECT(P24)+INDIRECT(S24),'System Lookups'!$A$3:$D$146,2))</f>
        <v>0.08</v>
      </c>
      <c r="Z24" s="1100">
        <f t="shared" si="28"/>
        <v>0</v>
      </c>
      <c r="AA24" s="1101">
        <f t="shared" ca="1" si="29"/>
        <v>0.08</v>
      </c>
      <c r="AB24" s="1102">
        <f>VLOOKUP(V24,'System Lookups'!$J$55:$P$64,3)</f>
        <v>0.3</v>
      </c>
      <c r="AC24" s="1103">
        <f>VLOOKUP(V24,'System Lookups'!$J$55:$P$64,4)</f>
        <v>0.4</v>
      </c>
      <c r="AD24" s="1104">
        <f t="shared" ca="1" si="30"/>
        <v>0.38</v>
      </c>
      <c r="AE24" s="1094">
        <f ca="1">(IF(AD24&gt;VLOOKUP(V24,'System Lookups'!$J$55:$P$63,6),(((AD24-VLOOKUP(V24,'System Lookups'!$J$55:$P$63,6))*100)/20),0))+AF24</f>
        <v>0</v>
      </c>
      <c r="AF24" s="1094"/>
      <c r="AG24" s="1092">
        <f t="shared" si="31"/>
        <v>0</v>
      </c>
      <c r="AH24" s="1092" t="str">
        <f>IF(X24&lt;=Experience!$R$15+1,"","*")</f>
        <v/>
      </c>
      <c r="AI24" s="1092"/>
      <c r="AJ24" s="1080">
        <f t="shared" si="32"/>
        <v>0</v>
      </c>
      <c r="AK24" s="1080">
        <f t="shared" si="33"/>
        <v>0</v>
      </c>
      <c r="AL24" s="1080">
        <f t="shared" si="34"/>
        <v>0</v>
      </c>
      <c r="AM24" s="1092">
        <f t="shared" si="35"/>
        <v>0</v>
      </c>
      <c r="AN24" s="1080">
        <f t="shared" si="36"/>
        <v>1</v>
      </c>
      <c r="AO24" s="1080">
        <f t="shared" si="37"/>
        <v>0</v>
      </c>
      <c r="AP24" s="1080">
        <f t="shared" si="38"/>
        <v>1</v>
      </c>
      <c r="AQ24" s="1027">
        <f>VLOOKUP(V24,'System Lookups'!$J$55:$P$64,7)</f>
        <v>500</v>
      </c>
      <c r="AR24" s="1080" t="str">
        <f ca="1">IF(AND(NOT(ISBLANK(AJ24)),ISNA(MATCH(ROW(),'System Lookups'!$C$526:$C$539,0))),"Y","N")</f>
        <v>Y</v>
      </c>
      <c r="AS24" s="1080">
        <f t="shared" si="39"/>
        <v>0</v>
      </c>
      <c r="AU24" s="1080" t="e">
        <f t="shared" si="15"/>
        <v>#N/A</v>
      </c>
      <c r="AV24" s="1080" t="str">
        <f t="shared" si="7"/>
        <v>T</v>
      </c>
      <c r="AW24" s="1080">
        <f t="shared" si="16"/>
        <v>0</v>
      </c>
      <c r="AX24" s="1080">
        <f t="shared" si="17"/>
        <v>0</v>
      </c>
      <c r="AY24" s="1080">
        <f t="shared" si="18"/>
        <v>0</v>
      </c>
      <c r="AZ24" s="1080">
        <f t="shared" si="19"/>
        <v>0</v>
      </c>
      <c r="BA24" s="1080">
        <f t="shared" si="20"/>
        <v>0</v>
      </c>
      <c r="BB24" s="1080">
        <f>IF(AND(RACE=1,'Main Creation Page'!$E$6="Well",OR(ISNUMBER(FIND(Experience!$G$11,BE24)),ISNUMBER(FIND(Experience!$G$11,BF24)),ISNUMBER(FIND(Experience!$I$11,BE24)),ISNUMBER(FIND(Experience!$I$11,BF24)))),1,0)</f>
        <v>0</v>
      </c>
      <c r="BC24" s="1080" t="str">
        <f t="shared" si="8"/>
        <v>Pig Raising</v>
      </c>
      <c r="BE24" s="1080" t="str">
        <f t="shared" si="9"/>
        <v/>
      </c>
      <c r="BF24" s="1080" t="str">
        <f t="shared" si="10"/>
        <v>Animal Skills</v>
      </c>
    </row>
    <row r="25" spans="1:58" ht="11.1" customHeight="1" outlineLevel="2">
      <c r="A25" s="1028" t="s">
        <v>882</v>
      </c>
      <c r="B25" s="1094"/>
      <c r="C25" s="1094"/>
      <c r="D25" s="1094"/>
      <c r="E25" s="1095" t="s">
        <v>5224</v>
      </c>
      <c r="F25" s="1095" t="s">
        <v>5224</v>
      </c>
      <c r="G25" s="1096">
        <v>0</v>
      </c>
      <c r="H25" s="1096" t="s">
        <v>5224</v>
      </c>
      <c r="I25" s="1096" t="s">
        <v>5224</v>
      </c>
      <c r="J25" s="1096" t="s">
        <v>5224</v>
      </c>
      <c r="K25" s="1096" t="s">
        <v>5224</v>
      </c>
      <c r="L25" s="1096" t="s">
        <v>5224</v>
      </c>
      <c r="M25" s="1096" t="s">
        <v>5224</v>
      </c>
      <c r="N25" s="1096" t="s">
        <v>4631</v>
      </c>
      <c r="O25" s="1097"/>
      <c r="P25" s="1097" t="s">
        <v>3616</v>
      </c>
      <c r="Q25" s="1097">
        <f t="shared" ca="1" si="25"/>
        <v>17</v>
      </c>
      <c r="R25" s="1097"/>
      <c r="S25" s="1097" t="s">
        <v>3611</v>
      </c>
      <c r="T25" s="1097">
        <f t="shared" ca="1" si="26"/>
        <v>15</v>
      </c>
      <c r="U25" s="1027">
        <v>2</v>
      </c>
      <c r="V25" s="1027">
        <f t="shared" si="27"/>
        <v>3</v>
      </c>
      <c r="W25" s="1098" t="e">
        <f>IF(OR(I25&lt;&gt;"N",E25="C"),IF(AND(N25&lt;&gt;"T",ISNUMBER(FIND("V",I25))),1,0),NA())+IF(H25="Y",IF(AND(N25="P",ISNUMBER(FIND("Z",I25))),2,1),0)+IF(J25="Y",1,0)+IF(K25="Y",3,0)+IF(BE25="Lore",L25*2+Experience!$D$25,0)+IF(M25="Y",1,0)</f>
        <v>#N/A</v>
      </c>
      <c r="X25" s="1099"/>
      <c r="Y25" s="1100">
        <f ca="1">IF(P25="NS",IFERROR(INDIRECT(S25),NA()),VLOOKUP(INDIRECT(P25)+INDIRECT(S25),'System Lookups'!$A$3:$D$146,2))</f>
        <v>0.08</v>
      </c>
      <c r="Z25" s="1100">
        <f t="shared" si="28"/>
        <v>0</v>
      </c>
      <c r="AA25" s="1101">
        <f t="shared" ca="1" si="29"/>
        <v>0.08</v>
      </c>
      <c r="AB25" s="1102">
        <f>VLOOKUP(V25,'System Lookups'!$J$55:$P$64,3)</f>
        <v>0.3</v>
      </c>
      <c r="AC25" s="1103">
        <f>VLOOKUP(V25,'System Lookups'!$J$55:$P$64,4)</f>
        <v>0.4</v>
      </c>
      <c r="AD25" s="1104">
        <f t="shared" ca="1" si="30"/>
        <v>0.38</v>
      </c>
      <c r="AE25" s="1094">
        <f ca="1">(IF(AD25&gt;VLOOKUP(V25,'System Lookups'!$J$55:$P$63,6),(((AD25-VLOOKUP(V25,'System Lookups'!$J$55:$P$63,6))*100)/20),0))+AF25</f>
        <v>0</v>
      </c>
      <c r="AF25" s="1094"/>
      <c r="AG25" s="1092">
        <f t="shared" si="31"/>
        <v>0</v>
      </c>
      <c r="AH25" s="1092" t="str">
        <f>IF(X25&lt;=Experience!$R$15+1,"","*")</f>
        <v/>
      </c>
      <c r="AI25" s="1092"/>
      <c r="AJ25" s="1080">
        <f t="shared" si="32"/>
        <v>0</v>
      </c>
      <c r="AK25" s="1080">
        <f t="shared" si="33"/>
        <v>0</v>
      </c>
      <c r="AL25" s="1080">
        <f t="shared" si="34"/>
        <v>0</v>
      </c>
      <c r="AM25" s="1092">
        <f t="shared" si="35"/>
        <v>0</v>
      </c>
      <c r="AN25" s="1080">
        <f t="shared" si="36"/>
        <v>1</v>
      </c>
      <c r="AO25" s="1080">
        <f t="shared" si="37"/>
        <v>0</v>
      </c>
      <c r="AP25" s="1080">
        <f t="shared" si="38"/>
        <v>1</v>
      </c>
      <c r="AQ25" s="1027">
        <f>VLOOKUP(V25,'System Lookups'!$J$55:$P$64,7)</f>
        <v>500</v>
      </c>
      <c r="AR25" s="1080" t="str">
        <f ca="1">IF(AND(NOT(ISBLANK(AJ25)),ISNA(MATCH(ROW(),'System Lookups'!$C$526:$C$539,0))),"Y","N")</f>
        <v>Y</v>
      </c>
      <c r="AS25" s="1080">
        <f t="shared" si="39"/>
        <v>0</v>
      </c>
      <c r="AU25" s="1080" t="e">
        <f t="shared" si="15"/>
        <v>#N/A</v>
      </c>
      <c r="AV25" s="1080" t="str">
        <f t="shared" si="7"/>
        <v>T</v>
      </c>
      <c r="AW25" s="1080">
        <f t="shared" si="16"/>
        <v>0</v>
      </c>
      <c r="AX25" s="1080">
        <f t="shared" si="17"/>
        <v>0</v>
      </c>
      <c r="AY25" s="1080">
        <f t="shared" si="18"/>
        <v>0</v>
      </c>
      <c r="AZ25" s="1080">
        <f t="shared" si="19"/>
        <v>0</v>
      </c>
      <c r="BA25" s="1080">
        <f t="shared" si="20"/>
        <v>0</v>
      </c>
      <c r="BB25" s="1080">
        <f>IF(AND(RACE=1,'Main Creation Page'!$E$6="Well",OR(ISNUMBER(FIND(Experience!$G$11,BE25)),ISNUMBER(FIND(Experience!$G$11,BF25)),ISNUMBER(FIND(Experience!$I$11,BE25)),ISNUMBER(FIND(Experience!$I$11,BF25)))),1,0)</f>
        <v>0</v>
      </c>
      <c r="BC25" s="1080" t="str">
        <f t="shared" si="8"/>
        <v>Poultry Raising</v>
      </c>
      <c r="BE25" s="1080" t="str">
        <f t="shared" si="9"/>
        <v/>
      </c>
      <c r="BF25" s="1080" t="str">
        <f t="shared" si="10"/>
        <v>Animal Skills</v>
      </c>
    </row>
    <row r="26" spans="1:58" ht="11.1" customHeight="1" outlineLevel="2">
      <c r="A26" s="1028" t="s">
        <v>880</v>
      </c>
      <c r="B26" s="1094"/>
      <c r="C26" s="1094"/>
      <c r="D26" s="1094"/>
      <c r="E26" s="1095" t="s">
        <v>5224</v>
      </c>
      <c r="F26" s="1095" t="s">
        <v>5224</v>
      </c>
      <c r="G26" s="1096">
        <v>0</v>
      </c>
      <c r="H26" s="1096" t="s">
        <v>5224</v>
      </c>
      <c r="I26" s="1096" t="s">
        <v>5224</v>
      </c>
      <c r="J26" s="1096" t="s">
        <v>5224</v>
      </c>
      <c r="K26" s="1096" t="s">
        <v>5224</v>
      </c>
      <c r="L26" s="1096" t="s">
        <v>5224</v>
      </c>
      <c r="M26" s="1096" t="s">
        <v>5224</v>
      </c>
      <c r="N26" s="1096" t="s">
        <v>4631</v>
      </c>
      <c r="O26" s="1097"/>
      <c r="P26" s="1097" t="s">
        <v>3616</v>
      </c>
      <c r="Q26" s="1097">
        <f t="shared" ca="1" si="25"/>
        <v>17</v>
      </c>
      <c r="R26" s="1097"/>
      <c r="S26" s="1097" t="s">
        <v>3611</v>
      </c>
      <c r="T26" s="1097">
        <f t="shared" ca="1" si="26"/>
        <v>15</v>
      </c>
      <c r="U26" s="1027">
        <v>3</v>
      </c>
      <c r="V26" s="1027">
        <f t="shared" si="27"/>
        <v>4</v>
      </c>
      <c r="W26" s="1098" t="e">
        <f>IF(OR(I26&lt;&gt;"N",E26="C"),IF(AND(N26&lt;&gt;"T",ISNUMBER(FIND("V",I26))),1,0),NA())+IF(H26="Y",IF(AND(N26="P",ISNUMBER(FIND("Z",I26))),2,1),0)+IF(J26="Y",1,0)+IF(K26="Y",3,0)+IF(BE26="Lore",L26*2+Experience!$D$25,0)+IF(M26="Y",1,0)</f>
        <v>#N/A</v>
      </c>
      <c r="X26" s="1099"/>
      <c r="Y26" s="1100">
        <f ca="1">IF(P26="NS",IFERROR(INDIRECT(S26),NA()),VLOOKUP(INDIRECT(P26)+INDIRECT(S26),'System Lookups'!$A$3:$D$146,2))</f>
        <v>0.08</v>
      </c>
      <c r="Z26" s="1100">
        <f t="shared" si="28"/>
        <v>0</v>
      </c>
      <c r="AA26" s="1101">
        <f t="shared" ca="1" si="29"/>
        <v>0.08</v>
      </c>
      <c r="AB26" s="1102">
        <f>VLOOKUP(V26,'System Lookups'!$J$55:$P$64,3)</f>
        <v>0.2</v>
      </c>
      <c r="AC26" s="1103">
        <f>VLOOKUP(V26,'System Lookups'!$J$55:$P$64,4)</f>
        <v>0.3</v>
      </c>
      <c r="AD26" s="1104">
        <f t="shared" ca="1" si="30"/>
        <v>0.28000000000000003</v>
      </c>
      <c r="AE26" s="1094">
        <f ca="1">(IF(AD26&gt;VLOOKUP(V26,'System Lookups'!$J$55:$P$63,6),(((AD26-VLOOKUP(V26,'System Lookups'!$J$55:$P$63,6))*100)/20),0))+AF26</f>
        <v>0</v>
      </c>
      <c r="AF26" s="1094"/>
      <c r="AG26" s="1092">
        <f t="shared" si="31"/>
        <v>0</v>
      </c>
      <c r="AH26" s="1092" t="str">
        <f>IF(X26&lt;=Experience!$R$15+1,"","*")</f>
        <v/>
      </c>
      <c r="AI26" s="1092"/>
      <c r="AJ26" s="1080">
        <f t="shared" si="32"/>
        <v>0</v>
      </c>
      <c r="AK26" s="1080">
        <f t="shared" si="33"/>
        <v>0</v>
      </c>
      <c r="AL26" s="1080">
        <f t="shared" si="34"/>
        <v>0</v>
      </c>
      <c r="AM26" s="1092">
        <f t="shared" si="35"/>
        <v>0</v>
      </c>
      <c r="AN26" s="1080">
        <f t="shared" si="36"/>
        <v>1</v>
      </c>
      <c r="AO26" s="1080">
        <f t="shared" si="37"/>
        <v>0</v>
      </c>
      <c r="AP26" s="1080">
        <f t="shared" si="38"/>
        <v>1</v>
      </c>
      <c r="AQ26" s="1027">
        <f>VLOOKUP(V26,'System Lookups'!$J$55:$P$64,7)</f>
        <v>600</v>
      </c>
      <c r="AR26" s="1080" t="str">
        <f ca="1">IF(AND(NOT(ISBLANK(AJ26)),ISNA(MATCH(ROW(),'System Lookups'!$C$526:$C$539,0))),"Y","N")</f>
        <v>Y</v>
      </c>
      <c r="AS26" s="1080">
        <f t="shared" si="39"/>
        <v>0</v>
      </c>
      <c r="AU26" s="1080" t="e">
        <f t="shared" si="15"/>
        <v>#N/A</v>
      </c>
      <c r="AV26" s="1080" t="str">
        <f t="shared" si="7"/>
        <v>T</v>
      </c>
      <c r="AW26" s="1080">
        <f t="shared" si="16"/>
        <v>0</v>
      </c>
      <c r="AX26" s="1080">
        <f t="shared" si="17"/>
        <v>0</v>
      </c>
      <c r="AY26" s="1080">
        <f t="shared" si="18"/>
        <v>0</v>
      </c>
      <c r="AZ26" s="1080">
        <f t="shared" si="19"/>
        <v>0</v>
      </c>
      <c r="BA26" s="1080">
        <f t="shared" si="20"/>
        <v>0</v>
      </c>
      <c r="BB26" s="1080">
        <f>IF(AND(RACE=1,'Main Creation Page'!$E$6="Well",OR(ISNUMBER(FIND(Experience!$G$11,BE26)),ISNUMBER(FIND(Experience!$G$11,BF26)),ISNUMBER(FIND(Experience!$I$11,BE26)),ISNUMBER(FIND(Experience!$I$11,BF26)))),1,0)</f>
        <v>0</v>
      </c>
      <c r="BC26" s="1080" t="str">
        <f t="shared" si="8"/>
        <v>Running a Dairy</v>
      </c>
      <c r="BE26" s="1080" t="str">
        <f t="shared" si="9"/>
        <v/>
      </c>
      <c r="BF26" s="1080" t="str">
        <f t="shared" si="10"/>
        <v>Animal Skills</v>
      </c>
    </row>
    <row r="27" spans="1:58" ht="11.1" customHeight="1" outlineLevel="2">
      <c r="A27" s="1028" t="s">
        <v>4889</v>
      </c>
      <c r="B27" s="1094"/>
      <c r="C27" s="1094"/>
      <c r="D27" s="1094"/>
      <c r="E27" s="1095" t="s">
        <v>5224</v>
      </c>
      <c r="F27" s="1095" t="s">
        <v>5224</v>
      </c>
      <c r="G27" s="1096">
        <v>0</v>
      </c>
      <c r="H27" s="1096" t="s">
        <v>5224</v>
      </c>
      <c r="I27" s="1096" t="s">
        <v>5224</v>
      </c>
      <c r="J27" s="1096" t="s">
        <v>5224</v>
      </c>
      <c r="K27" s="1096" t="s">
        <v>5224</v>
      </c>
      <c r="L27" s="1096" t="s">
        <v>5224</v>
      </c>
      <c r="M27" s="1096" t="s">
        <v>5224</v>
      </c>
      <c r="N27" s="1096" t="s">
        <v>4631</v>
      </c>
      <c r="O27" s="1097"/>
      <c r="P27" s="1097" t="s">
        <v>3616</v>
      </c>
      <c r="Q27" s="1097">
        <f t="shared" ca="1" si="25"/>
        <v>17</v>
      </c>
      <c r="R27" s="1097"/>
      <c r="S27" s="1097" t="s">
        <v>3611</v>
      </c>
      <c r="T27" s="1097">
        <f t="shared" ca="1" si="26"/>
        <v>15</v>
      </c>
      <c r="U27" s="1027">
        <v>2</v>
      </c>
      <c r="V27" s="1027">
        <f t="shared" si="27"/>
        <v>3</v>
      </c>
      <c r="W27" s="1098" t="e">
        <f>IF(OR(I27&lt;&gt;"N",E27="C"),IF(AND(N27&lt;&gt;"T",ISNUMBER(FIND("V",I27))),1,0),NA())+IF(H27="Y",IF(AND(N27="P",ISNUMBER(FIND("Z",I27))),2,1),0)+IF(J27="Y",1,0)+IF(K27="Y",3,0)+IF(BE27="Lore",L27*2+Experience!$D$25,0)+IF(M27="Y",1,0)</f>
        <v>#N/A</v>
      </c>
      <c r="X27" s="1099"/>
      <c r="Y27" s="1100">
        <f ca="1">IF(P27="NS",IFERROR(INDIRECT(S27),NA()),VLOOKUP(INDIRECT(P27)+INDIRECT(S27),'System Lookups'!$A$3:$D$146,2))</f>
        <v>0.08</v>
      </c>
      <c r="Z27" s="1100">
        <f t="shared" si="28"/>
        <v>0</v>
      </c>
      <c r="AA27" s="1101">
        <f ca="1">IF(ISNA(Y27),0,Y27)+Z27</f>
        <v>0.08</v>
      </c>
      <c r="AB27" s="1102">
        <f>VLOOKUP(V27,'System Lookups'!$J$55:$P$64,3)</f>
        <v>0.3</v>
      </c>
      <c r="AC27" s="1103">
        <f>VLOOKUP(V27,'System Lookups'!$J$55:$P$64,4)</f>
        <v>0.4</v>
      </c>
      <c r="AD27" s="1104">
        <f t="shared" ca="1" si="30"/>
        <v>0.38</v>
      </c>
      <c r="AE27" s="1094">
        <f ca="1">(IF(AD27&gt;VLOOKUP(V27,'System Lookups'!$J$55:$P$63,6),(((AD27-VLOOKUP(V27,'System Lookups'!$J$55:$P$63,6))*100)/20),0))+AF27</f>
        <v>0</v>
      </c>
      <c r="AF27" s="1094"/>
      <c r="AG27" s="1092">
        <f t="shared" si="31"/>
        <v>0</v>
      </c>
      <c r="AH27" s="1092" t="str">
        <f>IF(X27&lt;=Experience!$R$15+1,"","*")</f>
        <v/>
      </c>
      <c r="AI27" s="1092"/>
      <c r="AJ27" s="1080">
        <f t="shared" si="32"/>
        <v>0</v>
      </c>
      <c r="AK27" s="1080">
        <f>IF(F27="s",-2,0)</f>
        <v>0</v>
      </c>
      <c r="AL27" s="1080">
        <f t="shared" si="34"/>
        <v>0</v>
      </c>
      <c r="AM27" s="1092">
        <f>IF(J27="y",1,0)</f>
        <v>0</v>
      </c>
      <c r="AN27" s="1080">
        <f>IF(N27="P",-1,IF(N27="T",1,0))</f>
        <v>1</v>
      </c>
      <c r="AO27" s="1080">
        <f t="shared" si="37"/>
        <v>0</v>
      </c>
      <c r="AP27" s="1080">
        <f t="shared" si="38"/>
        <v>1</v>
      </c>
      <c r="AQ27" s="1027">
        <f>VLOOKUP(V27,'System Lookups'!$J$55:$P$64,7)</f>
        <v>500</v>
      </c>
      <c r="AR27" s="1080" t="str">
        <f ca="1">IF(AND(NOT(ISBLANK(AJ27)),ISNA(MATCH(ROW(),'System Lookups'!$C$526:$C$539,0))),"Y","N")</f>
        <v>Y</v>
      </c>
      <c r="AS27" s="1080">
        <f t="shared" si="39"/>
        <v>0</v>
      </c>
      <c r="AU27" s="1080" t="e">
        <f t="shared" si="15"/>
        <v>#N/A</v>
      </c>
      <c r="AV27" s="1080" t="str">
        <f t="shared" si="7"/>
        <v>T</v>
      </c>
      <c r="AW27" s="1080">
        <f t="shared" si="16"/>
        <v>0</v>
      </c>
      <c r="AX27" s="1080">
        <f t="shared" si="17"/>
        <v>0</v>
      </c>
      <c r="AY27" s="1080">
        <f t="shared" si="18"/>
        <v>0</v>
      </c>
      <c r="AZ27" s="1080">
        <f t="shared" si="19"/>
        <v>0</v>
      </c>
      <c r="BA27" s="1080">
        <f t="shared" si="20"/>
        <v>0</v>
      </c>
      <c r="BB27" s="1080">
        <f>IF(AND(RACE=1,'Main Creation Page'!$E$6="Well",OR(ISNUMBER(FIND(Experience!$G$11,BE27)),ISNUMBER(FIND(Experience!$G$11,BF27)),ISNUMBER(FIND(Experience!$I$11,BE27)),ISNUMBER(FIND(Experience!$I$11,BF27)))),1,0)</f>
        <v>0</v>
      </c>
      <c r="BC27" s="1080" t="str">
        <f t="shared" si="8"/>
        <v>Sheep Herding</v>
      </c>
      <c r="BE27" s="1080" t="str">
        <f t="shared" si="9"/>
        <v/>
      </c>
      <c r="BF27" s="1080" t="str">
        <f t="shared" si="10"/>
        <v>Animal Skills</v>
      </c>
    </row>
    <row r="28" spans="1:58" ht="11.1" customHeight="1" outlineLevel="2">
      <c r="A28" s="1093" t="s">
        <v>2018</v>
      </c>
      <c r="B28" s="1094"/>
      <c r="C28" s="1094"/>
      <c r="D28" s="1094"/>
      <c r="E28" s="1095" t="s">
        <v>5224</v>
      </c>
      <c r="F28" s="1095" t="s">
        <v>5224</v>
      </c>
      <c r="G28" s="1096">
        <v>0</v>
      </c>
      <c r="H28" s="1096" t="s">
        <v>5224</v>
      </c>
      <c r="I28" s="1096" t="s">
        <v>5224</v>
      </c>
      <c r="J28" s="1096" t="s">
        <v>5224</v>
      </c>
      <c r="K28" s="1096" t="s">
        <v>5224</v>
      </c>
      <c r="L28" s="1096" t="s">
        <v>5224</v>
      </c>
      <c r="M28" s="1096" t="s">
        <v>5224</v>
      </c>
      <c r="N28" s="1096" t="s">
        <v>4631</v>
      </c>
      <c r="O28" s="1097"/>
      <c r="P28" s="1097" t="s">
        <v>3616</v>
      </c>
      <c r="Q28" s="1097">
        <f t="shared" ca="1" si="25"/>
        <v>17</v>
      </c>
      <c r="R28" s="1097"/>
      <c r="S28" s="1097" t="s">
        <v>3611</v>
      </c>
      <c r="T28" s="1097">
        <f t="shared" ca="1" si="26"/>
        <v>15</v>
      </c>
      <c r="U28" s="1027">
        <v>4</v>
      </c>
      <c r="V28" s="1027">
        <f t="shared" si="27"/>
        <v>5</v>
      </c>
      <c r="W28" s="1098" t="e">
        <f>IF(OR(I28&lt;&gt;"N",E28="C"),IF(AND(N28&lt;&gt;"T",ISNUMBER(FIND("V",I28))),1,0),NA())+IF(H28="Y",IF(AND(N28="P",ISNUMBER(FIND("Z",I28))),2,1),0)+IF(J28="Y",1,0)+IF(K28="Y",3,0)+IF(BE28="Lore",L28*2+Experience!$D$25,0)+IF(M28="Y",1,0)</f>
        <v>#N/A</v>
      </c>
      <c r="X28" s="1099"/>
      <c r="Y28" s="1100">
        <f ca="1">IF(P28="NS",IFERROR(INDIRECT(S28),NA()),VLOOKUP(INDIRECT(P28)+INDIRECT(S28),'System Lookups'!$A$3:$D$146,2))</f>
        <v>0.08</v>
      </c>
      <c r="Z28" s="1100">
        <f t="shared" si="28"/>
        <v>0</v>
      </c>
      <c r="AA28" s="1101">
        <f t="shared" ca="1" si="29"/>
        <v>0.08</v>
      </c>
      <c r="AB28" s="1102">
        <f>VLOOKUP(V28,'System Lookups'!$J$55:$P$64,3)</f>
        <v>0.1</v>
      </c>
      <c r="AC28" s="1103">
        <f>VLOOKUP(V28,'System Lookups'!$J$55:$P$64,4)</f>
        <v>0.2</v>
      </c>
      <c r="AD28" s="1104">
        <f t="shared" ca="1" si="30"/>
        <v>0.18</v>
      </c>
      <c r="AE28" s="1094">
        <f ca="1">(IF(AD28&gt;VLOOKUP(V28,'System Lookups'!$J$55:$P$63,6),(((AD28-VLOOKUP(V28,'System Lookups'!$J$55:$P$63,6))*100)/20),0))+AF28</f>
        <v>0</v>
      </c>
      <c r="AF28" s="1094"/>
      <c r="AG28" s="1092">
        <f t="shared" si="31"/>
        <v>0</v>
      </c>
      <c r="AH28" s="1092" t="str">
        <f>IF(X28&lt;=Experience!$R$15+1,"","*")</f>
        <v/>
      </c>
      <c r="AI28" s="1092"/>
      <c r="AJ28" s="1080">
        <f t="shared" si="32"/>
        <v>0</v>
      </c>
      <c r="AK28" s="1080">
        <f t="shared" si="33"/>
        <v>0</v>
      </c>
      <c r="AL28" s="1080">
        <f t="shared" si="34"/>
        <v>0</v>
      </c>
      <c r="AM28" s="1092">
        <f t="shared" si="35"/>
        <v>0</v>
      </c>
      <c r="AN28" s="1080">
        <f t="shared" si="36"/>
        <v>1</v>
      </c>
      <c r="AO28" s="1080">
        <f t="shared" si="37"/>
        <v>0</v>
      </c>
      <c r="AP28" s="1080">
        <f t="shared" si="38"/>
        <v>1</v>
      </c>
      <c r="AQ28" s="1027">
        <f>VLOOKUP(V28,'System Lookups'!$J$55:$P$64,7)</f>
        <v>700</v>
      </c>
      <c r="AR28" s="1080" t="str">
        <f ca="1">IF(AND(NOT(ISBLANK(AJ28)),ISNA(MATCH(ROW(),'System Lookups'!$C$526:$C$539,0))),"Y","N")</f>
        <v>Y</v>
      </c>
      <c r="AS28" s="1080">
        <f t="shared" si="39"/>
        <v>0</v>
      </c>
      <c r="AU28" s="1080" t="e">
        <f t="shared" si="15"/>
        <v>#N/A</v>
      </c>
      <c r="AV28" s="1080" t="str">
        <f t="shared" si="7"/>
        <v>T</v>
      </c>
      <c r="AW28" s="1080">
        <f t="shared" si="16"/>
        <v>0</v>
      </c>
      <c r="AX28" s="1080">
        <f t="shared" si="17"/>
        <v>0</v>
      </c>
      <c r="AY28" s="1080">
        <f t="shared" si="18"/>
        <v>0</v>
      </c>
      <c r="AZ28" s="1080">
        <f t="shared" si="19"/>
        <v>0</v>
      </c>
      <c r="BA28" s="1080">
        <f t="shared" si="20"/>
        <v>0</v>
      </c>
      <c r="BB28" s="1080">
        <f>IF(AND(RACE=1,'Main Creation Page'!$E$6="Well",OR(ISNUMBER(FIND(Experience!$G$11,BE28)),ISNUMBER(FIND(Experience!$G$11,BF28)),ISNUMBER(FIND(Experience!$I$11,BE28)),ISNUMBER(FIND(Experience!$I$11,BF28)))),1,0)</f>
        <v>0</v>
      </c>
      <c r="BC28" s="1080" t="str">
        <f t="shared" si="8"/>
        <v>Snake Breeding</v>
      </c>
      <c r="BE28" s="1080" t="str">
        <f t="shared" si="9"/>
        <v/>
      </c>
      <c r="BF28" s="1080" t="str">
        <f t="shared" si="10"/>
        <v>Animal Skills</v>
      </c>
    </row>
    <row r="29" spans="1:58" ht="11.1" customHeight="1" outlineLevel="1">
      <c r="A29" s="1115" t="s">
        <v>3513</v>
      </c>
      <c r="B29" s="1116"/>
      <c r="C29" s="1116"/>
      <c r="D29" s="1116"/>
      <c r="F29" s="1027"/>
      <c r="G29" s="1027"/>
      <c r="H29" s="1027"/>
      <c r="I29" s="1027"/>
      <c r="J29" s="1027"/>
      <c r="K29" s="1027"/>
      <c r="L29" s="1027"/>
      <c r="M29" s="1027"/>
      <c r="N29" s="1027"/>
      <c r="O29" s="1097"/>
      <c r="P29" s="2597" t="s">
        <v>4426</v>
      </c>
      <c r="Q29" s="2598"/>
      <c r="R29" s="2598"/>
      <c r="S29" s="2598"/>
      <c r="T29" s="2598"/>
      <c r="U29" s="1027"/>
      <c r="V29" s="1027"/>
      <c r="W29" s="1112"/>
      <c r="X29" s="1092"/>
      <c r="AE29" s="1094"/>
      <c r="AF29" s="1094"/>
      <c r="AG29" s="1092"/>
      <c r="AH29" s="1092"/>
      <c r="AI29" s="1092"/>
      <c r="AM29" s="1092"/>
      <c r="AR29" s="1080" t="str">
        <f ca="1">IF(AND(NOT(ISBLANK(AJ29)),ISNA(MATCH(ROW(),'System Lookups'!$C$526:$C$539,0))),"Y","N")</f>
        <v>N</v>
      </c>
      <c r="AU29" s="1080" t="e">
        <f t="shared" si="15"/>
        <v>#N/A</v>
      </c>
      <c r="AV29" s="1080" t="str">
        <f t="shared" si="7"/>
        <v/>
      </c>
      <c r="AW29" s="1080">
        <f t="shared" si="16"/>
        <v>0</v>
      </c>
      <c r="AX29" s="1080">
        <f t="shared" si="17"/>
        <v>0</v>
      </c>
      <c r="AY29" s="1080">
        <f t="shared" si="18"/>
        <v>0</v>
      </c>
      <c r="AZ29" s="1080">
        <f t="shared" si="19"/>
        <v>0</v>
      </c>
      <c r="BA29" s="1080">
        <f t="shared" si="20"/>
        <v>0</v>
      </c>
      <c r="BB29" s="1080">
        <f>IF(AND(RACE=1,'Main Creation Page'!$E$6="Well",OR(ISNUMBER(FIND(Experience!$G$11,BE29)),ISNUMBER(FIND(Experience!$G$11,BF29)),ISNUMBER(FIND(Experience!$I$11,BE29)),ISNUMBER(FIND(Experience!$I$11,BF29)))),1,0)</f>
        <v>0</v>
      </c>
      <c r="BC29" s="1080" t="e">
        <f t="shared" si="8"/>
        <v>#N/A</v>
      </c>
      <c r="BD29" s="1080" t="s">
        <v>5677</v>
      </c>
      <c r="BE29" s="1080" t="str">
        <f t="shared" si="9"/>
        <v/>
      </c>
      <c r="BF29" s="1080" t="str">
        <f t="shared" si="10"/>
        <v>Animal Skills</v>
      </c>
    </row>
    <row r="30" spans="1:58" ht="11.1" customHeight="1" outlineLevel="2">
      <c r="A30" s="1028" t="s">
        <v>4153</v>
      </c>
      <c r="B30" s="1094"/>
      <c r="C30" s="1094"/>
      <c r="D30" s="1094"/>
      <c r="E30" s="1095" t="s">
        <v>5224</v>
      </c>
      <c r="F30" s="1095" t="s">
        <v>5224</v>
      </c>
      <c r="G30" s="1096">
        <v>0</v>
      </c>
      <c r="H30" s="1096" t="s">
        <v>5224</v>
      </c>
      <c r="I30" s="1096" t="s">
        <v>5224</v>
      </c>
      <c r="J30" s="1096" t="s">
        <v>5224</v>
      </c>
      <c r="K30" s="1096" t="s">
        <v>5224</v>
      </c>
      <c r="L30" s="1096" t="s">
        <v>5224</v>
      </c>
      <c r="M30" s="1096" t="s">
        <v>5224</v>
      </c>
      <c r="N30" s="1096" t="s">
        <v>4631</v>
      </c>
      <c r="O30" s="1097"/>
      <c r="P30" s="1097" t="s">
        <v>780</v>
      </c>
      <c r="Q30" s="1097">
        <f t="shared" ref="Q30:Q34" ca="1" si="40">INDIRECT(P30)</f>
        <v>17</v>
      </c>
      <c r="R30" s="1097"/>
      <c r="S30" s="1097" t="s">
        <v>3616</v>
      </c>
      <c r="T30" s="1097">
        <f t="shared" ref="T30:T34" ca="1" si="41">INDIRECT(S30)</f>
        <v>17</v>
      </c>
      <c r="U30" s="1027">
        <v>3</v>
      </c>
      <c r="V30" s="1027">
        <f>IF(AP30+U30&gt;10,10,IF(AP30+U30&lt;1,1,AP30+U30))</f>
        <v>4</v>
      </c>
      <c r="W30" s="1098" t="e">
        <f>IF(OR(I30&lt;&gt;"N",E30="C"),IF(AND(N30&lt;&gt;"T",ISNUMBER(FIND("V",I30))),1,0),NA())+IF(H30="Y",IF(AND(N30="P",ISNUMBER(FIND("Z",I30))),2,1),0)+IF(J30="Y",1,0)+IF(K30="Y",3,0)+IF(BE30="Lore",L30*2+Experience!$D$25,0)+IF(M30="Y",1,0)</f>
        <v>#N/A</v>
      </c>
      <c r="X30" s="1099"/>
      <c r="Y30" s="1100">
        <f ca="1">IF(P30="NS",IFERROR(INDIRECT(S30),NA()),VLOOKUP(INDIRECT(P30)+INDIRECT(S30),'System Lookups'!$A$3:$D$146,2))</f>
        <v>0.1</v>
      </c>
      <c r="Z30" s="1100">
        <f>IF(ISNA(W30),0,W30*0.03)+IF(X30&gt;0,X30*0.03,0)+IF(AND(ISNA(W30),X30&lt;=0),0,IF(G30&gt;0,G30*0.07,0))</f>
        <v>0</v>
      </c>
      <c r="AA30" s="1101">
        <f ca="1">IF(ISNA(Y30),0,Y30)+Z30</f>
        <v>0.1</v>
      </c>
      <c r="AB30" s="1102">
        <f>VLOOKUP(V30,'System Lookups'!$J$55:$P$64,3)</f>
        <v>0.2</v>
      </c>
      <c r="AC30" s="1103">
        <f>VLOOKUP(V30,'System Lookups'!$J$55:$P$64,4)</f>
        <v>0.3</v>
      </c>
      <c r="AD30" s="1104">
        <f ca="1">IF(AND(ISBLANK(X30),ISNA(W30)),IF(B30="~",0,AB30+AA30+IF(BB30&gt;0,0.05,0)),AA30+AC30+IF(BB30&gt;0,0.05,0))</f>
        <v>0.30000000000000004</v>
      </c>
      <c r="AE30" s="1094">
        <f ca="1">(IF(AD30&gt;VLOOKUP(V30,'System Lookups'!$J$55:$P$63,6),(((AD30-VLOOKUP(V30,'System Lookups'!$J$55:$P$63,6))*100)/20),0))+AF30</f>
        <v>0</v>
      </c>
      <c r="AF30" s="1094"/>
      <c r="AG30" s="1092">
        <f>IF(ISBLANK(X30),0,AQ30*X30+IF(ISNA(W30),1,0))</f>
        <v>0</v>
      </c>
      <c r="AH30" s="1092" t="str">
        <f>IF(X30&lt;=Experience!$R$15+1,"","*")</f>
        <v/>
      </c>
      <c r="AI30" s="1092"/>
      <c r="AJ30" s="1080">
        <f t="shared" ref="AJ30:AJ34" si="42">IF(ISNUMBER(FIND("R",F30)),-1,0)</f>
        <v>0</v>
      </c>
      <c r="AK30" s="1080">
        <f>IF(F30="s",-2,0)</f>
        <v>0</v>
      </c>
      <c r="AL30" s="1080">
        <f t="shared" ref="AL30:AL34" si="43">IF(AND(H30="Y",OR(N30="P",N30="S")),-1,0)</f>
        <v>0</v>
      </c>
      <c r="AM30" s="1092">
        <f>IF(J30="y",1,0)</f>
        <v>0</v>
      </c>
      <c r="AN30" s="1080">
        <f>IF(N30="P",-1,IF(N30="T",1,0))</f>
        <v>1</v>
      </c>
      <c r="AO30" s="1080">
        <f t="shared" ref="AO30:AO34" si="44">IF(ISNUMBER(FIND("Z",I30)),1,0)</f>
        <v>0</v>
      </c>
      <c r="AP30" s="1080">
        <f>SUM(AJ30:AN30)-AM30</f>
        <v>1</v>
      </c>
      <c r="AQ30" s="1027">
        <f>VLOOKUP(V30,'System Lookups'!$J$55:$P$64,7)</f>
        <v>600</v>
      </c>
      <c r="AR30" s="1080" t="str">
        <f ca="1">IF(AND(NOT(ISBLANK(AJ30)),ISNA(MATCH(ROW(),'System Lookups'!$C$526:$C$539,0))),"Y","N")</f>
        <v>Y</v>
      </c>
      <c r="AS30" s="1080">
        <f>AG30-AI30</f>
        <v>0</v>
      </c>
      <c r="AU30" s="1080" t="e">
        <f t="shared" si="15"/>
        <v>#N/A</v>
      </c>
      <c r="AV30" s="1080" t="str">
        <f t="shared" si="7"/>
        <v>T</v>
      </c>
      <c r="AW30" s="1080">
        <f t="shared" si="16"/>
        <v>0</v>
      </c>
      <c r="AX30" s="1080">
        <f t="shared" si="17"/>
        <v>0</v>
      </c>
      <c r="AY30" s="1080">
        <f t="shared" si="18"/>
        <v>0</v>
      </c>
      <c r="AZ30" s="1080">
        <f t="shared" si="19"/>
        <v>0</v>
      </c>
      <c r="BA30" s="1080">
        <f t="shared" si="20"/>
        <v>0</v>
      </c>
      <c r="BB30" s="1080">
        <f>IF(AND(RACE=1,'Main Creation Page'!$E$6="Well",OR(ISNUMBER(FIND(Experience!$G$11,BE30)),ISNUMBER(FIND(Experience!$G$11,BF30)),ISNUMBER(FIND(Experience!$I$11,BE30)),ISNUMBER(FIND(Experience!$I$11,BF30)))),1,0)</f>
        <v>0</v>
      </c>
      <c r="BC30" s="1080" t="str">
        <f t="shared" si="8"/>
        <v>Handling:Camel</v>
      </c>
      <c r="BD30" s="1080" t="s">
        <v>5677</v>
      </c>
      <c r="BE30" s="1080" t="str">
        <f t="shared" si="9"/>
        <v/>
      </c>
      <c r="BF30" s="1080" t="str">
        <f t="shared" si="10"/>
        <v>Animal Skills</v>
      </c>
    </row>
    <row r="31" spans="1:58" ht="11.1" customHeight="1" outlineLevel="2">
      <c r="A31" s="1028" t="s">
        <v>4154</v>
      </c>
      <c r="B31" s="1094"/>
      <c r="C31" s="1094"/>
      <c r="D31" s="1094"/>
      <c r="E31" s="1095" t="s">
        <v>5224</v>
      </c>
      <c r="F31" s="1095" t="s">
        <v>5224</v>
      </c>
      <c r="G31" s="1096">
        <v>0</v>
      </c>
      <c r="H31" s="1096" t="s">
        <v>5224</v>
      </c>
      <c r="I31" s="1096" t="s">
        <v>5224</v>
      </c>
      <c r="J31" s="1096" t="s">
        <v>5224</v>
      </c>
      <c r="K31" s="1096" t="s">
        <v>5224</v>
      </c>
      <c r="L31" s="1096" t="s">
        <v>5224</v>
      </c>
      <c r="M31" s="1096" t="s">
        <v>5224</v>
      </c>
      <c r="N31" s="1096" t="s">
        <v>4631</v>
      </c>
      <c r="O31" s="1097"/>
      <c r="P31" s="1097" t="s">
        <v>780</v>
      </c>
      <c r="Q31" s="1097">
        <f t="shared" ca="1" si="40"/>
        <v>17</v>
      </c>
      <c r="R31" s="1097"/>
      <c r="S31" s="1097" t="s">
        <v>3616</v>
      </c>
      <c r="T31" s="1097">
        <f t="shared" ca="1" si="41"/>
        <v>17</v>
      </c>
      <c r="U31" s="1027">
        <v>3</v>
      </c>
      <c r="V31" s="1027">
        <f>IF(AP31+U31&gt;10,10,IF(AP31+U31&lt;1,1,AP31+U31))</f>
        <v>4</v>
      </c>
      <c r="W31" s="1098" t="e">
        <f>IF(OR(I31&lt;&gt;"N",E31="C"),IF(AND(N31&lt;&gt;"T",ISNUMBER(FIND("V",I31))),1,0),NA())+IF(H31="Y",IF(AND(N31="P",ISNUMBER(FIND("Z",I31))),2,1),0)+IF(J31="Y",1,0)+IF(K31="Y",3,0)+IF(BE31="Lore",L31*2+Experience!$D$25,0)+IF(M31="Y",1,0)</f>
        <v>#N/A</v>
      </c>
      <c r="X31" s="1099"/>
      <c r="Y31" s="1100">
        <f ca="1">IF(P31="NS",IFERROR(INDIRECT(S31),NA()),VLOOKUP(INDIRECT(P31)+INDIRECT(S31),'System Lookups'!$A$3:$D$146,2))</f>
        <v>0.1</v>
      </c>
      <c r="Z31" s="1100">
        <f>IF(ISNA(W31),0,W31*0.03)+IF(X31&gt;0,X31*0.03,0)+IF(AND(ISNA(W31),X31&lt;=0),0,IF(G31&gt;0,G31*0.07,0))</f>
        <v>0</v>
      </c>
      <c r="AA31" s="1101">
        <f ca="1">IF(ISNA(Y31),0,Y31)+Z31</f>
        <v>0.1</v>
      </c>
      <c r="AB31" s="1102">
        <f>VLOOKUP(V31,'System Lookups'!$J$55:$P$64,3)</f>
        <v>0.2</v>
      </c>
      <c r="AC31" s="1103">
        <f>VLOOKUP(V31,'System Lookups'!$J$55:$P$64,4)</f>
        <v>0.3</v>
      </c>
      <c r="AD31" s="1104">
        <f ca="1">IF(AND(ISBLANK(X31),ISNA(W31)),IF(B31="~",0,AB31+AA31+IF(BB31&gt;0,0.05,0)),AA31+AC31+IF(BB31&gt;0,0.05,0))</f>
        <v>0.30000000000000004</v>
      </c>
      <c r="AE31" s="1094">
        <f ca="1">(IF(AD31&gt;VLOOKUP(V31,'System Lookups'!$J$55:$P$63,6),(((AD31-VLOOKUP(V31,'System Lookups'!$J$55:$P$63,6))*100)/20),0))+AF31</f>
        <v>0</v>
      </c>
      <c r="AF31" s="1094"/>
      <c r="AG31" s="1092">
        <f>IF(ISBLANK(X31),0,AQ31*X31+IF(ISNA(W31),1,0))</f>
        <v>0</v>
      </c>
      <c r="AH31" s="1092" t="str">
        <f>IF(X31&lt;=Experience!$R$15+1,"","*")</f>
        <v/>
      </c>
      <c r="AI31" s="1092"/>
      <c r="AJ31" s="1080">
        <f t="shared" si="42"/>
        <v>0</v>
      </c>
      <c r="AK31" s="1080">
        <f>IF(F31="s",-2,0)</f>
        <v>0</v>
      </c>
      <c r="AL31" s="1080">
        <f t="shared" si="43"/>
        <v>0</v>
      </c>
      <c r="AM31" s="1092">
        <f>IF(J31="y",1,0)</f>
        <v>0</v>
      </c>
      <c r="AN31" s="1080">
        <f>IF(N31="P",-1,IF(N31="T",1,0))</f>
        <v>1</v>
      </c>
      <c r="AO31" s="1080">
        <f t="shared" si="44"/>
        <v>0</v>
      </c>
      <c r="AP31" s="1080">
        <f>SUM(AJ31:AN31)-AM31</f>
        <v>1</v>
      </c>
      <c r="AQ31" s="1027">
        <f>VLOOKUP(V31,'System Lookups'!$J$55:$P$64,7)</f>
        <v>600</v>
      </c>
      <c r="AR31" s="1080" t="str">
        <f ca="1">IF(AND(NOT(ISBLANK(AJ31)),ISNA(MATCH(ROW(),'System Lookups'!$C$526:$C$539,0))),"Y","N")</f>
        <v>Y</v>
      </c>
      <c r="AS31" s="1080">
        <f>AG31-AI31</f>
        <v>0</v>
      </c>
      <c r="AU31" s="1080" t="e">
        <f t="shared" si="15"/>
        <v>#N/A</v>
      </c>
      <c r="AV31" s="1080" t="str">
        <f t="shared" si="7"/>
        <v>T</v>
      </c>
      <c r="AW31" s="1080">
        <f t="shared" si="16"/>
        <v>0</v>
      </c>
      <c r="AX31" s="1080">
        <f t="shared" si="17"/>
        <v>0</v>
      </c>
      <c r="AY31" s="1080">
        <f t="shared" si="18"/>
        <v>0</v>
      </c>
      <c r="AZ31" s="1080">
        <f t="shared" si="19"/>
        <v>0</v>
      </c>
      <c r="BA31" s="1080">
        <f t="shared" si="20"/>
        <v>0</v>
      </c>
      <c r="BB31" s="1080">
        <f>IF(AND(RACE=1,'Main Creation Page'!$E$6="Well",OR(ISNUMBER(FIND(Experience!$G$11,BE31)),ISNUMBER(FIND(Experience!$G$11,BF31)),ISNUMBER(FIND(Experience!$I$11,BE31)),ISNUMBER(FIND(Experience!$I$11,BF31)))),1,0)</f>
        <v>0</v>
      </c>
      <c r="BC31" s="1080" t="str">
        <f t="shared" si="8"/>
        <v>Handling:Donkey</v>
      </c>
      <c r="BD31" s="1080" t="s">
        <v>5677</v>
      </c>
      <c r="BE31" s="1080" t="str">
        <f t="shared" si="9"/>
        <v/>
      </c>
      <c r="BF31" s="1080" t="str">
        <f t="shared" si="10"/>
        <v>Animal Skills</v>
      </c>
    </row>
    <row r="32" spans="1:58" ht="11.1" customHeight="1" outlineLevel="2">
      <c r="A32" s="1028" t="s">
        <v>1781</v>
      </c>
      <c r="B32" s="1094"/>
      <c r="C32" s="1094"/>
      <c r="D32" s="1094"/>
      <c r="E32" s="1095" t="s">
        <v>5224</v>
      </c>
      <c r="F32" s="1095" t="s">
        <v>5224</v>
      </c>
      <c r="G32" s="1096">
        <v>0</v>
      </c>
      <c r="H32" s="1096" t="s">
        <v>5224</v>
      </c>
      <c r="I32" s="1096" t="s">
        <v>5224</v>
      </c>
      <c r="J32" s="1096" t="s">
        <v>5224</v>
      </c>
      <c r="K32" s="1096" t="s">
        <v>5224</v>
      </c>
      <c r="L32" s="1096" t="s">
        <v>5224</v>
      </c>
      <c r="M32" s="1096" t="s">
        <v>5224</v>
      </c>
      <c r="N32" s="1096" t="s">
        <v>4631</v>
      </c>
      <c r="O32" s="1097"/>
      <c r="P32" s="1097" t="s">
        <v>780</v>
      </c>
      <c r="Q32" s="1097">
        <f t="shared" ca="1" si="40"/>
        <v>17</v>
      </c>
      <c r="R32" s="1097"/>
      <c r="S32" s="1097" t="s">
        <v>3616</v>
      </c>
      <c r="T32" s="1097">
        <f t="shared" ca="1" si="41"/>
        <v>17</v>
      </c>
      <c r="U32" s="1027">
        <v>3</v>
      </c>
      <c r="V32" s="1027">
        <f>IF(AP32+U32&gt;10,10,IF(AP32+U32&lt;1,1,AP32+U32))</f>
        <v>4</v>
      </c>
      <c r="W32" s="1098" t="e">
        <f>IF(OR(I32&lt;&gt;"N",E32="C"),IF(AND(N32&lt;&gt;"T",ISNUMBER(FIND("V",I32))),1,0),NA())+IF(H32="Y",IF(AND(N32="P",ISNUMBER(FIND("Z",I32))),2,1),0)+IF(J32="Y",1,0)+IF(K32="Y",3,0)+IF(BE32="Lore",L32*2+Experience!$D$25,0)+IF(M32="Y",1,0)</f>
        <v>#N/A</v>
      </c>
      <c r="X32" s="1099"/>
      <c r="Y32" s="1100">
        <f ca="1">IF(P32="NS",IFERROR(INDIRECT(S32),NA()),VLOOKUP(INDIRECT(P32)+INDIRECT(S32),'System Lookups'!$A$3:$D$146,2))</f>
        <v>0.1</v>
      </c>
      <c r="Z32" s="1100">
        <f>IF(ISNA(W32),0,W32*0.03)+IF(X32&gt;0,X32*0.03,0)+IF(AND(ISNA(W32),X32&lt;=0),0,IF(G32&gt;0,G32*0.07,0))</f>
        <v>0</v>
      </c>
      <c r="AA32" s="1101">
        <f ca="1">IF(ISNA(Y32),0,Y32)+Z32</f>
        <v>0.1</v>
      </c>
      <c r="AB32" s="1102">
        <f>VLOOKUP(V32,'System Lookups'!$J$55:$P$64,3)</f>
        <v>0.2</v>
      </c>
      <c r="AC32" s="1103">
        <f>VLOOKUP(V32,'System Lookups'!$J$55:$P$64,4)</f>
        <v>0.3</v>
      </c>
      <c r="AD32" s="1104">
        <f ca="1">IF(AND(ISBLANK(X32),ISNA(W32)),IF(B32="~",0,AB32+AA32+IF(BB32&gt;0,0.05,0)),AA32+AC32+IF(BB32&gt;0,0.05,0))</f>
        <v>0.30000000000000004</v>
      </c>
      <c r="AE32" s="1094">
        <f ca="1">(IF(AD32&gt;VLOOKUP(V32,'System Lookups'!$J$55:$P$63,6),(((AD32-VLOOKUP(V32,'System Lookups'!$J$55:$P$63,6))*100)/20),0))+AF32</f>
        <v>0</v>
      </c>
      <c r="AF32" s="1094"/>
      <c r="AG32" s="1092">
        <f>IF(ISBLANK(X32),0,AQ32*X32+IF(ISNA(W32),1,0))</f>
        <v>0</v>
      </c>
      <c r="AH32" s="1092" t="str">
        <f>IF(X32&lt;=Experience!$R$15+1,"","*")</f>
        <v/>
      </c>
      <c r="AI32" s="1092"/>
      <c r="AJ32" s="1080">
        <f t="shared" si="42"/>
        <v>0</v>
      </c>
      <c r="AK32" s="1080">
        <f>IF(F32="s",-2,0)</f>
        <v>0</v>
      </c>
      <c r="AL32" s="1080">
        <f t="shared" si="43"/>
        <v>0</v>
      </c>
      <c r="AM32" s="1092">
        <f>IF(J32="y",1,0)</f>
        <v>0</v>
      </c>
      <c r="AN32" s="1080">
        <f>IF(N32="P",-1,IF(N32="T",1,0))</f>
        <v>1</v>
      </c>
      <c r="AO32" s="1080">
        <f t="shared" si="44"/>
        <v>0</v>
      </c>
      <c r="AP32" s="1080">
        <f>SUM(AJ32:AN32)-AM32</f>
        <v>1</v>
      </c>
      <c r="AQ32" s="1027">
        <f>VLOOKUP(V32,'System Lookups'!$J$55:$P$64,7)</f>
        <v>600</v>
      </c>
      <c r="AR32" s="1080" t="str">
        <f ca="1">IF(AND(NOT(ISBLANK(AJ32)),ISNA(MATCH(ROW(),'System Lookups'!$C$526:$C$539,0))),"Y","N")</f>
        <v>Y</v>
      </c>
      <c r="AS32" s="1080">
        <f>AG32-AI32</f>
        <v>0</v>
      </c>
      <c r="AU32" s="1080" t="e">
        <f t="shared" si="15"/>
        <v>#N/A</v>
      </c>
      <c r="AV32" s="1080" t="str">
        <f t="shared" si="7"/>
        <v>T</v>
      </c>
      <c r="AW32" s="1080">
        <f t="shared" si="16"/>
        <v>0</v>
      </c>
      <c r="AX32" s="1080">
        <f t="shared" si="17"/>
        <v>0</v>
      </c>
      <c r="AY32" s="1080">
        <f t="shared" si="18"/>
        <v>0</v>
      </c>
      <c r="AZ32" s="1080">
        <f t="shared" si="19"/>
        <v>0</v>
      </c>
      <c r="BA32" s="1080">
        <f t="shared" si="20"/>
        <v>0</v>
      </c>
      <c r="BB32" s="1080">
        <f>IF(AND(RACE=1,'Main Creation Page'!$E$6="Well",OR(ISNUMBER(FIND(Experience!$G$11,BE32)),ISNUMBER(FIND(Experience!$G$11,BF32)),ISNUMBER(FIND(Experience!$I$11,BE32)),ISNUMBER(FIND(Experience!$I$11,BF32)))),1,0)</f>
        <v>0</v>
      </c>
      <c r="BC32" s="1080" t="str">
        <f t="shared" si="8"/>
        <v>Handling:Exotic Animals</v>
      </c>
      <c r="BD32" s="1080" t="s">
        <v>5677</v>
      </c>
      <c r="BE32" s="1080" t="str">
        <f t="shared" si="9"/>
        <v/>
      </c>
      <c r="BF32" s="1080" t="str">
        <f t="shared" si="10"/>
        <v>Animal Skills</v>
      </c>
    </row>
    <row r="33" spans="1:58" ht="11.1" customHeight="1" outlineLevel="2">
      <c r="A33" s="1028" t="s">
        <v>4156</v>
      </c>
      <c r="B33" s="1094"/>
      <c r="C33" s="1094"/>
      <c r="D33" s="1094"/>
      <c r="E33" s="1095" t="s">
        <v>5224</v>
      </c>
      <c r="F33" s="1095" t="s">
        <v>5224</v>
      </c>
      <c r="G33" s="1096">
        <v>0</v>
      </c>
      <c r="H33" s="1096" t="s">
        <v>5224</v>
      </c>
      <c r="I33" s="1096" t="s">
        <v>5224</v>
      </c>
      <c r="J33" s="1096" t="s">
        <v>5224</v>
      </c>
      <c r="K33" s="1096" t="s">
        <v>5224</v>
      </c>
      <c r="L33" s="1096" t="s">
        <v>5224</v>
      </c>
      <c r="M33" s="1096" t="s">
        <v>5224</v>
      </c>
      <c r="N33" s="1096" t="s">
        <v>4631</v>
      </c>
      <c r="O33" s="1097"/>
      <c r="P33" s="1097" t="s">
        <v>780</v>
      </c>
      <c r="Q33" s="1097">
        <f t="shared" ca="1" si="40"/>
        <v>17</v>
      </c>
      <c r="R33" s="1097"/>
      <c r="S33" s="1097" t="s">
        <v>3616</v>
      </c>
      <c r="T33" s="1097">
        <f t="shared" ca="1" si="41"/>
        <v>17</v>
      </c>
      <c r="U33" s="1027">
        <v>3</v>
      </c>
      <c r="V33" s="1027">
        <f>IF(AP33+U33&gt;10,10,IF(AP33+U33&lt;1,1,AP33+U33))</f>
        <v>4</v>
      </c>
      <c r="W33" s="1098" t="e">
        <f>IF(OR(I33&lt;&gt;"N",E33="C"),IF(AND(N33&lt;&gt;"T",ISNUMBER(FIND("V",I33))),1,0),NA())+IF(H33="Y",IF(AND(N33="P",ISNUMBER(FIND("Z",I33))),2,1),0)+IF(J33="Y",1,0)+IF(K33="Y",3,0)+IF(BE33="Lore",L33*2+Experience!$D$25,0)+IF(M33="Y",1,0)</f>
        <v>#N/A</v>
      </c>
      <c r="X33" s="1099"/>
      <c r="Y33" s="1100">
        <f ca="1">IF(P33="NS",IFERROR(INDIRECT(S33),NA()),VLOOKUP(INDIRECT(P33)+INDIRECT(S33),'System Lookups'!$A$3:$D$146,2))</f>
        <v>0.1</v>
      </c>
      <c r="Z33" s="1100">
        <f>IF(ISNA(W33),0,W33*0.03)+IF(X33&gt;0,X33*0.03,0)+IF(AND(ISNA(W33),X33&lt;=0),0,IF(G33&gt;0,G33*0.07,0))</f>
        <v>0</v>
      </c>
      <c r="AA33" s="1101">
        <f ca="1">IF(ISNA(Y33),0,Y33)+Z33</f>
        <v>0.1</v>
      </c>
      <c r="AB33" s="1102">
        <f>VLOOKUP(V33,'System Lookups'!$J$55:$P$64,3)</f>
        <v>0.2</v>
      </c>
      <c r="AC33" s="1103">
        <f>VLOOKUP(V33,'System Lookups'!$J$55:$P$64,4)</f>
        <v>0.3</v>
      </c>
      <c r="AD33" s="1104">
        <f ca="1">IF(AND(ISBLANK(X33),ISNA(W33)),IF(B33="~",0,AB33+AA33+IF(BB33&gt;0,0.05,0)),AA33+AC33+IF(BB33&gt;0,0.05,0))</f>
        <v>0.30000000000000004</v>
      </c>
      <c r="AE33" s="1094">
        <f ca="1">(IF(AD33&gt;VLOOKUP(V33,'System Lookups'!$J$55:$P$63,6),(((AD33-VLOOKUP(V33,'System Lookups'!$J$55:$P$63,6))*100)/20),0))+AF33</f>
        <v>0</v>
      </c>
      <c r="AF33" s="1094"/>
      <c r="AG33" s="1092">
        <f>IF(ISBLANK(X33),0,AQ33*X33+IF(ISNA(W33),1,0))</f>
        <v>0</v>
      </c>
      <c r="AH33" s="1092" t="str">
        <f>IF(X33&lt;=Experience!$R$15+1,"","*")</f>
        <v/>
      </c>
      <c r="AI33" s="1092"/>
      <c r="AJ33" s="1080">
        <f t="shared" si="42"/>
        <v>0</v>
      </c>
      <c r="AK33" s="1080">
        <f>IF(F33="s",-2,0)</f>
        <v>0</v>
      </c>
      <c r="AL33" s="1080">
        <f t="shared" si="43"/>
        <v>0</v>
      </c>
      <c r="AM33" s="1092">
        <f>IF(J33="y",1,0)</f>
        <v>0</v>
      </c>
      <c r="AN33" s="1080">
        <f>IF(N33="P",-1,IF(N33="T",1,0))</f>
        <v>1</v>
      </c>
      <c r="AO33" s="1080">
        <f t="shared" si="44"/>
        <v>0</v>
      </c>
      <c r="AP33" s="1080">
        <f>SUM(AJ33:AN33)-AM33</f>
        <v>1</v>
      </c>
      <c r="AQ33" s="1027">
        <f>VLOOKUP(V33,'System Lookups'!$J$55:$P$64,7)</f>
        <v>600</v>
      </c>
      <c r="AR33" s="1080" t="str">
        <f ca="1">IF(AND(NOT(ISBLANK(AJ33)),ISNA(MATCH(ROW(),'System Lookups'!$C$526:$C$539,0))),"Y","N")</f>
        <v>Y</v>
      </c>
      <c r="AS33" s="1080">
        <f>AG33-AI33</f>
        <v>0</v>
      </c>
      <c r="AU33" s="1080" t="e">
        <f t="shared" si="15"/>
        <v>#N/A</v>
      </c>
      <c r="AV33" s="1080" t="str">
        <f t="shared" si="7"/>
        <v>T</v>
      </c>
      <c r="AW33" s="1080">
        <f t="shared" si="16"/>
        <v>0</v>
      </c>
      <c r="AX33" s="1080">
        <f t="shared" si="17"/>
        <v>0</v>
      </c>
      <c r="AY33" s="1080">
        <f t="shared" si="18"/>
        <v>0</v>
      </c>
      <c r="AZ33" s="1080">
        <f t="shared" si="19"/>
        <v>0</v>
      </c>
      <c r="BA33" s="1080">
        <f t="shared" si="20"/>
        <v>0</v>
      </c>
      <c r="BB33" s="1080">
        <f>IF(AND(RACE=1,'Main Creation Page'!$E$6="Well",OR(ISNUMBER(FIND(Experience!$G$11,BE33)),ISNUMBER(FIND(Experience!$G$11,BF33)),ISNUMBER(FIND(Experience!$I$11,BE33)),ISNUMBER(FIND(Experience!$I$11,BF33)))),1,0)</f>
        <v>0</v>
      </c>
      <c r="BC33" s="1080" t="str">
        <f t="shared" si="8"/>
        <v>Handling:Horse, Pony, Mule</v>
      </c>
      <c r="BD33" s="1080" t="s">
        <v>5677</v>
      </c>
      <c r="BE33" s="1080" t="str">
        <f t="shared" si="9"/>
        <v/>
      </c>
      <c r="BF33" s="1080" t="str">
        <f t="shared" si="10"/>
        <v>Animal Skills</v>
      </c>
    </row>
    <row r="34" spans="1:58" ht="11.1" customHeight="1" outlineLevel="2">
      <c r="A34" s="1028" t="s">
        <v>1978</v>
      </c>
      <c r="B34" s="1094"/>
      <c r="C34" s="1094"/>
      <c r="D34" s="1094"/>
      <c r="E34" s="1095" t="s">
        <v>5224</v>
      </c>
      <c r="F34" s="1095" t="s">
        <v>5224</v>
      </c>
      <c r="G34" s="1096">
        <v>0</v>
      </c>
      <c r="H34" s="1096" t="s">
        <v>5224</v>
      </c>
      <c r="I34" s="1096" t="s">
        <v>5224</v>
      </c>
      <c r="J34" s="1096" t="s">
        <v>5224</v>
      </c>
      <c r="K34" s="1096" t="s">
        <v>5224</v>
      </c>
      <c r="L34" s="1096" t="s">
        <v>5224</v>
      </c>
      <c r="M34" s="1096" t="s">
        <v>5224</v>
      </c>
      <c r="N34" s="1096" t="s">
        <v>4631</v>
      </c>
      <c r="O34" s="1097"/>
      <c r="P34" s="1097" t="s">
        <v>780</v>
      </c>
      <c r="Q34" s="1097">
        <f t="shared" ca="1" si="40"/>
        <v>17</v>
      </c>
      <c r="R34" s="1097"/>
      <c r="S34" s="1097" t="s">
        <v>3616</v>
      </c>
      <c r="T34" s="1097">
        <f t="shared" ca="1" si="41"/>
        <v>17</v>
      </c>
      <c r="U34" s="1027">
        <v>3</v>
      </c>
      <c r="V34" s="1027">
        <f>IF(AP34+U34&gt;10,10,IF(AP34+U34&lt;1,1,AP34+U34))</f>
        <v>4</v>
      </c>
      <c r="W34" s="1098" t="e">
        <f>IF(OR(I34&lt;&gt;"N",E34="C"),IF(AND(N34&lt;&gt;"T",ISNUMBER(FIND("V",I34))),1,0),NA())+IF(H34="Y",IF(AND(N34="P",ISNUMBER(FIND("Z",I34))),2,1),0)+IF(J34="Y",1,0)+IF(K34="Y",3,0)+IF(BE34="Lore",L34*2+Experience!$D$25,0)+IF(M34="Y",1,0)</f>
        <v>#N/A</v>
      </c>
      <c r="X34" s="1099"/>
      <c r="Y34" s="1100">
        <f ca="1">IF(P34="NS",IFERROR(INDIRECT(S34),NA()),VLOOKUP(INDIRECT(P34)+INDIRECT(S34),'System Lookups'!$A$3:$D$146,2))</f>
        <v>0.1</v>
      </c>
      <c r="Z34" s="1100">
        <f>IF(ISNA(W34),0,W34*0.03)+IF(X34&gt;0,X34*0.03,0)+IF(AND(ISNA(W34),X34&lt;=0),0,IF(G34&gt;0,G34*0.07,0))</f>
        <v>0</v>
      </c>
      <c r="AA34" s="1101">
        <f ca="1">IF(ISNA(Y34),0,Y34)+Z34</f>
        <v>0.1</v>
      </c>
      <c r="AB34" s="1102">
        <f>VLOOKUP(V34,'System Lookups'!$J$55:$P$64,3)</f>
        <v>0.2</v>
      </c>
      <c r="AC34" s="1103">
        <f>VLOOKUP(V34,'System Lookups'!$J$55:$P$64,4)</f>
        <v>0.3</v>
      </c>
      <c r="AD34" s="1104">
        <f ca="1">IF(AND(ISBLANK(X34),ISNA(W34)),IF(B34="~",0,AB34+AA34+IF(BB34&gt;0,0.05,0)),AA34+AC34+IF(BB34&gt;0,0.05,0))</f>
        <v>0.30000000000000004</v>
      </c>
      <c r="AE34" s="1094">
        <f ca="1">(IF(AD34&gt;VLOOKUP(V34,'System Lookups'!$J$55:$P$63,6),(((AD34-VLOOKUP(V34,'System Lookups'!$J$55:$P$63,6))*100)/20),0))+AF34</f>
        <v>0</v>
      </c>
      <c r="AF34" s="1094"/>
      <c r="AG34" s="1092">
        <f>IF(ISBLANK(X34),0,AQ34*X34+IF(ISNA(W34),1,0))</f>
        <v>0</v>
      </c>
      <c r="AH34" s="1092" t="str">
        <f>IF(X34&lt;=Experience!$R$15+1,"","*")</f>
        <v/>
      </c>
      <c r="AI34" s="1092"/>
      <c r="AJ34" s="1080">
        <f t="shared" si="42"/>
        <v>0</v>
      </c>
      <c r="AK34" s="1080">
        <f>IF(F34="s",-2,0)</f>
        <v>0</v>
      </c>
      <c r="AL34" s="1080">
        <f t="shared" si="43"/>
        <v>0</v>
      </c>
      <c r="AM34" s="1092">
        <f>IF(J34="y",1,0)</f>
        <v>0</v>
      </c>
      <c r="AN34" s="1080">
        <f>IF(N34="P",-1,IF(N34="T",1,0))</f>
        <v>1</v>
      </c>
      <c r="AO34" s="1080">
        <f t="shared" si="44"/>
        <v>0</v>
      </c>
      <c r="AP34" s="1080">
        <f>SUM(AJ34:AN34)-AM34</f>
        <v>1</v>
      </c>
      <c r="AQ34" s="1027">
        <f>VLOOKUP(V34,'System Lookups'!$J$55:$P$64,7)</f>
        <v>600</v>
      </c>
      <c r="AR34" s="1080" t="str">
        <f ca="1">IF(AND(NOT(ISBLANK(AJ34)),ISNA(MATCH(ROW(),'System Lookups'!$C$526:$C$539,0))),"Y","N")</f>
        <v>Y</v>
      </c>
      <c r="AS34" s="1080">
        <f>AG34-AI34</f>
        <v>0</v>
      </c>
      <c r="AU34" s="1080" t="e">
        <f t="shared" si="15"/>
        <v>#N/A</v>
      </c>
      <c r="AV34" s="1080" t="str">
        <f t="shared" si="7"/>
        <v>T</v>
      </c>
      <c r="AW34" s="1080">
        <f t="shared" si="16"/>
        <v>0</v>
      </c>
      <c r="AX34" s="1080">
        <f t="shared" si="17"/>
        <v>0</v>
      </c>
      <c r="AY34" s="1080">
        <f t="shared" si="18"/>
        <v>0</v>
      </c>
      <c r="AZ34" s="1080">
        <f t="shared" si="19"/>
        <v>0</v>
      </c>
      <c r="BA34" s="1080">
        <f t="shared" si="20"/>
        <v>0</v>
      </c>
      <c r="BB34" s="1080">
        <f>IF(AND(RACE=1,'Main Creation Page'!$E$6="Well",OR(ISNUMBER(FIND(Experience!$G$11,BE34)),ISNUMBER(FIND(Experience!$G$11,BF34)),ISNUMBER(FIND(Experience!$I$11,BE34)),ISNUMBER(FIND(Experience!$I$11,BF34)))),1,0)</f>
        <v>0</v>
      </c>
      <c r="BC34" s="1080" t="str">
        <f t="shared" si="8"/>
        <v>Handling:Oxen</v>
      </c>
      <c r="BD34" s="1080" t="s">
        <v>5677</v>
      </c>
      <c r="BE34" s="1080" t="str">
        <f t="shared" si="9"/>
        <v/>
      </c>
      <c r="BF34" s="1080" t="str">
        <f t="shared" si="10"/>
        <v>Animal Skills</v>
      </c>
    </row>
    <row r="35" spans="1:58" ht="15" customHeight="1" outlineLevel="1">
      <c r="A35" s="1115" t="s">
        <v>4890</v>
      </c>
      <c r="B35" s="1116"/>
      <c r="C35" s="1116"/>
      <c r="D35" s="1116"/>
      <c r="F35" s="1027"/>
      <c r="G35" s="1027"/>
      <c r="H35" s="1027"/>
      <c r="I35" s="1027"/>
      <c r="J35" s="1027"/>
      <c r="K35" s="1027"/>
      <c r="L35" s="1027"/>
      <c r="M35" s="1027"/>
      <c r="N35" s="1027"/>
      <c r="O35" s="1097"/>
      <c r="P35" s="2597" t="s">
        <v>2754</v>
      </c>
      <c r="Q35" s="2598"/>
      <c r="R35" s="2598"/>
      <c r="S35" s="2598"/>
      <c r="T35" s="2598"/>
      <c r="U35" s="1027"/>
      <c r="V35" s="1027"/>
      <c r="W35" s="1112"/>
      <c r="AE35" s="1094"/>
      <c r="AF35" s="1094"/>
      <c r="AG35" s="1092"/>
      <c r="AH35" s="1092"/>
      <c r="AI35" s="1092"/>
      <c r="AM35" s="1092"/>
      <c r="AR35" s="1080" t="str">
        <f ca="1">IF(AND(NOT(ISBLANK(AJ35)),ISNA(MATCH(ROW(),'System Lookups'!$C$526:$C$539,0))),"Y","N")</f>
        <v>N</v>
      </c>
      <c r="AU35" s="1080" t="e">
        <f t="shared" si="15"/>
        <v>#N/A</v>
      </c>
      <c r="AV35" s="1080" t="str">
        <f t="shared" si="7"/>
        <v/>
      </c>
      <c r="AW35" s="1080">
        <f t="shared" si="16"/>
        <v>0</v>
      </c>
      <c r="AX35" s="1080">
        <f t="shared" si="17"/>
        <v>0</v>
      </c>
      <c r="AY35" s="1080">
        <f t="shared" si="18"/>
        <v>0</v>
      </c>
      <c r="AZ35" s="1080">
        <f t="shared" si="19"/>
        <v>0</v>
      </c>
      <c r="BA35" s="1080">
        <f t="shared" si="20"/>
        <v>0</v>
      </c>
      <c r="BB35" s="1080">
        <f>IF(AND(RACE=1,'Main Creation Page'!$E$6="Well",OR(ISNUMBER(FIND(Experience!$G$11,BE35)),ISNUMBER(FIND(Experience!$G$11,BF35)),ISNUMBER(FIND(Experience!$I$11,BE35)),ISNUMBER(FIND(Experience!$I$11,BF35)))),1,0)</f>
        <v>0</v>
      </c>
      <c r="BC35" s="1080" t="e">
        <f t="shared" si="8"/>
        <v>#N/A</v>
      </c>
      <c r="BD35" s="1080" t="s">
        <v>5678</v>
      </c>
      <c r="BE35" s="1080" t="str">
        <f t="shared" si="9"/>
        <v/>
      </c>
      <c r="BF35" s="1080" t="str">
        <f t="shared" si="10"/>
        <v>Animal Skills</v>
      </c>
    </row>
    <row r="36" spans="1:58" ht="11.1" customHeight="1" outlineLevel="2">
      <c r="A36" s="1028" t="s">
        <v>4153</v>
      </c>
      <c r="B36" s="1094"/>
      <c r="C36" s="1094"/>
      <c r="D36" s="1094"/>
      <c r="E36" s="1095" t="s">
        <v>5224</v>
      </c>
      <c r="F36" s="1095" t="s">
        <v>5224</v>
      </c>
      <c r="G36" s="1096">
        <v>0</v>
      </c>
      <c r="H36" s="1096" t="s">
        <v>5224</v>
      </c>
      <c r="I36" s="1096" t="s">
        <v>5224</v>
      </c>
      <c r="J36" s="1096" t="s">
        <v>5224</v>
      </c>
      <c r="K36" s="1096" t="s">
        <v>5224</v>
      </c>
      <c r="L36" s="1096" t="s">
        <v>5224</v>
      </c>
      <c r="M36" s="1096" t="s">
        <v>5224</v>
      </c>
      <c r="N36" s="1096" t="s">
        <v>4631</v>
      </c>
      <c r="O36" s="1097"/>
      <c r="P36" s="1097" t="s">
        <v>3611</v>
      </c>
      <c r="Q36" s="1097">
        <f t="shared" ref="Q36:Q40" ca="1" si="45">INDIRECT(P36)</f>
        <v>15</v>
      </c>
      <c r="R36" s="1097"/>
      <c r="S36" s="1028" t="s">
        <v>3613</v>
      </c>
      <c r="T36" s="1097">
        <f t="shared" ref="T36:T40" ca="1" si="46">INDIRECT(S36)</f>
        <v>15</v>
      </c>
      <c r="U36" s="1027">
        <v>4</v>
      </c>
      <c r="V36" s="1027">
        <f>IF(AP36+U36&gt;10,10,IF(AP36+U36&lt;1,1,AP36+U36))</f>
        <v>5</v>
      </c>
      <c r="W36" s="1098" t="e">
        <f>IF(OR(I36&lt;&gt;"N",E36="C"),IF(AND(N36&lt;&gt;"T",ISNUMBER(FIND("V",I36))),1,0),NA())+IF(H36="Y",IF(AND(N36="P",ISNUMBER(FIND("Z",I36))),2,1),0)+IF(J36="Y",1,0)+IF(K36="Y",3,0)+IF(BE36="Lore",L36*2+Experience!$D$25,0)+IF(M36="Y",1,0)</f>
        <v>#N/A</v>
      </c>
      <c r="X36" s="1099"/>
      <c r="Y36" s="1100">
        <f ca="1">IF(P36="NS",IFERROR(INDIRECT(S36),NA()),VLOOKUP(INDIRECT(P36)+INDIRECT(S36),'System Lookups'!$A$3:$D$146,2))</f>
        <v>0.06</v>
      </c>
      <c r="Z36" s="1100">
        <f>IF(ISNA(W36),0,W36*0.03)+IF(X36&gt;0,X36*0.03,0)+IF(AND(ISNA(W36),X36&lt;=0),0,IF(G36&gt;0,G36*0.07,0))</f>
        <v>0</v>
      </c>
      <c r="AA36" s="1101">
        <f ca="1">IF(ISNA(Y36),0,Y36)+Z36</f>
        <v>0.06</v>
      </c>
      <c r="AB36" s="1102">
        <f>VLOOKUP(V36,'System Lookups'!$J$55:$P$64,3)</f>
        <v>0.1</v>
      </c>
      <c r="AC36" s="1103">
        <f>VLOOKUP(V36,'System Lookups'!$J$55:$P$64,4)</f>
        <v>0.2</v>
      </c>
      <c r="AD36" s="1104">
        <f ca="1">IF(AND(ISBLANK(X36),ISNA(W36)),IF(B36="~",0,AB36+AA36+IF(BB36&gt;0,0.05,0)),AA36+AC36+IF(BB36&gt;0,0.05,0))</f>
        <v>0.16</v>
      </c>
      <c r="AE36" s="1094">
        <f ca="1">(IF(AD36&gt;VLOOKUP(V36,'System Lookups'!$J$55:$P$63,6),(((AD36-VLOOKUP(V36,'System Lookups'!$J$55:$P$63,6))*100)/20),0))+AF36</f>
        <v>0</v>
      </c>
      <c r="AF36" s="1094"/>
      <c r="AG36" s="1092">
        <f>IF(ISBLANK(X36),0,AQ36*X36+IF(ISNA(W36),1,0))</f>
        <v>0</v>
      </c>
      <c r="AH36" s="1092" t="str">
        <f>IF(X36&lt;=Experience!$R$15+1,"","*")</f>
        <v/>
      </c>
      <c r="AI36" s="1092"/>
      <c r="AJ36" s="1080">
        <f t="shared" ref="AJ36:AJ40" si="47">IF(ISNUMBER(FIND("R",F36)),-1,0)</f>
        <v>0</v>
      </c>
      <c r="AK36" s="1080">
        <f>IF(F36="s",-2,0)</f>
        <v>0</v>
      </c>
      <c r="AL36" s="1080">
        <f t="shared" ref="AL36:AL40" si="48">IF(AND(H36="Y",OR(N36="P",N36="S")),-1,0)</f>
        <v>0</v>
      </c>
      <c r="AM36" s="1092">
        <f>IF(J36="y",1,0)</f>
        <v>0</v>
      </c>
      <c r="AN36" s="1080">
        <f>IF(N36="P",-1,IF(N36="T",1,0))</f>
        <v>1</v>
      </c>
      <c r="AO36" s="1080">
        <f t="shared" ref="AO36:AO40" si="49">IF(ISNUMBER(FIND("Z",I36)),1,0)</f>
        <v>0</v>
      </c>
      <c r="AP36" s="1080">
        <f>SUM(AJ36:AN36)-AM36</f>
        <v>1</v>
      </c>
      <c r="AQ36" s="1027">
        <f>VLOOKUP(V36,'System Lookups'!$J$55:$P$64,7)</f>
        <v>700</v>
      </c>
      <c r="AR36" s="1080" t="str">
        <f ca="1">IF(AND(NOT(ISBLANK(AJ36)),ISNA(MATCH(ROW(),'System Lookups'!$C$526:$C$539,0))),"Y","N")</f>
        <v>Y</v>
      </c>
      <c r="AS36" s="1080">
        <f>AG36-AI36</f>
        <v>0</v>
      </c>
      <c r="AU36" s="1080" t="e">
        <f t="shared" si="15"/>
        <v>#N/A</v>
      </c>
      <c r="AV36" s="1080" t="str">
        <f t="shared" si="7"/>
        <v>T</v>
      </c>
      <c r="AW36" s="1080">
        <f t="shared" si="16"/>
        <v>0</v>
      </c>
      <c r="AX36" s="1080">
        <f t="shared" si="17"/>
        <v>0</v>
      </c>
      <c r="AY36" s="1080">
        <f t="shared" si="18"/>
        <v>0</v>
      </c>
      <c r="AZ36" s="1080">
        <f t="shared" si="19"/>
        <v>0</v>
      </c>
      <c r="BA36" s="1080">
        <f t="shared" si="20"/>
        <v>0</v>
      </c>
      <c r="BB36" s="1080">
        <f>IF(AND(RACE=1,'Main Creation Page'!$E$6="Well",OR(ISNUMBER(FIND(Experience!$G$11,BE36)),ISNUMBER(FIND(Experience!$G$11,BF36)),ISNUMBER(FIND(Experience!$I$11,BE36)),ISNUMBER(FIND(Experience!$I$11,BF36)))),1,0)</f>
        <v>0</v>
      </c>
      <c r="BC36" s="1080" t="str">
        <f t="shared" si="8"/>
        <v>Riding:Camel</v>
      </c>
      <c r="BD36" s="1080" t="s">
        <v>5678</v>
      </c>
      <c r="BE36" s="1080" t="str">
        <f t="shared" si="9"/>
        <v/>
      </c>
      <c r="BF36" s="1080" t="str">
        <f t="shared" si="10"/>
        <v>Animal Skills</v>
      </c>
    </row>
    <row r="37" spans="1:58" ht="11.1" customHeight="1" outlineLevel="2">
      <c r="A37" s="1028" t="s">
        <v>4154</v>
      </c>
      <c r="B37" s="1094"/>
      <c r="C37" s="1094"/>
      <c r="D37" s="1094"/>
      <c r="E37" s="1095" t="s">
        <v>5224</v>
      </c>
      <c r="F37" s="1095" t="s">
        <v>5224</v>
      </c>
      <c r="G37" s="1096">
        <v>0</v>
      </c>
      <c r="H37" s="1096" t="s">
        <v>5224</v>
      </c>
      <c r="I37" s="1096" t="s">
        <v>5224</v>
      </c>
      <c r="J37" s="1096" t="s">
        <v>5224</v>
      </c>
      <c r="K37" s="1096" t="s">
        <v>5224</v>
      </c>
      <c r="L37" s="1096" t="s">
        <v>5224</v>
      </c>
      <c r="M37" s="1096" t="s">
        <v>5224</v>
      </c>
      <c r="N37" s="1096" t="s">
        <v>4631</v>
      </c>
      <c r="O37" s="1097"/>
      <c r="P37" s="1097" t="s">
        <v>3611</v>
      </c>
      <c r="Q37" s="1097">
        <f t="shared" ca="1" si="45"/>
        <v>15</v>
      </c>
      <c r="R37" s="1097"/>
      <c r="S37" s="1028" t="s">
        <v>3613</v>
      </c>
      <c r="T37" s="1097">
        <f t="shared" ca="1" si="46"/>
        <v>15</v>
      </c>
      <c r="U37" s="1027">
        <v>2</v>
      </c>
      <c r="V37" s="1027">
        <f>IF(AP37+U37&gt;10,10,IF(AP37+U37&lt;1,1,AP37+U37))</f>
        <v>3</v>
      </c>
      <c r="W37" s="1098" t="e">
        <f>IF(OR(I37&lt;&gt;"N",E37="C"),IF(AND(N37&lt;&gt;"T",ISNUMBER(FIND("V",I37))),1,0),NA())+IF(H37="Y",IF(AND(N37="P",ISNUMBER(FIND("Z",I37))),2,1),0)+IF(J37="Y",1,0)+IF(K37="Y",3,0)+IF(BE37="Lore",L37*2+Experience!$D$25,0)+IF(M37="Y",1,0)</f>
        <v>#N/A</v>
      </c>
      <c r="X37" s="1099"/>
      <c r="Y37" s="1100">
        <f ca="1">IF(P37="NS",IFERROR(INDIRECT(S37),NA()),VLOOKUP(INDIRECT(P37)+INDIRECT(S37),'System Lookups'!$A$3:$D$146,2))</f>
        <v>0.06</v>
      </c>
      <c r="Z37" s="1100">
        <f>IF(ISNA(W37),0,W37*0.03)+IF(X37&gt;0,X37*0.03,0)+IF(AND(ISNA(W37),X37&lt;=0),0,IF(G37&gt;0,G37*0.07,0))</f>
        <v>0</v>
      </c>
      <c r="AA37" s="1101">
        <f ca="1">IF(ISNA(Y37),0,Y37)+Z37</f>
        <v>0.06</v>
      </c>
      <c r="AB37" s="1102">
        <f>VLOOKUP(V37,'System Lookups'!$J$55:$P$64,3)</f>
        <v>0.3</v>
      </c>
      <c r="AC37" s="1103">
        <f>VLOOKUP(V37,'System Lookups'!$J$55:$P$64,4)</f>
        <v>0.4</v>
      </c>
      <c r="AD37" s="1104">
        <f ca="1">IF(AND(ISBLANK(X37),ISNA(W37)),IF(B37="~",0,AB37+AA37+IF(BB37&gt;0,0.05,0)),AA37+AC37+IF(BB37&gt;0,0.05,0))</f>
        <v>0.36</v>
      </c>
      <c r="AE37" s="1094">
        <f ca="1">(IF(AD37&gt;VLOOKUP(V37,'System Lookups'!$J$55:$P$63,6),(((AD37-VLOOKUP(V37,'System Lookups'!$J$55:$P$63,6))*100)/20),0))+AF37</f>
        <v>0</v>
      </c>
      <c r="AF37" s="1094"/>
      <c r="AG37" s="1092">
        <f>IF(ISBLANK(X37),0,AQ37*X37+IF(ISNA(W37),1,0))</f>
        <v>0</v>
      </c>
      <c r="AH37" s="1092" t="str">
        <f>IF(X37&lt;=Experience!$R$15+1,"","*")</f>
        <v/>
      </c>
      <c r="AI37" s="1092"/>
      <c r="AJ37" s="1080">
        <f t="shared" si="47"/>
        <v>0</v>
      </c>
      <c r="AK37" s="1080">
        <f>IF(F37="s",-2,0)</f>
        <v>0</v>
      </c>
      <c r="AL37" s="1080">
        <f t="shared" si="48"/>
        <v>0</v>
      </c>
      <c r="AM37" s="1092">
        <f>IF(J37="y",1,0)</f>
        <v>0</v>
      </c>
      <c r="AN37" s="1080">
        <f>IF(N37="P",-1,IF(N37="T",1,0))</f>
        <v>1</v>
      </c>
      <c r="AO37" s="1080">
        <f t="shared" si="49"/>
        <v>0</v>
      </c>
      <c r="AP37" s="1080">
        <f>SUM(AJ37:AN37)-AM37</f>
        <v>1</v>
      </c>
      <c r="AQ37" s="1027">
        <f>VLOOKUP(V37,'System Lookups'!$J$55:$P$64,7)</f>
        <v>500</v>
      </c>
      <c r="AR37" s="1080" t="str">
        <f ca="1">IF(AND(NOT(ISBLANK(AJ37)),ISNA(MATCH(ROW(),'System Lookups'!$C$526:$C$539,0))),"Y","N")</f>
        <v>Y</v>
      </c>
      <c r="AS37" s="1080">
        <f>AG37-AI37</f>
        <v>0</v>
      </c>
      <c r="AU37" s="1080" t="e">
        <f t="shared" si="15"/>
        <v>#N/A</v>
      </c>
      <c r="AV37" s="1080" t="str">
        <f t="shared" si="7"/>
        <v>T</v>
      </c>
      <c r="AW37" s="1080">
        <f t="shared" si="16"/>
        <v>0</v>
      </c>
      <c r="AX37" s="1080">
        <f t="shared" si="17"/>
        <v>0</v>
      </c>
      <c r="AY37" s="1080">
        <f t="shared" si="18"/>
        <v>0</v>
      </c>
      <c r="AZ37" s="1080">
        <f t="shared" si="19"/>
        <v>0</v>
      </c>
      <c r="BA37" s="1080">
        <f t="shared" si="20"/>
        <v>0</v>
      </c>
      <c r="BB37" s="1080">
        <f>IF(AND(RACE=1,'Main Creation Page'!$E$6="Well",OR(ISNUMBER(FIND(Experience!$G$11,BE37)),ISNUMBER(FIND(Experience!$G$11,BF37)),ISNUMBER(FIND(Experience!$I$11,BE37)),ISNUMBER(FIND(Experience!$I$11,BF37)))),1,0)</f>
        <v>0</v>
      </c>
      <c r="BC37" s="1080" t="str">
        <f t="shared" si="8"/>
        <v>Riding:Donkey</v>
      </c>
      <c r="BD37" s="1080" t="s">
        <v>5678</v>
      </c>
      <c r="BE37" s="1080" t="str">
        <f t="shared" si="9"/>
        <v/>
      </c>
      <c r="BF37" s="1080" t="str">
        <f t="shared" si="10"/>
        <v>Animal Skills</v>
      </c>
    </row>
    <row r="38" spans="1:58" ht="11.1" customHeight="1" outlineLevel="2">
      <c r="A38" s="1028" t="s">
        <v>4155</v>
      </c>
      <c r="B38" s="1094"/>
      <c r="C38" s="1094"/>
      <c r="D38" s="1094"/>
      <c r="E38" s="1095" t="s">
        <v>5224</v>
      </c>
      <c r="F38" s="1095" t="s">
        <v>5224</v>
      </c>
      <c r="G38" s="1096">
        <v>0</v>
      </c>
      <c r="H38" s="1096" t="s">
        <v>5224</v>
      </c>
      <c r="I38" s="1096" t="s">
        <v>5224</v>
      </c>
      <c r="J38" s="1096" t="s">
        <v>5224</v>
      </c>
      <c r="K38" s="1096" t="s">
        <v>5224</v>
      </c>
      <c r="L38" s="1096" t="s">
        <v>5224</v>
      </c>
      <c r="M38" s="1096" t="s">
        <v>5224</v>
      </c>
      <c r="N38" s="1096" t="s">
        <v>4631</v>
      </c>
      <c r="O38" s="1097"/>
      <c r="P38" s="1097" t="s">
        <v>3611</v>
      </c>
      <c r="Q38" s="1097">
        <f t="shared" ca="1" si="45"/>
        <v>15</v>
      </c>
      <c r="R38" s="1097"/>
      <c r="S38" s="1028" t="s">
        <v>3613</v>
      </c>
      <c r="T38" s="1097">
        <f t="shared" ca="1" si="46"/>
        <v>15</v>
      </c>
      <c r="U38" s="1027">
        <v>4</v>
      </c>
      <c r="V38" s="1027">
        <f>IF(AP38+U38&gt;10,10,IF(AP38+U38&lt;1,1,AP38+U38))</f>
        <v>5</v>
      </c>
      <c r="W38" s="1098" t="e">
        <f>IF(OR(I38&lt;&gt;"N",E38="C"),IF(AND(N38&lt;&gt;"T",ISNUMBER(FIND("V",I38))),1,0),NA())+IF(H38="Y",IF(AND(N38="P",ISNUMBER(FIND("Z",I38))),2,1),0)+IF(J38="Y",1,0)+IF(K38="Y",3,0)+IF(BE38="Lore",L38*2+Experience!$D$25,0)+IF(M38="Y",1,0)</f>
        <v>#N/A</v>
      </c>
      <c r="X38" s="1099"/>
      <c r="Y38" s="1100">
        <f ca="1">IF(P38="NS",IFERROR(INDIRECT(S38),NA()),VLOOKUP(INDIRECT(P38)+INDIRECT(S38),'System Lookups'!$A$3:$D$146,2))</f>
        <v>0.06</v>
      </c>
      <c r="Z38" s="1100">
        <f>IF(ISNA(W38),0,W38*0.03)+IF(X38&gt;0,X38*0.03,0)+IF(AND(ISNA(W38),X38&lt;=0),0,IF(G38&gt;0,G38*0.07,0))</f>
        <v>0</v>
      </c>
      <c r="AA38" s="1101">
        <f ca="1">IF(ISNA(Y38),0,Y38)+Z38</f>
        <v>0.06</v>
      </c>
      <c r="AB38" s="1102">
        <f>VLOOKUP(V38,'System Lookups'!$J$55:$P$64,3)</f>
        <v>0.1</v>
      </c>
      <c r="AC38" s="1103">
        <f>VLOOKUP(V38,'System Lookups'!$J$55:$P$64,4)</f>
        <v>0.2</v>
      </c>
      <c r="AD38" s="1104">
        <f ca="1">IF(AND(ISBLANK(X38),ISNA(W38)),IF(B38="~",0,AB38+AA38+IF(BB38&gt;0,0.05,0)),AA38+AC38+IF(BB38&gt;0,0.05,0))</f>
        <v>0.16</v>
      </c>
      <c r="AE38" s="1094">
        <f ca="1">(IF(AD38&gt;VLOOKUP(V38,'System Lookups'!$J$55:$P$63,6),(((AD38-VLOOKUP(V38,'System Lookups'!$J$55:$P$63,6))*100)/20),0))+AF38</f>
        <v>0</v>
      </c>
      <c r="AF38" s="1094"/>
      <c r="AG38" s="1092">
        <f>IF(ISBLANK(X38),0,AQ38*X38+IF(ISNA(W38),1,0))</f>
        <v>0</v>
      </c>
      <c r="AH38" s="1092" t="str">
        <f>IF(X38&lt;=Experience!$R$15+1,"","*")</f>
        <v/>
      </c>
      <c r="AI38" s="1092"/>
      <c r="AJ38" s="1080">
        <f t="shared" si="47"/>
        <v>0</v>
      </c>
      <c r="AK38" s="1080">
        <f>IF(F38="s",-2,0)</f>
        <v>0</v>
      </c>
      <c r="AL38" s="1080">
        <f t="shared" si="48"/>
        <v>0</v>
      </c>
      <c r="AM38" s="1092">
        <f>IF(J38="y",1,0)</f>
        <v>0</v>
      </c>
      <c r="AN38" s="1080">
        <f>IF(N38="P",-1,IF(N38="T",1,0))</f>
        <v>1</v>
      </c>
      <c r="AO38" s="1080">
        <f t="shared" si="49"/>
        <v>0</v>
      </c>
      <c r="AP38" s="1080">
        <f>SUM(AJ38:AN38)-AM38</f>
        <v>1</v>
      </c>
      <c r="AQ38" s="1027">
        <f>VLOOKUP(V38,'System Lookups'!$J$55:$P$64,7)</f>
        <v>700</v>
      </c>
      <c r="AR38" s="1080" t="str">
        <f ca="1">IF(AND(NOT(ISBLANK(AJ38)),ISNA(MATCH(ROW(),'System Lookups'!$C$526:$C$539,0))),"Y","N")</f>
        <v>Y</v>
      </c>
      <c r="AS38" s="1080">
        <f>AG38-AI38</f>
        <v>0</v>
      </c>
      <c r="AU38" s="1080" t="e">
        <f t="shared" si="15"/>
        <v>#N/A</v>
      </c>
      <c r="AV38" s="1080" t="str">
        <f t="shared" si="7"/>
        <v>T</v>
      </c>
      <c r="AW38" s="1080">
        <f t="shared" si="16"/>
        <v>0</v>
      </c>
      <c r="AX38" s="1080">
        <f t="shared" si="17"/>
        <v>0</v>
      </c>
      <c r="AY38" s="1080">
        <f t="shared" si="18"/>
        <v>0</v>
      </c>
      <c r="AZ38" s="1080">
        <f t="shared" si="19"/>
        <v>0</v>
      </c>
      <c r="BA38" s="1080">
        <f t="shared" si="20"/>
        <v>0</v>
      </c>
      <c r="BB38" s="1080">
        <f>IF(AND(RACE=1,'Main Creation Page'!$E$6="Well",OR(ISNUMBER(FIND(Experience!$G$11,BE38)),ISNUMBER(FIND(Experience!$G$11,BF38)),ISNUMBER(FIND(Experience!$I$11,BE38)),ISNUMBER(FIND(Experience!$I$11,BF38)))),1,0)</f>
        <v>0</v>
      </c>
      <c r="BC38" s="1080" t="str">
        <f t="shared" si="8"/>
        <v>Riding:Exotic Animal</v>
      </c>
      <c r="BD38" s="1080" t="s">
        <v>5678</v>
      </c>
      <c r="BE38" s="1080" t="str">
        <f t="shared" si="9"/>
        <v/>
      </c>
      <c r="BF38" s="1080" t="str">
        <f t="shared" si="10"/>
        <v>Animal Skills</v>
      </c>
    </row>
    <row r="39" spans="1:58" ht="11.1" customHeight="1" outlineLevel="2">
      <c r="A39" s="1028" t="s">
        <v>4156</v>
      </c>
      <c r="B39" s="1094"/>
      <c r="C39" s="1094"/>
      <c r="D39" s="1094"/>
      <c r="E39" s="1095" t="s">
        <v>5224</v>
      </c>
      <c r="F39" s="1095" t="s">
        <v>5224</v>
      </c>
      <c r="G39" s="1096">
        <v>0</v>
      </c>
      <c r="H39" s="1096" t="s">
        <v>5224</v>
      </c>
      <c r="I39" s="1096" t="s">
        <v>4623</v>
      </c>
      <c r="J39" s="1096" t="s">
        <v>5224</v>
      </c>
      <c r="K39" s="1096" t="s">
        <v>5224</v>
      </c>
      <c r="L39" s="1096" t="s">
        <v>5224</v>
      </c>
      <c r="M39" s="1096" t="s">
        <v>5224</v>
      </c>
      <c r="N39" s="1096" t="s">
        <v>4631</v>
      </c>
      <c r="O39" s="1097"/>
      <c r="P39" s="1097" t="s">
        <v>3611</v>
      </c>
      <c r="Q39" s="1097">
        <f t="shared" ca="1" si="45"/>
        <v>15</v>
      </c>
      <c r="R39" s="1097"/>
      <c r="S39" s="1028" t="s">
        <v>3613</v>
      </c>
      <c r="T39" s="1097">
        <f t="shared" ca="1" si="46"/>
        <v>15</v>
      </c>
      <c r="U39" s="1027">
        <v>3</v>
      </c>
      <c r="V39" s="1027">
        <f>IF(AP39+U39&gt;10,10,IF(AP39+U39&lt;1,1,AP39+U39))</f>
        <v>4</v>
      </c>
      <c r="W39" s="1098">
        <f>IF(OR(I39&lt;&gt;"N",E39="C"),IF(AND(N39&lt;&gt;"T",ISNUMBER(FIND("V",I39))),1,0),NA())+IF(H39="Y",IF(AND(N39="P",ISNUMBER(FIND("Z",I39))),2,1),0)+IF(J39="Y",1,0)+IF(K39="Y",3,0)+IF(BE39="Lore",L39*2+Experience!$D$25,0)+IF(M39="Y",1,0)</f>
        <v>0</v>
      </c>
      <c r="X39" s="1099"/>
      <c r="Y39" s="1100">
        <f ca="1">IF(P39="NS",IFERROR(INDIRECT(S39),NA()),VLOOKUP(INDIRECT(P39)+INDIRECT(S39),'System Lookups'!$A$3:$D$146,2))</f>
        <v>0.06</v>
      </c>
      <c r="Z39" s="1100">
        <f>IF(ISNA(W39),0,W39*0.03)+IF(X39&gt;0,X39*0.03,0)+IF(AND(ISNA(W39),X39&lt;=0),0,IF(G39&gt;0,G39*0.07,0))</f>
        <v>0</v>
      </c>
      <c r="AA39" s="1101">
        <f ca="1">IF(ISNA(Y39),0,Y39)+Z39</f>
        <v>0.06</v>
      </c>
      <c r="AB39" s="1102">
        <f>VLOOKUP(V39,'System Lookups'!$J$55:$P$64,3)</f>
        <v>0.2</v>
      </c>
      <c r="AC39" s="1103">
        <f>VLOOKUP(V39,'System Lookups'!$J$55:$P$64,4)</f>
        <v>0.3</v>
      </c>
      <c r="AD39" s="1104">
        <f ca="1">IF(AND(ISBLANK(X39),ISNA(W39)),IF(B39="~",0,AB39+AA39+IF(BB39&gt;0,0.05,0)),AA39+AC39+IF(BB39&gt;0,0.05,0))</f>
        <v>0.36</v>
      </c>
      <c r="AE39" s="1094">
        <f ca="1">(IF(AD39&gt;VLOOKUP(V39,'System Lookups'!$J$55:$P$63,6),(((AD39-VLOOKUP(V39,'System Lookups'!$J$55:$P$63,6))*100)/20),0))+AF39</f>
        <v>0</v>
      </c>
      <c r="AF39" s="1094"/>
      <c r="AG39" s="1092">
        <f>IF(ISBLANK(X39),0,AQ39*X39+IF(ISNA(W39),1,0))</f>
        <v>0</v>
      </c>
      <c r="AH39" s="1092" t="str">
        <f>IF(X39&lt;=Experience!$R$15+1,"","*")</f>
        <v/>
      </c>
      <c r="AI39" s="1092"/>
      <c r="AJ39" s="1080">
        <f t="shared" si="47"/>
        <v>0</v>
      </c>
      <c r="AK39" s="1080">
        <f>IF(F39="s",-2,0)</f>
        <v>0</v>
      </c>
      <c r="AL39" s="1080">
        <f t="shared" si="48"/>
        <v>0</v>
      </c>
      <c r="AM39" s="1092">
        <f>IF(J39="y",1,0)</f>
        <v>0</v>
      </c>
      <c r="AN39" s="1080">
        <f>IF(N39="P",-1,IF(N39="T",1,0))</f>
        <v>1</v>
      </c>
      <c r="AO39" s="1080">
        <f t="shared" si="49"/>
        <v>0</v>
      </c>
      <c r="AP39" s="1080">
        <f>SUM(AJ39:AN39)-AM39</f>
        <v>1</v>
      </c>
      <c r="AQ39" s="1027">
        <f>VLOOKUP(V39,'System Lookups'!$J$55:$P$64,7)</f>
        <v>600</v>
      </c>
      <c r="AR39" s="1080" t="str">
        <f ca="1">IF(AND(NOT(ISBLANK(AJ39)),ISNA(MATCH(ROW(),'System Lookups'!$C$526:$C$539,0))),"Y","N")</f>
        <v>Y</v>
      </c>
      <c r="AS39" s="1080">
        <f>AG39-AI39</f>
        <v>0</v>
      </c>
      <c r="AU39" s="1080">
        <f t="shared" si="15"/>
        <v>0</v>
      </c>
      <c r="AV39" s="1080" t="str">
        <f t="shared" si="7"/>
        <v>TBk</v>
      </c>
      <c r="AW39" s="1080">
        <f t="shared" si="16"/>
        <v>1</v>
      </c>
      <c r="AX39" s="1080">
        <f t="shared" si="17"/>
        <v>0</v>
      </c>
      <c r="AY39" s="1080">
        <f t="shared" si="18"/>
        <v>0</v>
      </c>
      <c r="AZ39" s="1080">
        <f t="shared" si="19"/>
        <v>0</v>
      </c>
      <c r="BA39" s="1080">
        <f t="shared" si="20"/>
        <v>0</v>
      </c>
      <c r="BB39" s="1080">
        <f>IF(AND(RACE=1,'Main Creation Page'!$E$6="Well",OR(ISNUMBER(FIND(Experience!$G$11,BE39)),ISNUMBER(FIND(Experience!$G$11,BF39)),ISNUMBER(FIND(Experience!$I$11,BE39)),ISNUMBER(FIND(Experience!$I$11,BF39)))),1,0)</f>
        <v>0</v>
      </c>
      <c r="BC39" s="1080" t="str">
        <f t="shared" si="8"/>
        <v>Riding:Horse, Pony, Mule</v>
      </c>
      <c r="BD39" s="1080" t="s">
        <v>5678</v>
      </c>
      <c r="BE39" s="1080" t="str">
        <f t="shared" si="9"/>
        <v/>
      </c>
      <c r="BF39" s="1080" t="str">
        <f t="shared" si="10"/>
        <v>Animal Skills</v>
      </c>
    </row>
    <row r="40" spans="1:58" ht="11.1" customHeight="1" outlineLevel="2">
      <c r="A40" s="1028" t="s">
        <v>758</v>
      </c>
      <c r="B40" s="1094"/>
      <c r="C40" s="1094"/>
      <c r="D40" s="1094"/>
      <c r="E40" s="1095" t="s">
        <v>5224</v>
      </c>
      <c r="F40" s="1095" t="s">
        <v>5224</v>
      </c>
      <c r="G40" s="1096">
        <v>0</v>
      </c>
      <c r="H40" s="1096" t="s">
        <v>5224</v>
      </c>
      <c r="I40" s="1096" t="s">
        <v>5224</v>
      </c>
      <c r="J40" s="1096" t="s">
        <v>5224</v>
      </c>
      <c r="K40" s="1096" t="s">
        <v>5224</v>
      </c>
      <c r="L40" s="1096" t="s">
        <v>5224</v>
      </c>
      <c r="M40" s="1096" t="s">
        <v>5224</v>
      </c>
      <c r="N40" s="1096" t="s">
        <v>4631</v>
      </c>
      <c r="O40" s="1097"/>
      <c r="P40" s="1097" t="s">
        <v>3611</v>
      </c>
      <c r="Q40" s="1097">
        <f t="shared" ca="1" si="45"/>
        <v>15</v>
      </c>
      <c r="R40" s="1097"/>
      <c r="S40" s="1028" t="s">
        <v>3613</v>
      </c>
      <c r="T40" s="1097">
        <f t="shared" ca="1" si="46"/>
        <v>15</v>
      </c>
      <c r="U40" s="1027">
        <v>4</v>
      </c>
      <c r="V40" s="1027">
        <f>IF(AP40+U40&gt;10,10,IF(AP40+U40&lt;1,1,AP40+U40))</f>
        <v>5</v>
      </c>
      <c r="W40" s="1098" t="e">
        <f>IF(OR(I40&lt;&gt;"N",E40="C"),IF(AND(N40&lt;&gt;"T",ISNUMBER(FIND("V",I40))),1,0),NA())+IF(H40="Y",IF(AND(N40="P",ISNUMBER(FIND("Z",I40))),2,1),0)+IF(J40="Y",1,0)+IF(K40="Y",3,0)+IF(BE40="Lore",L40*2+Experience!$D$25,0)+IF(M40="Y",1,0)</f>
        <v>#N/A</v>
      </c>
      <c r="X40" s="1099"/>
      <c r="Y40" s="1100">
        <f ca="1">IF(P40="NS",IFERROR(INDIRECT(S40),NA()),VLOOKUP(INDIRECT(P40)+INDIRECT(S40),'System Lookups'!$A$3:$D$146,2))</f>
        <v>0.06</v>
      </c>
      <c r="Z40" s="1100">
        <f>IF(ISNA(W40),0,W40*0.03)+IF(X40&gt;0,X40*0.03,0)+IF(AND(ISNA(W40),X40&lt;=0),0,IF(G40&gt;0,G40*0.07,0))</f>
        <v>0</v>
      </c>
      <c r="AA40" s="1101">
        <f ca="1">IF(ISNA(Y40),0,Y40)+Z40</f>
        <v>0.06</v>
      </c>
      <c r="AB40" s="1102">
        <f>VLOOKUP(V40,'System Lookups'!$J$55:$P$64,3)</f>
        <v>0.1</v>
      </c>
      <c r="AC40" s="1103">
        <f>VLOOKUP(V40,'System Lookups'!$J$55:$P$64,4)</f>
        <v>0.2</v>
      </c>
      <c r="AD40" s="1104">
        <f ca="1">IF(AND(ISBLANK(X40),ISNA(W40)),IF(B40="~",0,AB40+AA40+IF(BB40&gt;0,0.05,0)),AA40+AC40+IF(BB40&gt;0,0.05,0))</f>
        <v>0.16</v>
      </c>
      <c r="AE40" s="1094">
        <f ca="1">(IF(AD40&gt;VLOOKUP(V40,'System Lookups'!$J$55:$P$63,6),(((AD40-VLOOKUP(V40,'System Lookups'!$J$55:$P$63,6))*100)/20),0))+AF40</f>
        <v>0</v>
      </c>
      <c r="AF40" s="1094"/>
      <c r="AG40" s="1092">
        <f>IF(ISBLANK(X40),0,AQ40*X40+IF(ISNA(W40),1,0))</f>
        <v>0</v>
      </c>
      <c r="AH40" s="1092" t="str">
        <f>IF(X40&lt;=Experience!$R$15+1,"","*")</f>
        <v/>
      </c>
      <c r="AI40" s="1092"/>
      <c r="AJ40" s="1080">
        <f t="shared" si="47"/>
        <v>0</v>
      </c>
      <c r="AK40" s="1080">
        <f>IF(F40="s",-2,0)</f>
        <v>0</v>
      </c>
      <c r="AL40" s="1080">
        <f t="shared" si="48"/>
        <v>0</v>
      </c>
      <c r="AM40" s="1092">
        <f>IF(J40="y",1,0)</f>
        <v>0</v>
      </c>
      <c r="AN40" s="1080">
        <f>IF(N40="P",-1,IF(N40="T",1,0))</f>
        <v>1</v>
      </c>
      <c r="AO40" s="1080">
        <f t="shared" si="49"/>
        <v>0</v>
      </c>
      <c r="AP40" s="1080">
        <f>SUM(AJ40:AN40)-AM40</f>
        <v>1</v>
      </c>
      <c r="AQ40" s="1027">
        <f>VLOOKUP(V40,'System Lookups'!$J$55:$P$64,7)</f>
        <v>700</v>
      </c>
      <c r="AR40" s="1080" t="str">
        <f ca="1">IF(AND(NOT(ISBLANK(AJ40)),ISNA(MATCH(ROW(),'System Lookups'!$C$526:$C$539,0))),"Y","N")</f>
        <v>Y</v>
      </c>
      <c r="AS40" s="1080">
        <f>AG40-AI40</f>
        <v>0</v>
      </c>
      <c r="AU40" s="1080" t="e">
        <f t="shared" si="15"/>
        <v>#N/A</v>
      </c>
      <c r="AV40" s="1080" t="str">
        <f t="shared" si="7"/>
        <v>T</v>
      </c>
      <c r="AW40" s="1080">
        <f t="shared" si="16"/>
        <v>0</v>
      </c>
      <c r="AX40" s="1080">
        <f t="shared" si="17"/>
        <v>0</v>
      </c>
      <c r="AY40" s="1080">
        <f t="shared" si="18"/>
        <v>0</v>
      </c>
      <c r="AZ40" s="1080">
        <f t="shared" si="19"/>
        <v>0</v>
      </c>
      <c r="BA40" s="1080">
        <f t="shared" si="20"/>
        <v>0</v>
      </c>
      <c r="BB40" s="1080">
        <f>IF(AND(RACE=1,'Main Creation Page'!$E$6="Well",OR(ISNUMBER(FIND(Experience!$G$11,BE40)),ISNUMBER(FIND(Experience!$G$11,BF40)),ISNUMBER(FIND(Experience!$I$11,BE40)),ISNUMBER(FIND(Experience!$I$11,BF40)))),1,0)</f>
        <v>0</v>
      </c>
      <c r="BC40" s="1080" t="str">
        <f t="shared" si="8"/>
        <v>Riding:Mythic/Legendary Beast</v>
      </c>
      <c r="BD40" s="1080" t="s">
        <v>5678</v>
      </c>
      <c r="BE40" s="1080" t="str">
        <f t="shared" si="9"/>
        <v/>
      </c>
      <c r="BF40" s="1080" t="str">
        <f t="shared" si="10"/>
        <v>Animal Skills</v>
      </c>
    </row>
    <row r="41" spans="1:58" ht="15" customHeight="1" outlineLevel="1">
      <c r="A41" s="1115" t="s">
        <v>1245</v>
      </c>
      <c r="B41" s="1116"/>
      <c r="C41" s="1116"/>
      <c r="D41" s="1116"/>
      <c r="F41" s="1027"/>
      <c r="G41" s="1027"/>
      <c r="H41" s="1027"/>
      <c r="I41" s="1027"/>
      <c r="J41" s="1027"/>
      <c r="K41" s="1027"/>
      <c r="L41" s="1027"/>
      <c r="M41" s="1027"/>
      <c r="N41" s="1027"/>
      <c r="O41" s="1097"/>
      <c r="P41" s="2597" t="s">
        <v>4891</v>
      </c>
      <c r="Q41" s="2598"/>
      <c r="R41" s="2598"/>
      <c r="S41" s="2598"/>
      <c r="T41" s="2598"/>
      <c r="U41" s="1027"/>
      <c r="V41" s="1027"/>
      <c r="W41" s="1112"/>
      <c r="X41" s="1092"/>
      <c r="AE41" s="1094"/>
      <c r="AF41" s="1094"/>
      <c r="AG41" s="1092"/>
      <c r="AH41" s="1092"/>
      <c r="AI41" s="1092"/>
      <c r="AM41" s="1092"/>
      <c r="AR41" s="1080" t="str">
        <f ca="1">IF(AND(NOT(ISBLANK(AJ41)),ISNA(MATCH(ROW(),'System Lookups'!$C$526:$C$539,0))),"Y","N")</f>
        <v>N</v>
      </c>
      <c r="AU41" s="1080" t="e">
        <f t="shared" si="15"/>
        <v>#N/A</v>
      </c>
      <c r="AV41" s="1080" t="str">
        <f t="shared" si="7"/>
        <v/>
      </c>
      <c r="AW41" s="1080">
        <f t="shared" si="16"/>
        <v>0</v>
      </c>
      <c r="AX41" s="1080">
        <f t="shared" si="17"/>
        <v>0</v>
      </c>
      <c r="AY41" s="1080">
        <f t="shared" si="18"/>
        <v>0</v>
      </c>
      <c r="AZ41" s="1080">
        <f t="shared" si="19"/>
        <v>0</v>
      </c>
      <c r="BA41" s="1080">
        <f t="shared" si="20"/>
        <v>0</v>
      </c>
      <c r="BB41" s="1080">
        <f>IF(AND(RACE=1,'Main Creation Page'!$E$6="Well",OR(ISNUMBER(FIND(Experience!$G$11,BE41)),ISNUMBER(FIND(Experience!$G$11,BF41)),ISNUMBER(FIND(Experience!$I$11,BE41)),ISNUMBER(FIND(Experience!$I$11,BF41)))),1,0)</f>
        <v>0</v>
      </c>
      <c r="BC41" s="1080" t="e">
        <f t="shared" si="8"/>
        <v>#N/A</v>
      </c>
      <c r="BD41" s="1080" t="s">
        <v>5679</v>
      </c>
      <c r="BE41" s="1080" t="str">
        <f t="shared" si="9"/>
        <v/>
      </c>
      <c r="BF41" s="1080" t="str">
        <f t="shared" si="10"/>
        <v>Animal Skills</v>
      </c>
    </row>
    <row r="42" spans="1:58" ht="11.1" customHeight="1" outlineLevel="2">
      <c r="A42" s="1028" t="s">
        <v>1783</v>
      </c>
      <c r="B42" s="1094" t="s">
        <v>1942</v>
      </c>
      <c r="C42" s="1094" t="s">
        <v>4629</v>
      </c>
      <c r="D42" s="1094"/>
      <c r="E42" s="1095" t="s">
        <v>5224</v>
      </c>
      <c r="F42" s="1095" t="s">
        <v>5224</v>
      </c>
      <c r="G42" s="1096">
        <v>0</v>
      </c>
      <c r="H42" s="1096" t="s">
        <v>5224</v>
      </c>
      <c r="I42" s="1096" t="s">
        <v>5224</v>
      </c>
      <c r="J42" s="1096" t="s">
        <v>5224</v>
      </c>
      <c r="K42" s="1096" t="s">
        <v>5224</v>
      </c>
      <c r="L42" s="1096" t="s">
        <v>5224</v>
      </c>
      <c r="M42" s="1096" t="s">
        <v>5224</v>
      </c>
      <c r="N42" s="1096" t="s">
        <v>4631</v>
      </c>
      <c r="O42" s="1097"/>
      <c r="P42" s="1097" t="s">
        <v>3612</v>
      </c>
      <c r="Q42" s="1097">
        <f t="shared" ref="Q42:Q46" ca="1" si="50">INDIRECT(P42)</f>
        <v>10</v>
      </c>
      <c r="R42" s="1097"/>
      <c r="S42" s="1028" t="s">
        <v>3613</v>
      </c>
      <c r="T42" s="1097">
        <f t="shared" ref="T42:T46" ca="1" si="51">INDIRECT(S42)</f>
        <v>15</v>
      </c>
      <c r="U42" s="1027">
        <v>3</v>
      </c>
      <c r="V42" s="1027">
        <f>IF(AP42+U42&gt;10,10,IF(AP42+U42&lt;1,1,AP42+U42))</f>
        <v>4</v>
      </c>
      <c r="W42" s="1098" t="e">
        <f>IF(OR(I42&lt;&gt;"N",E42="C"),IF(AND(N42&lt;&gt;"T",ISNUMBER(FIND("V",I42))),1,0),NA())+IF(H42="Y",IF(AND(N42="P",ISNUMBER(FIND("Z",I42))),2,1),0)+IF(J42="Y",1,0)+IF(K42="Y",3,0)+IF(BE42="Lore",L42*2+Experience!$D$25,0)+IF(M42="Y",1,0)</f>
        <v>#N/A</v>
      </c>
      <c r="X42" s="1099"/>
      <c r="Y42" s="1100">
        <f ca="1">IF(P42="NS",IFERROR(INDIRECT(S42),NA()),VLOOKUP(INDIRECT(P42)+INDIRECT(S42),'System Lookups'!$A$3:$D$146,2))</f>
        <v>0.02</v>
      </c>
      <c r="Z42" s="1100">
        <f>IF(ISNA(W42),0,W42*0.03)+IF(X42&gt;0,X42*0.03,0)+IF(AND(ISNA(W42),X42&lt;=0),0,IF(G42&gt;0,G42*0.07,0))</f>
        <v>0</v>
      </c>
      <c r="AA42" s="1101">
        <f ca="1">IF(ISNA(Y42),0,Y42)+Z42+IF(AD349&lt;1,IF(AD349&lt;0.8,IF(AD349&lt;0.66,IF(AD349&lt;0.51,0,0.05),0.1),0.15),0.2)</f>
        <v>0.02</v>
      </c>
      <c r="AB42" s="1102">
        <f>VLOOKUP(V42,'System Lookups'!$J$55:$P$64,3)</f>
        <v>0.2</v>
      </c>
      <c r="AC42" s="1103">
        <f>VLOOKUP(V42,'System Lookups'!$J$55:$P$64,4)</f>
        <v>0.3</v>
      </c>
      <c r="AD42" s="1104">
        <f>IF(AND(ISBLANK(X42),ISNA(W42)),IF(B42="~",0,AB42+AA42+IF(BB42&gt;0,0.05,0)),AA42+AC42+IF(BB42&gt;0,0.05,0))</f>
        <v>0</v>
      </c>
      <c r="AE42" s="1094">
        <f>(IF(AD42&gt;VLOOKUP(V42,'System Lookups'!$J$55:$P$63,6),(((AD42-VLOOKUP(V42,'System Lookups'!$J$55:$P$63,6))*100)/20),0))+AF42</f>
        <v>0</v>
      </c>
      <c r="AF42" s="1094"/>
      <c r="AG42" s="1092">
        <f>IF(ISBLANK(X42),0,AQ42*X42+IF(ISNA(W42),1,0))</f>
        <v>0</v>
      </c>
      <c r="AH42" s="1092" t="str">
        <f>IF(X42&lt;=Experience!$R$15+1,"","*")</f>
        <v/>
      </c>
      <c r="AI42" s="1092"/>
      <c r="AJ42" s="1080">
        <f t="shared" ref="AJ42:AJ46" si="52">IF(ISNUMBER(FIND("R",F42)),-1,0)</f>
        <v>0</v>
      </c>
      <c r="AK42" s="1080">
        <f>IF(F42="s",-2,0)</f>
        <v>0</v>
      </c>
      <c r="AL42" s="1080">
        <f t="shared" ref="AL42:AL46" si="53">IF(AND(H42="Y",OR(N42="P",N42="S")),-1,0)</f>
        <v>0</v>
      </c>
      <c r="AM42" s="1092">
        <f>IF(J42="y",1,0)</f>
        <v>0</v>
      </c>
      <c r="AN42" s="1080">
        <f>IF(N42="P",-1,IF(N42="T",1,0))</f>
        <v>1</v>
      </c>
      <c r="AO42" s="1080">
        <f t="shared" ref="AO42:AO46" si="54">IF(ISNUMBER(FIND("Z",I42)),1,0)</f>
        <v>0</v>
      </c>
      <c r="AP42" s="1080">
        <f>SUM(AJ42:AN42)-AM42</f>
        <v>1</v>
      </c>
      <c r="AQ42" s="1027">
        <f>VLOOKUP(V42,'System Lookups'!$J$55:$P$64,7)</f>
        <v>600</v>
      </c>
      <c r="AR42" s="1080" t="str">
        <f ca="1">IF(AND(NOT(ISBLANK(AJ42)),ISNA(MATCH(ROW(),'System Lookups'!$C$526:$C$539,0))),"Y","N")</f>
        <v>Y</v>
      </c>
      <c r="AS42" s="1080">
        <f>AG42-AI42</f>
        <v>0</v>
      </c>
      <c r="AU42" s="1080" t="e">
        <f t="shared" si="15"/>
        <v>#N/A</v>
      </c>
      <c r="AV42" s="1080" t="str">
        <f t="shared" si="7"/>
        <v>T</v>
      </c>
      <c r="AW42" s="1080">
        <f t="shared" si="16"/>
        <v>0</v>
      </c>
      <c r="AX42" s="1080">
        <f t="shared" si="17"/>
        <v>0</v>
      </c>
      <c r="AY42" s="1080">
        <f t="shared" si="18"/>
        <v>0</v>
      </c>
      <c r="AZ42" s="1080">
        <f t="shared" si="19"/>
        <v>0</v>
      </c>
      <c r="BA42" s="1080">
        <f t="shared" si="20"/>
        <v>0</v>
      </c>
      <c r="BB42" s="1080">
        <f>IF(AND(RACE=1,'Main Creation Page'!$E$6="Well",OR(ISNUMBER(FIND(Experience!$G$11,BE42)),ISNUMBER(FIND(Experience!$G$11,BF42)),ISNUMBER(FIND(Experience!$I$11,BE42)),ISNUMBER(FIND(Experience!$I$11,BF42)))),1,0)</f>
        <v>0</v>
      </c>
      <c r="BC42" s="1080" t="str">
        <f t="shared" si="8"/>
        <v>Training:Birds of Prey</v>
      </c>
      <c r="BD42" s="1080" t="s">
        <v>5679</v>
      </c>
      <c r="BE42" s="1080" t="str">
        <f t="shared" si="9"/>
        <v/>
      </c>
      <c r="BF42" s="1080" t="str">
        <f t="shared" si="10"/>
        <v>Animal Skills</v>
      </c>
    </row>
    <row r="43" spans="1:58" ht="11.1" customHeight="1" outlineLevel="2">
      <c r="A43" s="1028" t="s">
        <v>5293</v>
      </c>
      <c r="B43" s="1094" t="s">
        <v>1942</v>
      </c>
      <c r="C43" s="1094" t="s">
        <v>4629</v>
      </c>
      <c r="D43" s="1094"/>
      <c r="E43" s="1095" t="s">
        <v>5224</v>
      </c>
      <c r="F43" s="1095" t="s">
        <v>5224</v>
      </c>
      <c r="G43" s="1096">
        <v>0</v>
      </c>
      <c r="H43" s="1096" t="s">
        <v>5224</v>
      </c>
      <c r="I43" s="1096" t="s">
        <v>5224</v>
      </c>
      <c r="J43" s="1096" t="s">
        <v>5224</v>
      </c>
      <c r="K43" s="1096" t="s">
        <v>5224</v>
      </c>
      <c r="L43" s="1096" t="s">
        <v>5224</v>
      </c>
      <c r="M43" s="1096" t="s">
        <v>5224</v>
      </c>
      <c r="N43" s="1096" t="s">
        <v>4631</v>
      </c>
      <c r="O43" s="1097"/>
      <c r="P43" s="1097" t="s">
        <v>3612</v>
      </c>
      <c r="Q43" s="1097">
        <f t="shared" ca="1" si="50"/>
        <v>10</v>
      </c>
      <c r="R43" s="1097"/>
      <c r="S43" s="1028" t="s">
        <v>3613</v>
      </c>
      <c r="T43" s="1097">
        <f t="shared" ca="1" si="51"/>
        <v>15</v>
      </c>
      <c r="U43" s="1027">
        <v>3</v>
      </c>
      <c r="V43" s="1027">
        <f>IF(AP43+U43&gt;10,10,IF(AP43+U43&lt;1,1,AP43+U43))</f>
        <v>4</v>
      </c>
      <c r="W43" s="1098" t="e">
        <f>IF(OR(I43&lt;&gt;"N",E43="C"),IF(AND(N43&lt;&gt;"T",ISNUMBER(FIND("V",I43))),1,0),NA())+IF(H43="Y",IF(AND(N43="P",ISNUMBER(FIND("Z",I43))),2,1),0)+IF(J43="Y",1,0)+IF(K43="Y",3,0)+IF(BE43="Lore",L43*2+Experience!$D$25,0)+IF(M43="Y",1,0)</f>
        <v>#N/A</v>
      </c>
      <c r="X43" s="1099"/>
      <c r="Y43" s="1100">
        <f ca="1">IF(P43="NS",IFERROR(INDIRECT(S43),NA()),VLOOKUP(INDIRECT(P43)+INDIRECT(S43),'System Lookups'!$A$3:$D$146,2))</f>
        <v>0.02</v>
      </c>
      <c r="Z43" s="1100">
        <f>IF(ISNA(W43),0,W43*0.03)+IF(X43&gt;0,X43*0.03,0)+IF(AND(ISNA(W43),X43&lt;=0),0,IF(G43&gt;0,G43*0.07,0))</f>
        <v>0</v>
      </c>
      <c r="AA43" s="1101">
        <f ca="1">IF(ISNA(Y43),0,Y43)+Z43+IF(AD355&lt;1,IF(AD355&lt;0.8,IF(AD355&lt;0.66,IF(AD355&lt;0.51,0,0.05),0.1),0.15),0.2)</f>
        <v>0.02</v>
      </c>
      <c r="AB43" s="1102">
        <f>VLOOKUP(V43,'System Lookups'!$J$55:$P$64,3)</f>
        <v>0.2</v>
      </c>
      <c r="AC43" s="1103">
        <f>VLOOKUP(V43,'System Lookups'!$J$55:$P$64,4)</f>
        <v>0.3</v>
      </c>
      <c r="AD43" s="1104">
        <f>IF(AND(ISBLANK(X43),ISNA(W43)),IF(B43="~",0,AB43+AA43+IF(BB43&gt;0,0.05,0)),AA43+AC43+IF(BB43&gt;0,0.05,0))</f>
        <v>0</v>
      </c>
      <c r="AE43" s="1094">
        <f>(IF(AD43&gt;VLOOKUP(V43,'System Lookups'!$J$55:$P$63,6),(((AD43-VLOOKUP(V43,'System Lookups'!$J$55:$P$63,6))*100)/20),0))+AF43</f>
        <v>0</v>
      </c>
      <c r="AF43" s="1094"/>
      <c r="AG43" s="1092">
        <f>IF(ISBLANK(X43),0,AQ43*X43+IF(ISNA(W43),1,0))</f>
        <v>0</v>
      </c>
      <c r="AH43" s="1092" t="str">
        <f>IF(X43&lt;=Experience!$R$15+1,"","*")</f>
        <v/>
      </c>
      <c r="AI43" s="1092"/>
      <c r="AJ43" s="1080">
        <f t="shared" si="52"/>
        <v>0</v>
      </c>
      <c r="AK43" s="1080">
        <f>IF(F43="s",-2,0)</f>
        <v>0</v>
      </c>
      <c r="AL43" s="1080">
        <f t="shared" si="53"/>
        <v>0</v>
      </c>
      <c r="AM43" s="1092">
        <f>IF(J43="y",1,0)</f>
        <v>0</v>
      </c>
      <c r="AN43" s="1080">
        <f>IF(N43="P",-1,IF(N43="T",1,0))</f>
        <v>1</v>
      </c>
      <c r="AO43" s="1080">
        <f t="shared" si="54"/>
        <v>0</v>
      </c>
      <c r="AP43" s="1080">
        <f>SUM(AJ43:AN43)-AM43</f>
        <v>1</v>
      </c>
      <c r="AQ43" s="1027">
        <f>VLOOKUP(V43,'System Lookups'!$J$55:$P$64,7)</f>
        <v>600</v>
      </c>
      <c r="AR43" s="1080" t="str">
        <f ca="1">IF(AND(NOT(ISBLANK(AJ43)),ISNA(MATCH(ROW(),'System Lookups'!$C$526:$C$539,0))),"Y","N")</f>
        <v>Y</v>
      </c>
      <c r="AS43" s="1080">
        <f>AG43-AI43</f>
        <v>0</v>
      </c>
      <c r="AU43" s="1080" t="e">
        <f t="shared" si="15"/>
        <v>#N/A</v>
      </c>
      <c r="AV43" s="1080" t="str">
        <f t="shared" si="7"/>
        <v>T</v>
      </c>
      <c r="AW43" s="1080">
        <f t="shared" si="16"/>
        <v>0</v>
      </c>
      <c r="AX43" s="1080">
        <f t="shared" si="17"/>
        <v>0</v>
      </c>
      <c r="AY43" s="1080">
        <f t="shared" si="18"/>
        <v>0</v>
      </c>
      <c r="AZ43" s="1080">
        <f t="shared" si="19"/>
        <v>0</v>
      </c>
      <c r="BA43" s="1080">
        <f t="shared" si="20"/>
        <v>0</v>
      </c>
      <c r="BB43" s="1080">
        <f>IF(AND(RACE=1,'Main Creation Page'!$E$6="Well",OR(ISNUMBER(FIND(Experience!$G$11,BE43)),ISNUMBER(FIND(Experience!$G$11,BF43)),ISNUMBER(FIND(Experience!$I$11,BE43)),ISNUMBER(FIND(Experience!$I$11,BF43)))),1,0)</f>
        <v>0</v>
      </c>
      <c r="BC43" s="1080" t="str">
        <f t="shared" si="8"/>
        <v>Training:Draft &amp; Pack Animals</v>
      </c>
      <c r="BD43" s="1080" t="s">
        <v>5679</v>
      </c>
      <c r="BE43" s="1080" t="str">
        <f t="shared" si="9"/>
        <v/>
      </c>
      <c r="BF43" s="1080" t="str">
        <f t="shared" si="10"/>
        <v>Animal Skills</v>
      </c>
    </row>
    <row r="44" spans="1:58" ht="11.1" customHeight="1" outlineLevel="2">
      <c r="A44" s="1028" t="s">
        <v>1781</v>
      </c>
      <c r="B44" s="1094" t="s">
        <v>1942</v>
      </c>
      <c r="C44" s="1094" t="s">
        <v>4629</v>
      </c>
      <c r="D44" s="1094"/>
      <c r="E44" s="1095" t="s">
        <v>5224</v>
      </c>
      <c r="F44" s="1095" t="s">
        <v>5224</v>
      </c>
      <c r="G44" s="1096">
        <v>0</v>
      </c>
      <c r="H44" s="1096" t="s">
        <v>5224</v>
      </c>
      <c r="I44" s="1096" t="s">
        <v>5224</v>
      </c>
      <c r="J44" s="1096" t="s">
        <v>5224</v>
      </c>
      <c r="K44" s="1096" t="s">
        <v>5224</v>
      </c>
      <c r="L44" s="1096" t="s">
        <v>5224</v>
      </c>
      <c r="M44" s="1096" t="s">
        <v>5224</v>
      </c>
      <c r="N44" s="1096" t="s">
        <v>4631</v>
      </c>
      <c r="O44" s="1097"/>
      <c r="P44" s="1097" t="s">
        <v>3612</v>
      </c>
      <c r="Q44" s="1097">
        <f t="shared" ca="1" si="50"/>
        <v>10</v>
      </c>
      <c r="R44" s="1097"/>
      <c r="S44" s="1028" t="s">
        <v>3613</v>
      </c>
      <c r="T44" s="1097">
        <f t="shared" ca="1" si="51"/>
        <v>15</v>
      </c>
      <c r="U44" s="1027">
        <v>3</v>
      </c>
      <c r="V44" s="1027">
        <f>IF(AP44+U44&gt;10,10,IF(AP44+U44&lt;1,1,AP44+U44))</f>
        <v>4</v>
      </c>
      <c r="W44" s="1098" t="e">
        <f>IF(OR(I44&lt;&gt;"N",E44="C"),IF(AND(N44&lt;&gt;"T",ISNUMBER(FIND("V",I44))),1,0),NA())+IF(H44="Y",IF(AND(N44="P",ISNUMBER(FIND("Z",I44))),2,1),0)+IF(J44="Y",1,0)+IF(K44="Y",3,0)+IF(BE44="Lore",L44*2+Experience!$D$25,0)+IF(M44="Y",1,0)</f>
        <v>#N/A</v>
      </c>
      <c r="X44" s="1099"/>
      <c r="Y44" s="1100">
        <f ca="1">IF(P44="NS",IFERROR(INDIRECT(S44),NA()),VLOOKUP(INDIRECT(P44)+INDIRECT(S44),'System Lookups'!$A$3:$D$146,2))</f>
        <v>0.02</v>
      </c>
      <c r="Z44" s="1100">
        <f>IF(ISNA(W44),0,W44*0.03)+IF(X44&gt;0,X44*0.03,0)+IF(AND(ISNA(W44),X44&lt;=0),0,IF(G44&gt;0,G44*0.07,0))</f>
        <v>0</v>
      </c>
      <c r="AA44" s="1101">
        <f ca="1">IF(ISNA(Y44),0,Y44)+Z44</f>
        <v>0.02</v>
      </c>
      <c r="AB44" s="1102">
        <f>VLOOKUP(V44,'System Lookups'!$J$55:$P$64,3)</f>
        <v>0.2</v>
      </c>
      <c r="AC44" s="1103">
        <f>VLOOKUP(V44,'System Lookups'!$J$55:$P$64,4)</f>
        <v>0.3</v>
      </c>
      <c r="AD44" s="1104">
        <f>IF(AND(ISBLANK(X44),ISNA(W44)),IF(B44="~",0,AB44+AA44+IF(BB44&gt;0,0.05,0)),AA44+AC44+IF(BB44&gt;0,0.05,0))</f>
        <v>0</v>
      </c>
      <c r="AE44" s="1094">
        <f>(IF(AD44&gt;VLOOKUP(V44,'System Lookups'!$J$55:$P$63,6),(((AD44-VLOOKUP(V44,'System Lookups'!$J$55:$P$63,6))*100)/20),0))+AF44</f>
        <v>0</v>
      </c>
      <c r="AF44" s="1094"/>
      <c r="AG44" s="1092">
        <f>IF(ISBLANK(X44),0,AQ44*X44+IF(ISNA(W44),1,0))</f>
        <v>0</v>
      </c>
      <c r="AH44" s="1092" t="str">
        <f>IF(X44&lt;=Experience!$R$15+1,"","*")</f>
        <v/>
      </c>
      <c r="AI44" s="1092"/>
      <c r="AJ44" s="1080">
        <f t="shared" si="52"/>
        <v>0</v>
      </c>
      <c r="AK44" s="1080">
        <f>IF(F44="s",-2,0)</f>
        <v>0</v>
      </c>
      <c r="AL44" s="1080">
        <f t="shared" si="53"/>
        <v>0</v>
      </c>
      <c r="AM44" s="1092">
        <f>IF(J44="y",1,0)</f>
        <v>0</v>
      </c>
      <c r="AN44" s="1080">
        <f>IF(N44="P",-1,IF(N44="T",1,0))</f>
        <v>1</v>
      </c>
      <c r="AO44" s="1080">
        <f t="shared" si="54"/>
        <v>0</v>
      </c>
      <c r="AP44" s="1080">
        <f>SUM(AJ44:AN44)-AM44</f>
        <v>1</v>
      </c>
      <c r="AQ44" s="1027">
        <f>VLOOKUP(V44,'System Lookups'!$J$55:$P$64,7)</f>
        <v>600</v>
      </c>
      <c r="AR44" s="1080" t="str">
        <f ca="1">IF(AND(NOT(ISBLANK(AJ44)),ISNA(MATCH(ROW(),'System Lookups'!$C$526:$C$539,0))),"Y","N")</f>
        <v>Y</v>
      </c>
      <c r="AS44" s="1080">
        <f>AG44-AI44</f>
        <v>0</v>
      </c>
      <c r="AU44" s="1080" t="e">
        <f t="shared" si="15"/>
        <v>#N/A</v>
      </c>
      <c r="AV44" s="1080" t="str">
        <f t="shared" si="7"/>
        <v>T</v>
      </c>
      <c r="AW44" s="1080">
        <f t="shared" si="16"/>
        <v>0</v>
      </c>
      <c r="AX44" s="1080">
        <f t="shared" si="17"/>
        <v>0</v>
      </c>
      <c r="AY44" s="1080">
        <f t="shared" si="18"/>
        <v>0</v>
      </c>
      <c r="AZ44" s="1080">
        <f t="shared" si="19"/>
        <v>0</v>
      </c>
      <c r="BA44" s="1080">
        <f t="shared" si="20"/>
        <v>0</v>
      </c>
      <c r="BB44" s="1080">
        <f>IF(AND(RACE=1,'Main Creation Page'!$E$6="Well",OR(ISNUMBER(FIND(Experience!$G$11,BE44)),ISNUMBER(FIND(Experience!$G$11,BF44)),ISNUMBER(FIND(Experience!$I$11,BE44)),ISNUMBER(FIND(Experience!$I$11,BF44)))),1,0)</f>
        <v>0</v>
      </c>
      <c r="BC44" s="1080" t="str">
        <f t="shared" si="8"/>
        <v>Training:Exotic Animals</v>
      </c>
      <c r="BD44" s="1080" t="s">
        <v>5679</v>
      </c>
      <c r="BE44" s="1080" t="str">
        <f t="shared" si="9"/>
        <v/>
      </c>
      <c r="BF44" s="1080" t="str">
        <f t="shared" si="10"/>
        <v>Animal Skills</v>
      </c>
    </row>
    <row r="45" spans="1:58" ht="11.1" customHeight="1" outlineLevel="2">
      <c r="A45" s="1028" t="s">
        <v>1782</v>
      </c>
      <c r="B45" s="1094" t="s">
        <v>1942</v>
      </c>
      <c r="C45" s="1094" t="s">
        <v>4629</v>
      </c>
      <c r="D45" s="1094"/>
      <c r="E45" s="1095" t="s">
        <v>5224</v>
      </c>
      <c r="F45" s="1095" t="s">
        <v>5224</v>
      </c>
      <c r="G45" s="1096">
        <v>0</v>
      </c>
      <c r="H45" s="1096" t="s">
        <v>5224</v>
      </c>
      <c r="I45" s="1096" t="s">
        <v>5224</v>
      </c>
      <c r="J45" s="1096" t="s">
        <v>5224</v>
      </c>
      <c r="K45" s="1096" t="s">
        <v>5224</v>
      </c>
      <c r="L45" s="1096" t="s">
        <v>5224</v>
      </c>
      <c r="M45" s="1096" t="s">
        <v>5224</v>
      </c>
      <c r="N45" s="1096" t="s">
        <v>4631</v>
      </c>
      <c r="O45" s="1097"/>
      <c r="P45" s="1097" t="s">
        <v>3612</v>
      </c>
      <c r="Q45" s="1097">
        <f t="shared" ca="1" si="50"/>
        <v>10</v>
      </c>
      <c r="R45" s="1097"/>
      <c r="S45" s="1028" t="s">
        <v>3613</v>
      </c>
      <c r="T45" s="1097">
        <f t="shared" ca="1" si="51"/>
        <v>15</v>
      </c>
      <c r="U45" s="1027">
        <v>3</v>
      </c>
      <c r="V45" s="1027">
        <f>IF(AP45+U45&gt;10,10,IF(AP45+U45&lt;1,1,AP45+U45))</f>
        <v>4</v>
      </c>
      <c r="W45" s="1098" t="e">
        <f>IF(OR(I45&lt;&gt;"N",E45="C"),IF(AND(N45&lt;&gt;"T",ISNUMBER(FIND("V",I45))),1,0),NA())+IF(H45="Y",IF(AND(N45="P",ISNUMBER(FIND("Z",I45))),2,1),0)+IF(J45="Y",1,0)+IF(K45="Y",3,0)+IF(BE45="Lore",L45*2+Experience!$D$25,0)+IF(M45="Y",1,0)</f>
        <v>#N/A</v>
      </c>
      <c r="X45" s="1099"/>
      <c r="Y45" s="1100">
        <f ca="1">IF(P45="NS",IFERROR(INDIRECT(S45),NA()),VLOOKUP(INDIRECT(P45)+INDIRECT(S45),'System Lookups'!$A$3:$D$146,2))</f>
        <v>0.02</v>
      </c>
      <c r="Z45" s="1100">
        <f>IF(ISNA(W45),0,W45*0.03)+IF(X45&gt;0,X45*0.03,0)+IF(AND(ISNA(W45),X45&lt;=0),0,IF(G45&gt;0,G45*0.07,0))</f>
        <v>0</v>
      </c>
      <c r="AA45" s="1101">
        <f ca="1">IF(ISNA(Y45),0,Y45)+Z45+IF(AD351&lt;1,IF(AD351&lt;0.8,IF(AD351&lt;0.66,IF(AD351&lt;0.51,0,0.05),0.1),0.15),0.2)</f>
        <v>0.02</v>
      </c>
      <c r="AB45" s="1102">
        <f>VLOOKUP(V45,'System Lookups'!$J$55:$P$64,3)</f>
        <v>0.2</v>
      </c>
      <c r="AC45" s="1103">
        <f>VLOOKUP(V45,'System Lookups'!$J$55:$P$64,4)</f>
        <v>0.3</v>
      </c>
      <c r="AD45" s="1104">
        <f>IF(AND(ISBLANK(X45),ISNA(W45)),IF(B45="~",0,AB45+AA45+IF(BB45&gt;0,0.05,0)),AA45+AC45+IF(BB45&gt;0,0.05,0))</f>
        <v>0</v>
      </c>
      <c r="AE45" s="1094">
        <f>(IF(AD45&gt;VLOOKUP(V45,'System Lookups'!$J$55:$P$63,6),(((AD45-VLOOKUP(V45,'System Lookups'!$J$55:$P$63,6))*100)/20),0))+AF45</f>
        <v>0</v>
      </c>
      <c r="AF45" s="1094"/>
      <c r="AG45" s="1092">
        <f>IF(ISBLANK(X45),0,AQ45*X45+IF(ISNA(W45),1,0))</f>
        <v>0</v>
      </c>
      <c r="AH45" s="1092" t="str">
        <f>IF(X45&lt;=Experience!$R$15+1,"","*")</f>
        <v/>
      </c>
      <c r="AI45" s="1092"/>
      <c r="AJ45" s="1080">
        <f t="shared" si="52"/>
        <v>0</v>
      </c>
      <c r="AK45" s="1080">
        <f>IF(F45="s",-2,0)</f>
        <v>0</v>
      </c>
      <c r="AL45" s="1080">
        <f t="shared" si="53"/>
        <v>0</v>
      </c>
      <c r="AM45" s="1092">
        <f>IF(J45="y",1,0)</f>
        <v>0</v>
      </c>
      <c r="AN45" s="1080">
        <f>IF(N45="P",-1,IF(N45="T",1,0))</f>
        <v>1</v>
      </c>
      <c r="AO45" s="1080">
        <f t="shared" si="54"/>
        <v>0</v>
      </c>
      <c r="AP45" s="1080">
        <f>SUM(AJ45:AN45)-AM45</f>
        <v>1</v>
      </c>
      <c r="AQ45" s="1027">
        <f>VLOOKUP(V45,'System Lookups'!$J$55:$P$64,7)</f>
        <v>600</v>
      </c>
      <c r="AR45" s="1080" t="str">
        <f ca="1">IF(AND(NOT(ISBLANK(AJ45)),ISNA(MATCH(ROW(),'System Lookups'!$C$526:$C$539,0))),"Y","N")</f>
        <v>Y</v>
      </c>
      <c r="AS45" s="1080">
        <f>AG45-AI45</f>
        <v>0</v>
      </c>
      <c r="AU45" s="1080" t="e">
        <f t="shared" si="15"/>
        <v>#N/A</v>
      </c>
      <c r="AV45" s="1080" t="str">
        <f t="shared" si="7"/>
        <v>T</v>
      </c>
      <c r="AW45" s="1080">
        <f t="shared" si="16"/>
        <v>0</v>
      </c>
      <c r="AX45" s="1080">
        <f t="shared" si="17"/>
        <v>0</v>
      </c>
      <c r="AY45" s="1080">
        <f t="shared" si="18"/>
        <v>0</v>
      </c>
      <c r="AZ45" s="1080">
        <f t="shared" si="19"/>
        <v>0</v>
      </c>
      <c r="BA45" s="1080">
        <f t="shared" si="20"/>
        <v>0</v>
      </c>
      <c r="BB45" s="1080">
        <f>IF(AND(RACE=1,'Main Creation Page'!$E$6="Well",OR(ISNUMBER(FIND(Experience!$G$11,BE45)),ISNUMBER(FIND(Experience!$G$11,BF45)),ISNUMBER(FIND(Experience!$I$11,BE45)),ISNUMBER(FIND(Experience!$I$11,BF45)))),1,0)</f>
        <v>0</v>
      </c>
      <c r="BC45" s="1080" t="str">
        <f t="shared" si="8"/>
        <v>Training:Hunting Dogs</v>
      </c>
      <c r="BD45" s="1080" t="s">
        <v>5679</v>
      </c>
      <c r="BE45" s="1080" t="str">
        <f t="shared" si="9"/>
        <v/>
      </c>
      <c r="BF45" s="1080" t="str">
        <f t="shared" si="10"/>
        <v>Animal Skills</v>
      </c>
    </row>
    <row r="46" spans="1:58" ht="11.1" customHeight="1" outlineLevel="2">
      <c r="A46" s="1028" t="s">
        <v>759</v>
      </c>
      <c r="B46" s="1094" t="s">
        <v>1942</v>
      </c>
      <c r="C46" s="1094" t="s">
        <v>4629</v>
      </c>
      <c r="D46" s="1094"/>
      <c r="E46" s="1095" t="s">
        <v>5224</v>
      </c>
      <c r="F46" s="1095" t="s">
        <v>5224</v>
      </c>
      <c r="G46" s="1096">
        <v>0</v>
      </c>
      <c r="H46" s="1096" t="s">
        <v>5224</v>
      </c>
      <c r="I46" s="1096" t="s">
        <v>5224</v>
      </c>
      <c r="J46" s="1096" t="s">
        <v>5224</v>
      </c>
      <c r="K46" s="1096" t="s">
        <v>5224</v>
      </c>
      <c r="L46" s="1096" t="s">
        <v>5224</v>
      </c>
      <c r="M46" s="1096" t="s">
        <v>5224</v>
      </c>
      <c r="N46" s="1096" t="s">
        <v>4631</v>
      </c>
      <c r="O46" s="1097"/>
      <c r="P46" s="1097" t="s">
        <v>3612</v>
      </c>
      <c r="Q46" s="1097">
        <f t="shared" ca="1" si="50"/>
        <v>10</v>
      </c>
      <c r="R46" s="1097"/>
      <c r="S46" s="1028" t="s">
        <v>3613</v>
      </c>
      <c r="T46" s="1097">
        <f t="shared" ca="1" si="51"/>
        <v>15</v>
      </c>
      <c r="U46" s="1027">
        <v>3</v>
      </c>
      <c r="V46" s="1027">
        <f>IF(AP46+U46&gt;10,10,IF(AP46+U46&lt;1,1,AP46+U46))</f>
        <v>4</v>
      </c>
      <c r="W46" s="1098" t="e">
        <f>IF(OR(I46&lt;&gt;"N",E46="C"),IF(AND(N46&lt;&gt;"T",ISNUMBER(FIND("V",I46))),1,0),NA())+IF(H46="Y",IF(AND(N46="P",ISNUMBER(FIND("Z",I46))),2,1),0)+IF(J46="Y",1,0)+IF(K46="Y",3,0)+IF(BE46="Lore",L46*2+Experience!$D$25,0)+IF(M46="Y",1,0)</f>
        <v>#N/A</v>
      </c>
      <c r="X46" s="1099"/>
      <c r="Y46" s="1100">
        <f ca="1">IF(P46="NS",IFERROR(INDIRECT(S46),NA()),VLOOKUP(INDIRECT(P46)+INDIRECT(S46),'System Lookups'!$A$3:$D$146,2))</f>
        <v>0.02</v>
      </c>
      <c r="Z46" s="1100">
        <f>IF(ISNA(W46),0,W46*0.03)+IF(X46&gt;0,X46*0.03,0)+IF(AND(ISNA(W46),X46&lt;=0),0,IF(G46&gt;0,G46*0.07,0))</f>
        <v>0</v>
      </c>
      <c r="AA46" s="1101">
        <f ca="1">IF(ISNA(Y46),0,Y46)+Z46+IF(AD353&lt;1,IF(AD353&lt;0.8,IF(AD353&lt;0.66,IF(AD353&lt;0.51,0,0.05),0.1),0.15),0.2)</f>
        <v>0.02</v>
      </c>
      <c r="AB46" s="1102">
        <f>VLOOKUP(V46,'System Lookups'!$J$55:$P$64,3)</f>
        <v>0.2</v>
      </c>
      <c r="AC46" s="1103">
        <f>VLOOKUP(V46,'System Lookups'!$J$55:$P$64,4)</f>
        <v>0.3</v>
      </c>
      <c r="AD46" s="1104">
        <f>IF(AND(ISBLANK(X46),ISNA(W46)),IF(B46="~",0,AB46+AA46+IF(BB46&gt;0,0.05,0)),AA46+AC46+IF(BB46&gt;0,0.05,0))</f>
        <v>0</v>
      </c>
      <c r="AE46" s="1094">
        <f>(IF(AD46&gt;VLOOKUP(V46,'System Lookups'!$J$55:$P$63,6),(((AD46-VLOOKUP(V46,'System Lookups'!$J$55:$P$63,6))*100)/20),0))+AF46</f>
        <v>0</v>
      </c>
      <c r="AF46" s="1094"/>
      <c r="AG46" s="1092">
        <f>IF(ISBLANK(X46),0,AQ46*X46+IF(ISNA(W46),1,0))</f>
        <v>0</v>
      </c>
      <c r="AH46" s="1092" t="str">
        <f>IF(X46&lt;=Experience!$R$15+1,"","*")</f>
        <v/>
      </c>
      <c r="AI46" s="1092"/>
      <c r="AJ46" s="1080">
        <f t="shared" si="52"/>
        <v>0</v>
      </c>
      <c r="AK46" s="1080">
        <f>IF(F46="s",-2,0)</f>
        <v>0</v>
      </c>
      <c r="AL46" s="1080">
        <f t="shared" si="53"/>
        <v>0</v>
      </c>
      <c r="AM46" s="1092">
        <f>IF(J46="y",1,0)</f>
        <v>0</v>
      </c>
      <c r="AN46" s="1080">
        <f>IF(N46="P",-1,IF(N46="T",1,0))</f>
        <v>1</v>
      </c>
      <c r="AO46" s="1080">
        <f t="shared" si="54"/>
        <v>0</v>
      </c>
      <c r="AP46" s="1080">
        <f>SUM(AJ46:AN46)-AM46</f>
        <v>1</v>
      </c>
      <c r="AQ46" s="1027">
        <f>VLOOKUP(V46,'System Lookups'!$J$55:$P$64,7)</f>
        <v>600</v>
      </c>
      <c r="AR46" s="1080" t="str">
        <f ca="1">IF(AND(NOT(ISBLANK(AJ46)),ISNA(MATCH(ROW(),'System Lookups'!$C$526:$C$539,0))),"Y","N")</f>
        <v>Y</v>
      </c>
      <c r="AS46" s="1080">
        <f>AG46-AI46</f>
        <v>0</v>
      </c>
      <c r="AU46" s="1080" t="e">
        <f t="shared" si="15"/>
        <v>#N/A</v>
      </c>
      <c r="AV46" s="1080" t="str">
        <f t="shared" si="7"/>
        <v>T</v>
      </c>
      <c r="AW46" s="1080">
        <f t="shared" si="16"/>
        <v>0</v>
      </c>
      <c r="AX46" s="1080">
        <f t="shared" si="17"/>
        <v>0</v>
      </c>
      <c r="AY46" s="1080">
        <f t="shared" si="18"/>
        <v>0</v>
      </c>
      <c r="AZ46" s="1080">
        <f t="shared" si="19"/>
        <v>0</v>
      </c>
      <c r="BA46" s="1080">
        <f t="shared" si="20"/>
        <v>0</v>
      </c>
      <c r="BB46" s="1080">
        <f>IF(AND(RACE=1,'Main Creation Page'!$E$6="Well",OR(ISNUMBER(FIND(Experience!$G$11,BE46)),ISNUMBER(FIND(Experience!$G$11,BF46)),ISNUMBER(FIND(Experience!$I$11,BE46)),ISNUMBER(FIND(Experience!$I$11,BF46)))),1,0)</f>
        <v>0</v>
      </c>
      <c r="BC46" s="1080" t="str">
        <f t="shared" si="8"/>
        <v>Training:War-Horses &amp; Horses</v>
      </c>
      <c r="BD46" s="1080" t="s">
        <v>5679</v>
      </c>
      <c r="BE46" s="1080" t="str">
        <f t="shared" si="9"/>
        <v/>
      </c>
      <c r="BF46" s="1080" t="str">
        <f t="shared" si="10"/>
        <v>Animal Skills</v>
      </c>
    </row>
    <row r="47" spans="1:58" ht="15" customHeight="1" outlineLevel="1">
      <c r="A47" s="1115" t="s">
        <v>850</v>
      </c>
      <c r="B47" s="1116"/>
      <c r="C47" s="1116"/>
      <c r="D47" s="1116"/>
      <c r="F47" s="1027"/>
      <c r="G47" s="1027"/>
      <c r="H47" s="1027"/>
      <c r="I47" s="1027"/>
      <c r="J47" s="1027"/>
      <c r="K47" s="1027"/>
      <c r="L47" s="1027"/>
      <c r="M47" s="1027"/>
      <c r="N47" s="1027"/>
      <c r="O47" s="1027"/>
      <c r="P47" s="1027"/>
      <c r="Q47" s="1027"/>
      <c r="R47" s="1027"/>
      <c r="S47" s="1028"/>
      <c r="T47" s="1028"/>
      <c r="U47" s="1027"/>
      <c r="V47" s="1027"/>
      <c r="W47" s="1028"/>
      <c r="X47" s="1092"/>
      <c r="AE47" s="1094"/>
      <c r="AF47" s="1094"/>
      <c r="AG47" s="1092"/>
      <c r="AH47" s="1092"/>
      <c r="AI47" s="1092"/>
      <c r="AM47" s="1092"/>
      <c r="AQ47" s="1027"/>
      <c r="AR47" s="1080" t="str">
        <f ca="1">IF(AND(NOT(ISBLANK(AJ47)),ISNA(MATCH(ROW(),'System Lookups'!$C$526:$C$539,0))),"Y","N")</f>
        <v>N</v>
      </c>
      <c r="AU47" s="1080" t="e">
        <f t="shared" si="15"/>
        <v>#N/A</v>
      </c>
      <c r="AV47" s="1080" t="str">
        <f t="shared" si="7"/>
        <v/>
      </c>
      <c r="AW47" s="1080">
        <f t="shared" si="16"/>
        <v>0</v>
      </c>
      <c r="AX47" s="1080">
        <f t="shared" si="17"/>
        <v>0</v>
      </c>
      <c r="AY47" s="1080">
        <f t="shared" si="18"/>
        <v>0</v>
      </c>
      <c r="AZ47" s="1080">
        <f t="shared" si="19"/>
        <v>0</v>
      </c>
      <c r="BA47" s="1080">
        <f t="shared" si="20"/>
        <v>0</v>
      </c>
      <c r="BB47" s="1080">
        <f>IF(AND(RACE=1,'Main Creation Page'!$E$6="Well",OR(ISNUMBER(FIND(Experience!$G$11,BE47)),ISNUMBER(FIND(Experience!$G$11,BF47)),ISNUMBER(FIND(Experience!$I$11,BE47)),ISNUMBER(FIND(Experience!$I$11,BF47)))),1,0)</f>
        <v>0</v>
      </c>
      <c r="BC47" s="1080" t="e">
        <f t="shared" si="8"/>
        <v>#N/A</v>
      </c>
      <c r="BE47" s="1080" t="str">
        <f t="shared" si="9"/>
        <v/>
      </c>
      <c r="BF47" s="1080" t="str">
        <f t="shared" si="10"/>
        <v>Animal Skills</v>
      </c>
    </row>
    <row r="48" spans="1:58" ht="11.1" customHeight="1" outlineLevel="2">
      <c r="A48" s="1117" t="s">
        <v>1717</v>
      </c>
      <c r="B48" s="1094" t="s">
        <v>1942</v>
      </c>
      <c r="C48" s="1094"/>
      <c r="D48" s="1094"/>
      <c r="E48" s="1095" t="s">
        <v>5224</v>
      </c>
      <c r="F48" s="1095" t="s">
        <v>5224</v>
      </c>
      <c r="G48" s="1096">
        <v>0</v>
      </c>
      <c r="H48" s="1096" t="s">
        <v>5224</v>
      </c>
      <c r="I48" s="1096" t="s">
        <v>5224</v>
      </c>
      <c r="J48" s="1096" t="s">
        <v>5224</v>
      </c>
      <c r="K48" s="1096" t="s">
        <v>5224</v>
      </c>
      <c r="L48" s="1096" t="s">
        <v>5224</v>
      </c>
      <c r="M48" s="1096" t="s">
        <v>5224</v>
      </c>
      <c r="N48" s="1096" t="s">
        <v>4631</v>
      </c>
      <c r="O48" s="1097"/>
      <c r="P48" s="1097" t="s">
        <v>780</v>
      </c>
      <c r="Q48" s="1097">
        <f ca="1">INDIRECT(P48)</f>
        <v>17</v>
      </c>
      <c r="R48" s="1097"/>
      <c r="S48" s="1097" t="s">
        <v>3616</v>
      </c>
      <c r="T48" s="1097">
        <f ca="1">INDIRECT(S48)</f>
        <v>17</v>
      </c>
      <c r="U48" s="1027">
        <v>4</v>
      </c>
      <c r="V48" s="1027">
        <f>IF(AP48+U48&gt;10,10,IF(AP48+U48&lt;1,1,AP48+U48))</f>
        <v>5</v>
      </c>
      <c r="W48" s="1098" t="e">
        <f>IF(OR(I48&lt;&gt;"N",E48="C"),IF(AND(N48&lt;&gt;"T",ISNUMBER(FIND("V",I48))),1,0),NA())+IF(H48="Y",IF(AND(N48="P",ISNUMBER(FIND("Z",I48))),2,1),0)+IF(J48="Y",1,0)+IF(K48="Y",3,0)+IF(BE48="Lore",L48*2+Experience!$D$25,0)+IF(M48="Y",1,0)</f>
        <v>#N/A</v>
      </c>
      <c r="X48" s="1099"/>
      <c r="Y48" s="1100">
        <f ca="1">IF(P48="NS",IFERROR(INDIRECT(S48),NA()),VLOOKUP(INDIRECT(P48)+INDIRECT(S48),'System Lookups'!$A$3:$D$146,2))</f>
        <v>0.1</v>
      </c>
      <c r="Z48" s="1100">
        <f>IF(ISNA(W48),0,W48*0.03)+IF(X48&gt;0,X48*0.03,0)+IF(AND(ISNA(W48),X48&lt;=0),0,IF(G48&gt;0,G48*0.07,0))</f>
        <v>0</v>
      </c>
      <c r="AA48" s="1101">
        <f ca="1">IF(ISNA(Y48),0,Y48)+Z48</f>
        <v>0.1</v>
      </c>
      <c r="AB48" s="1102">
        <f>VLOOKUP(V48,'System Lookups'!$J$55:$P$64,3)</f>
        <v>0.1</v>
      </c>
      <c r="AC48" s="1103">
        <f>VLOOKUP(V48,'System Lookups'!$J$55:$P$64,4)</f>
        <v>0.2</v>
      </c>
      <c r="AD48" s="1104">
        <f>IF(AND(ISBLANK(X48),ISNA(W48)),IF(B48="~",0,AB48+AA48+IF(BB48&gt;0,0.05,0)),AA48+AC48+IF(BB48&gt;0,0.05,0))</f>
        <v>0</v>
      </c>
      <c r="AE48" s="1094">
        <f>(IF(AD48&gt;VLOOKUP(V48,'System Lookups'!$J$55:$P$63,6),(((AD48-VLOOKUP(V48,'System Lookups'!$J$55:$P$63,6))*100)/20),0))+AF48</f>
        <v>0</v>
      </c>
      <c r="AF48" s="1094"/>
      <c r="AG48" s="1092">
        <f>IF(ISBLANK(X48),0,AQ48*X48+IF(ISNA(W48),1,0))</f>
        <v>0</v>
      </c>
      <c r="AH48" s="1092" t="str">
        <f>IF(X48&lt;=Experience!$R$15+1,"","*")</f>
        <v/>
      </c>
      <c r="AI48" s="1092"/>
      <c r="AJ48" s="1080">
        <f>IF(ISNUMBER(FIND("R",F48)),-1,0)</f>
        <v>0</v>
      </c>
      <c r="AK48" s="1080">
        <f>IF(F48="s",-2,0)</f>
        <v>0</v>
      </c>
      <c r="AL48" s="1080">
        <f>IF(AND(H48="Y",OR(N48="P",N48="S")),-1,0)</f>
        <v>0</v>
      </c>
      <c r="AM48" s="1092">
        <f>IF(J48="y",1,0)</f>
        <v>0</v>
      </c>
      <c r="AN48" s="1080">
        <f>IF(N48="P",-1,IF(N48="T",1,0))</f>
        <v>1</v>
      </c>
      <c r="AO48" s="1080">
        <f>IF(ISNUMBER(FIND("Z",I48)),1,0)</f>
        <v>0</v>
      </c>
      <c r="AP48" s="1080">
        <f>SUM(AJ48:AN48)-AM48</f>
        <v>1</v>
      </c>
      <c r="AQ48" s="1027">
        <f>VLOOKUP(V48,'System Lookups'!$J$55:$P$64,7)</f>
        <v>700</v>
      </c>
      <c r="AR48" s="1080" t="str">
        <f ca="1">IF(AND(NOT(ISBLANK(AJ48)),ISNA(MATCH(ROW(),'System Lookups'!$C$526:$C$539,0))),"Y","N")</f>
        <v>Y</v>
      </c>
      <c r="AS48" s="1080">
        <f>AG48-AI48</f>
        <v>0</v>
      </c>
      <c r="AU48" s="1080" t="e">
        <f t="shared" si="15"/>
        <v>#N/A</v>
      </c>
      <c r="AV48" s="1080" t="str">
        <f t="shared" si="7"/>
        <v>T</v>
      </c>
      <c r="AW48" s="1080">
        <f t="shared" si="16"/>
        <v>0</v>
      </c>
      <c r="AX48" s="1080">
        <f t="shared" si="17"/>
        <v>0</v>
      </c>
      <c r="AY48" s="1080">
        <f t="shared" si="18"/>
        <v>0</v>
      </c>
      <c r="AZ48" s="1080">
        <f t="shared" si="19"/>
        <v>0</v>
      </c>
      <c r="BA48" s="1080">
        <f t="shared" si="20"/>
        <v>0</v>
      </c>
      <c r="BB48" s="1080">
        <f>IF(AND(RACE=1,'Main Creation Page'!$E$6="Well",OR(ISNUMBER(FIND(Experience!$G$11,BE48)),ISNUMBER(FIND(Experience!$G$11,BF48)),ISNUMBER(FIND(Experience!$I$11,BE48)),ISNUMBER(FIND(Experience!$I$11,BF48)))),1,0)</f>
        <v>0</v>
      </c>
      <c r="BC48" s="1080" t="str">
        <f t="shared" si="8"/>
        <v>Veterinary Medicine</v>
      </c>
      <c r="BE48" s="1080" t="str">
        <f t="shared" si="9"/>
        <v/>
      </c>
      <c r="BF48" s="1080" t="str">
        <f t="shared" si="10"/>
        <v>Animal Skills</v>
      </c>
    </row>
    <row r="49" spans="1:58" ht="11.1" customHeight="1" outlineLevel="3">
      <c r="A49" s="1028" t="s">
        <v>337</v>
      </c>
      <c r="B49" s="1094"/>
      <c r="C49" s="1094"/>
      <c r="D49" s="1094"/>
      <c r="V49" s="1027"/>
      <c r="W49" s="1112"/>
      <c r="AE49" s="1094"/>
      <c r="AF49" s="1094"/>
      <c r="AG49" s="1092"/>
      <c r="AH49" s="1092"/>
      <c r="AI49" s="1092"/>
      <c r="AM49" s="1092"/>
      <c r="AQ49" s="1027"/>
      <c r="AR49" s="1080" t="str">
        <f ca="1">IF(AND(NOT(ISBLANK(AJ49)),ISNA(MATCH(ROW(),'System Lookups'!$C$526:$C$539,0))),"Y","N")</f>
        <v>N</v>
      </c>
      <c r="AU49" s="1080" t="e">
        <f t="shared" si="15"/>
        <v>#N/A</v>
      </c>
      <c r="AV49" s="1080" t="str">
        <f t="shared" si="7"/>
        <v/>
      </c>
      <c r="AW49" s="1080">
        <f t="shared" si="16"/>
        <v>0</v>
      </c>
      <c r="AX49" s="1080">
        <f t="shared" si="17"/>
        <v>0</v>
      </c>
      <c r="AY49" s="1080">
        <f t="shared" si="18"/>
        <v>0</v>
      </c>
      <c r="AZ49" s="1080">
        <f t="shared" si="19"/>
        <v>0</v>
      </c>
      <c r="BA49" s="1080">
        <f t="shared" si="20"/>
        <v>0</v>
      </c>
      <c r="BB49" s="1080">
        <f>IF(AND(RACE=1,'Main Creation Page'!$E$6="Well",OR(ISNUMBER(FIND(Experience!$G$11,BE49)),ISNUMBER(FIND(Experience!$G$11,BF49)),ISNUMBER(FIND(Experience!$I$11,BE49)),ISNUMBER(FIND(Experience!$I$11,BF49)))),1,0)</f>
        <v>0</v>
      </c>
      <c r="BC49" s="1080" t="e">
        <f t="shared" si="8"/>
        <v>#N/A</v>
      </c>
      <c r="BE49" s="1080" t="str">
        <f t="shared" si="9"/>
        <v/>
      </c>
      <c r="BF49" s="1080" t="str">
        <f t="shared" si="10"/>
        <v>Animal Skills</v>
      </c>
    </row>
    <row r="50" spans="1:58" ht="11.1" customHeight="1" outlineLevel="3">
      <c r="A50" s="1028" t="s">
        <v>3905</v>
      </c>
      <c r="B50" s="1094"/>
      <c r="C50" s="1094"/>
      <c r="D50" s="1094"/>
      <c r="V50" s="1027"/>
      <c r="W50" s="1112"/>
      <c r="AE50" s="1094"/>
      <c r="AF50" s="1094"/>
      <c r="AG50" s="1092"/>
      <c r="AH50" s="1092"/>
      <c r="AI50" s="1092"/>
      <c r="AM50" s="1092"/>
      <c r="AQ50" s="1027"/>
      <c r="AR50" s="1080" t="str">
        <f ca="1">IF(AND(NOT(ISBLANK(AJ50)),ISNA(MATCH(ROW(),'System Lookups'!$C$526:$C$539,0))),"Y","N")</f>
        <v>N</v>
      </c>
      <c r="AU50" s="1080" t="e">
        <f t="shared" si="15"/>
        <v>#N/A</v>
      </c>
      <c r="AV50" s="1080" t="str">
        <f t="shared" si="7"/>
        <v/>
      </c>
      <c r="AW50" s="1080">
        <f t="shared" si="16"/>
        <v>0</v>
      </c>
      <c r="AX50" s="1080">
        <f t="shared" si="17"/>
        <v>0</v>
      </c>
      <c r="AY50" s="1080">
        <f t="shared" si="18"/>
        <v>0</v>
      </c>
      <c r="AZ50" s="1080">
        <f t="shared" si="19"/>
        <v>0</v>
      </c>
      <c r="BA50" s="1080">
        <f t="shared" si="20"/>
        <v>0</v>
      </c>
      <c r="BB50" s="1080">
        <f>IF(AND(RACE=1,'Main Creation Page'!$E$6="Well",OR(ISNUMBER(FIND(Experience!$G$11,BE50)),ISNUMBER(FIND(Experience!$G$11,BF50)),ISNUMBER(FIND(Experience!$I$11,BE50)),ISNUMBER(FIND(Experience!$I$11,BF50)))),1,0)</f>
        <v>0</v>
      </c>
      <c r="BC50" s="1080" t="e">
        <f t="shared" si="8"/>
        <v>#N/A</v>
      </c>
      <c r="BE50" s="1080" t="str">
        <f t="shared" si="9"/>
        <v/>
      </c>
      <c r="BF50" s="1080" t="str">
        <f t="shared" si="10"/>
        <v>Animal Skills</v>
      </c>
    </row>
    <row r="51" spans="1:58" ht="11.1" customHeight="1" outlineLevel="3">
      <c r="A51" s="1028" t="s">
        <v>338</v>
      </c>
      <c r="B51" s="1094"/>
      <c r="C51" s="1094"/>
      <c r="D51" s="1094"/>
      <c r="V51" s="1027"/>
      <c r="W51" s="1112"/>
      <c r="AE51" s="1094"/>
      <c r="AF51" s="1094"/>
      <c r="AG51" s="1092"/>
      <c r="AH51" s="1092"/>
      <c r="AI51" s="1092"/>
      <c r="AM51" s="1092"/>
      <c r="AQ51" s="1027"/>
      <c r="AR51" s="1080" t="str">
        <f ca="1">IF(AND(NOT(ISBLANK(AJ51)),ISNA(MATCH(ROW(),'System Lookups'!$C$526:$C$539,0))),"Y","N")</f>
        <v>N</v>
      </c>
      <c r="AU51" s="1080" t="e">
        <f t="shared" si="15"/>
        <v>#N/A</v>
      </c>
      <c r="AV51" s="1080" t="str">
        <f t="shared" si="7"/>
        <v/>
      </c>
      <c r="AW51" s="1080">
        <f t="shared" si="16"/>
        <v>0</v>
      </c>
      <c r="AX51" s="1080">
        <f t="shared" si="17"/>
        <v>0</v>
      </c>
      <c r="AY51" s="1080">
        <f t="shared" si="18"/>
        <v>0</v>
      </c>
      <c r="AZ51" s="1080">
        <f t="shared" si="19"/>
        <v>0</v>
      </c>
      <c r="BA51" s="1080">
        <f t="shared" si="20"/>
        <v>0</v>
      </c>
      <c r="BB51" s="1080">
        <f>IF(AND(RACE=1,'Main Creation Page'!$E$6="Well",OR(ISNUMBER(FIND(Experience!$G$11,BE51)),ISNUMBER(FIND(Experience!$G$11,BF51)),ISNUMBER(FIND(Experience!$I$11,BE51)),ISNUMBER(FIND(Experience!$I$11,BF51)))),1,0)</f>
        <v>0</v>
      </c>
      <c r="BC51" s="1080" t="e">
        <f t="shared" si="8"/>
        <v>#N/A</v>
      </c>
      <c r="BE51" s="1080" t="str">
        <f t="shared" si="9"/>
        <v/>
      </c>
      <c r="BF51" s="1080" t="str">
        <f t="shared" si="10"/>
        <v>Animal Skills</v>
      </c>
    </row>
    <row r="52" spans="1:58" ht="11.1" customHeight="1" outlineLevel="2">
      <c r="A52" s="1117" t="s">
        <v>693</v>
      </c>
      <c r="B52" s="1094" t="s">
        <v>1942</v>
      </c>
      <c r="C52" s="1094"/>
      <c r="D52" s="1094"/>
      <c r="E52" s="1095" t="s">
        <v>5224</v>
      </c>
      <c r="F52" s="1095" t="s">
        <v>5224</v>
      </c>
      <c r="G52" s="1096">
        <v>0</v>
      </c>
      <c r="H52" s="1096" t="s">
        <v>5224</v>
      </c>
      <c r="I52" s="1096" t="s">
        <v>5224</v>
      </c>
      <c r="J52" s="1096" t="s">
        <v>5224</v>
      </c>
      <c r="K52" s="1096" t="s">
        <v>5224</v>
      </c>
      <c r="L52" s="1096" t="s">
        <v>5224</v>
      </c>
      <c r="M52" s="1096" t="s">
        <v>5224</v>
      </c>
      <c r="N52" s="1096" t="s">
        <v>4631</v>
      </c>
      <c r="O52" s="1097"/>
      <c r="P52" s="1097" t="s">
        <v>780</v>
      </c>
      <c r="Q52" s="1097">
        <f ca="1">INDIRECT(P52)</f>
        <v>17</v>
      </c>
      <c r="R52" s="1034"/>
      <c r="S52" s="1097" t="s">
        <v>3611</v>
      </c>
      <c r="T52" s="1097">
        <f ca="1">INDIRECT(S52)</f>
        <v>15</v>
      </c>
      <c r="U52" s="1027">
        <v>3</v>
      </c>
      <c r="V52" s="1027">
        <f>IF(AP52+U52&gt;10,10,IF(AP52+U52&lt;1,1,AP52+U52))</f>
        <v>4</v>
      </c>
      <c r="W52" s="1098" t="e">
        <f>IF(OR(I52&lt;&gt;"N",E52="C"),IF(AND(N52&lt;&gt;"T",ISNUMBER(FIND("V",I52))),1,0),NA())+IF(H52="Y",IF(AND(N52="P",ISNUMBER(FIND("Z",I52))),2,1),0)+IF(J52="Y",1,0)+IF(K52="Y",3,0)+IF(BE52="Lore",L52*2+Experience!$D$25,0)+IF(M52="Y",1,0)</f>
        <v>#N/A</v>
      </c>
      <c r="X52" s="1099"/>
      <c r="Y52" s="1100">
        <f ca="1">IF(P52="NS",IFERROR(INDIRECT(S52),NA()),VLOOKUP(INDIRECT(P52)+INDIRECT(S52),'System Lookups'!$A$3:$D$146,2))</f>
        <v>0.08</v>
      </c>
      <c r="Z52" s="1100">
        <f>IF(ISNA(W52),0,W52*0.03)+IF(X52&gt;0,X52*0.03,0)+IF(AND(ISNA(W52),X52&lt;=0),0,IF(G52&gt;0,G52*0.07,0))</f>
        <v>0</v>
      </c>
      <c r="AA52" s="1101">
        <f ca="1">IF(ISNA(Y52),0,Y52)+Z52</f>
        <v>0.08</v>
      </c>
      <c r="AB52" s="1102">
        <f>VLOOKUP(V52,'System Lookups'!$J$55:$P$64,3)</f>
        <v>0.2</v>
      </c>
      <c r="AC52" s="1103">
        <f>VLOOKUP(V52,'System Lookups'!$J$55:$P$64,4)</f>
        <v>0.3</v>
      </c>
      <c r="AD52" s="1104">
        <f>IF(AND(ISBLANK(X52),ISNA(W52)),IF(B52="~",0,AB52+AA52+IF(BB52&gt;0,0.05,0)),AA52+AC52+IF(BB52&gt;0,0.05,0))</f>
        <v>0</v>
      </c>
      <c r="AE52" s="1094">
        <f>(IF(AD52&gt;VLOOKUP(V52,'System Lookups'!$J$55:$P$63,6),(((AD52-VLOOKUP(V52,'System Lookups'!$J$55:$P$63,6))*100)/20),0))+AF52</f>
        <v>0</v>
      </c>
      <c r="AF52" s="1094"/>
      <c r="AG52" s="1092">
        <f>IF(ISBLANK(X52),0,AQ52*X52+IF(ISNA(W52),1,0))</f>
        <v>0</v>
      </c>
      <c r="AH52" s="1092" t="str">
        <f>IF(X52&lt;=Experience!$R$15+1,"","*")</f>
        <v/>
      </c>
      <c r="AI52" s="1092"/>
      <c r="AJ52" s="1080">
        <f>IF(ISNUMBER(FIND("R",F52)),-1,0)</f>
        <v>0</v>
      </c>
      <c r="AK52" s="1080">
        <f>IF(F52="s",-2,0)</f>
        <v>0</v>
      </c>
      <c r="AL52" s="1080">
        <f>IF(AND(H52="Y",OR(N52="P",N52="S")),-1,0)</f>
        <v>0</v>
      </c>
      <c r="AM52" s="1092">
        <f>IF(J52="y",1,0)</f>
        <v>0</v>
      </c>
      <c r="AN52" s="1080">
        <f>IF(N52="P",-1,IF(N52="T",1,0))</f>
        <v>1</v>
      </c>
      <c r="AO52" s="1080">
        <f>IF(ISNUMBER(FIND("Z",I52)),1,0)</f>
        <v>0</v>
      </c>
      <c r="AP52" s="1080">
        <f>SUM(AJ52:AN52)-AM52</f>
        <v>1</v>
      </c>
      <c r="AQ52" s="1027">
        <f>VLOOKUP(V52,'System Lookups'!$J$55:$P$64,7)</f>
        <v>600</v>
      </c>
      <c r="AR52" s="1080" t="str">
        <f ca="1">IF(AND(NOT(ISBLANK(AJ52)),ISNA(MATCH(ROW(),'System Lookups'!$C$526:$C$539,0))),"Y","N")</f>
        <v>Y</v>
      </c>
      <c r="AS52" s="1080">
        <f>AG52-AI52</f>
        <v>0</v>
      </c>
      <c r="AU52" s="1080" t="e">
        <f t="shared" si="15"/>
        <v>#N/A</v>
      </c>
      <c r="AV52" s="1080" t="str">
        <f t="shared" si="7"/>
        <v>T</v>
      </c>
      <c r="AW52" s="1080">
        <f t="shared" si="16"/>
        <v>0</v>
      </c>
      <c r="AX52" s="1080">
        <f t="shared" si="17"/>
        <v>0</v>
      </c>
      <c r="AY52" s="1080">
        <f t="shared" si="18"/>
        <v>0</v>
      </c>
      <c r="AZ52" s="1080">
        <f t="shared" si="19"/>
        <v>0</v>
      </c>
      <c r="BA52" s="1080">
        <f t="shared" si="20"/>
        <v>0</v>
      </c>
      <c r="BB52" s="1080">
        <f>IF(AND(RACE=1,'Main Creation Page'!$E$6="Well",OR(ISNUMBER(FIND(Experience!$G$11,BE52)),ISNUMBER(FIND(Experience!$G$11,BF52)),ISNUMBER(FIND(Experience!$I$11,BE52)),ISNUMBER(FIND(Experience!$I$11,BF52)))),1,0)</f>
        <v>0</v>
      </c>
      <c r="BC52" s="1080" t="str">
        <f t="shared" si="8"/>
        <v>Veterinary Surgery</v>
      </c>
      <c r="BE52" s="1080" t="str">
        <f t="shared" si="9"/>
        <v/>
      </c>
      <c r="BF52" s="1080" t="str">
        <f t="shared" si="10"/>
        <v>Animal Skills</v>
      </c>
    </row>
    <row r="53" spans="1:58" ht="11.1" customHeight="1" outlineLevel="3">
      <c r="A53" s="1028" t="s">
        <v>482</v>
      </c>
      <c r="B53" s="1094"/>
      <c r="C53" s="1094"/>
      <c r="D53" s="1094"/>
      <c r="V53" s="1027"/>
      <c r="W53" s="1112"/>
      <c r="AE53" s="1094"/>
      <c r="AF53" s="1094"/>
      <c r="AG53" s="1092"/>
      <c r="AH53" s="1092"/>
      <c r="AI53" s="1092"/>
      <c r="AM53" s="1092"/>
      <c r="AQ53" s="1027"/>
      <c r="AR53" s="1080" t="str">
        <f ca="1">IF(AND(NOT(ISBLANK(AJ53)),ISNA(MATCH(ROW(),'System Lookups'!$C$526:$C$539,0))),"Y","N")</f>
        <v>N</v>
      </c>
      <c r="AU53" s="1080" t="e">
        <f t="shared" si="15"/>
        <v>#N/A</v>
      </c>
      <c r="AV53" s="1080" t="str">
        <f t="shared" si="7"/>
        <v/>
      </c>
      <c r="AW53" s="1080">
        <f t="shared" si="16"/>
        <v>0</v>
      </c>
      <c r="AX53" s="1080">
        <f t="shared" si="17"/>
        <v>0</v>
      </c>
      <c r="AY53" s="1080">
        <f t="shared" si="18"/>
        <v>0</v>
      </c>
      <c r="AZ53" s="1080">
        <f t="shared" si="19"/>
        <v>0</v>
      </c>
      <c r="BA53" s="1080">
        <f t="shared" si="20"/>
        <v>0</v>
      </c>
      <c r="BB53" s="1080">
        <f>IF(AND(RACE=1,'Main Creation Page'!$E$6="Well",OR(ISNUMBER(FIND(Experience!$G$11,BE53)),ISNUMBER(FIND(Experience!$G$11,BF53)),ISNUMBER(FIND(Experience!$I$11,BE53)),ISNUMBER(FIND(Experience!$I$11,BF53)))),1,0)</f>
        <v>0</v>
      </c>
      <c r="BC53" s="1080" t="e">
        <f t="shared" si="8"/>
        <v>#N/A</v>
      </c>
      <c r="BE53" s="1080" t="str">
        <f t="shared" si="9"/>
        <v/>
      </c>
      <c r="BF53" s="1080" t="str">
        <f t="shared" si="10"/>
        <v>Animal Skills</v>
      </c>
    </row>
    <row r="54" spans="1:58" ht="11.1" customHeight="1" outlineLevel="3">
      <c r="A54" s="1028" t="s">
        <v>483</v>
      </c>
      <c r="B54" s="1094"/>
      <c r="C54" s="1094"/>
      <c r="D54" s="1094"/>
      <c r="V54" s="1027"/>
      <c r="W54" s="1112"/>
      <c r="AE54" s="1094"/>
      <c r="AF54" s="1094"/>
      <c r="AG54" s="1092"/>
      <c r="AH54" s="1092"/>
      <c r="AI54" s="1092"/>
      <c r="AM54" s="1092"/>
      <c r="AQ54" s="1027"/>
      <c r="AR54" s="1080" t="str">
        <f ca="1">IF(AND(NOT(ISBLANK(AJ54)),ISNA(MATCH(ROW(),'System Lookups'!$C$526:$C$539,0))),"Y","N")</f>
        <v>N</v>
      </c>
      <c r="AU54" s="1080" t="e">
        <f t="shared" si="15"/>
        <v>#N/A</v>
      </c>
      <c r="AV54" s="1080" t="str">
        <f t="shared" si="7"/>
        <v/>
      </c>
      <c r="AW54" s="1080">
        <f t="shared" si="16"/>
        <v>0</v>
      </c>
      <c r="AX54" s="1080">
        <f t="shared" si="17"/>
        <v>0</v>
      </c>
      <c r="AY54" s="1080">
        <f t="shared" si="18"/>
        <v>0</v>
      </c>
      <c r="AZ54" s="1080">
        <f t="shared" si="19"/>
        <v>0</v>
      </c>
      <c r="BA54" s="1080">
        <f t="shared" si="20"/>
        <v>0</v>
      </c>
      <c r="BB54" s="1080">
        <f>IF(AND(RACE=1,'Main Creation Page'!$E$6="Well",OR(ISNUMBER(FIND(Experience!$G$11,BE54)),ISNUMBER(FIND(Experience!$G$11,BF54)),ISNUMBER(FIND(Experience!$I$11,BE54)),ISNUMBER(FIND(Experience!$I$11,BF54)))),1,0)</f>
        <v>0</v>
      </c>
      <c r="BC54" s="1080" t="e">
        <f t="shared" si="8"/>
        <v>#N/A</v>
      </c>
      <c r="BE54" s="1080" t="str">
        <f t="shared" si="9"/>
        <v/>
      </c>
      <c r="BF54" s="1080" t="str">
        <f t="shared" si="10"/>
        <v>Animal Skills</v>
      </c>
    </row>
    <row r="55" spans="1:58" ht="11.1" customHeight="1" outlineLevel="3">
      <c r="A55" s="1028" t="s">
        <v>484</v>
      </c>
      <c r="B55" s="1094"/>
      <c r="C55" s="1094"/>
      <c r="D55" s="1094"/>
      <c r="V55" s="1027"/>
      <c r="W55" s="1112"/>
      <c r="AE55" s="1094"/>
      <c r="AF55" s="1094"/>
      <c r="AG55" s="1092"/>
      <c r="AH55" s="1092"/>
      <c r="AI55" s="1092"/>
      <c r="AM55" s="1092"/>
      <c r="AQ55" s="1027"/>
      <c r="AR55" s="1080" t="str">
        <f ca="1">IF(AND(NOT(ISBLANK(AJ55)),ISNA(MATCH(ROW(),'System Lookups'!$C$526:$C$539,0))),"Y","N")</f>
        <v>N</v>
      </c>
      <c r="AU55" s="1080" t="e">
        <f t="shared" si="15"/>
        <v>#N/A</v>
      </c>
      <c r="AV55" s="1080" t="str">
        <f t="shared" si="7"/>
        <v/>
      </c>
      <c r="AW55" s="1080">
        <f t="shared" si="16"/>
        <v>0</v>
      </c>
      <c r="AX55" s="1080">
        <f t="shared" si="17"/>
        <v>0</v>
      </c>
      <c r="AY55" s="1080">
        <f t="shared" si="18"/>
        <v>0</v>
      </c>
      <c r="AZ55" s="1080">
        <f t="shared" si="19"/>
        <v>0</v>
      </c>
      <c r="BA55" s="1080">
        <f t="shared" si="20"/>
        <v>0</v>
      </c>
      <c r="BB55" s="1080">
        <f>IF(AND(RACE=1,'Main Creation Page'!$E$6="Well",OR(ISNUMBER(FIND(Experience!$G$11,BE55)),ISNUMBER(FIND(Experience!$G$11,BF55)),ISNUMBER(FIND(Experience!$I$11,BE55)),ISNUMBER(FIND(Experience!$I$11,BF55)))),1,0)</f>
        <v>0</v>
      </c>
      <c r="BC55" s="1080" t="e">
        <f t="shared" si="8"/>
        <v>#N/A</v>
      </c>
      <c r="BE55" s="1080" t="str">
        <f t="shared" si="9"/>
        <v/>
      </c>
      <c r="BF55" s="1080" t="str">
        <f t="shared" si="10"/>
        <v>Animal Skills</v>
      </c>
    </row>
    <row r="56" spans="1:58" ht="11.1" customHeight="1" outlineLevel="2">
      <c r="AR56" s="1080" t="str">
        <f ca="1">IF(AND(NOT(ISBLANK(AJ56)),ISNA(MATCH(ROW(),'System Lookups'!$C$526:$C$539,0))),"Y","N")</f>
        <v>N</v>
      </c>
      <c r="AU56" s="1080" t="e">
        <f t="shared" si="15"/>
        <v>#N/A</v>
      </c>
      <c r="AV56" s="1080" t="str">
        <f t="shared" si="7"/>
        <v/>
      </c>
      <c r="AW56" s="1080">
        <f t="shared" si="16"/>
        <v>0</v>
      </c>
      <c r="AX56" s="1080">
        <f t="shared" si="17"/>
        <v>0</v>
      </c>
      <c r="AY56" s="1080">
        <f t="shared" si="18"/>
        <v>0</v>
      </c>
      <c r="AZ56" s="1080">
        <f t="shared" si="19"/>
        <v>0</v>
      </c>
      <c r="BA56" s="1080">
        <f t="shared" si="20"/>
        <v>0</v>
      </c>
      <c r="BB56" s="1080">
        <f>IF(AND(RACE=1,'Main Creation Page'!$E$6="Well",OR(ISNUMBER(FIND(Experience!$G$11,BE56)),ISNUMBER(FIND(Experience!$G$11,BF56)),ISNUMBER(FIND(Experience!$I$11,BE56)),ISNUMBER(FIND(Experience!$I$11,BF56)))),1,0)</f>
        <v>0</v>
      </c>
      <c r="BC56" s="1080" t="e">
        <f t="shared" si="8"/>
        <v>#N/A</v>
      </c>
      <c r="BE56" s="1080" t="str">
        <f t="shared" si="9"/>
        <v/>
      </c>
      <c r="BF56" s="1080" t="str">
        <f t="shared" si="10"/>
        <v>Animal Skills</v>
      </c>
    </row>
    <row r="57" spans="1:58" ht="11.1" customHeight="1" outlineLevel="1">
      <c r="AR57" s="1080" t="str">
        <f ca="1">IF(AND(NOT(ISBLANK(AJ57)),ISNA(MATCH(ROW(),'System Lookups'!$C$526:$C$539,0))),"Y","N")</f>
        <v>N</v>
      </c>
      <c r="AU57" s="1080" t="e">
        <f t="shared" si="15"/>
        <v>#N/A</v>
      </c>
      <c r="AV57" s="1080" t="str">
        <f t="shared" si="7"/>
        <v/>
      </c>
      <c r="AW57" s="1080">
        <f t="shared" si="16"/>
        <v>0</v>
      </c>
      <c r="AX57" s="1080">
        <f t="shared" si="17"/>
        <v>0</v>
      </c>
      <c r="AY57" s="1080">
        <f t="shared" si="18"/>
        <v>0</v>
      </c>
      <c r="AZ57" s="1080">
        <f t="shared" si="19"/>
        <v>0</v>
      </c>
      <c r="BA57" s="1080">
        <f t="shared" si="20"/>
        <v>0</v>
      </c>
      <c r="BB57" s="1080">
        <f>IF(AND(RACE=1,'Main Creation Page'!$E$6="Well",OR(ISNUMBER(FIND(Experience!$G$11,BE57)),ISNUMBER(FIND(Experience!$G$11,BF57)),ISNUMBER(FIND(Experience!$I$11,BE57)),ISNUMBER(FIND(Experience!$I$11,BF57)))),1,0)</f>
        <v>0</v>
      </c>
      <c r="BC57" s="1080" t="e">
        <f t="shared" si="8"/>
        <v>#N/A</v>
      </c>
      <c r="BE57" s="1080" t="str">
        <f t="shared" si="9"/>
        <v/>
      </c>
      <c r="BF57" s="1080" t="str">
        <f t="shared" si="10"/>
        <v>Animal Skills</v>
      </c>
    </row>
    <row r="58" spans="1:58" ht="10.5" customHeight="1">
      <c r="A58" s="1087" t="s">
        <v>1838</v>
      </c>
      <c r="B58" s="1091"/>
      <c r="C58" s="1091"/>
      <c r="D58" s="1091"/>
      <c r="F58" s="1027"/>
      <c r="G58" s="1027"/>
      <c r="H58" s="1027"/>
      <c r="I58" s="1085"/>
      <c r="J58" s="1085"/>
      <c r="K58" s="1085"/>
      <c r="L58" s="1085"/>
      <c r="M58" s="1085"/>
      <c r="N58" s="1027"/>
      <c r="O58" s="1027"/>
      <c r="P58" s="1027"/>
      <c r="Q58" s="1027"/>
      <c r="R58" s="1027"/>
      <c r="S58" s="1113"/>
      <c r="T58" s="1113"/>
      <c r="U58" s="1085"/>
      <c r="V58" s="1027"/>
      <c r="W58" s="1028" t="str">
        <f>IF(ISNA(SUM(W59:W105))," ",SUM(W59:W105))</f>
        <v xml:space="preserve"> </v>
      </c>
      <c r="X58" s="1114"/>
      <c r="AE58" s="1094"/>
      <c r="AF58" s="1094"/>
      <c r="AG58" s="1092">
        <f>SUM(AG61:AG105)</f>
        <v>0</v>
      </c>
      <c r="AH58" s="1092"/>
      <c r="AI58" s="1092">
        <f>SUM(AI61:AI105)</f>
        <v>0</v>
      </c>
      <c r="AM58" s="1092"/>
      <c r="AR58" s="1080" t="str">
        <f ca="1">IF(AND(NOT(ISBLANK(AJ58)),ISNA(MATCH(ROW(),'System Lookups'!$C$526:$C$539,0))),"Y","N")</f>
        <v>N</v>
      </c>
      <c r="AU58" s="1080" t="e">
        <f t="shared" si="15"/>
        <v>#N/A</v>
      </c>
      <c r="AV58" s="1080" t="str">
        <f t="shared" si="7"/>
        <v/>
      </c>
      <c r="AW58" s="1080">
        <f t="shared" si="16"/>
        <v>0</v>
      </c>
      <c r="AX58" s="1080">
        <f t="shared" si="17"/>
        <v>0</v>
      </c>
      <c r="AY58" s="1080">
        <f t="shared" si="18"/>
        <v>0</v>
      </c>
      <c r="AZ58" s="1080">
        <f t="shared" si="19"/>
        <v>0</v>
      </c>
      <c r="BA58" s="1080">
        <f t="shared" si="20"/>
        <v>0</v>
      </c>
      <c r="BB58" s="1080">
        <f>IF(AND(RACE=1,'Main Creation Page'!$E$6="Well",OR(ISNUMBER(FIND(Experience!$G$11,BE58)),ISNUMBER(FIND(Experience!$G$11,BF58)),ISNUMBER(FIND(Experience!$I$11,BE58)),ISNUMBER(FIND(Experience!$I$11,BF58)))),1,0)</f>
        <v>0</v>
      </c>
      <c r="BC58" s="1080" t="str">
        <f t="shared" si="8"/>
        <v>Arts &amp; Entertainment Skills</v>
      </c>
      <c r="BE58" s="1080" t="str">
        <f t="shared" si="9"/>
        <v/>
      </c>
      <c r="BF58" s="1080" t="str">
        <f t="shared" si="10"/>
        <v>Arts &amp; Entertainment Skills</v>
      </c>
    </row>
    <row r="59" spans="1:58" ht="15" customHeight="1" outlineLevel="1">
      <c r="A59" s="1119" t="s">
        <v>2040</v>
      </c>
      <c r="B59" s="1094"/>
      <c r="C59" s="1094"/>
      <c r="D59" s="1094"/>
      <c r="E59" s="1095" t="s">
        <v>5224</v>
      </c>
      <c r="F59" s="1095" t="s">
        <v>5224</v>
      </c>
      <c r="G59" s="1096">
        <v>0</v>
      </c>
      <c r="H59" s="1096" t="s">
        <v>5224</v>
      </c>
      <c r="I59" s="1096" t="s">
        <v>5224</v>
      </c>
      <c r="J59" s="1096" t="s">
        <v>5224</v>
      </c>
      <c r="K59" s="1096" t="s">
        <v>5224</v>
      </c>
      <c r="L59" s="1096" t="s">
        <v>5224</v>
      </c>
      <c r="M59" s="1096" t="s">
        <v>5224</v>
      </c>
      <c r="N59" s="1096" t="s">
        <v>4631</v>
      </c>
      <c r="O59" s="1097"/>
      <c r="P59" s="1097" t="s">
        <v>3615</v>
      </c>
      <c r="Q59" s="1097">
        <f ca="1">INDIRECT(P59)</f>
        <v>20</v>
      </c>
      <c r="R59" s="1034"/>
      <c r="S59" s="1097" t="s">
        <v>3611</v>
      </c>
      <c r="T59" s="1097">
        <f ca="1">INDIRECT(S59)</f>
        <v>15</v>
      </c>
      <c r="U59" s="1027">
        <v>4</v>
      </c>
      <c r="V59" s="1027">
        <f>IF(AP59+U59&gt;10,10,IF(AP59+U59&lt;1,1,AP59+U59))</f>
        <v>5</v>
      </c>
      <c r="W59" s="1098" t="e">
        <f>IF(OR(I59&lt;&gt;"N",E59="C"),IF(AND(N59&lt;&gt;"T",ISNUMBER(FIND("V",I59))),1,0),NA())+IF(H59="Y",IF(AND(N59="P",ISNUMBER(FIND("Z",I59))),2,1),0)+IF(J59="Y",1,0)+IF(K59="Y",3,0)+IF(BE59="Lore",L59*2+Experience!$D$25,0)+IF(M59="Y",1,0)</f>
        <v>#N/A</v>
      </c>
      <c r="X59" s="1099"/>
      <c r="Y59" s="1100">
        <f ca="1">IF(P59="NS",IFERROR(INDIRECT(S59),NA()),VLOOKUP(INDIRECT(P59)+INDIRECT(S59),'System Lookups'!$A$3:$D$146,2))</f>
        <v>0.12</v>
      </c>
      <c r="Z59" s="1100">
        <f>IF(ISNA(W59),0,W59*0.03)+IF(X59&gt;0,X59*0.03,0)+IF(AND(ISNA(W59),X59&lt;=0),0,IF(G59&gt;0,G59*0.07,0))</f>
        <v>0</v>
      </c>
      <c r="AA59" s="1101">
        <f ca="1">IF(ISNA(Y59),0,Y59)+Z59</f>
        <v>0.12</v>
      </c>
      <c r="AB59" s="1102">
        <f>VLOOKUP(V59,'System Lookups'!$J$55:$P$64,3)</f>
        <v>0.1</v>
      </c>
      <c r="AC59" s="1103">
        <f>VLOOKUP(V59,'System Lookups'!$J$55:$P$64,4)</f>
        <v>0.2</v>
      </c>
      <c r="AD59" s="1104">
        <f ca="1">IF(AND(ISBLANK(X59),ISNA(W59)),IF(B59="~",0,AB59+AA59+IF(BB59&gt;0,0.05,0)),AA59+AC59+IF(BB59&gt;0,0.05,0))</f>
        <v>0.22</v>
      </c>
      <c r="AE59" s="1094">
        <f ca="1">(IF(AD59&gt;VLOOKUP(V59,'System Lookups'!$J$55:$P$63,6),(((AD59-VLOOKUP(V59,'System Lookups'!$J$55:$P$63,6))*100)/20),0))+AF59</f>
        <v>0</v>
      </c>
      <c r="AF59" s="1094"/>
      <c r="AG59" s="1092">
        <f>IF(ISBLANK(X59),0,AQ59*X59+IF(ISNA(W59),1,0))</f>
        <v>0</v>
      </c>
      <c r="AH59" s="1092" t="str">
        <f>IF(X59&lt;=Experience!$R$15+1,"","*")</f>
        <v/>
      </c>
      <c r="AI59" s="1092"/>
      <c r="AJ59" s="1080">
        <f>IF(ISNUMBER(FIND("R",F59)),-1,0)</f>
        <v>0</v>
      </c>
      <c r="AK59" s="1080">
        <f>IF(F59="s",-2,0)</f>
        <v>0</v>
      </c>
      <c r="AL59" s="1080">
        <f>IF(AND(H59="Y",OR(N59="P",N59="S")),-1,0)</f>
        <v>0</v>
      </c>
      <c r="AM59" s="1092">
        <f>IF(J59="y",1,0)</f>
        <v>0</v>
      </c>
      <c r="AN59" s="1080">
        <f>IF(N59="P",-1,IF(N59="T",1,0))</f>
        <v>1</v>
      </c>
      <c r="AO59" s="1080">
        <f>IF(ISNUMBER(FIND("Z",I59)),1,0)</f>
        <v>0</v>
      </c>
      <c r="AP59" s="1080">
        <f>SUM(AJ59:AN59)-AM59</f>
        <v>1</v>
      </c>
      <c r="AQ59" s="1027">
        <f>VLOOKUP(V59,'System Lookups'!$J$55:$P$64,7)</f>
        <v>700</v>
      </c>
      <c r="AR59" s="1080" t="str">
        <f ca="1">IF(AND(NOT(ISBLANK(AJ59)),ISNA(MATCH(ROW(),'System Lookups'!$C$526:$C$539,0))),"Y","N")</f>
        <v>Y</v>
      </c>
      <c r="AS59" s="1080">
        <f>AG59-AI59</f>
        <v>0</v>
      </c>
      <c r="AU59" s="1080" t="e">
        <f t="shared" si="15"/>
        <v>#N/A</v>
      </c>
      <c r="AV59" s="1080" t="str">
        <f t="shared" si="7"/>
        <v>T</v>
      </c>
      <c r="AW59" s="1080">
        <f t="shared" si="16"/>
        <v>0</v>
      </c>
      <c r="AX59" s="1080">
        <f t="shared" si="17"/>
        <v>0</v>
      </c>
      <c r="AY59" s="1080">
        <f t="shared" si="18"/>
        <v>0</v>
      </c>
      <c r="AZ59" s="1080">
        <f t="shared" si="19"/>
        <v>0</v>
      </c>
      <c r="BA59" s="1080">
        <f t="shared" si="20"/>
        <v>0</v>
      </c>
      <c r="BB59" s="1080">
        <f>IF(AND(RACE=1,'Main Creation Page'!$E$6="Well",OR(ISNUMBER(FIND(Experience!$G$11,BE59)),ISNUMBER(FIND(Experience!$G$11,BF59)),ISNUMBER(FIND(Experience!$I$11,BE59)),ISNUMBER(FIND(Experience!$I$11,BF59)))),1,0)</f>
        <v>0</v>
      </c>
      <c r="BC59" s="1080" t="str">
        <f t="shared" si="8"/>
        <v>Acrobatics</v>
      </c>
      <c r="BE59" s="1080" t="str">
        <f t="shared" si="9"/>
        <v/>
      </c>
      <c r="BF59" s="1080" t="str">
        <f t="shared" si="10"/>
        <v>Arts &amp; Entertainment Skills</v>
      </c>
    </row>
    <row r="60" spans="1:58" ht="15" customHeight="1" outlineLevel="1">
      <c r="A60" s="1115" t="s">
        <v>1839</v>
      </c>
      <c r="B60" s="1094"/>
      <c r="C60" s="1094"/>
      <c r="D60" s="1094"/>
      <c r="F60" s="1027"/>
      <c r="G60" s="1027"/>
      <c r="H60" s="1027"/>
      <c r="I60" s="1027"/>
      <c r="J60" s="1027"/>
      <c r="K60" s="1027"/>
      <c r="L60" s="1027"/>
      <c r="M60" s="1027"/>
      <c r="N60" s="1027"/>
      <c r="O60" s="1027"/>
      <c r="P60" s="1027"/>
      <c r="Q60" s="1027"/>
      <c r="R60" s="1027"/>
      <c r="S60" s="1028"/>
      <c r="T60" s="1028"/>
      <c r="U60" s="1027"/>
      <c r="V60" s="1027"/>
      <c r="W60" s="1028"/>
      <c r="X60" s="1092"/>
      <c r="AE60" s="1094"/>
      <c r="AF60" s="1094"/>
      <c r="AG60" s="1092"/>
      <c r="AH60" s="1092"/>
      <c r="AI60" s="1092"/>
      <c r="AM60" s="1092"/>
      <c r="AR60" s="1080" t="str">
        <f ca="1">IF(AND(NOT(ISBLANK(AJ60)),ISNA(MATCH(ROW(),'System Lookups'!$C$526:$C$539,0))),"Y","N")</f>
        <v>N</v>
      </c>
      <c r="AU60" s="1080" t="e">
        <f t="shared" si="15"/>
        <v>#N/A</v>
      </c>
      <c r="AV60" s="1080" t="str">
        <f t="shared" si="7"/>
        <v/>
      </c>
      <c r="AW60" s="1080">
        <f t="shared" si="16"/>
        <v>0</v>
      </c>
      <c r="AX60" s="1080">
        <f t="shared" si="17"/>
        <v>0</v>
      </c>
      <c r="AY60" s="1080">
        <f t="shared" si="18"/>
        <v>0</v>
      </c>
      <c r="AZ60" s="1080">
        <f t="shared" si="19"/>
        <v>0</v>
      </c>
      <c r="BA60" s="1080">
        <f t="shared" si="20"/>
        <v>0</v>
      </c>
      <c r="BB60" s="1080">
        <f>IF(AND(RACE=1,'Main Creation Page'!$E$6="Well",OR(ISNUMBER(FIND(Experience!$G$11,BE60)),ISNUMBER(FIND(Experience!$G$11,BF60)),ISNUMBER(FIND(Experience!$I$11,BE60)),ISNUMBER(FIND(Experience!$I$11,BF60)))),1,0)</f>
        <v>0</v>
      </c>
      <c r="BC60" s="1080" t="e">
        <f t="shared" si="8"/>
        <v>#N/A</v>
      </c>
      <c r="BE60" s="1080" t="str">
        <f t="shared" si="9"/>
        <v/>
      </c>
      <c r="BF60" s="1080" t="str">
        <f t="shared" si="10"/>
        <v>Arts &amp; Entertainment Skills</v>
      </c>
    </row>
    <row r="61" spans="1:58" ht="11.1" customHeight="1" outlineLevel="2">
      <c r="A61" s="1028" t="s">
        <v>1840</v>
      </c>
      <c r="B61" s="1094"/>
      <c r="C61" s="1094"/>
      <c r="D61" s="1094"/>
      <c r="E61" s="1095" t="s">
        <v>5224</v>
      </c>
      <c r="F61" s="1095" t="s">
        <v>5224</v>
      </c>
      <c r="G61" s="1096">
        <v>0</v>
      </c>
      <c r="H61" s="1096" t="s">
        <v>5224</v>
      </c>
      <c r="I61" s="1096" t="s">
        <v>5224</v>
      </c>
      <c r="J61" s="1096" t="s">
        <v>5224</v>
      </c>
      <c r="K61" s="1096" t="s">
        <v>5224</v>
      </c>
      <c r="L61" s="1096" t="s">
        <v>5224</v>
      </c>
      <c r="M61" s="1096" t="s">
        <v>5224</v>
      </c>
      <c r="N61" s="1096" t="s">
        <v>4631</v>
      </c>
      <c r="O61" s="1097"/>
      <c r="P61" s="1097" t="s">
        <v>780</v>
      </c>
      <c r="Q61" s="1097">
        <f t="shared" ref="Q61:Q62" ca="1" si="55">INDIRECT(P61)</f>
        <v>17</v>
      </c>
      <c r="R61" s="1097"/>
      <c r="S61" s="1028" t="s">
        <v>3613</v>
      </c>
      <c r="T61" s="1097">
        <f t="shared" ref="T61:T62" ca="1" si="56">INDIRECT(S61)</f>
        <v>15</v>
      </c>
      <c r="U61" s="1027">
        <v>3</v>
      </c>
      <c r="V61" s="1027">
        <f>IF(AP61+U61&gt;10,10,IF(AP61+U61&lt;1,1,AP61+U61))</f>
        <v>4</v>
      </c>
      <c r="W61" s="1098" t="e">
        <f>IF(OR(I61&lt;&gt;"N",E61="C"),IF(AND(N61&lt;&gt;"T",ISNUMBER(FIND("V",I61))),1,0),NA())+IF(H61="Y",IF(AND(N61="P",ISNUMBER(FIND("Z",I61))),2,1),0)+IF(J61="Y",1,0)+IF(K61="Y",3,0)+IF(BE61="Lore",L61*2+Experience!$D$25,0)+IF(M61="Y",1,0)</f>
        <v>#N/A</v>
      </c>
      <c r="X61" s="1099"/>
      <c r="Y61" s="1100">
        <f ca="1">IF(P61="NS",IFERROR(INDIRECT(S61),NA()),VLOOKUP(INDIRECT(P61)+INDIRECT(S61),'System Lookups'!$A$3:$D$146,2))</f>
        <v>0.08</v>
      </c>
      <c r="Z61" s="1100">
        <f>IF(ISNA(W61),0,W61*0.03)+IF(X61&gt;0,X61*0.03,0)+IF(AND(ISNA(W61),X61&lt;=0),0,IF(G61&gt;0,G61*0.07,0))</f>
        <v>0</v>
      </c>
      <c r="AA61" s="1101">
        <f ca="1">IF(ISNA(Y61),0,Y61)+Z61</f>
        <v>0.08</v>
      </c>
      <c r="AB61" s="1102">
        <f>VLOOKUP(V61,'System Lookups'!$J$55:$P$64,3)</f>
        <v>0.2</v>
      </c>
      <c r="AC61" s="1103">
        <f>VLOOKUP(V61,'System Lookups'!$J$55:$P$64,4)</f>
        <v>0.3</v>
      </c>
      <c r="AD61" s="1104">
        <f ca="1">IF(AND(ISBLANK(X61),ISNA(W61)),IF(B61="~",0,AB61+AA61+IF(BB61&gt;0,0.05,0)),AA61+AC61+IF(BB61&gt;0,0.05,0))</f>
        <v>0.28000000000000003</v>
      </c>
      <c r="AE61" s="1094">
        <f ca="1">(IF(AD61&gt;VLOOKUP(V61,'System Lookups'!$J$55:$P$63,6),(((AD61-VLOOKUP(V61,'System Lookups'!$J$55:$P$63,6))*100)/20),0))+AF61</f>
        <v>0</v>
      </c>
      <c r="AF61" s="1094"/>
      <c r="AG61" s="1092">
        <f>IF(ISBLANK(X61),0,AQ61*X61+IF(ISNA(W61),1,0))</f>
        <v>0</v>
      </c>
      <c r="AH61" s="1092" t="str">
        <f>IF(X61&lt;=Experience!$R$15+1,"","*")</f>
        <v/>
      </c>
      <c r="AI61" s="1092"/>
      <c r="AJ61" s="1080">
        <f t="shared" ref="AJ61:AJ62" si="57">IF(ISNUMBER(FIND("R",F61)),-1,0)</f>
        <v>0</v>
      </c>
      <c r="AK61" s="1080">
        <f>IF(F61="s",-2,0)</f>
        <v>0</v>
      </c>
      <c r="AL61" s="1080">
        <f t="shared" ref="AL61:AL63" si="58">IF(AND(H61="Y",OR(N61="P",N61="S")),-1,0)</f>
        <v>0</v>
      </c>
      <c r="AM61" s="1092">
        <f>IF(J61="y",1,0)</f>
        <v>0</v>
      </c>
      <c r="AN61" s="1080">
        <f>IF(N61="P",-1,IF(N61="T",1,0))</f>
        <v>1</v>
      </c>
      <c r="AO61" s="1080">
        <f t="shared" ref="AO61:AO63" si="59">IF(ISNUMBER(FIND("Z",I61)),1,0)</f>
        <v>0</v>
      </c>
      <c r="AP61" s="1080">
        <f>SUM(AJ61:AN61)-AM61</f>
        <v>1</v>
      </c>
      <c r="AQ61" s="1027">
        <f>VLOOKUP(V61,'System Lookups'!$J$55:$P$64,7)</f>
        <v>600</v>
      </c>
      <c r="AR61" s="1080" t="str">
        <f ca="1">IF(AND(NOT(ISBLANK(AJ61)),ISNA(MATCH(ROW(),'System Lookups'!$C$526:$C$539,0))),"Y","N")</f>
        <v>Y</v>
      </c>
      <c r="AS61" s="1080">
        <f>AG61-AI61</f>
        <v>0</v>
      </c>
      <c r="AU61" s="1080" t="e">
        <f t="shared" si="15"/>
        <v>#N/A</v>
      </c>
      <c r="AV61" s="1080" t="str">
        <f t="shared" si="7"/>
        <v>T</v>
      </c>
      <c r="AW61" s="1080">
        <f t="shared" si="16"/>
        <v>0</v>
      </c>
      <c r="AX61" s="1080">
        <f t="shared" si="17"/>
        <v>0</v>
      </c>
      <c r="AY61" s="1080">
        <f t="shared" si="18"/>
        <v>0</v>
      </c>
      <c r="AZ61" s="1080">
        <f t="shared" si="19"/>
        <v>0</v>
      </c>
      <c r="BA61" s="1080">
        <f t="shared" si="20"/>
        <v>0</v>
      </c>
      <c r="BB61" s="1080">
        <f>IF(AND(RACE=1,'Main Creation Page'!$E$6="Well",OR(ISNUMBER(FIND(Experience!$G$11,BE61)),ISNUMBER(FIND(Experience!$G$11,BF61)),ISNUMBER(FIND(Experience!$I$11,BE61)),ISNUMBER(FIND(Experience!$I$11,BF61)))),1,0)</f>
        <v>0</v>
      </c>
      <c r="BC61" s="1080" t="str">
        <f t="shared" si="8"/>
        <v>Costuming</v>
      </c>
      <c r="BE61" s="1080" t="str">
        <f t="shared" si="9"/>
        <v/>
      </c>
      <c r="BF61" s="1080" t="str">
        <f t="shared" si="10"/>
        <v>Arts &amp; Entertainment Skills</v>
      </c>
    </row>
    <row r="62" spans="1:58" ht="11.1" customHeight="1" outlineLevel="2">
      <c r="A62" s="1028" t="s">
        <v>1842</v>
      </c>
      <c r="B62" s="1094"/>
      <c r="C62" s="1094"/>
      <c r="D62" s="1094"/>
      <c r="E62" s="1095" t="s">
        <v>5224</v>
      </c>
      <c r="F62" s="1095" t="s">
        <v>5224</v>
      </c>
      <c r="G62" s="1096">
        <v>0</v>
      </c>
      <c r="H62" s="1096" t="s">
        <v>5224</v>
      </c>
      <c r="I62" s="1096" t="s">
        <v>5224</v>
      </c>
      <c r="J62" s="1096" t="s">
        <v>5224</v>
      </c>
      <c r="K62" s="1096" t="s">
        <v>5224</v>
      </c>
      <c r="L62" s="1096" t="s">
        <v>5224</v>
      </c>
      <c r="M62" s="1096" t="s">
        <v>5224</v>
      </c>
      <c r="N62" s="1096" t="s">
        <v>4631</v>
      </c>
      <c r="O62" s="1097"/>
      <c r="P62" s="1097" t="s">
        <v>3612</v>
      </c>
      <c r="Q62" s="1097">
        <f t="shared" ca="1" si="55"/>
        <v>10</v>
      </c>
      <c r="R62" s="1097"/>
      <c r="S62" s="1028" t="s">
        <v>3613</v>
      </c>
      <c r="T62" s="1097">
        <f t="shared" ca="1" si="56"/>
        <v>15</v>
      </c>
      <c r="U62" s="1027">
        <v>4</v>
      </c>
      <c r="V62" s="1027">
        <f>IF(AP62+U62&gt;10,10,IF(AP62+U62&lt;1,1,AP62+U62))</f>
        <v>5</v>
      </c>
      <c r="W62" s="1098" t="e">
        <f>IF(OR(I62&lt;&gt;"N",E62="C"),IF(AND(N62&lt;&gt;"T",ISNUMBER(FIND("V",I62))),1,0),NA())+IF(H62="Y",IF(AND(N62="P",ISNUMBER(FIND("Z",I62))),2,1),0)+IF(J62="Y",1,0)+IF(K62="Y",3,0)+IF(BE62="Lore",L62*2+Experience!$D$25,0)+IF(M62="Y",1,0)</f>
        <v>#N/A</v>
      </c>
      <c r="X62" s="1099"/>
      <c r="Y62" s="1100">
        <f ca="1">IF(P62="NS",IFERROR(INDIRECT(S62),NA()),VLOOKUP(INDIRECT(P62)+INDIRECT(S62),'System Lookups'!$A$3:$D$146,2))</f>
        <v>0.02</v>
      </c>
      <c r="Z62" s="1100">
        <f>IF(ISNA(W62),0,W62*0.03)+IF(X62&gt;0,X62*0.03,0)+IF(AND(ISNA(W62),X62&lt;=0),0,IF(G62&gt;0,G62*0.07,0))</f>
        <v>0</v>
      </c>
      <c r="AA62" s="1101">
        <f ca="1">IF(ISNA(Y62),0,Y62)+Z62</f>
        <v>0.02</v>
      </c>
      <c r="AB62" s="1102">
        <f>VLOOKUP(V62,'System Lookups'!$J$55:$P$64,3)</f>
        <v>0.1</v>
      </c>
      <c r="AC62" s="1103">
        <f>VLOOKUP(V62,'System Lookups'!$J$55:$P$64,4)</f>
        <v>0.2</v>
      </c>
      <c r="AD62" s="1104">
        <f ca="1">IF(AND(ISBLANK(X62),ISNA(W62)),IF(B62="~",0,AB62+AA62+IF(BB62&gt;0,0.05,0)),AA62+AC62+IF(BB62&gt;0,0.05,0))</f>
        <v>0.12000000000000001</v>
      </c>
      <c r="AE62" s="1094">
        <f ca="1">(IF(AD62&gt;VLOOKUP(V62,'System Lookups'!$J$55:$P$63,6),(((AD62-VLOOKUP(V62,'System Lookups'!$J$55:$P$63,6))*100)/20),0))+AF62</f>
        <v>0</v>
      </c>
      <c r="AF62" s="1120">
        <f>IF('Main Creation Page'!E13&gt;=19, IF('Main Creation Page'!E11&gt;=19,2,1),0)</f>
        <v>0</v>
      </c>
      <c r="AG62" s="1092">
        <f>IF(ISBLANK(X62),0,AQ62*X62+IF(ISNA(W62),1,0))</f>
        <v>0</v>
      </c>
      <c r="AH62" s="1092" t="str">
        <f>IF(X62&lt;=Experience!$R$15+1,"","*")</f>
        <v/>
      </c>
      <c r="AI62" s="1092"/>
      <c r="AJ62" s="1080">
        <f t="shared" si="57"/>
        <v>0</v>
      </c>
      <c r="AK62" s="1080">
        <f>IF(F62="s",-2,0)</f>
        <v>0</v>
      </c>
      <c r="AL62" s="1080">
        <f t="shared" si="58"/>
        <v>0</v>
      </c>
      <c r="AM62" s="1092">
        <f>IF(J62="y",1,0)</f>
        <v>0</v>
      </c>
      <c r="AN62" s="1080">
        <f>IF(N62="P",-1,IF(N62="T",1,0))</f>
        <v>1</v>
      </c>
      <c r="AO62" s="1080">
        <f t="shared" si="59"/>
        <v>0</v>
      </c>
      <c r="AP62" s="1080">
        <f>SUM(AJ62:AN62)-AM62</f>
        <v>1</v>
      </c>
      <c r="AQ62" s="1027">
        <f>VLOOKUP(V62,'System Lookups'!$J$55:$P$64,7)</f>
        <v>700</v>
      </c>
      <c r="AR62" s="1080" t="str">
        <f ca="1">IF(AND(NOT(ISBLANK(AJ62)),ISNA(MATCH(ROW(),'System Lookups'!$C$526:$C$539,0))),"Y","N")</f>
        <v>Y</v>
      </c>
      <c r="AS62" s="1080">
        <f>AG62-AI62</f>
        <v>0</v>
      </c>
      <c r="AU62" s="1080" t="e">
        <f t="shared" si="15"/>
        <v>#N/A</v>
      </c>
      <c r="AV62" s="1080" t="str">
        <f t="shared" si="7"/>
        <v>T</v>
      </c>
      <c r="AW62" s="1080">
        <f t="shared" si="16"/>
        <v>0</v>
      </c>
      <c r="AX62" s="1080">
        <f t="shared" si="17"/>
        <v>0</v>
      </c>
      <c r="AY62" s="1080">
        <f t="shared" si="18"/>
        <v>0</v>
      </c>
      <c r="AZ62" s="1080">
        <f t="shared" si="19"/>
        <v>0</v>
      </c>
      <c r="BA62" s="1080">
        <f t="shared" si="20"/>
        <v>0</v>
      </c>
      <c r="BB62" s="1080">
        <f>IF(AND(RACE=1,'Main Creation Page'!$E$6="Well",OR(ISNUMBER(FIND(Experience!$G$11,BE62)),ISNUMBER(FIND(Experience!$G$11,BF62)),ISNUMBER(FIND(Experience!$I$11,BE62)),ISNUMBER(FIND(Experience!$I$11,BF62)))),1,0)</f>
        <v>0</v>
      </c>
      <c r="BC62" s="1080" t="str">
        <f t="shared" si="8"/>
        <v>Performance</v>
      </c>
      <c r="BE62" s="1080" t="str">
        <f t="shared" si="9"/>
        <v/>
      </c>
      <c r="BF62" s="1080" t="str">
        <f t="shared" si="10"/>
        <v>Arts &amp; Entertainment Skills</v>
      </c>
    </row>
    <row r="63" spans="1:58" ht="11.1" customHeight="1" outlineLevel="2">
      <c r="A63" s="1028" t="s">
        <v>1843</v>
      </c>
      <c r="B63" s="1094"/>
      <c r="C63" s="1094"/>
      <c r="D63" s="1094"/>
      <c r="E63" s="1095" t="s">
        <v>5224</v>
      </c>
      <c r="F63" s="1095" t="s">
        <v>5224</v>
      </c>
      <c r="G63" s="1096">
        <v>0</v>
      </c>
      <c r="H63" s="1096" t="s">
        <v>5224</v>
      </c>
      <c r="I63" s="1096" t="s">
        <v>5224</v>
      </c>
      <c r="J63" s="1096" t="s">
        <v>5224</v>
      </c>
      <c r="K63" s="1096" t="s">
        <v>5224</v>
      </c>
      <c r="L63" s="1096" t="s">
        <v>5224</v>
      </c>
      <c r="M63" s="1096" t="s">
        <v>5224</v>
      </c>
      <c r="N63" s="1096" t="s">
        <v>4631</v>
      </c>
      <c r="O63" s="1097"/>
      <c r="P63" s="1097" t="s">
        <v>3612</v>
      </c>
      <c r="Q63" s="1097">
        <f ca="1">INDIRECT(P63)</f>
        <v>10</v>
      </c>
      <c r="R63" s="1097"/>
      <c r="S63" s="1097" t="s">
        <v>3611</v>
      </c>
      <c r="T63" s="1097">
        <f ca="1">INDIRECT(S63)</f>
        <v>15</v>
      </c>
      <c r="U63" s="1027">
        <v>4</v>
      </c>
      <c r="V63" s="1027">
        <f>IF(AP63+U63&gt;10,10,IF(AP63+U63&lt;1,1,AP63+U63))</f>
        <v>5</v>
      </c>
      <c r="W63" s="1098" t="e">
        <f>IF(OR(I63&lt;&gt;"N",E63="C"),IF(AND(N63&lt;&gt;"T",ISNUMBER(FIND("V",I63))),1,0),NA())+IF(H63="Y",IF(AND(N63="P",ISNUMBER(FIND("Z",I63))),2,1),0)+IF(J63="Y",1,0)+IF(K63="Y",3,0)+IF(BE63="Lore",L63*2+Experience!$D$25,0)+IF(M63="Y",1,0)</f>
        <v>#N/A</v>
      </c>
      <c r="X63" s="1099"/>
      <c r="Y63" s="1100">
        <f ca="1">IF(P63="NS",IFERROR(INDIRECT(S63),NA()),VLOOKUP(INDIRECT(P63)+INDIRECT(S63),'System Lookups'!$A$3:$D$146,2))</f>
        <v>0.02</v>
      </c>
      <c r="Z63" s="1100">
        <f>IF(ISNA(W63),0,W63*0.03)+IF(X63&gt;0,X63*0.03,0)+IF(AND(ISNA(W63),X63&lt;=0),0,IF(G63&gt;0,G63*0.07,0))</f>
        <v>0</v>
      </c>
      <c r="AA63" s="1101">
        <f ca="1">IF(ISNA(Y63),0,Y63)+Z63</f>
        <v>0.02</v>
      </c>
      <c r="AB63" s="1102">
        <f>VLOOKUP(V63,'System Lookups'!$J$55:$P$64,3)</f>
        <v>0.1</v>
      </c>
      <c r="AC63" s="1103">
        <f>VLOOKUP(V63,'System Lookups'!$J$55:$P$64,4)</f>
        <v>0.2</v>
      </c>
      <c r="AD63" s="1104">
        <f ca="1">IF(AND(ISBLANK(X63),ISNA(W63)),IF(B63="~",0,AB63+AA63+IF(BB63&gt;0,0.05,0)),AA63+AC63+IF(BB63&gt;0,0.05,0))</f>
        <v>0.12000000000000001</v>
      </c>
      <c r="AE63" s="1094">
        <f ca="1">(IF(AD63&gt;VLOOKUP(V63,'System Lookups'!$J$55:$P$63,6),(((AD63-VLOOKUP(V63,'System Lookups'!$J$55:$P$63,6))*100)/20),0))+AF63</f>
        <v>0</v>
      </c>
      <c r="AF63" s="1120">
        <f>IF('Main Creation Page'!E11&gt;=19, IF('Main Creation Page'!E9&gt;=19,2,1),0)</f>
        <v>0</v>
      </c>
      <c r="AG63" s="1092">
        <f>IF(ISBLANK(X63),0,AQ63*X63+IF(ISNA(W63),1,0))</f>
        <v>0</v>
      </c>
      <c r="AH63" s="1092" t="str">
        <f>IF(X63&lt;=Experience!$R$15+1,"","*")</f>
        <v/>
      </c>
      <c r="AI63" s="1092"/>
      <c r="AJ63" s="1080">
        <f>IF(ISNUMBER(FIND("R",F63)),-1,0)</f>
        <v>0</v>
      </c>
      <c r="AK63" s="1080">
        <f>IF(F63="s",-2,0)</f>
        <v>0</v>
      </c>
      <c r="AL63" s="1080">
        <f t="shared" si="58"/>
        <v>0</v>
      </c>
      <c r="AM63" s="1092">
        <f>IF(J63="y",1,0)</f>
        <v>0</v>
      </c>
      <c r="AN63" s="1080">
        <f>IF(N63="P",-1,IF(N63="T",1,0))</f>
        <v>1</v>
      </c>
      <c r="AO63" s="1080">
        <f t="shared" si="59"/>
        <v>0</v>
      </c>
      <c r="AP63" s="1080">
        <f>SUM(AJ63:AN63)-AM63</f>
        <v>1</v>
      </c>
      <c r="AQ63" s="1027">
        <f>VLOOKUP(V63,'System Lookups'!$J$55:$P$64,7)</f>
        <v>700</v>
      </c>
      <c r="AR63" s="1080" t="str">
        <f ca="1">IF(AND(NOT(ISBLANK(AJ63)),ISNA(MATCH(ROW(),'System Lookups'!$C$526:$C$539,0))),"Y","N")</f>
        <v>Y</v>
      </c>
      <c r="AS63" s="1080">
        <f>AG63-AI63</f>
        <v>0</v>
      </c>
      <c r="AU63" s="1080" t="e">
        <f t="shared" si="15"/>
        <v>#N/A</v>
      </c>
      <c r="AV63" s="1080" t="str">
        <f t="shared" si="7"/>
        <v>T</v>
      </c>
      <c r="AW63" s="1080">
        <f t="shared" si="16"/>
        <v>0</v>
      </c>
      <c r="AX63" s="1080">
        <f t="shared" si="17"/>
        <v>0</v>
      </c>
      <c r="AY63" s="1080">
        <f t="shared" si="18"/>
        <v>0</v>
      </c>
      <c r="AZ63" s="1080">
        <f t="shared" si="19"/>
        <v>0</v>
      </c>
      <c r="BA63" s="1080">
        <f t="shared" si="20"/>
        <v>0</v>
      </c>
      <c r="BB63" s="1080">
        <f>IF(AND(RACE=1,'Main Creation Page'!$E$6="Well",OR(ISNUMBER(FIND(Experience!$G$11,BE63)),ISNUMBER(FIND(Experience!$G$11,BF63)),ISNUMBER(FIND(Experience!$I$11,BE63)),ISNUMBER(FIND(Experience!$I$11,BF63)))),1,0)</f>
        <v>0</v>
      </c>
      <c r="BC63" s="1080" t="str">
        <f t="shared" si="8"/>
        <v>Acting:Ventriloquism</v>
      </c>
      <c r="BD63" s="1080" t="s">
        <v>5680</v>
      </c>
      <c r="BE63" s="1080" t="str">
        <f t="shared" si="9"/>
        <v/>
      </c>
      <c r="BF63" s="1080" t="str">
        <f t="shared" si="10"/>
        <v>Arts &amp; Entertainment Skills</v>
      </c>
    </row>
    <row r="64" spans="1:58" ht="11.1" customHeight="1" outlineLevel="2">
      <c r="V64" s="1027"/>
      <c r="W64" s="1112"/>
      <c r="AE64" s="1094"/>
      <c r="AF64" s="1121"/>
      <c r="AG64" s="1092"/>
      <c r="AH64" s="1092"/>
      <c r="AI64" s="1092"/>
      <c r="AM64" s="1092"/>
      <c r="AQ64" s="1027"/>
      <c r="AR64" s="1080" t="str">
        <f ca="1">IF(AND(NOT(ISBLANK(AJ64)),ISNA(MATCH(ROW(),'System Lookups'!$C$526:$C$539,0))),"Y","N")</f>
        <v>N</v>
      </c>
      <c r="AU64" s="1080" t="e">
        <f t="shared" si="15"/>
        <v>#N/A</v>
      </c>
      <c r="AV64" s="1080" t="str">
        <f t="shared" si="7"/>
        <v/>
      </c>
      <c r="AW64" s="1080">
        <f t="shared" si="16"/>
        <v>0</v>
      </c>
      <c r="AX64" s="1080">
        <f t="shared" si="17"/>
        <v>0</v>
      </c>
      <c r="AY64" s="1080">
        <f t="shared" si="18"/>
        <v>0</v>
      </c>
      <c r="AZ64" s="1080">
        <f t="shared" si="19"/>
        <v>0</v>
      </c>
      <c r="BA64" s="1080">
        <f t="shared" si="20"/>
        <v>0</v>
      </c>
      <c r="BB64" s="1080">
        <f>IF(AND(RACE=1,'Main Creation Page'!$E$6="Well",OR(ISNUMBER(FIND(Experience!$G$11,BE64)),ISNUMBER(FIND(Experience!$G$11,BF64)),ISNUMBER(FIND(Experience!$I$11,BE64)),ISNUMBER(FIND(Experience!$I$11,BF64)))),1,0)</f>
        <v>0</v>
      </c>
      <c r="BC64" s="1080" t="e">
        <f t="shared" si="8"/>
        <v>#N/A</v>
      </c>
      <c r="BD64" s="1080" t="s">
        <v>5680</v>
      </c>
      <c r="BE64" s="1080" t="str">
        <f t="shared" si="9"/>
        <v/>
      </c>
      <c r="BF64" s="1080" t="str">
        <f t="shared" si="10"/>
        <v>Arts &amp; Entertainment Skills</v>
      </c>
    </row>
    <row r="65" spans="1:58" ht="11.1" customHeight="1" outlineLevel="1">
      <c r="A65" s="1122" t="s">
        <v>2019</v>
      </c>
      <c r="B65" s="1094"/>
      <c r="C65" s="1094"/>
      <c r="D65" s="1094"/>
      <c r="E65" s="1095" t="s">
        <v>5224</v>
      </c>
      <c r="F65" s="1095" t="s">
        <v>5224</v>
      </c>
      <c r="G65" s="1096">
        <v>0</v>
      </c>
      <c r="H65" s="1096" t="s">
        <v>5224</v>
      </c>
      <c r="I65" s="1096" t="s">
        <v>5224</v>
      </c>
      <c r="J65" s="1096" t="s">
        <v>5224</v>
      </c>
      <c r="K65" s="1096" t="s">
        <v>5224</v>
      </c>
      <c r="L65" s="1096" t="s">
        <v>5224</v>
      </c>
      <c r="M65" s="1096" t="s">
        <v>5224</v>
      </c>
      <c r="N65" s="1096" t="s">
        <v>4631</v>
      </c>
      <c r="O65" s="1097"/>
      <c r="P65" s="1097" t="s">
        <v>3612</v>
      </c>
      <c r="Q65" s="1097">
        <f t="shared" ref="Q65:Q67" ca="1" si="60">INDIRECT(P65)</f>
        <v>10</v>
      </c>
      <c r="R65" s="1097"/>
      <c r="S65" s="1028" t="s">
        <v>3613</v>
      </c>
      <c r="T65" s="1097">
        <f t="shared" ref="T65:T67" ca="1" si="61">INDIRECT(S65)</f>
        <v>15</v>
      </c>
      <c r="U65" s="1027">
        <v>4</v>
      </c>
      <c r="V65" s="1027">
        <f>IF(AP65+U65&gt;10,10,IF(AP65+U65&lt;1,1,AP65+U65))</f>
        <v>5</v>
      </c>
      <c r="W65" s="1098" t="e">
        <f>IF(OR(I65&lt;&gt;"N",E65="C"),IF(AND(N65&lt;&gt;"T",ISNUMBER(FIND("V",I65))),1,0),NA())+IF(H65="Y",IF(AND(N65="P",ISNUMBER(FIND("Z",I65))),2,1),0)+IF(J65="Y",1,0)+IF(K65="Y",3,0)+IF(BE65="Lore",L65*2+Experience!$D$25,0)+IF(M65="Y",1,0)</f>
        <v>#N/A</v>
      </c>
      <c r="X65" s="1099"/>
      <c r="Y65" s="1100">
        <f ca="1">IF(P65="NS",IFERROR(INDIRECT(S65),NA()),VLOOKUP(INDIRECT(P65)+INDIRECT(S65),'System Lookups'!$A$3:$D$146,2))</f>
        <v>0.02</v>
      </c>
      <c r="Z65" s="1100">
        <f>IF(ISNA(W65),0,W65*0.03)+IF(X65&gt;0,X65*0.03,0)+IF(AND(ISNA(W65),X65&lt;=0),0,IF(G65&gt;0,G65*0.07,0))</f>
        <v>0</v>
      </c>
      <c r="AA65" s="1101">
        <f ca="1">IF(ISNA(Y65),0,Y65)+Z65</f>
        <v>0.02</v>
      </c>
      <c r="AB65" s="1102">
        <f>VLOOKUP(V65,'System Lookups'!$J$55:$P$64,3)</f>
        <v>0.1</v>
      </c>
      <c r="AC65" s="1103">
        <f>VLOOKUP(V65,'System Lookups'!$J$55:$P$64,4)</f>
        <v>0.2</v>
      </c>
      <c r="AD65" s="1104">
        <f ca="1">IF(AND(ISBLANK(X65),ISNA(W65)),IF(B65="~",0,AB65+AA65+IF(BB65&gt;0,0.05,0)),AA65+AC65+IF(BB65&gt;0,0.05,0))</f>
        <v>0.12000000000000001</v>
      </c>
      <c r="AE65" s="1094">
        <f ca="1">(IF(AD65&gt;VLOOKUP(V65,'System Lookups'!$J$55:$P$63,6),(((AD65-VLOOKUP(V65,'System Lookups'!$J$55:$P$63,6))*100)/20),0))+AF65</f>
        <v>0</v>
      </c>
      <c r="AF65" s="1121"/>
      <c r="AG65" s="1092">
        <f>IF(ISBLANK(X65),0,AQ65*X65+IF(ISNA(W65),1,0))</f>
        <v>0</v>
      </c>
      <c r="AH65" s="1092" t="str">
        <f>IF(X65&lt;=Experience!$R$15+1,"","*")</f>
        <v/>
      </c>
      <c r="AI65" s="1092"/>
      <c r="AJ65" s="1080">
        <f t="shared" ref="AJ65:AJ67" si="62">IF(ISNUMBER(FIND("R",F65)),-1,0)</f>
        <v>0</v>
      </c>
      <c r="AK65" s="1080">
        <f>IF(F65="s",-2,0)</f>
        <v>0</v>
      </c>
      <c r="AL65" s="1080">
        <f t="shared" ref="AL65:AL68" si="63">IF(AND(H65="Y",OR(N65="P",N65="S")),-1,0)</f>
        <v>0</v>
      </c>
      <c r="AM65" s="1092">
        <f>IF(J65="y",1,0)</f>
        <v>0</v>
      </c>
      <c r="AN65" s="1080">
        <f>IF(N65="P",-1,IF(N65="T",1,0))</f>
        <v>1</v>
      </c>
      <c r="AO65" s="1080">
        <f t="shared" ref="AO65:AO68" si="64">IF(ISNUMBER(FIND("Z",I65)),1,0)</f>
        <v>0</v>
      </c>
      <c r="AP65" s="1080">
        <f>SUM(AJ65:AN65)-AM65</f>
        <v>1</v>
      </c>
      <c r="AQ65" s="1027">
        <f>VLOOKUP(V65,'System Lookups'!$J$55:$P$64,7)</f>
        <v>700</v>
      </c>
      <c r="AR65" s="1080" t="str">
        <f ca="1">IF(AND(NOT(ISBLANK(AJ65)),ISNA(MATCH(ROW(),'System Lookups'!$C$526:$C$539,0))),"Y","N")</f>
        <v>Y</v>
      </c>
      <c r="AS65" s="1080">
        <f>AG65-AI65</f>
        <v>0</v>
      </c>
      <c r="AU65" s="1080" t="e">
        <f t="shared" si="15"/>
        <v>#N/A</v>
      </c>
      <c r="AV65" s="1080" t="str">
        <f t="shared" si="7"/>
        <v>T</v>
      </c>
      <c r="AW65" s="1080">
        <f t="shared" si="16"/>
        <v>0</v>
      </c>
      <c r="AX65" s="1080">
        <f t="shared" si="17"/>
        <v>0</v>
      </c>
      <c r="AY65" s="1080">
        <f t="shared" si="18"/>
        <v>0</v>
      </c>
      <c r="AZ65" s="1080">
        <f t="shared" si="19"/>
        <v>0</v>
      </c>
      <c r="BA65" s="1080">
        <f t="shared" si="20"/>
        <v>0</v>
      </c>
      <c r="BB65" s="1080">
        <f>IF(AND(RACE=1,'Main Creation Page'!$E$6="Well",OR(ISNUMBER(FIND(Experience!$G$11,BE65)),ISNUMBER(FIND(Experience!$G$11,BF65)),ISNUMBER(FIND(Experience!$I$11,BE65)),ISNUMBER(FIND(Experience!$I$11,BF65)))),1,0)</f>
        <v>0</v>
      </c>
      <c r="BC65" s="1080" t="str">
        <f t="shared" si="8"/>
        <v>Acting:Animal Performance</v>
      </c>
      <c r="BD65" s="1080" t="s">
        <v>5680</v>
      </c>
      <c r="BE65" s="1080" t="str">
        <f t="shared" si="9"/>
        <v/>
      </c>
      <c r="BF65" s="1080" t="str">
        <f t="shared" si="10"/>
        <v>Arts &amp; Entertainment Skills</v>
      </c>
    </row>
    <row r="66" spans="1:58" ht="11.1" customHeight="1" outlineLevel="1">
      <c r="A66" s="1122" t="s">
        <v>2020</v>
      </c>
      <c r="B66" s="1094"/>
      <c r="C66" s="1094"/>
      <c r="D66" s="1094"/>
      <c r="E66" s="1095" t="s">
        <v>5224</v>
      </c>
      <c r="F66" s="1095" t="s">
        <v>5224</v>
      </c>
      <c r="G66" s="1096">
        <v>0</v>
      </c>
      <c r="H66" s="1096" t="s">
        <v>5224</v>
      </c>
      <c r="I66" s="1096" t="s">
        <v>5224</v>
      </c>
      <c r="J66" s="1096" t="s">
        <v>5224</v>
      </c>
      <c r="K66" s="1096" t="s">
        <v>5224</v>
      </c>
      <c r="L66" s="1096" t="s">
        <v>5224</v>
      </c>
      <c r="M66" s="1096" t="s">
        <v>5224</v>
      </c>
      <c r="N66" s="1096" t="s">
        <v>4631</v>
      </c>
      <c r="O66" s="1097"/>
      <c r="P66" s="1097" t="s">
        <v>3611</v>
      </c>
      <c r="Q66" s="1097">
        <f t="shared" ca="1" si="60"/>
        <v>15</v>
      </c>
      <c r="R66" s="1097"/>
      <c r="S66" s="1028" t="s">
        <v>3613</v>
      </c>
      <c r="T66" s="1097">
        <f t="shared" ca="1" si="61"/>
        <v>15</v>
      </c>
      <c r="U66" s="1027">
        <v>5</v>
      </c>
      <c r="V66" s="1027">
        <f>IF(AP66+U66&gt;10,10,IF(AP66+U66&lt;1,1,AP66+U66))</f>
        <v>6</v>
      </c>
      <c r="W66" s="1098" t="e">
        <f>IF(OR(I66&lt;&gt;"N",E66="C"),IF(AND(N66&lt;&gt;"T",ISNUMBER(FIND("V",I66))),1,0),NA())+IF(H66="Y",IF(AND(N66="P",ISNUMBER(FIND("Z",I66))),2,1),0)+IF(J66="Y",1,0)+IF(K66="Y",3,0)+IF(BE66="Lore",L66*2+Experience!$D$25,0)+IF(M66="Y",1,0)</f>
        <v>#N/A</v>
      </c>
      <c r="X66" s="1099"/>
      <c r="Y66" s="1100">
        <f ca="1">IF(P66="NS",IFERROR(INDIRECT(S66),NA()),VLOOKUP(INDIRECT(P66)+INDIRECT(S66),'System Lookups'!$A$3:$D$146,2))</f>
        <v>0.06</v>
      </c>
      <c r="Z66" s="1100">
        <f>IF(ISNA(W66),0,W66*0.03)+IF(X66&gt;0,X66*0.03,0)+IF(AND(ISNA(W66),X66&lt;=0),0,IF(G66&gt;0,G66*0.07,0))</f>
        <v>0</v>
      </c>
      <c r="AA66" s="1101">
        <f ca="1">IF(ISNA(Y66),0,Y66)+Z66</f>
        <v>0.06</v>
      </c>
      <c r="AB66" s="1102">
        <f>VLOOKUP(V66,'System Lookups'!$J$55:$P$64,3)</f>
        <v>0.05</v>
      </c>
      <c r="AC66" s="1103">
        <f>VLOOKUP(V66,'System Lookups'!$J$55:$P$64,4)</f>
        <v>0.1</v>
      </c>
      <c r="AD66" s="1104">
        <f ca="1">IF(AND(ISBLANK(X66),ISNA(W66)),IF(B66="~",0,AB66+AA66+IF(BB66&gt;0,0.05,0)),AA66+AC66+IF(BB66&gt;0,0.05,0))</f>
        <v>0.11</v>
      </c>
      <c r="AE66" s="1094">
        <f ca="1">(IF(AD66&gt;VLOOKUP(V66,'System Lookups'!$J$55:$P$63,6),(((AD66-VLOOKUP(V66,'System Lookups'!$J$55:$P$63,6))*100)/20),0))+AF66</f>
        <v>0</v>
      </c>
      <c r="AF66" s="1121"/>
      <c r="AG66" s="1092">
        <f>IF(ISBLANK(X66),0,AQ66*X66+IF(ISNA(W66),1,0))</f>
        <v>0</v>
      </c>
      <c r="AH66" s="1092" t="str">
        <f>IF(X66&lt;=Experience!$R$15+1,"","*")</f>
        <v/>
      </c>
      <c r="AI66" s="1092"/>
      <c r="AJ66" s="1080">
        <f t="shared" si="62"/>
        <v>0</v>
      </c>
      <c r="AK66" s="1080">
        <f>IF(F66="s",-2,0)</f>
        <v>0</v>
      </c>
      <c r="AL66" s="1080">
        <f t="shared" si="63"/>
        <v>0</v>
      </c>
      <c r="AM66" s="1092">
        <f>IF(J66="y",1,0)</f>
        <v>0</v>
      </c>
      <c r="AN66" s="1080">
        <f>IF(N66="P",-1,IF(N66="T",1,0))</f>
        <v>1</v>
      </c>
      <c r="AO66" s="1080">
        <f t="shared" si="64"/>
        <v>0</v>
      </c>
      <c r="AP66" s="1080">
        <f>SUM(AJ66:AN66)-AM66</f>
        <v>1</v>
      </c>
      <c r="AQ66" s="1027">
        <f>VLOOKUP(V66,'System Lookups'!$J$55:$P$64,7)</f>
        <v>800</v>
      </c>
      <c r="AR66" s="1080" t="str">
        <f ca="1">IF(AND(NOT(ISBLANK(AJ66)),ISNA(MATCH(ROW(),'System Lookups'!$C$526:$C$539,0))),"Y","N")</f>
        <v>Y</v>
      </c>
      <c r="AS66" s="1080">
        <f>AG66-AI66</f>
        <v>0</v>
      </c>
      <c r="AU66" s="1080" t="e">
        <f t="shared" si="15"/>
        <v>#N/A</v>
      </c>
      <c r="AV66" s="1080" t="str">
        <f t="shared" si="7"/>
        <v>T</v>
      </c>
      <c r="AW66" s="1080">
        <f t="shared" si="16"/>
        <v>0</v>
      </c>
      <c r="AX66" s="1080">
        <f t="shared" si="17"/>
        <v>0</v>
      </c>
      <c r="AY66" s="1080">
        <f t="shared" si="18"/>
        <v>0</v>
      </c>
      <c r="AZ66" s="1080">
        <f t="shared" si="19"/>
        <v>0</v>
      </c>
      <c r="BA66" s="1080">
        <f t="shared" si="20"/>
        <v>0</v>
      </c>
      <c r="BB66" s="1080">
        <f>IF(AND(RACE=1,'Main Creation Page'!$E$6="Well",OR(ISNUMBER(FIND(Experience!$G$11,BE66)),ISNUMBER(FIND(Experience!$G$11,BF66)),ISNUMBER(FIND(Experience!$I$11,BE66)),ISNUMBER(FIND(Experience!$I$11,BF66)))),1,0)</f>
        <v>0</v>
      </c>
      <c r="BC66" s="1080" t="str">
        <f t="shared" si="8"/>
        <v>Bullfighting</v>
      </c>
      <c r="BE66" s="1080" t="str">
        <f t="shared" si="9"/>
        <v/>
      </c>
      <c r="BF66" s="1080" t="str">
        <f t="shared" si="10"/>
        <v>Arts &amp; Entertainment Skills</v>
      </c>
    </row>
    <row r="67" spans="1:58" ht="11.1" customHeight="1" outlineLevel="1">
      <c r="A67" s="1117" t="s">
        <v>2753</v>
      </c>
      <c r="B67" s="1094" t="s">
        <v>1942</v>
      </c>
      <c r="C67" s="1094"/>
      <c r="D67" s="1094"/>
      <c r="E67" s="1095" t="s">
        <v>5224</v>
      </c>
      <c r="F67" s="1095" t="s">
        <v>5224</v>
      </c>
      <c r="G67" s="1096">
        <v>0</v>
      </c>
      <c r="H67" s="1096" t="s">
        <v>5224</v>
      </c>
      <c r="I67" s="1096" t="s">
        <v>5224</v>
      </c>
      <c r="J67" s="1096" t="s">
        <v>5224</v>
      </c>
      <c r="K67" s="1096" t="s">
        <v>5224</v>
      </c>
      <c r="L67" s="1096" t="s">
        <v>5224</v>
      </c>
      <c r="M67" s="1096" t="s">
        <v>5224</v>
      </c>
      <c r="N67" s="1096" t="s">
        <v>4631</v>
      </c>
      <c r="O67" s="1097"/>
      <c r="P67" s="1097" t="s">
        <v>3611</v>
      </c>
      <c r="Q67" s="1097">
        <f t="shared" ca="1" si="60"/>
        <v>15</v>
      </c>
      <c r="R67" s="1097"/>
      <c r="S67" s="1028" t="s">
        <v>3613</v>
      </c>
      <c r="T67" s="1097">
        <f t="shared" ca="1" si="61"/>
        <v>15</v>
      </c>
      <c r="U67" s="1027">
        <v>4</v>
      </c>
      <c r="V67" s="1027">
        <f>IF(AP67+U67&gt;10,10,IF(AP67+U67&lt;1,1,AP67+U67))</f>
        <v>5</v>
      </c>
      <c r="W67" s="1098" t="e">
        <f>IF(OR(I67&lt;&gt;"N",E67="C"),IF(AND(N67&lt;&gt;"T",ISNUMBER(FIND("V",I67))),1,0),NA())+IF(H67="Y",IF(AND(N67="P",ISNUMBER(FIND("Z",I67))),2,1),0)+IF(J67="Y",1,0)+IF(K67="Y",3,0)+IF(BE67="Lore",L67*2+Experience!$D$25,0)+IF(M67="Y",1,0)</f>
        <v>#N/A</v>
      </c>
      <c r="X67" s="1099"/>
      <c r="Y67" s="1100">
        <f ca="1">IF(P67="NS",IFERROR(INDIRECT(S67),NA()),VLOOKUP(INDIRECT(P67)+INDIRECT(S67),'System Lookups'!$A$3:$D$146,2))</f>
        <v>0.06</v>
      </c>
      <c r="Z67" s="1100">
        <f>IF(ISNA(W67),0,W67*0.03)+IF(X67&gt;0,X67*0.03,0)+IF(AND(ISNA(W67),X67&lt;=0),0,IF(G67&gt;0,G67*0.07,0))</f>
        <v>0</v>
      </c>
      <c r="AA67" s="1101">
        <f ca="1">IF(ISNA(Y67),0,Y67)+Z67+IF(AND('Main Creation Page'!E9&gt;19,'Main Creation Page'!E13&gt;19),0.1,0)</f>
        <v>0.06</v>
      </c>
      <c r="AB67" s="1102">
        <f>VLOOKUP(V67,'System Lookups'!$J$55:$P$64,3)</f>
        <v>0.1</v>
      </c>
      <c r="AC67" s="1103">
        <f>VLOOKUP(V67,'System Lookups'!$J$55:$P$64,4)</f>
        <v>0.2</v>
      </c>
      <c r="AD67" s="1104">
        <f>IF(AND(ISBLANK(X67),ISNA(W67)),IF(B67="~",0,AB67+AA67+IF(BB67&gt;0,0.05,0)),AA67+AC67+IF(BB67&gt;0,0.05,0))</f>
        <v>0</v>
      </c>
      <c r="AE67" s="1094">
        <f>(IF(AD67&gt;VLOOKUP(V67,'System Lookups'!$J$55:$P$63,6),(((AD67-VLOOKUP(V67,'System Lookups'!$J$55:$P$63,6))*100)/20),0))+AF67</f>
        <v>0</v>
      </c>
      <c r="AF67" s="1120">
        <f>IF((('Main Creation Page'!E9&gt;=17)*AND('Main Creation Page'!E13&gt;=17)),IF((('Main Creation Page'!E9&gt;=20)*AND('Main Creation Page'!E13&gt;=20))*2,1),0)</f>
        <v>0</v>
      </c>
      <c r="AG67" s="1092">
        <f>IF(ISBLANK(X67),0,AQ67*X67+IF(ISNA(W67),1,0))</f>
        <v>0</v>
      </c>
      <c r="AH67" s="1092" t="str">
        <f>IF(X67&lt;=Experience!$R$15+1,"","*")</f>
        <v/>
      </c>
      <c r="AI67" s="1092"/>
      <c r="AJ67" s="1080">
        <f t="shared" si="62"/>
        <v>0</v>
      </c>
      <c r="AK67" s="1080">
        <f>IF(F67="s",-2,0)</f>
        <v>0</v>
      </c>
      <c r="AL67" s="1080">
        <f t="shared" si="63"/>
        <v>0</v>
      </c>
      <c r="AM67" s="1092">
        <f>IF(J67="y",1,0)</f>
        <v>0</v>
      </c>
      <c r="AN67" s="1080">
        <f>IF(N67="P",-1,IF(N67="T",1,0))</f>
        <v>1</v>
      </c>
      <c r="AO67" s="1080">
        <f t="shared" si="64"/>
        <v>0</v>
      </c>
      <c r="AP67" s="1080">
        <f>SUM(AJ67:AN67)-AM67</f>
        <v>1</v>
      </c>
      <c r="AQ67" s="1027">
        <f>VLOOKUP(V67,'System Lookups'!$J$55:$P$64,7)</f>
        <v>700</v>
      </c>
      <c r="AR67" s="1080" t="str">
        <f ca="1">IF(AND(NOT(ISBLANK(AJ67)),ISNA(MATCH(ROW(),'System Lookups'!$C$526:$C$539,0))),"Y","N")</f>
        <v>Y</v>
      </c>
      <c r="AS67" s="1080">
        <f>AG67-AI67</f>
        <v>0</v>
      </c>
      <c r="AU67" s="1080" t="e">
        <f t="shared" si="15"/>
        <v>#N/A</v>
      </c>
      <c r="AV67" s="1080" t="str">
        <f t="shared" si="7"/>
        <v>T</v>
      </c>
      <c r="AW67" s="1080">
        <f t="shared" si="16"/>
        <v>0</v>
      </c>
      <c r="AX67" s="1080">
        <f t="shared" si="17"/>
        <v>0</v>
      </c>
      <c r="AY67" s="1080">
        <f t="shared" si="18"/>
        <v>0</v>
      </c>
      <c r="AZ67" s="1080">
        <f t="shared" si="19"/>
        <v>0</v>
      </c>
      <c r="BA67" s="1080">
        <f t="shared" si="20"/>
        <v>0</v>
      </c>
      <c r="BB67" s="1080">
        <f>IF(AND(RACE=1,'Main Creation Page'!$E$6="Well",OR(ISNUMBER(FIND(Experience!$G$11,BE67)),ISNUMBER(FIND(Experience!$G$11,BF67)),ISNUMBER(FIND(Experience!$I$11,BE67)),ISNUMBER(FIND(Experience!$I$11,BF67)))),1,0)</f>
        <v>0</v>
      </c>
      <c r="BC67" s="1080" t="str">
        <f t="shared" si="8"/>
        <v>Calligraphy &amp; Illumination</v>
      </c>
      <c r="BE67" s="1080" t="str">
        <f t="shared" si="9"/>
        <v/>
      </c>
      <c r="BF67" s="1080" t="str">
        <f t="shared" si="10"/>
        <v>Arts &amp; Entertainment Skills</v>
      </c>
    </row>
    <row r="68" spans="1:58" ht="11.1" customHeight="1" outlineLevel="1">
      <c r="A68" s="1123" t="s">
        <v>5658</v>
      </c>
      <c r="B68" s="1094"/>
      <c r="C68" s="1094"/>
      <c r="D68" s="1094"/>
      <c r="E68" s="1095" t="s">
        <v>5224</v>
      </c>
      <c r="F68" s="1095" t="s">
        <v>5224</v>
      </c>
      <c r="G68" s="1096">
        <v>0</v>
      </c>
      <c r="H68" s="1096" t="s">
        <v>5224</v>
      </c>
      <c r="I68" s="1096" t="s">
        <v>5224</v>
      </c>
      <c r="J68" s="1096" t="s">
        <v>5224</v>
      </c>
      <c r="K68" s="1096" t="s">
        <v>5224</v>
      </c>
      <c r="L68" s="1096" t="s">
        <v>5224</v>
      </c>
      <c r="M68" s="1096" t="s">
        <v>5224</v>
      </c>
      <c r="N68" s="1096" t="s">
        <v>4631</v>
      </c>
      <c r="O68" s="1097"/>
      <c r="P68" s="1097" t="s">
        <v>3612</v>
      </c>
      <c r="Q68" s="1097">
        <f ca="1">INDIRECT(P68)</f>
        <v>10</v>
      </c>
      <c r="R68" s="1097"/>
      <c r="S68" s="1097" t="s">
        <v>3616</v>
      </c>
      <c r="T68" s="1097">
        <f ca="1">INDIRECT(S68)</f>
        <v>17</v>
      </c>
      <c r="U68" s="1027">
        <v>3</v>
      </c>
      <c r="V68" s="1027">
        <f>IF(AP68+U68&gt;10,10,IF(AP68+U68&lt;1,1,AP68+U68))</f>
        <v>4</v>
      </c>
      <c r="W68" s="1098" t="e">
        <f>IF(OR(I68&lt;&gt;"N",E68="C"),IF(AND(N68&lt;&gt;"T",ISNUMBER(FIND("V",I68))),1,0),NA())+IF(H68="Y",IF(AND(N68="P",ISNUMBER(FIND("Z",I68))),2,1),0)+IF(J68="Y",1,0)+IF(K68="Y",3,0)+IF(BE68="Lore",L68*2+Experience!$D$25,0)+IF(M68="Y",1,0)</f>
        <v>#N/A</v>
      </c>
      <c r="X68" s="1099"/>
      <c r="Y68" s="1100">
        <f ca="1">IF(P68="NS",IFERROR(INDIRECT(S68),NA()),VLOOKUP(INDIRECT(P68)+INDIRECT(S68),'System Lookups'!$A$3:$D$146,2))</f>
        <v>0.04</v>
      </c>
      <c r="Z68" s="1100">
        <f>IF(ISNA(W68),0,W68*0.03)+IF(X68&gt;0,X68*0.03,0)+IF(AND(ISNA(W68),X68&lt;=0),0,IF(G68&gt;0,G68*0.07,0))</f>
        <v>0</v>
      </c>
      <c r="AA68" s="1101">
        <f t="shared" ref="AA68" ca="1" si="65">IF(ISNA(Y68),0,Y68)+Z68</f>
        <v>0.04</v>
      </c>
      <c r="AB68" s="1102">
        <f>VLOOKUP(V68,'System Lookups'!$J$55:$P$64,3)</f>
        <v>0.2</v>
      </c>
      <c r="AC68" s="1103">
        <f>VLOOKUP(V68,'System Lookups'!$J$55:$P$64,4)</f>
        <v>0.3</v>
      </c>
      <c r="AD68" s="1104">
        <f ca="1">IF(AND(ISBLANK(X68),ISNA(W68)),IF(B68="~",0,AB68+AA68+IF(BB68&gt;0,0.05,0)),AA68+AC68+IF(BB68&gt;0,0.05,0))</f>
        <v>0.24000000000000002</v>
      </c>
      <c r="AE68" s="1094">
        <f ca="1">(IF(AD68&gt;VLOOKUP(V68,'System Lookups'!$J$55:$P$63,6),(((AD68-VLOOKUP(V68,'System Lookups'!$J$55:$P$63,6))*100)/20),0))+AF68</f>
        <v>0</v>
      </c>
      <c r="AF68" s="1121"/>
      <c r="AG68" s="1092">
        <f>IF(ISBLANK(X68),0,AQ68*X68+IF(ISNA(W68),1,0))</f>
        <v>0</v>
      </c>
      <c r="AH68" s="1092" t="str">
        <f>IF(X68&lt;=Experience!$R$15+1,"","*")</f>
        <v/>
      </c>
      <c r="AI68" s="1092"/>
      <c r="AJ68" s="1080">
        <f>IF(ISNUMBER(FIND("R",F68)),-1,0)</f>
        <v>0</v>
      </c>
      <c r="AK68" s="1080">
        <f t="shared" ref="AK68" si="66">IF(F68="s",-2,0)</f>
        <v>0</v>
      </c>
      <c r="AL68" s="1080">
        <f t="shared" si="63"/>
        <v>0</v>
      </c>
      <c r="AM68" s="1092">
        <f t="shared" ref="AM68" si="67">IF(J68="y",1,0)</f>
        <v>0</v>
      </c>
      <c r="AN68" s="1080">
        <f t="shared" ref="AN68" si="68">IF(N68="P",-1,IF(N68="T",1,0))</f>
        <v>1</v>
      </c>
      <c r="AO68" s="1080">
        <f t="shared" si="64"/>
        <v>0</v>
      </c>
      <c r="AP68" s="1080">
        <f>SUM(AJ68:AN68)-AM68</f>
        <v>1</v>
      </c>
      <c r="AQ68" s="1027">
        <f>VLOOKUP(V68,'System Lookups'!$J$55:$P$64,7)</f>
        <v>600</v>
      </c>
      <c r="AR68" s="1080" t="str">
        <f ca="1">IF(AND(NOT(ISBLANK(AJ68)),ISNA(MATCH(ROW(),'System Lookups'!$C$526:$C$539,0))),"Y","N")</f>
        <v>Y</v>
      </c>
      <c r="AS68" s="1080">
        <f>AG68-AI68</f>
        <v>0</v>
      </c>
      <c r="AU68" s="1080" t="e">
        <f t="shared" ref="AU68:AU123" si="69">IF(AND(NOT(ISNUMBER($W68)),ISBLANK($X68)),NA(),IFERROR($W68+$X68,$X68))</f>
        <v>#N/A</v>
      </c>
      <c r="AV68" s="1080" t="str">
        <f t="shared" ref="AV68:AV122" si="70">IF(ISNUMBER(U68),CONCATENATE(IF(E68="C","C",""),IF(H68="Y","M",""),N68,IF(ISNUMBER(FIND("F",I68)),"Bk",""),IF(ISNUMBER(FIND("Z",I68)),"Zm",""),IF(J68="Y","L",""),IF(OR(K68="Y",AND(ISNUMBER(L68),L68&gt;0),M68="Y"),"Sa","")),"")</f>
        <v>T</v>
      </c>
      <c r="AW68" s="1080">
        <f t="shared" ref="AW68:AW123" si="71">IF(OR(I68="N",ISBLANK(I68)),0,1)</f>
        <v>0</v>
      </c>
      <c r="AX68" s="1080">
        <f t="shared" ref="AX68:AX124" si="72">IF($N68="P",IF(ISNUMBER(FIND("V",$I68)),1,0),0)</f>
        <v>0</v>
      </c>
      <c r="AY68" s="1080">
        <f t="shared" ref="AY68:AY124" si="73">IF($N68="S",IF(ISNUMBER(FIND("V",$I68)),1,0),0)</f>
        <v>0</v>
      </c>
      <c r="AZ68" s="1080">
        <f t="shared" ref="AZ68:AZ124" si="74">IF($N68="T",IF(ISNUMBER(FIND("V",$I68)),1,0),0)</f>
        <v>0</v>
      </c>
      <c r="BA68" s="1080">
        <f t="shared" ref="BA68:BA123" si="75">IF($N68&lt;&gt;"T",IF(OR(ISNUMBER(FIND("C",$I68)),ISNUMBER(FIND("D",$I68)),ISNUMBER(FIND("E",$I68)),ISNUMBER(FIND("F",$I68)),ISNUMBER(FIND("L",$I68)),ISNUMBER(FIND("R",$I68)),ISNUMBER(FIND("S",$I68))),1,0),0)</f>
        <v>0</v>
      </c>
      <c r="BB68" s="1080">
        <f>IF(AND(RACE=1,'Main Creation Page'!$E$6="Well",OR(ISNUMBER(FIND(Experience!$G$11,BE68)),ISNUMBER(FIND(Experience!$G$11,BF68)),ISNUMBER(FIND(Experience!$I$11,BE68)),ISNUMBER(FIND(Experience!$I$11,BF68)))),1,0)</f>
        <v>0</v>
      </c>
      <c r="BC68" s="1080" t="str">
        <f t="shared" si="8"/>
        <v>Commedia Del'Arte</v>
      </c>
      <c r="BE68" s="1080" t="str">
        <f t="shared" ref="BE68:BE122" si="76">IF(OR(ISNUMBER(FIND("Lore",BF68)),ISNUMBER(FIND("Materia",BF68)),ISNUMBER(FIND("Lore",BD68))),"Lore","")</f>
        <v/>
      </c>
      <c r="BF68" s="1080" t="str">
        <f t="shared" si="10"/>
        <v>Arts &amp; Entertainment Skills</v>
      </c>
    </row>
    <row r="69" spans="1:58" ht="15" customHeight="1" outlineLevel="2">
      <c r="A69" s="1124" t="s">
        <v>2192</v>
      </c>
      <c r="B69" s="1094"/>
      <c r="C69" s="1094"/>
      <c r="D69" s="1094"/>
      <c r="F69" s="1027"/>
      <c r="G69" s="1027"/>
      <c r="H69" s="1027"/>
      <c r="I69" s="1027"/>
      <c r="J69" s="1027"/>
      <c r="K69" s="1027"/>
      <c r="L69" s="1027"/>
      <c r="M69" s="1027"/>
      <c r="N69" s="1027"/>
      <c r="O69" s="1027"/>
      <c r="P69" s="1027"/>
      <c r="Q69" s="1027"/>
      <c r="R69" s="1027"/>
      <c r="S69" s="1028"/>
      <c r="T69" s="1028"/>
      <c r="U69" s="1027"/>
      <c r="V69" s="1027"/>
      <c r="W69" s="1028"/>
      <c r="X69" s="1092"/>
      <c r="AE69" s="1094"/>
      <c r="AF69" s="1121"/>
      <c r="AG69" s="1092"/>
      <c r="AH69" s="1092"/>
      <c r="AI69" s="1092"/>
      <c r="AM69" s="1092"/>
      <c r="AQ69" s="1027"/>
      <c r="AR69" s="1080" t="str">
        <f ca="1">IF(AND(NOT(ISBLANK(AJ69)),ISNA(MATCH(ROW(),'System Lookups'!$C$526:$C$539,0))),"Y","N")</f>
        <v>N</v>
      </c>
      <c r="AU69" s="1080" t="e">
        <f t="shared" si="69"/>
        <v>#N/A</v>
      </c>
      <c r="AV69" s="1080" t="str">
        <f t="shared" si="70"/>
        <v/>
      </c>
      <c r="AW69" s="1080">
        <f t="shared" si="71"/>
        <v>0</v>
      </c>
      <c r="AX69" s="1080">
        <f t="shared" si="72"/>
        <v>0</v>
      </c>
      <c r="AY69" s="1080">
        <f t="shared" si="73"/>
        <v>0</v>
      </c>
      <c r="AZ69" s="1080">
        <f t="shared" si="74"/>
        <v>0</v>
      </c>
      <c r="BA69" s="1080">
        <f t="shared" si="75"/>
        <v>0</v>
      </c>
      <c r="BB69" s="1080">
        <f>IF(AND(RACE=1,'Main Creation Page'!$E$6="Well",OR(ISNUMBER(FIND(Experience!$G$11,BE69)),ISNUMBER(FIND(Experience!$G$11,BF69)),ISNUMBER(FIND(Experience!$I$11,BE69)),ISNUMBER(FIND(Experience!$I$11,BF69)))),1,0)</f>
        <v>0</v>
      </c>
      <c r="BC69" s="1080" t="e">
        <f t="shared" si="8"/>
        <v>#N/A</v>
      </c>
      <c r="BE69" s="1080" t="str">
        <f t="shared" si="76"/>
        <v/>
      </c>
      <c r="BF69" s="1080" t="str">
        <f t="shared" ref="BF69:BF122" si="77">IF(ISBLANK(AC69),IF(OR(ISNA(BC69),ISBLANK(BC69)),BF68,BC69),BF68)</f>
        <v>Arts &amp; Entertainment Skills</v>
      </c>
    </row>
    <row r="70" spans="1:58" ht="11.1" customHeight="1" outlineLevel="3">
      <c r="A70" s="1093" t="s">
        <v>760</v>
      </c>
      <c r="B70" s="1094"/>
      <c r="C70" s="1094"/>
      <c r="D70" s="1094"/>
      <c r="E70" s="1095" t="s">
        <v>5224</v>
      </c>
      <c r="F70" s="1095" t="s">
        <v>5224</v>
      </c>
      <c r="G70" s="1096">
        <v>0</v>
      </c>
      <c r="H70" s="1096" t="s">
        <v>5224</v>
      </c>
      <c r="I70" s="1096" t="s">
        <v>5224</v>
      </c>
      <c r="J70" s="1096" t="s">
        <v>5224</v>
      </c>
      <c r="K70" s="1096" t="s">
        <v>5224</v>
      </c>
      <c r="L70" s="1096" t="s">
        <v>5224</v>
      </c>
      <c r="M70" s="1096" t="s">
        <v>5224</v>
      </c>
      <c r="N70" s="1096" t="s">
        <v>4631</v>
      </c>
      <c r="O70" s="1097"/>
      <c r="P70" s="1097" t="s">
        <v>3611</v>
      </c>
      <c r="Q70" s="1097">
        <f ca="1">INDIRECT(P70)</f>
        <v>15</v>
      </c>
      <c r="R70" s="1097"/>
      <c r="S70" s="1028" t="s">
        <v>3613</v>
      </c>
      <c r="T70" s="1097">
        <f ca="1">INDIRECT(S70)</f>
        <v>15</v>
      </c>
      <c r="U70" s="1027">
        <v>3</v>
      </c>
      <c r="V70" s="1027">
        <f>IF(AP70+U70&gt;10,10,IF(AP70+U70&lt;1,1,AP70+U70))</f>
        <v>4</v>
      </c>
      <c r="W70" s="1098" t="e">
        <f>IF(OR(I70&lt;&gt;"N",E70="C"),IF(AND(N70&lt;&gt;"T",ISNUMBER(FIND("V",I70))),1,0),NA())+IF(H70="Y",IF(AND(N70="P",ISNUMBER(FIND("Z",I70))),2,1),0)+IF(J70="Y",1,0)+IF(K70="Y",3,0)+IF(BE70="Lore",L70*2+Experience!$D$25,0)+IF(M70="Y",1,0)</f>
        <v>#N/A</v>
      </c>
      <c r="X70" s="1099"/>
      <c r="Y70" s="1100">
        <f ca="1">IF(P70="NS",IFERROR(INDIRECT(S70),NA()),VLOOKUP(INDIRECT(P70)+INDIRECT(S70),'System Lookups'!$A$3:$D$146,2))</f>
        <v>0.06</v>
      </c>
      <c r="Z70" s="1100">
        <f>IF(ISNA(W70),0,W70*0.03)+IF(X70&gt;0,X70*0.03,0)+IF(AND(ISNA(W70),X70&lt;=0),0,IF(G70&gt;0,G70*0.07,0))</f>
        <v>0</v>
      </c>
      <c r="AA70" s="1101">
        <f ca="1">IF(ISNA(Y70),0,Y70)+Z70+IF('Main Creation Page'!E11&gt;17,0.1,IF('Main Creation Page'!E11&lt;11,-0.1,0))</f>
        <v>-4.0000000000000008E-2</v>
      </c>
      <c r="AB70" s="1102">
        <f>VLOOKUP(V70,'System Lookups'!$J$55:$P$64,3)</f>
        <v>0.2</v>
      </c>
      <c r="AC70" s="1103">
        <f>VLOOKUP(V70,'System Lookups'!$J$55:$P$64,4)</f>
        <v>0.3</v>
      </c>
      <c r="AD70" s="1104">
        <f ca="1">IF(AND(ISBLANK(X70),ISNA(W70)),IF(B70="~",0,AB70+AA70+IF(BB70&gt;0,0.05,0)),AA70+AC70+IF(BB70&gt;0,0.05,0))</f>
        <v>0.16</v>
      </c>
      <c r="AE70" s="1094">
        <f ca="1">(IF(AD70&gt;VLOOKUP(V70,'System Lookups'!$J$55:$P$63,6),(((AD70-VLOOKUP(V70,'System Lookups'!$J$55:$P$63,6))*100)/20),0))+AF70</f>
        <v>0</v>
      </c>
      <c r="AF70" s="1120">
        <f>IF('Main Creation Page'!E$9&gt;=18,1,IF('Main Creation Page'!E$9&lt;=10,-1,0))</f>
        <v>0</v>
      </c>
      <c r="AG70" s="1092">
        <f>IF(ISBLANK(X70),0,AQ70*X70+IF(ISNA(W70),1,0))</f>
        <v>0</v>
      </c>
      <c r="AH70" s="1092" t="str">
        <f>IF(X70&lt;=Experience!$R$15+1,"","*")</f>
        <v/>
      </c>
      <c r="AI70" s="1092"/>
      <c r="AJ70" s="1080">
        <f>IF(ISNUMBER(FIND("R",F70)),-1,0)</f>
        <v>0</v>
      </c>
      <c r="AK70" s="1080">
        <f>IF(F70="s",-2,0)</f>
        <v>0</v>
      </c>
      <c r="AL70" s="1080">
        <f t="shared" ref="AL70:AL74" si="78">IF(AND(H70="Y",OR(N70="P",N70="S")),-1,0)</f>
        <v>0</v>
      </c>
      <c r="AM70" s="1092">
        <f>IF(J70="y",1,0)</f>
        <v>0</v>
      </c>
      <c r="AN70" s="1080">
        <f>IF(N70="P",-1,IF(N70="T",1,0))</f>
        <v>1</v>
      </c>
      <c r="AO70" s="1080">
        <f t="shared" ref="AO70:AO74" si="79">IF(ISNUMBER(FIND("Z",I70)),1,0)</f>
        <v>0</v>
      </c>
      <c r="AP70" s="1080">
        <f>SUM(AJ70:AN70)-AM70</f>
        <v>1</v>
      </c>
      <c r="AQ70" s="1027">
        <f>VLOOKUP(V70,'System Lookups'!$J$55:$P$64,7)</f>
        <v>600</v>
      </c>
      <c r="AR70" s="1080" t="str">
        <f ca="1">IF(AND(NOT(ISBLANK(AJ70)),ISNA(MATCH(ROW(),'System Lookups'!$C$526:$C$539,0))),"Y","N")</f>
        <v>Y</v>
      </c>
      <c r="AS70" s="1080">
        <f>AG70-AI70</f>
        <v>0</v>
      </c>
      <c r="AU70" s="1080" t="e">
        <f t="shared" si="69"/>
        <v>#N/A</v>
      </c>
      <c r="AV70" s="1080" t="str">
        <f t="shared" si="70"/>
        <v>T</v>
      </c>
      <c r="AW70" s="1080">
        <f t="shared" si="71"/>
        <v>0</v>
      </c>
      <c r="AX70" s="1080">
        <f t="shared" si="72"/>
        <v>0</v>
      </c>
      <c r="AY70" s="1080">
        <f t="shared" si="73"/>
        <v>0</v>
      </c>
      <c r="AZ70" s="1080">
        <f t="shared" si="74"/>
        <v>0</v>
      </c>
      <c r="BA70" s="1080">
        <f t="shared" si="75"/>
        <v>0</v>
      </c>
      <c r="BB70" s="1080">
        <f>IF(AND(RACE=1,'Main Creation Page'!$E$6="Well",OR(ISNUMBER(FIND(Experience!$G$11,BE70)),ISNUMBER(FIND(Experience!$G$11,BF70)),ISNUMBER(FIND(Experience!$I$11,BE70)),ISNUMBER(FIND(Experience!$I$11,BF70)))),1,0)</f>
        <v>0</v>
      </c>
      <c r="BC70" s="1080" t="str">
        <f t="shared" ref="BC70:BC133" si="80">IF(ISBLANK(AJ70),IF(ISBLANK(AI70),IF(RIGHT(A70,2)="en","Language Lore: "&amp;A70,IF(LEFT(A70,9)="Alquennas",A70,NA())),IF(RIGHT(A70,9)=" Medicina",A70&amp;": Healing Lore Skills",IF(OR(LEFT(A70,5)="Lore ",LEFT(A70,8)="Materia "),A70&amp;" Skills",IF(LEFT(A70,8)="Cooking ","Cooking &amp; Innkeeping Skills",A70)))),IF(LEFT(A70,9)="alertness","Alertness: "&amp;RIGHT(A70,5),IF(ISBLANK(BD70),A70,IF(RIGHT(BD70,2)=" (",BD70&amp;"Own)",BD70&amp;A70))))</f>
        <v>Blade</v>
      </c>
      <c r="BE70" s="1080" t="str">
        <f t="shared" si="76"/>
        <v/>
      </c>
      <c r="BF70" s="1080" t="str">
        <f t="shared" si="77"/>
        <v>Arts &amp; Entertainment Skills</v>
      </c>
    </row>
    <row r="71" spans="1:58" ht="11.1" customHeight="1" outlineLevel="3">
      <c r="A71" s="1093" t="s">
        <v>2021</v>
      </c>
      <c r="B71" s="1094"/>
      <c r="C71" s="1094"/>
      <c r="D71" s="1094"/>
      <c r="E71" s="1095" t="s">
        <v>5224</v>
      </c>
      <c r="F71" s="1095" t="s">
        <v>5224</v>
      </c>
      <c r="G71" s="1096">
        <v>0</v>
      </c>
      <c r="H71" s="1096" t="s">
        <v>5224</v>
      </c>
      <c r="I71" s="1096" t="s">
        <v>5224</v>
      </c>
      <c r="J71" s="1096" t="s">
        <v>5224</v>
      </c>
      <c r="K71" s="1096" t="s">
        <v>5224</v>
      </c>
      <c r="L71" s="1096" t="s">
        <v>5224</v>
      </c>
      <c r="M71" s="1096" t="s">
        <v>5224</v>
      </c>
      <c r="N71" s="1096" t="s">
        <v>4631</v>
      </c>
      <c r="O71" s="1097"/>
      <c r="P71" s="1097" t="s">
        <v>3611</v>
      </c>
      <c r="Q71" s="1097">
        <f ca="1">INDIRECT(P71)</f>
        <v>15</v>
      </c>
      <c r="R71" s="1097"/>
      <c r="S71" s="1028" t="s">
        <v>3613</v>
      </c>
      <c r="T71" s="1097">
        <f ca="1">INDIRECT(S71)</f>
        <v>15</v>
      </c>
      <c r="U71" s="1027">
        <v>5</v>
      </c>
      <c r="V71" s="1027">
        <f>IF(AP71+U71&gt;10,10,IF(AP71+U71&lt;1,1,AP71+U71))</f>
        <v>6</v>
      </c>
      <c r="W71" s="1098" t="e">
        <f>IF(OR(I71&lt;&gt;"N",E71="C"),IF(AND(N71&lt;&gt;"T",ISNUMBER(FIND("V",I71))),1,0),NA())+IF(H71="Y",IF(AND(N71="P",ISNUMBER(FIND("Z",I71))),2,1),0)+IF(J71="Y",1,0)+IF(K71="Y",3,0)+IF(BE71="Lore",L71*2+Experience!$D$25,0)+IF(M71="Y",1,0)</f>
        <v>#N/A</v>
      </c>
      <c r="X71" s="1099"/>
      <c r="Y71" s="1100">
        <f ca="1">IF(P71="NS",IFERROR(INDIRECT(S71),NA()),VLOOKUP(INDIRECT(P71)+INDIRECT(S71),'System Lookups'!$A$3:$D$146,2))</f>
        <v>0.06</v>
      </c>
      <c r="Z71" s="1100">
        <f>IF(ISNA(W71),0,W71*0.03)+IF(X71&gt;0,X71*0.03,0)+IF(AND(ISNA(W71),X71&lt;=0),0,IF(G71&gt;0,G71*0.07,0))</f>
        <v>0</v>
      </c>
      <c r="AA71" s="1101">
        <f ca="1">IF(ISNA(Y71),0,Y71)+Z71+IF('Main Creation Page'!E13&gt;17,0.1,IF('Main Creation Page'!E13&lt;11,-0.1,0))</f>
        <v>0.06</v>
      </c>
      <c r="AB71" s="1102">
        <f>VLOOKUP(V71,'System Lookups'!$J$55:$P$64,3)</f>
        <v>0.05</v>
      </c>
      <c r="AC71" s="1103">
        <f>VLOOKUP(V71,'System Lookups'!$J$55:$P$64,4)</f>
        <v>0.1</v>
      </c>
      <c r="AD71" s="1104">
        <f ca="1">IF(AND(ISBLANK(X71),ISNA(W71)),IF(B71="~",0,AB71+AA71+IF(BB71&gt;0,0.05,0)),AA71+AC71+IF(BB71&gt;0,0.05,0))</f>
        <v>0.11</v>
      </c>
      <c r="AE71" s="1094">
        <f ca="1">(IF(AD71&gt;VLOOKUP(V71,'System Lookups'!$J$55:$P$63,6),(((AD71-VLOOKUP(V71,'System Lookups'!$J$55:$P$63,6))*100)/20),0))+AF71</f>
        <v>0</v>
      </c>
      <c r="AF71" s="1120">
        <f>IF('Main Creation Page'!E$9&gt;=18,1,IF('Main Creation Page'!E$9&lt;=10,-1,0))</f>
        <v>0</v>
      </c>
      <c r="AG71" s="1092">
        <f>IF(ISBLANK(X71),0,AQ71*X71+IF(ISNA(W71),1,0))</f>
        <v>0</v>
      </c>
      <c r="AH71" s="1092" t="str">
        <f>IF(X71&lt;=Experience!$R$15+1,"","*")</f>
        <v/>
      </c>
      <c r="AI71" s="1092"/>
      <c r="AJ71" s="1080">
        <f>IF(ISNUMBER(FIND("R",F71)),-1,0)</f>
        <v>0</v>
      </c>
      <c r="AK71" s="1080">
        <f>IF(F71="s",-2,0)</f>
        <v>0</v>
      </c>
      <c r="AL71" s="1080">
        <f t="shared" si="78"/>
        <v>0</v>
      </c>
      <c r="AM71" s="1092">
        <f>IF(J71="y",1,0)</f>
        <v>0</v>
      </c>
      <c r="AN71" s="1080">
        <f>IF(N71="P",-1,IF(N71="T",1,0))</f>
        <v>1</v>
      </c>
      <c r="AO71" s="1080">
        <f t="shared" si="79"/>
        <v>0</v>
      </c>
      <c r="AP71" s="1080">
        <f>SUM(AJ71:AN71)-AM71</f>
        <v>1</v>
      </c>
      <c r="AQ71" s="1027">
        <f>VLOOKUP(V71,'System Lookups'!$J$55:$P$64,7)</f>
        <v>800</v>
      </c>
      <c r="AR71" s="1080" t="str">
        <f ca="1">IF(AND(NOT(ISBLANK(AJ71)),ISNA(MATCH(ROW(),'System Lookups'!$C$526:$C$539,0))),"Y","N")</f>
        <v>Y</v>
      </c>
      <c r="AS71" s="1080">
        <f>AG71-AI71</f>
        <v>0</v>
      </c>
      <c r="AU71" s="1080" t="e">
        <f t="shared" si="69"/>
        <v>#N/A</v>
      </c>
      <c r="AV71" s="1080" t="str">
        <f t="shared" si="70"/>
        <v>T</v>
      </c>
      <c r="AW71" s="1080">
        <f t="shared" si="71"/>
        <v>0</v>
      </c>
      <c r="AX71" s="1080">
        <f t="shared" si="72"/>
        <v>0</v>
      </c>
      <c r="AY71" s="1080">
        <f t="shared" si="73"/>
        <v>0</v>
      </c>
      <c r="AZ71" s="1080">
        <f t="shared" si="74"/>
        <v>0</v>
      </c>
      <c r="BA71" s="1080">
        <f t="shared" si="75"/>
        <v>0</v>
      </c>
      <c r="BB71" s="1080">
        <f>IF(AND(RACE=1,'Main Creation Page'!$E$6="Well",OR(ISNUMBER(FIND(Experience!$G$11,BE71)),ISNUMBER(FIND(Experience!$G$11,BF71)),ISNUMBER(FIND(Experience!$I$11,BE71)),ISNUMBER(FIND(Experience!$I$11,BF71)))),1,0)</f>
        <v>0</v>
      </c>
      <c r="BC71" s="1080" t="str">
        <f t="shared" si="80"/>
        <v>Dancing:Bull</v>
      </c>
      <c r="BD71" s="1080" t="s">
        <v>5681</v>
      </c>
      <c r="BE71" s="1080" t="str">
        <f t="shared" si="76"/>
        <v/>
      </c>
      <c r="BF71" s="1080" t="str">
        <f t="shared" si="77"/>
        <v>Arts &amp; Entertainment Skills</v>
      </c>
    </row>
    <row r="72" spans="1:58" ht="11.1" customHeight="1" outlineLevel="3">
      <c r="A72" s="1093" t="s">
        <v>4508</v>
      </c>
      <c r="B72" s="1094"/>
      <c r="C72" s="1094"/>
      <c r="D72" s="1094"/>
      <c r="E72" s="1095" t="s">
        <v>5224</v>
      </c>
      <c r="F72" s="1095" t="s">
        <v>5224</v>
      </c>
      <c r="G72" s="1096">
        <v>0</v>
      </c>
      <c r="H72" s="1096" t="s">
        <v>5224</v>
      </c>
      <c r="I72" s="1096" t="s">
        <v>5224</v>
      </c>
      <c r="J72" s="1096" t="s">
        <v>5224</v>
      </c>
      <c r="K72" s="1096" t="s">
        <v>5224</v>
      </c>
      <c r="L72" s="1096" t="s">
        <v>5224</v>
      </c>
      <c r="M72" s="1096" t="s">
        <v>5224</v>
      </c>
      <c r="N72" s="1096" t="s">
        <v>4631</v>
      </c>
      <c r="O72" s="1097"/>
      <c r="P72" s="1097" t="s">
        <v>3616</v>
      </c>
      <c r="Q72" s="1097">
        <f ca="1">INDIRECT(P72)</f>
        <v>17</v>
      </c>
      <c r="R72" s="1097"/>
      <c r="S72" s="1097" t="s">
        <v>3611</v>
      </c>
      <c r="T72" s="1097">
        <f ca="1">INDIRECT(S72)</f>
        <v>15</v>
      </c>
      <c r="U72" s="1027">
        <v>5</v>
      </c>
      <c r="V72" s="1027">
        <f>IF(AP72+U72&gt;10,10,IF(AP72+U72&lt;1,1,AP72+U72))</f>
        <v>6</v>
      </c>
      <c r="W72" s="1098" t="e">
        <f>IF(OR(I72&lt;&gt;"N",E72="C"),IF(AND(N72&lt;&gt;"T",ISNUMBER(FIND("V",I72))),1,0),NA())+IF(H72="Y",IF(AND(N72="P",ISNUMBER(FIND("Z",I72))),2,1),0)+IF(J72="Y",1,0)+IF(K72="Y",3,0)+IF(BE72="Lore",L72*2+Experience!$D$25,0)+IF(M72="Y",1,0)</f>
        <v>#N/A</v>
      </c>
      <c r="X72" s="1099"/>
      <c r="Y72" s="1100">
        <f ca="1">IF(P72="NS",IFERROR(INDIRECT(S72),NA()),VLOOKUP(INDIRECT(P72)+INDIRECT(S72),'System Lookups'!$A$3:$D$146,2))</f>
        <v>0.08</v>
      </c>
      <c r="Z72" s="1100">
        <f>IF(ISNA(W72),0,W72*0.03)+IF(X72&gt;0,X72*0.03,0)+IF(AND(ISNA(W72),X72&lt;=0),0,IF(G72&gt;0,G72*0.07,0))</f>
        <v>0</v>
      </c>
      <c r="AA72" s="1101">
        <f ca="1">IF(ISNA(Y72),0,Y72)+Z72+IF('Main Creation Page'!E11&gt;17,0.1,IF('Main Creation Page'!E11&lt;11,-0.1,0))</f>
        <v>-2.0000000000000004E-2</v>
      </c>
      <c r="AB72" s="1102">
        <f>VLOOKUP(V72,'System Lookups'!$J$55:$P$64,3)</f>
        <v>0.05</v>
      </c>
      <c r="AC72" s="1103">
        <f>VLOOKUP(V72,'System Lookups'!$J$55:$P$64,4)</f>
        <v>0.1</v>
      </c>
      <c r="AD72" s="1104">
        <f ca="1">IF(AND(ISBLANK(X72),ISNA(W72)),IF(B72="~",0,AB72+AA72+IF(BB72&gt;0,0.05,0)),AA72+AC72+IF(BB72&gt;0,0.05,0))</f>
        <v>0.03</v>
      </c>
      <c r="AE72" s="1094">
        <f ca="1">(IF(AD72&gt;VLOOKUP(V72,'System Lookups'!$J$55:$P$63,6),(((AD72-VLOOKUP(V72,'System Lookups'!$J$55:$P$63,6))*100)/20),0))+AF72</f>
        <v>0</v>
      </c>
      <c r="AF72" s="1120">
        <f>IF('Main Creation Page'!E$9&gt;=18,1,IF('Main Creation Page'!E$9&lt;=10,-1,0))</f>
        <v>0</v>
      </c>
      <c r="AG72" s="1092">
        <f>IF(ISBLANK(X72),0,AQ72*X72+IF(ISNA(W72),1,0))</f>
        <v>0</v>
      </c>
      <c r="AH72" s="1092" t="str">
        <f>IF(X72&lt;=Experience!$R$15+1,"","*")</f>
        <v/>
      </c>
      <c r="AI72" s="1092"/>
      <c r="AJ72" s="1080">
        <f>IF(ISNUMBER(FIND("R",F72)),-1,0)</f>
        <v>0</v>
      </c>
      <c r="AK72" s="1080">
        <f>IF(F72="s",-2,0)</f>
        <v>0</v>
      </c>
      <c r="AL72" s="1080">
        <f t="shared" si="78"/>
        <v>0</v>
      </c>
      <c r="AM72" s="1092">
        <f>IF(J72="y",1,0)</f>
        <v>0</v>
      </c>
      <c r="AN72" s="1080">
        <f>IF(N72="P",-1,IF(N72="T",1,0))</f>
        <v>1</v>
      </c>
      <c r="AO72" s="1080">
        <f t="shared" si="79"/>
        <v>0</v>
      </c>
      <c r="AP72" s="1080">
        <f>SUM(AJ72:AN72)-AM72</f>
        <v>1</v>
      </c>
      <c r="AQ72" s="1027">
        <f>VLOOKUP(V72,'System Lookups'!$J$55:$P$64,7)</f>
        <v>800</v>
      </c>
      <c r="AR72" s="1080" t="str">
        <f ca="1">IF(AND(NOT(ISBLANK(AJ72)),ISNA(MATCH(ROW(),'System Lookups'!$C$526:$C$539,0))),"Y","N")</f>
        <v>Y</v>
      </c>
      <c r="AS72" s="1080">
        <f>AG72-AI72</f>
        <v>0</v>
      </c>
      <c r="AU72" s="1080" t="e">
        <f t="shared" si="69"/>
        <v>#N/A</v>
      </c>
      <c r="AV72" s="1080" t="str">
        <f t="shared" si="70"/>
        <v>T</v>
      </c>
      <c r="AW72" s="1080">
        <f t="shared" si="71"/>
        <v>0</v>
      </c>
      <c r="AX72" s="1080">
        <f t="shared" si="72"/>
        <v>0</v>
      </c>
      <c r="AY72" s="1080">
        <f t="shared" si="73"/>
        <v>0</v>
      </c>
      <c r="AZ72" s="1080">
        <f t="shared" si="74"/>
        <v>0</v>
      </c>
      <c r="BA72" s="1080">
        <f t="shared" si="75"/>
        <v>0</v>
      </c>
      <c r="BB72" s="1080">
        <f>IF(AND(RACE=1,'Main Creation Page'!$E$6="Well",OR(ISNUMBER(FIND(Experience!$G$11,BE72)),ISNUMBER(FIND(Experience!$G$11,BF72)),ISNUMBER(FIND(Experience!$I$11,BE72)),ISNUMBER(FIND(Experience!$I$11,BF72)))),1,0)</f>
        <v>0</v>
      </c>
      <c r="BC72" s="1080" t="str">
        <f t="shared" si="80"/>
        <v>Dancing:Choreography</v>
      </c>
      <c r="BD72" s="1080" t="s">
        <v>5681</v>
      </c>
      <c r="BE72" s="1080" t="str">
        <f t="shared" si="76"/>
        <v/>
      </c>
      <c r="BF72" s="1080" t="str">
        <f t="shared" si="77"/>
        <v>Arts &amp; Entertainment Skills</v>
      </c>
    </row>
    <row r="73" spans="1:58" ht="11.1" customHeight="1" outlineLevel="3">
      <c r="A73" s="1028" t="s">
        <v>2193</v>
      </c>
      <c r="B73" s="1094"/>
      <c r="C73" s="1094"/>
      <c r="D73" s="1094"/>
      <c r="E73" s="1095" t="s">
        <v>5224</v>
      </c>
      <c r="F73" s="1095" t="s">
        <v>5224</v>
      </c>
      <c r="G73" s="1096">
        <v>0</v>
      </c>
      <c r="H73" s="1096" t="s">
        <v>5224</v>
      </c>
      <c r="I73" s="1096" t="s">
        <v>5224</v>
      </c>
      <c r="J73" s="1096" t="s">
        <v>5224</v>
      </c>
      <c r="K73" s="1096" t="s">
        <v>5224</v>
      </c>
      <c r="L73" s="1096" t="s">
        <v>5224</v>
      </c>
      <c r="M73" s="1096" t="s">
        <v>5224</v>
      </c>
      <c r="N73" s="1096" t="s">
        <v>4631</v>
      </c>
      <c r="O73" s="1097"/>
      <c r="P73" s="1097" t="s">
        <v>3611</v>
      </c>
      <c r="Q73" s="1097">
        <f ca="1">INDIRECT(P73)</f>
        <v>15</v>
      </c>
      <c r="R73" s="1097"/>
      <c r="S73" s="1028" t="s">
        <v>3613</v>
      </c>
      <c r="T73" s="1097">
        <f ca="1">INDIRECT(S73)</f>
        <v>15</v>
      </c>
      <c r="U73" s="1027">
        <v>2</v>
      </c>
      <c r="V73" s="1027">
        <f>IF(AP73+U73&gt;10,10,IF(AP73+U73&lt;1,1,AP73+U73))</f>
        <v>3</v>
      </c>
      <c r="W73" s="1098" t="e">
        <f>IF(OR(I73&lt;&gt;"N",E73="C"),IF(AND(N73&lt;&gt;"T",ISNUMBER(FIND("V",I73))),1,0),NA())+IF(H73="Y",IF(AND(N73="P",ISNUMBER(FIND("Z",I73))),2,1),0)+IF(J73="Y",1,0)+IF(K73="Y",3,0)+IF(BE73="Lore",L73*2+Experience!$D$25,0)+IF(M73="Y",1,0)</f>
        <v>#N/A</v>
      </c>
      <c r="X73" s="1099"/>
      <c r="Y73" s="1100">
        <f ca="1">IF(P73="NS",IFERROR(INDIRECT(S73),NA()),VLOOKUP(INDIRECT(P73)+INDIRECT(S73),'System Lookups'!$A$3:$D$146,2))</f>
        <v>0.06</v>
      </c>
      <c r="Z73" s="1100">
        <f>IF(ISNA(W73),0,W73*0.03)+IF(X73&gt;0,X73*0.03,0)+IF(AND(ISNA(W73),X73&lt;=0),0,IF(G73&gt;0,G73*0.07,0))</f>
        <v>0</v>
      </c>
      <c r="AA73" s="1101">
        <f ca="1">IF(ISNA(Y73),0,Y73)+Z73+IF('Main Creation Page'!E9&gt;17,0.1,IF('Main Creation Page'!E9&lt;11,-0.1,0))</f>
        <v>0.06</v>
      </c>
      <c r="AB73" s="1102">
        <f>VLOOKUP(V73,'System Lookups'!$J$55:$P$64,3)</f>
        <v>0.3</v>
      </c>
      <c r="AC73" s="1103">
        <f>VLOOKUP(V73,'System Lookups'!$J$55:$P$64,4)</f>
        <v>0.4</v>
      </c>
      <c r="AD73" s="1104">
        <f ca="1">IF(AND(ISBLANK(X73),ISNA(W73)),IF(B73="~",0,AB73+AA73+IF(BB73&gt;0,0.05,0)),AA73+AC73+IF(BB73&gt;0,0.05,0))</f>
        <v>0.36</v>
      </c>
      <c r="AE73" s="1094">
        <f ca="1">(IF(AD73&gt;VLOOKUP(V73,'System Lookups'!$J$55:$P$63,6),(((AD73-VLOOKUP(V73,'System Lookups'!$J$55:$P$63,6))*100)/20),0))+AF73</f>
        <v>0</v>
      </c>
      <c r="AF73" s="1120">
        <f>IF('Main Creation Page'!E$9&gt;=18,1,IF('Main Creation Page'!E$9&lt;=10,-1,0))</f>
        <v>0</v>
      </c>
      <c r="AG73" s="1092">
        <f>IF(ISBLANK(X73),0,AQ73*X73+IF(ISNA(W73),1,0))</f>
        <v>0</v>
      </c>
      <c r="AH73" s="1092" t="str">
        <f>IF(X73&lt;=Experience!$R$15+1,"","*")</f>
        <v/>
      </c>
      <c r="AI73" s="1092"/>
      <c r="AJ73" s="1080">
        <f>IF(ISNUMBER(FIND("R",F73)),-1,0)</f>
        <v>0</v>
      </c>
      <c r="AK73" s="1080">
        <f>IF(F73="s",-2,0)</f>
        <v>0</v>
      </c>
      <c r="AL73" s="1080">
        <f t="shared" si="78"/>
        <v>0</v>
      </c>
      <c r="AM73" s="1092">
        <f>IF(J73="y",1,0)</f>
        <v>0</v>
      </c>
      <c r="AN73" s="1080">
        <f>IF(N73="P",-1,IF(N73="T",1,0))</f>
        <v>1</v>
      </c>
      <c r="AO73" s="1080">
        <f t="shared" si="79"/>
        <v>0</v>
      </c>
      <c r="AP73" s="1080">
        <f>SUM(AJ73:AN73)-AM73</f>
        <v>1</v>
      </c>
      <c r="AQ73" s="1027">
        <f>VLOOKUP(V73,'System Lookups'!$J$55:$P$64,7)</f>
        <v>500</v>
      </c>
      <c r="AR73" s="1080" t="str">
        <f ca="1">IF(AND(NOT(ISBLANK(AJ73)),ISNA(MATCH(ROW(),'System Lookups'!$C$526:$C$539,0))),"Y","N")</f>
        <v>Y</v>
      </c>
      <c r="AS73" s="1080">
        <f>AG73-AI73</f>
        <v>0</v>
      </c>
      <c r="AU73" s="1080" t="e">
        <f t="shared" si="69"/>
        <v>#N/A</v>
      </c>
      <c r="AV73" s="1080" t="str">
        <f t="shared" si="70"/>
        <v>T</v>
      </c>
      <c r="AW73" s="1080">
        <f t="shared" si="71"/>
        <v>0</v>
      </c>
      <c r="AX73" s="1080">
        <f t="shared" si="72"/>
        <v>0</v>
      </c>
      <c r="AY73" s="1080">
        <f t="shared" si="73"/>
        <v>0</v>
      </c>
      <c r="AZ73" s="1080">
        <f t="shared" si="74"/>
        <v>0</v>
      </c>
      <c r="BA73" s="1080">
        <f t="shared" si="75"/>
        <v>0</v>
      </c>
      <c r="BB73" s="1080">
        <f>IF(AND(RACE=1,'Main Creation Page'!$E$6="Well",OR(ISNUMBER(FIND(Experience!$G$11,BE73)),ISNUMBER(FIND(Experience!$G$11,BF73)),ISNUMBER(FIND(Experience!$I$11,BE73)),ISNUMBER(FIND(Experience!$I$11,BF73)))),1,0)</f>
        <v>0</v>
      </c>
      <c r="BC73" s="1080" t="str">
        <f t="shared" si="80"/>
        <v>Dancing:Court</v>
      </c>
      <c r="BD73" s="1080" t="s">
        <v>5681</v>
      </c>
      <c r="BE73" s="1080" t="str">
        <f t="shared" si="76"/>
        <v/>
      </c>
      <c r="BF73" s="1080" t="str">
        <f t="shared" si="77"/>
        <v>Arts &amp; Entertainment Skills</v>
      </c>
    </row>
    <row r="74" spans="1:58" ht="11.1" customHeight="1" outlineLevel="3">
      <c r="A74" s="1028" t="s">
        <v>2194</v>
      </c>
      <c r="B74" s="1094"/>
      <c r="C74" s="1094"/>
      <c r="D74" s="1094"/>
      <c r="E74" s="1095" t="s">
        <v>5224</v>
      </c>
      <c r="F74" s="1095" t="s">
        <v>5224</v>
      </c>
      <c r="G74" s="1096">
        <v>0</v>
      </c>
      <c r="H74" s="1096" t="s">
        <v>5224</v>
      </c>
      <c r="I74" s="1096" t="s">
        <v>5224</v>
      </c>
      <c r="J74" s="1096" t="s">
        <v>5224</v>
      </c>
      <c r="K74" s="1096" t="s">
        <v>5224</v>
      </c>
      <c r="L74" s="1096" t="s">
        <v>5224</v>
      </c>
      <c r="M74" s="1096" t="s">
        <v>5224</v>
      </c>
      <c r="N74" s="1096" t="s">
        <v>4631</v>
      </c>
      <c r="O74" s="1097"/>
      <c r="P74" s="1097" t="s">
        <v>3611</v>
      </c>
      <c r="Q74" s="1097">
        <f ca="1">INDIRECT(P74)</f>
        <v>15</v>
      </c>
      <c r="R74" s="1097"/>
      <c r="S74" s="1028" t="s">
        <v>3613</v>
      </c>
      <c r="T74" s="1097">
        <f ca="1">INDIRECT(S74)</f>
        <v>15</v>
      </c>
      <c r="U74" s="1027">
        <v>2</v>
      </c>
      <c r="V74" s="1027">
        <f>IF(AP74+U74&gt;10,10,IF(AP74+U74&lt;1,1,AP74+U74))</f>
        <v>3</v>
      </c>
      <c r="W74" s="1098" t="e">
        <f>IF(OR(I74&lt;&gt;"N",E74="C"),IF(AND(N74&lt;&gt;"T",ISNUMBER(FIND("V",I74))),1,0),NA())+IF(H74="Y",IF(AND(N74="P",ISNUMBER(FIND("Z",I74))),2,1),0)+IF(J74="Y",1,0)+IF(K74="Y",3,0)+IF(BE74="Lore",L74*2+Experience!$D$25,0)+IF(M74="Y",1,0)</f>
        <v>#N/A</v>
      </c>
      <c r="X74" s="1099"/>
      <c r="Y74" s="1100">
        <f ca="1">IF(P74="NS",IFERROR(INDIRECT(S74),NA()),VLOOKUP(INDIRECT(P74)+INDIRECT(S74),'System Lookups'!$A$3:$D$146,2))</f>
        <v>0.06</v>
      </c>
      <c r="Z74" s="1100">
        <f>IF(ISNA(W74),0,W74*0.03)+IF(X74&gt;0,X74*0.03,0)+IF(AND(ISNA(W74),X74&lt;=0),0,IF(G74&gt;0,G74*0.07,0))</f>
        <v>0</v>
      </c>
      <c r="AA74" s="1101">
        <f ca="1">IF(ISNA(Y74),0,Y74)+Z74+IF('Main Creation Page'!E9&gt;17,0.1,IF('Main Creation Page'!E9&lt;11,-0.1,0))</f>
        <v>0.06</v>
      </c>
      <c r="AB74" s="1102">
        <f>VLOOKUP(V74,'System Lookups'!$J$55:$P$64,3)</f>
        <v>0.3</v>
      </c>
      <c r="AC74" s="1103">
        <f>VLOOKUP(V74,'System Lookups'!$J$55:$P$64,4)</f>
        <v>0.4</v>
      </c>
      <c r="AD74" s="1104">
        <f ca="1">IF(AND(ISBLANK(X74),ISNA(W74)),IF(B74="~",0,AB74+AA74+IF(BB74&gt;0,0.05,0)),AA74+AC74+IF(BB74&gt;0,0.05,0))</f>
        <v>0.36</v>
      </c>
      <c r="AE74" s="1094">
        <f ca="1">(IF(AD74&gt;VLOOKUP(V74,'System Lookups'!$J$55:$P$63,6),(((AD74-VLOOKUP(V74,'System Lookups'!$J$55:$P$63,6))*100)/20),0))+AF74</f>
        <v>0</v>
      </c>
      <c r="AF74" s="1120">
        <f>IF('Main Creation Page'!E$9&gt;=18,1,IF('Main Creation Page'!E$9&lt;=10,-1,0))</f>
        <v>0</v>
      </c>
      <c r="AG74" s="1092">
        <f>IF(ISBLANK(X74),0,AQ74*X74+IF(ISNA(W74),1,0))</f>
        <v>0</v>
      </c>
      <c r="AH74" s="1092" t="str">
        <f>IF(X74&lt;=Experience!$R$15+1,"","*")</f>
        <v/>
      </c>
      <c r="AI74" s="1092"/>
      <c r="AJ74" s="1080">
        <f>IF(ISNUMBER(FIND("R",F74)),-1,0)</f>
        <v>0</v>
      </c>
      <c r="AK74" s="1080">
        <f>IF(F74="s",-2,0)</f>
        <v>0</v>
      </c>
      <c r="AL74" s="1080">
        <f t="shared" si="78"/>
        <v>0</v>
      </c>
      <c r="AM74" s="1092">
        <f>IF(J74="y",1,0)</f>
        <v>0</v>
      </c>
      <c r="AN74" s="1080">
        <f>IF(N74="P",-1,IF(N74="T",1,0))</f>
        <v>1</v>
      </c>
      <c r="AO74" s="1080">
        <f t="shared" si="79"/>
        <v>0</v>
      </c>
      <c r="AP74" s="1080">
        <f>SUM(AJ74:AN74)-AM74</f>
        <v>1</v>
      </c>
      <c r="AQ74" s="1027">
        <f>VLOOKUP(V74,'System Lookups'!$J$55:$P$64,7)</f>
        <v>500</v>
      </c>
      <c r="AR74" s="1080" t="str">
        <f ca="1">IF(AND(NOT(ISBLANK(AJ74)),ISNA(MATCH(ROW(),'System Lookups'!$C$526:$C$539,0))),"Y","N")</f>
        <v>Y</v>
      </c>
      <c r="AS74" s="1080">
        <f>AG74-AI74</f>
        <v>0</v>
      </c>
      <c r="AU74" s="1080" t="e">
        <f t="shared" si="69"/>
        <v>#N/A</v>
      </c>
      <c r="AV74" s="1080" t="str">
        <f t="shared" si="70"/>
        <v>T</v>
      </c>
      <c r="AW74" s="1080">
        <f t="shared" si="71"/>
        <v>0</v>
      </c>
      <c r="AX74" s="1080">
        <f t="shared" si="72"/>
        <v>0</v>
      </c>
      <c r="AY74" s="1080">
        <f t="shared" si="73"/>
        <v>0</v>
      </c>
      <c r="AZ74" s="1080">
        <f t="shared" si="74"/>
        <v>0</v>
      </c>
      <c r="BA74" s="1080">
        <f t="shared" si="75"/>
        <v>0</v>
      </c>
      <c r="BB74" s="1080">
        <f>IF(AND(RACE=1,'Main Creation Page'!$E$6="Well",OR(ISNUMBER(FIND(Experience!$G$11,BE74)),ISNUMBER(FIND(Experience!$G$11,BF74)),ISNUMBER(FIND(Experience!$I$11,BE74)),ISNUMBER(FIND(Experience!$I$11,BF74)))),1,0)</f>
        <v>0</v>
      </c>
      <c r="BC74" s="1080" t="str">
        <f t="shared" si="80"/>
        <v>Dancing:Folk</v>
      </c>
      <c r="BD74" s="1080" t="s">
        <v>5681</v>
      </c>
      <c r="BE74" s="1080" t="str">
        <f t="shared" si="76"/>
        <v/>
      </c>
      <c r="BF74" s="1080" t="str">
        <f t="shared" si="77"/>
        <v>Arts &amp; Entertainment Skills</v>
      </c>
    </row>
    <row r="75" spans="1:58" ht="11.1" customHeight="1" outlineLevel="3">
      <c r="A75" s="1028"/>
      <c r="D75" s="1079"/>
      <c r="AF75" s="1079"/>
      <c r="AI75" s="1092"/>
      <c r="AM75" s="1092"/>
      <c r="AQ75" s="1027"/>
      <c r="AR75" s="1080" t="str">
        <f ca="1">IF(AND(NOT(ISBLANK(AJ75)),ISNA(MATCH(ROW(),'System Lookups'!$C$526:$C$539,0))),"Y","N")</f>
        <v>N</v>
      </c>
      <c r="AU75" s="1080" t="e">
        <f t="shared" si="69"/>
        <v>#N/A</v>
      </c>
      <c r="AV75" s="1080" t="str">
        <f t="shared" si="70"/>
        <v/>
      </c>
      <c r="AW75" s="1080">
        <f t="shared" si="71"/>
        <v>0</v>
      </c>
      <c r="AX75" s="1080">
        <f t="shared" si="72"/>
        <v>0</v>
      </c>
      <c r="AY75" s="1080">
        <f t="shared" si="73"/>
        <v>0</v>
      </c>
      <c r="AZ75" s="1080">
        <f t="shared" si="74"/>
        <v>0</v>
      </c>
      <c r="BA75" s="1080">
        <f t="shared" si="75"/>
        <v>0</v>
      </c>
      <c r="BB75" s="1080">
        <f>IF(AND(RACE=1,'Main Creation Page'!$E$6="Well",OR(ISNUMBER(FIND(Experience!$G$11,BE75)),ISNUMBER(FIND(Experience!$G$11,BF75)),ISNUMBER(FIND(Experience!$I$11,BE75)),ISNUMBER(FIND(Experience!$I$11,BF75)))),1,0)</f>
        <v>0</v>
      </c>
      <c r="BC75" s="1080" t="e">
        <f t="shared" si="80"/>
        <v>#N/A</v>
      </c>
      <c r="BD75" s="1080" t="s">
        <v>5681</v>
      </c>
      <c r="BE75" s="1080" t="str">
        <f t="shared" si="76"/>
        <v/>
      </c>
      <c r="BF75" s="1080" t="str">
        <f t="shared" si="77"/>
        <v>Arts &amp; Entertainment Skills</v>
      </c>
    </row>
    <row r="76" spans="1:58" ht="11.1" customHeight="1" outlineLevel="2">
      <c r="A76" s="1123" t="s">
        <v>4718</v>
      </c>
      <c r="B76" s="1094"/>
      <c r="C76" s="1094"/>
      <c r="D76" s="1094"/>
      <c r="E76" s="1095" t="s">
        <v>5224</v>
      </c>
      <c r="F76" s="1095" t="s">
        <v>5224</v>
      </c>
      <c r="G76" s="1096">
        <v>0</v>
      </c>
      <c r="H76" s="1096" t="s">
        <v>5224</v>
      </c>
      <c r="I76" s="1096" t="s">
        <v>5224</v>
      </c>
      <c r="J76" s="1096" t="s">
        <v>5224</v>
      </c>
      <c r="K76" s="1096" t="s">
        <v>5224</v>
      </c>
      <c r="L76" s="1096" t="s">
        <v>5224</v>
      </c>
      <c r="M76" s="1096" t="s">
        <v>5224</v>
      </c>
      <c r="N76" s="1096" t="s">
        <v>4631</v>
      </c>
      <c r="O76" s="1097"/>
      <c r="P76" s="1097" t="s">
        <v>3616</v>
      </c>
      <c r="Q76" s="1097">
        <f t="shared" ref="Q76:Q78" ca="1" si="81">INDIRECT(P76)</f>
        <v>17</v>
      </c>
      <c r="R76" s="1097"/>
      <c r="S76" s="1028" t="s">
        <v>3613</v>
      </c>
      <c r="T76" s="1097">
        <f t="shared" ref="T76:T78" ca="1" si="82">INDIRECT(S76)</f>
        <v>15</v>
      </c>
      <c r="U76" s="1027">
        <v>4</v>
      </c>
      <c r="V76" s="1027">
        <f>IF(AP76+U76&gt;10,10,IF(AP76+U76&lt;1,1,AP76+U76))</f>
        <v>5</v>
      </c>
      <c r="W76" s="1098" t="e">
        <f>IF(OR(I76&lt;&gt;"N",E76="C"),IF(AND(N76&lt;&gt;"T",ISNUMBER(FIND("V",I76))),1,0),NA())+IF(H76="Y",IF(AND(N76="P",ISNUMBER(FIND("Z",I76))),2,1),0)+IF(J76="Y",1,0)+IF(K76="Y",3,0)+IF(BE76="Lore",L76*2+Experience!$D$25,0)+IF(M76="Y",1,0)</f>
        <v>#N/A</v>
      </c>
      <c r="X76" s="1099"/>
      <c r="Y76" s="1100">
        <f ca="1">IF(P76="NS",IFERROR(INDIRECT(S76),NA()),VLOOKUP(INDIRECT(P76)+INDIRECT(S76),'System Lookups'!$A$3:$D$146,2))</f>
        <v>0.08</v>
      </c>
      <c r="Z76" s="1100">
        <f>IF(ISNA(W76),0,W76*0.03)+IF(X76&gt;0,X76*0.03,0)+IF(AND(ISNA(W76),X76&lt;=0),0,IF(G76&gt;0,G76*0.07,0))</f>
        <v>0</v>
      </c>
      <c r="AA76" s="1101">
        <f ca="1">IF(ISNA(Y76),0,Y76)+Z76</f>
        <v>0.08</v>
      </c>
      <c r="AB76" s="1102">
        <f>VLOOKUP(V76,'System Lookups'!$J$55:$P$64,3)</f>
        <v>0.1</v>
      </c>
      <c r="AC76" s="1103">
        <f>VLOOKUP(V76,'System Lookups'!$J$55:$P$64,4)</f>
        <v>0.2</v>
      </c>
      <c r="AD76" s="1104">
        <f ca="1">IF(AND(ISBLANK(X76),ISNA(W76)),IF(B76="~",0,AB76+AA76+IF(BB76&gt;0,0.05,0)),AA76+AC76+IF(BB76&gt;0,0.05,0))</f>
        <v>0.18</v>
      </c>
      <c r="AE76" s="1094">
        <f ca="1">(IF(AD76&gt;VLOOKUP(V76,'System Lookups'!$J$55:$P$63,6),(((AD76-VLOOKUP(V76,'System Lookups'!$J$55:$P$63,6))*100)/20),0))+AF76</f>
        <v>0</v>
      </c>
      <c r="AF76" s="1121"/>
      <c r="AG76" s="1092">
        <f>IF(ISBLANK(X76),0,AQ76*X76+IF(ISNA(W76),1,0))</f>
        <v>0</v>
      </c>
      <c r="AH76" s="1092" t="str">
        <f>IF(X76&lt;=Experience!$R$15+1,"","*")</f>
        <v/>
      </c>
      <c r="AI76" s="1092"/>
      <c r="AJ76" s="1080">
        <f t="shared" ref="AJ76:AJ78" si="83">IF(ISNUMBER(FIND("R",F76)),-1,0)</f>
        <v>0</v>
      </c>
      <c r="AK76" s="1080">
        <f>IF(F76="s",-2,0)</f>
        <v>0</v>
      </c>
      <c r="AL76" s="1080">
        <f t="shared" ref="AL76:AL78" si="84">IF(AND(H76="Y",OR(N76="P",N76="S")),-1,0)</f>
        <v>0</v>
      </c>
      <c r="AM76" s="1092">
        <f>IF(J76="y",1,0)</f>
        <v>0</v>
      </c>
      <c r="AN76" s="1080">
        <f>IF(N76="P",-1,IF(N76="T",1,0))</f>
        <v>1</v>
      </c>
      <c r="AO76" s="1080">
        <f t="shared" ref="AO76:AO78" si="85">IF(ISNUMBER(FIND("Z",I76)),1,0)</f>
        <v>0</v>
      </c>
      <c r="AP76" s="1080">
        <f>SUM(AJ76:AN76)-AM76</f>
        <v>1</v>
      </c>
      <c r="AQ76" s="1027">
        <f>VLOOKUP(V76,'System Lookups'!$J$55:$P$64,7)</f>
        <v>700</v>
      </c>
      <c r="AR76" s="1080" t="str">
        <f ca="1">IF(AND(NOT(ISBLANK(AJ76)),ISNA(MATCH(ROW(),'System Lookups'!$C$526:$C$539,0))),"Y","N")</f>
        <v>Y</v>
      </c>
      <c r="AS76" s="1080">
        <f>AG76-AI76</f>
        <v>0</v>
      </c>
      <c r="AU76" s="1080" t="e">
        <f t="shared" si="69"/>
        <v>#N/A</v>
      </c>
      <c r="AV76" s="1080" t="str">
        <f t="shared" si="70"/>
        <v>T</v>
      </c>
      <c r="AW76" s="1080">
        <f t="shared" si="71"/>
        <v>0</v>
      </c>
      <c r="AX76" s="1080">
        <f t="shared" si="72"/>
        <v>0</v>
      </c>
      <c r="AY76" s="1080">
        <f t="shared" si="73"/>
        <v>0</v>
      </c>
      <c r="AZ76" s="1080">
        <f t="shared" si="74"/>
        <v>0</v>
      </c>
      <c r="BA76" s="1080">
        <f t="shared" si="75"/>
        <v>0</v>
      </c>
      <c r="BB76" s="1080">
        <f>IF(AND(RACE=1,'Main Creation Page'!$E$6="Well",OR(ISNUMBER(FIND(Experience!$G$11,BE76)),ISNUMBER(FIND(Experience!$G$11,BF76)),ISNUMBER(FIND(Experience!$I$11,BE76)),ISNUMBER(FIND(Experience!$I$11,BF76)))),1,0)</f>
        <v>0</v>
      </c>
      <c r="BC76" s="1080" t="str">
        <f t="shared" si="80"/>
        <v>Dancing:Fire-Walking</v>
      </c>
      <c r="BD76" s="1080" t="s">
        <v>5681</v>
      </c>
      <c r="BE76" s="1080" t="str">
        <f t="shared" si="76"/>
        <v/>
      </c>
      <c r="BF76" s="1080" t="str">
        <f t="shared" si="77"/>
        <v>Arts &amp; Entertainment Skills</v>
      </c>
    </row>
    <row r="77" spans="1:58" ht="11.1" customHeight="1" outlineLevel="2">
      <c r="A77" s="1123" t="s">
        <v>426</v>
      </c>
      <c r="B77" s="1094"/>
      <c r="C77" s="1094"/>
      <c r="D77" s="1094"/>
      <c r="E77" s="1095" t="s">
        <v>5224</v>
      </c>
      <c r="F77" s="1095" t="s">
        <v>5224</v>
      </c>
      <c r="G77" s="1096">
        <v>0</v>
      </c>
      <c r="H77" s="1096" t="s">
        <v>5224</v>
      </c>
      <c r="I77" s="1096" t="s">
        <v>5224</v>
      </c>
      <c r="J77" s="1096" t="s">
        <v>5224</v>
      </c>
      <c r="K77" s="1096" t="s">
        <v>5224</v>
      </c>
      <c r="L77" s="1096" t="s">
        <v>5224</v>
      </c>
      <c r="M77" s="1096" t="s">
        <v>5224</v>
      </c>
      <c r="N77" s="1096" t="s">
        <v>4631</v>
      </c>
      <c r="O77" s="1097"/>
      <c r="P77" s="1097" t="s">
        <v>780</v>
      </c>
      <c r="Q77" s="1097">
        <f t="shared" ca="1" si="81"/>
        <v>17</v>
      </c>
      <c r="R77" s="1097"/>
      <c r="S77" s="1028" t="s">
        <v>3613</v>
      </c>
      <c r="T77" s="1097">
        <f t="shared" ca="1" si="82"/>
        <v>15</v>
      </c>
      <c r="U77" s="1027">
        <v>2</v>
      </c>
      <c r="V77" s="1027">
        <f>IF(AP77+U77&gt;10,10,IF(AP77+U77&lt;1,1,AP77+U77))</f>
        <v>3</v>
      </c>
      <c r="W77" s="1098" t="e">
        <f>IF(OR(I77&lt;&gt;"N",E77="C"),IF(AND(N77&lt;&gt;"T",ISNUMBER(FIND("V",I77))),1,0),NA())+IF(H77="Y",IF(AND(N77="P",ISNUMBER(FIND("Z",I77))),2,1),0)+IF(J77="Y",1,0)+IF(K77="Y",3,0)+IF(BE77="Lore",L77*2+Experience!$D$25,0)+IF(M77="Y",1,0)</f>
        <v>#N/A</v>
      </c>
      <c r="X77" s="1099"/>
      <c r="Y77" s="1100">
        <f ca="1">IF(P77="NS",IFERROR(INDIRECT(S77),NA()),VLOOKUP(INDIRECT(P77)+INDIRECT(S77),'System Lookups'!$A$3:$D$146,2))</f>
        <v>0.08</v>
      </c>
      <c r="Z77" s="1100">
        <f>IF(ISNA(W77),0,W77*0.03)+IF(X77&gt;0,X77*0.03,0)+IF(AND(ISNA(W77),X77&lt;=0),0,IF(G77&gt;0,G77*0.07,0))</f>
        <v>0</v>
      </c>
      <c r="AA77" s="1101">
        <f ca="1">IF(ISNA(Y77),0,Y77)+Z77</f>
        <v>0.08</v>
      </c>
      <c r="AB77" s="1102">
        <f>VLOOKUP(V77,'System Lookups'!$J$55:$P$64,3)</f>
        <v>0.3</v>
      </c>
      <c r="AC77" s="1103">
        <f>VLOOKUP(V77,'System Lookups'!$J$55:$P$64,4)</f>
        <v>0.4</v>
      </c>
      <c r="AD77" s="1104">
        <f ca="1">IF(AND(ISBLANK(X77),ISNA(W77)),IF(B77="~",0,AB77+AA77+IF(BB77&gt;0,0.05,0)),AA77+AC77+IF(BB77&gt;0,0.05,0))</f>
        <v>0.38</v>
      </c>
      <c r="AE77" s="1094">
        <f ca="1">(IF(AD77&gt;VLOOKUP(V77,'System Lookups'!$J$55:$P$63,6),(((AD77-VLOOKUP(V77,'System Lookups'!$J$55:$P$63,6))*100)/20),0))+AF77</f>
        <v>0</v>
      </c>
      <c r="AF77" s="1121"/>
      <c r="AG77" s="1092">
        <f>IF(ISBLANK(X77),0,AQ77*X77+IF(ISNA(W77),1,0))</f>
        <v>0</v>
      </c>
      <c r="AH77" s="1092" t="str">
        <f>IF(X77&lt;=Experience!$R$15+1,"","*")</f>
        <v/>
      </c>
      <c r="AI77" s="1092"/>
      <c r="AJ77" s="1080">
        <f t="shared" si="83"/>
        <v>0</v>
      </c>
      <c r="AK77" s="1080">
        <f>IF(F77="s",-2,0)</f>
        <v>0</v>
      </c>
      <c r="AL77" s="1080">
        <f t="shared" si="84"/>
        <v>0</v>
      </c>
      <c r="AM77" s="1092">
        <f>IF(J77="y",1,0)</f>
        <v>0</v>
      </c>
      <c r="AN77" s="1080">
        <f>IF(N77="P",-1,IF(N77="T",1,0))</f>
        <v>1</v>
      </c>
      <c r="AO77" s="1080">
        <f t="shared" si="85"/>
        <v>0</v>
      </c>
      <c r="AP77" s="1080">
        <f>SUM(AJ77:AN77)-AM77</f>
        <v>1</v>
      </c>
      <c r="AQ77" s="1027">
        <f>VLOOKUP(V77,'System Lookups'!$J$55:$P$64,7)</f>
        <v>500</v>
      </c>
      <c r="AR77" s="1080" t="str">
        <f ca="1">IF(AND(NOT(ISBLANK(AJ77)),ISNA(MATCH(ROW(),'System Lookups'!$C$526:$C$539,0))),"Y","N")</f>
        <v>Y</v>
      </c>
      <c r="AS77" s="1080">
        <f>AG77-AI77</f>
        <v>0</v>
      </c>
      <c r="AU77" s="1080" t="e">
        <f t="shared" si="69"/>
        <v>#N/A</v>
      </c>
      <c r="AV77" s="1080" t="str">
        <f t="shared" si="70"/>
        <v>T</v>
      </c>
      <c r="AW77" s="1080">
        <f t="shared" si="71"/>
        <v>0</v>
      </c>
      <c r="AX77" s="1080">
        <f t="shared" si="72"/>
        <v>0</v>
      </c>
      <c r="AY77" s="1080">
        <f t="shared" si="73"/>
        <v>0</v>
      </c>
      <c r="AZ77" s="1080">
        <f t="shared" si="74"/>
        <v>0</v>
      </c>
      <c r="BA77" s="1080">
        <f t="shared" si="75"/>
        <v>0</v>
      </c>
      <c r="BB77" s="1080">
        <f>IF(AND(RACE=1,'Main Creation Page'!$E$6="Well",OR(ISNUMBER(FIND(Experience!$G$11,BE77)),ISNUMBER(FIND(Experience!$G$11,BF77)),ISNUMBER(FIND(Experience!$I$11,BE77)),ISNUMBER(FIND(Experience!$I$11,BF77)))),1,0)</f>
        <v>0</v>
      </c>
      <c r="BC77" s="1080" t="str">
        <f t="shared" si="80"/>
        <v>Dancing:Games</v>
      </c>
      <c r="BD77" s="1080" t="s">
        <v>5681</v>
      </c>
      <c r="BE77" s="1080" t="str">
        <f t="shared" si="76"/>
        <v/>
      </c>
      <c r="BF77" s="1080" t="str">
        <f t="shared" si="77"/>
        <v>Arts &amp; Entertainment Skills</v>
      </c>
    </row>
    <row r="78" spans="1:58" ht="11.1" customHeight="1" outlineLevel="2">
      <c r="A78" s="1123" t="s">
        <v>654</v>
      </c>
      <c r="B78" s="1094"/>
      <c r="C78" s="1094"/>
      <c r="D78" s="1094"/>
      <c r="E78" s="1095" t="s">
        <v>5224</v>
      </c>
      <c r="F78" s="1095" t="s">
        <v>5224</v>
      </c>
      <c r="G78" s="1096">
        <v>0</v>
      </c>
      <c r="H78" s="1096" t="s">
        <v>5224</v>
      </c>
      <c r="I78" s="1096" t="s">
        <v>5224</v>
      </c>
      <c r="J78" s="1096" t="s">
        <v>5224</v>
      </c>
      <c r="K78" s="1096" t="s">
        <v>5224</v>
      </c>
      <c r="L78" s="1096" t="s">
        <v>5224</v>
      </c>
      <c r="M78" s="1096" t="s">
        <v>5224</v>
      </c>
      <c r="N78" s="1096" t="s">
        <v>4631</v>
      </c>
      <c r="O78" s="1097"/>
      <c r="P78" s="1097" t="s">
        <v>780</v>
      </c>
      <c r="Q78" s="1097">
        <f t="shared" ca="1" si="81"/>
        <v>17</v>
      </c>
      <c r="R78" s="1097"/>
      <c r="S78" s="1028" t="s">
        <v>3613</v>
      </c>
      <c r="T78" s="1097">
        <f t="shared" ca="1" si="82"/>
        <v>15</v>
      </c>
      <c r="U78" s="1027">
        <v>5</v>
      </c>
      <c r="V78" s="1027">
        <f>IF(AP78+U78&gt;10,10,IF(AP78+U78&lt;1,1,AP78+U78))</f>
        <v>6</v>
      </c>
      <c r="W78" s="1098" t="e">
        <f>IF(OR(I78&lt;&gt;"N",E78="C"),IF(AND(N78&lt;&gt;"T",ISNUMBER(FIND("V",I78))),1,0),NA())+IF(H78="Y",IF(AND(N78="P",ISNUMBER(FIND("Z",I78))),2,1),0)+IF(J78="Y",1,0)+IF(K78="Y",3,0)+IF(BE78="Lore",L78*2+Experience!$D$25,0)+IF(M78="Y",1,0)</f>
        <v>#N/A</v>
      </c>
      <c r="X78" s="1099"/>
      <c r="Y78" s="1100">
        <f ca="1">IF(P78="NS",IFERROR(INDIRECT(S78),NA()),VLOOKUP(INDIRECT(P78)+INDIRECT(S78),'System Lookups'!$A$3:$D$146,2))</f>
        <v>0.08</v>
      </c>
      <c r="Z78" s="1100">
        <f>IF(ISNA(W78),0,W78*0.03)+IF(X78&gt;0,X78*0.03,0)+IF(AND(ISNA(W78),X78&lt;=0),0,IF(G78&gt;0,G78*0.07,0))</f>
        <v>0</v>
      </c>
      <c r="AA78" s="1101">
        <f ca="1">IF(ISNA(Y78),0,Y78)+Z78</f>
        <v>0.08</v>
      </c>
      <c r="AB78" s="1102">
        <f>VLOOKUP(V78,'System Lookups'!$J$55:$P$64,3)</f>
        <v>0.05</v>
      </c>
      <c r="AC78" s="1103">
        <f>VLOOKUP(V78,'System Lookups'!$J$55:$P$64,4)</f>
        <v>0.1</v>
      </c>
      <c r="AD78" s="1104">
        <f ca="1">IF(AND(ISBLANK(X78),ISNA(W78)),IF(B78="~",0,AB78+AA78+IF(BB78&gt;0,0.05,0)),AA78+AC78+IF(BB78&gt;0,0.05,0))</f>
        <v>0.13</v>
      </c>
      <c r="AE78" s="1094">
        <f ca="1">(IF(AD78&gt;VLOOKUP(V78,'System Lookups'!$J$55:$P$63,6),(((AD78-VLOOKUP(V78,'System Lookups'!$J$55:$P$63,6))*100)/20),0))+AF78</f>
        <v>0</v>
      </c>
      <c r="AF78" s="1121"/>
      <c r="AG78" s="1092">
        <f>IF(ISBLANK(X78),0,AQ78*X78+IF(ISNA(W78),1,0))</f>
        <v>0</v>
      </c>
      <c r="AH78" s="1092" t="str">
        <f>IF(X78&lt;=Experience!$R$15+1,"","*")</f>
        <v/>
      </c>
      <c r="AI78" s="1092"/>
      <c r="AJ78" s="1080">
        <f t="shared" si="83"/>
        <v>0</v>
      </c>
      <c r="AK78" s="1080">
        <f>IF(F78="s",-2,0)</f>
        <v>0</v>
      </c>
      <c r="AL78" s="1080">
        <f t="shared" si="84"/>
        <v>0</v>
      </c>
      <c r="AM78" s="1092">
        <f>IF(J78="y",1,0)</f>
        <v>0</v>
      </c>
      <c r="AN78" s="1080">
        <f>IF(N78="P",-1,IF(N78="T",1,0))</f>
        <v>1</v>
      </c>
      <c r="AO78" s="1080">
        <f t="shared" si="85"/>
        <v>0</v>
      </c>
      <c r="AP78" s="1080">
        <f>SUM(AJ78:AN78)-AM78</f>
        <v>1</v>
      </c>
      <c r="AQ78" s="1027">
        <f>VLOOKUP(V78,'System Lookups'!$J$55:$P$64,7)</f>
        <v>800</v>
      </c>
      <c r="AR78" s="1080" t="str">
        <f ca="1">IF(AND(NOT(ISBLANK(AJ78)),ISNA(MATCH(ROW(),'System Lookups'!$C$526:$C$539,0))),"Y","N")</f>
        <v>Y</v>
      </c>
      <c r="AS78" s="1080">
        <f>AG78-AI78</f>
        <v>0</v>
      </c>
      <c r="AU78" s="1080" t="e">
        <f t="shared" si="69"/>
        <v>#N/A</v>
      </c>
      <c r="AV78" s="1080" t="str">
        <f t="shared" si="70"/>
        <v>T</v>
      </c>
      <c r="AW78" s="1080">
        <f t="shared" si="71"/>
        <v>0</v>
      </c>
      <c r="AX78" s="1080">
        <f t="shared" si="72"/>
        <v>0</v>
      </c>
      <c r="AY78" s="1080">
        <f t="shared" si="73"/>
        <v>0</v>
      </c>
      <c r="AZ78" s="1080">
        <f t="shared" si="74"/>
        <v>0</v>
      </c>
      <c r="BA78" s="1080">
        <f t="shared" si="75"/>
        <v>0</v>
      </c>
      <c r="BB78" s="1080">
        <f>IF(AND(RACE=1,'Main Creation Page'!$E$6="Well",OR(ISNUMBER(FIND(Experience!$G$11,BE78)),ISNUMBER(FIND(Experience!$G$11,BF78)),ISNUMBER(FIND(Experience!$I$11,BE78)),ISNUMBER(FIND(Experience!$I$11,BF78)))),1,0)</f>
        <v>0</v>
      </c>
      <c r="BC78" s="1080" t="str">
        <f t="shared" si="80"/>
        <v>Games of Chance</v>
      </c>
      <c r="BE78" s="1080" t="str">
        <f t="shared" si="76"/>
        <v/>
      </c>
      <c r="BF78" s="1080" t="str">
        <f t="shared" si="77"/>
        <v>Arts &amp; Entertainment Skills</v>
      </c>
    </row>
    <row r="79" spans="1:58" ht="11.1" customHeight="1" outlineLevel="3">
      <c r="A79" s="1028" t="s">
        <v>1138</v>
      </c>
      <c r="B79" s="2641">
        <f>'Main Creation Page'!E18/4</f>
        <v>3</v>
      </c>
      <c r="C79" s="2642"/>
      <c r="D79" s="2643"/>
      <c r="O79" s="1097"/>
      <c r="P79" s="1097"/>
      <c r="Q79" s="1097"/>
      <c r="R79" s="1097"/>
      <c r="AF79" s="1079"/>
      <c r="AQ79" s="1034"/>
      <c r="AR79" s="1080" t="str">
        <f ca="1">IF(AND(NOT(ISBLANK(AJ79)),ISNA(MATCH(ROW(),'System Lookups'!$C$526:$C$539,0))),"Y","N")</f>
        <v>N</v>
      </c>
      <c r="AU79" s="1080" t="e">
        <f t="shared" si="69"/>
        <v>#N/A</v>
      </c>
      <c r="AV79" s="1080" t="str">
        <f t="shared" si="70"/>
        <v/>
      </c>
      <c r="AW79" s="1080">
        <f t="shared" si="71"/>
        <v>0</v>
      </c>
      <c r="AX79" s="1080">
        <f t="shared" si="72"/>
        <v>0</v>
      </c>
      <c r="AY79" s="1080">
        <f t="shared" si="73"/>
        <v>0</v>
      </c>
      <c r="AZ79" s="1080">
        <f t="shared" si="74"/>
        <v>0</v>
      </c>
      <c r="BA79" s="1080">
        <f t="shared" si="75"/>
        <v>0</v>
      </c>
      <c r="BB79" s="1080">
        <f>IF(AND(RACE=1,'Main Creation Page'!$E$6="Well",OR(ISNUMBER(FIND(Experience!$G$11,BE79)),ISNUMBER(FIND(Experience!$G$11,BF79)),ISNUMBER(FIND(Experience!$I$11,BE79)),ISNUMBER(FIND(Experience!$I$11,BF79)))),1,0)</f>
        <v>0</v>
      </c>
      <c r="BC79" s="1080" t="e">
        <f t="shared" si="80"/>
        <v>#N/A</v>
      </c>
      <c r="BE79" s="1080" t="str">
        <f t="shared" si="76"/>
        <v/>
      </c>
      <c r="BF79" s="1080" t="str">
        <f t="shared" si="77"/>
        <v>Arts &amp; Entertainment Skills</v>
      </c>
    </row>
    <row r="80" spans="1:58" ht="11.1" customHeight="1" outlineLevel="2">
      <c r="A80" s="1123" t="s">
        <v>655</v>
      </c>
      <c r="B80" s="1094"/>
      <c r="C80" s="1094"/>
      <c r="D80" s="1094"/>
      <c r="E80" s="1095" t="s">
        <v>5224</v>
      </c>
      <c r="F80" s="1095" t="s">
        <v>5224</v>
      </c>
      <c r="G80" s="1096">
        <v>0</v>
      </c>
      <c r="H80" s="1096" t="s">
        <v>5224</v>
      </c>
      <c r="I80" s="1096" t="s">
        <v>5224</v>
      </c>
      <c r="J80" s="1096" t="s">
        <v>5224</v>
      </c>
      <c r="K80" s="1096" t="s">
        <v>5224</v>
      </c>
      <c r="L80" s="1096" t="s">
        <v>5224</v>
      </c>
      <c r="M80" s="1096" t="s">
        <v>5224</v>
      </c>
      <c r="N80" s="1096" t="s">
        <v>4631</v>
      </c>
      <c r="O80" s="1097"/>
      <c r="P80" s="1097" t="s">
        <v>780</v>
      </c>
      <c r="Q80" s="1097">
        <f t="shared" ref="Q80:Q81" ca="1" si="86">INDIRECT(P80)</f>
        <v>17</v>
      </c>
      <c r="R80" s="1097"/>
      <c r="S80" s="1028" t="s">
        <v>3613</v>
      </c>
      <c r="T80" s="1097">
        <f t="shared" ref="T80:T81" ca="1" si="87">INDIRECT(S80)</f>
        <v>15</v>
      </c>
      <c r="U80" s="1027">
        <v>3</v>
      </c>
      <c r="V80" s="1027">
        <f>IF(AP80+U80&gt;10,10,IF(AP80+U80&lt;1,1,AP80+U80))</f>
        <v>4</v>
      </c>
      <c r="W80" s="1098" t="e">
        <f>IF(OR(I80&lt;&gt;"N",E80="C"),IF(AND(N80&lt;&gt;"T",ISNUMBER(FIND("V",I80))),1,0),NA())+IF(H80="Y",IF(AND(N80="P",ISNUMBER(FIND("Z",I80))),2,1),0)+IF(J80="Y",1,0)+IF(K80="Y",3,0)+IF(BE80="Lore",L80*2+Experience!$D$25,0)+IF(M80="Y",1,0)</f>
        <v>#N/A</v>
      </c>
      <c r="X80" s="1099"/>
      <c r="Y80" s="1100">
        <f ca="1">IF(P80="NS",IFERROR(INDIRECT(S80),NA()),VLOOKUP(INDIRECT(P80)+INDIRECT(S80),'System Lookups'!$A$3:$D$146,2))</f>
        <v>0.08</v>
      </c>
      <c r="Z80" s="1100">
        <f>IF(ISNA(W80),0,W80*0.03)+IF(X80&gt;0,X80*0.03,0)+IF(AND(ISNA(W80),X80&lt;=0),0,IF(G80&gt;0,G80*0.07,0))</f>
        <v>0</v>
      </c>
      <c r="AA80" s="1101">
        <f ca="1">IF(ISNA(Y80),0,Y80)+Z80</f>
        <v>0.08</v>
      </c>
      <c r="AB80" s="1102">
        <f>VLOOKUP(V80,'System Lookups'!$J$55:$P$64,3)</f>
        <v>0.2</v>
      </c>
      <c r="AC80" s="1103">
        <f>VLOOKUP(V80,'System Lookups'!$J$55:$P$64,4)</f>
        <v>0.3</v>
      </c>
      <c r="AD80" s="1104">
        <f ca="1">IF(AND(ISBLANK(X80),ISNA(W80)),IF(B80="~",0,AB80+AA80+IF(BB80&gt;0,0.05,0)),AA80+AC80+IF(BB80&gt;0,0.05,0))</f>
        <v>0.28000000000000003</v>
      </c>
      <c r="AE80" s="1094">
        <f ca="1">(IF(AD80&gt;VLOOKUP(V80,'System Lookups'!$J$55:$P$63,6),(((AD80-VLOOKUP(V80,'System Lookups'!$J$55:$P$63,6))*100)/20),0))+AF80</f>
        <v>0</v>
      </c>
      <c r="AF80" s="1121"/>
      <c r="AG80" s="1092">
        <f>IF(ISBLANK(X80),0,AQ80*X80+IF(ISNA(W80),1,0))</f>
        <v>0</v>
      </c>
      <c r="AH80" s="1092" t="str">
        <f>IF(X80&lt;=Experience!$R$15+1,"","*")</f>
        <v/>
      </c>
      <c r="AI80" s="1092"/>
      <c r="AJ80" s="1080">
        <f t="shared" ref="AJ80:AJ81" si="88">IF(ISNUMBER(FIND("R",F80)),-1,0)</f>
        <v>0</v>
      </c>
      <c r="AK80" s="1080">
        <f>IF(F80="s",-2,0)</f>
        <v>0</v>
      </c>
      <c r="AL80" s="1080">
        <f t="shared" ref="AL80:AL81" si="89">IF(AND(H80="Y",OR(N80="P",N80="S")),-1,0)</f>
        <v>0</v>
      </c>
      <c r="AM80" s="1092">
        <f>IF(J80="y",1,0)</f>
        <v>0</v>
      </c>
      <c r="AN80" s="1080">
        <f>IF(N80="P",-1,IF(N80="T",1,0))</f>
        <v>1</v>
      </c>
      <c r="AO80" s="1080">
        <f t="shared" ref="AO80:AO81" si="90">IF(ISNUMBER(FIND("Z",I80)),1,0)</f>
        <v>0</v>
      </c>
      <c r="AP80" s="1080">
        <f>SUM(AJ80:AN80)-AM80</f>
        <v>1</v>
      </c>
      <c r="AQ80" s="1027">
        <f>VLOOKUP(V80,'System Lookups'!$J$55:$P$64,7)</f>
        <v>600</v>
      </c>
      <c r="AR80" s="1080" t="str">
        <f ca="1">IF(AND(NOT(ISBLANK(AJ80)),ISNA(MATCH(ROW(),'System Lookups'!$C$526:$C$539,0))),"Y","N")</f>
        <v>Y</v>
      </c>
      <c r="AS80" s="1080">
        <f>AG80-AI80</f>
        <v>0</v>
      </c>
      <c r="AU80" s="1080" t="e">
        <f t="shared" si="69"/>
        <v>#N/A</v>
      </c>
      <c r="AV80" s="1080" t="str">
        <f t="shared" si="70"/>
        <v>T</v>
      </c>
      <c r="AW80" s="1080">
        <f t="shared" si="71"/>
        <v>0</v>
      </c>
      <c r="AX80" s="1080">
        <f t="shared" si="72"/>
        <v>0</v>
      </c>
      <c r="AY80" s="1080">
        <f t="shared" si="73"/>
        <v>0</v>
      </c>
      <c r="AZ80" s="1080">
        <f t="shared" si="74"/>
        <v>0</v>
      </c>
      <c r="BA80" s="1080">
        <f t="shared" si="75"/>
        <v>0</v>
      </c>
      <c r="BB80" s="1080">
        <f>IF(AND(RACE=1,'Main Creation Page'!$E$6="Well",OR(ISNUMBER(FIND(Experience!$G$11,BE80)),ISNUMBER(FIND(Experience!$G$11,BF80)),ISNUMBER(FIND(Experience!$I$11,BE80)),ISNUMBER(FIND(Experience!$I$11,BF80)))),1,0)</f>
        <v>0</v>
      </c>
      <c r="BC80" s="1080" t="str">
        <f t="shared" si="80"/>
        <v>Skilled Games</v>
      </c>
      <c r="BE80" s="1080" t="str">
        <f t="shared" si="76"/>
        <v/>
      </c>
      <c r="BF80" s="1080" t="str">
        <f t="shared" si="77"/>
        <v>Arts &amp; Entertainment Skills</v>
      </c>
    </row>
    <row r="81" spans="1:58" ht="11.1" customHeight="1" outlineLevel="2">
      <c r="A81" s="1117" t="s">
        <v>2755</v>
      </c>
      <c r="B81" s="1094"/>
      <c r="C81" s="1094"/>
      <c r="D81" s="1094"/>
      <c r="E81" s="1095" t="s">
        <v>5224</v>
      </c>
      <c r="F81" s="1095" t="s">
        <v>5224</v>
      </c>
      <c r="G81" s="1096">
        <v>0</v>
      </c>
      <c r="H81" s="1096" t="s">
        <v>5224</v>
      </c>
      <c r="I81" s="1096" t="s">
        <v>5224</v>
      </c>
      <c r="J81" s="1096" t="s">
        <v>5224</v>
      </c>
      <c r="K81" s="1096" t="s">
        <v>5224</v>
      </c>
      <c r="L81" s="1096" t="s">
        <v>5224</v>
      </c>
      <c r="M81" s="1096" t="s">
        <v>5224</v>
      </c>
      <c r="N81" s="1096" t="s">
        <v>4631</v>
      </c>
      <c r="O81" s="1097"/>
      <c r="P81" s="1097" t="s">
        <v>3611</v>
      </c>
      <c r="Q81" s="1097">
        <f t="shared" ca="1" si="86"/>
        <v>15</v>
      </c>
      <c r="R81" s="1097"/>
      <c r="S81" s="1097" t="s">
        <v>3611</v>
      </c>
      <c r="T81" s="1097">
        <f t="shared" ca="1" si="87"/>
        <v>15</v>
      </c>
      <c r="U81" s="1027">
        <v>2</v>
      </c>
      <c r="V81" s="1027">
        <f>IF(AP81+U81&gt;10,10,IF(AP81+U81&lt;1,1,AP81+U81))</f>
        <v>3</v>
      </c>
      <c r="W81" s="1098" t="e">
        <f>IF(OR(I81&lt;&gt;"N",E81="C"),IF(AND(N81&lt;&gt;"T",ISNUMBER(FIND("V",I81))),1,0),NA())+IF(H81="Y",IF(AND(N81="P",ISNUMBER(FIND("Z",I81))),2,1),0)+IF(J81="Y",1,0)+IF(K81="Y",3,0)+IF(BE81="Lore",L81*2+Experience!$D$25,0)+IF(M81="Y",1,0)</f>
        <v>#N/A</v>
      </c>
      <c r="X81" s="1099"/>
      <c r="Y81" s="1100">
        <f ca="1">IF(P81="NS",IFERROR(INDIRECT(S81),NA()),VLOOKUP(INDIRECT(P81)+INDIRECT(S81),'System Lookups'!$A$3:$D$146,2))</f>
        <v>0.06</v>
      </c>
      <c r="Z81" s="1100">
        <f>IF(ISNA(W81),0,W81*0.03)+IF(X81&gt;0,X81*0.03,0)+IF(AND(ISNA(W81),X81&lt;=0),0,IF(G81&gt;0,G81*0.07,0))</f>
        <v>0</v>
      </c>
      <c r="AA81" s="1101">
        <f ca="1">IF(ISNA(Y81),0,Y81)+Z81+IF('Main Creation Page'!E9&gt;17,0.1,IF('Main Creation Page'!E9&lt;11,-0.21,IF('Main Creation Page'!E9&lt;14,-0.1,0)))</f>
        <v>0.06</v>
      </c>
      <c r="AB81" s="1102">
        <f>VLOOKUP(V81,'System Lookups'!$J$55:$P$64,3)</f>
        <v>0.3</v>
      </c>
      <c r="AC81" s="1103">
        <f>VLOOKUP(V81,'System Lookups'!$J$55:$P$64,4)</f>
        <v>0.4</v>
      </c>
      <c r="AD81" s="1104">
        <f ca="1">IF(AND(ISBLANK(X81),ISNA(W81)),IF(B81="~",0,AB81+AA81+IF(BB81&gt;0,0.05,0)),AA81+AC81+IF(BB81&gt;0,0.05,0))</f>
        <v>0.36</v>
      </c>
      <c r="AE81" s="1094">
        <f ca="1">(IF(AD81&gt;VLOOKUP(V81,'System Lookups'!$J$55:$P$63,6),(((AD81-VLOOKUP(V81,'System Lookups'!$J$55:$P$63,6))*100)/20),0))+AF81</f>
        <v>0</v>
      </c>
      <c r="AF81" s="1120">
        <f>IF('Main Creation Page'!E$9&gt;=18,1,IF('Main Creation Page'!E$9&lt;=10,-3,IF('Main Creation Page'!E$9&lt;=13,-1,0)))</f>
        <v>0</v>
      </c>
      <c r="AG81" s="1092">
        <f>IF(ISBLANK(X81),0,AQ81*X81+IF(ISNA(W81),1,0))</f>
        <v>0</v>
      </c>
      <c r="AH81" s="1092" t="str">
        <f>IF(X81&lt;=Experience!$R$15+1,"","*")</f>
        <v/>
      </c>
      <c r="AI81" s="1092"/>
      <c r="AJ81" s="1080">
        <f t="shared" si="88"/>
        <v>0</v>
      </c>
      <c r="AK81" s="1080">
        <f>IF(F81="s",-2,0)</f>
        <v>0</v>
      </c>
      <c r="AL81" s="1080">
        <f t="shared" si="89"/>
        <v>0</v>
      </c>
      <c r="AM81" s="1092">
        <f>IF(J81="y",1,0)</f>
        <v>0</v>
      </c>
      <c r="AN81" s="1080">
        <f>IF(N81="P",-1,IF(N81="T",1,0))</f>
        <v>1</v>
      </c>
      <c r="AO81" s="1080">
        <f t="shared" si="90"/>
        <v>0</v>
      </c>
      <c r="AP81" s="1080">
        <f>SUM(AJ81:AN81)-AM81</f>
        <v>1</v>
      </c>
      <c r="AQ81" s="1027">
        <f>VLOOKUP(V81,'System Lookups'!$J$55:$P$64,7)</f>
        <v>500</v>
      </c>
      <c r="AR81" s="1080" t="str">
        <f ca="1">IF(AND(NOT(ISBLANK(AJ81)),ISNA(MATCH(ROW(),'System Lookups'!$C$526:$C$539,0))),"Y","N")</f>
        <v>Y</v>
      </c>
      <c r="AS81" s="1080">
        <f>AG81-AI81</f>
        <v>0</v>
      </c>
      <c r="AU81" s="1080" t="e">
        <f t="shared" si="69"/>
        <v>#N/A</v>
      </c>
      <c r="AV81" s="1080" t="str">
        <f t="shared" si="70"/>
        <v>T</v>
      </c>
      <c r="AW81" s="1080">
        <f t="shared" si="71"/>
        <v>0</v>
      </c>
      <c r="AX81" s="1080">
        <f t="shared" si="72"/>
        <v>0</v>
      </c>
      <c r="AY81" s="1080">
        <f t="shared" si="73"/>
        <v>0</v>
      </c>
      <c r="AZ81" s="1080">
        <f t="shared" si="74"/>
        <v>0</v>
      </c>
      <c r="BA81" s="1080">
        <f t="shared" si="75"/>
        <v>0</v>
      </c>
      <c r="BB81" s="1080">
        <f>IF(AND(RACE=1,'Main Creation Page'!$E$6="Well",OR(ISNUMBER(FIND(Experience!$G$11,BE81)),ISNUMBER(FIND(Experience!$G$11,BF81)),ISNUMBER(FIND(Experience!$I$11,BE81)),ISNUMBER(FIND(Experience!$I$11,BF81)))),1,0)</f>
        <v>0</v>
      </c>
      <c r="BC81" s="1080" t="str">
        <f t="shared" si="80"/>
        <v>Juggling</v>
      </c>
      <c r="BE81" s="1080" t="str">
        <f t="shared" si="76"/>
        <v/>
      </c>
      <c r="BF81" s="1080" t="str">
        <f t="shared" si="77"/>
        <v>Arts &amp; Entertainment Skills</v>
      </c>
    </row>
    <row r="82" spans="1:58" ht="15" customHeight="1" outlineLevel="2">
      <c r="A82" s="1115" t="s">
        <v>2756</v>
      </c>
      <c r="B82" s="1094"/>
      <c r="C82" s="1094"/>
      <c r="D82" s="1094"/>
      <c r="F82" s="1027"/>
      <c r="G82" s="1027"/>
      <c r="H82" s="1027"/>
      <c r="I82" s="1027"/>
      <c r="J82" s="1027"/>
      <c r="K82" s="1027"/>
      <c r="L82" s="1027"/>
      <c r="M82" s="1027"/>
      <c r="N82" s="1027"/>
      <c r="O82" s="1097"/>
      <c r="P82" s="1097"/>
      <c r="Q82" s="1097"/>
      <c r="R82" s="1097"/>
      <c r="S82" s="1028"/>
      <c r="T82" s="1028"/>
      <c r="U82" s="1027"/>
      <c r="V82" s="1027"/>
      <c r="W82" s="1028"/>
      <c r="X82" s="1092"/>
      <c r="AE82" s="1094"/>
      <c r="AF82" s="1121"/>
      <c r="AG82" s="1092"/>
      <c r="AH82" s="1092"/>
      <c r="AI82" s="1092"/>
      <c r="AM82" s="1092"/>
      <c r="AQ82" s="1027"/>
      <c r="AR82" s="1080" t="str">
        <f ca="1">IF(AND(NOT(ISBLANK(AJ82)),ISNA(MATCH(ROW(),'System Lookups'!$C$526:$C$539,0))),"Y","N")</f>
        <v>N</v>
      </c>
      <c r="AU82" s="1080" t="e">
        <f t="shared" si="69"/>
        <v>#N/A</v>
      </c>
      <c r="AV82" s="1080" t="str">
        <f t="shared" si="70"/>
        <v/>
      </c>
      <c r="AW82" s="1080">
        <f t="shared" si="71"/>
        <v>0</v>
      </c>
      <c r="AX82" s="1080">
        <f t="shared" si="72"/>
        <v>0</v>
      </c>
      <c r="AY82" s="1080">
        <f t="shared" si="73"/>
        <v>0</v>
      </c>
      <c r="AZ82" s="1080">
        <f t="shared" si="74"/>
        <v>0</v>
      </c>
      <c r="BA82" s="1080">
        <f t="shared" si="75"/>
        <v>0</v>
      </c>
      <c r="BB82" s="1080">
        <f>IF(AND(RACE=1,'Main Creation Page'!$E$6="Well",OR(ISNUMBER(FIND(Experience!$G$11,BE82)),ISNUMBER(FIND(Experience!$G$11,BF82)),ISNUMBER(FIND(Experience!$I$11,BE82)),ISNUMBER(FIND(Experience!$I$11,BF82)))),1,0)</f>
        <v>0</v>
      </c>
      <c r="BC82" s="1080" t="e">
        <f t="shared" si="80"/>
        <v>#N/A</v>
      </c>
      <c r="BE82" s="1080" t="str">
        <f t="shared" si="76"/>
        <v/>
      </c>
      <c r="BF82" s="1080" t="str">
        <f t="shared" si="77"/>
        <v>Arts &amp; Entertainment Skills</v>
      </c>
    </row>
    <row r="83" spans="1:58" ht="11.1" customHeight="1" outlineLevel="3">
      <c r="A83" s="1028" t="s">
        <v>2757</v>
      </c>
      <c r="B83" s="1094"/>
      <c r="C83" s="1094"/>
      <c r="D83" s="1094"/>
      <c r="E83" s="1095" t="s">
        <v>5224</v>
      </c>
      <c r="F83" s="1095" t="s">
        <v>5224</v>
      </c>
      <c r="G83" s="1096">
        <v>0</v>
      </c>
      <c r="H83" s="1096" t="s">
        <v>5224</v>
      </c>
      <c r="I83" s="1096" t="s">
        <v>5224</v>
      </c>
      <c r="J83" s="1096" t="s">
        <v>5224</v>
      </c>
      <c r="K83" s="1096" t="s">
        <v>5224</v>
      </c>
      <c r="L83" s="1096" t="s">
        <v>5224</v>
      </c>
      <c r="M83" s="1096" t="s">
        <v>5224</v>
      </c>
      <c r="N83" s="1096" t="s">
        <v>4631</v>
      </c>
      <c r="O83" s="1097"/>
      <c r="P83" s="1097" t="s">
        <v>3614</v>
      </c>
      <c r="Q83" s="1097">
        <f t="shared" ref="Q83:Q91" ca="1" si="91">INDIRECT(P83)</f>
        <v>15</v>
      </c>
      <c r="R83" s="1097"/>
      <c r="S83" s="1097" t="s">
        <v>3612</v>
      </c>
      <c r="T83" s="1097">
        <f t="shared" ref="T83:T91" ca="1" si="92">INDIRECT(S83)</f>
        <v>10</v>
      </c>
      <c r="U83" s="1027">
        <v>4</v>
      </c>
      <c r="V83" s="1027">
        <f t="shared" ref="V83:V91" si="93">IF(AP83+U83&gt;10,10,IF(AP83+U83&lt;1,1,AP83+U83))</f>
        <v>5</v>
      </c>
      <c r="W83" s="1098" t="e">
        <f>IF(OR(I83&lt;&gt;"N",E83="C"),IF(AND(N83&lt;&gt;"T",ISNUMBER(FIND("V",I83))),1,0),NA())+IF(H83="Y",IF(AND(N83="P",ISNUMBER(FIND("Z",I83))),2,1),0)+IF(J83="Y",1,0)+IF(K83="Y",3,0)+IF(BE83="Lore",L83*2+Experience!$D$25,0)+IF(M83="Y",1,0)</f>
        <v>#N/A</v>
      </c>
      <c r="X83" s="1099"/>
      <c r="Y83" s="1100">
        <f ca="1">IF(P83="NS",IFERROR(INDIRECT(S83),NA()),VLOOKUP(INDIRECT(P83)+INDIRECT(S83),'System Lookups'!$A$3:$D$146,2))</f>
        <v>0.02</v>
      </c>
      <c r="Z83" s="1100">
        <f t="shared" ref="Z83:Z91" si="94">IF(ISNA(W83),0,W83*0.03)+IF(X83&gt;0,X83*0.03,0)+IF(AND(ISNA(W83),X83&lt;=0),0,IF(G83&gt;0,G83*0.07,0))</f>
        <v>0</v>
      </c>
      <c r="AA83" s="1101">
        <f t="shared" ref="AA83:AA91" ca="1" si="95">IF(ISNA(Y83),0,Y83)+Z83</f>
        <v>0.02</v>
      </c>
      <c r="AB83" s="1102">
        <f>VLOOKUP(V83,'System Lookups'!$J$55:$P$64,3)</f>
        <v>0.1</v>
      </c>
      <c r="AC83" s="1103">
        <f>VLOOKUP(V83,'System Lookups'!$J$55:$P$64,4)</f>
        <v>0.2</v>
      </c>
      <c r="AD83" s="1104">
        <f t="shared" ref="AD83:AD91" ca="1" si="96">IF(AND(ISBLANK(X83),ISNA(W83)),IF(B83="~",0,AB83+AA83+IF(BB83&gt;0,0.05,0)),AA83+AC83+IF(BB83&gt;0,0.05,0))</f>
        <v>0.12000000000000001</v>
      </c>
      <c r="AE83" s="1094">
        <f ca="1">(IF(AD83&gt;VLOOKUP(V83,'System Lookups'!$J$55:$P$63,6),(((AD83-VLOOKUP(V83,'System Lookups'!$J$55:$P$63,6))*100)/20),0))+AF83</f>
        <v>0</v>
      </c>
      <c r="AF83" s="1121"/>
      <c r="AG83" s="1092">
        <f t="shared" ref="AG83:AG91" si="97">IF(ISBLANK(X83),0,AQ83*X83+IF(ISNA(W83),1,0))</f>
        <v>0</v>
      </c>
      <c r="AH83" s="1092" t="str">
        <f>IF(X83&lt;=Experience!$R$15+1,"","*")</f>
        <v/>
      </c>
      <c r="AI83" s="1092"/>
      <c r="AJ83" s="1080">
        <f t="shared" ref="AJ83:AJ91" si="98">IF(ISNUMBER(FIND("R",F83)),-1,0)</f>
        <v>0</v>
      </c>
      <c r="AK83" s="1080">
        <f t="shared" ref="AK83:AK91" si="99">IF(F83="s",-2,0)</f>
        <v>0</v>
      </c>
      <c r="AL83" s="1080">
        <f t="shared" ref="AL83:AL91" si="100">IF(AND(H83="Y",OR(N83="P",N83="S")),-1,0)</f>
        <v>0</v>
      </c>
      <c r="AM83" s="1092">
        <f t="shared" ref="AM83:AM91" si="101">IF(J83="y",1,0)</f>
        <v>0</v>
      </c>
      <c r="AN83" s="1080">
        <f t="shared" ref="AN83:AN91" si="102">IF(N83="P",-1,IF(N83="T",1,0))</f>
        <v>1</v>
      </c>
      <c r="AO83" s="1080">
        <f t="shared" ref="AO83:AO91" si="103">IF(ISNUMBER(FIND("Z",I83)),1,0)</f>
        <v>0</v>
      </c>
      <c r="AP83" s="1080">
        <f t="shared" ref="AP83:AP91" si="104">SUM(AJ83:AN83)-AM83</f>
        <v>1</v>
      </c>
      <c r="AQ83" s="1027">
        <f>VLOOKUP(V83,'System Lookups'!$J$55:$P$64,7)</f>
        <v>700</v>
      </c>
      <c r="AR83" s="1080" t="str">
        <f ca="1">IF(AND(NOT(ISBLANK(AJ83)),ISNA(MATCH(ROW(),'System Lookups'!$C$526:$C$539,0))),"Y","N")</f>
        <v>Y</v>
      </c>
      <c r="AS83" s="1080">
        <f t="shared" ref="AS83:AS91" si="105">AG83-AI83</f>
        <v>0</v>
      </c>
      <c r="AU83" s="1080" t="e">
        <f t="shared" si="69"/>
        <v>#N/A</v>
      </c>
      <c r="AV83" s="1080" t="str">
        <f t="shared" si="70"/>
        <v>T</v>
      </c>
      <c r="AW83" s="1080">
        <f t="shared" si="71"/>
        <v>0</v>
      </c>
      <c r="AX83" s="1080">
        <f t="shared" si="72"/>
        <v>0</v>
      </c>
      <c r="AY83" s="1080">
        <f t="shared" si="73"/>
        <v>0</v>
      </c>
      <c r="AZ83" s="1080">
        <f t="shared" si="74"/>
        <v>0</v>
      </c>
      <c r="BA83" s="1080">
        <f t="shared" si="75"/>
        <v>0</v>
      </c>
      <c r="BB83" s="1080">
        <f>IF(AND(RACE=1,'Main Creation Page'!$E$6="Well",OR(ISNUMBER(FIND(Experience!$G$11,BE83)),ISNUMBER(FIND(Experience!$G$11,BF83)),ISNUMBER(FIND(Experience!$I$11,BE83)),ISNUMBER(FIND(Experience!$I$11,BF83)))),1,0)</f>
        <v>0</v>
      </c>
      <c r="BC83" s="1080" t="str">
        <f t="shared" si="80"/>
        <v>Instrument:Bagpipes</v>
      </c>
      <c r="BD83" s="1080" t="s">
        <v>5682</v>
      </c>
      <c r="BE83" s="1080" t="str">
        <f t="shared" si="76"/>
        <v/>
      </c>
      <c r="BF83" s="1080" t="str">
        <f t="shared" si="77"/>
        <v>Arts &amp; Entertainment Skills</v>
      </c>
    </row>
    <row r="84" spans="1:58" ht="11.1" customHeight="1" outlineLevel="3">
      <c r="A84" s="1028" t="s">
        <v>2758</v>
      </c>
      <c r="B84" s="1094"/>
      <c r="C84" s="1094"/>
      <c r="D84" s="1094"/>
      <c r="E84" s="1095" t="s">
        <v>5224</v>
      </c>
      <c r="F84" s="1095" t="s">
        <v>5224</v>
      </c>
      <c r="G84" s="1096">
        <v>0</v>
      </c>
      <c r="H84" s="1096" t="s">
        <v>5224</v>
      </c>
      <c r="I84" s="1096" t="s">
        <v>5224</v>
      </c>
      <c r="J84" s="1096" t="s">
        <v>5224</v>
      </c>
      <c r="K84" s="1096" t="s">
        <v>5224</v>
      </c>
      <c r="L84" s="1096" t="s">
        <v>5224</v>
      </c>
      <c r="M84" s="1096" t="s">
        <v>5224</v>
      </c>
      <c r="N84" s="1096" t="s">
        <v>4631</v>
      </c>
      <c r="O84" s="1097"/>
      <c r="P84" s="1097" t="s">
        <v>3611</v>
      </c>
      <c r="Q84" s="1097">
        <f t="shared" ca="1" si="91"/>
        <v>15</v>
      </c>
      <c r="R84" s="1097"/>
      <c r="S84" s="1097" t="s">
        <v>3611</v>
      </c>
      <c r="T84" s="1097">
        <f t="shared" ca="1" si="92"/>
        <v>15</v>
      </c>
      <c r="U84" s="1027">
        <v>2</v>
      </c>
      <c r="V84" s="1027">
        <f t="shared" si="93"/>
        <v>3</v>
      </c>
      <c r="W84" s="1098" t="e">
        <f>IF(OR(I84&lt;&gt;"N",E84="C"),IF(AND(N84&lt;&gt;"T",ISNUMBER(FIND("V",I84))),1,0),NA())+IF(H84="Y",IF(AND(N84="P",ISNUMBER(FIND("Z",I84))),2,1),0)+IF(J84="Y",1,0)+IF(K84="Y",3,0)+IF(BE84="Lore",L84*2+Experience!$D$25,0)+IF(M84="Y",1,0)</f>
        <v>#N/A</v>
      </c>
      <c r="X84" s="1099"/>
      <c r="Y84" s="1100">
        <f ca="1">IF(P84="NS",IFERROR(INDIRECT(S84),NA()),VLOOKUP(INDIRECT(P84)+INDIRECT(S84),'System Lookups'!$A$3:$D$146,2))</f>
        <v>0.06</v>
      </c>
      <c r="Z84" s="1100">
        <f t="shared" si="94"/>
        <v>0</v>
      </c>
      <c r="AA84" s="1101">
        <f t="shared" ca="1" si="95"/>
        <v>0.06</v>
      </c>
      <c r="AB84" s="1102">
        <f>VLOOKUP(V84,'System Lookups'!$J$55:$P$64,3)</f>
        <v>0.3</v>
      </c>
      <c r="AC84" s="1103">
        <f>VLOOKUP(V84,'System Lookups'!$J$55:$P$64,4)</f>
        <v>0.4</v>
      </c>
      <c r="AD84" s="1104">
        <f t="shared" ca="1" si="96"/>
        <v>0.36</v>
      </c>
      <c r="AE84" s="1094">
        <f ca="1">(IF(AD84&gt;VLOOKUP(V84,'System Lookups'!$J$55:$P$63,6),(((AD84-VLOOKUP(V84,'System Lookups'!$J$55:$P$63,6))*100)/20),0))+AF84</f>
        <v>0</v>
      </c>
      <c r="AF84" s="1121"/>
      <c r="AG84" s="1092">
        <f t="shared" si="97"/>
        <v>0</v>
      </c>
      <c r="AH84" s="1092" t="str">
        <f>IF(X84&lt;=Experience!$R$15+1,"","*")</f>
        <v/>
      </c>
      <c r="AI84" s="1092"/>
      <c r="AJ84" s="1080">
        <f t="shared" si="98"/>
        <v>0</v>
      </c>
      <c r="AK84" s="1080">
        <f t="shared" si="99"/>
        <v>0</v>
      </c>
      <c r="AL84" s="1080">
        <f t="shared" si="100"/>
        <v>0</v>
      </c>
      <c r="AM84" s="1092">
        <f t="shared" si="101"/>
        <v>0</v>
      </c>
      <c r="AN84" s="1080">
        <f t="shared" si="102"/>
        <v>1</v>
      </c>
      <c r="AO84" s="1080">
        <f t="shared" si="103"/>
        <v>0</v>
      </c>
      <c r="AP84" s="1080">
        <f t="shared" si="104"/>
        <v>1</v>
      </c>
      <c r="AQ84" s="1027">
        <f>VLOOKUP(V84,'System Lookups'!$J$55:$P$64,7)</f>
        <v>500</v>
      </c>
      <c r="AR84" s="1080" t="str">
        <f ca="1">IF(AND(NOT(ISBLANK(AJ84)),ISNA(MATCH(ROW(),'System Lookups'!$C$526:$C$539,0))),"Y","N")</f>
        <v>Y</v>
      </c>
      <c r="AS84" s="1080">
        <f t="shared" si="105"/>
        <v>0</v>
      </c>
      <c r="AU84" s="1080" t="e">
        <f t="shared" si="69"/>
        <v>#N/A</v>
      </c>
      <c r="AV84" s="1080" t="str">
        <f t="shared" si="70"/>
        <v>T</v>
      </c>
      <c r="AW84" s="1080">
        <f t="shared" si="71"/>
        <v>0</v>
      </c>
      <c r="AX84" s="1080">
        <f t="shared" si="72"/>
        <v>0</v>
      </c>
      <c r="AY84" s="1080">
        <f t="shared" si="73"/>
        <v>0</v>
      </c>
      <c r="AZ84" s="1080">
        <f t="shared" si="74"/>
        <v>0</v>
      </c>
      <c r="BA84" s="1080">
        <f t="shared" si="75"/>
        <v>0</v>
      </c>
      <c r="BB84" s="1080">
        <f>IF(AND(RACE=1,'Main Creation Page'!$E$6="Well",OR(ISNUMBER(FIND(Experience!$G$11,BE84)),ISNUMBER(FIND(Experience!$G$11,BF84)),ISNUMBER(FIND(Experience!$I$11,BE84)),ISNUMBER(FIND(Experience!$I$11,BF84)))),1,0)</f>
        <v>0</v>
      </c>
      <c r="BC84" s="1080" t="str">
        <f t="shared" si="80"/>
        <v>Instrument:Drums</v>
      </c>
      <c r="BD84" s="1080" t="s">
        <v>5682</v>
      </c>
      <c r="BE84" s="1080" t="str">
        <f t="shared" si="76"/>
        <v/>
      </c>
      <c r="BF84" s="1080" t="str">
        <f t="shared" si="77"/>
        <v>Arts &amp; Entertainment Skills</v>
      </c>
    </row>
    <row r="85" spans="1:58" ht="11.1" customHeight="1" outlineLevel="3">
      <c r="A85" s="1028" t="s">
        <v>2760</v>
      </c>
      <c r="B85" s="1094"/>
      <c r="C85" s="1094"/>
      <c r="D85" s="1094"/>
      <c r="E85" s="1095" t="s">
        <v>5224</v>
      </c>
      <c r="F85" s="1095" t="s">
        <v>5224</v>
      </c>
      <c r="G85" s="1096">
        <v>0</v>
      </c>
      <c r="H85" s="1096" t="s">
        <v>5224</v>
      </c>
      <c r="I85" s="1096" t="s">
        <v>5224</v>
      </c>
      <c r="J85" s="1096" t="s">
        <v>5224</v>
      </c>
      <c r="K85" s="1096" t="s">
        <v>5224</v>
      </c>
      <c r="L85" s="1096" t="s">
        <v>5224</v>
      </c>
      <c r="M85" s="1096" t="s">
        <v>5224</v>
      </c>
      <c r="N85" s="1096" t="s">
        <v>4631</v>
      </c>
      <c r="O85" s="1097"/>
      <c r="P85" s="1097" t="s">
        <v>3611</v>
      </c>
      <c r="Q85" s="1097">
        <f t="shared" ca="1" si="91"/>
        <v>15</v>
      </c>
      <c r="R85" s="1097"/>
      <c r="S85" s="1097" t="s">
        <v>3612</v>
      </c>
      <c r="T85" s="1097">
        <f t="shared" ca="1" si="92"/>
        <v>10</v>
      </c>
      <c r="U85" s="1027">
        <v>3</v>
      </c>
      <c r="V85" s="1027">
        <f t="shared" si="93"/>
        <v>4</v>
      </c>
      <c r="W85" s="1098" t="e">
        <f>IF(OR(I85&lt;&gt;"N",E85="C"),IF(AND(N85&lt;&gt;"T",ISNUMBER(FIND("V",I85))),1,0),NA())+IF(H85="Y",IF(AND(N85="P",ISNUMBER(FIND("Z",I85))),2,1),0)+IF(J85="Y",1,0)+IF(K85="Y",3,0)+IF(BE85="Lore",L85*2+Experience!$D$25,0)+IF(M85="Y",1,0)</f>
        <v>#N/A</v>
      </c>
      <c r="X85" s="1099"/>
      <c r="Y85" s="1100">
        <f ca="1">IF(P85="NS",IFERROR(INDIRECT(S85),NA()),VLOOKUP(INDIRECT(P85)+INDIRECT(S85),'System Lookups'!$A$3:$D$146,2))</f>
        <v>0.02</v>
      </c>
      <c r="Z85" s="1100">
        <f t="shared" si="94"/>
        <v>0</v>
      </c>
      <c r="AA85" s="1101">
        <f t="shared" ca="1" si="95"/>
        <v>0.02</v>
      </c>
      <c r="AB85" s="1102">
        <f>VLOOKUP(V85,'System Lookups'!$J$55:$P$64,3)</f>
        <v>0.2</v>
      </c>
      <c r="AC85" s="1103">
        <f>VLOOKUP(V85,'System Lookups'!$J$55:$P$64,4)</f>
        <v>0.3</v>
      </c>
      <c r="AD85" s="1104">
        <f t="shared" ca="1" si="96"/>
        <v>0.22</v>
      </c>
      <c r="AE85" s="1094">
        <f ca="1">(IF(AD85&gt;VLOOKUP(V85,'System Lookups'!$J$55:$P$63,6),(((AD85-VLOOKUP(V85,'System Lookups'!$J$55:$P$63,6))*100)/20),0))+AF85</f>
        <v>0</v>
      </c>
      <c r="AF85" s="1121"/>
      <c r="AG85" s="1092">
        <f t="shared" si="97"/>
        <v>0</v>
      </c>
      <c r="AH85" s="1092" t="str">
        <f>IF(X85&lt;=Experience!$R$15+1,"","*")</f>
        <v/>
      </c>
      <c r="AI85" s="1092"/>
      <c r="AJ85" s="1080">
        <f t="shared" si="98"/>
        <v>0</v>
      </c>
      <c r="AK85" s="1080">
        <f t="shared" si="99"/>
        <v>0</v>
      </c>
      <c r="AL85" s="1080">
        <f t="shared" si="100"/>
        <v>0</v>
      </c>
      <c r="AM85" s="1092">
        <f t="shared" si="101"/>
        <v>0</v>
      </c>
      <c r="AN85" s="1080">
        <f t="shared" si="102"/>
        <v>1</v>
      </c>
      <c r="AO85" s="1080">
        <f t="shared" si="103"/>
        <v>0</v>
      </c>
      <c r="AP85" s="1080">
        <f t="shared" si="104"/>
        <v>1</v>
      </c>
      <c r="AQ85" s="1027">
        <f>VLOOKUP(V85,'System Lookups'!$J$55:$P$64,7)</f>
        <v>600</v>
      </c>
      <c r="AR85" s="1080" t="str">
        <f ca="1">IF(AND(NOT(ISBLANK(AJ85)),ISNA(MATCH(ROW(),'System Lookups'!$C$526:$C$539,0))),"Y","N")</f>
        <v>Y</v>
      </c>
      <c r="AS85" s="1080">
        <f t="shared" si="105"/>
        <v>0</v>
      </c>
      <c r="AU85" s="1080" t="e">
        <f t="shared" si="69"/>
        <v>#N/A</v>
      </c>
      <c r="AV85" s="1080" t="str">
        <f t="shared" si="70"/>
        <v>T</v>
      </c>
      <c r="AW85" s="1080">
        <f t="shared" si="71"/>
        <v>0</v>
      </c>
      <c r="AX85" s="1080">
        <f t="shared" si="72"/>
        <v>0</v>
      </c>
      <c r="AY85" s="1080">
        <f t="shared" si="73"/>
        <v>0</v>
      </c>
      <c r="AZ85" s="1080">
        <f t="shared" si="74"/>
        <v>0</v>
      </c>
      <c r="BA85" s="1080">
        <f t="shared" si="75"/>
        <v>0</v>
      </c>
      <c r="BB85" s="1080">
        <f>IF(AND(RACE=1,'Main Creation Page'!$E$6="Well",OR(ISNUMBER(FIND(Experience!$G$11,BE85)),ISNUMBER(FIND(Experience!$G$11,BF85)),ISNUMBER(FIND(Experience!$I$11,BE85)),ISNUMBER(FIND(Experience!$I$11,BF85)))),1,0)</f>
        <v>0</v>
      </c>
      <c r="BC85" s="1080" t="str">
        <f t="shared" si="80"/>
        <v>Instrument:Flutes</v>
      </c>
      <c r="BD85" s="1080" t="s">
        <v>5682</v>
      </c>
      <c r="BE85" s="1080" t="str">
        <f t="shared" si="76"/>
        <v/>
      </c>
      <c r="BF85" s="1080" t="str">
        <f t="shared" si="77"/>
        <v>Arts &amp; Entertainment Skills</v>
      </c>
    </row>
    <row r="86" spans="1:58" ht="11.1" customHeight="1" outlineLevel="3">
      <c r="A86" s="1093" t="s">
        <v>2533</v>
      </c>
      <c r="B86" s="1094"/>
      <c r="C86" s="1094"/>
      <c r="D86" s="1094"/>
      <c r="E86" s="1095" t="s">
        <v>5224</v>
      </c>
      <c r="F86" s="1095" t="s">
        <v>5224</v>
      </c>
      <c r="G86" s="1096">
        <v>0</v>
      </c>
      <c r="H86" s="1096" t="s">
        <v>5224</v>
      </c>
      <c r="I86" s="1096" t="s">
        <v>5224</v>
      </c>
      <c r="J86" s="1096" t="s">
        <v>5224</v>
      </c>
      <c r="K86" s="1096" t="s">
        <v>5224</v>
      </c>
      <c r="L86" s="1096" t="s">
        <v>5224</v>
      </c>
      <c r="M86" s="1096" t="s">
        <v>5224</v>
      </c>
      <c r="N86" s="1096" t="s">
        <v>4631</v>
      </c>
      <c r="O86" s="1097"/>
      <c r="P86" s="1097" t="s">
        <v>3611</v>
      </c>
      <c r="Q86" s="1097">
        <f t="shared" ca="1" si="91"/>
        <v>15</v>
      </c>
      <c r="R86" s="1097"/>
      <c r="S86" s="1097" t="s">
        <v>3614</v>
      </c>
      <c r="T86" s="1097">
        <f t="shared" ca="1" si="92"/>
        <v>15</v>
      </c>
      <c r="U86" s="1027">
        <v>5</v>
      </c>
      <c r="V86" s="1027">
        <f t="shared" si="93"/>
        <v>6</v>
      </c>
      <c r="W86" s="1098" t="e">
        <f>IF(OR(I86&lt;&gt;"N",E86="C"),IF(AND(N86&lt;&gt;"T",ISNUMBER(FIND("V",I86))),1,0),NA())+IF(H86="Y",IF(AND(N86="P",ISNUMBER(FIND("Z",I86))),2,1),0)+IF(J86="Y",1,0)+IF(K86="Y",3,0)+IF(BE86="Lore",L86*2+Experience!$D$25,0)+IF(M86="Y",1,0)</f>
        <v>#N/A</v>
      </c>
      <c r="X86" s="1099"/>
      <c r="Y86" s="1100">
        <f ca="1">IF(P86="NS",IFERROR(INDIRECT(S86),NA()),VLOOKUP(INDIRECT(P86)+INDIRECT(S86),'System Lookups'!$A$3:$D$146,2))</f>
        <v>0.06</v>
      </c>
      <c r="Z86" s="1100">
        <f t="shared" si="94"/>
        <v>0</v>
      </c>
      <c r="AA86" s="1101">
        <f ca="1">IF(ISNA(Y86),0,Y86)+Z86</f>
        <v>0.06</v>
      </c>
      <c r="AB86" s="1102">
        <f>VLOOKUP(V86,'System Lookups'!$J$55:$P$64,3)</f>
        <v>0.05</v>
      </c>
      <c r="AC86" s="1103">
        <f>VLOOKUP(V86,'System Lookups'!$J$55:$P$64,4)</f>
        <v>0.1</v>
      </c>
      <c r="AD86" s="1104">
        <f t="shared" ca="1" si="96"/>
        <v>0.11</v>
      </c>
      <c r="AE86" s="1094">
        <f ca="1">(IF(AD86&gt;VLOOKUP(V86,'System Lookups'!$J$55:$P$63,6),(((AD86-VLOOKUP(V86,'System Lookups'!$J$55:$P$63,6))*100)/20),0))+AF86</f>
        <v>0</v>
      </c>
      <c r="AF86" s="1121"/>
      <c r="AG86" s="1092">
        <f t="shared" si="97"/>
        <v>0</v>
      </c>
      <c r="AH86" s="1092" t="str">
        <f>IF(X86&lt;=Experience!$R$15+1,"","*")</f>
        <v/>
      </c>
      <c r="AI86" s="1092"/>
      <c r="AJ86" s="1080">
        <f t="shared" si="98"/>
        <v>0</v>
      </c>
      <c r="AK86" s="1080">
        <f>IF(F86="s",-2,0)</f>
        <v>0</v>
      </c>
      <c r="AL86" s="1080">
        <f t="shared" si="100"/>
        <v>0</v>
      </c>
      <c r="AM86" s="1092">
        <f>IF(J86="y",1,0)</f>
        <v>0</v>
      </c>
      <c r="AN86" s="1080">
        <f>IF(N86="P",-1,IF(N86="T",1,0))</f>
        <v>1</v>
      </c>
      <c r="AO86" s="1080">
        <f t="shared" si="103"/>
        <v>0</v>
      </c>
      <c r="AP86" s="1080">
        <f t="shared" si="104"/>
        <v>1</v>
      </c>
      <c r="AQ86" s="1027">
        <f>VLOOKUP(V86,'System Lookups'!$J$55:$P$64,7)</f>
        <v>800</v>
      </c>
      <c r="AR86" s="1080" t="str">
        <f ca="1">IF(AND(NOT(ISBLANK(AJ86)),ISNA(MATCH(ROW(),'System Lookups'!$C$526:$C$539,0))),"Y","N")</f>
        <v>Y</v>
      </c>
      <c r="AS86" s="1080">
        <f t="shared" si="105"/>
        <v>0</v>
      </c>
      <c r="AU86" s="1080" t="e">
        <f t="shared" si="69"/>
        <v>#N/A</v>
      </c>
      <c r="AV86" s="1080" t="str">
        <f t="shared" si="70"/>
        <v>T</v>
      </c>
      <c r="AW86" s="1080">
        <f t="shared" si="71"/>
        <v>0</v>
      </c>
      <c r="AX86" s="1080">
        <f t="shared" si="72"/>
        <v>0</v>
      </c>
      <c r="AY86" s="1080">
        <f t="shared" si="73"/>
        <v>0</v>
      </c>
      <c r="AZ86" s="1080">
        <f t="shared" si="74"/>
        <v>0</v>
      </c>
      <c r="BA86" s="1080">
        <f t="shared" si="75"/>
        <v>0</v>
      </c>
      <c r="BB86" s="1080">
        <f>IF(AND(RACE=1,'Main Creation Page'!$E$6="Well",OR(ISNUMBER(FIND(Experience!$G$11,BE86)),ISNUMBER(FIND(Experience!$G$11,BF86)),ISNUMBER(FIND(Experience!$I$11,BE86)),ISNUMBER(FIND(Experience!$I$11,BF86)))),1,0)</f>
        <v>0</v>
      </c>
      <c r="BC86" s="1080" t="str">
        <f t="shared" si="80"/>
        <v>Instrument:Glass Instruments</v>
      </c>
      <c r="BD86" s="1080" t="s">
        <v>5682</v>
      </c>
      <c r="BE86" s="1080" t="str">
        <f t="shared" si="76"/>
        <v/>
      </c>
      <c r="BF86" s="1080" t="str">
        <f t="shared" si="77"/>
        <v>Arts &amp; Entertainment Skills</v>
      </c>
    </row>
    <row r="87" spans="1:58" ht="11.1" customHeight="1" outlineLevel="3">
      <c r="A87" s="1028" t="s">
        <v>1816</v>
      </c>
      <c r="B87" s="1094"/>
      <c r="C87" s="1094"/>
      <c r="D87" s="1094"/>
      <c r="E87" s="1095" t="s">
        <v>5224</v>
      </c>
      <c r="F87" s="1095" t="s">
        <v>5224</v>
      </c>
      <c r="G87" s="1096">
        <v>0</v>
      </c>
      <c r="H87" s="1096" t="s">
        <v>5224</v>
      </c>
      <c r="I87" s="1096" t="s">
        <v>5224</v>
      </c>
      <c r="J87" s="1096" t="s">
        <v>5224</v>
      </c>
      <c r="K87" s="1096" t="s">
        <v>5224</v>
      </c>
      <c r="L87" s="1096" t="s">
        <v>5224</v>
      </c>
      <c r="M87" s="1096" t="s">
        <v>5224</v>
      </c>
      <c r="N87" s="1096" t="s">
        <v>4631</v>
      </c>
      <c r="O87" s="1097"/>
      <c r="P87" s="1097" t="s">
        <v>3614</v>
      </c>
      <c r="Q87" s="1097">
        <f t="shared" ca="1" si="91"/>
        <v>15</v>
      </c>
      <c r="R87" s="1097"/>
      <c r="S87" s="1097" t="s">
        <v>3612</v>
      </c>
      <c r="T87" s="1097">
        <f t="shared" ca="1" si="92"/>
        <v>10</v>
      </c>
      <c r="U87" s="1027">
        <v>3</v>
      </c>
      <c r="V87" s="1027">
        <f t="shared" si="93"/>
        <v>4</v>
      </c>
      <c r="W87" s="1098" t="e">
        <f>IF(OR(I87&lt;&gt;"N",E87="C"),IF(AND(N87&lt;&gt;"T",ISNUMBER(FIND("V",I87))),1,0),NA())+IF(H87="Y",IF(AND(N87="P",ISNUMBER(FIND("Z",I87))),2,1),0)+IF(J87="Y",1,0)+IF(K87="Y",3,0)+IF(BE87="Lore",L87*2+Experience!$D$25,0)+IF(M87="Y",1,0)</f>
        <v>#N/A</v>
      </c>
      <c r="X87" s="1099"/>
      <c r="Y87" s="1100">
        <f ca="1">IF(P87="NS",IFERROR(INDIRECT(S87),NA()),VLOOKUP(INDIRECT(P87)+INDIRECT(S87),'System Lookups'!$A$3:$D$146,2))</f>
        <v>0.02</v>
      </c>
      <c r="Z87" s="1100">
        <f t="shared" si="94"/>
        <v>0</v>
      </c>
      <c r="AA87" s="1101">
        <f ca="1">IF(ISNA(Y87),0,Y87)+Z87</f>
        <v>0.02</v>
      </c>
      <c r="AB87" s="1102">
        <f>VLOOKUP(V87,'System Lookups'!$J$55:$P$64,3)</f>
        <v>0.2</v>
      </c>
      <c r="AC87" s="1103">
        <f>VLOOKUP(V87,'System Lookups'!$J$55:$P$64,4)</f>
        <v>0.3</v>
      </c>
      <c r="AD87" s="1104">
        <f t="shared" ca="1" si="96"/>
        <v>0.22</v>
      </c>
      <c r="AE87" s="1094">
        <f ca="1">(IF(AD87&gt;VLOOKUP(V87,'System Lookups'!$J$55:$P$63,6),(((AD87-VLOOKUP(V87,'System Lookups'!$J$55:$P$63,6))*100)/20),0))+AF87</f>
        <v>0</v>
      </c>
      <c r="AF87" s="1121"/>
      <c r="AG87" s="1092">
        <f t="shared" si="97"/>
        <v>0</v>
      </c>
      <c r="AH87" s="1092" t="str">
        <f>IF(X87&lt;=Experience!$R$15+1,"","*")</f>
        <v/>
      </c>
      <c r="AI87" s="1092"/>
      <c r="AJ87" s="1080">
        <f t="shared" si="98"/>
        <v>0</v>
      </c>
      <c r="AK87" s="1080">
        <f>IF(F87="s",-2,0)</f>
        <v>0</v>
      </c>
      <c r="AL87" s="1080">
        <f t="shared" si="100"/>
        <v>0</v>
      </c>
      <c r="AM87" s="1092">
        <f>IF(J87="y",1,0)</f>
        <v>0</v>
      </c>
      <c r="AN87" s="1080">
        <f>IF(N87="P",-1,IF(N87="T",1,0))</f>
        <v>1</v>
      </c>
      <c r="AO87" s="1080">
        <f t="shared" si="103"/>
        <v>0</v>
      </c>
      <c r="AP87" s="1080">
        <f t="shared" si="104"/>
        <v>1</v>
      </c>
      <c r="AQ87" s="1027">
        <f>VLOOKUP(V87,'System Lookups'!$J$55:$P$64,7)</f>
        <v>600</v>
      </c>
      <c r="AR87" s="1080" t="str">
        <f ca="1">IF(AND(NOT(ISBLANK(AJ87)),ISNA(MATCH(ROW(),'System Lookups'!$C$526:$C$539,0))),"Y","N")</f>
        <v>Y</v>
      </c>
      <c r="AS87" s="1080">
        <f t="shared" si="105"/>
        <v>0</v>
      </c>
      <c r="AU87" s="1080" t="e">
        <f t="shared" si="69"/>
        <v>#N/A</v>
      </c>
      <c r="AV87" s="1080" t="str">
        <f t="shared" si="70"/>
        <v>T</v>
      </c>
      <c r="AW87" s="1080">
        <f t="shared" si="71"/>
        <v>0</v>
      </c>
      <c r="AX87" s="1080">
        <f t="shared" si="72"/>
        <v>0</v>
      </c>
      <c r="AY87" s="1080">
        <f t="shared" si="73"/>
        <v>0</v>
      </c>
      <c r="AZ87" s="1080">
        <f t="shared" si="74"/>
        <v>0</v>
      </c>
      <c r="BA87" s="1080">
        <f t="shared" si="75"/>
        <v>0</v>
      </c>
      <c r="BB87" s="1080">
        <f>IF(AND(RACE=1,'Main Creation Page'!$E$6="Well",OR(ISNUMBER(FIND(Experience!$G$11,BE87)),ISNUMBER(FIND(Experience!$G$11,BF87)),ISNUMBER(FIND(Experience!$I$11,BE87)),ISNUMBER(FIND(Experience!$I$11,BF87)))),1,0)</f>
        <v>0</v>
      </c>
      <c r="BC87" s="1080" t="str">
        <f t="shared" si="80"/>
        <v>Instrument:Horns</v>
      </c>
      <c r="BD87" s="1080" t="s">
        <v>5682</v>
      </c>
      <c r="BE87" s="1080" t="str">
        <f t="shared" si="76"/>
        <v/>
      </c>
      <c r="BF87" s="1080" t="str">
        <f t="shared" si="77"/>
        <v>Arts &amp; Entertainment Skills</v>
      </c>
    </row>
    <row r="88" spans="1:58" ht="11.1" customHeight="1" outlineLevel="3">
      <c r="A88" s="1028" t="s">
        <v>4287</v>
      </c>
      <c r="B88" s="1094"/>
      <c r="C88" s="1094"/>
      <c r="D88" s="1094"/>
      <c r="E88" s="1095" t="s">
        <v>5224</v>
      </c>
      <c r="F88" s="1095" t="s">
        <v>5224</v>
      </c>
      <c r="G88" s="1096">
        <v>0</v>
      </c>
      <c r="H88" s="1096" t="s">
        <v>5224</v>
      </c>
      <c r="I88" s="1096" t="s">
        <v>5224</v>
      </c>
      <c r="J88" s="1096" t="s">
        <v>5224</v>
      </c>
      <c r="K88" s="1096" t="s">
        <v>5224</v>
      </c>
      <c r="L88" s="1096" t="s">
        <v>5224</v>
      </c>
      <c r="M88" s="1096" t="s">
        <v>5224</v>
      </c>
      <c r="N88" s="1096" t="s">
        <v>4631</v>
      </c>
      <c r="O88" s="1097"/>
      <c r="P88" s="1097" t="s">
        <v>3611</v>
      </c>
      <c r="Q88" s="1097">
        <f t="shared" ca="1" si="91"/>
        <v>15</v>
      </c>
      <c r="R88" s="1097"/>
      <c r="S88" s="1097" t="s">
        <v>3611</v>
      </c>
      <c r="T88" s="1097">
        <f t="shared" ca="1" si="92"/>
        <v>15</v>
      </c>
      <c r="U88" s="1027">
        <v>3</v>
      </c>
      <c r="V88" s="1027">
        <f t="shared" si="93"/>
        <v>4</v>
      </c>
      <c r="W88" s="1098" t="e">
        <f>IF(OR(I88&lt;&gt;"N",E88="C"),IF(AND(N88&lt;&gt;"T",ISNUMBER(FIND("V",I88))),1,0),NA())+IF(H88="Y",IF(AND(N88="P",ISNUMBER(FIND("Z",I88))),2,1),0)+IF(J88="Y",1,0)+IF(K88="Y",3,0)+IF(BE88="Lore",L88*2+Experience!$D$25,0)+IF(M88="Y",1,0)</f>
        <v>#N/A</v>
      </c>
      <c r="X88" s="1099"/>
      <c r="Y88" s="1100">
        <f ca="1">IF(P88="NS",IFERROR(INDIRECT(S88),NA()),VLOOKUP(INDIRECT(P88)+INDIRECT(S88),'System Lookups'!$A$3:$D$146,2))</f>
        <v>0.06</v>
      </c>
      <c r="Z88" s="1100">
        <f t="shared" si="94"/>
        <v>0</v>
      </c>
      <c r="AA88" s="1101">
        <f t="shared" ca="1" si="95"/>
        <v>0.06</v>
      </c>
      <c r="AB88" s="1102">
        <f>VLOOKUP(V88,'System Lookups'!$J$55:$P$64,3)</f>
        <v>0.2</v>
      </c>
      <c r="AC88" s="1103">
        <f>VLOOKUP(V88,'System Lookups'!$J$55:$P$64,4)</f>
        <v>0.3</v>
      </c>
      <c r="AD88" s="1104">
        <f t="shared" ca="1" si="96"/>
        <v>0.26</v>
      </c>
      <c r="AE88" s="1094">
        <f ca="1">(IF(AD88&gt;VLOOKUP(V88,'System Lookups'!$J$55:$P$63,6),(((AD88-VLOOKUP(V88,'System Lookups'!$J$55:$P$63,6))*100)/20),0))+AF88</f>
        <v>0</v>
      </c>
      <c r="AF88" s="1121"/>
      <c r="AG88" s="1092">
        <f t="shared" si="97"/>
        <v>0</v>
      </c>
      <c r="AH88" s="1092" t="str">
        <f>IF(X88&lt;=Experience!$R$15+1,"","*")</f>
        <v/>
      </c>
      <c r="AI88" s="1092"/>
      <c r="AJ88" s="1080">
        <f t="shared" si="98"/>
        <v>0</v>
      </c>
      <c r="AK88" s="1080">
        <f t="shared" si="99"/>
        <v>0</v>
      </c>
      <c r="AL88" s="1080">
        <f t="shared" si="100"/>
        <v>0</v>
      </c>
      <c r="AM88" s="1092">
        <f t="shared" si="101"/>
        <v>0</v>
      </c>
      <c r="AN88" s="1080">
        <f t="shared" si="102"/>
        <v>1</v>
      </c>
      <c r="AO88" s="1080">
        <f t="shared" si="103"/>
        <v>0</v>
      </c>
      <c r="AP88" s="1080">
        <f t="shared" si="104"/>
        <v>1</v>
      </c>
      <c r="AQ88" s="1027">
        <f>VLOOKUP(V88,'System Lookups'!$J$55:$P$64,7)</f>
        <v>600</v>
      </c>
      <c r="AR88" s="1080" t="str">
        <f ca="1">IF(AND(NOT(ISBLANK(AJ88)),ISNA(MATCH(ROW(),'System Lookups'!$C$526:$C$539,0))),"Y","N")</f>
        <v>Y</v>
      </c>
      <c r="AS88" s="1080">
        <f t="shared" si="105"/>
        <v>0</v>
      </c>
      <c r="AU88" s="1080" t="e">
        <f t="shared" si="69"/>
        <v>#N/A</v>
      </c>
      <c r="AV88" s="1080" t="str">
        <f t="shared" si="70"/>
        <v>T</v>
      </c>
      <c r="AW88" s="1080">
        <f t="shared" si="71"/>
        <v>0</v>
      </c>
      <c r="AX88" s="1080">
        <f t="shared" si="72"/>
        <v>0</v>
      </c>
      <c r="AY88" s="1080">
        <f t="shared" si="73"/>
        <v>0</v>
      </c>
      <c r="AZ88" s="1080">
        <f t="shared" si="74"/>
        <v>0</v>
      </c>
      <c r="BA88" s="1080">
        <f t="shared" si="75"/>
        <v>0</v>
      </c>
      <c r="BB88" s="1080">
        <f>IF(AND(RACE=1,'Main Creation Page'!$E$6="Well",OR(ISNUMBER(FIND(Experience!$G$11,BE88)),ISNUMBER(FIND(Experience!$G$11,BF88)),ISNUMBER(FIND(Experience!$I$11,BE88)),ISNUMBER(FIND(Experience!$I$11,BF88)))),1,0)</f>
        <v>0</v>
      </c>
      <c r="BC88" s="1080" t="str">
        <f t="shared" si="80"/>
        <v>Instrument:Strings &amp; Harps</v>
      </c>
      <c r="BD88" s="1080" t="s">
        <v>5682</v>
      </c>
      <c r="BE88" s="1080" t="str">
        <f t="shared" si="76"/>
        <v/>
      </c>
      <c r="BF88" s="1080" t="str">
        <f t="shared" si="77"/>
        <v>Arts &amp; Entertainment Skills</v>
      </c>
    </row>
    <row r="89" spans="1:58" ht="12" customHeight="1" outlineLevel="2">
      <c r="A89" s="1117" t="s">
        <v>1817</v>
      </c>
      <c r="B89" s="1094"/>
      <c r="C89" s="1094"/>
      <c r="D89" s="1094"/>
      <c r="E89" s="1095" t="s">
        <v>5224</v>
      </c>
      <c r="F89" s="1095" t="s">
        <v>5224</v>
      </c>
      <c r="G89" s="1096">
        <v>0</v>
      </c>
      <c r="H89" s="1096" t="s">
        <v>5224</v>
      </c>
      <c r="I89" s="1096" t="s">
        <v>5224</v>
      </c>
      <c r="J89" s="1096" t="s">
        <v>5224</v>
      </c>
      <c r="K89" s="1096" t="s">
        <v>5224</v>
      </c>
      <c r="L89" s="1096" t="s">
        <v>5224</v>
      </c>
      <c r="M89" s="1096" t="s">
        <v>5224</v>
      </c>
      <c r="N89" s="1096" t="s">
        <v>4631</v>
      </c>
      <c r="O89" s="1097"/>
      <c r="P89" s="1097" t="s">
        <v>3611</v>
      </c>
      <c r="Q89" s="1097">
        <f t="shared" ca="1" si="91"/>
        <v>15</v>
      </c>
      <c r="R89" s="1097"/>
      <c r="S89" s="1097" t="s">
        <v>3611</v>
      </c>
      <c r="T89" s="1097">
        <f t="shared" ca="1" si="92"/>
        <v>15</v>
      </c>
      <c r="U89" s="1027">
        <v>4</v>
      </c>
      <c r="V89" s="1027">
        <f t="shared" si="93"/>
        <v>5</v>
      </c>
      <c r="W89" s="1098" t="e">
        <f>IF(OR(I89&lt;&gt;"N",E89="C"),IF(AND(N89&lt;&gt;"T",ISNUMBER(FIND("V",I89))),1,0),NA())+IF(H89="Y",IF(AND(N89="P",ISNUMBER(FIND("Z",I89))),2,1),0)+IF(J89="Y",1,0)+IF(K89="Y",3,0)+IF(BE89="Lore",L89*2+Experience!$D$25,0)+IF(M89="Y",1,0)</f>
        <v>#N/A</v>
      </c>
      <c r="X89" s="1099"/>
      <c r="Y89" s="1100">
        <f ca="1">IF(P89="NS",IFERROR(INDIRECT(S89),NA()),VLOOKUP(INDIRECT(P89)+INDIRECT(S89),'System Lookups'!$A$3:$D$146,2))</f>
        <v>0.06</v>
      </c>
      <c r="Z89" s="1100">
        <f t="shared" si="94"/>
        <v>0</v>
      </c>
      <c r="AA89" s="1101">
        <f t="shared" ca="1" si="95"/>
        <v>0.06</v>
      </c>
      <c r="AB89" s="1102">
        <f>VLOOKUP(V89,'System Lookups'!$J$55:$P$64,3)</f>
        <v>0.1</v>
      </c>
      <c r="AC89" s="1103">
        <f>VLOOKUP(V89,'System Lookups'!$J$55:$P$64,4)</f>
        <v>0.2</v>
      </c>
      <c r="AD89" s="1104">
        <f t="shared" ca="1" si="96"/>
        <v>0.16</v>
      </c>
      <c r="AE89" s="1094">
        <f ca="1">(IF(AD89&gt;VLOOKUP(V89,'System Lookups'!$J$55:$P$63,6),(((AD89-VLOOKUP(V89,'System Lookups'!$J$55:$P$63,6))*100)/20),0))+AF89</f>
        <v>0</v>
      </c>
      <c r="AF89" s="1121"/>
      <c r="AG89" s="1092">
        <f t="shared" si="97"/>
        <v>0</v>
      </c>
      <c r="AH89" s="1092" t="str">
        <f>IF(X89&lt;=Experience!$R$15+1,"","*")</f>
        <v/>
      </c>
      <c r="AI89" s="1092"/>
      <c r="AJ89" s="1080">
        <f t="shared" si="98"/>
        <v>0</v>
      </c>
      <c r="AK89" s="1080">
        <f t="shared" si="99"/>
        <v>0</v>
      </c>
      <c r="AL89" s="1080">
        <f t="shared" si="100"/>
        <v>0</v>
      </c>
      <c r="AM89" s="1092">
        <f t="shared" si="101"/>
        <v>0</v>
      </c>
      <c r="AN89" s="1080">
        <f t="shared" si="102"/>
        <v>1</v>
      </c>
      <c r="AO89" s="1080">
        <f t="shared" si="103"/>
        <v>0</v>
      </c>
      <c r="AP89" s="1080">
        <f t="shared" si="104"/>
        <v>1</v>
      </c>
      <c r="AQ89" s="1027">
        <f>VLOOKUP(V89,'System Lookups'!$J$55:$P$64,7)</f>
        <v>700</v>
      </c>
      <c r="AR89" s="1080" t="str">
        <f ca="1">IF(AND(NOT(ISBLANK(AJ89)),ISNA(MATCH(ROW(),'System Lookups'!$C$526:$C$539,0))),"Y","N")</f>
        <v>Y</v>
      </c>
      <c r="AS89" s="1080">
        <f t="shared" si="105"/>
        <v>0</v>
      </c>
      <c r="AU89" s="1080" t="e">
        <f t="shared" si="69"/>
        <v>#N/A</v>
      </c>
      <c r="AV89" s="1080" t="str">
        <f t="shared" si="70"/>
        <v>T</v>
      </c>
      <c r="AW89" s="1080">
        <f t="shared" si="71"/>
        <v>0</v>
      </c>
      <c r="AX89" s="1080">
        <f t="shared" si="72"/>
        <v>0</v>
      </c>
      <c r="AY89" s="1080">
        <f t="shared" si="73"/>
        <v>0</v>
      </c>
      <c r="AZ89" s="1080">
        <f t="shared" si="74"/>
        <v>0</v>
      </c>
      <c r="BA89" s="1080">
        <f t="shared" si="75"/>
        <v>0</v>
      </c>
      <c r="BB89" s="1080">
        <f>IF(AND(RACE=1,'Main Creation Page'!$E$6="Well",OR(ISNUMBER(FIND(Experience!$G$11,BE89)),ISNUMBER(FIND(Experience!$G$11,BF89)),ISNUMBER(FIND(Experience!$I$11,BE89)),ISNUMBER(FIND(Experience!$I$11,BF89)))),1,0)</f>
        <v>0</v>
      </c>
      <c r="BC89" s="1080" t="str">
        <f t="shared" si="80"/>
        <v>Instrument:Painting &amp; Sketching</v>
      </c>
      <c r="BD89" s="1080" t="s">
        <v>5682</v>
      </c>
      <c r="BE89" s="1080" t="str">
        <f t="shared" si="76"/>
        <v/>
      </c>
      <c r="BF89" s="1080" t="str">
        <f t="shared" si="77"/>
        <v>Arts &amp; Entertainment Skills</v>
      </c>
    </row>
    <row r="90" spans="1:58" ht="12" customHeight="1" outlineLevel="2">
      <c r="A90" s="1123" t="s">
        <v>5625</v>
      </c>
      <c r="B90" s="1094"/>
      <c r="C90" s="1094"/>
      <c r="D90" s="1094"/>
      <c r="E90" s="1095" t="s">
        <v>5224</v>
      </c>
      <c r="F90" s="1095" t="s">
        <v>5224</v>
      </c>
      <c r="G90" s="1096">
        <v>0</v>
      </c>
      <c r="H90" s="1096" t="s">
        <v>5224</v>
      </c>
      <c r="I90" s="1096" t="s">
        <v>5224</v>
      </c>
      <c r="J90" s="1096" t="s">
        <v>5224</v>
      </c>
      <c r="K90" s="1096" t="s">
        <v>5224</v>
      </c>
      <c r="L90" s="1096" t="s">
        <v>5224</v>
      </c>
      <c r="M90" s="1096" t="s">
        <v>5224</v>
      </c>
      <c r="N90" s="1096" t="s">
        <v>4631</v>
      </c>
      <c r="O90" s="1097"/>
      <c r="P90" s="1097" t="s">
        <v>3611</v>
      </c>
      <c r="Q90" s="1097">
        <f t="shared" ca="1" si="91"/>
        <v>15</v>
      </c>
      <c r="R90" s="1097"/>
      <c r="S90" s="1097" t="s">
        <v>3616</v>
      </c>
      <c r="T90" s="1097">
        <f t="shared" ca="1" si="92"/>
        <v>17</v>
      </c>
      <c r="U90" s="1027">
        <v>4</v>
      </c>
      <c r="V90" s="1027">
        <f t="shared" si="93"/>
        <v>5</v>
      </c>
      <c r="W90" s="1098" t="e">
        <f>IF(OR(I90&lt;&gt;"N",E90="C"),IF(AND(N90&lt;&gt;"T",ISNUMBER(FIND("V",I90))),1,0),NA())+IF(H90="Y",IF(AND(N90="P",ISNUMBER(FIND("Z",I90))),2,1),0)+IF(J90="Y",1,0)+IF(K90="Y",3,0)+IF(BE90="Lore",L90*2+Experience!$D$25,0)+IF(M90="Y",1,0)</f>
        <v>#N/A</v>
      </c>
      <c r="X90" s="1099"/>
      <c r="Y90" s="1100">
        <f ca="1">IF(P90="NS",IFERROR(INDIRECT(S90),NA()),VLOOKUP(INDIRECT(P90)+INDIRECT(S90),'System Lookups'!$A$3:$D$146,2))</f>
        <v>0.08</v>
      </c>
      <c r="Z90" s="1100">
        <f t="shared" si="94"/>
        <v>0</v>
      </c>
      <c r="AA90" s="1101">
        <f t="shared" ref="AA90" ca="1" si="106">IF(ISNA(Y90),0,Y90)+Z90</f>
        <v>0.08</v>
      </c>
      <c r="AB90" s="1102">
        <f>VLOOKUP(V90,'System Lookups'!$J$55:$P$64,3)</f>
        <v>0.1</v>
      </c>
      <c r="AC90" s="1103">
        <f>VLOOKUP(V90,'System Lookups'!$J$55:$P$64,4)</f>
        <v>0.2</v>
      </c>
      <c r="AD90" s="1104">
        <f t="shared" ca="1" si="96"/>
        <v>0.18</v>
      </c>
      <c r="AE90" s="1094">
        <f ca="1">(IF(AD90&gt;VLOOKUP(V90,'System Lookups'!$J$55:$P$63,6),(((AD90-VLOOKUP(V90,'System Lookups'!$J$55:$P$63,6))*100)/20),0))+AF90</f>
        <v>0</v>
      </c>
      <c r="AF90" s="1121"/>
      <c r="AG90" s="1092">
        <f t="shared" si="97"/>
        <v>0</v>
      </c>
      <c r="AH90" s="1092" t="str">
        <f>IF(X90&lt;=Experience!$R$15+1,"","*")</f>
        <v/>
      </c>
      <c r="AI90" s="1092"/>
      <c r="AJ90" s="1080">
        <f t="shared" si="98"/>
        <v>0</v>
      </c>
      <c r="AK90" s="1080">
        <f t="shared" ref="AK90" si="107">IF(F90="s",-2,0)</f>
        <v>0</v>
      </c>
      <c r="AL90" s="1080">
        <f t="shared" si="100"/>
        <v>0</v>
      </c>
      <c r="AM90" s="1092">
        <f t="shared" ref="AM90" si="108">IF(J90="y",1,0)</f>
        <v>0</v>
      </c>
      <c r="AN90" s="1080">
        <f t="shared" ref="AN90" si="109">IF(N90="P",-1,IF(N90="T",1,0))</f>
        <v>1</v>
      </c>
      <c r="AO90" s="1080">
        <f t="shared" si="103"/>
        <v>0</v>
      </c>
      <c r="AP90" s="1080">
        <f t="shared" si="104"/>
        <v>1</v>
      </c>
      <c r="AQ90" s="1027">
        <f>VLOOKUP(V90,'System Lookups'!$J$55:$P$64,7)</f>
        <v>700</v>
      </c>
      <c r="AR90" s="1080" t="str">
        <f ca="1">IF(AND(NOT(ISBLANK(AJ90)),ISNA(MATCH(ROW(),'System Lookups'!$C$526:$C$539,0))),"Y","N")</f>
        <v>Y</v>
      </c>
      <c r="AS90" s="1080">
        <f t="shared" si="105"/>
        <v>0</v>
      </c>
      <c r="AU90" s="1080" t="e">
        <f t="shared" si="69"/>
        <v>#N/A</v>
      </c>
      <c r="AV90" s="1080" t="str">
        <f t="shared" si="70"/>
        <v>T</v>
      </c>
      <c r="AW90" s="1080">
        <f t="shared" si="71"/>
        <v>0</v>
      </c>
      <c r="AX90" s="1080">
        <f t="shared" si="72"/>
        <v>0</v>
      </c>
      <c r="AY90" s="1080">
        <f t="shared" si="73"/>
        <v>0</v>
      </c>
      <c r="AZ90" s="1080">
        <f t="shared" si="74"/>
        <v>0</v>
      </c>
      <c r="BA90" s="1080">
        <f t="shared" si="75"/>
        <v>0</v>
      </c>
      <c r="BB90" s="1080">
        <f>IF(AND(RACE=1,'Main Creation Page'!$E$6="Well",OR(ISNUMBER(FIND(Experience!$G$11,BE90)),ISNUMBER(FIND(Experience!$G$11,BF90)),ISNUMBER(FIND(Experience!$I$11,BE90)),ISNUMBER(FIND(Experience!$I$11,BF90)))),1,0)</f>
        <v>0</v>
      </c>
      <c r="BC90" s="1080" t="str">
        <f t="shared" si="80"/>
        <v>Paper Folding Craft</v>
      </c>
      <c r="BE90" s="1080" t="str">
        <f t="shared" si="76"/>
        <v/>
      </c>
      <c r="BF90" s="1080" t="str">
        <f t="shared" si="77"/>
        <v>Arts &amp; Entertainment Skills</v>
      </c>
    </row>
    <row r="91" spans="1:58" ht="12" customHeight="1" outlineLevel="2">
      <c r="A91" s="1117" t="s">
        <v>1468</v>
      </c>
      <c r="B91" s="1094"/>
      <c r="C91" s="1094"/>
      <c r="D91" s="1094"/>
      <c r="E91" s="1095" t="s">
        <v>5224</v>
      </c>
      <c r="F91" s="1095" t="s">
        <v>5224</v>
      </c>
      <c r="G91" s="1096">
        <v>0</v>
      </c>
      <c r="H91" s="1096" t="s">
        <v>5224</v>
      </c>
      <c r="I91" s="1096" t="s">
        <v>5224</v>
      </c>
      <c r="J91" s="1096" t="s">
        <v>5224</v>
      </c>
      <c r="K91" s="1096" t="s">
        <v>5224</v>
      </c>
      <c r="L91" s="1096" t="s">
        <v>5224</v>
      </c>
      <c r="M91" s="1096" t="s">
        <v>5224</v>
      </c>
      <c r="N91" s="1096" t="s">
        <v>4631</v>
      </c>
      <c r="O91" s="1097"/>
      <c r="P91" s="1097" t="s">
        <v>3612</v>
      </c>
      <c r="Q91" s="1097">
        <f t="shared" ca="1" si="91"/>
        <v>10</v>
      </c>
      <c r="R91" s="1097"/>
      <c r="S91" s="1097" t="s">
        <v>3616</v>
      </c>
      <c r="T91" s="1097">
        <f t="shared" ca="1" si="92"/>
        <v>17</v>
      </c>
      <c r="U91" s="1027">
        <v>4</v>
      </c>
      <c r="V91" s="1027">
        <f t="shared" si="93"/>
        <v>5</v>
      </c>
      <c r="W91" s="1098" t="e">
        <f>IF(OR(I91&lt;&gt;"N",E91="C"),IF(AND(N91&lt;&gt;"T",ISNUMBER(FIND("V",I91))),1,0),NA())+IF(H91="Y",IF(AND(N91="P",ISNUMBER(FIND("Z",I91))),2,1),0)+IF(J91="Y",1,0)+IF(K91="Y",3,0)+IF(BE91="Lore",L91*2+Experience!$D$25,0)+IF(M91="Y",1,0)</f>
        <v>#N/A</v>
      </c>
      <c r="X91" s="1099"/>
      <c r="Y91" s="1100">
        <f ca="1">IF(P91="NS",IFERROR(INDIRECT(S91),NA()),VLOOKUP(INDIRECT(P91)+INDIRECT(S91),'System Lookups'!$A$3:$D$146,2))</f>
        <v>0.04</v>
      </c>
      <c r="Z91" s="1100">
        <f t="shared" si="94"/>
        <v>0</v>
      </c>
      <c r="AA91" s="1101">
        <f t="shared" ca="1" si="95"/>
        <v>0.04</v>
      </c>
      <c r="AB91" s="1102">
        <f>VLOOKUP(V91,'System Lookups'!$J$55:$P$64,3)</f>
        <v>0.1</v>
      </c>
      <c r="AC91" s="1103">
        <f>VLOOKUP(V91,'System Lookups'!$J$55:$P$64,4)</f>
        <v>0.2</v>
      </c>
      <c r="AD91" s="1104">
        <f t="shared" ca="1" si="96"/>
        <v>0.14000000000000001</v>
      </c>
      <c r="AE91" s="1094">
        <f ca="1">(IF(AD91&gt;VLOOKUP(V91,'System Lookups'!$J$55:$P$63,6),(((AD91-VLOOKUP(V91,'System Lookups'!$J$55:$P$63,6))*100)/20),0))+AF91</f>
        <v>0</v>
      </c>
      <c r="AF91" s="1121"/>
      <c r="AG91" s="1092">
        <f t="shared" si="97"/>
        <v>0</v>
      </c>
      <c r="AH91" s="1092" t="str">
        <f>IF(X91&lt;=Experience!$R$15+1,"","*")</f>
        <v/>
      </c>
      <c r="AI91" s="1092"/>
      <c r="AJ91" s="1080">
        <f t="shared" si="98"/>
        <v>0</v>
      </c>
      <c r="AK91" s="1080">
        <f t="shared" si="99"/>
        <v>0</v>
      </c>
      <c r="AL91" s="1080">
        <f t="shared" si="100"/>
        <v>0</v>
      </c>
      <c r="AM91" s="1092">
        <f t="shared" si="101"/>
        <v>0</v>
      </c>
      <c r="AN91" s="1080">
        <f t="shared" si="102"/>
        <v>1</v>
      </c>
      <c r="AO91" s="1080">
        <f t="shared" si="103"/>
        <v>0</v>
      </c>
      <c r="AP91" s="1080">
        <f t="shared" si="104"/>
        <v>1</v>
      </c>
      <c r="AQ91" s="1027">
        <f>VLOOKUP(V91,'System Lookups'!$J$55:$P$64,7)</f>
        <v>700</v>
      </c>
      <c r="AR91" s="1080" t="str">
        <f ca="1">IF(AND(NOT(ISBLANK(AJ91)),ISNA(MATCH(ROW(),'System Lookups'!$C$526:$C$539,0))),"Y","N")</f>
        <v>Y</v>
      </c>
      <c r="AS91" s="1080">
        <f t="shared" si="105"/>
        <v>0</v>
      </c>
      <c r="AU91" s="1080" t="e">
        <f t="shared" si="69"/>
        <v>#N/A</v>
      </c>
      <c r="AV91" s="1080" t="str">
        <f t="shared" si="70"/>
        <v>T</v>
      </c>
      <c r="AW91" s="1080">
        <f t="shared" si="71"/>
        <v>0</v>
      </c>
      <c r="AX91" s="1080">
        <f t="shared" si="72"/>
        <v>0</v>
      </c>
      <c r="AY91" s="1080">
        <f t="shared" si="73"/>
        <v>0</v>
      </c>
      <c r="AZ91" s="1080">
        <f t="shared" si="74"/>
        <v>0</v>
      </c>
      <c r="BA91" s="1080">
        <f t="shared" si="75"/>
        <v>0</v>
      </c>
      <c r="BB91" s="1080">
        <f>IF(AND(RACE=1,'Main Creation Page'!$E$6="Well",OR(ISNUMBER(FIND(Experience!$G$11,BE91)),ISNUMBER(FIND(Experience!$G$11,BF91)),ISNUMBER(FIND(Experience!$I$11,BE91)),ISNUMBER(FIND(Experience!$I$11,BF91)))),1,0)</f>
        <v>0</v>
      </c>
      <c r="BC91" s="1080" t="str">
        <f t="shared" si="80"/>
        <v>Poetic Composition</v>
      </c>
      <c r="BE91" s="1080" t="str">
        <f t="shared" si="76"/>
        <v/>
      </c>
      <c r="BF91" s="1080" t="str">
        <f t="shared" si="77"/>
        <v>Arts &amp; Entertainment Skills</v>
      </c>
    </row>
    <row r="92" spans="1:58" ht="12" customHeight="1" outlineLevel="3">
      <c r="A92" s="1028" t="s">
        <v>3509</v>
      </c>
      <c r="B92" s="2641" t="str">
        <f>IF('Main Creation Page'!E14&gt;=14,IF('Main Creation Page'!E17&gt;=13,"Y","N"),"N")</f>
        <v>Y</v>
      </c>
      <c r="C92" s="2644"/>
      <c r="D92" s="2643"/>
      <c r="O92" s="1097"/>
      <c r="P92" s="1097"/>
      <c r="Q92" s="1097"/>
      <c r="R92" s="1097"/>
      <c r="V92" s="1027"/>
      <c r="W92" s="1112"/>
      <c r="AE92" s="1094"/>
      <c r="AF92" s="1121"/>
      <c r="AG92" s="1092"/>
      <c r="AH92" s="1092"/>
      <c r="AI92" s="1092"/>
      <c r="AM92" s="1092"/>
      <c r="AQ92" s="1027"/>
      <c r="AR92" s="1080" t="str">
        <f ca="1">IF(AND(NOT(ISBLANK(AJ92)),ISNA(MATCH(ROW(),'System Lookups'!$C$526:$C$539,0))),"Y","N")</f>
        <v>N</v>
      </c>
      <c r="AU92" s="1080" t="e">
        <f t="shared" si="69"/>
        <v>#N/A</v>
      </c>
      <c r="AV92" s="1080" t="str">
        <f t="shared" si="70"/>
        <v/>
      </c>
      <c r="AW92" s="1080">
        <f t="shared" si="71"/>
        <v>0</v>
      </c>
      <c r="AX92" s="1080">
        <f t="shared" si="72"/>
        <v>0</v>
      </c>
      <c r="AY92" s="1080">
        <f t="shared" si="73"/>
        <v>0</v>
      </c>
      <c r="AZ92" s="1080">
        <f t="shared" si="74"/>
        <v>0</v>
      </c>
      <c r="BA92" s="1080">
        <f t="shared" si="75"/>
        <v>0</v>
      </c>
      <c r="BB92" s="1080">
        <f>IF(AND(RACE=1,'Main Creation Page'!$E$6="Well",OR(ISNUMBER(FIND(Experience!$G$11,BE92)),ISNUMBER(FIND(Experience!$G$11,BF92)),ISNUMBER(FIND(Experience!$I$11,BE92)),ISNUMBER(FIND(Experience!$I$11,BF92)))),1,0)</f>
        <v>0</v>
      </c>
      <c r="BC92" s="1080" t="e">
        <f t="shared" si="80"/>
        <v>#N/A</v>
      </c>
      <c r="BE92" s="1080" t="str">
        <f t="shared" si="76"/>
        <v/>
      </c>
      <c r="BF92" s="1080" t="str">
        <f t="shared" si="77"/>
        <v>Arts &amp; Entertainment Skills</v>
      </c>
    </row>
    <row r="93" spans="1:58" ht="12" customHeight="1" outlineLevel="2">
      <c r="A93" s="1117" t="s">
        <v>4966</v>
      </c>
      <c r="B93" s="1094"/>
      <c r="C93" s="1094"/>
      <c r="D93" s="1094"/>
      <c r="E93" s="1095" t="s">
        <v>5224</v>
      </c>
      <c r="F93" s="1095" t="s">
        <v>5224</v>
      </c>
      <c r="G93" s="1096">
        <v>0</v>
      </c>
      <c r="H93" s="1096" t="s">
        <v>5224</v>
      </c>
      <c r="I93" s="1096" t="s">
        <v>5224</v>
      </c>
      <c r="J93" s="1096" t="s">
        <v>5224</v>
      </c>
      <c r="K93" s="1096" t="s">
        <v>5224</v>
      </c>
      <c r="L93" s="1096" t="s">
        <v>5224</v>
      </c>
      <c r="M93" s="1096" t="s">
        <v>5224</v>
      </c>
      <c r="N93" s="1096" t="s">
        <v>4631</v>
      </c>
      <c r="O93" s="1097"/>
      <c r="P93" s="1097" t="s">
        <v>3612</v>
      </c>
      <c r="Q93" s="1097">
        <f ca="1">INDIRECT(P93)</f>
        <v>10</v>
      </c>
      <c r="R93" s="1097"/>
      <c r="S93" s="1097" t="s">
        <v>780</v>
      </c>
      <c r="T93" s="1097">
        <f ca="1">INDIRECT(S93)</f>
        <v>17</v>
      </c>
      <c r="U93" s="1027">
        <f>IF(AND(ISNA(W91),ISBLANK(X91)),3,2)</f>
        <v>3</v>
      </c>
      <c r="V93" s="1027">
        <f>IF(AP93+U93&gt;10,10,IF(AP93+U93&lt;1,1,AP93+U93))</f>
        <v>4</v>
      </c>
      <c r="W93" s="1098" t="e">
        <f>IF(OR(I93&lt;&gt;"N",E93="C"),IF(AND(N93&lt;&gt;"T",ISNUMBER(FIND("V",I93))),1,0),NA())+IF(H93="Y",IF(AND(N93="P",ISNUMBER(FIND("Z",I93))),2,1),0)+IF(J93="Y",1,0)+IF(K93="Y",3,0)+IF(BE93="Lore",L93*2+Experience!$D$25,0)+IF(M93="Y",1,0)</f>
        <v>#N/A</v>
      </c>
      <c r="X93" s="1099"/>
      <c r="Y93" s="1100">
        <f ca="1">IF(P93="NS",IFERROR(INDIRECT(S93),NA()),VLOOKUP(INDIRECT(P93)+INDIRECT(S93),'System Lookups'!$A$3:$D$146,2))</f>
        <v>0.04</v>
      </c>
      <c r="Z93" s="1100">
        <f>IF(ISNA(W93),0,W93*0.03)+IF(X93&gt;0,X93*0.03,0)+IF(AND(ISNA(W93),X93&lt;=0),0,IF(G93&gt;0,G93*0.07,0))</f>
        <v>0</v>
      </c>
      <c r="AA93" s="1101">
        <f ca="1">IF(ISNA(Y93),0,Y93)+Z93</f>
        <v>0.04</v>
      </c>
      <c r="AB93" s="1102">
        <f>VLOOKUP(V93,'System Lookups'!$J$55:$P$64,3)</f>
        <v>0.2</v>
      </c>
      <c r="AC93" s="1103">
        <f>VLOOKUP(V93,'System Lookups'!$J$55:$P$64,4)</f>
        <v>0.3</v>
      </c>
      <c r="AD93" s="1104">
        <f ca="1">IF(AND(ISBLANK(X93),ISNA(W93)),IF(B93="~",0,AB93+AA93+IF(BB93&gt;0,0.05,0)),AA93+AC93+IF(BB93&gt;0,0.05,0))</f>
        <v>0.24000000000000002</v>
      </c>
      <c r="AE93" s="1094">
        <f ca="1">(IF(AD93&gt;VLOOKUP(V93,'System Lookups'!$J$55:$P$63,6),(((AD93-VLOOKUP(V93,'System Lookups'!$J$55:$P$63,6))*100)/20),0))+AF93</f>
        <v>0</v>
      </c>
      <c r="AF93" s="1121"/>
      <c r="AG93" s="1092">
        <f>IF(ISBLANK(X93),0,AQ93*X93+IF(ISNA(W93),1,0))</f>
        <v>0</v>
      </c>
      <c r="AH93" s="1092" t="str">
        <f>IF(X93&lt;=Experience!$R$15+1,"","*")</f>
        <v/>
      </c>
      <c r="AI93" s="1092"/>
      <c r="AJ93" s="1080">
        <f>IF(ISNUMBER(FIND("R",F93)),-1,0)</f>
        <v>0</v>
      </c>
      <c r="AK93" s="1080">
        <f>IF(F93="s",-2,0)</f>
        <v>0</v>
      </c>
      <c r="AL93" s="1080">
        <f>IF(AND(H93="Y",OR(N93="P",N93="S")),-1,0)</f>
        <v>0</v>
      </c>
      <c r="AM93" s="1092">
        <f>IF(J93="y",1,0)</f>
        <v>0</v>
      </c>
      <c r="AN93" s="1080">
        <f>IF(N93="P",-1,IF(N93="T",1,0))</f>
        <v>1</v>
      </c>
      <c r="AO93" s="1080">
        <f>IF(ISNUMBER(FIND("Z",I93)),1,0)</f>
        <v>0</v>
      </c>
      <c r="AP93" s="1080">
        <f>SUM(AJ93:AN93)-AM93</f>
        <v>1</v>
      </c>
      <c r="AQ93" s="1027">
        <f>VLOOKUP(V93,'System Lookups'!$J$55:$P$64,7)</f>
        <v>600</v>
      </c>
      <c r="AR93" s="1080" t="str">
        <f ca="1">IF(AND(NOT(ISBLANK(AJ93)),ISNA(MATCH(ROW(),'System Lookups'!$C$526:$C$539,0))),"Y","N")</f>
        <v>Y</v>
      </c>
      <c r="AS93" s="1080">
        <f>AG93-AI93</f>
        <v>0</v>
      </c>
      <c r="AU93" s="1080" t="e">
        <f t="shared" si="69"/>
        <v>#N/A</v>
      </c>
      <c r="AV93" s="1080" t="str">
        <f t="shared" si="70"/>
        <v>T</v>
      </c>
      <c r="AW93" s="1080">
        <f t="shared" si="71"/>
        <v>0</v>
      </c>
      <c r="AX93" s="1080">
        <f t="shared" si="72"/>
        <v>0</v>
      </c>
      <c r="AY93" s="1080">
        <f t="shared" si="73"/>
        <v>0</v>
      </c>
      <c r="AZ93" s="1080">
        <f t="shared" si="74"/>
        <v>0</v>
      </c>
      <c r="BA93" s="1080">
        <f t="shared" si="75"/>
        <v>0</v>
      </c>
      <c r="BB93" s="1080">
        <f>IF(AND(RACE=1,'Main Creation Page'!$E$6="Well",OR(ISNUMBER(FIND(Experience!$G$11,BE93)),ISNUMBER(FIND(Experience!$G$11,BF93)),ISNUMBER(FIND(Experience!$I$11,BE93)),ISNUMBER(FIND(Experience!$I$11,BF93)))),1,0)</f>
        <v>0</v>
      </c>
      <c r="BC93" s="1080" t="str">
        <f t="shared" si="80"/>
        <v>Poetic Recitation</v>
      </c>
      <c r="BE93" s="1080" t="str">
        <f t="shared" si="76"/>
        <v/>
      </c>
      <c r="BF93" s="1080" t="str">
        <f t="shared" si="77"/>
        <v>Arts &amp; Entertainment Skills</v>
      </c>
    </row>
    <row r="94" spans="1:58" ht="12" customHeight="1" outlineLevel="3">
      <c r="A94" s="1028" t="s">
        <v>1502</v>
      </c>
      <c r="B94" s="2641" t="str">
        <f>IF('Main Creation Page'!E14&gt;14,"N","Y")</f>
        <v>N</v>
      </c>
      <c r="C94" s="2644"/>
      <c r="D94" s="2643"/>
      <c r="O94" s="1097"/>
      <c r="P94" s="1097"/>
      <c r="Q94" s="1097"/>
      <c r="R94" s="1097"/>
      <c r="W94" s="1112"/>
      <c r="AE94" s="1094"/>
      <c r="AF94" s="1121"/>
      <c r="AR94" s="1080" t="str">
        <f ca="1">IF(AND(NOT(ISBLANK(AJ94)),ISNA(MATCH(ROW(),'System Lookups'!$C$526:$C$539,0))),"Y","N")</f>
        <v>N</v>
      </c>
      <c r="AU94" s="1080" t="e">
        <f t="shared" si="69"/>
        <v>#N/A</v>
      </c>
      <c r="AV94" s="1080" t="str">
        <f t="shared" si="70"/>
        <v/>
      </c>
      <c r="AW94" s="1080">
        <f t="shared" si="71"/>
        <v>0</v>
      </c>
      <c r="AX94" s="1080">
        <f t="shared" si="72"/>
        <v>0</v>
      </c>
      <c r="AY94" s="1080">
        <f t="shared" si="73"/>
        <v>0</v>
      </c>
      <c r="AZ94" s="1080">
        <f t="shared" si="74"/>
        <v>0</v>
      </c>
      <c r="BA94" s="1080">
        <f t="shared" si="75"/>
        <v>0</v>
      </c>
      <c r="BB94" s="1080">
        <f>IF(AND(RACE=1,'Main Creation Page'!$E$6="Well",OR(ISNUMBER(FIND(Experience!$G$11,BE94)),ISNUMBER(FIND(Experience!$G$11,BF94)),ISNUMBER(FIND(Experience!$I$11,BE94)),ISNUMBER(FIND(Experience!$I$11,BF94)))),1,0)</f>
        <v>0</v>
      </c>
      <c r="BC94" s="1080" t="e">
        <f t="shared" si="80"/>
        <v>#N/A</v>
      </c>
      <c r="BE94" s="1080" t="str">
        <f t="shared" si="76"/>
        <v/>
      </c>
      <c r="BF94" s="1080" t="str">
        <f t="shared" si="77"/>
        <v>Arts &amp; Entertainment Skills</v>
      </c>
    </row>
    <row r="95" spans="1:58" ht="12" customHeight="1" outlineLevel="2">
      <c r="A95" s="1123" t="s">
        <v>2041</v>
      </c>
      <c r="B95" s="1094"/>
      <c r="C95" s="1094"/>
      <c r="D95" s="1094"/>
      <c r="E95" s="1095" t="s">
        <v>5224</v>
      </c>
      <c r="F95" s="1095" t="s">
        <v>5224</v>
      </c>
      <c r="G95" s="1096">
        <v>0</v>
      </c>
      <c r="H95" s="1096" t="s">
        <v>5224</v>
      </c>
      <c r="I95" s="1096" t="s">
        <v>5224</v>
      </c>
      <c r="J95" s="1096" t="s">
        <v>5224</v>
      </c>
      <c r="K95" s="1096" t="s">
        <v>5224</v>
      </c>
      <c r="L95" s="1096" t="s">
        <v>5224</v>
      </c>
      <c r="M95" s="1096" t="s">
        <v>5224</v>
      </c>
      <c r="N95" s="1096" t="s">
        <v>4631</v>
      </c>
      <c r="O95" s="1097"/>
      <c r="P95" s="1097" t="s">
        <v>3611</v>
      </c>
      <c r="Q95" s="1097">
        <f t="shared" ref="Q95:Q96" ca="1" si="110">INDIRECT(P95)</f>
        <v>15</v>
      </c>
      <c r="R95" s="1097"/>
      <c r="S95" s="1028" t="s">
        <v>3613</v>
      </c>
      <c r="T95" s="1097">
        <f ca="1">INDIRECT(S95)</f>
        <v>15</v>
      </c>
      <c r="U95" s="1027">
        <v>3</v>
      </c>
      <c r="V95" s="1027">
        <f>IF(AP95+U95&gt;10,10,IF(AP95+U95&lt;1,1,AP95+U95))</f>
        <v>4</v>
      </c>
      <c r="W95" s="1098" t="e">
        <f>IF(OR(I95&lt;&gt;"N",E95="C"),IF(AND(N95&lt;&gt;"T",ISNUMBER(FIND("V",I95))),1,0),NA())+IF(H95="Y",IF(AND(N95="P",ISNUMBER(FIND("Z",I95))),2,1),0)+IF(J95="Y",1,0)+IF(K95="Y",3,0)+IF(BE95="Lore",L95*2+Experience!$D$25,0)+IF(M95="Y",1,0)</f>
        <v>#N/A</v>
      </c>
      <c r="X95" s="1099"/>
      <c r="Y95" s="1100">
        <f ca="1">IF(P95="NS",IFERROR(INDIRECT(S95),NA()),VLOOKUP(INDIRECT(P95)+INDIRECT(S95),'System Lookups'!$A$3:$D$146,2))</f>
        <v>0.06</v>
      </c>
      <c r="Z95" s="1100">
        <f>IF(ISNA(W95),0,W95*0.03)+IF(X95&gt;0,X95*0.03,0)+IF(AND(ISNA(W95),X95&lt;=0),0,IF(G95&gt;0,G95*0.07,0))</f>
        <v>0</v>
      </c>
      <c r="AA95" s="1101">
        <f ca="1">IF(ISNA(Y95),0,Y95)+Z95+IF('Main Creation Page'!E13&gt;19,0.1,0)</f>
        <v>0.06</v>
      </c>
      <c r="AB95" s="1102">
        <f>VLOOKUP(V95,'System Lookups'!$J$55:$P$64,3)</f>
        <v>0.2</v>
      </c>
      <c r="AC95" s="1103">
        <f>VLOOKUP(V95,'System Lookups'!$J$55:$P$64,4)</f>
        <v>0.3</v>
      </c>
      <c r="AD95" s="1104">
        <f ca="1">IF(AND(ISBLANK(X95),ISNA(W95)),IF(B95="~",0,AB95+AA95+IF(BB95&gt;0,0.05,0)),AA95+AC95+IF(BB95&gt;0,0.05,0))</f>
        <v>0.26</v>
      </c>
      <c r="AE95" s="1094">
        <f ca="1">(IF(AD95&gt;VLOOKUP(V95,'System Lookups'!$J$55:$P$63,6),(((AD95-VLOOKUP(V95,'System Lookups'!$J$55:$P$63,6))*100)/20),0))+AF95</f>
        <v>0</v>
      </c>
      <c r="AF95" s="1121"/>
      <c r="AG95" s="1092">
        <f>IF(ISBLANK(X95),0,AQ95*X95+IF(ISNA(W95),1,0))</f>
        <v>0</v>
      </c>
      <c r="AH95" s="1092" t="str">
        <f>IF(X95&lt;=Experience!$R$15+1,"","*")</f>
        <v/>
      </c>
      <c r="AI95" s="1092"/>
      <c r="AJ95" s="1080">
        <f>IF(ISNUMBER(FIND("R",F95)),-1,0)</f>
        <v>0</v>
      </c>
      <c r="AK95" s="1080">
        <f>IF(F95="s",-2,0)</f>
        <v>0</v>
      </c>
      <c r="AL95" s="1080">
        <f t="shared" ref="AL95:AL96" si="111">IF(AND(H95="Y",OR(N95="P",N95="S")),-1,0)</f>
        <v>0</v>
      </c>
      <c r="AM95" s="1092">
        <f>IF(J95="y",1,0)</f>
        <v>0</v>
      </c>
      <c r="AN95" s="1080">
        <f>IF(N95="P",-1,IF(N95="T",1,0))</f>
        <v>1</v>
      </c>
      <c r="AO95" s="1080">
        <f t="shared" ref="AO95:AO96" si="112">IF(ISNUMBER(FIND("Z",I95)),1,0)</f>
        <v>0</v>
      </c>
      <c r="AP95" s="1080">
        <f>SUM(AJ95:AN95)-AM95</f>
        <v>1</v>
      </c>
      <c r="AQ95" s="1027">
        <f>VLOOKUP(V95,'System Lookups'!$J$55:$P$64,7)</f>
        <v>600</v>
      </c>
      <c r="AR95" s="1080" t="str">
        <f ca="1">IF(AND(NOT(ISBLANK(AJ95)),ISNA(MATCH(ROW(),'System Lookups'!$C$526:$C$539,0))),"Y","N")</f>
        <v>Y</v>
      </c>
      <c r="AS95" s="1080">
        <f>AG95-AI95</f>
        <v>0</v>
      </c>
      <c r="AU95" s="1080" t="e">
        <f t="shared" si="69"/>
        <v>#N/A</v>
      </c>
      <c r="AV95" s="1080" t="str">
        <f t="shared" si="70"/>
        <v>T</v>
      </c>
      <c r="AW95" s="1080">
        <f t="shared" si="71"/>
        <v>0</v>
      </c>
      <c r="AX95" s="1080">
        <f t="shared" si="72"/>
        <v>0</v>
      </c>
      <c r="AY95" s="1080">
        <f t="shared" si="73"/>
        <v>0</v>
      </c>
      <c r="AZ95" s="1080">
        <f t="shared" si="74"/>
        <v>0</v>
      </c>
      <c r="BA95" s="1080">
        <f t="shared" si="75"/>
        <v>0</v>
      </c>
      <c r="BB95" s="1080">
        <f>IF(AND(RACE=1,'Main Creation Page'!$E$6="Well",OR(ISNUMBER(FIND(Experience!$G$11,BE95)),ISNUMBER(FIND(Experience!$G$11,BF95)),ISNUMBER(FIND(Experience!$I$11,BE95)),ISNUMBER(FIND(Experience!$I$11,BF95)))),1,0)</f>
        <v>0</v>
      </c>
      <c r="BC95" s="1080" t="str">
        <f t="shared" si="80"/>
        <v>Puppetry</v>
      </c>
      <c r="BE95" s="1080" t="str">
        <f t="shared" si="76"/>
        <v/>
      </c>
      <c r="BF95" s="1080" t="str">
        <f t="shared" si="77"/>
        <v>Arts &amp; Entertainment Skills</v>
      </c>
    </row>
    <row r="96" spans="1:58" ht="12" customHeight="1" outlineLevel="2">
      <c r="A96" s="1117" t="s">
        <v>4967</v>
      </c>
      <c r="B96" s="1094"/>
      <c r="C96" s="1094"/>
      <c r="D96" s="1094"/>
      <c r="E96" s="1095" t="s">
        <v>5224</v>
      </c>
      <c r="F96" s="1095" t="s">
        <v>5224</v>
      </c>
      <c r="G96" s="1096">
        <v>0</v>
      </c>
      <c r="H96" s="1096" t="s">
        <v>5224</v>
      </c>
      <c r="I96" s="1096" t="s">
        <v>5224</v>
      </c>
      <c r="J96" s="1096" t="s">
        <v>5224</v>
      </c>
      <c r="K96" s="1096" t="s">
        <v>5224</v>
      </c>
      <c r="L96" s="1096" t="s">
        <v>5224</v>
      </c>
      <c r="M96" s="1096" t="s">
        <v>5224</v>
      </c>
      <c r="N96" s="1096" t="s">
        <v>4631</v>
      </c>
      <c r="O96" s="1097"/>
      <c r="P96" s="1097" t="s">
        <v>3611</v>
      </c>
      <c r="Q96" s="1097">
        <f t="shared" ca="1" si="110"/>
        <v>15</v>
      </c>
      <c r="R96" s="1097"/>
      <c r="S96" s="1028" t="s">
        <v>3613</v>
      </c>
      <c r="T96" s="1097">
        <f ca="1">INDIRECT(S96)</f>
        <v>15</v>
      </c>
      <c r="U96" s="1027">
        <v>4</v>
      </c>
      <c r="V96" s="1027">
        <f>IF(AP96+U96&gt;10,10,IF(AP96+U96&lt;1,1,AP96+U96))</f>
        <v>5</v>
      </c>
      <c r="W96" s="1098" t="e">
        <f>IF(OR(I96&lt;&gt;"N",E96="C"),IF(AND(N96&lt;&gt;"T",ISNUMBER(FIND("V",I96))),1,0),NA())+IF(H96="Y",IF(AND(N96="P",ISNUMBER(FIND("Z",I96))),2,1),0)+IF(J96="Y",1,0)+IF(K96="Y",3,0)+IF(BE96="Lore",L96*2+Experience!$D$25,0)+IF(M96="Y",1,0)</f>
        <v>#N/A</v>
      </c>
      <c r="X96" s="1099"/>
      <c r="Y96" s="1100">
        <f ca="1">IF(P96="NS",IFERROR(INDIRECT(S96),NA()),VLOOKUP(INDIRECT(P96)+INDIRECT(S96),'System Lookups'!$A$3:$D$146,2))</f>
        <v>0.06</v>
      </c>
      <c r="Z96" s="1100">
        <f>IF(ISNA(W96),0,W96*0.03)+IF(X96&gt;0,X96*0.03,0)+IF(AND(ISNA(W96),X96&lt;=0),0,IF(G96&gt;0,G96*0.07,0))</f>
        <v>0</v>
      </c>
      <c r="AA96" s="1101">
        <f ca="1">IF(ISNA(Y96),0,Y96)+Z96+IF('Main Creation Page'!E14&gt;19,0.1,0)</f>
        <v>0.06</v>
      </c>
      <c r="AB96" s="1102">
        <f>VLOOKUP(V96,'System Lookups'!$J$55:$P$64,3)</f>
        <v>0.1</v>
      </c>
      <c r="AC96" s="1103">
        <f>VLOOKUP(V96,'System Lookups'!$J$55:$P$64,4)</f>
        <v>0.2</v>
      </c>
      <c r="AD96" s="1104">
        <f ca="1">IF(AND(ISBLANK(X96),ISNA(W96)),IF(B96="~",0,AB96+AA96+IF(BB96&gt;0,0.05,0)),AA96+AC96+IF(BB96&gt;0,0.05,0))</f>
        <v>0.16</v>
      </c>
      <c r="AE96" s="1094">
        <f ca="1">(IF(AD96&gt;VLOOKUP(V96,'System Lookups'!$J$55:$P$63,6),(((AD96-VLOOKUP(V96,'System Lookups'!$J$55:$P$63,6))*100)/20),0))+AF96</f>
        <v>0</v>
      </c>
      <c r="AF96" s="1121"/>
      <c r="AG96" s="1092">
        <f>IF(ISBLANK(X96),0,AQ96*X96+IF(ISNA(W96),1,0))</f>
        <v>0</v>
      </c>
      <c r="AH96" s="1092" t="str">
        <f>IF(X96&lt;=Experience!$R$15+1,"","*")</f>
        <v/>
      </c>
      <c r="AI96" s="1092"/>
      <c r="AJ96" s="1080">
        <f>IF(ISNUMBER(FIND("R",F96)),-1,0)</f>
        <v>0</v>
      </c>
      <c r="AK96" s="1080">
        <f>IF(F96="s",-2,0)</f>
        <v>0</v>
      </c>
      <c r="AL96" s="1080">
        <f t="shared" si="111"/>
        <v>0</v>
      </c>
      <c r="AM96" s="1092">
        <f>IF(J96="y",1,0)</f>
        <v>0</v>
      </c>
      <c r="AN96" s="1080">
        <f>IF(N96="P",-1,IF(N96="T",1,0))</f>
        <v>1</v>
      </c>
      <c r="AO96" s="1080">
        <f t="shared" si="112"/>
        <v>0</v>
      </c>
      <c r="AP96" s="1080">
        <f>SUM(AJ96:AN96)-AM96</f>
        <v>1</v>
      </c>
      <c r="AQ96" s="1027">
        <f>VLOOKUP(V96,'System Lookups'!$J$55:$P$64,7)</f>
        <v>700</v>
      </c>
      <c r="AR96" s="1080" t="str">
        <f ca="1">IF(AND(NOT(ISBLANK(AJ96)),ISNA(MATCH(ROW(),'System Lookups'!$C$526:$C$539,0))),"Y","N")</f>
        <v>Y</v>
      </c>
      <c r="AS96" s="1080">
        <f>AG96-AI96</f>
        <v>0</v>
      </c>
      <c r="AU96" s="1080" t="e">
        <f t="shared" si="69"/>
        <v>#N/A</v>
      </c>
      <c r="AV96" s="1080" t="str">
        <f t="shared" si="70"/>
        <v>T</v>
      </c>
      <c r="AW96" s="1080">
        <f t="shared" si="71"/>
        <v>0</v>
      </c>
      <c r="AX96" s="1080">
        <f t="shared" si="72"/>
        <v>0</v>
      </c>
      <c r="AY96" s="1080">
        <f t="shared" si="73"/>
        <v>0</v>
      </c>
      <c r="AZ96" s="1080">
        <f t="shared" si="74"/>
        <v>0</v>
      </c>
      <c r="BA96" s="1080">
        <f t="shared" si="75"/>
        <v>0</v>
      </c>
      <c r="BB96" s="1080">
        <f>IF(AND(RACE=1,'Main Creation Page'!$E$6="Well",OR(ISNUMBER(FIND(Experience!$G$11,BE96)),ISNUMBER(FIND(Experience!$G$11,BF96)),ISNUMBER(FIND(Experience!$I$11,BE96)),ISNUMBER(FIND(Experience!$I$11,BF96)))),1,0)</f>
        <v>0</v>
      </c>
      <c r="BC96" s="1080" t="str">
        <f t="shared" si="80"/>
        <v>Sculpting</v>
      </c>
      <c r="BE96" s="1080" t="str">
        <f t="shared" si="76"/>
        <v/>
      </c>
      <c r="BF96" s="1080" t="str">
        <f t="shared" si="77"/>
        <v>Arts &amp; Entertainment Skills</v>
      </c>
    </row>
    <row r="97" spans="1:60" ht="12" customHeight="1" outlineLevel="3">
      <c r="A97" s="1028" t="s">
        <v>1503</v>
      </c>
      <c r="B97" s="2641">
        <f>IF('Main Creation Page'!E13&gt;=18,IF('Main Creation Page'!E13&gt;=20,2,1),0)</f>
        <v>0</v>
      </c>
      <c r="C97" s="2642"/>
      <c r="D97" s="2643"/>
      <c r="O97" s="1097"/>
      <c r="P97" s="1097"/>
      <c r="Q97" s="1097"/>
      <c r="R97" s="1097"/>
      <c r="V97" s="1027"/>
      <c r="W97" s="1112"/>
      <c r="AE97" s="1094"/>
      <c r="AF97" s="1121"/>
      <c r="AG97" s="1092"/>
      <c r="AH97" s="1092"/>
      <c r="AI97" s="1092"/>
      <c r="AM97" s="1092"/>
      <c r="AQ97" s="1027"/>
      <c r="AR97" s="1080" t="str">
        <f ca="1">IF(AND(NOT(ISBLANK(AJ97)),ISNA(MATCH(ROW(),'System Lookups'!$C$526:$C$539,0))),"Y","N")</f>
        <v>N</v>
      </c>
      <c r="AU97" s="1080" t="e">
        <f t="shared" si="69"/>
        <v>#N/A</v>
      </c>
      <c r="AV97" s="1080" t="str">
        <f t="shared" si="70"/>
        <v/>
      </c>
      <c r="AW97" s="1080">
        <f t="shared" si="71"/>
        <v>0</v>
      </c>
      <c r="AX97" s="1080">
        <f t="shared" si="72"/>
        <v>0</v>
      </c>
      <c r="AY97" s="1080">
        <f t="shared" si="73"/>
        <v>0</v>
      </c>
      <c r="AZ97" s="1080">
        <f t="shared" si="74"/>
        <v>0</v>
      </c>
      <c r="BA97" s="1080">
        <f t="shared" si="75"/>
        <v>0</v>
      </c>
      <c r="BB97" s="1080">
        <f>IF(AND(RACE=1,'Main Creation Page'!$E$6="Well",OR(ISNUMBER(FIND(Experience!$G$11,BE97)),ISNUMBER(FIND(Experience!$G$11,BF97)),ISNUMBER(FIND(Experience!$I$11,BE97)),ISNUMBER(FIND(Experience!$I$11,BF97)))),1,0)</f>
        <v>0</v>
      </c>
      <c r="BC97" s="1080" t="e">
        <f t="shared" si="80"/>
        <v>#N/A</v>
      </c>
      <c r="BE97" s="1080" t="str">
        <f t="shared" si="76"/>
        <v/>
      </c>
      <c r="BF97" s="1080" t="str">
        <f t="shared" si="77"/>
        <v>Arts &amp; Entertainment Skills</v>
      </c>
    </row>
    <row r="98" spans="1:60" ht="12" customHeight="1" outlineLevel="3">
      <c r="A98" s="1028" t="s">
        <v>446</v>
      </c>
      <c r="B98" s="2641" t="str">
        <f>IF(ISBLANK(X269),"N","Y")</f>
        <v>N</v>
      </c>
      <c r="C98" s="2642"/>
      <c r="D98" s="2643"/>
      <c r="E98" s="2654" t="str">
        <f>IF(B265&gt;0, "Large Metal Sculptures"," ")</f>
        <v xml:space="preserve"> </v>
      </c>
      <c r="F98" s="2597"/>
      <c r="G98" s="2597"/>
      <c r="H98" s="2597"/>
      <c r="I98" s="2597"/>
      <c r="J98" s="2597"/>
      <c r="K98" s="2597"/>
      <c r="L98" s="2597"/>
      <c r="M98" s="2597"/>
      <c r="N98" s="2597"/>
      <c r="O98" s="1097"/>
      <c r="P98" s="1097"/>
      <c r="Q98" s="1097"/>
      <c r="R98" s="1097"/>
      <c r="V98" s="1027"/>
      <c r="W98" s="1112"/>
      <c r="AE98" s="1094"/>
      <c r="AF98" s="1121"/>
      <c r="AG98" s="1092"/>
      <c r="AH98" s="1092"/>
      <c r="AI98" s="1092"/>
      <c r="AM98" s="1092"/>
      <c r="AQ98" s="1027"/>
      <c r="AR98" s="1080" t="str">
        <f ca="1">IF(AND(NOT(ISBLANK(AJ98)),ISNA(MATCH(ROW(),'System Lookups'!$C$526:$C$539,0))),"Y","N")</f>
        <v>N</v>
      </c>
      <c r="AU98" s="1080" t="e">
        <f t="shared" si="69"/>
        <v>#N/A</v>
      </c>
      <c r="AV98" s="1080" t="str">
        <f t="shared" si="70"/>
        <v/>
      </c>
      <c r="AW98" s="1080">
        <f t="shared" si="71"/>
        <v>0</v>
      </c>
      <c r="AX98" s="1080">
        <f t="shared" si="72"/>
        <v>0</v>
      </c>
      <c r="AY98" s="1080">
        <f t="shared" si="73"/>
        <v>0</v>
      </c>
      <c r="AZ98" s="1080">
        <f t="shared" si="74"/>
        <v>0</v>
      </c>
      <c r="BA98" s="1080">
        <f t="shared" si="75"/>
        <v>0</v>
      </c>
      <c r="BB98" s="1080">
        <f>IF(AND(RACE=1,'Main Creation Page'!$E$6="Well",OR(ISNUMBER(FIND(Experience!$G$11,BE98)),ISNUMBER(FIND(Experience!$G$11,BF98)),ISNUMBER(FIND(Experience!$I$11,BE98)),ISNUMBER(FIND(Experience!$I$11,BF98)))),1,0)</f>
        <v>0</v>
      </c>
      <c r="BC98" s="1080" t="e">
        <f t="shared" si="80"/>
        <v>#N/A</v>
      </c>
      <c r="BE98" s="1080" t="str">
        <f t="shared" si="76"/>
        <v/>
      </c>
      <c r="BF98" s="1080" t="str">
        <f t="shared" si="77"/>
        <v>Arts &amp; Entertainment Skills</v>
      </c>
    </row>
    <row r="99" spans="1:60" ht="11.1" customHeight="1" outlineLevel="2">
      <c r="A99" s="1117" t="s">
        <v>8</v>
      </c>
      <c r="B99" s="1094"/>
      <c r="C99" s="1094"/>
      <c r="D99" s="1094"/>
      <c r="E99" s="1095" t="s">
        <v>5224</v>
      </c>
      <c r="F99" s="1095" t="s">
        <v>5224</v>
      </c>
      <c r="G99" s="1096">
        <v>0</v>
      </c>
      <c r="H99" s="1096" t="s">
        <v>5224</v>
      </c>
      <c r="I99" s="1096" t="s">
        <v>5224</v>
      </c>
      <c r="J99" s="1096" t="s">
        <v>5224</v>
      </c>
      <c r="K99" s="1096" t="s">
        <v>5224</v>
      </c>
      <c r="L99" s="1096" t="s">
        <v>5224</v>
      </c>
      <c r="M99" s="1096" t="s">
        <v>5224</v>
      </c>
      <c r="N99" s="1096" t="s">
        <v>4631</v>
      </c>
      <c r="O99" s="1097"/>
      <c r="P99" s="1097" t="s">
        <v>3612</v>
      </c>
      <c r="Q99" s="1097">
        <f ca="1">INDIRECT(P99)</f>
        <v>10</v>
      </c>
      <c r="R99" s="1097"/>
      <c r="S99" s="1097" t="s">
        <v>780</v>
      </c>
      <c r="T99" s="1097">
        <f ca="1">INDIRECT(S99)</f>
        <v>17</v>
      </c>
      <c r="U99" s="1027">
        <v>4</v>
      </c>
      <c r="V99" s="1027">
        <f>IF(AP99+U99&gt;10,10,IF(AP99+U99&lt;1,1,AP99+U99))</f>
        <v>5</v>
      </c>
      <c r="W99" s="1098" t="e">
        <f>IF(OR(I99&lt;&gt;"N",E99="C"),IF(AND(N99&lt;&gt;"T",ISNUMBER(FIND("V",I99))),1,0),NA())+IF(H99="Y",IF(AND(N99="P",ISNUMBER(FIND("Z",I99))),2,1),0)+IF(J99="Y",1,0)+IF(K99="Y",3,0)+IF(BE99="Lore",L99*2+Experience!$D$25,0)+IF(M99="Y",1,0)</f>
        <v>#N/A</v>
      </c>
      <c r="X99" s="1099"/>
      <c r="Y99" s="1100">
        <f ca="1">IF(P99="NS",IFERROR(INDIRECT(S99),NA()),VLOOKUP(INDIRECT(P99)+INDIRECT(S99),'System Lookups'!$A$3:$D$146,2))</f>
        <v>0.04</v>
      </c>
      <c r="Z99" s="1100">
        <f>IF(ISNA(W99),0,W99*0.03)+IF(X99&gt;0,X99*0.03,0)+IF(AND(ISNA(W99),X99&lt;=0),0,IF(G99&gt;0,G99*0.07,0))</f>
        <v>0</v>
      </c>
      <c r="AA99" s="1101">
        <f ca="1">IF(ISNA(Y99),0,Y99)+Z99+IF('Main Creation Page'!E11&gt;18,0.1,0)+IF(Skills!AA91-(IF(ISNA(Y99),0,Y99)+Z99+IF('Main Creation Page'!E11&gt;18,0.1,0))&gt;0.1,0.1,0)</f>
        <v>0.04</v>
      </c>
      <c r="AB99" s="1102">
        <f>VLOOKUP(V99,'System Lookups'!$J$55:$P$64,3)</f>
        <v>0.1</v>
      </c>
      <c r="AC99" s="1103">
        <f>VLOOKUP(V99,'System Lookups'!$J$55:$P$64,4)</f>
        <v>0.2</v>
      </c>
      <c r="AD99" s="1104">
        <f ca="1">IF(AND(ISBLANK(X99),ISNA(W99)),IF(B99="~",0,AB99+AA99+IF(BB99&gt;0,0.05,0)),AA99+AC99+IF(BB99&gt;0,0.05,0))</f>
        <v>0.14000000000000001</v>
      </c>
      <c r="AE99" s="1094">
        <f ca="1">(IF(AD99&gt;VLOOKUP(V99,'System Lookups'!$J$55:$P$63,6),(((AD99-VLOOKUP(V99,'System Lookups'!$J$55:$P$63,6))*100)/20),0))+AF99</f>
        <v>0</v>
      </c>
      <c r="AF99" s="1120">
        <f>IF('Main Creation Page'!E11&gt;=17,IF('Main Creation Page'!E11&gt;=19,2,1),0)</f>
        <v>0</v>
      </c>
      <c r="AG99" s="1092">
        <f>IF(ISBLANK(X99),0,AQ99*X99+IF(ISNA(W99),1,0))</f>
        <v>0</v>
      </c>
      <c r="AH99" s="1092" t="str">
        <f>IF(X99&lt;=Experience!$R$15+1,"","*")</f>
        <v/>
      </c>
      <c r="AI99" s="1092"/>
      <c r="AJ99" s="1080">
        <f>IF(ISNUMBER(FIND("R",F99)),-1,0)</f>
        <v>0</v>
      </c>
      <c r="AK99" s="1080">
        <f>IF(F99="s",-2,0)</f>
        <v>0</v>
      </c>
      <c r="AL99" s="1080">
        <f>IF(AND(H99="Y",OR(N99="P",N99="S")),-1,0)</f>
        <v>0</v>
      </c>
      <c r="AM99" s="1092">
        <f>IF(J99="y",1,0)</f>
        <v>0</v>
      </c>
      <c r="AN99" s="1080">
        <f>IF(N99="P",-1,IF(N99="T",1,0))</f>
        <v>1</v>
      </c>
      <c r="AO99" s="1080">
        <f>IF(ISNUMBER(FIND("Z",I99)),1,0)</f>
        <v>0</v>
      </c>
      <c r="AP99" s="1080">
        <f>SUM(AJ99:AN99)-AM99</f>
        <v>1</v>
      </c>
      <c r="AQ99" s="1027">
        <f>VLOOKUP(V99,'System Lookups'!$J$55:$P$64,7)</f>
        <v>700</v>
      </c>
      <c r="AR99" s="1080" t="str">
        <f ca="1">IF(AND(NOT(ISBLANK(AJ99)),ISNA(MATCH(ROW(),'System Lookups'!$C$526:$C$539,0))),"Y","N")</f>
        <v>Y</v>
      </c>
      <c r="AS99" s="1080">
        <f>AG99-AI99</f>
        <v>0</v>
      </c>
      <c r="AU99" s="1080" t="e">
        <f t="shared" si="69"/>
        <v>#N/A</v>
      </c>
      <c r="AV99" s="1080" t="str">
        <f t="shared" si="70"/>
        <v>T</v>
      </c>
      <c r="AW99" s="1080">
        <f t="shared" si="71"/>
        <v>0</v>
      </c>
      <c r="AX99" s="1080">
        <f t="shared" si="72"/>
        <v>0</v>
      </c>
      <c r="AY99" s="1080">
        <f t="shared" si="73"/>
        <v>0</v>
      </c>
      <c r="AZ99" s="1080">
        <f t="shared" si="74"/>
        <v>0</v>
      </c>
      <c r="BA99" s="1080">
        <f t="shared" si="75"/>
        <v>0</v>
      </c>
      <c r="BB99" s="1080">
        <f>IF(AND(RACE=1,'Main Creation Page'!$E$6="Well",OR(ISNUMBER(FIND(Experience!$G$11,BE99)),ISNUMBER(FIND(Experience!$G$11,BF99)),ISNUMBER(FIND(Experience!$I$11,BE99)),ISNUMBER(FIND(Experience!$I$11,BF99)))),1,0)</f>
        <v>0</v>
      </c>
      <c r="BC99" s="1080" t="str">
        <f t="shared" si="80"/>
        <v>Singing</v>
      </c>
      <c r="BE99" s="1080" t="str">
        <f t="shared" si="76"/>
        <v/>
      </c>
      <c r="BF99" s="1080" t="str">
        <f t="shared" si="77"/>
        <v>Arts &amp; Entertainment Skills</v>
      </c>
    </row>
    <row r="100" spans="1:60" ht="11.1" customHeight="1" outlineLevel="3">
      <c r="A100" s="1028" t="s">
        <v>1502</v>
      </c>
      <c r="B100" s="2641" t="str">
        <f>IF('Main Creation Page'!E20&gt;14,"N","Y")</f>
        <v>Y</v>
      </c>
      <c r="C100" s="2644"/>
      <c r="D100" s="2643"/>
      <c r="O100" s="1097"/>
      <c r="P100" s="1097"/>
      <c r="Q100" s="1097"/>
      <c r="R100" s="1097"/>
      <c r="W100" s="1112"/>
      <c r="AE100" s="1094"/>
      <c r="AF100" s="1121"/>
      <c r="AQ100" s="1027"/>
      <c r="AR100" s="1080" t="str">
        <f ca="1">IF(AND(NOT(ISBLANK(AJ100)),ISNA(MATCH(ROW(),'System Lookups'!$C$526:$C$539,0))),"Y","N")</f>
        <v>N</v>
      </c>
      <c r="AU100" s="1080" t="e">
        <f t="shared" si="69"/>
        <v>#N/A</v>
      </c>
      <c r="AV100" s="1080" t="str">
        <f t="shared" si="70"/>
        <v/>
      </c>
      <c r="AW100" s="1080">
        <f t="shared" si="71"/>
        <v>0</v>
      </c>
      <c r="AX100" s="1080">
        <f t="shared" si="72"/>
        <v>0</v>
      </c>
      <c r="AY100" s="1080">
        <f t="shared" si="73"/>
        <v>0</v>
      </c>
      <c r="AZ100" s="1080">
        <f t="shared" si="74"/>
        <v>0</v>
      </c>
      <c r="BA100" s="1080">
        <f t="shared" si="75"/>
        <v>0</v>
      </c>
      <c r="BB100" s="1080">
        <f>IF(AND(RACE=1,'Main Creation Page'!$E$6="Well",OR(ISNUMBER(FIND(Experience!$G$11,BE100)),ISNUMBER(FIND(Experience!$G$11,BF100)),ISNUMBER(FIND(Experience!$I$11,BE100)),ISNUMBER(FIND(Experience!$I$11,BF100)))),1,0)</f>
        <v>0</v>
      </c>
      <c r="BC100" s="1080" t="e">
        <f t="shared" si="80"/>
        <v>#N/A</v>
      </c>
      <c r="BE100" s="1080" t="str">
        <f t="shared" si="76"/>
        <v/>
      </c>
      <c r="BF100" s="1080" t="str">
        <f t="shared" si="77"/>
        <v>Arts &amp; Entertainment Skills</v>
      </c>
    </row>
    <row r="101" spans="1:60" ht="11.1" customHeight="1" outlineLevel="2">
      <c r="A101" s="1117" t="s">
        <v>9</v>
      </c>
      <c r="B101" s="1094"/>
      <c r="C101" s="1094"/>
      <c r="D101" s="1094"/>
      <c r="E101" s="1095" t="s">
        <v>5224</v>
      </c>
      <c r="F101" s="1095" t="s">
        <v>5224</v>
      </c>
      <c r="G101" s="1096">
        <v>0</v>
      </c>
      <c r="H101" s="1096" t="s">
        <v>5224</v>
      </c>
      <c r="I101" s="1096" t="s">
        <v>5224</v>
      </c>
      <c r="J101" s="1096" t="s">
        <v>5224</v>
      </c>
      <c r="K101" s="1096" t="s">
        <v>5224</v>
      </c>
      <c r="L101" s="1096" t="s">
        <v>5224</v>
      </c>
      <c r="M101" s="1096" t="s">
        <v>5224</v>
      </c>
      <c r="N101" s="1096" t="s">
        <v>4631</v>
      </c>
      <c r="O101" s="1097"/>
      <c r="P101" s="1097" t="s">
        <v>3611</v>
      </c>
      <c r="Q101" s="1097">
        <f ca="1">INDIRECT(P101)</f>
        <v>15</v>
      </c>
      <c r="R101" s="1097"/>
      <c r="S101" s="1097" t="s">
        <v>3611</v>
      </c>
      <c r="T101" s="1097">
        <f ca="1">INDIRECT(S101)</f>
        <v>15</v>
      </c>
      <c r="U101" s="1027">
        <v>4</v>
      </c>
      <c r="V101" s="1027">
        <f>IF(AP101+U101&gt;10,10,IF(AP101+U101&lt;1,1,AP101+U101))</f>
        <v>5</v>
      </c>
      <c r="W101" s="1098" t="e">
        <f>IF(OR(I101&lt;&gt;"N",E101="C"),IF(AND(N101&lt;&gt;"T",ISNUMBER(FIND("V",I101))),1,0),NA())+IF(H101="Y",IF(AND(N101="P",ISNUMBER(FIND("Z",I101))),2,1),0)+IF(J101="Y",1,0)+IF(K101="Y",3,0)+IF(BE101="Lore",L101*2+Experience!$D$25,0)+IF(M101="Y",1,0)</f>
        <v>#N/A</v>
      </c>
      <c r="X101" s="1099"/>
      <c r="Y101" s="1100">
        <f ca="1">IF(P101="NS",IFERROR(INDIRECT(S101),NA()),VLOOKUP(INDIRECT(P101)+INDIRECT(S101),'System Lookups'!$A$3:$D$146,2))</f>
        <v>0.06</v>
      </c>
      <c r="Z101" s="1100">
        <f>IF(ISNA(W101),0,W101*0.03)+IF(X101&gt;0,X101*0.03,0)+IF(AND(ISNA(W101),X101&lt;=0),0,IF(G101&gt;0,G101*0.07,0))</f>
        <v>0</v>
      </c>
      <c r="AA101" s="1101">
        <f ca="1">IF(ISNA(Y101),0,Y101)+Z101</f>
        <v>0.06</v>
      </c>
      <c r="AB101" s="1102">
        <f>VLOOKUP(V101,'System Lookups'!$J$55:$P$64,3)</f>
        <v>0.1</v>
      </c>
      <c r="AC101" s="1103">
        <f>VLOOKUP(V101,'System Lookups'!$J$55:$P$64,4)</f>
        <v>0.2</v>
      </c>
      <c r="AD101" s="1104">
        <f ca="1">IF(AND(ISBLANK(X101),ISNA(W101)),IF(B101="~",0,AB101+AA101+IF(BB101&gt;0,0.05,0)),AA101+AC101+IF(BB101&gt;0,0.05,0))</f>
        <v>0.16</v>
      </c>
      <c r="AE101" s="1094">
        <f ca="1">(IF(AD101&gt;VLOOKUP(V101,'System Lookups'!$J$55:$P$63,6),(((AD101-VLOOKUP(V101,'System Lookups'!$J$55:$P$63,6))*100)/20),0))+AF101</f>
        <v>0</v>
      </c>
      <c r="AF101" s="1120">
        <f>IF('Main Creation Page'!E13&gt;=18,IF('Main Creation Page'!E9&gt;=19,2,1),0)</f>
        <v>0</v>
      </c>
      <c r="AG101" s="1092">
        <f>IF(ISBLANK(X101),0,AQ101*X101+IF(ISNA(W101),1,0))</f>
        <v>0</v>
      </c>
      <c r="AH101" s="1092" t="str">
        <f>IF(X101&lt;=Experience!$R$15+1,"","*")</f>
        <v/>
      </c>
      <c r="AI101" s="1092"/>
      <c r="AJ101" s="1080">
        <f>IF(ISNUMBER(FIND("R",F101)),-1,0)</f>
        <v>0</v>
      </c>
      <c r="AK101" s="1080">
        <f>IF(F101="s",-2,0)</f>
        <v>0</v>
      </c>
      <c r="AL101" s="1080">
        <f t="shared" ref="AL101:AL104" si="113">IF(AND(H101="Y",OR(N101="P",N101="S")),-1,0)</f>
        <v>0</v>
      </c>
      <c r="AM101" s="1092">
        <f>IF(J101="y",1,0)</f>
        <v>0</v>
      </c>
      <c r="AN101" s="1080">
        <f>IF(N101="P",-1,IF(N101="T",1,0))</f>
        <v>1</v>
      </c>
      <c r="AO101" s="1080">
        <f t="shared" ref="AO101:AO104" si="114">IF(ISNUMBER(FIND("Z",I101)),1,0)</f>
        <v>0</v>
      </c>
      <c r="AP101" s="1080">
        <f>SUM(AJ101:AN101)-AM101</f>
        <v>1</v>
      </c>
      <c r="AQ101" s="1027">
        <f>VLOOKUP(V101,'System Lookups'!$J$55:$P$64,7)</f>
        <v>700</v>
      </c>
      <c r="AR101" s="1080" t="str">
        <f ca="1">IF(AND(NOT(ISBLANK(AJ101)),ISNA(MATCH(ROW(),'System Lookups'!$C$526:$C$539,0))),"Y","N")</f>
        <v>Y</v>
      </c>
      <c r="AS101" s="1080">
        <f>AG101-AI101</f>
        <v>0</v>
      </c>
      <c r="AU101" s="1080" t="e">
        <f t="shared" si="69"/>
        <v>#N/A</v>
      </c>
      <c r="AV101" s="1080" t="str">
        <f t="shared" si="70"/>
        <v>T</v>
      </c>
      <c r="AW101" s="1080">
        <f t="shared" si="71"/>
        <v>0</v>
      </c>
      <c r="AX101" s="1080">
        <f t="shared" si="72"/>
        <v>0</v>
      </c>
      <c r="AY101" s="1080">
        <f t="shared" si="73"/>
        <v>0</v>
      </c>
      <c r="AZ101" s="1080">
        <f t="shared" si="74"/>
        <v>0</v>
      </c>
      <c r="BA101" s="1080">
        <f t="shared" si="75"/>
        <v>0</v>
      </c>
      <c r="BB101" s="1080">
        <f>IF(AND(RACE=1,'Main Creation Page'!$E$6="Well",OR(ISNUMBER(FIND(Experience!$G$11,BE101)),ISNUMBER(FIND(Experience!$G$11,BF101)),ISNUMBER(FIND(Experience!$I$11,BE101)),ISNUMBER(FIND(Experience!$I$11,BF101)))),1,0)</f>
        <v>0</v>
      </c>
      <c r="BC101" s="1080" t="str">
        <f t="shared" si="80"/>
        <v>Sleight of Hand</v>
      </c>
      <c r="BE101" s="1080" t="str">
        <f t="shared" si="76"/>
        <v/>
      </c>
      <c r="BF101" s="1080" t="str">
        <f t="shared" si="77"/>
        <v>Arts &amp; Entertainment Skills</v>
      </c>
    </row>
    <row r="102" spans="1:60" ht="11.1" customHeight="1" outlineLevel="2">
      <c r="A102" s="1123" t="s">
        <v>5017</v>
      </c>
      <c r="B102" s="1094"/>
      <c r="C102" s="1094"/>
      <c r="D102" s="1094"/>
      <c r="E102" s="1095" t="s">
        <v>5224</v>
      </c>
      <c r="F102" s="1095" t="s">
        <v>5224</v>
      </c>
      <c r="G102" s="1096">
        <v>0</v>
      </c>
      <c r="H102" s="1096" t="s">
        <v>5224</v>
      </c>
      <c r="I102" s="1096" t="s">
        <v>5224</v>
      </c>
      <c r="J102" s="1096" t="s">
        <v>5224</v>
      </c>
      <c r="K102" s="1096" t="s">
        <v>5224</v>
      </c>
      <c r="L102" s="1096" t="s">
        <v>5224</v>
      </c>
      <c r="M102" s="1096" t="s">
        <v>5224</v>
      </c>
      <c r="N102" s="1096" t="s">
        <v>4631</v>
      </c>
      <c r="O102" s="1097"/>
      <c r="P102" s="1097" t="s">
        <v>780</v>
      </c>
      <c r="Q102" s="1097">
        <f t="shared" ref="Q102:Q104" ca="1" si="115">INDIRECT(P102)</f>
        <v>17</v>
      </c>
      <c r="R102" s="1097"/>
      <c r="S102" s="1097" t="s">
        <v>3616</v>
      </c>
      <c r="T102" s="1097">
        <f t="shared" ref="T102:T104" ca="1" si="116">INDIRECT(S102)</f>
        <v>17</v>
      </c>
      <c r="U102" s="1027">
        <v>4</v>
      </c>
      <c r="V102" s="1027">
        <f>IF(AP102+U102&gt;10,10,IF(AP102+U102&lt;1,1,AP102+U102))</f>
        <v>5</v>
      </c>
      <c r="W102" s="1098" t="e">
        <f>IF(OR(I102&lt;&gt;"N",E102="C"),IF(AND(N102&lt;&gt;"T",ISNUMBER(FIND("V",I102))),1,0),NA())+IF(H102="Y",IF(AND(N102="P",ISNUMBER(FIND("Z",I102))),2,1),0)+IF(J102="Y",1,0)+IF(K102="Y",3,0)+IF(BE102="Lore",L102*2+Experience!$D$25,0)+IF(M102="Y",1,0)</f>
        <v>#N/A</v>
      </c>
      <c r="X102" s="1099"/>
      <c r="Y102" s="1100">
        <f ca="1">IF(P102="NS",IFERROR(INDIRECT(S102),NA()),VLOOKUP(INDIRECT(P102)+INDIRECT(S102),'System Lookups'!$A$3:$D$146,2))</f>
        <v>0.1</v>
      </c>
      <c r="Z102" s="1100">
        <f>IF(ISNA(W102),0,W102*0.03)+IF(X102&gt;0,X102*0.03,0)+IF(AND(ISNA(W102),X102&lt;=0),0,IF(G102&gt;0,G102*0.07,0))</f>
        <v>0</v>
      </c>
      <c r="AA102" s="1101">
        <f ca="1">IF(ISNA(Y102),0,Y102)+Z102</f>
        <v>0.1</v>
      </c>
      <c r="AB102" s="1102">
        <f>VLOOKUP(V102,'System Lookups'!$J$55:$P$64,3)</f>
        <v>0.1</v>
      </c>
      <c r="AC102" s="1103">
        <f>VLOOKUP(V102,'System Lookups'!$J$55:$P$64,4)</f>
        <v>0.2</v>
      </c>
      <c r="AD102" s="1104">
        <f ca="1">IF(AND(ISBLANK(X102),ISNA(W102)),IF(B102="~",0,AB102+AA102+IF(BB102&gt;0,0.05,0)),AA102+AC102+IF(BB102&gt;0,0.05,0))</f>
        <v>0.2</v>
      </c>
      <c r="AE102" s="1094">
        <f ca="1">(IF(AD102&gt;VLOOKUP(V102,'System Lookups'!$J$55:$P$63,6),(((AD102-VLOOKUP(V102,'System Lookups'!$J$55:$P$63,6))*100)/20),0))+AF102</f>
        <v>0</v>
      </c>
      <c r="AF102" s="1121"/>
      <c r="AG102" s="1092">
        <f>IF(ISBLANK(X102),0,AQ102*X102+IF(ISNA(W102),1,0))</f>
        <v>0</v>
      </c>
      <c r="AH102" s="1092" t="str">
        <f>IF(X102&lt;=Experience!$R$15+1,"","*")</f>
        <v/>
      </c>
      <c r="AI102" s="1092"/>
      <c r="AJ102" s="1080">
        <f t="shared" ref="AJ102:AJ104" si="117">IF(ISNUMBER(FIND("R",F102)),-1,0)</f>
        <v>0</v>
      </c>
      <c r="AK102" s="1080">
        <f>IF(F102="s",-2,0)</f>
        <v>0</v>
      </c>
      <c r="AL102" s="1080">
        <f t="shared" si="113"/>
        <v>0</v>
      </c>
      <c r="AM102" s="1092">
        <f>IF(J102="y",1,0)</f>
        <v>0</v>
      </c>
      <c r="AN102" s="1080">
        <f>IF(N102="P",-1,IF(N102="T",1,0))</f>
        <v>1</v>
      </c>
      <c r="AO102" s="1080">
        <f t="shared" si="114"/>
        <v>0</v>
      </c>
      <c r="AP102" s="1080">
        <f>SUM(AJ102:AN102)-AM102</f>
        <v>1</v>
      </c>
      <c r="AQ102" s="1027">
        <f>VLOOKUP(V102,'System Lookups'!$J$55:$P$64,7)</f>
        <v>700</v>
      </c>
      <c r="AR102" s="1080" t="str">
        <f ca="1">IF(AND(NOT(ISBLANK(AJ102)),ISNA(MATCH(ROW(),'System Lookups'!$C$526:$C$539,0))),"Y","N")</f>
        <v>Y</v>
      </c>
      <c r="AS102" s="1080">
        <f>AG102-AI102</f>
        <v>0</v>
      </c>
      <c r="AU102" s="1080" t="e">
        <f t="shared" si="69"/>
        <v>#N/A</v>
      </c>
      <c r="AV102" s="1080" t="str">
        <f t="shared" si="70"/>
        <v>T</v>
      </c>
      <c r="AW102" s="1080">
        <f t="shared" si="71"/>
        <v>0</v>
      </c>
      <c r="AX102" s="1080">
        <f t="shared" si="72"/>
        <v>0</v>
      </c>
      <c r="AY102" s="1080">
        <f t="shared" si="73"/>
        <v>0</v>
      </c>
      <c r="AZ102" s="1080">
        <f t="shared" si="74"/>
        <v>0</v>
      </c>
      <c r="BA102" s="1080">
        <f t="shared" si="75"/>
        <v>0</v>
      </c>
      <c r="BB102" s="1080">
        <f>IF(AND(RACE=1,'Main Creation Page'!$E$6="Well",OR(ISNUMBER(FIND(Experience!$G$11,BE102)),ISNUMBER(FIND(Experience!$G$11,BF102)),ISNUMBER(FIND(Experience!$I$11,BE102)),ISNUMBER(FIND(Experience!$I$11,BF102)))),1,0)</f>
        <v>0</v>
      </c>
      <c r="BC102" s="1080" t="str">
        <f t="shared" si="80"/>
        <v>Snake Performing</v>
      </c>
      <c r="BE102" s="1080" t="str">
        <f t="shared" si="76"/>
        <v/>
      </c>
      <c r="BF102" s="1080" t="str">
        <f t="shared" si="77"/>
        <v>Arts &amp; Entertainment Skills</v>
      </c>
    </row>
    <row r="103" spans="1:60" ht="11.1" customHeight="1" outlineLevel="2">
      <c r="A103" s="1117" t="s">
        <v>162</v>
      </c>
      <c r="B103" s="1094"/>
      <c r="C103" s="1094"/>
      <c r="D103" s="1094"/>
      <c r="E103" s="1095" t="s">
        <v>5224</v>
      </c>
      <c r="F103" s="1095" t="s">
        <v>5224</v>
      </c>
      <c r="G103" s="1096">
        <v>0</v>
      </c>
      <c r="H103" s="1096" t="s">
        <v>5224</v>
      </c>
      <c r="I103" s="1096" t="s">
        <v>5224</v>
      </c>
      <c r="J103" s="1096" t="s">
        <v>5224</v>
      </c>
      <c r="K103" s="1096" t="s">
        <v>5224</v>
      </c>
      <c r="L103" s="1096" t="s">
        <v>5224</v>
      </c>
      <c r="M103" s="1096" t="s">
        <v>5224</v>
      </c>
      <c r="N103" s="1096" t="s">
        <v>4631</v>
      </c>
      <c r="O103" s="1097"/>
      <c r="P103" s="1097" t="s">
        <v>3612</v>
      </c>
      <c r="Q103" s="1097">
        <f t="shared" ca="1" si="115"/>
        <v>10</v>
      </c>
      <c r="R103" s="1097"/>
      <c r="S103" s="1097" t="s">
        <v>3616</v>
      </c>
      <c r="T103" s="1097">
        <f t="shared" ca="1" si="116"/>
        <v>17</v>
      </c>
      <c r="U103" s="1027">
        <f>IF(ISBLANK(X143),4,3)</f>
        <v>4</v>
      </c>
      <c r="V103" s="1027">
        <f>IF(AP103+U103&gt;10,10,IF(AP103+U103&lt;1,1,AP103+U103))</f>
        <v>5</v>
      </c>
      <c r="W103" s="1098" t="e">
        <f>IF(OR(I103&lt;&gt;"N",E103="C"),IF(AND(N103&lt;&gt;"T",ISNUMBER(FIND("V",I103))),1,0),NA())+IF(H103="Y",IF(AND(N103="P",ISNUMBER(FIND("Z",I103))),2,1),0)+IF(J103="Y",1,0)+IF(K103="Y",3,0)+IF(BE103="Lore",L103*2+Experience!$D$25,0)+IF(M103="Y",1,0)</f>
        <v>#N/A</v>
      </c>
      <c r="X103" s="1099"/>
      <c r="Y103" s="1100">
        <f ca="1">IF(P103="NS",IFERROR(INDIRECT(S103),NA()),VLOOKUP(INDIRECT(P103)+INDIRECT(S103),'System Lookups'!$A$3:$D$146,2))</f>
        <v>0.04</v>
      </c>
      <c r="Z103" s="1100">
        <f>IF(ISNA(W103),0,W103*0.03)+IF(X103&gt;0,X103*0.03,0)+IF(AND(ISNA(W103),X103&lt;=0),0,IF(G103&gt;0,G103*0.07,0))</f>
        <v>0</v>
      </c>
      <c r="AA103" s="1101">
        <f ca="1">IF(ISNA(Y103),0,Y103)+Z103</f>
        <v>0.04</v>
      </c>
      <c r="AB103" s="1102">
        <f>VLOOKUP(V103,'System Lookups'!$J$55:$P$64,3)</f>
        <v>0.1</v>
      </c>
      <c r="AC103" s="1103">
        <f>VLOOKUP(V103,'System Lookups'!$J$55:$P$64,4)</f>
        <v>0.2</v>
      </c>
      <c r="AD103" s="1104">
        <f ca="1">IF(AND(ISBLANK(X103),ISNA(W103)),IF(B103="~",0,AB103+AA103+IF(BB103&gt;0,0.05,0)),AA103+AC103+IF(BB103&gt;0,0.05,0))</f>
        <v>0.14000000000000001</v>
      </c>
      <c r="AE103" s="1094">
        <f ca="1">(IF(AD103&gt;VLOOKUP(V103,'System Lookups'!$J$55:$P$63,6),(((AD103-VLOOKUP(V103,'System Lookups'!$J$55:$P$63,6))*100)/20),0))+AF103</f>
        <v>0</v>
      </c>
      <c r="AF103" s="1121"/>
      <c r="AG103" s="1092">
        <f>IF(ISBLANK(X103),0,AQ103*X103+IF(ISNA(W103),1,0))</f>
        <v>0</v>
      </c>
      <c r="AH103" s="1092" t="str">
        <f>IF(X103&lt;=Experience!$R$15+1,"","*")</f>
        <v/>
      </c>
      <c r="AI103" s="1092"/>
      <c r="AJ103" s="1080">
        <f t="shared" si="117"/>
        <v>0</v>
      </c>
      <c r="AK103" s="1080">
        <f>IF(F103="s",-2,0)</f>
        <v>0</v>
      </c>
      <c r="AL103" s="1080">
        <f t="shared" si="113"/>
        <v>0</v>
      </c>
      <c r="AM103" s="1092">
        <f>IF(J103="y",1,0)</f>
        <v>0</v>
      </c>
      <c r="AN103" s="1080">
        <f>IF(N103="P",-1,IF(N103="T",1,0))</f>
        <v>1</v>
      </c>
      <c r="AO103" s="1080">
        <f t="shared" si="114"/>
        <v>0</v>
      </c>
      <c r="AP103" s="1080">
        <f>SUM(AJ103:AN103)-AM103</f>
        <v>1</v>
      </c>
      <c r="AQ103" s="1027">
        <f>VLOOKUP(V103,'System Lookups'!$J$55:$P$64,7)</f>
        <v>700</v>
      </c>
      <c r="AR103" s="1080" t="str">
        <f ca="1">IF(AND(NOT(ISBLANK(AJ103)),ISNA(MATCH(ROW(),'System Lookups'!$C$526:$C$539,0))),"Y","N")</f>
        <v>Y</v>
      </c>
      <c r="AS103" s="1080">
        <f>AG103-AI103</f>
        <v>0</v>
      </c>
      <c r="AU103" s="1080" t="e">
        <f t="shared" si="69"/>
        <v>#N/A</v>
      </c>
      <c r="AV103" s="1080" t="str">
        <f t="shared" si="70"/>
        <v>T</v>
      </c>
      <c r="AW103" s="1080">
        <f t="shared" si="71"/>
        <v>0</v>
      </c>
      <c r="AX103" s="1080">
        <f t="shared" si="72"/>
        <v>0</v>
      </c>
      <c r="AY103" s="1080">
        <f t="shared" si="73"/>
        <v>0</v>
      </c>
      <c r="AZ103" s="1080">
        <f t="shared" si="74"/>
        <v>0</v>
      </c>
      <c r="BA103" s="1080">
        <f t="shared" si="75"/>
        <v>0</v>
      </c>
      <c r="BB103" s="1080">
        <f>IF(AND(RACE=1,'Main Creation Page'!$E$6="Well",OR(ISNUMBER(FIND(Experience!$G$11,BE103)),ISNUMBER(FIND(Experience!$G$11,BF103)),ISNUMBER(FIND(Experience!$I$11,BE103)),ISNUMBER(FIND(Experience!$I$11,BF103)))),1,0)</f>
        <v>0</v>
      </c>
      <c r="BC103" s="1080" t="str">
        <f t="shared" si="80"/>
        <v>Storytelling</v>
      </c>
      <c r="BE103" s="1080" t="str">
        <f t="shared" si="76"/>
        <v/>
      </c>
      <c r="BF103" s="1080" t="str">
        <f t="shared" si="77"/>
        <v>Arts &amp; Entertainment Skills</v>
      </c>
    </row>
    <row r="104" spans="1:60" ht="11.1" customHeight="1" outlineLevel="2">
      <c r="A104" s="1123" t="s">
        <v>4509</v>
      </c>
      <c r="B104" s="1094"/>
      <c r="C104" s="1094"/>
      <c r="D104" s="1094"/>
      <c r="E104" s="1095" t="s">
        <v>5224</v>
      </c>
      <c r="F104" s="1095" t="s">
        <v>5224</v>
      </c>
      <c r="G104" s="1096">
        <v>0</v>
      </c>
      <c r="H104" s="1096" t="s">
        <v>5224</v>
      </c>
      <c r="I104" s="1096" t="s">
        <v>5224</v>
      </c>
      <c r="J104" s="1096" t="s">
        <v>5224</v>
      </c>
      <c r="K104" s="1096" t="s">
        <v>5224</v>
      </c>
      <c r="L104" s="1096" t="s">
        <v>5224</v>
      </c>
      <c r="M104" s="1096" t="s">
        <v>5224</v>
      </c>
      <c r="N104" s="1096" t="s">
        <v>4631</v>
      </c>
      <c r="O104" s="1097"/>
      <c r="P104" s="1097" t="s">
        <v>3612</v>
      </c>
      <c r="Q104" s="1097">
        <f t="shared" ca="1" si="115"/>
        <v>10</v>
      </c>
      <c r="R104" s="1097"/>
      <c r="S104" s="1097" t="s">
        <v>3614</v>
      </c>
      <c r="T104" s="1097">
        <f t="shared" ca="1" si="116"/>
        <v>15</v>
      </c>
      <c r="U104" s="1027">
        <v>2</v>
      </c>
      <c r="V104" s="1027">
        <f>IF(AP104+U104&gt;10,10,IF(AP104+U104&lt;1,1,AP104+U104))</f>
        <v>3</v>
      </c>
      <c r="W104" s="1098" t="e">
        <f>IF(OR(I104&lt;&gt;"N",E104="C"),IF(AND(N104&lt;&gt;"T",ISNUMBER(FIND("V",I104))),1,0),NA())+IF(H104="Y",IF(AND(N104="P",ISNUMBER(FIND("Z",I104))),2,1),0)+IF(J104="Y",1,0)+IF(K104="Y",3,0)+IF(BE104="Lore",L104*2+Experience!$D$25,0)+IF(M104="Y",1,0)</f>
        <v>#N/A</v>
      </c>
      <c r="X104" s="1099"/>
      <c r="Y104" s="1100">
        <f ca="1">IF(P104="NS",IFERROR(INDIRECT(S104),NA()),VLOOKUP(INDIRECT(P104)+INDIRECT(S104),'System Lookups'!$A$3:$D$146,2))</f>
        <v>0.02</v>
      </c>
      <c r="Z104" s="1100">
        <f>IF(ISNA(W104),0,W104*0.03)+IF(X104&gt;0,X104*0.03,0)+IF(AND(ISNA(W104),X104&lt;=0),0,IF(G104&gt;0,G104*0.07,0))</f>
        <v>0</v>
      </c>
      <c r="AA104" s="1101">
        <f ca="1">IF(ISNA(Y104),0,Y104)+Z104</f>
        <v>0.02</v>
      </c>
      <c r="AB104" s="1102">
        <f>VLOOKUP(V104,'System Lookups'!$J$55:$P$64,3)</f>
        <v>0.3</v>
      </c>
      <c r="AC104" s="1103">
        <f>VLOOKUP(V104,'System Lookups'!$J$55:$P$64,4)</f>
        <v>0.4</v>
      </c>
      <c r="AD104" s="1104">
        <f ca="1">IF(AND(ISBLANK(X104),ISNA(W104)),IF(B104="~",0,AB104+AA104+IF(BB104&gt;0,0.05,0)),AA104+AC104+IF(BB104&gt;0,0.05,0))</f>
        <v>0.32</v>
      </c>
      <c r="AE104" s="1094">
        <f ca="1">(IF(AD104&gt;VLOOKUP(V104,'System Lookups'!$J$55:$P$63,6),(((AD104-VLOOKUP(V104,'System Lookups'!$J$55:$P$63,6))*100)/20),0))+AF104</f>
        <v>0</v>
      </c>
      <c r="AF104" s="1121"/>
      <c r="AG104" s="1092">
        <f>IF(ISBLANK(X104),0,AQ104*X104+IF(ISNA(W104),1,0))</f>
        <v>0</v>
      </c>
      <c r="AH104" s="1092" t="str">
        <f>IF(X104&lt;=Experience!$R$15+1,"","*")</f>
        <v/>
      </c>
      <c r="AI104" s="1092"/>
      <c r="AJ104" s="1080">
        <f t="shared" si="117"/>
        <v>0</v>
      </c>
      <c r="AK104" s="1080">
        <f>IF(F104="s",-2,0)</f>
        <v>0</v>
      </c>
      <c r="AL104" s="1080">
        <f t="shared" si="113"/>
        <v>0</v>
      </c>
      <c r="AM104" s="1092">
        <f>IF(J104="y",1,0)</f>
        <v>0</v>
      </c>
      <c r="AN104" s="1080">
        <f>IF(N104="P",-1,IF(N104="T",1,0))</f>
        <v>1</v>
      </c>
      <c r="AO104" s="1080">
        <f t="shared" si="114"/>
        <v>0</v>
      </c>
      <c r="AP104" s="1080">
        <f>SUM(AJ104:AN104)-AM104</f>
        <v>1</v>
      </c>
      <c r="AQ104" s="1027">
        <f>VLOOKUP(V104,'System Lookups'!$J$55:$P$64,7)</f>
        <v>500</v>
      </c>
      <c r="AR104" s="1080" t="str">
        <f ca="1">IF(AND(NOT(ISBLANK(AJ104)),ISNA(MATCH(ROW(),'System Lookups'!$C$526:$C$539,0))),"Y","N")</f>
        <v>Y</v>
      </c>
      <c r="AS104" s="1080">
        <f>AG104-AI104</f>
        <v>0</v>
      </c>
      <c r="AU104" s="1080" t="e">
        <f t="shared" si="69"/>
        <v>#N/A</v>
      </c>
      <c r="AV104" s="1080" t="str">
        <f t="shared" si="70"/>
        <v>T</v>
      </c>
      <c r="AW104" s="1080">
        <f t="shared" si="71"/>
        <v>0</v>
      </c>
      <c r="AX104" s="1080">
        <f t="shared" si="72"/>
        <v>0</v>
      </c>
      <c r="AY104" s="1080">
        <f t="shared" si="73"/>
        <v>0</v>
      </c>
      <c r="AZ104" s="1080">
        <f t="shared" si="74"/>
        <v>0</v>
      </c>
      <c r="BA104" s="1080">
        <f t="shared" si="75"/>
        <v>0</v>
      </c>
      <c r="BB104" s="1080">
        <f>IF(AND(RACE=1,'Main Creation Page'!$E$6="Well",OR(ISNUMBER(FIND(Experience!$G$11,BE104)),ISNUMBER(FIND(Experience!$G$11,BF104)),ISNUMBER(FIND(Experience!$I$11,BE104)),ISNUMBER(FIND(Experience!$I$11,BF104)))),1,0)</f>
        <v>0</v>
      </c>
      <c r="BC104" s="1080" t="str">
        <f t="shared" si="80"/>
        <v>Whistling</v>
      </c>
      <c r="BE104" s="1080" t="str">
        <f t="shared" si="76"/>
        <v/>
      </c>
      <c r="BF104" s="1080" t="str">
        <f t="shared" si="77"/>
        <v>Arts &amp; Entertainment Skills</v>
      </c>
    </row>
    <row r="105" spans="1:60" ht="11.1" customHeight="1" outlineLevel="2">
      <c r="A105" s="1117"/>
      <c r="B105" s="1094"/>
      <c r="C105" s="1111"/>
      <c r="D105" s="1111"/>
      <c r="O105" s="1097"/>
      <c r="P105" s="1097"/>
      <c r="Q105" s="1097"/>
      <c r="R105" s="1097"/>
      <c r="V105" s="1027"/>
      <c r="W105" s="1112"/>
      <c r="AE105" s="1094"/>
      <c r="AF105" s="1121"/>
      <c r="AG105" s="1092"/>
      <c r="AH105" s="1092"/>
      <c r="AI105" s="1092"/>
      <c r="AM105" s="1092"/>
      <c r="AQ105" s="1027"/>
      <c r="AR105" s="1080" t="str">
        <f ca="1">IF(AND(NOT(ISBLANK(AJ105)),ISNA(MATCH(ROW(),'System Lookups'!$C$526:$C$539,0))),"Y","N")</f>
        <v>N</v>
      </c>
      <c r="AU105" s="1080" t="e">
        <f t="shared" si="69"/>
        <v>#N/A</v>
      </c>
      <c r="AV105" s="1080" t="str">
        <f t="shared" si="70"/>
        <v/>
      </c>
      <c r="AW105" s="1080">
        <f t="shared" si="71"/>
        <v>0</v>
      </c>
      <c r="AX105" s="1080">
        <f t="shared" si="72"/>
        <v>0</v>
      </c>
      <c r="AY105" s="1080">
        <f t="shared" si="73"/>
        <v>0</v>
      </c>
      <c r="AZ105" s="1080">
        <f t="shared" si="74"/>
        <v>0</v>
      </c>
      <c r="BA105" s="1080">
        <f t="shared" si="75"/>
        <v>0</v>
      </c>
      <c r="BB105" s="1080">
        <f>IF(AND(RACE=1,'Main Creation Page'!$E$6="Well",OR(ISNUMBER(FIND(Experience!$G$11,BE105)),ISNUMBER(FIND(Experience!$G$11,BF105)),ISNUMBER(FIND(Experience!$I$11,BE105)),ISNUMBER(FIND(Experience!$I$11,BF105)))),1,0)</f>
        <v>0</v>
      </c>
      <c r="BC105" s="1080" t="e">
        <f t="shared" si="80"/>
        <v>#N/A</v>
      </c>
      <c r="BE105" s="1080" t="str">
        <f t="shared" si="76"/>
        <v/>
      </c>
      <c r="BF105" s="1080" t="str">
        <f t="shared" si="77"/>
        <v>Arts &amp; Entertainment Skills</v>
      </c>
    </row>
    <row r="106" spans="1:60" ht="11.1" customHeight="1">
      <c r="A106" s="1087" t="s">
        <v>10</v>
      </c>
      <c r="B106" s="1091"/>
      <c r="C106" s="1111"/>
      <c r="D106" s="1111"/>
      <c r="O106" s="1097"/>
      <c r="P106" s="1097"/>
      <c r="Q106" s="1097"/>
      <c r="R106" s="1097"/>
      <c r="V106" s="1027"/>
      <c r="W106" s="1112" t="str">
        <f>IF(ISNA(SUM(W107:W129))," ",SUM(W107:W129))</f>
        <v xml:space="preserve"> </v>
      </c>
      <c r="AE106" s="1094"/>
      <c r="AF106" s="1121"/>
      <c r="AG106" s="1092">
        <f>SUM(AG107:AG129)</f>
        <v>0</v>
      </c>
      <c r="AH106" s="1092"/>
      <c r="AI106" s="1092">
        <f>SUM(AI107:AI129)</f>
        <v>0</v>
      </c>
      <c r="AM106" s="1092"/>
      <c r="AR106" s="1080" t="str">
        <f ca="1">IF(AND(NOT(ISBLANK(AJ106)),ISNA(MATCH(ROW(),'System Lookups'!$C$526:$C$539,0))),"Y","N")</f>
        <v>N</v>
      </c>
      <c r="AU106" s="1080" t="e">
        <f t="shared" si="69"/>
        <v>#N/A</v>
      </c>
      <c r="AV106" s="1080" t="str">
        <f t="shared" si="70"/>
        <v/>
      </c>
      <c r="AW106" s="1080">
        <f t="shared" si="71"/>
        <v>0</v>
      </c>
      <c r="AX106" s="1080">
        <f t="shared" si="72"/>
        <v>0</v>
      </c>
      <c r="AY106" s="1080">
        <f t="shared" si="73"/>
        <v>0</v>
      </c>
      <c r="AZ106" s="1080">
        <f t="shared" si="74"/>
        <v>0</v>
      </c>
      <c r="BA106" s="1080">
        <f t="shared" si="75"/>
        <v>0</v>
      </c>
      <c r="BB106" s="1080">
        <f>IF(AND(RACE=1,'Main Creation Page'!$E$6="Well",OR(ISNUMBER(FIND(Experience!$G$11,BE106)),ISNUMBER(FIND(Experience!$G$11,BF106)),ISNUMBER(FIND(Experience!$I$11,BE106)),ISNUMBER(FIND(Experience!$I$11,BF106)))),1,0)</f>
        <v>0</v>
      </c>
      <c r="BC106" s="1080" t="str">
        <f t="shared" si="80"/>
        <v>Athletic Skills</v>
      </c>
      <c r="BE106" s="1080" t="str">
        <f t="shared" si="76"/>
        <v/>
      </c>
      <c r="BF106" s="1080" t="str">
        <f t="shared" si="77"/>
        <v>Athletic Skills</v>
      </c>
    </row>
    <row r="107" spans="1:60" ht="11.1" customHeight="1" outlineLevel="1">
      <c r="A107" s="1117" t="s">
        <v>1246</v>
      </c>
      <c r="B107" s="1094"/>
      <c r="C107" s="1094" t="s">
        <v>4629</v>
      </c>
      <c r="D107" s="1094"/>
      <c r="E107" s="1095" t="s">
        <v>5224</v>
      </c>
      <c r="F107" s="1095" t="s">
        <v>5224</v>
      </c>
      <c r="G107" s="1096">
        <v>0</v>
      </c>
      <c r="H107" s="1096" t="s">
        <v>5224</v>
      </c>
      <c r="I107" s="1096" t="s">
        <v>5224</v>
      </c>
      <c r="J107" s="1096" t="s">
        <v>5224</v>
      </c>
      <c r="K107" s="1096" t="s">
        <v>5224</v>
      </c>
      <c r="L107" s="1096" t="s">
        <v>5224</v>
      </c>
      <c r="M107" s="1096" t="s">
        <v>5224</v>
      </c>
      <c r="N107" s="1096" t="s">
        <v>4631</v>
      </c>
      <c r="O107" s="1097"/>
      <c r="P107" s="1097" t="s">
        <v>3615</v>
      </c>
      <c r="Q107" s="1097">
        <f t="shared" ref="Q107:Q109" ca="1" si="118">INDIRECT(P107)</f>
        <v>20</v>
      </c>
      <c r="R107" s="1097"/>
      <c r="S107" s="1028" t="s">
        <v>3611</v>
      </c>
      <c r="T107" s="1097">
        <f t="shared" ref="T107:T109" ca="1" si="119">INDIRECT(S107)</f>
        <v>15</v>
      </c>
      <c r="U107" s="1027">
        <v>4</v>
      </c>
      <c r="V107" s="1027">
        <f>IF(AP107+U107&gt;10,10,IF(AP107+U107&lt;1,1,AP107+U107))</f>
        <v>5</v>
      </c>
      <c r="W107" s="1098" t="e">
        <f>IF(OR(I107&lt;&gt;"N",E107="C"),IF(AND(N107&lt;&gt;"T",ISNUMBER(FIND("V",I107))),1,0),NA())+IF(H107="Y",IF(AND(N107="P",ISNUMBER(FIND("Z",I107))),2,1),0)+IF(J107="Y",1,0)+IF(K107="Y",3,0)+IF(BE107="Lore",L107*2+Experience!$D$25,0)+IF(M107="Y",1,0)</f>
        <v>#N/A</v>
      </c>
      <c r="X107" s="1099"/>
      <c r="Y107" s="1100">
        <f ca="1">IF(P107="NS",IFERROR(INDIRECT(S107),NA()),VLOOKUP(INDIRECT(P107)+INDIRECT(S107),'System Lookups'!$A$3:$D$146,2))</f>
        <v>0.12</v>
      </c>
      <c r="Z107" s="1100">
        <f>IF(ISNA(W107),0,W107*0.03)+IF(X107&gt;0,X107*0.03,0)+IF(AND(ISNA(W107),X107&lt;=0),0,IF(G107&gt;0,G107*0.07,0))</f>
        <v>0</v>
      </c>
      <c r="AA107" s="1101">
        <f ca="1">IF(ISNA(Y107),0,Y107)+Z107</f>
        <v>0.12</v>
      </c>
      <c r="AB107" s="1102">
        <f>VLOOKUP(V107,'System Lookups'!$J$55:$P$64,3)</f>
        <v>0.1</v>
      </c>
      <c r="AC107" s="1103">
        <f>VLOOKUP(V107,'System Lookups'!$J$55:$P$64,4)</f>
        <v>0.2</v>
      </c>
      <c r="AD107" s="1104">
        <f ca="1">IF(AND(ISBLANK(X107),ISNA(W107)),IF(B107="~",0,AB107+AA107+IF(BB107&gt;0,0.05,0)),AA107+AC107+IF(BB107&gt;0,0.05,0))</f>
        <v>0.22</v>
      </c>
      <c r="AE107" s="1094">
        <f ca="1">(IF(AD107&gt;VLOOKUP(V107,'System Lookups'!$J$55:$P$63,6),(((AD107-VLOOKUP(V107,'System Lookups'!$J$55:$P$63,6))*100)/20),0))+AF107</f>
        <v>0</v>
      </c>
      <c r="AF107" s="1121"/>
      <c r="AG107" s="1092">
        <f>IF(ISBLANK(X107),0,AQ107*X107+IF(ISNA(W107),1,0))</f>
        <v>0</v>
      </c>
      <c r="AH107" s="1092" t="str">
        <f>IF(X107&lt;=Experience!$R$15+1,"","*")</f>
        <v/>
      </c>
      <c r="AI107" s="1092"/>
      <c r="AJ107" s="1080">
        <f t="shared" ref="AJ107:AJ109" si="120">IF(ISNUMBER(FIND("R",F107)),-1,0)</f>
        <v>0</v>
      </c>
      <c r="AK107" s="1080">
        <f>IF(F107="s",-2,0)</f>
        <v>0</v>
      </c>
      <c r="AL107" s="1080">
        <f t="shared" ref="AL107:AL109" si="121">IF(AND(H107="Y",OR(N107="P",N107="S")),-1,0)</f>
        <v>0</v>
      </c>
      <c r="AM107" s="1092">
        <f>IF(J107="y",1,0)</f>
        <v>0</v>
      </c>
      <c r="AN107" s="1080">
        <f>IF(N107="P",-1,IF(N107="T",1,0))</f>
        <v>1</v>
      </c>
      <c r="AO107" s="1080">
        <f t="shared" ref="AO107:AO109" si="122">IF(ISNUMBER(FIND("Z",I107)),1,0)</f>
        <v>0</v>
      </c>
      <c r="AP107" s="1080">
        <f>SUM(AJ107:AN107)-AM107</f>
        <v>1</v>
      </c>
      <c r="AQ107" s="1027">
        <f>VLOOKUP(V107,'System Lookups'!$J$55:$P$64,7)</f>
        <v>700</v>
      </c>
      <c r="AR107" s="1080" t="str">
        <f ca="1">IF(AND(NOT(ISBLANK(AJ107)),ISNA(MATCH(ROW(),'System Lookups'!$C$526:$C$539,0))),"Y","N")</f>
        <v>Y</v>
      </c>
      <c r="AS107" s="1080">
        <f>AG107-AI107</f>
        <v>0</v>
      </c>
      <c r="AU107" s="1080" t="e">
        <f t="shared" si="69"/>
        <v>#N/A</v>
      </c>
      <c r="AV107" s="1080" t="str">
        <f t="shared" si="70"/>
        <v>T</v>
      </c>
      <c r="AW107" s="1080">
        <f t="shared" si="71"/>
        <v>0</v>
      </c>
      <c r="AX107" s="1080">
        <f t="shared" si="72"/>
        <v>0</v>
      </c>
      <c r="AY107" s="1080">
        <f t="shared" si="73"/>
        <v>0</v>
      </c>
      <c r="AZ107" s="1080">
        <f t="shared" si="74"/>
        <v>0</v>
      </c>
      <c r="BA107" s="1080">
        <f t="shared" si="75"/>
        <v>0</v>
      </c>
      <c r="BB107" s="1080">
        <f>IF(AND(RACE=1,'Main Creation Page'!$E$6="Well",OR(ISNUMBER(FIND(Experience!$G$11,BE107)),ISNUMBER(FIND(Experience!$G$11,BF107)),ISNUMBER(FIND(Experience!$I$11,BE107)),ISNUMBER(FIND(Experience!$I$11,BF107)))),1,0)</f>
        <v>0</v>
      </c>
      <c r="BC107" s="1080" t="str">
        <f t="shared" si="80"/>
        <v xml:space="preserve">Boxing </v>
      </c>
      <c r="BE107" s="1080" t="str">
        <f t="shared" si="76"/>
        <v/>
      </c>
      <c r="BF107" s="1080" t="str">
        <f t="shared" si="77"/>
        <v>Athletic Skills</v>
      </c>
      <c r="BH107" s="1080"/>
    </row>
    <row r="108" spans="1:60" ht="11.1" customHeight="1" outlineLevel="1">
      <c r="A108" s="1123" t="s">
        <v>2701</v>
      </c>
      <c r="B108" s="1094"/>
      <c r="C108" s="1094"/>
      <c r="D108" s="1094"/>
      <c r="E108" s="1095" t="s">
        <v>5224</v>
      </c>
      <c r="F108" s="1095" t="s">
        <v>5224</v>
      </c>
      <c r="G108" s="1096">
        <v>0</v>
      </c>
      <c r="H108" s="1096" t="s">
        <v>5224</v>
      </c>
      <c r="I108" s="1096" t="s">
        <v>5224</v>
      </c>
      <c r="J108" s="1096" t="s">
        <v>5224</v>
      </c>
      <c r="K108" s="1096" t="s">
        <v>5224</v>
      </c>
      <c r="L108" s="1096" t="s">
        <v>5224</v>
      </c>
      <c r="M108" s="1096" t="s">
        <v>5224</v>
      </c>
      <c r="N108" s="1096" t="s">
        <v>4631</v>
      </c>
      <c r="O108" s="1028"/>
      <c r="P108" s="1028" t="s">
        <v>3611</v>
      </c>
      <c r="Q108" s="1097">
        <f t="shared" ca="1" si="118"/>
        <v>15</v>
      </c>
      <c r="R108" s="1097"/>
      <c r="S108" s="1028" t="s">
        <v>3611</v>
      </c>
      <c r="T108" s="1097">
        <f t="shared" ca="1" si="119"/>
        <v>15</v>
      </c>
      <c r="U108" s="1027">
        <v>3</v>
      </c>
      <c r="V108" s="1027">
        <f>IF(AP108+U108&gt;10,10,IF(AP108+U108&lt;1,1,AP108+U108))</f>
        <v>4</v>
      </c>
      <c r="W108" s="1098" t="e">
        <f>IF(OR(I108&lt;&gt;"N",E108="C"),IF(AND(N108&lt;&gt;"T",ISNUMBER(FIND("V",I108))),1,0),NA())+IF(H108="Y",IF(AND(N108="P",ISNUMBER(FIND("Z",I108))),2,1),0)+IF(J108="Y",1,0)+IF(K108="Y",3,0)+IF(BE108="Lore",L108*2+Experience!$D$25,0)+IF(M108="Y",1,0)</f>
        <v>#N/A</v>
      </c>
      <c r="X108" s="1099"/>
      <c r="Y108" s="1100">
        <f ca="1">IF(P108="NS",IFERROR(INDIRECT(S108),NA()),VLOOKUP(INDIRECT(P108)+INDIRECT(S108),'System Lookups'!$A$3:$D$146,2))</f>
        <v>0.06</v>
      </c>
      <c r="Z108" s="1100">
        <f>IF(ISNA(W108),0,W108*0.03)+IF(X108&gt;0,X108*0.03,0)+IF(AND(ISNA(W108),X108&lt;=0),0,IF(G108&gt;0,G108*0.07,0))</f>
        <v>0</v>
      </c>
      <c r="AA108" s="1101">
        <f ca="1">IF(ISNA(Y108),0,Y108)+Z108</f>
        <v>0.06</v>
      </c>
      <c r="AB108" s="1102">
        <f>VLOOKUP(V108,'System Lookups'!$J$55:$P$64,3)</f>
        <v>0.2</v>
      </c>
      <c r="AC108" s="1103">
        <f>VLOOKUP(V108,'System Lookups'!$J$55:$P$64,4)</f>
        <v>0.3</v>
      </c>
      <c r="AD108" s="1104">
        <f ca="1">IF(AND(ISBLANK(X108),ISNA(W108)),IF(B108="~",0,AB108+AA108+IF(BB108&gt;0,0.05,0)),AA108+AC108+IF(BB108&gt;0,0.05,0))</f>
        <v>0.26</v>
      </c>
      <c r="AE108" s="1094">
        <f ca="1">(IF(AD108&gt;VLOOKUP(V108,'System Lookups'!$J$55:$P$63,6),(((AD108-VLOOKUP(V108,'System Lookups'!$J$55:$P$63,6))*100)/20),0))+AF108</f>
        <v>0</v>
      </c>
      <c r="AF108" s="1121"/>
      <c r="AG108" s="1092">
        <f>IF(ISBLANK(X108),0,AQ108*X108+IF(ISNA(W108),1,0))</f>
        <v>0</v>
      </c>
      <c r="AH108" s="1092" t="str">
        <f>IF(X108&lt;=Experience!$R$15+1,"","*")</f>
        <v/>
      </c>
      <c r="AI108" s="1092"/>
      <c r="AJ108" s="1080">
        <f t="shared" si="120"/>
        <v>0</v>
      </c>
      <c r="AK108" s="1080">
        <f>IF(F108="s",-2,0)</f>
        <v>0</v>
      </c>
      <c r="AL108" s="1080">
        <f t="shared" si="121"/>
        <v>0</v>
      </c>
      <c r="AM108" s="1092">
        <f>IF(J108="y",1,0)</f>
        <v>0</v>
      </c>
      <c r="AN108" s="1080">
        <f>IF(N108="P",-1,IF(N108="T",1,0))</f>
        <v>1</v>
      </c>
      <c r="AO108" s="1080">
        <f t="shared" si="122"/>
        <v>0</v>
      </c>
      <c r="AP108" s="1080">
        <f>SUM(AJ108:AN108)-AM108</f>
        <v>1</v>
      </c>
      <c r="AQ108" s="1027">
        <f>VLOOKUP(V108,'System Lookups'!$J$55:$P$64,7)</f>
        <v>600</v>
      </c>
      <c r="AR108" s="1080" t="str">
        <f ca="1">IF(AND(NOT(ISBLANK(AJ108)),ISNA(MATCH(ROW(),'System Lookups'!$C$526:$C$539,0))),"Y","N")</f>
        <v>Y</v>
      </c>
      <c r="AS108" s="1080">
        <f>AG108-AI108</f>
        <v>0</v>
      </c>
      <c r="AU108" s="1080" t="e">
        <f t="shared" si="69"/>
        <v>#N/A</v>
      </c>
      <c r="AV108" s="1080" t="str">
        <f t="shared" si="70"/>
        <v>T</v>
      </c>
      <c r="AW108" s="1080">
        <f t="shared" si="71"/>
        <v>0</v>
      </c>
      <c r="AX108" s="1080">
        <f t="shared" si="72"/>
        <v>0</v>
      </c>
      <c r="AY108" s="1080">
        <f t="shared" si="73"/>
        <v>0</v>
      </c>
      <c r="AZ108" s="1080">
        <f t="shared" si="74"/>
        <v>0</v>
      </c>
      <c r="BA108" s="1080">
        <f t="shared" si="75"/>
        <v>0</v>
      </c>
      <c r="BB108" s="1080">
        <f>IF(AND(RACE=1,'Main Creation Page'!$E$6="Well",OR(ISNUMBER(FIND(Experience!$G$11,BE108)),ISNUMBER(FIND(Experience!$G$11,BF108)),ISNUMBER(FIND(Experience!$I$11,BE108)),ISNUMBER(FIND(Experience!$I$11,BF108)))),1,0)</f>
        <v>0</v>
      </c>
      <c r="BC108" s="1080" t="str">
        <f t="shared" si="80"/>
        <v>Catching Objects</v>
      </c>
      <c r="BE108" s="1080" t="str">
        <f t="shared" si="76"/>
        <v/>
      </c>
      <c r="BF108" s="1080" t="str">
        <f t="shared" si="77"/>
        <v>Athletic Skills</v>
      </c>
      <c r="BH108" s="1080"/>
    </row>
    <row r="109" spans="1:60" ht="11.1" customHeight="1" outlineLevel="1">
      <c r="A109" s="1117" t="s">
        <v>11</v>
      </c>
      <c r="B109" s="1094"/>
      <c r="C109" s="1094"/>
      <c r="D109" s="1094"/>
      <c r="E109" s="1095" t="s">
        <v>5224</v>
      </c>
      <c r="F109" s="1095" t="s">
        <v>5224</v>
      </c>
      <c r="G109" s="1096">
        <v>0</v>
      </c>
      <c r="H109" s="1096" t="s">
        <v>5224</v>
      </c>
      <c r="I109" s="1096" t="s">
        <v>5224</v>
      </c>
      <c r="J109" s="1096" t="s">
        <v>5224</v>
      </c>
      <c r="K109" s="1096" t="s">
        <v>5224</v>
      </c>
      <c r="L109" s="1096" t="s">
        <v>5224</v>
      </c>
      <c r="M109" s="1096" t="s">
        <v>5224</v>
      </c>
      <c r="N109" s="1096" t="s">
        <v>4631</v>
      </c>
      <c r="O109" s="1097"/>
      <c r="P109" s="1097" t="s">
        <v>3615</v>
      </c>
      <c r="Q109" s="1097">
        <f t="shared" ca="1" si="118"/>
        <v>20</v>
      </c>
      <c r="R109" s="1097"/>
      <c r="S109" s="1028" t="s">
        <v>3614</v>
      </c>
      <c r="T109" s="1097">
        <f t="shared" ca="1" si="119"/>
        <v>15</v>
      </c>
      <c r="U109" s="1027">
        <v>3</v>
      </c>
      <c r="V109" s="1027">
        <f>IF(AP109+U109&gt;10,10,IF(AP109+U109&lt;1,1,AP109+U109))</f>
        <v>4</v>
      </c>
      <c r="W109" s="1098" t="e">
        <f>IF(OR(I109&lt;&gt;"N",E109="C"),IF(AND(N109&lt;&gt;"T",ISNUMBER(FIND("V",I109))),1,0),NA())+IF(H109="Y",IF(AND(N109="P",ISNUMBER(FIND("Z",I109))),2,1),0)+IF(J109="Y",1,0)+IF(K109="Y",3,0)+IF(BE109="Lore",L109*2+Experience!$D$25,0)+IF(M109="Y",1,0)</f>
        <v>#N/A</v>
      </c>
      <c r="X109" s="1099"/>
      <c r="Y109" s="1100">
        <f ca="1">IF(P109="NS",IFERROR(INDIRECT(S109),NA()),VLOOKUP(INDIRECT(P109)+INDIRECT(S109),'System Lookups'!$A$3:$D$146,2))</f>
        <v>0.12</v>
      </c>
      <c r="Z109" s="1100">
        <f>IF(ISNA(W109),0,W109*0.03)+IF(X109&gt;0,X109*0.03,0)+IF(AND(ISNA(W109),X109&lt;=0),0,IF(G109&gt;0,G109*0.07,0))</f>
        <v>0</v>
      </c>
      <c r="AA109" s="1101">
        <f ca="1">IF(ISNA(Y109),0,Y109)+Z109</f>
        <v>0.12</v>
      </c>
      <c r="AB109" s="1102">
        <f>VLOOKUP(V109,'System Lookups'!$J$55:$P$64,3)</f>
        <v>0.2</v>
      </c>
      <c r="AC109" s="1103">
        <f>VLOOKUP(V109,'System Lookups'!$J$55:$P$64,4)</f>
        <v>0.3</v>
      </c>
      <c r="AD109" s="1104">
        <f ca="1">IF(AND(ISBLANK(X109),ISNA(W109)),IF(B109="~",0,AB109+AA109+IF(BB109&gt;0,0.05,0)),AA109+AC109+IF(BB109&gt;0,0.05,0))</f>
        <v>0.32</v>
      </c>
      <c r="AE109" s="1094">
        <f ca="1">(IF(AD109&gt;VLOOKUP(V109,'System Lookups'!$J$55:$P$63,6),(((AD109-VLOOKUP(V109,'System Lookups'!$J$55:$P$63,6))*100)/20),0))+AF109</f>
        <v>0</v>
      </c>
      <c r="AF109" s="1121"/>
      <c r="AG109" s="1092">
        <f>IF(ISBLANK(X109),0,AQ109*X109+IF(ISNA(W109),1,0))</f>
        <v>0</v>
      </c>
      <c r="AH109" s="1092" t="str">
        <f>IF(X109&lt;=Experience!$R$15+1,"","*")</f>
        <v/>
      </c>
      <c r="AI109" s="1092"/>
      <c r="AJ109" s="1080">
        <f t="shared" si="120"/>
        <v>0</v>
      </c>
      <c r="AK109" s="1080">
        <f>IF(F109="s",-2,0)</f>
        <v>0</v>
      </c>
      <c r="AL109" s="1080">
        <f t="shared" si="121"/>
        <v>0</v>
      </c>
      <c r="AM109" s="1092">
        <f>IF(J109="y",1,0)</f>
        <v>0</v>
      </c>
      <c r="AN109" s="1080">
        <f>IF(N109="P",-1,IF(N109="T",1,0))</f>
        <v>1</v>
      </c>
      <c r="AO109" s="1080">
        <f t="shared" si="122"/>
        <v>0</v>
      </c>
      <c r="AP109" s="1080">
        <f>SUM(AJ109:AN109)-AM109</f>
        <v>1</v>
      </c>
      <c r="AQ109" s="1027">
        <f>VLOOKUP(V109,'System Lookups'!$J$55:$P$64,7)</f>
        <v>600</v>
      </c>
      <c r="AR109" s="1080" t="str">
        <f ca="1">IF(AND(NOT(ISBLANK(AJ109)),ISNA(MATCH(ROW(),'System Lookups'!$C$526:$C$539,0))),"Y","N")</f>
        <v>Y</v>
      </c>
      <c r="AS109" s="1080">
        <f>AG109-AI109</f>
        <v>0</v>
      </c>
      <c r="AU109" s="1080" t="e">
        <f t="shared" si="69"/>
        <v>#N/A</v>
      </c>
      <c r="AV109" s="1080" t="str">
        <f t="shared" si="70"/>
        <v>T</v>
      </c>
      <c r="AW109" s="1080">
        <f t="shared" si="71"/>
        <v>0</v>
      </c>
      <c r="AX109" s="1080">
        <f t="shared" si="72"/>
        <v>0</v>
      </c>
      <c r="AY109" s="1080">
        <f t="shared" si="73"/>
        <v>0</v>
      </c>
      <c r="AZ109" s="1080">
        <f t="shared" si="74"/>
        <v>0</v>
      </c>
      <c r="BA109" s="1080">
        <f t="shared" si="75"/>
        <v>0</v>
      </c>
      <c r="BB109" s="1080">
        <f>IF(AND(RACE=1,'Main Creation Page'!$E$6="Well",OR(ISNUMBER(FIND(Experience!$G$11,BE109)),ISNUMBER(FIND(Experience!$G$11,BF109)),ISNUMBER(FIND(Experience!$I$11,BE109)),ISNUMBER(FIND(Experience!$I$11,BF109)))),1,0)</f>
        <v>0</v>
      </c>
      <c r="BC109" s="1080" t="str">
        <f t="shared" si="80"/>
        <v>Climbing</v>
      </c>
      <c r="BE109" s="1080" t="str">
        <f t="shared" si="76"/>
        <v/>
      </c>
      <c r="BF109" s="1080" t="str">
        <f t="shared" si="77"/>
        <v>Athletic Skills</v>
      </c>
    </row>
    <row r="110" spans="1:60" ht="11.1" hidden="1" customHeight="1" outlineLevel="2">
      <c r="A110" s="1028" t="s">
        <v>1504</v>
      </c>
      <c r="B110" s="2641">
        <f>VLOOKUP(('Main Creation Page'!E$16+'Main Creation Page'!E$12),'System Lookups'!$P$85:$R$102,2)</f>
        <v>120</v>
      </c>
      <c r="C110" s="2645"/>
      <c r="D110" s="2643"/>
      <c r="H110" s="2608">
        <f>B110*'Main Creation Page'!AC$6</f>
        <v>4440</v>
      </c>
      <c r="I110" s="2609"/>
      <c r="J110" s="2609"/>
      <c r="K110" s="2610"/>
      <c r="L110" s="1081" t="s">
        <v>4744</v>
      </c>
      <c r="W110" s="1112"/>
      <c r="AE110" s="1094"/>
      <c r="AF110" s="1121"/>
      <c r="AR110" s="1080" t="str">
        <f ca="1">IF(AND(NOT(ISBLANK(AJ110)),ISNA(MATCH(ROW(),'System Lookups'!$C$526:$C$539,0))),"Y","N")</f>
        <v>N</v>
      </c>
      <c r="AU110" s="1080" t="e">
        <f t="shared" si="69"/>
        <v>#N/A</v>
      </c>
      <c r="AV110" s="1080" t="str">
        <f t="shared" si="70"/>
        <v/>
      </c>
      <c r="AW110" s="1080">
        <f t="shared" si="71"/>
        <v>0</v>
      </c>
      <c r="AX110" s="1080">
        <f t="shared" si="72"/>
        <v>0</v>
      </c>
      <c r="AY110" s="1080">
        <f t="shared" si="73"/>
        <v>0</v>
      </c>
      <c r="AZ110" s="1080">
        <f t="shared" si="74"/>
        <v>0</v>
      </c>
      <c r="BA110" s="1080">
        <f t="shared" si="75"/>
        <v>0</v>
      </c>
      <c r="BB110" s="1080">
        <f>IF(AND(RACE=1,'Main Creation Page'!$E$6="Well",OR(ISNUMBER(FIND(Experience!$G$11,BE110)),ISNUMBER(FIND(Experience!$G$11,BF110)),ISNUMBER(FIND(Experience!$I$11,BE110)),ISNUMBER(FIND(Experience!$I$11,BF110)))),1,0)</f>
        <v>0</v>
      </c>
      <c r="BC110" s="1080" t="e">
        <f t="shared" si="80"/>
        <v>#N/A</v>
      </c>
      <c r="BE110" s="1080" t="str">
        <f t="shared" si="76"/>
        <v/>
      </c>
      <c r="BF110" s="1080" t="str">
        <f t="shared" si="77"/>
        <v>Athletic Skills</v>
      </c>
    </row>
    <row r="111" spans="1:60" ht="11.1" customHeight="1" outlineLevel="1" collapsed="1">
      <c r="A111" s="1117" t="s">
        <v>12</v>
      </c>
      <c r="B111" s="1094" t="s">
        <v>1942</v>
      </c>
      <c r="C111" s="1094"/>
      <c r="D111" s="1094"/>
      <c r="E111" s="1095" t="s">
        <v>5224</v>
      </c>
      <c r="F111" s="1095" t="str">
        <f>IF(('SA&amp;DD'!$D$69="Y"),"R","N")</f>
        <v>N</v>
      </c>
      <c r="G111" s="1096">
        <v>0</v>
      </c>
      <c r="H111" s="1096" t="s">
        <v>5222</v>
      </c>
      <c r="I111" s="1096" t="s">
        <v>4623</v>
      </c>
      <c r="J111" s="1096" t="s">
        <v>5224</v>
      </c>
      <c r="K111" s="1096" t="s">
        <v>5224</v>
      </c>
      <c r="L111" s="1096" t="s">
        <v>5224</v>
      </c>
      <c r="M111" s="1096" t="s">
        <v>5224</v>
      </c>
      <c r="N111" s="1096" t="s">
        <v>4627</v>
      </c>
      <c r="O111" s="1097"/>
      <c r="P111" s="1113" t="s">
        <v>13</v>
      </c>
      <c r="Q111" s="1097"/>
      <c r="R111" s="1097"/>
      <c r="S111" s="1113" t="s">
        <v>6147</v>
      </c>
      <c r="T111" s="1113"/>
      <c r="U111" s="1027">
        <f>IF(Experience!D18="Y",4,IF(AND(OR('Main Creation Page'!AB2=76,'Main Creation Page'!AB2=72),'Main Creation Page'!C26&gt;75),3,5))</f>
        <v>5</v>
      </c>
      <c r="V111" s="1027">
        <f t="shared" ref="V111:V118" si="123">IF(AP111+U111&gt;10,10,IF(AP111+U111&lt;1,1,AP111+U111))</f>
        <v>3</v>
      </c>
      <c r="W111" s="1098">
        <f>IF(OR(I111&lt;&gt;"N",E111="C"),IF(AND(N111&lt;&gt;"T",ISNUMBER(FIND("V",I111))),1,0),NA())+IF(H111="Y",IF(AND(N111="P",ISNUMBER(FIND("Z",I111))),2,1),0)+IF(J111="Y",1,0)+IF(K111="Y",3,0)+IF(BE111="Lore",L111*2+Experience!$D$25,0)+IF(M111="Y",1,0)</f>
        <v>1</v>
      </c>
      <c r="X111" s="1099"/>
      <c r="Y111" s="1100">
        <f ca="1">IF(P111="NS",IFERROR(INDIRECT(S111),NA()),VLOOKUP(INDIRECT(P111)+INDIRECT(S111),'System Lookups'!$A$3:$D$146,2))</f>
        <v>0</v>
      </c>
      <c r="Z111" s="1100">
        <f t="shared" ref="Z111:Z118" si="124">IF(ISNA(W111),0,W111*0.03)+IF(X111&gt;0,X111*0.03,0)+IF(AND(ISNA(W111),X111&lt;=0),0,IF(G111&gt;0,G111*0.07,0))</f>
        <v>0.03</v>
      </c>
      <c r="AA111" s="1101">
        <f t="shared" ref="AA111:AA118" ca="1" si="125">IF(ISNA(Y111),0,Y111)+Z111</f>
        <v>0.03</v>
      </c>
      <c r="AB111" s="1102">
        <f>VLOOKUP(V111,'System Lookups'!$J$55:$P$64,3)</f>
        <v>0.3</v>
      </c>
      <c r="AC111" s="1103">
        <f>VLOOKUP(V111,'System Lookups'!$J$55:$P$64,4)</f>
        <v>0.4</v>
      </c>
      <c r="AD111" s="1104">
        <f t="shared" ref="AD111:AD118" ca="1" si="126">IF(AND(ISBLANK(X111),ISNA(W111)),IF(B111="~",0,AB111+AA111+IF(BB111&gt;0,0.05,0)),AA111+AC111+IF(BB111&gt;0,0.05,0))</f>
        <v>0.43000000000000005</v>
      </c>
      <c r="AE111" s="1094">
        <f ca="1">(IF(AD111&gt;VLOOKUP(V111,'System Lookups'!$J$55:$P$63,6),(((AD111-VLOOKUP(V111,'System Lookups'!$J$55:$P$63,6))*100)/20),0))+AF111</f>
        <v>0</v>
      </c>
      <c r="AF111" s="1121"/>
      <c r="AG111" s="1092">
        <f t="shared" ref="AG111:AG118" si="127">IF(ISBLANK(X111),0,AQ111*X111+IF(ISNA(W111),1,0))</f>
        <v>0</v>
      </c>
      <c r="AH111" s="1092" t="str">
        <f>IF(X111&lt;=Experience!$R$15+1,"","*")</f>
        <v/>
      </c>
      <c r="AI111" s="1092"/>
      <c r="AJ111" s="1080">
        <f t="shared" ref="AJ111:AJ118" si="128">IF(ISNUMBER(FIND("R",F111)),-1,0)</f>
        <v>0</v>
      </c>
      <c r="AK111" s="1080">
        <f t="shared" ref="AK111:AK118" si="129">IF(F111="s",-2,0)</f>
        <v>0</v>
      </c>
      <c r="AL111" s="1080">
        <f t="shared" ref="AL111:AL118" si="130">IF(AND(H111="Y",OR(N111="P",N111="S")),-1,0)</f>
        <v>-1</v>
      </c>
      <c r="AM111" s="1092">
        <f t="shared" ref="AM111:AM118" si="131">IF(J111="y",1,0)</f>
        <v>0</v>
      </c>
      <c r="AN111" s="1080">
        <f t="shared" ref="AN111:AN118" si="132">IF(N111="P",-1,IF(N111="T",1,0))</f>
        <v>-1</v>
      </c>
      <c r="AO111" s="1080">
        <f t="shared" ref="AO111:AO118" si="133">IF(ISNUMBER(FIND("Z",I111)),1,0)</f>
        <v>0</v>
      </c>
      <c r="AP111" s="1080">
        <f t="shared" ref="AP111:AP118" si="134">SUM(AJ111:AN111)-AM111</f>
        <v>-2</v>
      </c>
      <c r="AQ111" s="1027">
        <f>VLOOKUP(V111,'System Lookups'!$J$55:$P$64,7)</f>
        <v>500</v>
      </c>
      <c r="AR111" s="1080" t="str">
        <f ca="1">IF(AND(NOT(ISBLANK(AJ111)),ISNA(MATCH(ROW(),'System Lookups'!$C$526:$C$539,0))),"Y","N")</f>
        <v>Y</v>
      </c>
      <c r="AS111" s="1080">
        <f t="shared" ref="AS111:AS118" si="135">AG111-AI111</f>
        <v>0</v>
      </c>
      <c r="AU111" s="1080">
        <f t="shared" si="69"/>
        <v>1</v>
      </c>
      <c r="AV111" s="1080" t="str">
        <f t="shared" si="70"/>
        <v>MPBk</v>
      </c>
      <c r="AW111" s="1080">
        <f t="shared" si="71"/>
        <v>1</v>
      </c>
      <c r="AX111" s="1080">
        <f t="shared" si="72"/>
        <v>0</v>
      </c>
      <c r="AY111" s="1080">
        <f t="shared" si="73"/>
        <v>0</v>
      </c>
      <c r="AZ111" s="1080">
        <f t="shared" si="74"/>
        <v>0</v>
      </c>
      <c r="BA111" s="1080">
        <f t="shared" si="75"/>
        <v>1</v>
      </c>
      <c r="BB111" s="1080">
        <f>IF(AND(RACE=1,'Main Creation Page'!$E$6="Well",OR(ISNUMBER(FIND(Experience!$G$11,BE111)),ISNUMBER(FIND(Experience!$G$11,BF111)),ISNUMBER(FIND(Experience!$I$11,BE111)),ISNUMBER(FIND(Experience!$I$11,BF111)))),1,0)</f>
        <v>0</v>
      </c>
      <c r="BC111" s="1080" t="str">
        <f t="shared" si="80"/>
        <v>Conditioning</v>
      </c>
      <c r="BE111" s="1080" t="str">
        <f t="shared" si="76"/>
        <v/>
      </c>
      <c r="BF111" s="1080" t="str">
        <f t="shared" si="77"/>
        <v>Athletic Skills</v>
      </c>
    </row>
    <row r="112" spans="1:60" ht="11.1" customHeight="1" outlineLevel="1">
      <c r="A112" s="1123" t="s">
        <v>2504</v>
      </c>
      <c r="B112" s="1094" t="s">
        <v>1942</v>
      </c>
      <c r="C112" s="1094"/>
      <c r="D112" s="1094"/>
      <c r="E112" s="1095" t="s">
        <v>5224</v>
      </c>
      <c r="F112" s="1095" t="str">
        <f>IF(('SA&amp;DD'!$D$69="Y"),"R","N")</f>
        <v>N</v>
      </c>
      <c r="G112" s="1096">
        <v>0</v>
      </c>
      <c r="H112" s="1096" t="s">
        <v>5224</v>
      </c>
      <c r="I112" s="1096" t="s">
        <v>5224</v>
      </c>
      <c r="J112" s="1096" t="s">
        <v>5224</v>
      </c>
      <c r="K112" s="1096" t="s">
        <v>5224</v>
      </c>
      <c r="L112" s="1096" t="s">
        <v>5224</v>
      </c>
      <c r="M112" s="1096" t="s">
        <v>5224</v>
      </c>
      <c r="N112" s="1096" t="s">
        <v>4631</v>
      </c>
      <c r="O112" s="1097"/>
      <c r="P112" s="1113" t="s">
        <v>13</v>
      </c>
      <c r="Q112" s="1097"/>
      <c r="R112" s="1097"/>
      <c r="S112" s="1113" t="s">
        <v>6147</v>
      </c>
      <c r="T112" s="1113"/>
      <c r="U112" s="1027">
        <v>8</v>
      </c>
      <c r="V112" s="1027">
        <f t="shared" si="123"/>
        <v>9</v>
      </c>
      <c r="W112" s="1098" t="e">
        <f>IF(OR(I112&lt;&gt;"N",E112="C"),IF(AND(N112&lt;&gt;"T",ISNUMBER(FIND("V",I112))),1,0),NA())+IF(H112="Y",IF(AND(N112="P",ISNUMBER(FIND("Z",I112))),2,1),0)+IF(J112="Y",1,0)+IF(K112="Y",3,0)+IF(BE112="Lore",L112*2+Experience!$D$25,0)+IF(M112="Y",1,0)</f>
        <v>#N/A</v>
      </c>
      <c r="X112" s="1099"/>
      <c r="Y112" s="1100">
        <f ca="1">IF(P112="NS",IFERROR(INDIRECT(S112),NA()),VLOOKUP(INDIRECT(P112)+INDIRECT(S112),'System Lookups'!$A$3:$D$146,2))</f>
        <v>0</v>
      </c>
      <c r="Z112" s="1100">
        <f t="shared" si="124"/>
        <v>0</v>
      </c>
      <c r="AA112" s="1101">
        <f t="shared" ca="1" si="125"/>
        <v>0</v>
      </c>
      <c r="AB112" s="1102">
        <f>VLOOKUP(V112,'System Lookups'!$J$55:$P$64,3)</f>
        <v>0.01</v>
      </c>
      <c r="AC112" s="1103">
        <f>VLOOKUP(V112,'System Lookups'!$J$55:$P$64,4)</f>
        <v>0.02</v>
      </c>
      <c r="AD112" s="1104">
        <f t="shared" si="126"/>
        <v>0</v>
      </c>
      <c r="AE112" s="1094">
        <f>(IF(AD112&gt;VLOOKUP(V112,'System Lookups'!$J$55:$P$63,6),(((AD112-VLOOKUP(V112,'System Lookups'!$J$55:$P$63,6))*100)/20),0))+AF112</f>
        <v>0</v>
      </c>
      <c r="AF112" s="1121"/>
      <c r="AG112" s="1092">
        <f t="shared" si="127"/>
        <v>0</v>
      </c>
      <c r="AH112" s="1092" t="str">
        <f>IF(X112&lt;=Experience!$R$15+1,"","*")</f>
        <v/>
      </c>
      <c r="AI112" s="1092"/>
      <c r="AJ112" s="1080">
        <f t="shared" si="128"/>
        <v>0</v>
      </c>
      <c r="AK112" s="1080">
        <f t="shared" si="129"/>
        <v>0</v>
      </c>
      <c r="AL112" s="1080">
        <f t="shared" si="130"/>
        <v>0</v>
      </c>
      <c r="AM112" s="1092">
        <f t="shared" si="131"/>
        <v>0</v>
      </c>
      <c r="AN112" s="1080">
        <f t="shared" si="132"/>
        <v>1</v>
      </c>
      <c r="AO112" s="1080">
        <f t="shared" si="133"/>
        <v>0</v>
      </c>
      <c r="AP112" s="1080">
        <f t="shared" si="134"/>
        <v>1</v>
      </c>
      <c r="AQ112" s="1027">
        <f>VLOOKUP(V112,'System Lookups'!$J$55:$P$64,7)</f>
        <v>1500</v>
      </c>
      <c r="AR112" s="1080" t="str">
        <f ca="1">IF(AND(NOT(ISBLANK(AJ112)),ISNA(MATCH(ROW(),'System Lookups'!$C$526:$C$539,0))),"Y","N")</f>
        <v>Y</v>
      </c>
      <c r="AS112" s="1080">
        <f t="shared" si="135"/>
        <v>0</v>
      </c>
      <c r="AU112" s="1080" t="e">
        <f t="shared" si="69"/>
        <v>#N/A</v>
      </c>
      <c r="AV112" s="1080" t="str">
        <f t="shared" si="70"/>
        <v>T</v>
      </c>
      <c r="AW112" s="1080">
        <f t="shared" si="71"/>
        <v>0</v>
      </c>
      <c r="AX112" s="1080">
        <f t="shared" si="72"/>
        <v>0</v>
      </c>
      <c r="AY112" s="1080">
        <f t="shared" si="73"/>
        <v>0</v>
      </c>
      <c r="AZ112" s="1080">
        <f t="shared" si="74"/>
        <v>0</v>
      </c>
      <c r="BA112" s="1080">
        <f t="shared" si="75"/>
        <v>0</v>
      </c>
      <c r="BB112" s="1080">
        <f>IF(AND(RACE=1,'Main Creation Page'!$E$6="Well",OR(ISNUMBER(FIND(Experience!$G$11,BE112)),ISNUMBER(FIND(Experience!$G$11,BF112)),ISNUMBER(FIND(Experience!$I$11,BE112)),ISNUMBER(FIND(Experience!$I$11,BF112)))),1,0)</f>
        <v>0</v>
      </c>
      <c r="BC112" s="1080" t="str">
        <f t="shared" si="80"/>
        <v>Deftness</v>
      </c>
      <c r="BE112" s="1080" t="str">
        <f t="shared" si="76"/>
        <v/>
      </c>
      <c r="BF112" s="1080" t="str">
        <f t="shared" si="77"/>
        <v>Athletic Skills</v>
      </c>
    </row>
    <row r="113" spans="1:60" ht="11.1" customHeight="1" outlineLevel="1">
      <c r="A113" s="1123" t="s">
        <v>5626</v>
      </c>
      <c r="B113" s="1094"/>
      <c r="C113" s="1094"/>
      <c r="D113" s="1094"/>
      <c r="E113" s="1095" t="s">
        <v>5224</v>
      </c>
      <c r="F113" s="1095" t="str">
        <f>IF(('SA&amp;DD'!$D$69="Y"),"R","N")</f>
        <v>N</v>
      </c>
      <c r="G113" s="1096">
        <v>0</v>
      </c>
      <c r="H113" s="1096" t="s">
        <v>5224</v>
      </c>
      <c r="I113" s="1096" t="s">
        <v>5224</v>
      </c>
      <c r="J113" s="1096" t="s">
        <v>5224</v>
      </c>
      <c r="K113" s="1096" t="s">
        <v>5224</v>
      </c>
      <c r="L113" s="1096" t="s">
        <v>5224</v>
      </c>
      <c r="M113" s="1096" t="s">
        <v>5224</v>
      </c>
      <c r="N113" s="1096" t="s">
        <v>4631</v>
      </c>
      <c r="O113" s="1097"/>
      <c r="P113" s="1097" t="s">
        <v>3615</v>
      </c>
      <c r="Q113" s="1097">
        <f ca="1">INDIRECT(P113)</f>
        <v>20</v>
      </c>
      <c r="R113" s="1097"/>
      <c r="S113" s="1028" t="s">
        <v>3614</v>
      </c>
      <c r="T113" s="1097">
        <f ca="1">INDIRECT(S113)</f>
        <v>15</v>
      </c>
      <c r="U113" s="1027">
        <v>4</v>
      </c>
      <c r="V113" s="1027">
        <f t="shared" si="123"/>
        <v>5</v>
      </c>
      <c r="W113" s="1098" t="e">
        <f>IF(OR(I113&lt;&gt;"N",E113="C"),IF(AND(N113&lt;&gt;"T",ISNUMBER(FIND("V",I113))),1,0),NA())+IF(H113="Y",IF(AND(N113="P",ISNUMBER(FIND("Z",I113))),2,1),0)+IF(J113="Y",1,0)+IF(K113="Y",3,0)+IF(BE113="Lore",L113*2+Experience!$D$25,0)+IF(M113="Y",1,0)</f>
        <v>#N/A</v>
      </c>
      <c r="X113" s="1099"/>
      <c r="Y113" s="1100">
        <f ca="1">IF(P113="NS",IFERROR(INDIRECT(S113),NA()),VLOOKUP(INDIRECT(P113)+INDIRECT(S113),'System Lookups'!$A$3:$D$146,2))</f>
        <v>0.12</v>
      </c>
      <c r="Z113" s="1100">
        <f t="shared" si="124"/>
        <v>0</v>
      </c>
      <c r="AA113" s="1101">
        <f t="shared" ref="AA113" ca="1" si="136">IF(ISNA(Y113),0,Y113)+Z113</f>
        <v>0.12</v>
      </c>
      <c r="AB113" s="1102">
        <f>VLOOKUP(V113,'System Lookups'!$J$55:$P$64,3)</f>
        <v>0.1</v>
      </c>
      <c r="AC113" s="1103">
        <f>VLOOKUP(V113,'System Lookups'!$J$55:$P$64,4)</f>
        <v>0.2</v>
      </c>
      <c r="AD113" s="1104">
        <f t="shared" ca="1" si="126"/>
        <v>0.22</v>
      </c>
      <c r="AE113" s="1094">
        <f ca="1">(IF(AD113&gt;VLOOKUP(V113,'System Lookups'!$J$55:$P$63,6),(((AD113-VLOOKUP(V113,'System Lookups'!$J$55:$P$63,6))*100)/20),0))+AF113</f>
        <v>0</v>
      </c>
      <c r="AF113" s="1121"/>
      <c r="AG113" s="1092">
        <f t="shared" si="127"/>
        <v>0</v>
      </c>
      <c r="AH113" s="1092" t="str">
        <f>IF(X113&lt;=Experience!$R$15+1,"","*")</f>
        <v/>
      </c>
      <c r="AI113" s="1092"/>
      <c r="AJ113" s="1080">
        <f t="shared" si="128"/>
        <v>0</v>
      </c>
      <c r="AK113" s="1080">
        <f t="shared" ref="AK113" si="137">IF(F113="s",-2,0)</f>
        <v>0</v>
      </c>
      <c r="AL113" s="1080">
        <f t="shared" si="130"/>
        <v>0</v>
      </c>
      <c r="AM113" s="1092">
        <f t="shared" ref="AM113" si="138">IF(J113="y",1,0)</f>
        <v>0</v>
      </c>
      <c r="AN113" s="1080">
        <f t="shared" ref="AN113" si="139">IF(N113="P",-1,IF(N113="T",1,0))</f>
        <v>1</v>
      </c>
      <c r="AO113" s="1080">
        <f t="shared" si="133"/>
        <v>0</v>
      </c>
      <c r="AP113" s="1080">
        <f t="shared" si="134"/>
        <v>1</v>
      </c>
      <c r="AQ113" s="1027">
        <f>VLOOKUP(V113,'System Lookups'!$J$55:$P$64,7)</f>
        <v>700</v>
      </c>
      <c r="AR113" s="1080" t="str">
        <f ca="1">IF(AND(NOT(ISBLANK(AJ113)),ISNA(MATCH(ROW(),'System Lookups'!$C$526:$C$539,0))),"Y","N")</f>
        <v>Y</v>
      </c>
      <c r="AS113" s="1080">
        <f t="shared" si="135"/>
        <v>0</v>
      </c>
      <c r="AU113" s="1080" t="e">
        <f t="shared" si="69"/>
        <v>#N/A</v>
      </c>
      <c r="AV113" s="1080" t="str">
        <f t="shared" si="70"/>
        <v>T</v>
      </c>
      <c r="AW113" s="1080">
        <f t="shared" si="71"/>
        <v>0</v>
      </c>
      <c r="AX113" s="1080">
        <f t="shared" si="72"/>
        <v>0</v>
      </c>
      <c r="AY113" s="1080">
        <f t="shared" si="73"/>
        <v>0</v>
      </c>
      <c r="AZ113" s="1080">
        <f t="shared" si="74"/>
        <v>0</v>
      </c>
      <c r="BA113" s="1080">
        <f t="shared" si="75"/>
        <v>0</v>
      </c>
      <c r="BB113" s="1080">
        <f>IF(AND(RACE=1,'Main Creation Page'!$E$6="Well",OR(ISNUMBER(FIND(Experience!$G$11,BE113)),ISNUMBER(FIND(Experience!$G$11,BF113)),ISNUMBER(FIND(Experience!$I$11,BE113)),ISNUMBER(FIND(Experience!$I$11,BF113)))),1,0)</f>
        <v>0</v>
      </c>
      <c r="BC113" s="1080" t="str">
        <f t="shared" si="80"/>
        <v>Digging</v>
      </c>
      <c r="BE113" s="1080" t="str">
        <f t="shared" si="76"/>
        <v/>
      </c>
      <c r="BF113" s="1080" t="str">
        <f t="shared" si="77"/>
        <v>Athletic Skills</v>
      </c>
      <c r="BH113" s="1080"/>
    </row>
    <row r="114" spans="1:60" ht="11.1" customHeight="1" outlineLevel="1">
      <c r="A114" s="1117" t="s">
        <v>14</v>
      </c>
      <c r="B114" s="1094" t="s">
        <v>1942</v>
      </c>
      <c r="C114" s="1094"/>
      <c r="D114" s="1094"/>
      <c r="E114" s="1095" t="s">
        <v>5224</v>
      </c>
      <c r="F114" s="1095" t="str">
        <f>IF(('SA&amp;DD'!$D$69="Y"),"R","N")</f>
        <v>N</v>
      </c>
      <c r="G114" s="1096">
        <v>0</v>
      </c>
      <c r="H114" s="1096" t="s">
        <v>5222</v>
      </c>
      <c r="I114" s="1096" t="s">
        <v>4623</v>
      </c>
      <c r="J114" s="1096" t="s">
        <v>5224</v>
      </c>
      <c r="K114" s="1096" t="s">
        <v>5224</v>
      </c>
      <c r="L114" s="1096" t="s">
        <v>5224</v>
      </c>
      <c r="M114" s="1096" t="s">
        <v>5224</v>
      </c>
      <c r="N114" s="1096" t="s">
        <v>4627</v>
      </c>
      <c r="O114" s="1097"/>
      <c r="P114" s="1113" t="s">
        <v>13</v>
      </c>
      <c r="Q114" s="1097"/>
      <c r="R114" s="1097"/>
      <c r="S114" s="1113" t="s">
        <v>6147</v>
      </c>
      <c r="T114" s="1113"/>
      <c r="U114" s="1027">
        <f>IF(Experience!D18="Y",3,IF(AND(OR('Main Creation Page'!AB2=76,'Main Creation Page'!AB2=72),'Main Creation Page'!C26&gt;75),2,4))</f>
        <v>4</v>
      </c>
      <c r="V114" s="1027">
        <f t="shared" si="123"/>
        <v>2</v>
      </c>
      <c r="W114" s="1098">
        <f>IF(OR(I114&lt;&gt;"N",E114="C"),IF(AND(N114&lt;&gt;"T",ISNUMBER(FIND("V",I114))),1,0),NA())+IF(H114="Y",IF(AND(N114="P",ISNUMBER(FIND("Z",I114))),2,1),0)+IF(J114="Y",1,0)+IF(K114="Y",3,0)+IF(BE114="Lore",L114*2+Experience!$D$25,0)+IF(M114="Y",1,0)</f>
        <v>1</v>
      </c>
      <c r="X114" s="1099"/>
      <c r="Y114" s="1100">
        <f ca="1">IF(P114="NS",IFERROR(INDIRECT(S114),NA()),VLOOKUP(INDIRECT(P114)+INDIRECT(S114),'System Lookups'!$A$3:$D$146,2))</f>
        <v>0</v>
      </c>
      <c r="Z114" s="1100">
        <f t="shared" si="124"/>
        <v>0.03</v>
      </c>
      <c r="AA114" s="1101">
        <f t="shared" ca="1" si="125"/>
        <v>0.03</v>
      </c>
      <c r="AB114" s="1102">
        <f>VLOOKUP(V114,'System Lookups'!$J$55:$P$64,3)</f>
        <v>0.4</v>
      </c>
      <c r="AC114" s="1103">
        <f>VLOOKUP(V114,'System Lookups'!$J$55:$P$64,4)</f>
        <v>0.5</v>
      </c>
      <c r="AD114" s="1104">
        <f t="shared" ca="1" si="126"/>
        <v>0.53</v>
      </c>
      <c r="AE114" s="1094">
        <f ca="1">(IF(AD114&gt;VLOOKUP(V114,'System Lookups'!$J$55:$P$63,6),(((AD114-VLOOKUP(V114,'System Lookups'!$J$55:$P$63,6))*100)/20),0))+AF114</f>
        <v>0</v>
      </c>
      <c r="AF114" s="1121"/>
      <c r="AG114" s="1092">
        <f t="shared" si="127"/>
        <v>0</v>
      </c>
      <c r="AH114" s="1092" t="str">
        <f>IF(X114&lt;=Experience!$R$15+1,"","*")</f>
        <v/>
      </c>
      <c r="AI114" s="1092"/>
      <c r="AJ114" s="1080">
        <f t="shared" si="128"/>
        <v>0</v>
      </c>
      <c r="AK114" s="1080">
        <f t="shared" si="129"/>
        <v>0</v>
      </c>
      <c r="AL114" s="1080">
        <f t="shared" si="130"/>
        <v>-1</v>
      </c>
      <c r="AM114" s="1092">
        <f t="shared" si="131"/>
        <v>0</v>
      </c>
      <c r="AN114" s="1080">
        <f t="shared" si="132"/>
        <v>-1</v>
      </c>
      <c r="AO114" s="1080">
        <f t="shared" si="133"/>
        <v>0</v>
      </c>
      <c r="AP114" s="1080">
        <f t="shared" si="134"/>
        <v>-2</v>
      </c>
      <c r="AQ114" s="1027">
        <f>VLOOKUP(V114,'System Lookups'!$J$55:$P$64,7)</f>
        <v>400</v>
      </c>
      <c r="AR114" s="1080" t="str">
        <f ca="1">IF(AND(NOT(ISBLANK(AJ114)),ISNA(MATCH(ROW(),'System Lookups'!$C$526:$C$539,0))),"Y","N")</f>
        <v>Y</v>
      </c>
      <c r="AS114" s="1080">
        <f t="shared" si="135"/>
        <v>0</v>
      </c>
      <c r="AU114" s="1080">
        <f t="shared" si="69"/>
        <v>1</v>
      </c>
      <c r="AV114" s="1080" t="str">
        <f t="shared" si="70"/>
        <v>MPBk</v>
      </c>
      <c r="AW114" s="1080">
        <f t="shared" si="71"/>
        <v>1</v>
      </c>
      <c r="AX114" s="1080">
        <f t="shared" si="72"/>
        <v>0</v>
      </c>
      <c r="AY114" s="1080">
        <f t="shared" si="73"/>
        <v>0</v>
      </c>
      <c r="AZ114" s="1080">
        <f t="shared" si="74"/>
        <v>0</v>
      </c>
      <c r="BA114" s="1080">
        <f t="shared" si="75"/>
        <v>1</v>
      </c>
      <c r="BB114" s="1080">
        <f>IF(AND(RACE=1,'Main Creation Page'!$E$6="Well",OR(ISNUMBER(FIND(Experience!$G$11,BE114)),ISNUMBER(FIND(Experience!$G$11,BF114)),ISNUMBER(FIND(Experience!$I$11,BE114)),ISNUMBER(FIND(Experience!$I$11,BF114)))),1,0)</f>
        <v>0</v>
      </c>
      <c r="BC114" s="1080" t="str">
        <f t="shared" si="80"/>
        <v>Endurance</v>
      </c>
      <c r="BE114" s="1080" t="str">
        <f t="shared" si="76"/>
        <v/>
      </c>
      <c r="BF114" s="1080" t="str">
        <f t="shared" si="77"/>
        <v>Athletic Skills</v>
      </c>
    </row>
    <row r="115" spans="1:60" ht="11.1" customHeight="1" outlineLevel="1">
      <c r="A115" s="1123" t="s">
        <v>5567</v>
      </c>
      <c r="B115" s="1094"/>
      <c r="C115" s="1094"/>
      <c r="D115" s="1094"/>
      <c r="E115" s="1095" t="s">
        <v>5224</v>
      </c>
      <c r="F115" s="1095" t="s">
        <v>5224</v>
      </c>
      <c r="G115" s="1096">
        <v>0</v>
      </c>
      <c r="H115" s="1096" t="s">
        <v>5224</v>
      </c>
      <c r="I115" s="1096" t="s">
        <v>5224</v>
      </c>
      <c r="J115" s="1096" t="s">
        <v>5224</v>
      </c>
      <c r="K115" s="1096" t="s">
        <v>5224</v>
      </c>
      <c r="L115" s="1096" t="s">
        <v>5224</v>
      </c>
      <c r="M115" s="1096" t="s">
        <v>5224</v>
      </c>
      <c r="N115" s="1096" t="s">
        <v>4631</v>
      </c>
      <c r="O115" s="1028"/>
      <c r="P115" s="1028" t="s">
        <v>3611</v>
      </c>
      <c r="Q115" s="1097">
        <f ca="1">INDIRECT(P115)</f>
        <v>15</v>
      </c>
      <c r="R115" s="1097"/>
      <c r="S115" s="1028" t="s">
        <v>3614</v>
      </c>
      <c r="T115" s="1097">
        <f ca="1">INDIRECT(S115)</f>
        <v>15</v>
      </c>
      <c r="U115" s="1027">
        <v>5</v>
      </c>
      <c r="V115" s="1027">
        <f t="shared" si="123"/>
        <v>6</v>
      </c>
      <c r="W115" s="1098" t="e">
        <f>IF(OR(I115&lt;&gt;"N",E115="C"),IF(AND(N115&lt;&gt;"T",ISNUMBER(FIND("V",I115))),1,0),NA())+IF(H115="Y",IF(AND(N115="P",ISNUMBER(FIND("Z",I115))),2,1),0)+IF(J115="Y",1,0)+IF(K115="Y",3,0)+IF(BE115="Lore",L115*2+Experience!$D$25,0)+IF(M115="Y",1,0)</f>
        <v>#N/A</v>
      </c>
      <c r="X115" s="1099"/>
      <c r="Y115" s="1100">
        <f ca="1">IF(P115="NS",IFERROR(INDIRECT(S115),NA()),VLOOKUP(INDIRECT(P115)+INDIRECT(S115),'System Lookups'!$A$3:$D$146,2))</f>
        <v>0.06</v>
      </c>
      <c r="Z115" s="1100">
        <f t="shared" si="124"/>
        <v>0</v>
      </c>
      <c r="AA115" s="1101">
        <f ca="1">IF(ISNA(Y115),0,Y115)+Z115</f>
        <v>0.06</v>
      </c>
      <c r="AB115" s="1102">
        <f>VLOOKUP(V115,'System Lookups'!$J$55:$P$64,3)</f>
        <v>0.05</v>
      </c>
      <c r="AC115" s="1103">
        <f>VLOOKUP(V115,'System Lookups'!$J$55:$P$64,4)</f>
        <v>0.1</v>
      </c>
      <c r="AD115" s="1104">
        <f t="shared" ca="1" si="126"/>
        <v>0.11</v>
      </c>
      <c r="AE115" s="1094">
        <f ca="1">(IF(AD115&gt;VLOOKUP(V115,'System Lookups'!$J$55:$P$63,6),(((AD115-VLOOKUP(V115,'System Lookups'!$J$55:$P$63,6))*100)/20),0))+AF115</f>
        <v>0</v>
      </c>
      <c r="AF115" s="1121"/>
      <c r="AG115" s="1092">
        <f t="shared" si="127"/>
        <v>0</v>
      </c>
      <c r="AH115" s="1092" t="str">
        <f>IF(X115&lt;=Experience!$R$15+1,"","*")</f>
        <v/>
      </c>
      <c r="AI115" s="1092"/>
      <c r="AJ115" s="1080">
        <f t="shared" si="128"/>
        <v>0</v>
      </c>
      <c r="AK115" s="1080">
        <f>IF(F115="s",-2,0)</f>
        <v>0</v>
      </c>
      <c r="AL115" s="1080">
        <f t="shared" si="130"/>
        <v>0</v>
      </c>
      <c r="AM115" s="1092">
        <f>IF(J115="y",1,0)</f>
        <v>0</v>
      </c>
      <c r="AN115" s="1080">
        <f>IF(N115="P",-1,IF(N115="T",1,0))</f>
        <v>1</v>
      </c>
      <c r="AO115" s="1080">
        <f t="shared" si="133"/>
        <v>0</v>
      </c>
      <c r="AP115" s="1080">
        <f t="shared" si="134"/>
        <v>1</v>
      </c>
      <c r="AQ115" s="1027">
        <f>VLOOKUP(V115,'System Lookups'!$J$55:$P$64,7)</f>
        <v>800</v>
      </c>
      <c r="AR115" s="1080" t="str">
        <f ca="1">IF(AND(NOT(ISBLANK(AJ115)),ISNA(MATCH(ROW(),'System Lookups'!$C$526:$C$539,0))),"Y","N")</f>
        <v>Y</v>
      </c>
      <c r="AS115" s="1080">
        <f t="shared" si="135"/>
        <v>0</v>
      </c>
      <c r="AU115" s="1080" t="e">
        <f t="shared" si="69"/>
        <v>#N/A</v>
      </c>
      <c r="AV115" s="1080" t="str">
        <f t="shared" si="70"/>
        <v>T</v>
      </c>
      <c r="AW115" s="1080">
        <f t="shared" si="71"/>
        <v>0</v>
      </c>
      <c r="AX115" s="1080">
        <f t="shared" si="72"/>
        <v>0</v>
      </c>
      <c r="AY115" s="1080">
        <f t="shared" si="73"/>
        <v>0</v>
      </c>
      <c r="AZ115" s="1080">
        <f t="shared" si="74"/>
        <v>0</v>
      </c>
      <c r="BA115" s="1080">
        <f t="shared" si="75"/>
        <v>0</v>
      </c>
      <c r="BB115" s="1080">
        <f>IF(AND(RACE=1,'Main Creation Page'!$E$6="Well",OR(ISNUMBER(FIND(Experience!$G$11,BE115)),ISNUMBER(FIND(Experience!$G$11,BF115)),ISNUMBER(FIND(Experience!$I$11,BE115)),ISNUMBER(FIND(Experience!$I$11,BF115)))),1,0)</f>
        <v>0</v>
      </c>
      <c r="BC115" s="1080" t="str">
        <f t="shared" si="80"/>
        <v>Ice Skating</v>
      </c>
      <c r="BE115" s="1080" t="str">
        <f t="shared" si="76"/>
        <v/>
      </c>
      <c r="BF115" s="1080" t="str">
        <f t="shared" si="77"/>
        <v>Athletic Skills</v>
      </c>
    </row>
    <row r="116" spans="1:60" ht="11.1" customHeight="1" outlineLevel="1">
      <c r="A116" s="1117" t="s">
        <v>15</v>
      </c>
      <c r="B116" s="1094" t="s">
        <v>1942</v>
      </c>
      <c r="C116" s="1094"/>
      <c r="D116" s="1094"/>
      <c r="E116" s="1095" t="s">
        <v>5224</v>
      </c>
      <c r="F116" s="1095" t="s">
        <v>5224</v>
      </c>
      <c r="G116" s="1096">
        <v>0</v>
      </c>
      <c r="H116" s="1096" t="s">
        <v>5224</v>
      </c>
      <c r="I116" s="1096" t="s">
        <v>5224</v>
      </c>
      <c r="J116" s="1096" t="s">
        <v>5224</v>
      </c>
      <c r="K116" s="1096" t="s">
        <v>5224</v>
      </c>
      <c r="L116" s="1096" t="s">
        <v>5224</v>
      </c>
      <c r="M116" s="1096" t="s">
        <v>5224</v>
      </c>
      <c r="N116" s="1096" t="s">
        <v>4631</v>
      </c>
      <c r="O116" s="1097"/>
      <c r="P116" s="1113" t="s">
        <v>13</v>
      </c>
      <c r="Q116" s="1097"/>
      <c r="R116" s="1097"/>
      <c r="S116" s="1113" t="s">
        <v>6147</v>
      </c>
      <c r="T116" s="1113"/>
      <c r="U116" s="1027">
        <v>3</v>
      </c>
      <c r="V116" s="1027">
        <f t="shared" si="123"/>
        <v>4</v>
      </c>
      <c r="W116" s="1098" t="e">
        <f>IF(OR(I116&lt;&gt;"N",E116="C"),IF(AND(N116&lt;&gt;"T",ISNUMBER(FIND("V",I116))),1,0),NA())+IF(H116="Y",IF(AND(N116="P",ISNUMBER(FIND("Z",I116))),2,1),0)+IF(J116="Y",1,0)+IF(K116="Y",3,0)+IF(BE116="Lore",L116*2+Experience!$D$25,0)+IF(M116="Y",1,0)</f>
        <v>#N/A</v>
      </c>
      <c r="X116" s="1099"/>
      <c r="Y116" s="1100">
        <f ca="1">IF(P116="NS",IFERROR(INDIRECT(S116),NA()),VLOOKUP(INDIRECT(P116)+INDIRECT(S116),'System Lookups'!$A$3:$D$146,2))</f>
        <v>0</v>
      </c>
      <c r="Z116" s="1100">
        <f t="shared" si="124"/>
        <v>0</v>
      </c>
      <c r="AA116" s="1101">
        <f t="shared" ca="1" si="125"/>
        <v>0</v>
      </c>
      <c r="AB116" s="1102">
        <f>VLOOKUP(V116,'System Lookups'!$J$55:$P$64,3)</f>
        <v>0.2</v>
      </c>
      <c r="AC116" s="1103">
        <f>VLOOKUP(V116,'System Lookups'!$J$55:$P$64,4)</f>
        <v>0.3</v>
      </c>
      <c r="AD116" s="1104">
        <f t="shared" si="126"/>
        <v>0</v>
      </c>
      <c r="AE116" s="1094">
        <f>(IF(AD116&gt;VLOOKUP(V116,'System Lookups'!$J$55:$P$63,6),(((AD116-VLOOKUP(V116,'System Lookups'!$J$55:$P$63,6))*100)/20),0))+AF116</f>
        <v>0</v>
      </c>
      <c r="AF116" s="1121"/>
      <c r="AG116" s="1092">
        <f t="shared" si="127"/>
        <v>0</v>
      </c>
      <c r="AH116" s="1092" t="str">
        <f>IF(X116&lt;=Experience!$R$15+1,"","*")</f>
        <v/>
      </c>
      <c r="AI116" s="1092"/>
      <c r="AJ116" s="1080">
        <f t="shared" si="128"/>
        <v>0</v>
      </c>
      <c r="AK116" s="1080">
        <f t="shared" si="129"/>
        <v>0</v>
      </c>
      <c r="AL116" s="1080">
        <f t="shared" si="130"/>
        <v>0</v>
      </c>
      <c r="AM116" s="1092">
        <f t="shared" si="131"/>
        <v>0</v>
      </c>
      <c r="AN116" s="1080">
        <f t="shared" si="132"/>
        <v>1</v>
      </c>
      <c r="AO116" s="1080">
        <f t="shared" si="133"/>
        <v>0</v>
      </c>
      <c r="AP116" s="1080">
        <f t="shared" si="134"/>
        <v>1</v>
      </c>
      <c r="AQ116" s="1027">
        <f>VLOOKUP(V116,'System Lookups'!$J$55:$P$64,7)</f>
        <v>600</v>
      </c>
      <c r="AR116" s="1080" t="str">
        <f ca="1">IF(AND(NOT(ISBLANK(AJ116)),ISNA(MATCH(ROW(),'System Lookups'!$C$526:$C$539,0))),"Y","N")</f>
        <v>Y</v>
      </c>
      <c r="AS116" s="1080">
        <f t="shared" si="135"/>
        <v>0</v>
      </c>
      <c r="AU116" s="1080" t="e">
        <f t="shared" si="69"/>
        <v>#N/A</v>
      </c>
      <c r="AV116" s="1080" t="str">
        <f t="shared" si="70"/>
        <v>T</v>
      </c>
      <c r="AW116" s="1080">
        <f t="shared" si="71"/>
        <v>0</v>
      </c>
      <c r="AX116" s="1080">
        <f t="shared" si="72"/>
        <v>0</v>
      </c>
      <c r="AY116" s="1080">
        <f t="shared" si="73"/>
        <v>0</v>
      </c>
      <c r="AZ116" s="1080">
        <f t="shared" si="74"/>
        <v>0</v>
      </c>
      <c r="BA116" s="1080">
        <f t="shared" si="75"/>
        <v>0</v>
      </c>
      <c r="BB116" s="1080">
        <f>IF(AND(RACE=1,'Main Creation Page'!$E$6="Well",OR(ISNUMBER(FIND(Experience!$G$11,BE116)),ISNUMBER(FIND(Experience!$G$11,BF116)),ISNUMBER(FIND(Experience!$I$11,BE116)),ISNUMBER(FIND(Experience!$I$11,BF116)))),1,0)</f>
        <v>0</v>
      </c>
      <c r="BC116" s="1080" t="str">
        <f t="shared" si="80"/>
        <v>Jumping</v>
      </c>
      <c r="BE116" s="1080" t="str">
        <f t="shared" si="76"/>
        <v/>
      </c>
      <c r="BF116" s="1080" t="str">
        <f t="shared" si="77"/>
        <v>Athletic Skills</v>
      </c>
    </row>
    <row r="117" spans="1:60" ht="11.1" customHeight="1" outlineLevel="1">
      <c r="A117" s="1123" t="s">
        <v>16</v>
      </c>
      <c r="B117" s="1094" t="s">
        <v>1942</v>
      </c>
      <c r="C117" s="1094"/>
      <c r="D117" s="1094"/>
      <c r="E117" s="1095" t="s">
        <v>5224</v>
      </c>
      <c r="F117" s="1095" t="s">
        <v>5224</v>
      </c>
      <c r="G117" s="1096">
        <v>0</v>
      </c>
      <c r="H117" s="1096" t="s">
        <v>5224</v>
      </c>
      <c r="I117" s="1096" t="s">
        <v>5224</v>
      </c>
      <c r="J117" s="1096" t="s">
        <v>5224</v>
      </c>
      <c r="K117" s="1096" t="s">
        <v>5224</v>
      </c>
      <c r="L117" s="1096" t="s">
        <v>5224</v>
      </c>
      <c r="M117" s="1096" t="s">
        <v>5224</v>
      </c>
      <c r="N117" s="1096" t="s">
        <v>4631</v>
      </c>
      <c r="O117" s="1097"/>
      <c r="P117" s="1113" t="s">
        <v>13</v>
      </c>
      <c r="Q117" s="1097"/>
      <c r="R117" s="1097"/>
      <c r="S117" s="1113" t="s">
        <v>6147</v>
      </c>
      <c r="T117" s="1113"/>
      <c r="U117" s="1027">
        <v>4</v>
      </c>
      <c r="V117" s="1027">
        <f t="shared" si="123"/>
        <v>5</v>
      </c>
      <c r="W117" s="1098" t="e">
        <f>IF(OR(I117&lt;&gt;"N",E117="C"),IF(AND(N117&lt;&gt;"T",ISNUMBER(FIND("V",I117))),1,0),NA())+IF(H117="Y",IF(AND(N117="P",ISNUMBER(FIND("Z",I117))),2,1),0)+IF(J117="Y",1,0)+IF(K117="Y",3,0)+IF(BE117="Lore",L117*2+Experience!$D$25,0)+IF(M117="Y",1,0)</f>
        <v>#N/A</v>
      </c>
      <c r="X117" s="1099"/>
      <c r="Y117" s="1100">
        <f ca="1">IF(P117="NS",IFERROR(INDIRECT(S117),NA()),VLOOKUP(INDIRECT(P117)+INDIRECT(S117),'System Lookups'!$A$3:$D$146,2))</f>
        <v>0</v>
      </c>
      <c r="Z117" s="1100">
        <f t="shared" si="124"/>
        <v>0</v>
      </c>
      <c r="AA117" s="1101">
        <f t="shared" ca="1" si="125"/>
        <v>0</v>
      </c>
      <c r="AB117" s="1102">
        <f>VLOOKUP(V117,'System Lookups'!$J$55:$P$64,3)</f>
        <v>0.1</v>
      </c>
      <c r="AC117" s="1103">
        <f>VLOOKUP(V117,'System Lookups'!$J$55:$P$64,4)</f>
        <v>0.2</v>
      </c>
      <c r="AD117" s="1104">
        <f t="shared" si="126"/>
        <v>0</v>
      </c>
      <c r="AE117" s="1094">
        <f>(IF(AD117&gt;VLOOKUP(V117,'System Lookups'!$J$55:$P$63,6),(((AD117-VLOOKUP(V117,'System Lookups'!$J$55:$P$63,6))*100)/20),0))+AF117</f>
        <v>0</v>
      </c>
      <c r="AF117" s="1121"/>
      <c r="AG117" s="1092">
        <f t="shared" si="127"/>
        <v>0</v>
      </c>
      <c r="AH117" s="1092" t="str">
        <f>IF(X117&lt;=Experience!$R$15+1,"","*")</f>
        <v/>
      </c>
      <c r="AI117" s="1092"/>
      <c r="AJ117" s="1080">
        <f t="shared" si="128"/>
        <v>0</v>
      </c>
      <c r="AK117" s="1080">
        <f t="shared" si="129"/>
        <v>0</v>
      </c>
      <c r="AL117" s="1080">
        <f t="shared" si="130"/>
        <v>0</v>
      </c>
      <c r="AM117" s="1092">
        <f t="shared" si="131"/>
        <v>0</v>
      </c>
      <c r="AN117" s="1080">
        <f t="shared" si="132"/>
        <v>1</v>
      </c>
      <c r="AO117" s="1080">
        <f t="shared" si="133"/>
        <v>0</v>
      </c>
      <c r="AP117" s="1080">
        <f t="shared" si="134"/>
        <v>1</v>
      </c>
      <c r="AQ117" s="1027">
        <f>VLOOKUP(V117,'System Lookups'!$J$55:$P$64,7)</f>
        <v>700</v>
      </c>
      <c r="AR117" s="1080" t="str">
        <f ca="1">IF(AND(NOT(ISBLANK(AJ117)),ISNA(MATCH(ROW(),'System Lookups'!$C$526:$C$539,0))),"Y","N")</f>
        <v>Y</v>
      </c>
      <c r="AS117" s="1080">
        <f t="shared" si="135"/>
        <v>0</v>
      </c>
      <c r="AU117" s="1080" t="e">
        <f t="shared" si="69"/>
        <v>#N/A</v>
      </c>
      <c r="AV117" s="1080" t="str">
        <f t="shared" si="70"/>
        <v>T</v>
      </c>
      <c r="AW117" s="1080">
        <f t="shared" si="71"/>
        <v>0</v>
      </c>
      <c r="AX117" s="1080">
        <f t="shared" si="72"/>
        <v>0</v>
      </c>
      <c r="AY117" s="1080">
        <f t="shared" si="73"/>
        <v>0</v>
      </c>
      <c r="AZ117" s="1080">
        <f t="shared" si="74"/>
        <v>0</v>
      </c>
      <c r="BA117" s="1080">
        <f t="shared" si="75"/>
        <v>0</v>
      </c>
      <c r="BB117" s="1080">
        <f>IF(AND(RACE=1,'Main Creation Page'!$E$6="Well",OR(ISNUMBER(FIND(Experience!$G$11,BE117)),ISNUMBER(FIND(Experience!$G$11,BF117)),ISNUMBER(FIND(Experience!$I$11,BE117)),ISNUMBER(FIND(Experience!$I$11,BF117)))),1,0)</f>
        <v>0</v>
      </c>
      <c r="BC117" s="1080" t="str">
        <f t="shared" si="80"/>
        <v>Lifting &amp; Carrying Weights</v>
      </c>
      <c r="BE117" s="1080" t="str">
        <f t="shared" si="76"/>
        <v/>
      </c>
      <c r="BF117" s="1080" t="str">
        <f t="shared" si="77"/>
        <v>Athletic Skills</v>
      </c>
    </row>
    <row r="118" spans="1:60" ht="11.1" customHeight="1" outlineLevel="1">
      <c r="A118" s="1119" t="s">
        <v>17</v>
      </c>
      <c r="B118" s="1094" t="s">
        <v>1942</v>
      </c>
      <c r="C118" s="1094"/>
      <c r="D118" s="1094"/>
      <c r="E118" s="1095" t="s">
        <v>5224</v>
      </c>
      <c r="F118" s="1095" t="s">
        <v>5224</v>
      </c>
      <c r="G118" s="1096">
        <v>0</v>
      </c>
      <c r="H118" s="1096" t="s">
        <v>5224</v>
      </c>
      <c r="I118" s="1096" t="s">
        <v>5224</v>
      </c>
      <c r="J118" s="1096" t="s">
        <v>5224</v>
      </c>
      <c r="K118" s="1096" t="s">
        <v>5224</v>
      </c>
      <c r="L118" s="1096" t="s">
        <v>5224</v>
      </c>
      <c r="M118" s="1096" t="s">
        <v>5224</v>
      </c>
      <c r="N118" s="1096" t="s">
        <v>4631</v>
      </c>
      <c r="O118" s="1097"/>
      <c r="P118" s="1113" t="s">
        <v>13</v>
      </c>
      <c r="Q118" s="1097"/>
      <c r="R118" s="1097"/>
      <c r="S118" s="1113" t="s">
        <v>6147</v>
      </c>
      <c r="T118" s="1113"/>
      <c r="U118" s="1027">
        <v>4</v>
      </c>
      <c r="V118" s="1027">
        <f t="shared" si="123"/>
        <v>5</v>
      </c>
      <c r="W118" s="1098" t="e">
        <f>IF(OR(I118&lt;&gt;"N",E118="C"),IF(AND(N118&lt;&gt;"T",ISNUMBER(FIND("V",I118))),1,0),NA())+IF(H118="Y",IF(AND(N118="P",ISNUMBER(FIND("Z",I118))),2,1),0)+IF(J118="Y",1,0)+IF(K118="Y",3,0)+IF(BE118="Lore",L118*2+Experience!$D$25,0)+IF(M118="Y",1,0)</f>
        <v>#N/A</v>
      </c>
      <c r="X118" s="1099"/>
      <c r="Y118" s="1100">
        <f ca="1">IF(P118="NS",IFERROR(INDIRECT(S118),NA()),VLOOKUP(INDIRECT(P118)+INDIRECT(S118),'System Lookups'!$A$3:$D$146,2))</f>
        <v>0</v>
      </c>
      <c r="Z118" s="1100">
        <f t="shared" si="124"/>
        <v>0</v>
      </c>
      <c r="AA118" s="1101">
        <f t="shared" ca="1" si="125"/>
        <v>0</v>
      </c>
      <c r="AB118" s="1102">
        <f>VLOOKUP(V118,'System Lookups'!$J$55:$P$64,3)</f>
        <v>0.1</v>
      </c>
      <c r="AC118" s="1103">
        <f>VLOOKUP(V118,'System Lookups'!$J$55:$P$64,4)</f>
        <v>0.2</v>
      </c>
      <c r="AD118" s="1104">
        <f t="shared" si="126"/>
        <v>0</v>
      </c>
      <c r="AE118" s="1094">
        <f>(IF(AD118&gt;VLOOKUP(V118,'System Lookups'!$J$55:$P$63,6),(((AD118-VLOOKUP(V118,'System Lookups'!$J$55:$P$63,6))*100)/20),0))+AF118</f>
        <v>0</v>
      </c>
      <c r="AF118" s="1121"/>
      <c r="AG118" s="1092">
        <f t="shared" si="127"/>
        <v>0</v>
      </c>
      <c r="AH118" s="1092" t="str">
        <f>IF(X118&lt;=Experience!$R$15+1,"","*")</f>
        <v/>
      </c>
      <c r="AI118" s="1092"/>
      <c r="AJ118" s="1080">
        <f t="shared" si="128"/>
        <v>0</v>
      </c>
      <c r="AK118" s="1080">
        <f t="shared" si="129"/>
        <v>0</v>
      </c>
      <c r="AL118" s="1080">
        <f t="shared" si="130"/>
        <v>0</v>
      </c>
      <c r="AM118" s="1092">
        <f t="shared" si="131"/>
        <v>0</v>
      </c>
      <c r="AN118" s="1080">
        <f t="shared" si="132"/>
        <v>1</v>
      </c>
      <c r="AO118" s="1080">
        <f t="shared" si="133"/>
        <v>0</v>
      </c>
      <c r="AP118" s="1080">
        <f t="shared" si="134"/>
        <v>1</v>
      </c>
      <c r="AQ118" s="1027">
        <f>VLOOKUP(V118,'System Lookups'!$J$55:$P$64,7)</f>
        <v>700</v>
      </c>
      <c r="AR118" s="1080" t="str">
        <f ca="1">IF(AND(NOT(ISBLANK(AJ118)),ISNA(MATCH(ROW(),'System Lookups'!$C$526:$C$539,0))),"Y","N")</f>
        <v>Y</v>
      </c>
      <c r="AS118" s="1080">
        <f t="shared" si="135"/>
        <v>0</v>
      </c>
      <c r="AU118" s="1080" t="e">
        <f t="shared" si="69"/>
        <v>#N/A</v>
      </c>
      <c r="AV118" s="1080" t="str">
        <f t="shared" si="70"/>
        <v>T</v>
      </c>
      <c r="AW118" s="1080">
        <f t="shared" si="71"/>
        <v>0</v>
      </c>
      <c r="AX118" s="1080">
        <f t="shared" si="72"/>
        <v>0</v>
      </c>
      <c r="AY118" s="1080">
        <f t="shared" si="73"/>
        <v>0</v>
      </c>
      <c r="AZ118" s="1080">
        <f t="shared" si="74"/>
        <v>0</v>
      </c>
      <c r="BA118" s="1080">
        <f t="shared" si="75"/>
        <v>0</v>
      </c>
      <c r="BB118" s="1080">
        <f>IF(AND(RACE=1,'Main Creation Page'!$E$6="Well",OR(ISNUMBER(FIND(Experience!$G$11,BE118)),ISNUMBER(FIND(Experience!$G$11,BF118)),ISNUMBER(FIND(Experience!$I$11,BE118)),ISNUMBER(FIND(Experience!$I$11,BF118)))),1,0)</f>
        <v>0</v>
      </c>
      <c r="BC118" s="1080" t="str">
        <f t="shared" si="80"/>
        <v>Running</v>
      </c>
      <c r="BE118" s="1080" t="str">
        <f t="shared" si="76"/>
        <v/>
      </c>
      <c r="BF118" s="1080" t="str">
        <f t="shared" si="77"/>
        <v>Athletic Skills</v>
      </c>
    </row>
    <row r="119" spans="1:60" ht="11.1" hidden="1" customHeight="1" outlineLevel="2">
      <c r="A119" s="1092" t="s">
        <v>1874</v>
      </c>
      <c r="B119" s="2641">
        <f>IF(ROUNDDOWN(IF(ISNA(Skills!$W$118),IF(ISBLANK(Skills!$X$118),0,Skills!$X$118/3),(+Skills!$W$118+Skills!$X$118)/3),0)&gt;3,3,ROUNDDOWN(IF(ISNA(Skills!$W$118),IF(ISBLANK(Skills!$X$118),0,Skills!$X$118/3),(+Skills!$W$118+Skills!$X$118)/3),0))</f>
        <v>0</v>
      </c>
      <c r="C119" s="2647"/>
      <c r="D119" s="1125" t="s">
        <v>1506</v>
      </c>
      <c r="J119" s="2593">
        <f>IF((+'Main Creation Page'!AD9*0.4+IF(ISNA(Skills!$W$118),IF(ISBLANK(Skills!$X$118),0,(Skills!$X$118*0.03)*'Main Creation Page'!AD9),((+Skills!$W$118+Skills!$X$118)*0.03)*'Main Creation Page'!AD9))&gt;(0.8*'Main Creation Page'!AD9),(0.8*'Main Creation Page'!AD9),+'Main Creation Page'!AD9*0.4+IF(ISNA(Skills!$W$118),IF(ISBLANK(Skills!$X$118),0,(Skills!$X$118*0.03)*'Main Creation Page'!AD9),((+Skills!$W$118+Skills!$X$118)*0.03)*'Main Creation Page'!AD9))</f>
        <v>66.61999999999999</v>
      </c>
      <c r="K119" s="2594"/>
      <c r="L119" s="1081" t="s">
        <v>5559</v>
      </c>
      <c r="N119" s="1097"/>
      <c r="O119" s="1097"/>
      <c r="P119" s="1097"/>
      <c r="Q119" s="1097"/>
      <c r="R119" s="1097"/>
      <c r="AF119" s="1079"/>
      <c r="AI119" s="1034"/>
      <c r="AR119" s="1080" t="str">
        <f ca="1">IF(AND(NOT(ISBLANK(AJ119)),ISNA(MATCH(ROW(),'System Lookups'!$C$526:$C$539,0))),"Y","N")</f>
        <v>N</v>
      </c>
      <c r="AU119" s="1080" t="e">
        <f t="shared" si="69"/>
        <v>#N/A</v>
      </c>
      <c r="AV119" s="1080" t="str">
        <f t="shared" si="70"/>
        <v/>
      </c>
      <c r="AW119" s="1080">
        <f t="shared" si="71"/>
        <v>0</v>
      </c>
      <c r="AX119" s="1080">
        <f t="shared" si="72"/>
        <v>0</v>
      </c>
      <c r="AY119" s="1080">
        <f t="shared" si="73"/>
        <v>0</v>
      </c>
      <c r="AZ119" s="1080">
        <f t="shared" si="74"/>
        <v>0</v>
      </c>
      <c r="BA119" s="1080">
        <f t="shared" si="75"/>
        <v>0</v>
      </c>
      <c r="BB119" s="1080">
        <f>IF(AND(RACE=1,'Main Creation Page'!$E$6="Well",OR(ISNUMBER(FIND(Experience!$G$11,BE119)),ISNUMBER(FIND(Experience!$G$11,BF119)),ISNUMBER(FIND(Experience!$I$11,BE119)),ISNUMBER(FIND(Experience!$I$11,BF119)))),1,0)</f>
        <v>0</v>
      </c>
      <c r="BC119" s="1080" t="e">
        <f t="shared" si="80"/>
        <v>#N/A</v>
      </c>
      <c r="BE119" s="1080" t="str">
        <f t="shared" si="76"/>
        <v/>
      </c>
      <c r="BF119" s="1080" t="str">
        <f t="shared" si="77"/>
        <v>Athletic Skills</v>
      </c>
    </row>
    <row r="120" spans="1:60" ht="11.1" hidden="1" customHeight="1" outlineLevel="2">
      <c r="A120" s="1028" t="s">
        <v>2069</v>
      </c>
      <c r="B120" s="2641">
        <f>IF(ROUNDDOWN(IF(ISNA(Skills!$W$118),IF(ISBLANK(Skills!$X$118),0,Skills!$X$118/3),(+Skills!$W$118+Skills!$X$118)/3),0)&gt;6,6,ROUNDDOWN(IF(ISNA(Skills!$W$118),IF(ISBLANK(Skills!$X$118),0,Skills!$X$118/3),(+Skills!$W$118+Skills!$X$118)/3),0))</f>
        <v>0</v>
      </c>
      <c r="C120" s="2647"/>
      <c r="D120" s="1125" t="s">
        <v>1506</v>
      </c>
      <c r="J120" s="2593">
        <f>IF((+'Main Creation Page'!AD9*0.2+IF(ISNA(Skills!$W$118),IF(ISBLANK(Skills!$X$118),0,(Skills!$X$118*0.03)*'Main Creation Page'!AD9),((+Skills!$W$118+Skills!$X$118)*0.03)*'Main Creation Page'!AD9))&gt;(0.8*'Main Creation Page'!AD9),(0.8*'Main Creation Page'!AD9),+'Main Creation Page'!AD9*0.2+IF(ISNA(Skills!$W$118),IF(ISBLANK(Skills!$X$118),0,(Skills!$X$118*0.03)*'Main Creation Page'!AD9),((+Skills!$W$118+Skills!$X$118)*0.03)*'Main Creation Page'!AD9))</f>
        <v>33.309999999999995</v>
      </c>
      <c r="K120" s="2594"/>
      <c r="L120" s="1081" t="s">
        <v>5559</v>
      </c>
      <c r="N120" s="1097"/>
      <c r="O120" s="1097"/>
      <c r="P120" s="1097"/>
      <c r="Q120" s="1097"/>
      <c r="R120" s="1097"/>
      <c r="AF120" s="1079"/>
      <c r="AI120" s="1034"/>
      <c r="AR120" s="1080" t="str">
        <f ca="1">IF(AND(NOT(ISBLANK(AJ120)),ISNA(MATCH(ROW(),'System Lookups'!$C$526:$C$539,0))),"Y","N")</f>
        <v>N</v>
      </c>
      <c r="AU120" s="1080" t="e">
        <f t="shared" si="69"/>
        <v>#N/A</v>
      </c>
      <c r="AV120" s="1080" t="str">
        <f t="shared" si="70"/>
        <v/>
      </c>
      <c r="AW120" s="1080">
        <f t="shared" si="71"/>
        <v>0</v>
      </c>
      <c r="AX120" s="1080">
        <f t="shared" si="72"/>
        <v>0</v>
      </c>
      <c r="AY120" s="1080">
        <f t="shared" si="73"/>
        <v>0</v>
      </c>
      <c r="AZ120" s="1080">
        <f t="shared" si="74"/>
        <v>0</v>
      </c>
      <c r="BA120" s="1080">
        <f t="shared" si="75"/>
        <v>0</v>
      </c>
      <c r="BB120" s="1080">
        <f>IF(AND(RACE=1,'Main Creation Page'!$E$6="Well",OR(ISNUMBER(FIND(Experience!$G$11,BE120)),ISNUMBER(FIND(Experience!$G$11,BF120)),ISNUMBER(FIND(Experience!$I$11,BE120)),ISNUMBER(FIND(Experience!$I$11,BF120)))),1,0)</f>
        <v>0</v>
      </c>
      <c r="BC120" s="1080" t="e">
        <f t="shared" si="80"/>
        <v>#N/A</v>
      </c>
      <c r="BE120" s="1080" t="str">
        <f t="shared" si="76"/>
        <v/>
      </c>
      <c r="BF120" s="1080" t="str">
        <f t="shared" si="77"/>
        <v>Athletic Skills</v>
      </c>
    </row>
    <row r="121" spans="1:60" ht="11.1" customHeight="1" outlineLevel="1" collapsed="1">
      <c r="A121" s="1123" t="s">
        <v>5568</v>
      </c>
      <c r="B121" s="1094"/>
      <c r="C121" s="1094"/>
      <c r="D121" s="1094"/>
      <c r="E121" s="1095" t="s">
        <v>5224</v>
      </c>
      <c r="F121" s="1095" t="s">
        <v>5224</v>
      </c>
      <c r="G121" s="1096">
        <v>0</v>
      </c>
      <c r="H121" s="1096" t="s">
        <v>5224</v>
      </c>
      <c r="I121" s="1096" t="s">
        <v>5224</v>
      </c>
      <c r="J121" s="1096" t="s">
        <v>5224</v>
      </c>
      <c r="K121" s="1096" t="s">
        <v>5224</v>
      </c>
      <c r="L121" s="1096" t="s">
        <v>5224</v>
      </c>
      <c r="M121" s="1096" t="s">
        <v>5224</v>
      </c>
      <c r="N121" s="1096" t="s">
        <v>4631</v>
      </c>
      <c r="O121" s="1028"/>
      <c r="P121" s="1028" t="s">
        <v>3611</v>
      </c>
      <c r="Q121" s="1097">
        <f t="shared" ref="Q121:Q123" ca="1" si="140">INDIRECT(P121)</f>
        <v>15</v>
      </c>
      <c r="R121" s="1097"/>
      <c r="S121" s="1028" t="s">
        <v>3614</v>
      </c>
      <c r="T121" s="1097">
        <f t="shared" ref="T121:T123" ca="1" si="141">INDIRECT(S121)</f>
        <v>15</v>
      </c>
      <c r="U121" s="1027">
        <v>5</v>
      </c>
      <c r="V121" s="1027">
        <f>IF(AP121+U121&gt;10,10,IF(AP121+U121&lt;1,1,AP121+U121))</f>
        <v>6</v>
      </c>
      <c r="W121" s="1098" t="e">
        <f>IF(OR(I121&lt;&gt;"N",E121="C"),IF(AND(N121&lt;&gt;"T",ISNUMBER(FIND("V",I121))),1,0),NA())+IF(H121="Y",IF(AND(N121="P",ISNUMBER(FIND("Z",I121))),2,1),0)+IF(J121="Y",1,0)+IF(K121="Y",3,0)+IF(BE121="Lore",L121*2+Experience!$D$25,0)+IF(M121="Y",1,0)</f>
        <v>#N/A</v>
      </c>
      <c r="X121" s="1099"/>
      <c r="Y121" s="1100">
        <f ca="1">IF(P121="NS",IFERROR(INDIRECT(S121),NA()),VLOOKUP(INDIRECT(P121)+INDIRECT(S121),'System Lookups'!$A$3:$D$146,2))</f>
        <v>0.06</v>
      </c>
      <c r="Z121" s="1100">
        <f>IF(ISNA(W121),0,W121*0.03)+IF(X121&gt;0,X121*0.03,0)+IF(AND(ISNA(W121),X121&lt;=0),0,IF(G121&gt;0,G121*0.07,0))</f>
        <v>0</v>
      </c>
      <c r="AA121" s="1101">
        <f ca="1">IF(ISNA(Y121),0,Y121)+Z121</f>
        <v>0.06</v>
      </c>
      <c r="AB121" s="1102">
        <f>VLOOKUP(V121,'System Lookups'!$J$55:$P$64,3)</f>
        <v>0.05</v>
      </c>
      <c r="AC121" s="1103">
        <f>VLOOKUP(V121,'System Lookups'!$J$55:$P$64,4)</f>
        <v>0.1</v>
      </c>
      <c r="AD121" s="1104">
        <f ca="1">IF(AND(ISBLANK(X121),ISNA(W121)),IF(B121="~",0,AB121+AA121+IF(BB121&gt;0,0.05,0)),AA121+AC121+IF(BB121&gt;0,0.05,0))</f>
        <v>0.11</v>
      </c>
      <c r="AE121" s="1094">
        <f ca="1">(IF(AD121&gt;VLOOKUP(V121,'System Lookups'!$J$55:$P$63,6),(((AD121-VLOOKUP(V121,'System Lookups'!$J$55:$P$63,6))*100)/20),0))+AF121</f>
        <v>0</v>
      </c>
      <c r="AF121" s="1121"/>
      <c r="AG121" s="1092">
        <f>IF(ISBLANK(X121),0,AQ121*X121+IF(ISNA(W121),1,0))</f>
        <v>0</v>
      </c>
      <c r="AH121" s="1092" t="str">
        <f>IF(X121&lt;=Experience!$R$15+1,"","*")</f>
        <v/>
      </c>
      <c r="AI121" s="1092"/>
      <c r="AJ121" s="1080">
        <f t="shared" ref="AJ121:AJ123" si="142">IF(ISNUMBER(FIND("R",F121)),-1,0)</f>
        <v>0</v>
      </c>
      <c r="AK121" s="1080">
        <f>IF(F121="s",-2,0)</f>
        <v>0</v>
      </c>
      <c r="AL121" s="1080">
        <f t="shared" ref="AL121:AL123" si="143">IF(AND(H121="Y",OR(N121="P",N121="S")),-1,0)</f>
        <v>0</v>
      </c>
      <c r="AM121" s="1092">
        <f>IF(J121="y",1,0)</f>
        <v>0</v>
      </c>
      <c r="AN121" s="1080">
        <f>IF(N121="P",-1,IF(N121="T",1,0))</f>
        <v>1</v>
      </c>
      <c r="AO121" s="1080">
        <f t="shared" ref="AO121:AO123" si="144">IF(ISNUMBER(FIND("Z",I121)),1,0)</f>
        <v>0</v>
      </c>
      <c r="AP121" s="1080">
        <f>SUM(AJ121:AN121)-AM121</f>
        <v>1</v>
      </c>
      <c r="AQ121" s="1027">
        <f>VLOOKUP(V121,'System Lookups'!$J$55:$P$64,7)</f>
        <v>800</v>
      </c>
      <c r="AR121" s="1080" t="str">
        <f ca="1">IF(AND(NOT(ISBLANK(AJ121)),ISNA(MATCH(ROW(),'System Lookups'!$C$526:$C$539,0))),"Y","N")</f>
        <v>Y</v>
      </c>
      <c r="AS121" s="1080">
        <f>AG121-AI121</f>
        <v>0</v>
      </c>
      <c r="AU121" s="1080" t="e">
        <f t="shared" si="69"/>
        <v>#N/A</v>
      </c>
      <c r="AV121" s="1080" t="str">
        <f t="shared" si="70"/>
        <v>T</v>
      </c>
      <c r="AW121" s="1080">
        <f t="shared" si="71"/>
        <v>0</v>
      </c>
      <c r="AX121" s="1080">
        <f t="shared" si="72"/>
        <v>0</v>
      </c>
      <c r="AY121" s="1080">
        <f t="shared" si="73"/>
        <v>0</v>
      </c>
      <c r="AZ121" s="1080">
        <f t="shared" si="74"/>
        <v>0</v>
      </c>
      <c r="BA121" s="1080">
        <f t="shared" si="75"/>
        <v>0</v>
      </c>
      <c r="BB121" s="1080">
        <f>IF(AND(RACE=1,'Main Creation Page'!$E$6="Well",OR(ISNUMBER(FIND(Experience!$G$11,BE121)),ISNUMBER(FIND(Experience!$G$11,BF121)),ISNUMBER(FIND(Experience!$I$11,BE121)),ISNUMBER(FIND(Experience!$I$11,BF121)))),1,0)</f>
        <v>0</v>
      </c>
      <c r="BC121" s="1080" t="str">
        <f t="shared" si="80"/>
        <v>Skiing</v>
      </c>
      <c r="BE121" s="1080" t="str">
        <f t="shared" si="76"/>
        <v/>
      </c>
      <c r="BF121" s="1080" t="str">
        <f t="shared" si="77"/>
        <v>Athletic Skills</v>
      </c>
    </row>
    <row r="122" spans="1:60" ht="11.1" customHeight="1" outlineLevel="1">
      <c r="A122" s="1126" t="s">
        <v>5219</v>
      </c>
      <c r="B122" s="1094"/>
      <c r="C122" s="1094"/>
      <c r="D122" s="1094"/>
      <c r="E122" s="1095" t="s">
        <v>178</v>
      </c>
      <c r="F122" s="1095" t="s">
        <v>5224</v>
      </c>
      <c r="G122" s="1096">
        <v>0</v>
      </c>
      <c r="H122" s="1096" t="s">
        <v>5224</v>
      </c>
      <c r="I122" s="1096" t="s">
        <v>5224</v>
      </c>
      <c r="J122" s="1096" t="s">
        <v>5224</v>
      </c>
      <c r="K122" s="1096" t="s">
        <v>5224</v>
      </c>
      <c r="L122" s="1096" t="s">
        <v>5224</v>
      </c>
      <c r="M122" s="1096" t="s">
        <v>5224</v>
      </c>
      <c r="N122" s="1096" t="s">
        <v>4627</v>
      </c>
      <c r="O122" s="1097"/>
      <c r="P122" s="1097" t="s">
        <v>3615</v>
      </c>
      <c r="Q122" s="1097">
        <f t="shared" ca="1" si="140"/>
        <v>20</v>
      </c>
      <c r="R122" s="1097"/>
      <c r="S122" s="1028" t="s">
        <v>3614</v>
      </c>
      <c r="T122" s="1097">
        <f t="shared" ca="1" si="141"/>
        <v>15</v>
      </c>
      <c r="U122" s="1027">
        <f>IF(AND(OR('Main Creation Page'!AB2=76,'Main Creation Page'!AB2=72),'Main Creation Page'!C26&gt;75),1,3)</f>
        <v>3</v>
      </c>
      <c r="V122" s="1027">
        <f>IF(AP122+U122&gt;10,10,IF(AP122+U122&lt;1,1,AP122+U122))</f>
        <v>2</v>
      </c>
      <c r="W122" s="1098">
        <f>IF(OR(I122&lt;&gt;"N",E122="C"),IF(AND(N122&lt;&gt;"T",ISNUMBER(FIND("V",I122))),1,0),NA())+IF(H122="Y",IF(AND(N122="P",ISNUMBER(FIND("Z",I122))),2,1),0)+IF(J122="Y",1,0)+IF(K122="Y",3,0)+IF(BE122="Lore",L122*2+Experience!$D$25,0)+IF(M122="Y",1,0)</f>
        <v>0</v>
      </c>
      <c r="X122" s="1099"/>
      <c r="Y122" s="1100">
        <f ca="1">IF(P122="NS",IFERROR(INDIRECT(S122),NA()),VLOOKUP(INDIRECT(P122)+INDIRECT(S122),'System Lookups'!$A$3:$D$146,2))</f>
        <v>0.12</v>
      </c>
      <c r="Z122" s="1100">
        <f>IF(ISNA(W122),0,W122*0.03)+IF(X122&gt;0,X122*0.03,0)+IF(AND(ISNA(W122),X122&lt;=0),0,IF(G122&gt;0,G122*0.07,0))</f>
        <v>0</v>
      </c>
      <c r="AA122" s="1101">
        <f ca="1">IF(ISNA(Y122),0,Y122)+Z122</f>
        <v>0.12</v>
      </c>
      <c r="AB122" s="1102">
        <f>VLOOKUP(V122,'System Lookups'!$J$55:$P$64,3)</f>
        <v>0.4</v>
      </c>
      <c r="AC122" s="1103">
        <f>VLOOKUP(V122,'System Lookups'!$J$55:$P$64,4)</f>
        <v>0.5</v>
      </c>
      <c r="AD122" s="1104">
        <f ca="1">IF(AND(ISBLANK(X122),ISNA(W122)),IF(B122="~",0,AB122+AA122+IF(BB122&gt;0,0.05,0)),AA122+AC122+IF(BB122&gt;0,0.05,0))</f>
        <v>0.62</v>
      </c>
      <c r="AE122" s="1094">
        <f ca="1">(IF(AD122&gt;VLOOKUP(V122,'System Lookups'!$J$55:$P$63,6),(((AD122-VLOOKUP(V122,'System Lookups'!$J$55:$P$63,6))*100)/20),0))+AF122</f>
        <v>0</v>
      </c>
      <c r="AF122" s="1121"/>
      <c r="AG122" s="1092">
        <f>IF(ISBLANK(X122),0,AQ122*X122+IF(ISNA(W122),1,0))</f>
        <v>0</v>
      </c>
      <c r="AH122" s="1092" t="str">
        <f>IF(X122&lt;=Experience!$R$15+1,"","*")</f>
        <v/>
      </c>
      <c r="AI122" s="1092"/>
      <c r="AJ122" s="1080">
        <f t="shared" si="142"/>
        <v>0</v>
      </c>
      <c r="AK122" s="1080">
        <f>IF(F122="s",-2,0)</f>
        <v>0</v>
      </c>
      <c r="AL122" s="1080">
        <f t="shared" si="143"/>
        <v>0</v>
      </c>
      <c r="AM122" s="1092">
        <f>IF(J122="y",1,0)</f>
        <v>0</v>
      </c>
      <c r="AN122" s="1080">
        <f>IF(N122="P",-1,IF(N122="T",1,0))</f>
        <v>-1</v>
      </c>
      <c r="AO122" s="1080">
        <f t="shared" si="144"/>
        <v>0</v>
      </c>
      <c r="AP122" s="1080">
        <f>SUM(AJ122:AN122)-AM122</f>
        <v>-1</v>
      </c>
      <c r="AQ122" s="1027">
        <f>VLOOKUP(V122,'System Lookups'!$J$55:$P$64,7)</f>
        <v>400</v>
      </c>
      <c r="AR122" s="1080" t="str">
        <f ca="1">IF(AND(NOT(ISBLANK(AJ122)),ISNA(MATCH(ROW(),'System Lookups'!$C$526:$C$539,0))),"Y","N")</f>
        <v>N</v>
      </c>
      <c r="AS122" s="1080">
        <f>AG122-AI122</f>
        <v>0</v>
      </c>
      <c r="AU122" s="1080">
        <f t="shared" si="69"/>
        <v>0</v>
      </c>
      <c r="AV122" s="1080" t="str">
        <f t="shared" si="70"/>
        <v>CP</v>
      </c>
      <c r="AW122" s="1080">
        <f t="shared" si="71"/>
        <v>0</v>
      </c>
      <c r="AX122" s="1080">
        <f t="shared" si="72"/>
        <v>0</v>
      </c>
      <c r="AY122" s="1080">
        <f t="shared" si="73"/>
        <v>0</v>
      </c>
      <c r="AZ122" s="1080">
        <f t="shared" si="74"/>
        <v>0</v>
      </c>
      <c r="BA122" s="1080">
        <f t="shared" si="75"/>
        <v>0</v>
      </c>
      <c r="BB122" s="1080">
        <f>IF(AND(RACE=1,'Main Creation Page'!$E$6="Well",OR(ISNUMBER(FIND(Experience!$G$11,BE122)),ISNUMBER(FIND(Experience!$G$11,BF122)),ISNUMBER(FIND(Experience!$I$11,BE122)),ISNUMBER(FIND(Experience!$I$11,BF122)))),1,0)</f>
        <v>0</v>
      </c>
      <c r="BC122" s="1080" t="str">
        <f t="shared" si="80"/>
        <v>STAMINA</v>
      </c>
      <c r="BE122" s="1080" t="str">
        <f t="shared" si="76"/>
        <v/>
      </c>
      <c r="BF122" s="1080" t="str">
        <f t="shared" si="77"/>
        <v>Athletic Skills</v>
      </c>
    </row>
    <row r="123" spans="1:60" ht="11.1" customHeight="1" outlineLevel="1">
      <c r="A123" s="1117" t="s">
        <v>18</v>
      </c>
      <c r="B123" s="1094"/>
      <c r="C123" s="1094"/>
      <c r="D123" s="1094"/>
      <c r="E123" s="1095" t="s">
        <v>5224</v>
      </c>
      <c r="F123" s="1095" t="s">
        <v>5224</v>
      </c>
      <c r="G123" s="1096">
        <v>0</v>
      </c>
      <c r="H123" s="1096" t="s">
        <v>5224</v>
      </c>
      <c r="I123" s="1096" t="s">
        <v>5224</v>
      </c>
      <c r="J123" s="1096" t="s">
        <v>5224</v>
      </c>
      <c r="K123" s="1096" t="s">
        <v>5224</v>
      </c>
      <c r="L123" s="1096" t="s">
        <v>5224</v>
      </c>
      <c r="M123" s="1096" t="s">
        <v>5224</v>
      </c>
      <c r="N123" s="1096" t="s">
        <v>4631</v>
      </c>
      <c r="O123" s="1097"/>
      <c r="P123" s="1097" t="s">
        <v>3615</v>
      </c>
      <c r="Q123" s="1097">
        <f t="shared" ca="1" si="140"/>
        <v>20</v>
      </c>
      <c r="R123" s="1097"/>
      <c r="S123" s="1028" t="s">
        <v>3614</v>
      </c>
      <c r="T123" s="1097">
        <f t="shared" ca="1" si="141"/>
        <v>15</v>
      </c>
      <c r="U123" s="1027">
        <v>3</v>
      </c>
      <c r="V123" s="1027">
        <f>IF(AP123+U123&gt;10,10,IF(AP123+U123&lt;1,1,AP123+U123))</f>
        <v>4</v>
      </c>
      <c r="W123" s="1098" t="e">
        <f>IF(OR(I123&lt;&gt;"N",E123="C"),IF(AND(N123&lt;&gt;"T",ISNUMBER(FIND("V",I123))),1,0),NA())+IF(H123="Y",IF(AND(N123="P",ISNUMBER(FIND("Z",I123))),2,1),0)+IF(J123="Y",1,0)+IF(K123="Y",3,0)+IF(BE123="Lore",L123*2+Experience!$D$25,0)+IF(M123="Y",1,0)</f>
        <v>#N/A</v>
      </c>
      <c r="X123" s="1099"/>
      <c r="Y123" s="1100">
        <f ca="1">IF(P123="NS",IFERROR(INDIRECT(S123),NA()),VLOOKUP(INDIRECT(P123)+INDIRECT(S123),'System Lookups'!$A$3:$D$146,2))</f>
        <v>0.12</v>
      </c>
      <c r="Z123" s="1100">
        <f>IF(ISNA(W123),0,W123*0.03)+IF(X123&gt;0,X123*0.03,0)+IF(AND(ISNA(W123),X123&lt;=0),0,IF(G123&gt;0,G123*0.07,0))</f>
        <v>0</v>
      </c>
      <c r="AA123" s="1101">
        <f ca="1">IF(ISNA(Y123),0,Y123)+Z123</f>
        <v>0.12</v>
      </c>
      <c r="AB123" s="1102">
        <f>VLOOKUP(V123,'System Lookups'!$J$55:$P$64,3)</f>
        <v>0.2</v>
      </c>
      <c r="AC123" s="1103">
        <f>VLOOKUP(V123,'System Lookups'!$J$55:$P$64,4)</f>
        <v>0.3</v>
      </c>
      <c r="AD123" s="1104">
        <f ca="1">IF(AND(ISBLANK(X123),ISNA(W123)),IF(B123="~",0,AB123+AA123+IF(BB123&gt;0,0.05,0)),AA123+AC123+IF(BB123&gt;0,0.05,0))</f>
        <v>0.32</v>
      </c>
      <c r="AE123" s="1094">
        <f ca="1">(IF(AD123&gt;VLOOKUP(V123,'System Lookups'!$J$55:$P$63,6),(((AD123-VLOOKUP(V123,'System Lookups'!$J$55:$P$63,6))*100)/20),0))+AF123</f>
        <v>0</v>
      </c>
      <c r="AF123" s="1121"/>
      <c r="AG123" s="1092">
        <f>IF(ISBLANK(X123),0,AQ123*X123+IF(ISNA(W123),1,0))</f>
        <v>0</v>
      </c>
      <c r="AH123" s="1092" t="str">
        <f>IF(X123&lt;=Experience!$R$15+1,"","*")</f>
        <v/>
      </c>
      <c r="AI123" s="1092"/>
      <c r="AJ123" s="1080">
        <f t="shared" si="142"/>
        <v>0</v>
      </c>
      <c r="AK123" s="1080">
        <f>IF(F123="s",-2,0)</f>
        <v>0</v>
      </c>
      <c r="AL123" s="1080">
        <f t="shared" si="143"/>
        <v>0</v>
      </c>
      <c r="AM123" s="1092">
        <f>IF(J123="y",1,0)</f>
        <v>0</v>
      </c>
      <c r="AN123" s="1080">
        <f>IF(N123="P",-1,IF(N123="T",1,0))</f>
        <v>1</v>
      </c>
      <c r="AO123" s="1080">
        <f t="shared" si="144"/>
        <v>0</v>
      </c>
      <c r="AP123" s="1080">
        <f>SUM(AJ123:AN123)-AM123</f>
        <v>1</v>
      </c>
      <c r="AQ123" s="1027">
        <f>VLOOKUP(V123,'System Lookups'!$J$55:$P$64,7)</f>
        <v>600</v>
      </c>
      <c r="AR123" s="1080" t="str">
        <f ca="1">IF(AND(NOT(ISBLANK(AJ123)),ISNA(MATCH(ROW(),'System Lookups'!$C$526:$C$539,0))),"Y","N")</f>
        <v>Y</v>
      </c>
      <c r="AS123" s="1080">
        <f>AG123-AI123</f>
        <v>0</v>
      </c>
      <c r="AU123" s="1080" t="e">
        <f t="shared" si="69"/>
        <v>#N/A</v>
      </c>
      <c r="AV123" s="1080" t="str">
        <f t="shared" ref="AV123:AV186" si="145">IF(ISNUMBER(U123),CONCATENATE(IF(E123="C","C",""),IF(H123="Y","M",""),N123,IF(ISNUMBER(FIND("F",I123)),"Bk",""),IF(ISNUMBER(FIND("Z",I123)),"Zm",""),IF(J123="Y","L",""),IF(OR(K123="Y",AND(ISNUMBER(L123),L123&gt;0),M123="Y"),"Sa","")),"")</f>
        <v>T</v>
      </c>
      <c r="AW123" s="1080">
        <f t="shared" si="71"/>
        <v>0</v>
      </c>
      <c r="AX123" s="1080">
        <f t="shared" si="72"/>
        <v>0</v>
      </c>
      <c r="AY123" s="1080">
        <f t="shared" si="73"/>
        <v>0</v>
      </c>
      <c r="AZ123" s="1080">
        <f t="shared" si="74"/>
        <v>0</v>
      </c>
      <c r="BA123" s="1080">
        <f t="shared" si="75"/>
        <v>0</v>
      </c>
      <c r="BB123" s="1080">
        <f>IF(AND(RACE=1,'Main Creation Page'!$E$6="Well",OR(ISNUMBER(FIND(Experience!$G$11,BE123)),ISNUMBER(FIND(Experience!$G$11,BF123)),ISNUMBER(FIND(Experience!$I$11,BE123)),ISNUMBER(FIND(Experience!$I$11,BF123)))),1,0)</f>
        <v>0</v>
      </c>
      <c r="BC123" s="1080" t="str">
        <f t="shared" si="80"/>
        <v>Swimming</v>
      </c>
      <c r="BE123" s="1080" t="str">
        <f t="shared" ref="BE123:BE186" si="146">IF(OR(ISNUMBER(FIND("Lore",BF123)),ISNUMBER(FIND("Materia",BF123)),ISNUMBER(FIND("Lore",BD123))),"Lore","")</f>
        <v/>
      </c>
      <c r="BF123" s="1080" t="str">
        <f t="shared" ref="BF123:BF186" si="147">IF(ISBLANK(AC123),IF(OR(ISNA(BC123),ISBLANK(BC123)),BF122,BC123),BF122)</f>
        <v>Athletic Skills</v>
      </c>
    </row>
    <row r="124" spans="1:60" ht="11.1" hidden="1" customHeight="1" outlineLevel="2">
      <c r="A124" s="1028" t="s">
        <v>1507</v>
      </c>
      <c r="B124" s="2641">
        <f>VLOOKUP(('Main Creation Page'!E$16+'Main Creation Page'!E$12),'System Lookups'!$P$85:$R$102,3)</f>
        <v>800</v>
      </c>
      <c r="C124" s="2645"/>
      <c r="D124" s="2643"/>
      <c r="E124" s="1127" t="s">
        <v>1508</v>
      </c>
      <c r="J124" s="2593">
        <f>B124*'Main Creation Page'!AC$6</f>
        <v>29600</v>
      </c>
      <c r="K124" s="2605"/>
      <c r="L124" s="2606"/>
      <c r="M124" s="2607"/>
      <c r="N124" s="1081" t="s">
        <v>4744</v>
      </c>
      <c r="W124" s="1112"/>
      <c r="AF124" s="1079"/>
      <c r="AH124" s="1092"/>
      <c r="AI124" s="1092"/>
      <c r="AM124" s="1092"/>
      <c r="AQ124" s="1027"/>
      <c r="AR124" s="1080" t="str">
        <f ca="1">IF(AND(NOT(ISBLANK(AJ124)),ISNA(MATCH(ROW(),'System Lookups'!$C$526:$C$539,0))),"Y","N")</f>
        <v>N</v>
      </c>
      <c r="AU124" s="1080" t="e">
        <f t="shared" ref="AU124:AU187" si="148">IF(AND(NOT(ISNUMBER($W124)),ISBLANK($X124)),NA(),IFERROR($W124+$X124,$X124))</f>
        <v>#N/A</v>
      </c>
      <c r="AV124" s="1080" t="str">
        <f>IF(ISNUMBER(U124),CONCATENATE(IF(E124="C","C",""),IF(H124="Y","M",""),#REF!,IF(ISNUMBER(FIND("F",J124)),"Bk",""),IF(ISNUMBER(FIND("Z",J124)),"Zm",""),IF(K124="Y","L",""),IF(OR(L124="Y",AND(ISNUMBER(M124),M124&gt;0),N124="Y"),"Sa","")),"")</f>
        <v/>
      </c>
      <c r="AW124" s="1080">
        <f t="shared" ref="AW124" si="149">IF(OR(I124="N",ISBLANK(I124)),0,1)</f>
        <v>0</v>
      </c>
      <c r="AX124" s="1080">
        <f t="shared" si="72"/>
        <v>0</v>
      </c>
      <c r="AY124" s="1080">
        <f t="shared" si="73"/>
        <v>0</v>
      </c>
      <c r="AZ124" s="1080">
        <f t="shared" si="74"/>
        <v>0</v>
      </c>
      <c r="BA124" s="1080">
        <f t="shared" ref="BA124:BA187" si="150">IF($N124&lt;&gt;"T",IF(OR(ISNUMBER(FIND("C",$I124)),ISNUMBER(FIND("D",$I124)),ISNUMBER(FIND("E",$I124)),ISNUMBER(FIND("F",$I124)),ISNUMBER(FIND("L",$I124)),ISNUMBER(FIND("R",$I124)),ISNUMBER(FIND("S",$I124))),1,0),0)</f>
        <v>0</v>
      </c>
      <c r="BB124" s="1080">
        <f>IF(AND(RACE=1,'Main Creation Page'!$E$6="Well",OR(ISNUMBER(FIND(Experience!$G$11,BE124)),ISNUMBER(FIND(Experience!$G$11,BF124)),ISNUMBER(FIND(Experience!$I$11,BE124)),ISNUMBER(FIND(Experience!$I$11,BF124)))),1,0)</f>
        <v>0</v>
      </c>
      <c r="BC124" s="1080" t="e">
        <f t="shared" si="80"/>
        <v>#N/A</v>
      </c>
      <c r="BE124" s="1080" t="str">
        <f t="shared" si="146"/>
        <v/>
      </c>
      <c r="BF124" s="1080" t="str">
        <f t="shared" si="147"/>
        <v>Athletic Skills</v>
      </c>
    </row>
    <row r="125" spans="1:60" ht="11.1" hidden="1" customHeight="1" outlineLevel="2">
      <c r="A125" s="1128" t="s">
        <v>163</v>
      </c>
      <c r="B125" s="2655">
        <f>VLOOKUP('Main Creation Page'!$E$12,'System Lookups'!$F$53:$H$60,2)</f>
        <v>90</v>
      </c>
      <c r="C125" s="2644"/>
      <c r="D125" s="2643"/>
      <c r="E125" s="2655">
        <f>VLOOKUP('Main Creation Page'!$E$12,'System Lookups'!$F$53:$H$60,3)</f>
        <v>60</v>
      </c>
      <c r="F125" s="2607"/>
      <c r="G125" s="1083" t="s">
        <v>5560</v>
      </c>
      <c r="K125" s="1027"/>
      <c r="O125" s="1027"/>
      <c r="P125" s="1027"/>
      <c r="Q125" s="1097"/>
      <c r="R125" s="1097"/>
      <c r="V125" s="1027"/>
      <c r="W125" s="1112"/>
      <c r="AE125" s="1094"/>
      <c r="AF125" s="1121"/>
      <c r="AG125" s="1092"/>
      <c r="AH125" s="1092"/>
      <c r="AI125" s="1092"/>
      <c r="AM125" s="1092"/>
      <c r="AQ125" s="1027"/>
      <c r="AR125" s="1080" t="str">
        <f ca="1">IF(AND(NOT(ISBLANK(AJ125)),ISNA(MATCH(ROW(),'System Lookups'!$C$526:$C$539,0))),"Y","N")</f>
        <v>N</v>
      </c>
      <c r="AU125" s="1080" t="e">
        <f t="shared" si="148"/>
        <v>#N/A</v>
      </c>
      <c r="AV125" s="1080" t="str">
        <f t="shared" si="145"/>
        <v/>
      </c>
      <c r="AW125" s="1080">
        <f t="shared" ref="AW125:AW187" si="151">IF(OR(I125="N",ISBLANK(I125)),0,1)</f>
        <v>0</v>
      </c>
      <c r="AX125" s="1080">
        <f t="shared" ref="AX125:AX187" si="152">IF($N125="P",IF(ISNUMBER(FIND("V",$I125)),1,0),0)</f>
        <v>0</v>
      </c>
      <c r="AY125" s="1080">
        <f t="shared" ref="AY125:AY187" si="153">IF($N125="S",IF(ISNUMBER(FIND("V",$I125)),1,0),0)</f>
        <v>0</v>
      </c>
      <c r="AZ125" s="1080">
        <f t="shared" ref="AZ125:AZ187" si="154">IF($N125="T",IF(ISNUMBER(FIND("V",$I125)),1,0),0)</f>
        <v>0</v>
      </c>
      <c r="BA125" s="1080">
        <f t="shared" si="150"/>
        <v>0</v>
      </c>
      <c r="BB125" s="1080">
        <f>IF(AND(RACE=1,'Main Creation Page'!$E$6="Well",OR(ISNUMBER(FIND(Experience!$G$11,BE125)),ISNUMBER(FIND(Experience!$G$11,BF125)),ISNUMBER(FIND(Experience!$I$11,BE125)),ISNUMBER(FIND(Experience!$I$11,BF125)))),1,0)</f>
        <v>0</v>
      </c>
      <c r="BC125" s="1080" t="e">
        <f t="shared" si="80"/>
        <v>#N/A</v>
      </c>
      <c r="BE125" s="1080" t="str">
        <f t="shared" si="146"/>
        <v/>
      </c>
      <c r="BF125" s="1080" t="str">
        <f t="shared" si="147"/>
        <v>Athletic Skills</v>
      </c>
    </row>
    <row r="126" spans="1:60" ht="11.1" customHeight="1" outlineLevel="1" collapsed="1">
      <c r="A126" s="1123" t="s">
        <v>2042</v>
      </c>
      <c r="B126" s="1094"/>
      <c r="C126" s="1094"/>
      <c r="D126" s="1094"/>
      <c r="E126" s="1095" t="s">
        <v>5224</v>
      </c>
      <c r="F126" s="1095" t="s">
        <v>5224</v>
      </c>
      <c r="G126" s="1096">
        <v>0</v>
      </c>
      <c r="H126" s="1096" t="s">
        <v>5224</v>
      </c>
      <c r="I126" s="1096" t="s">
        <v>5224</v>
      </c>
      <c r="J126" s="1096" t="s">
        <v>5224</v>
      </c>
      <c r="K126" s="1096" t="s">
        <v>5224</v>
      </c>
      <c r="L126" s="1096" t="s">
        <v>5224</v>
      </c>
      <c r="M126" s="1096" t="s">
        <v>5224</v>
      </c>
      <c r="N126" s="1096" t="s">
        <v>4631</v>
      </c>
      <c r="O126" s="1097"/>
      <c r="P126" s="1097" t="s">
        <v>3615</v>
      </c>
      <c r="Q126" s="1097">
        <f t="shared" ref="Q126:Q127" ca="1" si="155">INDIRECT(P126)</f>
        <v>20</v>
      </c>
      <c r="R126" s="1097"/>
      <c r="S126" s="1028" t="s">
        <v>3611</v>
      </c>
      <c r="T126" s="1097">
        <f t="shared" ref="T126:T127" ca="1" si="156">INDIRECT(S126)</f>
        <v>15</v>
      </c>
      <c r="U126" s="1027">
        <v>3</v>
      </c>
      <c r="V126" s="1027">
        <f>IF(AP126+U126&gt;10,10,IF(AP126+U126&lt;1,1,AP126+U126))</f>
        <v>4</v>
      </c>
      <c r="W126" s="1098" t="e">
        <f>IF(OR(I126&lt;&gt;"N",E126="C"),IF(AND(N126&lt;&gt;"T",ISNUMBER(FIND("V",I126))),1,0),NA())+IF(H126="Y",IF(AND(N126="P",ISNUMBER(FIND("Z",I126))),2,1),0)+IF(J126="Y",1,0)+IF(K126="Y",3,0)+IF(BE126="Lore",L126*2+Experience!$D$25,0)+IF(M126="Y",1,0)</f>
        <v>#N/A</v>
      </c>
      <c r="X126" s="1099"/>
      <c r="Y126" s="1100">
        <f ca="1">IF(P126="NS",IFERROR(INDIRECT(S126),NA()),VLOOKUP(INDIRECT(P126)+INDIRECT(S126),'System Lookups'!$A$3:$D$146,2))</f>
        <v>0.12</v>
      </c>
      <c r="Z126" s="1100">
        <f>IF(ISNA(W126),0,W126*0.03)+IF(X126&gt;0,X126*0.03,0)+IF(AND(ISNA(W126),X126&lt;=0),0,IF(G126&gt;0,G126*0.07,0))</f>
        <v>0</v>
      </c>
      <c r="AA126" s="1101">
        <f ca="1">IF(ISNA(Y126),0,Y126)+Z126</f>
        <v>0.12</v>
      </c>
      <c r="AB126" s="1102">
        <f>VLOOKUP(V126,'System Lookups'!$J$55:$P$64,3)</f>
        <v>0.2</v>
      </c>
      <c r="AC126" s="1103">
        <f>VLOOKUP(V126,'System Lookups'!$J$55:$P$64,4)</f>
        <v>0.3</v>
      </c>
      <c r="AD126" s="1104">
        <f ca="1">IF(AND(ISBLANK(X126),ISNA(W126)),IF(B126="~",0,AB126+AA126+IF(BB126&gt;0,0.05,0)),AA126+AC126+IF(BB126&gt;0,0.05,0))</f>
        <v>0.32</v>
      </c>
      <c r="AE126" s="1094">
        <f ca="1">(IF(AD126&gt;VLOOKUP(V126,'System Lookups'!$J$55:$P$63,6),(((AD126-VLOOKUP(V126,'System Lookups'!$J$55:$P$63,6))*100)/20),0))+AF126</f>
        <v>0</v>
      </c>
      <c r="AF126" s="1121"/>
      <c r="AG126" s="1092">
        <f>IF(ISBLANK(X126),0,AQ126*X126+IF(ISNA(W126),1,0))</f>
        <v>0</v>
      </c>
      <c r="AH126" s="1092" t="str">
        <f>IF(X126&lt;=Experience!$R$15+1,"","*")</f>
        <v/>
      </c>
      <c r="AI126" s="1092"/>
      <c r="AJ126" s="1080">
        <f t="shared" ref="AJ126:AJ127" si="157">IF(ISNUMBER(FIND("R",F126)),-1,0)</f>
        <v>0</v>
      </c>
      <c r="AK126" s="1080">
        <f>IF(F126="s",-2,0)</f>
        <v>0</v>
      </c>
      <c r="AL126" s="1080">
        <f t="shared" ref="AL126:AL127" si="158">IF(AND(H126="Y",OR(N126="P",N126="S")),-1,0)</f>
        <v>0</v>
      </c>
      <c r="AM126" s="1092">
        <f>IF(J126="y",1,0)</f>
        <v>0</v>
      </c>
      <c r="AN126" s="1080">
        <f>IF(N126="P",-1,IF(N126="T",1,0))</f>
        <v>1</v>
      </c>
      <c r="AO126" s="1080">
        <f t="shared" ref="AO126:AO127" si="159">IF(ISNUMBER(FIND("Z",I126)),1,0)</f>
        <v>0</v>
      </c>
      <c r="AP126" s="1080">
        <f>SUM(AJ126:AN126)-AM126</f>
        <v>1</v>
      </c>
      <c r="AQ126" s="1027">
        <f>VLOOKUP(V126,'System Lookups'!$J$55:$P$64,7)</f>
        <v>600</v>
      </c>
      <c r="AR126" s="1080" t="str">
        <f ca="1">IF(AND(NOT(ISBLANK(AJ126)),ISNA(MATCH(ROW(),'System Lookups'!$C$526:$C$539,0))),"Y","N")</f>
        <v>Y</v>
      </c>
      <c r="AS126" s="1080">
        <f>AG126-AI126</f>
        <v>0</v>
      </c>
      <c r="AU126" s="1080" t="e">
        <f t="shared" si="148"/>
        <v>#N/A</v>
      </c>
      <c r="AV126" s="1080" t="str">
        <f t="shared" si="145"/>
        <v>T</v>
      </c>
      <c r="AW126" s="1080">
        <f t="shared" si="151"/>
        <v>0</v>
      </c>
      <c r="AX126" s="1080">
        <f t="shared" si="152"/>
        <v>0</v>
      </c>
      <c r="AY126" s="1080">
        <f t="shared" si="153"/>
        <v>0</v>
      </c>
      <c r="AZ126" s="1080">
        <f t="shared" si="154"/>
        <v>0</v>
      </c>
      <c r="BA126" s="1080">
        <f t="shared" si="150"/>
        <v>0</v>
      </c>
      <c r="BB126" s="1080">
        <f>IF(AND(RACE=1,'Main Creation Page'!$E$6="Well",OR(ISNUMBER(FIND(Experience!$G$11,BE126)),ISNUMBER(FIND(Experience!$G$11,BF126)),ISNUMBER(FIND(Experience!$I$11,BE126)),ISNUMBER(FIND(Experience!$I$11,BF126)))),1,0)</f>
        <v>0</v>
      </c>
      <c r="BC126" s="1080" t="str">
        <f t="shared" si="80"/>
        <v>Tumbling</v>
      </c>
      <c r="BE126" s="1080" t="str">
        <f t="shared" si="146"/>
        <v/>
      </c>
      <c r="BF126" s="1080" t="str">
        <f t="shared" si="147"/>
        <v>Athletic Skills</v>
      </c>
    </row>
    <row r="127" spans="1:60" ht="11.1" customHeight="1" outlineLevel="1">
      <c r="A127" s="1117" t="s">
        <v>1247</v>
      </c>
      <c r="B127" s="1094"/>
      <c r="C127" s="1094" t="s">
        <v>4629</v>
      </c>
      <c r="D127" s="1094"/>
      <c r="E127" s="1095" t="s">
        <v>5224</v>
      </c>
      <c r="F127" s="1095" t="s">
        <v>5224</v>
      </c>
      <c r="G127" s="1096">
        <v>0</v>
      </c>
      <c r="H127" s="1096" t="s">
        <v>5224</v>
      </c>
      <c r="I127" s="1096" t="s">
        <v>5224</v>
      </c>
      <c r="J127" s="1096" t="s">
        <v>5224</v>
      </c>
      <c r="K127" s="1096" t="s">
        <v>5224</v>
      </c>
      <c r="L127" s="1096" t="s">
        <v>5224</v>
      </c>
      <c r="M127" s="1096" t="s">
        <v>5224</v>
      </c>
      <c r="N127" s="1096" t="s">
        <v>4631</v>
      </c>
      <c r="O127" s="1097"/>
      <c r="P127" s="1097" t="s">
        <v>3615</v>
      </c>
      <c r="Q127" s="1097">
        <f t="shared" ca="1" si="155"/>
        <v>20</v>
      </c>
      <c r="R127" s="1097"/>
      <c r="S127" s="1028" t="s">
        <v>3611</v>
      </c>
      <c r="T127" s="1097">
        <f t="shared" ca="1" si="156"/>
        <v>15</v>
      </c>
      <c r="U127" s="1027">
        <v>4</v>
      </c>
      <c r="V127" s="1027">
        <f>IF(AP127+U127&gt;10,10,IF(AP127+U127&lt;1,1,AP127+U127))</f>
        <v>5</v>
      </c>
      <c r="W127" s="1098" t="e">
        <f>IF(OR(I127&lt;&gt;"N",E127="C"),IF(AND(N127&lt;&gt;"T",ISNUMBER(FIND("V",I127))),1,0),NA())+IF(H127="Y",IF(AND(N127="P",ISNUMBER(FIND("Z",I127))),2,1),0)+IF(J127="Y",1,0)+IF(K127="Y",3,0)+IF(BE127="Lore",L127*2+Experience!$D$25,0)+IF(M127="Y",1,0)</f>
        <v>#N/A</v>
      </c>
      <c r="X127" s="1099"/>
      <c r="Y127" s="1100">
        <f ca="1">IF(P127="NS",IFERROR(INDIRECT(S127),NA()),VLOOKUP(INDIRECT(P127)+INDIRECT(S127),'System Lookups'!$A$3:$D$146,2))</f>
        <v>0.12</v>
      </c>
      <c r="Z127" s="1100">
        <f>IF(ISNA(W127),0,W127*0.03)+IF(X127&gt;0,X127*0.03,0)+IF(AND(ISNA(W127),X127&lt;=0),0,IF(G127&gt;0,G127*0.07,0))</f>
        <v>0</v>
      </c>
      <c r="AA127" s="1101">
        <f ca="1">IF(ISNA(Y127),0,Y127)+Z127</f>
        <v>0.12</v>
      </c>
      <c r="AB127" s="1102">
        <f>VLOOKUP(V127,'System Lookups'!$J$55:$P$64,3)</f>
        <v>0.1</v>
      </c>
      <c r="AC127" s="1103">
        <f>VLOOKUP(V127,'System Lookups'!$J$55:$P$64,4)</f>
        <v>0.2</v>
      </c>
      <c r="AD127" s="1104">
        <f ca="1">IF(AND(ISBLANK(X127),ISNA(W127)),IF(B127="~",0,AB127+AA127+IF(BB127&gt;0,0.05,0)),AA127+AC127+IF(BB127&gt;0,0.05,0))</f>
        <v>0.22</v>
      </c>
      <c r="AE127" s="1094">
        <f ca="1">(IF(AD127&gt;VLOOKUP(V127,'System Lookups'!$J$55:$P$63,6),(((AD127-VLOOKUP(V127,'System Lookups'!$J$55:$P$63,6))*100)/20),0))+AF127</f>
        <v>0</v>
      </c>
      <c r="AF127" s="1121"/>
      <c r="AG127" s="1092">
        <f>IF(ISBLANK(X127),0,AQ127*X127+IF(ISNA(W127),1,0))</f>
        <v>0</v>
      </c>
      <c r="AH127" s="1092" t="str">
        <f>IF(X127&lt;=Experience!$R$15+1,"","*")</f>
        <v/>
      </c>
      <c r="AI127" s="1092"/>
      <c r="AJ127" s="1080">
        <f t="shared" si="157"/>
        <v>0</v>
      </c>
      <c r="AK127" s="1080">
        <f>IF(F127="s",-2,0)</f>
        <v>0</v>
      </c>
      <c r="AL127" s="1080">
        <f t="shared" si="158"/>
        <v>0</v>
      </c>
      <c r="AM127" s="1092">
        <f>IF(J127="y",1,0)</f>
        <v>0</v>
      </c>
      <c r="AN127" s="1080">
        <f>IF(N127="P",-1,IF(N127="T",1,0))</f>
        <v>1</v>
      </c>
      <c r="AO127" s="1080">
        <f t="shared" si="159"/>
        <v>0</v>
      </c>
      <c r="AP127" s="1080">
        <f>SUM(AJ127:AN127)-AM127</f>
        <v>1</v>
      </c>
      <c r="AQ127" s="1027">
        <f>VLOOKUP(V127,'System Lookups'!$J$55:$P$64,7)</f>
        <v>700</v>
      </c>
      <c r="AR127" s="1080" t="str">
        <f ca="1">IF(AND(NOT(ISBLANK(AJ127)),ISNA(MATCH(ROW(),'System Lookups'!$C$526:$C$539,0))),"Y","N")</f>
        <v>Y</v>
      </c>
      <c r="AS127" s="1080">
        <f>AG127-AI127</f>
        <v>0</v>
      </c>
      <c r="AU127" s="1080" t="e">
        <f t="shared" si="148"/>
        <v>#N/A</v>
      </c>
      <c r="AV127" s="1080" t="str">
        <f t="shared" si="145"/>
        <v>T</v>
      </c>
      <c r="AW127" s="1080">
        <f t="shared" si="151"/>
        <v>0</v>
      </c>
      <c r="AX127" s="1080">
        <f t="shared" si="152"/>
        <v>0</v>
      </c>
      <c r="AY127" s="1080">
        <f t="shared" si="153"/>
        <v>0</v>
      </c>
      <c r="AZ127" s="1080">
        <f t="shared" si="154"/>
        <v>0</v>
      </c>
      <c r="BA127" s="1080">
        <f t="shared" si="150"/>
        <v>0</v>
      </c>
      <c r="BB127" s="1080">
        <f>IF(AND(RACE=1,'Main Creation Page'!$E$6="Well",OR(ISNUMBER(FIND(Experience!$G$11,BE127)),ISNUMBER(FIND(Experience!$G$11,BF127)),ISNUMBER(FIND(Experience!$I$11,BE127)),ISNUMBER(FIND(Experience!$I$11,BF127)))),1,0)</f>
        <v>0</v>
      </c>
      <c r="BC127" s="1080" t="str">
        <f t="shared" si="80"/>
        <v xml:space="preserve">Wrestling </v>
      </c>
      <c r="BE127" s="1080" t="str">
        <f t="shared" si="146"/>
        <v/>
      </c>
      <c r="BF127" s="1080" t="str">
        <f t="shared" si="147"/>
        <v>Athletic Skills</v>
      </c>
    </row>
    <row r="128" spans="1:60" ht="11.1" hidden="1" customHeight="1" outlineLevel="2">
      <c r="A128" s="1028" t="s">
        <v>1509</v>
      </c>
      <c r="B128" s="2641">
        <f>'Main Creation Page'!G16</f>
        <v>0.9</v>
      </c>
      <c r="C128" s="2645"/>
      <c r="D128" s="2643"/>
      <c r="Q128" s="1097"/>
      <c r="R128" s="1097"/>
      <c r="V128" s="1027"/>
      <c r="W128" s="1112"/>
      <c r="AE128" s="1094"/>
      <c r="AF128" s="1121"/>
      <c r="AI128" s="1092"/>
      <c r="AM128" s="1092"/>
      <c r="AQ128" s="1027"/>
      <c r="AR128" s="1080" t="str">
        <f ca="1">IF(AND(NOT(ISBLANK(AJ128)),ISNA(MATCH(ROW(),'System Lookups'!$C$526:$C$539,0))),"Y","N")</f>
        <v>N</v>
      </c>
      <c r="AU128" s="1080" t="e">
        <f t="shared" si="148"/>
        <v>#N/A</v>
      </c>
      <c r="AV128" s="1080" t="str">
        <f t="shared" si="145"/>
        <v/>
      </c>
      <c r="AW128" s="1080">
        <f t="shared" si="151"/>
        <v>0</v>
      </c>
      <c r="AX128" s="1080">
        <f t="shared" si="152"/>
        <v>0</v>
      </c>
      <c r="AY128" s="1080">
        <f t="shared" si="153"/>
        <v>0</v>
      </c>
      <c r="AZ128" s="1080">
        <f t="shared" si="154"/>
        <v>0</v>
      </c>
      <c r="BA128" s="1080">
        <f t="shared" si="150"/>
        <v>0</v>
      </c>
      <c r="BB128" s="1080">
        <f>IF(AND(RACE=1,'Main Creation Page'!$E$6="Well",OR(ISNUMBER(FIND(Experience!$G$11,BE128)),ISNUMBER(FIND(Experience!$G$11,BF128)),ISNUMBER(FIND(Experience!$I$11,BE128)),ISNUMBER(FIND(Experience!$I$11,BF128)))),1,0)</f>
        <v>0</v>
      </c>
      <c r="BC128" s="1080" t="e">
        <f t="shared" si="80"/>
        <v>#N/A</v>
      </c>
      <c r="BE128" s="1080" t="str">
        <f t="shared" si="146"/>
        <v/>
      </c>
      <c r="BF128" s="1080" t="str">
        <f t="shared" si="147"/>
        <v>Athletic Skills</v>
      </c>
    </row>
    <row r="129" spans="1:60" ht="11.1" customHeight="1" outlineLevel="1" collapsed="1">
      <c r="A129" s="1028"/>
      <c r="B129" s="1111"/>
      <c r="C129" s="1111"/>
      <c r="D129" s="1111"/>
      <c r="Q129" s="1097"/>
      <c r="R129" s="1097"/>
      <c r="V129" s="1027"/>
      <c r="W129" s="1112"/>
      <c r="AE129" s="1094"/>
      <c r="AF129" s="1121"/>
      <c r="AI129" s="1092"/>
      <c r="AM129" s="1092"/>
      <c r="AQ129" s="1027"/>
      <c r="AR129" s="1080" t="str">
        <f ca="1">IF(AND(NOT(ISBLANK(AJ129)),ISNA(MATCH(ROW(),'System Lookups'!$C$526:$C$539,0))),"Y","N")</f>
        <v>N</v>
      </c>
      <c r="AU129" s="1080" t="e">
        <f t="shared" si="148"/>
        <v>#N/A</v>
      </c>
      <c r="AV129" s="1080" t="str">
        <f t="shared" si="145"/>
        <v/>
      </c>
      <c r="AW129" s="1080">
        <f t="shared" si="151"/>
        <v>0</v>
      </c>
      <c r="AX129" s="1080">
        <f t="shared" si="152"/>
        <v>0</v>
      </c>
      <c r="AY129" s="1080">
        <f t="shared" si="153"/>
        <v>0</v>
      </c>
      <c r="AZ129" s="1080">
        <f t="shared" si="154"/>
        <v>0</v>
      </c>
      <c r="BA129" s="1080">
        <f t="shared" si="150"/>
        <v>0</v>
      </c>
      <c r="BB129" s="1080">
        <f>IF(AND(RACE=1,'Main Creation Page'!$E$6="Well",OR(ISNUMBER(FIND(Experience!$G$11,BE129)),ISNUMBER(FIND(Experience!$G$11,BF129)),ISNUMBER(FIND(Experience!$I$11,BE129)),ISNUMBER(FIND(Experience!$I$11,BF129)))),1,0)</f>
        <v>0</v>
      </c>
      <c r="BC129" s="1080" t="e">
        <f t="shared" si="80"/>
        <v>#N/A</v>
      </c>
      <c r="BE129" s="1080" t="str">
        <f t="shared" si="146"/>
        <v/>
      </c>
      <c r="BF129" s="1080" t="str">
        <f t="shared" si="147"/>
        <v>Athletic Skills</v>
      </c>
    </row>
    <row r="130" spans="1:60" ht="11.1" customHeight="1">
      <c r="A130" s="1087" t="s">
        <v>2246</v>
      </c>
      <c r="B130" s="1091"/>
      <c r="C130" s="1091"/>
      <c r="D130" s="1091"/>
      <c r="F130" s="1027"/>
      <c r="G130" s="1027"/>
      <c r="H130" s="1027"/>
      <c r="I130" s="1085"/>
      <c r="J130" s="1085"/>
      <c r="K130" s="1085"/>
      <c r="L130" s="1085"/>
      <c r="M130" s="1085"/>
      <c r="N130" s="1027"/>
      <c r="O130" s="1027"/>
      <c r="P130" s="1027"/>
      <c r="Q130" s="1097"/>
      <c r="R130" s="1097"/>
      <c r="S130" s="1113"/>
      <c r="T130" s="1113"/>
      <c r="U130" s="1085"/>
      <c r="V130" s="1027"/>
      <c r="W130" s="1028" t="str">
        <f>IF(ISNA(SUM(W131:W149))," ",SUM(W131:W149))</f>
        <v xml:space="preserve"> </v>
      </c>
      <c r="X130" s="1114"/>
      <c r="AE130" s="1094"/>
      <c r="AF130" s="1121"/>
      <c r="AG130" s="1092">
        <f>SUM(AG131:AG149)</f>
        <v>0</v>
      </c>
      <c r="AH130" s="1092"/>
      <c r="AI130" s="1092">
        <f>SUM(AI131:AI149)</f>
        <v>0</v>
      </c>
      <c r="AM130" s="1092"/>
      <c r="AR130" s="1080" t="str">
        <f ca="1">IF(AND(NOT(ISBLANK(AJ130)),ISNA(MATCH(ROW(),'System Lookups'!$C$526:$C$539,0))),"Y","N")</f>
        <v>N</v>
      </c>
      <c r="AU130" s="1080" t="e">
        <f t="shared" si="148"/>
        <v>#N/A</v>
      </c>
      <c r="AV130" s="1080" t="str">
        <f t="shared" si="145"/>
        <v/>
      </c>
      <c r="AW130" s="1080">
        <f t="shared" si="151"/>
        <v>0</v>
      </c>
      <c r="AX130" s="1080">
        <f t="shared" si="152"/>
        <v>0</v>
      </c>
      <c r="AY130" s="1080">
        <f t="shared" si="153"/>
        <v>0</v>
      </c>
      <c r="AZ130" s="1080">
        <f t="shared" si="154"/>
        <v>0</v>
      </c>
      <c r="BA130" s="1080">
        <f t="shared" si="150"/>
        <v>0</v>
      </c>
      <c r="BB130" s="1080">
        <f>IF(AND(RACE=1,'Main Creation Page'!$E$6="Well",OR(ISNUMBER(FIND(Experience!$G$11,BE130)),ISNUMBER(FIND(Experience!$G$11,BF130)),ISNUMBER(FIND(Experience!$I$11,BE130)),ISNUMBER(FIND(Experience!$I$11,BF130)))),1,0)</f>
        <v>0</v>
      </c>
      <c r="BC130" s="1080" t="str">
        <f t="shared" si="80"/>
        <v>Charismatic Skills</v>
      </c>
      <c r="BE130" s="1080" t="str">
        <f t="shared" si="146"/>
        <v/>
      </c>
      <c r="BF130" s="1080" t="str">
        <f t="shared" si="147"/>
        <v>Charismatic Skills</v>
      </c>
    </row>
    <row r="131" spans="1:60" ht="11.1" customHeight="1" outlineLevel="1">
      <c r="A131" s="1123" t="s">
        <v>5569</v>
      </c>
      <c r="B131" s="1094"/>
      <c r="C131" s="1094"/>
      <c r="D131" s="1094"/>
      <c r="E131" s="1095" t="s">
        <v>5224</v>
      </c>
      <c r="F131" s="1095" t="s">
        <v>5224</v>
      </c>
      <c r="G131" s="1096">
        <v>0</v>
      </c>
      <c r="H131" s="1096" t="s">
        <v>5224</v>
      </c>
      <c r="I131" s="1096" t="s">
        <v>5224</v>
      </c>
      <c r="J131" s="1096" t="s">
        <v>5224</v>
      </c>
      <c r="K131" s="1096" t="s">
        <v>5224</v>
      </c>
      <c r="L131" s="1096" t="s">
        <v>5224</v>
      </c>
      <c r="M131" s="1096" t="s">
        <v>5224</v>
      </c>
      <c r="N131" s="1096" t="s">
        <v>4630</v>
      </c>
      <c r="O131" s="1097"/>
      <c r="P131" s="1097" t="s">
        <v>780</v>
      </c>
      <c r="Q131" s="1097">
        <f t="shared" ref="Q131:Q143" ca="1" si="160">INDIRECT(P131)</f>
        <v>17</v>
      </c>
      <c r="R131" s="1097"/>
      <c r="S131" s="1028" t="s">
        <v>3616</v>
      </c>
      <c r="T131" s="1097">
        <f t="shared" ref="T131:T143" ca="1" si="161">INDIRECT(S131)</f>
        <v>17</v>
      </c>
      <c r="U131" s="1027">
        <v>4</v>
      </c>
      <c r="V131" s="1027">
        <f t="shared" ref="V131:V143" si="162">IF(AP131+U131&gt;10,10,IF(AP131+U131&lt;1,1,AP131+U131))</f>
        <v>4</v>
      </c>
      <c r="W131" s="1098" t="e">
        <f>IF(OR(I131&lt;&gt;"N",E131="C"),IF(AND(N131&lt;&gt;"T",ISNUMBER(FIND("V",I131))),1,0),NA())+IF(H131="Y",IF(AND(N131="P",ISNUMBER(FIND("Z",I131))),2,1),0)+IF(J131="Y",1,0)+IF(K131="Y",3,0)+IF(BE131="Lore",L131*2+Experience!$D$25,0)+IF(M131="Y",1,0)</f>
        <v>#N/A</v>
      </c>
      <c r="X131" s="1099"/>
      <c r="Y131" s="1100">
        <f ca="1">IF(P131="NS",IFERROR(INDIRECT(S131),NA()),VLOOKUP(INDIRECT(P131)+INDIRECT(S131),'System Lookups'!$A$3:$D$146,2))</f>
        <v>0.1</v>
      </c>
      <c r="Z131" s="1100">
        <f t="shared" ref="Z131:Z143" si="163">IF(ISNA(W131),0,W131*0.03)+IF(X131&gt;0,X131*0.03,0)+IF(AND(ISNA(W131),X131&lt;=0),0,IF(G131&gt;0,G131*0.07,0))</f>
        <v>0</v>
      </c>
      <c r="AA131" s="1101">
        <f t="shared" ref="AA131:AA143" ca="1" si="164">IF(ISNA(Y131),0,Y131)+Z131</f>
        <v>0.1</v>
      </c>
      <c r="AB131" s="1102">
        <f>VLOOKUP(V131,'System Lookups'!$J$55:$P$64,3)</f>
        <v>0.2</v>
      </c>
      <c r="AC131" s="1103">
        <f>VLOOKUP(V131,'System Lookups'!$J$55:$P$64,4)</f>
        <v>0.3</v>
      </c>
      <c r="AD131" s="1104">
        <f t="shared" ref="AD131:AD143" ca="1" si="165">IF(AND(ISBLANK(X131),ISNA(W131)),IF(B131="~",0,AB131+AA131+IF(BB131&gt;0,0.05,0)),AA131+AC131+IF(BB131&gt;0,0.05,0))</f>
        <v>0.30000000000000004</v>
      </c>
      <c r="AE131" s="1094">
        <f ca="1">(IF(AD131&gt;VLOOKUP(V131,'System Lookups'!$J$55:$P$63,6),(((AD131-VLOOKUP(V131,'System Lookups'!$J$55:$P$63,6))*100)/20),0))+AF131</f>
        <v>0</v>
      </c>
      <c r="AF131" s="1121"/>
      <c r="AG131" s="1092">
        <f t="shared" ref="AG131:AG143" si="166">IF(ISBLANK(X131),0,AQ131*X131+IF(ISNA(W131),1,0))</f>
        <v>0</v>
      </c>
      <c r="AH131" s="1092" t="str">
        <f>IF(X131&lt;=Experience!$R$15+1,"","*")</f>
        <v/>
      </c>
      <c r="AI131" s="1092"/>
      <c r="AJ131" s="1080">
        <f t="shared" ref="AJ131:AJ143" si="167">IF(ISNUMBER(FIND("R",F131)),-1,0)</f>
        <v>0</v>
      </c>
      <c r="AK131" s="1080">
        <f t="shared" ref="AK131:AK143" si="168">IF(F131="s",-2,0)</f>
        <v>0</v>
      </c>
      <c r="AL131" s="1080">
        <f t="shared" ref="AL131:AL143" si="169">IF(AND(H131="Y",OR(N131="P",N131="S")),-1,0)</f>
        <v>0</v>
      </c>
      <c r="AM131" s="1092">
        <f t="shared" ref="AM131:AM143" si="170">IF(J131="y",1,0)</f>
        <v>0</v>
      </c>
      <c r="AN131" s="1080">
        <f t="shared" ref="AN131:AN143" si="171">IF(N131="P",-1,IF(N131="T",1,0))</f>
        <v>0</v>
      </c>
      <c r="AO131" s="1080">
        <f t="shared" ref="AO131:AO143" si="172">IF(ISNUMBER(FIND("Z",I131)),1,0)</f>
        <v>0</v>
      </c>
      <c r="AP131" s="1080">
        <f t="shared" ref="AP131:AP143" si="173">SUM(AJ131:AN131)-AM131</f>
        <v>0</v>
      </c>
      <c r="AQ131" s="1027">
        <f>VLOOKUP(V131,'System Lookups'!$J$55:$P$64,7)</f>
        <v>600</v>
      </c>
      <c r="AR131" s="1080" t="str">
        <f ca="1">IF(AND(NOT(ISBLANK(AJ131)),ISNA(MATCH(ROW(),'System Lookups'!$C$526:$C$539,0))),"Y","N")</f>
        <v>Y</v>
      </c>
      <c r="AS131" s="1080">
        <f t="shared" ref="AS131:AS143" si="174">AG131-AI131</f>
        <v>0</v>
      </c>
      <c r="AU131" s="1080" t="e">
        <f t="shared" si="148"/>
        <v>#N/A</v>
      </c>
      <c r="AV131" s="1080" t="str">
        <f t="shared" si="145"/>
        <v>S</v>
      </c>
      <c r="AW131" s="1080">
        <f t="shared" si="151"/>
        <v>0</v>
      </c>
      <c r="AX131" s="1080">
        <f t="shared" si="152"/>
        <v>0</v>
      </c>
      <c r="AY131" s="1080">
        <f t="shared" si="153"/>
        <v>0</v>
      </c>
      <c r="AZ131" s="1080">
        <f t="shared" si="154"/>
        <v>0</v>
      </c>
      <c r="BA131" s="1080">
        <f t="shared" si="150"/>
        <v>0</v>
      </c>
      <c r="BB131" s="1080">
        <f>IF(AND(RACE=1,'Main Creation Page'!$E$6="Well",OR(ISNUMBER(FIND(Experience!$G$11,BE131)),ISNUMBER(FIND(Experience!$G$11,BF131)),ISNUMBER(FIND(Experience!$I$11,BE131)),ISNUMBER(FIND(Experience!$I$11,BF131)))),1,0)</f>
        <v>0</v>
      </c>
      <c r="BC131" s="1080" t="str">
        <f t="shared" si="80"/>
        <v>Administration</v>
      </c>
      <c r="BE131" s="1080" t="str">
        <f t="shared" si="146"/>
        <v/>
      </c>
      <c r="BF131" s="1080" t="str">
        <f t="shared" si="147"/>
        <v>Charismatic Skills</v>
      </c>
      <c r="BH131" s="1080"/>
    </row>
    <row r="132" spans="1:60" ht="11.1" customHeight="1" outlineLevel="1">
      <c r="A132" s="1117" t="s">
        <v>1248</v>
      </c>
      <c r="B132" s="1094"/>
      <c r="C132" s="1094" t="s">
        <v>4629</v>
      </c>
      <c r="D132" s="1094"/>
      <c r="E132" s="1095" t="s">
        <v>5224</v>
      </c>
      <c r="F132" s="1095" t="s">
        <v>5224</v>
      </c>
      <c r="G132" s="1096">
        <v>0</v>
      </c>
      <c r="H132" s="1096" t="s">
        <v>5224</v>
      </c>
      <c r="I132" s="1096" t="s">
        <v>5224</v>
      </c>
      <c r="J132" s="1096" t="s">
        <v>5224</v>
      </c>
      <c r="K132" s="1096" t="s">
        <v>5224</v>
      </c>
      <c r="L132" s="1096" t="s">
        <v>5224</v>
      </c>
      <c r="M132" s="1096" t="s">
        <v>5224</v>
      </c>
      <c r="N132" s="1096" t="s">
        <v>4630</v>
      </c>
      <c r="O132" s="1097"/>
      <c r="P132" s="1097" t="s">
        <v>3612</v>
      </c>
      <c r="Q132" s="1097">
        <f t="shared" ca="1" si="160"/>
        <v>10</v>
      </c>
      <c r="R132" s="1097"/>
      <c r="S132" s="1028" t="s">
        <v>3616</v>
      </c>
      <c r="T132" s="1097">
        <f t="shared" ca="1" si="161"/>
        <v>17</v>
      </c>
      <c r="U132" s="1027">
        <v>3</v>
      </c>
      <c r="V132" s="1027">
        <f t="shared" si="162"/>
        <v>3</v>
      </c>
      <c r="W132" s="1098" t="e">
        <f>IF(OR(I132&lt;&gt;"N",E132="C"),IF(AND(N132&lt;&gt;"T",ISNUMBER(FIND("V",I132))),1,0),NA())+IF(H132="Y",IF(AND(N132="P",ISNUMBER(FIND("Z",I132))),2,1),0)+IF(J132="Y",1,0)+IF(K132="Y",3,0)+IF(BE132="Lore",L132*2+Experience!$D$25,0)+IF(M132="Y",1,0)</f>
        <v>#N/A</v>
      </c>
      <c r="X132" s="1099"/>
      <c r="Y132" s="1100">
        <f ca="1">IF(P132="NS",IFERROR(INDIRECT(S132),NA()),VLOOKUP(INDIRECT(P132)+INDIRECT(S132),'System Lookups'!$A$3:$D$146,2))</f>
        <v>0.04</v>
      </c>
      <c r="Z132" s="1100">
        <f t="shared" si="163"/>
        <v>0</v>
      </c>
      <c r="AA132" s="1101">
        <f t="shared" ref="AA132" ca="1" si="175">IF(ISNA(Y132),0,Y132)+Z132</f>
        <v>0.04</v>
      </c>
      <c r="AB132" s="1102">
        <f>VLOOKUP(V132,'System Lookups'!$J$55:$P$64,3)</f>
        <v>0.3</v>
      </c>
      <c r="AC132" s="1103">
        <f>VLOOKUP(V132,'System Lookups'!$J$55:$P$64,4)</f>
        <v>0.4</v>
      </c>
      <c r="AD132" s="1104">
        <f t="shared" ca="1" si="165"/>
        <v>0.33999999999999997</v>
      </c>
      <c r="AE132" s="1094">
        <f ca="1">(IF(AD132&gt;VLOOKUP(V132,'System Lookups'!$J$55:$P$63,6),(((AD132-VLOOKUP(V132,'System Lookups'!$J$55:$P$63,6))*100)/20),0))+AF132</f>
        <v>0</v>
      </c>
      <c r="AF132" s="1121"/>
      <c r="AG132" s="1092">
        <f t="shared" si="166"/>
        <v>0</v>
      </c>
      <c r="AH132" s="1092" t="str">
        <f>IF(X132&lt;=Experience!$R$15+1,"","*")</f>
        <v/>
      </c>
      <c r="AI132" s="1092"/>
      <c r="AJ132" s="1080">
        <f t="shared" si="167"/>
        <v>0</v>
      </c>
      <c r="AK132" s="1080">
        <f t="shared" ref="AK132" si="176">IF(F132="s",-2,0)</f>
        <v>0</v>
      </c>
      <c r="AL132" s="1080">
        <f t="shared" si="169"/>
        <v>0</v>
      </c>
      <c r="AM132" s="1092">
        <f t="shared" ref="AM132" si="177">IF(J132="y",1,0)</f>
        <v>0</v>
      </c>
      <c r="AN132" s="1080">
        <f t="shared" ref="AN132" si="178">IF(N132="P",-1,IF(N132="T",1,0))</f>
        <v>0</v>
      </c>
      <c r="AO132" s="1080">
        <f t="shared" si="172"/>
        <v>0</v>
      </c>
      <c r="AP132" s="1080">
        <f t="shared" si="173"/>
        <v>0</v>
      </c>
      <c r="AQ132" s="1027">
        <f>VLOOKUP(V132,'System Lookups'!$J$55:$P$64,7)</f>
        <v>500</v>
      </c>
      <c r="AR132" s="1080" t="str">
        <f ca="1">IF(AND(NOT(ISBLANK(AJ132)),ISNA(MATCH(ROW(),'System Lookups'!$C$526:$C$539,0))),"Y","N")</f>
        <v>Y</v>
      </c>
      <c r="AS132" s="1080">
        <f t="shared" si="174"/>
        <v>0</v>
      </c>
      <c r="AU132" s="1080" t="e">
        <f t="shared" si="148"/>
        <v>#N/A</v>
      </c>
      <c r="AV132" s="1080" t="str">
        <f t="shared" si="145"/>
        <v>S</v>
      </c>
      <c r="AW132" s="1080">
        <f t="shared" si="151"/>
        <v>0</v>
      </c>
      <c r="AX132" s="1080">
        <f t="shared" si="152"/>
        <v>0</v>
      </c>
      <c r="AY132" s="1080">
        <f t="shared" si="153"/>
        <v>0</v>
      </c>
      <c r="AZ132" s="1080">
        <f t="shared" si="154"/>
        <v>0</v>
      </c>
      <c r="BA132" s="1080">
        <f t="shared" si="150"/>
        <v>0</v>
      </c>
      <c r="BB132" s="1080">
        <f>IF(AND(RACE=1,'Main Creation Page'!$E$6="Well",OR(ISNUMBER(FIND(Experience!$G$11,BE132)),ISNUMBER(FIND(Experience!$G$11,BF132)),ISNUMBER(FIND(Experience!$I$11,BE132)),ISNUMBER(FIND(Experience!$I$11,BF132)))),1,0)</f>
        <v>0</v>
      </c>
      <c r="BC132" s="1080" t="str">
        <f t="shared" si="80"/>
        <v xml:space="preserve">Bargaining </v>
      </c>
      <c r="BE132" s="1080" t="str">
        <f t="shared" si="146"/>
        <v/>
      </c>
      <c r="BF132" s="1080" t="str">
        <f t="shared" si="147"/>
        <v>Charismatic Skills</v>
      </c>
      <c r="BH132" s="1080"/>
    </row>
    <row r="133" spans="1:60" ht="11.1" customHeight="1" outlineLevel="1">
      <c r="A133" s="1117" t="s">
        <v>1249</v>
      </c>
      <c r="B133" s="1094"/>
      <c r="C133" s="1094" t="s">
        <v>4629</v>
      </c>
      <c r="D133" s="1094"/>
      <c r="E133" s="1095" t="s">
        <v>5224</v>
      </c>
      <c r="F133" s="1095" t="s">
        <v>5224</v>
      </c>
      <c r="G133" s="1096">
        <v>0</v>
      </c>
      <c r="H133" s="1096" t="s">
        <v>5224</v>
      </c>
      <c r="I133" s="1096" t="s">
        <v>5224</v>
      </c>
      <c r="J133" s="1096" t="s">
        <v>5224</v>
      </c>
      <c r="K133" s="1096" t="s">
        <v>5224</v>
      </c>
      <c r="L133" s="1096" t="s">
        <v>5224</v>
      </c>
      <c r="M133" s="1096" t="s">
        <v>5224</v>
      </c>
      <c r="N133" s="1096" t="s">
        <v>4630</v>
      </c>
      <c r="O133" s="1097"/>
      <c r="P133" s="1097" t="s">
        <v>3612</v>
      </c>
      <c r="Q133" s="1097">
        <f t="shared" ca="1" si="160"/>
        <v>10</v>
      </c>
      <c r="R133" s="1097"/>
      <c r="S133" s="1028" t="s">
        <v>3616</v>
      </c>
      <c r="T133" s="1097">
        <f t="shared" ca="1" si="161"/>
        <v>17</v>
      </c>
      <c r="U133" s="1027">
        <v>3</v>
      </c>
      <c r="V133" s="1027">
        <f t="shared" si="162"/>
        <v>3</v>
      </c>
      <c r="W133" s="1098" t="e">
        <f>IF(OR(I133&lt;&gt;"N",E133="C"),IF(AND(N133&lt;&gt;"T",ISNUMBER(FIND("V",I133))),1,0),NA())+IF(H133="Y",IF(AND(N133="P",ISNUMBER(FIND("Z",I133))),2,1),0)+IF(J133="Y",1,0)+IF(K133="Y",3,0)+IF(BE133="Lore",L133*2+Experience!$D$25,0)+IF(M133="Y",1,0)</f>
        <v>#N/A</v>
      </c>
      <c r="X133" s="1099"/>
      <c r="Y133" s="1100">
        <f ca="1">IF(P133="NS",IFERROR(INDIRECT(S133),NA()),VLOOKUP(INDIRECT(P133)+INDIRECT(S133),'System Lookups'!$A$3:$D$146,2))</f>
        <v>0.04</v>
      </c>
      <c r="Z133" s="1100">
        <f t="shared" si="163"/>
        <v>0</v>
      </c>
      <c r="AA133" s="1101">
        <f t="shared" ca="1" si="164"/>
        <v>0.04</v>
      </c>
      <c r="AB133" s="1102">
        <f>VLOOKUP(V133,'System Lookups'!$J$55:$P$64,3)</f>
        <v>0.3</v>
      </c>
      <c r="AC133" s="1103">
        <f>VLOOKUP(V133,'System Lookups'!$J$55:$P$64,4)</f>
        <v>0.4</v>
      </c>
      <c r="AD133" s="1104">
        <f t="shared" ca="1" si="165"/>
        <v>0.33999999999999997</v>
      </c>
      <c r="AE133" s="1094">
        <f ca="1">(IF(AD133&gt;VLOOKUP(V133,'System Lookups'!$J$55:$P$63,6),(((AD133-VLOOKUP(V133,'System Lookups'!$J$55:$P$63,6))*100)/20),0))+AF133</f>
        <v>0</v>
      </c>
      <c r="AF133" s="1121"/>
      <c r="AG133" s="1092">
        <f t="shared" si="166"/>
        <v>0</v>
      </c>
      <c r="AH133" s="1092" t="str">
        <f>IF(X133&lt;=Experience!$R$15+1,"","*")</f>
        <v/>
      </c>
      <c r="AI133" s="1092"/>
      <c r="AJ133" s="1080">
        <f t="shared" si="167"/>
        <v>0</v>
      </c>
      <c r="AK133" s="1080">
        <f t="shared" si="168"/>
        <v>0</v>
      </c>
      <c r="AL133" s="1080">
        <f t="shared" si="169"/>
        <v>0</v>
      </c>
      <c r="AM133" s="1092">
        <f t="shared" si="170"/>
        <v>0</v>
      </c>
      <c r="AN133" s="1080">
        <f t="shared" si="171"/>
        <v>0</v>
      </c>
      <c r="AO133" s="1080">
        <f t="shared" si="172"/>
        <v>0</v>
      </c>
      <c r="AP133" s="1080">
        <f t="shared" si="173"/>
        <v>0</v>
      </c>
      <c r="AQ133" s="1027">
        <f>VLOOKUP(V133,'System Lookups'!$J$55:$P$64,7)</f>
        <v>500</v>
      </c>
      <c r="AR133" s="1080" t="str">
        <f ca="1">IF(AND(NOT(ISBLANK(AJ133)),ISNA(MATCH(ROW(),'System Lookups'!$C$526:$C$539,0))),"Y","N")</f>
        <v>Y</v>
      </c>
      <c r="AS133" s="1080">
        <f t="shared" si="174"/>
        <v>0</v>
      </c>
      <c r="AU133" s="1080" t="e">
        <f t="shared" si="148"/>
        <v>#N/A</v>
      </c>
      <c r="AV133" s="1080" t="str">
        <f t="shared" si="145"/>
        <v>S</v>
      </c>
      <c r="AW133" s="1080">
        <f t="shared" si="151"/>
        <v>0</v>
      </c>
      <c r="AX133" s="1080">
        <f t="shared" si="152"/>
        <v>0</v>
      </c>
      <c r="AY133" s="1080">
        <f t="shared" si="153"/>
        <v>0</v>
      </c>
      <c r="AZ133" s="1080">
        <f t="shared" si="154"/>
        <v>0</v>
      </c>
      <c r="BA133" s="1080">
        <f t="shared" si="150"/>
        <v>0</v>
      </c>
      <c r="BB133" s="1080">
        <f>IF(AND(RACE=1,'Main Creation Page'!$E$6="Well",OR(ISNUMBER(FIND(Experience!$G$11,BE133)),ISNUMBER(FIND(Experience!$G$11,BF133)),ISNUMBER(FIND(Experience!$I$11,BE133)),ISNUMBER(FIND(Experience!$I$11,BF133)))),1,0)</f>
        <v>0</v>
      </c>
      <c r="BC133" s="1080" t="str">
        <f t="shared" si="80"/>
        <v xml:space="preserve">Begging </v>
      </c>
      <c r="BE133" s="1080" t="str">
        <f t="shared" si="146"/>
        <v/>
      </c>
      <c r="BF133" s="1080" t="str">
        <f t="shared" si="147"/>
        <v>Charismatic Skills</v>
      </c>
      <c r="BH133" s="1080"/>
    </row>
    <row r="134" spans="1:60" ht="11.1" customHeight="1" outlineLevel="1">
      <c r="A134" s="1117" t="s">
        <v>1250</v>
      </c>
      <c r="B134" s="1094"/>
      <c r="C134" s="1094" t="s">
        <v>4629</v>
      </c>
      <c r="D134" s="1094"/>
      <c r="E134" s="1095" t="s">
        <v>5224</v>
      </c>
      <c r="F134" s="1095" t="s">
        <v>5224</v>
      </c>
      <c r="G134" s="1096">
        <v>0</v>
      </c>
      <c r="H134" s="1096" t="s">
        <v>5224</v>
      </c>
      <c r="I134" s="1096" t="s">
        <v>5224</v>
      </c>
      <c r="J134" s="1096" t="s">
        <v>5224</v>
      </c>
      <c r="K134" s="1096" t="s">
        <v>5224</v>
      </c>
      <c r="L134" s="1096" t="s">
        <v>5224</v>
      </c>
      <c r="M134" s="1096" t="s">
        <v>5224</v>
      </c>
      <c r="N134" s="1096" t="s">
        <v>4630</v>
      </c>
      <c r="O134" s="1097"/>
      <c r="P134" s="1097" t="s">
        <v>3612</v>
      </c>
      <c r="Q134" s="1097">
        <f t="shared" ca="1" si="160"/>
        <v>10</v>
      </c>
      <c r="R134" s="1097"/>
      <c r="S134" s="1028" t="s">
        <v>3717</v>
      </c>
      <c r="T134" s="1097">
        <f t="shared" ca="1" si="161"/>
        <v>10</v>
      </c>
      <c r="U134" s="1027">
        <v>4</v>
      </c>
      <c r="V134" s="1027">
        <f t="shared" si="162"/>
        <v>4</v>
      </c>
      <c r="W134" s="1098" t="e">
        <f>IF(OR(I134&lt;&gt;"N",E134="C"),IF(AND(N134&lt;&gt;"T",ISNUMBER(FIND("V",I134))),1,0),NA())+IF(H134="Y",IF(AND(N134="P",ISNUMBER(FIND("Z",I134))),2,1),0)+IF(J134="Y",1,0)+IF(K134="Y",3,0)+IF(BE134="Lore",L134*2+Experience!$D$25,0)+IF(M134="Y",1,0)</f>
        <v>#N/A</v>
      </c>
      <c r="X134" s="1099"/>
      <c r="Y134" s="1100">
        <f ca="1">IF(P134="NS",IFERROR(INDIRECT(S134),NA()),VLOOKUP(INDIRECT(P134)+INDIRECT(S134),'System Lookups'!$A$3:$D$146,2))</f>
        <v>0</v>
      </c>
      <c r="Z134" s="1100">
        <f t="shared" si="163"/>
        <v>0</v>
      </c>
      <c r="AA134" s="1101">
        <f t="shared" ca="1" si="164"/>
        <v>0</v>
      </c>
      <c r="AB134" s="1102">
        <f>VLOOKUP(V134,'System Lookups'!$J$55:$P$64,3)</f>
        <v>0.2</v>
      </c>
      <c r="AC134" s="1103">
        <f>VLOOKUP(V134,'System Lookups'!$J$55:$P$64,4)</f>
        <v>0.3</v>
      </c>
      <c r="AD134" s="1104">
        <f t="shared" ca="1" si="165"/>
        <v>0.2</v>
      </c>
      <c r="AE134" s="1094">
        <f ca="1">(IF(AD134&gt;VLOOKUP(V134,'System Lookups'!$J$55:$P$63,6),(((AD134-VLOOKUP(V134,'System Lookups'!$J$55:$P$63,6))*100)/20),0))+AF134</f>
        <v>0</v>
      </c>
      <c r="AF134" s="1121"/>
      <c r="AG134" s="1092">
        <f t="shared" si="166"/>
        <v>0</v>
      </c>
      <c r="AH134" s="1092" t="str">
        <f>IF(X134&lt;=Experience!$R$15+1,"","*")</f>
        <v/>
      </c>
      <c r="AI134" s="1092"/>
      <c r="AJ134" s="1080">
        <f t="shared" si="167"/>
        <v>0</v>
      </c>
      <c r="AK134" s="1080">
        <f t="shared" si="168"/>
        <v>0</v>
      </c>
      <c r="AL134" s="1080">
        <f t="shared" si="169"/>
        <v>0</v>
      </c>
      <c r="AM134" s="1092">
        <f t="shared" si="170"/>
        <v>0</v>
      </c>
      <c r="AN134" s="1080">
        <f t="shared" si="171"/>
        <v>0</v>
      </c>
      <c r="AO134" s="1080">
        <f t="shared" si="172"/>
        <v>0</v>
      </c>
      <c r="AP134" s="1080">
        <f t="shared" si="173"/>
        <v>0</v>
      </c>
      <c r="AQ134" s="1027">
        <f>VLOOKUP(V134,'System Lookups'!$J$55:$P$64,7)</f>
        <v>600</v>
      </c>
      <c r="AR134" s="1080" t="str">
        <f ca="1">IF(AND(NOT(ISBLANK(AJ134)),ISNA(MATCH(ROW(),'System Lookups'!$C$526:$C$539,0))),"Y","N")</f>
        <v>Y</v>
      </c>
      <c r="AS134" s="1080">
        <f t="shared" si="174"/>
        <v>0</v>
      </c>
      <c r="AU134" s="1080" t="e">
        <f t="shared" si="148"/>
        <v>#N/A</v>
      </c>
      <c r="AV134" s="1080" t="str">
        <f t="shared" si="145"/>
        <v>S</v>
      </c>
      <c r="AW134" s="1080">
        <f t="shared" si="151"/>
        <v>0</v>
      </c>
      <c r="AX134" s="1080">
        <f t="shared" si="152"/>
        <v>0</v>
      </c>
      <c r="AY134" s="1080">
        <f t="shared" si="153"/>
        <v>0</v>
      </c>
      <c r="AZ134" s="1080">
        <f t="shared" si="154"/>
        <v>0</v>
      </c>
      <c r="BA134" s="1080">
        <f t="shared" si="150"/>
        <v>0</v>
      </c>
      <c r="BB134" s="1080">
        <f>IF(AND(RACE=1,'Main Creation Page'!$E$6="Well",OR(ISNUMBER(FIND(Experience!$G$11,BE134)),ISNUMBER(FIND(Experience!$G$11,BF134)),ISNUMBER(FIND(Experience!$I$11,BE134)),ISNUMBER(FIND(Experience!$I$11,BF134)))),1,0)</f>
        <v>0</v>
      </c>
      <c r="BC134" s="1080" t="str">
        <f t="shared" ref="BC134:BC197" si="179">IF(ISBLANK(AJ134),IF(ISBLANK(AI134),IF(RIGHT(A134,2)="en","Language Lore: "&amp;A134,IF(LEFT(A134,9)="Alquennas",A134,NA())),IF(RIGHT(A134,9)=" Medicina",A134&amp;": Healing Lore Skills",IF(OR(LEFT(A134,5)="Lore ",LEFT(A134,8)="Materia "),A134&amp;" Skills",IF(LEFT(A134,8)="Cooking ","Cooking &amp; Innkeeping Skills",A134)))),IF(LEFT(A134,9)="alertness","Alertness: "&amp;RIGHT(A134,5),IF(ISBLANK(BD134),A134,IF(RIGHT(BD134,2)=" (",BD134&amp;"Own)",BD134&amp;A134))))</f>
        <v>Charm</v>
      </c>
      <c r="BE134" s="1080" t="str">
        <f t="shared" si="146"/>
        <v/>
      </c>
      <c r="BF134" s="1080" t="str">
        <f t="shared" si="147"/>
        <v>Charismatic Skills</v>
      </c>
      <c r="BH134" s="1080"/>
    </row>
    <row r="135" spans="1:60" ht="11.1" customHeight="1" outlineLevel="1">
      <c r="A135" s="1117" t="s">
        <v>4408</v>
      </c>
      <c r="B135" s="1094"/>
      <c r="C135" s="1094" t="s">
        <v>4629</v>
      </c>
      <c r="D135" s="1094"/>
      <c r="E135" s="1095" t="s">
        <v>5224</v>
      </c>
      <c r="F135" s="1095" t="s">
        <v>5224</v>
      </c>
      <c r="G135" s="1096">
        <v>0</v>
      </c>
      <c r="H135" s="1096" t="s">
        <v>5224</v>
      </c>
      <c r="I135" s="1096" t="s">
        <v>5224</v>
      </c>
      <c r="J135" s="1096" t="s">
        <v>5224</v>
      </c>
      <c r="K135" s="1096" t="s">
        <v>5224</v>
      </c>
      <c r="L135" s="1096" t="s">
        <v>5224</v>
      </c>
      <c r="M135" s="1096" t="s">
        <v>5224</v>
      </c>
      <c r="N135" s="1096" t="s">
        <v>4630</v>
      </c>
      <c r="O135" s="1097"/>
      <c r="P135" s="1097" t="s">
        <v>3612</v>
      </c>
      <c r="Q135" s="1097">
        <f t="shared" ca="1" si="160"/>
        <v>10</v>
      </c>
      <c r="R135" s="1097"/>
      <c r="S135" s="1028" t="s">
        <v>3616</v>
      </c>
      <c r="T135" s="1097">
        <f t="shared" ca="1" si="161"/>
        <v>17</v>
      </c>
      <c r="U135" s="1027">
        <v>4</v>
      </c>
      <c r="V135" s="1027">
        <f t="shared" si="162"/>
        <v>4</v>
      </c>
      <c r="W135" s="1098" t="e">
        <f>IF(OR(I135&lt;&gt;"N",E135="C"),IF(AND(N135&lt;&gt;"T",ISNUMBER(FIND("V",I135))),1,0),NA())+IF(H135="Y",IF(AND(N135="P",ISNUMBER(FIND("Z",I135))),2,1),0)+IF(J135="Y",1,0)+IF(K135="Y",3,0)+IF(BE135="Lore",L135*2+Experience!$D$25,0)+IF(M135="Y",1,0)</f>
        <v>#N/A</v>
      </c>
      <c r="X135" s="1099"/>
      <c r="Y135" s="1100">
        <f ca="1">IF(P135="NS",IFERROR(INDIRECT(S135),NA()),VLOOKUP(INDIRECT(P135)+INDIRECT(S135),'System Lookups'!$A$3:$D$146,2))</f>
        <v>0.04</v>
      </c>
      <c r="Z135" s="1100">
        <f t="shared" si="163"/>
        <v>0</v>
      </c>
      <c r="AA135" s="1101">
        <f t="shared" ca="1" si="164"/>
        <v>0.04</v>
      </c>
      <c r="AB135" s="1102">
        <f>VLOOKUP(V135,'System Lookups'!$J$55:$P$64,3)</f>
        <v>0.2</v>
      </c>
      <c r="AC135" s="1103">
        <f>VLOOKUP(V135,'System Lookups'!$J$55:$P$64,4)</f>
        <v>0.3</v>
      </c>
      <c r="AD135" s="1104">
        <f t="shared" ca="1" si="165"/>
        <v>0.24000000000000002</v>
      </c>
      <c r="AE135" s="1094">
        <f ca="1">(IF(AD135&gt;VLOOKUP(V135,'System Lookups'!$J$55:$P$63,6),(((AD135-VLOOKUP(V135,'System Lookups'!$J$55:$P$63,6))*100)/20),0))+AF135</f>
        <v>0</v>
      </c>
      <c r="AF135" s="1121"/>
      <c r="AG135" s="1092">
        <f t="shared" si="166"/>
        <v>0</v>
      </c>
      <c r="AH135" s="1092" t="str">
        <f>IF(X135&lt;=Experience!$R$15+1,"","*")</f>
        <v/>
      </c>
      <c r="AI135" s="1092"/>
      <c r="AJ135" s="1080">
        <f t="shared" si="167"/>
        <v>0</v>
      </c>
      <c r="AK135" s="1080">
        <f t="shared" si="168"/>
        <v>0</v>
      </c>
      <c r="AL135" s="1080">
        <f t="shared" si="169"/>
        <v>0</v>
      </c>
      <c r="AM135" s="1092">
        <f t="shared" si="170"/>
        <v>0</v>
      </c>
      <c r="AN135" s="1080">
        <f t="shared" si="171"/>
        <v>0</v>
      </c>
      <c r="AO135" s="1080">
        <f t="shared" si="172"/>
        <v>0</v>
      </c>
      <c r="AP135" s="1080">
        <f t="shared" si="173"/>
        <v>0</v>
      </c>
      <c r="AQ135" s="1027">
        <f>VLOOKUP(V135,'System Lookups'!$J$55:$P$64,7)</f>
        <v>600</v>
      </c>
      <c r="AR135" s="1080" t="str">
        <f ca="1">IF(AND(NOT(ISBLANK(AJ135)),ISNA(MATCH(ROW(),'System Lookups'!$C$526:$C$539,0))),"Y","N")</f>
        <v>Y</v>
      </c>
      <c r="AS135" s="1080">
        <f t="shared" si="174"/>
        <v>0</v>
      </c>
      <c r="AU135" s="1080" t="e">
        <f t="shared" si="148"/>
        <v>#N/A</v>
      </c>
      <c r="AV135" s="1080" t="str">
        <f t="shared" si="145"/>
        <v>S</v>
      </c>
      <c r="AW135" s="1080">
        <f t="shared" si="151"/>
        <v>0</v>
      </c>
      <c r="AX135" s="1080">
        <f t="shared" si="152"/>
        <v>0</v>
      </c>
      <c r="AY135" s="1080">
        <f t="shared" si="153"/>
        <v>0</v>
      </c>
      <c r="AZ135" s="1080">
        <f t="shared" si="154"/>
        <v>0</v>
      </c>
      <c r="BA135" s="1080">
        <f t="shared" si="150"/>
        <v>0</v>
      </c>
      <c r="BB135" s="1080">
        <f>IF(AND(RACE=1,'Main Creation Page'!$E$6="Well",OR(ISNUMBER(FIND(Experience!$G$11,BE135)),ISNUMBER(FIND(Experience!$G$11,BF135)),ISNUMBER(FIND(Experience!$I$11,BE135)),ISNUMBER(FIND(Experience!$I$11,BF135)))),1,0)</f>
        <v>0</v>
      </c>
      <c r="BC135" s="1080" t="str">
        <f t="shared" si="179"/>
        <v>Con</v>
      </c>
      <c r="BE135" s="1080" t="str">
        <f t="shared" si="146"/>
        <v/>
      </c>
      <c r="BF135" s="1080" t="str">
        <f t="shared" si="147"/>
        <v>Charismatic Skills</v>
      </c>
      <c r="BH135" s="1080"/>
    </row>
    <row r="136" spans="1:60" ht="11.1" customHeight="1" outlineLevel="1">
      <c r="A136" s="1117" t="s">
        <v>5523</v>
      </c>
      <c r="B136" s="1094"/>
      <c r="C136" s="1094" t="s">
        <v>4629</v>
      </c>
      <c r="D136" s="1094"/>
      <c r="E136" s="1095" t="s">
        <v>5224</v>
      </c>
      <c r="F136" s="1095" t="str">
        <f>IF('Main Creation Page'!$C$3=3, IF('Main Creation Page'!E26="Konung","R", "N"),"N")</f>
        <v>N</v>
      </c>
      <c r="G136" s="1096">
        <v>0</v>
      </c>
      <c r="H136" s="1096" t="s">
        <v>5224</v>
      </c>
      <c r="I136" s="1096" t="s">
        <v>5224</v>
      </c>
      <c r="J136" s="1096" t="s">
        <v>5224</v>
      </c>
      <c r="K136" s="1096" t="s">
        <v>5224</v>
      </c>
      <c r="L136" s="1096" t="s">
        <v>5224</v>
      </c>
      <c r="M136" s="1096" t="s">
        <v>5224</v>
      </c>
      <c r="N136" s="1096" t="s">
        <v>4630</v>
      </c>
      <c r="O136" s="1097"/>
      <c r="P136" s="1097" t="s">
        <v>3612</v>
      </c>
      <c r="Q136" s="1097">
        <f t="shared" ca="1" si="160"/>
        <v>10</v>
      </c>
      <c r="R136" s="1097"/>
      <c r="S136" s="1028" t="s">
        <v>3616</v>
      </c>
      <c r="T136" s="1097">
        <f t="shared" ca="1" si="161"/>
        <v>17</v>
      </c>
      <c r="U136" s="1027">
        <f ca="1">IF('Main Creation Page'!K4=3,3,IF('Main Creation Page'!K4=1,6,4))-IF('Main Creation Page'!K4=3,IF('Main Creation Page'!E11+'Main Creation Page'!E13&gt;24,1,0),0)-IF(AND('Main Creation Page'!K4=3,'Main Creation Page'!C26&gt;75),IF('Main Creation Page'!E11+'Main Creation Page'!E13&gt;19,1,0),0)-IF(OR('Main Creation Page'!K4=1,'Main Creation Page'!K4=2),IF('Main Creation Page'!E11+'Main Creation Page'!E13&gt;29,1,0),0)-IF(AND(OR('Main Creation Page'!K4=1,'Main Creation Page'!K4=2),'Main Creation Page'!C26&gt;75),IF('Main Creation Page'!E11+'Main Creation Page'!E13&gt;25,1,0),0)-IF(AD393&gt;0,1,0)</f>
        <v>3</v>
      </c>
      <c r="V136" s="1027">
        <f t="shared" ca="1" si="162"/>
        <v>3</v>
      </c>
      <c r="W136" s="1098" t="e">
        <f ca="1">IF(OR(I136&lt;&gt;"N",E136="C"),IF(AND(N136&lt;&gt;"T",ISNUMBER(FIND("V",I136))),1,0),NA())+IF(H136="Y",IF(AND(N136="P",ISNUMBER(FIND("Z",I136))),2,1),0)+IF(J136="Y",1,0)+IF(K136="Y",3,0)+IF(BE136="Lore",L136*2+Experience!$D$25,0)+IF(M136="Y",1,0)</f>
        <v>#N/A</v>
      </c>
      <c r="X136" s="1099"/>
      <c r="Y136" s="1100">
        <f ca="1">IF(P136="NS",IFERROR(INDIRECT(S136),NA()),VLOOKUP(INDIRECT(P136)+INDIRECT(S136),'System Lookups'!$A$3:$D$146,2))</f>
        <v>0.04</v>
      </c>
      <c r="Z136" s="1100">
        <f t="shared" ca="1" si="163"/>
        <v>0</v>
      </c>
      <c r="AA136" s="1101">
        <f t="shared" ca="1" si="164"/>
        <v>0.04</v>
      </c>
      <c r="AB136" s="1102">
        <f ca="1">VLOOKUP(V136,'System Lookups'!$J$55:$P$64,3)</f>
        <v>0.3</v>
      </c>
      <c r="AC136" s="1103">
        <f ca="1">VLOOKUP(V136,'System Lookups'!$J$55:$P$64,4)</f>
        <v>0.4</v>
      </c>
      <c r="AD136" s="1104">
        <f t="shared" ca="1" si="165"/>
        <v>0.33999999999999997</v>
      </c>
      <c r="AE136" s="1094">
        <f ca="1">(IF(AD136&gt;VLOOKUP(V136,'System Lookups'!$J$55:$P$63,6),(((AD136-VLOOKUP(V136,'System Lookups'!$J$55:$P$63,6))*100)/20),0))+AF136</f>
        <v>0</v>
      </c>
      <c r="AF136" s="1121"/>
      <c r="AG136" s="1092">
        <f t="shared" si="166"/>
        <v>0</v>
      </c>
      <c r="AH136" s="1092" t="str">
        <f>IF(X136&lt;=Experience!$R$15+1,"","*")</f>
        <v/>
      </c>
      <c r="AI136" s="1092"/>
      <c r="AJ136" s="1080">
        <f t="shared" si="167"/>
        <v>0</v>
      </c>
      <c r="AK136" s="1080">
        <f t="shared" si="168"/>
        <v>0</v>
      </c>
      <c r="AL136" s="1080">
        <f t="shared" si="169"/>
        <v>0</v>
      </c>
      <c r="AM136" s="1092">
        <f t="shared" si="170"/>
        <v>0</v>
      </c>
      <c r="AN136" s="1080">
        <f t="shared" si="171"/>
        <v>0</v>
      </c>
      <c r="AO136" s="1080">
        <f t="shared" si="172"/>
        <v>0</v>
      </c>
      <c r="AP136" s="1080">
        <f t="shared" si="173"/>
        <v>0</v>
      </c>
      <c r="AQ136" s="1027">
        <f ca="1">VLOOKUP(V136,'System Lookups'!$J$55:$P$64,7)</f>
        <v>500</v>
      </c>
      <c r="AR136" s="1080" t="str">
        <f ca="1">IF(AND(NOT(ISBLANK(AJ136)),ISNA(MATCH(ROW(),'System Lookups'!$C$526:$C$539,0))),"Y","N")</f>
        <v>Y</v>
      </c>
      <c r="AS136" s="1080">
        <f t="shared" si="174"/>
        <v>0</v>
      </c>
      <c r="AU136" s="1080" t="e">
        <f t="shared" ca="1" si="148"/>
        <v>#N/A</v>
      </c>
      <c r="AV136" s="1080" t="str">
        <f t="shared" ca="1" si="145"/>
        <v>S</v>
      </c>
      <c r="AW136" s="1080">
        <f t="shared" si="151"/>
        <v>0</v>
      </c>
      <c r="AX136" s="1080">
        <f t="shared" si="152"/>
        <v>0</v>
      </c>
      <c r="AY136" s="1080">
        <f t="shared" si="153"/>
        <v>0</v>
      </c>
      <c r="AZ136" s="1080">
        <f t="shared" si="154"/>
        <v>0</v>
      </c>
      <c r="BA136" s="1080">
        <f t="shared" si="150"/>
        <v>0</v>
      </c>
      <c r="BB136" s="1080">
        <f ca="1">IF(AND(RACE=1,'Main Creation Page'!$E$6="Well",OR(ISNUMBER(FIND(Experience!$G$11,BE136)),ISNUMBER(FIND(Experience!$G$11,BF136)),ISNUMBER(FIND(Experience!$I$11,BE136)),ISNUMBER(FIND(Experience!$I$11,BF136)))),1,0)</f>
        <v>0</v>
      </c>
      <c r="BC136" s="1080" t="str">
        <f t="shared" si="179"/>
        <v>Diplomacy &amp; Politics</v>
      </c>
      <c r="BE136" s="1080" t="str">
        <f t="shared" ca="1" si="146"/>
        <v/>
      </c>
      <c r="BF136" s="1080" t="str">
        <f t="shared" ca="1" si="147"/>
        <v>Charismatic Skills</v>
      </c>
      <c r="BH136" s="1080"/>
    </row>
    <row r="137" spans="1:60" ht="11.1" customHeight="1" outlineLevel="1">
      <c r="A137" s="1123" t="s">
        <v>1450</v>
      </c>
      <c r="B137" s="1094"/>
      <c r="C137" s="1094" t="s">
        <v>4629</v>
      </c>
      <c r="D137" s="1094"/>
      <c r="E137" s="1095" t="s">
        <v>5224</v>
      </c>
      <c r="F137" s="1095" t="s">
        <v>5224</v>
      </c>
      <c r="G137" s="1096">
        <v>0</v>
      </c>
      <c r="H137" s="1096" t="s">
        <v>5224</v>
      </c>
      <c r="I137" s="1096" t="s">
        <v>5224</v>
      </c>
      <c r="J137" s="1096" t="s">
        <v>5224</v>
      </c>
      <c r="K137" s="1096" t="s">
        <v>5224</v>
      </c>
      <c r="L137" s="1096" t="s">
        <v>5224</v>
      </c>
      <c r="M137" s="1096" t="s">
        <v>5224</v>
      </c>
      <c r="N137" s="1096" t="s">
        <v>4630</v>
      </c>
      <c r="O137" s="1097"/>
      <c r="P137" s="1097" t="s">
        <v>3612</v>
      </c>
      <c r="Q137" s="1097">
        <f t="shared" ca="1" si="160"/>
        <v>10</v>
      </c>
      <c r="R137" s="1097"/>
      <c r="S137" s="1028" t="s">
        <v>3613</v>
      </c>
      <c r="T137" s="1097">
        <f t="shared" ca="1" si="161"/>
        <v>15</v>
      </c>
      <c r="U137" s="1027">
        <v>3</v>
      </c>
      <c r="V137" s="1027">
        <f t="shared" si="162"/>
        <v>3</v>
      </c>
      <c r="W137" s="1098" t="e">
        <f ca="1">IF(OR(I137&lt;&gt;"N",E137="C"),IF(AND(N137&lt;&gt;"T",ISNUMBER(FIND("V",I137))),1,0),NA())+IF(H137="Y",IF(AND(N137="P",ISNUMBER(FIND("Z",I137))),2,1),0)+IF(J137="Y",1,0)+IF(K137="Y",3,0)+IF(BE137="Lore",L137*2+Experience!$D$25,0)+IF(M137="Y",1,0)</f>
        <v>#N/A</v>
      </c>
      <c r="X137" s="1099"/>
      <c r="Y137" s="1100">
        <f ca="1">IF(P137="NS",IFERROR(INDIRECT(S137),NA()),VLOOKUP(INDIRECT(P137)+INDIRECT(S137),'System Lookups'!$A$3:$D$146,2))</f>
        <v>0.02</v>
      </c>
      <c r="Z137" s="1100">
        <f t="shared" ca="1" si="163"/>
        <v>0</v>
      </c>
      <c r="AA137" s="1101">
        <f t="shared" ca="1" si="164"/>
        <v>0.02</v>
      </c>
      <c r="AB137" s="1102">
        <f>VLOOKUP(V137,'System Lookups'!$J$55:$P$64,3)</f>
        <v>0.3</v>
      </c>
      <c r="AC137" s="1103">
        <f>VLOOKUP(V137,'System Lookups'!$J$55:$P$64,4)</f>
        <v>0.4</v>
      </c>
      <c r="AD137" s="1104">
        <f t="shared" ca="1" si="165"/>
        <v>0.32</v>
      </c>
      <c r="AE137" s="1094">
        <f ca="1">(IF(AD137&gt;VLOOKUP(V137,'System Lookups'!$J$55:$P$63,6),(((AD137-VLOOKUP(V137,'System Lookups'!$J$55:$P$63,6))*100)/20),0))+AF137</f>
        <v>0</v>
      </c>
      <c r="AF137" s="1121"/>
      <c r="AG137" s="1092">
        <f t="shared" si="166"/>
        <v>0</v>
      </c>
      <c r="AH137" s="1092" t="str">
        <f>IF(X137&lt;=Experience!$R$15+1,"","*")</f>
        <v/>
      </c>
      <c r="AI137" s="1092"/>
      <c r="AJ137" s="1080">
        <f t="shared" si="167"/>
        <v>0</v>
      </c>
      <c r="AK137" s="1080">
        <f t="shared" si="168"/>
        <v>0</v>
      </c>
      <c r="AL137" s="1080">
        <f t="shared" si="169"/>
        <v>0</v>
      </c>
      <c r="AM137" s="1092">
        <f t="shared" si="170"/>
        <v>0</v>
      </c>
      <c r="AN137" s="1080">
        <f t="shared" si="171"/>
        <v>0</v>
      </c>
      <c r="AO137" s="1080">
        <f t="shared" si="172"/>
        <v>0</v>
      </c>
      <c r="AP137" s="1080">
        <f t="shared" si="173"/>
        <v>0</v>
      </c>
      <c r="AQ137" s="1027">
        <f>VLOOKUP(V137,'System Lookups'!$J$55:$P$64,7)</f>
        <v>500</v>
      </c>
      <c r="AR137" s="1080" t="str">
        <f ca="1">IF(AND(NOT(ISBLANK(AJ137)),ISNA(MATCH(ROW(),'System Lookups'!$C$526:$C$539,0))),"Y","N")</f>
        <v>Y</v>
      </c>
      <c r="AS137" s="1080">
        <f t="shared" si="174"/>
        <v>0</v>
      </c>
      <c r="AU137" s="1080" t="e">
        <f t="shared" ca="1" si="148"/>
        <v>#N/A</v>
      </c>
      <c r="AV137" s="1080" t="str">
        <f t="shared" si="145"/>
        <v>S</v>
      </c>
      <c r="AW137" s="1080">
        <f t="shared" si="151"/>
        <v>0</v>
      </c>
      <c r="AX137" s="1080">
        <f t="shared" si="152"/>
        <v>0</v>
      </c>
      <c r="AY137" s="1080">
        <f t="shared" si="153"/>
        <v>0</v>
      </c>
      <c r="AZ137" s="1080">
        <f t="shared" si="154"/>
        <v>0</v>
      </c>
      <c r="BA137" s="1080">
        <f t="shared" si="150"/>
        <v>0</v>
      </c>
      <c r="BB137" s="1080">
        <f ca="1">IF(AND(RACE=1,'Main Creation Page'!$E$6="Well",OR(ISNUMBER(FIND(Experience!$G$11,BE137)),ISNUMBER(FIND(Experience!$G$11,BF137)),ISNUMBER(FIND(Experience!$I$11,BE137)),ISNUMBER(FIND(Experience!$I$11,BF137)))),1,0)</f>
        <v>0</v>
      </c>
      <c r="BC137" s="1080" t="str">
        <f t="shared" si="179"/>
        <v>Flirting</v>
      </c>
      <c r="BE137" s="1080" t="str">
        <f t="shared" ca="1" si="146"/>
        <v/>
      </c>
      <c r="BF137" s="1080" t="str">
        <f t="shared" ca="1" si="147"/>
        <v>Charismatic Skills</v>
      </c>
      <c r="BH137" s="1080"/>
    </row>
    <row r="138" spans="1:60" ht="11.1" customHeight="1" outlineLevel="1">
      <c r="A138" s="1123" t="s">
        <v>2534</v>
      </c>
      <c r="B138" s="1094"/>
      <c r="C138" s="1094" t="s">
        <v>4629</v>
      </c>
      <c r="D138" s="1094"/>
      <c r="E138" s="1095" t="s">
        <v>5224</v>
      </c>
      <c r="F138" s="1095" t="s">
        <v>5224</v>
      </c>
      <c r="G138" s="1096">
        <v>0</v>
      </c>
      <c r="H138" s="1096" t="s">
        <v>5224</v>
      </c>
      <c r="I138" s="1096" t="s">
        <v>5224</v>
      </c>
      <c r="J138" s="1096" t="s">
        <v>5224</v>
      </c>
      <c r="K138" s="1096" t="s">
        <v>5224</v>
      </c>
      <c r="L138" s="1096" t="s">
        <v>5224</v>
      </c>
      <c r="M138" s="1096" t="s">
        <v>5224</v>
      </c>
      <c r="N138" s="1096" t="s">
        <v>4630</v>
      </c>
      <c r="O138" s="1097"/>
      <c r="P138" s="1097" t="s">
        <v>3612</v>
      </c>
      <c r="Q138" s="1097">
        <f t="shared" ca="1" si="160"/>
        <v>10</v>
      </c>
      <c r="R138" s="1097"/>
      <c r="S138" s="1028" t="s">
        <v>3616</v>
      </c>
      <c r="T138" s="1097">
        <f t="shared" ca="1" si="161"/>
        <v>17</v>
      </c>
      <c r="U138" s="1027">
        <v>5</v>
      </c>
      <c r="V138" s="1027">
        <f t="shared" si="162"/>
        <v>5</v>
      </c>
      <c r="W138" s="1098" t="e">
        <f ca="1">IF(OR(I138&lt;&gt;"N",E138="C"),IF(AND(N138&lt;&gt;"T",ISNUMBER(FIND("V",I138))),1,0),NA())+IF(H138="Y",IF(AND(N138="P",ISNUMBER(FIND("Z",I138))),2,1),0)+IF(J138="Y",1,0)+IF(K138="Y",3,0)+IF(BE138="Lore",L138*2+Experience!$D$25,0)+IF(M138="Y",1,0)</f>
        <v>#N/A</v>
      </c>
      <c r="X138" s="1099"/>
      <c r="Y138" s="1100">
        <f ca="1">IF(P138="NS",IFERROR(INDIRECT(S138),NA()),VLOOKUP(INDIRECT(P138)+INDIRECT(S138),'System Lookups'!$A$3:$D$146,2))</f>
        <v>0.04</v>
      </c>
      <c r="Z138" s="1100">
        <f t="shared" ca="1" si="163"/>
        <v>0</v>
      </c>
      <c r="AA138" s="1101">
        <f ca="1">IF(ISNA(Y138),0,Y138)+Z138</f>
        <v>0.04</v>
      </c>
      <c r="AB138" s="1102">
        <f>VLOOKUP(V138,'System Lookups'!$J$55:$P$64,3)</f>
        <v>0.1</v>
      </c>
      <c r="AC138" s="1103">
        <f>VLOOKUP(V138,'System Lookups'!$J$55:$P$64,4)</f>
        <v>0.2</v>
      </c>
      <c r="AD138" s="1104">
        <f t="shared" ca="1" si="165"/>
        <v>0.14000000000000001</v>
      </c>
      <c r="AE138" s="1094">
        <f ca="1">(IF(AD138&gt;VLOOKUP(V138,'System Lookups'!$J$55:$P$63,6),(((AD138-VLOOKUP(V138,'System Lookups'!$J$55:$P$63,6))*100)/20),0))+AF138</f>
        <v>0</v>
      </c>
      <c r="AF138" s="1121"/>
      <c r="AG138" s="1092">
        <f t="shared" si="166"/>
        <v>0</v>
      </c>
      <c r="AH138" s="1092" t="str">
        <f>IF(X138&lt;=Experience!$R$15+1,"","*")</f>
        <v/>
      </c>
      <c r="AI138" s="1092"/>
      <c r="AJ138" s="1080">
        <f t="shared" si="167"/>
        <v>0</v>
      </c>
      <c r="AK138" s="1080">
        <f>IF(F138="s",-2,0)</f>
        <v>0</v>
      </c>
      <c r="AL138" s="1080">
        <f t="shared" si="169"/>
        <v>0</v>
      </c>
      <c r="AM138" s="1092">
        <f>IF(J138="y",1,0)</f>
        <v>0</v>
      </c>
      <c r="AN138" s="1080">
        <f>IF(N138="P",-1,IF(N138="T",1,0))</f>
        <v>0</v>
      </c>
      <c r="AO138" s="1080">
        <f t="shared" si="172"/>
        <v>0</v>
      </c>
      <c r="AP138" s="1080">
        <f t="shared" si="173"/>
        <v>0</v>
      </c>
      <c r="AQ138" s="1027">
        <f>VLOOKUP(V138,'System Lookups'!$J$55:$P$64,7)</f>
        <v>700</v>
      </c>
      <c r="AR138" s="1080" t="str">
        <f ca="1">IF(AND(NOT(ISBLANK(AJ138)),ISNA(MATCH(ROW(),'System Lookups'!$C$526:$C$539,0))),"Y","N")</f>
        <v>Y</v>
      </c>
      <c r="AS138" s="1080">
        <f t="shared" si="174"/>
        <v>0</v>
      </c>
      <c r="AU138" s="1080" t="e">
        <f t="shared" ca="1" si="148"/>
        <v>#N/A</v>
      </c>
      <c r="AV138" s="1080" t="str">
        <f t="shared" si="145"/>
        <v>S</v>
      </c>
      <c r="AW138" s="1080">
        <f t="shared" si="151"/>
        <v>0</v>
      </c>
      <c r="AX138" s="1080">
        <f t="shared" si="152"/>
        <v>0</v>
      </c>
      <c r="AY138" s="1080">
        <f t="shared" si="153"/>
        <v>0</v>
      </c>
      <c r="AZ138" s="1080">
        <f t="shared" si="154"/>
        <v>0</v>
      </c>
      <c r="BA138" s="1080">
        <f t="shared" si="150"/>
        <v>0</v>
      </c>
      <c r="BB138" s="1080">
        <f ca="1">IF(AND(RACE=1,'Main Creation Page'!$E$6="Well",OR(ISNUMBER(FIND(Experience!$G$11,BE138)),ISNUMBER(FIND(Experience!$G$11,BF138)),ISNUMBER(FIND(Experience!$I$11,BE138)),ISNUMBER(FIND(Experience!$I$11,BF138)))),1,0)</f>
        <v>0</v>
      </c>
      <c r="BC138" s="1080" t="str">
        <f t="shared" si="179"/>
        <v>Hypnosis</v>
      </c>
      <c r="BE138" s="1080" t="str">
        <f t="shared" ca="1" si="146"/>
        <v/>
      </c>
      <c r="BF138" s="1080" t="str">
        <f t="shared" ca="1" si="147"/>
        <v>Charismatic Skills</v>
      </c>
      <c r="BH138" s="1080"/>
    </row>
    <row r="139" spans="1:60" ht="11.1" customHeight="1" outlineLevel="1">
      <c r="A139" s="1123" t="s">
        <v>2067</v>
      </c>
      <c r="B139" s="1094"/>
      <c r="C139" s="1094" t="s">
        <v>4629</v>
      </c>
      <c r="D139" s="1094"/>
      <c r="E139" s="1095" t="s">
        <v>5224</v>
      </c>
      <c r="F139" s="1095" t="s">
        <v>5224</v>
      </c>
      <c r="G139" s="1096">
        <v>0</v>
      </c>
      <c r="H139" s="1096" t="s">
        <v>5224</v>
      </c>
      <c r="I139" s="1096" t="s">
        <v>5224</v>
      </c>
      <c r="J139" s="1096" t="s">
        <v>5224</v>
      </c>
      <c r="K139" s="1096" t="s">
        <v>5224</v>
      </c>
      <c r="L139" s="1096" t="s">
        <v>5224</v>
      </c>
      <c r="M139" s="1096" t="s">
        <v>5224</v>
      </c>
      <c r="N139" s="1096" t="s">
        <v>4630</v>
      </c>
      <c r="O139" s="1097"/>
      <c r="P139" s="1097" t="s">
        <v>3612</v>
      </c>
      <c r="Q139" s="1097">
        <f t="shared" ca="1" si="160"/>
        <v>10</v>
      </c>
      <c r="R139" s="1097"/>
      <c r="S139" s="1028" t="s">
        <v>3616</v>
      </c>
      <c r="T139" s="1097">
        <f t="shared" ca="1" si="161"/>
        <v>17</v>
      </c>
      <c r="U139" s="1027">
        <v>4</v>
      </c>
      <c r="V139" s="1027">
        <f t="shared" si="162"/>
        <v>4</v>
      </c>
      <c r="W139" s="1098" t="e">
        <f ca="1">IF(OR(I139&lt;&gt;"N",E139="C"),IF(AND(N139&lt;&gt;"T",ISNUMBER(FIND("V",I139))),1,0),NA())+IF(H139="Y",IF(AND(N139="P",ISNUMBER(FIND("Z",I139))),2,1),0)+IF(J139="Y",1,0)+IF(K139="Y",3,0)+IF(BE139="Lore",L139*2+Experience!$D$25,0)+IF(M139="Y",1,0)</f>
        <v>#N/A</v>
      </c>
      <c r="X139" s="1099"/>
      <c r="Y139" s="1100">
        <f ca="1">IF(P139="NS",IFERROR(INDIRECT(S139),NA()),VLOOKUP(INDIRECT(P139)+INDIRECT(S139),'System Lookups'!$A$3:$D$146,2))</f>
        <v>0.04</v>
      </c>
      <c r="Z139" s="1100">
        <f t="shared" ca="1" si="163"/>
        <v>0</v>
      </c>
      <c r="AA139" s="1101">
        <f t="shared" ca="1" si="164"/>
        <v>0.04</v>
      </c>
      <c r="AB139" s="1102">
        <f>VLOOKUP(V139,'System Lookups'!$J$55:$P$64,3)</f>
        <v>0.2</v>
      </c>
      <c r="AC139" s="1103">
        <f>VLOOKUP(V139,'System Lookups'!$J$55:$P$64,4)</f>
        <v>0.3</v>
      </c>
      <c r="AD139" s="1104">
        <f t="shared" ca="1" si="165"/>
        <v>0.24000000000000002</v>
      </c>
      <c r="AE139" s="1094">
        <f ca="1">(IF(AD139&gt;VLOOKUP(V139,'System Lookups'!$J$55:$P$63,6),(((AD139-VLOOKUP(V139,'System Lookups'!$J$55:$P$63,6))*100)/20),0))+AF139</f>
        <v>0</v>
      </c>
      <c r="AF139" s="1121"/>
      <c r="AG139" s="1092">
        <f t="shared" si="166"/>
        <v>0</v>
      </c>
      <c r="AH139" s="1092" t="str">
        <f>IF(X139&lt;=Experience!$R$15+1,"","*")</f>
        <v/>
      </c>
      <c r="AI139" s="1092"/>
      <c r="AJ139" s="1080">
        <f t="shared" si="167"/>
        <v>0</v>
      </c>
      <c r="AK139" s="1080">
        <f t="shared" si="168"/>
        <v>0</v>
      </c>
      <c r="AL139" s="1080">
        <f t="shared" si="169"/>
        <v>0</v>
      </c>
      <c r="AM139" s="1092">
        <f t="shared" si="170"/>
        <v>0</v>
      </c>
      <c r="AN139" s="1080">
        <f t="shared" si="171"/>
        <v>0</v>
      </c>
      <c r="AO139" s="1080">
        <f t="shared" si="172"/>
        <v>0</v>
      </c>
      <c r="AP139" s="1080">
        <f t="shared" si="173"/>
        <v>0</v>
      </c>
      <c r="AQ139" s="1027">
        <f>VLOOKUP(V139,'System Lookups'!$J$55:$P$64,7)</f>
        <v>600</v>
      </c>
      <c r="AR139" s="1080" t="str">
        <f ca="1">IF(AND(NOT(ISBLANK(AJ139)),ISNA(MATCH(ROW(),'System Lookups'!$C$526:$C$539,0))),"Y","N")</f>
        <v>Y</v>
      </c>
      <c r="AS139" s="1080">
        <f t="shared" si="174"/>
        <v>0</v>
      </c>
      <c r="AU139" s="1080" t="e">
        <f t="shared" ca="1" si="148"/>
        <v>#N/A</v>
      </c>
      <c r="AV139" s="1080" t="str">
        <f t="shared" si="145"/>
        <v>S</v>
      </c>
      <c r="AW139" s="1080">
        <f t="shared" si="151"/>
        <v>0</v>
      </c>
      <c r="AX139" s="1080">
        <f t="shared" si="152"/>
        <v>0</v>
      </c>
      <c r="AY139" s="1080">
        <f t="shared" si="153"/>
        <v>0</v>
      </c>
      <c r="AZ139" s="1080">
        <f t="shared" si="154"/>
        <v>0</v>
      </c>
      <c r="BA139" s="1080">
        <f t="shared" si="150"/>
        <v>0</v>
      </c>
      <c r="BB139" s="1080">
        <f ca="1">IF(AND(RACE=1,'Main Creation Page'!$E$6="Well",OR(ISNUMBER(FIND(Experience!$G$11,BE139)),ISNUMBER(FIND(Experience!$G$11,BF139)),ISNUMBER(FIND(Experience!$I$11,BE139)),ISNUMBER(FIND(Experience!$I$11,BF139)))),1,0)</f>
        <v>0</v>
      </c>
      <c r="BC139" s="1080" t="str">
        <f t="shared" si="179"/>
        <v>Interrogation</v>
      </c>
      <c r="BE139" s="1080" t="str">
        <f t="shared" ca="1" si="146"/>
        <v/>
      </c>
      <c r="BF139" s="1080" t="str">
        <f t="shared" ca="1" si="147"/>
        <v>Charismatic Skills</v>
      </c>
      <c r="BH139" s="1080"/>
    </row>
    <row r="140" spans="1:60" ht="11.1" customHeight="1" outlineLevel="1">
      <c r="A140" s="1117" t="s">
        <v>5118</v>
      </c>
      <c r="B140" s="1094"/>
      <c r="C140" s="1094" t="s">
        <v>4629</v>
      </c>
      <c r="D140" s="1094"/>
      <c r="E140" s="1095" t="s">
        <v>5224</v>
      </c>
      <c r="F140" s="1095" t="s">
        <v>5224</v>
      </c>
      <c r="G140" s="1096">
        <v>0</v>
      </c>
      <c r="H140" s="1096" t="s">
        <v>5224</v>
      </c>
      <c r="I140" s="1096" t="s">
        <v>5224</v>
      </c>
      <c r="J140" s="1096" t="s">
        <v>5224</v>
      </c>
      <c r="K140" s="1096" t="s">
        <v>5224</v>
      </c>
      <c r="L140" s="1096" t="s">
        <v>5224</v>
      </c>
      <c r="M140" s="1096" t="s">
        <v>5224</v>
      </c>
      <c r="N140" s="1096" t="s">
        <v>4630</v>
      </c>
      <c r="O140" s="1097"/>
      <c r="P140" s="1097" t="s">
        <v>3615</v>
      </c>
      <c r="Q140" s="1097">
        <f t="shared" ca="1" si="160"/>
        <v>20</v>
      </c>
      <c r="R140" s="1097"/>
      <c r="S140" s="1028" t="s">
        <v>3613</v>
      </c>
      <c r="T140" s="1097">
        <f t="shared" ca="1" si="161"/>
        <v>15</v>
      </c>
      <c r="U140" s="1027">
        <v>4</v>
      </c>
      <c r="V140" s="1027">
        <f t="shared" si="162"/>
        <v>4</v>
      </c>
      <c r="W140" s="1098" t="e">
        <f ca="1">IF(OR(I140&lt;&gt;"N",E140="C"),IF(AND(N140&lt;&gt;"T",ISNUMBER(FIND("V",I140))),1,0),NA())+IF(H140="Y",IF(AND(N140="P",ISNUMBER(FIND("Z",I140))),2,1),0)+IF(J140="Y",1,0)+IF(K140="Y",3,0)+IF(BE140="Lore",L140*2+Experience!$D$25,0)+IF(M140="Y",1,0)</f>
        <v>#N/A</v>
      </c>
      <c r="X140" s="1099"/>
      <c r="Y140" s="1100">
        <f ca="1">IF(P140="NS",IFERROR(INDIRECT(S140),NA()),VLOOKUP(INDIRECT(P140)+INDIRECT(S140),'System Lookups'!$A$3:$D$146,2))</f>
        <v>0.12</v>
      </c>
      <c r="Z140" s="1100">
        <f t="shared" ca="1" si="163"/>
        <v>0</v>
      </c>
      <c r="AA140" s="1101">
        <f t="shared" ca="1" si="164"/>
        <v>0.12</v>
      </c>
      <c r="AB140" s="1102">
        <f>VLOOKUP(V140,'System Lookups'!$J$55:$P$64,3)</f>
        <v>0.2</v>
      </c>
      <c r="AC140" s="1103">
        <f>VLOOKUP(V140,'System Lookups'!$J$55:$P$64,4)</f>
        <v>0.3</v>
      </c>
      <c r="AD140" s="1104">
        <f t="shared" ca="1" si="165"/>
        <v>0.32</v>
      </c>
      <c r="AE140" s="1094">
        <f ca="1">(IF(AD140&gt;VLOOKUP(V140,'System Lookups'!$J$55:$P$63,6),(((AD140-VLOOKUP(V140,'System Lookups'!$J$55:$P$63,6))*100)/20),0))+AF140</f>
        <v>0</v>
      </c>
      <c r="AF140" s="1121"/>
      <c r="AG140" s="1092">
        <f t="shared" si="166"/>
        <v>0</v>
      </c>
      <c r="AH140" s="1092" t="str">
        <f>IF(X140&lt;=Experience!$R$15+1,"","*")</f>
        <v/>
      </c>
      <c r="AI140" s="1092"/>
      <c r="AJ140" s="1080">
        <f t="shared" si="167"/>
        <v>0</v>
      </c>
      <c r="AK140" s="1080">
        <f t="shared" si="168"/>
        <v>0</v>
      </c>
      <c r="AL140" s="1080">
        <f t="shared" si="169"/>
        <v>0</v>
      </c>
      <c r="AM140" s="1092">
        <f t="shared" si="170"/>
        <v>0</v>
      </c>
      <c r="AN140" s="1080">
        <f t="shared" si="171"/>
        <v>0</v>
      </c>
      <c r="AO140" s="1080">
        <f t="shared" si="172"/>
        <v>0</v>
      </c>
      <c r="AP140" s="1080">
        <f t="shared" si="173"/>
        <v>0</v>
      </c>
      <c r="AQ140" s="1027">
        <f>VLOOKUP(V140,'System Lookups'!$J$55:$P$64,7)</f>
        <v>600</v>
      </c>
      <c r="AR140" s="1080" t="str">
        <f ca="1">IF(AND(NOT(ISBLANK(AJ140)),ISNA(MATCH(ROW(),'System Lookups'!$C$526:$C$539,0))),"Y","N")</f>
        <v>Y</v>
      </c>
      <c r="AS140" s="1080">
        <f t="shared" si="174"/>
        <v>0</v>
      </c>
      <c r="AU140" s="1080" t="e">
        <f t="shared" ca="1" si="148"/>
        <v>#N/A</v>
      </c>
      <c r="AV140" s="1080" t="str">
        <f t="shared" si="145"/>
        <v>S</v>
      </c>
      <c r="AW140" s="1080">
        <f t="shared" si="151"/>
        <v>0</v>
      </c>
      <c r="AX140" s="1080">
        <f t="shared" si="152"/>
        <v>0</v>
      </c>
      <c r="AY140" s="1080">
        <f t="shared" si="153"/>
        <v>0</v>
      </c>
      <c r="AZ140" s="1080">
        <f t="shared" si="154"/>
        <v>0</v>
      </c>
      <c r="BA140" s="1080">
        <f t="shared" si="150"/>
        <v>0</v>
      </c>
      <c r="BB140" s="1080">
        <f ca="1">IF(AND(RACE=1,'Main Creation Page'!$E$6="Well",OR(ISNUMBER(FIND(Experience!$G$11,BE140)),ISNUMBER(FIND(Experience!$G$11,BF140)),ISNUMBER(FIND(Experience!$I$11,BE140)),ISNUMBER(FIND(Experience!$I$11,BF140)))),1,0)</f>
        <v>0</v>
      </c>
      <c r="BC140" s="1080" t="str">
        <f t="shared" si="179"/>
        <v xml:space="preserve">Intimidation </v>
      </c>
      <c r="BE140" s="1080" t="str">
        <f t="shared" ca="1" si="146"/>
        <v/>
      </c>
      <c r="BF140" s="1080" t="str">
        <f t="shared" ca="1" si="147"/>
        <v>Charismatic Skills</v>
      </c>
      <c r="BH140" s="1080"/>
    </row>
    <row r="141" spans="1:60" ht="11.1" customHeight="1" outlineLevel="1">
      <c r="A141" s="1123" t="s">
        <v>427</v>
      </c>
      <c r="B141" s="1094"/>
      <c r="C141" s="1094" t="s">
        <v>4629</v>
      </c>
      <c r="D141" s="1094"/>
      <c r="E141" s="1095" t="s">
        <v>5224</v>
      </c>
      <c r="F141" s="1095" t="s">
        <v>5224</v>
      </c>
      <c r="G141" s="1096">
        <v>0</v>
      </c>
      <c r="H141" s="1096" t="s">
        <v>5224</v>
      </c>
      <c r="I141" s="1096" t="s">
        <v>5224</v>
      </c>
      <c r="J141" s="1096" t="s">
        <v>5224</v>
      </c>
      <c r="K141" s="1096" t="s">
        <v>5224</v>
      </c>
      <c r="L141" s="1096" t="s">
        <v>5224</v>
      </c>
      <c r="M141" s="1096" t="s">
        <v>5224</v>
      </c>
      <c r="N141" s="1096" t="s">
        <v>4630</v>
      </c>
      <c r="O141" s="1097"/>
      <c r="P141" s="1097" t="s">
        <v>780</v>
      </c>
      <c r="Q141" s="1097">
        <f t="shared" ca="1" si="160"/>
        <v>17</v>
      </c>
      <c r="R141" s="1097"/>
      <c r="S141" s="1028" t="s">
        <v>3616</v>
      </c>
      <c r="T141" s="1097">
        <f t="shared" ca="1" si="161"/>
        <v>17</v>
      </c>
      <c r="U141" s="1027">
        <v>5</v>
      </c>
      <c r="V141" s="1027">
        <f t="shared" si="162"/>
        <v>5</v>
      </c>
      <c r="W141" s="1098" t="e">
        <f ca="1">IF(OR(I141&lt;&gt;"N",E141="C"),IF(AND(N141&lt;&gt;"T",ISNUMBER(FIND("V",I141))),1,0),NA())+IF(H141="Y",IF(AND(N141="P",ISNUMBER(FIND("Z",I141))),2,1),0)+IF(J141="Y",1,0)+IF(K141="Y",3,0)+IF(BE141="Lore",L141*2+Experience!$D$25,0)+IF(M141="Y",1,0)</f>
        <v>#N/A</v>
      </c>
      <c r="X141" s="1099"/>
      <c r="Y141" s="1100">
        <f ca="1">IF(P141="NS",IFERROR(INDIRECT(S141),NA()),VLOOKUP(INDIRECT(P141)+INDIRECT(S141),'System Lookups'!$A$3:$D$146,2))</f>
        <v>0.1</v>
      </c>
      <c r="Z141" s="1100">
        <f t="shared" ca="1" si="163"/>
        <v>0</v>
      </c>
      <c r="AA141" s="1101">
        <f ca="1">IF(ISNA(Y141),0,Y141)+Z141</f>
        <v>0.1</v>
      </c>
      <c r="AB141" s="1102">
        <f>VLOOKUP(V141,'System Lookups'!$J$55:$P$64,3)</f>
        <v>0.1</v>
      </c>
      <c r="AC141" s="1103">
        <f>VLOOKUP(V141,'System Lookups'!$J$55:$P$64,4)</f>
        <v>0.2</v>
      </c>
      <c r="AD141" s="1104">
        <f t="shared" ca="1" si="165"/>
        <v>0.2</v>
      </c>
      <c r="AE141" s="1094">
        <f ca="1">(IF(AD141&gt;VLOOKUP(V141,'System Lookups'!$J$55:$P$63,6),(((AD141-VLOOKUP(V141,'System Lookups'!$J$55:$P$63,6))*100)/20),0))+AF141</f>
        <v>0</v>
      </c>
      <c r="AF141" s="1121"/>
      <c r="AG141" s="1092">
        <f t="shared" si="166"/>
        <v>0</v>
      </c>
      <c r="AH141" s="1092" t="str">
        <f>IF(X141&lt;=Experience!$R$15+1,"","*")</f>
        <v/>
      </c>
      <c r="AI141" s="1092"/>
      <c r="AJ141" s="1080">
        <f t="shared" si="167"/>
        <v>0</v>
      </c>
      <c r="AK141" s="1080">
        <f>IF(F141="s",-2,0)</f>
        <v>0</v>
      </c>
      <c r="AL141" s="1080">
        <f t="shared" si="169"/>
        <v>0</v>
      </c>
      <c r="AM141" s="1092">
        <f>IF(J141="y",1,0)</f>
        <v>0</v>
      </c>
      <c r="AN141" s="1080">
        <f>IF(N141="P",-1,IF(N141="T",1,0))</f>
        <v>0</v>
      </c>
      <c r="AO141" s="1080">
        <f t="shared" si="172"/>
        <v>0</v>
      </c>
      <c r="AP141" s="1080">
        <f t="shared" si="173"/>
        <v>0</v>
      </c>
      <c r="AQ141" s="1027">
        <f>VLOOKUP(V141,'System Lookups'!$J$55:$P$64,7)</f>
        <v>700</v>
      </c>
      <c r="AR141" s="1080" t="str">
        <f ca="1">IF(AND(NOT(ISBLANK(AJ141)),ISNA(MATCH(ROW(),'System Lookups'!$C$526:$C$539,0))),"Y","N")</f>
        <v>Y</v>
      </c>
      <c r="AS141" s="1080">
        <f t="shared" si="174"/>
        <v>0</v>
      </c>
      <c r="AU141" s="1080" t="e">
        <f t="shared" ca="1" si="148"/>
        <v>#N/A</v>
      </c>
      <c r="AV141" s="1080" t="str">
        <f t="shared" si="145"/>
        <v>S</v>
      </c>
      <c r="AW141" s="1080">
        <f t="shared" si="151"/>
        <v>0</v>
      </c>
      <c r="AX141" s="1080">
        <f t="shared" si="152"/>
        <v>0</v>
      </c>
      <c r="AY141" s="1080">
        <f t="shared" si="153"/>
        <v>0</v>
      </c>
      <c r="AZ141" s="1080">
        <f t="shared" si="154"/>
        <v>0</v>
      </c>
      <c r="BA141" s="1080">
        <f t="shared" si="150"/>
        <v>0</v>
      </c>
      <c r="BB141" s="1080">
        <f ca="1">IF(AND(RACE=1,'Main Creation Page'!$E$6="Well",OR(ISNUMBER(FIND(Experience!$G$11,BE141)),ISNUMBER(FIND(Experience!$G$11,BF141)),ISNUMBER(FIND(Experience!$I$11,BE141)),ISNUMBER(FIND(Experience!$I$11,BF141)))),1,0)</f>
        <v>0</v>
      </c>
      <c r="BC141" s="1080" t="str">
        <f t="shared" si="179"/>
        <v>Intrigue</v>
      </c>
      <c r="BE141" s="1080" t="str">
        <f t="shared" ca="1" si="146"/>
        <v/>
      </c>
      <c r="BF141" s="1080" t="str">
        <f t="shared" ca="1" si="147"/>
        <v>Charismatic Skills</v>
      </c>
      <c r="BH141" s="1080"/>
    </row>
    <row r="142" spans="1:60" ht="11.1" customHeight="1" outlineLevel="1">
      <c r="A142" s="1117" t="s">
        <v>5119</v>
      </c>
      <c r="B142" s="1094"/>
      <c r="C142" s="1094" t="s">
        <v>4629</v>
      </c>
      <c r="D142" s="1094"/>
      <c r="E142" s="1095" t="s">
        <v>5224</v>
      </c>
      <c r="F142" s="1095" t="str">
        <f>IF('Main Creation Page'!$C$3=2,IF('Main Creation Page'!$E$26="Great Elf","R",IF('Main Creation Page'!$E$26="True Elf","R","N")),IF('Main Creation Page'!$C$3=3,IF('Main Creation Page'!$E$26="Outcast","N",IF('Main Creation Page'!$E$26="Clan Dwarf","N","R")),"N"))</f>
        <v>N</v>
      </c>
      <c r="G142" s="1096">
        <v>0</v>
      </c>
      <c r="H142" s="1096" t="s">
        <v>5224</v>
      </c>
      <c r="I142" s="1096" t="s">
        <v>5224</v>
      </c>
      <c r="J142" s="1096" t="s">
        <v>5224</v>
      </c>
      <c r="K142" s="1096" t="s">
        <v>5224</v>
      </c>
      <c r="L142" s="1096" t="s">
        <v>5224</v>
      </c>
      <c r="M142" s="1096" t="s">
        <v>5224</v>
      </c>
      <c r="N142" s="1096" t="s">
        <v>4627</v>
      </c>
      <c r="O142" s="1097"/>
      <c r="P142" s="1097" t="s">
        <v>3612</v>
      </c>
      <c r="Q142" s="1097">
        <f t="shared" ca="1" si="160"/>
        <v>10</v>
      </c>
      <c r="R142" s="1097"/>
      <c r="S142" s="1028" t="s">
        <v>3613</v>
      </c>
      <c r="T142" s="1097">
        <f t="shared" ca="1" si="161"/>
        <v>15</v>
      </c>
      <c r="U142" s="1027">
        <f ca="1">IF('Main Creation Page'!K4=1,6,4)-IF('Main Creation Page'!E11+'Main Creation Page'!E13&gt;29,1,0)-IF('Main Creation Page'!C26&gt;75,IF('Main Creation Page'!E11+'Main Creation Page'!E13&gt;25,1,0),0)-IF(AD393&gt;0,1,0)</f>
        <v>3</v>
      </c>
      <c r="V142" s="1027">
        <f t="shared" ca="1" si="162"/>
        <v>2</v>
      </c>
      <c r="W142" s="1098" t="e">
        <f ca="1">IF(OR(I142&lt;&gt;"N",E142="C"),IF(AND(N142&lt;&gt;"T",ISNUMBER(FIND("V",I142))),1,0),NA())+IF(H142="Y",IF(AND(N142="P",ISNUMBER(FIND("Z",I142))),2,1),0)+IF(J142="Y",1,0)+IF(K142="Y",3,0)+IF(BE142="Lore",L142*2+Experience!$D$25,0)+IF(M142="Y",1,0)</f>
        <v>#N/A</v>
      </c>
      <c r="X142" s="1099"/>
      <c r="Y142" s="1100">
        <f ca="1">IF(P142="NS",IFERROR(INDIRECT(S142),NA()),VLOOKUP(INDIRECT(P142)+INDIRECT(S142),'System Lookups'!$A$3:$D$146,2))</f>
        <v>0.02</v>
      </c>
      <c r="Z142" s="1100">
        <f t="shared" ca="1" si="163"/>
        <v>0</v>
      </c>
      <c r="AA142" s="1101">
        <f t="shared" ca="1" si="164"/>
        <v>0.02</v>
      </c>
      <c r="AB142" s="1102">
        <f ca="1">VLOOKUP(V142,'System Lookups'!$J$55:$P$64,3)</f>
        <v>0.4</v>
      </c>
      <c r="AC142" s="1103">
        <f ca="1">VLOOKUP(V142,'System Lookups'!$J$55:$P$64,4)</f>
        <v>0.5</v>
      </c>
      <c r="AD142" s="1104">
        <f t="shared" ca="1" si="165"/>
        <v>0.42000000000000004</v>
      </c>
      <c r="AE142" s="1094">
        <f ca="1">(IF(AD142&gt;VLOOKUP(V142,'System Lookups'!$J$55:$P$63,6),(((AD142-VLOOKUP(V142,'System Lookups'!$J$55:$P$63,6))*100)/20),0))+AF142</f>
        <v>0</v>
      </c>
      <c r="AF142" s="1121"/>
      <c r="AG142" s="1092">
        <f t="shared" si="166"/>
        <v>0</v>
      </c>
      <c r="AH142" s="1092" t="str">
        <f>IF(X142&lt;=Experience!$R$15+1,"","*")</f>
        <v/>
      </c>
      <c r="AI142" s="1092"/>
      <c r="AJ142" s="1080">
        <f t="shared" si="167"/>
        <v>0</v>
      </c>
      <c r="AK142" s="1080">
        <f t="shared" si="168"/>
        <v>0</v>
      </c>
      <c r="AL142" s="1080">
        <f t="shared" si="169"/>
        <v>0</v>
      </c>
      <c r="AM142" s="1092">
        <f t="shared" si="170"/>
        <v>0</v>
      </c>
      <c r="AN142" s="1080">
        <f t="shared" si="171"/>
        <v>-1</v>
      </c>
      <c r="AO142" s="1080">
        <f t="shared" si="172"/>
        <v>0</v>
      </c>
      <c r="AP142" s="1080">
        <f t="shared" si="173"/>
        <v>-1</v>
      </c>
      <c r="AQ142" s="1027">
        <f ca="1">VLOOKUP(V142,'System Lookups'!$J$55:$P$64,7)</f>
        <v>400</v>
      </c>
      <c r="AR142" s="1080" t="str">
        <f ca="1">IF(AND(NOT(ISBLANK(AJ142)),ISNA(MATCH(ROW(),'System Lookups'!$C$526:$C$539,0))),"Y","N")</f>
        <v>Y</v>
      </c>
      <c r="AS142" s="1080">
        <f t="shared" si="174"/>
        <v>0</v>
      </c>
      <c r="AU142" s="1080" t="e">
        <f t="shared" ca="1" si="148"/>
        <v>#N/A</v>
      </c>
      <c r="AV142" s="1080" t="str">
        <f t="shared" ca="1" si="145"/>
        <v>P</v>
      </c>
      <c r="AW142" s="1080">
        <f t="shared" si="151"/>
        <v>0</v>
      </c>
      <c r="AX142" s="1080">
        <f t="shared" si="152"/>
        <v>0</v>
      </c>
      <c r="AY142" s="1080">
        <f t="shared" si="153"/>
        <v>0</v>
      </c>
      <c r="AZ142" s="1080">
        <f t="shared" si="154"/>
        <v>0</v>
      </c>
      <c r="BA142" s="1080">
        <f t="shared" si="150"/>
        <v>0</v>
      </c>
      <c r="BB142" s="1080">
        <f ca="1">IF(AND(RACE=1,'Main Creation Page'!$E$6="Well",OR(ISNUMBER(FIND(Experience!$G$11,BE142)),ISNUMBER(FIND(Experience!$G$11,BF142)),ISNUMBER(FIND(Experience!$I$11,BE142)),ISNUMBER(FIND(Experience!$I$11,BF142)))),1,0)</f>
        <v>0</v>
      </c>
      <c r="BC142" s="1080" t="str">
        <f t="shared" si="179"/>
        <v xml:space="preserve">Leadership </v>
      </c>
      <c r="BE142" s="1080" t="str">
        <f t="shared" ca="1" si="146"/>
        <v/>
      </c>
      <c r="BF142" s="1080" t="str">
        <f t="shared" ca="1" si="147"/>
        <v>Charismatic Skills</v>
      </c>
      <c r="BH142" s="1080"/>
    </row>
    <row r="143" spans="1:60" ht="11.1" customHeight="1" outlineLevel="1">
      <c r="A143" s="1117" t="s">
        <v>99</v>
      </c>
      <c r="B143" s="1094"/>
      <c r="C143" s="1094" t="s">
        <v>4629</v>
      </c>
      <c r="D143" s="1094"/>
      <c r="E143" s="1095" t="s">
        <v>5224</v>
      </c>
      <c r="F143" s="1095" t="s">
        <v>5224</v>
      </c>
      <c r="G143" s="1096">
        <v>0</v>
      </c>
      <c r="H143" s="1096" t="s">
        <v>5224</v>
      </c>
      <c r="I143" s="1096" t="s">
        <v>5224</v>
      </c>
      <c r="J143" s="1096" t="s">
        <v>5224</v>
      </c>
      <c r="K143" s="1096" t="s">
        <v>5224</v>
      </c>
      <c r="L143" s="1096" t="s">
        <v>5224</v>
      </c>
      <c r="M143" s="1096" t="s">
        <v>5224</v>
      </c>
      <c r="N143" s="1096" t="s">
        <v>4630</v>
      </c>
      <c r="O143" s="1097"/>
      <c r="P143" s="1097" t="s">
        <v>3612</v>
      </c>
      <c r="Q143" s="1097">
        <f t="shared" ca="1" si="160"/>
        <v>10</v>
      </c>
      <c r="R143" s="1097"/>
      <c r="S143" s="1028" t="s">
        <v>3613</v>
      </c>
      <c r="T143" s="1097">
        <f t="shared" ca="1" si="161"/>
        <v>15</v>
      </c>
      <c r="U143" s="1027">
        <f ca="1">IF('Main Creation Page'!K4=1,6,4)-IF('Main Creation Page'!K4=1,IF('Main Creation Page'!E11+'Main Creation Page'!E13&gt;29,1,0),0)-IF(AND('Main Creation Page'!K4=1,OR((30&lt;'Main Creation Page'!AB2&lt;36),(193&lt;'Main Creation Page'!AB2&lt;197))),IF('Main Creation Page'!E11+'Main Creation Page'!E13&gt;25,1,0),0)-IF(AD393&gt;0,1,0)</f>
        <v>3</v>
      </c>
      <c r="V143" s="1027">
        <f t="shared" ca="1" si="162"/>
        <v>3</v>
      </c>
      <c r="W143" s="1098" t="e">
        <f ca="1">IF(OR(I143&lt;&gt;"N",E143="C"),IF(AND(N143&lt;&gt;"T",ISNUMBER(FIND("V",I143))),1,0),NA())+IF(H143="Y",IF(AND(N143="P",ISNUMBER(FIND("Z",I143))),2,1),0)+IF(J143="Y",1,0)+IF(K143="Y",3,0)+IF(BE143="Lore",L143*2+Experience!$D$25,0)+IF(M143="Y",1,0)</f>
        <v>#N/A</v>
      </c>
      <c r="X143" s="1099"/>
      <c r="Y143" s="1100">
        <f ca="1">IF(P143="NS",IFERROR(INDIRECT(S143),NA()),VLOOKUP(INDIRECT(P143)+INDIRECT(S143),'System Lookups'!$A$3:$D$146,2))</f>
        <v>0.02</v>
      </c>
      <c r="Z143" s="1100">
        <f t="shared" ca="1" si="163"/>
        <v>0</v>
      </c>
      <c r="AA143" s="1101">
        <f t="shared" ca="1" si="164"/>
        <v>0.02</v>
      </c>
      <c r="AB143" s="1102">
        <f ca="1">VLOOKUP(V143,'System Lookups'!$J$55:$P$64,3)</f>
        <v>0.3</v>
      </c>
      <c r="AC143" s="1103">
        <f ca="1">VLOOKUP(V143,'System Lookups'!$J$55:$P$64,4)</f>
        <v>0.4</v>
      </c>
      <c r="AD143" s="1104">
        <f t="shared" ca="1" si="165"/>
        <v>0.32</v>
      </c>
      <c r="AE143" s="1094">
        <f ca="1">(IF(AD143&gt;VLOOKUP(V143,'System Lookups'!$J$55:$P$63,6),(((AD143-VLOOKUP(V143,'System Lookups'!$J$55:$P$63,6))*100)/20),0))+AF143</f>
        <v>0</v>
      </c>
      <c r="AF143" s="1121"/>
      <c r="AG143" s="1092">
        <f t="shared" si="166"/>
        <v>0</v>
      </c>
      <c r="AH143" s="1092" t="str">
        <f>IF(X143&lt;=Experience!$R$15+1,"","*")</f>
        <v/>
      </c>
      <c r="AI143" s="1092"/>
      <c r="AJ143" s="1080">
        <f t="shared" si="167"/>
        <v>0</v>
      </c>
      <c r="AK143" s="1080">
        <f t="shared" si="168"/>
        <v>0</v>
      </c>
      <c r="AL143" s="1080">
        <f t="shared" si="169"/>
        <v>0</v>
      </c>
      <c r="AM143" s="1092">
        <f t="shared" si="170"/>
        <v>0</v>
      </c>
      <c r="AN143" s="1080">
        <f t="shared" si="171"/>
        <v>0</v>
      </c>
      <c r="AO143" s="1080">
        <f t="shared" si="172"/>
        <v>0</v>
      </c>
      <c r="AP143" s="1080">
        <f t="shared" si="173"/>
        <v>0</v>
      </c>
      <c r="AQ143" s="1027">
        <f ca="1">VLOOKUP(V143,'System Lookups'!$J$55:$P$64,7)</f>
        <v>500</v>
      </c>
      <c r="AR143" s="1080" t="str">
        <f ca="1">IF(AND(NOT(ISBLANK(AJ143)),ISNA(MATCH(ROW(),'System Lookups'!$C$526:$C$539,0))),"Y","N")</f>
        <v>Y</v>
      </c>
      <c r="AS143" s="1080">
        <f t="shared" si="174"/>
        <v>0</v>
      </c>
      <c r="AU143" s="1080" t="e">
        <f t="shared" ca="1" si="148"/>
        <v>#N/A</v>
      </c>
      <c r="AV143" s="1080" t="str">
        <f t="shared" ca="1" si="145"/>
        <v>S</v>
      </c>
      <c r="AW143" s="1080">
        <f t="shared" si="151"/>
        <v>0</v>
      </c>
      <c r="AX143" s="1080">
        <f t="shared" si="152"/>
        <v>0</v>
      </c>
      <c r="AY143" s="1080">
        <f t="shared" si="153"/>
        <v>0</v>
      </c>
      <c r="AZ143" s="1080">
        <f t="shared" si="154"/>
        <v>0</v>
      </c>
      <c r="BA143" s="1080">
        <f t="shared" si="150"/>
        <v>0</v>
      </c>
      <c r="BB143" s="1080">
        <f ca="1">IF(AND(RACE=1,'Main Creation Page'!$E$6="Well",OR(ISNUMBER(FIND(Experience!$G$11,BE143)),ISNUMBER(FIND(Experience!$G$11,BF143)),ISNUMBER(FIND(Experience!$I$11,BE143)),ISNUMBER(FIND(Experience!$I$11,BF143)))),1,0)</f>
        <v>0</v>
      </c>
      <c r="BC143" s="1080" t="str">
        <f t="shared" si="179"/>
        <v xml:space="preserve">Oratory </v>
      </c>
      <c r="BE143" s="1080" t="str">
        <f t="shared" ca="1" si="146"/>
        <v/>
      </c>
      <c r="BF143" s="1080" t="str">
        <f t="shared" ca="1" si="147"/>
        <v>Charismatic Skills</v>
      </c>
      <c r="BH143" s="1080"/>
    </row>
    <row r="144" spans="1:60" ht="11.1" hidden="1" customHeight="1" outlineLevel="2">
      <c r="A144" s="1028" t="s">
        <v>1510</v>
      </c>
      <c r="B144" s="2641">
        <f ca="1">(+AA143*100)*20</f>
        <v>40</v>
      </c>
      <c r="C144" s="2644"/>
      <c r="D144" s="2643"/>
      <c r="E144" s="1081" t="s">
        <v>1512</v>
      </c>
      <c r="L144" s="1096" t="s">
        <v>5224</v>
      </c>
      <c r="Q144" s="1097"/>
      <c r="R144" s="1097"/>
      <c r="V144" s="1027"/>
      <c r="W144" s="1112"/>
      <c r="AE144" s="1094"/>
      <c r="AF144" s="1121"/>
      <c r="AG144" s="1092"/>
      <c r="AH144" s="1092"/>
      <c r="AI144" s="1092"/>
      <c r="AM144" s="1092"/>
      <c r="AQ144" s="1027"/>
      <c r="AR144" s="1080" t="str">
        <f ca="1">IF(AND(NOT(ISBLANK(AJ144)),ISNA(MATCH(ROW(),'System Lookups'!$C$526:$C$539,0))),"Y","N")</f>
        <v>N</v>
      </c>
      <c r="AU144" s="1080" t="e">
        <f t="shared" si="148"/>
        <v>#N/A</v>
      </c>
      <c r="AV144" s="1080" t="str">
        <f t="shared" si="145"/>
        <v/>
      </c>
      <c r="AW144" s="1080">
        <f t="shared" si="151"/>
        <v>0</v>
      </c>
      <c r="AX144" s="1080">
        <f t="shared" si="152"/>
        <v>0</v>
      </c>
      <c r="AY144" s="1080">
        <f t="shared" si="153"/>
        <v>0</v>
      </c>
      <c r="AZ144" s="1080">
        <f t="shared" si="154"/>
        <v>0</v>
      </c>
      <c r="BA144" s="1080">
        <f t="shared" si="150"/>
        <v>0</v>
      </c>
      <c r="BB144" s="1080">
        <f ca="1">IF(AND(RACE=1,'Main Creation Page'!$E$6="Well",OR(ISNUMBER(FIND(Experience!$G$11,BE144)),ISNUMBER(FIND(Experience!$G$11,BF144)),ISNUMBER(FIND(Experience!$I$11,BE144)),ISNUMBER(FIND(Experience!$I$11,BF144)))),1,0)</f>
        <v>0</v>
      </c>
      <c r="BC144" s="1080" t="e">
        <f t="shared" si="179"/>
        <v>#N/A</v>
      </c>
      <c r="BE144" s="1080" t="str">
        <f t="shared" ca="1" si="146"/>
        <v/>
      </c>
      <c r="BF144" s="1080" t="str">
        <f t="shared" ca="1" si="147"/>
        <v>Charismatic Skills</v>
      </c>
    </row>
    <row r="145" spans="1:58" ht="11.1" hidden="1" customHeight="1" outlineLevel="2">
      <c r="A145" s="1028" t="s">
        <v>1511</v>
      </c>
      <c r="B145" s="2641">
        <f ca="1">((+AA143*100)/10)*20</f>
        <v>4</v>
      </c>
      <c r="C145" s="2642"/>
      <c r="D145" s="2643"/>
      <c r="E145" s="1081" t="s">
        <v>976</v>
      </c>
      <c r="L145" s="1096" t="s">
        <v>5224</v>
      </c>
      <c r="Q145" s="1097"/>
      <c r="R145" s="1097"/>
      <c r="V145" s="1027"/>
      <c r="W145" s="1112"/>
      <c r="AE145" s="1094"/>
      <c r="AF145" s="1121"/>
      <c r="AG145" s="1092"/>
      <c r="AH145" s="1092"/>
      <c r="AI145" s="1092"/>
      <c r="AM145" s="1092"/>
      <c r="AQ145" s="1027"/>
      <c r="AR145" s="1080" t="str">
        <f ca="1">IF(AND(NOT(ISBLANK(AJ145)),ISNA(MATCH(ROW(),'System Lookups'!$C$526:$C$539,0))),"Y","N")</f>
        <v>N</v>
      </c>
      <c r="AU145" s="1080" t="e">
        <f t="shared" si="148"/>
        <v>#N/A</v>
      </c>
      <c r="AV145" s="1080" t="str">
        <f t="shared" si="145"/>
        <v/>
      </c>
      <c r="AW145" s="1080">
        <f t="shared" si="151"/>
        <v>0</v>
      </c>
      <c r="AX145" s="1080">
        <f t="shared" si="152"/>
        <v>0</v>
      </c>
      <c r="AY145" s="1080">
        <f t="shared" si="153"/>
        <v>0</v>
      </c>
      <c r="AZ145" s="1080">
        <f t="shared" si="154"/>
        <v>0</v>
      </c>
      <c r="BA145" s="1080">
        <f t="shared" si="150"/>
        <v>0</v>
      </c>
      <c r="BB145" s="1080">
        <f ca="1">IF(AND(RACE=1,'Main Creation Page'!$E$6="Well",OR(ISNUMBER(FIND(Experience!$G$11,BE145)),ISNUMBER(FIND(Experience!$G$11,BF145)),ISNUMBER(FIND(Experience!$I$11,BE145)),ISNUMBER(FIND(Experience!$I$11,BF145)))),1,0)</f>
        <v>0</v>
      </c>
      <c r="BC145" s="1080" t="e">
        <f t="shared" si="179"/>
        <v>#N/A</v>
      </c>
      <c r="BE145" s="1080" t="str">
        <f t="shared" ca="1" si="146"/>
        <v/>
      </c>
      <c r="BF145" s="1080" t="str">
        <f t="shared" ca="1" si="147"/>
        <v>Charismatic Skills</v>
      </c>
    </row>
    <row r="146" spans="1:58" ht="11.1" customHeight="1" outlineLevel="1" collapsed="1">
      <c r="A146" s="1123" t="s">
        <v>4045</v>
      </c>
      <c r="B146" s="1094"/>
      <c r="C146" s="1094" t="s">
        <v>4629</v>
      </c>
      <c r="D146" s="1094"/>
      <c r="E146" s="1095" t="s">
        <v>5224</v>
      </c>
      <c r="F146" s="1095" t="s">
        <v>5224</v>
      </c>
      <c r="G146" s="1096">
        <v>0</v>
      </c>
      <c r="H146" s="1096" t="s">
        <v>5224</v>
      </c>
      <c r="I146" s="1096" t="s">
        <v>5224</v>
      </c>
      <c r="J146" s="1096" t="s">
        <v>5224</v>
      </c>
      <c r="K146" s="1096" t="s">
        <v>5224</v>
      </c>
      <c r="L146" s="1096" t="s">
        <v>5224</v>
      </c>
      <c r="M146" s="1096" t="s">
        <v>5224</v>
      </c>
      <c r="N146" s="1096" t="s">
        <v>4630</v>
      </c>
      <c r="O146" s="1097"/>
      <c r="P146" s="1097" t="s">
        <v>3612</v>
      </c>
      <c r="Q146" s="1097">
        <f t="shared" ref="Q146:Q148" ca="1" si="180">INDIRECT(P146)</f>
        <v>10</v>
      </c>
      <c r="R146" s="1097"/>
      <c r="S146" s="1097" t="s">
        <v>3615</v>
      </c>
      <c r="T146" s="1097">
        <f t="shared" ref="T146:T148" ca="1" si="181">INDIRECT(S146)</f>
        <v>20</v>
      </c>
      <c r="U146" s="1027">
        <v>5</v>
      </c>
      <c r="V146" s="1027">
        <f>IF(AP146+U146&gt;10,10,IF(AP146+U146&lt;1,1,AP146+U146))</f>
        <v>5</v>
      </c>
      <c r="W146" s="1098" t="e">
        <f ca="1">IF(OR(I146&lt;&gt;"N",E146="C"),IF(AND(N146&lt;&gt;"T",ISNUMBER(FIND("V",I146))),1,0),NA())+IF(H146="Y",IF(AND(N146="P",ISNUMBER(FIND("Z",I146))),2,1),0)+IF(J146="Y",1,0)+IF(K146="Y",3,0)+IF(BE146="Lore",L146*2+Experience!$D$25,0)+IF(M146="Y",1,0)</f>
        <v>#N/A</v>
      </c>
      <c r="X146" s="1099"/>
      <c r="Y146" s="1100">
        <f ca="1">IF(P146="NS",IFERROR(INDIRECT(S146),NA()),VLOOKUP(INDIRECT(P146)+INDIRECT(S146),'System Lookups'!$A$3:$D$146,2))</f>
        <v>0.06</v>
      </c>
      <c r="Z146" s="1100">
        <f ca="1">IF(ISNA(W146),0,W146*0.03)+IF(X146&gt;0,X146*0.03,0)+IF(AND(ISNA(W146),X146&lt;=0),0,IF(G146&gt;0,G146*0.07,0))</f>
        <v>0</v>
      </c>
      <c r="AA146" s="1101">
        <f ca="1">IF(ISNA(Y146),0,Y146)+Z146</f>
        <v>0.06</v>
      </c>
      <c r="AB146" s="1102">
        <f>VLOOKUP(V146,'System Lookups'!$J$55:$P$64,3)</f>
        <v>0.1</v>
      </c>
      <c r="AC146" s="1103">
        <f>VLOOKUP(V146,'System Lookups'!$J$55:$P$64,4)</f>
        <v>0.2</v>
      </c>
      <c r="AD146" s="1104">
        <f ca="1">IF(AND(ISBLANK(X146),ISNA(W146)),IF(B146="~",0,AB146+AA146+IF(BB146&gt;0,0.05,0)),AA146+AC146+IF(BB146&gt;0,0.05,0))</f>
        <v>0.16</v>
      </c>
      <c r="AE146" s="1094">
        <f ca="1">(IF(AD146&gt;VLOOKUP(V146,'System Lookups'!$J$55:$P$63,6),(((AD146-VLOOKUP(V146,'System Lookups'!$J$55:$P$63,6))*100)/20),0))+AF146</f>
        <v>0</v>
      </c>
      <c r="AF146" s="1121"/>
      <c r="AG146" s="1092">
        <f>IF(ISBLANK(X146),0,AQ146*X146+IF(ISNA(W146),1,0))</f>
        <v>0</v>
      </c>
      <c r="AH146" s="1092" t="str">
        <f>IF(X146&lt;=Experience!$R$15+1,"","*")</f>
        <v/>
      </c>
      <c r="AI146" s="1092"/>
      <c r="AJ146" s="1080">
        <f t="shared" ref="AJ146:AJ148" si="182">IF(ISNUMBER(FIND("R",F146)),-1,0)</f>
        <v>0</v>
      </c>
      <c r="AK146" s="1080">
        <f>IF(F146="s",-2,0)</f>
        <v>0</v>
      </c>
      <c r="AL146" s="1080">
        <f t="shared" ref="AL146:AL148" si="183">IF(AND(H146="Y",OR(N146="P",N146="S")),-1,0)</f>
        <v>0</v>
      </c>
      <c r="AM146" s="1092">
        <f>IF(J146="y",1,0)</f>
        <v>0</v>
      </c>
      <c r="AN146" s="1080">
        <f>IF(N146="P",-1,IF(N146="T",1,0))</f>
        <v>0</v>
      </c>
      <c r="AO146" s="1080">
        <f t="shared" ref="AO146:AO148" si="184">IF(ISNUMBER(FIND("Z",I146)),1,0)</f>
        <v>0</v>
      </c>
      <c r="AP146" s="1080">
        <f>SUM(AJ146:AN146)-AM146</f>
        <v>0</v>
      </c>
      <c r="AQ146" s="1027">
        <f>VLOOKUP(V146,'System Lookups'!$J$55:$P$64,7)</f>
        <v>700</v>
      </c>
      <c r="AR146" s="1080" t="str">
        <f ca="1">IF(AND(NOT(ISBLANK(AJ146)),ISNA(MATCH(ROW(),'System Lookups'!$C$526:$C$539,0))),"Y","N")</f>
        <v>Y</v>
      </c>
      <c r="AS146" s="1080">
        <f>AG146-AI146</f>
        <v>0</v>
      </c>
      <c r="AU146" s="1080" t="e">
        <f t="shared" ca="1" si="148"/>
        <v>#N/A</v>
      </c>
      <c r="AV146" s="1080" t="str">
        <f t="shared" si="145"/>
        <v>S</v>
      </c>
      <c r="AW146" s="1080">
        <f t="shared" si="151"/>
        <v>0</v>
      </c>
      <c r="AX146" s="1080">
        <f t="shared" si="152"/>
        <v>0</v>
      </c>
      <c r="AY146" s="1080">
        <f t="shared" si="153"/>
        <v>0</v>
      </c>
      <c r="AZ146" s="1080">
        <f t="shared" si="154"/>
        <v>0</v>
      </c>
      <c r="BA146" s="1080">
        <f t="shared" si="150"/>
        <v>0</v>
      </c>
      <c r="BB146" s="1080">
        <f ca="1">IF(AND(RACE=1,'Main Creation Page'!$E$6="Well",OR(ISNUMBER(FIND(Experience!$G$11,BE146)),ISNUMBER(FIND(Experience!$G$11,BF146)),ISNUMBER(FIND(Experience!$I$11,BE146)),ISNUMBER(FIND(Experience!$I$11,BF146)))),1,0)</f>
        <v>0</v>
      </c>
      <c r="BC146" s="1080" t="str">
        <f t="shared" si="179"/>
        <v>Rhetoric</v>
      </c>
      <c r="BE146" s="1080" t="str">
        <f t="shared" ca="1" si="146"/>
        <v/>
      </c>
      <c r="BF146" s="1080" t="str">
        <f t="shared" ca="1" si="147"/>
        <v>Charismatic Skills</v>
      </c>
    </row>
    <row r="147" spans="1:58" ht="11.1" customHeight="1" outlineLevel="1">
      <c r="A147" s="1123" t="s">
        <v>2068</v>
      </c>
      <c r="B147" s="1094"/>
      <c r="C147" s="1094" t="s">
        <v>4629</v>
      </c>
      <c r="D147" s="1094"/>
      <c r="E147" s="1095" t="s">
        <v>5224</v>
      </c>
      <c r="F147" s="1095" t="s">
        <v>5224</v>
      </c>
      <c r="G147" s="1096">
        <v>0</v>
      </c>
      <c r="H147" s="1096" t="s">
        <v>5224</v>
      </c>
      <c r="I147" s="1096" t="s">
        <v>5224</v>
      </c>
      <c r="J147" s="1096" t="s">
        <v>5224</v>
      </c>
      <c r="K147" s="1096" t="s">
        <v>5224</v>
      </c>
      <c r="L147" s="1096" t="s">
        <v>5224</v>
      </c>
      <c r="M147" s="1096" t="s">
        <v>5224</v>
      </c>
      <c r="N147" s="1096" t="s">
        <v>4630</v>
      </c>
      <c r="O147" s="1097"/>
      <c r="P147" s="1097" t="s">
        <v>3612</v>
      </c>
      <c r="Q147" s="1097">
        <f t="shared" ca="1" si="180"/>
        <v>10</v>
      </c>
      <c r="R147" s="1097"/>
      <c r="S147" s="1028" t="s">
        <v>3616</v>
      </c>
      <c r="T147" s="1097">
        <f t="shared" ca="1" si="181"/>
        <v>17</v>
      </c>
      <c r="U147" s="1027">
        <v>4</v>
      </c>
      <c r="V147" s="1027">
        <f>IF(AP147+U147&gt;10,10,IF(AP147+U147&lt;1,1,AP147+U147))</f>
        <v>4</v>
      </c>
      <c r="W147" s="1098" t="e">
        <f ca="1">IF(OR(I147&lt;&gt;"N",E147="C"),IF(AND(N147&lt;&gt;"T",ISNUMBER(FIND("V",I147))),1,0),NA())+IF(H147="Y",IF(AND(N147="P",ISNUMBER(FIND("Z",I147))),2,1),0)+IF(J147="Y",1,0)+IF(K147="Y",3,0)+IF(BE147="Lore",L147*2+Experience!$D$25,0)+IF(M147="Y",1,0)</f>
        <v>#N/A</v>
      </c>
      <c r="X147" s="1099"/>
      <c r="Y147" s="1100">
        <f ca="1">IF(P147="NS",IFERROR(INDIRECT(S147),NA()),VLOOKUP(INDIRECT(P147)+INDIRECT(S147),'System Lookups'!$A$3:$D$146,2))</f>
        <v>0.04</v>
      </c>
      <c r="Z147" s="1100">
        <f ca="1">IF(ISNA(W147),0,W147*0.03)+IF(X147&gt;0,X147*0.03,0)+IF(AND(ISNA(W147),X147&lt;=0),0,IF(G147&gt;0,G147*0.07,0))</f>
        <v>0</v>
      </c>
      <c r="AA147" s="1101">
        <f ca="1">IF(ISNA(Y147),0,Y147)+Z147</f>
        <v>0.04</v>
      </c>
      <c r="AB147" s="1102">
        <f>VLOOKUP(V147,'System Lookups'!$J$55:$P$64,3)</f>
        <v>0.2</v>
      </c>
      <c r="AC147" s="1103">
        <f>VLOOKUP(V147,'System Lookups'!$J$55:$P$64,4)</f>
        <v>0.3</v>
      </c>
      <c r="AD147" s="1104">
        <f ca="1">IF(AND(ISBLANK(X147),ISNA(W147)),IF(B147="~",0,AB147+AA147+IF(BB147&gt;0,0.05,0)),AA147+AC147+IF(BB147&gt;0,0.05,0))</f>
        <v>0.24000000000000002</v>
      </c>
      <c r="AE147" s="1094">
        <f ca="1">(IF(AD147&gt;VLOOKUP(V147,'System Lookups'!$J$55:$P$63,6),(((AD147-VLOOKUP(V147,'System Lookups'!$J$55:$P$63,6))*100)/20),0))+AF147</f>
        <v>0</v>
      </c>
      <c r="AF147" s="1121"/>
      <c r="AG147" s="1092">
        <f>IF(ISBLANK(X147),0,AQ147*X147+IF(ISNA(W147),1,0))</f>
        <v>0</v>
      </c>
      <c r="AH147" s="1092" t="str">
        <f>IF(X147&lt;=Experience!$R$15+1,"","*")</f>
        <v/>
      </c>
      <c r="AI147" s="1092"/>
      <c r="AJ147" s="1080">
        <f t="shared" si="182"/>
        <v>0</v>
      </c>
      <c r="AK147" s="1080">
        <f>IF(F147="s",-2,0)</f>
        <v>0</v>
      </c>
      <c r="AL147" s="1080">
        <f t="shared" si="183"/>
        <v>0</v>
      </c>
      <c r="AM147" s="1092">
        <f>IF(J147="y",1,0)</f>
        <v>0</v>
      </c>
      <c r="AN147" s="1080">
        <f>IF(N147="P",-1,IF(N147="T",1,0))</f>
        <v>0</v>
      </c>
      <c r="AO147" s="1080">
        <f t="shared" si="184"/>
        <v>0</v>
      </c>
      <c r="AP147" s="1080">
        <f>SUM(AJ147:AN147)-AM147</f>
        <v>0</v>
      </c>
      <c r="AQ147" s="1027">
        <f>VLOOKUP(V147,'System Lookups'!$J$55:$P$64,7)</f>
        <v>600</v>
      </c>
      <c r="AR147" s="1080" t="str">
        <f ca="1">IF(AND(NOT(ISBLANK(AJ147)),ISNA(MATCH(ROW(),'System Lookups'!$C$526:$C$539,0))),"Y","N")</f>
        <v>Y</v>
      </c>
      <c r="AS147" s="1080">
        <f>AG147-AI147</f>
        <v>0</v>
      </c>
      <c r="AU147" s="1080" t="e">
        <f t="shared" ca="1" si="148"/>
        <v>#N/A</v>
      </c>
      <c r="AV147" s="1080" t="str">
        <f t="shared" si="145"/>
        <v>S</v>
      </c>
      <c r="AW147" s="1080">
        <f t="shared" si="151"/>
        <v>0</v>
      </c>
      <c r="AX147" s="1080">
        <f t="shared" si="152"/>
        <v>0</v>
      </c>
      <c r="AY147" s="1080">
        <f t="shared" si="153"/>
        <v>0</v>
      </c>
      <c r="AZ147" s="1080">
        <f t="shared" si="154"/>
        <v>0</v>
      </c>
      <c r="BA147" s="1080">
        <f t="shared" si="150"/>
        <v>0</v>
      </c>
      <c r="BB147" s="1080">
        <f ca="1">IF(AND(RACE=1,'Main Creation Page'!$E$6="Well",OR(ISNUMBER(FIND(Experience!$G$11,BE147)),ISNUMBER(FIND(Experience!$G$11,BF147)),ISNUMBER(FIND(Experience!$I$11,BE147)),ISNUMBER(FIND(Experience!$I$11,BF147)))),1,0)</f>
        <v>0</v>
      </c>
      <c r="BC147" s="1080" t="str">
        <f t="shared" si="179"/>
        <v>Seduction</v>
      </c>
      <c r="BE147" s="1080" t="str">
        <f t="shared" ca="1" si="146"/>
        <v/>
      </c>
      <c r="BF147" s="1080" t="str">
        <f t="shared" ca="1" si="147"/>
        <v>Charismatic Skills</v>
      </c>
    </row>
    <row r="148" spans="1:58" ht="11.1" customHeight="1" outlineLevel="1">
      <c r="A148" s="1123" t="s">
        <v>5570</v>
      </c>
      <c r="B148" s="1094"/>
      <c r="C148" s="1094"/>
      <c r="D148" s="1094"/>
      <c r="E148" s="1095" t="s">
        <v>5224</v>
      </c>
      <c r="F148" s="1095" t="s">
        <v>5224</v>
      </c>
      <c r="G148" s="1096">
        <v>0</v>
      </c>
      <c r="H148" s="1096" t="s">
        <v>5224</v>
      </c>
      <c r="I148" s="1096" t="s">
        <v>5224</v>
      </c>
      <c r="J148" s="1096" t="s">
        <v>5224</v>
      </c>
      <c r="K148" s="1096" t="s">
        <v>5224</v>
      </c>
      <c r="L148" s="1096" t="s">
        <v>5224</v>
      </c>
      <c r="M148" s="1096" t="s">
        <v>5224</v>
      </c>
      <c r="N148" s="1096" t="s">
        <v>4630</v>
      </c>
      <c r="O148" s="1028"/>
      <c r="P148" s="1028" t="s">
        <v>3616</v>
      </c>
      <c r="Q148" s="1097">
        <f t="shared" ca="1" si="180"/>
        <v>17</v>
      </c>
      <c r="R148" s="1028"/>
      <c r="S148" s="1097" t="s">
        <v>3615</v>
      </c>
      <c r="T148" s="1097">
        <f t="shared" ca="1" si="181"/>
        <v>20</v>
      </c>
      <c r="U148" s="1027">
        <v>4</v>
      </c>
      <c r="V148" s="1027">
        <f>IF(AP148+U148&gt;10,10,IF(AP148+U148&lt;1,1,AP148+U148))</f>
        <v>4</v>
      </c>
      <c r="W148" s="1098" t="e">
        <f ca="1">IF(OR(I148&lt;&gt;"N",E148="C"),IF(AND(N148&lt;&gt;"T",ISNUMBER(FIND("V",I148))),1,0),NA())+IF(H148="Y",IF(AND(N148="P",ISNUMBER(FIND("Z",I148))),2,1),0)+IF(J148="Y",1,0)+IF(K148="Y",3,0)+IF(BE148="Lore",L148*2+Experience!$D$25,0)+IF(M148="Y",1,0)</f>
        <v>#N/A</v>
      </c>
      <c r="X148" s="1099"/>
      <c r="Y148" s="1100">
        <f ca="1">IF(P148="NS",IFERROR(INDIRECT(S148),NA()),VLOOKUP(INDIRECT(P148)+INDIRECT(S148),'System Lookups'!$A$3:$D$146,2))</f>
        <v>0.14000000000000001</v>
      </c>
      <c r="Z148" s="1100">
        <f ca="1">IF(ISNA(W148),0,W148*0.03)+IF(X148&gt;0,X148*0.03,0)+IF(AND(ISNA(W148),X148&lt;=0),0,IF(G148&gt;0,G148*0.07,0))</f>
        <v>0</v>
      </c>
      <c r="AA148" s="1101">
        <f ca="1">IF(ISNA(Y148),0,Y148)+Z148</f>
        <v>0.14000000000000001</v>
      </c>
      <c r="AB148" s="1102">
        <f>VLOOKUP(V148,'System Lookups'!$J$55:$P$64,3)</f>
        <v>0.2</v>
      </c>
      <c r="AC148" s="1103">
        <f>VLOOKUP(V148,'System Lookups'!$J$55:$P$64,4)</f>
        <v>0.3</v>
      </c>
      <c r="AD148" s="1104">
        <f ca="1">IF(AND(ISBLANK(X148),ISNA(W148)),IF(B148="~",0,AB148+AA148+IF(BB148&gt;0,0.05,0)),AA148+AC148+IF(BB148&gt;0,0.05,0))</f>
        <v>0.34</v>
      </c>
      <c r="AE148" s="1094">
        <f ca="1">(IF(AD148&gt;VLOOKUP(V148,'System Lookups'!$J$55:$P$63,6),(((AD148-VLOOKUP(V148,'System Lookups'!$J$55:$P$63,6))*100)/20),0))+AF148</f>
        <v>0</v>
      </c>
      <c r="AF148" s="1121"/>
      <c r="AG148" s="1092">
        <f>IF(ISBLANK(X148),0,AQ148*X148+IF(ISNA(W148),1,0))</f>
        <v>0</v>
      </c>
      <c r="AH148" s="1092" t="str">
        <f>IF(X148&lt;=Experience!$R$15+1,"","*")</f>
        <v/>
      </c>
      <c r="AI148" s="1092"/>
      <c r="AJ148" s="1080">
        <f t="shared" si="182"/>
        <v>0</v>
      </c>
      <c r="AK148" s="1080">
        <f>IF(F148="s",-2,0)</f>
        <v>0</v>
      </c>
      <c r="AL148" s="1080">
        <f t="shared" si="183"/>
        <v>0</v>
      </c>
      <c r="AM148" s="1092">
        <f>IF(J148="y",1,0)</f>
        <v>0</v>
      </c>
      <c r="AN148" s="1080">
        <f>IF(N148="P",-1,IF(N148="T",1,0))</f>
        <v>0</v>
      </c>
      <c r="AO148" s="1080">
        <f t="shared" si="184"/>
        <v>0</v>
      </c>
      <c r="AP148" s="1080">
        <f>SUM(AJ148:AN148)-AM148</f>
        <v>0</v>
      </c>
      <c r="AQ148" s="1027">
        <f>VLOOKUP(V148,'System Lookups'!$J$55:$P$64,7)</f>
        <v>600</v>
      </c>
      <c r="AR148" s="1080" t="str">
        <f ca="1">IF(AND(NOT(ISBLANK(AJ148)),ISNA(MATCH(ROW(),'System Lookups'!$C$526:$C$539,0))),"Y","N")</f>
        <v>Y</v>
      </c>
      <c r="AS148" s="1080">
        <f>AG148-AI148</f>
        <v>0</v>
      </c>
      <c r="AU148" s="1080" t="e">
        <f t="shared" ca="1" si="148"/>
        <v>#N/A</v>
      </c>
      <c r="AV148" s="1080" t="str">
        <f t="shared" si="145"/>
        <v>S</v>
      </c>
      <c r="AW148" s="1080">
        <f t="shared" si="151"/>
        <v>0</v>
      </c>
      <c r="AX148" s="1080">
        <f t="shared" si="152"/>
        <v>0</v>
      </c>
      <c r="AY148" s="1080">
        <f t="shared" si="153"/>
        <v>0</v>
      </c>
      <c r="AZ148" s="1080">
        <f t="shared" si="154"/>
        <v>0</v>
      </c>
      <c r="BA148" s="1080">
        <f t="shared" si="150"/>
        <v>0</v>
      </c>
      <c r="BB148" s="1080">
        <f ca="1">IF(AND(RACE=1,'Main Creation Page'!$E$6="Well",OR(ISNUMBER(FIND(Experience!$G$11,BE148)),ISNUMBER(FIND(Experience!$G$11,BF148)),ISNUMBER(FIND(Experience!$I$11,BE148)),ISNUMBER(FIND(Experience!$I$11,BF148)))),1,0)</f>
        <v>0</v>
      </c>
      <c r="BC148" s="1080" t="str">
        <f t="shared" si="179"/>
        <v>Torture Devices</v>
      </c>
      <c r="BE148" s="1080" t="str">
        <f t="shared" ca="1" si="146"/>
        <v/>
      </c>
      <c r="BF148" s="1080" t="str">
        <f t="shared" ca="1" si="147"/>
        <v>Charismatic Skills</v>
      </c>
    </row>
    <row r="149" spans="1:58" ht="11.1" customHeight="1" outlineLevel="1">
      <c r="A149" s="1028"/>
      <c r="B149" s="1111"/>
      <c r="C149" s="1111"/>
      <c r="D149" s="1111"/>
      <c r="Q149" s="1097"/>
      <c r="R149" s="1097"/>
      <c r="S149" s="1129"/>
      <c r="T149" s="1129"/>
      <c r="U149" s="1027"/>
      <c r="V149" s="1027"/>
      <c r="W149" s="1112"/>
      <c r="AE149" s="1094"/>
      <c r="AF149" s="1121"/>
      <c r="AG149" s="1092"/>
      <c r="AH149" s="1092"/>
      <c r="AI149" s="1092"/>
      <c r="AM149" s="1092"/>
      <c r="AQ149" s="1027"/>
      <c r="AR149" s="1080" t="str">
        <f ca="1">IF(AND(NOT(ISBLANK(AJ149)),ISNA(MATCH(ROW(),'System Lookups'!$C$526:$C$539,0))),"Y","N")</f>
        <v>N</v>
      </c>
      <c r="AU149" s="1080" t="e">
        <f t="shared" si="148"/>
        <v>#N/A</v>
      </c>
      <c r="AV149" s="1080" t="str">
        <f t="shared" si="145"/>
        <v/>
      </c>
      <c r="AW149" s="1080">
        <f t="shared" si="151"/>
        <v>0</v>
      </c>
      <c r="AX149" s="1080">
        <f t="shared" si="152"/>
        <v>0</v>
      </c>
      <c r="AY149" s="1080">
        <f t="shared" si="153"/>
        <v>0</v>
      </c>
      <c r="AZ149" s="1080">
        <f t="shared" si="154"/>
        <v>0</v>
      </c>
      <c r="BA149" s="1080">
        <f t="shared" si="150"/>
        <v>0</v>
      </c>
      <c r="BB149" s="1080">
        <f ca="1">IF(AND(RACE=1,'Main Creation Page'!$E$6="Well",OR(ISNUMBER(FIND(Experience!$G$11,BE149)),ISNUMBER(FIND(Experience!$G$11,BF149)),ISNUMBER(FIND(Experience!$I$11,BE149)),ISNUMBER(FIND(Experience!$I$11,BF149)))),1,0)</f>
        <v>0</v>
      </c>
      <c r="BC149" s="1080" t="e">
        <f t="shared" si="179"/>
        <v>#N/A</v>
      </c>
      <c r="BE149" s="1080" t="str">
        <f t="shared" ca="1" si="146"/>
        <v/>
      </c>
      <c r="BF149" s="1080" t="str">
        <f t="shared" ca="1" si="147"/>
        <v>Charismatic Skills</v>
      </c>
    </row>
    <row r="150" spans="1:58" ht="11.1" customHeight="1">
      <c r="A150" s="1087" t="s">
        <v>1154</v>
      </c>
      <c r="B150" s="1091"/>
      <c r="C150" s="1091"/>
      <c r="D150" s="1091"/>
      <c r="F150" s="1027"/>
      <c r="G150" s="1027"/>
      <c r="H150" s="1027"/>
      <c r="I150" s="1085"/>
      <c r="J150" s="1085"/>
      <c r="K150" s="1085"/>
      <c r="L150" s="1085"/>
      <c r="M150" s="1085"/>
      <c r="N150" s="1027"/>
      <c r="O150" s="1027"/>
      <c r="P150" s="1027"/>
      <c r="Q150" s="1097"/>
      <c r="R150" s="1097"/>
      <c r="S150" s="1113"/>
      <c r="T150" s="1113"/>
      <c r="U150" s="1085"/>
      <c r="V150" s="1027"/>
      <c r="W150" s="1028" t="str">
        <f>IF(ISNA(SUM(W151:W211))," ",SUM(W151:W211))</f>
        <v xml:space="preserve"> </v>
      </c>
      <c r="X150" s="1114"/>
      <c r="AE150" s="1094"/>
      <c r="AF150" s="1121"/>
      <c r="AG150" s="1092">
        <f>SUM(AG151:AG211)</f>
        <v>0</v>
      </c>
      <c r="AH150" s="1092"/>
      <c r="AI150" s="1092">
        <f>SUM(AI151:AI211)</f>
        <v>0</v>
      </c>
      <c r="AM150" s="1092"/>
      <c r="AR150" s="1080" t="str">
        <f ca="1">IF(AND(NOT(ISBLANK(AJ150)),ISNA(MATCH(ROW(),'System Lookups'!$C$526:$C$539,0))),"Y","N")</f>
        <v>N</v>
      </c>
      <c r="AU150" s="1080" t="e">
        <f t="shared" si="148"/>
        <v>#N/A</v>
      </c>
      <c r="AV150" s="1080" t="str">
        <f t="shared" si="145"/>
        <v/>
      </c>
      <c r="AW150" s="1080">
        <f t="shared" si="151"/>
        <v>0</v>
      </c>
      <c r="AX150" s="1080">
        <f t="shared" si="152"/>
        <v>0</v>
      </c>
      <c r="AY150" s="1080">
        <f t="shared" si="153"/>
        <v>0</v>
      </c>
      <c r="AZ150" s="1080">
        <f t="shared" si="154"/>
        <v>0</v>
      </c>
      <c r="BA150" s="1080">
        <f t="shared" si="150"/>
        <v>0</v>
      </c>
      <c r="BB150" s="1080">
        <f>IF(AND(RACE=1,'Main Creation Page'!$E$6="Well",OR(ISNUMBER(FIND(Experience!$G$11,BE150)),ISNUMBER(FIND(Experience!$G$11,BF150)),ISNUMBER(FIND(Experience!$I$11,BE150)),ISNUMBER(FIND(Experience!$I$11,BF150)))),1,0)</f>
        <v>0</v>
      </c>
      <c r="BC150" s="1080" t="str">
        <f t="shared" si="179"/>
        <v>Combat Skills</v>
      </c>
      <c r="BE150" s="1080" t="str">
        <f t="shared" si="146"/>
        <v/>
      </c>
      <c r="BF150" s="1080" t="str">
        <f t="shared" si="147"/>
        <v>Combat Skills</v>
      </c>
    </row>
    <row r="151" spans="1:58" ht="11.1" customHeight="1" outlineLevel="1">
      <c r="A151" s="1115" t="s">
        <v>1155</v>
      </c>
      <c r="B151" s="1094"/>
      <c r="C151" s="1094" t="s">
        <v>4629</v>
      </c>
      <c r="D151" s="1094" t="s">
        <v>4623</v>
      </c>
      <c r="E151" s="1095" t="s">
        <v>5224</v>
      </c>
      <c r="F151" s="1095" t="str">
        <f>IF(('Main Creation Page'!$C$3=2),"R","N")</f>
        <v>N</v>
      </c>
      <c r="G151" s="1096">
        <v>0</v>
      </c>
      <c r="H151" s="1096" t="s">
        <v>5224</v>
      </c>
      <c r="I151" s="1096" t="s">
        <v>5224</v>
      </c>
      <c r="J151" s="1096" t="s">
        <v>5224</v>
      </c>
      <c r="K151" s="1096" t="s">
        <v>5224</v>
      </c>
      <c r="L151" s="1096" t="s">
        <v>5224</v>
      </c>
      <c r="M151" s="1096" t="s">
        <v>5224</v>
      </c>
      <c r="N151" s="1096" t="s">
        <v>4630</v>
      </c>
      <c r="O151" s="1028"/>
      <c r="P151" s="1028" t="s">
        <v>3611</v>
      </c>
      <c r="Q151" s="1097">
        <f ca="1">INDIRECT(P151)</f>
        <v>15</v>
      </c>
      <c r="R151" s="1097"/>
      <c r="S151" s="1028" t="s">
        <v>3611</v>
      </c>
      <c r="T151" s="1097">
        <f ca="1">INDIRECT(S151)</f>
        <v>15</v>
      </c>
      <c r="U151" s="1027">
        <f>IF('Main Creation Page'!C3=2,4,5)</f>
        <v>5</v>
      </c>
      <c r="V151" s="1027">
        <f>IF(AP151+U151&gt;10,10,IF(AP151+U151&lt;1,1,AP151+U151))</f>
        <v>5</v>
      </c>
      <c r="W151" s="1098" t="e">
        <f>IF(OR(I151&lt;&gt;"N",E151="C"),IF(AND(N151&lt;&gt;"T",ISNUMBER(FIND("V",I151))),1,0),NA())+IF(H151="Y",IF(AND(N151="P",ISNUMBER(FIND("Z",I151))),2,1),0)+IF(J151="Y",1,0)+IF(K151="Y",3,0)+IF(BE151="Lore",L151*2+Experience!$D$25,0)+IF(M151="Y",1,0)</f>
        <v>#N/A</v>
      </c>
      <c r="X151" s="1099"/>
      <c r="Y151" s="1100">
        <f ca="1">IF(P151="NS",IFERROR(INDIRECT(S151),NA()),VLOOKUP(INDIRECT(P151)+INDIRECT(S151),'System Lookups'!$A$3:$D$146,2))</f>
        <v>0.06</v>
      </c>
      <c r="Z151" s="1100">
        <f t="shared" ref="Z151:Z188" si="185">IF(ISNA(W151),0,W151*0.03)+IF(X151&gt;0,X151*0.03,0)+IF(AND(ISNA(W151),X151&lt;=0),0,IF(G151&gt;0,G151*0.07,0))</f>
        <v>0</v>
      </c>
      <c r="AA151" s="1101">
        <f ca="1">IF(ISNA(Y151),0,Y151)+Z151</f>
        <v>0.06</v>
      </c>
      <c r="AB151" s="1102">
        <f>VLOOKUP(V151,'System Lookups'!$J$55:$P$64,3)</f>
        <v>0.1</v>
      </c>
      <c r="AC151" s="1103">
        <f>VLOOKUP(V151,'System Lookups'!$J$55:$P$64,4)</f>
        <v>0.2</v>
      </c>
      <c r="AD151" s="1104">
        <f t="shared" ref="AD151:AD188" ca="1" si="186">IF(AND(ISBLANK(X151),ISNA(W151)),IF(B151="~",0,AB151+AA151+IF(BB151&gt;0,0.05,0)),AA151+AC151+IF(BB151&gt;0,0.05,0))</f>
        <v>0.16</v>
      </c>
      <c r="AE151" s="1094">
        <f ca="1">(IF(AD151&gt;VLOOKUP(V151,'System Lookups'!$J$55:$P$63,6),(((AD151-VLOOKUP(V151,'System Lookups'!$J$55:$P$63,6))*100)/20),0))+AF151</f>
        <v>0</v>
      </c>
      <c r="AF151" s="1121"/>
      <c r="AG151" s="1092">
        <f t="shared" ref="AG151:AG188" si="187">IF(ISBLANK(X151),0,AQ151*X151+IF(ISNA(W151),1,0))</f>
        <v>0</v>
      </c>
      <c r="AH151" s="1092" t="str">
        <f>IF(X151&lt;=Experience!$R$15+1,"","*")</f>
        <v/>
      </c>
      <c r="AI151" s="1092"/>
      <c r="AJ151" s="1080">
        <f t="shared" ref="AJ151:AJ188" si="188">IF(ISNUMBER(FIND("R",F151)),-1,0)</f>
        <v>0</v>
      </c>
      <c r="AK151" s="1080">
        <f t="shared" ref="AK151:AK157" si="189">IF(F151="s",-2,0)</f>
        <v>0</v>
      </c>
      <c r="AL151" s="1080">
        <f t="shared" ref="AL151:AL188" si="190">IF(AND(H151="Y",OR(N151="P",N151="S")),-1,0)</f>
        <v>0</v>
      </c>
      <c r="AM151" s="1092">
        <f t="shared" ref="AM151:AM157" si="191">IF(J151="y",1,0)</f>
        <v>0</v>
      </c>
      <c r="AN151" s="1080">
        <f t="shared" ref="AN151:AN157" si="192">IF(N151="P",-1,IF(N151="T",1,0))</f>
        <v>0</v>
      </c>
      <c r="AO151" s="1080">
        <f t="shared" ref="AO151:AO188" si="193">IF(ISNUMBER(FIND("Z",I151)),1,0)</f>
        <v>0</v>
      </c>
      <c r="AP151" s="1080">
        <f t="shared" ref="AP151:AP188" si="194">SUM(AJ151:AN151)-AM151</f>
        <v>0</v>
      </c>
      <c r="AQ151" s="1027">
        <f>VLOOKUP(V151,'System Lookups'!$J$55:$P$64,7)</f>
        <v>700</v>
      </c>
      <c r="AR151" s="1080" t="str">
        <f ca="1">IF(AND(NOT(ISBLANK(AJ151)),ISNA(MATCH(ROW(),'System Lookups'!$C$526:$C$539,0))),"Y","N")</f>
        <v>Y</v>
      </c>
      <c r="AS151" s="1080">
        <f t="shared" ref="AS151:AS188" si="195">AG151-AI151</f>
        <v>0</v>
      </c>
      <c r="AU151" s="1080" t="e">
        <f t="shared" si="148"/>
        <v>#N/A</v>
      </c>
      <c r="AV151" s="1080" t="str">
        <f t="shared" si="145"/>
        <v>S</v>
      </c>
      <c r="AW151" s="1080">
        <f t="shared" si="151"/>
        <v>0</v>
      </c>
      <c r="AX151" s="1080">
        <f t="shared" si="152"/>
        <v>0</v>
      </c>
      <c r="AY151" s="1080">
        <f t="shared" si="153"/>
        <v>0</v>
      </c>
      <c r="AZ151" s="1080">
        <f t="shared" si="154"/>
        <v>0</v>
      </c>
      <c r="BA151" s="1080">
        <f t="shared" si="150"/>
        <v>0</v>
      </c>
      <c r="BB151" s="1080">
        <f>IF(AND(RACE=1,'Main Creation Page'!$E$6="Well",OR(ISNUMBER(FIND(Experience!$G$11,BE151)),ISNUMBER(FIND(Experience!$G$11,BF151)),ISNUMBER(FIND(Experience!$I$11,BE151)),ISNUMBER(FIND(Experience!$I$11,BF151)))),1,0)</f>
        <v>0</v>
      </c>
      <c r="BC151" s="1080" t="str">
        <f t="shared" si="179"/>
        <v>Archery</v>
      </c>
      <c r="BE151" s="1080" t="str">
        <f t="shared" si="146"/>
        <v/>
      </c>
      <c r="BF151" s="1080" t="str">
        <f t="shared" si="147"/>
        <v>Combat Skills</v>
      </c>
    </row>
    <row r="152" spans="1:58" ht="11.1" customHeight="1" outlineLevel="2">
      <c r="A152" s="1028" t="s">
        <v>38</v>
      </c>
      <c r="B152" s="1094"/>
      <c r="C152" s="1094" t="s">
        <v>4629</v>
      </c>
      <c r="D152" s="1094" t="s">
        <v>4623</v>
      </c>
      <c r="E152" s="1095" t="s">
        <v>5224</v>
      </c>
      <c r="F152" s="1095" t="s">
        <v>5224</v>
      </c>
      <c r="G152" s="1096">
        <v>0</v>
      </c>
      <c r="H152" s="1096" t="s">
        <v>5224</v>
      </c>
      <c r="I152" s="1096" t="s">
        <v>5224</v>
      </c>
      <c r="J152" s="1096" t="s">
        <v>5224</v>
      </c>
      <c r="K152" s="1096" t="s">
        <v>5224</v>
      </c>
      <c r="L152" s="1096" t="s">
        <v>5224</v>
      </c>
      <c r="M152" s="1096" t="s">
        <v>5224</v>
      </c>
      <c r="N152" s="1096" t="s">
        <v>4630</v>
      </c>
      <c r="O152" s="1097"/>
      <c r="P152" s="1113" t="s">
        <v>13</v>
      </c>
      <c r="Q152" s="1097"/>
      <c r="R152" s="1097"/>
      <c r="S152" s="1113" t="s">
        <v>1155</v>
      </c>
      <c r="T152" s="1113"/>
      <c r="U152" s="1027">
        <f>$U$151</f>
        <v>5</v>
      </c>
      <c r="V152" s="1027">
        <f>IF(AP152+U152&gt;10,10,IF(AP152+U152&lt;0,0,AP152+U152))</f>
        <v>5</v>
      </c>
      <c r="W152" s="1098" t="e">
        <f>IF(OR(I152&lt;&gt;"N",E152="C"),IF(AND(N152&lt;&gt;"T",ISNUMBER(FIND("V",I152))),1,0),NA())+IF(H152="Y",IF(AND(N152="P",ISNUMBER(FIND("Z",I152))),2,1),0)+IF(J152="Y",1,0)+IF(K152="Y",3,0)+IF(BE152="Lore",L152*2+Experience!$D$25,0)+IF(M152="Y",1,0)</f>
        <v>#N/A</v>
      </c>
      <c r="X152" s="1099"/>
      <c r="Y152" s="1100">
        <f ca="1">IF(P152="NS",IFERROR(INDIRECT(S152),NA()),VLOOKUP(INDIRECT(P152)+INDIRECT(S152),'System Lookups'!$A$3:$D$146,2))</f>
        <v>0.06</v>
      </c>
      <c r="Z152" s="1100">
        <f t="shared" si="185"/>
        <v>0</v>
      </c>
      <c r="AA152" s="1130">
        <f ca="1">$AA$151</f>
        <v>0.06</v>
      </c>
      <c r="AB152" s="1102">
        <f>$AB$151</f>
        <v>0.1</v>
      </c>
      <c r="AC152" s="1103">
        <f>$AC$151</f>
        <v>0.2</v>
      </c>
      <c r="AD152" s="1104">
        <f t="shared" ca="1" si="186"/>
        <v>0.16</v>
      </c>
      <c r="AE152" s="1094">
        <f ca="1">(IF(AD152&gt;VLOOKUP(V152,'System Lookups'!$J$55:$P$63,6),(((AD152-VLOOKUP(V152,'System Lookups'!$J$55:$P$63,6))*100)/20),0))+AF152</f>
        <v>0</v>
      </c>
      <c r="AF152" s="1121"/>
      <c r="AG152" s="1092">
        <f t="shared" si="187"/>
        <v>0</v>
      </c>
      <c r="AH152" s="1092" t="str">
        <f>IF(X152&lt;=Experience!$R$15+1,"","*")</f>
        <v/>
      </c>
      <c r="AI152" s="1092"/>
      <c r="AJ152" s="1080">
        <f t="shared" si="188"/>
        <v>0</v>
      </c>
      <c r="AK152" s="1080">
        <f t="shared" si="189"/>
        <v>0</v>
      </c>
      <c r="AL152" s="1080">
        <f t="shared" si="190"/>
        <v>0</v>
      </c>
      <c r="AM152" s="1092">
        <f t="shared" si="191"/>
        <v>0</v>
      </c>
      <c r="AN152" s="1080">
        <f t="shared" si="192"/>
        <v>0</v>
      </c>
      <c r="AO152" s="1080">
        <f t="shared" si="193"/>
        <v>0</v>
      </c>
      <c r="AP152" s="1080">
        <f t="shared" si="194"/>
        <v>0</v>
      </c>
      <c r="AQ152" s="1027">
        <v>500</v>
      </c>
      <c r="AR152" s="1080" t="str">
        <f ca="1">IF(AND(NOT(ISBLANK(AJ152)),ISNA(MATCH(ROW(),'System Lookups'!$C$526:$C$539,0))),"Y","N")</f>
        <v>Y</v>
      </c>
      <c r="AS152" s="1080">
        <f t="shared" si="195"/>
        <v>0</v>
      </c>
      <c r="AU152" s="1080" t="e">
        <f t="shared" si="148"/>
        <v>#N/A</v>
      </c>
      <c r="AV152" s="1080" t="str">
        <f t="shared" si="145"/>
        <v>S</v>
      </c>
      <c r="AW152" s="1080">
        <f t="shared" si="151"/>
        <v>0</v>
      </c>
      <c r="AX152" s="1080">
        <f t="shared" si="152"/>
        <v>0</v>
      </c>
      <c r="AY152" s="1080">
        <f t="shared" si="153"/>
        <v>0</v>
      </c>
      <c r="AZ152" s="1080">
        <f t="shared" si="154"/>
        <v>0</v>
      </c>
      <c r="BA152" s="1080">
        <f t="shared" si="150"/>
        <v>0</v>
      </c>
      <c r="BB152" s="1080">
        <f>IF(AND(RACE=1,'Main Creation Page'!$E$6="Well",OR(ISNUMBER(FIND(Experience!$G$11,BE152)),ISNUMBER(FIND(Experience!$G$11,BF152)),ISNUMBER(FIND(Experience!$I$11,BE152)),ISNUMBER(FIND(Experience!$I$11,BF152)))),1,0)</f>
        <v>0</v>
      </c>
      <c r="BC152" s="1080" t="str">
        <f t="shared" si="179"/>
        <v>Archery:Composite Bows</v>
      </c>
      <c r="BD152" s="1080" t="s">
        <v>5683</v>
      </c>
      <c r="BE152" s="1080" t="str">
        <f t="shared" si="146"/>
        <v/>
      </c>
      <c r="BF152" s="1080" t="str">
        <f t="shared" si="147"/>
        <v>Combat Skills</v>
      </c>
    </row>
    <row r="153" spans="1:58" ht="11.1" customHeight="1" outlineLevel="2">
      <c r="A153" s="1028" t="s">
        <v>39</v>
      </c>
      <c r="B153" s="1094"/>
      <c r="C153" s="1094" t="s">
        <v>4629</v>
      </c>
      <c r="D153" s="1094" t="s">
        <v>4623</v>
      </c>
      <c r="E153" s="1095" t="s">
        <v>5224</v>
      </c>
      <c r="F153" s="1095" t="s">
        <v>5224</v>
      </c>
      <c r="G153" s="1096">
        <v>0</v>
      </c>
      <c r="H153" s="1096" t="s">
        <v>5224</v>
      </c>
      <c r="I153" s="1096" t="s">
        <v>5224</v>
      </c>
      <c r="J153" s="1096" t="s">
        <v>5224</v>
      </c>
      <c r="K153" s="1096" t="s">
        <v>5224</v>
      </c>
      <c r="L153" s="1096" t="s">
        <v>5224</v>
      </c>
      <c r="M153" s="1096" t="s">
        <v>5224</v>
      </c>
      <c r="N153" s="1096" t="s">
        <v>4630</v>
      </c>
      <c r="O153" s="1097"/>
      <c r="P153" s="1113" t="s">
        <v>13</v>
      </c>
      <c r="Q153" s="1097"/>
      <c r="R153" s="1097"/>
      <c r="S153" s="1113" t="s">
        <v>1155</v>
      </c>
      <c r="T153" s="1113"/>
      <c r="U153" s="1027">
        <f>$U$151</f>
        <v>5</v>
      </c>
      <c r="V153" s="1027">
        <f>IF(AP153+U153&gt;10,10,IF(AP153+U153&lt;0,0,AP153+U153))</f>
        <v>5</v>
      </c>
      <c r="W153" s="1098" t="e">
        <f>IF(OR(I153&lt;&gt;"N",E153="C"),IF(AND(N153&lt;&gt;"T",ISNUMBER(FIND("V",I153))),1,0),NA())+IF(H153="Y",IF(AND(N153="P",ISNUMBER(FIND("Z",I153))),2,1),0)+IF(J153="Y",1,0)+IF(K153="Y",3,0)+IF(BE153="Lore",L153*2+Experience!$D$25,0)+IF(M153="Y",1,0)</f>
        <v>#N/A</v>
      </c>
      <c r="X153" s="1099"/>
      <c r="Y153" s="1100">
        <f ca="1">IF(P153="NS",IFERROR(INDIRECT(S153),NA()),VLOOKUP(INDIRECT(P153)+INDIRECT(S153),'System Lookups'!$A$3:$D$146,2))</f>
        <v>0.06</v>
      </c>
      <c r="Z153" s="1100">
        <f t="shared" si="185"/>
        <v>0</v>
      </c>
      <c r="AA153" s="1130">
        <f ca="1">$AA$151</f>
        <v>0.06</v>
      </c>
      <c r="AB153" s="1102">
        <f>$AB$151</f>
        <v>0.1</v>
      </c>
      <c r="AC153" s="1103">
        <f>$AC$151</f>
        <v>0.2</v>
      </c>
      <c r="AD153" s="1104">
        <f t="shared" ca="1" si="186"/>
        <v>0.16</v>
      </c>
      <c r="AE153" s="1094">
        <f ca="1">(IF(AD153&gt;VLOOKUP(V153,'System Lookups'!$J$55:$P$63,6),(((AD153-VLOOKUP(V153,'System Lookups'!$J$55:$P$63,6))*100)/20),0))+AF153</f>
        <v>0</v>
      </c>
      <c r="AF153" s="1121"/>
      <c r="AG153" s="1092">
        <f t="shared" si="187"/>
        <v>0</v>
      </c>
      <c r="AH153" s="1092" t="str">
        <f>IF(X153&lt;=Experience!$R$15+1,"","*")</f>
        <v/>
      </c>
      <c r="AI153" s="1092"/>
      <c r="AJ153" s="1080">
        <f t="shared" si="188"/>
        <v>0</v>
      </c>
      <c r="AK153" s="1080">
        <f t="shared" si="189"/>
        <v>0</v>
      </c>
      <c r="AL153" s="1080">
        <f t="shared" si="190"/>
        <v>0</v>
      </c>
      <c r="AM153" s="1092">
        <f t="shared" si="191"/>
        <v>0</v>
      </c>
      <c r="AN153" s="1080">
        <f t="shared" si="192"/>
        <v>0</v>
      </c>
      <c r="AO153" s="1080">
        <f t="shared" si="193"/>
        <v>0</v>
      </c>
      <c r="AP153" s="1080">
        <f t="shared" si="194"/>
        <v>0</v>
      </c>
      <c r="AQ153" s="1027">
        <v>500</v>
      </c>
      <c r="AR153" s="1080" t="str">
        <f ca="1">IF(AND(NOT(ISBLANK(AJ153)),ISNA(MATCH(ROW(),'System Lookups'!$C$526:$C$539,0))),"Y","N")</f>
        <v>Y</v>
      </c>
      <c r="AS153" s="1080">
        <f t="shared" si="195"/>
        <v>0</v>
      </c>
      <c r="AU153" s="1080" t="e">
        <f t="shared" si="148"/>
        <v>#N/A</v>
      </c>
      <c r="AV153" s="1080" t="str">
        <f t="shared" si="145"/>
        <v>S</v>
      </c>
      <c r="AW153" s="1080">
        <f t="shared" si="151"/>
        <v>0</v>
      </c>
      <c r="AX153" s="1080">
        <f t="shared" si="152"/>
        <v>0</v>
      </c>
      <c r="AY153" s="1080">
        <f t="shared" si="153"/>
        <v>0</v>
      </c>
      <c r="AZ153" s="1080">
        <f t="shared" si="154"/>
        <v>0</v>
      </c>
      <c r="BA153" s="1080">
        <f t="shared" si="150"/>
        <v>0</v>
      </c>
      <c r="BB153" s="1080">
        <f>IF(AND(RACE=1,'Main Creation Page'!$E$6="Well",OR(ISNUMBER(FIND(Experience!$G$11,BE153)),ISNUMBER(FIND(Experience!$G$11,BF153)),ISNUMBER(FIND(Experience!$I$11,BE153)),ISNUMBER(FIND(Experience!$I$11,BF153)))),1,0)</f>
        <v>0</v>
      </c>
      <c r="BC153" s="1080" t="str">
        <f t="shared" si="179"/>
        <v xml:space="preserve">Archery:Crossbows </v>
      </c>
      <c r="BD153" s="1080" t="s">
        <v>5683</v>
      </c>
      <c r="BE153" s="1080" t="str">
        <f t="shared" si="146"/>
        <v/>
      </c>
      <c r="BF153" s="1080" t="str">
        <f t="shared" si="147"/>
        <v>Combat Skills</v>
      </c>
    </row>
    <row r="154" spans="1:58" ht="11.1" customHeight="1" outlineLevel="2">
      <c r="A154" s="1028" t="s">
        <v>700</v>
      </c>
      <c r="B154" s="1094"/>
      <c r="C154" s="1094" t="s">
        <v>4629</v>
      </c>
      <c r="D154" s="1094" t="s">
        <v>4623</v>
      </c>
      <c r="E154" s="1095" t="s">
        <v>5224</v>
      </c>
      <c r="F154" s="1095" t="str">
        <f>IF(('Main Creation Page'!$C$3=2),"R","N")</f>
        <v>N</v>
      </c>
      <c r="G154" s="1096">
        <v>0</v>
      </c>
      <c r="H154" s="1096" t="s">
        <v>5224</v>
      </c>
      <c r="I154" s="1096" t="s">
        <v>5224</v>
      </c>
      <c r="J154" s="1096" t="s">
        <v>5224</v>
      </c>
      <c r="K154" s="1096" t="s">
        <v>5224</v>
      </c>
      <c r="L154" s="1096" t="s">
        <v>5224</v>
      </c>
      <c r="M154" s="1096" t="s">
        <v>5224</v>
      </c>
      <c r="N154" s="1096" t="s">
        <v>4630</v>
      </c>
      <c r="O154" s="1097"/>
      <c r="P154" s="1113" t="s">
        <v>13</v>
      </c>
      <c r="Q154" s="1097"/>
      <c r="R154" s="1097"/>
      <c r="S154" s="1113" t="s">
        <v>1155</v>
      </c>
      <c r="T154" s="1113"/>
      <c r="U154" s="1027">
        <f>$U$151</f>
        <v>5</v>
      </c>
      <c r="V154" s="1027">
        <f>IF(AP154+U154&gt;10,10,IF(AP154+U154&lt;0,0,AP154+U154))</f>
        <v>5</v>
      </c>
      <c r="W154" s="1098" t="e">
        <f>IF(OR(I154&lt;&gt;"N",E154="C"),IF(AND(N154&lt;&gt;"T",ISNUMBER(FIND("V",I154))),1,0),NA())+IF(H154="Y",IF(AND(N154="P",ISNUMBER(FIND("Z",I154))),2,1),0)+IF(J154="Y",1,0)+IF(K154="Y",3,0)+IF(BE154="Lore",L154*2+Experience!$D$25,0)+IF(M154="Y",1,0)</f>
        <v>#N/A</v>
      </c>
      <c r="X154" s="1099"/>
      <c r="Y154" s="1100">
        <f ca="1">IF(P154="NS",IFERROR(INDIRECT(S154),NA()),VLOOKUP(INDIRECT(P154)+INDIRECT(S154),'System Lookups'!$A$3:$D$146,2))</f>
        <v>0.06</v>
      </c>
      <c r="Z154" s="1100">
        <f t="shared" si="185"/>
        <v>0</v>
      </c>
      <c r="AA154" s="1130">
        <f ca="1">$AA$151</f>
        <v>0.06</v>
      </c>
      <c r="AB154" s="1102">
        <f>$AB$151</f>
        <v>0.1</v>
      </c>
      <c r="AC154" s="1103">
        <f>$AC$151</f>
        <v>0.2</v>
      </c>
      <c r="AD154" s="1104">
        <f t="shared" ca="1" si="186"/>
        <v>0.16</v>
      </c>
      <c r="AE154" s="1094">
        <f ca="1">(IF(AD154&gt;VLOOKUP(V154,'System Lookups'!$J$55:$P$63,6),(((AD154-VLOOKUP(V154,'System Lookups'!$J$55:$P$63,6))*100)/20),0))+AF154</f>
        <v>0</v>
      </c>
      <c r="AF154" s="1121"/>
      <c r="AG154" s="1092">
        <f t="shared" si="187"/>
        <v>0</v>
      </c>
      <c r="AH154" s="1092" t="str">
        <f>IF(X154&lt;=Experience!$R$15+1,"","*")</f>
        <v/>
      </c>
      <c r="AI154" s="1092"/>
      <c r="AJ154" s="1080">
        <f t="shared" si="188"/>
        <v>0</v>
      </c>
      <c r="AK154" s="1080">
        <f t="shared" si="189"/>
        <v>0</v>
      </c>
      <c r="AL154" s="1080">
        <f t="shared" si="190"/>
        <v>0</v>
      </c>
      <c r="AM154" s="1092">
        <f t="shared" si="191"/>
        <v>0</v>
      </c>
      <c r="AN154" s="1080">
        <f t="shared" si="192"/>
        <v>0</v>
      </c>
      <c r="AO154" s="1080">
        <f t="shared" si="193"/>
        <v>0</v>
      </c>
      <c r="AP154" s="1080">
        <f t="shared" si="194"/>
        <v>0</v>
      </c>
      <c r="AQ154" s="1027">
        <v>500</v>
      </c>
      <c r="AR154" s="1080" t="str">
        <f ca="1">IF(AND(NOT(ISBLANK(AJ154)),ISNA(MATCH(ROW(),'System Lookups'!$C$526:$C$539,0))),"Y","N")</f>
        <v>Y</v>
      </c>
      <c r="AS154" s="1080">
        <f t="shared" si="195"/>
        <v>0</v>
      </c>
      <c r="AU154" s="1080" t="e">
        <f t="shared" si="148"/>
        <v>#N/A</v>
      </c>
      <c r="AV154" s="1080" t="str">
        <f t="shared" si="145"/>
        <v>S</v>
      </c>
      <c r="AW154" s="1080">
        <f t="shared" si="151"/>
        <v>0</v>
      </c>
      <c r="AX154" s="1080">
        <f t="shared" si="152"/>
        <v>0</v>
      </c>
      <c r="AY154" s="1080">
        <f t="shared" si="153"/>
        <v>0</v>
      </c>
      <c r="AZ154" s="1080">
        <f t="shared" si="154"/>
        <v>0</v>
      </c>
      <c r="BA154" s="1080">
        <f t="shared" si="150"/>
        <v>0</v>
      </c>
      <c r="BB154" s="1080">
        <f>IF(AND(RACE=1,'Main Creation Page'!$E$6="Well",OR(ISNUMBER(FIND(Experience!$G$11,BE154)),ISNUMBER(FIND(Experience!$G$11,BF154)),ISNUMBER(FIND(Experience!$I$11,BE154)),ISNUMBER(FIND(Experience!$I$11,BF154)))),1,0)</f>
        <v>0</v>
      </c>
      <c r="BC154" s="1080" t="str">
        <f t="shared" si="179"/>
        <v xml:space="preserve">Archery:Elvish Longbows </v>
      </c>
      <c r="BD154" s="1080" t="s">
        <v>5683</v>
      </c>
      <c r="BE154" s="1080" t="str">
        <f t="shared" si="146"/>
        <v/>
      </c>
      <c r="BF154" s="1080" t="str">
        <f t="shared" si="147"/>
        <v>Combat Skills</v>
      </c>
    </row>
    <row r="155" spans="1:58" ht="11.1" customHeight="1" outlineLevel="2">
      <c r="A155" s="1028" t="s">
        <v>701</v>
      </c>
      <c r="B155" s="1094"/>
      <c r="C155" s="1094" t="s">
        <v>4629</v>
      </c>
      <c r="D155" s="1094" t="s">
        <v>4623</v>
      </c>
      <c r="E155" s="1095" t="s">
        <v>5224</v>
      </c>
      <c r="F155" s="1095" t="s">
        <v>5224</v>
      </c>
      <c r="G155" s="1096">
        <v>0</v>
      </c>
      <c r="H155" s="1096" t="s">
        <v>5224</v>
      </c>
      <c r="I155" s="1096" t="s">
        <v>5224</v>
      </c>
      <c r="J155" s="1096" t="s">
        <v>5224</v>
      </c>
      <c r="K155" s="1096" t="s">
        <v>5224</v>
      </c>
      <c r="L155" s="1096" t="s">
        <v>5224</v>
      </c>
      <c r="M155" s="1096" t="s">
        <v>5224</v>
      </c>
      <c r="N155" s="1096" t="s">
        <v>4630</v>
      </c>
      <c r="O155" s="1097"/>
      <c r="P155" s="1113" t="s">
        <v>13</v>
      </c>
      <c r="Q155" s="1097"/>
      <c r="R155" s="1097"/>
      <c r="S155" s="1113" t="s">
        <v>1155</v>
      </c>
      <c r="T155" s="1113"/>
      <c r="U155" s="1027">
        <f>$U$151</f>
        <v>5</v>
      </c>
      <c r="V155" s="1027">
        <f>IF(AP155+U155&gt;10,10,IF(AP155+U155&lt;0,0,AP155+U155))</f>
        <v>5</v>
      </c>
      <c r="W155" s="1098" t="e">
        <f>IF(OR(I155&lt;&gt;"N",E155="C"),IF(AND(N155&lt;&gt;"T",ISNUMBER(FIND("V",I155))),1,0),NA())+IF(H155="Y",IF(AND(N155="P",ISNUMBER(FIND("Z",I155))),2,1),0)+IF(J155="Y",1,0)+IF(K155="Y",3,0)+IF(BE155="Lore",L155*2+Experience!$D$25,0)+IF(M155="Y",1,0)</f>
        <v>#N/A</v>
      </c>
      <c r="X155" s="1099"/>
      <c r="Y155" s="1100">
        <f ca="1">IF(P155="NS",IFERROR(INDIRECT(S155),NA()),VLOOKUP(INDIRECT(P155)+INDIRECT(S155),'System Lookups'!$A$3:$D$146,2))</f>
        <v>0.06</v>
      </c>
      <c r="Z155" s="1100">
        <f t="shared" si="185"/>
        <v>0</v>
      </c>
      <c r="AA155" s="1130">
        <f ca="1">$AA$151</f>
        <v>0.06</v>
      </c>
      <c r="AB155" s="1102">
        <f>$AB$151</f>
        <v>0.1</v>
      </c>
      <c r="AC155" s="1103">
        <f>$AC$151</f>
        <v>0.2</v>
      </c>
      <c r="AD155" s="1104">
        <f t="shared" ca="1" si="186"/>
        <v>0.16</v>
      </c>
      <c r="AE155" s="1094">
        <f ca="1">(IF(AD155&gt;VLOOKUP(V155,'System Lookups'!$J$55:$P$63,6),(((AD155-VLOOKUP(V155,'System Lookups'!$J$55:$P$63,6))*100)/20),0))+AF155</f>
        <v>0</v>
      </c>
      <c r="AF155" s="1121"/>
      <c r="AG155" s="1092">
        <f t="shared" si="187"/>
        <v>0</v>
      </c>
      <c r="AH155" s="1092" t="str">
        <f>IF(X155&lt;=Experience!$R$15+1,"","*")</f>
        <v/>
      </c>
      <c r="AI155" s="1092"/>
      <c r="AJ155" s="1080">
        <f t="shared" si="188"/>
        <v>0</v>
      </c>
      <c r="AK155" s="1080">
        <f t="shared" si="189"/>
        <v>0</v>
      </c>
      <c r="AL155" s="1080">
        <f t="shared" si="190"/>
        <v>0</v>
      </c>
      <c r="AM155" s="1092">
        <f t="shared" si="191"/>
        <v>0</v>
      </c>
      <c r="AN155" s="1080">
        <f t="shared" si="192"/>
        <v>0</v>
      </c>
      <c r="AO155" s="1080">
        <f t="shared" si="193"/>
        <v>0</v>
      </c>
      <c r="AP155" s="1080">
        <f t="shared" si="194"/>
        <v>0</v>
      </c>
      <c r="AQ155" s="1027">
        <v>500</v>
      </c>
      <c r="AR155" s="1080" t="str">
        <f ca="1">IF(AND(NOT(ISBLANK(AJ155)),ISNA(MATCH(ROW(),'System Lookups'!$C$526:$C$539,0))),"Y","N")</f>
        <v>Y</v>
      </c>
      <c r="AS155" s="1080">
        <f t="shared" si="195"/>
        <v>0</v>
      </c>
      <c r="AU155" s="1080" t="e">
        <f t="shared" si="148"/>
        <v>#N/A</v>
      </c>
      <c r="AV155" s="1080" t="str">
        <f t="shared" si="145"/>
        <v>S</v>
      </c>
      <c r="AW155" s="1080">
        <f t="shared" si="151"/>
        <v>0</v>
      </c>
      <c r="AX155" s="1080">
        <f t="shared" si="152"/>
        <v>0</v>
      </c>
      <c r="AY155" s="1080">
        <f t="shared" si="153"/>
        <v>0</v>
      </c>
      <c r="AZ155" s="1080">
        <f t="shared" si="154"/>
        <v>0</v>
      </c>
      <c r="BA155" s="1080">
        <f t="shared" si="150"/>
        <v>0</v>
      </c>
      <c r="BB155" s="1080">
        <f>IF(AND(RACE=1,'Main Creation Page'!$E$6="Well",OR(ISNUMBER(FIND(Experience!$G$11,BE155)),ISNUMBER(FIND(Experience!$G$11,BF155)),ISNUMBER(FIND(Experience!$I$11,BE155)),ISNUMBER(FIND(Experience!$I$11,BF155)))),1,0)</f>
        <v>0</v>
      </c>
      <c r="BC155" s="1080" t="str">
        <f t="shared" si="179"/>
        <v xml:space="preserve">Archery:Longbows </v>
      </c>
      <c r="BD155" s="1080" t="s">
        <v>5683</v>
      </c>
      <c r="BE155" s="1080" t="str">
        <f t="shared" si="146"/>
        <v/>
      </c>
      <c r="BF155" s="1080" t="str">
        <f t="shared" si="147"/>
        <v>Combat Skills</v>
      </c>
    </row>
    <row r="156" spans="1:58" ht="11.1" customHeight="1" outlineLevel="2">
      <c r="A156" s="1028" t="s">
        <v>164</v>
      </c>
      <c r="B156" s="1094"/>
      <c r="C156" s="1094" t="s">
        <v>4629</v>
      </c>
      <c r="D156" s="1094" t="s">
        <v>4623</v>
      </c>
      <c r="E156" s="1095" t="s">
        <v>5224</v>
      </c>
      <c r="F156" s="1095" t="s">
        <v>5224</v>
      </c>
      <c r="G156" s="1096">
        <v>0</v>
      </c>
      <c r="H156" s="1096" t="s">
        <v>5224</v>
      </c>
      <c r="I156" s="1096" t="s">
        <v>5224</v>
      </c>
      <c r="J156" s="1096" t="s">
        <v>5224</v>
      </c>
      <c r="K156" s="1096" t="s">
        <v>5224</v>
      </c>
      <c r="L156" s="1096" t="s">
        <v>5224</v>
      </c>
      <c r="M156" s="1096" t="s">
        <v>5224</v>
      </c>
      <c r="N156" s="1096" t="s">
        <v>4630</v>
      </c>
      <c r="O156" s="1097"/>
      <c r="P156" s="1113" t="s">
        <v>13</v>
      </c>
      <c r="Q156" s="1097"/>
      <c r="R156" s="1097"/>
      <c r="S156" s="1113" t="s">
        <v>1155</v>
      </c>
      <c r="T156" s="1113"/>
      <c r="U156" s="1027">
        <f>$U$151</f>
        <v>5</v>
      </c>
      <c r="V156" s="1027">
        <f>IF(AP156+U156&gt;10,10,IF(AP156+U156&lt;0,0,AP156+U156))</f>
        <v>5</v>
      </c>
      <c r="W156" s="1098" t="e">
        <f>IF(OR(I156&lt;&gt;"N",E156="C"),IF(AND(N156&lt;&gt;"T",ISNUMBER(FIND("V",I156))),1,0),NA())+IF(H156="Y",IF(AND(N156="P",ISNUMBER(FIND("Z",I156))),2,1),0)+IF(J156="Y",1,0)+IF(K156="Y",3,0)+IF(BE156="Lore",L156*2+Experience!$D$25,0)+IF(M156="Y",1,0)</f>
        <v>#N/A</v>
      </c>
      <c r="X156" s="1099"/>
      <c r="Y156" s="1100">
        <f ca="1">IF(P156="NS",IFERROR(INDIRECT(S156),NA()),VLOOKUP(INDIRECT(P156)+INDIRECT(S156),'System Lookups'!$A$3:$D$146,2))</f>
        <v>0.06</v>
      </c>
      <c r="Z156" s="1100">
        <f t="shared" si="185"/>
        <v>0</v>
      </c>
      <c r="AA156" s="1130">
        <f ca="1">$AA$151</f>
        <v>0.06</v>
      </c>
      <c r="AB156" s="1102">
        <f>$AB$151</f>
        <v>0.1</v>
      </c>
      <c r="AC156" s="1103">
        <f>$AC$151</f>
        <v>0.2</v>
      </c>
      <c r="AD156" s="1104">
        <f t="shared" ca="1" si="186"/>
        <v>0.16</v>
      </c>
      <c r="AE156" s="1094">
        <f ca="1">(IF(AD156&gt;VLOOKUP(V156,'System Lookups'!$J$55:$P$63,6),(((AD156-VLOOKUP(V156,'System Lookups'!$J$55:$P$63,6))*100)/20),0))+AF156</f>
        <v>0</v>
      </c>
      <c r="AF156" s="1121"/>
      <c r="AG156" s="1092">
        <f t="shared" si="187"/>
        <v>0</v>
      </c>
      <c r="AH156" s="1092" t="str">
        <f>IF(X156&lt;=Experience!$R$15+1,"","*")</f>
        <v/>
      </c>
      <c r="AI156" s="1092"/>
      <c r="AJ156" s="1080">
        <f t="shared" si="188"/>
        <v>0</v>
      </c>
      <c r="AK156" s="1080">
        <f t="shared" si="189"/>
        <v>0</v>
      </c>
      <c r="AL156" s="1080">
        <f t="shared" si="190"/>
        <v>0</v>
      </c>
      <c r="AM156" s="1092">
        <f t="shared" si="191"/>
        <v>0</v>
      </c>
      <c r="AN156" s="1080">
        <f t="shared" si="192"/>
        <v>0</v>
      </c>
      <c r="AO156" s="1080">
        <f t="shared" si="193"/>
        <v>0</v>
      </c>
      <c r="AP156" s="1080">
        <f t="shared" si="194"/>
        <v>0</v>
      </c>
      <c r="AQ156" s="1027">
        <v>500</v>
      </c>
      <c r="AR156" s="1080" t="str">
        <f ca="1">IF(AND(NOT(ISBLANK(AJ156)),ISNA(MATCH(ROW(),'System Lookups'!$C$526:$C$539,0))),"Y","N")</f>
        <v>Y</v>
      </c>
      <c r="AS156" s="1080">
        <f t="shared" si="195"/>
        <v>0</v>
      </c>
      <c r="AU156" s="1080" t="e">
        <f t="shared" si="148"/>
        <v>#N/A</v>
      </c>
      <c r="AV156" s="1080" t="str">
        <f t="shared" si="145"/>
        <v>S</v>
      </c>
      <c r="AW156" s="1080">
        <f t="shared" si="151"/>
        <v>0</v>
      </c>
      <c r="AX156" s="1080">
        <f t="shared" si="152"/>
        <v>0</v>
      </c>
      <c r="AY156" s="1080">
        <f t="shared" si="153"/>
        <v>0</v>
      </c>
      <c r="AZ156" s="1080">
        <f t="shared" si="154"/>
        <v>0</v>
      </c>
      <c r="BA156" s="1080">
        <f t="shared" si="150"/>
        <v>0</v>
      </c>
      <c r="BB156" s="1080">
        <f>IF(AND(RACE=1,'Main Creation Page'!$E$6="Well",OR(ISNUMBER(FIND(Experience!$G$11,BE156)),ISNUMBER(FIND(Experience!$G$11,BF156)),ISNUMBER(FIND(Experience!$I$11,BE156)),ISNUMBER(FIND(Experience!$I$11,BF156)))),1,0)</f>
        <v>0</v>
      </c>
      <c r="BC156" s="1080" t="str">
        <f t="shared" si="179"/>
        <v>Archery:Shortbow/Selfbow</v>
      </c>
      <c r="BD156" s="1080" t="s">
        <v>5683</v>
      </c>
      <c r="BE156" s="1080" t="str">
        <f t="shared" si="146"/>
        <v/>
      </c>
      <c r="BF156" s="1080" t="str">
        <f t="shared" si="147"/>
        <v>Combat Skills</v>
      </c>
    </row>
    <row r="157" spans="1:58" ht="11.1" customHeight="1" outlineLevel="1">
      <c r="A157" s="1123" t="s">
        <v>2107</v>
      </c>
      <c r="B157" s="1094"/>
      <c r="C157" s="1094" t="s">
        <v>4629</v>
      </c>
      <c r="D157" s="1094" t="s">
        <v>3251</v>
      </c>
      <c r="E157" s="1095" t="s">
        <v>5224</v>
      </c>
      <c r="F157" s="1095" t="s">
        <v>5224</v>
      </c>
      <c r="G157" s="1096">
        <v>0</v>
      </c>
      <c r="H157" s="1096" t="s">
        <v>5224</v>
      </c>
      <c r="I157" s="1096" t="s">
        <v>5224</v>
      </c>
      <c r="J157" s="1096" t="s">
        <v>5224</v>
      </c>
      <c r="K157" s="1096" t="s">
        <v>5224</v>
      </c>
      <c r="L157" s="1096" t="s">
        <v>5224</v>
      </c>
      <c r="M157" s="1096" t="s">
        <v>5224</v>
      </c>
      <c r="N157" s="1096" t="s">
        <v>4630</v>
      </c>
      <c r="O157" s="1028"/>
      <c r="P157" s="1028" t="s">
        <v>3615</v>
      </c>
      <c r="Q157" s="1097">
        <f t="shared" ref="Q157:Q167" ca="1" si="196">INDIRECT(P157)</f>
        <v>20</v>
      </c>
      <c r="R157" s="1097"/>
      <c r="S157" s="1028" t="s">
        <v>3611</v>
      </c>
      <c r="T157" s="1097">
        <f t="shared" ref="T157:T167" ca="1" si="197">INDIRECT(S157)</f>
        <v>15</v>
      </c>
      <c r="U157" s="1027">
        <v>5</v>
      </c>
      <c r="V157" s="1027">
        <f t="shared" ref="V157:V188" si="198">IF(AP157+U157&gt;10,10,IF(AP157+U157&lt;1,1,AP157+U157))</f>
        <v>5</v>
      </c>
      <c r="W157" s="1098" t="e">
        <f>IF(OR(I157&lt;&gt;"N",E157="C"),IF(AND(N157&lt;&gt;"T",ISNUMBER(FIND("V",I157))),1,0),NA())+IF(H157="Y",IF(AND(N157="P",ISNUMBER(FIND("Z",I157))),2,1),0)+IF(J157="Y",1,0)+IF(K157="Y",3,0)+IF(BE157="Lore",L157*2+Experience!$D$25,0)+IF(M157="Y",1,0)</f>
        <v>#N/A</v>
      </c>
      <c r="X157" s="1099"/>
      <c r="Y157" s="1100">
        <f ca="1">IF(P157="NS",IFERROR(INDIRECT(S157),NA()),VLOOKUP(INDIRECT(P157)+INDIRECT(S157),'System Lookups'!$A$3:$D$146,2))</f>
        <v>0.12</v>
      </c>
      <c r="Z157" s="1100">
        <f t="shared" si="185"/>
        <v>0</v>
      </c>
      <c r="AA157" s="1101">
        <f t="shared" ref="AA157" ca="1" si="199">IF(ISNA(Y157),0,Y157)+Z157</f>
        <v>0.12</v>
      </c>
      <c r="AB157" s="1102">
        <f>VLOOKUP(V157,'System Lookups'!$J$55:$P$64,3)</f>
        <v>0.1</v>
      </c>
      <c r="AC157" s="1103">
        <f>VLOOKUP(V157,'System Lookups'!$J$55:$P$64,4)</f>
        <v>0.2</v>
      </c>
      <c r="AD157" s="1104">
        <f t="shared" ca="1" si="186"/>
        <v>0.22</v>
      </c>
      <c r="AE157" s="1094">
        <f ca="1">(IF(AD157&gt;VLOOKUP(V157,'System Lookups'!$J$55:$P$63,6),(((AD157-VLOOKUP(V157,'System Lookups'!$J$55:$P$63,6))*100)/20),0))+AF157</f>
        <v>0</v>
      </c>
      <c r="AF157" s="1121"/>
      <c r="AG157" s="1092">
        <f t="shared" si="187"/>
        <v>0</v>
      </c>
      <c r="AH157" s="1092" t="str">
        <f>IF(X157&lt;=Experience!$R$15+1,"","*")</f>
        <v/>
      </c>
      <c r="AI157" s="1092"/>
      <c r="AJ157" s="1080">
        <f t="shared" si="188"/>
        <v>0</v>
      </c>
      <c r="AK157" s="1080">
        <f t="shared" si="189"/>
        <v>0</v>
      </c>
      <c r="AL157" s="1080">
        <f t="shared" si="190"/>
        <v>0</v>
      </c>
      <c r="AM157" s="1092">
        <f t="shared" si="191"/>
        <v>0</v>
      </c>
      <c r="AN157" s="1080">
        <f t="shared" si="192"/>
        <v>0</v>
      </c>
      <c r="AO157" s="1080">
        <f t="shared" si="193"/>
        <v>0</v>
      </c>
      <c r="AP157" s="1080">
        <f t="shared" si="194"/>
        <v>0</v>
      </c>
      <c r="AQ157" s="1027">
        <f>VLOOKUP(V157,'System Lookups'!$J$55:$P$64,7)</f>
        <v>700</v>
      </c>
      <c r="AR157" s="1080" t="str">
        <f ca="1">IF(AND(NOT(ISBLANK(AJ157)),ISNA(MATCH(ROW(),'System Lookups'!$C$526:$C$539,0))),"Y","N")</f>
        <v>Y</v>
      </c>
      <c r="AS157" s="1080">
        <f t="shared" si="195"/>
        <v>0</v>
      </c>
      <c r="AU157" s="1080" t="e">
        <f t="shared" si="148"/>
        <v>#N/A</v>
      </c>
      <c r="AV157" s="1080" t="str">
        <f t="shared" si="145"/>
        <v>S</v>
      </c>
      <c r="AW157" s="1080">
        <f t="shared" si="151"/>
        <v>0</v>
      </c>
      <c r="AX157" s="1080">
        <f t="shared" si="152"/>
        <v>0</v>
      </c>
      <c r="AY157" s="1080">
        <f t="shared" si="153"/>
        <v>0</v>
      </c>
      <c r="AZ157" s="1080">
        <f t="shared" si="154"/>
        <v>0</v>
      </c>
      <c r="BA157" s="1080">
        <f t="shared" si="150"/>
        <v>0</v>
      </c>
      <c r="BB157" s="1080">
        <f>IF(AND(RACE=1,'Main Creation Page'!$E$6="Well",OR(ISNUMBER(FIND(Experience!$G$11,BE157)),ISNUMBER(FIND(Experience!$G$11,BF157)),ISNUMBER(FIND(Experience!$I$11,BE157)),ISNUMBER(FIND(Experience!$I$11,BF157)))),1,0)</f>
        <v>0</v>
      </c>
      <c r="BC157" s="1080" t="str">
        <f t="shared" si="179"/>
        <v>Atlatl</v>
      </c>
      <c r="BE157" s="1080" t="str">
        <f t="shared" si="146"/>
        <v/>
      </c>
      <c r="BF157" s="1080" t="str">
        <f t="shared" si="147"/>
        <v>Combat Skills</v>
      </c>
    </row>
    <row r="158" spans="1:58" ht="11.1" customHeight="1" outlineLevel="1">
      <c r="A158" s="1117" t="s">
        <v>4288</v>
      </c>
      <c r="B158" s="1094"/>
      <c r="C158" s="1094" t="s">
        <v>4629</v>
      </c>
      <c r="D158" s="1094" t="s">
        <v>3251</v>
      </c>
      <c r="E158" s="1095" t="s">
        <v>5224</v>
      </c>
      <c r="F158" s="1095" t="s">
        <v>5224</v>
      </c>
      <c r="G158" s="1096">
        <v>0</v>
      </c>
      <c r="H158" s="1096" t="s">
        <v>5224</v>
      </c>
      <c r="I158" s="1096" t="s">
        <v>5224</v>
      </c>
      <c r="J158" s="1096" t="s">
        <v>5224</v>
      </c>
      <c r="K158" s="1096" t="s">
        <v>5224</v>
      </c>
      <c r="L158" s="1096" t="s">
        <v>5224</v>
      </c>
      <c r="M158" s="1096" t="s">
        <v>5224</v>
      </c>
      <c r="N158" s="1096" t="s">
        <v>4630</v>
      </c>
      <c r="O158" s="1028"/>
      <c r="P158" s="1028" t="s">
        <v>3615</v>
      </c>
      <c r="Q158" s="1097">
        <f t="shared" ca="1" si="196"/>
        <v>20</v>
      </c>
      <c r="R158" s="1097"/>
      <c r="S158" s="1028" t="s">
        <v>3615</v>
      </c>
      <c r="T158" s="1097">
        <f t="shared" ca="1" si="197"/>
        <v>20</v>
      </c>
      <c r="U158" s="1027">
        <v>4</v>
      </c>
      <c r="V158" s="1027">
        <f t="shared" si="198"/>
        <v>4</v>
      </c>
      <c r="W158" s="1098" t="e">
        <f>IF(OR(I158&lt;&gt;"N",E158="C"),IF(AND(N158&lt;&gt;"T",ISNUMBER(FIND("V",I158))),1,0),NA())+IF(H158="Y",IF(AND(N158="P",ISNUMBER(FIND("Z",I158))),2,1),0)+IF(J158="Y",1,0)+IF(K158="Y",3,0)+IF(BE158="Lore",L158*2+Experience!$D$25,0)+IF(M158="Y",1,0)</f>
        <v>#N/A</v>
      </c>
      <c r="X158" s="1099"/>
      <c r="Y158" s="1100">
        <f ca="1">IF(P158="NS",IFERROR(INDIRECT(S158),NA()),VLOOKUP(INDIRECT(P158)+INDIRECT(S158),'System Lookups'!$A$3:$D$146,2))</f>
        <v>0.2</v>
      </c>
      <c r="Z158" s="1100">
        <f t="shared" si="185"/>
        <v>0</v>
      </c>
      <c r="AA158" s="1101">
        <f t="shared" ref="AA158:AA188" ca="1" si="200">IF(ISNA(Y158),0,Y158)+Z158</f>
        <v>0.2</v>
      </c>
      <c r="AB158" s="1102">
        <f>VLOOKUP(V158,'System Lookups'!$J$55:$P$64,3)</f>
        <v>0.2</v>
      </c>
      <c r="AC158" s="1103">
        <f>VLOOKUP(V158,'System Lookups'!$J$55:$P$64,4)</f>
        <v>0.3</v>
      </c>
      <c r="AD158" s="1104">
        <f t="shared" ca="1" si="186"/>
        <v>0.4</v>
      </c>
      <c r="AE158" s="1094">
        <f ca="1">(IF(AD158&gt;VLOOKUP(V158,'System Lookups'!$J$55:$P$63,6),(((AD158-VLOOKUP(V158,'System Lookups'!$J$55:$P$63,6))*100)/20),0))+AF158</f>
        <v>0</v>
      </c>
      <c r="AF158" s="1121"/>
      <c r="AG158" s="1092">
        <f t="shared" si="187"/>
        <v>0</v>
      </c>
      <c r="AH158" s="1092" t="str">
        <f>IF(X158&lt;=Experience!$R$15+1,"","*")</f>
        <v/>
      </c>
      <c r="AI158" s="1092"/>
      <c r="AJ158" s="1080">
        <f t="shared" si="188"/>
        <v>0</v>
      </c>
      <c r="AK158" s="1080">
        <f t="shared" ref="AK158:AK188" si="201">IF(F158="s",-2,0)</f>
        <v>0</v>
      </c>
      <c r="AL158" s="1080">
        <f t="shared" si="190"/>
        <v>0</v>
      </c>
      <c r="AM158" s="1092">
        <f t="shared" ref="AM158:AM188" si="202">IF(J158="y",1,0)</f>
        <v>0</v>
      </c>
      <c r="AN158" s="1080">
        <f t="shared" ref="AN158:AN188" si="203">IF(N158="P",-1,IF(N158="T",1,0))</f>
        <v>0</v>
      </c>
      <c r="AO158" s="1080">
        <f t="shared" si="193"/>
        <v>0</v>
      </c>
      <c r="AP158" s="1080">
        <f t="shared" si="194"/>
        <v>0</v>
      </c>
      <c r="AQ158" s="1027">
        <f>VLOOKUP(V158,'System Lookups'!$J$55:$P$64,7)</f>
        <v>600</v>
      </c>
      <c r="AR158" s="1080" t="str">
        <f ca="1">IF(AND(NOT(ISBLANK(AJ158)),ISNA(MATCH(ROW(),'System Lookups'!$C$526:$C$539,0))),"Y","N")</f>
        <v>Y</v>
      </c>
      <c r="AS158" s="1080">
        <f t="shared" si="195"/>
        <v>0</v>
      </c>
      <c r="AU158" s="1080" t="e">
        <f t="shared" si="148"/>
        <v>#N/A</v>
      </c>
      <c r="AV158" s="1080" t="str">
        <f t="shared" si="145"/>
        <v>S</v>
      </c>
      <c r="AW158" s="1080">
        <f t="shared" si="151"/>
        <v>0</v>
      </c>
      <c r="AX158" s="1080">
        <f t="shared" si="152"/>
        <v>0</v>
      </c>
      <c r="AY158" s="1080">
        <f t="shared" si="153"/>
        <v>0</v>
      </c>
      <c r="AZ158" s="1080">
        <f t="shared" si="154"/>
        <v>0</v>
      </c>
      <c r="BA158" s="1080">
        <f t="shared" si="150"/>
        <v>0</v>
      </c>
      <c r="BB158" s="1080">
        <f>IF(AND(RACE=1,'Main Creation Page'!$E$6="Well",OR(ISNUMBER(FIND(Experience!$G$11,BE158)),ISNUMBER(FIND(Experience!$G$11,BF158)),ISNUMBER(FIND(Experience!$I$11,BE158)),ISNUMBER(FIND(Experience!$I$11,BF158)))),1,0)</f>
        <v>0</v>
      </c>
      <c r="BC158" s="1080" t="str">
        <f t="shared" si="179"/>
        <v>Axes</v>
      </c>
      <c r="BE158" s="1080" t="str">
        <f t="shared" si="146"/>
        <v/>
      </c>
      <c r="BF158" s="1080" t="str">
        <f t="shared" si="147"/>
        <v>Combat Skills</v>
      </c>
    </row>
    <row r="159" spans="1:58" ht="11.1" customHeight="1" outlineLevel="1">
      <c r="A159" s="1123" t="s">
        <v>5735</v>
      </c>
      <c r="B159" s="1094"/>
      <c r="C159" s="1094" t="s">
        <v>4629</v>
      </c>
      <c r="D159" s="1094" t="s">
        <v>3251</v>
      </c>
      <c r="E159" s="1095" t="s">
        <v>5224</v>
      </c>
      <c r="F159" s="1095" t="s">
        <v>5224</v>
      </c>
      <c r="G159" s="1096">
        <v>0</v>
      </c>
      <c r="H159" s="1096" t="s">
        <v>5224</v>
      </c>
      <c r="I159" s="1096" t="s">
        <v>5224</v>
      </c>
      <c r="J159" s="1096" t="s">
        <v>5224</v>
      </c>
      <c r="K159" s="1096" t="s">
        <v>5224</v>
      </c>
      <c r="L159" s="1096" t="s">
        <v>5224</v>
      </c>
      <c r="M159" s="1096" t="s">
        <v>5224</v>
      </c>
      <c r="N159" s="1096" t="s">
        <v>4630</v>
      </c>
      <c r="O159" s="1028"/>
      <c r="P159" s="1028" t="s">
        <v>3611</v>
      </c>
      <c r="Q159" s="1097">
        <f t="shared" ca="1" si="196"/>
        <v>15</v>
      </c>
      <c r="R159" s="1097"/>
      <c r="S159" s="1028" t="s">
        <v>3613</v>
      </c>
      <c r="T159" s="1097">
        <f t="shared" ca="1" si="197"/>
        <v>15</v>
      </c>
      <c r="U159" s="1027">
        <v>3</v>
      </c>
      <c r="V159" s="1027">
        <f t="shared" si="198"/>
        <v>3</v>
      </c>
      <c r="W159" s="1098" t="e">
        <f>IF(OR(I159&lt;&gt;"N",E159="C"),IF(AND(N159&lt;&gt;"T",ISNUMBER(FIND("V",I159))),1,0),NA())+IF(H159="Y",IF(AND(N159="P",ISNUMBER(FIND("Z",I159))),2,1),0)+IF(J159="Y",1,0)+IF(K159="Y",3,0)+IF(BE159="Lore",L159*2+Experience!$D$25,0)+IF(M159="Y",1,0)</f>
        <v>#N/A</v>
      </c>
      <c r="X159" s="1099"/>
      <c r="Y159" s="1100">
        <f ca="1">IF(P159="NS",IFERROR(INDIRECT(S159),NA()),VLOOKUP(INDIRECT(P159)+INDIRECT(S159),'System Lookups'!$A$3:$D$146,2))</f>
        <v>0.06</v>
      </c>
      <c r="Z159" s="1100">
        <f t="shared" si="185"/>
        <v>0</v>
      </c>
      <c r="AA159" s="1101">
        <f t="shared" ref="AA159" ca="1" si="204">IF(ISNA(Y159),0,Y159)+Z159</f>
        <v>0.06</v>
      </c>
      <c r="AB159" s="1102">
        <f>VLOOKUP(V159,'System Lookups'!$J$55:$P$64,3)</f>
        <v>0.3</v>
      </c>
      <c r="AC159" s="1103">
        <f>VLOOKUP(V159,'System Lookups'!$J$55:$P$64,4)</f>
        <v>0.4</v>
      </c>
      <c r="AD159" s="1104">
        <f t="shared" ca="1" si="186"/>
        <v>0.36</v>
      </c>
      <c r="AE159" s="1094">
        <f ca="1">(IF(AD159&gt;VLOOKUP(V159,'System Lookups'!$J$55:$P$63,6),(((AD159-VLOOKUP(V159,'System Lookups'!$J$55:$P$63,6))*100)/20),0))+AF159</f>
        <v>0</v>
      </c>
      <c r="AF159" s="1121"/>
      <c r="AG159" s="1092">
        <f t="shared" si="187"/>
        <v>0</v>
      </c>
      <c r="AH159" s="1092" t="str">
        <f>IF(X159&lt;=Experience!$R$15+1,"","*")</f>
        <v/>
      </c>
      <c r="AI159" s="1092"/>
      <c r="AJ159" s="1080">
        <f t="shared" si="188"/>
        <v>0</v>
      </c>
      <c r="AK159" s="1080">
        <f t="shared" ref="AK159" si="205">IF(F159="s",-2,0)</f>
        <v>0</v>
      </c>
      <c r="AL159" s="1080">
        <f t="shared" si="190"/>
        <v>0</v>
      </c>
      <c r="AM159" s="1092">
        <f t="shared" ref="AM159" si="206">IF(J159="y",1,0)</f>
        <v>0</v>
      </c>
      <c r="AN159" s="1080">
        <f t="shared" ref="AN159" si="207">IF(N159="P",-1,IF(N159="T",1,0))</f>
        <v>0</v>
      </c>
      <c r="AO159" s="1080">
        <f t="shared" si="193"/>
        <v>0</v>
      </c>
      <c r="AP159" s="1080">
        <f t="shared" si="194"/>
        <v>0</v>
      </c>
      <c r="AQ159" s="1027">
        <f>VLOOKUP(V159,'System Lookups'!$J$55:$P$64,7)</f>
        <v>500</v>
      </c>
      <c r="AR159" s="1080" t="str">
        <f ca="1">IF(AND(NOT(ISBLANK(AJ159)),ISNA(MATCH(ROW(),'System Lookups'!$C$526:$C$539,0))),"Y","N")</f>
        <v>Y</v>
      </c>
      <c r="AS159" s="1080">
        <f t="shared" si="195"/>
        <v>0</v>
      </c>
      <c r="AU159" s="1080" t="e">
        <f t="shared" si="148"/>
        <v>#N/A</v>
      </c>
      <c r="AV159" s="1080" t="str">
        <f t="shared" si="145"/>
        <v>S</v>
      </c>
      <c r="AW159" s="1080">
        <f t="shared" si="151"/>
        <v>0</v>
      </c>
      <c r="AX159" s="1080">
        <f t="shared" si="152"/>
        <v>0</v>
      </c>
      <c r="AY159" s="1080">
        <f t="shared" si="153"/>
        <v>0</v>
      </c>
      <c r="AZ159" s="1080">
        <f t="shared" si="154"/>
        <v>0</v>
      </c>
      <c r="BA159" s="1080">
        <f t="shared" si="150"/>
        <v>0</v>
      </c>
      <c r="BB159" s="1080">
        <f>IF(AND(RACE=1,'Main Creation Page'!$E$6="Well",OR(ISNUMBER(FIND(Experience!$G$11,BE159)),ISNUMBER(FIND(Experience!$G$11,BF159)),ISNUMBER(FIND(Experience!$I$11,BE159)),ISNUMBER(FIND(Experience!$I$11,BF159)))),1,0)</f>
        <v>0</v>
      </c>
      <c r="BC159" s="1080" t="str">
        <f t="shared" si="179"/>
        <v>Battlefield Formations</v>
      </c>
      <c r="BE159" s="1080" t="str">
        <f t="shared" si="146"/>
        <v/>
      </c>
      <c r="BF159" s="1080" t="str">
        <f t="shared" si="147"/>
        <v>Combat Skills</v>
      </c>
    </row>
    <row r="160" spans="1:58" ht="11.1" customHeight="1" outlineLevel="1">
      <c r="A160" s="1123" t="s">
        <v>5027</v>
      </c>
      <c r="B160" s="1094"/>
      <c r="C160" s="1094" t="s">
        <v>4629</v>
      </c>
      <c r="D160" s="1094"/>
      <c r="E160" s="1095" t="s">
        <v>5224</v>
      </c>
      <c r="F160" s="1095" t="s">
        <v>5224</v>
      </c>
      <c r="G160" s="1096">
        <v>0</v>
      </c>
      <c r="H160" s="1096" t="s">
        <v>5224</v>
      </c>
      <c r="I160" s="1096" t="s">
        <v>5224</v>
      </c>
      <c r="J160" s="1096" t="s">
        <v>5224</v>
      </c>
      <c r="K160" s="1096" t="s">
        <v>5224</v>
      </c>
      <c r="L160" s="1096" t="s">
        <v>5224</v>
      </c>
      <c r="M160" s="1096" t="s">
        <v>5224</v>
      </c>
      <c r="N160" s="1096" t="s">
        <v>4630</v>
      </c>
      <c r="O160" s="1028"/>
      <c r="P160" s="1028" t="s">
        <v>3613</v>
      </c>
      <c r="Q160" s="1097">
        <f t="shared" ca="1" si="196"/>
        <v>15</v>
      </c>
      <c r="R160" s="1097"/>
      <c r="S160" s="1028" t="s">
        <v>3613</v>
      </c>
      <c r="T160" s="1097">
        <f t="shared" ca="1" si="197"/>
        <v>15</v>
      </c>
      <c r="U160" s="1027">
        <v>4</v>
      </c>
      <c r="V160" s="1027">
        <f t="shared" si="198"/>
        <v>4</v>
      </c>
      <c r="W160" s="1098" t="e">
        <f>IF(OR(I160&lt;&gt;"N",E160="C"),IF(AND(N160&lt;&gt;"T",ISNUMBER(FIND("V",I160))),1,0),NA())+IF(H160="Y",IF(AND(N160="P",ISNUMBER(FIND("Z",I160))),2,1),0)+IF(J160="Y",1,0)+IF(K160="Y",3,0)+IF(BE160="Lore",L160*2+Experience!$D$25,0)+IF(M160="Y",1,0)</f>
        <v>#N/A</v>
      </c>
      <c r="X160" s="1099"/>
      <c r="Y160" s="1100">
        <f ca="1">IF(P160="NS",IFERROR(INDIRECT(S160),NA()),VLOOKUP(INDIRECT(P160)+INDIRECT(S160),'System Lookups'!$A$3:$D$146,2))</f>
        <v>0.06</v>
      </c>
      <c r="Z160" s="1100">
        <f t="shared" si="185"/>
        <v>0</v>
      </c>
      <c r="AA160" s="1101">
        <f t="shared" ca="1" si="200"/>
        <v>0.06</v>
      </c>
      <c r="AB160" s="1102">
        <f>VLOOKUP(V160,'System Lookups'!$J$55:$P$64,3)</f>
        <v>0.2</v>
      </c>
      <c r="AC160" s="1103">
        <f>VLOOKUP(V160,'System Lookups'!$J$55:$P$64,4)</f>
        <v>0.3</v>
      </c>
      <c r="AD160" s="1104">
        <f t="shared" ca="1" si="186"/>
        <v>0.26</v>
      </c>
      <c r="AE160" s="1094">
        <f ca="1">(IF(AD160&gt;VLOOKUP(V160,'System Lookups'!$J$55:$P$63,6),(((AD160-VLOOKUP(V160,'System Lookups'!$J$55:$P$63,6))*100)/20),0))+AF160</f>
        <v>0</v>
      </c>
      <c r="AF160" s="1121"/>
      <c r="AG160" s="1092">
        <f t="shared" si="187"/>
        <v>0</v>
      </c>
      <c r="AH160" s="1092" t="str">
        <f>IF(X160&lt;=Experience!$R$15+1,"","*")</f>
        <v/>
      </c>
      <c r="AI160" s="1092"/>
      <c r="AJ160" s="1080">
        <f t="shared" si="188"/>
        <v>0</v>
      </c>
      <c r="AK160" s="1080">
        <f t="shared" si="201"/>
        <v>0</v>
      </c>
      <c r="AL160" s="1080">
        <f t="shared" si="190"/>
        <v>0</v>
      </c>
      <c r="AM160" s="1092">
        <f t="shared" si="202"/>
        <v>0</v>
      </c>
      <c r="AN160" s="1080">
        <f t="shared" si="203"/>
        <v>0</v>
      </c>
      <c r="AO160" s="1080">
        <f t="shared" si="193"/>
        <v>0</v>
      </c>
      <c r="AP160" s="1080">
        <f t="shared" si="194"/>
        <v>0</v>
      </c>
      <c r="AQ160" s="1027">
        <f>VLOOKUP(V160,'System Lookups'!$J$55:$P$64,7)</f>
        <v>600</v>
      </c>
      <c r="AR160" s="1080" t="str">
        <f ca="1">IF(AND(NOT(ISBLANK(AJ160)),ISNA(MATCH(ROW(),'System Lookups'!$C$526:$C$539,0))),"Y","N")</f>
        <v>Y</v>
      </c>
      <c r="AS160" s="1080">
        <f t="shared" si="195"/>
        <v>0</v>
      </c>
      <c r="AU160" s="1080" t="e">
        <f t="shared" si="148"/>
        <v>#N/A</v>
      </c>
      <c r="AV160" s="1080" t="str">
        <f t="shared" si="145"/>
        <v>S</v>
      </c>
      <c r="AW160" s="1080">
        <f t="shared" si="151"/>
        <v>0</v>
      </c>
      <c r="AX160" s="1080">
        <f t="shared" si="152"/>
        <v>0</v>
      </c>
      <c r="AY160" s="1080">
        <f t="shared" si="153"/>
        <v>0</v>
      </c>
      <c r="AZ160" s="1080">
        <f t="shared" si="154"/>
        <v>0</v>
      </c>
      <c r="BA160" s="1080">
        <f t="shared" si="150"/>
        <v>0</v>
      </c>
      <c r="BB160" s="1080">
        <f>IF(AND(RACE=1,'Main Creation Page'!$E$6="Well",OR(ISNUMBER(FIND(Experience!$G$11,BE160)),ISNUMBER(FIND(Experience!$G$11,BF160)),ISNUMBER(FIND(Experience!$I$11,BE160)),ISNUMBER(FIND(Experience!$I$11,BF160)))),1,0)</f>
        <v>0</v>
      </c>
      <c r="BC160" s="1080" t="str">
        <f t="shared" si="179"/>
        <v>Battlefield Meditation</v>
      </c>
      <c r="BE160" s="1080" t="str">
        <f t="shared" si="146"/>
        <v/>
      </c>
      <c r="BF160" s="1080" t="str">
        <f t="shared" si="147"/>
        <v>Combat Skills</v>
      </c>
    </row>
    <row r="161" spans="1:58" ht="11.1" customHeight="1" outlineLevel="1">
      <c r="A161" s="1117" t="s">
        <v>702</v>
      </c>
      <c r="B161" s="1094"/>
      <c r="C161" s="1094" t="s">
        <v>4629</v>
      </c>
      <c r="D161" s="1094" t="s">
        <v>4626</v>
      </c>
      <c r="E161" s="1095" t="s">
        <v>5224</v>
      </c>
      <c r="F161" s="1095" t="s">
        <v>5224</v>
      </c>
      <c r="G161" s="1096">
        <v>0</v>
      </c>
      <c r="H161" s="1096" t="s">
        <v>5224</v>
      </c>
      <c r="I161" s="1096" t="s">
        <v>5224</v>
      </c>
      <c r="J161" s="1096" t="s">
        <v>5224</v>
      </c>
      <c r="K161" s="1096" t="s">
        <v>5224</v>
      </c>
      <c r="L161" s="1096" t="s">
        <v>5224</v>
      </c>
      <c r="M161" s="1096" t="s">
        <v>5224</v>
      </c>
      <c r="N161" s="1096" t="s">
        <v>4627</v>
      </c>
      <c r="O161" s="1097"/>
      <c r="P161" s="1097" t="s">
        <v>780</v>
      </c>
      <c r="Q161" s="1097">
        <f t="shared" ca="1" si="196"/>
        <v>17</v>
      </c>
      <c r="R161" s="1097"/>
      <c r="S161" s="1028" t="s">
        <v>3616</v>
      </c>
      <c r="T161" s="1097">
        <f t="shared" ca="1" si="197"/>
        <v>17</v>
      </c>
      <c r="U161" s="1027">
        <f>IF(AND('Main Creation Page'!E14&gt;13,'Main Creation Page'!E17&gt;13,'Main Creation Page'!C26&gt;75),3,5)</f>
        <v>3</v>
      </c>
      <c r="V161" s="1027">
        <f t="shared" si="198"/>
        <v>2</v>
      </c>
      <c r="W161" s="1098" t="e">
        <f>IF(OR(I161&lt;&gt;"N",E161="C"),IF(AND(N161&lt;&gt;"T",ISNUMBER(FIND("V",I161))),1,0),NA())+IF(H161="Y",IF(AND(N161="P",ISNUMBER(FIND("Z",I161))),2,1),0)+IF(J161="Y",1,0)+IF(K161="Y",3,0)+IF(BE161="Lore",L161*2+Experience!$D$25,0)+IF(M161="Y",1,0)</f>
        <v>#N/A</v>
      </c>
      <c r="X161" s="1099"/>
      <c r="Y161" s="1100">
        <f ca="1">IF(P161="NS",IFERROR(INDIRECT(S161),NA()),VLOOKUP(INDIRECT(P161)+INDIRECT(S161),'System Lookups'!$A$3:$D$146,2))</f>
        <v>0.1</v>
      </c>
      <c r="Z161" s="1100">
        <f t="shared" si="185"/>
        <v>0</v>
      </c>
      <c r="AA161" s="1101">
        <f t="shared" ca="1" si="200"/>
        <v>0.1</v>
      </c>
      <c r="AB161" s="1102">
        <f>VLOOKUP(V161,'System Lookups'!$J$55:$P$64,3)</f>
        <v>0.4</v>
      </c>
      <c r="AC161" s="1103">
        <f>VLOOKUP(V161,'System Lookups'!$J$55:$P$64,4)</f>
        <v>0.5</v>
      </c>
      <c r="AD161" s="1104">
        <f t="shared" ca="1" si="186"/>
        <v>0.5</v>
      </c>
      <c r="AE161" s="1094">
        <f ca="1">(IF(AD161&gt;VLOOKUP(V161,'System Lookups'!$J$55:$P$63,6),(((AD161-VLOOKUP(V161,'System Lookups'!$J$55:$P$63,6))*100)/20),0))+AF161</f>
        <v>0</v>
      </c>
      <c r="AF161" s="1121"/>
      <c r="AG161" s="1092">
        <f t="shared" si="187"/>
        <v>0</v>
      </c>
      <c r="AH161" s="1092" t="str">
        <f>IF(X161&lt;=Experience!$R$15+1,"","*")</f>
        <v/>
      </c>
      <c r="AI161" s="1092"/>
      <c r="AJ161" s="1080">
        <f t="shared" si="188"/>
        <v>0</v>
      </c>
      <c r="AK161" s="1080">
        <f t="shared" si="201"/>
        <v>0</v>
      </c>
      <c r="AL161" s="1080">
        <f t="shared" si="190"/>
        <v>0</v>
      </c>
      <c r="AM161" s="1092">
        <f t="shared" si="202"/>
        <v>0</v>
      </c>
      <c r="AN161" s="1080">
        <f t="shared" si="203"/>
        <v>-1</v>
      </c>
      <c r="AO161" s="1080">
        <f t="shared" si="193"/>
        <v>0</v>
      </c>
      <c r="AP161" s="1080">
        <f t="shared" si="194"/>
        <v>-1</v>
      </c>
      <c r="AQ161" s="1027">
        <f>VLOOKUP(V161,'System Lookups'!$J$55:$P$64,7)</f>
        <v>400</v>
      </c>
      <c r="AR161" s="1080" t="str">
        <f ca="1">IF(AND(NOT(ISBLANK(AJ161)),ISNA(MATCH(ROW(),'System Lookups'!$C$526:$C$539,0))),"Y","N")</f>
        <v>Y</v>
      </c>
      <c r="AS161" s="1080">
        <f t="shared" si="195"/>
        <v>0</v>
      </c>
      <c r="AU161" s="1080" t="e">
        <f t="shared" si="148"/>
        <v>#N/A</v>
      </c>
      <c r="AV161" s="1080" t="str">
        <f t="shared" si="145"/>
        <v>P</v>
      </c>
      <c r="AW161" s="1080">
        <f t="shared" si="151"/>
        <v>0</v>
      </c>
      <c r="AX161" s="1080">
        <f t="shared" si="152"/>
        <v>0</v>
      </c>
      <c r="AY161" s="1080">
        <f t="shared" si="153"/>
        <v>0</v>
      </c>
      <c r="AZ161" s="1080">
        <f t="shared" si="154"/>
        <v>0</v>
      </c>
      <c r="BA161" s="1080">
        <f t="shared" si="150"/>
        <v>0</v>
      </c>
      <c r="BB161" s="1080">
        <f>IF(AND(RACE=1,'Main Creation Page'!$E$6="Well",OR(ISNUMBER(FIND(Experience!$G$11,BE161)),ISNUMBER(FIND(Experience!$G$11,BF161)),ISNUMBER(FIND(Experience!$I$11,BE161)),ISNUMBER(FIND(Experience!$I$11,BF161)))),1,0)</f>
        <v>0</v>
      </c>
      <c r="BC161" s="1080" t="str">
        <f t="shared" si="179"/>
        <v xml:space="preserve">Battlefield Tactics </v>
      </c>
      <c r="BE161" s="1080" t="str">
        <f t="shared" si="146"/>
        <v/>
      </c>
      <c r="BF161" s="1080" t="str">
        <f t="shared" si="147"/>
        <v>Combat Skills</v>
      </c>
    </row>
    <row r="162" spans="1:58" ht="11.1" customHeight="1" outlineLevel="1">
      <c r="A162" s="1123" t="s">
        <v>761</v>
      </c>
      <c r="B162" s="1094"/>
      <c r="C162" s="1094" t="s">
        <v>4629</v>
      </c>
      <c r="D162" s="1094"/>
      <c r="E162" s="1095" t="s">
        <v>5224</v>
      </c>
      <c r="F162" s="1095" t="s">
        <v>5224</v>
      </c>
      <c r="G162" s="1096">
        <v>0</v>
      </c>
      <c r="H162" s="1096" t="s">
        <v>5224</v>
      </c>
      <c r="I162" s="1096" t="s">
        <v>5224</v>
      </c>
      <c r="J162" s="1096" t="s">
        <v>5224</v>
      </c>
      <c r="K162" s="1096" t="s">
        <v>5224</v>
      </c>
      <c r="L162" s="1096" t="s">
        <v>5224</v>
      </c>
      <c r="M162" s="1096" t="s">
        <v>5224</v>
      </c>
      <c r="N162" s="1096" t="s">
        <v>4630</v>
      </c>
      <c r="O162" s="1028"/>
      <c r="P162" s="1028" t="s">
        <v>3613</v>
      </c>
      <c r="Q162" s="1097">
        <f t="shared" ca="1" si="196"/>
        <v>15</v>
      </c>
      <c r="R162" s="1028"/>
      <c r="S162" s="1028" t="s">
        <v>3616</v>
      </c>
      <c r="T162" s="1097">
        <f t="shared" ca="1" si="197"/>
        <v>17</v>
      </c>
      <c r="U162" s="1027">
        <v>7</v>
      </c>
      <c r="V162" s="1027">
        <f t="shared" si="198"/>
        <v>7</v>
      </c>
      <c r="W162" s="1098" t="e">
        <f>IF(OR(I162&lt;&gt;"N",E162="C"),IF(AND(N162&lt;&gt;"T",ISNUMBER(FIND("V",I162))),1,0),NA())+IF(H162="Y",IF(AND(N162="P",ISNUMBER(FIND("Z",I162))),2,1),0)+IF(J162="Y",1,0)+IF(K162="Y",3,0)+IF(BE162="Lore",L162*2+Experience!$D$25,0)+IF(M162="Y",1,0)</f>
        <v>#N/A</v>
      </c>
      <c r="X162" s="1099"/>
      <c r="Y162" s="1100">
        <f ca="1">IF(P162="NS",IFERROR(INDIRECT(S162),NA()),VLOOKUP(INDIRECT(P162)+INDIRECT(S162),'System Lookups'!$A$3:$D$146,2))</f>
        <v>0.08</v>
      </c>
      <c r="Z162" s="1100">
        <f t="shared" si="185"/>
        <v>0</v>
      </c>
      <c r="AA162" s="1101">
        <f t="shared" ca="1" si="200"/>
        <v>0.08</v>
      </c>
      <c r="AB162" s="1102">
        <f>VLOOKUP(V162,'System Lookups'!$J$55:$P$64,3)</f>
        <v>0.03</v>
      </c>
      <c r="AC162" s="1103">
        <f>VLOOKUP(V162,'System Lookups'!$J$55:$P$64,4)</f>
        <v>7.0000000000000007E-2</v>
      </c>
      <c r="AD162" s="1104">
        <f t="shared" ca="1" si="186"/>
        <v>0.11</v>
      </c>
      <c r="AE162" s="1094">
        <f ca="1">(IF(AD162&gt;VLOOKUP(V162,'System Lookups'!$J$55:$P$63,6),(((AD162-VLOOKUP(V162,'System Lookups'!$J$55:$P$63,6))*100)/20),0))+AF162</f>
        <v>0</v>
      </c>
      <c r="AF162" s="1121"/>
      <c r="AG162" s="1092">
        <f t="shared" si="187"/>
        <v>0</v>
      </c>
      <c r="AH162" s="1092" t="str">
        <f>IF(X162&lt;=Experience!$R$15+1,"","*")</f>
        <v/>
      </c>
      <c r="AI162" s="1092"/>
      <c r="AJ162" s="1080">
        <f t="shared" si="188"/>
        <v>0</v>
      </c>
      <c r="AK162" s="1080">
        <f t="shared" si="201"/>
        <v>0</v>
      </c>
      <c r="AL162" s="1080">
        <f t="shared" si="190"/>
        <v>0</v>
      </c>
      <c r="AM162" s="1092">
        <f t="shared" si="202"/>
        <v>0</v>
      </c>
      <c r="AN162" s="1080">
        <f t="shared" si="203"/>
        <v>0</v>
      </c>
      <c r="AO162" s="1080">
        <f t="shared" si="193"/>
        <v>0</v>
      </c>
      <c r="AP162" s="1080">
        <f t="shared" si="194"/>
        <v>0</v>
      </c>
      <c r="AQ162" s="1027">
        <f>VLOOKUP(V162,'System Lookups'!$J$55:$P$64,7)</f>
        <v>1000</v>
      </c>
      <c r="AR162" s="1080" t="str">
        <f ca="1">IF(AND(NOT(ISBLANK(AJ162)),ISNA(MATCH(ROW(),'System Lookups'!$C$526:$C$539,0))),"Y","N")</f>
        <v>Y</v>
      </c>
      <c r="AS162" s="1080">
        <f t="shared" si="195"/>
        <v>0</v>
      </c>
      <c r="AU162" s="1080" t="e">
        <f t="shared" si="148"/>
        <v>#N/A</v>
      </c>
      <c r="AV162" s="1080" t="str">
        <f t="shared" si="145"/>
        <v>S</v>
      </c>
      <c r="AW162" s="1080">
        <f t="shared" si="151"/>
        <v>0</v>
      </c>
      <c r="AX162" s="1080">
        <f t="shared" si="152"/>
        <v>0</v>
      </c>
      <c r="AY162" s="1080">
        <f t="shared" si="153"/>
        <v>0</v>
      </c>
      <c r="AZ162" s="1080">
        <f t="shared" si="154"/>
        <v>0</v>
      </c>
      <c r="BA162" s="1080">
        <f t="shared" si="150"/>
        <v>0</v>
      </c>
      <c r="BB162" s="1080">
        <f>IF(AND(RACE=1,'Main Creation Page'!$E$6="Well",OR(ISNUMBER(FIND(Experience!$G$11,BE162)),ISNUMBER(FIND(Experience!$G$11,BF162)),ISNUMBER(FIND(Experience!$I$11,BE162)),ISNUMBER(FIND(Experience!$I$11,BF162)))),1,0)</f>
        <v>0</v>
      </c>
      <c r="BC162" s="1080" t="str">
        <f t="shared" si="179"/>
        <v>Blind Fighting</v>
      </c>
      <c r="BE162" s="1080" t="str">
        <f t="shared" si="146"/>
        <v/>
      </c>
      <c r="BF162" s="1080" t="str">
        <f t="shared" si="147"/>
        <v>Combat Skills</v>
      </c>
    </row>
    <row r="163" spans="1:58" ht="11.1" customHeight="1" outlineLevel="1">
      <c r="A163" s="1123" t="s">
        <v>2043</v>
      </c>
      <c r="B163" s="1094"/>
      <c r="C163" s="1094" t="s">
        <v>4629</v>
      </c>
      <c r="D163" s="1094" t="s">
        <v>4623</v>
      </c>
      <c r="E163" s="1095" t="s">
        <v>5224</v>
      </c>
      <c r="F163" s="1095" t="s">
        <v>5224</v>
      </c>
      <c r="G163" s="1096">
        <v>0</v>
      </c>
      <c r="H163" s="1096" t="s">
        <v>5224</v>
      </c>
      <c r="I163" s="1096" t="s">
        <v>5224</v>
      </c>
      <c r="J163" s="1096" t="s">
        <v>5224</v>
      </c>
      <c r="K163" s="1096" t="s">
        <v>5224</v>
      </c>
      <c r="L163" s="1096" t="s">
        <v>5224</v>
      </c>
      <c r="M163" s="1096" t="s">
        <v>5224</v>
      </c>
      <c r="N163" s="1096" t="s">
        <v>4630</v>
      </c>
      <c r="O163" s="1028"/>
      <c r="P163" s="1028" t="s">
        <v>3615</v>
      </c>
      <c r="Q163" s="1097">
        <f t="shared" ca="1" si="196"/>
        <v>20</v>
      </c>
      <c r="R163" s="1097"/>
      <c r="S163" s="1028" t="s">
        <v>3611</v>
      </c>
      <c r="T163" s="1097">
        <f t="shared" ca="1" si="197"/>
        <v>15</v>
      </c>
      <c r="U163" s="1027">
        <v>5</v>
      </c>
      <c r="V163" s="1027">
        <f t="shared" si="198"/>
        <v>5</v>
      </c>
      <c r="W163" s="1098" t="e">
        <f>IF(OR(I163&lt;&gt;"N",E163="C"),IF(AND(N163&lt;&gt;"T",ISNUMBER(FIND("V",I163))),1,0),NA())+IF(H163="Y",IF(AND(N163="P",ISNUMBER(FIND("Z",I163))),2,1),0)+IF(J163="Y",1,0)+IF(K163="Y",3,0)+IF(BE163="Lore",L163*2+Experience!$D$25,0)+IF(M163="Y",1,0)</f>
        <v>#N/A</v>
      </c>
      <c r="X163" s="1099"/>
      <c r="Y163" s="1100">
        <f ca="1">IF(P163="NS",IFERROR(INDIRECT(S163),NA()),VLOOKUP(INDIRECT(P163)+INDIRECT(S163),'System Lookups'!$A$3:$D$146,2))</f>
        <v>0.12</v>
      </c>
      <c r="Z163" s="1100">
        <f t="shared" si="185"/>
        <v>0</v>
      </c>
      <c r="AA163" s="1101">
        <f t="shared" ca="1" si="200"/>
        <v>0.12</v>
      </c>
      <c r="AB163" s="1102">
        <f>VLOOKUP(V163,'System Lookups'!$J$55:$P$64,3)</f>
        <v>0.1</v>
      </c>
      <c r="AC163" s="1103">
        <f>VLOOKUP(V163,'System Lookups'!$J$55:$P$64,4)</f>
        <v>0.2</v>
      </c>
      <c r="AD163" s="1104">
        <f t="shared" ca="1" si="186"/>
        <v>0.22</v>
      </c>
      <c r="AE163" s="1094">
        <f ca="1">(IF(AD163&gt;VLOOKUP(V163,'System Lookups'!$J$55:$P$63,6),(((AD163-VLOOKUP(V163,'System Lookups'!$J$55:$P$63,6))*100)/20),0))+AF163</f>
        <v>0</v>
      </c>
      <c r="AF163" s="1121"/>
      <c r="AG163" s="1092">
        <f t="shared" si="187"/>
        <v>0</v>
      </c>
      <c r="AH163" s="1092" t="str">
        <f>IF(X163&lt;=Experience!$R$15+1,"","*")</f>
        <v/>
      </c>
      <c r="AI163" s="1092"/>
      <c r="AJ163" s="1080">
        <f t="shared" si="188"/>
        <v>0</v>
      </c>
      <c r="AK163" s="1080">
        <f t="shared" si="201"/>
        <v>0</v>
      </c>
      <c r="AL163" s="1080">
        <f t="shared" si="190"/>
        <v>0</v>
      </c>
      <c r="AM163" s="1092">
        <f t="shared" si="202"/>
        <v>0</v>
      </c>
      <c r="AN163" s="1080">
        <f t="shared" si="203"/>
        <v>0</v>
      </c>
      <c r="AO163" s="1080">
        <f t="shared" si="193"/>
        <v>0</v>
      </c>
      <c r="AP163" s="1080">
        <f t="shared" si="194"/>
        <v>0</v>
      </c>
      <c r="AQ163" s="1027">
        <f>VLOOKUP(V163,'System Lookups'!$J$55:$P$64,7)</f>
        <v>700</v>
      </c>
      <c r="AR163" s="1080" t="str">
        <f ca="1">IF(AND(NOT(ISBLANK(AJ163)),ISNA(MATCH(ROW(),'System Lookups'!$C$526:$C$539,0))),"Y","N")</f>
        <v>Y</v>
      </c>
      <c r="AS163" s="1080">
        <f t="shared" si="195"/>
        <v>0</v>
      </c>
      <c r="AU163" s="1080" t="e">
        <f t="shared" si="148"/>
        <v>#N/A</v>
      </c>
      <c r="AV163" s="1080" t="str">
        <f t="shared" si="145"/>
        <v>S</v>
      </c>
      <c r="AW163" s="1080">
        <f t="shared" si="151"/>
        <v>0</v>
      </c>
      <c r="AX163" s="1080">
        <f t="shared" si="152"/>
        <v>0</v>
      </c>
      <c r="AY163" s="1080">
        <f t="shared" si="153"/>
        <v>0</v>
      </c>
      <c r="AZ163" s="1080">
        <f t="shared" si="154"/>
        <v>0</v>
      </c>
      <c r="BA163" s="1080">
        <f t="shared" si="150"/>
        <v>0</v>
      </c>
      <c r="BB163" s="1080">
        <f>IF(AND(RACE=1,'Main Creation Page'!$E$6="Well",OR(ISNUMBER(FIND(Experience!$G$11,BE163)),ISNUMBER(FIND(Experience!$G$11,BF163)),ISNUMBER(FIND(Experience!$I$11,BE163)),ISNUMBER(FIND(Experience!$I$11,BF163)))),1,0)</f>
        <v>0</v>
      </c>
      <c r="BC163" s="1080" t="str">
        <f t="shared" si="179"/>
        <v>Blow Gun</v>
      </c>
      <c r="BE163" s="1080" t="str">
        <f t="shared" si="146"/>
        <v/>
      </c>
      <c r="BF163" s="1080" t="str">
        <f t="shared" si="147"/>
        <v>Combat Skills</v>
      </c>
    </row>
    <row r="164" spans="1:58" ht="11.1" customHeight="1" outlineLevel="1">
      <c r="A164" s="1123" t="s">
        <v>279</v>
      </c>
      <c r="B164" s="1094"/>
      <c r="C164" s="1094" t="s">
        <v>4629</v>
      </c>
      <c r="D164" s="1094" t="s">
        <v>4623</v>
      </c>
      <c r="E164" s="1095" t="s">
        <v>5224</v>
      </c>
      <c r="F164" s="1095" t="str">
        <f>IF('Main Creation Page'!C3=4,"R","N")</f>
        <v>N</v>
      </c>
      <c r="G164" s="1096">
        <v>0</v>
      </c>
      <c r="H164" s="1096" t="s">
        <v>5224</v>
      </c>
      <c r="I164" s="1096" t="s">
        <v>5224</v>
      </c>
      <c r="J164" s="1096" t="s">
        <v>5224</v>
      </c>
      <c r="K164" s="1096" t="s">
        <v>5224</v>
      </c>
      <c r="L164" s="1096" t="s">
        <v>5224</v>
      </c>
      <c r="M164" s="1096" t="s">
        <v>5224</v>
      </c>
      <c r="N164" s="1096" t="s">
        <v>4630</v>
      </c>
      <c r="O164" s="1028"/>
      <c r="P164" s="1028" t="s">
        <v>3611</v>
      </c>
      <c r="Q164" s="1097">
        <f t="shared" ca="1" si="196"/>
        <v>15</v>
      </c>
      <c r="R164" s="1097"/>
      <c r="S164" s="1028" t="s">
        <v>3611</v>
      </c>
      <c r="T164" s="1097">
        <f t="shared" ca="1" si="197"/>
        <v>15</v>
      </c>
      <c r="U164" s="1027">
        <v>5</v>
      </c>
      <c r="V164" s="1027">
        <f t="shared" si="198"/>
        <v>5</v>
      </c>
      <c r="W164" s="1098" t="e">
        <f>IF(OR(I164&lt;&gt;"N",E164="C"),IF(AND(N164&lt;&gt;"T",ISNUMBER(FIND("V",I164))),1,0),NA())+IF(H164="Y",IF(AND(N164="P",ISNUMBER(FIND("Z",I164))),2,1),0)+IF(J164="Y",1,0)+IF(K164="Y",3,0)+IF(BE164="Lore",L164*2+Experience!$D$25,0)+IF(M164="Y",1,0)</f>
        <v>#N/A</v>
      </c>
      <c r="X164" s="1099"/>
      <c r="Y164" s="1100">
        <f ca="1">IF(P164="NS",IFERROR(INDIRECT(S164),NA()),VLOOKUP(INDIRECT(P164)+INDIRECT(S164),'System Lookups'!$A$3:$D$146,2))</f>
        <v>0.06</v>
      </c>
      <c r="Z164" s="1100">
        <f t="shared" si="185"/>
        <v>0</v>
      </c>
      <c r="AA164" s="1101">
        <f t="shared" ca="1" si="200"/>
        <v>0.06</v>
      </c>
      <c r="AB164" s="1102">
        <f>VLOOKUP(V164,'System Lookups'!$J$55:$P$64,3)</f>
        <v>0.1</v>
      </c>
      <c r="AC164" s="1103">
        <f>VLOOKUP(V164,'System Lookups'!$J$55:$P$64,4)</f>
        <v>0.2</v>
      </c>
      <c r="AD164" s="1104">
        <f t="shared" ca="1" si="186"/>
        <v>0.16</v>
      </c>
      <c r="AE164" s="1094">
        <f ca="1">(IF(AD164&gt;VLOOKUP(V164,'System Lookups'!$J$55:$P$63,6),(((AD164-VLOOKUP(V164,'System Lookups'!$J$55:$P$63,6))*100)/20),0))+AF164</f>
        <v>0</v>
      </c>
      <c r="AF164" s="1121"/>
      <c r="AG164" s="1092">
        <f t="shared" si="187"/>
        <v>0</v>
      </c>
      <c r="AH164" s="1092" t="str">
        <f>IF(X164&lt;=Experience!$R$15+1,"","*")</f>
        <v/>
      </c>
      <c r="AI164" s="1092"/>
      <c r="AJ164" s="1080">
        <f t="shared" si="188"/>
        <v>0</v>
      </c>
      <c r="AK164" s="1080">
        <f t="shared" si="201"/>
        <v>0</v>
      </c>
      <c r="AL164" s="1080">
        <f t="shared" si="190"/>
        <v>0</v>
      </c>
      <c r="AM164" s="1092">
        <f t="shared" si="202"/>
        <v>0</v>
      </c>
      <c r="AN164" s="1080">
        <f t="shared" si="203"/>
        <v>0</v>
      </c>
      <c r="AO164" s="1080">
        <f t="shared" si="193"/>
        <v>0</v>
      </c>
      <c r="AP164" s="1080">
        <f t="shared" si="194"/>
        <v>0</v>
      </c>
      <c r="AQ164" s="1027">
        <f>VLOOKUP(V164,'System Lookups'!$J$55:$P$64,7)</f>
        <v>700</v>
      </c>
      <c r="AR164" s="1080" t="str">
        <f ca="1">IF(AND(NOT(ISBLANK(AJ164)),ISNA(MATCH(ROW(),'System Lookups'!$C$526:$C$539,0))),"Y","N")</f>
        <v>Y</v>
      </c>
      <c r="AS164" s="1080">
        <f t="shared" si="195"/>
        <v>0</v>
      </c>
      <c r="AU164" s="1080" t="e">
        <f t="shared" si="148"/>
        <v>#N/A</v>
      </c>
      <c r="AV164" s="1080" t="str">
        <f t="shared" si="145"/>
        <v>S</v>
      </c>
      <c r="AW164" s="1080">
        <f t="shared" si="151"/>
        <v>0</v>
      </c>
      <c r="AX164" s="1080">
        <f t="shared" si="152"/>
        <v>0</v>
      </c>
      <c r="AY164" s="1080">
        <f t="shared" si="153"/>
        <v>0</v>
      </c>
      <c r="AZ164" s="1080">
        <f t="shared" si="154"/>
        <v>0</v>
      </c>
      <c r="BA164" s="1080">
        <f t="shared" si="150"/>
        <v>0</v>
      </c>
      <c r="BB164" s="1080">
        <f>IF(AND(RACE=1,'Main Creation Page'!$E$6="Well",OR(ISNUMBER(FIND(Experience!$G$11,BE164)),ISNUMBER(FIND(Experience!$G$11,BF164)),ISNUMBER(FIND(Experience!$I$11,BE164)),ISNUMBER(FIND(Experience!$I$11,BF164)))),1,0)</f>
        <v>0</v>
      </c>
      <c r="BC164" s="1080" t="str">
        <f t="shared" si="179"/>
        <v>Bolo</v>
      </c>
      <c r="BE164" s="1080" t="str">
        <f t="shared" si="146"/>
        <v/>
      </c>
      <c r="BF164" s="1080" t="str">
        <f t="shared" si="147"/>
        <v>Combat Skills</v>
      </c>
    </row>
    <row r="165" spans="1:58" ht="11.1" customHeight="1" outlineLevel="1">
      <c r="A165" s="1126" t="s">
        <v>349</v>
      </c>
      <c r="B165" s="1094"/>
      <c r="C165" s="1094" t="s">
        <v>4629</v>
      </c>
      <c r="D165" s="1094"/>
      <c r="E165" s="1095" t="str">
        <f>IF(('Main Creation Page'!$I$31="M"),"C","N")</f>
        <v>C</v>
      </c>
      <c r="F165" s="1095" t="s">
        <v>5224</v>
      </c>
      <c r="G165" s="1096">
        <v>0</v>
      </c>
      <c r="H165" s="1096" t="s">
        <v>5224</v>
      </c>
      <c r="I165" s="1096" t="s">
        <v>5224</v>
      </c>
      <c r="J165" s="1096" t="s">
        <v>5224</v>
      </c>
      <c r="K165" s="1096" t="s">
        <v>5224</v>
      </c>
      <c r="L165" s="1096" t="s">
        <v>5224</v>
      </c>
      <c r="M165" s="1096" t="s">
        <v>5224</v>
      </c>
      <c r="N165" s="1096" t="s">
        <v>4630</v>
      </c>
      <c r="O165" s="1028"/>
      <c r="P165" s="1028" t="s">
        <v>3615</v>
      </c>
      <c r="Q165" s="1097">
        <f t="shared" ca="1" si="196"/>
        <v>20</v>
      </c>
      <c r="R165" s="1097"/>
      <c r="S165" s="1028" t="s">
        <v>3611</v>
      </c>
      <c r="T165" s="1097">
        <f t="shared" ca="1" si="197"/>
        <v>15</v>
      </c>
      <c r="U165" s="1027">
        <v>3</v>
      </c>
      <c r="V165" s="1027">
        <f t="shared" si="198"/>
        <v>3</v>
      </c>
      <c r="W165" s="1098">
        <f>IF(OR(I165&lt;&gt;"N",E165="C"),IF(AND(N165&lt;&gt;"T",ISNUMBER(FIND("V",I165))),1,0),NA())+IF(H165="Y",IF(AND(N165="P",ISNUMBER(FIND("Z",I165))),2,1),0)+IF(J165="Y",1,0)+IF(K165="Y",3,0)+IF(BE165="Lore",L165*2+Experience!$D$25,0)+IF(M165="Y",1,0)</f>
        <v>0</v>
      </c>
      <c r="X165" s="1099"/>
      <c r="Y165" s="1100">
        <f ca="1">IF(P165="NS",IFERROR(INDIRECT(S165),NA()),VLOOKUP(INDIRECT(P165)+INDIRECT(S165),'System Lookups'!$A$3:$D$146,2))</f>
        <v>0.12</v>
      </c>
      <c r="Z165" s="1100">
        <f t="shared" si="185"/>
        <v>0</v>
      </c>
      <c r="AA165" s="1101">
        <f t="shared" ca="1" si="200"/>
        <v>0.12</v>
      </c>
      <c r="AB165" s="1102">
        <f>VLOOKUP(V165,'System Lookups'!$J$55:$P$64,3)</f>
        <v>0.3</v>
      </c>
      <c r="AC165" s="1103">
        <f>VLOOKUP(V165,'System Lookups'!$J$55:$P$64,4)</f>
        <v>0.4</v>
      </c>
      <c r="AD165" s="1104">
        <f t="shared" ca="1" si="186"/>
        <v>0.52</v>
      </c>
      <c r="AE165" s="1094">
        <f ca="1">(IF(AD165&gt;VLOOKUP(V165,'System Lookups'!$J$55:$P$63,6),(((AD165-VLOOKUP(V165,'System Lookups'!$J$55:$P$63,6))*100)/20),0))+AF165</f>
        <v>0</v>
      </c>
      <c r="AF165" s="1121"/>
      <c r="AG165" s="1092">
        <f t="shared" si="187"/>
        <v>0</v>
      </c>
      <c r="AH165" s="1092" t="str">
        <f>IF(X165&lt;=Experience!$R$15+1,"","*")</f>
        <v/>
      </c>
      <c r="AI165" s="1092"/>
      <c r="AJ165" s="1080">
        <f t="shared" si="188"/>
        <v>0</v>
      </c>
      <c r="AK165" s="1080">
        <f t="shared" si="201"/>
        <v>0</v>
      </c>
      <c r="AL165" s="1080">
        <f t="shared" si="190"/>
        <v>0</v>
      </c>
      <c r="AM165" s="1092">
        <f t="shared" si="202"/>
        <v>0</v>
      </c>
      <c r="AN165" s="1080">
        <f t="shared" si="203"/>
        <v>0</v>
      </c>
      <c r="AO165" s="1080">
        <f t="shared" si="193"/>
        <v>0</v>
      </c>
      <c r="AP165" s="1080">
        <f t="shared" si="194"/>
        <v>0</v>
      </c>
      <c r="AQ165" s="1027">
        <f>VLOOKUP(V165,'System Lookups'!$J$55:$P$64,7)</f>
        <v>500</v>
      </c>
      <c r="AR165" s="1080" t="str">
        <f ca="1">IF(AND(NOT(ISBLANK(AJ165)),ISNA(MATCH(ROW(),'System Lookups'!$C$526:$C$539,0))),"Y","N")</f>
        <v>N</v>
      </c>
      <c r="AS165" s="1080">
        <f t="shared" si="195"/>
        <v>0</v>
      </c>
      <c r="AU165" s="1080">
        <f t="shared" si="148"/>
        <v>0</v>
      </c>
      <c r="AV165" s="1080" t="str">
        <f t="shared" si="145"/>
        <v>CS</v>
      </c>
      <c r="AW165" s="1080">
        <f t="shared" si="151"/>
        <v>0</v>
      </c>
      <c r="AX165" s="1080">
        <f t="shared" si="152"/>
        <v>0</v>
      </c>
      <c r="AY165" s="1080">
        <f t="shared" si="153"/>
        <v>0</v>
      </c>
      <c r="AZ165" s="1080">
        <f t="shared" si="154"/>
        <v>0</v>
      </c>
      <c r="BA165" s="1080">
        <f t="shared" si="150"/>
        <v>0</v>
      </c>
      <c r="BB165" s="1080">
        <f>IF(AND(RACE=1,'Main Creation Page'!$E$6="Well",OR(ISNUMBER(FIND(Experience!$G$11,BE165)),ISNUMBER(FIND(Experience!$G$11,BF165)),ISNUMBER(FIND(Experience!$I$11,BE165)),ISNUMBER(FIND(Experience!$I$11,BF165)))),1,0)</f>
        <v>0</v>
      </c>
      <c r="BC165" s="1080" t="str">
        <f t="shared" si="179"/>
        <v>BRAWLING</v>
      </c>
      <c r="BE165" s="1080" t="str">
        <f t="shared" si="146"/>
        <v/>
      </c>
      <c r="BF165" s="1080" t="str">
        <f t="shared" si="147"/>
        <v>Combat Skills</v>
      </c>
    </row>
    <row r="166" spans="1:58" ht="11.1" customHeight="1" outlineLevel="1">
      <c r="A166" s="1117" t="s">
        <v>4650</v>
      </c>
      <c r="B166" s="1094"/>
      <c r="C166" s="1094" t="s">
        <v>4629</v>
      </c>
      <c r="D166" s="1094" t="s">
        <v>4626</v>
      </c>
      <c r="E166" s="1095" t="s">
        <v>5224</v>
      </c>
      <c r="F166" s="1095" t="s">
        <v>5224</v>
      </c>
      <c r="G166" s="1096">
        <v>0</v>
      </c>
      <c r="H166" s="1096" t="s">
        <v>5224</v>
      </c>
      <c r="I166" s="1096" t="s">
        <v>4623</v>
      </c>
      <c r="J166" s="1096" t="s">
        <v>5224</v>
      </c>
      <c r="K166" s="1096" t="s">
        <v>5224</v>
      </c>
      <c r="L166" s="1096" t="s">
        <v>5224</v>
      </c>
      <c r="M166" s="1096" t="s">
        <v>5224</v>
      </c>
      <c r="N166" s="1096" t="s">
        <v>4630</v>
      </c>
      <c r="O166" s="1028"/>
      <c r="P166" s="1028" t="s">
        <v>3611</v>
      </c>
      <c r="Q166" s="1097">
        <f t="shared" ca="1" si="196"/>
        <v>15</v>
      </c>
      <c r="R166" s="1097"/>
      <c r="S166" s="1028" t="s">
        <v>3613</v>
      </c>
      <c r="T166" s="1097">
        <f t="shared" ca="1" si="197"/>
        <v>15</v>
      </c>
      <c r="U166" s="1027">
        <v>5</v>
      </c>
      <c r="V166" s="1027">
        <f t="shared" si="198"/>
        <v>5</v>
      </c>
      <c r="W166" s="1098">
        <f>IF(OR(I166&lt;&gt;"N",E166="C"),IF(AND(N166&lt;&gt;"T",ISNUMBER(FIND("V",I166))),1,0),NA())+IF(H166="Y",IF(AND(N166="P",ISNUMBER(FIND("Z",I166))),2,1),0)+IF(J166="Y",1,0)+IF(K166="Y",3,0)+IF(BE166="Lore",L166*2+Experience!$D$25,0)+IF(M166="Y",1,0)</f>
        <v>0</v>
      </c>
      <c r="X166" s="1099"/>
      <c r="Y166" s="1100">
        <f ca="1">IF(P166="NS",IFERROR(INDIRECT(S166),NA()),VLOOKUP(INDIRECT(P166)+INDIRECT(S166),'System Lookups'!$A$3:$D$146,2))</f>
        <v>0.06</v>
      </c>
      <c r="Z166" s="1100">
        <f t="shared" si="185"/>
        <v>0</v>
      </c>
      <c r="AA166" s="1101">
        <f t="shared" ca="1" si="200"/>
        <v>0.06</v>
      </c>
      <c r="AB166" s="1102">
        <f>VLOOKUP(V166,'System Lookups'!$J$55:$P$64,3)</f>
        <v>0.1</v>
      </c>
      <c r="AC166" s="1103">
        <f>VLOOKUP(V166,'System Lookups'!$J$55:$P$64,4)</f>
        <v>0.2</v>
      </c>
      <c r="AD166" s="1104">
        <f t="shared" ca="1" si="186"/>
        <v>0.26</v>
      </c>
      <c r="AE166" s="1094">
        <f ca="1">(IF(AD166&gt;VLOOKUP(V166,'System Lookups'!$J$55:$P$63,6),(((AD166-VLOOKUP(V166,'System Lookups'!$J$55:$P$63,6))*100)/20),0))+AF166</f>
        <v>0</v>
      </c>
      <c r="AF166" s="1121"/>
      <c r="AG166" s="1092">
        <f t="shared" si="187"/>
        <v>0</v>
      </c>
      <c r="AH166" s="1092" t="str">
        <f>IF(X166&lt;=Experience!$R$15+1,"","*")</f>
        <v/>
      </c>
      <c r="AI166" s="1092"/>
      <c r="AJ166" s="1080">
        <f t="shared" si="188"/>
        <v>0</v>
      </c>
      <c r="AK166" s="1080">
        <f t="shared" si="201"/>
        <v>0</v>
      </c>
      <c r="AL166" s="1080">
        <f t="shared" si="190"/>
        <v>0</v>
      </c>
      <c r="AM166" s="1092">
        <f t="shared" si="202"/>
        <v>0</v>
      </c>
      <c r="AN166" s="1080">
        <f t="shared" si="203"/>
        <v>0</v>
      </c>
      <c r="AO166" s="1080">
        <f t="shared" si="193"/>
        <v>0</v>
      </c>
      <c r="AP166" s="1080">
        <f t="shared" si="194"/>
        <v>0</v>
      </c>
      <c r="AQ166" s="1027">
        <f>VLOOKUP(V166,'System Lookups'!$J$55:$P$64,7)</f>
        <v>700</v>
      </c>
      <c r="AR166" s="1080" t="str">
        <f ca="1">IF(AND(NOT(ISBLANK(AJ166)),ISNA(MATCH(ROW(),'System Lookups'!$C$526:$C$539,0))),"Y","N")</f>
        <v>Y</v>
      </c>
      <c r="AS166" s="1080">
        <f t="shared" si="195"/>
        <v>0</v>
      </c>
      <c r="AU166" s="1080">
        <f t="shared" si="148"/>
        <v>0</v>
      </c>
      <c r="AV166" s="1080" t="str">
        <f t="shared" si="145"/>
        <v>SBk</v>
      </c>
      <c r="AW166" s="1080">
        <f t="shared" si="151"/>
        <v>1</v>
      </c>
      <c r="AX166" s="1080">
        <f t="shared" si="152"/>
        <v>0</v>
      </c>
      <c r="AY166" s="1080">
        <f t="shared" si="153"/>
        <v>0</v>
      </c>
      <c r="AZ166" s="1080">
        <f t="shared" si="154"/>
        <v>0</v>
      </c>
      <c r="BA166" s="1080">
        <f t="shared" si="150"/>
        <v>1</v>
      </c>
      <c r="BB166" s="1080">
        <f>IF(AND(RACE=1,'Main Creation Page'!$E$6="Well",OR(ISNUMBER(FIND(Experience!$G$11,BE166)),ISNUMBER(FIND(Experience!$G$11,BF166)),ISNUMBER(FIND(Experience!$I$11,BE166)),ISNUMBER(FIND(Experience!$I$11,BF166)))),1,0)</f>
        <v>0</v>
      </c>
      <c r="BC166" s="1080" t="str">
        <f t="shared" si="179"/>
        <v>Cavalry Lances</v>
      </c>
      <c r="BE166" s="1080" t="str">
        <f t="shared" si="146"/>
        <v/>
      </c>
      <c r="BF166" s="1080" t="str">
        <f t="shared" si="147"/>
        <v>Combat Skills</v>
      </c>
    </row>
    <row r="167" spans="1:58" ht="11.1" customHeight="1" outlineLevel="1">
      <c r="A167" s="1123" t="s">
        <v>3427</v>
      </c>
      <c r="B167" s="1094"/>
      <c r="C167" s="1094" t="s">
        <v>4629</v>
      </c>
      <c r="D167" s="1094" t="s">
        <v>4623</v>
      </c>
      <c r="E167" s="1095" t="s">
        <v>5224</v>
      </c>
      <c r="F167" s="1095" t="s">
        <v>5224</v>
      </c>
      <c r="G167" s="1096">
        <v>0</v>
      </c>
      <c r="H167" s="1096" t="s">
        <v>5224</v>
      </c>
      <c r="I167" s="1096" t="s">
        <v>5224</v>
      </c>
      <c r="J167" s="1096" t="s">
        <v>5224</v>
      </c>
      <c r="K167" s="1096" t="s">
        <v>5224</v>
      </c>
      <c r="L167" s="1096" t="s">
        <v>5224</v>
      </c>
      <c r="M167" s="1096" t="s">
        <v>5224</v>
      </c>
      <c r="N167" s="1096" t="s">
        <v>4630</v>
      </c>
      <c r="O167" s="1028"/>
      <c r="P167" s="1028" t="s">
        <v>3615</v>
      </c>
      <c r="Q167" s="1097">
        <f t="shared" ca="1" si="196"/>
        <v>20</v>
      </c>
      <c r="R167" s="1097"/>
      <c r="S167" s="1028" t="s">
        <v>3611</v>
      </c>
      <c r="T167" s="1097">
        <f t="shared" ca="1" si="197"/>
        <v>15</v>
      </c>
      <c r="U167" s="1027">
        <v>5</v>
      </c>
      <c r="V167" s="1027">
        <f t="shared" si="198"/>
        <v>5</v>
      </c>
      <c r="W167" s="1098" t="e">
        <f>IF(OR(I167&lt;&gt;"N",E167="C"),IF(AND(N167&lt;&gt;"T",ISNUMBER(FIND("V",I167))),1,0),NA())+IF(H167="Y",IF(AND(N167="P",ISNUMBER(FIND("Z",I167))),2,1),0)+IF(J167="Y",1,0)+IF(K167="Y",3,0)+IF(BE167="Lore",L167*2+Experience!$D$25,0)+IF(M167="Y",1,0)</f>
        <v>#N/A</v>
      </c>
      <c r="X167" s="1099"/>
      <c r="Y167" s="1100">
        <f ca="1">IF(P167="NS",IFERROR(INDIRECT(S167),NA()),VLOOKUP(INDIRECT(P167)+INDIRECT(S167),'System Lookups'!$A$3:$D$146,2))</f>
        <v>0.12</v>
      </c>
      <c r="Z167" s="1100">
        <f t="shared" si="185"/>
        <v>0</v>
      </c>
      <c r="AA167" s="1101">
        <f t="shared" ca="1" si="200"/>
        <v>0.12</v>
      </c>
      <c r="AB167" s="1102">
        <f>VLOOKUP(V167,'System Lookups'!$J$55:$P$64,3)</f>
        <v>0.1</v>
      </c>
      <c r="AC167" s="1103">
        <f>VLOOKUP(V167,'System Lookups'!$J$55:$P$64,4)</f>
        <v>0.2</v>
      </c>
      <c r="AD167" s="1104">
        <f t="shared" ca="1" si="186"/>
        <v>0.22</v>
      </c>
      <c r="AE167" s="1094">
        <f ca="1">(IF(AD167&gt;VLOOKUP(V167,'System Lookups'!$J$55:$P$63,6),(((AD167-VLOOKUP(V167,'System Lookups'!$J$55:$P$63,6))*100)/20),0))+AF167</f>
        <v>0</v>
      </c>
      <c r="AF167" s="1121"/>
      <c r="AG167" s="1092">
        <f t="shared" si="187"/>
        <v>0</v>
      </c>
      <c r="AH167" s="1092" t="str">
        <f>IF(X167&lt;=Experience!$R$15+1,"","*")</f>
        <v/>
      </c>
      <c r="AI167" s="1092"/>
      <c r="AJ167" s="1080">
        <f t="shared" si="188"/>
        <v>0</v>
      </c>
      <c r="AK167" s="1080">
        <f t="shared" si="201"/>
        <v>0</v>
      </c>
      <c r="AL167" s="1080">
        <f t="shared" si="190"/>
        <v>0</v>
      </c>
      <c r="AM167" s="1092">
        <f t="shared" si="202"/>
        <v>0</v>
      </c>
      <c r="AN167" s="1080">
        <f t="shared" si="203"/>
        <v>0</v>
      </c>
      <c r="AO167" s="1080">
        <f t="shared" si="193"/>
        <v>0</v>
      </c>
      <c r="AP167" s="1080">
        <f t="shared" si="194"/>
        <v>0</v>
      </c>
      <c r="AQ167" s="1027">
        <f>VLOOKUP(V167,'System Lookups'!$J$55:$P$64,7)</f>
        <v>700</v>
      </c>
      <c r="AR167" s="1080" t="str">
        <f ca="1">IF(AND(NOT(ISBLANK(AJ167)),ISNA(MATCH(ROW(),'System Lookups'!$C$526:$C$539,0))),"Y","N")</f>
        <v>Y</v>
      </c>
      <c r="AS167" s="1080">
        <f t="shared" si="195"/>
        <v>0</v>
      </c>
      <c r="AU167" s="1080" t="e">
        <f t="shared" si="148"/>
        <v>#N/A</v>
      </c>
      <c r="AV167" s="1080" t="str">
        <f t="shared" si="145"/>
        <v>S</v>
      </c>
      <c r="AW167" s="1080">
        <f t="shared" si="151"/>
        <v>0</v>
      </c>
      <c r="AX167" s="1080">
        <f t="shared" si="152"/>
        <v>0</v>
      </c>
      <c r="AY167" s="1080">
        <f t="shared" si="153"/>
        <v>0</v>
      </c>
      <c r="AZ167" s="1080">
        <f t="shared" si="154"/>
        <v>0</v>
      </c>
      <c r="BA167" s="1080">
        <f t="shared" si="150"/>
        <v>0</v>
      </c>
      <c r="BB167" s="1080">
        <f>IF(AND(RACE=1,'Main Creation Page'!$E$6="Well",OR(ISNUMBER(FIND(Experience!$G$11,BE167)),ISNUMBER(FIND(Experience!$G$11,BF167)),ISNUMBER(FIND(Experience!$I$11,BE167)),ISNUMBER(FIND(Experience!$I$11,BF167)))),1,0)</f>
        <v>0</v>
      </c>
      <c r="BC167" s="1080" t="str">
        <f t="shared" si="179"/>
        <v>Chakram</v>
      </c>
      <c r="BE167" s="1080" t="str">
        <f t="shared" si="146"/>
        <v/>
      </c>
      <c r="BF167" s="1080" t="str">
        <f t="shared" si="147"/>
        <v>Combat Skills</v>
      </c>
    </row>
    <row r="168" spans="1:58" ht="11.1" customHeight="1" outlineLevel="1">
      <c r="A168" s="1117" t="s">
        <v>703</v>
      </c>
      <c r="B168" s="1094" t="s">
        <v>1942</v>
      </c>
      <c r="C168" s="1094" t="s">
        <v>4629</v>
      </c>
      <c r="D168" s="1094" t="s">
        <v>4626</v>
      </c>
      <c r="E168" s="1095" t="s">
        <v>5224</v>
      </c>
      <c r="F168" s="1095" t="s">
        <v>5224</v>
      </c>
      <c r="G168" s="1096">
        <v>0</v>
      </c>
      <c r="H168" s="1096" t="s">
        <v>5224</v>
      </c>
      <c r="I168" s="1096" t="s">
        <v>5224</v>
      </c>
      <c r="J168" s="1096" t="s">
        <v>5224</v>
      </c>
      <c r="K168" s="1096" t="s">
        <v>5224</v>
      </c>
      <c r="L168" s="1096" t="s">
        <v>5224</v>
      </c>
      <c r="M168" s="1096" t="s">
        <v>5224</v>
      </c>
      <c r="N168" s="1096" t="s">
        <v>4630</v>
      </c>
      <c r="O168" s="1097"/>
      <c r="P168" s="1113" t="s">
        <v>13</v>
      </c>
      <c r="Q168" s="1097"/>
      <c r="R168" s="1097"/>
      <c r="S168" s="1113" t="s">
        <v>13</v>
      </c>
      <c r="T168" s="1113"/>
      <c r="U168" s="1027">
        <v>4</v>
      </c>
      <c r="V168" s="1027">
        <f t="shared" si="198"/>
        <v>4</v>
      </c>
      <c r="W168" s="1098" t="e">
        <f>IF(OR(I168&lt;&gt;"N",E168="C"),IF(AND(N168&lt;&gt;"T",ISNUMBER(FIND("V",I168))),1,0),NA())+IF(H168="Y",IF(AND(N168="P",ISNUMBER(FIND("Z",I168))),2,1),0)+IF(J168="Y",1,0)+IF(K168="Y",3,0)+IF(BE168="Lore",L168*2+Experience!$D$25,0)+IF(M168="Y",1,0)</f>
        <v>#N/A</v>
      </c>
      <c r="X168" s="1099"/>
      <c r="Y168" s="1100" t="e">
        <f ca="1">IF(P168="NS",IFERROR(INDIRECT(S168),NA()),VLOOKUP(INDIRECT(P168)+INDIRECT(S168),'System Lookups'!$A$3:$D$146,2))</f>
        <v>#N/A</v>
      </c>
      <c r="Z168" s="1100">
        <f t="shared" si="185"/>
        <v>0</v>
      </c>
      <c r="AA168" s="1101">
        <f t="shared" ca="1" si="200"/>
        <v>0</v>
      </c>
      <c r="AB168" s="1102">
        <f>VLOOKUP(V168,'System Lookups'!$J$55:$P$64,3)</f>
        <v>0.2</v>
      </c>
      <c r="AC168" s="1103">
        <f>VLOOKUP(V168,'System Lookups'!$J$55:$P$64,4)</f>
        <v>0.3</v>
      </c>
      <c r="AD168" s="1104">
        <f t="shared" si="186"/>
        <v>0</v>
      </c>
      <c r="AE168" s="1094">
        <f>(IF(AD168&gt;VLOOKUP(V168,'System Lookups'!$J$55:$P$63,6),(((AD168-VLOOKUP(V168,'System Lookups'!$J$55:$P$63,6))*100)/20),0))+AF168</f>
        <v>0</v>
      </c>
      <c r="AF168" s="1121"/>
      <c r="AG168" s="1092">
        <f t="shared" si="187"/>
        <v>0</v>
      </c>
      <c r="AH168" s="1092" t="str">
        <f>IF(X168&lt;=Experience!$R$15+1,"","*")</f>
        <v/>
      </c>
      <c r="AI168" s="1092"/>
      <c r="AJ168" s="1080">
        <f t="shared" si="188"/>
        <v>0</v>
      </c>
      <c r="AK168" s="1080">
        <f t="shared" si="201"/>
        <v>0</v>
      </c>
      <c r="AL168" s="1080">
        <f t="shared" si="190"/>
        <v>0</v>
      </c>
      <c r="AM168" s="1092">
        <f t="shared" si="202"/>
        <v>0</v>
      </c>
      <c r="AN168" s="1080">
        <f t="shared" si="203"/>
        <v>0</v>
      </c>
      <c r="AO168" s="1080">
        <f t="shared" si="193"/>
        <v>0</v>
      </c>
      <c r="AP168" s="1080">
        <f t="shared" si="194"/>
        <v>0</v>
      </c>
      <c r="AQ168" s="1027">
        <f>VLOOKUP(V168,'System Lookups'!$J$55:$P$64,7)</f>
        <v>600</v>
      </c>
      <c r="AR168" s="1080" t="str">
        <f ca="1">IF(AND(NOT(ISBLANK(AJ168)),ISNA(MATCH(ROW(),'System Lookups'!$C$526:$C$539,0))),"Y","N")</f>
        <v>Y</v>
      </c>
      <c r="AS168" s="1080">
        <f t="shared" si="195"/>
        <v>0</v>
      </c>
      <c r="AU168" s="1080" t="e">
        <f t="shared" si="148"/>
        <v>#N/A</v>
      </c>
      <c r="AV168" s="1080" t="str">
        <f t="shared" si="145"/>
        <v>S</v>
      </c>
      <c r="AW168" s="1080">
        <f t="shared" si="151"/>
        <v>0</v>
      </c>
      <c r="AX168" s="1080">
        <f t="shared" si="152"/>
        <v>0</v>
      </c>
      <c r="AY168" s="1080">
        <f t="shared" si="153"/>
        <v>0</v>
      </c>
      <c r="AZ168" s="1080">
        <f t="shared" si="154"/>
        <v>0</v>
      </c>
      <c r="BA168" s="1080">
        <f t="shared" si="150"/>
        <v>0</v>
      </c>
      <c r="BB168" s="1080">
        <f>IF(AND(RACE=1,'Main Creation Page'!$E$6="Well",OR(ISNUMBER(FIND(Experience!$G$11,BE168)),ISNUMBER(FIND(Experience!$G$11,BF168)),ISNUMBER(FIND(Experience!$I$11,BE168)),ISNUMBER(FIND(Experience!$I$11,BF168)))),1,0)</f>
        <v>0</v>
      </c>
      <c r="BC168" s="1080" t="str">
        <f t="shared" si="179"/>
        <v xml:space="preserve">Chivalric Great Blow </v>
      </c>
      <c r="BE168" s="1080" t="str">
        <f t="shared" si="146"/>
        <v/>
      </c>
      <c r="BF168" s="1080" t="str">
        <f t="shared" si="147"/>
        <v>Combat Skills</v>
      </c>
    </row>
    <row r="169" spans="1:58" ht="11.1" customHeight="1" outlineLevel="1">
      <c r="A169" s="1126" t="s">
        <v>5710</v>
      </c>
      <c r="B169" s="1094"/>
      <c r="C169" s="1094" t="s">
        <v>4629</v>
      </c>
      <c r="D169" s="1094"/>
      <c r="E169" s="1095" t="s">
        <v>178</v>
      </c>
      <c r="F169" s="1095" t="s">
        <v>5224</v>
      </c>
      <c r="G169" s="1096">
        <v>0</v>
      </c>
      <c r="H169" s="1096" t="s">
        <v>5224</v>
      </c>
      <c r="I169" s="1096" t="s">
        <v>5224</v>
      </c>
      <c r="J169" s="1096" t="s">
        <v>5224</v>
      </c>
      <c r="K169" s="1096" t="s">
        <v>5224</v>
      </c>
      <c r="L169" s="1096" t="s">
        <v>5224</v>
      </c>
      <c r="M169" s="1096" t="s">
        <v>5224</v>
      </c>
      <c r="N169" s="1096" t="s">
        <v>4630</v>
      </c>
      <c r="O169" s="1028"/>
      <c r="P169" s="1028" t="s">
        <v>3611</v>
      </c>
      <c r="Q169" s="1097">
        <f t="shared" ref="Q169:Q188" ca="1" si="208">INDIRECT(P169)</f>
        <v>15</v>
      </c>
      <c r="R169" s="1097"/>
      <c r="S169" s="1028" t="s">
        <v>3616</v>
      </c>
      <c r="T169" s="1097">
        <f t="shared" ref="T169:T188" ca="1" si="209">INDIRECT(S169)</f>
        <v>17</v>
      </c>
      <c r="U169" s="1027">
        <v>3</v>
      </c>
      <c r="V169" s="1027">
        <f t="shared" si="198"/>
        <v>3</v>
      </c>
      <c r="W169" s="1098">
        <f>IF(OR(I169&lt;&gt;"N",E169="C"),IF(AND(N169&lt;&gt;"T",ISNUMBER(FIND("V",I169))),1,0),NA())+IF(H169="Y",IF(AND(N169="P",ISNUMBER(FIND("Z",I169))),2,1),0)+IF(J169="Y",1,0)+IF(K169="Y",3,0)+IF(BE169="Lore",L169*2+Experience!$D$25,0)+IF(M169="Y",1,0)</f>
        <v>0</v>
      </c>
      <c r="X169" s="1099"/>
      <c r="Y169" s="1100">
        <f ca="1">IF(P169="NS",IFERROR(INDIRECT(S169),NA()),VLOOKUP(INDIRECT(P169)+INDIRECT(S169),'System Lookups'!$A$3:$D$146,2))</f>
        <v>0.08</v>
      </c>
      <c r="Z169" s="1100">
        <f t="shared" si="185"/>
        <v>0</v>
      </c>
      <c r="AA169" s="1101">
        <f t="shared" ca="1" si="200"/>
        <v>0.08</v>
      </c>
      <c r="AB169" s="1102">
        <f>VLOOKUP(V169,'System Lookups'!$J$55:$P$64,3)</f>
        <v>0.3</v>
      </c>
      <c r="AC169" s="1103">
        <f>VLOOKUP(V169,'System Lookups'!$J$55:$P$64,4)</f>
        <v>0.4</v>
      </c>
      <c r="AD169" s="1104">
        <f t="shared" ca="1" si="186"/>
        <v>0.48000000000000004</v>
      </c>
      <c r="AE169" s="1094">
        <f ca="1">(IF(AD169&gt;VLOOKUP(V169,'System Lookups'!$J$55:$P$63,6),(((AD169-VLOOKUP(V169,'System Lookups'!$J$55:$P$63,6))*100)/20),0))+AF169</f>
        <v>0</v>
      </c>
      <c r="AF169" s="1121"/>
      <c r="AG169" s="1092">
        <f t="shared" si="187"/>
        <v>0</v>
      </c>
      <c r="AH169" s="1092" t="str">
        <f>IF(X169&lt;=Experience!$R$15+1,"","*")</f>
        <v/>
      </c>
      <c r="AI169" s="1092"/>
      <c r="AJ169" s="1080">
        <f t="shared" si="188"/>
        <v>0</v>
      </c>
      <c r="AK169" s="1080">
        <f t="shared" si="201"/>
        <v>0</v>
      </c>
      <c r="AL169" s="1080">
        <f t="shared" si="190"/>
        <v>0</v>
      </c>
      <c r="AM169" s="1092">
        <f t="shared" si="202"/>
        <v>0</v>
      </c>
      <c r="AN169" s="1080">
        <f t="shared" si="203"/>
        <v>0</v>
      </c>
      <c r="AO169" s="1080">
        <f t="shared" si="193"/>
        <v>0</v>
      </c>
      <c r="AP169" s="1080">
        <f t="shared" si="194"/>
        <v>0</v>
      </c>
      <c r="AQ169" s="1027">
        <f>VLOOKUP(V169,'System Lookups'!$J$55:$P$64,7)</f>
        <v>500</v>
      </c>
      <c r="AR169" s="1080" t="str">
        <f ca="1">IF(AND(NOT(ISBLANK(AJ169)),ISNA(MATCH(ROW(),'System Lookups'!$C$526:$C$539,0))),"Y","N")</f>
        <v>N</v>
      </c>
      <c r="AS169" s="1080">
        <f t="shared" si="195"/>
        <v>0</v>
      </c>
      <c r="AU169" s="1080">
        <f t="shared" si="148"/>
        <v>0</v>
      </c>
      <c r="AV169" s="1080" t="str">
        <f t="shared" si="145"/>
        <v>CS</v>
      </c>
      <c r="AW169" s="1080">
        <f t="shared" si="151"/>
        <v>0</v>
      </c>
      <c r="AX169" s="1080">
        <f t="shared" si="152"/>
        <v>0</v>
      </c>
      <c r="AY169" s="1080">
        <f t="shared" si="153"/>
        <v>0</v>
      </c>
      <c r="AZ169" s="1080">
        <f t="shared" si="154"/>
        <v>0</v>
      </c>
      <c r="BA169" s="1080">
        <f t="shared" si="150"/>
        <v>0</v>
      </c>
      <c r="BB169" s="1080">
        <f>IF(AND(RACE=1,'Main Creation Page'!$E$6="Well",OR(ISNUMBER(FIND(Experience!$G$11,BE169)),ISNUMBER(FIND(Experience!$G$11,BF169)),ISNUMBER(FIND(Experience!$I$11,BE169)),ISNUMBER(FIND(Experience!$I$11,BF169)))),1,0)</f>
        <v>0</v>
      </c>
      <c r="BC169" s="1080" t="str">
        <f t="shared" si="179"/>
        <v>DODGE</v>
      </c>
      <c r="BE169" s="1080" t="str">
        <f t="shared" si="146"/>
        <v/>
      </c>
      <c r="BF169" s="1080" t="str">
        <f t="shared" si="147"/>
        <v>Combat Skills</v>
      </c>
    </row>
    <row r="170" spans="1:58" ht="11.1" customHeight="1" outlineLevel="1">
      <c r="A170" s="1123" t="s">
        <v>5571</v>
      </c>
      <c r="B170" s="1094"/>
      <c r="C170" s="1094" t="s">
        <v>4629</v>
      </c>
      <c r="D170" s="1094" t="s">
        <v>4623</v>
      </c>
      <c r="E170" s="1095" t="s">
        <v>5224</v>
      </c>
      <c r="F170" s="1095" t="s">
        <v>5224</v>
      </c>
      <c r="G170" s="1096">
        <v>0</v>
      </c>
      <c r="H170" s="1096" t="s">
        <v>5224</v>
      </c>
      <c r="I170" s="1096" t="s">
        <v>5224</v>
      </c>
      <c r="J170" s="1096" t="s">
        <v>5224</v>
      </c>
      <c r="K170" s="1096" t="s">
        <v>5224</v>
      </c>
      <c r="L170" s="1096" t="s">
        <v>5224</v>
      </c>
      <c r="M170" s="1096" t="s">
        <v>5224</v>
      </c>
      <c r="N170" s="1096" t="s">
        <v>4630</v>
      </c>
      <c r="O170" s="1028"/>
      <c r="P170" s="1028" t="s">
        <v>3615</v>
      </c>
      <c r="Q170" s="1097">
        <f t="shared" ca="1" si="208"/>
        <v>20</v>
      </c>
      <c r="R170" s="1097"/>
      <c r="S170" s="1028" t="s">
        <v>3611</v>
      </c>
      <c r="T170" s="1097">
        <f t="shared" ca="1" si="209"/>
        <v>15</v>
      </c>
      <c r="U170" s="1027">
        <v>4</v>
      </c>
      <c r="V170" s="1027">
        <f t="shared" si="198"/>
        <v>4</v>
      </c>
      <c r="W170" s="1098" t="e">
        <f>IF(OR(I170&lt;&gt;"N",E170="C"),IF(AND(N170&lt;&gt;"T",ISNUMBER(FIND("V",I170))),1,0),NA())+IF(H170="Y",IF(AND(N170="P",ISNUMBER(FIND("Z",I170))),2,1),0)+IF(J170="Y",1,0)+IF(K170="Y",3,0)+IF(BE170="Lore",L170*2+Experience!$D$25,0)+IF(M170="Y",1,0)</f>
        <v>#N/A</v>
      </c>
      <c r="X170" s="1099"/>
      <c r="Y170" s="1100">
        <f ca="1">IF(P170="NS",IFERROR(INDIRECT(S170),NA()),VLOOKUP(INDIRECT(P170)+INDIRECT(S170),'System Lookups'!$A$3:$D$146,2))</f>
        <v>0.12</v>
      </c>
      <c r="Z170" s="1100">
        <f t="shared" si="185"/>
        <v>0</v>
      </c>
      <c r="AA170" s="1101">
        <f t="shared" ca="1" si="200"/>
        <v>0.12</v>
      </c>
      <c r="AB170" s="1102">
        <f>VLOOKUP(V170,'System Lookups'!$J$55:$P$64,3)</f>
        <v>0.2</v>
      </c>
      <c r="AC170" s="1103">
        <f>VLOOKUP(V170,'System Lookups'!$J$55:$P$64,4)</f>
        <v>0.3</v>
      </c>
      <c r="AD170" s="1104">
        <f t="shared" ca="1" si="186"/>
        <v>0.32</v>
      </c>
      <c r="AE170" s="1094">
        <f ca="1">(IF(AD170&gt;VLOOKUP(V170,'System Lookups'!$J$55:$P$63,6),(((AD170-VLOOKUP(V170,'System Lookups'!$J$55:$P$63,6))*100)/20),0))+AF170</f>
        <v>0</v>
      </c>
      <c r="AF170" s="1121"/>
      <c r="AG170" s="1092">
        <f t="shared" si="187"/>
        <v>0</v>
      </c>
      <c r="AH170" s="1092" t="str">
        <f>IF(X170&lt;=Experience!$R$15+1,"","*")</f>
        <v/>
      </c>
      <c r="AI170" s="1092"/>
      <c r="AJ170" s="1080">
        <f t="shared" si="188"/>
        <v>0</v>
      </c>
      <c r="AK170" s="1080">
        <f t="shared" si="201"/>
        <v>0</v>
      </c>
      <c r="AL170" s="1080">
        <f t="shared" si="190"/>
        <v>0</v>
      </c>
      <c r="AM170" s="1092">
        <f t="shared" si="202"/>
        <v>0</v>
      </c>
      <c r="AN170" s="1080">
        <f t="shared" si="203"/>
        <v>0</v>
      </c>
      <c r="AO170" s="1080">
        <f t="shared" si="193"/>
        <v>0</v>
      </c>
      <c r="AP170" s="1080">
        <f t="shared" si="194"/>
        <v>0</v>
      </c>
      <c r="AQ170" s="1027">
        <f>VLOOKUP(V170,'System Lookups'!$J$55:$P$64,7)</f>
        <v>600</v>
      </c>
      <c r="AR170" s="1080" t="str">
        <f ca="1">IF(AND(NOT(ISBLANK(AJ170)),ISNA(MATCH(ROW(),'System Lookups'!$C$526:$C$539,0))),"Y","N")</f>
        <v>Y</v>
      </c>
      <c r="AS170" s="1080">
        <f t="shared" si="195"/>
        <v>0</v>
      </c>
      <c r="AU170" s="1080" t="e">
        <f t="shared" si="148"/>
        <v>#N/A</v>
      </c>
      <c r="AV170" s="1080" t="str">
        <f t="shared" si="145"/>
        <v>S</v>
      </c>
      <c r="AW170" s="1080">
        <f t="shared" si="151"/>
        <v>0</v>
      </c>
      <c r="AX170" s="1080">
        <f t="shared" si="152"/>
        <v>0</v>
      </c>
      <c r="AY170" s="1080">
        <f t="shared" si="153"/>
        <v>0</v>
      </c>
      <c r="AZ170" s="1080">
        <f t="shared" si="154"/>
        <v>0</v>
      </c>
      <c r="BA170" s="1080">
        <f t="shared" si="150"/>
        <v>0</v>
      </c>
      <c r="BB170" s="1080">
        <f>IF(AND(RACE=1,'Main Creation Page'!$E$6="Well",OR(ISNUMBER(FIND(Experience!$G$11,BE170)),ISNUMBER(FIND(Experience!$G$11,BF170)),ISNUMBER(FIND(Experience!$I$11,BE170)),ISNUMBER(FIND(Experience!$I$11,BF170)))),1,0)</f>
        <v>0</v>
      </c>
      <c r="BC170" s="1080" t="str">
        <f t="shared" si="179"/>
        <v>Entanglement Rope</v>
      </c>
      <c r="BE170" s="1080" t="str">
        <f t="shared" si="146"/>
        <v/>
      </c>
      <c r="BF170" s="1080" t="str">
        <f t="shared" si="147"/>
        <v>Combat Skills</v>
      </c>
    </row>
    <row r="171" spans="1:58" ht="11.1" customHeight="1" outlineLevel="1">
      <c r="A171" s="1117" t="s">
        <v>4398</v>
      </c>
      <c r="B171" s="1094"/>
      <c r="C171" s="1094" t="s">
        <v>4629</v>
      </c>
      <c r="D171" s="1094" t="s">
        <v>3251</v>
      </c>
      <c r="E171" s="1095" t="s">
        <v>5224</v>
      </c>
      <c r="F171" s="1095" t="s">
        <v>5224</v>
      </c>
      <c r="G171" s="1096">
        <v>0</v>
      </c>
      <c r="H171" s="1096" t="s">
        <v>5224</v>
      </c>
      <c r="I171" s="1096" t="s">
        <v>5224</v>
      </c>
      <c r="J171" s="1096" t="s">
        <v>5224</v>
      </c>
      <c r="K171" s="1096" t="s">
        <v>5224</v>
      </c>
      <c r="L171" s="1096" t="s">
        <v>5224</v>
      </c>
      <c r="M171" s="1096" t="s">
        <v>5224</v>
      </c>
      <c r="N171" s="1096" t="s">
        <v>4630</v>
      </c>
      <c r="O171" s="1028"/>
      <c r="P171" s="1028" t="s">
        <v>3615</v>
      </c>
      <c r="Q171" s="1097">
        <f t="shared" ca="1" si="208"/>
        <v>20</v>
      </c>
      <c r="R171" s="1097"/>
      <c r="S171" s="1028" t="s">
        <v>3611</v>
      </c>
      <c r="T171" s="1097">
        <f t="shared" ca="1" si="209"/>
        <v>15</v>
      </c>
      <c r="U171" s="1027">
        <v>4</v>
      </c>
      <c r="V171" s="1027">
        <f t="shared" si="198"/>
        <v>4</v>
      </c>
      <c r="W171" s="1098" t="e">
        <f>IF(OR(I171&lt;&gt;"N",E171="C"),IF(AND(N171&lt;&gt;"T",ISNUMBER(FIND("V",I171))),1,0),NA())+IF(H171="Y",IF(AND(N171="P",ISNUMBER(FIND("Z",I171))),2,1),0)+IF(J171="Y",1,0)+IF(K171="Y",3,0)+IF(BE171="Lore",L171*2+Experience!$D$25,0)+IF(M171="Y",1,0)</f>
        <v>#N/A</v>
      </c>
      <c r="X171" s="1099"/>
      <c r="Y171" s="1100">
        <f ca="1">IF(P171="NS",IFERROR(INDIRECT(S171),NA()),VLOOKUP(INDIRECT(P171)+INDIRECT(S171),'System Lookups'!$A$3:$D$146,2))</f>
        <v>0.12</v>
      </c>
      <c r="Z171" s="1100">
        <f t="shared" si="185"/>
        <v>0</v>
      </c>
      <c r="AA171" s="1101">
        <f t="shared" ca="1" si="200"/>
        <v>0.12</v>
      </c>
      <c r="AB171" s="1102">
        <f>VLOOKUP(V171,'System Lookups'!$J$55:$P$64,3)</f>
        <v>0.2</v>
      </c>
      <c r="AC171" s="1103">
        <f>VLOOKUP(V171,'System Lookups'!$J$55:$P$64,4)</f>
        <v>0.3</v>
      </c>
      <c r="AD171" s="1104">
        <f t="shared" ca="1" si="186"/>
        <v>0.32</v>
      </c>
      <c r="AE171" s="1094">
        <f ca="1">(IF(AD171&gt;VLOOKUP(V171,'System Lookups'!$J$55:$P$63,6),(((AD171-VLOOKUP(V171,'System Lookups'!$J$55:$P$63,6))*100)/20),0))+AF171</f>
        <v>0</v>
      </c>
      <c r="AF171" s="1121"/>
      <c r="AG171" s="1092">
        <f t="shared" si="187"/>
        <v>0</v>
      </c>
      <c r="AH171" s="1092" t="str">
        <f>IF(X171&lt;=Experience!$R$15+1,"","*")</f>
        <v/>
      </c>
      <c r="AI171" s="1092"/>
      <c r="AJ171" s="1080">
        <f t="shared" si="188"/>
        <v>0</v>
      </c>
      <c r="AK171" s="1080">
        <f t="shared" si="201"/>
        <v>0</v>
      </c>
      <c r="AL171" s="1080">
        <f t="shared" si="190"/>
        <v>0</v>
      </c>
      <c r="AM171" s="1092">
        <f t="shared" si="202"/>
        <v>0</v>
      </c>
      <c r="AN171" s="1080">
        <f t="shared" si="203"/>
        <v>0</v>
      </c>
      <c r="AO171" s="1080">
        <f t="shared" si="193"/>
        <v>0</v>
      </c>
      <c r="AP171" s="1080">
        <f t="shared" si="194"/>
        <v>0</v>
      </c>
      <c r="AQ171" s="1027">
        <f>VLOOKUP(V171,'System Lookups'!$J$55:$P$64,7)</f>
        <v>600</v>
      </c>
      <c r="AR171" s="1080" t="str">
        <f ca="1">IF(AND(NOT(ISBLANK(AJ171)),ISNA(MATCH(ROW(),'System Lookups'!$C$526:$C$539,0))),"Y","N")</f>
        <v>Y</v>
      </c>
      <c r="AS171" s="1080">
        <f t="shared" si="195"/>
        <v>0</v>
      </c>
      <c r="AU171" s="1080" t="e">
        <f t="shared" si="148"/>
        <v>#N/A</v>
      </c>
      <c r="AV171" s="1080" t="str">
        <f t="shared" si="145"/>
        <v>S</v>
      </c>
      <c r="AW171" s="1080">
        <f t="shared" si="151"/>
        <v>0</v>
      </c>
      <c r="AX171" s="1080">
        <f t="shared" si="152"/>
        <v>0</v>
      </c>
      <c r="AY171" s="1080">
        <f t="shared" si="153"/>
        <v>0</v>
      </c>
      <c r="AZ171" s="1080">
        <f t="shared" si="154"/>
        <v>0</v>
      </c>
      <c r="BA171" s="1080">
        <f t="shared" si="150"/>
        <v>0</v>
      </c>
      <c r="BB171" s="1080">
        <f>IF(AND(RACE=1,'Main Creation Page'!$E$6="Well",OR(ISNUMBER(FIND(Experience!$G$11,BE171)),ISNUMBER(FIND(Experience!$G$11,BF171)),ISNUMBER(FIND(Experience!$I$11,BE171)),ISNUMBER(FIND(Experience!$I$11,BF171)))),1,0)</f>
        <v>0</v>
      </c>
      <c r="BC171" s="1080" t="str">
        <f t="shared" si="179"/>
        <v xml:space="preserve">Fighting Staves </v>
      </c>
      <c r="BE171" s="1080" t="str">
        <f t="shared" si="146"/>
        <v/>
      </c>
      <c r="BF171" s="1080" t="str">
        <f t="shared" si="147"/>
        <v>Combat Skills</v>
      </c>
    </row>
    <row r="172" spans="1:58" ht="11.1" customHeight="1" outlineLevel="1">
      <c r="A172" s="1117" t="s">
        <v>4399</v>
      </c>
      <c r="B172" s="1094"/>
      <c r="C172" s="1094" t="s">
        <v>4629</v>
      </c>
      <c r="D172" s="1094" t="s">
        <v>4626</v>
      </c>
      <c r="E172" s="1095" t="s">
        <v>5224</v>
      </c>
      <c r="F172" s="1095" t="s">
        <v>5224</v>
      </c>
      <c r="G172" s="1096">
        <v>0</v>
      </c>
      <c r="H172" s="1096" t="s">
        <v>5224</v>
      </c>
      <c r="I172" s="1096" t="s">
        <v>5224</v>
      </c>
      <c r="J172" s="1096" t="s">
        <v>5224</v>
      </c>
      <c r="K172" s="1096" t="s">
        <v>5224</v>
      </c>
      <c r="L172" s="1096" t="s">
        <v>5224</v>
      </c>
      <c r="M172" s="1096" t="s">
        <v>5224</v>
      </c>
      <c r="N172" s="1096" t="s">
        <v>4630</v>
      </c>
      <c r="O172" s="1028"/>
      <c r="P172" s="1028" t="s">
        <v>3615</v>
      </c>
      <c r="Q172" s="1097">
        <f t="shared" ca="1" si="208"/>
        <v>20</v>
      </c>
      <c r="R172" s="1097"/>
      <c r="S172" s="1028" t="s">
        <v>3613</v>
      </c>
      <c r="T172" s="1097">
        <f t="shared" ca="1" si="209"/>
        <v>15</v>
      </c>
      <c r="U172" s="1027">
        <v>5</v>
      </c>
      <c r="V172" s="1027">
        <f t="shared" si="198"/>
        <v>5</v>
      </c>
      <c r="W172" s="1098" t="e">
        <f>IF(OR(I172&lt;&gt;"N",E172="C"),IF(AND(N172&lt;&gt;"T",ISNUMBER(FIND("V",I172))),1,0),NA())+IF(H172="Y",IF(AND(N172="P",ISNUMBER(FIND("Z",I172))),2,1),0)+IF(J172="Y",1,0)+IF(K172="Y",3,0)+IF(BE172="Lore",L172*2+Experience!$D$25,0)+IF(M172="Y",1,0)</f>
        <v>#N/A</v>
      </c>
      <c r="X172" s="1099"/>
      <c r="Y172" s="1100">
        <f ca="1">IF(P172="NS",IFERROR(INDIRECT(S172),NA()),VLOOKUP(INDIRECT(P172)+INDIRECT(S172),'System Lookups'!$A$3:$D$146,2))</f>
        <v>0.12</v>
      </c>
      <c r="Z172" s="1100">
        <f t="shared" si="185"/>
        <v>0</v>
      </c>
      <c r="AA172" s="1101">
        <f t="shared" ca="1" si="200"/>
        <v>0.12</v>
      </c>
      <c r="AB172" s="1102">
        <f>VLOOKUP(V172,'System Lookups'!$J$55:$P$64,3)</f>
        <v>0.1</v>
      </c>
      <c r="AC172" s="1103">
        <f>VLOOKUP(V172,'System Lookups'!$J$55:$P$64,4)</f>
        <v>0.2</v>
      </c>
      <c r="AD172" s="1104">
        <f t="shared" ca="1" si="186"/>
        <v>0.22</v>
      </c>
      <c r="AE172" s="1094">
        <f ca="1">(IF(AD172&gt;VLOOKUP(V172,'System Lookups'!$J$55:$P$63,6),(((AD172-VLOOKUP(V172,'System Lookups'!$J$55:$P$63,6))*100)/20),0))+AF172</f>
        <v>0</v>
      </c>
      <c r="AF172" s="1121"/>
      <c r="AG172" s="1092">
        <f t="shared" si="187"/>
        <v>0</v>
      </c>
      <c r="AH172" s="1092" t="str">
        <f>IF(X172&lt;=Experience!$R$15+1,"","*")</f>
        <v/>
      </c>
      <c r="AI172" s="1092"/>
      <c r="AJ172" s="1080">
        <f t="shared" si="188"/>
        <v>0</v>
      </c>
      <c r="AK172" s="1080">
        <f t="shared" si="201"/>
        <v>0</v>
      </c>
      <c r="AL172" s="1080">
        <f t="shared" si="190"/>
        <v>0</v>
      </c>
      <c r="AM172" s="1092">
        <f t="shared" si="202"/>
        <v>0</v>
      </c>
      <c r="AN172" s="1080">
        <f t="shared" si="203"/>
        <v>0</v>
      </c>
      <c r="AO172" s="1080">
        <f t="shared" si="193"/>
        <v>0</v>
      </c>
      <c r="AP172" s="1080">
        <f t="shared" si="194"/>
        <v>0</v>
      </c>
      <c r="AQ172" s="1027">
        <f>VLOOKUP(V172,'System Lookups'!$J$55:$P$64,7)</f>
        <v>700</v>
      </c>
      <c r="AR172" s="1080" t="str">
        <f ca="1">IF(AND(NOT(ISBLANK(AJ172)),ISNA(MATCH(ROW(),'System Lookups'!$C$526:$C$539,0))),"Y","N")</f>
        <v>Y</v>
      </c>
      <c r="AS172" s="1080">
        <f t="shared" si="195"/>
        <v>0</v>
      </c>
      <c r="AU172" s="1080" t="e">
        <f t="shared" si="148"/>
        <v>#N/A</v>
      </c>
      <c r="AV172" s="1080" t="str">
        <f t="shared" si="145"/>
        <v>S</v>
      </c>
      <c r="AW172" s="1080">
        <f t="shared" si="151"/>
        <v>0</v>
      </c>
      <c r="AX172" s="1080">
        <f t="shared" si="152"/>
        <v>0</v>
      </c>
      <c r="AY172" s="1080">
        <f t="shared" si="153"/>
        <v>0</v>
      </c>
      <c r="AZ172" s="1080">
        <f t="shared" si="154"/>
        <v>0</v>
      </c>
      <c r="BA172" s="1080">
        <f t="shared" si="150"/>
        <v>0</v>
      </c>
      <c r="BB172" s="1080">
        <f>IF(AND(RACE=1,'Main Creation Page'!$E$6="Well",OR(ISNUMBER(FIND(Experience!$G$11,BE172)),ISNUMBER(FIND(Experience!$G$11,BF172)),ISNUMBER(FIND(Experience!$I$11,BE172)),ISNUMBER(FIND(Experience!$I$11,BF172)))),1,0)</f>
        <v>0</v>
      </c>
      <c r="BC172" s="1080" t="str">
        <f t="shared" si="179"/>
        <v>Flails</v>
      </c>
      <c r="BE172" s="1080" t="str">
        <f t="shared" si="146"/>
        <v/>
      </c>
      <c r="BF172" s="1080" t="str">
        <f t="shared" si="147"/>
        <v>Combat Skills</v>
      </c>
    </row>
    <row r="173" spans="1:58" ht="11.1" customHeight="1" outlineLevel="1">
      <c r="A173" s="1117" t="s">
        <v>1736</v>
      </c>
      <c r="B173" s="1094"/>
      <c r="C173" s="1094" t="s">
        <v>4629</v>
      </c>
      <c r="D173" s="1094"/>
      <c r="E173" s="1095" t="s">
        <v>5224</v>
      </c>
      <c r="F173" s="1095" t="s">
        <v>5224</v>
      </c>
      <c r="G173" s="1096">
        <v>0</v>
      </c>
      <c r="H173" s="1096" t="s">
        <v>5224</v>
      </c>
      <c r="I173" s="1096" t="s">
        <v>5224</v>
      </c>
      <c r="J173" s="1096" t="s">
        <v>5224</v>
      </c>
      <c r="K173" s="1096" t="s">
        <v>5224</v>
      </c>
      <c r="L173" s="1096" t="s">
        <v>5224</v>
      </c>
      <c r="M173" s="1096" t="s">
        <v>5224</v>
      </c>
      <c r="N173" s="1096" t="s">
        <v>4630</v>
      </c>
      <c r="O173" s="1028"/>
      <c r="P173" s="1028" t="s">
        <v>3611</v>
      </c>
      <c r="Q173" s="1097">
        <f t="shared" ca="1" si="208"/>
        <v>15</v>
      </c>
      <c r="R173" s="1097"/>
      <c r="S173" s="1028" t="s">
        <v>3611</v>
      </c>
      <c r="T173" s="1097">
        <f t="shared" ca="1" si="209"/>
        <v>15</v>
      </c>
      <c r="U173" s="1027">
        <v>5</v>
      </c>
      <c r="V173" s="1027">
        <f t="shared" si="198"/>
        <v>5</v>
      </c>
      <c r="W173" s="1098" t="e">
        <f>IF(OR(I173&lt;&gt;"N",E173="C"),IF(AND(N173&lt;&gt;"T",ISNUMBER(FIND("V",I173))),1,0),NA())+IF(H173="Y",IF(AND(N173="P",ISNUMBER(FIND("Z",I173))),2,1),0)+IF(J173="Y",1,0)+IF(K173="Y",3,0)+IF(BE173="Lore",L173*2+Experience!$D$25,0)+IF(M173="Y",1,0)</f>
        <v>#N/A</v>
      </c>
      <c r="X173" s="1099"/>
      <c r="Y173" s="1100">
        <f ca="1">IF(P173="NS",IFERROR(INDIRECT(S173),NA()),VLOOKUP(INDIRECT(P173)+INDIRECT(S173),'System Lookups'!$A$3:$D$146,2))</f>
        <v>0.06</v>
      </c>
      <c r="Z173" s="1100">
        <f t="shared" si="185"/>
        <v>0</v>
      </c>
      <c r="AA173" s="1101">
        <f t="shared" ca="1" si="200"/>
        <v>0.06</v>
      </c>
      <c r="AB173" s="1102">
        <f>VLOOKUP(V173,'System Lookups'!$J$55:$P$64,3)</f>
        <v>0.1</v>
      </c>
      <c r="AC173" s="1103">
        <f>VLOOKUP(V173,'System Lookups'!$J$55:$P$64,4)</f>
        <v>0.2</v>
      </c>
      <c r="AD173" s="1104">
        <f t="shared" ca="1" si="186"/>
        <v>0.16</v>
      </c>
      <c r="AE173" s="1094">
        <f ca="1">(IF(AD173&gt;VLOOKUP(V173,'System Lookups'!$J$55:$P$63,6),(((AD173-VLOOKUP(V173,'System Lookups'!$J$55:$P$63,6))*100)/20),0))+AF173</f>
        <v>0</v>
      </c>
      <c r="AF173" s="1121"/>
      <c r="AG173" s="1092">
        <f t="shared" si="187"/>
        <v>0</v>
      </c>
      <c r="AH173" s="1092" t="str">
        <f>IF(X173&lt;=Experience!$R$15+1,"","*")</f>
        <v/>
      </c>
      <c r="AI173" s="1092"/>
      <c r="AJ173" s="1080">
        <f t="shared" si="188"/>
        <v>0</v>
      </c>
      <c r="AK173" s="1080">
        <f t="shared" si="201"/>
        <v>0</v>
      </c>
      <c r="AL173" s="1080">
        <f t="shared" si="190"/>
        <v>0</v>
      </c>
      <c r="AM173" s="1092">
        <f t="shared" si="202"/>
        <v>0</v>
      </c>
      <c r="AN173" s="1080">
        <f t="shared" si="203"/>
        <v>0</v>
      </c>
      <c r="AO173" s="1080">
        <f t="shared" si="193"/>
        <v>0</v>
      </c>
      <c r="AP173" s="1080">
        <f t="shared" si="194"/>
        <v>0</v>
      </c>
      <c r="AQ173" s="1027">
        <f>VLOOKUP(V173,'System Lookups'!$J$55:$P$64,7)</f>
        <v>700</v>
      </c>
      <c r="AR173" s="1080" t="str">
        <f ca="1">IF(AND(NOT(ISBLANK(AJ173)),ISNA(MATCH(ROW(),'System Lookups'!$C$526:$C$539,0))),"Y","N")</f>
        <v>Y</v>
      </c>
      <c r="AS173" s="1080">
        <f t="shared" si="195"/>
        <v>0</v>
      </c>
      <c r="AU173" s="1080" t="e">
        <f t="shared" si="148"/>
        <v>#N/A</v>
      </c>
      <c r="AV173" s="1080" t="str">
        <f t="shared" si="145"/>
        <v>S</v>
      </c>
      <c r="AW173" s="1080">
        <f t="shared" si="151"/>
        <v>0</v>
      </c>
      <c r="AX173" s="1080">
        <f t="shared" si="152"/>
        <v>0</v>
      </c>
      <c r="AY173" s="1080">
        <f t="shared" si="153"/>
        <v>0</v>
      </c>
      <c r="AZ173" s="1080">
        <f t="shared" si="154"/>
        <v>0</v>
      </c>
      <c r="BA173" s="1080">
        <f t="shared" si="150"/>
        <v>0</v>
      </c>
      <c r="BB173" s="1080">
        <f>IF(AND(RACE=1,'Main Creation Page'!$E$6="Well",OR(ISNUMBER(FIND(Experience!$G$11,BE173)),ISNUMBER(FIND(Experience!$G$11,BF173)),ISNUMBER(FIND(Experience!$I$11,BE173)),ISNUMBER(FIND(Experience!$I$11,BF173)))),1,0)</f>
        <v>0</v>
      </c>
      <c r="BC173" s="1080" t="str">
        <f t="shared" si="179"/>
        <v xml:space="preserve">Horse Archery </v>
      </c>
      <c r="BE173" s="1080" t="str">
        <f t="shared" si="146"/>
        <v/>
      </c>
      <c r="BF173" s="1080" t="str">
        <f t="shared" si="147"/>
        <v>Combat Skills</v>
      </c>
    </row>
    <row r="174" spans="1:58" ht="10.5" customHeight="1" outlineLevel="1">
      <c r="A174" s="1117" t="s">
        <v>2044</v>
      </c>
      <c r="B174" s="1094"/>
      <c r="C174" s="1094" t="s">
        <v>4629</v>
      </c>
      <c r="D174" s="1094" t="s">
        <v>3251</v>
      </c>
      <c r="E174" s="1095" t="s">
        <v>5224</v>
      </c>
      <c r="F174" s="1095" t="s">
        <v>5224</v>
      </c>
      <c r="G174" s="1096">
        <v>0</v>
      </c>
      <c r="H174" s="1096" t="s">
        <v>5224</v>
      </c>
      <c r="I174" s="1096" t="s">
        <v>5224</v>
      </c>
      <c r="J174" s="1096" t="s">
        <v>5224</v>
      </c>
      <c r="K174" s="1096" t="s">
        <v>5224</v>
      </c>
      <c r="L174" s="1096" t="s">
        <v>5224</v>
      </c>
      <c r="M174" s="1096" t="s">
        <v>5224</v>
      </c>
      <c r="N174" s="1096" t="s">
        <v>4630</v>
      </c>
      <c r="O174" s="1028"/>
      <c r="P174" s="1028" t="s">
        <v>3615</v>
      </c>
      <c r="Q174" s="1097">
        <f t="shared" ca="1" si="208"/>
        <v>20</v>
      </c>
      <c r="R174" s="1097"/>
      <c r="S174" s="1028" t="s">
        <v>3611</v>
      </c>
      <c r="T174" s="1097">
        <f t="shared" ca="1" si="209"/>
        <v>15</v>
      </c>
      <c r="U174" s="1027">
        <v>3</v>
      </c>
      <c r="V174" s="1027">
        <f t="shared" si="198"/>
        <v>3</v>
      </c>
      <c r="W174" s="1098" t="e">
        <f>IF(OR(I174&lt;&gt;"N",E174="C"),IF(AND(N174&lt;&gt;"T",ISNUMBER(FIND("V",I174))),1,0),NA())+IF(H174="Y",IF(AND(N174="P",ISNUMBER(FIND("Z",I174))),2,1),0)+IF(J174="Y",1,0)+IF(K174="Y",3,0)+IF(BE174="Lore",L174*2+Experience!$D$25,0)+IF(M174="Y",1,0)</f>
        <v>#N/A</v>
      </c>
      <c r="X174" s="1099"/>
      <c r="Y174" s="1100">
        <f ca="1">IF(P174="NS",IFERROR(INDIRECT(S174),NA()),VLOOKUP(INDIRECT(P174)+INDIRECT(S174),'System Lookups'!$A$3:$D$146,2))</f>
        <v>0.12</v>
      </c>
      <c r="Z174" s="1100">
        <f t="shared" si="185"/>
        <v>0</v>
      </c>
      <c r="AA174" s="1101">
        <f t="shared" ca="1" si="200"/>
        <v>0.12</v>
      </c>
      <c r="AB174" s="1102">
        <f>VLOOKUP(V174,'System Lookups'!$J$55:$P$64,3)</f>
        <v>0.3</v>
      </c>
      <c r="AC174" s="1103">
        <f>VLOOKUP(V174,'System Lookups'!$J$55:$P$64,4)</f>
        <v>0.4</v>
      </c>
      <c r="AD174" s="1104">
        <f t="shared" ca="1" si="186"/>
        <v>0.42</v>
      </c>
      <c r="AE174" s="1094">
        <f ca="1">(IF(AD174&gt;VLOOKUP(V174,'System Lookups'!$J$55:$P$63,6),(((AD174-VLOOKUP(V174,'System Lookups'!$J$55:$P$63,6))*100)/20),0))+AF174</f>
        <v>0</v>
      </c>
      <c r="AF174" s="1121"/>
      <c r="AG174" s="1092">
        <f t="shared" si="187"/>
        <v>0</v>
      </c>
      <c r="AH174" s="1092" t="str">
        <f>IF(X174&lt;=Experience!$R$15+1,"","*")</f>
        <v/>
      </c>
      <c r="AI174" s="1092"/>
      <c r="AJ174" s="1080">
        <f t="shared" si="188"/>
        <v>0</v>
      </c>
      <c r="AK174" s="1080">
        <f t="shared" si="201"/>
        <v>0</v>
      </c>
      <c r="AL174" s="1080">
        <f t="shared" si="190"/>
        <v>0</v>
      </c>
      <c r="AM174" s="1092">
        <f t="shared" si="202"/>
        <v>0</v>
      </c>
      <c r="AN174" s="1080">
        <f t="shared" si="203"/>
        <v>0</v>
      </c>
      <c r="AO174" s="1080">
        <f t="shared" si="193"/>
        <v>0</v>
      </c>
      <c r="AP174" s="1080">
        <f t="shared" si="194"/>
        <v>0</v>
      </c>
      <c r="AQ174" s="1027">
        <f>VLOOKUP(V174,'System Lookups'!$J$55:$P$64,7)</f>
        <v>500</v>
      </c>
      <c r="AR174" s="1080" t="str">
        <f ca="1">IF(AND(NOT(ISBLANK(AJ174)),ISNA(MATCH(ROW(),'System Lookups'!$C$526:$C$539,0))),"Y","N")</f>
        <v>Y</v>
      </c>
      <c r="AS174" s="1080">
        <f t="shared" si="195"/>
        <v>0</v>
      </c>
      <c r="AU174" s="1080" t="e">
        <f t="shared" si="148"/>
        <v>#N/A</v>
      </c>
      <c r="AV174" s="1080" t="str">
        <f t="shared" si="145"/>
        <v>S</v>
      </c>
      <c r="AW174" s="1080">
        <f t="shared" si="151"/>
        <v>0</v>
      </c>
      <c r="AX174" s="1080">
        <f t="shared" si="152"/>
        <v>0</v>
      </c>
      <c r="AY174" s="1080">
        <f t="shared" si="153"/>
        <v>0</v>
      </c>
      <c r="AZ174" s="1080">
        <f t="shared" si="154"/>
        <v>0</v>
      </c>
      <c r="BA174" s="1080">
        <f t="shared" si="150"/>
        <v>0</v>
      </c>
      <c r="BB174" s="1080">
        <f>IF(AND(RACE=1,'Main Creation Page'!$E$6="Well",OR(ISNUMBER(FIND(Experience!$G$11,BE174)),ISNUMBER(FIND(Experience!$G$11,BF174)),ISNUMBER(FIND(Experience!$I$11,BE174)),ISNUMBER(FIND(Experience!$I$11,BF174)))),1,0)</f>
        <v>0</v>
      </c>
      <c r="BC174" s="1080" t="str">
        <f t="shared" si="179"/>
        <v xml:space="preserve">Hurling Axes </v>
      </c>
      <c r="BE174" s="1080" t="str">
        <f t="shared" si="146"/>
        <v/>
      </c>
      <c r="BF174" s="1080" t="str">
        <f t="shared" si="147"/>
        <v>Combat Skills</v>
      </c>
    </row>
    <row r="175" spans="1:58" ht="10.5" customHeight="1" outlineLevel="1">
      <c r="A175" s="1123" t="s">
        <v>3895</v>
      </c>
      <c r="B175" s="1094"/>
      <c r="C175" s="1094" t="s">
        <v>4629</v>
      </c>
      <c r="D175" s="1094" t="s">
        <v>3251</v>
      </c>
      <c r="E175" s="1095" t="s">
        <v>5224</v>
      </c>
      <c r="F175" s="1095" t="s">
        <v>5224</v>
      </c>
      <c r="G175" s="1096">
        <v>0</v>
      </c>
      <c r="H175" s="1096" t="s">
        <v>5224</v>
      </c>
      <c r="I175" s="1096" t="s">
        <v>5224</v>
      </c>
      <c r="J175" s="1096" t="s">
        <v>5224</v>
      </c>
      <c r="K175" s="1096" t="s">
        <v>5224</v>
      </c>
      <c r="L175" s="1096" t="s">
        <v>5224</v>
      </c>
      <c r="M175" s="1096" t="s">
        <v>5224</v>
      </c>
      <c r="N175" s="1096" t="s">
        <v>4630</v>
      </c>
      <c r="O175" s="1028"/>
      <c r="P175" s="1028" t="s">
        <v>3615</v>
      </c>
      <c r="Q175" s="1097">
        <f t="shared" ca="1" si="208"/>
        <v>20</v>
      </c>
      <c r="R175" s="1097"/>
      <c r="S175" s="1028" t="s">
        <v>3611</v>
      </c>
      <c r="T175" s="1097">
        <f t="shared" ca="1" si="209"/>
        <v>15</v>
      </c>
      <c r="U175" s="1027">
        <v>4</v>
      </c>
      <c r="V175" s="1027">
        <f t="shared" si="198"/>
        <v>4</v>
      </c>
      <c r="W175" s="1098" t="e">
        <f>IF(OR(I175&lt;&gt;"N",E175="C"),IF(AND(N175&lt;&gt;"T",ISNUMBER(FIND("V",I175))),1,0),NA())+IF(H175="Y",IF(AND(N175="P",ISNUMBER(FIND("Z",I175))),2,1),0)+IF(J175="Y",1,0)+IF(K175="Y",3,0)+IF(BE175="Lore",L175*2+Experience!$D$25,0)+IF(M175="Y",1,0)</f>
        <v>#N/A</v>
      </c>
      <c r="X175" s="1099"/>
      <c r="Y175" s="1100">
        <f ca="1">IF(P175="NS",IFERROR(INDIRECT(S175),NA()),VLOOKUP(INDIRECT(P175)+INDIRECT(S175),'System Lookups'!$A$3:$D$146,2))</f>
        <v>0.12</v>
      </c>
      <c r="Z175" s="1100">
        <f t="shared" si="185"/>
        <v>0</v>
      </c>
      <c r="AA175" s="1101">
        <f t="shared" ca="1" si="200"/>
        <v>0.12</v>
      </c>
      <c r="AB175" s="1102">
        <f>VLOOKUP(V175,'System Lookups'!$J$55:$P$64,3)</f>
        <v>0.2</v>
      </c>
      <c r="AC175" s="1103">
        <f>VLOOKUP(V175,'System Lookups'!$J$55:$P$64,4)</f>
        <v>0.3</v>
      </c>
      <c r="AD175" s="1104">
        <f t="shared" ca="1" si="186"/>
        <v>0.32</v>
      </c>
      <c r="AE175" s="1094">
        <f ca="1">(IF(AD175&gt;VLOOKUP(V175,'System Lookups'!$J$55:$P$63,6),(((AD175-VLOOKUP(V175,'System Lookups'!$J$55:$P$63,6))*100)/20),0))+AF175</f>
        <v>0</v>
      </c>
      <c r="AF175" s="1121"/>
      <c r="AG175" s="1092">
        <f t="shared" si="187"/>
        <v>0</v>
      </c>
      <c r="AH175" s="1092" t="str">
        <f>IF(X175&lt;=Experience!$R$15+1,"","*")</f>
        <v/>
      </c>
      <c r="AI175" s="1092"/>
      <c r="AJ175" s="1080">
        <f t="shared" si="188"/>
        <v>0</v>
      </c>
      <c r="AK175" s="1080">
        <f t="shared" si="201"/>
        <v>0</v>
      </c>
      <c r="AL175" s="1080">
        <f t="shared" si="190"/>
        <v>0</v>
      </c>
      <c r="AM175" s="1092">
        <f t="shared" si="202"/>
        <v>0</v>
      </c>
      <c r="AN175" s="1080">
        <f t="shared" si="203"/>
        <v>0</v>
      </c>
      <c r="AO175" s="1080">
        <f t="shared" si="193"/>
        <v>0</v>
      </c>
      <c r="AP175" s="1080">
        <f t="shared" si="194"/>
        <v>0</v>
      </c>
      <c r="AQ175" s="1027">
        <f>VLOOKUP(V175,'System Lookups'!$J$55:$P$64,7)</f>
        <v>600</v>
      </c>
      <c r="AR175" s="1080" t="str">
        <f ca="1">IF(AND(NOT(ISBLANK(AJ175)),ISNA(MATCH(ROW(),'System Lookups'!$C$526:$C$539,0))),"Y","N")</f>
        <v>Y</v>
      </c>
      <c r="AS175" s="1080">
        <f t="shared" si="195"/>
        <v>0</v>
      </c>
      <c r="AU175" s="1080" t="e">
        <f t="shared" si="148"/>
        <v>#N/A</v>
      </c>
      <c r="AV175" s="1080" t="str">
        <f t="shared" si="145"/>
        <v>S</v>
      </c>
      <c r="AW175" s="1080">
        <f t="shared" si="151"/>
        <v>0</v>
      </c>
      <c r="AX175" s="1080">
        <f t="shared" si="152"/>
        <v>0</v>
      </c>
      <c r="AY175" s="1080">
        <f t="shared" si="153"/>
        <v>0</v>
      </c>
      <c r="AZ175" s="1080">
        <f t="shared" si="154"/>
        <v>0</v>
      </c>
      <c r="BA175" s="1080">
        <f t="shared" si="150"/>
        <v>0</v>
      </c>
      <c r="BB175" s="1080">
        <f>IF(AND(RACE=1,'Main Creation Page'!$E$6="Well",OR(ISNUMBER(FIND(Experience!$G$11,BE175)),ISNUMBER(FIND(Experience!$G$11,BF175)),ISNUMBER(FIND(Experience!$I$11,BE175)),ISNUMBER(FIND(Experience!$I$11,BF175)))),1,0)</f>
        <v>0</v>
      </c>
      <c r="BC175" s="1080" t="str">
        <f t="shared" si="179"/>
        <v>Hurling Hammer</v>
      </c>
      <c r="BE175" s="1080" t="str">
        <f t="shared" si="146"/>
        <v/>
      </c>
      <c r="BF175" s="1080" t="str">
        <f t="shared" si="147"/>
        <v>Combat Skills</v>
      </c>
    </row>
    <row r="176" spans="1:58" ht="10.5" customHeight="1" outlineLevel="1">
      <c r="A176" s="1117" t="s">
        <v>2045</v>
      </c>
      <c r="B176" s="1094"/>
      <c r="C176" s="1094" t="s">
        <v>4629</v>
      </c>
      <c r="D176" s="1094" t="s">
        <v>4623</v>
      </c>
      <c r="E176" s="1095" t="s">
        <v>5224</v>
      </c>
      <c r="F176" s="1095" t="s">
        <v>5224</v>
      </c>
      <c r="G176" s="1096">
        <v>0</v>
      </c>
      <c r="H176" s="1096" t="s">
        <v>5224</v>
      </c>
      <c r="I176" s="1096" t="s">
        <v>5224</v>
      </c>
      <c r="J176" s="1096" t="s">
        <v>5224</v>
      </c>
      <c r="K176" s="1096" t="s">
        <v>5224</v>
      </c>
      <c r="L176" s="1096" t="s">
        <v>5224</v>
      </c>
      <c r="M176" s="1096" t="s">
        <v>5224</v>
      </c>
      <c r="N176" s="1096" t="s">
        <v>4630</v>
      </c>
      <c r="O176" s="1028"/>
      <c r="P176" s="1028" t="s">
        <v>3615</v>
      </c>
      <c r="Q176" s="1097">
        <f t="shared" ca="1" si="208"/>
        <v>20</v>
      </c>
      <c r="R176" s="1097"/>
      <c r="S176" s="1028" t="s">
        <v>3611</v>
      </c>
      <c r="T176" s="1097">
        <f t="shared" ca="1" si="209"/>
        <v>15</v>
      </c>
      <c r="U176" s="1027">
        <v>3</v>
      </c>
      <c r="V176" s="1027">
        <f t="shared" si="198"/>
        <v>3</v>
      </c>
      <c r="W176" s="1098" t="e">
        <f>IF(OR(I176&lt;&gt;"N",E176="C"),IF(AND(N176&lt;&gt;"T",ISNUMBER(FIND("V",I176))),1,0),NA())+IF(H176="Y",IF(AND(N176="P",ISNUMBER(FIND("Z",I176))),2,1),0)+IF(J176="Y",1,0)+IF(K176="Y",3,0)+IF(BE176="Lore",L176*2+Experience!$D$25,0)+IF(M176="Y",1,0)</f>
        <v>#N/A</v>
      </c>
      <c r="X176" s="1099"/>
      <c r="Y176" s="1100">
        <f ca="1">IF(P176="NS",IFERROR(INDIRECT(S176),NA()),VLOOKUP(INDIRECT(P176)+INDIRECT(S176),'System Lookups'!$A$3:$D$146,2))</f>
        <v>0.12</v>
      </c>
      <c r="Z176" s="1100">
        <f t="shared" si="185"/>
        <v>0</v>
      </c>
      <c r="AA176" s="1101">
        <f t="shared" ca="1" si="200"/>
        <v>0.12</v>
      </c>
      <c r="AB176" s="1102">
        <f>VLOOKUP(V176,'System Lookups'!$J$55:$P$64,3)</f>
        <v>0.3</v>
      </c>
      <c r="AC176" s="1103">
        <f>VLOOKUP(V176,'System Lookups'!$J$55:$P$64,4)</f>
        <v>0.4</v>
      </c>
      <c r="AD176" s="1104">
        <f t="shared" ca="1" si="186"/>
        <v>0.42</v>
      </c>
      <c r="AE176" s="1094">
        <f ca="1">(IF(AD176&gt;VLOOKUP(V176,'System Lookups'!$J$55:$P$63,6),(((AD176-VLOOKUP(V176,'System Lookups'!$J$55:$P$63,6))*100)/20),0))+AF176</f>
        <v>0</v>
      </c>
      <c r="AF176" s="1121"/>
      <c r="AG176" s="1092">
        <f t="shared" si="187"/>
        <v>0</v>
      </c>
      <c r="AH176" s="1092" t="str">
        <f>IF(X176&lt;=Experience!$R$15+1,"","*")</f>
        <v/>
      </c>
      <c r="AI176" s="1092"/>
      <c r="AJ176" s="1080">
        <f t="shared" si="188"/>
        <v>0</v>
      </c>
      <c r="AK176" s="1080">
        <f t="shared" si="201"/>
        <v>0</v>
      </c>
      <c r="AL176" s="1080">
        <f t="shared" si="190"/>
        <v>0</v>
      </c>
      <c r="AM176" s="1092">
        <f t="shared" si="202"/>
        <v>0</v>
      </c>
      <c r="AN176" s="1080">
        <f t="shared" si="203"/>
        <v>0</v>
      </c>
      <c r="AO176" s="1080">
        <f t="shared" si="193"/>
        <v>0</v>
      </c>
      <c r="AP176" s="1080">
        <f t="shared" si="194"/>
        <v>0</v>
      </c>
      <c r="AQ176" s="1027">
        <f>VLOOKUP(V176,'System Lookups'!$J$55:$P$64,7)</f>
        <v>500</v>
      </c>
      <c r="AR176" s="1080" t="str">
        <f ca="1">IF(AND(NOT(ISBLANK(AJ176)),ISNA(MATCH(ROW(),'System Lookups'!$C$526:$C$539,0))),"Y","N")</f>
        <v>Y</v>
      </c>
      <c r="AS176" s="1080">
        <f t="shared" si="195"/>
        <v>0</v>
      </c>
      <c r="AU176" s="1080" t="e">
        <f t="shared" si="148"/>
        <v>#N/A</v>
      </c>
      <c r="AV176" s="1080" t="str">
        <f t="shared" si="145"/>
        <v>S</v>
      </c>
      <c r="AW176" s="1080">
        <f t="shared" si="151"/>
        <v>0</v>
      </c>
      <c r="AX176" s="1080">
        <f t="shared" si="152"/>
        <v>0</v>
      </c>
      <c r="AY176" s="1080">
        <f t="shared" si="153"/>
        <v>0</v>
      </c>
      <c r="AZ176" s="1080">
        <f t="shared" si="154"/>
        <v>0</v>
      </c>
      <c r="BA176" s="1080">
        <f t="shared" si="150"/>
        <v>0</v>
      </c>
      <c r="BB176" s="1080">
        <f>IF(AND(RACE=1,'Main Creation Page'!$E$6="Well",OR(ISNUMBER(FIND(Experience!$G$11,BE176)),ISNUMBER(FIND(Experience!$G$11,BF176)),ISNUMBER(FIND(Experience!$I$11,BE176)),ISNUMBER(FIND(Experience!$I$11,BF176)))),1,0)</f>
        <v>0</v>
      </c>
      <c r="BC176" s="1080" t="str">
        <f t="shared" si="179"/>
        <v xml:space="preserve">Hurling Javelins </v>
      </c>
      <c r="BE176" s="1080" t="str">
        <f t="shared" si="146"/>
        <v/>
      </c>
      <c r="BF176" s="1080" t="str">
        <f t="shared" si="147"/>
        <v>Combat Skills</v>
      </c>
    </row>
    <row r="177" spans="1:58" ht="10.5" customHeight="1" outlineLevel="1">
      <c r="A177" s="1123" t="s">
        <v>2108</v>
      </c>
      <c r="B177" s="1094"/>
      <c r="C177" s="1094" t="s">
        <v>4629</v>
      </c>
      <c r="D177" s="1094" t="s">
        <v>3251</v>
      </c>
      <c r="E177" s="1095" t="s">
        <v>5224</v>
      </c>
      <c r="F177" s="1095" t="s">
        <v>5224</v>
      </c>
      <c r="G177" s="1096">
        <v>0</v>
      </c>
      <c r="H177" s="1096" t="s">
        <v>5224</v>
      </c>
      <c r="I177" s="1096" t="s">
        <v>5224</v>
      </c>
      <c r="J177" s="1096" t="s">
        <v>5224</v>
      </c>
      <c r="K177" s="1096" t="s">
        <v>5224</v>
      </c>
      <c r="L177" s="1096" t="s">
        <v>5224</v>
      </c>
      <c r="M177" s="1096" t="s">
        <v>5224</v>
      </c>
      <c r="N177" s="1096" t="s">
        <v>4630</v>
      </c>
      <c r="O177" s="1028"/>
      <c r="P177" s="1028" t="s">
        <v>3615</v>
      </c>
      <c r="Q177" s="1097">
        <f t="shared" ca="1" si="208"/>
        <v>20</v>
      </c>
      <c r="R177" s="1097"/>
      <c r="S177" s="1028" t="s">
        <v>3611</v>
      </c>
      <c r="T177" s="1097">
        <f t="shared" ca="1" si="209"/>
        <v>15</v>
      </c>
      <c r="U177" s="1027">
        <v>5</v>
      </c>
      <c r="V177" s="1027">
        <f t="shared" si="198"/>
        <v>5</v>
      </c>
      <c r="W177" s="1098" t="e">
        <f>IF(OR(I177&lt;&gt;"N",E177="C"),IF(AND(N177&lt;&gt;"T",ISNUMBER(FIND("V",I177))),1,0),NA())+IF(H177="Y",IF(AND(N177="P",ISNUMBER(FIND("Z",I177))),2,1),0)+IF(J177="Y",1,0)+IF(K177="Y",3,0)+IF(BE177="Lore",L177*2+Experience!$D$25,0)+IF(M177="Y",1,0)</f>
        <v>#N/A</v>
      </c>
      <c r="X177" s="1099"/>
      <c r="Y177" s="1100">
        <f ca="1">IF(P177="NS",IFERROR(INDIRECT(S177),NA()),VLOOKUP(INDIRECT(P177)+INDIRECT(S177),'System Lookups'!$A$3:$D$146,2))</f>
        <v>0.12</v>
      </c>
      <c r="Z177" s="1100">
        <f t="shared" si="185"/>
        <v>0</v>
      </c>
      <c r="AA177" s="1101">
        <f t="shared" ca="1" si="200"/>
        <v>0.12</v>
      </c>
      <c r="AB177" s="1102">
        <f>VLOOKUP(V177,'System Lookups'!$J$55:$P$64,3)</f>
        <v>0.1</v>
      </c>
      <c r="AC177" s="1103">
        <f>VLOOKUP(V177,'System Lookups'!$J$55:$P$64,4)</f>
        <v>0.2</v>
      </c>
      <c r="AD177" s="1104">
        <f t="shared" ca="1" si="186"/>
        <v>0.22</v>
      </c>
      <c r="AE177" s="1094">
        <f ca="1">(IF(AD177&gt;VLOOKUP(V177,'System Lookups'!$J$55:$P$63,6),(((AD177-VLOOKUP(V177,'System Lookups'!$J$55:$P$63,6))*100)/20),0))+AF177</f>
        <v>0</v>
      </c>
      <c r="AF177" s="1121"/>
      <c r="AG177" s="1092">
        <f t="shared" si="187"/>
        <v>0</v>
      </c>
      <c r="AH177" s="1092" t="str">
        <f>IF(X177&lt;=Experience!$R$15+1,"","*")</f>
        <v/>
      </c>
      <c r="AI177" s="1092"/>
      <c r="AJ177" s="1080">
        <f t="shared" si="188"/>
        <v>0</v>
      </c>
      <c r="AK177" s="1080">
        <f t="shared" si="201"/>
        <v>0</v>
      </c>
      <c r="AL177" s="1080">
        <f t="shared" si="190"/>
        <v>0</v>
      </c>
      <c r="AM177" s="1092">
        <f t="shared" si="202"/>
        <v>0</v>
      </c>
      <c r="AN177" s="1080">
        <f t="shared" si="203"/>
        <v>0</v>
      </c>
      <c r="AO177" s="1080">
        <f t="shared" si="193"/>
        <v>0</v>
      </c>
      <c r="AP177" s="1080">
        <f t="shared" si="194"/>
        <v>0</v>
      </c>
      <c r="AQ177" s="1027">
        <f>VLOOKUP(V177,'System Lookups'!$J$55:$P$64,7)</f>
        <v>700</v>
      </c>
      <c r="AR177" s="1080" t="str">
        <f ca="1">IF(AND(NOT(ISBLANK(AJ177)),ISNA(MATCH(ROW(),'System Lookups'!$C$526:$C$539,0))),"Y","N")</f>
        <v>Y</v>
      </c>
      <c r="AS177" s="1080">
        <f t="shared" si="195"/>
        <v>0</v>
      </c>
      <c r="AU177" s="1080" t="e">
        <f t="shared" si="148"/>
        <v>#N/A</v>
      </c>
      <c r="AV177" s="1080" t="str">
        <f t="shared" si="145"/>
        <v>S</v>
      </c>
      <c r="AW177" s="1080">
        <f t="shared" si="151"/>
        <v>0</v>
      </c>
      <c r="AX177" s="1080">
        <f t="shared" si="152"/>
        <v>0</v>
      </c>
      <c r="AY177" s="1080">
        <f t="shared" si="153"/>
        <v>0</v>
      </c>
      <c r="AZ177" s="1080">
        <f t="shared" si="154"/>
        <v>0</v>
      </c>
      <c r="BA177" s="1080">
        <f t="shared" si="150"/>
        <v>0</v>
      </c>
      <c r="BB177" s="1080">
        <f>IF(AND(RACE=1,'Main Creation Page'!$E$6="Well",OR(ISNUMBER(FIND(Experience!$G$11,BE177)),ISNUMBER(FIND(Experience!$G$11,BF177)),ISNUMBER(FIND(Experience!$I$11,BE177)),ISNUMBER(FIND(Experience!$I$11,BF177)))),1,0)</f>
        <v>0</v>
      </c>
      <c r="BC177" s="1080" t="str">
        <f t="shared" si="179"/>
        <v>Infantry Naptha Thrower</v>
      </c>
      <c r="BE177" s="1080" t="str">
        <f t="shared" si="146"/>
        <v/>
      </c>
      <c r="BF177" s="1080" t="str">
        <f t="shared" si="147"/>
        <v>Combat Skills</v>
      </c>
    </row>
    <row r="178" spans="1:58" ht="10.5" customHeight="1" outlineLevel="1">
      <c r="A178" s="1117" t="s">
        <v>2046</v>
      </c>
      <c r="B178" s="1094"/>
      <c r="C178" s="1094" t="s">
        <v>4629</v>
      </c>
      <c r="D178" s="1094" t="s">
        <v>3251</v>
      </c>
      <c r="E178" s="1095" t="s">
        <v>5224</v>
      </c>
      <c r="F178" s="1095" t="s">
        <v>5224</v>
      </c>
      <c r="G178" s="1096">
        <v>0</v>
      </c>
      <c r="H178" s="1096" t="s">
        <v>5224</v>
      </c>
      <c r="I178" s="1096" t="s">
        <v>5224</v>
      </c>
      <c r="J178" s="1096" t="s">
        <v>5224</v>
      </c>
      <c r="K178" s="1096" t="s">
        <v>5224</v>
      </c>
      <c r="L178" s="1096" t="s">
        <v>5224</v>
      </c>
      <c r="M178" s="1096" t="s">
        <v>5224</v>
      </c>
      <c r="N178" s="1096" t="s">
        <v>4630</v>
      </c>
      <c r="O178" s="1028"/>
      <c r="P178" s="1028" t="s">
        <v>3611</v>
      </c>
      <c r="Q178" s="1097">
        <f t="shared" ca="1" si="208"/>
        <v>15</v>
      </c>
      <c r="R178" s="1097"/>
      <c r="S178" s="1028" t="s">
        <v>3611</v>
      </c>
      <c r="T178" s="1097">
        <f t="shared" ca="1" si="209"/>
        <v>15</v>
      </c>
      <c r="U178" s="1027">
        <v>3</v>
      </c>
      <c r="V178" s="1027">
        <f t="shared" si="198"/>
        <v>3</v>
      </c>
      <c r="W178" s="1098" t="e">
        <f>IF(OR(I178&lt;&gt;"N",E178="C"),IF(AND(N178&lt;&gt;"T",ISNUMBER(FIND("V",I178))),1,0),NA())+IF(H178="Y",IF(AND(N178="P",ISNUMBER(FIND("Z",I178))),2,1),0)+IF(J178="Y",1,0)+IF(K178="Y",3,0)+IF(BE178="Lore",L178*2+Experience!$D$25,0)+IF(M178="Y",1,0)</f>
        <v>#N/A</v>
      </c>
      <c r="X178" s="1099"/>
      <c r="Y178" s="1100">
        <f ca="1">IF(P178="NS",IFERROR(INDIRECT(S178),NA()),VLOOKUP(INDIRECT(P178)+INDIRECT(S178),'System Lookups'!$A$3:$D$146,2))</f>
        <v>0.06</v>
      </c>
      <c r="Z178" s="1100">
        <f t="shared" si="185"/>
        <v>0</v>
      </c>
      <c r="AA178" s="1101">
        <f t="shared" ca="1" si="200"/>
        <v>0.06</v>
      </c>
      <c r="AB178" s="1102">
        <f>VLOOKUP(V178,'System Lookups'!$J$55:$P$64,3)</f>
        <v>0.3</v>
      </c>
      <c r="AC178" s="1103">
        <f>VLOOKUP(V178,'System Lookups'!$J$55:$P$64,4)</f>
        <v>0.4</v>
      </c>
      <c r="AD178" s="1104">
        <f t="shared" ca="1" si="186"/>
        <v>0.36</v>
      </c>
      <c r="AE178" s="1094">
        <f ca="1">(IF(AD178&gt;VLOOKUP(V178,'System Lookups'!$J$55:$P$63,6),(((AD178-VLOOKUP(V178,'System Lookups'!$J$55:$P$63,6))*100)/20),0))+AF178</f>
        <v>0</v>
      </c>
      <c r="AF178" s="1121"/>
      <c r="AG178" s="1092">
        <f t="shared" si="187"/>
        <v>0</v>
      </c>
      <c r="AH178" s="1092" t="str">
        <f>IF(X178&lt;=Experience!$R$15+1,"","*")</f>
        <v/>
      </c>
      <c r="AI178" s="1092"/>
      <c r="AJ178" s="1080">
        <f t="shared" si="188"/>
        <v>0</v>
      </c>
      <c r="AK178" s="1080">
        <f t="shared" si="201"/>
        <v>0</v>
      </c>
      <c r="AL178" s="1080">
        <f t="shared" si="190"/>
        <v>0</v>
      </c>
      <c r="AM178" s="1092">
        <f t="shared" si="202"/>
        <v>0</v>
      </c>
      <c r="AN178" s="1080">
        <f t="shared" si="203"/>
        <v>0</v>
      </c>
      <c r="AO178" s="1080">
        <f t="shared" si="193"/>
        <v>0</v>
      </c>
      <c r="AP178" s="1080">
        <f t="shared" si="194"/>
        <v>0</v>
      </c>
      <c r="AQ178" s="1027">
        <f>VLOOKUP(V178,'System Lookups'!$J$55:$P$64,7)</f>
        <v>500</v>
      </c>
      <c r="AR178" s="1080" t="str">
        <f ca="1">IF(AND(NOT(ISBLANK(AJ178)),ISNA(MATCH(ROW(),'System Lookups'!$C$526:$C$539,0))),"Y","N")</f>
        <v>Y</v>
      </c>
      <c r="AS178" s="1080">
        <f t="shared" si="195"/>
        <v>0</v>
      </c>
      <c r="AU178" s="1080" t="e">
        <f t="shared" si="148"/>
        <v>#N/A</v>
      </c>
      <c r="AV178" s="1080" t="str">
        <f t="shared" si="145"/>
        <v>S</v>
      </c>
      <c r="AW178" s="1080">
        <f t="shared" si="151"/>
        <v>0</v>
      </c>
      <c r="AX178" s="1080">
        <f t="shared" si="152"/>
        <v>0</v>
      </c>
      <c r="AY178" s="1080">
        <f t="shared" si="153"/>
        <v>0</v>
      </c>
      <c r="AZ178" s="1080">
        <f t="shared" si="154"/>
        <v>0</v>
      </c>
      <c r="BA178" s="1080">
        <f t="shared" si="150"/>
        <v>0</v>
      </c>
      <c r="BB178" s="1080">
        <f>IF(AND(RACE=1,'Main Creation Page'!$E$6="Well",OR(ISNUMBER(FIND(Experience!$G$11,BE178)),ISNUMBER(FIND(Experience!$G$11,BF178)),ISNUMBER(FIND(Experience!$I$11,BE178)),ISNUMBER(FIND(Experience!$I$11,BF178)))),1,0)</f>
        <v>0</v>
      </c>
      <c r="BC178" s="1080" t="str">
        <f t="shared" si="179"/>
        <v xml:space="preserve">Knife &amp; Dagger Fighting </v>
      </c>
      <c r="BE178" s="1080" t="str">
        <f t="shared" si="146"/>
        <v/>
      </c>
      <c r="BF178" s="1080" t="str">
        <f t="shared" si="147"/>
        <v>Combat Skills</v>
      </c>
    </row>
    <row r="179" spans="1:58" ht="10.5" customHeight="1" outlineLevel="1">
      <c r="A179" s="1117" t="s">
        <v>800</v>
      </c>
      <c r="B179" s="1094"/>
      <c r="C179" s="1094" t="s">
        <v>4629</v>
      </c>
      <c r="D179" s="1094" t="s">
        <v>3251</v>
      </c>
      <c r="E179" s="1095" t="s">
        <v>5224</v>
      </c>
      <c r="F179" s="1095" t="s">
        <v>5224</v>
      </c>
      <c r="G179" s="1096">
        <v>0</v>
      </c>
      <c r="H179" s="1096" t="s">
        <v>5224</v>
      </c>
      <c r="I179" s="1096" t="s">
        <v>5224</v>
      </c>
      <c r="J179" s="1096" t="s">
        <v>5224</v>
      </c>
      <c r="K179" s="1096" t="s">
        <v>5224</v>
      </c>
      <c r="L179" s="1096" t="s">
        <v>5224</v>
      </c>
      <c r="M179" s="1096" t="s">
        <v>5224</v>
      </c>
      <c r="N179" s="1096" t="s">
        <v>4630</v>
      </c>
      <c r="O179" s="1028"/>
      <c r="P179" s="1028" t="s">
        <v>3615</v>
      </c>
      <c r="Q179" s="1097">
        <f t="shared" ca="1" si="208"/>
        <v>20</v>
      </c>
      <c r="R179" s="1097"/>
      <c r="S179" s="1028" t="s">
        <v>3615</v>
      </c>
      <c r="T179" s="1097">
        <f t="shared" ca="1" si="209"/>
        <v>20</v>
      </c>
      <c r="U179" s="1027">
        <v>4</v>
      </c>
      <c r="V179" s="1027">
        <f t="shared" si="198"/>
        <v>4</v>
      </c>
      <c r="W179" s="1098" t="e">
        <f>IF(OR(I179&lt;&gt;"N",E179="C"),IF(AND(N179&lt;&gt;"T",ISNUMBER(FIND("V",I179))),1,0),NA())+IF(H179="Y",IF(AND(N179="P",ISNUMBER(FIND("Z",I179))),2,1),0)+IF(J179="Y",1,0)+IF(K179="Y",3,0)+IF(BE179="Lore",L179*2+Experience!$D$25,0)+IF(M179="Y",1,0)</f>
        <v>#N/A</v>
      </c>
      <c r="X179" s="1099"/>
      <c r="Y179" s="1100">
        <f ca="1">IF(P179="NS",IFERROR(INDIRECT(S179),NA()),VLOOKUP(INDIRECT(P179)+INDIRECT(S179),'System Lookups'!$A$3:$D$146,2))</f>
        <v>0.2</v>
      </c>
      <c r="Z179" s="1100">
        <f t="shared" si="185"/>
        <v>0</v>
      </c>
      <c r="AA179" s="1101">
        <f t="shared" ca="1" si="200"/>
        <v>0.2</v>
      </c>
      <c r="AB179" s="1102">
        <f>VLOOKUP(V179,'System Lookups'!$J$55:$P$64,3)</f>
        <v>0.2</v>
      </c>
      <c r="AC179" s="1103">
        <f>VLOOKUP(V179,'System Lookups'!$J$55:$P$64,4)</f>
        <v>0.3</v>
      </c>
      <c r="AD179" s="1104">
        <f t="shared" ca="1" si="186"/>
        <v>0.4</v>
      </c>
      <c r="AE179" s="1094">
        <f ca="1">(IF(AD179&gt;VLOOKUP(V179,'System Lookups'!$J$55:$P$63,6),(((AD179-VLOOKUP(V179,'System Lookups'!$J$55:$P$63,6))*100)/20),0))+AF179</f>
        <v>0</v>
      </c>
      <c r="AF179" s="1121"/>
      <c r="AG179" s="1092">
        <f t="shared" si="187"/>
        <v>0</v>
      </c>
      <c r="AH179" s="1092" t="str">
        <f>IF(X179&lt;=Experience!$R$15+1,"","*")</f>
        <v/>
      </c>
      <c r="AI179" s="1092"/>
      <c r="AJ179" s="1080">
        <f t="shared" si="188"/>
        <v>0</v>
      </c>
      <c r="AK179" s="1080">
        <f t="shared" si="201"/>
        <v>0</v>
      </c>
      <c r="AL179" s="1080">
        <f t="shared" si="190"/>
        <v>0</v>
      </c>
      <c r="AM179" s="1092">
        <f t="shared" si="202"/>
        <v>0</v>
      </c>
      <c r="AN179" s="1080">
        <f t="shared" si="203"/>
        <v>0</v>
      </c>
      <c r="AO179" s="1080">
        <f t="shared" si="193"/>
        <v>0</v>
      </c>
      <c r="AP179" s="1080">
        <f t="shared" si="194"/>
        <v>0</v>
      </c>
      <c r="AQ179" s="1027">
        <f>VLOOKUP(V179,'System Lookups'!$J$55:$P$64,7)</f>
        <v>600</v>
      </c>
      <c r="AR179" s="1080" t="str">
        <f ca="1">IF(AND(NOT(ISBLANK(AJ179)),ISNA(MATCH(ROW(),'System Lookups'!$C$526:$C$539,0))),"Y","N")</f>
        <v>Y</v>
      </c>
      <c r="AS179" s="1080">
        <f t="shared" si="195"/>
        <v>0</v>
      </c>
      <c r="AU179" s="1080" t="e">
        <f t="shared" si="148"/>
        <v>#N/A</v>
      </c>
      <c r="AV179" s="1080" t="str">
        <f t="shared" si="145"/>
        <v>S</v>
      </c>
      <c r="AW179" s="1080">
        <f t="shared" si="151"/>
        <v>0</v>
      </c>
      <c r="AX179" s="1080">
        <f t="shared" si="152"/>
        <v>0</v>
      </c>
      <c r="AY179" s="1080">
        <f t="shared" si="153"/>
        <v>0</v>
      </c>
      <c r="AZ179" s="1080">
        <f t="shared" si="154"/>
        <v>0</v>
      </c>
      <c r="BA179" s="1080">
        <f t="shared" si="150"/>
        <v>0</v>
      </c>
      <c r="BB179" s="1080">
        <f>IF(AND(RACE=1,'Main Creation Page'!$E$6="Well",OR(ISNUMBER(FIND(Experience!$G$11,BE179)),ISNUMBER(FIND(Experience!$G$11,BF179)),ISNUMBER(FIND(Experience!$I$11,BE179)),ISNUMBER(FIND(Experience!$I$11,BF179)))),1,0)</f>
        <v>0</v>
      </c>
      <c r="BC179" s="1080" t="str">
        <f t="shared" si="179"/>
        <v>Maces, Hammers &amp; Clubs</v>
      </c>
      <c r="BE179" s="1080" t="str">
        <f t="shared" si="146"/>
        <v/>
      </c>
      <c r="BF179" s="1080" t="str">
        <f t="shared" si="147"/>
        <v>Combat Skills</v>
      </c>
    </row>
    <row r="180" spans="1:58" ht="10.5" customHeight="1" outlineLevel="1">
      <c r="A180" s="1123" t="s">
        <v>5639</v>
      </c>
      <c r="B180" s="1094"/>
      <c r="C180" s="1094" t="s">
        <v>4629</v>
      </c>
      <c r="D180" s="1094" t="s">
        <v>3251</v>
      </c>
      <c r="E180" s="1095" t="s">
        <v>5224</v>
      </c>
      <c r="F180" s="1095" t="s">
        <v>5224</v>
      </c>
      <c r="G180" s="1096">
        <v>0</v>
      </c>
      <c r="H180" s="1096" t="s">
        <v>5224</v>
      </c>
      <c r="I180" s="1096" t="s">
        <v>5224</v>
      </c>
      <c r="J180" s="1096" t="s">
        <v>5224</v>
      </c>
      <c r="K180" s="1096" t="s">
        <v>5224</v>
      </c>
      <c r="L180" s="1096" t="s">
        <v>5224</v>
      </c>
      <c r="M180" s="1096" t="s">
        <v>5224</v>
      </c>
      <c r="N180" s="1096" t="s">
        <v>4630</v>
      </c>
      <c r="O180" s="1097"/>
      <c r="P180" s="1097" t="s">
        <v>780</v>
      </c>
      <c r="Q180" s="1097">
        <f t="shared" ca="1" si="208"/>
        <v>17</v>
      </c>
      <c r="R180" s="1097"/>
      <c r="S180" s="1028" t="s">
        <v>3616</v>
      </c>
      <c r="T180" s="1097">
        <f t="shared" ca="1" si="209"/>
        <v>17</v>
      </c>
      <c r="U180" s="1027">
        <v>4</v>
      </c>
      <c r="V180" s="1027">
        <f t="shared" si="198"/>
        <v>4</v>
      </c>
      <c r="W180" s="1098" t="e">
        <f>IF(OR(I180&lt;&gt;"N",E180="C"),IF(AND(N180&lt;&gt;"T",ISNUMBER(FIND("V",I180))),1,0),NA())+IF(H180="Y",IF(AND(N180="P",ISNUMBER(FIND("Z",I180))),2,1),0)+IF(J180="Y",1,0)+IF(K180="Y",3,0)+IF(BE180="Lore",L180*2+Experience!$D$25,0)+IF(M180="Y",1,0)</f>
        <v>#N/A</v>
      </c>
      <c r="X180" s="1099"/>
      <c r="Y180" s="1100">
        <f ca="1">IF(P180="NS",IFERROR(INDIRECT(S180),NA()),VLOOKUP(INDIRECT(P180)+INDIRECT(S180),'System Lookups'!$A$3:$D$146,2))</f>
        <v>0.1</v>
      </c>
      <c r="Z180" s="1100">
        <f t="shared" si="185"/>
        <v>0</v>
      </c>
      <c r="AA180" s="1101">
        <f t="shared" ca="1" si="200"/>
        <v>0.1</v>
      </c>
      <c r="AB180" s="1102">
        <f>VLOOKUP(V180,'System Lookups'!$J$55:$P$64,3)</f>
        <v>0.2</v>
      </c>
      <c r="AC180" s="1103">
        <f>VLOOKUP(V180,'System Lookups'!$J$55:$P$64,4)</f>
        <v>0.3</v>
      </c>
      <c r="AD180" s="1104">
        <f t="shared" ca="1" si="186"/>
        <v>0.30000000000000004</v>
      </c>
      <c r="AE180" s="1094">
        <f ca="1">(IF(AD180&gt;VLOOKUP(V180,'System Lookups'!$J$55:$P$63,6),(((AD180-VLOOKUP(V180,'System Lookups'!$J$55:$P$63,6))*100)/20),0))+AF180</f>
        <v>0</v>
      </c>
      <c r="AF180" s="1121"/>
      <c r="AG180" s="1092">
        <f t="shared" si="187"/>
        <v>0</v>
      </c>
      <c r="AH180" s="1092" t="str">
        <f>IF(X180&lt;=Experience!$R$15+1,"","*")</f>
        <v/>
      </c>
      <c r="AI180" s="1092"/>
      <c r="AJ180" s="1080">
        <f t="shared" si="188"/>
        <v>0</v>
      </c>
      <c r="AK180" s="1080">
        <f t="shared" si="201"/>
        <v>0</v>
      </c>
      <c r="AL180" s="1080">
        <f t="shared" si="190"/>
        <v>0</v>
      </c>
      <c r="AM180" s="1092">
        <f t="shared" si="202"/>
        <v>0</v>
      </c>
      <c r="AN180" s="1080">
        <f t="shared" si="203"/>
        <v>0</v>
      </c>
      <c r="AO180" s="1080">
        <f t="shared" si="193"/>
        <v>0</v>
      </c>
      <c r="AP180" s="1080">
        <f t="shared" si="194"/>
        <v>0</v>
      </c>
      <c r="AQ180" s="1027">
        <f>VLOOKUP(V180,'System Lookups'!$J$55:$P$64,7)</f>
        <v>600</v>
      </c>
      <c r="AR180" s="1080" t="str">
        <f ca="1">IF(AND(NOT(ISBLANK(AJ180)),ISNA(MATCH(ROW(),'System Lookups'!$C$526:$C$539,0))),"Y","N")</f>
        <v>Y</v>
      </c>
      <c r="AS180" s="1080">
        <f t="shared" si="195"/>
        <v>0</v>
      </c>
      <c r="AU180" s="1080" t="e">
        <f t="shared" si="148"/>
        <v>#N/A</v>
      </c>
      <c r="AV180" s="1080" t="str">
        <f t="shared" si="145"/>
        <v>S</v>
      </c>
      <c r="AW180" s="1080">
        <f t="shared" si="151"/>
        <v>0</v>
      </c>
      <c r="AX180" s="1080">
        <f t="shared" si="152"/>
        <v>0</v>
      </c>
      <c r="AY180" s="1080">
        <f t="shared" si="153"/>
        <v>0</v>
      </c>
      <c r="AZ180" s="1080">
        <f t="shared" si="154"/>
        <v>0</v>
      </c>
      <c r="BA180" s="1080">
        <f t="shared" si="150"/>
        <v>0</v>
      </c>
      <c r="BB180" s="1080">
        <f>IF(AND(RACE=1,'Main Creation Page'!$E$6="Well",OR(ISNUMBER(FIND(Experience!$G$11,BE180)),ISNUMBER(FIND(Experience!$G$11,BF180)),ISNUMBER(FIND(Experience!$I$11,BE180)),ISNUMBER(FIND(Experience!$I$11,BF180)))),1,0)</f>
        <v>0</v>
      </c>
      <c r="BC180" s="1080" t="str">
        <f t="shared" si="179"/>
        <v>Military Communications</v>
      </c>
      <c r="BE180" s="1080" t="str">
        <f t="shared" si="146"/>
        <v/>
      </c>
      <c r="BF180" s="1080" t="str">
        <f t="shared" si="147"/>
        <v>Combat Skills</v>
      </c>
    </row>
    <row r="181" spans="1:58" ht="10.5" customHeight="1" outlineLevel="1">
      <c r="A181" s="1123" t="s">
        <v>5572</v>
      </c>
      <c r="B181" s="1094"/>
      <c r="C181" s="1094" t="s">
        <v>4629</v>
      </c>
      <c r="D181" s="1094" t="s">
        <v>4626</v>
      </c>
      <c r="E181" s="1095" t="s">
        <v>5224</v>
      </c>
      <c r="F181" s="1095" t="s">
        <v>5224</v>
      </c>
      <c r="G181" s="1096">
        <v>0</v>
      </c>
      <c r="H181" s="1096" t="s">
        <v>5224</v>
      </c>
      <c r="I181" s="1096" t="s">
        <v>5224</v>
      </c>
      <c r="J181" s="1096" t="s">
        <v>5224</v>
      </c>
      <c r="K181" s="1096" t="s">
        <v>5224</v>
      </c>
      <c r="L181" s="1096" t="s">
        <v>5224</v>
      </c>
      <c r="M181" s="1096" t="s">
        <v>5224</v>
      </c>
      <c r="N181" s="1096" t="s">
        <v>4630</v>
      </c>
      <c r="O181" s="1097"/>
      <c r="P181" s="1097" t="s">
        <v>780</v>
      </c>
      <c r="Q181" s="1097">
        <f t="shared" ca="1" si="208"/>
        <v>17</v>
      </c>
      <c r="R181" s="1097"/>
      <c r="S181" s="1028" t="s">
        <v>3616</v>
      </c>
      <c r="T181" s="1097">
        <f t="shared" ca="1" si="209"/>
        <v>17</v>
      </c>
      <c r="U181" s="1027">
        <v>4</v>
      </c>
      <c r="V181" s="1027">
        <f t="shared" si="198"/>
        <v>4</v>
      </c>
      <c r="W181" s="1098" t="e">
        <f>IF(OR(I181&lt;&gt;"N",E181="C"),IF(AND(N181&lt;&gt;"T",ISNUMBER(FIND("V",I181))),1,0),NA())+IF(H181="Y",IF(AND(N181="P",ISNUMBER(FIND("Z",I181))),2,1),0)+IF(J181="Y",1,0)+IF(K181="Y",3,0)+IF(BE181="Lore",L181*2+Experience!$D$25,0)+IF(M181="Y",1,0)</f>
        <v>#N/A</v>
      </c>
      <c r="X181" s="1099"/>
      <c r="Y181" s="1100">
        <f ca="1">IF(P181="NS",IFERROR(INDIRECT(S181),NA()),VLOOKUP(INDIRECT(P181)+INDIRECT(S181),'System Lookups'!$A$3:$D$146,2))</f>
        <v>0.1</v>
      </c>
      <c r="Z181" s="1100">
        <f t="shared" si="185"/>
        <v>0</v>
      </c>
      <c r="AA181" s="1101">
        <f t="shared" ca="1" si="200"/>
        <v>0.1</v>
      </c>
      <c r="AB181" s="1102">
        <f>VLOOKUP(V181,'System Lookups'!$J$55:$P$64,3)</f>
        <v>0.2</v>
      </c>
      <c r="AC181" s="1103">
        <f>VLOOKUP(V181,'System Lookups'!$J$55:$P$64,4)</f>
        <v>0.3</v>
      </c>
      <c r="AD181" s="1104">
        <f t="shared" ca="1" si="186"/>
        <v>0.30000000000000004</v>
      </c>
      <c r="AE181" s="1094">
        <f ca="1">(IF(AD181&gt;VLOOKUP(V181,'System Lookups'!$J$55:$P$63,6),(((AD181-VLOOKUP(V181,'System Lookups'!$J$55:$P$63,6))*100)/20),0))+AF181</f>
        <v>0</v>
      </c>
      <c r="AF181" s="1121"/>
      <c r="AG181" s="1092">
        <f t="shared" si="187"/>
        <v>0</v>
      </c>
      <c r="AH181" s="1092" t="str">
        <f>IF(X181&lt;=Experience!$R$15+1,"","*")</f>
        <v/>
      </c>
      <c r="AI181" s="1092"/>
      <c r="AJ181" s="1080">
        <f t="shared" si="188"/>
        <v>0</v>
      </c>
      <c r="AK181" s="1080">
        <f t="shared" si="201"/>
        <v>0</v>
      </c>
      <c r="AL181" s="1080">
        <f t="shared" si="190"/>
        <v>0</v>
      </c>
      <c r="AM181" s="1092">
        <f t="shared" si="202"/>
        <v>0</v>
      </c>
      <c r="AN181" s="1080">
        <f t="shared" si="203"/>
        <v>0</v>
      </c>
      <c r="AO181" s="1080">
        <f t="shared" si="193"/>
        <v>0</v>
      </c>
      <c r="AP181" s="1080">
        <f t="shared" si="194"/>
        <v>0</v>
      </c>
      <c r="AQ181" s="1027">
        <f>VLOOKUP(V181,'System Lookups'!$J$55:$P$64,7)</f>
        <v>600</v>
      </c>
      <c r="AR181" s="1080" t="str">
        <f ca="1">IF(AND(NOT(ISBLANK(AJ181)),ISNA(MATCH(ROW(),'System Lookups'!$C$526:$C$539,0))),"Y","N")</f>
        <v>Y</v>
      </c>
      <c r="AS181" s="1080">
        <f t="shared" si="195"/>
        <v>0</v>
      </c>
      <c r="AU181" s="1080" t="e">
        <f t="shared" si="148"/>
        <v>#N/A</v>
      </c>
      <c r="AV181" s="1080" t="str">
        <f t="shared" si="145"/>
        <v>S</v>
      </c>
      <c r="AW181" s="1080">
        <f t="shared" si="151"/>
        <v>0</v>
      </c>
      <c r="AX181" s="1080">
        <f t="shared" si="152"/>
        <v>0</v>
      </c>
      <c r="AY181" s="1080">
        <f t="shared" si="153"/>
        <v>0</v>
      </c>
      <c r="AZ181" s="1080">
        <f t="shared" si="154"/>
        <v>0</v>
      </c>
      <c r="BA181" s="1080">
        <f t="shared" si="150"/>
        <v>0</v>
      </c>
      <c r="BB181" s="1080">
        <f>IF(AND(RACE=1,'Main Creation Page'!$E$6="Well",OR(ISNUMBER(FIND(Experience!$G$11,BE181)),ISNUMBER(FIND(Experience!$G$11,BF181)),ISNUMBER(FIND(Experience!$I$11,BE181)),ISNUMBER(FIND(Experience!$I$11,BF181)))),1,0)</f>
        <v>0</v>
      </c>
      <c r="BC181" s="1080" t="str">
        <f t="shared" si="179"/>
        <v>Military Science</v>
      </c>
      <c r="BE181" s="1080" t="str">
        <f t="shared" si="146"/>
        <v/>
      </c>
      <c r="BF181" s="1080" t="str">
        <f t="shared" si="147"/>
        <v>Combat Skills</v>
      </c>
    </row>
    <row r="182" spans="1:58" ht="10.5" customHeight="1" outlineLevel="1">
      <c r="A182" s="1117" t="s">
        <v>1469</v>
      </c>
      <c r="B182" s="1094"/>
      <c r="C182" s="1094"/>
      <c r="D182" s="1094" t="s">
        <v>4626</v>
      </c>
      <c r="E182" s="1095" t="s">
        <v>5224</v>
      </c>
      <c r="F182" s="1095" t="s">
        <v>5224</v>
      </c>
      <c r="G182" s="1096">
        <v>0</v>
      </c>
      <c r="H182" s="1096" t="s">
        <v>5224</v>
      </c>
      <c r="I182" s="1096" t="s">
        <v>4623</v>
      </c>
      <c r="J182" s="1096" t="s">
        <v>5224</v>
      </c>
      <c r="K182" s="1096" t="s">
        <v>5224</v>
      </c>
      <c r="L182" s="1096" t="s">
        <v>5224</v>
      </c>
      <c r="M182" s="1096" t="s">
        <v>5224</v>
      </c>
      <c r="N182" s="1096" t="s">
        <v>4627</v>
      </c>
      <c r="O182" s="1028"/>
      <c r="P182" s="1028" t="s">
        <v>3611</v>
      </c>
      <c r="Q182" s="1097">
        <f t="shared" ca="1" si="208"/>
        <v>15</v>
      </c>
      <c r="R182" s="1097"/>
      <c r="S182" s="1028" t="s">
        <v>3611</v>
      </c>
      <c r="T182" s="1097">
        <f t="shared" ca="1" si="209"/>
        <v>15</v>
      </c>
      <c r="U182" s="1027">
        <v>5</v>
      </c>
      <c r="V182" s="1027">
        <f t="shared" si="198"/>
        <v>4</v>
      </c>
      <c r="W182" s="1098">
        <f>IF(OR(I182&lt;&gt;"N",E182="C"),IF(AND(N182&lt;&gt;"T",ISNUMBER(FIND("V",I182))),1,0),NA())+IF(H182="Y",IF(AND(N182="P",ISNUMBER(FIND("Z",I182))),2,1),0)+IF(J182="Y",1,0)+IF(K182="Y",3,0)+IF(BE182="Lore",L182*2+Experience!$D$25,0)+IF(M182="Y",1,0)</f>
        <v>0</v>
      </c>
      <c r="X182" s="1099"/>
      <c r="Y182" s="1100">
        <f ca="1">IF(P182="NS",IFERROR(INDIRECT(S182),NA()),VLOOKUP(INDIRECT(P182)+INDIRECT(S182),'System Lookups'!$A$3:$D$146,2))</f>
        <v>0.06</v>
      </c>
      <c r="Z182" s="1100">
        <f t="shared" si="185"/>
        <v>0</v>
      </c>
      <c r="AA182" s="1101">
        <f t="shared" ca="1" si="200"/>
        <v>0.06</v>
      </c>
      <c r="AB182" s="1102">
        <f>VLOOKUP(V182,'System Lookups'!$J$55:$P$64,3)</f>
        <v>0.2</v>
      </c>
      <c r="AC182" s="1103">
        <f>VLOOKUP(V182,'System Lookups'!$J$55:$P$64,4)</f>
        <v>0.3</v>
      </c>
      <c r="AD182" s="1104">
        <f t="shared" ca="1" si="186"/>
        <v>0.36</v>
      </c>
      <c r="AE182" s="1094">
        <f ca="1">(IF(AD182&gt;VLOOKUP(V182,'System Lookups'!$J$55:$P$63,6),(((AD182-VLOOKUP(V182,'System Lookups'!$J$55:$P$63,6))*100)/20),0))+AF182</f>
        <v>0</v>
      </c>
      <c r="AF182" s="1121"/>
      <c r="AG182" s="1092">
        <f t="shared" si="187"/>
        <v>0</v>
      </c>
      <c r="AH182" s="1092" t="str">
        <f>IF(X182&lt;=Experience!$R$15+1,"","*")</f>
        <v/>
      </c>
      <c r="AI182" s="1092"/>
      <c r="AJ182" s="1080">
        <f t="shared" si="188"/>
        <v>0</v>
      </c>
      <c r="AK182" s="1080">
        <f t="shared" si="201"/>
        <v>0</v>
      </c>
      <c r="AL182" s="1080">
        <f t="shared" si="190"/>
        <v>0</v>
      </c>
      <c r="AM182" s="1092">
        <f t="shared" si="202"/>
        <v>0</v>
      </c>
      <c r="AN182" s="1080">
        <f t="shared" si="203"/>
        <v>-1</v>
      </c>
      <c r="AO182" s="1080">
        <f t="shared" si="193"/>
        <v>0</v>
      </c>
      <c r="AP182" s="1080">
        <f t="shared" si="194"/>
        <v>-1</v>
      </c>
      <c r="AQ182" s="1027">
        <f>VLOOKUP(V182,'System Lookups'!$J$55:$P$64,7)</f>
        <v>600</v>
      </c>
      <c r="AR182" s="1080" t="str">
        <f ca="1">IF(AND(NOT(ISBLANK(AJ182)),ISNA(MATCH(ROW(),'System Lookups'!$C$526:$C$539,0))),"Y","N")</f>
        <v>Y</v>
      </c>
      <c r="AS182" s="1080">
        <f t="shared" si="195"/>
        <v>0</v>
      </c>
      <c r="AU182" s="1080">
        <f t="shared" si="148"/>
        <v>0</v>
      </c>
      <c r="AV182" s="1080" t="str">
        <f t="shared" si="145"/>
        <v>PBk</v>
      </c>
      <c r="AW182" s="1080">
        <f t="shared" si="151"/>
        <v>1</v>
      </c>
      <c r="AX182" s="1080">
        <f t="shared" si="152"/>
        <v>0</v>
      </c>
      <c r="AY182" s="1080">
        <f t="shared" si="153"/>
        <v>0</v>
      </c>
      <c r="AZ182" s="1080">
        <f t="shared" si="154"/>
        <v>0</v>
      </c>
      <c r="BA182" s="1080">
        <f t="shared" si="150"/>
        <v>1</v>
      </c>
      <c r="BB182" s="1080">
        <f>IF(AND(RACE=1,'Main Creation Page'!$E$6="Well",OR(ISNUMBER(FIND(Experience!$G$11,BE182)),ISNUMBER(FIND(Experience!$G$11,BF182)),ISNUMBER(FIND(Experience!$I$11,BE182)),ISNUMBER(FIND(Experience!$I$11,BF182)))),1,0)</f>
        <v>0</v>
      </c>
      <c r="BC182" s="1080" t="str">
        <f t="shared" si="179"/>
        <v xml:space="preserve">Mounted Combat </v>
      </c>
      <c r="BE182" s="1080" t="str">
        <f t="shared" si="146"/>
        <v/>
      </c>
      <c r="BF182" s="1080" t="str">
        <f t="shared" si="147"/>
        <v>Combat Skills</v>
      </c>
    </row>
    <row r="183" spans="1:58" ht="10.5" customHeight="1" outlineLevel="1">
      <c r="A183" s="1123" t="s">
        <v>3426</v>
      </c>
      <c r="B183" s="1094"/>
      <c r="C183" s="1094" t="s">
        <v>4629</v>
      </c>
      <c r="D183" s="1094" t="s">
        <v>3251</v>
      </c>
      <c r="E183" s="1095" t="s">
        <v>5224</v>
      </c>
      <c r="F183" s="1095" t="s">
        <v>5224</v>
      </c>
      <c r="G183" s="1096">
        <v>0</v>
      </c>
      <c r="H183" s="1096" t="s">
        <v>5224</v>
      </c>
      <c r="I183" s="1096" t="s">
        <v>5224</v>
      </c>
      <c r="J183" s="1096" t="s">
        <v>5224</v>
      </c>
      <c r="K183" s="1096" t="s">
        <v>5224</v>
      </c>
      <c r="L183" s="1096" t="s">
        <v>5224</v>
      </c>
      <c r="M183" s="1096" t="s">
        <v>5224</v>
      </c>
      <c r="N183" s="1096" t="s">
        <v>4630</v>
      </c>
      <c r="O183" s="1028"/>
      <c r="P183" s="1028" t="s">
        <v>3616</v>
      </c>
      <c r="Q183" s="1097">
        <f t="shared" ca="1" si="208"/>
        <v>17</v>
      </c>
      <c r="R183" s="1028"/>
      <c r="S183" s="1028" t="s">
        <v>3611</v>
      </c>
      <c r="T183" s="1097">
        <f t="shared" ca="1" si="209"/>
        <v>15</v>
      </c>
      <c r="U183" s="1027">
        <v>3</v>
      </c>
      <c r="V183" s="1027">
        <f t="shared" si="198"/>
        <v>3</v>
      </c>
      <c r="W183" s="1098" t="e">
        <f>IF(OR(I183&lt;&gt;"N",E183="C"),IF(AND(N183&lt;&gt;"T",ISNUMBER(FIND("V",I183))),1,0),NA())+IF(H183="Y",IF(AND(N183="P",ISNUMBER(FIND("Z",I183))),2,1),0)+IF(J183="Y",1,0)+IF(K183="Y",3,0)+IF(BE183="Lore",L183*2+Experience!$D$25,0)+IF(M183="Y",1,0)</f>
        <v>#N/A</v>
      </c>
      <c r="X183" s="1099"/>
      <c r="Y183" s="1100">
        <f ca="1">IF(P183="NS",IFERROR(INDIRECT(S183),NA()),VLOOKUP(INDIRECT(P183)+INDIRECT(S183),'System Lookups'!$A$3:$D$146,2))</f>
        <v>0.08</v>
      </c>
      <c r="Z183" s="1100">
        <f t="shared" si="185"/>
        <v>0</v>
      </c>
      <c r="AA183" s="1101">
        <f t="shared" ca="1" si="200"/>
        <v>0.08</v>
      </c>
      <c r="AB183" s="1102">
        <f>VLOOKUP(V183,'System Lookups'!$J$55:$P$64,3)</f>
        <v>0.3</v>
      </c>
      <c r="AC183" s="1103">
        <f>VLOOKUP(V183,'System Lookups'!$J$55:$P$64,4)</f>
        <v>0.4</v>
      </c>
      <c r="AD183" s="1104">
        <f t="shared" ca="1" si="186"/>
        <v>0.38</v>
      </c>
      <c r="AE183" s="1094">
        <f ca="1">(IF(AD183&gt;VLOOKUP(V183,'System Lookups'!$J$55:$P$63,6),(((AD183-VLOOKUP(V183,'System Lookups'!$J$55:$P$63,6))*100)/20),0))+AF183</f>
        <v>0</v>
      </c>
      <c r="AF183" s="1121"/>
      <c r="AG183" s="1092">
        <f t="shared" si="187"/>
        <v>0</v>
      </c>
      <c r="AH183" s="1092" t="str">
        <f>IF(X183&lt;=Experience!$R$15+1,"","*")</f>
        <v/>
      </c>
      <c r="AI183" s="1092"/>
      <c r="AJ183" s="1080">
        <f t="shared" si="188"/>
        <v>0</v>
      </c>
      <c r="AK183" s="1080">
        <f t="shared" si="201"/>
        <v>0</v>
      </c>
      <c r="AL183" s="1080">
        <f t="shared" si="190"/>
        <v>0</v>
      </c>
      <c r="AM183" s="1092">
        <f t="shared" si="202"/>
        <v>0</v>
      </c>
      <c r="AN183" s="1080">
        <f t="shared" si="203"/>
        <v>0</v>
      </c>
      <c r="AO183" s="1080">
        <f t="shared" si="193"/>
        <v>0</v>
      </c>
      <c r="AP183" s="1080">
        <f t="shared" si="194"/>
        <v>0</v>
      </c>
      <c r="AQ183" s="1027">
        <f>VLOOKUP(V183,'System Lookups'!$J$55:$P$64,7)</f>
        <v>500</v>
      </c>
      <c r="AR183" s="1080" t="str">
        <f ca="1">IF(AND(NOT(ISBLANK(AJ183)),ISNA(MATCH(ROW(),'System Lookups'!$C$526:$C$539,0))),"Y","N")</f>
        <v>Y</v>
      </c>
      <c r="AS183" s="1080">
        <f t="shared" si="195"/>
        <v>0</v>
      </c>
      <c r="AU183" s="1080" t="e">
        <f t="shared" si="148"/>
        <v>#N/A</v>
      </c>
      <c r="AV183" s="1080" t="str">
        <f t="shared" si="145"/>
        <v>S</v>
      </c>
      <c r="AW183" s="1080">
        <f t="shared" si="151"/>
        <v>0</v>
      </c>
      <c r="AX183" s="1080">
        <f t="shared" si="152"/>
        <v>0</v>
      </c>
      <c r="AY183" s="1080">
        <f t="shared" si="153"/>
        <v>0</v>
      </c>
      <c r="AZ183" s="1080">
        <f t="shared" si="154"/>
        <v>0</v>
      </c>
      <c r="BA183" s="1080">
        <f t="shared" si="150"/>
        <v>0</v>
      </c>
      <c r="BB183" s="1080">
        <f>IF(AND(RACE=1,'Main Creation Page'!$E$6="Well",OR(ISNUMBER(FIND(Experience!$G$11,BE183)),ISNUMBER(FIND(Experience!$G$11,BF183)),ISNUMBER(FIND(Experience!$I$11,BE183)),ISNUMBER(FIND(Experience!$I$11,BF183)))),1,0)</f>
        <v>0</v>
      </c>
      <c r="BC183" s="1080" t="str">
        <f t="shared" si="179"/>
        <v>Net</v>
      </c>
      <c r="BE183" s="1080" t="str">
        <f t="shared" si="146"/>
        <v/>
      </c>
      <c r="BF183" s="1080" t="str">
        <f t="shared" si="147"/>
        <v>Combat Skills</v>
      </c>
    </row>
    <row r="184" spans="1:58" ht="10.5" customHeight="1" outlineLevel="1">
      <c r="A184" s="1123" t="s">
        <v>273</v>
      </c>
      <c r="B184" s="1094"/>
      <c r="C184" s="1094" t="s">
        <v>4629</v>
      </c>
      <c r="D184" s="1094" t="s">
        <v>3251</v>
      </c>
      <c r="E184" s="1095" t="s">
        <v>5224</v>
      </c>
      <c r="F184" s="1095" t="s">
        <v>5224</v>
      </c>
      <c r="G184" s="1096">
        <v>0</v>
      </c>
      <c r="H184" s="1096" t="s">
        <v>5224</v>
      </c>
      <c r="I184" s="1096" t="s">
        <v>5224</v>
      </c>
      <c r="J184" s="1096" t="s">
        <v>5224</v>
      </c>
      <c r="K184" s="1096" t="s">
        <v>5224</v>
      </c>
      <c r="L184" s="1096" t="s">
        <v>5224</v>
      </c>
      <c r="M184" s="1096" t="s">
        <v>5224</v>
      </c>
      <c r="N184" s="1096" t="s">
        <v>4630</v>
      </c>
      <c r="O184" s="1028"/>
      <c r="P184" s="1028" t="s">
        <v>3615</v>
      </c>
      <c r="Q184" s="1097">
        <f t="shared" ca="1" si="208"/>
        <v>20</v>
      </c>
      <c r="R184" s="1097"/>
      <c r="S184" s="1028" t="s">
        <v>3611</v>
      </c>
      <c r="T184" s="1097">
        <f t="shared" ca="1" si="209"/>
        <v>15</v>
      </c>
      <c r="U184" s="1027">
        <v>4</v>
      </c>
      <c r="V184" s="1027">
        <f t="shared" si="198"/>
        <v>4</v>
      </c>
      <c r="W184" s="1098" t="e">
        <f>IF(OR(I184&lt;&gt;"N",E184="C"),IF(AND(N184&lt;&gt;"T",ISNUMBER(FIND("V",I184))),1,0),NA())+IF(H184="Y",IF(AND(N184="P",ISNUMBER(FIND("Z",I184))),2,1),0)+IF(J184="Y",1,0)+IF(K184="Y",3,0)+IF(BE184="Lore",L184*2+Experience!$D$25,0)+IF(M184="Y",1,0)</f>
        <v>#N/A</v>
      </c>
      <c r="X184" s="1099"/>
      <c r="Y184" s="1100">
        <f ca="1">IF(P184="NS",IFERROR(INDIRECT(S184),NA()),VLOOKUP(INDIRECT(P184)+INDIRECT(S184),'System Lookups'!$A$3:$D$146,2))</f>
        <v>0.12</v>
      </c>
      <c r="Z184" s="1100">
        <f t="shared" si="185"/>
        <v>0</v>
      </c>
      <c r="AA184" s="1101">
        <f t="shared" ca="1" si="200"/>
        <v>0.12</v>
      </c>
      <c r="AB184" s="1102">
        <f>VLOOKUP(V184,'System Lookups'!$J$55:$P$64,3)</f>
        <v>0.2</v>
      </c>
      <c r="AC184" s="1103">
        <f>VLOOKUP(V184,'System Lookups'!$J$55:$P$64,4)</f>
        <v>0.3</v>
      </c>
      <c r="AD184" s="1104">
        <f t="shared" ca="1" si="186"/>
        <v>0.32</v>
      </c>
      <c r="AE184" s="1094">
        <f ca="1">(IF(AD184&gt;VLOOKUP(V184,'System Lookups'!$J$55:$P$63,6),(((AD184-VLOOKUP(V184,'System Lookups'!$J$55:$P$63,6))*100)/20),0))+AF184</f>
        <v>0</v>
      </c>
      <c r="AF184" s="1121"/>
      <c r="AG184" s="1092">
        <f t="shared" si="187"/>
        <v>0</v>
      </c>
      <c r="AH184" s="1092" t="str">
        <f>IF(X184&lt;=Experience!$R$15+1,"","*")</f>
        <v/>
      </c>
      <c r="AI184" s="1092"/>
      <c r="AJ184" s="1080">
        <f t="shared" si="188"/>
        <v>0</v>
      </c>
      <c r="AK184" s="1080">
        <f t="shared" si="201"/>
        <v>0</v>
      </c>
      <c r="AL184" s="1080">
        <f t="shared" si="190"/>
        <v>0</v>
      </c>
      <c r="AM184" s="1092">
        <f t="shared" si="202"/>
        <v>0</v>
      </c>
      <c r="AN184" s="1080">
        <f t="shared" si="203"/>
        <v>0</v>
      </c>
      <c r="AO184" s="1080">
        <f t="shared" si="193"/>
        <v>0</v>
      </c>
      <c r="AP184" s="1080">
        <f t="shared" si="194"/>
        <v>0</v>
      </c>
      <c r="AQ184" s="1027">
        <f>VLOOKUP(V184,'System Lookups'!$J$55:$P$64,7)</f>
        <v>600</v>
      </c>
      <c r="AR184" s="1080" t="str">
        <f ca="1">IF(AND(NOT(ISBLANK(AJ184)),ISNA(MATCH(ROW(),'System Lookups'!$C$526:$C$539,0))),"Y","N")</f>
        <v>Y</v>
      </c>
      <c r="AS184" s="1080">
        <f t="shared" si="195"/>
        <v>0</v>
      </c>
      <c r="AU184" s="1080" t="e">
        <f t="shared" si="148"/>
        <v>#N/A</v>
      </c>
      <c r="AV184" s="1080" t="str">
        <f t="shared" si="145"/>
        <v>S</v>
      </c>
      <c r="AW184" s="1080">
        <f t="shared" si="151"/>
        <v>0</v>
      </c>
      <c r="AX184" s="1080">
        <f t="shared" si="152"/>
        <v>0</v>
      </c>
      <c r="AY184" s="1080">
        <f t="shared" si="153"/>
        <v>0</v>
      </c>
      <c r="AZ184" s="1080">
        <f t="shared" si="154"/>
        <v>0</v>
      </c>
      <c r="BA184" s="1080">
        <f t="shared" si="150"/>
        <v>0</v>
      </c>
      <c r="BB184" s="1080">
        <f>IF(AND(RACE=1,'Main Creation Page'!$E$6="Well",OR(ISNUMBER(FIND(Experience!$G$11,BE184)),ISNUMBER(FIND(Experience!$G$11,BF184)),ISNUMBER(FIND(Experience!$I$11,BE184)),ISNUMBER(FIND(Experience!$I$11,BF184)))),1,0)</f>
        <v>0</v>
      </c>
      <c r="BC184" s="1080" t="str">
        <f t="shared" si="179"/>
        <v>Open Hand Wrestling</v>
      </c>
      <c r="BE184" s="1080" t="str">
        <f t="shared" si="146"/>
        <v/>
      </c>
      <c r="BF184" s="1080" t="str">
        <f t="shared" si="147"/>
        <v>Combat Skills</v>
      </c>
    </row>
    <row r="185" spans="1:58" ht="10.5" customHeight="1" outlineLevel="1">
      <c r="A185" s="1117" t="s">
        <v>37</v>
      </c>
      <c r="B185" s="1094"/>
      <c r="C185" s="1094" t="s">
        <v>4629</v>
      </c>
      <c r="D185" s="1094"/>
      <c r="E185" s="1095" t="s">
        <v>5224</v>
      </c>
      <c r="F185" s="1095" t="s">
        <v>5224</v>
      </c>
      <c r="G185" s="1096">
        <v>0</v>
      </c>
      <c r="H185" s="1096" t="s">
        <v>5224</v>
      </c>
      <c r="I185" s="1096" t="s">
        <v>5224</v>
      </c>
      <c r="J185" s="1096" t="s">
        <v>5224</v>
      </c>
      <c r="K185" s="1096" t="s">
        <v>5224</v>
      </c>
      <c r="L185" s="1096" t="s">
        <v>5224</v>
      </c>
      <c r="M185" s="1096" t="s">
        <v>5224</v>
      </c>
      <c r="N185" s="1096" t="s">
        <v>4630</v>
      </c>
      <c r="O185" s="1028"/>
      <c r="P185" s="1028" t="s">
        <v>3615</v>
      </c>
      <c r="Q185" s="1097">
        <f t="shared" ca="1" si="208"/>
        <v>20</v>
      </c>
      <c r="R185" s="1097"/>
      <c r="S185" s="1028" t="s">
        <v>3613</v>
      </c>
      <c r="T185" s="1097">
        <f t="shared" ca="1" si="209"/>
        <v>15</v>
      </c>
      <c r="U185" s="1027">
        <v>6</v>
      </c>
      <c r="V185" s="1027">
        <f t="shared" si="198"/>
        <v>6</v>
      </c>
      <c r="W185" s="1098" t="e">
        <f>IF(OR(I185&lt;&gt;"N",E185="C"),IF(AND(N185&lt;&gt;"T",ISNUMBER(FIND("V",I185))),1,0),NA())+IF(H185="Y",IF(AND(N185="P",ISNUMBER(FIND("Z",I185))),2,1),0)+IF(J185="Y",1,0)+IF(K185="Y",3,0)+IF(BE185="Lore",L185*2+Experience!$D$25,0)+IF(M185="Y",1,0)</f>
        <v>#N/A</v>
      </c>
      <c r="X185" s="1099"/>
      <c r="Y185" s="1100">
        <f ca="1">IF(P185="NS",IFERROR(INDIRECT(S185),NA()),VLOOKUP(INDIRECT(P185)+INDIRECT(S185),'System Lookups'!$A$3:$D$146,2))</f>
        <v>0.12</v>
      </c>
      <c r="Z185" s="1100">
        <f t="shared" si="185"/>
        <v>0</v>
      </c>
      <c r="AA185" s="1101">
        <f t="shared" ca="1" si="200"/>
        <v>0.12</v>
      </c>
      <c r="AB185" s="1102">
        <f>VLOOKUP(V185,'System Lookups'!$J$55:$P$64,3)</f>
        <v>0.05</v>
      </c>
      <c r="AC185" s="1103">
        <f>VLOOKUP(V185,'System Lookups'!$J$55:$P$64,4)</f>
        <v>0.1</v>
      </c>
      <c r="AD185" s="1104">
        <f t="shared" ca="1" si="186"/>
        <v>0.16999999999999998</v>
      </c>
      <c r="AE185" s="1094">
        <f ca="1">(IF(AD185&gt;VLOOKUP(V185,'System Lookups'!$J$55:$P$63,6),(((AD185-VLOOKUP(V185,'System Lookups'!$J$55:$P$63,6))*100)/20),0))+AF185</f>
        <v>0</v>
      </c>
      <c r="AF185" s="1121"/>
      <c r="AG185" s="1092">
        <f t="shared" si="187"/>
        <v>0</v>
      </c>
      <c r="AH185" s="1092" t="str">
        <f>IF(X185&lt;=Experience!$R$15+1,"","*")</f>
        <v/>
      </c>
      <c r="AI185" s="1092"/>
      <c r="AJ185" s="1080">
        <f t="shared" si="188"/>
        <v>0</v>
      </c>
      <c r="AK185" s="1080">
        <f t="shared" si="201"/>
        <v>0</v>
      </c>
      <c r="AL185" s="1080">
        <f t="shared" si="190"/>
        <v>0</v>
      </c>
      <c r="AM185" s="1092">
        <f t="shared" si="202"/>
        <v>0</v>
      </c>
      <c r="AN185" s="1080">
        <f t="shared" si="203"/>
        <v>0</v>
      </c>
      <c r="AO185" s="1080">
        <f t="shared" si="193"/>
        <v>0</v>
      </c>
      <c r="AP185" s="1080">
        <f t="shared" si="194"/>
        <v>0</v>
      </c>
      <c r="AQ185" s="1027">
        <f>VLOOKUP(V185,'System Lookups'!$J$55:$P$64,7)</f>
        <v>800</v>
      </c>
      <c r="AR185" s="1080" t="str">
        <f ca="1">IF(AND(NOT(ISBLANK(AJ185)),ISNA(MATCH(ROW(),'System Lookups'!$C$526:$C$539,0))),"Y","N")</f>
        <v>Y</v>
      </c>
      <c r="AS185" s="1080">
        <f t="shared" si="195"/>
        <v>0</v>
      </c>
      <c r="AU185" s="1080" t="e">
        <f t="shared" si="148"/>
        <v>#N/A</v>
      </c>
      <c r="AV185" s="1080" t="str">
        <f t="shared" si="145"/>
        <v>S</v>
      </c>
      <c r="AW185" s="1080">
        <f t="shared" si="151"/>
        <v>0</v>
      </c>
      <c r="AX185" s="1080">
        <f t="shared" si="152"/>
        <v>0</v>
      </c>
      <c r="AY185" s="1080">
        <f t="shared" si="153"/>
        <v>0</v>
      </c>
      <c r="AZ185" s="1080">
        <f t="shared" si="154"/>
        <v>0</v>
      </c>
      <c r="BA185" s="1080">
        <f t="shared" si="150"/>
        <v>0</v>
      </c>
      <c r="BB185" s="1080">
        <f>IF(AND(RACE=1,'Main Creation Page'!$E$6="Well",OR(ISNUMBER(FIND(Experience!$G$11,BE185)),ISNUMBER(FIND(Experience!$G$11,BF185)),ISNUMBER(FIND(Experience!$I$11,BE185)),ISNUMBER(FIND(Experience!$I$11,BF185)))),1,0)</f>
        <v>0</v>
      </c>
      <c r="BC185" s="1080" t="str">
        <f t="shared" si="179"/>
        <v xml:space="preserve">Pole Arms </v>
      </c>
      <c r="BE185" s="1080" t="str">
        <f t="shared" si="146"/>
        <v/>
      </c>
      <c r="BF185" s="1080" t="str">
        <f t="shared" si="147"/>
        <v>Combat Skills</v>
      </c>
    </row>
    <row r="186" spans="1:58" ht="10.5" customHeight="1" outlineLevel="1">
      <c r="A186" s="1117" t="s">
        <v>2047</v>
      </c>
      <c r="B186" s="1094"/>
      <c r="C186" s="1094" t="s">
        <v>4629</v>
      </c>
      <c r="D186" s="1094" t="s">
        <v>4626</v>
      </c>
      <c r="E186" s="1095" t="s">
        <v>5224</v>
      </c>
      <c r="F186" s="1095" t="s">
        <v>5224</v>
      </c>
      <c r="G186" s="1096">
        <v>0</v>
      </c>
      <c r="H186" s="1096" t="s">
        <v>5224</v>
      </c>
      <c r="I186" s="1096" t="s">
        <v>4623</v>
      </c>
      <c r="J186" s="1096" t="s">
        <v>5224</v>
      </c>
      <c r="K186" s="1096" t="s">
        <v>5224</v>
      </c>
      <c r="L186" s="1096" t="s">
        <v>5224</v>
      </c>
      <c r="M186" s="1096" t="s">
        <v>5224</v>
      </c>
      <c r="N186" s="1096" t="s">
        <v>4627</v>
      </c>
      <c r="O186" s="1028"/>
      <c r="P186" s="1028" t="s">
        <v>3611</v>
      </c>
      <c r="Q186" s="1097">
        <f t="shared" ca="1" si="208"/>
        <v>15</v>
      </c>
      <c r="R186" s="1097"/>
      <c r="S186" s="1028" t="s">
        <v>3613</v>
      </c>
      <c r="T186" s="1097">
        <f t="shared" ca="1" si="209"/>
        <v>15</v>
      </c>
      <c r="U186" s="1027">
        <v>5</v>
      </c>
      <c r="V186" s="1027">
        <f t="shared" si="198"/>
        <v>4</v>
      </c>
      <c r="W186" s="1098">
        <f>IF(OR(I186&lt;&gt;"N",E186="C"),IF(AND(N186&lt;&gt;"T",ISNUMBER(FIND("V",I186))),1,0),NA())+IF(H186="Y",IF(AND(N186="P",ISNUMBER(FIND("Z",I186))),2,1),0)+IF(J186="Y",1,0)+IF(K186="Y",3,0)+IF(BE186="Lore",L186*2+Experience!$D$25,0)+IF(M186="Y",1,0)</f>
        <v>0</v>
      </c>
      <c r="X186" s="1099"/>
      <c r="Y186" s="1100">
        <f ca="1">IF(P186="NS",IFERROR(INDIRECT(S186),NA()),VLOOKUP(INDIRECT(P186)+INDIRECT(S186),'System Lookups'!$A$3:$D$146,2))</f>
        <v>0.06</v>
      </c>
      <c r="Z186" s="1100">
        <f t="shared" si="185"/>
        <v>0</v>
      </c>
      <c r="AA186" s="1101">
        <f t="shared" ca="1" si="200"/>
        <v>0.06</v>
      </c>
      <c r="AB186" s="1102">
        <f>VLOOKUP(V186,'System Lookups'!$J$55:$P$64,3)</f>
        <v>0.2</v>
      </c>
      <c r="AC186" s="1103">
        <f>VLOOKUP(V186,'System Lookups'!$J$55:$P$64,4)</f>
        <v>0.3</v>
      </c>
      <c r="AD186" s="1104">
        <f t="shared" ca="1" si="186"/>
        <v>0.36</v>
      </c>
      <c r="AE186" s="1094">
        <f ca="1">(IF(AD186&gt;VLOOKUP(V186,'System Lookups'!$J$55:$P$63,6),(((AD186-VLOOKUP(V186,'System Lookups'!$J$55:$P$63,6))*100)/20),0))+AF186</f>
        <v>0</v>
      </c>
      <c r="AF186" s="1121"/>
      <c r="AG186" s="1092">
        <f t="shared" si="187"/>
        <v>0</v>
      </c>
      <c r="AH186" s="1092" t="str">
        <f>IF(X186&lt;=Experience!$R$15+1,"","*")</f>
        <v/>
      </c>
      <c r="AI186" s="1092"/>
      <c r="AJ186" s="1080">
        <f t="shared" si="188"/>
        <v>0</v>
      </c>
      <c r="AK186" s="1080">
        <f t="shared" si="201"/>
        <v>0</v>
      </c>
      <c r="AL186" s="1080">
        <f t="shared" si="190"/>
        <v>0</v>
      </c>
      <c r="AM186" s="1092">
        <f t="shared" si="202"/>
        <v>0</v>
      </c>
      <c r="AN186" s="1080">
        <f t="shared" si="203"/>
        <v>-1</v>
      </c>
      <c r="AO186" s="1080">
        <f t="shared" si="193"/>
        <v>0</v>
      </c>
      <c r="AP186" s="1080">
        <f t="shared" si="194"/>
        <v>-1</v>
      </c>
      <c r="AQ186" s="1027">
        <f>VLOOKUP(V186,'System Lookups'!$J$55:$P$64,7)</f>
        <v>600</v>
      </c>
      <c r="AR186" s="1080" t="str">
        <f ca="1">IF(AND(NOT(ISBLANK(AJ186)),ISNA(MATCH(ROW(),'System Lookups'!$C$526:$C$539,0))),"Y","N")</f>
        <v>Y</v>
      </c>
      <c r="AS186" s="1080">
        <f t="shared" si="195"/>
        <v>0</v>
      </c>
      <c r="AU186" s="1080">
        <f t="shared" si="148"/>
        <v>0</v>
      </c>
      <c r="AV186" s="1080" t="str">
        <f t="shared" si="145"/>
        <v>PBk</v>
      </c>
      <c r="AW186" s="1080">
        <f t="shared" si="151"/>
        <v>1</v>
      </c>
      <c r="AX186" s="1080">
        <f t="shared" si="152"/>
        <v>0</v>
      </c>
      <c r="AY186" s="1080">
        <f t="shared" si="153"/>
        <v>0</v>
      </c>
      <c r="AZ186" s="1080">
        <f t="shared" si="154"/>
        <v>0</v>
      </c>
      <c r="BA186" s="1080">
        <f t="shared" si="150"/>
        <v>1</v>
      </c>
      <c r="BB186" s="1080">
        <f>IF(AND(RACE=1,'Main Creation Page'!$E$6="Well",OR(ISNUMBER(FIND(Experience!$G$11,BE186)),ISNUMBER(FIND(Experience!$G$11,BF186)),ISNUMBER(FIND(Experience!$I$11,BE186)),ISNUMBER(FIND(Experience!$I$11,BF186)))),1,0)</f>
        <v>0</v>
      </c>
      <c r="BC186" s="1080" t="str">
        <f t="shared" si="179"/>
        <v>Riding a War Horse</v>
      </c>
      <c r="BE186" s="1080" t="str">
        <f t="shared" si="146"/>
        <v/>
      </c>
      <c r="BF186" s="1080" t="str">
        <f t="shared" si="147"/>
        <v>Combat Skills</v>
      </c>
    </row>
    <row r="187" spans="1:58" ht="10.5" customHeight="1" outlineLevel="1">
      <c r="A187" s="1123" t="s">
        <v>5573</v>
      </c>
      <c r="B187" s="1094"/>
      <c r="C187" s="1094" t="s">
        <v>4629</v>
      </c>
      <c r="D187" s="1094"/>
      <c r="E187" s="1095" t="s">
        <v>5224</v>
      </c>
      <c r="F187" s="1095" t="s">
        <v>5224</v>
      </c>
      <c r="G187" s="1096">
        <v>0</v>
      </c>
      <c r="H187" s="1096" t="s">
        <v>5224</v>
      </c>
      <c r="I187" s="1096" t="s">
        <v>5224</v>
      </c>
      <c r="J187" s="1096" t="s">
        <v>5224</v>
      </c>
      <c r="K187" s="1096" t="s">
        <v>5224</v>
      </c>
      <c r="L187" s="1096" t="s">
        <v>5224</v>
      </c>
      <c r="M187" s="1096" t="s">
        <v>5224</v>
      </c>
      <c r="N187" s="1096" t="s">
        <v>4630</v>
      </c>
      <c r="O187" s="1097"/>
      <c r="P187" s="1097" t="s">
        <v>780</v>
      </c>
      <c r="Q187" s="1097">
        <f t="shared" ca="1" si="208"/>
        <v>17</v>
      </c>
      <c r="R187" s="1097"/>
      <c r="S187" s="1028" t="s">
        <v>3616</v>
      </c>
      <c r="T187" s="1097">
        <f t="shared" ca="1" si="209"/>
        <v>17</v>
      </c>
      <c r="U187" s="1027">
        <v>3</v>
      </c>
      <c r="V187" s="1027">
        <f t="shared" si="198"/>
        <v>3</v>
      </c>
      <c r="W187" s="1098" t="e">
        <f>IF(OR(I187&lt;&gt;"N",E187="C"),IF(AND(N187&lt;&gt;"T",ISNUMBER(FIND("V",I187))),1,0),NA())+IF(H187="Y",IF(AND(N187="P",ISNUMBER(FIND("Z",I187))),2,1),0)+IF(J187="Y",1,0)+IF(K187="Y",3,0)+IF(BE187="Lore",L187*2+Experience!$D$25,0)+IF(M187="Y",1,0)</f>
        <v>#N/A</v>
      </c>
      <c r="X187" s="1099"/>
      <c r="Y187" s="1100">
        <f ca="1">IF(P187="NS",IFERROR(INDIRECT(S187),NA()),VLOOKUP(INDIRECT(P187)+INDIRECT(S187),'System Lookups'!$A$3:$D$146,2))</f>
        <v>0.1</v>
      </c>
      <c r="Z187" s="1100">
        <f t="shared" si="185"/>
        <v>0</v>
      </c>
      <c r="AA187" s="1101">
        <f t="shared" ca="1" si="200"/>
        <v>0.1</v>
      </c>
      <c r="AB187" s="1102">
        <f>VLOOKUP(V187,'System Lookups'!$J$55:$P$64,3)</f>
        <v>0.3</v>
      </c>
      <c r="AC187" s="1103">
        <f>VLOOKUP(V187,'System Lookups'!$J$55:$P$64,4)</f>
        <v>0.4</v>
      </c>
      <c r="AD187" s="1104">
        <f t="shared" ca="1" si="186"/>
        <v>0.4</v>
      </c>
      <c r="AE187" s="1094">
        <f ca="1">(IF(AD187&gt;VLOOKUP(V187,'System Lookups'!$J$55:$P$63,6),(((AD187-VLOOKUP(V187,'System Lookups'!$J$55:$P$63,6))*100)/20),0))+AF187</f>
        <v>0</v>
      </c>
      <c r="AF187" s="1121"/>
      <c r="AG187" s="1092">
        <f t="shared" si="187"/>
        <v>0</v>
      </c>
      <c r="AH187" s="1092" t="str">
        <f>IF(X187&lt;=Experience!$R$15+1,"","*")</f>
        <v/>
      </c>
      <c r="AI187" s="1092"/>
      <c r="AJ187" s="1080">
        <f t="shared" si="188"/>
        <v>0</v>
      </c>
      <c r="AK187" s="1080">
        <f t="shared" si="201"/>
        <v>0</v>
      </c>
      <c r="AL187" s="1080">
        <f t="shared" si="190"/>
        <v>0</v>
      </c>
      <c r="AM187" s="1092">
        <f t="shared" si="202"/>
        <v>0</v>
      </c>
      <c r="AN187" s="1080">
        <f t="shared" si="203"/>
        <v>0</v>
      </c>
      <c r="AO187" s="1080">
        <f t="shared" si="193"/>
        <v>0</v>
      </c>
      <c r="AP187" s="1080">
        <f t="shared" si="194"/>
        <v>0</v>
      </c>
      <c r="AQ187" s="1027">
        <f>VLOOKUP(V187,'System Lookups'!$J$55:$P$64,7)</f>
        <v>500</v>
      </c>
      <c r="AR187" s="1080" t="str">
        <f ca="1">IF(AND(NOT(ISBLANK(AJ187)),ISNA(MATCH(ROW(),'System Lookups'!$C$526:$C$539,0))),"Y","N")</f>
        <v>Y</v>
      </c>
      <c r="AS187" s="1080">
        <f t="shared" si="195"/>
        <v>0</v>
      </c>
      <c r="AU187" s="1080" t="e">
        <f t="shared" si="148"/>
        <v>#N/A</v>
      </c>
      <c r="AV187" s="1080" t="str">
        <f t="shared" ref="AV187:AV249" si="210">IF(ISNUMBER(U187),CONCATENATE(IF(E187="C","C",""),IF(H187="Y","M",""),N187,IF(ISNUMBER(FIND("F",I187)),"Bk",""),IF(ISNUMBER(FIND("Z",I187)),"Zm",""),IF(J187="Y","L",""),IF(OR(K187="Y",AND(ISNUMBER(L187),L187&gt;0),M187="Y"),"Sa","")),"")</f>
        <v>S</v>
      </c>
      <c r="AW187" s="1080">
        <f t="shared" si="151"/>
        <v>0</v>
      </c>
      <c r="AX187" s="1080">
        <f t="shared" si="152"/>
        <v>0</v>
      </c>
      <c r="AY187" s="1080">
        <f t="shared" si="153"/>
        <v>0</v>
      </c>
      <c r="AZ187" s="1080">
        <f t="shared" si="154"/>
        <v>0</v>
      </c>
      <c r="BA187" s="1080">
        <f t="shared" si="150"/>
        <v>0</v>
      </c>
      <c r="BB187" s="1080">
        <f>IF(AND(RACE=1,'Main Creation Page'!$E$6="Well",OR(ISNUMBER(FIND(Experience!$G$11,BE187)),ISNUMBER(FIND(Experience!$G$11,BF187)),ISNUMBER(FIND(Experience!$I$11,BE187)),ISNUMBER(FIND(Experience!$I$11,BF187)))),1,0)</f>
        <v>0</v>
      </c>
      <c r="BC187" s="1080" t="str">
        <f t="shared" si="179"/>
        <v>Siege Machine Operations</v>
      </c>
      <c r="BE187" s="1080" t="str">
        <f t="shared" ref="BE187:BE249" si="211">IF(OR(ISNUMBER(FIND("Lore",BF187)),ISNUMBER(FIND("Materia",BF187)),ISNUMBER(FIND("Lore",BD187))),"Lore","")</f>
        <v/>
      </c>
      <c r="BF187" s="1080" t="str">
        <f t="shared" ref="BF187:BF249" si="212">IF(ISBLANK(AC187),IF(OR(ISNA(BC187),ISBLANK(BC187)),BF186,BC187),BF186)</f>
        <v>Combat Skills</v>
      </c>
    </row>
    <row r="188" spans="1:58" ht="10.5" customHeight="1" outlineLevel="1">
      <c r="A188" s="1123" t="s">
        <v>5557</v>
      </c>
      <c r="B188" s="1094"/>
      <c r="C188" s="1094" t="s">
        <v>4629</v>
      </c>
      <c r="D188" s="1094"/>
      <c r="E188" s="1095" t="s">
        <v>5224</v>
      </c>
      <c r="F188" s="1095" t="s">
        <v>5224</v>
      </c>
      <c r="G188" s="1096">
        <v>0</v>
      </c>
      <c r="H188" s="1096" t="s">
        <v>5224</v>
      </c>
      <c r="I188" s="1096" t="s">
        <v>5224</v>
      </c>
      <c r="J188" s="1096" t="s">
        <v>5224</v>
      </c>
      <c r="K188" s="1096" t="s">
        <v>5224</v>
      </c>
      <c r="L188" s="1096" t="s">
        <v>5224</v>
      </c>
      <c r="M188" s="1096" t="s">
        <v>5224</v>
      </c>
      <c r="N188" s="1096" t="s">
        <v>4630</v>
      </c>
      <c r="O188" s="1097"/>
      <c r="P188" s="1097" t="s">
        <v>780</v>
      </c>
      <c r="Q188" s="1097">
        <f t="shared" ca="1" si="208"/>
        <v>17</v>
      </c>
      <c r="R188" s="1097"/>
      <c r="S188" s="1028" t="s">
        <v>3616</v>
      </c>
      <c r="T188" s="1097">
        <f t="shared" ca="1" si="209"/>
        <v>17</v>
      </c>
      <c r="U188" s="1027">
        <v>4</v>
      </c>
      <c r="V188" s="1027">
        <f t="shared" si="198"/>
        <v>4</v>
      </c>
      <c r="W188" s="1098" t="e">
        <f>IF(OR(I188&lt;&gt;"N",E188="C"),IF(AND(N188&lt;&gt;"T",ISNUMBER(FIND("V",I188))),1,0),NA())+IF(H188="Y",IF(AND(N188="P",ISNUMBER(FIND("Z",I188))),2,1),0)+IF(J188="Y",1,0)+IF(K188="Y",3,0)+IF(BE188="Lore",L188*2+Experience!$D$25,0)+IF(M188="Y",1,0)</f>
        <v>#N/A</v>
      </c>
      <c r="X188" s="1099"/>
      <c r="Y188" s="1100">
        <f ca="1">IF(P188="NS",IFERROR(INDIRECT(S188),NA()),VLOOKUP(INDIRECT(P188)+INDIRECT(S188),'System Lookups'!$A$3:$D$146,2))</f>
        <v>0.1</v>
      </c>
      <c r="Z188" s="1100">
        <f t="shared" si="185"/>
        <v>0</v>
      </c>
      <c r="AA188" s="1101">
        <f t="shared" ca="1" si="200"/>
        <v>0.1</v>
      </c>
      <c r="AB188" s="1102">
        <f>VLOOKUP(V188,'System Lookups'!$J$55:$P$64,3)</f>
        <v>0.2</v>
      </c>
      <c r="AC188" s="1103">
        <f>VLOOKUP(V188,'System Lookups'!$J$55:$P$64,4)</f>
        <v>0.3</v>
      </c>
      <c r="AD188" s="1104">
        <f t="shared" ca="1" si="186"/>
        <v>0.30000000000000004</v>
      </c>
      <c r="AE188" s="1094">
        <f ca="1">(IF(AD188&gt;VLOOKUP(V188,'System Lookups'!$J$55:$P$63,6),(((AD188-VLOOKUP(V188,'System Lookups'!$J$55:$P$63,6))*100)/20),0))+AF188</f>
        <v>0</v>
      </c>
      <c r="AF188" s="1121"/>
      <c r="AG188" s="1092">
        <f t="shared" si="187"/>
        <v>0</v>
      </c>
      <c r="AH188" s="1092" t="str">
        <f>IF(X188&lt;=Experience!$R$15+1,"","*")</f>
        <v/>
      </c>
      <c r="AI188" s="1092"/>
      <c r="AJ188" s="1080">
        <f t="shared" si="188"/>
        <v>0</v>
      </c>
      <c r="AK188" s="1080">
        <f t="shared" si="201"/>
        <v>0</v>
      </c>
      <c r="AL188" s="1080">
        <f t="shared" si="190"/>
        <v>0</v>
      </c>
      <c r="AM188" s="1092">
        <f t="shared" si="202"/>
        <v>0</v>
      </c>
      <c r="AN188" s="1080">
        <f t="shared" si="203"/>
        <v>0</v>
      </c>
      <c r="AO188" s="1080">
        <f t="shared" si="193"/>
        <v>0</v>
      </c>
      <c r="AP188" s="1080">
        <f t="shared" si="194"/>
        <v>0</v>
      </c>
      <c r="AQ188" s="1027">
        <f>VLOOKUP(V188,'System Lookups'!$J$55:$P$64,7)</f>
        <v>600</v>
      </c>
      <c r="AR188" s="1080" t="str">
        <f ca="1">IF(AND(NOT(ISBLANK(AJ188)),ISNA(MATCH(ROW(),'System Lookups'!$C$526:$C$539,0))),"Y","N")</f>
        <v>Y</v>
      </c>
      <c r="AS188" s="1080">
        <f t="shared" si="195"/>
        <v>0</v>
      </c>
      <c r="AU188" s="1080" t="e">
        <f t="shared" ref="AU188:AU250" si="213">IF(AND(NOT(ISNUMBER($W188)),ISBLANK($X188)),NA(),IFERROR($W188+$X188,$X188))</f>
        <v>#N/A</v>
      </c>
      <c r="AV188" s="1080" t="str">
        <f t="shared" si="210"/>
        <v>S</v>
      </c>
      <c r="AW188" s="1080">
        <f t="shared" ref="AW188:AW250" si="214">IF(OR(I188="N",ISBLANK(I188)),0,1)</f>
        <v>0</v>
      </c>
      <c r="AX188" s="1080">
        <f t="shared" ref="AX188:AX250" si="215">IF($N188="P",IF(ISNUMBER(FIND("V",$I188)),1,0),0)</f>
        <v>0</v>
      </c>
      <c r="AY188" s="1080">
        <f t="shared" ref="AY188:AY250" si="216">IF($N188="S",IF(ISNUMBER(FIND("V",$I188)),1,0),0)</f>
        <v>0</v>
      </c>
      <c r="AZ188" s="1080">
        <f t="shared" ref="AZ188:AZ250" si="217">IF($N188="T",IF(ISNUMBER(FIND("V",$I188)),1,0),0)</f>
        <v>0</v>
      </c>
      <c r="BA188" s="1080">
        <f t="shared" ref="BA188:BA250" si="218">IF($N188&lt;&gt;"T",IF(OR(ISNUMBER(FIND("C",$I188)),ISNUMBER(FIND("D",$I188)),ISNUMBER(FIND("E",$I188)),ISNUMBER(FIND("F",$I188)),ISNUMBER(FIND("L",$I188)),ISNUMBER(FIND("R",$I188)),ISNUMBER(FIND("S",$I188))),1,0),0)</f>
        <v>0</v>
      </c>
      <c r="BB188" s="1080">
        <f>IF(AND(RACE=1,'Main Creation Page'!$E$6="Well",OR(ISNUMBER(FIND(Experience!$G$11,BE188)),ISNUMBER(FIND(Experience!$G$11,BF188)),ISNUMBER(FIND(Experience!$I$11,BE188)),ISNUMBER(FIND(Experience!$I$11,BF188)))),1,0)</f>
        <v>0</v>
      </c>
      <c r="BC188" s="1080" t="str">
        <f t="shared" si="179"/>
        <v>Siegecraft</v>
      </c>
      <c r="BE188" s="1080" t="str">
        <f t="shared" si="211"/>
        <v/>
      </c>
      <c r="BF188" s="1080" t="str">
        <f t="shared" si="212"/>
        <v>Combat Skills</v>
      </c>
    </row>
    <row r="189" spans="1:58" ht="10.5" customHeight="1" outlineLevel="1">
      <c r="A189" s="1124" t="s">
        <v>2189</v>
      </c>
      <c r="B189" s="1094"/>
      <c r="C189" s="1094"/>
      <c r="D189" s="1094"/>
      <c r="F189" s="1027"/>
      <c r="G189" s="1027"/>
      <c r="H189" s="1027"/>
      <c r="I189" s="1027"/>
      <c r="J189" s="1027"/>
      <c r="K189" s="1027"/>
      <c r="L189" s="1027"/>
      <c r="M189" s="1027"/>
      <c r="N189" s="1027"/>
      <c r="O189" s="1027"/>
      <c r="P189" s="1027"/>
      <c r="Q189" s="1097"/>
      <c r="R189" s="1097"/>
      <c r="S189" s="1028"/>
      <c r="T189" s="1028"/>
      <c r="U189" s="1027"/>
      <c r="V189" s="1027"/>
      <c r="W189" s="1028"/>
      <c r="X189" s="1092"/>
      <c r="AE189" s="1094"/>
      <c r="AF189" s="1121"/>
      <c r="AG189" s="1092"/>
      <c r="AH189" s="1092"/>
      <c r="AI189" s="1092"/>
      <c r="AM189" s="1092"/>
      <c r="AR189" s="1080" t="str">
        <f ca="1">IF(AND(NOT(ISBLANK(AJ189)),ISNA(MATCH(ROW(),'System Lookups'!$C$526:$C$539,0))),"Y","N")</f>
        <v>N</v>
      </c>
      <c r="AU189" s="1080" t="e">
        <f t="shared" si="213"/>
        <v>#N/A</v>
      </c>
      <c r="AV189" s="1080" t="str">
        <f t="shared" si="210"/>
        <v/>
      </c>
      <c r="AW189" s="1080">
        <f t="shared" si="214"/>
        <v>0</v>
      </c>
      <c r="AX189" s="1080">
        <f t="shared" si="215"/>
        <v>0</v>
      </c>
      <c r="AY189" s="1080">
        <f t="shared" si="216"/>
        <v>0</v>
      </c>
      <c r="AZ189" s="1080">
        <f t="shared" si="217"/>
        <v>0</v>
      </c>
      <c r="BA189" s="1080">
        <f t="shared" si="218"/>
        <v>0</v>
      </c>
      <c r="BB189" s="1080">
        <f>IF(AND(RACE=1,'Main Creation Page'!$E$6="Well",OR(ISNUMBER(FIND(Experience!$G$11,BE189)),ISNUMBER(FIND(Experience!$G$11,BF189)),ISNUMBER(FIND(Experience!$I$11,BE189)),ISNUMBER(FIND(Experience!$I$11,BF189)))),1,0)</f>
        <v>0</v>
      </c>
      <c r="BC189" s="1080" t="e">
        <f t="shared" si="179"/>
        <v>#N/A</v>
      </c>
      <c r="BD189" s="1080" t="s">
        <v>5684</v>
      </c>
      <c r="BE189" s="1080" t="str">
        <f t="shared" si="211"/>
        <v/>
      </c>
      <c r="BF189" s="1080" t="str">
        <f t="shared" si="212"/>
        <v>Combat Skills</v>
      </c>
    </row>
    <row r="190" spans="1:58" ht="11.1" customHeight="1" outlineLevel="2">
      <c r="A190" s="1028" t="s">
        <v>2671</v>
      </c>
      <c r="B190" s="1094"/>
      <c r="C190" s="1094" t="s">
        <v>4629</v>
      </c>
      <c r="D190" s="1094" t="s">
        <v>4626</v>
      </c>
      <c r="E190" s="1095" t="s">
        <v>5224</v>
      </c>
      <c r="F190" s="1095" t="s">
        <v>5224</v>
      </c>
      <c r="G190" s="1096">
        <v>0</v>
      </c>
      <c r="H190" s="1096" t="s">
        <v>5224</v>
      </c>
      <c r="I190" s="1096" t="s">
        <v>5224</v>
      </c>
      <c r="J190" s="1096" t="s">
        <v>5224</v>
      </c>
      <c r="K190" s="1096" t="s">
        <v>5224</v>
      </c>
      <c r="L190" s="1096" t="s">
        <v>5224</v>
      </c>
      <c r="M190" s="1096" t="s">
        <v>5224</v>
      </c>
      <c r="N190" s="1096" t="s">
        <v>4630</v>
      </c>
      <c r="O190" s="1028"/>
      <c r="P190" s="1028" t="s">
        <v>3615</v>
      </c>
      <c r="Q190" s="1097">
        <f t="shared" ref="Q190:Q191" ca="1" si="219">INDIRECT(P190)</f>
        <v>20</v>
      </c>
      <c r="R190" s="1097"/>
      <c r="S190" s="1028" t="s">
        <v>3611</v>
      </c>
      <c r="T190" s="1097">
        <f t="shared" ref="T190:T191" ca="1" si="220">INDIRECT(S190)</f>
        <v>15</v>
      </c>
      <c r="U190" s="1027">
        <v>4</v>
      </c>
      <c r="V190" s="1027">
        <f>IF(AP190+U190&gt;10,10,IF(AP190+U190&lt;1,1,AP190+U190))</f>
        <v>4</v>
      </c>
      <c r="W190" s="1098" t="e">
        <f>IF(OR(I190&lt;&gt;"N",E190="C"),IF(AND(N190&lt;&gt;"T",ISNUMBER(FIND("V",I190))),1,0),NA())+IF(H190="Y",IF(AND(N190="P",ISNUMBER(FIND("Z",I190))),2,1),0)+IF(J190="Y",1,0)+IF(K190="Y",3,0)+IF(BE190="Lore",L190*2+Experience!$D$25,0)+IF(M190="Y",1,0)</f>
        <v>#N/A</v>
      </c>
      <c r="X190" s="1099"/>
      <c r="Y190" s="1100">
        <f ca="1">IF(P190="NS",IFERROR(INDIRECT(S190),NA()),VLOOKUP(INDIRECT(P190)+INDIRECT(S190),'System Lookups'!$A$3:$D$146,2))</f>
        <v>0.12</v>
      </c>
      <c r="Z190" s="1100">
        <f>IF(ISNA(W190),0,W190*0.03)+IF(X190&gt;0,X190*0.03,0)+IF(AND(ISNA(W190),X190&lt;=0),0,IF(G190&gt;0,G190*0.07,0))</f>
        <v>0</v>
      </c>
      <c r="AA190" s="1101">
        <f ca="1">IF(ISNA(Y190),0,Y190)+Z190</f>
        <v>0.12</v>
      </c>
      <c r="AB190" s="1102">
        <f>VLOOKUP(V190,'System Lookups'!$J$55:$P$64,3)</f>
        <v>0.2</v>
      </c>
      <c r="AC190" s="1103">
        <f>VLOOKUP(V190,'System Lookups'!$J$55:$P$64,4)</f>
        <v>0.3</v>
      </c>
      <c r="AD190" s="1104">
        <f ca="1">IF(AND(ISBLANK(X190),ISNA(W190)),IF(B190="~",0,AB190+AA190+IF(BB190&gt;0,0.05,0)),AA190+AC190+IF(BB190&gt;0,0.05,0))</f>
        <v>0.32</v>
      </c>
      <c r="AE190" s="1094">
        <f ca="1">(IF(AD190&gt;VLOOKUP(V190,'System Lookups'!$J$55:$P$63,6),(((AD190-VLOOKUP(V190,'System Lookups'!$J$55:$P$63,6))*100)/20),0))+AF190</f>
        <v>0</v>
      </c>
      <c r="AF190" s="1121"/>
      <c r="AG190" s="1092">
        <f>IF(ISBLANK(X190),0,AQ190*X190+IF(ISNA(W190),1,0))</f>
        <v>0</v>
      </c>
      <c r="AH190" s="1092" t="str">
        <f>IF(X190&lt;=Experience!$R$15+1,"","*")</f>
        <v/>
      </c>
      <c r="AI190" s="1092"/>
      <c r="AJ190" s="1080">
        <f t="shared" ref="AJ190:AJ191" si="221">IF(ISNUMBER(FIND("R",F190)),-1,0)</f>
        <v>0</v>
      </c>
      <c r="AK190" s="1080">
        <f>IF(F190="s",-2,0)</f>
        <v>0</v>
      </c>
      <c r="AL190" s="1080">
        <f t="shared" ref="AL190:AL191" si="222">IF(AND(H190="Y",OR(N190="P",N190="S")),-1,0)</f>
        <v>0</v>
      </c>
      <c r="AM190" s="1092">
        <f>IF(J190="y",1,0)</f>
        <v>0</v>
      </c>
      <c r="AN190" s="1080">
        <f>IF(N190="P",-1,IF(N190="T",1,0))</f>
        <v>0</v>
      </c>
      <c r="AO190" s="1080">
        <f t="shared" ref="AO190:AO191" si="223">IF(ISNUMBER(FIND("Z",I190)),1,0)</f>
        <v>0</v>
      </c>
      <c r="AP190" s="1080">
        <f>SUM(AJ190:AN190)-AM190</f>
        <v>0</v>
      </c>
      <c r="AQ190" s="1027">
        <f>VLOOKUP(V190,'System Lookups'!$J$55:$P$64,7)</f>
        <v>600</v>
      </c>
      <c r="AR190" s="1080" t="str">
        <f ca="1">IF(AND(NOT(ISBLANK(AJ190)),ISNA(MATCH(ROW(),'System Lookups'!$C$526:$C$539,0))),"Y","N")</f>
        <v>Y</v>
      </c>
      <c r="AS190" s="1080">
        <f>AG190-AI190</f>
        <v>0</v>
      </c>
      <c r="AU190" s="1080" t="e">
        <f t="shared" si="213"/>
        <v>#N/A</v>
      </c>
      <c r="AV190" s="1080" t="str">
        <f t="shared" si="210"/>
        <v>S</v>
      </c>
      <c r="AW190" s="1080">
        <f t="shared" si="214"/>
        <v>0</v>
      </c>
      <c r="AX190" s="1080">
        <f t="shared" si="215"/>
        <v>0</v>
      </c>
      <c r="AY190" s="1080">
        <f t="shared" si="216"/>
        <v>0</v>
      </c>
      <c r="AZ190" s="1080">
        <f t="shared" si="217"/>
        <v>0</v>
      </c>
      <c r="BA190" s="1080">
        <f t="shared" si="218"/>
        <v>0</v>
      </c>
      <c r="BB190" s="1080">
        <f>IF(AND(RACE=1,'Main Creation Page'!$E$6="Well",OR(ISNUMBER(FIND(Experience!$G$11,BE190)),ISNUMBER(FIND(Experience!$G$11,BF190)),ISNUMBER(FIND(Experience!$I$11,BE190)),ISNUMBER(FIND(Experience!$I$11,BF190)))),1,0)</f>
        <v>0</v>
      </c>
      <c r="BC190" s="1080" t="str">
        <f t="shared" si="179"/>
        <v xml:space="preserve">Shield Play:Light Shields </v>
      </c>
      <c r="BD190" s="1080" t="s">
        <v>5684</v>
      </c>
      <c r="BE190" s="1080" t="str">
        <f t="shared" si="211"/>
        <v/>
      </c>
      <c r="BF190" s="1080" t="str">
        <f t="shared" si="212"/>
        <v>Combat Skills</v>
      </c>
    </row>
    <row r="191" spans="1:58" ht="11.1" customHeight="1" outlineLevel="2">
      <c r="A191" s="1028" t="s">
        <v>3004</v>
      </c>
      <c r="B191" s="1094"/>
      <c r="C191" s="1094" t="s">
        <v>4629</v>
      </c>
      <c r="D191" s="1094" t="s">
        <v>4626</v>
      </c>
      <c r="E191" s="1095" t="s">
        <v>5224</v>
      </c>
      <c r="F191" s="1095" t="s">
        <v>5224</v>
      </c>
      <c r="G191" s="1096">
        <v>0</v>
      </c>
      <c r="H191" s="1096" t="s">
        <v>5224</v>
      </c>
      <c r="I191" s="1096" t="s">
        <v>5224</v>
      </c>
      <c r="J191" s="1096" t="s">
        <v>5224</v>
      </c>
      <c r="K191" s="1096" t="s">
        <v>5224</v>
      </c>
      <c r="L191" s="1096" t="s">
        <v>5224</v>
      </c>
      <c r="M191" s="1096" t="s">
        <v>5224</v>
      </c>
      <c r="N191" s="1096" t="s">
        <v>4630</v>
      </c>
      <c r="O191" s="1028"/>
      <c r="P191" s="1028" t="s">
        <v>3615</v>
      </c>
      <c r="Q191" s="1097">
        <f t="shared" ca="1" si="219"/>
        <v>20</v>
      </c>
      <c r="R191" s="1097"/>
      <c r="S191" s="1028" t="s">
        <v>3611</v>
      </c>
      <c r="T191" s="1097">
        <f t="shared" ca="1" si="220"/>
        <v>15</v>
      </c>
      <c r="U191" s="1027">
        <v>4</v>
      </c>
      <c r="V191" s="1027">
        <f>IF(AP191+U191&gt;10,10,IF(AP191+U191&lt;1,1,AP191+U191))</f>
        <v>4</v>
      </c>
      <c r="W191" s="1098" t="e">
        <f>IF(OR(I191&lt;&gt;"N",E191="C"),IF(AND(N191&lt;&gt;"T",ISNUMBER(FIND("V",I191))),1,0),NA())+IF(H191="Y",IF(AND(N191="P",ISNUMBER(FIND("Z",I191))),2,1),0)+IF(J191="Y",1,0)+IF(K191="Y",3,0)+IF(BE191="Lore",L191*2+Experience!$D$25,0)+IF(M191="Y",1,0)</f>
        <v>#N/A</v>
      </c>
      <c r="X191" s="1099"/>
      <c r="Y191" s="1100">
        <f ca="1">IF(P191="NS",IFERROR(INDIRECT(S191),NA()),VLOOKUP(INDIRECT(P191)+INDIRECT(S191),'System Lookups'!$A$3:$D$146,2))</f>
        <v>0.12</v>
      </c>
      <c r="Z191" s="1100">
        <f>IF(ISNA(W191),0,W191*0.03)+IF(X191&gt;0,X191*0.03,0)+IF(AND(ISNA(W191),X191&lt;=0),0,IF(G191&gt;0,G191*0.07,0))</f>
        <v>0</v>
      </c>
      <c r="AA191" s="1101">
        <f ca="1">IF(ISNA(Y191),0,Y191)+Z191</f>
        <v>0.12</v>
      </c>
      <c r="AB191" s="1102">
        <f>VLOOKUP(V191,'System Lookups'!$J$55:$P$64,3)</f>
        <v>0.2</v>
      </c>
      <c r="AC191" s="1103">
        <f>VLOOKUP(V191,'System Lookups'!$J$55:$P$64,4)</f>
        <v>0.3</v>
      </c>
      <c r="AD191" s="1104">
        <f ca="1">IF(AND(ISBLANK(X191),ISNA(W191)),IF(B191="~",0,AB191+AA191+IF(BB191&gt;0,0.05,0)),AA191+AC191+IF(BB191&gt;0,0.05,0))</f>
        <v>0.32</v>
      </c>
      <c r="AE191" s="1094">
        <f ca="1">(IF(AD191&gt;VLOOKUP(V191,'System Lookups'!$J$55:$P$63,6),(((AD191-VLOOKUP(V191,'System Lookups'!$J$55:$P$63,6))*100)/20),0))+AF191</f>
        <v>0</v>
      </c>
      <c r="AF191" s="1121"/>
      <c r="AG191" s="1092">
        <f>IF(ISBLANK(X191),0,AQ191*X191+IF(ISNA(W191),1,0))</f>
        <v>0</v>
      </c>
      <c r="AH191" s="1092" t="str">
        <f>IF(X191&lt;=Experience!$R$15+1,"","*")</f>
        <v/>
      </c>
      <c r="AI191" s="1092"/>
      <c r="AJ191" s="1080">
        <f t="shared" si="221"/>
        <v>0</v>
      </c>
      <c r="AK191" s="1080">
        <f>IF(F191="s",-2,0)</f>
        <v>0</v>
      </c>
      <c r="AL191" s="1080">
        <f t="shared" si="222"/>
        <v>0</v>
      </c>
      <c r="AM191" s="1092">
        <f>IF(J191="y",1,0)</f>
        <v>0</v>
      </c>
      <c r="AN191" s="1080">
        <f>IF(N191="P",-1,IF(N191="T",1,0))</f>
        <v>0</v>
      </c>
      <c r="AO191" s="1080">
        <f t="shared" si="223"/>
        <v>0</v>
      </c>
      <c r="AP191" s="1080">
        <f>SUM(AJ191:AN191)-AM191</f>
        <v>0</v>
      </c>
      <c r="AQ191" s="1027">
        <f>VLOOKUP(V191,'System Lookups'!$J$55:$P$64,7)</f>
        <v>600</v>
      </c>
      <c r="AR191" s="1080" t="str">
        <f ca="1">IF(AND(NOT(ISBLANK(AJ191)),ISNA(MATCH(ROW(),'System Lookups'!$C$526:$C$539,0))),"Y","N")</f>
        <v>Y</v>
      </c>
      <c r="AS191" s="1080">
        <f>AG191-AI191</f>
        <v>0</v>
      </c>
      <c r="AU191" s="1080" t="e">
        <f t="shared" si="213"/>
        <v>#N/A</v>
      </c>
      <c r="AV191" s="1080" t="str">
        <f t="shared" si="210"/>
        <v>S</v>
      </c>
      <c r="AW191" s="1080">
        <f t="shared" si="214"/>
        <v>0</v>
      </c>
      <c r="AX191" s="1080">
        <f t="shared" si="215"/>
        <v>0</v>
      </c>
      <c r="AY191" s="1080">
        <f t="shared" si="216"/>
        <v>0</v>
      </c>
      <c r="AZ191" s="1080">
        <f t="shared" si="217"/>
        <v>0</v>
      </c>
      <c r="BA191" s="1080">
        <f t="shared" si="218"/>
        <v>0</v>
      </c>
      <c r="BB191" s="1080">
        <f>IF(AND(RACE=1,'Main Creation Page'!$E$6="Well",OR(ISNUMBER(FIND(Experience!$G$11,BE191)),ISNUMBER(FIND(Experience!$G$11,BF191)),ISNUMBER(FIND(Experience!$I$11,BE191)),ISNUMBER(FIND(Experience!$I$11,BF191)))),1,0)</f>
        <v>0</v>
      </c>
      <c r="BC191" s="1080" t="str">
        <f t="shared" si="179"/>
        <v>Shield Play:Heavy Shields</v>
      </c>
      <c r="BD191" s="1080" t="s">
        <v>5684</v>
      </c>
      <c r="BE191" s="1080" t="str">
        <f t="shared" si="211"/>
        <v/>
      </c>
      <c r="BF191" s="1080" t="str">
        <f t="shared" si="212"/>
        <v>Combat Skills</v>
      </c>
    </row>
    <row r="192" spans="1:58" ht="10.5" customHeight="1" outlineLevel="1">
      <c r="A192" s="1124" t="s">
        <v>2191</v>
      </c>
      <c r="B192" s="1094"/>
      <c r="C192" s="1094"/>
      <c r="D192" s="1094"/>
      <c r="F192" s="1027"/>
      <c r="G192" s="1027"/>
      <c r="H192" s="1027"/>
      <c r="I192" s="1027"/>
      <c r="J192" s="1027"/>
      <c r="K192" s="1027"/>
      <c r="L192" s="1027"/>
      <c r="M192" s="1027"/>
      <c r="N192" s="1027"/>
      <c r="O192" s="1027"/>
      <c r="P192" s="1027"/>
      <c r="Q192" s="1097"/>
      <c r="R192" s="1097"/>
      <c r="S192" s="1028"/>
      <c r="T192" s="1028"/>
      <c r="U192" s="1027"/>
      <c r="V192" s="1027"/>
      <c r="W192" s="1028"/>
      <c r="X192" s="1092"/>
      <c r="AE192" s="1094"/>
      <c r="AF192" s="1121"/>
      <c r="AG192" s="1092"/>
      <c r="AH192" s="1092"/>
      <c r="AI192" s="1092"/>
      <c r="AM192" s="1092"/>
      <c r="AR192" s="1080" t="str">
        <f ca="1">IF(AND(NOT(ISBLANK(AJ192)),ISNA(MATCH(ROW(),'System Lookups'!$C$526:$C$539,0))),"Y","N")</f>
        <v>N</v>
      </c>
      <c r="AU192" s="1080" t="e">
        <f t="shared" si="213"/>
        <v>#N/A</v>
      </c>
      <c r="AV192" s="1080" t="str">
        <f t="shared" si="210"/>
        <v/>
      </c>
      <c r="AW192" s="1080">
        <f t="shared" si="214"/>
        <v>0</v>
      </c>
      <c r="AX192" s="1080">
        <f t="shared" si="215"/>
        <v>0</v>
      </c>
      <c r="AY192" s="1080">
        <f t="shared" si="216"/>
        <v>0</v>
      </c>
      <c r="AZ192" s="1080">
        <f t="shared" si="217"/>
        <v>0</v>
      </c>
      <c r="BA192" s="1080">
        <f t="shared" si="218"/>
        <v>0</v>
      </c>
      <c r="BB192" s="1080">
        <f>IF(AND(RACE=1,'Main Creation Page'!$E$6="Well",OR(ISNUMBER(FIND(Experience!$G$11,BE192)),ISNUMBER(FIND(Experience!$G$11,BF192)),ISNUMBER(FIND(Experience!$I$11,BE192)),ISNUMBER(FIND(Experience!$I$11,BF192)))),1,0)</f>
        <v>0</v>
      </c>
      <c r="BC192" s="1080" t="e">
        <f t="shared" si="179"/>
        <v>#N/A</v>
      </c>
      <c r="BD192" s="1080" t="s">
        <v>5685</v>
      </c>
      <c r="BE192" s="1080" t="str">
        <f t="shared" si="211"/>
        <v/>
      </c>
      <c r="BF192" s="1080" t="str">
        <f t="shared" si="212"/>
        <v>Combat Skills</v>
      </c>
    </row>
    <row r="193" spans="1:58" ht="11.1" customHeight="1" outlineLevel="2">
      <c r="A193" s="1028" t="s">
        <v>2023</v>
      </c>
      <c r="B193" s="1094"/>
      <c r="C193" s="1094" t="s">
        <v>4629</v>
      </c>
      <c r="D193" s="1094" t="s">
        <v>4626</v>
      </c>
      <c r="E193" s="1095" t="s">
        <v>5224</v>
      </c>
      <c r="F193" s="1095" t="s">
        <v>5224</v>
      </c>
      <c r="G193" s="1096">
        <v>0</v>
      </c>
      <c r="H193" s="1096" t="s">
        <v>5224</v>
      </c>
      <c r="I193" s="1096" t="s">
        <v>5224</v>
      </c>
      <c r="J193" s="1096" t="s">
        <v>5224</v>
      </c>
      <c r="K193" s="1096" t="s">
        <v>5224</v>
      </c>
      <c r="L193" s="1096" t="s">
        <v>5224</v>
      </c>
      <c r="M193" s="1096" t="s">
        <v>5224</v>
      </c>
      <c r="N193" s="1096" t="s">
        <v>4630</v>
      </c>
      <c r="O193" s="1028"/>
      <c r="P193" s="1028" t="s">
        <v>3615</v>
      </c>
      <c r="Q193" s="1097">
        <f t="shared" ref="Q193:Q202" ca="1" si="224">INDIRECT(P193)</f>
        <v>20</v>
      </c>
      <c r="R193" s="1097"/>
      <c r="S193" s="1028" t="s">
        <v>3615</v>
      </c>
      <c r="T193" s="1097">
        <f t="shared" ref="T193:T202" ca="1" si="225">INDIRECT(S193)</f>
        <v>20</v>
      </c>
      <c r="U193" s="1027">
        <v>5</v>
      </c>
      <c r="V193" s="1027">
        <f t="shared" ref="V193:V202" si="226">IF(AP193+U193&gt;10,10,IF(AP193+U193&lt;1,1,AP193+U193))</f>
        <v>5</v>
      </c>
      <c r="W193" s="1098" t="e">
        <f>IF(OR(I193&lt;&gt;"N",E193="C"),IF(AND(N193&lt;&gt;"T",ISNUMBER(FIND("V",I193))),1,0),NA())+IF(H193="Y",IF(AND(N193="P",ISNUMBER(FIND("Z",I193))),2,1),0)+IF(J193="Y",1,0)+IF(K193="Y",3,0)+IF(BE193="Lore",L193*2+Experience!$D$25,0)+IF(M193="Y",1,0)</f>
        <v>#N/A</v>
      </c>
      <c r="X193" s="1099"/>
      <c r="Y193" s="1100">
        <f ca="1">IF(P193="NS",IFERROR(INDIRECT(S193),NA()),VLOOKUP(INDIRECT(P193)+INDIRECT(S193),'System Lookups'!$A$3:$D$146,2))</f>
        <v>0.2</v>
      </c>
      <c r="Z193" s="1100">
        <f t="shared" ref="Z193:Z202" si="227">IF(ISNA(W193),0,W193*0.03)+IF(X193&gt;0,X193*0.03,0)+IF(AND(ISNA(W193),X193&lt;=0),0,IF(G193&gt;0,G193*0.07,0))</f>
        <v>0</v>
      </c>
      <c r="AA193" s="1101">
        <f t="shared" ref="AA193:AA202" ca="1" si="228">IF(ISNA(Y193),0,Y193)+Z193</f>
        <v>0.2</v>
      </c>
      <c r="AB193" s="1102">
        <f>VLOOKUP(V193,'System Lookups'!$J$55:$P$64,3)</f>
        <v>0.1</v>
      </c>
      <c r="AC193" s="1103">
        <f>VLOOKUP(V193,'System Lookups'!$J$55:$P$64,4)</f>
        <v>0.2</v>
      </c>
      <c r="AD193" s="1104">
        <f t="shared" ref="AD193:AD202" ca="1" si="229">IF(AND(ISBLANK(X193),ISNA(W193)),IF(B193="~",0,AB193+AA193+IF(BB193&gt;0,0.05,0)),AA193+AC193+IF(BB193&gt;0,0.05,0))</f>
        <v>0.30000000000000004</v>
      </c>
      <c r="AE193" s="1094">
        <f ca="1">(IF(AD193&gt;VLOOKUP(V193,'System Lookups'!$J$55:$P$63,6),(((AD193-VLOOKUP(V193,'System Lookups'!$J$55:$P$63,6))*100)/20),0))+AF193</f>
        <v>0</v>
      </c>
      <c r="AF193" s="1121"/>
      <c r="AG193" s="1092">
        <f t="shared" ref="AG193:AG202" si="230">IF(ISBLANK(X193),0,AQ193*X193+IF(ISNA(W193),1,0))</f>
        <v>0</v>
      </c>
      <c r="AH193" s="1092" t="str">
        <f>IF(X193&lt;=Experience!$R$15+1,"","*")</f>
        <v/>
      </c>
      <c r="AI193" s="1092"/>
      <c r="AJ193" s="1080">
        <f t="shared" ref="AJ193:AJ202" si="231">IF(ISNUMBER(FIND("R",F193)),-1,0)</f>
        <v>0</v>
      </c>
      <c r="AK193" s="1080">
        <f t="shared" ref="AK193:AK202" si="232">IF(F193="s",-2,0)</f>
        <v>0</v>
      </c>
      <c r="AL193" s="1080">
        <f t="shared" ref="AL193:AL202" si="233">IF(AND(H193="Y",OR(N193="P",N193="S")),-1,0)</f>
        <v>0</v>
      </c>
      <c r="AM193" s="1092">
        <f t="shared" ref="AM193:AM202" si="234">IF(J193="y",1,0)</f>
        <v>0</v>
      </c>
      <c r="AN193" s="1080">
        <f t="shared" ref="AN193:AN202" si="235">IF(N193="P",-1,IF(N193="T",1,0))</f>
        <v>0</v>
      </c>
      <c r="AO193" s="1080">
        <f t="shared" ref="AO193:AO202" si="236">IF(ISNUMBER(FIND("Z",I193)),1,0)</f>
        <v>0</v>
      </c>
      <c r="AP193" s="1080">
        <f t="shared" ref="AP193:AP202" si="237">SUM(AJ193:AN193)-AM193</f>
        <v>0</v>
      </c>
      <c r="AQ193" s="1027">
        <f>VLOOKUP(V193,'System Lookups'!$J$55:$P$64,7)</f>
        <v>700</v>
      </c>
      <c r="AR193" s="1080" t="str">
        <f ca="1">IF(AND(NOT(ISBLANK(AJ193)),ISNA(MATCH(ROW(),'System Lookups'!$C$526:$C$539,0))),"Y","N")</f>
        <v>Y</v>
      </c>
      <c r="AS193" s="1080">
        <f t="shared" ref="AS193:AS202" si="238">AG193-AI193</f>
        <v>0</v>
      </c>
      <c r="AU193" s="1080" t="e">
        <f t="shared" si="213"/>
        <v>#N/A</v>
      </c>
      <c r="AV193" s="1080" t="str">
        <f t="shared" si="210"/>
        <v>S</v>
      </c>
      <c r="AW193" s="1080">
        <f t="shared" si="214"/>
        <v>0</v>
      </c>
      <c r="AX193" s="1080">
        <f t="shared" si="215"/>
        <v>0</v>
      </c>
      <c r="AY193" s="1080">
        <f t="shared" si="216"/>
        <v>0</v>
      </c>
      <c r="AZ193" s="1080">
        <f t="shared" si="217"/>
        <v>0</v>
      </c>
      <c r="BA193" s="1080">
        <f t="shared" si="218"/>
        <v>0</v>
      </c>
      <c r="BB193" s="1080">
        <f>IF(AND(RACE=1,'Main Creation Page'!$E$6="Well",OR(ISNUMBER(FIND(Experience!$G$11,BE193)),ISNUMBER(FIND(Experience!$G$11,BF193)),ISNUMBER(FIND(Experience!$I$11,BE193)),ISNUMBER(FIND(Experience!$I$11,BF193)))),1,0)</f>
        <v>0</v>
      </c>
      <c r="BC193" s="1080" t="str">
        <f t="shared" si="179"/>
        <v>Swords:Great Swords</v>
      </c>
      <c r="BD193" s="1080" t="s">
        <v>5685</v>
      </c>
      <c r="BE193" s="1080" t="str">
        <f t="shared" si="211"/>
        <v/>
      </c>
      <c r="BF193" s="1080" t="str">
        <f t="shared" si="212"/>
        <v>Combat Skills</v>
      </c>
    </row>
    <row r="194" spans="1:58" ht="11.1" customHeight="1" outlineLevel="2">
      <c r="A194" s="1028" t="s">
        <v>1553</v>
      </c>
      <c r="B194" s="1094"/>
      <c r="C194" s="1094" t="s">
        <v>4629</v>
      </c>
      <c r="D194" s="1094" t="s">
        <v>3251</v>
      </c>
      <c r="E194" s="1095" t="s">
        <v>5224</v>
      </c>
      <c r="F194" s="1095" t="s">
        <v>5224</v>
      </c>
      <c r="G194" s="1096">
        <v>0</v>
      </c>
      <c r="H194" s="1096" t="s">
        <v>5224</v>
      </c>
      <c r="I194" s="1096" t="s">
        <v>5224</v>
      </c>
      <c r="J194" s="1096" t="s">
        <v>5224</v>
      </c>
      <c r="K194" s="1096" t="s">
        <v>5224</v>
      </c>
      <c r="L194" s="1096" t="s">
        <v>5224</v>
      </c>
      <c r="M194" s="1096" t="s">
        <v>5224</v>
      </c>
      <c r="N194" s="1096" t="s">
        <v>4630</v>
      </c>
      <c r="O194" s="1028"/>
      <c r="P194" s="1028" t="s">
        <v>3615</v>
      </c>
      <c r="Q194" s="1097">
        <f t="shared" ca="1" si="224"/>
        <v>20</v>
      </c>
      <c r="R194" s="1097"/>
      <c r="S194" s="1028" t="s">
        <v>3611</v>
      </c>
      <c r="T194" s="1097">
        <f t="shared" ca="1" si="225"/>
        <v>15</v>
      </c>
      <c r="U194" s="1027">
        <v>4</v>
      </c>
      <c r="V194" s="1027">
        <f t="shared" si="226"/>
        <v>4</v>
      </c>
      <c r="W194" s="1098" t="e">
        <f>IF(OR(I194&lt;&gt;"N",E194="C"),IF(AND(N194&lt;&gt;"T",ISNUMBER(FIND("V",I194))),1,0),NA())+IF(H194="Y",IF(AND(N194="P",ISNUMBER(FIND("Z",I194))),2,1),0)+IF(J194="Y",1,0)+IF(K194="Y",3,0)+IF(BE194="Lore",L194*2+Experience!$D$25,0)+IF(M194="Y",1,0)</f>
        <v>#N/A</v>
      </c>
      <c r="X194" s="1099"/>
      <c r="Y194" s="1100">
        <f ca="1">IF(P194="NS",IFERROR(INDIRECT(S194),NA()),VLOOKUP(INDIRECT(P194)+INDIRECT(S194),'System Lookups'!$A$3:$D$146,2))</f>
        <v>0.12</v>
      </c>
      <c r="Z194" s="1100">
        <f t="shared" si="227"/>
        <v>0</v>
      </c>
      <c r="AA194" s="1101">
        <f t="shared" ca="1" si="228"/>
        <v>0.12</v>
      </c>
      <c r="AB194" s="1102">
        <f>VLOOKUP(V194,'System Lookups'!$J$55:$P$64,3)</f>
        <v>0.2</v>
      </c>
      <c r="AC194" s="1103">
        <f>VLOOKUP(V194,'System Lookups'!$J$55:$P$64,4)</f>
        <v>0.3</v>
      </c>
      <c r="AD194" s="1104">
        <f t="shared" ca="1" si="229"/>
        <v>0.32</v>
      </c>
      <c r="AE194" s="1094">
        <f ca="1">(IF(AD194&gt;VLOOKUP(V194,'System Lookups'!$J$55:$P$63,6),(((AD194-VLOOKUP(V194,'System Lookups'!$J$55:$P$63,6))*100)/20),0))+AF194</f>
        <v>0</v>
      </c>
      <c r="AF194" s="1121"/>
      <c r="AG194" s="1092">
        <f t="shared" si="230"/>
        <v>0</v>
      </c>
      <c r="AH194" s="1092" t="str">
        <f>IF(X194&lt;=Experience!$R$15+1,"","*")</f>
        <v/>
      </c>
      <c r="AI194" s="1092"/>
      <c r="AJ194" s="1080">
        <f t="shared" si="231"/>
        <v>0</v>
      </c>
      <c r="AK194" s="1080">
        <f t="shared" si="232"/>
        <v>0</v>
      </c>
      <c r="AL194" s="1080">
        <f t="shared" si="233"/>
        <v>0</v>
      </c>
      <c r="AM194" s="1092">
        <f t="shared" si="234"/>
        <v>0</v>
      </c>
      <c r="AN194" s="1080">
        <f t="shared" si="235"/>
        <v>0</v>
      </c>
      <c r="AO194" s="1080">
        <f t="shared" si="236"/>
        <v>0</v>
      </c>
      <c r="AP194" s="1080">
        <f t="shared" si="237"/>
        <v>0</v>
      </c>
      <c r="AQ194" s="1027">
        <f>VLOOKUP(V194,'System Lookups'!$J$55:$P$64,7)</f>
        <v>600</v>
      </c>
      <c r="AR194" s="1080" t="str">
        <f ca="1">IF(AND(NOT(ISBLANK(AJ194)),ISNA(MATCH(ROW(),'System Lookups'!$C$526:$C$539,0))),"Y","N")</f>
        <v>Y</v>
      </c>
      <c r="AS194" s="1080">
        <f t="shared" si="238"/>
        <v>0</v>
      </c>
      <c r="AU194" s="1080" t="e">
        <f t="shared" si="213"/>
        <v>#N/A</v>
      </c>
      <c r="AV194" s="1080" t="str">
        <f t="shared" si="210"/>
        <v>S</v>
      </c>
      <c r="AW194" s="1080">
        <f t="shared" si="214"/>
        <v>0</v>
      </c>
      <c r="AX194" s="1080">
        <f t="shared" si="215"/>
        <v>0</v>
      </c>
      <c r="AY194" s="1080">
        <f t="shared" si="216"/>
        <v>0</v>
      </c>
      <c r="AZ194" s="1080">
        <f t="shared" si="217"/>
        <v>0</v>
      </c>
      <c r="BA194" s="1080">
        <f t="shared" si="218"/>
        <v>0</v>
      </c>
      <c r="BB194" s="1080">
        <f>IF(AND(RACE=1,'Main Creation Page'!$E$6="Well",OR(ISNUMBER(FIND(Experience!$G$11,BE194)),ISNUMBER(FIND(Experience!$G$11,BF194)),ISNUMBER(FIND(Experience!$I$11,BE194)),ISNUMBER(FIND(Experience!$I$11,BF194)))),1,0)</f>
        <v>0</v>
      </c>
      <c r="BC194" s="1080" t="str">
        <f t="shared" si="179"/>
        <v>Swords:Short Swords</v>
      </c>
      <c r="BD194" s="1080" t="s">
        <v>5685</v>
      </c>
      <c r="BE194" s="1080" t="str">
        <f t="shared" si="211"/>
        <v/>
      </c>
      <c r="BF194" s="1080" t="str">
        <f t="shared" si="212"/>
        <v>Combat Skills</v>
      </c>
    </row>
    <row r="195" spans="1:58" ht="11.1" customHeight="1" outlineLevel="2">
      <c r="A195" s="1028" t="s">
        <v>2022</v>
      </c>
      <c r="B195" s="1094"/>
      <c r="C195" s="1094" t="s">
        <v>4629</v>
      </c>
      <c r="D195" s="1094" t="s">
        <v>3251</v>
      </c>
      <c r="E195" s="1095" t="s">
        <v>5224</v>
      </c>
      <c r="F195" s="1095" t="str">
        <f>IF('Main Creation Page'!$C$3=2,IF('Main Creation Page'!$E$26="Great Elf","R",IF('Main Creation Page'!$E$26="True Elf","R","N")),"N")</f>
        <v>N</v>
      </c>
      <c r="G195" s="1096">
        <v>0</v>
      </c>
      <c r="H195" s="1096" t="s">
        <v>5224</v>
      </c>
      <c r="I195" s="1096" t="s">
        <v>5224</v>
      </c>
      <c r="J195" s="1096" t="s">
        <v>5224</v>
      </c>
      <c r="K195" s="1096" t="s">
        <v>5224</v>
      </c>
      <c r="L195" s="1096" t="s">
        <v>5224</v>
      </c>
      <c r="M195" s="1096" t="s">
        <v>5224</v>
      </c>
      <c r="N195" s="1096" t="s">
        <v>4630</v>
      </c>
      <c r="O195" s="1028"/>
      <c r="P195" s="1028" t="s">
        <v>3615</v>
      </c>
      <c r="Q195" s="1097">
        <f t="shared" ca="1" si="224"/>
        <v>20</v>
      </c>
      <c r="R195" s="1097"/>
      <c r="S195" s="1028" t="s">
        <v>3611</v>
      </c>
      <c r="T195" s="1097">
        <f t="shared" ca="1" si="225"/>
        <v>15</v>
      </c>
      <c r="U195" s="1027">
        <v>4</v>
      </c>
      <c r="V195" s="1027">
        <f t="shared" si="226"/>
        <v>4</v>
      </c>
      <c r="W195" s="1098" t="e">
        <f>IF(OR(I195&lt;&gt;"N",E195="C"),IF(AND(N195&lt;&gt;"T",ISNUMBER(FIND("V",I195))),1,0),NA())+IF(H195="Y",IF(AND(N195="P",ISNUMBER(FIND("Z",I195))),2,1),0)+IF(J195="Y",1,0)+IF(K195="Y",3,0)+IF(BE195="Lore",L195*2+Experience!$D$25,0)+IF(M195="Y",1,0)</f>
        <v>#N/A</v>
      </c>
      <c r="X195" s="1099"/>
      <c r="Y195" s="1100">
        <f ca="1">IF(P195="NS",IFERROR(INDIRECT(S195),NA()),VLOOKUP(INDIRECT(P195)+INDIRECT(S195),'System Lookups'!$A$3:$D$146,2))</f>
        <v>0.12</v>
      </c>
      <c r="Z195" s="1100">
        <f t="shared" si="227"/>
        <v>0</v>
      </c>
      <c r="AA195" s="1101">
        <f t="shared" ca="1" si="228"/>
        <v>0.12</v>
      </c>
      <c r="AB195" s="1102">
        <f>VLOOKUP(V195,'System Lookups'!$J$55:$P$64,3)</f>
        <v>0.2</v>
      </c>
      <c r="AC195" s="1103">
        <f>VLOOKUP(V195,'System Lookups'!$J$55:$P$64,4)</f>
        <v>0.3</v>
      </c>
      <c r="AD195" s="1104">
        <f t="shared" ca="1" si="229"/>
        <v>0.32</v>
      </c>
      <c r="AE195" s="1094">
        <f ca="1">(IF(AD195&gt;VLOOKUP(V195,'System Lookups'!$J$55:$P$63,6),(((AD195-VLOOKUP(V195,'System Lookups'!$J$55:$P$63,6))*100)/20),0))+AF195</f>
        <v>0</v>
      </c>
      <c r="AF195" s="1121"/>
      <c r="AG195" s="1092">
        <f t="shared" si="230"/>
        <v>0</v>
      </c>
      <c r="AH195" s="1092" t="str">
        <f>IF(X195&lt;=Experience!$R$15+1,"","*")</f>
        <v/>
      </c>
      <c r="AI195" s="1092"/>
      <c r="AJ195" s="1080">
        <f t="shared" si="231"/>
        <v>0</v>
      </c>
      <c r="AK195" s="1080">
        <f t="shared" si="232"/>
        <v>0</v>
      </c>
      <c r="AL195" s="1080">
        <f t="shared" si="233"/>
        <v>0</v>
      </c>
      <c r="AM195" s="1092">
        <f t="shared" si="234"/>
        <v>0</v>
      </c>
      <c r="AN195" s="1080">
        <f t="shared" si="235"/>
        <v>0</v>
      </c>
      <c r="AO195" s="1080">
        <f t="shared" si="236"/>
        <v>0</v>
      </c>
      <c r="AP195" s="1080">
        <f t="shared" si="237"/>
        <v>0</v>
      </c>
      <c r="AQ195" s="1027">
        <f>VLOOKUP(V195,'System Lookups'!$J$55:$P$64,7)</f>
        <v>600</v>
      </c>
      <c r="AR195" s="1080" t="str">
        <f ca="1">IF(AND(NOT(ISBLANK(AJ195)),ISNA(MATCH(ROW(),'System Lookups'!$C$526:$C$539,0))),"Y","N")</f>
        <v>Y</v>
      </c>
      <c r="AS195" s="1080">
        <f t="shared" si="238"/>
        <v>0</v>
      </c>
      <c r="AU195" s="1080" t="e">
        <f t="shared" si="213"/>
        <v>#N/A</v>
      </c>
      <c r="AV195" s="1080" t="str">
        <f t="shared" si="210"/>
        <v>S</v>
      </c>
      <c r="AW195" s="1080">
        <f t="shared" si="214"/>
        <v>0</v>
      </c>
      <c r="AX195" s="1080">
        <f t="shared" si="215"/>
        <v>0</v>
      </c>
      <c r="AY195" s="1080">
        <f t="shared" si="216"/>
        <v>0</v>
      </c>
      <c r="AZ195" s="1080">
        <f t="shared" si="217"/>
        <v>0</v>
      </c>
      <c r="BA195" s="1080">
        <f t="shared" si="218"/>
        <v>0</v>
      </c>
      <c r="BB195" s="1080">
        <f>IF(AND(RACE=1,'Main Creation Page'!$E$6="Well",OR(ISNUMBER(FIND(Experience!$G$11,BE195)),ISNUMBER(FIND(Experience!$G$11,BF195)),ISNUMBER(FIND(Experience!$I$11,BE195)),ISNUMBER(FIND(Experience!$I$11,BF195)))),1,0)</f>
        <v>0</v>
      </c>
      <c r="BC195" s="1080" t="str">
        <f t="shared" si="179"/>
        <v>Swords:Slashing Swords</v>
      </c>
      <c r="BD195" s="1080" t="s">
        <v>5685</v>
      </c>
      <c r="BE195" s="1080" t="str">
        <f t="shared" si="211"/>
        <v/>
      </c>
      <c r="BF195" s="1080" t="str">
        <f t="shared" si="212"/>
        <v>Combat Skills</v>
      </c>
    </row>
    <row r="196" spans="1:58" ht="10.5" customHeight="1" outlineLevel="1">
      <c r="A196" s="1117" t="s">
        <v>2672</v>
      </c>
      <c r="B196" s="1094"/>
      <c r="C196" s="1094" t="s">
        <v>4629</v>
      </c>
      <c r="D196" s="1094" t="s">
        <v>4623</v>
      </c>
      <c r="E196" s="1095" t="s">
        <v>5224</v>
      </c>
      <c r="F196" s="1095" t="str">
        <f>IF('Main Creation Page'!C3=4,"R","N")</f>
        <v>N</v>
      </c>
      <c r="G196" s="1096">
        <v>0</v>
      </c>
      <c r="H196" s="1096" t="s">
        <v>5224</v>
      </c>
      <c r="I196" s="1096" t="s">
        <v>5224</v>
      </c>
      <c r="J196" s="1096" t="s">
        <v>5224</v>
      </c>
      <c r="K196" s="1096" t="s">
        <v>5224</v>
      </c>
      <c r="L196" s="1096" t="s">
        <v>5224</v>
      </c>
      <c r="M196" s="1096" t="s">
        <v>5224</v>
      </c>
      <c r="N196" s="1096" t="s">
        <v>4630</v>
      </c>
      <c r="O196" s="1028"/>
      <c r="P196" s="1028" t="s">
        <v>3611</v>
      </c>
      <c r="Q196" s="1097">
        <f t="shared" ca="1" si="224"/>
        <v>15</v>
      </c>
      <c r="R196" s="1097"/>
      <c r="S196" s="1028" t="s">
        <v>3611</v>
      </c>
      <c r="T196" s="1097">
        <f t="shared" ca="1" si="225"/>
        <v>15</v>
      </c>
      <c r="U196" s="1027">
        <v>4</v>
      </c>
      <c r="V196" s="1027">
        <f t="shared" si="226"/>
        <v>4</v>
      </c>
      <c r="W196" s="1098" t="e">
        <f>IF(OR(I196&lt;&gt;"N",E196="C"),IF(AND(N196&lt;&gt;"T",ISNUMBER(FIND("V",I196))),1,0),NA())+IF(H196="Y",IF(AND(N196="P",ISNUMBER(FIND("Z",I196))),2,1),0)+IF(J196="Y",1,0)+IF(K196="Y",3,0)+IF(BE196="Lore",L196*2+Experience!$D$25,0)+IF(M196="Y",1,0)</f>
        <v>#N/A</v>
      </c>
      <c r="X196" s="1099"/>
      <c r="Y196" s="1100">
        <f ca="1">IF(P196="NS",IFERROR(INDIRECT(S196),NA()),VLOOKUP(INDIRECT(P196)+INDIRECT(S196),'System Lookups'!$A$3:$D$146,2))</f>
        <v>0.06</v>
      </c>
      <c r="Z196" s="1100">
        <f t="shared" si="227"/>
        <v>0</v>
      </c>
      <c r="AA196" s="1101">
        <f t="shared" ca="1" si="228"/>
        <v>0.06</v>
      </c>
      <c r="AB196" s="1102">
        <f>VLOOKUP(V196,'System Lookups'!$J$55:$P$64,3)</f>
        <v>0.2</v>
      </c>
      <c r="AC196" s="1103">
        <f>VLOOKUP(V196,'System Lookups'!$J$55:$P$64,4)</f>
        <v>0.3</v>
      </c>
      <c r="AD196" s="1104">
        <f t="shared" ca="1" si="229"/>
        <v>0.26</v>
      </c>
      <c r="AE196" s="1094">
        <f ca="1">(IF(AD196&gt;VLOOKUP(V196,'System Lookups'!$J$55:$P$63,6),(((AD196-VLOOKUP(V196,'System Lookups'!$J$55:$P$63,6))*100)/20),0))+AF196</f>
        <v>0</v>
      </c>
      <c r="AF196" s="1121"/>
      <c r="AG196" s="1092">
        <f t="shared" si="230"/>
        <v>0</v>
      </c>
      <c r="AH196" s="1092" t="str">
        <f>IF(X196&lt;=Experience!$R$15+1,"","*")</f>
        <v/>
      </c>
      <c r="AI196" s="1092"/>
      <c r="AJ196" s="1080">
        <f t="shared" si="231"/>
        <v>0</v>
      </c>
      <c r="AK196" s="1080">
        <f t="shared" si="232"/>
        <v>0</v>
      </c>
      <c r="AL196" s="1080">
        <f t="shared" si="233"/>
        <v>0</v>
      </c>
      <c r="AM196" s="1092">
        <f t="shared" si="234"/>
        <v>0</v>
      </c>
      <c r="AN196" s="1080">
        <f t="shared" si="235"/>
        <v>0</v>
      </c>
      <c r="AO196" s="1080">
        <f t="shared" si="236"/>
        <v>0</v>
      </c>
      <c r="AP196" s="1080">
        <f t="shared" si="237"/>
        <v>0</v>
      </c>
      <c r="AQ196" s="1027">
        <f>VLOOKUP(V196,'System Lookups'!$J$55:$P$64,7)</f>
        <v>600</v>
      </c>
      <c r="AR196" s="1080" t="str">
        <f ca="1">IF(AND(NOT(ISBLANK(AJ196)),ISNA(MATCH(ROW(),'System Lookups'!$C$526:$C$539,0))),"Y","N")</f>
        <v>Y</v>
      </c>
      <c r="AS196" s="1080">
        <f t="shared" si="238"/>
        <v>0</v>
      </c>
      <c r="AU196" s="1080" t="e">
        <f t="shared" si="213"/>
        <v>#N/A</v>
      </c>
      <c r="AV196" s="1080" t="str">
        <f t="shared" si="210"/>
        <v>S</v>
      </c>
      <c r="AW196" s="1080">
        <f t="shared" si="214"/>
        <v>0</v>
      </c>
      <c r="AX196" s="1080">
        <f t="shared" si="215"/>
        <v>0</v>
      </c>
      <c r="AY196" s="1080">
        <f t="shared" si="216"/>
        <v>0</v>
      </c>
      <c r="AZ196" s="1080">
        <f t="shared" si="217"/>
        <v>0</v>
      </c>
      <c r="BA196" s="1080">
        <f t="shared" si="218"/>
        <v>0</v>
      </c>
      <c r="BB196" s="1080">
        <f>IF(AND(RACE=1,'Main Creation Page'!$E$6="Well",OR(ISNUMBER(FIND(Experience!$G$11,BE196)),ISNUMBER(FIND(Experience!$G$11,BF196)),ISNUMBER(FIND(Experience!$I$11,BE196)),ISNUMBER(FIND(Experience!$I$11,BF196)))),1,0)</f>
        <v>0</v>
      </c>
      <c r="BC196" s="1080" t="str">
        <f t="shared" si="179"/>
        <v>Slings</v>
      </c>
      <c r="BE196" s="1080" t="str">
        <f t="shared" si="211"/>
        <v/>
      </c>
      <c r="BF196" s="1080" t="str">
        <f t="shared" si="212"/>
        <v>Combat Skills</v>
      </c>
    </row>
    <row r="197" spans="1:58" ht="10.5" customHeight="1" outlineLevel="1">
      <c r="A197" s="1117" t="s">
        <v>2673</v>
      </c>
      <c r="B197" s="1094"/>
      <c r="C197" s="1094" t="s">
        <v>4629</v>
      </c>
      <c r="D197" s="1094" t="s">
        <v>3251</v>
      </c>
      <c r="E197" s="1095" t="s">
        <v>5224</v>
      </c>
      <c r="F197" s="1095" t="s">
        <v>5224</v>
      </c>
      <c r="G197" s="1096">
        <v>0</v>
      </c>
      <c r="H197" s="1096" t="s">
        <v>5224</v>
      </c>
      <c r="I197" s="1096" t="s">
        <v>5224</v>
      </c>
      <c r="J197" s="1096" t="s">
        <v>5224</v>
      </c>
      <c r="K197" s="1096" t="s">
        <v>5224</v>
      </c>
      <c r="L197" s="1096" t="s">
        <v>5224</v>
      </c>
      <c r="M197" s="1096" t="s">
        <v>5224</v>
      </c>
      <c r="N197" s="1096" t="s">
        <v>4630</v>
      </c>
      <c r="O197" s="1028"/>
      <c r="P197" s="1028" t="s">
        <v>3615</v>
      </c>
      <c r="Q197" s="1097">
        <f t="shared" ca="1" si="224"/>
        <v>20</v>
      </c>
      <c r="R197" s="1097"/>
      <c r="S197" s="1028" t="s">
        <v>3613</v>
      </c>
      <c r="T197" s="1097">
        <f t="shared" ca="1" si="225"/>
        <v>15</v>
      </c>
      <c r="U197" s="1027">
        <v>4</v>
      </c>
      <c r="V197" s="1027">
        <f t="shared" si="226"/>
        <v>4</v>
      </c>
      <c r="W197" s="1098" t="e">
        <f>IF(OR(I197&lt;&gt;"N",E197="C"),IF(AND(N197&lt;&gt;"T",ISNUMBER(FIND("V",I197))),1,0),NA())+IF(H197="Y",IF(AND(N197="P",ISNUMBER(FIND("Z",I197))),2,1),0)+IF(J197="Y",1,0)+IF(K197="Y",3,0)+IF(BE197="Lore",L197*2+Experience!$D$25,0)+IF(M197="Y",1,0)</f>
        <v>#N/A</v>
      </c>
      <c r="X197" s="1099"/>
      <c r="Y197" s="1100">
        <f ca="1">IF(P197="NS",IFERROR(INDIRECT(S197),NA()),VLOOKUP(INDIRECT(P197)+INDIRECT(S197),'System Lookups'!$A$3:$D$146,2))</f>
        <v>0.12</v>
      </c>
      <c r="Z197" s="1100">
        <f t="shared" si="227"/>
        <v>0</v>
      </c>
      <c r="AA197" s="1101">
        <f t="shared" ca="1" si="228"/>
        <v>0.12</v>
      </c>
      <c r="AB197" s="1102">
        <f>VLOOKUP(V197,'System Lookups'!$J$55:$P$64,3)</f>
        <v>0.2</v>
      </c>
      <c r="AC197" s="1103">
        <f>VLOOKUP(V197,'System Lookups'!$J$55:$P$64,4)</f>
        <v>0.3</v>
      </c>
      <c r="AD197" s="1104">
        <f t="shared" ca="1" si="229"/>
        <v>0.32</v>
      </c>
      <c r="AE197" s="1094">
        <f ca="1">(IF(AD197&gt;VLOOKUP(V197,'System Lookups'!$J$55:$P$63,6),(((AD197-VLOOKUP(V197,'System Lookups'!$J$55:$P$63,6))*100)/20),0))+AF197</f>
        <v>0</v>
      </c>
      <c r="AF197" s="1121"/>
      <c r="AG197" s="1092">
        <f t="shared" si="230"/>
        <v>0</v>
      </c>
      <c r="AH197" s="1092" t="str">
        <f>IF(X197&lt;=Experience!$R$15+1,"","*")</f>
        <v/>
      </c>
      <c r="AI197" s="1092"/>
      <c r="AJ197" s="1080">
        <f t="shared" si="231"/>
        <v>0</v>
      </c>
      <c r="AK197" s="1080">
        <f t="shared" si="232"/>
        <v>0</v>
      </c>
      <c r="AL197" s="1080">
        <f t="shared" si="233"/>
        <v>0</v>
      </c>
      <c r="AM197" s="1092">
        <f t="shared" si="234"/>
        <v>0</v>
      </c>
      <c r="AN197" s="1080">
        <f t="shared" si="235"/>
        <v>0</v>
      </c>
      <c r="AO197" s="1080">
        <f t="shared" si="236"/>
        <v>0</v>
      </c>
      <c r="AP197" s="1080">
        <f t="shared" si="237"/>
        <v>0</v>
      </c>
      <c r="AQ197" s="1027">
        <f>VLOOKUP(V197,'System Lookups'!$J$55:$P$64,7)</f>
        <v>600</v>
      </c>
      <c r="AR197" s="1080" t="str">
        <f ca="1">IF(AND(NOT(ISBLANK(AJ197)),ISNA(MATCH(ROW(),'System Lookups'!$C$526:$C$539,0))),"Y","N")</f>
        <v>Y</v>
      </c>
      <c r="AS197" s="1080">
        <f t="shared" si="238"/>
        <v>0</v>
      </c>
      <c r="AU197" s="1080" t="e">
        <f t="shared" si="213"/>
        <v>#N/A</v>
      </c>
      <c r="AV197" s="1080" t="str">
        <f t="shared" si="210"/>
        <v>S</v>
      </c>
      <c r="AW197" s="1080">
        <f t="shared" si="214"/>
        <v>0</v>
      </c>
      <c r="AX197" s="1080">
        <f t="shared" si="215"/>
        <v>0</v>
      </c>
      <c r="AY197" s="1080">
        <f t="shared" si="216"/>
        <v>0</v>
      </c>
      <c r="AZ197" s="1080">
        <f t="shared" si="217"/>
        <v>0</v>
      </c>
      <c r="BA197" s="1080">
        <f t="shared" si="218"/>
        <v>0</v>
      </c>
      <c r="BB197" s="1080">
        <f>IF(AND(RACE=1,'Main Creation Page'!$E$6="Well",OR(ISNUMBER(FIND(Experience!$G$11,BE197)),ISNUMBER(FIND(Experience!$G$11,BF197)),ISNUMBER(FIND(Experience!$I$11,BE197)),ISNUMBER(FIND(Experience!$I$11,BF197)))),1,0)</f>
        <v>0</v>
      </c>
      <c r="BC197" s="1080" t="str">
        <f t="shared" si="179"/>
        <v xml:space="preserve">Spears </v>
      </c>
      <c r="BE197" s="1080" t="str">
        <f t="shared" si="211"/>
        <v/>
      </c>
      <c r="BF197" s="1080" t="str">
        <f t="shared" si="212"/>
        <v>Combat Skills</v>
      </c>
    </row>
    <row r="198" spans="1:58" ht="10.5" customHeight="1" outlineLevel="1">
      <c r="A198" s="1123" t="s">
        <v>5574</v>
      </c>
      <c r="B198" s="1094"/>
      <c r="C198" s="1094" t="s">
        <v>4629</v>
      </c>
      <c r="D198" s="1094"/>
      <c r="E198" s="1095" t="s">
        <v>5224</v>
      </c>
      <c r="F198" s="1095" t="s">
        <v>5224</v>
      </c>
      <c r="G198" s="1096">
        <v>0</v>
      </c>
      <c r="H198" s="1096" t="s">
        <v>5224</v>
      </c>
      <c r="I198" s="1096" t="s">
        <v>5224</v>
      </c>
      <c r="J198" s="1096" t="s">
        <v>5224</v>
      </c>
      <c r="K198" s="1096" t="s">
        <v>5224</v>
      </c>
      <c r="L198" s="1096" t="s">
        <v>5224</v>
      </c>
      <c r="M198" s="1096" t="s">
        <v>5224</v>
      </c>
      <c r="N198" s="1096" t="s">
        <v>4630</v>
      </c>
      <c r="O198" s="1028"/>
      <c r="P198" s="1028" t="s">
        <v>3615</v>
      </c>
      <c r="Q198" s="1097">
        <f t="shared" ca="1" si="224"/>
        <v>20</v>
      </c>
      <c r="R198" s="1097"/>
      <c r="S198" s="1028" t="s">
        <v>3613</v>
      </c>
      <c r="T198" s="1097">
        <f t="shared" ca="1" si="225"/>
        <v>15</v>
      </c>
      <c r="U198" s="1027">
        <v>4</v>
      </c>
      <c r="V198" s="1027">
        <f t="shared" si="226"/>
        <v>4</v>
      </c>
      <c r="W198" s="1098" t="e">
        <f>IF(OR(I198&lt;&gt;"N",E198="C"),IF(AND(N198&lt;&gt;"T",ISNUMBER(FIND("V",I198))),1,0),NA())+IF(H198="Y",IF(AND(N198="P",ISNUMBER(FIND("Z",I198))),2,1),0)+IF(J198="Y",1,0)+IF(K198="Y",3,0)+IF(BE198="Lore",L198*2+Experience!$D$25,0)+IF(M198="Y",1,0)</f>
        <v>#N/A</v>
      </c>
      <c r="X198" s="1099"/>
      <c r="Y198" s="1100">
        <f ca="1">IF(P198="NS",IFERROR(INDIRECT(S198),NA()),VLOOKUP(INDIRECT(P198)+INDIRECT(S198),'System Lookups'!$A$3:$D$146,2))</f>
        <v>0.12</v>
      </c>
      <c r="Z198" s="1100">
        <f t="shared" si="227"/>
        <v>0</v>
      </c>
      <c r="AA198" s="1101">
        <f t="shared" ca="1" si="228"/>
        <v>0.12</v>
      </c>
      <c r="AB198" s="1102">
        <f>VLOOKUP(V198,'System Lookups'!$J$55:$P$64,3)</f>
        <v>0.2</v>
      </c>
      <c r="AC198" s="1103">
        <f>VLOOKUP(V198,'System Lookups'!$J$55:$P$64,4)</f>
        <v>0.3</v>
      </c>
      <c r="AD198" s="1104">
        <f t="shared" ca="1" si="229"/>
        <v>0.32</v>
      </c>
      <c r="AE198" s="1094">
        <f ca="1">(IF(AD198&gt;VLOOKUP(V198,'System Lookups'!$J$55:$P$63,6),(((AD198-VLOOKUP(V198,'System Lookups'!$J$55:$P$63,6))*100)/20),0))+AF198</f>
        <v>0</v>
      </c>
      <c r="AF198" s="1121"/>
      <c r="AG198" s="1092">
        <f t="shared" si="230"/>
        <v>0</v>
      </c>
      <c r="AH198" s="1092" t="str">
        <f>IF(X198&lt;=Experience!$R$15+1,"","*")</f>
        <v/>
      </c>
      <c r="AI198" s="1092"/>
      <c r="AJ198" s="1080">
        <f t="shared" si="231"/>
        <v>0</v>
      </c>
      <c r="AK198" s="1080">
        <f t="shared" si="232"/>
        <v>0</v>
      </c>
      <c r="AL198" s="1080">
        <f t="shared" si="233"/>
        <v>0</v>
      </c>
      <c r="AM198" s="1092">
        <f t="shared" si="234"/>
        <v>0</v>
      </c>
      <c r="AN198" s="1080">
        <f t="shared" si="235"/>
        <v>0</v>
      </c>
      <c r="AO198" s="1080">
        <f t="shared" si="236"/>
        <v>0</v>
      </c>
      <c r="AP198" s="1080">
        <f t="shared" si="237"/>
        <v>0</v>
      </c>
      <c r="AQ198" s="1027">
        <f>VLOOKUP(V198,'System Lookups'!$J$55:$P$64,7)</f>
        <v>600</v>
      </c>
      <c r="AR198" s="1080" t="str">
        <f ca="1">IF(AND(NOT(ISBLANK(AJ198)),ISNA(MATCH(ROW(),'System Lookups'!$C$526:$C$539,0))),"Y","N")</f>
        <v>Y</v>
      </c>
      <c r="AS198" s="1080">
        <f t="shared" si="238"/>
        <v>0</v>
      </c>
      <c r="AU198" s="1080" t="e">
        <f t="shared" si="213"/>
        <v>#N/A</v>
      </c>
      <c r="AV198" s="1080" t="str">
        <f t="shared" si="210"/>
        <v>S</v>
      </c>
      <c r="AW198" s="1080">
        <f t="shared" si="214"/>
        <v>0</v>
      </c>
      <c r="AX198" s="1080">
        <f t="shared" si="215"/>
        <v>0</v>
      </c>
      <c r="AY198" s="1080">
        <f t="shared" si="216"/>
        <v>0</v>
      </c>
      <c r="AZ198" s="1080">
        <f t="shared" si="217"/>
        <v>0</v>
      </c>
      <c r="BA198" s="1080">
        <f t="shared" si="218"/>
        <v>0</v>
      </c>
      <c r="BB198" s="1080">
        <f>IF(AND(RACE=1,'Main Creation Page'!$E$6="Well",OR(ISNUMBER(FIND(Experience!$G$11,BE198)),ISNUMBER(FIND(Experience!$G$11,BF198)),ISNUMBER(FIND(Experience!$I$11,BE198)),ISNUMBER(FIND(Experience!$I$11,BF198)))),1,0)</f>
        <v>0</v>
      </c>
      <c r="BC198" s="1080" t="str">
        <f t="shared" ref="BC198:BC261" si="239">IF(ISBLANK(AJ198),IF(ISBLANK(AI198),IF(RIGHT(A198,2)="en","Language Lore: "&amp;A198,IF(LEFT(A198,9)="Alquennas",A198,NA())),IF(RIGHT(A198,9)=" Medicina",A198&amp;": Healing Lore Skills",IF(OR(LEFT(A198,5)="Lore ",LEFT(A198,8)="Materia "),A198&amp;" Skills",IF(LEFT(A198,8)="Cooking ","Cooking &amp; Innkeeping Skills",A198)))),IF(LEFT(A198,9)="alertness","Alertness: "&amp;RIGHT(A198,5),IF(ISBLANK(BD198),A198,IF(RIGHT(BD198,2)=" (",BD198&amp;"Own)",BD198&amp;A198))))</f>
        <v>Swiss Arrow</v>
      </c>
      <c r="BE198" s="1080" t="str">
        <f t="shared" si="211"/>
        <v/>
      </c>
      <c r="BF198" s="1080" t="str">
        <f t="shared" si="212"/>
        <v>Combat Skills</v>
      </c>
    </row>
    <row r="199" spans="1:58" ht="10.5" customHeight="1" outlineLevel="1">
      <c r="A199" s="1123" t="s">
        <v>1913</v>
      </c>
      <c r="B199" s="1094"/>
      <c r="C199" s="1094" t="s">
        <v>4629</v>
      </c>
      <c r="D199" s="1094" t="s">
        <v>4623</v>
      </c>
      <c r="E199" s="1095" t="s">
        <v>5224</v>
      </c>
      <c r="F199" s="1095" t="s">
        <v>5224</v>
      </c>
      <c r="G199" s="1096">
        <v>0</v>
      </c>
      <c r="H199" s="1096" t="s">
        <v>5224</v>
      </c>
      <c r="I199" s="1096" t="s">
        <v>5224</v>
      </c>
      <c r="J199" s="1096" t="s">
        <v>5224</v>
      </c>
      <c r="K199" s="1096" t="s">
        <v>5224</v>
      </c>
      <c r="L199" s="1096" t="s">
        <v>5224</v>
      </c>
      <c r="M199" s="1096" t="s">
        <v>5224</v>
      </c>
      <c r="N199" s="1096" t="s">
        <v>4630</v>
      </c>
      <c r="O199" s="1028"/>
      <c r="P199" s="1028" t="s">
        <v>3615</v>
      </c>
      <c r="Q199" s="1097">
        <f t="shared" ca="1" si="224"/>
        <v>20</v>
      </c>
      <c r="R199" s="1097"/>
      <c r="S199" s="1028" t="s">
        <v>3611</v>
      </c>
      <c r="T199" s="1097">
        <f t="shared" ca="1" si="225"/>
        <v>15</v>
      </c>
      <c r="U199" s="1027">
        <v>5</v>
      </c>
      <c r="V199" s="1027">
        <f t="shared" si="226"/>
        <v>5</v>
      </c>
      <c r="W199" s="1098" t="e">
        <f>IF(OR(I199&lt;&gt;"N",E199="C"),IF(AND(N199&lt;&gt;"T",ISNUMBER(FIND("V",I199))),1,0),NA())+IF(H199="Y",IF(AND(N199="P",ISNUMBER(FIND("Z",I199))),2,1),0)+IF(J199="Y",1,0)+IF(K199="Y",3,0)+IF(BE199="Lore",L199*2+Experience!$D$25,0)+IF(M199="Y",1,0)</f>
        <v>#N/A</v>
      </c>
      <c r="X199" s="1099"/>
      <c r="Y199" s="1100">
        <f ca="1">IF(P199="NS",IFERROR(INDIRECT(S199),NA()),VLOOKUP(INDIRECT(P199)+INDIRECT(S199),'System Lookups'!$A$3:$D$146,2))</f>
        <v>0.12</v>
      </c>
      <c r="Z199" s="1100">
        <f t="shared" si="227"/>
        <v>0</v>
      </c>
      <c r="AA199" s="1101">
        <f t="shared" ca="1" si="228"/>
        <v>0.12</v>
      </c>
      <c r="AB199" s="1102">
        <f>VLOOKUP(V199,'System Lookups'!$J$55:$P$64,3)</f>
        <v>0.1</v>
      </c>
      <c r="AC199" s="1103">
        <f>VLOOKUP(V199,'System Lookups'!$J$55:$P$64,4)</f>
        <v>0.2</v>
      </c>
      <c r="AD199" s="1104">
        <f t="shared" ca="1" si="229"/>
        <v>0.22</v>
      </c>
      <c r="AE199" s="1094">
        <f ca="1">(IF(AD199&gt;VLOOKUP(V199,'System Lookups'!$J$55:$P$63,6),(((AD199-VLOOKUP(V199,'System Lookups'!$J$55:$P$63,6))*100)/20),0))+AF199</f>
        <v>0</v>
      </c>
      <c r="AF199" s="1121"/>
      <c r="AG199" s="1092">
        <f t="shared" si="230"/>
        <v>0</v>
      </c>
      <c r="AH199" s="1092" t="str">
        <f>IF(X199&lt;=Experience!$R$15+1,"","*")</f>
        <v/>
      </c>
      <c r="AI199" s="1092"/>
      <c r="AJ199" s="1080">
        <f t="shared" si="231"/>
        <v>0</v>
      </c>
      <c r="AK199" s="1080">
        <f t="shared" si="232"/>
        <v>0</v>
      </c>
      <c r="AL199" s="1080">
        <f t="shared" si="233"/>
        <v>0</v>
      </c>
      <c r="AM199" s="1092">
        <f t="shared" si="234"/>
        <v>0</v>
      </c>
      <c r="AN199" s="1080">
        <f t="shared" si="235"/>
        <v>0</v>
      </c>
      <c r="AO199" s="1080">
        <f t="shared" si="236"/>
        <v>0</v>
      </c>
      <c r="AP199" s="1080">
        <f t="shared" si="237"/>
        <v>0</v>
      </c>
      <c r="AQ199" s="1027">
        <f>VLOOKUP(V199,'System Lookups'!$J$55:$P$64,7)</f>
        <v>700</v>
      </c>
      <c r="AR199" s="1080" t="str">
        <f ca="1">IF(AND(NOT(ISBLANK(AJ199)),ISNA(MATCH(ROW(),'System Lookups'!$C$526:$C$539,0))),"Y","N")</f>
        <v>Y</v>
      </c>
      <c r="AS199" s="1080">
        <f t="shared" si="238"/>
        <v>0</v>
      </c>
      <c r="AU199" s="1080" t="e">
        <f t="shared" si="213"/>
        <v>#N/A</v>
      </c>
      <c r="AV199" s="1080" t="str">
        <f t="shared" si="210"/>
        <v>S</v>
      </c>
      <c r="AW199" s="1080">
        <f t="shared" si="214"/>
        <v>0</v>
      </c>
      <c r="AX199" s="1080">
        <f t="shared" si="215"/>
        <v>0</v>
      </c>
      <c r="AY199" s="1080">
        <f t="shared" si="216"/>
        <v>0</v>
      </c>
      <c r="AZ199" s="1080">
        <f t="shared" si="217"/>
        <v>0</v>
      </c>
      <c r="BA199" s="1080">
        <f t="shared" si="218"/>
        <v>0</v>
      </c>
      <c r="BB199" s="1080">
        <f>IF(AND(RACE=1,'Main Creation Page'!$E$6="Well",OR(ISNUMBER(FIND(Experience!$G$11,BE199)),ISNUMBER(FIND(Experience!$G$11,BF199)),ISNUMBER(FIND(Experience!$I$11,BE199)),ISNUMBER(FIND(Experience!$I$11,BF199)))),1,0)</f>
        <v>0</v>
      </c>
      <c r="BC199" s="1080" t="str">
        <f t="shared" si="239"/>
        <v>Throwing Irons</v>
      </c>
      <c r="BE199" s="1080" t="str">
        <f t="shared" si="211"/>
        <v/>
      </c>
      <c r="BF199" s="1080" t="str">
        <f t="shared" si="212"/>
        <v>Combat Skills</v>
      </c>
    </row>
    <row r="200" spans="1:58" ht="10.5" customHeight="1" outlineLevel="1">
      <c r="A200" s="1117" t="s">
        <v>2048</v>
      </c>
      <c r="B200" s="1094"/>
      <c r="C200" s="1094" t="s">
        <v>4629</v>
      </c>
      <c r="D200" s="1094" t="s">
        <v>4623</v>
      </c>
      <c r="E200" s="1095" t="s">
        <v>5224</v>
      </c>
      <c r="F200" s="1095" t="s">
        <v>5224</v>
      </c>
      <c r="G200" s="1096">
        <v>0</v>
      </c>
      <c r="H200" s="1096" t="s">
        <v>5224</v>
      </c>
      <c r="I200" s="1096" t="s">
        <v>5224</v>
      </c>
      <c r="J200" s="1096" t="s">
        <v>5224</v>
      </c>
      <c r="K200" s="1096" t="s">
        <v>5224</v>
      </c>
      <c r="L200" s="1096" t="s">
        <v>5224</v>
      </c>
      <c r="M200" s="1096" t="s">
        <v>5224</v>
      </c>
      <c r="N200" s="1096" t="s">
        <v>4630</v>
      </c>
      <c r="O200" s="1028"/>
      <c r="P200" s="1028" t="s">
        <v>3611</v>
      </c>
      <c r="Q200" s="1097">
        <f t="shared" ca="1" si="224"/>
        <v>15</v>
      </c>
      <c r="R200" s="1097"/>
      <c r="S200" s="1028" t="s">
        <v>3611</v>
      </c>
      <c r="T200" s="1097">
        <f t="shared" ca="1" si="225"/>
        <v>15</v>
      </c>
      <c r="U200" s="1027">
        <v>4</v>
      </c>
      <c r="V200" s="1027">
        <f t="shared" si="226"/>
        <v>4</v>
      </c>
      <c r="W200" s="1098" t="e">
        <f>IF(OR(I200&lt;&gt;"N",E200="C"),IF(AND(N200&lt;&gt;"T",ISNUMBER(FIND("V",I200))),1,0),NA())+IF(H200="Y",IF(AND(N200="P",ISNUMBER(FIND("Z",I200))),2,1),0)+IF(J200="Y",1,0)+IF(K200="Y",3,0)+IF(BE200="Lore",L200*2+Experience!$D$25,0)+IF(M200="Y",1,0)</f>
        <v>#N/A</v>
      </c>
      <c r="X200" s="1099"/>
      <c r="Y200" s="1100">
        <f ca="1">IF(P200="NS",IFERROR(INDIRECT(S200),NA()),VLOOKUP(INDIRECT(P200)+INDIRECT(S200),'System Lookups'!$A$3:$D$146,2))</f>
        <v>0.06</v>
      </c>
      <c r="Z200" s="1100">
        <f t="shared" si="227"/>
        <v>0</v>
      </c>
      <c r="AA200" s="1101">
        <f t="shared" ca="1" si="228"/>
        <v>0.06</v>
      </c>
      <c r="AB200" s="1102">
        <f>VLOOKUP(V200,'System Lookups'!$J$55:$P$64,3)</f>
        <v>0.2</v>
      </c>
      <c r="AC200" s="1103">
        <f>VLOOKUP(V200,'System Lookups'!$J$55:$P$64,4)</f>
        <v>0.3</v>
      </c>
      <c r="AD200" s="1104">
        <f t="shared" ca="1" si="229"/>
        <v>0.26</v>
      </c>
      <c r="AE200" s="1094">
        <f ca="1">(IF(AD200&gt;VLOOKUP(V200,'System Lookups'!$J$55:$P$63,6),(((AD200-VLOOKUP(V200,'System Lookups'!$J$55:$P$63,6))*100)/20),0))+AF200</f>
        <v>0</v>
      </c>
      <c r="AF200" s="1121"/>
      <c r="AG200" s="1092">
        <f t="shared" si="230"/>
        <v>0</v>
      </c>
      <c r="AH200" s="1092" t="str">
        <f>IF(X200&lt;=Experience!$R$15+1,"","*")</f>
        <v/>
      </c>
      <c r="AI200" s="1092"/>
      <c r="AJ200" s="1080">
        <f t="shared" si="231"/>
        <v>0</v>
      </c>
      <c r="AK200" s="1080">
        <f t="shared" si="232"/>
        <v>0</v>
      </c>
      <c r="AL200" s="1080">
        <f t="shared" si="233"/>
        <v>0</v>
      </c>
      <c r="AM200" s="1092">
        <f t="shared" si="234"/>
        <v>0</v>
      </c>
      <c r="AN200" s="1080">
        <f t="shared" si="235"/>
        <v>0</v>
      </c>
      <c r="AO200" s="1080">
        <f t="shared" si="236"/>
        <v>0</v>
      </c>
      <c r="AP200" s="1080">
        <f t="shared" si="237"/>
        <v>0</v>
      </c>
      <c r="AQ200" s="1027">
        <f>VLOOKUP(V200,'System Lookups'!$J$55:$P$64,7)</f>
        <v>600</v>
      </c>
      <c r="AR200" s="1080" t="str">
        <f ca="1">IF(AND(NOT(ISBLANK(AJ200)),ISNA(MATCH(ROW(),'System Lookups'!$C$526:$C$539,0))),"Y","N")</f>
        <v>Y</v>
      </c>
      <c r="AS200" s="1080">
        <f t="shared" si="238"/>
        <v>0</v>
      </c>
      <c r="AU200" s="1080" t="e">
        <f t="shared" si="213"/>
        <v>#N/A</v>
      </c>
      <c r="AV200" s="1080" t="str">
        <f t="shared" si="210"/>
        <v>S</v>
      </c>
      <c r="AW200" s="1080">
        <f t="shared" si="214"/>
        <v>0</v>
      </c>
      <c r="AX200" s="1080">
        <f t="shared" si="215"/>
        <v>0</v>
      </c>
      <c r="AY200" s="1080">
        <f t="shared" si="216"/>
        <v>0</v>
      </c>
      <c r="AZ200" s="1080">
        <f t="shared" si="217"/>
        <v>0</v>
      </c>
      <c r="BA200" s="1080">
        <f t="shared" si="218"/>
        <v>0</v>
      </c>
      <c r="BB200" s="1080">
        <f>IF(AND(RACE=1,'Main Creation Page'!$E$6="Well",OR(ISNUMBER(FIND(Experience!$G$11,BE200)),ISNUMBER(FIND(Experience!$G$11,BF200)),ISNUMBER(FIND(Experience!$I$11,BE200)),ISNUMBER(FIND(Experience!$I$11,BF200)))),1,0)</f>
        <v>0</v>
      </c>
      <c r="BC200" s="1080" t="str">
        <f t="shared" si="239"/>
        <v xml:space="preserve">Throwing Knives </v>
      </c>
      <c r="BE200" s="1080" t="str">
        <f t="shared" si="211"/>
        <v/>
      </c>
      <c r="BF200" s="1080" t="str">
        <f t="shared" si="212"/>
        <v>Combat Skills</v>
      </c>
    </row>
    <row r="201" spans="1:58" ht="10.5" customHeight="1" outlineLevel="1">
      <c r="A201" s="1117" t="s">
        <v>1914</v>
      </c>
      <c r="B201" s="1094"/>
      <c r="C201" s="1094" t="s">
        <v>4629</v>
      </c>
      <c r="D201" s="1094" t="s">
        <v>4623</v>
      </c>
      <c r="E201" s="1095" t="s">
        <v>5224</v>
      </c>
      <c r="F201" s="1095" t="s">
        <v>5224</v>
      </c>
      <c r="G201" s="1096">
        <v>0</v>
      </c>
      <c r="H201" s="1096" t="s">
        <v>5224</v>
      </c>
      <c r="I201" s="1096" t="s">
        <v>5224</v>
      </c>
      <c r="J201" s="1096" t="s">
        <v>5224</v>
      </c>
      <c r="K201" s="1096" t="s">
        <v>5224</v>
      </c>
      <c r="L201" s="1096" t="s">
        <v>5224</v>
      </c>
      <c r="M201" s="1096" t="s">
        <v>5224</v>
      </c>
      <c r="N201" s="1096" t="s">
        <v>4630</v>
      </c>
      <c r="O201" s="1028"/>
      <c r="P201" s="1028" t="s">
        <v>3611</v>
      </c>
      <c r="Q201" s="1097">
        <f t="shared" ca="1" si="224"/>
        <v>15</v>
      </c>
      <c r="R201" s="1097"/>
      <c r="S201" s="1028" t="s">
        <v>3611</v>
      </c>
      <c r="T201" s="1097">
        <f t="shared" ca="1" si="225"/>
        <v>15</v>
      </c>
      <c r="U201" s="1027">
        <v>3</v>
      </c>
      <c r="V201" s="1027">
        <f t="shared" si="226"/>
        <v>3</v>
      </c>
      <c r="W201" s="1098" t="e">
        <f>IF(OR(I201&lt;&gt;"N",E201="C"),IF(AND(N201&lt;&gt;"T",ISNUMBER(FIND("V",I201))),1,0),NA())+IF(H201="Y",IF(AND(N201="P",ISNUMBER(FIND("Z",I201))),2,1),0)+IF(J201="Y",1,0)+IF(K201="Y",3,0)+IF(BE201="Lore",L201*2+Experience!$D$25,0)+IF(M201="Y",1,0)</f>
        <v>#N/A</v>
      </c>
      <c r="X201" s="1099"/>
      <c r="Y201" s="1100">
        <f ca="1">IF(P201="NS",IFERROR(INDIRECT(S201),NA()),VLOOKUP(INDIRECT(P201)+INDIRECT(S201),'System Lookups'!$A$3:$D$146,2))</f>
        <v>0.06</v>
      </c>
      <c r="Z201" s="1100">
        <f t="shared" si="227"/>
        <v>0</v>
      </c>
      <c r="AA201" s="1101">
        <f t="shared" ca="1" si="228"/>
        <v>0.06</v>
      </c>
      <c r="AB201" s="1102">
        <f>VLOOKUP(V201,'System Lookups'!$J$55:$P$64,3)</f>
        <v>0.3</v>
      </c>
      <c r="AC201" s="1103">
        <f>VLOOKUP(V201,'System Lookups'!$J$55:$P$64,4)</f>
        <v>0.4</v>
      </c>
      <c r="AD201" s="1104">
        <f t="shared" ca="1" si="229"/>
        <v>0.36</v>
      </c>
      <c r="AE201" s="1094">
        <f ca="1">(IF(AD201&gt;VLOOKUP(V201,'System Lookups'!$J$55:$P$63,6),(((AD201-VLOOKUP(V201,'System Lookups'!$J$55:$P$63,6))*100)/20),0))+AF201</f>
        <v>0</v>
      </c>
      <c r="AF201" s="1121"/>
      <c r="AG201" s="1092">
        <f t="shared" si="230"/>
        <v>0</v>
      </c>
      <c r="AH201" s="1092" t="str">
        <f>IF(X201&lt;=Experience!$R$15+1,"","*")</f>
        <v/>
      </c>
      <c r="AI201" s="1092"/>
      <c r="AJ201" s="1080">
        <f t="shared" si="231"/>
        <v>0</v>
      </c>
      <c r="AK201" s="1080">
        <f t="shared" si="232"/>
        <v>0</v>
      </c>
      <c r="AL201" s="1080">
        <f t="shared" si="233"/>
        <v>0</v>
      </c>
      <c r="AM201" s="1092">
        <f t="shared" si="234"/>
        <v>0</v>
      </c>
      <c r="AN201" s="1080">
        <f t="shared" si="235"/>
        <v>0</v>
      </c>
      <c r="AO201" s="1080">
        <f t="shared" si="236"/>
        <v>0</v>
      </c>
      <c r="AP201" s="1080">
        <f t="shared" si="237"/>
        <v>0</v>
      </c>
      <c r="AQ201" s="1027">
        <f>VLOOKUP(V201,'System Lookups'!$J$55:$P$64,7)</f>
        <v>500</v>
      </c>
      <c r="AR201" s="1080" t="str">
        <f ca="1">IF(AND(NOT(ISBLANK(AJ201)),ISNA(MATCH(ROW(),'System Lookups'!$C$526:$C$539,0))),"Y","N")</f>
        <v>Y</v>
      </c>
      <c r="AS201" s="1080">
        <f t="shared" si="238"/>
        <v>0</v>
      </c>
      <c r="AU201" s="1080" t="e">
        <f t="shared" si="213"/>
        <v>#N/A</v>
      </c>
      <c r="AV201" s="1080" t="str">
        <f t="shared" si="210"/>
        <v>S</v>
      </c>
      <c r="AW201" s="1080">
        <f t="shared" si="214"/>
        <v>0</v>
      </c>
      <c r="AX201" s="1080">
        <f t="shared" si="215"/>
        <v>0</v>
      </c>
      <c r="AY201" s="1080">
        <f t="shared" si="216"/>
        <v>0</v>
      </c>
      <c r="AZ201" s="1080">
        <f t="shared" si="217"/>
        <v>0</v>
      </c>
      <c r="BA201" s="1080">
        <f t="shared" si="218"/>
        <v>0</v>
      </c>
      <c r="BB201" s="1080">
        <f>IF(AND(RACE=1,'Main Creation Page'!$E$6="Well",OR(ISNUMBER(FIND(Experience!$G$11,BE201)),ISNUMBER(FIND(Experience!$G$11,BF201)),ISNUMBER(FIND(Experience!$I$11,BE201)),ISNUMBER(FIND(Experience!$I$11,BF201)))),1,0)</f>
        <v>0</v>
      </c>
      <c r="BC201" s="1080" t="str">
        <f t="shared" si="239"/>
        <v xml:space="preserve">Throwing Objects </v>
      </c>
      <c r="BE201" s="1080" t="str">
        <f t="shared" si="211"/>
        <v/>
      </c>
      <c r="BF201" s="1080" t="str">
        <f t="shared" si="212"/>
        <v>Combat Skills</v>
      </c>
    </row>
    <row r="202" spans="1:58" ht="10.5" customHeight="1" outlineLevel="1">
      <c r="A202" s="1117" t="s">
        <v>1915</v>
      </c>
      <c r="B202" s="1094"/>
      <c r="C202" s="1094" t="s">
        <v>4629</v>
      </c>
      <c r="D202" s="1094" t="s">
        <v>4623</v>
      </c>
      <c r="E202" s="1095" t="s">
        <v>5224</v>
      </c>
      <c r="F202" s="1095" t="s">
        <v>5224</v>
      </c>
      <c r="G202" s="1096">
        <v>0</v>
      </c>
      <c r="H202" s="1096" t="s">
        <v>5224</v>
      </c>
      <c r="I202" s="1096" t="s">
        <v>5224</v>
      </c>
      <c r="J202" s="1096" t="s">
        <v>5224</v>
      </c>
      <c r="K202" s="1096" t="s">
        <v>5224</v>
      </c>
      <c r="L202" s="1096" t="s">
        <v>5224</v>
      </c>
      <c r="M202" s="1096" t="s">
        <v>5224</v>
      </c>
      <c r="N202" s="1096" t="s">
        <v>4630</v>
      </c>
      <c r="O202" s="1028"/>
      <c r="P202" s="1028" t="s">
        <v>3611</v>
      </c>
      <c r="Q202" s="1097">
        <f t="shared" ca="1" si="224"/>
        <v>15</v>
      </c>
      <c r="R202" s="1097"/>
      <c r="S202" s="1028" t="s">
        <v>3611</v>
      </c>
      <c r="T202" s="1097">
        <f t="shared" ca="1" si="225"/>
        <v>15</v>
      </c>
      <c r="U202" s="1027">
        <f>IF('SA&amp;DD'!D7="Y",6,7)</f>
        <v>7</v>
      </c>
      <c r="V202" s="1027">
        <f t="shared" si="226"/>
        <v>7</v>
      </c>
      <c r="W202" s="1098" t="e">
        <f>IF(OR(I202&lt;&gt;"N",E202="C"),IF(AND(N202&lt;&gt;"T",ISNUMBER(FIND("V",I202))),1,0),NA())+IF(H202="Y",IF(AND(N202="P",ISNUMBER(FIND("Z",I202))),2,1),0)+IF(J202="Y",1,0)+IF(K202="Y",3,0)+IF(BE202="Lore",L202*2+Experience!$D$25,0)+IF(M202="Y",1,0)</f>
        <v>#N/A</v>
      </c>
      <c r="X202" s="1099"/>
      <c r="Y202" s="1100">
        <f ca="1">IF(P202="NS",IFERROR(INDIRECT(S202),NA()),VLOOKUP(INDIRECT(P202)+INDIRECT(S202),'System Lookups'!$A$3:$D$146,2))</f>
        <v>0.06</v>
      </c>
      <c r="Z202" s="1100">
        <f t="shared" si="227"/>
        <v>0</v>
      </c>
      <c r="AA202" s="1101">
        <f t="shared" ca="1" si="228"/>
        <v>0.06</v>
      </c>
      <c r="AB202" s="1102">
        <f>VLOOKUP(V202,'System Lookups'!$J$55:$P$64,3)</f>
        <v>0.03</v>
      </c>
      <c r="AC202" s="1103">
        <f>VLOOKUP(V202,'System Lookups'!$J$55:$P$64,4)</f>
        <v>7.0000000000000007E-2</v>
      </c>
      <c r="AD202" s="1104">
        <f t="shared" ca="1" si="229"/>
        <v>0.09</v>
      </c>
      <c r="AE202" s="1094">
        <f ca="1">(IF(AD202&gt;VLOOKUP(V202,'System Lookups'!$J$55:$P$63,6),(((AD202-VLOOKUP(V202,'System Lookups'!$J$55:$P$63,6))*100)/20),0))+AF202</f>
        <v>0</v>
      </c>
      <c r="AF202" s="1121"/>
      <c r="AG202" s="1092">
        <f t="shared" si="230"/>
        <v>0</v>
      </c>
      <c r="AH202" s="1092" t="str">
        <f>IF(X202&lt;=Experience!$R$15+1,"","*")</f>
        <v/>
      </c>
      <c r="AI202" s="1092"/>
      <c r="AJ202" s="1080">
        <f t="shared" si="231"/>
        <v>0</v>
      </c>
      <c r="AK202" s="1080">
        <f t="shared" si="232"/>
        <v>0</v>
      </c>
      <c r="AL202" s="1080">
        <f t="shared" si="233"/>
        <v>0</v>
      </c>
      <c r="AM202" s="1092">
        <f t="shared" si="234"/>
        <v>0</v>
      </c>
      <c r="AN202" s="1080">
        <f t="shared" si="235"/>
        <v>0</v>
      </c>
      <c r="AO202" s="1080">
        <f t="shared" si="236"/>
        <v>0</v>
      </c>
      <c r="AP202" s="1080">
        <f t="shared" si="237"/>
        <v>0</v>
      </c>
      <c r="AQ202" s="1027">
        <f>VLOOKUP(V202,'System Lookups'!$J$55:$P$64,7)</f>
        <v>1000</v>
      </c>
      <c r="AR202" s="1080" t="str">
        <f ca="1">IF(AND(NOT(ISBLANK(AJ202)),ISNA(MATCH(ROW(),'System Lookups'!$C$526:$C$539,0))),"Y","N")</f>
        <v>Y</v>
      </c>
      <c r="AS202" s="1080">
        <f t="shared" si="238"/>
        <v>0</v>
      </c>
      <c r="AU202" s="1080" t="e">
        <f t="shared" si="213"/>
        <v>#N/A</v>
      </c>
      <c r="AV202" s="1080" t="str">
        <f t="shared" si="210"/>
        <v>S</v>
      </c>
      <c r="AW202" s="1080">
        <f t="shared" si="214"/>
        <v>0</v>
      </c>
      <c r="AX202" s="1080">
        <f t="shared" si="215"/>
        <v>0</v>
      </c>
      <c r="AY202" s="1080">
        <f t="shared" si="216"/>
        <v>0</v>
      </c>
      <c r="AZ202" s="1080">
        <f t="shared" si="217"/>
        <v>0</v>
      </c>
      <c r="BA202" s="1080">
        <f t="shared" si="218"/>
        <v>0</v>
      </c>
      <c r="BB202" s="1080">
        <f>IF(AND(RACE=1,'Main Creation Page'!$E$6="Well",OR(ISNUMBER(FIND(Experience!$G$11,BE202)),ISNUMBER(FIND(Experience!$G$11,BF202)),ISNUMBER(FIND(Experience!$I$11,BE202)),ISNUMBER(FIND(Experience!$I$11,BF202)))),1,0)</f>
        <v>0</v>
      </c>
      <c r="BC202" s="1080" t="str">
        <f t="shared" si="239"/>
        <v>Two Weapon Fighting</v>
      </c>
      <c r="BE202" s="1080" t="str">
        <f t="shared" si="211"/>
        <v/>
      </c>
      <c r="BF202" s="1080" t="str">
        <f t="shared" si="212"/>
        <v>Combat Skills</v>
      </c>
    </row>
    <row r="203" spans="1:58" ht="11.1" customHeight="1" outlineLevel="2">
      <c r="A203" s="1028" t="s">
        <v>1933</v>
      </c>
      <c r="B203" s="1131" t="str">
        <f>IF('Main Creation Page'!E$9&gt;12,(IF('Main Creation Page'!E$16&gt;10,"Y","N")),"N")</f>
        <v>Y</v>
      </c>
      <c r="C203" s="1111"/>
      <c r="D203" s="1111"/>
      <c r="L203" s="1034"/>
      <c r="Q203" s="1097"/>
      <c r="R203" s="1097"/>
      <c r="W203" s="1112"/>
      <c r="AE203" s="1094"/>
      <c r="AF203" s="1121"/>
      <c r="AQ203" s="1027"/>
      <c r="AR203" s="1080" t="str">
        <f ca="1">IF(AND(NOT(ISBLANK(AJ203)),ISNA(MATCH(ROW(),'System Lookups'!$C$526:$C$539,0))),"Y","N")</f>
        <v>N</v>
      </c>
      <c r="AU203" s="1080" t="e">
        <f t="shared" si="213"/>
        <v>#N/A</v>
      </c>
      <c r="AV203" s="1080" t="str">
        <f t="shared" si="210"/>
        <v/>
      </c>
      <c r="AW203" s="1080">
        <f t="shared" si="214"/>
        <v>0</v>
      </c>
      <c r="AX203" s="1080">
        <f t="shared" si="215"/>
        <v>0</v>
      </c>
      <c r="AY203" s="1080">
        <f t="shared" si="216"/>
        <v>0</v>
      </c>
      <c r="AZ203" s="1080">
        <f t="shared" si="217"/>
        <v>0</v>
      </c>
      <c r="BA203" s="1080">
        <f t="shared" si="218"/>
        <v>0</v>
      </c>
      <c r="BB203" s="1080">
        <f>IF(AND(RACE=1,'Main Creation Page'!$E$6="Well",OR(ISNUMBER(FIND(Experience!$G$11,BE203)),ISNUMBER(FIND(Experience!$G$11,BF203)),ISNUMBER(FIND(Experience!$I$11,BE203)),ISNUMBER(FIND(Experience!$I$11,BF203)))),1,0)</f>
        <v>0</v>
      </c>
      <c r="BC203" s="1080" t="e">
        <f t="shared" si="239"/>
        <v>#N/A</v>
      </c>
      <c r="BE203" s="1080" t="str">
        <f t="shared" si="211"/>
        <v/>
      </c>
      <c r="BF203" s="1080" t="str">
        <f t="shared" si="212"/>
        <v>Combat Skills</v>
      </c>
    </row>
    <row r="204" spans="1:58" ht="11.1" customHeight="1" outlineLevel="2">
      <c r="A204" s="1028" t="s">
        <v>1513</v>
      </c>
      <c r="B204" s="1131" t="str">
        <f>IF('Main Creation Page'!E$9&gt;15,(IF('Main Creation Page'!E$16&gt;15,"Y","N")),"N")</f>
        <v>N</v>
      </c>
      <c r="C204" s="1111"/>
      <c r="D204" s="1111"/>
      <c r="L204" s="1034"/>
      <c r="Q204" s="1097"/>
      <c r="R204" s="1097"/>
      <c r="W204" s="1112"/>
      <c r="AE204" s="1094"/>
      <c r="AF204" s="1121"/>
      <c r="AQ204" s="1027"/>
      <c r="AR204" s="1080" t="str">
        <f ca="1">IF(AND(NOT(ISBLANK(AJ204)),ISNA(MATCH(ROW(),'System Lookups'!$C$526:$C$539,0))),"Y","N")</f>
        <v>N</v>
      </c>
      <c r="AU204" s="1080" t="e">
        <f t="shared" si="213"/>
        <v>#N/A</v>
      </c>
      <c r="AV204" s="1080" t="str">
        <f t="shared" si="210"/>
        <v/>
      </c>
      <c r="AW204" s="1080">
        <f t="shared" si="214"/>
        <v>0</v>
      </c>
      <c r="AX204" s="1080">
        <f t="shared" si="215"/>
        <v>0</v>
      </c>
      <c r="AY204" s="1080">
        <f t="shared" si="216"/>
        <v>0</v>
      </c>
      <c r="AZ204" s="1080">
        <f t="shared" si="217"/>
        <v>0</v>
      </c>
      <c r="BA204" s="1080">
        <f t="shared" si="218"/>
        <v>0</v>
      </c>
      <c r="BB204" s="1080">
        <f>IF(AND(RACE=1,'Main Creation Page'!$E$6="Well",OR(ISNUMBER(FIND(Experience!$G$11,BE204)),ISNUMBER(FIND(Experience!$G$11,BF204)),ISNUMBER(FIND(Experience!$I$11,BE204)),ISNUMBER(FIND(Experience!$I$11,BF204)))),1,0)</f>
        <v>0</v>
      </c>
      <c r="BC204" s="1080" t="e">
        <f t="shared" si="239"/>
        <v>#N/A</v>
      </c>
      <c r="BE204" s="1080" t="str">
        <f t="shared" si="211"/>
        <v/>
      </c>
      <c r="BF204" s="1080" t="str">
        <f t="shared" si="212"/>
        <v>Combat Skills</v>
      </c>
    </row>
    <row r="205" spans="1:58" ht="10.5" customHeight="1" outlineLevel="1">
      <c r="A205" s="1123" t="s">
        <v>5018</v>
      </c>
      <c r="B205" s="1094"/>
      <c r="C205" s="1094" t="s">
        <v>4629</v>
      </c>
      <c r="D205" s="1094"/>
      <c r="E205" s="1095" t="s">
        <v>5224</v>
      </c>
      <c r="F205" s="1095" t="s">
        <v>5224</v>
      </c>
      <c r="G205" s="1096">
        <v>0</v>
      </c>
      <c r="H205" s="1096" t="s">
        <v>5224</v>
      </c>
      <c r="I205" s="1096" t="s">
        <v>5224</v>
      </c>
      <c r="J205" s="1096" t="s">
        <v>5224</v>
      </c>
      <c r="K205" s="1096" t="s">
        <v>5224</v>
      </c>
      <c r="L205" s="1096" t="s">
        <v>5224</v>
      </c>
      <c r="M205" s="1096" t="s">
        <v>5224</v>
      </c>
      <c r="N205" s="1096" t="s">
        <v>4630</v>
      </c>
      <c r="O205" s="1097"/>
      <c r="P205" s="1097" t="s">
        <v>780</v>
      </c>
      <c r="Q205" s="1097">
        <f ca="1">INDIRECT(P205)</f>
        <v>17</v>
      </c>
      <c r="R205" s="1097"/>
      <c r="S205" s="1028" t="s">
        <v>3616</v>
      </c>
      <c r="T205" s="1097">
        <f ca="1">INDIRECT(S205)</f>
        <v>17</v>
      </c>
      <c r="U205" s="1027">
        <v>4</v>
      </c>
      <c r="V205" s="1027">
        <f>IF(AP205+U205&gt;10,10,IF(AP205+U205&lt;1,1,AP205+U205))</f>
        <v>4</v>
      </c>
      <c r="W205" s="1098" t="e">
        <f>IF(OR(I205&lt;&gt;"N",E205="C"),IF(AND(N205&lt;&gt;"T",ISNUMBER(FIND("V",I205))),1,0),NA())+IF(H205="Y",IF(AND(N205="P",ISNUMBER(FIND("Z",I205))),2,1),0)+IF(J205="Y",1,0)+IF(K205="Y",3,0)+IF(BE205="Lore",L205*2+Experience!$D$25,0)+IF(M205="Y",1,0)</f>
        <v>#N/A</v>
      </c>
      <c r="X205" s="1099"/>
      <c r="Y205" s="1100">
        <f ca="1">IF(P205="NS",IFERROR(INDIRECT(S205),NA()),VLOOKUP(INDIRECT(P205)+INDIRECT(S205),'System Lookups'!$A$3:$D$146,2))</f>
        <v>0.1</v>
      </c>
      <c r="Z205" s="1100">
        <f>IF(ISNA(W205),0,W205*0.03)+IF(X205&gt;0,X205*0.03,0)+IF(AND(ISNA(W205),X205&lt;=0),0,IF(G205&gt;0,G205*0.07,0))</f>
        <v>0</v>
      </c>
      <c r="AA205" s="1101">
        <f ca="1">IF(ISNA(Y205),0,Y205)+Z205</f>
        <v>0.1</v>
      </c>
      <c r="AB205" s="1102">
        <f>VLOOKUP(V205,'System Lookups'!$J$55:$P$64,3)</f>
        <v>0.2</v>
      </c>
      <c r="AC205" s="1103">
        <f>VLOOKUP(V205,'System Lookups'!$J$55:$P$64,4)</f>
        <v>0.3</v>
      </c>
      <c r="AD205" s="1104">
        <f ca="1">IF(AND(ISBLANK(X205),ISNA(W205)),IF(B205="~",0,AB205+AA205+IF(BB205&gt;0,0.05,0)),AA205+AC205+IF(BB205&gt;0,0.05,0))</f>
        <v>0.30000000000000004</v>
      </c>
      <c r="AE205" s="1094">
        <f ca="1">(IF(AD205&gt;VLOOKUP(V205,'System Lookups'!$J$55:$P$63,6),(((AD205-VLOOKUP(V205,'System Lookups'!$J$55:$P$63,6))*100)/20),0))+AF205</f>
        <v>0</v>
      </c>
      <c r="AF205" s="1121"/>
      <c r="AG205" s="1092">
        <f>IF(ISBLANK(X205),0,AQ205*X205+IF(ISNA(W205),1,0))</f>
        <v>0</v>
      </c>
      <c r="AH205" s="1092" t="str">
        <f>IF(X205&lt;=Experience!$R$15+1,"","*")</f>
        <v/>
      </c>
      <c r="AI205" s="1092"/>
      <c r="AJ205" s="1080">
        <f>IF(ISNUMBER(FIND("R",F205)),-1,0)</f>
        <v>0</v>
      </c>
      <c r="AK205" s="1080">
        <f>IF(F205="s",-2,0)</f>
        <v>0</v>
      </c>
      <c r="AL205" s="1080">
        <f>IF(AND(H205="Y",OR(N205="P",N205="S")),-1,0)</f>
        <v>0</v>
      </c>
      <c r="AM205" s="1092">
        <f>IF(J205="y",1,0)</f>
        <v>0</v>
      </c>
      <c r="AN205" s="1080">
        <f>IF(N205="P",-1,IF(N205="T",1,0))</f>
        <v>0</v>
      </c>
      <c r="AO205" s="1080">
        <f>IF(ISNUMBER(FIND("Z",I205)),1,0)</f>
        <v>0</v>
      </c>
      <c r="AP205" s="1080">
        <f>SUM(AJ205:AN205)-AM205</f>
        <v>0</v>
      </c>
      <c r="AQ205" s="1027">
        <f>VLOOKUP(V205,'System Lookups'!$J$55:$P$64,7)</f>
        <v>600</v>
      </c>
      <c r="AR205" s="1080" t="str">
        <f ca="1">IF(AND(NOT(ISBLANK(AJ205)),ISNA(MATCH(ROW(),'System Lookups'!$C$526:$C$539,0))),"Y","N")</f>
        <v>Y</v>
      </c>
      <c r="AS205" s="1080">
        <f>AG205-AI205</f>
        <v>0</v>
      </c>
      <c r="AU205" s="1080" t="e">
        <f t="shared" si="213"/>
        <v>#N/A</v>
      </c>
      <c r="AV205" s="1080" t="str">
        <f t="shared" si="210"/>
        <v>S</v>
      </c>
      <c r="AW205" s="1080">
        <f t="shared" si="214"/>
        <v>0</v>
      </c>
      <c r="AX205" s="1080">
        <f t="shared" si="215"/>
        <v>0</v>
      </c>
      <c r="AY205" s="1080">
        <f t="shared" si="216"/>
        <v>0</v>
      </c>
      <c r="AZ205" s="1080">
        <f t="shared" si="217"/>
        <v>0</v>
      </c>
      <c r="BA205" s="1080">
        <f t="shared" si="218"/>
        <v>0</v>
      </c>
      <c r="BB205" s="1080">
        <f>IF(AND(RACE=1,'Main Creation Page'!$E$6="Well",OR(ISNUMBER(FIND(Experience!$G$11,BE205)),ISNUMBER(FIND(Experience!$G$11,BF205)),ISNUMBER(FIND(Experience!$I$11,BE205)),ISNUMBER(FIND(Experience!$I$11,BF205)))),1,0)</f>
        <v>0</v>
      </c>
      <c r="BC205" s="1080" t="str">
        <f t="shared" si="239"/>
        <v>War Dog Training &amp; Handler</v>
      </c>
      <c r="BE205" s="1080" t="str">
        <f t="shared" si="211"/>
        <v/>
      </c>
      <c r="BF205" s="1080" t="str">
        <f t="shared" si="212"/>
        <v>Combat Skills</v>
      </c>
    </row>
    <row r="206" spans="1:58" ht="10.5" customHeight="1" outlineLevel="1">
      <c r="A206" s="1124" t="s">
        <v>2190</v>
      </c>
      <c r="B206" s="1094"/>
      <c r="C206" s="1094"/>
      <c r="D206" s="1094"/>
      <c r="F206" s="1027"/>
      <c r="G206" s="1027"/>
      <c r="H206" s="1027"/>
      <c r="I206" s="1027"/>
      <c r="J206" s="1027"/>
      <c r="K206" s="1027"/>
      <c r="L206" s="1027"/>
      <c r="M206" s="1027"/>
      <c r="N206" s="1027"/>
      <c r="O206" s="1027"/>
      <c r="P206" s="1027"/>
      <c r="Q206" s="1097"/>
      <c r="R206" s="1097"/>
      <c r="S206" s="1028"/>
      <c r="T206" s="1028"/>
      <c r="U206" s="1027"/>
      <c r="V206" s="1027"/>
      <c r="W206" s="1028"/>
      <c r="X206" s="1092"/>
      <c r="AE206" s="1094"/>
      <c r="AF206" s="1121"/>
      <c r="AG206" s="1092"/>
      <c r="AH206" s="1092"/>
      <c r="AI206" s="1092"/>
      <c r="AM206" s="1092"/>
      <c r="AR206" s="1080" t="str">
        <f ca="1">IF(AND(NOT(ISBLANK(AJ206)),ISNA(MATCH(ROW(),'System Lookups'!$C$526:$C$539,0))),"Y","N")</f>
        <v>N</v>
      </c>
      <c r="AU206" s="1080" t="e">
        <f t="shared" si="213"/>
        <v>#N/A</v>
      </c>
      <c r="AV206" s="1080" t="str">
        <f t="shared" si="210"/>
        <v/>
      </c>
      <c r="AW206" s="1080">
        <f t="shared" si="214"/>
        <v>0</v>
      </c>
      <c r="AX206" s="1080">
        <f t="shared" si="215"/>
        <v>0</v>
      </c>
      <c r="AY206" s="1080">
        <f t="shared" si="216"/>
        <v>0</v>
      </c>
      <c r="AZ206" s="1080">
        <f t="shared" si="217"/>
        <v>0</v>
      </c>
      <c r="BA206" s="1080">
        <f t="shared" si="218"/>
        <v>0</v>
      </c>
      <c r="BB206" s="1080">
        <f>IF(AND(RACE=1,'Main Creation Page'!$E$6="Well",OR(ISNUMBER(FIND(Experience!$G$11,BE206)),ISNUMBER(FIND(Experience!$G$11,BF206)),ISNUMBER(FIND(Experience!$I$11,BE206)),ISNUMBER(FIND(Experience!$I$11,BF206)))),1,0)</f>
        <v>0</v>
      </c>
      <c r="BC206" s="1080" t="e">
        <f t="shared" si="239"/>
        <v>#N/A</v>
      </c>
      <c r="BD206" s="1080" t="s">
        <v>5686</v>
      </c>
      <c r="BE206" s="1080" t="str">
        <f t="shared" si="211"/>
        <v/>
      </c>
      <c r="BF206" s="1080" t="str">
        <f t="shared" si="212"/>
        <v>Combat Skills</v>
      </c>
    </row>
    <row r="207" spans="1:58" ht="11.1" customHeight="1" outlineLevel="2">
      <c r="A207" s="1028" t="s">
        <v>1203</v>
      </c>
      <c r="B207" s="1094" t="s">
        <v>1942</v>
      </c>
      <c r="C207" s="1094"/>
      <c r="D207" s="1094" t="s">
        <v>4626</v>
      </c>
      <c r="E207" s="1095" t="s">
        <v>5224</v>
      </c>
      <c r="F207" s="1095" t="s">
        <v>5224</v>
      </c>
      <c r="G207" s="1096">
        <v>0</v>
      </c>
      <c r="H207" s="1096" t="s">
        <v>5224</v>
      </c>
      <c r="I207" s="1096" t="s">
        <v>5224</v>
      </c>
      <c r="J207" s="1096" t="s">
        <v>5224</v>
      </c>
      <c r="K207" s="1096" t="s">
        <v>5224</v>
      </c>
      <c r="L207" s="1096" t="s">
        <v>5224</v>
      </c>
      <c r="M207" s="1096" t="s">
        <v>5224</v>
      </c>
      <c r="N207" s="1096" t="s">
        <v>4630</v>
      </c>
      <c r="O207" s="1097"/>
      <c r="P207" s="1113" t="s">
        <v>13</v>
      </c>
      <c r="Q207" s="1097"/>
      <c r="R207" s="1097"/>
      <c r="S207" s="1113" t="s">
        <v>13</v>
      </c>
      <c r="T207" s="1113"/>
      <c r="U207" s="1027">
        <v>5</v>
      </c>
      <c r="V207" s="1027">
        <f>IF(AP207+U207&gt;10,10,IF(AP207+U207&lt;1,1,AP207+U207))</f>
        <v>5</v>
      </c>
      <c r="W207" s="1098" t="e">
        <f>IF(OR(I207&lt;&gt;"N",E207="C"),IF(AND(N207&lt;&gt;"T",ISNUMBER(FIND("V",I207))),1,0),NA())+IF(H207="Y",IF(AND(N207="P",ISNUMBER(FIND("Z",I207))),2,1),0)+IF(J207="Y",1,0)+IF(K207="Y",3,0)+IF(BE207="Lore",L207*2+Experience!$D$25,0)+IF(M207="Y",1,0)</f>
        <v>#N/A</v>
      </c>
      <c r="X207" s="1099"/>
      <c r="Y207" s="1100" t="e">
        <f ca="1">IF(P207="NS",IFERROR(INDIRECT(S207),NA()),VLOOKUP(INDIRECT(P207)+INDIRECT(S207),'System Lookups'!$A$3:$D$146,2))</f>
        <v>#N/A</v>
      </c>
      <c r="Z207" s="1100">
        <f>IF(ISNA(W207),0,W207*0.03)+IF(X207&gt;0,X207*0.03,0)+IF(AND(ISNA(W207),X207&lt;=0),0,IF(G207&gt;0,G207*0.07,0))</f>
        <v>0</v>
      </c>
      <c r="AA207" s="1101">
        <f ca="1">IF(ISNA(Y207),0,Y207)+Z207</f>
        <v>0</v>
      </c>
      <c r="AB207" s="1102">
        <f>VLOOKUP(V207,'System Lookups'!$J$55:$P$64,3)</f>
        <v>0.1</v>
      </c>
      <c r="AC207" s="1103">
        <f>VLOOKUP(V207,'System Lookups'!$J$55:$P$64,4)</f>
        <v>0.2</v>
      </c>
      <c r="AD207" s="1104">
        <f>IF(AND(ISBLANK(X207),ISNA(W207)),IF(B207="~",0,AB207+AA207+IF(BB207&gt;0,0.05,0)),AA207+AC207+IF(BB207&gt;0,0.05,0))</f>
        <v>0</v>
      </c>
      <c r="AE207" s="1094">
        <f>(IF(AD207&gt;VLOOKUP(V207,'System Lookups'!$J$55:$P$63,6),(((AD207-VLOOKUP(V207,'System Lookups'!$J$55:$P$63,6))*100)/20),0))+AF207</f>
        <v>0</v>
      </c>
      <c r="AF207" s="1121"/>
      <c r="AG207" s="1092">
        <f>IF(ISBLANK(X207),0,AQ207*X207+IF(ISNA(W207),1,0))</f>
        <v>0</v>
      </c>
      <c r="AH207" s="1092" t="str">
        <f>IF(X207&lt;=Experience!$R$15+1,"","*")</f>
        <v/>
      </c>
      <c r="AI207" s="1092"/>
      <c r="AJ207" s="1080">
        <f t="shared" ref="AJ207:AJ211" si="240">IF(ISNUMBER(FIND("R",F207)),-1,0)</f>
        <v>0</v>
      </c>
      <c r="AK207" s="1080">
        <f>IF(F207="s",-2,0)</f>
        <v>0</v>
      </c>
      <c r="AL207" s="1080">
        <f t="shared" ref="AL207:AL211" si="241">IF(AND(H207="Y",OR(N207="P",N207="S")),-1,0)</f>
        <v>0</v>
      </c>
      <c r="AM207" s="1092">
        <f>IF(J207="y",1,0)</f>
        <v>0</v>
      </c>
      <c r="AN207" s="1080">
        <f>IF(N207="P",-1,IF(N207="T",1,0))</f>
        <v>0</v>
      </c>
      <c r="AO207" s="1080">
        <f t="shared" ref="AO207:AO211" si="242">IF(ISNUMBER(FIND("Z",I207)),1,0)</f>
        <v>0</v>
      </c>
      <c r="AP207" s="1080">
        <f>SUM(AJ207:AN207)-AM207</f>
        <v>0</v>
      </c>
      <c r="AQ207" s="1027">
        <f>VLOOKUP(V207,'System Lookups'!$J$55:$P$64,7)</f>
        <v>700</v>
      </c>
      <c r="AR207" s="1080" t="str">
        <f ca="1">IF(AND(NOT(ISBLANK(AJ207)),ISNA(MATCH(ROW(),'System Lookups'!$C$526:$C$539,0))),"Y","N")</f>
        <v>Y</v>
      </c>
      <c r="AS207" s="1080">
        <f>AG207-AI207</f>
        <v>0</v>
      </c>
      <c r="AU207" s="1080" t="e">
        <f t="shared" si="213"/>
        <v>#N/A</v>
      </c>
      <c r="AV207" s="1080" t="str">
        <f t="shared" si="210"/>
        <v>S</v>
      </c>
      <c r="AW207" s="1080">
        <f t="shared" si="214"/>
        <v>0</v>
      </c>
      <c r="AX207" s="1080">
        <f t="shared" si="215"/>
        <v>0</v>
      </c>
      <c r="AY207" s="1080">
        <f t="shared" si="216"/>
        <v>0</v>
      </c>
      <c r="AZ207" s="1080">
        <f t="shared" si="217"/>
        <v>0</v>
      </c>
      <c r="BA207" s="1080">
        <f t="shared" si="218"/>
        <v>0</v>
      </c>
      <c r="BB207" s="1080">
        <f>IF(AND(RACE=1,'Main Creation Page'!$E$6="Well",OR(ISNUMBER(FIND(Experience!$G$11,BE207)),ISNUMBER(FIND(Experience!$G$11,BF207)),ISNUMBER(FIND(Experience!$I$11,BE207)),ISNUMBER(FIND(Experience!$I$11,BF207)))),1,0)</f>
        <v>0</v>
      </c>
      <c r="BC207" s="1080" t="str">
        <f t="shared" si="239"/>
        <v>Wearing Armor:Battle</v>
      </c>
      <c r="BD207" s="1080" t="s">
        <v>5686</v>
      </c>
      <c r="BE207" s="1080" t="str">
        <f t="shared" si="211"/>
        <v/>
      </c>
      <c r="BF207" s="1080" t="str">
        <f t="shared" si="212"/>
        <v>Combat Skills</v>
      </c>
    </row>
    <row r="208" spans="1:58" ht="11.1" customHeight="1" outlineLevel="2">
      <c r="A208" s="1028" t="s">
        <v>5283</v>
      </c>
      <c r="B208" s="1094" t="s">
        <v>1942</v>
      </c>
      <c r="C208" s="1094"/>
      <c r="D208" s="1094" t="s">
        <v>4626</v>
      </c>
      <c r="E208" s="1095" t="s">
        <v>5224</v>
      </c>
      <c r="F208" s="1095" t="s">
        <v>5224</v>
      </c>
      <c r="G208" s="1096">
        <v>0</v>
      </c>
      <c r="H208" s="1096" t="s">
        <v>5224</v>
      </c>
      <c r="I208" s="1096" t="s">
        <v>5224</v>
      </c>
      <c r="J208" s="1096" t="s">
        <v>5224</v>
      </c>
      <c r="K208" s="1096" t="s">
        <v>5224</v>
      </c>
      <c r="L208" s="1096" t="s">
        <v>5224</v>
      </c>
      <c r="M208" s="1096" t="s">
        <v>5224</v>
      </c>
      <c r="N208" s="1096" t="s">
        <v>4630</v>
      </c>
      <c r="O208" s="1097"/>
      <c r="P208" s="1113" t="s">
        <v>13</v>
      </c>
      <c r="Q208" s="1097"/>
      <c r="R208" s="1097"/>
      <c r="S208" s="1113" t="s">
        <v>13</v>
      </c>
      <c r="T208" s="1113"/>
      <c r="U208" s="1027">
        <v>4</v>
      </c>
      <c r="V208" s="1027">
        <f>IF(AP208+U208&gt;10,10,IF(AP208+U208&lt;1,1,AP208+U208))</f>
        <v>4</v>
      </c>
      <c r="W208" s="1098" t="e">
        <f>IF(OR(I208&lt;&gt;"N",E208="C"),IF(AND(N208&lt;&gt;"T",ISNUMBER(FIND("V",I208))),1,0),NA())+IF(H208="Y",IF(AND(N208="P",ISNUMBER(FIND("Z",I208))),2,1),0)+IF(J208="Y",1,0)+IF(K208="Y",3,0)+IF(BE208="Lore",L208*2+Experience!$D$25,0)+IF(M208="Y",1,0)</f>
        <v>#N/A</v>
      </c>
      <c r="X208" s="1099"/>
      <c r="Y208" s="1100" t="e">
        <f ca="1">IF(P208="NS",IFERROR(INDIRECT(S208),NA()),VLOOKUP(INDIRECT(P208)+INDIRECT(S208),'System Lookups'!$A$3:$D$146,2))</f>
        <v>#N/A</v>
      </c>
      <c r="Z208" s="1100">
        <f>IF(ISNA(W208),0,W208*0.03)+IF(X208&gt;0,X208*0.03,0)+IF(AND(ISNA(W208),X208&lt;=0),0,IF(G208&gt;0,G208*0.07,0))</f>
        <v>0</v>
      </c>
      <c r="AA208" s="1101">
        <f ca="1">IF(ISNA(Y208),0,Y208)+Z208</f>
        <v>0</v>
      </c>
      <c r="AB208" s="1102">
        <f>VLOOKUP(V208,'System Lookups'!$J$55:$P$64,3)</f>
        <v>0.2</v>
      </c>
      <c r="AC208" s="1103">
        <f>VLOOKUP(V208,'System Lookups'!$J$55:$P$64,4)</f>
        <v>0.3</v>
      </c>
      <c r="AD208" s="1104">
        <f>IF(AND(ISBLANK(X208),ISNA(W208)),IF(B208="~",0,AB208+AA208+IF(BB208&gt;0,0.05,0)),AA208+AC208+IF(BB208&gt;0,0.05,0))</f>
        <v>0</v>
      </c>
      <c r="AE208" s="1094">
        <f>(IF(AD208&gt;VLOOKUP(V208,'System Lookups'!$J$55:$P$63,6),(((AD208-VLOOKUP(V208,'System Lookups'!$J$55:$P$63,6))*100)/20),0))+AF208</f>
        <v>0</v>
      </c>
      <c r="AF208" s="1121"/>
      <c r="AG208" s="1092">
        <f>IF(ISBLANK(X208),0,AQ208*X208+IF(ISNA(W208),1,0))</f>
        <v>0</v>
      </c>
      <c r="AH208" s="1092" t="str">
        <f>IF(X208&lt;=Experience!$R$15+1,"","*")</f>
        <v/>
      </c>
      <c r="AI208" s="1092"/>
      <c r="AJ208" s="1080">
        <f t="shared" si="240"/>
        <v>0</v>
      </c>
      <c r="AK208" s="1080">
        <f>IF(F208="s",-2,0)</f>
        <v>0</v>
      </c>
      <c r="AL208" s="1080">
        <f t="shared" si="241"/>
        <v>0</v>
      </c>
      <c r="AM208" s="1092">
        <f>IF(J208="y",1,0)</f>
        <v>0</v>
      </c>
      <c r="AN208" s="1080">
        <f>IF(N208="P",-1,IF(N208="T",1,0))</f>
        <v>0</v>
      </c>
      <c r="AO208" s="1080">
        <f t="shared" si="242"/>
        <v>0</v>
      </c>
      <c r="AP208" s="1080">
        <f>SUM(AJ208:AN208)-AM208</f>
        <v>0</v>
      </c>
      <c r="AQ208" s="1027">
        <f>VLOOKUP(V208,'System Lookups'!$J$55:$P$64,7)</f>
        <v>600</v>
      </c>
      <c r="AR208" s="1080" t="str">
        <f ca="1">IF(AND(NOT(ISBLANK(AJ208)),ISNA(MATCH(ROW(),'System Lookups'!$C$526:$C$539,0))),"Y","N")</f>
        <v>Y</v>
      </c>
      <c r="AS208" s="1080">
        <f>AG208-AI208</f>
        <v>0</v>
      </c>
      <c r="AU208" s="1080" t="e">
        <f t="shared" si="213"/>
        <v>#N/A</v>
      </c>
      <c r="AV208" s="1080" t="str">
        <f t="shared" si="210"/>
        <v>S</v>
      </c>
      <c r="AW208" s="1080">
        <f t="shared" si="214"/>
        <v>0</v>
      </c>
      <c r="AX208" s="1080">
        <f t="shared" si="215"/>
        <v>0</v>
      </c>
      <c r="AY208" s="1080">
        <f t="shared" si="216"/>
        <v>0</v>
      </c>
      <c r="AZ208" s="1080">
        <f t="shared" si="217"/>
        <v>0</v>
      </c>
      <c r="BA208" s="1080">
        <f t="shared" si="218"/>
        <v>0</v>
      </c>
      <c r="BB208" s="1080">
        <f>IF(AND(RACE=1,'Main Creation Page'!$E$6="Well",OR(ISNUMBER(FIND(Experience!$G$11,BE208)),ISNUMBER(FIND(Experience!$G$11,BF208)),ISNUMBER(FIND(Experience!$I$11,BE208)),ISNUMBER(FIND(Experience!$I$11,BF208)))),1,0)</f>
        <v>0</v>
      </c>
      <c r="BC208" s="1080" t="str">
        <f t="shared" si="239"/>
        <v xml:space="preserve">Wearing Armor:Heavy </v>
      </c>
      <c r="BD208" s="1080" t="s">
        <v>5686</v>
      </c>
      <c r="BE208" s="1080" t="str">
        <f t="shared" si="211"/>
        <v/>
      </c>
      <c r="BF208" s="1080" t="str">
        <f t="shared" si="212"/>
        <v>Combat Skills</v>
      </c>
    </row>
    <row r="209" spans="1:58" ht="11.1" customHeight="1" outlineLevel="2">
      <c r="A209" s="1028" t="s">
        <v>5284</v>
      </c>
      <c r="B209" s="1094" t="s">
        <v>1942</v>
      </c>
      <c r="C209" s="1094"/>
      <c r="D209" s="1094" t="s">
        <v>3251</v>
      </c>
      <c r="E209" s="1095" t="s">
        <v>5224</v>
      </c>
      <c r="F209" s="1095" t="s">
        <v>5224</v>
      </c>
      <c r="G209" s="1096">
        <v>0</v>
      </c>
      <c r="H209" s="1096" t="s">
        <v>5224</v>
      </c>
      <c r="I209" s="1096" t="s">
        <v>4623</v>
      </c>
      <c r="J209" s="1096" t="s">
        <v>5224</v>
      </c>
      <c r="K209" s="1096" t="s">
        <v>5224</v>
      </c>
      <c r="L209" s="1096" t="s">
        <v>5224</v>
      </c>
      <c r="M209" s="1096" t="s">
        <v>5224</v>
      </c>
      <c r="N209" s="1096" t="s">
        <v>4630</v>
      </c>
      <c r="O209" s="1097"/>
      <c r="P209" s="1113" t="s">
        <v>13</v>
      </c>
      <c r="Q209" s="1097"/>
      <c r="R209" s="1097"/>
      <c r="S209" s="1113" t="s">
        <v>13</v>
      </c>
      <c r="T209" s="1113"/>
      <c r="U209" s="1027">
        <v>3</v>
      </c>
      <c r="V209" s="1027">
        <f>IF(AP209+U209&gt;10,10,IF(AP209+U209&lt;1,1,AP209+U209))</f>
        <v>3</v>
      </c>
      <c r="W209" s="1098">
        <f>IF(OR(I209&lt;&gt;"N",E209="C"),IF(AND(N209&lt;&gt;"T",ISNUMBER(FIND("V",I209))),1,0),NA())+IF(H209="Y",IF(AND(N209="P",ISNUMBER(FIND("Z",I209))),2,1),0)+IF(J209="Y",1,0)+IF(K209="Y",3,0)+IF(BE209="Lore",L209*2+Experience!$D$25,0)+IF(M209="Y",1,0)</f>
        <v>0</v>
      </c>
      <c r="X209" s="1099"/>
      <c r="Y209" s="1100" t="e">
        <f ca="1">IF(P209="NS",IFERROR(INDIRECT(S209),NA()),VLOOKUP(INDIRECT(P209)+INDIRECT(S209),'System Lookups'!$A$3:$D$146,2))</f>
        <v>#N/A</v>
      </c>
      <c r="Z209" s="1100">
        <f>IF(ISNA(W209),0,W209*0.03)+IF(X209&gt;0,X209*0.03,0)+IF(AND(ISNA(W209),X209&lt;=0),0,IF(G209&gt;0,G209*0.07,0))</f>
        <v>0</v>
      </c>
      <c r="AA209" s="1101">
        <f ca="1">IF(ISNA(Y209),0,Y209)+Z209</f>
        <v>0</v>
      </c>
      <c r="AB209" s="1102">
        <f>VLOOKUP(V209,'System Lookups'!$J$55:$P$64,3)</f>
        <v>0.3</v>
      </c>
      <c r="AC209" s="1103">
        <f>VLOOKUP(V209,'System Lookups'!$J$55:$P$64,4)</f>
        <v>0.4</v>
      </c>
      <c r="AD209" s="1104">
        <f ca="1">IF(AND(ISBLANK(X209),ISNA(W209)),IF(B209="~",0,AB209+AA209+IF(BB209&gt;0,0.05,0)),AA209+AC209+IF(BB209&gt;0,0.05,0))</f>
        <v>0.4</v>
      </c>
      <c r="AE209" s="1094">
        <f ca="1">(IF(AD209&gt;VLOOKUP(V209,'System Lookups'!$J$55:$P$63,6),(((AD209-VLOOKUP(V209,'System Lookups'!$J$55:$P$63,6))*100)/20),0))+AF209</f>
        <v>0</v>
      </c>
      <c r="AF209" s="1121"/>
      <c r="AG209" s="1092">
        <f>IF(ISBLANK(X209),0,AQ209*X209+IF(ISNA(W209),1,0))</f>
        <v>0</v>
      </c>
      <c r="AH209" s="1092" t="str">
        <f>IF(X209&lt;=Experience!$R$15+1,"","*")</f>
        <v/>
      </c>
      <c r="AI209" s="1092"/>
      <c r="AJ209" s="1080">
        <f t="shared" si="240"/>
        <v>0</v>
      </c>
      <c r="AK209" s="1080">
        <f>IF(F209="s",-2,0)</f>
        <v>0</v>
      </c>
      <c r="AL209" s="1080">
        <f t="shared" si="241"/>
        <v>0</v>
      </c>
      <c r="AM209" s="1092">
        <f>IF(J209="y",1,0)</f>
        <v>0</v>
      </c>
      <c r="AN209" s="1080">
        <f>IF(N209="P",-1,IF(N209="T",1,0))</f>
        <v>0</v>
      </c>
      <c r="AO209" s="1080">
        <f t="shared" si="242"/>
        <v>0</v>
      </c>
      <c r="AP209" s="1080">
        <f>SUM(AJ209:AN209)-AM209</f>
        <v>0</v>
      </c>
      <c r="AQ209" s="1027">
        <f>VLOOKUP(V209,'System Lookups'!$J$55:$P$64,7)</f>
        <v>500</v>
      </c>
      <c r="AR209" s="1080" t="str">
        <f ca="1">IF(AND(NOT(ISBLANK(AJ209)),ISNA(MATCH(ROW(),'System Lookups'!$C$526:$C$539,0))),"Y","N")</f>
        <v>Y</v>
      </c>
      <c r="AS209" s="1080">
        <f>AG209-AI209</f>
        <v>0</v>
      </c>
      <c r="AU209" s="1080">
        <f t="shared" si="213"/>
        <v>0</v>
      </c>
      <c r="AV209" s="1080" t="str">
        <f t="shared" si="210"/>
        <v>SBk</v>
      </c>
      <c r="AW209" s="1080">
        <f t="shared" si="214"/>
        <v>1</v>
      </c>
      <c r="AX209" s="1080">
        <f t="shared" si="215"/>
        <v>0</v>
      </c>
      <c r="AY209" s="1080">
        <f t="shared" si="216"/>
        <v>0</v>
      </c>
      <c r="AZ209" s="1080">
        <f t="shared" si="217"/>
        <v>0</v>
      </c>
      <c r="BA209" s="1080">
        <f t="shared" si="218"/>
        <v>1</v>
      </c>
      <c r="BB209" s="1080">
        <f>IF(AND(RACE=1,'Main Creation Page'!$E$6="Well",OR(ISNUMBER(FIND(Experience!$G$11,BE209)),ISNUMBER(FIND(Experience!$G$11,BF209)),ISNUMBER(FIND(Experience!$I$11,BE209)),ISNUMBER(FIND(Experience!$I$11,BF209)))),1,0)</f>
        <v>0</v>
      </c>
      <c r="BC209" s="1080" t="str">
        <f t="shared" si="239"/>
        <v xml:space="preserve">Wearing Armor:Light </v>
      </c>
      <c r="BD209" s="1080" t="s">
        <v>5686</v>
      </c>
      <c r="BE209" s="1080" t="str">
        <f t="shared" si="211"/>
        <v/>
      </c>
      <c r="BF209" s="1080" t="str">
        <f t="shared" si="212"/>
        <v>Combat Skills</v>
      </c>
    </row>
    <row r="210" spans="1:58" ht="11.1" customHeight="1" outlineLevel="1">
      <c r="A210" s="1123" t="s">
        <v>5640</v>
      </c>
      <c r="B210" s="1094"/>
      <c r="C210" s="1094" t="s">
        <v>4629</v>
      </c>
      <c r="D210" s="1094" t="s">
        <v>4623</v>
      </c>
      <c r="E210" s="1095" t="s">
        <v>5224</v>
      </c>
      <c r="F210" s="1095" t="s">
        <v>5224</v>
      </c>
      <c r="G210" s="1096">
        <v>0</v>
      </c>
      <c r="H210" s="1096" t="s">
        <v>5224</v>
      </c>
      <c r="I210" s="1096" t="s">
        <v>5224</v>
      </c>
      <c r="J210" s="1096" t="s">
        <v>5224</v>
      </c>
      <c r="K210" s="1096" t="s">
        <v>5224</v>
      </c>
      <c r="L210" s="1096" t="s">
        <v>5224</v>
      </c>
      <c r="M210" s="1096" t="s">
        <v>5224</v>
      </c>
      <c r="N210" s="1096" t="s">
        <v>4630</v>
      </c>
      <c r="O210" s="1028"/>
      <c r="P210" s="1028" t="s">
        <v>3611</v>
      </c>
      <c r="Q210" s="1097">
        <f t="shared" ref="Q210:Q211" ca="1" si="243">INDIRECT(P210)</f>
        <v>15</v>
      </c>
      <c r="R210" s="1097"/>
      <c r="S210" s="1028" t="s">
        <v>3615</v>
      </c>
      <c r="T210" s="1097">
        <f t="shared" ref="T210:T211" ca="1" si="244">INDIRECT(S210)</f>
        <v>20</v>
      </c>
      <c r="U210" s="1027">
        <v>3</v>
      </c>
      <c r="V210" s="1027">
        <f>IF(AP210+U210&gt;10,10,IF(AP210+U210&lt;1,1,AP210+U210))</f>
        <v>3</v>
      </c>
      <c r="W210" s="1098" t="e">
        <f>IF(OR(I210&lt;&gt;"N",E210="C"),IF(AND(N210&lt;&gt;"T",ISNUMBER(FIND("V",I210))),1,0),NA())+IF(H210="Y",IF(AND(N210="P",ISNUMBER(FIND("Z",I210))),2,1),0)+IF(J210="Y",1,0)+IF(K210="Y",3,0)+IF(BE210="Lore",L210*2+Experience!$D$25,0)+IF(M210="Y",1,0)</f>
        <v>#N/A</v>
      </c>
      <c r="X210" s="1099"/>
      <c r="Y210" s="1100">
        <f ca="1">IF(P210="NS",IFERROR(INDIRECT(S210),NA()),VLOOKUP(INDIRECT(P210)+INDIRECT(S210),'System Lookups'!$A$3:$D$146,2))</f>
        <v>0.12</v>
      </c>
      <c r="Z210" s="1100">
        <f>IF(ISNA(W210),0,W210*0.03)+IF(X210&gt;0,X210*0.03,0)+IF(AND(ISNA(W210),X210&lt;=0),0,IF(G210&gt;0,G210*0.07,0))</f>
        <v>0</v>
      </c>
      <c r="AA210" s="1101">
        <f ca="1">IF(ISNA(Y210),0,Y210)+Z210</f>
        <v>0.12</v>
      </c>
      <c r="AB210" s="1102">
        <f>VLOOKUP(V210,'System Lookups'!$J$55:$P$64,3)</f>
        <v>0.3</v>
      </c>
      <c r="AC210" s="1103">
        <f>VLOOKUP(V210,'System Lookups'!$J$55:$P$64,4)</f>
        <v>0.4</v>
      </c>
      <c r="AD210" s="1104">
        <f ca="1">IF(AND(ISBLANK(X210),ISNA(W210)),IF(B210="~",0,AB210+AA210+IF(BB210&gt;0,0.05,0)),AA210+AC210+IF(BB210&gt;0,0.05,0))</f>
        <v>0.42</v>
      </c>
      <c r="AE210" s="1094">
        <f ca="1">(IF(AD210&gt;VLOOKUP(V210,'System Lookups'!$J$55:$P$63,6),(((AD210-VLOOKUP(V210,'System Lookups'!$J$55:$P$63,6))*100)/20),0))+AF210</f>
        <v>0</v>
      </c>
      <c r="AF210" s="1121"/>
      <c r="AG210" s="1092">
        <f>IF(ISBLANK(X210),0,AQ210*X210+IF(ISNA(W210),1,0))</f>
        <v>0</v>
      </c>
      <c r="AH210" s="1092" t="str">
        <f>IF(X210&lt;=Experience!$R$15+1,"","*")</f>
        <v/>
      </c>
      <c r="AI210" s="1092"/>
      <c r="AJ210" s="1080">
        <f t="shared" si="240"/>
        <v>0</v>
      </c>
      <c r="AK210" s="1080">
        <f>IF(F210="s",-2,0)</f>
        <v>0</v>
      </c>
      <c r="AL210" s="1080">
        <f t="shared" si="241"/>
        <v>0</v>
      </c>
      <c r="AM210" s="1092">
        <f>IF(J210="y",1,0)</f>
        <v>0</v>
      </c>
      <c r="AN210" s="1080">
        <f>IF(N210="P",-1,IF(N210="T",1,0))</f>
        <v>0</v>
      </c>
      <c r="AO210" s="1080">
        <f t="shared" si="242"/>
        <v>0</v>
      </c>
      <c r="AP210" s="1080">
        <f>SUM(AJ210:AN210)-AM210</f>
        <v>0</v>
      </c>
      <c r="AQ210" s="1027">
        <f>VLOOKUP(V210,'System Lookups'!$J$55:$P$64,7)</f>
        <v>500</v>
      </c>
      <c r="AR210" s="1080" t="str">
        <f ca="1">IF(AND(NOT(ISBLANK(AJ210)),ISNA(MATCH(ROW(),'System Lookups'!$C$526:$C$539,0))),"Y","N")</f>
        <v>Y</v>
      </c>
      <c r="AS210" s="1080">
        <f>AG210-AI210</f>
        <v>0</v>
      </c>
      <c r="AU210" s="1080" t="e">
        <f t="shared" si="213"/>
        <v>#N/A</v>
      </c>
      <c r="AV210" s="1080" t="str">
        <f t="shared" si="210"/>
        <v>S</v>
      </c>
      <c r="AW210" s="1080">
        <f t="shared" si="214"/>
        <v>0</v>
      </c>
      <c r="AX210" s="1080">
        <f t="shared" si="215"/>
        <v>0</v>
      </c>
      <c r="AY210" s="1080">
        <f t="shared" si="216"/>
        <v>0</v>
      </c>
      <c r="AZ210" s="1080">
        <f t="shared" si="217"/>
        <v>0</v>
      </c>
      <c r="BA210" s="1080">
        <f t="shared" si="218"/>
        <v>0</v>
      </c>
      <c r="BB210" s="1080">
        <f>IF(AND(RACE=1,'Main Creation Page'!$E$6="Well",OR(ISNUMBER(FIND(Experience!$G$11,BE210)),ISNUMBER(FIND(Experience!$G$11,BF210)),ISNUMBER(FIND(Experience!$I$11,BE210)),ISNUMBER(FIND(Experience!$I$11,BF210)))),1,0)</f>
        <v>0</v>
      </c>
      <c r="BC210" s="1080" t="str">
        <f t="shared" si="239"/>
        <v>Whip-Hammer</v>
      </c>
      <c r="BE210" s="1080" t="str">
        <f t="shared" si="211"/>
        <v/>
      </c>
      <c r="BF210" s="1080" t="str">
        <f t="shared" si="212"/>
        <v>Combat Skills</v>
      </c>
    </row>
    <row r="211" spans="1:58" ht="10.5" customHeight="1" outlineLevel="1">
      <c r="A211" s="1123" t="s">
        <v>3514</v>
      </c>
      <c r="B211" s="1094"/>
      <c r="C211" s="1094" t="s">
        <v>4629</v>
      </c>
      <c r="D211" s="1094" t="s">
        <v>4623</v>
      </c>
      <c r="E211" s="1095" t="s">
        <v>5224</v>
      </c>
      <c r="F211" s="1095" t="s">
        <v>5224</v>
      </c>
      <c r="G211" s="1096">
        <v>0</v>
      </c>
      <c r="H211" s="1096" t="s">
        <v>5224</v>
      </c>
      <c r="I211" s="1096" t="s">
        <v>5224</v>
      </c>
      <c r="J211" s="1096" t="s">
        <v>5224</v>
      </c>
      <c r="K211" s="1096" t="s">
        <v>5224</v>
      </c>
      <c r="L211" s="1096" t="s">
        <v>5224</v>
      </c>
      <c r="M211" s="1096" t="s">
        <v>5224</v>
      </c>
      <c r="N211" s="1096" t="s">
        <v>4630</v>
      </c>
      <c r="O211" s="1028"/>
      <c r="P211" s="1028" t="s">
        <v>3611</v>
      </c>
      <c r="Q211" s="1097">
        <f t="shared" ca="1" si="243"/>
        <v>15</v>
      </c>
      <c r="R211" s="1097"/>
      <c r="S211" s="1028" t="s">
        <v>3613</v>
      </c>
      <c r="T211" s="1097">
        <f t="shared" ca="1" si="244"/>
        <v>15</v>
      </c>
      <c r="U211" s="1027">
        <v>3</v>
      </c>
      <c r="V211" s="1027">
        <f>IF(AP211+U211&gt;10,10,IF(AP211+U211&lt;1,1,AP211+U211))</f>
        <v>3</v>
      </c>
      <c r="W211" s="1098" t="e">
        <f>IF(OR(I211&lt;&gt;"N",E211="C"),IF(AND(N211&lt;&gt;"T",ISNUMBER(FIND("V",I211))),1,0),NA())+IF(H211="Y",IF(AND(N211="P",ISNUMBER(FIND("Z",I211))),2,1),0)+IF(J211="Y",1,0)+IF(K211="Y",3,0)+IF(BE211="Lore",L211*2+Experience!$D$25,0)+IF(M211="Y",1,0)</f>
        <v>#N/A</v>
      </c>
      <c r="X211" s="1099"/>
      <c r="Y211" s="1100">
        <f ca="1">IF(P211="NS",IFERROR(INDIRECT(S211),NA()),VLOOKUP(INDIRECT(P211)+INDIRECT(S211),'System Lookups'!$A$3:$D$146,2))</f>
        <v>0.06</v>
      </c>
      <c r="Z211" s="1100">
        <f>IF(ISNA(W211),0,W211*0.03)+IF(X211&gt;0,X211*0.03,0)+IF(AND(ISNA(W211),X211&lt;=0),0,IF(G211&gt;0,G211*0.07,0))</f>
        <v>0</v>
      </c>
      <c r="AA211" s="1101">
        <f ca="1">IF(ISNA(Y211),0,Y211)+Z211</f>
        <v>0.06</v>
      </c>
      <c r="AB211" s="1102">
        <f>VLOOKUP(V211,'System Lookups'!$J$55:$P$64,3)</f>
        <v>0.3</v>
      </c>
      <c r="AC211" s="1103">
        <f>VLOOKUP(V211,'System Lookups'!$J$55:$P$64,4)</f>
        <v>0.4</v>
      </c>
      <c r="AD211" s="1104">
        <f ca="1">IF(AND(ISBLANK(X211),ISNA(W211)),IF(B211="~",0,AB211+AA211+IF(BB211&gt;0,0.05,0)),AA211+AC211+IF(BB211&gt;0,0.05,0))</f>
        <v>0.36</v>
      </c>
      <c r="AE211" s="1094">
        <f ca="1">(IF(AD211&gt;VLOOKUP(V211,'System Lookups'!$J$55:$P$63,6),(((AD211-VLOOKUP(V211,'System Lookups'!$J$55:$P$63,6))*100)/20),0))+AF211</f>
        <v>0</v>
      </c>
      <c r="AF211" s="1121"/>
      <c r="AG211" s="1092">
        <f>IF(ISBLANK(X211),0,AQ211*X211+IF(ISNA(W211),1,0))</f>
        <v>0</v>
      </c>
      <c r="AH211" s="1092" t="str">
        <f>IF(X211&lt;=Experience!$R$15+1,"","*")</f>
        <v/>
      </c>
      <c r="AI211" s="1092"/>
      <c r="AJ211" s="1080">
        <f t="shared" si="240"/>
        <v>0</v>
      </c>
      <c r="AK211" s="1080">
        <f>IF(F211="s",-2,0)</f>
        <v>0</v>
      </c>
      <c r="AL211" s="1080">
        <f t="shared" si="241"/>
        <v>0</v>
      </c>
      <c r="AM211" s="1092">
        <f>IF(J211="y",1,0)</f>
        <v>0</v>
      </c>
      <c r="AN211" s="1080">
        <f>IF(N211="P",-1,IF(N211="T",1,0))</f>
        <v>0</v>
      </c>
      <c r="AO211" s="1080">
        <f t="shared" si="242"/>
        <v>0</v>
      </c>
      <c r="AP211" s="1080">
        <f>SUM(AJ211:AN211)-AM211</f>
        <v>0</v>
      </c>
      <c r="AQ211" s="1027">
        <f>VLOOKUP(V211,'System Lookups'!$J$55:$P$64,7)</f>
        <v>500</v>
      </c>
      <c r="AR211" s="1080" t="str">
        <f ca="1">IF(AND(NOT(ISBLANK(AJ211)),ISNA(MATCH(ROW(),'System Lookups'!$C$526:$C$539,0))),"Y","N")</f>
        <v>Y</v>
      </c>
      <c r="AS211" s="1080">
        <f>AG211-AI211</f>
        <v>0</v>
      </c>
      <c r="AU211" s="1080" t="e">
        <f t="shared" si="213"/>
        <v>#N/A</v>
      </c>
      <c r="AV211" s="1080" t="str">
        <f t="shared" si="210"/>
        <v>S</v>
      </c>
      <c r="AW211" s="1080">
        <f t="shared" si="214"/>
        <v>0</v>
      </c>
      <c r="AX211" s="1080">
        <f t="shared" si="215"/>
        <v>0</v>
      </c>
      <c r="AY211" s="1080">
        <f t="shared" si="216"/>
        <v>0</v>
      </c>
      <c r="AZ211" s="1080">
        <f t="shared" si="217"/>
        <v>0</v>
      </c>
      <c r="BA211" s="1080">
        <f t="shared" si="218"/>
        <v>0</v>
      </c>
      <c r="BB211" s="1080">
        <f>IF(AND(RACE=1,'Main Creation Page'!$E$6="Well",OR(ISNUMBER(FIND(Experience!$G$11,BE211)),ISNUMBER(FIND(Experience!$G$11,BF211)),ISNUMBER(FIND(Experience!$I$11,BE211)),ISNUMBER(FIND(Experience!$I$11,BF211)))),1,0)</f>
        <v>0</v>
      </c>
      <c r="BC211" s="1080" t="str">
        <f t="shared" si="239"/>
        <v>Whips</v>
      </c>
      <c r="BE211" s="1080" t="str">
        <f t="shared" si="211"/>
        <v/>
      </c>
      <c r="BF211" s="1080" t="str">
        <f t="shared" si="212"/>
        <v>Combat Skills</v>
      </c>
    </row>
    <row r="212" spans="1:58" ht="10.5" customHeight="1" outlineLevel="1">
      <c r="B212" s="1111"/>
      <c r="C212" s="1111"/>
      <c r="D212" s="1111"/>
      <c r="Q212" s="1097"/>
      <c r="R212" s="1097"/>
      <c r="V212" s="1027"/>
      <c r="W212" s="1112"/>
      <c r="AE212" s="1034"/>
      <c r="AF212" s="1132"/>
      <c r="AG212" s="1092"/>
      <c r="AH212" s="1092"/>
      <c r="AI212" s="1092"/>
      <c r="AM212" s="1092"/>
      <c r="AQ212" s="1027"/>
      <c r="AR212" s="1080" t="str">
        <f ca="1">IF(AND(NOT(ISBLANK(AJ212)),ISNA(MATCH(ROW(),'System Lookups'!$C$526:$C$539,0))),"Y","N")</f>
        <v>N</v>
      </c>
      <c r="AU212" s="1080" t="e">
        <f t="shared" si="213"/>
        <v>#N/A</v>
      </c>
      <c r="AV212" s="1080" t="str">
        <f t="shared" si="210"/>
        <v/>
      </c>
      <c r="AW212" s="1080">
        <f t="shared" si="214"/>
        <v>0</v>
      </c>
      <c r="AX212" s="1080">
        <f t="shared" si="215"/>
        <v>0</v>
      </c>
      <c r="AY212" s="1080">
        <f t="shared" si="216"/>
        <v>0</v>
      </c>
      <c r="AZ212" s="1080">
        <f t="shared" si="217"/>
        <v>0</v>
      </c>
      <c r="BA212" s="1080">
        <f t="shared" si="218"/>
        <v>0</v>
      </c>
      <c r="BB212" s="1080">
        <f>IF(AND(RACE=1,'Main Creation Page'!$E$6="Well",OR(ISNUMBER(FIND(Experience!$G$11,BE212)),ISNUMBER(FIND(Experience!$G$11,BF212)),ISNUMBER(FIND(Experience!$I$11,BE212)),ISNUMBER(FIND(Experience!$I$11,BF212)))),1,0)</f>
        <v>0</v>
      </c>
      <c r="BC212" s="1080" t="e">
        <f t="shared" si="239"/>
        <v>#N/A</v>
      </c>
      <c r="BE212" s="1080" t="str">
        <f t="shared" si="211"/>
        <v/>
      </c>
      <c r="BF212" s="1080" t="str">
        <f t="shared" si="212"/>
        <v>Combat Skills</v>
      </c>
    </row>
    <row r="213" spans="1:58" ht="11.1" customHeight="1">
      <c r="A213" s="1087" t="s">
        <v>762</v>
      </c>
      <c r="B213" s="1091"/>
      <c r="C213" s="1091"/>
      <c r="D213" s="1091"/>
      <c r="F213" s="1027"/>
      <c r="G213" s="1027"/>
      <c r="H213" s="1027"/>
      <c r="I213" s="1085"/>
      <c r="J213" s="1085"/>
      <c r="K213" s="1085"/>
      <c r="L213" s="1085"/>
      <c r="M213" s="1085"/>
      <c r="N213" s="1027"/>
      <c r="O213" s="1027"/>
      <c r="P213" s="1027"/>
      <c r="Q213" s="1097"/>
      <c r="R213" s="1097"/>
      <c r="S213" s="1113"/>
      <c r="T213" s="1113"/>
      <c r="U213" s="1085"/>
      <c r="V213" s="1027"/>
      <c r="W213" s="1028"/>
      <c r="X213" s="1114"/>
      <c r="AE213" s="1094"/>
      <c r="AF213" s="1121"/>
      <c r="AG213" s="1092">
        <f>SUM(AG214:AG234)</f>
        <v>0</v>
      </c>
      <c r="AH213" s="1092"/>
      <c r="AI213" s="1092">
        <f>SUM(AI214:AI234)</f>
        <v>0</v>
      </c>
      <c r="AM213" s="1092"/>
      <c r="AR213" s="1080" t="str">
        <f ca="1">IF(AND(NOT(ISBLANK(AJ213)),ISNA(MATCH(ROW(),'System Lookups'!$C$526:$C$539,0))),"Y","N")</f>
        <v>N</v>
      </c>
      <c r="AU213" s="1080" t="e">
        <f t="shared" si="213"/>
        <v>#N/A</v>
      </c>
      <c r="AV213" s="1080" t="str">
        <f t="shared" si="210"/>
        <v/>
      </c>
      <c r="AW213" s="1080">
        <f t="shared" si="214"/>
        <v>0</v>
      </c>
      <c r="AX213" s="1080">
        <f t="shared" si="215"/>
        <v>0</v>
      </c>
      <c r="AY213" s="1080">
        <f t="shared" si="216"/>
        <v>0</v>
      </c>
      <c r="AZ213" s="1080">
        <f t="shared" si="217"/>
        <v>0</v>
      </c>
      <c r="BA213" s="1080">
        <f t="shared" si="218"/>
        <v>0</v>
      </c>
      <c r="BB213" s="1080">
        <f>IF(AND(RACE=1,'Main Creation Page'!$E$6="Well",OR(ISNUMBER(FIND(Experience!$G$11,BE213)),ISNUMBER(FIND(Experience!$G$11,BF213)),ISNUMBER(FIND(Experience!$I$11,BE213)),ISNUMBER(FIND(Experience!$I$11,BF213)))),1,0)</f>
        <v>0</v>
      </c>
      <c r="BC213" s="1080" t="str">
        <f t="shared" si="239"/>
        <v>Cooking &amp; Innkeeping Skills</v>
      </c>
      <c r="BE213" s="1080" t="str">
        <f t="shared" si="211"/>
        <v/>
      </c>
      <c r="BF213" s="1080" t="str">
        <f t="shared" si="212"/>
        <v>Cooking &amp; Innkeeping Skills</v>
      </c>
    </row>
    <row r="214" spans="1:58" ht="11.1" customHeight="1" outlineLevel="1">
      <c r="A214" s="1117" t="s">
        <v>1156</v>
      </c>
      <c r="B214" s="1094" t="s">
        <v>1942</v>
      </c>
      <c r="C214" s="1094"/>
      <c r="D214" s="1094"/>
      <c r="E214" s="1095" t="s">
        <v>5224</v>
      </c>
      <c r="F214" s="1095" t="s">
        <v>5224</v>
      </c>
      <c r="G214" s="1096">
        <v>0</v>
      </c>
      <c r="H214" s="1096" t="s">
        <v>5224</v>
      </c>
      <c r="I214" s="1096" t="s">
        <v>5224</v>
      </c>
      <c r="J214" s="1096" t="s">
        <v>5224</v>
      </c>
      <c r="K214" s="1096" t="s">
        <v>5224</v>
      </c>
      <c r="L214" s="1096" t="s">
        <v>5224</v>
      </c>
      <c r="M214" s="1096" t="s">
        <v>5224</v>
      </c>
      <c r="N214" s="1096" t="s">
        <v>4631</v>
      </c>
      <c r="O214" s="1097"/>
      <c r="P214" s="1097" t="s">
        <v>780</v>
      </c>
      <c r="Q214" s="1097">
        <f t="shared" ref="Q214:Q217" ca="1" si="245">INDIRECT(P214)</f>
        <v>17</v>
      </c>
      <c r="R214" s="1097"/>
      <c r="S214" s="1028" t="s">
        <v>3616</v>
      </c>
      <c r="T214" s="1097">
        <f t="shared" ref="T214:T217" ca="1" si="246">INDIRECT(S214)</f>
        <v>17</v>
      </c>
      <c r="U214" s="1027">
        <v>3</v>
      </c>
      <c r="V214" s="1027">
        <f>IF(AP214+U214&gt;10,10,IF(AP214+U214&lt;1,1,AP214+U214))</f>
        <v>4</v>
      </c>
      <c r="W214" s="1098" t="e">
        <f>IF(OR(I214&lt;&gt;"N",E214="C"),IF(AND(N214&lt;&gt;"T",ISNUMBER(FIND("V",I214))),1,0),NA())+IF(H214="Y",IF(AND(N214="P",ISNUMBER(FIND("Z",I214))),2,1),0)+IF(J214="Y",1,0)+IF(K214="Y",3,0)+IF(BE214="Lore",L214*2+Experience!$D$25,0)+IF(M214="Y",1,0)</f>
        <v>#N/A</v>
      </c>
      <c r="X214" s="1099"/>
      <c r="Y214" s="1100">
        <f ca="1">IF(P214="NS",IFERROR(INDIRECT(S214),NA()),VLOOKUP(INDIRECT(P214)+INDIRECT(S214),'System Lookups'!$A$3:$D$146,2))</f>
        <v>0.1</v>
      </c>
      <c r="Z214" s="1100">
        <f>IF(ISNA(W214),0,W214*0.03)+IF(X214&gt;0,X214*0.03,0)+IF(AND(ISNA(W214),X214&lt;=0),0,IF(G214&gt;0,G214*0.07,0))</f>
        <v>0</v>
      </c>
      <c r="AA214" s="1101">
        <f t="shared" ref="AA214:AA216" ca="1" si="247">IF(ISNA(Y214),0,Y214)+Z214</f>
        <v>0.1</v>
      </c>
      <c r="AB214" s="1102">
        <f>VLOOKUP(V214,'System Lookups'!$J$55:$P$64,3)</f>
        <v>0.2</v>
      </c>
      <c r="AC214" s="1103">
        <f>VLOOKUP(V214,'System Lookups'!$J$55:$P$64,4)</f>
        <v>0.3</v>
      </c>
      <c r="AD214" s="1104">
        <f t="shared" ref="AD214:AD226" si="248">IF(AND(ISBLANK(X214),ISNA(W214)),IF(B214="~",0,AB214+AA214+IF(BB214&gt;0,0.05,0)),AA214+AC214+IF(BB214&gt;0,0.05,0))</f>
        <v>0</v>
      </c>
      <c r="AE214" s="1094">
        <f>(IF(AD214&gt;VLOOKUP(V214,'System Lookups'!$J$55:$P$63,6),(((AD214-VLOOKUP(V214,'System Lookups'!$J$55:$P$63,6))*100)/20),0))+AF214</f>
        <v>0</v>
      </c>
      <c r="AF214" s="1121"/>
      <c r="AG214" s="1092">
        <f t="shared" ref="AG214:AG226" si="249">IF(ISBLANK(X214),0,AQ214*X214+IF(ISNA(W214),1,0))</f>
        <v>0</v>
      </c>
      <c r="AH214" s="1092" t="str">
        <f>IF(X214&lt;=Experience!$R$15+1,"","*")</f>
        <v/>
      </c>
      <c r="AI214" s="1092"/>
      <c r="AJ214" s="1080">
        <f t="shared" ref="AJ214:AJ226" si="250">IF(ISNUMBER(FIND("R",F214)),-1,0)</f>
        <v>0</v>
      </c>
      <c r="AK214" s="1080">
        <f t="shared" ref="AK214:AK216" si="251">IF(F214="s",-2,0)</f>
        <v>0</v>
      </c>
      <c r="AL214" s="1080">
        <f t="shared" ref="AL214:AL226" si="252">IF(AND(H214="Y",OR(N214="P",N214="S")),-1,0)</f>
        <v>0</v>
      </c>
      <c r="AM214" s="1092">
        <f t="shared" ref="AM214:AM216" si="253">IF(J214="y",1,0)</f>
        <v>0</v>
      </c>
      <c r="AN214" s="1080">
        <f t="shared" ref="AN214:AN216" si="254">IF(N214="P",-1,IF(N214="T",1,0))</f>
        <v>1</v>
      </c>
      <c r="AO214" s="1080">
        <f t="shared" ref="AO214:AO226" si="255">IF(ISNUMBER(FIND("Z",I214)),1,0)</f>
        <v>0</v>
      </c>
      <c r="AP214" s="1080">
        <f t="shared" ref="AP214:AP226" si="256">SUM(AJ214:AN214)-AM214</f>
        <v>1</v>
      </c>
      <c r="AQ214" s="1027">
        <f>VLOOKUP(V214,'System Lookups'!$J$55:$P$64,7)</f>
        <v>600</v>
      </c>
      <c r="AR214" s="1080" t="str">
        <f ca="1">IF(AND(NOT(ISBLANK(AJ214)),ISNA(MATCH(ROW(),'System Lookups'!$C$526:$C$539,0))),"Y","N")</f>
        <v>Y</v>
      </c>
      <c r="AS214" s="1080">
        <f t="shared" ref="AS214:AS226" si="257">AG214-AI214</f>
        <v>0</v>
      </c>
      <c r="AU214" s="1080" t="e">
        <f t="shared" si="213"/>
        <v>#N/A</v>
      </c>
      <c r="AV214" s="1080" t="str">
        <f t="shared" si="210"/>
        <v>T</v>
      </c>
      <c r="AW214" s="1080">
        <f t="shared" si="214"/>
        <v>0</v>
      </c>
      <c r="AX214" s="1080">
        <f t="shared" si="215"/>
        <v>0</v>
      </c>
      <c r="AY214" s="1080">
        <f t="shared" si="216"/>
        <v>0</v>
      </c>
      <c r="AZ214" s="1080">
        <f t="shared" si="217"/>
        <v>0</v>
      </c>
      <c r="BA214" s="1080">
        <f t="shared" si="218"/>
        <v>0</v>
      </c>
      <c r="BB214" s="1080">
        <f>IF(AND(RACE=1,'Main Creation Page'!$E$6="Well",OR(ISNUMBER(FIND(Experience!$G$11,BE214)),ISNUMBER(FIND(Experience!$G$11,BF214)),ISNUMBER(FIND(Experience!$I$11,BE214)),ISNUMBER(FIND(Experience!$I$11,BF214)))),1,0)</f>
        <v>0</v>
      </c>
      <c r="BC214" s="1080" t="str">
        <f t="shared" si="239"/>
        <v>Brewing</v>
      </c>
      <c r="BE214" s="1080" t="str">
        <f t="shared" si="211"/>
        <v/>
      </c>
      <c r="BF214" s="1080" t="str">
        <f t="shared" si="212"/>
        <v>Cooking &amp; Innkeeping Skills</v>
      </c>
    </row>
    <row r="215" spans="1:58" ht="11.1" customHeight="1" outlineLevel="1">
      <c r="A215" s="1123" t="s">
        <v>3507</v>
      </c>
      <c r="B215" s="1094" t="s">
        <v>1942</v>
      </c>
      <c r="C215" s="1094"/>
      <c r="D215" s="1094"/>
      <c r="E215" s="1095" t="s">
        <v>5224</v>
      </c>
      <c r="F215" s="1095" t="s">
        <v>5224</v>
      </c>
      <c r="G215" s="1096">
        <v>0</v>
      </c>
      <c r="H215" s="1096" t="s">
        <v>5224</v>
      </c>
      <c r="I215" s="1096" t="s">
        <v>5224</v>
      </c>
      <c r="J215" s="1096" t="s">
        <v>5224</v>
      </c>
      <c r="K215" s="1096" t="s">
        <v>5224</v>
      </c>
      <c r="L215" s="1096" t="s">
        <v>5224</v>
      </c>
      <c r="M215" s="1096" t="s">
        <v>5224</v>
      </c>
      <c r="N215" s="1096" t="s">
        <v>4631</v>
      </c>
      <c r="O215" s="1097"/>
      <c r="P215" s="1097" t="s">
        <v>780</v>
      </c>
      <c r="Q215" s="1097">
        <f t="shared" ca="1" si="245"/>
        <v>17</v>
      </c>
      <c r="R215" s="1097"/>
      <c r="S215" s="1028" t="s">
        <v>3616</v>
      </c>
      <c r="T215" s="1097">
        <f t="shared" ca="1" si="246"/>
        <v>17</v>
      </c>
      <c r="U215" s="1027">
        <v>3</v>
      </c>
      <c r="V215" s="1027">
        <f>IF(AP215+U215&gt;10,10,IF(AP215+U215&lt;1,1,AP215+U215))</f>
        <v>4</v>
      </c>
      <c r="W215" s="1098" t="e">
        <f>IF(OR(I215&lt;&gt;"N",E215="C"),IF(AND(N215&lt;&gt;"T",ISNUMBER(FIND("V",I215))),1,0),NA())+IF(H215="Y",IF(AND(N215="P",ISNUMBER(FIND("Z",I215))),2,1),0)+IF(J215="Y",1,0)+IF(K215="Y",3,0)+IF(BE215="Lore",L215*2+Experience!$D$25,0)+IF(M215="Y",1,0)</f>
        <v>#N/A</v>
      </c>
      <c r="X215" s="1099"/>
      <c r="Y215" s="1100">
        <f ca="1">IF(P215="NS",IFERROR(INDIRECT(S215),NA()),VLOOKUP(INDIRECT(P215)+INDIRECT(S215),'System Lookups'!$A$3:$D$146,2))</f>
        <v>0.1</v>
      </c>
      <c r="Z215" s="1100">
        <f>IF(ISNA(W215),0,W215*0.03)+IF(X215&gt;0,X215*0.03,0)+IF(AND(ISNA(W215),X215&lt;=0),0,IF(G215&gt;0,G215*0.07,0))</f>
        <v>0</v>
      </c>
      <c r="AA215" s="1101">
        <f t="shared" ca="1" si="247"/>
        <v>0.1</v>
      </c>
      <c r="AB215" s="1102">
        <f>VLOOKUP(V215,'System Lookups'!$J$55:$P$64,3)</f>
        <v>0.2</v>
      </c>
      <c r="AC215" s="1103">
        <f>VLOOKUP(V215,'System Lookups'!$J$55:$P$64,4)</f>
        <v>0.3</v>
      </c>
      <c r="AD215" s="1104">
        <f t="shared" si="248"/>
        <v>0</v>
      </c>
      <c r="AE215" s="1094">
        <f>(IF(AD215&gt;VLOOKUP(V215,'System Lookups'!$J$55:$P$63,6),(((AD215-VLOOKUP(V215,'System Lookups'!$J$55:$P$63,6))*100)/20),0))+AF215</f>
        <v>0</v>
      </c>
      <c r="AF215" s="1121"/>
      <c r="AG215" s="1092">
        <f t="shared" si="249"/>
        <v>0</v>
      </c>
      <c r="AH215" s="1092" t="str">
        <f>IF(X215&lt;=Experience!$R$15+1,"","*")</f>
        <v/>
      </c>
      <c r="AI215" s="1092"/>
      <c r="AJ215" s="1080">
        <f t="shared" si="250"/>
        <v>0</v>
      </c>
      <c r="AK215" s="1080">
        <f t="shared" si="251"/>
        <v>0</v>
      </c>
      <c r="AL215" s="1080">
        <f t="shared" si="252"/>
        <v>0</v>
      </c>
      <c r="AM215" s="1092">
        <f t="shared" si="253"/>
        <v>0</v>
      </c>
      <c r="AN215" s="1080">
        <f t="shared" si="254"/>
        <v>1</v>
      </c>
      <c r="AO215" s="1080">
        <f t="shared" si="255"/>
        <v>0</v>
      </c>
      <c r="AP215" s="1080">
        <f t="shared" si="256"/>
        <v>1</v>
      </c>
      <c r="AQ215" s="1027">
        <f>VLOOKUP(V215,'System Lookups'!$J$55:$P$64,7)</f>
        <v>600</v>
      </c>
      <c r="AR215" s="1080" t="str">
        <f ca="1">IF(AND(NOT(ISBLANK(AJ215)),ISNA(MATCH(ROW(),'System Lookups'!$C$526:$C$539,0))),"Y","N")</f>
        <v>Y</v>
      </c>
      <c r="AS215" s="1080">
        <f t="shared" si="257"/>
        <v>0</v>
      </c>
      <c r="AU215" s="1080" t="e">
        <f t="shared" si="213"/>
        <v>#N/A</v>
      </c>
      <c r="AV215" s="1080" t="str">
        <f t="shared" si="210"/>
        <v>T</v>
      </c>
      <c r="AW215" s="1080">
        <f t="shared" si="214"/>
        <v>0</v>
      </c>
      <c r="AX215" s="1080">
        <f t="shared" si="215"/>
        <v>0</v>
      </c>
      <c r="AY215" s="1080">
        <f t="shared" si="216"/>
        <v>0</v>
      </c>
      <c r="AZ215" s="1080">
        <f t="shared" si="217"/>
        <v>0</v>
      </c>
      <c r="BA215" s="1080">
        <f t="shared" si="218"/>
        <v>0</v>
      </c>
      <c r="BB215" s="1080">
        <f>IF(AND(RACE=1,'Main Creation Page'!$E$6="Well",OR(ISNUMBER(FIND(Experience!$G$11,BE215)),ISNUMBER(FIND(Experience!$G$11,BF215)),ISNUMBER(FIND(Experience!$I$11,BE215)),ISNUMBER(FIND(Experience!$I$11,BF215)))),1,0)</f>
        <v>0</v>
      </c>
      <c r="BC215" s="1080" t="str">
        <f t="shared" si="239"/>
        <v>Buttery</v>
      </c>
      <c r="BE215" s="1080" t="str">
        <f t="shared" si="211"/>
        <v/>
      </c>
      <c r="BF215" s="1080" t="str">
        <f t="shared" si="212"/>
        <v>Cooking &amp; Innkeeping Skills</v>
      </c>
    </row>
    <row r="216" spans="1:58" ht="11.1" customHeight="1" outlineLevel="1">
      <c r="A216" s="1119" t="s">
        <v>253</v>
      </c>
      <c r="B216" s="1094" t="s">
        <v>1942</v>
      </c>
      <c r="C216" s="1094"/>
      <c r="D216" s="1094"/>
      <c r="E216" s="1095" t="s">
        <v>5224</v>
      </c>
      <c r="F216" s="1095" t="s">
        <v>5224</v>
      </c>
      <c r="G216" s="1096">
        <v>0</v>
      </c>
      <c r="H216" s="1096" t="s">
        <v>5224</v>
      </c>
      <c r="I216" s="1096" t="s">
        <v>5224</v>
      </c>
      <c r="J216" s="1096" t="s">
        <v>5224</v>
      </c>
      <c r="K216" s="1096" t="s">
        <v>5224</v>
      </c>
      <c r="L216" s="1096" t="s">
        <v>5224</v>
      </c>
      <c r="M216" s="1096" t="s">
        <v>5224</v>
      </c>
      <c r="N216" s="1096" t="s">
        <v>4631</v>
      </c>
      <c r="O216" s="1097"/>
      <c r="P216" s="1097" t="s">
        <v>780</v>
      </c>
      <c r="Q216" s="1097">
        <f t="shared" ca="1" si="245"/>
        <v>17</v>
      </c>
      <c r="R216" s="1097"/>
      <c r="S216" s="1028" t="s">
        <v>3616</v>
      </c>
      <c r="T216" s="1097">
        <f t="shared" ca="1" si="246"/>
        <v>17</v>
      </c>
      <c r="U216" s="1027">
        <v>4</v>
      </c>
      <c r="V216" s="1027">
        <f>IF(AP216+U216&gt;10,10,IF(AP216+U216&lt;1,1,AP216+U216))</f>
        <v>5</v>
      </c>
      <c r="W216" s="1098" t="e">
        <f>IF(OR(I216&lt;&gt;"N",E216="C"),IF(AND(N216&lt;&gt;"T",ISNUMBER(FIND("V",I216))),1,0),NA())+IF(H216="Y",IF(AND(N216="P",ISNUMBER(FIND("Z",I216))),2,1),0)+IF(J216="Y",1,0)+IF(K216="Y",3,0)+IF(BE216="Lore",L216*2+Experience!$D$25,0)+IF(M216="Y",1,0)</f>
        <v>#N/A</v>
      </c>
      <c r="X216" s="1099"/>
      <c r="Y216" s="1100">
        <f ca="1">IF(P216="NS",IFERROR(INDIRECT(S216),NA()),VLOOKUP(INDIRECT(P216)+INDIRECT(S216),'System Lookups'!$A$3:$D$146,2))</f>
        <v>0.1</v>
      </c>
      <c r="Z216" s="1100">
        <f>IF(ISNA(W216),0,W216*0.03)+IF(X216&gt;0,X216*0.03,0)+IF(AND(ISNA(W216),X216&lt;=0),0,IF(G216&gt;0,G216*0.07,0))</f>
        <v>0</v>
      </c>
      <c r="AA216" s="1101">
        <f t="shared" ca="1" si="247"/>
        <v>0.1</v>
      </c>
      <c r="AB216" s="1102">
        <f>VLOOKUP(V216,'System Lookups'!$J$55:$P$64,3)</f>
        <v>0.1</v>
      </c>
      <c r="AC216" s="1103">
        <f>VLOOKUP(V216,'System Lookups'!$J$55:$P$64,4)</f>
        <v>0.2</v>
      </c>
      <c r="AD216" s="1104">
        <f t="shared" si="248"/>
        <v>0</v>
      </c>
      <c r="AE216" s="1094">
        <f>(IF(AD216&gt;VLOOKUP(V216,'System Lookups'!$J$55:$P$63,6),(((AD216-VLOOKUP(V216,'System Lookups'!$J$55:$P$63,6))*100)/20),0))+AF216</f>
        <v>0</v>
      </c>
      <c r="AF216" s="1121"/>
      <c r="AG216" s="1092">
        <f t="shared" si="249"/>
        <v>0</v>
      </c>
      <c r="AH216" s="1092" t="str">
        <f>IF(X216&lt;=Experience!$R$15+1,"","*")</f>
        <v/>
      </c>
      <c r="AI216" s="1092"/>
      <c r="AJ216" s="1080">
        <f t="shared" si="250"/>
        <v>0</v>
      </c>
      <c r="AK216" s="1080">
        <f t="shared" si="251"/>
        <v>0</v>
      </c>
      <c r="AL216" s="1080">
        <f t="shared" si="252"/>
        <v>0</v>
      </c>
      <c r="AM216" s="1092">
        <f t="shared" si="253"/>
        <v>0</v>
      </c>
      <c r="AN216" s="1080">
        <f t="shared" si="254"/>
        <v>1</v>
      </c>
      <c r="AO216" s="1080">
        <f t="shared" si="255"/>
        <v>0</v>
      </c>
      <c r="AP216" s="1080">
        <f t="shared" si="256"/>
        <v>1</v>
      </c>
      <c r="AQ216" s="1027">
        <f>VLOOKUP(V216,'System Lookups'!$J$55:$P$64,7)</f>
        <v>700</v>
      </c>
      <c r="AR216" s="1080" t="str">
        <f ca="1">IF(AND(NOT(ISBLANK(AJ216)),ISNA(MATCH(ROW(),'System Lookups'!$C$526:$C$539,0))),"Y","N")</f>
        <v>Y</v>
      </c>
      <c r="AS216" s="1080">
        <f t="shared" si="257"/>
        <v>0</v>
      </c>
      <c r="AU216" s="1080" t="e">
        <f t="shared" si="213"/>
        <v>#N/A</v>
      </c>
      <c r="AV216" s="1080" t="str">
        <f t="shared" si="210"/>
        <v>T</v>
      </c>
      <c r="AW216" s="1080">
        <f t="shared" si="214"/>
        <v>0</v>
      </c>
      <c r="AX216" s="1080">
        <f t="shared" si="215"/>
        <v>0</v>
      </c>
      <c r="AY216" s="1080">
        <f t="shared" si="216"/>
        <v>0</v>
      </c>
      <c r="AZ216" s="1080">
        <f t="shared" si="217"/>
        <v>0</v>
      </c>
      <c r="BA216" s="1080">
        <f t="shared" si="218"/>
        <v>0</v>
      </c>
      <c r="BB216" s="1080">
        <f>IF(AND(RACE=1,'Main Creation Page'!$E$6="Well",OR(ISNUMBER(FIND(Experience!$G$11,BE216)),ISNUMBER(FIND(Experience!$G$11,BF216)),ISNUMBER(FIND(Experience!$I$11,BE216)),ISNUMBER(FIND(Experience!$I$11,BF216)))),1,0)</f>
        <v>0</v>
      </c>
      <c r="BC216" s="1080" t="str">
        <f t="shared" si="239"/>
        <v>Cheesemaking</v>
      </c>
      <c r="BE216" s="1080" t="str">
        <f t="shared" si="211"/>
        <v/>
      </c>
      <c r="BF216" s="1080" t="str">
        <f t="shared" si="212"/>
        <v>Cooking &amp; Innkeeping Skills</v>
      </c>
    </row>
    <row r="217" spans="1:58" ht="11.1" customHeight="1" outlineLevel="1">
      <c r="A217" s="1117" t="s">
        <v>1157</v>
      </c>
      <c r="B217" s="1094"/>
      <c r="C217" s="1094"/>
      <c r="D217" s="1094"/>
      <c r="E217" s="1095" t="str">
        <f>IF(Experience!D3=2,IF('Main Creation Page'!I31="F","C","N"),IF(Experience!F3=2,IF('Main Creation Page'!I31="F","C","N"),"N"))</f>
        <v>N</v>
      </c>
      <c r="F217" s="1095" t="s">
        <v>5224</v>
      </c>
      <c r="G217" s="1096">
        <v>0</v>
      </c>
      <c r="H217" s="1096" t="s">
        <v>5224</v>
      </c>
      <c r="I217" s="1096" t="s">
        <v>5224</v>
      </c>
      <c r="J217" s="1096" t="s">
        <v>5224</v>
      </c>
      <c r="K217" s="1096" t="s">
        <v>5224</v>
      </c>
      <c r="L217" s="1096" t="s">
        <v>5224</v>
      </c>
      <c r="M217" s="1096" t="s">
        <v>5224</v>
      </c>
      <c r="N217" s="1096" t="s">
        <v>4631</v>
      </c>
      <c r="O217" s="1097"/>
      <c r="P217" s="1097" t="s">
        <v>780</v>
      </c>
      <c r="Q217" s="1097">
        <f t="shared" ca="1" si="245"/>
        <v>17</v>
      </c>
      <c r="R217" s="1097"/>
      <c r="S217" s="1028" t="s">
        <v>3616</v>
      </c>
      <c r="T217" s="1097">
        <f t="shared" ca="1" si="246"/>
        <v>17</v>
      </c>
      <c r="U217" s="1027">
        <v>3</v>
      </c>
      <c r="V217" s="1027">
        <f>IF(AP217+U217&gt;10,10,IF(AP217+U217&lt;1,1,AP217+U217))</f>
        <v>4</v>
      </c>
      <c r="W217" s="1098" t="e">
        <f>IF(OR(I217&lt;&gt;"N",E217="C"),IF(AND(N217&lt;&gt;"T",ISNUMBER(FIND("V",I217))),1,0),NA())+IF(H217="Y",IF(AND(N217="P",ISNUMBER(FIND("Z",I217))),2,1),0)+IF(J217="Y",1,0)+IF(K217="Y",3,0)+IF(BE217="Lore",L217*2+Experience!$D$25,0)+IF(M217="Y",1,0)</f>
        <v>#N/A</v>
      </c>
      <c r="X217" s="1099"/>
      <c r="Y217" s="1100">
        <f ca="1">IF(P217="NS",IFERROR(INDIRECT(S217),NA()),VLOOKUP(INDIRECT(P217)+INDIRECT(S217),'System Lookups'!$A$3:$D$146,2))</f>
        <v>0.1</v>
      </c>
      <c r="Z217" s="1100">
        <f>IF(ISNA(W217),0,W217*0.03)+IF(X217&gt;0,X217*0.03,0)+IF(AND(ISNA(W217),X217&lt;=0),0,IF(G217&gt;0,G217*0.07,0))</f>
        <v>0</v>
      </c>
      <c r="AA217" s="1101">
        <f t="shared" ref="AA217" ca="1" si="258">IF(ISNA(Y217),0,Y217)+Z217</f>
        <v>0.1</v>
      </c>
      <c r="AB217" s="1102">
        <f>VLOOKUP(V217,'System Lookups'!$J$55:$P$64,3)</f>
        <v>0.2</v>
      </c>
      <c r="AC217" s="1103">
        <f>VLOOKUP(V217,'System Lookups'!$J$55:$P$64,4)</f>
        <v>0.3</v>
      </c>
      <c r="AD217" s="1104">
        <f t="shared" ca="1" si="248"/>
        <v>0.30000000000000004</v>
      </c>
      <c r="AE217" s="1094">
        <f ca="1">(IF(AD217&gt;VLOOKUP(V217,'System Lookups'!$J$55:$P$63,6),(((AD217-VLOOKUP(V217,'System Lookups'!$J$55:$P$63,6))*100)/20),0))+AF217</f>
        <v>0</v>
      </c>
      <c r="AF217" s="1121"/>
      <c r="AG217" s="1092">
        <f t="shared" si="249"/>
        <v>0</v>
      </c>
      <c r="AH217" s="1092" t="str">
        <f>IF(X217&lt;=Experience!$R$15+1,"","*")</f>
        <v/>
      </c>
      <c r="AI217" s="1092"/>
      <c r="AJ217" s="1080">
        <f t="shared" si="250"/>
        <v>0</v>
      </c>
      <c r="AK217" s="1080">
        <f t="shared" ref="AK217" si="259">IF(F217="s",-2,0)</f>
        <v>0</v>
      </c>
      <c r="AL217" s="1080">
        <f t="shared" si="252"/>
        <v>0</v>
      </c>
      <c r="AM217" s="1092">
        <f t="shared" ref="AM217" si="260">IF(J217="y",1,0)</f>
        <v>0</v>
      </c>
      <c r="AN217" s="1080">
        <f t="shared" ref="AN217" si="261">IF(N217="P",-1,IF(N217="T",1,0))</f>
        <v>1</v>
      </c>
      <c r="AO217" s="1080">
        <f t="shared" si="255"/>
        <v>0</v>
      </c>
      <c r="AP217" s="1080">
        <f t="shared" si="256"/>
        <v>1</v>
      </c>
      <c r="AQ217" s="1027">
        <f>VLOOKUP(V217,'System Lookups'!$J$55:$P$64,7)</f>
        <v>600</v>
      </c>
      <c r="AR217" s="1080" t="str">
        <f ca="1">IF(AND(NOT(ISBLANK(AJ217)),ISNA(MATCH(ROW(),'System Lookups'!$C$526:$C$539,0))),"Y","N")</f>
        <v>Y</v>
      </c>
      <c r="AS217" s="1080">
        <f t="shared" si="257"/>
        <v>0</v>
      </c>
      <c r="AU217" s="1080" t="e">
        <f t="shared" si="213"/>
        <v>#N/A</v>
      </c>
      <c r="AV217" s="1080" t="str">
        <f t="shared" si="210"/>
        <v>T</v>
      </c>
      <c r="AW217" s="1080">
        <f t="shared" si="214"/>
        <v>0</v>
      </c>
      <c r="AX217" s="1080">
        <f t="shared" si="215"/>
        <v>0</v>
      </c>
      <c r="AY217" s="1080">
        <f t="shared" si="216"/>
        <v>0</v>
      </c>
      <c r="AZ217" s="1080">
        <f t="shared" si="217"/>
        <v>0</v>
      </c>
      <c r="BA217" s="1080">
        <f t="shared" si="218"/>
        <v>0</v>
      </c>
      <c r="BB217" s="1080">
        <f>IF(AND(RACE=1,'Main Creation Page'!$E$6="Well",OR(ISNUMBER(FIND(Experience!$G$11,BE217)),ISNUMBER(FIND(Experience!$G$11,BF217)),ISNUMBER(FIND(Experience!$I$11,BE217)),ISNUMBER(FIND(Experience!$I$11,BF217)))),1,0)</f>
        <v>0</v>
      </c>
      <c r="BC217" s="1080" t="str">
        <f t="shared" si="239"/>
        <v>Cooking</v>
      </c>
      <c r="BE217" s="1080" t="str">
        <f t="shared" si="211"/>
        <v/>
      </c>
      <c r="BF217" s="1080" t="str">
        <f t="shared" si="212"/>
        <v>Cooking &amp; Innkeeping Skills</v>
      </c>
    </row>
    <row r="218" spans="1:58" ht="11.1" customHeight="1" outlineLevel="2">
      <c r="A218" s="1028" t="s">
        <v>829</v>
      </c>
      <c r="B218" s="1094" t="s">
        <v>1942</v>
      </c>
      <c r="C218" s="1094"/>
      <c r="D218" s="1094"/>
      <c r="E218" s="1095" t="s">
        <v>5224</v>
      </c>
      <c r="F218" s="1095" t="s">
        <v>5224</v>
      </c>
      <c r="G218" s="1096">
        <v>0</v>
      </c>
      <c r="H218" s="1096" t="s">
        <v>5224</v>
      </c>
      <c r="I218" s="1096" t="s">
        <v>5224</v>
      </c>
      <c r="J218" s="1096" t="s">
        <v>5224</v>
      </c>
      <c r="K218" s="1096" t="s">
        <v>5224</v>
      </c>
      <c r="L218" s="1096" t="s">
        <v>5224</v>
      </c>
      <c r="M218" s="1096" t="s">
        <v>5224</v>
      </c>
      <c r="N218" s="1096" t="s">
        <v>4631</v>
      </c>
      <c r="O218" s="1097"/>
      <c r="P218" s="1113" t="s">
        <v>13</v>
      </c>
      <c r="Q218" s="1097"/>
      <c r="R218" s="1097"/>
      <c r="S218" s="1113" t="s">
        <v>6150</v>
      </c>
      <c r="T218" s="1113"/>
      <c r="U218" s="1027">
        <v>0</v>
      </c>
      <c r="V218" s="1027">
        <f t="shared" ref="V218:V226" si="262">IF(AP218+U218&gt;10,10,IF(AP218+U218&lt;0,0,AP218+U218))</f>
        <v>1</v>
      </c>
      <c r="W218" s="1098" t="e">
        <f>IF(OR(I218&lt;&gt;"N",E218="C"),IF(AND(N218&lt;&gt;"T",ISNUMBER(FIND("V",I218))),1,0),NA())+IF(H218="Y",IF(AND(N218="P",ISNUMBER(FIND("Z",I218))),2,1),0)+IF(J218="Y",1,0)+IF(K218="Y",3,0)+IF(BE218="Lore",L218*2+Experience!$D$25,0)+IF(M218="Y",1,0)</f>
        <v>#N/A</v>
      </c>
      <c r="X218" s="1099"/>
      <c r="Y218" s="1100">
        <f ca="1">IF(P218="NS",IFERROR(INDIRECT(S218),NA()),VLOOKUP(INDIRECT(P218)+INDIRECT(S218),'System Lookups'!$A$3:$D$146,2))</f>
        <v>0</v>
      </c>
      <c r="Z218" s="1100">
        <f t="shared" ref="Z218:Z226" si="263">Z$217</f>
        <v>0</v>
      </c>
      <c r="AA218" s="1101">
        <f t="shared" ref="AA218:AA226" ca="1" si="264">IF(ISNA(Y218),0,Y218)+Z218</f>
        <v>0</v>
      </c>
      <c r="AB218" s="1102">
        <f>VLOOKUP($V$217,'System Lookups'!$J$55:$P$64,3)</f>
        <v>0.2</v>
      </c>
      <c r="AC218" s="1103">
        <f>VLOOKUP(V$217,'System Lookups'!$J$55:$P$64,4)</f>
        <v>0.3</v>
      </c>
      <c r="AD218" s="1104">
        <f t="shared" si="248"/>
        <v>0</v>
      </c>
      <c r="AE218" s="1094">
        <f>(IF(AD218&gt;VLOOKUP(V218,'System Lookups'!$J$55:$P$63,6),(((AD218-VLOOKUP(V218,'System Lookups'!$J$55:$P$63,6))*100)/20),0))+AF218</f>
        <v>0</v>
      </c>
      <c r="AF218" s="1121"/>
      <c r="AG218" s="1092">
        <f t="shared" si="249"/>
        <v>0</v>
      </c>
      <c r="AH218" s="1092" t="str">
        <f>IF(X218&lt;=Experience!$R$15+1,"","*")</f>
        <v/>
      </c>
      <c r="AI218" s="1092"/>
      <c r="AJ218" s="1080">
        <f t="shared" si="250"/>
        <v>0</v>
      </c>
      <c r="AK218" s="1080">
        <f t="shared" ref="AK218:AK226" si="265">IF(F218="s",-2,0)</f>
        <v>0</v>
      </c>
      <c r="AL218" s="1080">
        <f t="shared" si="252"/>
        <v>0</v>
      </c>
      <c r="AM218" s="1092">
        <f t="shared" ref="AM218:AM226" si="266">IF(J218="y",1,0)</f>
        <v>0</v>
      </c>
      <c r="AN218" s="1080">
        <f t="shared" ref="AN218:AN226" si="267">IF(N218="P",-1,IF(N218="T",1,0))</f>
        <v>1</v>
      </c>
      <c r="AO218" s="1080">
        <f t="shared" si="255"/>
        <v>0</v>
      </c>
      <c r="AP218" s="1080">
        <f t="shared" si="256"/>
        <v>1</v>
      </c>
      <c r="AQ218" s="1027">
        <v>100</v>
      </c>
      <c r="AR218" s="1080" t="str">
        <f ca="1">IF(AND(NOT(ISBLANK(AJ218)),ISNA(MATCH(ROW(),'System Lookups'!$C$526:$C$539,0))),"Y","N")</f>
        <v>Y</v>
      </c>
      <c r="AS218" s="1080">
        <f t="shared" si="257"/>
        <v>0</v>
      </c>
      <c r="AU218" s="1080" t="e">
        <f t="shared" si="213"/>
        <v>#N/A</v>
      </c>
      <c r="AV218" s="1080" t="str">
        <f t="shared" si="210"/>
        <v>T</v>
      </c>
      <c r="AW218" s="1080">
        <f t="shared" si="214"/>
        <v>0</v>
      </c>
      <c r="AX218" s="1080">
        <f t="shared" si="215"/>
        <v>0</v>
      </c>
      <c r="AY218" s="1080">
        <f t="shared" si="216"/>
        <v>0</v>
      </c>
      <c r="AZ218" s="1080">
        <f t="shared" si="217"/>
        <v>0</v>
      </c>
      <c r="BA218" s="1080">
        <f t="shared" si="218"/>
        <v>0</v>
      </c>
      <c r="BB218" s="1080">
        <f>IF(AND(RACE=1,'Main Creation Page'!$E$6="Well",OR(ISNUMBER(FIND(Experience!$G$11,BE218)),ISNUMBER(FIND(Experience!$G$11,BF218)),ISNUMBER(FIND(Experience!$I$11,BE218)),ISNUMBER(FIND(Experience!$I$11,BF218)))),1,0)</f>
        <v>0</v>
      </c>
      <c r="BC218" s="1080" t="str">
        <f t="shared" si="239"/>
        <v>Cooking:Baking Bread</v>
      </c>
      <c r="BD218" s="1080" t="s">
        <v>5687</v>
      </c>
      <c r="BE218" s="1080" t="str">
        <f t="shared" si="211"/>
        <v/>
      </c>
      <c r="BF218" s="1080" t="str">
        <f t="shared" si="212"/>
        <v>Cooking &amp; Innkeeping Skills</v>
      </c>
    </row>
    <row r="219" spans="1:58" ht="11.1" customHeight="1" outlineLevel="2">
      <c r="A219" s="1028" t="s">
        <v>5374</v>
      </c>
      <c r="B219" s="1094" t="s">
        <v>1942</v>
      </c>
      <c r="C219" s="1094"/>
      <c r="D219" s="1094"/>
      <c r="E219" s="1095" t="s">
        <v>5224</v>
      </c>
      <c r="F219" s="1095" t="s">
        <v>5224</v>
      </c>
      <c r="G219" s="1096">
        <v>0</v>
      </c>
      <c r="H219" s="1096" t="s">
        <v>5224</v>
      </c>
      <c r="I219" s="1096" t="s">
        <v>5224</v>
      </c>
      <c r="J219" s="1096" t="s">
        <v>5224</v>
      </c>
      <c r="K219" s="1096" t="s">
        <v>5224</v>
      </c>
      <c r="L219" s="1096" t="s">
        <v>5224</v>
      </c>
      <c r="M219" s="1096" t="s">
        <v>5224</v>
      </c>
      <c r="N219" s="1096" t="s">
        <v>4631</v>
      </c>
      <c r="O219" s="1097"/>
      <c r="P219" s="1113" t="s">
        <v>13</v>
      </c>
      <c r="Q219" s="1097"/>
      <c r="R219" s="1097"/>
      <c r="S219" s="1113" t="s">
        <v>6150</v>
      </c>
      <c r="T219" s="1113"/>
      <c r="U219" s="1027">
        <v>0</v>
      </c>
      <c r="V219" s="1027">
        <f t="shared" si="262"/>
        <v>1</v>
      </c>
      <c r="W219" s="1098" t="e">
        <f>IF(OR(I219&lt;&gt;"N",E219="C"),IF(AND(N219&lt;&gt;"T",ISNUMBER(FIND("V",I219))),1,0),NA())+IF(H219="Y",IF(AND(N219="P",ISNUMBER(FIND("Z",I219))),2,1),0)+IF(J219="Y",1,0)+IF(K219="Y",3,0)+IF(BE219="Lore",L219*2+Experience!$D$25,0)+IF(M219="Y",1,0)</f>
        <v>#N/A</v>
      </c>
      <c r="X219" s="1099"/>
      <c r="Y219" s="1100">
        <f ca="1">IF(P219="NS",IFERROR(INDIRECT(S219),NA()),VLOOKUP(INDIRECT(P219)+INDIRECT(S219),'System Lookups'!$A$3:$D$146,2))</f>
        <v>0</v>
      </c>
      <c r="Z219" s="1100">
        <f t="shared" si="263"/>
        <v>0</v>
      </c>
      <c r="AA219" s="1101">
        <f t="shared" ca="1" si="264"/>
        <v>0</v>
      </c>
      <c r="AB219" s="1102">
        <f>VLOOKUP($V$217,'System Lookups'!$J$55:$P$64,3)</f>
        <v>0.2</v>
      </c>
      <c r="AC219" s="1103">
        <f>VLOOKUP(V$217,'System Lookups'!$J$55:$P$64,4)</f>
        <v>0.3</v>
      </c>
      <c r="AD219" s="1104">
        <f t="shared" si="248"/>
        <v>0</v>
      </c>
      <c r="AE219" s="1094">
        <f>(IF(AD219&gt;VLOOKUP(V219,'System Lookups'!$J$55:$P$63,6),(((AD219-VLOOKUP(V219,'System Lookups'!$J$55:$P$63,6))*100)/20),0))+AF219</f>
        <v>0</v>
      </c>
      <c r="AF219" s="1121"/>
      <c r="AG219" s="1092">
        <f t="shared" si="249"/>
        <v>0</v>
      </c>
      <c r="AH219" s="1092" t="str">
        <f>IF(X219&lt;=Experience!$R$15+1,"","*")</f>
        <v/>
      </c>
      <c r="AI219" s="1092"/>
      <c r="AJ219" s="1080">
        <f t="shared" si="250"/>
        <v>0</v>
      </c>
      <c r="AK219" s="1080">
        <f t="shared" si="265"/>
        <v>0</v>
      </c>
      <c r="AL219" s="1080">
        <f t="shared" si="252"/>
        <v>0</v>
      </c>
      <c r="AM219" s="1092">
        <f t="shared" si="266"/>
        <v>0</v>
      </c>
      <c r="AN219" s="1080">
        <f t="shared" si="267"/>
        <v>1</v>
      </c>
      <c r="AO219" s="1080">
        <f t="shared" si="255"/>
        <v>0</v>
      </c>
      <c r="AP219" s="1080">
        <f t="shared" si="256"/>
        <v>1</v>
      </c>
      <c r="AQ219" s="1027">
        <v>100</v>
      </c>
      <c r="AR219" s="1080" t="str">
        <f ca="1">IF(AND(NOT(ISBLANK(AJ219)),ISNA(MATCH(ROW(),'System Lookups'!$C$526:$C$539,0))),"Y","N")</f>
        <v>Y</v>
      </c>
      <c r="AS219" s="1080">
        <f t="shared" si="257"/>
        <v>0</v>
      </c>
      <c r="AU219" s="1080" t="e">
        <f t="shared" si="213"/>
        <v>#N/A</v>
      </c>
      <c r="AV219" s="1080" t="str">
        <f t="shared" si="210"/>
        <v>T</v>
      </c>
      <c r="AW219" s="1080">
        <f t="shared" si="214"/>
        <v>0</v>
      </c>
      <c r="AX219" s="1080">
        <f t="shared" si="215"/>
        <v>0</v>
      </c>
      <c r="AY219" s="1080">
        <f t="shared" si="216"/>
        <v>0</v>
      </c>
      <c r="AZ219" s="1080">
        <f t="shared" si="217"/>
        <v>0</v>
      </c>
      <c r="BA219" s="1080">
        <f t="shared" si="218"/>
        <v>0</v>
      </c>
      <c r="BB219" s="1080">
        <f>IF(AND(RACE=1,'Main Creation Page'!$E$6="Well",OR(ISNUMBER(FIND(Experience!$G$11,BE219)),ISNUMBER(FIND(Experience!$G$11,BF219)),ISNUMBER(FIND(Experience!$I$11,BE219)),ISNUMBER(FIND(Experience!$I$11,BF219)))),1,0)</f>
        <v>0</v>
      </c>
      <c r="BC219" s="1080" t="str">
        <f t="shared" si="239"/>
        <v>Cooking:Baking Meat Pies</v>
      </c>
      <c r="BD219" s="1080" t="s">
        <v>5687</v>
      </c>
      <c r="BE219" s="1080" t="str">
        <f t="shared" si="211"/>
        <v/>
      </c>
      <c r="BF219" s="1080" t="str">
        <f t="shared" si="212"/>
        <v>Cooking &amp; Innkeeping Skills</v>
      </c>
    </row>
    <row r="220" spans="1:58" ht="11.1" customHeight="1" outlineLevel="2">
      <c r="A220" s="1028" t="s">
        <v>2365</v>
      </c>
      <c r="B220" s="1094" t="s">
        <v>1942</v>
      </c>
      <c r="C220" s="1094"/>
      <c r="D220" s="1094"/>
      <c r="E220" s="1095" t="s">
        <v>5224</v>
      </c>
      <c r="F220" s="1095" t="s">
        <v>5224</v>
      </c>
      <c r="G220" s="1096">
        <v>0</v>
      </c>
      <c r="H220" s="1096" t="s">
        <v>5224</v>
      </c>
      <c r="I220" s="1096" t="s">
        <v>5224</v>
      </c>
      <c r="J220" s="1096" t="s">
        <v>5224</v>
      </c>
      <c r="K220" s="1096" t="s">
        <v>5224</v>
      </c>
      <c r="L220" s="1096" t="s">
        <v>5224</v>
      </c>
      <c r="M220" s="1096" t="s">
        <v>5224</v>
      </c>
      <c r="N220" s="1096" t="s">
        <v>4631</v>
      </c>
      <c r="O220" s="1097"/>
      <c r="P220" s="1113" t="s">
        <v>13</v>
      </c>
      <c r="Q220" s="1097"/>
      <c r="R220" s="1097"/>
      <c r="S220" s="1113" t="s">
        <v>6150</v>
      </c>
      <c r="T220" s="1113"/>
      <c r="U220" s="1027">
        <v>0</v>
      </c>
      <c r="V220" s="1027">
        <f t="shared" si="262"/>
        <v>1</v>
      </c>
      <c r="W220" s="1098" t="e">
        <f>IF(OR(I220&lt;&gt;"N",E220="C"),IF(AND(N220&lt;&gt;"T",ISNUMBER(FIND("V",I220))),1,0),NA())+IF(H220="Y",IF(AND(N220="P",ISNUMBER(FIND("Z",I220))),2,1),0)+IF(J220="Y",1,0)+IF(K220="Y",3,0)+IF(BE220="Lore",L220*2+Experience!$D$25,0)+IF(M220="Y",1,0)</f>
        <v>#N/A</v>
      </c>
      <c r="X220" s="1099"/>
      <c r="Y220" s="1100">
        <f ca="1">IF(P220="NS",IFERROR(INDIRECT(S220),NA()),VLOOKUP(INDIRECT(P220)+INDIRECT(S220),'System Lookups'!$A$3:$D$146,2))</f>
        <v>0</v>
      </c>
      <c r="Z220" s="1100">
        <f t="shared" si="263"/>
        <v>0</v>
      </c>
      <c r="AA220" s="1101">
        <f t="shared" ca="1" si="264"/>
        <v>0</v>
      </c>
      <c r="AB220" s="1102">
        <f>VLOOKUP($V$217,'System Lookups'!$J$55:$P$64,3)</f>
        <v>0.2</v>
      </c>
      <c r="AC220" s="1103">
        <f>VLOOKUP(V$217,'System Lookups'!$J$55:$P$64,4)</f>
        <v>0.3</v>
      </c>
      <c r="AD220" s="1104">
        <f t="shared" si="248"/>
        <v>0</v>
      </c>
      <c r="AE220" s="1094">
        <f>(IF(AD220&gt;VLOOKUP(V220,'System Lookups'!$J$55:$P$63,6),(((AD220-VLOOKUP(V220,'System Lookups'!$J$55:$P$63,6))*100)/20),0))+AF220</f>
        <v>0</v>
      </c>
      <c r="AF220" s="1121"/>
      <c r="AG220" s="1092">
        <f t="shared" si="249"/>
        <v>0</v>
      </c>
      <c r="AH220" s="1092" t="str">
        <f>IF(X220&lt;=Experience!$R$15+1,"","*")</f>
        <v/>
      </c>
      <c r="AI220" s="1092"/>
      <c r="AJ220" s="1080">
        <f t="shared" si="250"/>
        <v>0</v>
      </c>
      <c r="AK220" s="1080">
        <f t="shared" si="265"/>
        <v>0</v>
      </c>
      <c r="AL220" s="1080">
        <f t="shared" si="252"/>
        <v>0</v>
      </c>
      <c r="AM220" s="1092">
        <f t="shared" si="266"/>
        <v>0</v>
      </c>
      <c r="AN220" s="1080">
        <f t="shared" si="267"/>
        <v>1</v>
      </c>
      <c r="AO220" s="1080">
        <f t="shared" si="255"/>
        <v>0</v>
      </c>
      <c r="AP220" s="1080">
        <f t="shared" si="256"/>
        <v>1</v>
      </c>
      <c r="AQ220" s="1027">
        <v>100</v>
      </c>
      <c r="AR220" s="1080" t="str">
        <f ca="1">IF(AND(NOT(ISBLANK(AJ220)),ISNA(MATCH(ROW(),'System Lookups'!$C$526:$C$539,0))),"Y","N")</f>
        <v>Y</v>
      </c>
      <c r="AS220" s="1080">
        <f t="shared" si="257"/>
        <v>0</v>
      </c>
      <c r="AU220" s="1080" t="e">
        <f t="shared" si="213"/>
        <v>#N/A</v>
      </c>
      <c r="AV220" s="1080" t="str">
        <f t="shared" si="210"/>
        <v>T</v>
      </c>
      <c r="AW220" s="1080">
        <f t="shared" si="214"/>
        <v>0</v>
      </c>
      <c r="AX220" s="1080">
        <f t="shared" si="215"/>
        <v>0</v>
      </c>
      <c r="AY220" s="1080">
        <f t="shared" si="216"/>
        <v>0</v>
      </c>
      <c r="AZ220" s="1080">
        <f t="shared" si="217"/>
        <v>0</v>
      </c>
      <c r="BA220" s="1080">
        <f t="shared" si="218"/>
        <v>0</v>
      </c>
      <c r="BB220" s="1080">
        <f>IF(AND(RACE=1,'Main Creation Page'!$E$6="Well",OR(ISNUMBER(FIND(Experience!$G$11,BE220)),ISNUMBER(FIND(Experience!$G$11,BF220)),ISNUMBER(FIND(Experience!$I$11,BE220)),ISNUMBER(FIND(Experience!$I$11,BF220)))),1,0)</f>
        <v>0</v>
      </c>
      <c r="BC220" s="1080" t="str">
        <f t="shared" si="239"/>
        <v>Cooking:Baking Pastries &amp; Making Desserts</v>
      </c>
      <c r="BD220" s="1080" t="s">
        <v>5687</v>
      </c>
      <c r="BE220" s="1080" t="str">
        <f t="shared" si="211"/>
        <v/>
      </c>
      <c r="BF220" s="1080" t="str">
        <f t="shared" si="212"/>
        <v>Cooking &amp; Innkeeping Skills</v>
      </c>
    </row>
    <row r="221" spans="1:58" ht="11.1" customHeight="1" outlineLevel="2">
      <c r="A221" s="1028" t="s">
        <v>4330</v>
      </c>
      <c r="B221" s="1094" t="s">
        <v>1942</v>
      </c>
      <c r="C221" s="1094"/>
      <c r="D221" s="1094"/>
      <c r="E221" s="1095" t="s">
        <v>5224</v>
      </c>
      <c r="F221" s="1095" t="s">
        <v>5224</v>
      </c>
      <c r="G221" s="1096">
        <v>0</v>
      </c>
      <c r="H221" s="1096" t="s">
        <v>5224</v>
      </c>
      <c r="I221" s="1096" t="s">
        <v>5224</v>
      </c>
      <c r="J221" s="1096" t="s">
        <v>5224</v>
      </c>
      <c r="K221" s="1096" t="s">
        <v>5224</v>
      </c>
      <c r="L221" s="1096" t="s">
        <v>5224</v>
      </c>
      <c r="M221" s="1096" t="s">
        <v>5224</v>
      </c>
      <c r="N221" s="1096" t="s">
        <v>4631</v>
      </c>
      <c r="O221" s="1097"/>
      <c r="P221" s="1113" t="s">
        <v>13</v>
      </c>
      <c r="Q221" s="1097"/>
      <c r="R221" s="1097"/>
      <c r="S221" s="1113" t="s">
        <v>6150</v>
      </c>
      <c r="T221" s="1113"/>
      <c r="U221" s="1027">
        <v>0</v>
      </c>
      <c r="V221" s="1027">
        <f t="shared" si="262"/>
        <v>1</v>
      </c>
      <c r="W221" s="1098" t="e">
        <f>IF(OR(I221&lt;&gt;"N",E221="C"),IF(AND(N221&lt;&gt;"T",ISNUMBER(FIND("V",I221))),1,0),NA())+IF(H221="Y",IF(AND(N221="P",ISNUMBER(FIND("Z",I221))),2,1),0)+IF(J221="Y",1,0)+IF(K221="Y",3,0)+IF(BE221="Lore",L221*2+Experience!$D$25,0)+IF(M221="Y",1,0)</f>
        <v>#N/A</v>
      </c>
      <c r="X221" s="1099"/>
      <c r="Y221" s="1100">
        <f ca="1">IF(P221="NS",IFERROR(INDIRECT(S221),NA()),VLOOKUP(INDIRECT(P221)+INDIRECT(S221),'System Lookups'!$A$3:$D$146,2))</f>
        <v>0</v>
      </c>
      <c r="Z221" s="1100">
        <f t="shared" si="263"/>
        <v>0</v>
      </c>
      <c r="AA221" s="1101">
        <f t="shared" ca="1" si="264"/>
        <v>0</v>
      </c>
      <c r="AB221" s="1102">
        <f>VLOOKUP($V$217,'System Lookups'!$J$55:$P$64,3)</f>
        <v>0.2</v>
      </c>
      <c r="AC221" s="1103">
        <f>VLOOKUP(V$217,'System Lookups'!$J$55:$P$64,4)</f>
        <v>0.3</v>
      </c>
      <c r="AD221" s="1104">
        <f t="shared" si="248"/>
        <v>0</v>
      </c>
      <c r="AE221" s="1094">
        <f>(IF(AD221&gt;VLOOKUP(V221,'System Lookups'!$J$55:$P$63,6),(((AD221-VLOOKUP(V221,'System Lookups'!$J$55:$P$63,6))*100)/20),0))+AF221</f>
        <v>0</v>
      </c>
      <c r="AF221" s="1121"/>
      <c r="AG221" s="1092">
        <f t="shared" si="249"/>
        <v>0</v>
      </c>
      <c r="AH221" s="1092" t="str">
        <f>IF(X221&lt;=Experience!$R$15+1,"","*")</f>
        <v/>
      </c>
      <c r="AI221" s="1092"/>
      <c r="AJ221" s="1080">
        <f t="shared" si="250"/>
        <v>0</v>
      </c>
      <c r="AK221" s="1080">
        <f t="shared" si="265"/>
        <v>0</v>
      </c>
      <c r="AL221" s="1080">
        <f t="shared" si="252"/>
        <v>0</v>
      </c>
      <c r="AM221" s="1092">
        <f t="shared" si="266"/>
        <v>0</v>
      </c>
      <c r="AN221" s="1080">
        <f t="shared" si="267"/>
        <v>1</v>
      </c>
      <c r="AO221" s="1080">
        <f t="shared" si="255"/>
        <v>0</v>
      </c>
      <c r="AP221" s="1080">
        <f t="shared" si="256"/>
        <v>1</v>
      </c>
      <c r="AQ221" s="1027">
        <v>100</v>
      </c>
      <c r="AR221" s="1080" t="str">
        <f ca="1">IF(AND(NOT(ISBLANK(AJ221)),ISNA(MATCH(ROW(),'System Lookups'!$C$526:$C$539,0))),"Y","N")</f>
        <v>Y</v>
      </c>
      <c r="AS221" s="1080">
        <f t="shared" si="257"/>
        <v>0</v>
      </c>
      <c r="AU221" s="1080" t="e">
        <f t="shared" si="213"/>
        <v>#N/A</v>
      </c>
      <c r="AV221" s="1080" t="str">
        <f t="shared" si="210"/>
        <v>T</v>
      </c>
      <c r="AW221" s="1080">
        <f t="shared" si="214"/>
        <v>0</v>
      </c>
      <c r="AX221" s="1080">
        <f t="shared" si="215"/>
        <v>0</v>
      </c>
      <c r="AY221" s="1080">
        <f t="shared" si="216"/>
        <v>0</v>
      </c>
      <c r="AZ221" s="1080">
        <f t="shared" si="217"/>
        <v>0</v>
      </c>
      <c r="BA221" s="1080">
        <f t="shared" si="218"/>
        <v>0</v>
      </c>
      <c r="BB221" s="1080">
        <f>IF(AND(RACE=1,'Main Creation Page'!$E$6="Well",OR(ISNUMBER(FIND(Experience!$G$11,BE221)),ISNUMBER(FIND(Experience!$G$11,BF221)),ISNUMBER(FIND(Experience!$I$11,BE221)),ISNUMBER(FIND(Experience!$I$11,BF221)))),1,0)</f>
        <v>0</v>
      </c>
      <c r="BC221" s="1080" t="str">
        <f t="shared" si="239"/>
        <v>Cooking:Butchering Fresh Meat</v>
      </c>
      <c r="BD221" s="1080" t="s">
        <v>5687</v>
      </c>
      <c r="BE221" s="1080" t="str">
        <f t="shared" si="211"/>
        <v/>
      </c>
      <c r="BF221" s="1080" t="str">
        <f t="shared" si="212"/>
        <v>Cooking &amp; Innkeeping Skills</v>
      </c>
    </row>
    <row r="222" spans="1:58" ht="11.1" customHeight="1" outlineLevel="2">
      <c r="A222" s="1028" t="s">
        <v>2371</v>
      </c>
      <c r="B222" s="1094" t="s">
        <v>1942</v>
      </c>
      <c r="C222" s="1094"/>
      <c r="D222" s="1094"/>
      <c r="E222" s="1095" t="s">
        <v>5224</v>
      </c>
      <c r="F222" s="1095" t="s">
        <v>5224</v>
      </c>
      <c r="G222" s="1096">
        <v>0</v>
      </c>
      <c r="H222" s="1096" t="s">
        <v>5224</v>
      </c>
      <c r="I222" s="1096" t="s">
        <v>5224</v>
      </c>
      <c r="J222" s="1096" t="s">
        <v>5224</v>
      </c>
      <c r="K222" s="1096" t="s">
        <v>5224</v>
      </c>
      <c r="L222" s="1096" t="s">
        <v>5224</v>
      </c>
      <c r="M222" s="1096" t="s">
        <v>5224</v>
      </c>
      <c r="N222" s="1096" t="s">
        <v>4631</v>
      </c>
      <c r="O222" s="1097"/>
      <c r="P222" s="1113" t="s">
        <v>13</v>
      </c>
      <c r="Q222" s="1097"/>
      <c r="R222" s="1097"/>
      <c r="S222" s="1113" t="s">
        <v>6150</v>
      </c>
      <c r="T222" s="1113"/>
      <c r="U222" s="1027">
        <v>0</v>
      </c>
      <c r="V222" s="1027">
        <f t="shared" si="262"/>
        <v>1</v>
      </c>
      <c r="W222" s="1098" t="e">
        <f>IF(OR(I222&lt;&gt;"N",E222="C"),IF(AND(N222&lt;&gt;"T",ISNUMBER(FIND("V",I222))),1,0),NA())+IF(H222="Y",IF(AND(N222="P",ISNUMBER(FIND("Z",I222))),2,1),0)+IF(J222="Y",1,0)+IF(K222="Y",3,0)+IF(BE222="Lore",L222*2+Experience!$D$25,0)+IF(M222="Y",1,0)</f>
        <v>#N/A</v>
      </c>
      <c r="X222" s="1099"/>
      <c r="Y222" s="1100">
        <f ca="1">IF(P222="NS",IFERROR(INDIRECT(S222),NA()),VLOOKUP(INDIRECT(P222)+INDIRECT(S222),'System Lookups'!$A$3:$D$146,2))</f>
        <v>0</v>
      </c>
      <c r="Z222" s="1100">
        <f t="shared" si="263"/>
        <v>0</v>
      </c>
      <c r="AA222" s="1101">
        <f t="shared" ca="1" si="264"/>
        <v>0</v>
      </c>
      <c r="AB222" s="1102">
        <f>VLOOKUP($V$217,'System Lookups'!$J$55:$P$64,3)</f>
        <v>0.2</v>
      </c>
      <c r="AC222" s="1103">
        <f>VLOOKUP(V$217,'System Lookups'!$J$55:$P$64,4)</f>
        <v>0.3</v>
      </c>
      <c r="AD222" s="1104">
        <f t="shared" si="248"/>
        <v>0</v>
      </c>
      <c r="AE222" s="1094">
        <f>(IF(AD222&gt;VLOOKUP(V222,'System Lookups'!$J$55:$P$63,6),(((AD222-VLOOKUP(V222,'System Lookups'!$J$55:$P$63,6))*100)/20),0))+AF222</f>
        <v>0</v>
      </c>
      <c r="AF222" s="1121"/>
      <c r="AG222" s="1092">
        <f t="shared" si="249"/>
        <v>0</v>
      </c>
      <c r="AH222" s="1092" t="str">
        <f>IF(X222&lt;=Experience!$R$15+1,"","*")</f>
        <v/>
      </c>
      <c r="AI222" s="1092"/>
      <c r="AJ222" s="1080">
        <f t="shared" si="250"/>
        <v>0</v>
      </c>
      <c r="AK222" s="1080">
        <f t="shared" si="265"/>
        <v>0</v>
      </c>
      <c r="AL222" s="1080">
        <f t="shared" si="252"/>
        <v>0</v>
      </c>
      <c r="AM222" s="1092">
        <f t="shared" si="266"/>
        <v>0</v>
      </c>
      <c r="AN222" s="1080">
        <f t="shared" si="267"/>
        <v>1</v>
      </c>
      <c r="AO222" s="1080">
        <f t="shared" si="255"/>
        <v>0</v>
      </c>
      <c r="AP222" s="1080">
        <f t="shared" si="256"/>
        <v>1</v>
      </c>
      <c r="AQ222" s="1027">
        <v>100</v>
      </c>
      <c r="AR222" s="1080" t="str">
        <f ca="1">IF(AND(NOT(ISBLANK(AJ222)),ISNA(MATCH(ROW(),'System Lookups'!$C$526:$C$539,0))),"Y","N")</f>
        <v>Y</v>
      </c>
      <c r="AS222" s="1080">
        <f t="shared" si="257"/>
        <v>0</v>
      </c>
      <c r="AU222" s="1080" t="e">
        <f t="shared" si="213"/>
        <v>#N/A</v>
      </c>
      <c r="AV222" s="1080" t="str">
        <f t="shared" si="210"/>
        <v>T</v>
      </c>
      <c r="AW222" s="1080">
        <f t="shared" si="214"/>
        <v>0</v>
      </c>
      <c r="AX222" s="1080">
        <f t="shared" si="215"/>
        <v>0</v>
      </c>
      <c r="AY222" s="1080">
        <f t="shared" si="216"/>
        <v>0</v>
      </c>
      <c r="AZ222" s="1080">
        <f t="shared" si="217"/>
        <v>0</v>
      </c>
      <c r="BA222" s="1080">
        <f t="shared" si="218"/>
        <v>0</v>
      </c>
      <c r="BB222" s="1080">
        <f>IF(AND(RACE=1,'Main Creation Page'!$E$6="Well",OR(ISNUMBER(FIND(Experience!$G$11,BE222)),ISNUMBER(FIND(Experience!$G$11,BF222)),ISNUMBER(FIND(Experience!$I$11,BE222)),ISNUMBER(FIND(Experience!$I$11,BF222)))),1,0)</f>
        <v>0</v>
      </c>
      <c r="BC222" s="1080" t="str">
        <f t="shared" si="239"/>
        <v>Cooking:Camp Cooking</v>
      </c>
      <c r="BD222" s="1080" t="s">
        <v>5687</v>
      </c>
      <c r="BE222" s="1080" t="str">
        <f t="shared" si="211"/>
        <v/>
      </c>
      <c r="BF222" s="1080" t="str">
        <f t="shared" si="212"/>
        <v>Cooking &amp; Innkeeping Skills</v>
      </c>
    </row>
    <row r="223" spans="1:58" ht="11.1" customHeight="1" outlineLevel="2">
      <c r="A223" s="1028" t="s">
        <v>5373</v>
      </c>
      <c r="B223" s="1094" t="s">
        <v>1942</v>
      </c>
      <c r="C223" s="1094"/>
      <c r="D223" s="1094"/>
      <c r="E223" s="1095" t="s">
        <v>5224</v>
      </c>
      <c r="F223" s="1095" t="s">
        <v>5224</v>
      </c>
      <c r="G223" s="1096">
        <v>0</v>
      </c>
      <c r="H223" s="1096" t="s">
        <v>5224</v>
      </c>
      <c r="I223" s="1096" t="s">
        <v>5224</v>
      </c>
      <c r="J223" s="1096" t="s">
        <v>5224</v>
      </c>
      <c r="K223" s="1096" t="s">
        <v>5224</v>
      </c>
      <c r="L223" s="1096" t="s">
        <v>5224</v>
      </c>
      <c r="M223" s="1096" t="s">
        <v>5224</v>
      </c>
      <c r="N223" s="1096" t="s">
        <v>4631</v>
      </c>
      <c r="O223" s="1097"/>
      <c r="P223" s="1113" t="s">
        <v>13</v>
      </c>
      <c r="Q223" s="1097"/>
      <c r="R223" s="1097"/>
      <c r="S223" s="1113" t="s">
        <v>6150</v>
      </c>
      <c r="T223" s="1113"/>
      <c r="U223" s="1027">
        <v>0</v>
      </c>
      <c r="V223" s="1027">
        <f t="shared" si="262"/>
        <v>1</v>
      </c>
      <c r="W223" s="1098" t="e">
        <f>IF(OR(I223&lt;&gt;"N",E223="C"),IF(AND(N223&lt;&gt;"T",ISNUMBER(FIND("V",I223))),1,0),NA())+IF(H223="Y",IF(AND(N223="P",ISNUMBER(FIND("Z",I223))),2,1),0)+IF(J223="Y",1,0)+IF(K223="Y",3,0)+IF(BE223="Lore",L223*2+Experience!$D$25,0)+IF(M223="Y",1,0)</f>
        <v>#N/A</v>
      </c>
      <c r="X223" s="1099"/>
      <c r="Y223" s="1100">
        <f ca="1">IF(P223="NS",IFERROR(INDIRECT(S223),NA()),VLOOKUP(INDIRECT(P223)+INDIRECT(S223),'System Lookups'!$A$3:$D$146,2))</f>
        <v>0</v>
      </c>
      <c r="Z223" s="1100">
        <f t="shared" si="263"/>
        <v>0</v>
      </c>
      <c r="AA223" s="1101">
        <f t="shared" ca="1" si="264"/>
        <v>0</v>
      </c>
      <c r="AB223" s="1102">
        <f>VLOOKUP($V$217,'System Lookups'!$J$55:$P$64,3)</f>
        <v>0.2</v>
      </c>
      <c r="AC223" s="1103">
        <f>VLOOKUP(V$217,'System Lookups'!$J$55:$P$64,4)</f>
        <v>0.3</v>
      </c>
      <c r="AD223" s="1104">
        <f t="shared" si="248"/>
        <v>0</v>
      </c>
      <c r="AE223" s="1094">
        <f>(IF(AD223&gt;VLOOKUP(V223,'System Lookups'!$J$55:$P$63,6),(((AD223-VLOOKUP(V223,'System Lookups'!$J$55:$P$63,6))*100)/20),0))+AF223</f>
        <v>0</v>
      </c>
      <c r="AF223" s="1121"/>
      <c r="AG223" s="1092">
        <f t="shared" si="249"/>
        <v>0</v>
      </c>
      <c r="AH223" s="1092" t="str">
        <f>IF(X223&lt;=Experience!$R$15+1,"","*")</f>
        <v/>
      </c>
      <c r="AI223" s="1092"/>
      <c r="AJ223" s="1080">
        <f t="shared" si="250"/>
        <v>0</v>
      </c>
      <c r="AK223" s="1080">
        <f t="shared" si="265"/>
        <v>0</v>
      </c>
      <c r="AL223" s="1080">
        <f t="shared" si="252"/>
        <v>0</v>
      </c>
      <c r="AM223" s="1092">
        <f t="shared" si="266"/>
        <v>0</v>
      </c>
      <c r="AN223" s="1080">
        <f t="shared" si="267"/>
        <v>1</v>
      </c>
      <c r="AO223" s="1080">
        <f t="shared" si="255"/>
        <v>0</v>
      </c>
      <c r="AP223" s="1080">
        <f t="shared" si="256"/>
        <v>1</v>
      </c>
      <c r="AQ223" s="1027">
        <v>100</v>
      </c>
      <c r="AR223" s="1080" t="str">
        <f ca="1">IF(AND(NOT(ISBLANK(AJ223)),ISNA(MATCH(ROW(),'System Lookups'!$C$526:$C$539,0))),"Y","N")</f>
        <v>Y</v>
      </c>
      <c r="AS223" s="1080">
        <f t="shared" si="257"/>
        <v>0</v>
      </c>
      <c r="AU223" s="1080" t="e">
        <f t="shared" si="213"/>
        <v>#N/A</v>
      </c>
      <c r="AV223" s="1080" t="str">
        <f t="shared" si="210"/>
        <v>T</v>
      </c>
      <c r="AW223" s="1080">
        <f t="shared" si="214"/>
        <v>0</v>
      </c>
      <c r="AX223" s="1080">
        <f t="shared" si="215"/>
        <v>0</v>
      </c>
      <c r="AY223" s="1080">
        <f t="shared" si="216"/>
        <v>0</v>
      </c>
      <c r="AZ223" s="1080">
        <f t="shared" si="217"/>
        <v>0</v>
      </c>
      <c r="BA223" s="1080">
        <f t="shared" si="218"/>
        <v>0</v>
      </c>
      <c r="BB223" s="1080">
        <f>IF(AND(RACE=1,'Main Creation Page'!$E$6="Well",OR(ISNUMBER(FIND(Experience!$G$11,BE223)),ISNUMBER(FIND(Experience!$G$11,BF223)),ISNUMBER(FIND(Experience!$I$11,BE223)),ISNUMBER(FIND(Experience!$I$11,BF223)))),1,0)</f>
        <v>0</v>
      </c>
      <c r="BC223" s="1080" t="str">
        <f t="shared" si="239"/>
        <v>Cooking:Cooking Meat</v>
      </c>
      <c r="BD223" s="1080" t="s">
        <v>5687</v>
      </c>
      <c r="BE223" s="1080" t="str">
        <f t="shared" si="211"/>
        <v/>
      </c>
      <c r="BF223" s="1080" t="str">
        <f t="shared" si="212"/>
        <v>Cooking &amp; Innkeeping Skills</v>
      </c>
    </row>
    <row r="224" spans="1:58" ht="11.1" customHeight="1" outlineLevel="2">
      <c r="A224" s="1028" t="s">
        <v>3904</v>
      </c>
      <c r="B224" s="1094" t="s">
        <v>1942</v>
      </c>
      <c r="C224" s="1094"/>
      <c r="D224" s="1094"/>
      <c r="E224" s="1095" t="s">
        <v>5224</v>
      </c>
      <c r="F224" s="1095" t="s">
        <v>5224</v>
      </c>
      <c r="G224" s="1096">
        <v>0</v>
      </c>
      <c r="H224" s="1096" t="s">
        <v>5224</v>
      </c>
      <c r="I224" s="1096" t="s">
        <v>5224</v>
      </c>
      <c r="J224" s="1096" t="s">
        <v>5224</v>
      </c>
      <c r="K224" s="1096" t="s">
        <v>5224</v>
      </c>
      <c r="L224" s="1096" t="s">
        <v>5224</v>
      </c>
      <c r="M224" s="1096" t="s">
        <v>5224</v>
      </c>
      <c r="N224" s="1096" t="s">
        <v>4631</v>
      </c>
      <c r="O224" s="1097"/>
      <c r="P224" s="1113" t="s">
        <v>13</v>
      </c>
      <c r="Q224" s="1097"/>
      <c r="R224" s="1097"/>
      <c r="S224" s="1113" t="s">
        <v>6150</v>
      </c>
      <c r="T224" s="1113"/>
      <c r="U224" s="1027">
        <v>0</v>
      </c>
      <c r="V224" s="1027">
        <f t="shared" si="262"/>
        <v>1</v>
      </c>
      <c r="W224" s="1098" t="e">
        <f>IF(OR(I224&lt;&gt;"N",E224="C"),IF(AND(N224&lt;&gt;"T",ISNUMBER(FIND("V",I224))),1,0),NA())+IF(H224="Y",IF(AND(N224="P",ISNUMBER(FIND("Z",I224))),2,1),0)+IF(J224="Y",1,0)+IF(K224="Y",3,0)+IF(BE224="Lore",L224*2+Experience!$D$25,0)+IF(M224="Y",1,0)</f>
        <v>#N/A</v>
      </c>
      <c r="X224" s="1099"/>
      <c r="Y224" s="1100">
        <f ca="1">IF(P224="NS",IFERROR(INDIRECT(S224),NA()),VLOOKUP(INDIRECT(P224)+INDIRECT(S224),'System Lookups'!$A$3:$D$146,2))</f>
        <v>0</v>
      </c>
      <c r="Z224" s="1100">
        <f t="shared" si="263"/>
        <v>0</v>
      </c>
      <c r="AA224" s="1101">
        <f t="shared" ca="1" si="264"/>
        <v>0</v>
      </c>
      <c r="AB224" s="1102">
        <f>VLOOKUP($V$217,'System Lookups'!$J$55:$P$64,3)</f>
        <v>0.2</v>
      </c>
      <c r="AC224" s="1103">
        <f>VLOOKUP(V$217,'System Lookups'!$J$55:$P$64,4)</f>
        <v>0.3</v>
      </c>
      <c r="AD224" s="1104">
        <f t="shared" si="248"/>
        <v>0</v>
      </c>
      <c r="AE224" s="1094">
        <f>(IF(AD224&gt;VLOOKUP(V224,'System Lookups'!$J$55:$P$63,6),(((AD224-VLOOKUP(V224,'System Lookups'!$J$55:$P$63,6))*100)/20),0))+AF224</f>
        <v>0</v>
      </c>
      <c r="AF224" s="1121"/>
      <c r="AG224" s="1092">
        <f t="shared" si="249"/>
        <v>0</v>
      </c>
      <c r="AH224" s="1092" t="str">
        <f>IF(X224&lt;=Experience!$R$15+1,"","*")</f>
        <v/>
      </c>
      <c r="AI224" s="1092"/>
      <c r="AJ224" s="1080">
        <f t="shared" si="250"/>
        <v>0</v>
      </c>
      <c r="AK224" s="1080">
        <f t="shared" si="265"/>
        <v>0</v>
      </c>
      <c r="AL224" s="1080">
        <f t="shared" si="252"/>
        <v>0</v>
      </c>
      <c r="AM224" s="1092">
        <f t="shared" si="266"/>
        <v>0</v>
      </c>
      <c r="AN224" s="1080">
        <f t="shared" si="267"/>
        <v>1</v>
      </c>
      <c r="AO224" s="1080">
        <f t="shared" si="255"/>
        <v>0</v>
      </c>
      <c r="AP224" s="1080">
        <f t="shared" si="256"/>
        <v>1</v>
      </c>
      <c r="AQ224" s="1027">
        <v>100</v>
      </c>
      <c r="AR224" s="1080" t="str">
        <f ca="1">IF(AND(NOT(ISBLANK(AJ224)),ISNA(MATCH(ROW(),'System Lookups'!$C$526:$C$539,0))),"Y","N")</f>
        <v>Y</v>
      </c>
      <c r="AS224" s="1080">
        <f t="shared" si="257"/>
        <v>0</v>
      </c>
      <c r="AU224" s="1080" t="e">
        <f t="shared" si="213"/>
        <v>#N/A</v>
      </c>
      <c r="AV224" s="1080" t="str">
        <f t="shared" si="210"/>
        <v>T</v>
      </c>
      <c r="AW224" s="1080">
        <f t="shared" si="214"/>
        <v>0</v>
      </c>
      <c r="AX224" s="1080">
        <f t="shared" si="215"/>
        <v>0</v>
      </c>
      <c r="AY224" s="1080">
        <f t="shared" si="216"/>
        <v>0</v>
      </c>
      <c r="AZ224" s="1080">
        <f t="shared" si="217"/>
        <v>0</v>
      </c>
      <c r="BA224" s="1080">
        <f t="shared" si="218"/>
        <v>0</v>
      </c>
      <c r="BB224" s="1080">
        <f>IF(AND(RACE=1,'Main Creation Page'!$E$6="Well",OR(ISNUMBER(FIND(Experience!$G$11,BE224)),ISNUMBER(FIND(Experience!$G$11,BF224)),ISNUMBER(FIND(Experience!$I$11,BE224)),ISNUMBER(FIND(Experience!$I$11,BF224)))),1,0)</f>
        <v>0</v>
      </c>
      <c r="BC224" s="1080" t="str">
        <f t="shared" si="239"/>
        <v>Cooking:Cooking Seafood</v>
      </c>
      <c r="BD224" s="1080" t="s">
        <v>5687</v>
      </c>
      <c r="BE224" s="1080" t="str">
        <f t="shared" si="211"/>
        <v/>
      </c>
      <c r="BF224" s="1080" t="str">
        <f t="shared" si="212"/>
        <v>Cooking &amp; Innkeeping Skills</v>
      </c>
    </row>
    <row r="225" spans="1:60" ht="11.1" customHeight="1" outlineLevel="2">
      <c r="A225" s="1093" t="s">
        <v>5641</v>
      </c>
      <c r="B225" s="1094" t="s">
        <v>1942</v>
      </c>
      <c r="C225" s="1094"/>
      <c r="D225" s="1094"/>
      <c r="E225" s="1095" t="s">
        <v>5224</v>
      </c>
      <c r="F225" s="1095" t="s">
        <v>5224</v>
      </c>
      <c r="G225" s="1096">
        <v>0</v>
      </c>
      <c r="H225" s="1096" t="s">
        <v>5224</v>
      </c>
      <c r="I225" s="1096" t="s">
        <v>5224</v>
      </c>
      <c r="J225" s="1096" t="s">
        <v>5224</v>
      </c>
      <c r="K225" s="1096" t="s">
        <v>5224</v>
      </c>
      <c r="L225" s="1096" t="s">
        <v>5224</v>
      </c>
      <c r="M225" s="1096" t="s">
        <v>5224</v>
      </c>
      <c r="N225" s="1096" t="s">
        <v>4631</v>
      </c>
      <c r="O225" s="1097"/>
      <c r="P225" s="1113" t="s">
        <v>13</v>
      </c>
      <c r="Q225" s="1097"/>
      <c r="R225" s="1097"/>
      <c r="S225" s="1113" t="s">
        <v>6150</v>
      </c>
      <c r="T225" s="1113"/>
      <c r="U225" s="1027">
        <v>0</v>
      </c>
      <c r="V225" s="1027">
        <f t="shared" si="262"/>
        <v>1</v>
      </c>
      <c r="W225" s="1098" t="e">
        <f>IF(OR(I225&lt;&gt;"N",E225="C"),IF(AND(N225&lt;&gt;"T",ISNUMBER(FIND("V",I225))),1,0),NA())+IF(H225="Y",IF(AND(N225="P",ISNUMBER(FIND("Z",I225))),2,1),0)+IF(J225="Y",1,0)+IF(K225="Y",3,0)+IF(BE225="Lore",L225*2+Experience!$D$25,0)+IF(M225="Y",1,0)</f>
        <v>#N/A</v>
      </c>
      <c r="X225" s="1099"/>
      <c r="Y225" s="1100">
        <f ca="1">IF(P225="NS",IFERROR(INDIRECT(S225),NA()),VLOOKUP(INDIRECT(P225)+INDIRECT(S225),'System Lookups'!$A$3:$D$146,2))</f>
        <v>0</v>
      </c>
      <c r="Z225" s="1100">
        <f t="shared" si="263"/>
        <v>0</v>
      </c>
      <c r="AA225" s="1101">
        <f t="shared" ca="1" si="264"/>
        <v>0</v>
      </c>
      <c r="AB225" s="1102">
        <f>VLOOKUP($V$217,'System Lookups'!$J$55:$P$64,3)</f>
        <v>0.2</v>
      </c>
      <c r="AC225" s="1103">
        <f>VLOOKUP(V$217,'System Lookups'!$J$55:$P$64,4)</f>
        <v>0.3</v>
      </c>
      <c r="AD225" s="1104">
        <f t="shared" si="248"/>
        <v>0</v>
      </c>
      <c r="AE225" s="1094">
        <f>(IF(AD225&gt;VLOOKUP(V225,'System Lookups'!$J$55:$P$63,6),(((AD225-VLOOKUP(V225,'System Lookups'!$J$55:$P$63,6))*100)/20),0))+AF225</f>
        <v>0</v>
      </c>
      <c r="AF225" s="1121"/>
      <c r="AG225" s="1092">
        <f t="shared" si="249"/>
        <v>0</v>
      </c>
      <c r="AH225" s="1092" t="str">
        <f>IF(X225&lt;=Experience!$R$15+1,"","*")</f>
        <v/>
      </c>
      <c r="AI225" s="1092"/>
      <c r="AJ225" s="1080">
        <f t="shared" si="250"/>
        <v>0</v>
      </c>
      <c r="AK225" s="1080">
        <f t="shared" si="265"/>
        <v>0</v>
      </c>
      <c r="AL225" s="1080">
        <f t="shared" si="252"/>
        <v>0</v>
      </c>
      <c r="AM225" s="1092">
        <f t="shared" si="266"/>
        <v>0</v>
      </c>
      <c r="AN225" s="1080">
        <f t="shared" si="267"/>
        <v>1</v>
      </c>
      <c r="AO225" s="1080">
        <f t="shared" si="255"/>
        <v>0</v>
      </c>
      <c r="AP225" s="1080">
        <f t="shared" si="256"/>
        <v>1</v>
      </c>
      <c r="AQ225" s="1027">
        <v>100</v>
      </c>
      <c r="AR225" s="1080" t="str">
        <f ca="1">IF(AND(NOT(ISBLANK(AJ225)),ISNA(MATCH(ROW(),'System Lookups'!$C$526:$C$539,0))),"Y","N")</f>
        <v>Y</v>
      </c>
      <c r="AS225" s="1080">
        <f t="shared" si="257"/>
        <v>0</v>
      </c>
      <c r="AU225" s="1080" t="e">
        <f t="shared" si="213"/>
        <v>#N/A</v>
      </c>
      <c r="AV225" s="1080" t="str">
        <f t="shared" si="210"/>
        <v>T</v>
      </c>
      <c r="AW225" s="1080">
        <f t="shared" si="214"/>
        <v>0</v>
      </c>
      <c r="AX225" s="1080">
        <f t="shared" si="215"/>
        <v>0</v>
      </c>
      <c r="AY225" s="1080">
        <f t="shared" si="216"/>
        <v>0</v>
      </c>
      <c r="AZ225" s="1080">
        <f t="shared" si="217"/>
        <v>0</v>
      </c>
      <c r="BA225" s="1080">
        <f t="shared" si="218"/>
        <v>0</v>
      </c>
      <c r="BB225" s="1080">
        <f>IF(AND(RACE=1,'Main Creation Page'!$E$6="Well",OR(ISNUMBER(FIND(Experience!$G$11,BE225)),ISNUMBER(FIND(Experience!$G$11,BF225)),ISNUMBER(FIND(Experience!$I$11,BE225)),ISNUMBER(FIND(Experience!$I$11,BF225)))),1,0)</f>
        <v>0</v>
      </c>
      <c r="BC225" s="1080" t="str">
        <f t="shared" si="239"/>
        <v>Cooking: Food Carving &amp; Presentation</v>
      </c>
      <c r="BD225" s="1080" t="s">
        <v>5687</v>
      </c>
      <c r="BE225" s="1080" t="str">
        <f t="shared" si="211"/>
        <v/>
      </c>
      <c r="BF225" s="1080" t="str">
        <f t="shared" si="212"/>
        <v>Cooking &amp; Innkeeping Skills</v>
      </c>
    </row>
    <row r="226" spans="1:60" ht="11.1" customHeight="1" outlineLevel="2">
      <c r="A226" s="1028" t="s">
        <v>481</v>
      </c>
      <c r="B226" s="1094" t="s">
        <v>1942</v>
      </c>
      <c r="C226" s="1094"/>
      <c r="D226" s="1094"/>
      <c r="E226" s="1095" t="s">
        <v>5224</v>
      </c>
      <c r="F226" s="1095" t="s">
        <v>5224</v>
      </c>
      <c r="G226" s="1096">
        <v>0</v>
      </c>
      <c r="H226" s="1096" t="s">
        <v>5224</v>
      </c>
      <c r="I226" s="1096" t="s">
        <v>5224</v>
      </c>
      <c r="J226" s="1096" t="s">
        <v>5224</v>
      </c>
      <c r="K226" s="1096" t="s">
        <v>5224</v>
      </c>
      <c r="L226" s="1096" t="s">
        <v>5224</v>
      </c>
      <c r="M226" s="1096" t="s">
        <v>5224</v>
      </c>
      <c r="N226" s="1096" t="s">
        <v>4631</v>
      </c>
      <c r="O226" s="1097"/>
      <c r="P226" s="1113" t="s">
        <v>13</v>
      </c>
      <c r="Q226" s="1097"/>
      <c r="R226" s="1097"/>
      <c r="S226" s="1113" t="s">
        <v>13</v>
      </c>
      <c r="T226" s="1113"/>
      <c r="U226" s="1027">
        <v>0</v>
      </c>
      <c r="V226" s="1027">
        <f t="shared" si="262"/>
        <v>1</v>
      </c>
      <c r="W226" s="1098" t="e">
        <f>IF(OR(I226&lt;&gt;"N",E226="C"),IF(AND(N226&lt;&gt;"T",ISNUMBER(FIND("V",I226))),1,0),NA())+IF(H226="Y",IF(AND(N226="P",ISNUMBER(FIND("Z",I226))),2,1),0)+IF(J226="Y",1,0)+IF(K226="Y",3,0)+IF(BE226="Lore",L226*2+Experience!$D$25,0)+IF(M226="Y",1,0)</f>
        <v>#N/A</v>
      </c>
      <c r="X226" s="1099"/>
      <c r="Y226" s="1100" t="e">
        <f ca="1">IF(P226="NS",IFERROR(INDIRECT(S226),NA()),VLOOKUP(INDIRECT(P226)+INDIRECT(S226),'System Lookups'!$A$3:$D$146,2))</f>
        <v>#N/A</v>
      </c>
      <c r="Z226" s="1100">
        <f t="shared" si="263"/>
        <v>0</v>
      </c>
      <c r="AA226" s="1101">
        <f t="shared" ca="1" si="264"/>
        <v>0</v>
      </c>
      <c r="AB226" s="1102">
        <f>VLOOKUP($V$217,'System Lookups'!$J$55:$P$64,3)</f>
        <v>0.2</v>
      </c>
      <c r="AC226" s="1103">
        <f>VLOOKUP(V$217,'System Lookups'!$J$55:$P$64,4)</f>
        <v>0.3</v>
      </c>
      <c r="AD226" s="1104">
        <f t="shared" si="248"/>
        <v>0</v>
      </c>
      <c r="AE226" s="1094">
        <f>(IF(AD226&gt;VLOOKUP(V226,'System Lookups'!$J$55:$P$63,6),(((AD226-VLOOKUP(V226,'System Lookups'!$J$55:$P$63,6))*100)/20),0))+AF226</f>
        <v>0</v>
      </c>
      <c r="AF226" s="1120">
        <f>IF(B227="Y",1,0)+IF(AG226&gt;0,1,0)</f>
        <v>0</v>
      </c>
      <c r="AG226" s="1092">
        <f t="shared" si="249"/>
        <v>0</v>
      </c>
      <c r="AH226" s="1092" t="str">
        <f>IF(X226&lt;=Experience!$R$15+1,"","*")</f>
        <v/>
      </c>
      <c r="AI226" s="1092"/>
      <c r="AJ226" s="1080">
        <f t="shared" si="250"/>
        <v>0</v>
      </c>
      <c r="AK226" s="1080">
        <f t="shared" si="265"/>
        <v>0</v>
      </c>
      <c r="AL226" s="1080">
        <f t="shared" si="252"/>
        <v>0</v>
      </c>
      <c r="AM226" s="1092">
        <f t="shared" si="266"/>
        <v>0</v>
      </c>
      <c r="AN226" s="1080">
        <f t="shared" si="267"/>
        <v>1</v>
      </c>
      <c r="AO226" s="1080">
        <f t="shared" si="255"/>
        <v>0</v>
      </c>
      <c r="AP226" s="1080">
        <f t="shared" si="256"/>
        <v>1</v>
      </c>
      <c r="AQ226" s="1027">
        <v>100</v>
      </c>
      <c r="AR226" s="1080" t="str">
        <f ca="1">IF(AND(NOT(ISBLANK(AJ226)),ISNA(MATCH(ROW(),'System Lookups'!$C$526:$C$539,0))),"Y","N")</f>
        <v>Y</v>
      </c>
      <c r="AS226" s="1080">
        <f t="shared" si="257"/>
        <v>0</v>
      </c>
      <c r="AU226" s="1080" t="e">
        <f t="shared" si="213"/>
        <v>#N/A</v>
      </c>
      <c r="AV226" s="1080" t="str">
        <f t="shared" si="210"/>
        <v>T</v>
      </c>
      <c r="AW226" s="1080">
        <f t="shared" si="214"/>
        <v>0</v>
      </c>
      <c r="AX226" s="1080">
        <f t="shared" si="215"/>
        <v>0</v>
      </c>
      <c r="AY226" s="1080">
        <f t="shared" si="216"/>
        <v>0</v>
      </c>
      <c r="AZ226" s="1080">
        <f t="shared" si="217"/>
        <v>0</v>
      </c>
      <c r="BA226" s="1080">
        <f t="shared" si="218"/>
        <v>0</v>
      </c>
      <c r="BB226" s="1080">
        <f>IF(AND(RACE=1,'Main Creation Page'!$E$6="Well",OR(ISNUMBER(FIND(Experience!$G$11,BE226)),ISNUMBER(FIND(Experience!$G$11,BF226)),ISNUMBER(FIND(Experience!$I$11,BE226)),ISNUMBER(FIND(Experience!$I$11,BF226)))),1,0)</f>
        <v>0</v>
      </c>
      <c r="BC226" s="1080" t="str">
        <f t="shared" si="239"/>
        <v>Cooking:Haute Cuisine</v>
      </c>
      <c r="BD226" s="1080" t="s">
        <v>5687</v>
      </c>
      <c r="BE226" s="1080" t="str">
        <f t="shared" si="211"/>
        <v/>
      </c>
      <c r="BF226" s="1080" t="str">
        <f t="shared" si="212"/>
        <v>Cooking &amp; Innkeeping Skills</v>
      </c>
    </row>
    <row r="227" spans="1:60" ht="11.1" customHeight="1" outlineLevel="3">
      <c r="A227" s="1092" t="s">
        <v>1933</v>
      </c>
      <c r="B227" s="1133" t="str">
        <f>IF(SUM(AG218:AG230)&gt;=400,IF(AND(ISBLANK(X232),ISNA(W232)),"N","Y"),"N")</f>
        <v>N</v>
      </c>
      <c r="D227" s="1094"/>
      <c r="Q227" s="1097"/>
      <c r="R227" s="1097"/>
      <c r="W227" s="1112"/>
      <c r="AE227" s="1094"/>
      <c r="AF227" s="1121"/>
      <c r="AG227" s="1092"/>
      <c r="AH227" s="1092"/>
      <c r="AI227" s="1092"/>
      <c r="AM227" s="1092"/>
      <c r="AQ227" s="1027"/>
      <c r="AR227" s="1080" t="str">
        <f ca="1">IF(AND(NOT(ISBLANK(AJ227)),ISNA(MATCH(ROW(),'System Lookups'!$C$526:$C$539,0))),"Y","N")</f>
        <v>N</v>
      </c>
      <c r="AU227" s="1080" t="e">
        <f t="shared" si="213"/>
        <v>#N/A</v>
      </c>
      <c r="AV227" s="1080" t="str">
        <f t="shared" si="210"/>
        <v/>
      </c>
      <c r="AW227" s="1080">
        <f t="shared" si="214"/>
        <v>0</v>
      </c>
      <c r="AX227" s="1080">
        <f t="shared" si="215"/>
        <v>0</v>
      </c>
      <c r="AY227" s="1080">
        <f t="shared" si="216"/>
        <v>0</v>
      </c>
      <c r="AZ227" s="1080">
        <f t="shared" si="217"/>
        <v>0</v>
      </c>
      <c r="BA227" s="1080">
        <f t="shared" si="218"/>
        <v>0</v>
      </c>
      <c r="BB227" s="1080">
        <f>IF(AND(RACE=1,'Main Creation Page'!$E$6="Well",OR(ISNUMBER(FIND(Experience!$G$11,BE227)),ISNUMBER(FIND(Experience!$G$11,BF227)),ISNUMBER(FIND(Experience!$I$11,BE227)),ISNUMBER(FIND(Experience!$I$11,BF227)))),1,0)</f>
        <v>0</v>
      </c>
      <c r="BC227" s="1080" t="e">
        <f t="shared" si="239"/>
        <v>#N/A</v>
      </c>
      <c r="BD227" s="1080" t="s">
        <v>5687</v>
      </c>
      <c r="BE227" s="1080" t="str">
        <f t="shared" si="211"/>
        <v/>
      </c>
      <c r="BF227" s="1080" t="str">
        <f t="shared" si="212"/>
        <v>Cooking &amp; Innkeeping Skills</v>
      </c>
    </row>
    <row r="228" spans="1:60" ht="11.1" customHeight="1" outlineLevel="2">
      <c r="A228" s="1028" t="s">
        <v>831</v>
      </c>
      <c r="B228" s="1094" t="s">
        <v>1942</v>
      </c>
      <c r="C228" s="1094"/>
      <c r="D228" s="1094"/>
      <c r="E228" s="1095" t="s">
        <v>5224</v>
      </c>
      <c r="F228" s="1095" t="s">
        <v>5224</v>
      </c>
      <c r="G228" s="1096">
        <v>0</v>
      </c>
      <c r="H228" s="1096" t="s">
        <v>5224</v>
      </c>
      <c r="I228" s="1096" t="s">
        <v>5224</v>
      </c>
      <c r="J228" s="1096" t="s">
        <v>5224</v>
      </c>
      <c r="K228" s="1096" t="s">
        <v>5224</v>
      </c>
      <c r="L228" s="1096" t="s">
        <v>5224</v>
      </c>
      <c r="M228" s="1096" t="s">
        <v>5224</v>
      </c>
      <c r="N228" s="1096" t="s">
        <v>4631</v>
      </c>
      <c r="O228" s="1097"/>
      <c r="P228" s="1113" t="s">
        <v>13</v>
      </c>
      <c r="Q228" s="1097"/>
      <c r="R228" s="1097"/>
      <c r="S228" s="1113" t="s">
        <v>6150</v>
      </c>
      <c r="T228" s="1113"/>
      <c r="U228" s="1027">
        <v>0</v>
      </c>
      <c r="V228" s="1027">
        <f>IF(AP228+U228&gt;10,10,IF(AP228+U228&lt;0,0,AP228+U228))</f>
        <v>1</v>
      </c>
      <c r="W228" s="1098" t="e">
        <f>IF(OR(I228&lt;&gt;"N",E228="C"),IF(AND(N228&lt;&gt;"T",ISNUMBER(FIND("V",I228))),1,0),NA())+IF(H228="Y",IF(AND(N228="P",ISNUMBER(FIND("Z",I228))),2,1),0)+IF(J228="Y",1,0)+IF(K228="Y",3,0)+IF(BE228="Lore",L228*2+Experience!$D$25,0)+IF(M228="Y",1,0)</f>
        <v>#N/A</v>
      </c>
      <c r="X228" s="1099"/>
      <c r="Y228" s="1100">
        <f ca="1">IF(P228="NS",IFERROR(INDIRECT(S228),NA()),VLOOKUP(INDIRECT(P228)+INDIRECT(S228),'System Lookups'!$A$3:$D$146,2))</f>
        <v>0</v>
      </c>
      <c r="Z228" s="1100">
        <f>Z$217</f>
        <v>0</v>
      </c>
      <c r="AA228" s="1101">
        <f t="shared" ref="AA228:AA233" ca="1" si="268">IF(ISNA(Y228),0,Y228)+Z228</f>
        <v>0</v>
      </c>
      <c r="AB228" s="1102">
        <f>VLOOKUP($V$217,'System Lookups'!$J$55:$P$64,3)</f>
        <v>0.2</v>
      </c>
      <c r="AC228" s="1103">
        <f>VLOOKUP(V$217,'System Lookups'!$J$55:$P$64,4)</f>
        <v>0.3</v>
      </c>
      <c r="AD228" s="1104">
        <f t="shared" ref="AD228:AD233" si="269">IF(AND(ISBLANK(X228),ISNA(W228)),IF(B228="~",0,AB228+AA228+IF(BB228&gt;0,0.05,0)),AA228+AC228+IF(BB228&gt;0,0.05,0))</f>
        <v>0</v>
      </c>
      <c r="AE228" s="1094">
        <f>(IF(AD228&gt;VLOOKUP(V228,'System Lookups'!$J$55:$P$63,6),(((AD228-VLOOKUP(V228,'System Lookups'!$J$55:$P$63,6))*100)/20),0))+AF228</f>
        <v>0</v>
      </c>
      <c r="AF228" s="1121"/>
      <c r="AG228" s="1092">
        <f t="shared" ref="AG228:AG233" si="270">IF(ISBLANK(X228),0,AQ228*X228+IF(ISNA(W228),1,0))</f>
        <v>0</v>
      </c>
      <c r="AH228" s="1092" t="str">
        <f>IF(X228&lt;=Experience!$R$15+1,"","*")</f>
        <v/>
      </c>
      <c r="AI228" s="1092"/>
      <c r="AJ228" s="1080">
        <f t="shared" ref="AJ228:AJ233" si="271">IF(ISNUMBER(FIND("R",F228)),-1,0)</f>
        <v>0</v>
      </c>
      <c r="AK228" s="1080">
        <f t="shared" ref="AK228:AK233" si="272">IF(F228="s",-2,0)</f>
        <v>0</v>
      </c>
      <c r="AL228" s="1080">
        <f t="shared" ref="AL228:AL233" si="273">IF(AND(H228="Y",OR(N228="P",N228="S")),-1,0)</f>
        <v>0</v>
      </c>
      <c r="AM228" s="1092">
        <f t="shared" ref="AM228:AM233" si="274">IF(J228="y",1,0)</f>
        <v>0</v>
      </c>
      <c r="AN228" s="1080">
        <f t="shared" ref="AN228:AN233" si="275">IF(N228="P",-1,IF(N228="T",1,0))</f>
        <v>1</v>
      </c>
      <c r="AO228" s="1080">
        <f t="shared" ref="AO228:AO233" si="276">IF(ISNUMBER(FIND("Z",I228)),1,0)</f>
        <v>0</v>
      </c>
      <c r="AP228" s="1080">
        <f t="shared" ref="AP228:AP233" si="277">SUM(AJ228:AN228)-AM228</f>
        <v>1</v>
      </c>
      <c r="AQ228" s="1027">
        <v>100</v>
      </c>
      <c r="AR228" s="1080" t="str">
        <f ca="1">IF(AND(NOT(ISBLANK(AJ228)),ISNA(MATCH(ROW(),'System Lookups'!$C$526:$C$539,0))),"Y","N")</f>
        <v>Y</v>
      </c>
      <c r="AS228" s="1080">
        <f t="shared" ref="AS228:AS233" si="278">AG228-AI228</f>
        <v>0</v>
      </c>
      <c r="AU228" s="1080" t="e">
        <f t="shared" si="213"/>
        <v>#N/A</v>
      </c>
      <c r="AV228" s="1080" t="str">
        <f t="shared" si="210"/>
        <v>T</v>
      </c>
      <c r="AW228" s="1080">
        <f t="shared" si="214"/>
        <v>0</v>
      </c>
      <c r="AX228" s="1080">
        <f t="shared" si="215"/>
        <v>0</v>
      </c>
      <c r="AY228" s="1080">
        <f t="shared" si="216"/>
        <v>0</v>
      </c>
      <c r="AZ228" s="1080">
        <f t="shared" si="217"/>
        <v>0</v>
      </c>
      <c r="BA228" s="1080">
        <f t="shared" si="218"/>
        <v>0</v>
      </c>
      <c r="BB228" s="1080">
        <f>IF(AND(RACE=1,'Main Creation Page'!$E$6="Well",OR(ISNUMBER(FIND(Experience!$G$11,BE228)),ISNUMBER(FIND(Experience!$G$11,BF228)),ISNUMBER(FIND(Experience!$I$11,BE228)),ISNUMBER(FIND(Experience!$I$11,BF228)))),1,0)</f>
        <v>0</v>
      </c>
      <c r="BC228" s="1080" t="str">
        <f t="shared" si="239"/>
        <v>Cooking:Herbs, Spices &amp; Seasonings</v>
      </c>
      <c r="BD228" s="1080" t="s">
        <v>5687</v>
      </c>
      <c r="BE228" s="1080" t="str">
        <f t="shared" si="211"/>
        <v/>
      </c>
      <c r="BF228" s="1080" t="str">
        <f t="shared" si="212"/>
        <v>Cooking &amp; Innkeeping Skills</v>
      </c>
    </row>
    <row r="229" spans="1:60" ht="11.1" customHeight="1" outlineLevel="2">
      <c r="A229" s="1028" t="s">
        <v>3760</v>
      </c>
      <c r="B229" s="1094" t="s">
        <v>1942</v>
      </c>
      <c r="C229" s="1094"/>
      <c r="D229" s="1094"/>
      <c r="E229" s="1095" t="s">
        <v>5224</v>
      </c>
      <c r="F229" s="1095" t="s">
        <v>5224</v>
      </c>
      <c r="G229" s="1096">
        <v>0</v>
      </c>
      <c r="H229" s="1096" t="s">
        <v>5224</v>
      </c>
      <c r="I229" s="1096" t="s">
        <v>5224</v>
      </c>
      <c r="J229" s="1096" t="s">
        <v>5224</v>
      </c>
      <c r="K229" s="1096" t="s">
        <v>5224</v>
      </c>
      <c r="L229" s="1096" t="s">
        <v>5224</v>
      </c>
      <c r="M229" s="1096" t="s">
        <v>5224</v>
      </c>
      <c r="N229" s="1096" t="s">
        <v>4631</v>
      </c>
      <c r="O229" s="1097"/>
      <c r="P229" s="1113" t="s">
        <v>13</v>
      </c>
      <c r="Q229" s="1097"/>
      <c r="R229" s="1097"/>
      <c r="S229" s="1113" t="s">
        <v>6150</v>
      </c>
      <c r="T229" s="1113"/>
      <c r="U229" s="1027">
        <v>0</v>
      </c>
      <c r="V229" s="1027">
        <f>IF(AP229+U229&gt;10,10,IF(AP229+U229&lt;0,0,AP229+U229))</f>
        <v>1</v>
      </c>
      <c r="W229" s="1098" t="e">
        <f>IF(OR(I229&lt;&gt;"N",E229="C"),IF(AND(N229&lt;&gt;"T",ISNUMBER(FIND("V",I229))),1,0),NA())+IF(H229="Y",IF(AND(N229="P",ISNUMBER(FIND("Z",I229))),2,1),0)+IF(J229="Y",1,0)+IF(K229="Y",3,0)+IF(BE229="Lore",L229*2+Experience!$D$25,0)+IF(M229="Y",1,0)</f>
        <v>#N/A</v>
      </c>
      <c r="X229" s="1099"/>
      <c r="Y229" s="1100">
        <f ca="1">IF(P229="NS",IFERROR(INDIRECT(S229),NA()),VLOOKUP(INDIRECT(P229)+INDIRECT(S229),'System Lookups'!$A$3:$D$146,2))</f>
        <v>0</v>
      </c>
      <c r="Z229" s="1100">
        <f>Z$217</f>
        <v>0</v>
      </c>
      <c r="AA229" s="1101">
        <f t="shared" ca="1" si="268"/>
        <v>0</v>
      </c>
      <c r="AB229" s="1102">
        <f>VLOOKUP($V$217,'System Lookups'!$J$55:$P$64,3)</f>
        <v>0.2</v>
      </c>
      <c r="AC229" s="1103">
        <f>VLOOKUP(V$217,'System Lookups'!$J$55:$P$64,4)</f>
        <v>0.3</v>
      </c>
      <c r="AD229" s="1104">
        <f t="shared" si="269"/>
        <v>0</v>
      </c>
      <c r="AE229" s="1094">
        <f>(IF(AD229&gt;VLOOKUP(V229,'System Lookups'!$J$55:$P$63,6),(((AD229-VLOOKUP(V229,'System Lookups'!$J$55:$P$63,6))*100)/20),0))+AF229</f>
        <v>0</v>
      </c>
      <c r="AF229" s="1121"/>
      <c r="AG229" s="1092">
        <f t="shared" si="270"/>
        <v>0</v>
      </c>
      <c r="AH229" s="1092" t="str">
        <f>IF(X229&lt;=Experience!$R$15+1,"","*")</f>
        <v/>
      </c>
      <c r="AI229" s="1092"/>
      <c r="AJ229" s="1080">
        <f t="shared" si="271"/>
        <v>0</v>
      </c>
      <c r="AK229" s="1080">
        <f t="shared" si="272"/>
        <v>0</v>
      </c>
      <c r="AL229" s="1080">
        <f t="shared" si="273"/>
        <v>0</v>
      </c>
      <c r="AM229" s="1092">
        <f t="shared" si="274"/>
        <v>0</v>
      </c>
      <c r="AN229" s="1080">
        <f t="shared" si="275"/>
        <v>1</v>
      </c>
      <c r="AO229" s="1080">
        <f t="shared" si="276"/>
        <v>0</v>
      </c>
      <c r="AP229" s="1080">
        <f t="shared" si="277"/>
        <v>1</v>
      </c>
      <c r="AQ229" s="1027">
        <v>100</v>
      </c>
      <c r="AR229" s="1080" t="str">
        <f ca="1">IF(AND(NOT(ISBLANK(AJ229)),ISNA(MATCH(ROW(),'System Lookups'!$C$526:$C$539,0))),"Y","N")</f>
        <v>Y</v>
      </c>
      <c r="AS229" s="1080">
        <f t="shared" si="278"/>
        <v>0</v>
      </c>
      <c r="AU229" s="1080" t="e">
        <f t="shared" si="213"/>
        <v>#N/A</v>
      </c>
      <c r="AV229" s="1080" t="str">
        <f t="shared" si="210"/>
        <v>T</v>
      </c>
      <c r="AW229" s="1080">
        <f t="shared" si="214"/>
        <v>0</v>
      </c>
      <c r="AX229" s="1080">
        <f t="shared" si="215"/>
        <v>0</v>
      </c>
      <c r="AY229" s="1080">
        <f t="shared" si="216"/>
        <v>0</v>
      </c>
      <c r="AZ229" s="1080">
        <f t="shared" si="217"/>
        <v>0</v>
      </c>
      <c r="BA229" s="1080">
        <f t="shared" si="218"/>
        <v>0</v>
      </c>
      <c r="BB229" s="1080">
        <f>IF(AND(RACE=1,'Main Creation Page'!$E$6="Well",OR(ISNUMBER(FIND(Experience!$G$11,BE229)),ISNUMBER(FIND(Experience!$G$11,BF229)),ISNUMBER(FIND(Experience!$I$11,BE229)),ISNUMBER(FIND(Experience!$I$11,BF229)))),1,0)</f>
        <v>0</v>
      </c>
      <c r="BC229" s="1080" t="str">
        <f t="shared" si="239"/>
        <v>Cooking:Preserving Food</v>
      </c>
      <c r="BD229" s="1080" t="s">
        <v>5687</v>
      </c>
      <c r="BE229" s="1080" t="str">
        <f t="shared" si="211"/>
        <v/>
      </c>
      <c r="BF229" s="1080" t="str">
        <f t="shared" si="212"/>
        <v>Cooking &amp; Innkeeping Skills</v>
      </c>
    </row>
    <row r="230" spans="1:60" ht="11.1" customHeight="1" outlineLevel="2">
      <c r="A230" s="1028" t="s">
        <v>3903</v>
      </c>
      <c r="B230" s="1094" t="s">
        <v>1942</v>
      </c>
      <c r="C230" s="1094"/>
      <c r="D230" s="1094"/>
      <c r="E230" s="1095" t="s">
        <v>5224</v>
      </c>
      <c r="F230" s="1095" t="s">
        <v>5224</v>
      </c>
      <c r="G230" s="1096">
        <v>0</v>
      </c>
      <c r="H230" s="1096" t="s">
        <v>5224</v>
      </c>
      <c r="I230" s="1096" t="s">
        <v>5224</v>
      </c>
      <c r="J230" s="1096" t="s">
        <v>5224</v>
      </c>
      <c r="K230" s="1096" t="s">
        <v>5224</v>
      </c>
      <c r="L230" s="1096" t="s">
        <v>5224</v>
      </c>
      <c r="M230" s="1096" t="s">
        <v>5224</v>
      </c>
      <c r="N230" s="1096" t="s">
        <v>4631</v>
      </c>
      <c r="O230" s="1097"/>
      <c r="P230" s="1113" t="s">
        <v>13</v>
      </c>
      <c r="Q230" s="1097"/>
      <c r="R230" s="1097"/>
      <c r="S230" s="1113" t="s">
        <v>6150</v>
      </c>
      <c r="T230" s="1113"/>
      <c r="U230" s="1027">
        <v>0</v>
      </c>
      <c r="V230" s="1027">
        <f>IF(AP230+U230&gt;10,10,IF(AP230+U230&lt;0,0,AP230+U230))</f>
        <v>1</v>
      </c>
      <c r="W230" s="1098" t="e">
        <f>IF(OR(I230&lt;&gt;"N",E230="C"),IF(AND(N230&lt;&gt;"T",ISNUMBER(FIND("V",I230))),1,0),NA())+IF(H230="Y",IF(AND(N230="P",ISNUMBER(FIND("Z",I230))),2,1),0)+IF(J230="Y",1,0)+IF(K230="Y",3,0)+IF(BE230="Lore",L230*2+Experience!$D$25,0)+IF(M230="Y",1,0)</f>
        <v>#N/A</v>
      </c>
      <c r="X230" s="1099"/>
      <c r="Y230" s="1100">
        <f ca="1">IF(P230="NS",IFERROR(INDIRECT(S230),NA()),VLOOKUP(INDIRECT(P230)+INDIRECT(S230),'System Lookups'!$A$3:$D$146,2))</f>
        <v>0</v>
      </c>
      <c r="Z230" s="1100">
        <f>Z$217</f>
        <v>0</v>
      </c>
      <c r="AA230" s="1101">
        <f t="shared" ca="1" si="268"/>
        <v>0</v>
      </c>
      <c r="AB230" s="1102">
        <f>VLOOKUP($V$217,'System Lookups'!$J$55:$P$64,3)</f>
        <v>0.2</v>
      </c>
      <c r="AC230" s="1103">
        <f>VLOOKUP(V$217,'System Lookups'!$J$55:$P$64,4)</f>
        <v>0.3</v>
      </c>
      <c r="AD230" s="1104">
        <f t="shared" si="269"/>
        <v>0</v>
      </c>
      <c r="AE230" s="1094">
        <f>(IF(AD230&gt;VLOOKUP(V230,'System Lookups'!$J$55:$P$63,6),(((AD230-VLOOKUP(V230,'System Lookups'!$J$55:$P$63,6))*100)/20),0))+AF230</f>
        <v>0</v>
      </c>
      <c r="AF230" s="1121"/>
      <c r="AG230" s="1092">
        <f t="shared" si="270"/>
        <v>0</v>
      </c>
      <c r="AH230" s="1092" t="str">
        <f>IF(X230&lt;=Experience!$R$15+1,"","*")</f>
        <v/>
      </c>
      <c r="AI230" s="1092"/>
      <c r="AJ230" s="1080">
        <f t="shared" si="271"/>
        <v>0</v>
      </c>
      <c r="AK230" s="1080">
        <f t="shared" si="272"/>
        <v>0</v>
      </c>
      <c r="AL230" s="1080">
        <f t="shared" si="273"/>
        <v>0</v>
      </c>
      <c r="AM230" s="1092">
        <f t="shared" si="274"/>
        <v>0</v>
      </c>
      <c r="AN230" s="1080">
        <f t="shared" si="275"/>
        <v>1</v>
      </c>
      <c r="AO230" s="1080">
        <f t="shared" si="276"/>
        <v>0</v>
      </c>
      <c r="AP230" s="1080">
        <f t="shared" si="277"/>
        <v>1</v>
      </c>
      <c r="AQ230" s="1027">
        <v>100</v>
      </c>
      <c r="AR230" s="1080" t="str">
        <f ca="1">IF(AND(NOT(ISBLANK(AJ230)),ISNA(MATCH(ROW(),'System Lookups'!$C$526:$C$539,0))),"Y","N")</f>
        <v>Y</v>
      </c>
      <c r="AS230" s="1080">
        <f t="shared" si="278"/>
        <v>0</v>
      </c>
      <c r="AU230" s="1080" t="e">
        <f t="shared" si="213"/>
        <v>#N/A</v>
      </c>
      <c r="AV230" s="1080" t="str">
        <f t="shared" si="210"/>
        <v>T</v>
      </c>
      <c r="AW230" s="1080">
        <f t="shared" si="214"/>
        <v>0</v>
      </c>
      <c r="AX230" s="1080">
        <f t="shared" si="215"/>
        <v>0</v>
      </c>
      <c r="AY230" s="1080">
        <f t="shared" si="216"/>
        <v>0</v>
      </c>
      <c r="AZ230" s="1080">
        <f t="shared" si="217"/>
        <v>0</v>
      </c>
      <c r="BA230" s="1080">
        <f t="shared" si="218"/>
        <v>0</v>
      </c>
      <c r="BB230" s="1080">
        <f>IF(AND(RACE=1,'Main Creation Page'!$E$6="Well",OR(ISNUMBER(FIND(Experience!$G$11,BE230)),ISNUMBER(FIND(Experience!$G$11,BF230)),ISNUMBER(FIND(Experience!$I$11,BE230)),ISNUMBER(FIND(Experience!$I$11,BF230)))),1,0)</f>
        <v>0</v>
      </c>
      <c r="BC230" s="1080" t="str">
        <f t="shared" si="239"/>
        <v>Cooking:Preserving Meat</v>
      </c>
      <c r="BD230" s="1080" t="s">
        <v>5687</v>
      </c>
      <c r="BE230" s="1080" t="str">
        <f t="shared" si="211"/>
        <v/>
      </c>
      <c r="BF230" s="1080" t="str">
        <f t="shared" si="212"/>
        <v>Cooking &amp; Innkeeping Skills</v>
      </c>
    </row>
    <row r="231" spans="1:60" ht="11.1" customHeight="1" outlineLevel="2">
      <c r="A231" s="1093" t="s">
        <v>5660</v>
      </c>
      <c r="B231" s="1094" t="s">
        <v>1942</v>
      </c>
      <c r="C231" s="1094"/>
      <c r="D231" s="1094"/>
      <c r="E231" s="1095" t="s">
        <v>5224</v>
      </c>
      <c r="F231" s="1095" t="s">
        <v>5224</v>
      </c>
      <c r="G231" s="1096">
        <v>0</v>
      </c>
      <c r="H231" s="1096" t="s">
        <v>5224</v>
      </c>
      <c r="I231" s="1096" t="s">
        <v>5224</v>
      </c>
      <c r="J231" s="1096" t="s">
        <v>5224</v>
      </c>
      <c r="K231" s="1096" t="s">
        <v>5224</v>
      </c>
      <c r="L231" s="1096" t="s">
        <v>5224</v>
      </c>
      <c r="M231" s="1096" t="s">
        <v>5224</v>
      </c>
      <c r="N231" s="1096" t="s">
        <v>4631</v>
      </c>
      <c r="O231" s="1097"/>
      <c r="P231" s="1113" t="s">
        <v>13</v>
      </c>
      <c r="Q231" s="1097"/>
      <c r="R231" s="1097"/>
      <c r="S231" s="1113" t="s">
        <v>6150</v>
      </c>
      <c r="T231" s="1113"/>
      <c r="U231" s="1027">
        <v>0</v>
      </c>
      <c r="V231" s="1027">
        <f>IF(AP231+U231&gt;10,10,IF(AP231+U231&lt;0,0,AP231+U231))</f>
        <v>1</v>
      </c>
      <c r="W231" s="1098" t="e">
        <f>IF(OR(I231&lt;&gt;"N",E231="C"),IF(AND(N231&lt;&gt;"T",ISNUMBER(FIND("V",I231))),1,0),NA())+IF(H231="Y",IF(AND(N231="P",ISNUMBER(FIND("Z",I231))),2,1),0)+IF(J231="Y",1,0)+IF(K231="Y",3,0)+IF(BE231="Lore",L231*2+Experience!$D$25,0)+IF(M231="Y",1,0)</f>
        <v>#N/A</v>
      </c>
      <c r="X231" s="1099"/>
      <c r="Y231" s="1100">
        <f ca="1">IF(P231="NS",IFERROR(INDIRECT(S231),NA()),VLOOKUP(INDIRECT(P231)+INDIRECT(S231),'System Lookups'!$A$3:$D$146,2))</f>
        <v>0</v>
      </c>
      <c r="Z231" s="1100">
        <f>Z$217</f>
        <v>0</v>
      </c>
      <c r="AA231" s="1101">
        <f t="shared" ca="1" si="268"/>
        <v>0</v>
      </c>
      <c r="AB231" s="1102">
        <f>VLOOKUP($V$217,'System Lookups'!$J$55:$P$64,3)</f>
        <v>0.2</v>
      </c>
      <c r="AC231" s="1103">
        <f>VLOOKUP(V$217,'System Lookups'!$J$55:$P$64,4)</f>
        <v>0.3</v>
      </c>
      <c r="AD231" s="1104">
        <f t="shared" si="269"/>
        <v>0</v>
      </c>
      <c r="AE231" s="1094">
        <f>(IF(AD231&gt;VLOOKUP(V231,'System Lookups'!$J$55:$P$63,6),(((AD231-VLOOKUP(V231,'System Lookups'!$J$55:$P$63,6))*100)/20),0))+AF231</f>
        <v>0</v>
      </c>
      <c r="AF231" s="1121"/>
      <c r="AG231" s="1092">
        <f t="shared" si="270"/>
        <v>0</v>
      </c>
      <c r="AH231" s="1092" t="str">
        <f>IF(X231&lt;=Experience!$R$15+1,"","*")</f>
        <v/>
      </c>
      <c r="AI231" s="1092"/>
      <c r="AJ231" s="1080">
        <f t="shared" si="271"/>
        <v>0</v>
      </c>
      <c r="AK231" s="1080">
        <f t="shared" si="272"/>
        <v>0</v>
      </c>
      <c r="AL231" s="1080">
        <f t="shared" si="273"/>
        <v>0</v>
      </c>
      <c r="AM231" s="1092">
        <f t="shared" si="274"/>
        <v>0</v>
      </c>
      <c r="AN231" s="1080">
        <f t="shared" si="275"/>
        <v>1</v>
      </c>
      <c r="AO231" s="1080">
        <f t="shared" si="276"/>
        <v>0</v>
      </c>
      <c r="AP231" s="1080">
        <f t="shared" si="277"/>
        <v>1</v>
      </c>
      <c r="AQ231" s="1027">
        <v>100</v>
      </c>
      <c r="AR231" s="1080" t="str">
        <f ca="1">IF(AND(NOT(ISBLANK(AJ231)),ISNA(MATCH(ROW(),'System Lookups'!$C$526:$C$539,0))),"Y","N")</f>
        <v>Y</v>
      </c>
      <c r="AS231" s="1080">
        <f t="shared" si="278"/>
        <v>0</v>
      </c>
      <c r="AU231" s="1080" t="e">
        <f t="shared" si="213"/>
        <v>#N/A</v>
      </c>
      <c r="AV231" s="1080" t="str">
        <f t="shared" si="210"/>
        <v>T</v>
      </c>
      <c r="AW231" s="1080">
        <f t="shared" si="214"/>
        <v>0</v>
      </c>
      <c r="AX231" s="1080">
        <f t="shared" si="215"/>
        <v>0</v>
      </c>
      <c r="AY231" s="1080">
        <f t="shared" si="216"/>
        <v>0</v>
      </c>
      <c r="AZ231" s="1080">
        <f t="shared" si="217"/>
        <v>0</v>
      </c>
      <c r="BA231" s="1080">
        <f t="shared" si="218"/>
        <v>0</v>
      </c>
      <c r="BB231" s="1080">
        <f>IF(AND(RACE=1,'Main Creation Page'!$E$6="Well",OR(ISNUMBER(FIND(Experience!$G$11,BE231)),ISNUMBER(FIND(Experience!$G$11,BF231)),ISNUMBER(FIND(Experience!$I$11,BE231)),ISNUMBER(FIND(Experience!$I$11,BF231)))),1,0)</f>
        <v>0</v>
      </c>
      <c r="BC231" s="1080" t="str">
        <f t="shared" si="239"/>
        <v>Cooking:Regional Cooking</v>
      </c>
      <c r="BD231" s="1080" t="s">
        <v>5687</v>
      </c>
      <c r="BE231" s="1080" t="str">
        <f t="shared" si="211"/>
        <v/>
      </c>
      <c r="BF231" s="1080" t="str">
        <f t="shared" si="212"/>
        <v>Cooking &amp; Innkeeping Skills</v>
      </c>
    </row>
    <row r="232" spans="1:60" ht="11.1" customHeight="1" outlineLevel="2">
      <c r="A232" s="1028" t="s">
        <v>830</v>
      </c>
      <c r="B232" s="1094" t="s">
        <v>1942</v>
      </c>
      <c r="C232" s="1094"/>
      <c r="D232" s="1094"/>
      <c r="E232" s="1095" t="s">
        <v>5224</v>
      </c>
      <c r="F232" s="1095" t="s">
        <v>5224</v>
      </c>
      <c r="G232" s="1096">
        <v>0</v>
      </c>
      <c r="H232" s="1096" t="s">
        <v>5224</v>
      </c>
      <c r="I232" s="1096" t="s">
        <v>5224</v>
      </c>
      <c r="J232" s="1096" t="s">
        <v>5224</v>
      </c>
      <c r="K232" s="1096" t="s">
        <v>5224</v>
      </c>
      <c r="L232" s="1096" t="s">
        <v>5224</v>
      </c>
      <c r="M232" s="1096" t="s">
        <v>5224</v>
      </c>
      <c r="N232" s="1096" t="s">
        <v>4631</v>
      </c>
      <c r="O232" s="1097"/>
      <c r="P232" s="1113" t="s">
        <v>13</v>
      </c>
      <c r="Q232" s="1097"/>
      <c r="R232" s="1097"/>
      <c r="S232" s="1113" t="s">
        <v>6150</v>
      </c>
      <c r="T232" s="1113"/>
      <c r="U232" s="1027">
        <v>0</v>
      </c>
      <c r="V232" s="1027">
        <f>IF(AP232+U232&gt;10,10,IF(AP232+U232&lt;0,0,AP232+U232))</f>
        <v>1</v>
      </c>
      <c r="W232" s="1098" t="e">
        <f>IF(OR(I232&lt;&gt;"N",E232="C"),IF(AND(N232&lt;&gt;"T",ISNUMBER(FIND("V",I232))),1,0),NA())+IF(H232="Y",IF(AND(N232="P",ISNUMBER(FIND("Z",I232))),2,1),0)+IF(J232="Y",1,0)+IF(K232="Y",3,0)+IF(BE232="Lore",L232*2+Experience!$D$25,0)+IF(M232="Y",1,0)</f>
        <v>#N/A</v>
      </c>
      <c r="X232" s="1099"/>
      <c r="Y232" s="1100">
        <f ca="1">IF(P232="NS",IFERROR(INDIRECT(S232),NA()),VLOOKUP(INDIRECT(P232)+INDIRECT(S232),'System Lookups'!$A$3:$D$146,2))</f>
        <v>0</v>
      </c>
      <c r="Z232" s="1100">
        <f>Z$217</f>
        <v>0</v>
      </c>
      <c r="AA232" s="1101">
        <f t="shared" ca="1" si="268"/>
        <v>0</v>
      </c>
      <c r="AB232" s="1102">
        <f>VLOOKUP($V$217,'System Lookups'!$J$55:$P$64,3)</f>
        <v>0.2</v>
      </c>
      <c r="AC232" s="1103">
        <f>VLOOKUP(V$217,'System Lookups'!$J$55:$P$64,4)</f>
        <v>0.3</v>
      </c>
      <c r="AD232" s="1104">
        <f t="shared" si="269"/>
        <v>0</v>
      </c>
      <c r="AE232" s="1094">
        <f>(IF(AD232&gt;VLOOKUP(V232,'System Lookups'!$J$55:$P$63,6),(((AD232-VLOOKUP(V232,'System Lookups'!$J$55:$P$63,6))*100)/20),0))+AF232</f>
        <v>0</v>
      </c>
      <c r="AF232" s="1121"/>
      <c r="AG232" s="1092">
        <f t="shared" si="270"/>
        <v>0</v>
      </c>
      <c r="AH232" s="1092" t="str">
        <f>IF(X232&lt;=Experience!$R$15+1,"","*")</f>
        <v/>
      </c>
      <c r="AI232" s="1092"/>
      <c r="AJ232" s="1080">
        <f t="shared" si="271"/>
        <v>0</v>
      </c>
      <c r="AK232" s="1080">
        <f t="shared" si="272"/>
        <v>0</v>
      </c>
      <c r="AL232" s="1080">
        <f t="shared" si="273"/>
        <v>0</v>
      </c>
      <c r="AM232" s="1092">
        <f t="shared" si="274"/>
        <v>0</v>
      </c>
      <c r="AN232" s="1080">
        <f t="shared" si="275"/>
        <v>1</v>
      </c>
      <c r="AO232" s="1080">
        <f t="shared" si="276"/>
        <v>0</v>
      </c>
      <c r="AP232" s="1080">
        <f t="shared" si="277"/>
        <v>1</v>
      </c>
      <c r="AQ232" s="1027">
        <v>100</v>
      </c>
      <c r="AR232" s="1080" t="str">
        <f ca="1">IF(AND(NOT(ISBLANK(AJ232)),ISNA(MATCH(ROW(),'System Lookups'!$C$526:$C$539,0))),"Y","N")</f>
        <v>Y</v>
      </c>
      <c r="AS232" s="1080">
        <f t="shared" si="278"/>
        <v>0</v>
      </c>
      <c r="AU232" s="1080" t="e">
        <f t="shared" si="213"/>
        <v>#N/A</v>
      </c>
      <c r="AV232" s="1080" t="str">
        <f t="shared" si="210"/>
        <v>T</v>
      </c>
      <c r="AW232" s="1080">
        <f t="shared" si="214"/>
        <v>0</v>
      </c>
      <c r="AX232" s="1080">
        <f t="shared" si="215"/>
        <v>0</v>
      </c>
      <c r="AY232" s="1080">
        <f t="shared" si="216"/>
        <v>0</v>
      </c>
      <c r="AZ232" s="1080">
        <f t="shared" si="217"/>
        <v>0</v>
      </c>
      <c r="BA232" s="1080">
        <f t="shared" si="218"/>
        <v>0</v>
      </c>
      <c r="BB232" s="1080">
        <f>IF(AND(RACE=1,'Main Creation Page'!$E$6="Well",OR(ISNUMBER(FIND(Experience!$G$11,BE232)),ISNUMBER(FIND(Experience!$G$11,BF232)),ISNUMBER(FIND(Experience!$I$11,BE232)),ISNUMBER(FIND(Experience!$I$11,BF232)))),1,0)</f>
        <v>0</v>
      </c>
      <c r="BC232" s="1080" t="str">
        <f t="shared" si="239"/>
        <v>Cooking:Soups &amp; Stews</v>
      </c>
      <c r="BD232" s="1080" t="s">
        <v>5687</v>
      </c>
      <c r="BE232" s="1080" t="str">
        <f t="shared" si="211"/>
        <v/>
      </c>
      <c r="BF232" s="1080" t="str">
        <f t="shared" si="212"/>
        <v>Cooking &amp; Innkeeping Skills</v>
      </c>
    </row>
    <row r="233" spans="1:60" ht="11.1" customHeight="1" outlineLevel="1">
      <c r="A233" s="1134" t="s">
        <v>5095</v>
      </c>
      <c r="B233" s="1094" t="s">
        <v>1942</v>
      </c>
      <c r="C233" s="1094"/>
      <c r="D233" s="1094"/>
      <c r="E233" s="1095" t="s">
        <v>5224</v>
      </c>
      <c r="F233" s="1095" t="s">
        <v>5224</v>
      </c>
      <c r="G233" s="1096">
        <v>0</v>
      </c>
      <c r="H233" s="1096" t="s">
        <v>5224</v>
      </c>
      <c r="I233" s="1096" t="s">
        <v>5224</v>
      </c>
      <c r="J233" s="1096" t="s">
        <v>5224</v>
      </c>
      <c r="K233" s="1096" t="s">
        <v>5224</v>
      </c>
      <c r="L233" s="1096" t="s">
        <v>5224</v>
      </c>
      <c r="M233" s="1096" t="s">
        <v>5224</v>
      </c>
      <c r="N233" s="1096" t="s">
        <v>4631</v>
      </c>
      <c r="O233" s="1097"/>
      <c r="P233" s="1097" t="s">
        <v>780</v>
      </c>
      <c r="Q233" s="1097">
        <f ca="1">INDIRECT(P233)</f>
        <v>17</v>
      </c>
      <c r="R233" s="1097"/>
      <c r="S233" s="1028" t="s">
        <v>3616</v>
      </c>
      <c r="T233" s="1097">
        <f ca="1">INDIRECT(S233)</f>
        <v>17</v>
      </c>
      <c r="U233" s="1027">
        <v>4</v>
      </c>
      <c r="V233" s="1027">
        <f>IF(AP233+U233&gt;10,10,IF(AP233+U233&lt;1,1,AP233+U233))</f>
        <v>5</v>
      </c>
      <c r="W233" s="1098" t="e">
        <f>IF(OR(I233&lt;&gt;"N",E233="C"),IF(AND(N233&lt;&gt;"T",ISNUMBER(FIND("V",I233))),1,0),NA())+IF(H233="Y",IF(AND(N233="P",ISNUMBER(FIND("Z",I233))),2,1),0)+IF(J233="Y",1,0)+IF(K233="Y",3,0)+IF(BE233="Lore",L233*2+Experience!$D$25,0)+IF(M233="Y",1,0)</f>
        <v>#N/A</v>
      </c>
      <c r="X233" s="1099"/>
      <c r="Y233" s="1100">
        <f ca="1">IF(P233="NS",IFERROR(INDIRECT(S233),NA()),VLOOKUP(INDIRECT(P233)+INDIRECT(S233),'System Lookups'!$A$3:$D$146,2))</f>
        <v>0.1</v>
      </c>
      <c r="Z233" s="1100">
        <f>IF(ISNA(W233),0,W233*0.03)+IF(X233&gt;0,X233*0.03,0)+IF(AND(ISNA(W233),X233&lt;=0),0,IF(G233&gt;0,G233*0.07,0))</f>
        <v>0</v>
      </c>
      <c r="AA233" s="1101">
        <f t="shared" ca="1" si="268"/>
        <v>0.1</v>
      </c>
      <c r="AB233" s="1102">
        <f>VLOOKUP(V233,'System Lookups'!$J$55:$P$64,3)</f>
        <v>0.1</v>
      </c>
      <c r="AC233" s="1103">
        <f>VLOOKUP(V233,'System Lookups'!$J$55:$P$64,4)</f>
        <v>0.2</v>
      </c>
      <c r="AD233" s="1104">
        <f t="shared" si="269"/>
        <v>0</v>
      </c>
      <c r="AE233" s="1094">
        <f>(IF(AD233&gt;VLOOKUP(V233,'System Lookups'!$J$55:$P$63,6),(((AD233-VLOOKUP(V233,'System Lookups'!$J$55:$P$63,6))*100)/20),0))+AF233</f>
        <v>0</v>
      </c>
      <c r="AF233" s="1121"/>
      <c r="AG233" s="1092">
        <f t="shared" si="270"/>
        <v>0</v>
      </c>
      <c r="AH233" s="1092" t="str">
        <f>IF(X233&lt;=Experience!$R$15+1,"","*")</f>
        <v/>
      </c>
      <c r="AI233" s="1092"/>
      <c r="AJ233" s="1080">
        <f t="shared" si="271"/>
        <v>0</v>
      </c>
      <c r="AK233" s="1080">
        <f t="shared" si="272"/>
        <v>0</v>
      </c>
      <c r="AL233" s="1080">
        <f t="shared" si="273"/>
        <v>0</v>
      </c>
      <c r="AM233" s="1092">
        <f t="shared" si="274"/>
        <v>0</v>
      </c>
      <c r="AN233" s="1080">
        <f t="shared" si="275"/>
        <v>1</v>
      </c>
      <c r="AO233" s="1080">
        <f t="shared" si="276"/>
        <v>0</v>
      </c>
      <c r="AP233" s="1080">
        <f t="shared" si="277"/>
        <v>1</v>
      </c>
      <c r="AQ233" s="1027">
        <f>VLOOKUP(V233,'System Lookups'!$J$55:$P$64,7)</f>
        <v>700</v>
      </c>
      <c r="AR233" s="1080" t="str">
        <f ca="1">IF(AND(NOT(ISBLANK(AJ233)),ISNA(MATCH(ROW(),'System Lookups'!$C$526:$C$539,0))),"Y","N")</f>
        <v>Y</v>
      </c>
      <c r="AS233" s="1080">
        <f t="shared" si="278"/>
        <v>0</v>
      </c>
      <c r="AU233" s="1080" t="e">
        <f t="shared" si="213"/>
        <v>#N/A</v>
      </c>
      <c r="AV233" s="1080" t="str">
        <f t="shared" si="210"/>
        <v>T</v>
      </c>
      <c r="AW233" s="1080">
        <f t="shared" si="214"/>
        <v>0</v>
      </c>
      <c r="AX233" s="1080">
        <f t="shared" si="215"/>
        <v>0</v>
      </c>
      <c r="AY233" s="1080">
        <f t="shared" si="216"/>
        <v>0</v>
      </c>
      <c r="AZ233" s="1080">
        <f t="shared" si="217"/>
        <v>0</v>
      </c>
      <c r="BA233" s="1080">
        <f t="shared" si="218"/>
        <v>0</v>
      </c>
      <c r="BB233" s="1080">
        <f>IF(AND(RACE=1,'Main Creation Page'!$E$6="Well",OR(ISNUMBER(FIND(Experience!$G$11,BE233)),ISNUMBER(FIND(Experience!$G$11,BF233)),ISNUMBER(FIND(Experience!$I$11,BE233)),ISNUMBER(FIND(Experience!$I$11,BF233)))),1,0)</f>
        <v>0</v>
      </c>
      <c r="BC233" s="1080" t="str">
        <f t="shared" si="239"/>
        <v>Winemaking</v>
      </c>
      <c r="BE233" s="1080" t="str">
        <f t="shared" si="211"/>
        <v/>
      </c>
      <c r="BF233" s="1080" t="str">
        <f t="shared" si="212"/>
        <v>Cooking &amp; Innkeeping Skills</v>
      </c>
    </row>
    <row r="234" spans="1:60" ht="11.1" customHeight="1" outlineLevel="1">
      <c r="B234" s="1111"/>
      <c r="C234" s="1111"/>
      <c r="D234" s="1111"/>
      <c r="Q234" s="1097"/>
      <c r="R234" s="1097"/>
      <c r="W234" s="1112"/>
      <c r="AE234" s="1094"/>
      <c r="AF234" s="1121"/>
      <c r="AR234" s="1080" t="str">
        <f ca="1">IF(AND(NOT(ISBLANK(AJ234)),ISNA(MATCH(ROW(),'System Lookups'!$C$526:$C$539,0))),"Y","N")</f>
        <v>N</v>
      </c>
      <c r="AU234" s="1080" t="e">
        <f t="shared" si="213"/>
        <v>#N/A</v>
      </c>
      <c r="AV234" s="1080" t="str">
        <f t="shared" si="210"/>
        <v/>
      </c>
      <c r="AW234" s="1080">
        <f t="shared" si="214"/>
        <v>0</v>
      </c>
      <c r="AX234" s="1080">
        <f t="shared" si="215"/>
        <v>0</v>
      </c>
      <c r="AY234" s="1080">
        <f t="shared" si="216"/>
        <v>0</v>
      </c>
      <c r="AZ234" s="1080">
        <f t="shared" si="217"/>
        <v>0</v>
      </c>
      <c r="BA234" s="1080">
        <f t="shared" si="218"/>
        <v>0</v>
      </c>
      <c r="BB234" s="1080">
        <f>IF(AND(RACE=1,'Main Creation Page'!$E$6="Well",OR(ISNUMBER(FIND(Experience!$G$11,BE234)),ISNUMBER(FIND(Experience!$G$11,BF234)),ISNUMBER(FIND(Experience!$I$11,BE234)),ISNUMBER(FIND(Experience!$I$11,BF234)))),1,0)</f>
        <v>0</v>
      </c>
      <c r="BC234" s="1080" t="e">
        <f t="shared" si="239"/>
        <v>#N/A</v>
      </c>
      <c r="BE234" s="1080" t="str">
        <f t="shared" si="211"/>
        <v/>
      </c>
      <c r="BF234" s="1080" t="str">
        <f t="shared" si="212"/>
        <v>Cooking &amp; Innkeeping Skills</v>
      </c>
    </row>
    <row r="235" spans="1:60" ht="11.1" customHeight="1">
      <c r="A235" s="1087" t="s">
        <v>2469</v>
      </c>
      <c r="B235" s="1091"/>
      <c r="C235" s="1091"/>
      <c r="D235" s="1091"/>
      <c r="F235" s="1027"/>
      <c r="G235" s="1027"/>
      <c r="H235" s="1027"/>
      <c r="I235" s="1085"/>
      <c r="J235" s="1085"/>
      <c r="K235" s="1085"/>
      <c r="L235" s="1085"/>
      <c r="M235" s="1085"/>
      <c r="N235" s="1027"/>
      <c r="O235" s="1027"/>
      <c r="P235" s="1027"/>
      <c r="Q235" s="1097"/>
      <c r="R235" s="1097"/>
      <c r="S235" s="1113"/>
      <c r="T235" s="1113"/>
      <c r="U235" s="1085"/>
      <c r="V235" s="1027"/>
      <c r="W235" s="1028"/>
      <c r="X235" s="1114"/>
      <c r="AE235" s="1094"/>
      <c r="AF235" s="1121"/>
      <c r="AG235" s="1092">
        <f>SUM(AG236:AG296)</f>
        <v>0</v>
      </c>
      <c r="AH235" s="1092"/>
      <c r="AI235" s="1092">
        <f>SUM(AI236:AI296)</f>
        <v>0</v>
      </c>
      <c r="AM235" s="1092"/>
      <c r="AR235" s="1080" t="str">
        <f ca="1">IF(AND(NOT(ISBLANK(AJ235)),ISNA(MATCH(ROW(),'System Lookups'!$C$526:$C$539,0))),"Y","N")</f>
        <v>N</v>
      </c>
      <c r="AU235" s="1080" t="e">
        <f t="shared" si="213"/>
        <v>#N/A</v>
      </c>
      <c r="AV235" s="1080" t="str">
        <f t="shared" si="210"/>
        <v/>
      </c>
      <c r="AW235" s="1080">
        <f t="shared" si="214"/>
        <v>0</v>
      </c>
      <c r="AX235" s="1080">
        <f t="shared" si="215"/>
        <v>0</v>
      </c>
      <c r="AY235" s="1080">
        <f t="shared" si="216"/>
        <v>0</v>
      </c>
      <c r="AZ235" s="1080">
        <f t="shared" si="217"/>
        <v>0</v>
      </c>
      <c r="BA235" s="1080">
        <f t="shared" si="218"/>
        <v>0</v>
      </c>
      <c r="BB235" s="1080">
        <f>IF(AND(RACE=1,'Main Creation Page'!$E$6="Well",OR(ISNUMBER(FIND(Experience!$G$11,BE235)),ISNUMBER(FIND(Experience!$G$11,BF235)),ISNUMBER(FIND(Experience!$I$11,BE235)),ISNUMBER(FIND(Experience!$I$11,BF235)))),1,0)</f>
        <v>0</v>
      </c>
      <c r="BC235" s="1080" t="str">
        <f t="shared" si="239"/>
        <v>Crafts &amp; Trades Skills</v>
      </c>
      <c r="BE235" s="1080" t="str">
        <f t="shared" si="211"/>
        <v/>
      </c>
      <c r="BF235" s="1080" t="str">
        <f t="shared" si="212"/>
        <v>Crafts &amp; Trades Skills</v>
      </c>
    </row>
    <row r="236" spans="1:60" ht="11.1" customHeight="1" outlineLevel="1">
      <c r="A236" s="1123" t="s">
        <v>5643</v>
      </c>
      <c r="B236" s="1094"/>
      <c r="C236" s="1094"/>
      <c r="D236" s="1094"/>
      <c r="E236" s="1095" t="s">
        <v>5224</v>
      </c>
      <c r="F236" s="1095" t="str">
        <f>IF(('Main Creation Page'!C3=3),"R","N")</f>
        <v>N</v>
      </c>
      <c r="G236" s="1096">
        <v>0</v>
      </c>
      <c r="H236" s="1096" t="s">
        <v>5224</v>
      </c>
      <c r="I236" s="1096" t="s">
        <v>5224</v>
      </c>
      <c r="J236" s="1096" t="s">
        <v>5224</v>
      </c>
      <c r="K236" s="1096" t="s">
        <v>5224</v>
      </c>
      <c r="L236" s="1096" t="s">
        <v>5224</v>
      </c>
      <c r="M236" s="1096" t="s">
        <v>5224</v>
      </c>
      <c r="N236" s="1096" t="s">
        <v>4631</v>
      </c>
      <c r="O236" s="1097"/>
      <c r="P236" s="1097" t="s">
        <v>780</v>
      </c>
      <c r="Q236" s="1097">
        <f t="shared" ref="Q236:Q244" ca="1" si="279">INDIRECT(P236)</f>
        <v>17</v>
      </c>
      <c r="R236" s="1097"/>
      <c r="S236" s="1028" t="s">
        <v>3616</v>
      </c>
      <c r="T236" s="1097">
        <f t="shared" ref="T236:T244" ca="1" si="280">INDIRECT(S236)</f>
        <v>17</v>
      </c>
      <c r="U236" s="1027">
        <v>4</v>
      </c>
      <c r="V236" s="1027">
        <f t="shared" ref="V236:V244" si="281">IF(AP236+U236&gt;10,10,IF(AP236+U236&lt;1,1,AP236+U236))</f>
        <v>5</v>
      </c>
      <c r="W236" s="1098" t="e">
        <f>IF(OR(I236&lt;&gt;"N",E236="C"),IF(AND(N236&lt;&gt;"T",ISNUMBER(FIND("V",I236))),1,0),NA())+IF(H236="Y",IF(AND(N236="P",ISNUMBER(FIND("Z",I236))),2,1),0)+IF(J236="Y",1,0)+IF(K236="Y",3,0)+IF(BE236="Lore",L236*2+Experience!$D$25,0)+IF(M236="Y",1,0)</f>
        <v>#N/A</v>
      </c>
      <c r="X236" s="1099"/>
      <c r="Y236" s="1100">
        <f ca="1">IF(P236="NS",IFERROR(INDIRECT(S236),NA()),VLOOKUP(INDIRECT(P236)+INDIRECT(S236),'System Lookups'!$A$3:$D$146,2))</f>
        <v>0.1</v>
      </c>
      <c r="Z236" s="1100">
        <f t="shared" ref="Z236:Z244" si="282">IF(ISNA(W236),0,W236*0.03)+IF(X236&gt;0,X236*0.03,0)+IF(AND(ISNA(W236),X236&lt;=0),0,IF(G236&gt;0,G236*0.07,0))</f>
        <v>0</v>
      </c>
      <c r="AA236" s="1101">
        <f t="shared" ref="AA236:AA244" ca="1" si="283">IF(ISNA(Y236),0,Y236)+Z236</f>
        <v>0.1</v>
      </c>
      <c r="AB236" s="1102">
        <f>VLOOKUP(V236,'System Lookups'!$J$55:$P$64,3)</f>
        <v>0.1</v>
      </c>
      <c r="AC236" s="1103">
        <f>VLOOKUP(V236,'System Lookups'!$J$55:$P$64,4)</f>
        <v>0.2</v>
      </c>
      <c r="AD236" s="1104">
        <f t="shared" ref="AD236:AD244" ca="1" si="284">IF(AND(ISBLANK(X236),ISNA(W236)),IF(B236="~",0,AB236+AA236+IF(BB236&gt;0,0.05,0)),AA236+AC236+IF(BB236&gt;0,0.05,0))</f>
        <v>0.2</v>
      </c>
      <c r="AE236" s="1094">
        <f ca="1">(IF(AD236&gt;VLOOKUP(V236,'System Lookups'!$J$55:$P$63,6),(((AD236-VLOOKUP(V236,'System Lookups'!$J$55:$P$63,6))*100)/20),0))+AF236</f>
        <v>0</v>
      </c>
      <c r="AF236" s="1121"/>
      <c r="AG236" s="1092">
        <f t="shared" ref="AG236:AG244" si="285">IF(ISBLANK(X236),0,AQ236*X236+IF(ISNA(W236),1,0))</f>
        <v>0</v>
      </c>
      <c r="AH236" s="1092" t="str">
        <f>IF(X236&lt;=Experience!$R$15+1,"","*")</f>
        <v/>
      </c>
      <c r="AI236" s="1092"/>
      <c r="AJ236" s="1080">
        <f t="shared" ref="AJ236:AJ244" si="286">IF(ISNUMBER(FIND("R",F236)),-1,0)</f>
        <v>0</v>
      </c>
      <c r="AK236" s="1080">
        <f t="shared" ref="AK236:AK244" si="287">IF(F236="s",-2,0)</f>
        <v>0</v>
      </c>
      <c r="AL236" s="1080">
        <f t="shared" ref="AL236:AL244" si="288">IF(AND(H236="Y",OR(N236="P",N236="S")),-1,0)</f>
        <v>0</v>
      </c>
      <c r="AM236" s="1092">
        <f t="shared" ref="AM236:AM244" si="289">IF(J236="y",1,0)</f>
        <v>0</v>
      </c>
      <c r="AN236" s="1080">
        <f t="shared" ref="AN236:AN244" si="290">IF(N236="P",-1,IF(N236="T",1,0))</f>
        <v>1</v>
      </c>
      <c r="AO236" s="1080">
        <f t="shared" ref="AO236:AO244" si="291">IF(ISNUMBER(FIND("Z",I236)),1,0)</f>
        <v>0</v>
      </c>
      <c r="AP236" s="1080">
        <f t="shared" ref="AP236:AP244" si="292">SUM(AJ236:AN236)-AM236</f>
        <v>1</v>
      </c>
      <c r="AQ236" s="1027">
        <f>VLOOKUP(V236,'System Lookups'!$J$55:$P$64,7)</f>
        <v>700</v>
      </c>
      <c r="AR236" s="1080" t="str">
        <f ca="1">IF(AND(NOT(ISBLANK(AJ236)),ISNA(MATCH(ROW(),'System Lookups'!$C$526:$C$539,0))),"Y","N")</f>
        <v>Y</v>
      </c>
      <c r="AS236" s="1080">
        <f t="shared" ref="AS236:AS244" si="293">AG236-AI236</f>
        <v>0</v>
      </c>
      <c r="AU236" s="1080" t="e">
        <f t="shared" si="213"/>
        <v>#N/A</v>
      </c>
      <c r="AV236" s="1080" t="str">
        <f t="shared" si="210"/>
        <v>T</v>
      </c>
      <c r="AW236" s="1080">
        <f t="shared" si="214"/>
        <v>0</v>
      </c>
      <c r="AX236" s="1080">
        <f t="shared" si="215"/>
        <v>0</v>
      </c>
      <c r="AY236" s="1080">
        <f t="shared" si="216"/>
        <v>0</v>
      </c>
      <c r="AZ236" s="1080">
        <f t="shared" si="217"/>
        <v>0</v>
      </c>
      <c r="BA236" s="1080">
        <f t="shared" si="218"/>
        <v>0</v>
      </c>
      <c r="BB236" s="1080">
        <f>IF(AND(RACE=1,'Main Creation Page'!$E$6="Well",OR(ISNUMBER(FIND(Experience!$G$11,BE236)),ISNUMBER(FIND(Experience!$G$11,BF236)),ISNUMBER(FIND(Experience!$I$11,BE236)),ISNUMBER(FIND(Experience!$I$11,BF236)))),1,0)</f>
        <v>0</v>
      </c>
      <c r="BC236" s="1080" t="str">
        <f t="shared" si="239"/>
        <v>Appraising</v>
      </c>
      <c r="BE236" s="1080" t="str">
        <f t="shared" si="211"/>
        <v/>
      </c>
      <c r="BF236" s="1080" t="str">
        <f t="shared" si="212"/>
        <v>Crafts &amp; Trades Skills</v>
      </c>
    </row>
    <row r="237" spans="1:60" ht="11.1" customHeight="1" outlineLevel="1">
      <c r="A237" s="1123" t="s">
        <v>5575</v>
      </c>
      <c r="B237" s="1094"/>
      <c r="C237" s="1094"/>
      <c r="D237" s="1094"/>
      <c r="E237" s="1095" t="s">
        <v>5224</v>
      </c>
      <c r="F237" s="1095" t="str">
        <f>IF(('Main Creation Page'!C4=3),"R","N")</f>
        <v>N</v>
      </c>
      <c r="G237" s="1096">
        <v>0</v>
      </c>
      <c r="H237" s="1096" t="s">
        <v>5224</v>
      </c>
      <c r="I237" s="1096" t="s">
        <v>5224</v>
      </c>
      <c r="J237" s="1096" t="s">
        <v>5224</v>
      </c>
      <c r="K237" s="1096" t="s">
        <v>5224</v>
      </c>
      <c r="L237" s="1096" t="s">
        <v>5224</v>
      </c>
      <c r="M237" s="1096" t="s">
        <v>5224</v>
      </c>
      <c r="N237" s="1096" t="s">
        <v>4631</v>
      </c>
      <c r="O237" s="1028"/>
      <c r="P237" s="1028" t="s">
        <v>3611</v>
      </c>
      <c r="Q237" s="1097">
        <f t="shared" ca="1" si="279"/>
        <v>15</v>
      </c>
      <c r="R237" s="1097"/>
      <c r="S237" s="1028" t="s">
        <v>3616</v>
      </c>
      <c r="T237" s="1097">
        <f t="shared" ca="1" si="280"/>
        <v>17</v>
      </c>
      <c r="U237" s="1027">
        <v>3</v>
      </c>
      <c r="V237" s="1027">
        <f t="shared" si="281"/>
        <v>4</v>
      </c>
      <c r="W237" s="1098" t="e">
        <f>IF(OR(I237&lt;&gt;"N",E237="C"),IF(AND(N237&lt;&gt;"T",ISNUMBER(FIND("V",I237))),1,0),NA())+IF(H237="Y",IF(AND(N237="P",ISNUMBER(FIND("Z",I237))),2,1),0)+IF(J237="Y",1,0)+IF(K237="Y",3,0)+IF(BE237="Lore",L237*2+Experience!$D$25,0)+IF(M237="Y",1,0)</f>
        <v>#N/A</v>
      </c>
      <c r="X237" s="1099"/>
      <c r="Y237" s="1100">
        <f ca="1">IF(P237="NS",IFERROR(INDIRECT(S237),NA()),VLOOKUP(INDIRECT(P237)+INDIRECT(S237),'System Lookups'!$A$3:$D$146,2))</f>
        <v>0.08</v>
      </c>
      <c r="Z237" s="1100">
        <f t="shared" si="282"/>
        <v>0</v>
      </c>
      <c r="AA237" s="1101">
        <f t="shared" ca="1" si="283"/>
        <v>0.08</v>
      </c>
      <c r="AB237" s="1102">
        <f>VLOOKUP(V237,'System Lookups'!$J$55:$P$64,3)</f>
        <v>0.2</v>
      </c>
      <c r="AC237" s="1103">
        <f>VLOOKUP(V237,'System Lookups'!$J$55:$P$64,4)</f>
        <v>0.3</v>
      </c>
      <c r="AD237" s="1104">
        <f t="shared" ca="1" si="284"/>
        <v>0.28000000000000003</v>
      </c>
      <c r="AE237" s="1094">
        <f ca="1">(IF(AD237&gt;VLOOKUP(V237,'System Lookups'!$J$55:$P$63,6),(((AD237-VLOOKUP(V237,'System Lookups'!$J$55:$P$63,6))*100)/20),0))+AF237</f>
        <v>0</v>
      </c>
      <c r="AF237" s="1121"/>
      <c r="AG237" s="1092">
        <f t="shared" si="285"/>
        <v>0</v>
      </c>
      <c r="AH237" s="1092" t="str">
        <f>IF(X237&lt;=Experience!$R$15+1,"","*")</f>
        <v/>
      </c>
      <c r="AI237" s="1092"/>
      <c r="AJ237" s="1080">
        <f t="shared" si="286"/>
        <v>0</v>
      </c>
      <c r="AK237" s="1080">
        <f t="shared" si="287"/>
        <v>0</v>
      </c>
      <c r="AL237" s="1080">
        <f t="shared" si="288"/>
        <v>0</v>
      </c>
      <c r="AM237" s="1092">
        <f t="shared" si="289"/>
        <v>0</v>
      </c>
      <c r="AN237" s="1080">
        <f t="shared" si="290"/>
        <v>1</v>
      </c>
      <c r="AO237" s="1080">
        <f t="shared" si="291"/>
        <v>0</v>
      </c>
      <c r="AP237" s="1080">
        <f t="shared" si="292"/>
        <v>1</v>
      </c>
      <c r="AQ237" s="1027">
        <f>VLOOKUP(V237,'System Lookups'!$J$55:$P$64,7)</f>
        <v>600</v>
      </c>
      <c r="AR237" s="1080" t="str">
        <f ca="1">IF(AND(NOT(ISBLANK(AJ237)),ISNA(MATCH(ROW(),'System Lookups'!$C$526:$C$539,0))),"Y","N")</f>
        <v>Y</v>
      </c>
      <c r="AS237" s="1080">
        <f t="shared" si="293"/>
        <v>0</v>
      </c>
      <c r="AU237" s="1080" t="e">
        <f t="shared" si="213"/>
        <v>#N/A</v>
      </c>
      <c r="AV237" s="1080" t="str">
        <f t="shared" si="210"/>
        <v>T</v>
      </c>
      <c r="AW237" s="1080">
        <f t="shared" si="214"/>
        <v>0</v>
      </c>
      <c r="AX237" s="1080">
        <f t="shared" si="215"/>
        <v>0</v>
      </c>
      <c r="AY237" s="1080">
        <f t="shared" si="216"/>
        <v>0</v>
      </c>
      <c r="AZ237" s="1080">
        <f t="shared" si="217"/>
        <v>0</v>
      </c>
      <c r="BA237" s="1080">
        <f t="shared" si="218"/>
        <v>0</v>
      </c>
      <c r="BB237" s="1080">
        <f>IF(AND(RACE=1,'Main Creation Page'!$E$6="Well",OR(ISNUMBER(FIND(Experience!$G$11,BE237)),ISNUMBER(FIND(Experience!$G$11,BF237)),ISNUMBER(FIND(Experience!$I$11,BE237)),ISNUMBER(FIND(Experience!$I$11,BF237)))),1,0)</f>
        <v>0</v>
      </c>
      <c r="BC237" s="1080" t="str">
        <f t="shared" si="239"/>
        <v>Basket Weaving</v>
      </c>
      <c r="BE237" s="1080" t="str">
        <f t="shared" si="211"/>
        <v/>
      </c>
      <c r="BF237" s="1080" t="str">
        <f t="shared" si="212"/>
        <v>Crafts &amp; Trades Skills</v>
      </c>
    </row>
    <row r="238" spans="1:60" ht="11.1" customHeight="1" outlineLevel="1">
      <c r="A238" s="1117" t="s">
        <v>2488</v>
      </c>
      <c r="B238" s="1094"/>
      <c r="C238" s="1094"/>
      <c r="D238" s="1094"/>
      <c r="E238" s="1095" t="s">
        <v>5224</v>
      </c>
      <c r="F238" s="1095" t="str">
        <f>IF(('Main Creation Page'!C4=3),"R","N")</f>
        <v>N</v>
      </c>
      <c r="G238" s="1096">
        <v>0</v>
      </c>
      <c r="H238" s="1096" t="s">
        <v>5224</v>
      </c>
      <c r="I238" s="1096" t="s">
        <v>5224</v>
      </c>
      <c r="J238" s="1096" t="s">
        <v>5224</v>
      </c>
      <c r="K238" s="1096" t="s">
        <v>5224</v>
      </c>
      <c r="L238" s="1096" t="s">
        <v>5224</v>
      </c>
      <c r="M238" s="1096" t="s">
        <v>5224</v>
      </c>
      <c r="N238" s="1096" t="s">
        <v>4631</v>
      </c>
      <c r="O238" s="1028"/>
      <c r="P238" s="1028" t="s">
        <v>3615</v>
      </c>
      <c r="Q238" s="1097">
        <f t="shared" ca="1" si="279"/>
        <v>20</v>
      </c>
      <c r="R238" s="1028"/>
      <c r="S238" s="1028" t="s">
        <v>3614</v>
      </c>
      <c r="T238" s="1097">
        <f t="shared" ca="1" si="280"/>
        <v>15</v>
      </c>
      <c r="U238" s="1027">
        <v>3</v>
      </c>
      <c r="V238" s="1027">
        <f t="shared" si="281"/>
        <v>4</v>
      </c>
      <c r="W238" s="1098" t="e">
        <f>IF(OR(I238&lt;&gt;"N",E238="C"),IF(AND(N238&lt;&gt;"T",ISNUMBER(FIND("V",I238))),1,0),NA())+IF(H238="Y",IF(AND(N238="P",ISNUMBER(FIND("Z",I238))),2,1),0)+IF(J238="Y",1,0)+IF(K238="Y",3,0)+IF(BE238="Lore",L238*2+Experience!$D$25,0)+IF(M238="Y",1,0)</f>
        <v>#N/A</v>
      </c>
      <c r="X238" s="1099"/>
      <c r="Y238" s="1100">
        <f ca="1">IF(P238="NS",IFERROR(INDIRECT(S238),NA()),VLOOKUP(INDIRECT(P238)+INDIRECT(S238),'System Lookups'!$A$3:$D$146,2))</f>
        <v>0.12</v>
      </c>
      <c r="Z238" s="1100">
        <f t="shared" si="282"/>
        <v>0</v>
      </c>
      <c r="AA238" s="1101">
        <f t="shared" ca="1" si="283"/>
        <v>0.12</v>
      </c>
      <c r="AB238" s="1102">
        <f>VLOOKUP(V238,'System Lookups'!$J$55:$P$64,3)</f>
        <v>0.2</v>
      </c>
      <c r="AC238" s="1103">
        <f>VLOOKUP(V238,'System Lookups'!$J$55:$P$64,4)</f>
        <v>0.3</v>
      </c>
      <c r="AD238" s="1104">
        <f t="shared" ca="1" si="284"/>
        <v>0.32</v>
      </c>
      <c r="AE238" s="1094">
        <f ca="1">(IF(AD238&gt;VLOOKUP(V238,'System Lookups'!$J$55:$P$63,6),(((AD238-VLOOKUP(V238,'System Lookups'!$J$55:$P$63,6))*100)/20),0))+AF238</f>
        <v>0</v>
      </c>
      <c r="AF238" s="1121"/>
      <c r="AG238" s="1092">
        <f t="shared" si="285"/>
        <v>0</v>
      </c>
      <c r="AH238" s="1092" t="str">
        <f>IF(X238&lt;=Experience!$R$15+1,"","*")</f>
        <v/>
      </c>
      <c r="AI238" s="1092"/>
      <c r="AJ238" s="1080">
        <f t="shared" si="286"/>
        <v>0</v>
      </c>
      <c r="AK238" s="1080">
        <f t="shared" si="287"/>
        <v>0</v>
      </c>
      <c r="AL238" s="1080">
        <f t="shared" si="288"/>
        <v>0</v>
      </c>
      <c r="AM238" s="1092">
        <f t="shared" si="289"/>
        <v>0</v>
      </c>
      <c r="AN238" s="1080">
        <f t="shared" si="290"/>
        <v>1</v>
      </c>
      <c r="AO238" s="1080">
        <f t="shared" si="291"/>
        <v>0</v>
      </c>
      <c r="AP238" s="1080">
        <f t="shared" si="292"/>
        <v>1</v>
      </c>
      <c r="AQ238" s="1027">
        <f>VLOOKUP(V238,'System Lookups'!$J$55:$P$64,7)</f>
        <v>600</v>
      </c>
      <c r="AR238" s="1080" t="str">
        <f ca="1">IF(AND(NOT(ISBLANK(AJ238)),ISNA(MATCH(ROW(),'System Lookups'!$C$526:$C$539,0))),"Y","N")</f>
        <v>Y</v>
      </c>
      <c r="AS238" s="1080">
        <f t="shared" si="293"/>
        <v>0</v>
      </c>
      <c r="AU238" s="1080" t="e">
        <f t="shared" si="213"/>
        <v>#N/A</v>
      </c>
      <c r="AV238" s="1080" t="str">
        <f t="shared" si="210"/>
        <v>T</v>
      </c>
      <c r="AW238" s="1080">
        <f t="shared" si="214"/>
        <v>0</v>
      </c>
      <c r="AX238" s="1080">
        <f t="shared" si="215"/>
        <v>0</v>
      </c>
      <c r="AY238" s="1080">
        <f t="shared" si="216"/>
        <v>0</v>
      </c>
      <c r="AZ238" s="1080">
        <f t="shared" si="217"/>
        <v>0</v>
      </c>
      <c r="BA238" s="1080">
        <f t="shared" si="218"/>
        <v>0</v>
      </c>
      <c r="BB238" s="1080">
        <f>IF(AND(RACE=1,'Main Creation Page'!$E$6="Well",OR(ISNUMBER(FIND(Experience!$G$11,BE238)),ISNUMBER(FIND(Experience!$G$11,BF238)),ISNUMBER(FIND(Experience!$I$11,BE238)),ISNUMBER(FIND(Experience!$I$11,BF238)))),1,0)</f>
        <v>0</v>
      </c>
      <c r="BC238" s="1080" t="str">
        <f t="shared" si="239"/>
        <v>Blacksmithing</v>
      </c>
      <c r="BE238" s="1080" t="str">
        <f t="shared" si="211"/>
        <v/>
      </c>
      <c r="BF238" s="1080" t="str">
        <f t="shared" si="212"/>
        <v>Crafts &amp; Trades Skills</v>
      </c>
    </row>
    <row r="239" spans="1:60" ht="11.1" customHeight="1" outlineLevel="1">
      <c r="A239" s="1123" t="s">
        <v>5737</v>
      </c>
      <c r="B239" s="1135" t="s">
        <v>1942</v>
      </c>
      <c r="C239" s="1135"/>
      <c r="D239" s="1135"/>
      <c r="E239" s="1095" t="s">
        <v>5224</v>
      </c>
      <c r="F239" s="1095" t="s">
        <v>5224</v>
      </c>
      <c r="G239" s="1096">
        <v>0</v>
      </c>
      <c r="H239" s="1096" t="s">
        <v>5224</v>
      </c>
      <c r="I239" s="1096" t="s">
        <v>5224</v>
      </c>
      <c r="J239" s="1096" t="s">
        <v>5224</v>
      </c>
      <c r="K239" s="1096" t="s">
        <v>5224</v>
      </c>
      <c r="L239" s="1096" t="s">
        <v>5224</v>
      </c>
      <c r="M239" s="1096" t="s">
        <v>5224</v>
      </c>
      <c r="N239" s="1096" t="s">
        <v>4631</v>
      </c>
      <c r="O239" s="1028"/>
      <c r="P239" s="1028" t="s">
        <v>3616</v>
      </c>
      <c r="Q239" s="1097">
        <f t="shared" ca="1" si="279"/>
        <v>17</v>
      </c>
      <c r="R239" s="1028"/>
      <c r="S239" s="1028" t="s">
        <v>3611</v>
      </c>
      <c r="T239" s="1097">
        <f t="shared" ca="1" si="280"/>
        <v>15</v>
      </c>
      <c r="U239" s="1027">
        <v>4</v>
      </c>
      <c r="V239" s="1027">
        <f t="shared" si="281"/>
        <v>5</v>
      </c>
      <c r="W239" s="1098" t="e">
        <f>IF(OR(I239&lt;&gt;"N",E239="C"),IF(AND(N239&lt;&gt;"T",ISNUMBER(FIND("V",I239))),1,0),NA())+IF(H239="Y",IF(AND(N239="P",ISNUMBER(FIND("Z",I239))),2,1),0)+IF(J239="Y",1,0)+IF(K239="Y",3,0)+IF(BE239="Lore",L239*2+Experience!$D$25,0)+IF(M239="Y",1,0)</f>
        <v>#N/A</v>
      </c>
      <c r="X239" s="1099"/>
      <c r="Y239" s="1100">
        <f ca="1">IF(P239="NS",IFERROR(INDIRECT(S239),NA()),VLOOKUP(INDIRECT(P239)+INDIRECT(S239),'System Lookups'!$A$3:$D$146,2))</f>
        <v>0.08</v>
      </c>
      <c r="Z239" s="1100">
        <f t="shared" si="282"/>
        <v>0</v>
      </c>
      <c r="AA239" s="1101">
        <f t="shared" ref="AA239" ca="1" si="294">IF(ISNA(Y239),0,Y239)+Z239</f>
        <v>0.08</v>
      </c>
      <c r="AB239" s="1102">
        <f>VLOOKUP(V239,'System Lookups'!$J$55:$P$64,3)</f>
        <v>0.1</v>
      </c>
      <c r="AC239" s="1103">
        <f>VLOOKUP(V239,'System Lookups'!$J$55:$P$64,4)</f>
        <v>0.2</v>
      </c>
      <c r="AD239" s="1104">
        <f t="shared" si="284"/>
        <v>0</v>
      </c>
      <c r="AE239" s="1094">
        <f>(IF(AD239&gt;VLOOKUP(V239,'System Lookups'!$J$55:$P$63,6),(((AD239-VLOOKUP(V239,'System Lookups'!$J$55:$P$63,6))*100)/20),0))+AF239</f>
        <v>0</v>
      </c>
      <c r="AF239" s="1121"/>
      <c r="AG239" s="1092">
        <f t="shared" si="285"/>
        <v>0</v>
      </c>
      <c r="AH239" s="1092" t="str">
        <f>IF(X239&lt;=Experience!$R$15+1,"","*")</f>
        <v/>
      </c>
      <c r="AI239" s="1092"/>
      <c r="AJ239" s="1080">
        <f t="shared" si="286"/>
        <v>0</v>
      </c>
      <c r="AK239" s="1080">
        <f t="shared" ref="AK239" si="295">IF(F239="s",-2,0)</f>
        <v>0</v>
      </c>
      <c r="AL239" s="1080">
        <f t="shared" si="288"/>
        <v>0</v>
      </c>
      <c r="AM239" s="1092">
        <f t="shared" ref="AM239" si="296">IF(J239="y",1,0)</f>
        <v>0</v>
      </c>
      <c r="AN239" s="1080">
        <f t="shared" ref="AN239" si="297">IF(N239="P",-1,IF(N239="T",1,0))</f>
        <v>1</v>
      </c>
      <c r="AO239" s="1080">
        <f t="shared" si="291"/>
        <v>0</v>
      </c>
      <c r="AP239" s="1080">
        <f t="shared" si="292"/>
        <v>1</v>
      </c>
      <c r="AQ239" s="1027">
        <f>VLOOKUP(V239,'System Lookups'!$J$55:$P$64,7)</f>
        <v>700</v>
      </c>
      <c r="AR239" s="1080" t="str">
        <f ca="1">IF(AND(NOT(ISBLANK(AJ239)),ISNA(MATCH(ROW(),'System Lookups'!$C$526:$C$539,0))),"Y","N")</f>
        <v>Y</v>
      </c>
      <c r="AS239" s="1080">
        <f t="shared" si="293"/>
        <v>0</v>
      </c>
      <c r="AT239" s="1136"/>
      <c r="AU239" s="1080" t="e">
        <f t="shared" si="213"/>
        <v>#N/A</v>
      </c>
      <c r="AV239" s="1080" t="str">
        <f t="shared" si="210"/>
        <v>T</v>
      </c>
      <c r="AW239" s="1080">
        <f t="shared" si="214"/>
        <v>0</v>
      </c>
      <c r="AX239" s="1080">
        <f t="shared" si="215"/>
        <v>0</v>
      </c>
      <c r="AY239" s="1080">
        <f t="shared" si="216"/>
        <v>0</v>
      </c>
      <c r="AZ239" s="1080">
        <f t="shared" si="217"/>
        <v>0</v>
      </c>
      <c r="BA239" s="1080">
        <f t="shared" si="218"/>
        <v>0</v>
      </c>
      <c r="BB239" s="1080">
        <f>IF(AND(RACE=1,'Main Creation Page'!$E$6="Well",OR(ISNUMBER(FIND(Experience!$G$11,BE239)),ISNUMBER(FIND(Experience!$G$11,BF239)),ISNUMBER(FIND(Experience!$I$11,BE239)),ISNUMBER(FIND(Experience!$I$11,BF239)))),1,0)</f>
        <v>0</v>
      </c>
      <c r="BC239" s="1080" t="str">
        <f t="shared" si="239"/>
        <v>Block Printing</v>
      </c>
      <c r="BE239" s="1080" t="str">
        <f t="shared" si="211"/>
        <v/>
      </c>
      <c r="BF239" s="1080" t="str">
        <f t="shared" si="212"/>
        <v>Crafts &amp; Trades Skills</v>
      </c>
      <c r="BG239" s="1137"/>
      <c r="BH239" s="1137"/>
    </row>
    <row r="240" spans="1:60" ht="11.1" customHeight="1" outlineLevel="1">
      <c r="A240" s="1123" t="s">
        <v>5644</v>
      </c>
      <c r="B240" s="1135" t="s">
        <v>1942</v>
      </c>
      <c r="C240" s="1135"/>
      <c r="D240" s="1135"/>
      <c r="E240" s="1095" t="s">
        <v>5224</v>
      </c>
      <c r="F240" s="1095" t="s">
        <v>5224</v>
      </c>
      <c r="G240" s="1096">
        <v>0</v>
      </c>
      <c r="H240" s="1096" t="s">
        <v>5224</v>
      </c>
      <c r="I240" s="1096" t="s">
        <v>5224</v>
      </c>
      <c r="J240" s="1096" t="s">
        <v>5224</v>
      </c>
      <c r="K240" s="1096" t="s">
        <v>5224</v>
      </c>
      <c r="L240" s="1096" t="s">
        <v>5224</v>
      </c>
      <c r="M240" s="1096" t="s">
        <v>5224</v>
      </c>
      <c r="N240" s="1096" t="s">
        <v>4631</v>
      </c>
      <c r="O240" s="1028"/>
      <c r="P240" s="1028" t="s">
        <v>780</v>
      </c>
      <c r="Q240" s="1097">
        <f t="shared" ca="1" si="279"/>
        <v>17</v>
      </c>
      <c r="R240" s="1028"/>
      <c r="S240" s="1028" t="s">
        <v>3611</v>
      </c>
      <c r="T240" s="1097">
        <f t="shared" ca="1" si="280"/>
        <v>15</v>
      </c>
      <c r="U240" s="1027">
        <v>4</v>
      </c>
      <c r="V240" s="1027">
        <f t="shared" si="281"/>
        <v>5</v>
      </c>
      <c r="W240" s="1098" t="e">
        <f>IF(OR(I240&lt;&gt;"N",E240="C"),IF(AND(N240&lt;&gt;"T",ISNUMBER(FIND("V",I240))),1,0),NA())+IF(H240="Y",IF(AND(N240="P",ISNUMBER(FIND("Z",I240))),2,1),0)+IF(J240="Y",1,0)+IF(K240="Y",3,0)+IF(BE240="Lore",L240*2+Experience!$D$25,0)+IF(M240="Y",1,0)</f>
        <v>#N/A</v>
      </c>
      <c r="X240" s="1099"/>
      <c r="Y240" s="1100">
        <f ca="1">IF(P240="NS",IFERROR(INDIRECT(S240),NA()),VLOOKUP(INDIRECT(P240)+INDIRECT(S240),'System Lookups'!$A$3:$D$146,2))</f>
        <v>0.08</v>
      </c>
      <c r="Z240" s="1100">
        <f t="shared" si="282"/>
        <v>0</v>
      </c>
      <c r="AA240" s="1101">
        <f t="shared" ca="1" si="283"/>
        <v>0.08</v>
      </c>
      <c r="AB240" s="1102">
        <f>VLOOKUP(V240,'System Lookups'!$J$55:$P$64,3)</f>
        <v>0.1</v>
      </c>
      <c r="AC240" s="1103">
        <f>VLOOKUP(V240,'System Lookups'!$J$55:$P$64,4)</f>
        <v>0.2</v>
      </c>
      <c r="AD240" s="1104">
        <f t="shared" si="284"/>
        <v>0</v>
      </c>
      <c r="AE240" s="1094">
        <f>(IF(AD240&gt;VLOOKUP(V240,'System Lookups'!$J$55:$P$63,6),(((AD240-VLOOKUP(V240,'System Lookups'!$J$55:$P$63,6))*100)/20),0))+AF240</f>
        <v>0</v>
      </c>
      <c r="AF240" s="1121"/>
      <c r="AG240" s="1092">
        <f t="shared" si="285"/>
        <v>0</v>
      </c>
      <c r="AH240" s="1092" t="str">
        <f>IF(X240&lt;=Experience!$R$15+1,"","*")</f>
        <v/>
      </c>
      <c r="AI240" s="1092"/>
      <c r="AJ240" s="1080">
        <f t="shared" si="286"/>
        <v>0</v>
      </c>
      <c r="AK240" s="1080">
        <f t="shared" si="287"/>
        <v>0</v>
      </c>
      <c r="AL240" s="1080">
        <f t="shared" si="288"/>
        <v>0</v>
      </c>
      <c r="AM240" s="1092">
        <f t="shared" si="289"/>
        <v>0</v>
      </c>
      <c r="AN240" s="1080">
        <f t="shared" si="290"/>
        <v>1</v>
      </c>
      <c r="AO240" s="1080">
        <f t="shared" si="291"/>
        <v>0</v>
      </c>
      <c r="AP240" s="1080">
        <f t="shared" si="292"/>
        <v>1</v>
      </c>
      <c r="AQ240" s="1027">
        <f>VLOOKUP(V240,'System Lookups'!$J$55:$P$64,7)</f>
        <v>700</v>
      </c>
      <c r="AR240" s="1080" t="str">
        <f ca="1">IF(AND(NOT(ISBLANK(AJ240)),ISNA(MATCH(ROW(),'System Lookups'!$C$526:$C$539,0))),"Y","N")</f>
        <v>Y</v>
      </c>
      <c r="AS240" s="1080">
        <f t="shared" si="293"/>
        <v>0</v>
      </c>
      <c r="AT240" s="1136"/>
      <c r="AU240" s="1080" t="e">
        <f t="shared" si="213"/>
        <v>#N/A</v>
      </c>
      <c r="AV240" s="1080" t="str">
        <f t="shared" si="210"/>
        <v>T</v>
      </c>
      <c r="AW240" s="1080">
        <f t="shared" si="214"/>
        <v>0</v>
      </c>
      <c r="AX240" s="1080">
        <f t="shared" si="215"/>
        <v>0</v>
      </c>
      <c r="AY240" s="1080">
        <f t="shared" si="216"/>
        <v>0</v>
      </c>
      <c r="AZ240" s="1080">
        <f t="shared" si="217"/>
        <v>0</v>
      </c>
      <c r="BA240" s="1080">
        <f t="shared" si="218"/>
        <v>0</v>
      </c>
      <c r="BB240" s="1080">
        <f>IF(AND(RACE=1,'Main Creation Page'!$E$6="Well",OR(ISNUMBER(FIND(Experience!$G$11,BE240)),ISNUMBER(FIND(Experience!$G$11,BF240)),ISNUMBER(FIND(Experience!$I$11,BE240)),ISNUMBER(FIND(Experience!$I$11,BF240)))),1,0)</f>
        <v>0</v>
      </c>
      <c r="BC240" s="1080" t="str">
        <f t="shared" si="239"/>
        <v>Bookbinding</v>
      </c>
      <c r="BE240" s="1080" t="str">
        <f t="shared" si="211"/>
        <v/>
      </c>
      <c r="BF240" s="1080" t="str">
        <f t="shared" si="212"/>
        <v>Crafts &amp; Trades Skills</v>
      </c>
      <c r="BG240" s="1137"/>
      <c r="BH240" s="1137"/>
    </row>
    <row r="241" spans="1:58" ht="11.1" customHeight="1" outlineLevel="1">
      <c r="A241" s="1117" t="s">
        <v>745</v>
      </c>
      <c r="B241" s="1094" t="s">
        <v>1942</v>
      </c>
      <c r="C241" s="1094"/>
      <c r="D241" s="1094"/>
      <c r="E241" s="1095" t="s">
        <v>5224</v>
      </c>
      <c r="F241" s="1095" t="s">
        <v>5224</v>
      </c>
      <c r="G241" s="1096">
        <v>0</v>
      </c>
      <c r="H241" s="1096" t="s">
        <v>5224</v>
      </c>
      <c r="I241" s="1096" t="s">
        <v>5224</v>
      </c>
      <c r="J241" s="1096" t="s">
        <v>5224</v>
      </c>
      <c r="K241" s="1096" t="s">
        <v>5224</v>
      </c>
      <c r="L241" s="1096" t="s">
        <v>5224</v>
      </c>
      <c r="M241" s="1096" t="s">
        <v>5224</v>
      </c>
      <c r="N241" s="1096" t="s">
        <v>4631</v>
      </c>
      <c r="O241" s="1028"/>
      <c r="P241" s="1028" t="s">
        <v>780</v>
      </c>
      <c r="Q241" s="1097">
        <f t="shared" ca="1" si="279"/>
        <v>17</v>
      </c>
      <c r="R241" s="1028"/>
      <c r="S241" s="1028" t="s">
        <v>3611</v>
      </c>
      <c r="T241" s="1097">
        <f t="shared" ca="1" si="280"/>
        <v>15</v>
      </c>
      <c r="U241" s="1027">
        <v>4</v>
      </c>
      <c r="V241" s="1027">
        <f t="shared" si="281"/>
        <v>5</v>
      </c>
      <c r="W241" s="1098" t="e">
        <f>IF(OR(I241&lt;&gt;"N",E241="C"),IF(AND(N241&lt;&gt;"T",ISNUMBER(FIND("V",I241))),1,0),NA())+IF(H241="Y",IF(AND(N241="P",ISNUMBER(FIND("Z",I241))),2,1),0)+IF(J241="Y",1,0)+IF(K241="Y",3,0)+IF(BE241="Lore",L241*2+Experience!$D$25,0)+IF(M241="Y",1,0)</f>
        <v>#N/A</v>
      </c>
      <c r="X241" s="1099"/>
      <c r="Y241" s="1100">
        <f ca="1">IF(P241="NS",IFERROR(INDIRECT(S241),NA()),VLOOKUP(INDIRECT(P241)+INDIRECT(S241),'System Lookups'!$A$3:$D$146,2))</f>
        <v>0.08</v>
      </c>
      <c r="Z241" s="1100">
        <f t="shared" si="282"/>
        <v>0</v>
      </c>
      <c r="AA241" s="1101">
        <f t="shared" ca="1" si="283"/>
        <v>0.08</v>
      </c>
      <c r="AB241" s="1102">
        <f>VLOOKUP(V241,'System Lookups'!$J$55:$P$64,3)</f>
        <v>0.1</v>
      </c>
      <c r="AC241" s="1103">
        <f>VLOOKUP(V241,'System Lookups'!$J$55:$P$64,4)</f>
        <v>0.2</v>
      </c>
      <c r="AD241" s="1104">
        <f t="shared" si="284"/>
        <v>0</v>
      </c>
      <c r="AE241" s="1094">
        <f>(IF(AD241&gt;VLOOKUP(V241,'System Lookups'!$J$55:$P$63,6),(((AD241-VLOOKUP(V241,'System Lookups'!$J$55:$P$63,6))*100)/20),0))+AF241</f>
        <v>0</v>
      </c>
      <c r="AF241" s="1121"/>
      <c r="AG241" s="1092">
        <f t="shared" si="285"/>
        <v>0</v>
      </c>
      <c r="AH241" s="1092" t="str">
        <f>IF(X241&lt;=Experience!$R$15+1,"","*")</f>
        <v/>
      </c>
      <c r="AI241" s="1092"/>
      <c r="AJ241" s="1080">
        <f t="shared" si="286"/>
        <v>0</v>
      </c>
      <c r="AK241" s="1080">
        <f t="shared" si="287"/>
        <v>0</v>
      </c>
      <c r="AL241" s="1080">
        <f t="shared" si="288"/>
        <v>0</v>
      </c>
      <c r="AM241" s="1092">
        <f t="shared" si="289"/>
        <v>0</v>
      </c>
      <c r="AN241" s="1080">
        <f t="shared" si="290"/>
        <v>1</v>
      </c>
      <c r="AO241" s="1080">
        <f t="shared" si="291"/>
        <v>0</v>
      </c>
      <c r="AP241" s="1080">
        <f t="shared" si="292"/>
        <v>1</v>
      </c>
      <c r="AQ241" s="1027">
        <f>VLOOKUP(V241,'System Lookups'!$J$55:$P$64,7)</f>
        <v>700</v>
      </c>
      <c r="AR241" s="1080" t="str">
        <f ca="1">IF(AND(NOT(ISBLANK(AJ241)),ISNA(MATCH(ROW(),'System Lookups'!$C$526:$C$539,0))),"Y","N")</f>
        <v>Y</v>
      </c>
      <c r="AS241" s="1080">
        <f t="shared" si="293"/>
        <v>0</v>
      </c>
      <c r="AU241" s="1080" t="e">
        <f t="shared" si="213"/>
        <v>#N/A</v>
      </c>
      <c r="AV241" s="1080" t="str">
        <f t="shared" si="210"/>
        <v>T</v>
      </c>
      <c r="AW241" s="1080">
        <f t="shared" si="214"/>
        <v>0</v>
      </c>
      <c r="AX241" s="1080">
        <f t="shared" si="215"/>
        <v>0</v>
      </c>
      <c r="AY241" s="1080">
        <f t="shared" si="216"/>
        <v>0</v>
      </c>
      <c r="AZ241" s="1080">
        <f t="shared" si="217"/>
        <v>0</v>
      </c>
      <c r="BA241" s="1080">
        <f t="shared" si="218"/>
        <v>0</v>
      </c>
      <c r="BB241" s="1080">
        <f>IF(AND(RACE=1,'Main Creation Page'!$E$6="Well",OR(ISNUMBER(FIND(Experience!$G$11,BE241)),ISNUMBER(FIND(Experience!$G$11,BF241)),ISNUMBER(FIND(Experience!$I$11,BE241)),ISNUMBER(FIND(Experience!$I$11,BF241)))),1,0)</f>
        <v>0</v>
      </c>
      <c r="BC241" s="1080" t="str">
        <f t="shared" si="239"/>
        <v>Bowery &amp; Fletching</v>
      </c>
      <c r="BE241" s="1080" t="str">
        <f t="shared" si="211"/>
        <v/>
      </c>
      <c r="BF241" s="1080" t="str">
        <f t="shared" si="212"/>
        <v>Crafts &amp; Trades Skills</v>
      </c>
    </row>
    <row r="242" spans="1:58" ht="11.1" customHeight="1" outlineLevel="1">
      <c r="A242" s="1123" t="s">
        <v>5652</v>
      </c>
      <c r="B242" s="1094"/>
      <c r="C242" s="1094"/>
      <c r="D242" s="1094"/>
      <c r="E242" s="1095" t="s">
        <v>5224</v>
      </c>
      <c r="F242" s="1095" t="str">
        <f>IF(('Main Creation Page'!C3=3),"R","N")</f>
        <v>N</v>
      </c>
      <c r="G242" s="1096">
        <v>0</v>
      </c>
      <c r="H242" s="1096" t="s">
        <v>5224</v>
      </c>
      <c r="I242" s="1096" t="s">
        <v>5224</v>
      </c>
      <c r="J242" s="1096" t="s">
        <v>5224</v>
      </c>
      <c r="K242" s="1096" t="s">
        <v>5224</v>
      </c>
      <c r="L242" s="1096" t="s">
        <v>5224</v>
      </c>
      <c r="M242" s="1096" t="s">
        <v>5224</v>
      </c>
      <c r="N242" s="1096" t="s">
        <v>4631</v>
      </c>
      <c r="O242" s="1028"/>
      <c r="P242" s="1028" t="s">
        <v>3615</v>
      </c>
      <c r="Q242" s="1097">
        <f t="shared" ca="1" si="279"/>
        <v>20</v>
      </c>
      <c r="R242" s="1028"/>
      <c r="S242" s="1028" t="s">
        <v>3614</v>
      </c>
      <c r="T242" s="1097">
        <f t="shared" ca="1" si="280"/>
        <v>15</v>
      </c>
      <c r="U242" s="1027">
        <v>3</v>
      </c>
      <c r="V242" s="1027">
        <f t="shared" si="281"/>
        <v>4</v>
      </c>
      <c r="W242" s="1098" t="e">
        <f>IF(OR(I242&lt;&gt;"N",E242="C"),IF(AND(N242&lt;&gt;"T",ISNUMBER(FIND("V",I242))),1,0),NA())+IF(H242="Y",IF(AND(N242="P",ISNUMBER(FIND("Z",I242))),2,1),0)+IF(J242="Y",1,0)+IF(K242="Y",3,0)+IF(BE242="Lore",L242*2+Experience!$D$25,0)+IF(M242="Y",1,0)</f>
        <v>#N/A</v>
      </c>
      <c r="X242" s="1099"/>
      <c r="Y242" s="1100">
        <f ca="1">IF(P242="NS",IFERROR(INDIRECT(S242),NA()),VLOOKUP(INDIRECT(P242)+INDIRECT(S242),'System Lookups'!$A$3:$D$146,2))</f>
        <v>0.12</v>
      </c>
      <c r="Z242" s="1100">
        <f t="shared" si="282"/>
        <v>0</v>
      </c>
      <c r="AA242" s="1101">
        <f t="shared" ca="1" si="283"/>
        <v>0.12</v>
      </c>
      <c r="AB242" s="1102">
        <f>VLOOKUP(V242,'System Lookups'!$J$55:$P$64,3)</f>
        <v>0.2</v>
      </c>
      <c r="AC242" s="1103">
        <f>VLOOKUP(V242,'System Lookups'!$J$55:$P$64,4)</f>
        <v>0.3</v>
      </c>
      <c r="AD242" s="1104">
        <f t="shared" ca="1" si="284"/>
        <v>0.32</v>
      </c>
      <c r="AE242" s="1094">
        <f ca="1">(IF(AD242&gt;VLOOKUP(V242,'System Lookups'!$J$55:$P$63,6),(((AD242-VLOOKUP(V242,'System Lookups'!$J$55:$P$63,6))*100)/20),0))+AF242</f>
        <v>0</v>
      </c>
      <c r="AF242" s="1121"/>
      <c r="AG242" s="1092">
        <f t="shared" si="285"/>
        <v>0</v>
      </c>
      <c r="AH242" s="1092" t="str">
        <f>IF(X242&lt;=Experience!$R$15+1,"","*")</f>
        <v/>
      </c>
      <c r="AI242" s="1092"/>
      <c r="AJ242" s="1080">
        <f t="shared" si="286"/>
        <v>0</v>
      </c>
      <c r="AK242" s="1080">
        <f t="shared" si="287"/>
        <v>0</v>
      </c>
      <c r="AL242" s="1080">
        <f t="shared" si="288"/>
        <v>0</v>
      </c>
      <c r="AM242" s="1092">
        <f t="shared" si="289"/>
        <v>0</v>
      </c>
      <c r="AN242" s="1080">
        <f t="shared" si="290"/>
        <v>1</v>
      </c>
      <c r="AO242" s="1080">
        <f t="shared" si="291"/>
        <v>0</v>
      </c>
      <c r="AP242" s="1080">
        <f t="shared" si="292"/>
        <v>1</v>
      </c>
      <c r="AQ242" s="1027">
        <f>VLOOKUP(V242,'System Lookups'!$J$55:$P$64,7)</f>
        <v>600</v>
      </c>
      <c r="AR242" s="1080" t="str">
        <f ca="1">IF(AND(NOT(ISBLANK(AJ242)),ISNA(MATCH(ROW(),'System Lookups'!$C$526:$C$539,0))),"Y","N")</f>
        <v>Y</v>
      </c>
      <c r="AS242" s="1080">
        <f t="shared" si="293"/>
        <v>0</v>
      </c>
      <c r="AU242" s="1080" t="e">
        <f t="shared" si="213"/>
        <v>#N/A</v>
      </c>
      <c r="AV242" s="1080" t="str">
        <f t="shared" si="210"/>
        <v>T</v>
      </c>
      <c r="AW242" s="1080">
        <f t="shared" si="214"/>
        <v>0</v>
      </c>
      <c r="AX242" s="1080">
        <f t="shared" si="215"/>
        <v>0</v>
      </c>
      <c r="AY242" s="1080">
        <f t="shared" si="216"/>
        <v>0</v>
      </c>
      <c r="AZ242" s="1080">
        <f t="shared" si="217"/>
        <v>0</v>
      </c>
      <c r="BA242" s="1080">
        <f t="shared" si="218"/>
        <v>0</v>
      </c>
      <c r="BB242" s="1080">
        <f>IF(AND(RACE=1,'Main Creation Page'!$E$6="Well",OR(ISNUMBER(FIND(Experience!$G$11,BE242)),ISNUMBER(FIND(Experience!$G$11,BF242)),ISNUMBER(FIND(Experience!$I$11,BE242)),ISNUMBER(FIND(Experience!$I$11,BF242)))),1,0)</f>
        <v>0</v>
      </c>
      <c r="BC242" s="1080" t="str">
        <f t="shared" si="239"/>
        <v>Brick Making</v>
      </c>
      <c r="BE242" s="1080" t="str">
        <f t="shared" si="211"/>
        <v/>
      </c>
      <c r="BF242" s="1080" t="str">
        <f t="shared" si="212"/>
        <v>Crafts &amp; Trades Skills</v>
      </c>
    </row>
    <row r="243" spans="1:58" ht="11.1" customHeight="1" outlineLevel="1">
      <c r="A243" s="1123" t="s">
        <v>5653</v>
      </c>
      <c r="B243" s="1094"/>
      <c r="C243" s="1094"/>
      <c r="D243" s="1094"/>
      <c r="E243" s="1095" t="s">
        <v>5224</v>
      </c>
      <c r="F243" s="1095" t="str">
        <f>IF(('Main Creation Page'!C4=3),"R","N")</f>
        <v>N</v>
      </c>
      <c r="G243" s="1096">
        <v>0</v>
      </c>
      <c r="H243" s="1096" t="s">
        <v>5224</v>
      </c>
      <c r="I243" s="1096" t="s">
        <v>5224</v>
      </c>
      <c r="J243" s="1096" t="s">
        <v>5224</v>
      </c>
      <c r="K243" s="1096" t="s">
        <v>5224</v>
      </c>
      <c r="L243" s="1096" t="s">
        <v>5224</v>
      </c>
      <c r="M243" s="1096" t="s">
        <v>5224</v>
      </c>
      <c r="N243" s="1096" t="s">
        <v>4631</v>
      </c>
      <c r="O243" s="1028"/>
      <c r="P243" s="1028" t="s">
        <v>3616</v>
      </c>
      <c r="Q243" s="1097">
        <f t="shared" ca="1" si="279"/>
        <v>17</v>
      </c>
      <c r="R243" s="1028"/>
      <c r="S243" s="1028" t="s">
        <v>3611</v>
      </c>
      <c r="T243" s="1097">
        <f t="shared" ca="1" si="280"/>
        <v>15</v>
      </c>
      <c r="U243" s="1027">
        <v>3</v>
      </c>
      <c r="V243" s="1027">
        <f t="shared" si="281"/>
        <v>4</v>
      </c>
      <c r="W243" s="1098" t="e">
        <f>IF(OR(I243&lt;&gt;"N",E243="C"),IF(AND(N243&lt;&gt;"T",ISNUMBER(FIND("V",I243))),1,0),NA())+IF(H243="Y",IF(AND(N243="P",ISNUMBER(FIND("Z",I243))),2,1),0)+IF(J243="Y",1,0)+IF(K243="Y",3,0)+IF(BE243="Lore",L243*2+Experience!$D$25,0)+IF(M243="Y",1,0)</f>
        <v>#N/A</v>
      </c>
      <c r="X243" s="1099"/>
      <c r="Y243" s="1100">
        <f ca="1">IF(P243="NS",IFERROR(INDIRECT(S243),NA()),VLOOKUP(INDIRECT(P243)+INDIRECT(S243),'System Lookups'!$A$3:$D$146,2))</f>
        <v>0.08</v>
      </c>
      <c r="Z243" s="1100">
        <f t="shared" si="282"/>
        <v>0</v>
      </c>
      <c r="AA243" s="1101">
        <f t="shared" ca="1" si="283"/>
        <v>0.08</v>
      </c>
      <c r="AB243" s="1102">
        <f>VLOOKUP(V243,'System Lookups'!$J$55:$P$64,3)</f>
        <v>0.2</v>
      </c>
      <c r="AC243" s="1103">
        <f>VLOOKUP(V243,'System Lookups'!$J$55:$P$64,4)</f>
        <v>0.3</v>
      </c>
      <c r="AD243" s="1104">
        <f t="shared" ca="1" si="284"/>
        <v>0.28000000000000003</v>
      </c>
      <c r="AE243" s="1094">
        <f ca="1">(IF(AD243&gt;VLOOKUP(V243,'System Lookups'!$J$55:$P$63,6),(((AD243-VLOOKUP(V243,'System Lookups'!$J$55:$P$63,6))*100)/20),0))+AF243</f>
        <v>0</v>
      </c>
      <c r="AF243" s="1121"/>
      <c r="AG243" s="1092">
        <f t="shared" si="285"/>
        <v>0</v>
      </c>
      <c r="AH243" s="1092" t="str">
        <f>IF(X243&lt;=Experience!$R$15+1,"","*")</f>
        <v/>
      </c>
      <c r="AI243" s="1092"/>
      <c r="AJ243" s="1080">
        <f t="shared" si="286"/>
        <v>0</v>
      </c>
      <c r="AK243" s="1080">
        <f t="shared" si="287"/>
        <v>0</v>
      </c>
      <c r="AL243" s="1080">
        <f t="shared" si="288"/>
        <v>0</v>
      </c>
      <c r="AM243" s="1092">
        <f t="shared" si="289"/>
        <v>0</v>
      </c>
      <c r="AN243" s="1080">
        <f t="shared" si="290"/>
        <v>1</v>
      </c>
      <c r="AO243" s="1080">
        <f t="shared" si="291"/>
        <v>0</v>
      </c>
      <c r="AP243" s="1080">
        <f t="shared" si="292"/>
        <v>1</v>
      </c>
      <c r="AQ243" s="1027">
        <f>VLOOKUP(V243,'System Lookups'!$J$55:$P$64,7)</f>
        <v>600</v>
      </c>
      <c r="AR243" s="1080" t="str">
        <f ca="1">IF(AND(NOT(ISBLANK(AJ243)),ISNA(MATCH(ROW(),'System Lookups'!$C$526:$C$539,0))),"Y","N")</f>
        <v>Y</v>
      </c>
      <c r="AS243" s="1080">
        <f t="shared" si="293"/>
        <v>0</v>
      </c>
      <c r="AU243" s="1080" t="e">
        <f t="shared" si="213"/>
        <v>#N/A</v>
      </c>
      <c r="AV243" s="1080" t="str">
        <f t="shared" si="210"/>
        <v>T</v>
      </c>
      <c r="AW243" s="1080">
        <f t="shared" si="214"/>
        <v>0</v>
      </c>
      <c r="AX243" s="1080">
        <f t="shared" si="215"/>
        <v>0</v>
      </c>
      <c r="AY243" s="1080">
        <f t="shared" si="216"/>
        <v>0</v>
      </c>
      <c r="AZ243" s="1080">
        <f t="shared" si="217"/>
        <v>0</v>
      </c>
      <c r="BA243" s="1080">
        <f t="shared" si="218"/>
        <v>0</v>
      </c>
      <c r="BB243" s="1080">
        <f>IF(AND(RACE=1,'Main Creation Page'!$E$6="Well",OR(ISNUMBER(FIND(Experience!$G$11,BE243)),ISNUMBER(FIND(Experience!$G$11,BF243)),ISNUMBER(FIND(Experience!$I$11,BE243)),ISNUMBER(FIND(Experience!$I$11,BF243)))),1,0)</f>
        <v>0</v>
      </c>
      <c r="BC243" s="1080" t="str">
        <f t="shared" si="239"/>
        <v>Brush Making</v>
      </c>
      <c r="BE243" s="1080" t="str">
        <f t="shared" si="211"/>
        <v/>
      </c>
      <c r="BF243" s="1080" t="str">
        <f t="shared" si="212"/>
        <v>Crafts &amp; Trades Skills</v>
      </c>
    </row>
    <row r="244" spans="1:58" ht="11.1" customHeight="1" outlineLevel="1">
      <c r="A244" s="1117" t="s">
        <v>746</v>
      </c>
      <c r="B244" s="1094"/>
      <c r="C244" s="1094"/>
      <c r="D244" s="1094"/>
      <c r="E244" s="1095" t="s">
        <v>5224</v>
      </c>
      <c r="F244" s="1095" t="s">
        <v>5224</v>
      </c>
      <c r="G244" s="1096">
        <v>0</v>
      </c>
      <c r="H244" s="1096" t="s">
        <v>5224</v>
      </c>
      <c r="I244" s="1096" t="s">
        <v>5224</v>
      </c>
      <c r="J244" s="1096" t="s">
        <v>5224</v>
      </c>
      <c r="K244" s="1096" t="s">
        <v>5224</v>
      </c>
      <c r="L244" s="1096" t="s">
        <v>5224</v>
      </c>
      <c r="M244" s="1096" t="s">
        <v>5224</v>
      </c>
      <c r="N244" s="1096" t="s">
        <v>4631</v>
      </c>
      <c r="O244" s="1028"/>
      <c r="P244" s="1028" t="s">
        <v>3615</v>
      </c>
      <c r="Q244" s="1097">
        <f t="shared" ca="1" si="279"/>
        <v>20</v>
      </c>
      <c r="R244" s="1028"/>
      <c r="S244" s="1028" t="s">
        <v>3611</v>
      </c>
      <c r="T244" s="1097">
        <f t="shared" ca="1" si="280"/>
        <v>15</v>
      </c>
      <c r="U244" s="1027">
        <v>4</v>
      </c>
      <c r="V244" s="1027">
        <f t="shared" si="281"/>
        <v>5</v>
      </c>
      <c r="W244" s="1098" t="e">
        <f>IF(OR(I244&lt;&gt;"N",E244="C"),IF(AND(N244&lt;&gt;"T",ISNUMBER(FIND("V",I244))),1,0),NA())+IF(H244="Y",IF(AND(N244="P",ISNUMBER(FIND("Z",I244))),2,1),0)+IF(J244="Y",1,0)+IF(K244="Y",3,0)+IF(BE244="Lore",L244*2+Experience!$D$25,0)+IF(M244="Y",1,0)</f>
        <v>#N/A</v>
      </c>
      <c r="X244" s="1099"/>
      <c r="Y244" s="1100">
        <f ca="1">IF(P244="NS",IFERROR(INDIRECT(S244),NA()),VLOOKUP(INDIRECT(P244)+INDIRECT(S244),'System Lookups'!$A$3:$D$146,2))</f>
        <v>0.12</v>
      </c>
      <c r="Z244" s="1100">
        <f t="shared" si="282"/>
        <v>0</v>
      </c>
      <c r="AA244" s="1101">
        <f t="shared" ca="1" si="283"/>
        <v>0.12</v>
      </c>
      <c r="AB244" s="1102">
        <f>VLOOKUP(V244,'System Lookups'!$J$55:$P$64,3)</f>
        <v>0.1</v>
      </c>
      <c r="AC244" s="1103">
        <f>VLOOKUP(V244,'System Lookups'!$J$55:$P$64,4)</f>
        <v>0.2</v>
      </c>
      <c r="AD244" s="1104">
        <f t="shared" ca="1" si="284"/>
        <v>0.22</v>
      </c>
      <c r="AE244" s="1094">
        <f ca="1">(IF(AD244&gt;VLOOKUP(V244,'System Lookups'!$J$55:$P$63,6),(((AD244-VLOOKUP(V244,'System Lookups'!$J$55:$P$63,6))*100)/20),0))+AF244</f>
        <v>0</v>
      </c>
      <c r="AF244" s="1121"/>
      <c r="AG244" s="1092">
        <f t="shared" si="285"/>
        <v>0</v>
      </c>
      <c r="AH244" s="1092" t="str">
        <f>IF(X244&lt;=Experience!$R$15+1,"","*")</f>
        <v/>
      </c>
      <c r="AI244" s="1092"/>
      <c r="AJ244" s="1080">
        <f t="shared" si="286"/>
        <v>0</v>
      </c>
      <c r="AK244" s="1080">
        <f t="shared" si="287"/>
        <v>0</v>
      </c>
      <c r="AL244" s="1080">
        <f t="shared" si="288"/>
        <v>0</v>
      </c>
      <c r="AM244" s="1092">
        <f t="shared" si="289"/>
        <v>0</v>
      </c>
      <c r="AN244" s="1080">
        <f t="shared" si="290"/>
        <v>1</v>
      </c>
      <c r="AO244" s="1080">
        <f t="shared" si="291"/>
        <v>0</v>
      </c>
      <c r="AP244" s="1080">
        <f t="shared" si="292"/>
        <v>1</v>
      </c>
      <c r="AQ244" s="1027">
        <f>VLOOKUP(V244,'System Lookups'!$J$55:$P$64,7)</f>
        <v>700</v>
      </c>
      <c r="AR244" s="1080" t="str">
        <f ca="1">IF(AND(NOT(ISBLANK(AJ244)),ISNA(MATCH(ROW(),'System Lookups'!$C$526:$C$539,0))),"Y","N")</f>
        <v>Y</v>
      </c>
      <c r="AS244" s="1080">
        <f t="shared" si="293"/>
        <v>0</v>
      </c>
      <c r="AU244" s="1080" t="e">
        <f t="shared" si="213"/>
        <v>#N/A</v>
      </c>
      <c r="AV244" s="1080" t="str">
        <f t="shared" si="210"/>
        <v>T</v>
      </c>
      <c r="AW244" s="1080">
        <f t="shared" si="214"/>
        <v>0</v>
      </c>
      <c r="AX244" s="1080">
        <f t="shared" si="215"/>
        <v>0</v>
      </c>
      <c r="AY244" s="1080">
        <f t="shared" si="216"/>
        <v>0</v>
      </c>
      <c r="AZ244" s="1080">
        <f t="shared" si="217"/>
        <v>0</v>
      </c>
      <c r="BA244" s="1080">
        <f t="shared" si="218"/>
        <v>0</v>
      </c>
      <c r="BB244" s="1080">
        <f>IF(AND(RACE=1,'Main Creation Page'!$E$6="Well",OR(ISNUMBER(FIND(Experience!$G$11,BE244)),ISNUMBER(FIND(Experience!$G$11,BF244)),ISNUMBER(FIND(Experience!$I$11,BE244)),ISNUMBER(FIND(Experience!$I$11,BF244)))),1,0)</f>
        <v>0</v>
      </c>
      <c r="BC244" s="1080" t="str">
        <f t="shared" si="239"/>
        <v>Carpentry &amp; Cabinetmaking</v>
      </c>
      <c r="BE244" s="1080" t="str">
        <f t="shared" si="211"/>
        <v/>
      </c>
      <c r="BF244" s="1080" t="str">
        <f t="shared" si="212"/>
        <v>Crafts &amp; Trades Skills</v>
      </c>
    </row>
    <row r="245" spans="1:58" ht="11.1" customHeight="1" outlineLevel="2">
      <c r="A245" s="1028" t="s">
        <v>1514</v>
      </c>
      <c r="B245" s="2641">
        <f>IF(ISNA(W244),0,W244+1)+IF(ISBLANK(X244),0,X244)</f>
        <v>0</v>
      </c>
      <c r="C245" s="2644"/>
      <c r="D245" s="2643"/>
      <c r="L245" s="1034"/>
      <c r="O245" s="1034"/>
      <c r="P245" s="1034"/>
      <c r="Q245" s="1034"/>
      <c r="R245" s="1034"/>
      <c r="W245" s="1112"/>
      <c r="AE245" s="1094"/>
      <c r="AF245" s="1121"/>
      <c r="AG245" s="1092"/>
      <c r="AH245" s="1092"/>
      <c r="AI245" s="1092"/>
      <c r="AM245" s="1092"/>
      <c r="AQ245" s="1027"/>
      <c r="AR245" s="1080" t="str">
        <f ca="1">IF(AND(NOT(ISBLANK(AJ245)),ISNA(MATCH(ROW(),'System Lookups'!$C$526:$C$539,0))),"Y","N")</f>
        <v>N</v>
      </c>
      <c r="AU245" s="1080" t="e">
        <f t="shared" si="213"/>
        <v>#N/A</v>
      </c>
      <c r="AV245" s="1080" t="str">
        <f t="shared" si="210"/>
        <v/>
      </c>
      <c r="AW245" s="1080">
        <f t="shared" si="214"/>
        <v>0</v>
      </c>
      <c r="AX245" s="1080">
        <f t="shared" si="215"/>
        <v>0</v>
      </c>
      <c r="AY245" s="1080">
        <f t="shared" si="216"/>
        <v>0</v>
      </c>
      <c r="AZ245" s="1080">
        <f t="shared" si="217"/>
        <v>0</v>
      </c>
      <c r="BA245" s="1080">
        <f t="shared" si="218"/>
        <v>0</v>
      </c>
      <c r="BB245" s="1080">
        <f>IF(AND(RACE=1,'Main Creation Page'!$E$6="Well",OR(ISNUMBER(FIND(Experience!$G$11,BE245)),ISNUMBER(FIND(Experience!$G$11,BF245)),ISNUMBER(FIND(Experience!$I$11,BE245)),ISNUMBER(FIND(Experience!$I$11,BF245)))),1,0)</f>
        <v>0</v>
      </c>
      <c r="BC245" s="1080" t="e">
        <f t="shared" si="239"/>
        <v>#N/A</v>
      </c>
      <c r="BE245" s="1080" t="str">
        <f t="shared" si="211"/>
        <v/>
      </c>
      <c r="BF245" s="1080" t="str">
        <f t="shared" si="212"/>
        <v>Crafts &amp; Trades Skills</v>
      </c>
    </row>
    <row r="246" spans="1:58" ht="11.1" customHeight="1" outlineLevel="1">
      <c r="A246" s="1117" t="s">
        <v>747</v>
      </c>
      <c r="B246" s="1094" t="s">
        <v>1942</v>
      </c>
      <c r="C246" s="1094"/>
      <c r="D246" s="1094"/>
      <c r="E246" s="1095" t="s">
        <v>5224</v>
      </c>
      <c r="F246" s="1095" t="s">
        <v>5224</v>
      </c>
      <c r="G246" s="1096">
        <v>0</v>
      </c>
      <c r="H246" s="1096" t="s">
        <v>5224</v>
      </c>
      <c r="I246" s="1096" t="s">
        <v>5224</v>
      </c>
      <c r="J246" s="1096" t="s">
        <v>5224</v>
      </c>
      <c r="K246" s="1096" t="s">
        <v>5224</v>
      </c>
      <c r="L246" s="1096" t="s">
        <v>5224</v>
      </c>
      <c r="M246" s="1096" t="s">
        <v>5224</v>
      </c>
      <c r="N246" s="1096" t="s">
        <v>4631</v>
      </c>
      <c r="O246" s="1028"/>
      <c r="P246" s="1028" t="s">
        <v>3615</v>
      </c>
      <c r="Q246" s="1097">
        <f t="shared" ref="Q246:Q249" ca="1" si="298">INDIRECT(P246)</f>
        <v>20</v>
      </c>
      <c r="R246" s="1028"/>
      <c r="S246" s="1028" t="s">
        <v>3611</v>
      </c>
      <c r="T246" s="1097">
        <f t="shared" ref="T246:T249" ca="1" si="299">INDIRECT(S246)</f>
        <v>15</v>
      </c>
      <c r="U246" s="1027">
        <f>IF(ISBLANK($X$244),3,2)</f>
        <v>3</v>
      </c>
      <c r="V246" s="1027">
        <f>IF(AP246+U246&gt;10,10,IF(AP246+U246&lt;1,1,AP246+U246))</f>
        <v>4</v>
      </c>
      <c r="W246" s="1098" t="e">
        <f>IF(OR(I246&lt;&gt;"N",E246="C"),IF(AND(N246&lt;&gt;"T",ISNUMBER(FIND("V",I246))),1,0),NA())+IF(H246="Y",IF(AND(N246="P",ISNUMBER(FIND("Z",I246))),2,1),0)+IF(J246="Y",1,0)+IF(K246="Y",3,0)+IF(BE246="Lore",L246*2+Experience!$D$25,0)+IF(M246="Y",1,0)</f>
        <v>#N/A</v>
      </c>
      <c r="X246" s="1099"/>
      <c r="Y246" s="1100">
        <f ca="1">IF(P246="NS",IFERROR(INDIRECT(S246),NA()),VLOOKUP(INDIRECT(P246)+INDIRECT(S246),'System Lookups'!$A$3:$D$146,2))</f>
        <v>0.12</v>
      </c>
      <c r="Z246" s="1100">
        <f>IF(ISNA(W246),0,W246*0.03)+IF(X246&gt;0,X246*0.03,0)+IF(AND(ISNA(W246),X246&lt;=0),0,IF(G246&gt;0,G246*0.07,0))</f>
        <v>0</v>
      </c>
      <c r="AA246" s="1101">
        <f ca="1">IF(ISNA(Y246),0,Y246)+Z246</f>
        <v>0.12</v>
      </c>
      <c r="AB246" s="1102">
        <f>VLOOKUP(V246,'System Lookups'!$J$55:$P$64,3)</f>
        <v>0.2</v>
      </c>
      <c r="AC246" s="1103">
        <f>VLOOKUP(V246,'System Lookups'!$J$55:$P$64,4)</f>
        <v>0.3</v>
      </c>
      <c r="AD246" s="1104">
        <f>IF(AND(ISBLANK(X246),ISNA(W246)),IF(B246="~",0,AB246+AA246+IF(BB246&gt;0,0.05,0)),AA246+AC246+IF(BB246&gt;0,0.05,0))</f>
        <v>0</v>
      </c>
      <c r="AE246" s="1094">
        <f>(IF(AD246&gt;VLOOKUP(V246,'System Lookups'!$J$55:$P$63,6),(((AD246-VLOOKUP(V246,'System Lookups'!$J$55:$P$63,6))*100)/20),0))+AF246</f>
        <v>0</v>
      </c>
      <c r="AF246" s="1121"/>
      <c r="AG246" s="1092">
        <f>IF(ISBLANK(X246),0,AQ246*X246+IF(ISNA(W246),1,0))</f>
        <v>0</v>
      </c>
      <c r="AH246" s="1092" t="str">
        <f>IF(X246&lt;=Experience!$R$15+1,"","*")</f>
        <v/>
      </c>
      <c r="AI246" s="1092"/>
      <c r="AJ246" s="1080">
        <f t="shared" ref="AJ246:AJ249" si="300">IF(ISNUMBER(FIND("R",F246)),-1,0)</f>
        <v>0</v>
      </c>
      <c r="AK246" s="1080">
        <f>IF(F246="s",-2,0)</f>
        <v>0</v>
      </c>
      <c r="AL246" s="1080">
        <f t="shared" ref="AL246:AL249" si="301">IF(AND(H246="Y",OR(N246="P",N246="S")),-1,0)</f>
        <v>0</v>
      </c>
      <c r="AM246" s="1092">
        <f>IF(J246="y",1,0)</f>
        <v>0</v>
      </c>
      <c r="AN246" s="1080">
        <f>IF(N246="P",-1,IF(N246="T",1,0))</f>
        <v>1</v>
      </c>
      <c r="AO246" s="1080">
        <f t="shared" ref="AO246:AO249" si="302">IF(ISNUMBER(FIND("Z",I246)),1,0)</f>
        <v>0</v>
      </c>
      <c r="AP246" s="1080">
        <f>SUM(AJ246:AN246)-AM246</f>
        <v>1</v>
      </c>
      <c r="AQ246" s="1027">
        <f>VLOOKUP(V246,'System Lookups'!$J$55:$P$64,7)</f>
        <v>600</v>
      </c>
      <c r="AR246" s="1080" t="str">
        <f ca="1">IF(AND(NOT(ISBLANK(AJ246)),ISNA(MATCH(ROW(),'System Lookups'!$C$526:$C$539,0))),"Y","N")</f>
        <v>Y</v>
      </c>
      <c r="AS246" s="1080">
        <f>AG246-AI246</f>
        <v>0</v>
      </c>
      <c r="AU246" s="1080" t="e">
        <f t="shared" si="213"/>
        <v>#N/A</v>
      </c>
      <c r="AV246" s="1080" t="str">
        <f t="shared" si="210"/>
        <v>T</v>
      </c>
      <c r="AW246" s="1080">
        <f t="shared" si="214"/>
        <v>0</v>
      </c>
      <c r="AX246" s="1080">
        <f t="shared" si="215"/>
        <v>0</v>
      </c>
      <c r="AY246" s="1080">
        <f t="shared" si="216"/>
        <v>0</v>
      </c>
      <c r="AZ246" s="1080">
        <f t="shared" si="217"/>
        <v>0</v>
      </c>
      <c r="BA246" s="1080">
        <f t="shared" si="218"/>
        <v>0</v>
      </c>
      <c r="BB246" s="1080">
        <f>IF(AND(RACE=1,'Main Creation Page'!$E$6="Well",OR(ISNUMBER(FIND(Experience!$G$11,BE246)),ISNUMBER(FIND(Experience!$G$11,BF246)),ISNUMBER(FIND(Experience!$I$11,BE246)),ISNUMBER(FIND(Experience!$I$11,BF246)))),1,0)</f>
        <v>0</v>
      </c>
      <c r="BC246" s="1080" t="str">
        <f t="shared" si="239"/>
        <v>Cartwright &amp; Wheelwright</v>
      </c>
      <c r="BE246" s="1080" t="str">
        <f t="shared" si="211"/>
        <v/>
      </c>
      <c r="BF246" s="1080" t="str">
        <f t="shared" si="212"/>
        <v>Crafts &amp; Trades Skills</v>
      </c>
    </row>
    <row r="247" spans="1:58" ht="11.1" customHeight="1" outlineLevel="1">
      <c r="A247" s="1123" t="s">
        <v>656</v>
      </c>
      <c r="B247" s="1094" t="s">
        <v>1942</v>
      </c>
      <c r="C247" s="1094"/>
      <c r="D247" s="1094"/>
      <c r="E247" s="1095" t="s">
        <v>5224</v>
      </c>
      <c r="F247" s="1095" t="str">
        <f>IF('Main Creation Page'!$C$3=2, "R", "N")</f>
        <v>N</v>
      </c>
      <c r="G247" s="1096">
        <v>0</v>
      </c>
      <c r="H247" s="1096" t="s">
        <v>5224</v>
      </c>
      <c r="I247" s="1096" t="s">
        <v>5224</v>
      </c>
      <c r="J247" s="1096" t="s">
        <v>5224</v>
      </c>
      <c r="K247" s="1096" t="s">
        <v>5224</v>
      </c>
      <c r="L247" s="1096" t="s">
        <v>5224</v>
      </c>
      <c r="M247" s="1096" t="s">
        <v>5224</v>
      </c>
      <c r="N247" s="1096" t="s">
        <v>4631</v>
      </c>
      <c r="O247" s="1028"/>
      <c r="P247" s="1028" t="s">
        <v>3616</v>
      </c>
      <c r="Q247" s="1097">
        <f t="shared" ca="1" si="298"/>
        <v>17</v>
      </c>
      <c r="R247" s="1028"/>
      <c r="S247" s="1028" t="s">
        <v>3611</v>
      </c>
      <c r="T247" s="1097">
        <f t="shared" ca="1" si="299"/>
        <v>15</v>
      </c>
      <c r="U247" s="1027">
        <v>4</v>
      </c>
      <c r="V247" s="1027">
        <f>IF((AP247+U247+VLOOKUP('Main Creation Page'!E$14,'System Lookups'!R$45:S$49,2))&gt;10,10,IF((AP247+U247+VLOOKUP('Main Creation Page'!E$14,'System Lookups'!R$45:S$49,2))&lt;1,1,(AP247+U247+VLOOKUP('Main Creation Page'!E$14,'System Lookups'!R$45:S$49,2))))</f>
        <v>5</v>
      </c>
      <c r="W247" s="1098" t="e">
        <f>IF(OR(I247&lt;&gt;"N",E247="C"),IF(AND(N247&lt;&gt;"T",ISNUMBER(FIND("V",I247))),1,0),NA())+IF(H247="Y",IF(AND(N247="P",ISNUMBER(FIND("Z",I247))),2,1),0)+IF(J247="Y",1,0)+IF(K247="Y",3,0)+IF(BE247="Lore",L247*2+Experience!$D$25,0)+IF(M247="Y",1,0)</f>
        <v>#N/A</v>
      </c>
      <c r="X247" s="1099"/>
      <c r="Y247" s="1100">
        <f ca="1">IF(P247="NS",IFERROR(INDIRECT(S247),NA()),VLOOKUP(INDIRECT(P247)+INDIRECT(S247),'System Lookups'!$A$3:$D$146,2))</f>
        <v>0.08</v>
      </c>
      <c r="Z247" s="1100">
        <f>IF(ISNA(W247),0,W247*0.03)+IF(X247&gt;0,X247*0.03,0)+IF(AND(ISNA(W247),X247&lt;=0),0,IF(G247&gt;0,G247*0.07,0))</f>
        <v>0</v>
      </c>
      <c r="AA247" s="1101">
        <f ca="1">IF(ISNA(Y247),0,Y247)+Z247</f>
        <v>0.08</v>
      </c>
      <c r="AB247" s="1102">
        <f>VLOOKUP(V247,'System Lookups'!$J$55:$P$64,3)</f>
        <v>0.1</v>
      </c>
      <c r="AC247" s="1103">
        <f>VLOOKUP(V247,'System Lookups'!$J$55:$P$64,4)</f>
        <v>0.2</v>
      </c>
      <c r="AD247" s="1104">
        <f>IF(AND(ISBLANK(X247),ISNA(W247)),IF(B247="~",0,AB247+AA247+IF(BB247&gt;0,0.05,0)),AA247+AC247+IF(BB247&gt;0,0.05,0))</f>
        <v>0</v>
      </c>
      <c r="AE247" s="1094">
        <f>(IF(AD247&gt;VLOOKUP(V247,'System Lookups'!$J$55:$P$63,6),(((AD247-VLOOKUP(V247,'System Lookups'!$J$55:$P$63,6))*100)/20),0))+AF247</f>
        <v>0</v>
      </c>
      <c r="AF247" s="1121"/>
      <c r="AG247" s="1092">
        <f>IF(ISBLANK(X247),0,AQ247*X247+IF(ISNA(W247),1,0))</f>
        <v>0</v>
      </c>
      <c r="AH247" s="1092" t="str">
        <f>IF(X247&lt;=Experience!$R$15+1,"","*")</f>
        <v/>
      </c>
      <c r="AI247" s="1092"/>
      <c r="AJ247" s="1080">
        <f t="shared" si="300"/>
        <v>0</v>
      </c>
      <c r="AK247" s="1080">
        <f>IF(F247="s",-2,0)</f>
        <v>0</v>
      </c>
      <c r="AL247" s="1080">
        <f t="shared" si="301"/>
        <v>0</v>
      </c>
      <c r="AM247" s="1092">
        <f>IF(J247="y",1,0)</f>
        <v>0</v>
      </c>
      <c r="AN247" s="1080">
        <f>IF(N247="P",-1,IF(N247="T",1,0))</f>
        <v>1</v>
      </c>
      <c r="AO247" s="1080">
        <f t="shared" si="302"/>
        <v>0</v>
      </c>
      <c r="AP247" s="1080">
        <f>SUM(AJ247:AN247)-AM247</f>
        <v>1</v>
      </c>
      <c r="AQ247" s="1027">
        <f>VLOOKUP(V247,'System Lookups'!$J$55:$P$64,7)</f>
        <v>700</v>
      </c>
      <c r="AR247" s="1080" t="str">
        <f ca="1">IF(AND(NOT(ISBLANK(AJ247)),ISNA(MATCH(ROW(),'System Lookups'!$C$526:$C$539,0))),"Y","N")</f>
        <v>Y</v>
      </c>
      <c r="AS247" s="1080">
        <f>AG247-AI247</f>
        <v>0</v>
      </c>
      <c r="AU247" s="1080" t="e">
        <f t="shared" si="213"/>
        <v>#N/A</v>
      </c>
      <c r="AV247" s="1080" t="str">
        <f t="shared" si="210"/>
        <v>T</v>
      </c>
      <c r="AW247" s="1080">
        <f t="shared" si="214"/>
        <v>0</v>
      </c>
      <c r="AX247" s="1080">
        <f t="shared" si="215"/>
        <v>0</v>
      </c>
      <c r="AY247" s="1080">
        <f t="shared" si="216"/>
        <v>0</v>
      </c>
      <c r="AZ247" s="1080">
        <f t="shared" si="217"/>
        <v>0</v>
      </c>
      <c r="BA247" s="1080">
        <f t="shared" si="218"/>
        <v>0</v>
      </c>
      <c r="BB247" s="1080">
        <f>IF(AND(RACE=1,'Main Creation Page'!$E$6="Well",OR(ISNUMBER(FIND(Experience!$G$11,BE247)),ISNUMBER(FIND(Experience!$G$11,BF247)),ISNUMBER(FIND(Experience!$I$11,BE247)),ISNUMBER(FIND(Experience!$I$11,BF247)))),1,0)</f>
        <v>0</v>
      </c>
      <c r="BC247" s="1080" t="str">
        <f t="shared" si="239"/>
        <v>Carving</v>
      </c>
      <c r="BE247" s="1080" t="str">
        <f t="shared" si="211"/>
        <v/>
      </c>
      <c r="BF247" s="1080" t="str">
        <f t="shared" si="212"/>
        <v>Crafts &amp; Trades Skills</v>
      </c>
    </row>
    <row r="248" spans="1:58" ht="11.1" customHeight="1" outlineLevel="1">
      <c r="A248" s="1123" t="s">
        <v>5290</v>
      </c>
      <c r="B248" s="1094" t="s">
        <v>1942</v>
      </c>
      <c r="C248" s="1094"/>
      <c r="D248" s="1094"/>
      <c r="E248" s="1095" t="s">
        <v>5224</v>
      </c>
      <c r="F248" s="1095" t="s">
        <v>5224</v>
      </c>
      <c r="G248" s="1096">
        <v>0</v>
      </c>
      <c r="H248" s="1096" t="s">
        <v>5224</v>
      </c>
      <c r="I248" s="1096" t="s">
        <v>5224</v>
      </c>
      <c r="J248" s="1096" t="s">
        <v>5224</v>
      </c>
      <c r="K248" s="1096" t="s">
        <v>5224</v>
      </c>
      <c r="L248" s="1096" t="s">
        <v>5224</v>
      </c>
      <c r="M248" s="1096" t="s">
        <v>5224</v>
      </c>
      <c r="N248" s="1096" t="s">
        <v>4631</v>
      </c>
      <c r="O248" s="1028"/>
      <c r="P248" s="1028" t="s">
        <v>3616</v>
      </c>
      <c r="Q248" s="1097">
        <f t="shared" ca="1" si="298"/>
        <v>17</v>
      </c>
      <c r="R248" s="1028"/>
      <c r="S248" s="1028" t="s">
        <v>3611</v>
      </c>
      <c r="T248" s="1097">
        <f t="shared" ca="1" si="299"/>
        <v>15</v>
      </c>
      <c r="U248" s="1027">
        <v>3</v>
      </c>
      <c r="V248" s="1027">
        <f>IF(AP248+U248&gt;10,10,IF(AP248+U248&lt;1,1,AP248+U248))</f>
        <v>4</v>
      </c>
      <c r="W248" s="1098" t="e">
        <f>IF(OR(I248&lt;&gt;"N",E248="C"),IF(AND(N248&lt;&gt;"T",ISNUMBER(FIND("V",I248))),1,0),NA())+IF(H248="Y",IF(AND(N248="P",ISNUMBER(FIND("Z",I248))),2,1),0)+IF(J248="Y",1,0)+IF(K248="Y",3,0)+IF(BE248="Lore",L248*2+Experience!$D$25,0)+IF(M248="Y",1,0)</f>
        <v>#N/A</v>
      </c>
      <c r="X248" s="1099"/>
      <c r="Y248" s="1100">
        <f ca="1">IF(P248="NS",IFERROR(INDIRECT(S248),NA()),VLOOKUP(INDIRECT(P248)+INDIRECT(S248),'System Lookups'!$A$3:$D$146,2))</f>
        <v>0.08</v>
      </c>
      <c r="Z248" s="1100">
        <f>IF(ISNA(W248),0,W248*0.03)+IF(X248&gt;0,X248*0.03,0)+IF(AND(ISNA(W248),X248&lt;=0),0,IF(G248&gt;0,G248*0.07,0))</f>
        <v>0</v>
      </c>
      <c r="AA248" s="1101">
        <f ca="1">IF(ISNA(Y248),0,Y248)+Z248</f>
        <v>0.08</v>
      </c>
      <c r="AB248" s="1102">
        <f>VLOOKUP(V248,'System Lookups'!$J$55:$P$64,3)</f>
        <v>0.2</v>
      </c>
      <c r="AC248" s="1103">
        <f>VLOOKUP(V248,'System Lookups'!$J$55:$P$64,4)</f>
        <v>0.3</v>
      </c>
      <c r="AD248" s="1104">
        <f>IF(AND(ISBLANK(X248),ISNA(W248)),IF(B248="~",0,AB248+AA248+IF(BB248&gt;0,0.05,0)),AA248+AC248+IF(BB248&gt;0,0.05,0))</f>
        <v>0</v>
      </c>
      <c r="AE248" s="1094">
        <f>(IF(AD248&gt;VLOOKUP(V248,'System Lookups'!$J$55:$P$63,6),(((AD248-VLOOKUP(V248,'System Lookups'!$J$55:$P$63,6))*100)/20),0))+AF248</f>
        <v>0</v>
      </c>
      <c r="AF248" s="1121"/>
      <c r="AG248" s="1092">
        <f>IF(ISBLANK(X248),0,AQ248*X248+IF(ISNA(W248),1,0))</f>
        <v>0</v>
      </c>
      <c r="AH248" s="1092" t="str">
        <f>IF(X248&lt;=Experience!$R$15+1,"","*")</f>
        <v/>
      </c>
      <c r="AI248" s="1092"/>
      <c r="AJ248" s="1080">
        <f t="shared" si="300"/>
        <v>0</v>
      </c>
      <c r="AK248" s="1080">
        <f>IF(F248="s",-2,0)</f>
        <v>0</v>
      </c>
      <c r="AL248" s="1080">
        <f t="shared" si="301"/>
        <v>0</v>
      </c>
      <c r="AM248" s="1092">
        <f>IF(J248="y",1,0)</f>
        <v>0</v>
      </c>
      <c r="AN248" s="1080">
        <f>IF(N248="P",-1,IF(N248="T",1,0))</f>
        <v>1</v>
      </c>
      <c r="AO248" s="1080">
        <f t="shared" si="302"/>
        <v>0</v>
      </c>
      <c r="AP248" s="1080">
        <f>SUM(AJ248:AN248)-AM248</f>
        <v>1</v>
      </c>
      <c r="AQ248" s="1027">
        <f>VLOOKUP(V248,'System Lookups'!$J$55:$P$64,7)</f>
        <v>600</v>
      </c>
      <c r="AR248" s="1080" t="str">
        <f ca="1">IF(AND(NOT(ISBLANK(AJ248)),ISNA(MATCH(ROW(),'System Lookups'!$C$526:$C$539,0))),"Y","N")</f>
        <v>Y</v>
      </c>
      <c r="AS248" s="1080">
        <f>AG248-AI248</f>
        <v>0</v>
      </c>
      <c r="AU248" s="1080" t="e">
        <f t="shared" si="213"/>
        <v>#N/A</v>
      </c>
      <c r="AV248" s="1080" t="str">
        <f t="shared" si="210"/>
        <v>T</v>
      </c>
      <c r="AW248" s="1080">
        <f t="shared" si="214"/>
        <v>0</v>
      </c>
      <c r="AX248" s="1080">
        <f t="shared" si="215"/>
        <v>0</v>
      </c>
      <c r="AY248" s="1080">
        <f t="shared" si="216"/>
        <v>0</v>
      </c>
      <c r="AZ248" s="1080">
        <f t="shared" si="217"/>
        <v>0</v>
      </c>
      <c r="BA248" s="1080">
        <f t="shared" si="218"/>
        <v>0</v>
      </c>
      <c r="BB248" s="1080">
        <f>IF(AND(RACE=1,'Main Creation Page'!$E$6="Well",OR(ISNUMBER(FIND(Experience!$G$11,BE248)),ISNUMBER(FIND(Experience!$G$11,BF248)),ISNUMBER(FIND(Experience!$I$11,BE248)),ISNUMBER(FIND(Experience!$I$11,BF248)))),1,0)</f>
        <v>0</v>
      </c>
      <c r="BC248" s="1080" t="str">
        <f t="shared" si="239"/>
        <v>Chandler</v>
      </c>
      <c r="BE248" s="1080" t="str">
        <f t="shared" si="211"/>
        <v/>
      </c>
      <c r="BF248" s="1080" t="str">
        <f t="shared" si="212"/>
        <v>Crafts &amp; Trades Skills</v>
      </c>
    </row>
    <row r="249" spans="1:58" ht="11.1" customHeight="1" outlineLevel="1">
      <c r="A249" s="1123" t="s">
        <v>657</v>
      </c>
      <c r="B249" s="1094"/>
      <c r="C249" s="1094"/>
      <c r="D249" s="1094"/>
      <c r="E249" s="1095" t="s">
        <v>5224</v>
      </c>
      <c r="F249" s="1095" t="str">
        <f>IF(('Main Creation Page'!C3=3),"R","N")</f>
        <v>N</v>
      </c>
      <c r="G249" s="1096">
        <v>0</v>
      </c>
      <c r="H249" s="1096" t="s">
        <v>5224</v>
      </c>
      <c r="I249" s="1096" t="s">
        <v>5224</v>
      </c>
      <c r="J249" s="1096" t="s">
        <v>5224</v>
      </c>
      <c r="K249" s="1096" t="s">
        <v>5224</v>
      </c>
      <c r="L249" s="1096" t="s">
        <v>5224</v>
      </c>
      <c r="M249" s="1096" t="s">
        <v>5224</v>
      </c>
      <c r="N249" s="1096" t="s">
        <v>4631</v>
      </c>
      <c r="O249" s="1028"/>
      <c r="P249" s="1028" t="s">
        <v>3615</v>
      </c>
      <c r="Q249" s="1097">
        <f t="shared" ca="1" si="298"/>
        <v>20</v>
      </c>
      <c r="R249" s="1028"/>
      <c r="S249" s="1028" t="s">
        <v>3616</v>
      </c>
      <c r="T249" s="1097">
        <f t="shared" ca="1" si="299"/>
        <v>17</v>
      </c>
      <c r="U249" s="1027">
        <v>4</v>
      </c>
      <c r="V249" s="1027">
        <f>IF(AP249+U249&gt;10,10,IF(AP249+U249&lt;1,1,AP249+U249))</f>
        <v>5</v>
      </c>
      <c r="W249" s="1098" t="e">
        <f>IF(OR(I249&lt;&gt;"N",E249="C"),IF(AND(N249&lt;&gt;"T",ISNUMBER(FIND("V",I249))),1,0),NA())+IF(H249="Y",IF(AND(N249="P",ISNUMBER(FIND("Z",I249))),2,1),0)+IF(J249="Y",1,0)+IF(K249="Y",3,0)+IF(BE249="Lore",L249*2+Experience!$D$25,0)+IF(M249="Y",1,0)</f>
        <v>#N/A</v>
      </c>
      <c r="X249" s="1099"/>
      <c r="Y249" s="1100">
        <f ca="1">IF(P249="NS",IFERROR(INDIRECT(S249),NA()),VLOOKUP(INDIRECT(P249)+INDIRECT(S249),'System Lookups'!$A$3:$D$146,2))</f>
        <v>0.14000000000000001</v>
      </c>
      <c r="Z249" s="1100">
        <f>IF(ISNA(W249),0,W249*0.03)+IF(X249&gt;0,X249*0.03,0)+IF(AND(ISNA(W249),X249&lt;=0),0,IF(G249&gt;0,G249*0.07,0))</f>
        <v>0</v>
      </c>
      <c r="AA249" s="1101">
        <f ca="1">IF(ISNA(Y249),0,Y249)+Z249</f>
        <v>0.14000000000000001</v>
      </c>
      <c r="AB249" s="1102">
        <f>VLOOKUP(V249,'System Lookups'!$J$55:$P$64,3)</f>
        <v>0.1</v>
      </c>
      <c r="AC249" s="1103">
        <f>VLOOKUP(V249,'System Lookups'!$J$55:$P$64,4)</f>
        <v>0.2</v>
      </c>
      <c r="AD249" s="1104">
        <f ca="1">IF(AND(ISBLANK(X249),ISNA(W249)),IF(B249="~",0,AB249+AA249+IF(BB249&gt;0,0.05,0)),AA249+AC249+IF(BB249&gt;0,0.05,0))</f>
        <v>0.24000000000000002</v>
      </c>
      <c r="AE249" s="1094">
        <f ca="1">(IF(AD249&gt;VLOOKUP(V249,'System Lookups'!$J$55:$P$63,6),(((AD249-VLOOKUP(V249,'System Lookups'!$J$55:$P$63,6))*100)/20),0))+AF249</f>
        <v>0</v>
      </c>
      <c r="AF249" s="1121"/>
      <c r="AG249" s="1092">
        <f>IF(ISBLANK(X249),0,AQ249*X249+IF(ISNA(W249),1,0))</f>
        <v>0</v>
      </c>
      <c r="AH249" s="1092" t="str">
        <f>IF(X249&lt;=Experience!$R$15+1,"","*")</f>
        <v/>
      </c>
      <c r="AI249" s="1092"/>
      <c r="AJ249" s="1080">
        <f t="shared" si="300"/>
        <v>0</v>
      </c>
      <c r="AK249" s="1080">
        <f>IF(F249="s",-2,0)</f>
        <v>0</v>
      </c>
      <c r="AL249" s="1080">
        <f t="shared" si="301"/>
        <v>0</v>
      </c>
      <c r="AM249" s="1092">
        <f>IF(J249="y",1,0)</f>
        <v>0</v>
      </c>
      <c r="AN249" s="1080">
        <f>IF(N249="P",-1,IF(N249="T",1,0))</f>
        <v>1</v>
      </c>
      <c r="AO249" s="1080">
        <f t="shared" si="302"/>
        <v>0</v>
      </c>
      <c r="AP249" s="1080">
        <f>SUM(AJ249:AN249)-AM249</f>
        <v>1</v>
      </c>
      <c r="AQ249" s="1027">
        <f>VLOOKUP(V249,'System Lookups'!$J$55:$P$64,7)</f>
        <v>700</v>
      </c>
      <c r="AR249" s="1080" t="str">
        <f ca="1">IF(AND(NOT(ISBLANK(AJ249)),ISNA(MATCH(ROW(),'System Lookups'!$C$526:$C$539,0))),"Y","N")</f>
        <v>Y</v>
      </c>
      <c r="AS249" s="1080">
        <f>AG249-AI249</f>
        <v>0</v>
      </c>
      <c r="AU249" s="1080" t="e">
        <f t="shared" si="213"/>
        <v>#N/A</v>
      </c>
      <c r="AV249" s="1080" t="str">
        <f t="shared" si="210"/>
        <v>T</v>
      </c>
      <c r="AW249" s="1080">
        <f t="shared" si="214"/>
        <v>0</v>
      </c>
      <c r="AX249" s="1080">
        <f t="shared" si="215"/>
        <v>0</v>
      </c>
      <c r="AY249" s="1080">
        <f t="shared" si="216"/>
        <v>0</v>
      </c>
      <c r="AZ249" s="1080">
        <f t="shared" si="217"/>
        <v>0</v>
      </c>
      <c r="BA249" s="1080">
        <f t="shared" si="218"/>
        <v>0</v>
      </c>
      <c r="BB249" s="1080">
        <f>IF(AND(RACE=1,'Main Creation Page'!$E$6="Well",OR(ISNUMBER(FIND(Experience!$G$11,BE249)),ISNUMBER(FIND(Experience!$G$11,BF249)),ISNUMBER(FIND(Experience!$I$11,BE249)),ISNUMBER(FIND(Experience!$I$11,BF249)))),1,0)</f>
        <v>0</v>
      </c>
      <c r="BC249" s="1080" t="str">
        <f t="shared" si="239"/>
        <v>Charcoaling</v>
      </c>
      <c r="BE249" s="1080" t="str">
        <f t="shared" si="211"/>
        <v/>
      </c>
      <c r="BF249" s="1080" t="str">
        <f t="shared" si="212"/>
        <v>Crafts &amp; Trades Skills</v>
      </c>
    </row>
    <row r="250" spans="1:58" ht="11.1" customHeight="1" outlineLevel="1">
      <c r="A250" s="1124" t="s">
        <v>2197</v>
      </c>
      <c r="B250" s="1111"/>
      <c r="C250" s="1111"/>
      <c r="D250" s="1111"/>
      <c r="O250" s="1034"/>
      <c r="P250" s="1034"/>
      <c r="Q250" s="1034"/>
      <c r="R250" s="1034"/>
      <c r="V250" s="1027"/>
      <c r="W250" s="1112"/>
      <c r="AE250" s="1094"/>
      <c r="AF250" s="1121"/>
      <c r="AR250" s="1080" t="str">
        <f ca="1">IF(AND(NOT(ISBLANK(AJ250)),ISNA(MATCH(ROW(),'System Lookups'!$C$526:$C$539,0))),"Y","N")</f>
        <v>N</v>
      </c>
      <c r="AU250" s="1080" t="e">
        <f t="shared" si="213"/>
        <v>#N/A</v>
      </c>
      <c r="AV250" s="1080" t="str">
        <f t="shared" ref="AV250:AV313" si="303">IF(ISNUMBER(U250),CONCATENATE(IF(E250="C","C",""),IF(H250="Y","M",""),N250,IF(ISNUMBER(FIND("F",I250)),"Bk",""),IF(ISNUMBER(FIND("Z",I250)),"Zm",""),IF(J250="Y","L",""),IF(OR(K250="Y",AND(ISNUMBER(L250),L250&gt;0),M250="Y"),"Sa","")),"")</f>
        <v/>
      </c>
      <c r="AW250" s="1080">
        <f t="shared" si="214"/>
        <v>0</v>
      </c>
      <c r="AX250" s="1080">
        <f t="shared" si="215"/>
        <v>0</v>
      </c>
      <c r="AY250" s="1080">
        <f t="shared" si="216"/>
        <v>0</v>
      </c>
      <c r="AZ250" s="1080">
        <f t="shared" si="217"/>
        <v>0</v>
      </c>
      <c r="BA250" s="1080">
        <f t="shared" si="218"/>
        <v>0</v>
      </c>
      <c r="BB250" s="1080">
        <f>IF(AND(RACE=1,'Main Creation Page'!$E$6="Well",OR(ISNUMBER(FIND(Experience!$G$11,BE250)),ISNUMBER(FIND(Experience!$G$11,BF250)),ISNUMBER(FIND(Experience!$I$11,BE250)),ISNUMBER(FIND(Experience!$I$11,BF250)))),1,0)</f>
        <v>0</v>
      </c>
      <c r="BC250" s="1080" t="e">
        <f t="shared" si="239"/>
        <v>#N/A</v>
      </c>
      <c r="BD250" s="1080" t="s">
        <v>5688</v>
      </c>
      <c r="BE250" s="1080" t="str">
        <f t="shared" ref="BE250:BE313" si="304">IF(OR(ISNUMBER(FIND("Lore",BF250)),ISNUMBER(FIND("Materia",BF250)),ISNUMBER(FIND("Lore",BD250))),"Lore","")</f>
        <v/>
      </c>
      <c r="BF250" s="1080" t="str">
        <f t="shared" ref="BF250:BF313" si="305">IF(ISBLANK(AC250),IF(OR(ISNA(BC250),ISBLANK(BC250)),BF249,BC250),BF249)</f>
        <v>Crafts &amp; Trades Skills</v>
      </c>
    </row>
    <row r="251" spans="1:58" ht="11.1" customHeight="1" outlineLevel="2">
      <c r="A251" s="1028" t="s">
        <v>2198</v>
      </c>
      <c r="B251" s="1094"/>
      <c r="C251" s="1094"/>
      <c r="D251" s="1094"/>
      <c r="E251" s="1095" t="s">
        <v>5224</v>
      </c>
      <c r="F251" s="1095" t="s">
        <v>5224</v>
      </c>
      <c r="G251" s="1096">
        <v>0</v>
      </c>
      <c r="H251" s="1096" t="s">
        <v>5224</v>
      </c>
      <c r="I251" s="1096" t="s">
        <v>5224</v>
      </c>
      <c r="J251" s="1096" t="s">
        <v>5224</v>
      </c>
      <c r="K251" s="1096" t="s">
        <v>5224</v>
      </c>
      <c r="L251" s="1096" t="s">
        <v>5224</v>
      </c>
      <c r="M251" s="1096" t="s">
        <v>5224</v>
      </c>
      <c r="N251" s="1096" t="s">
        <v>4631</v>
      </c>
      <c r="O251" s="1028"/>
      <c r="P251" s="1028" t="s">
        <v>3611</v>
      </c>
      <c r="Q251" s="1097">
        <f t="shared" ref="Q251:Q252" ca="1" si="306">INDIRECT(P251)</f>
        <v>15</v>
      </c>
      <c r="R251" s="1028"/>
      <c r="S251" s="1028" t="s">
        <v>3611</v>
      </c>
      <c r="T251" s="1097">
        <f t="shared" ref="T251:T252" ca="1" si="307">INDIRECT(S251)</f>
        <v>15</v>
      </c>
      <c r="U251" s="1027">
        <v>2</v>
      </c>
      <c r="V251" s="1027">
        <f>IF(AP251+U251&gt;10,10,IF(AP251+U251&lt;1,1,AP251+U251))</f>
        <v>3</v>
      </c>
      <c r="W251" s="1098" t="e">
        <f>IF(OR(I251&lt;&gt;"N",E251="C"),IF(AND(N251&lt;&gt;"T",ISNUMBER(FIND("V",I251))),1,0),NA())+IF(H251="Y",IF(AND(N251="P",ISNUMBER(FIND("Z",I251))),2,1),0)+IF(J251="Y",1,0)+IF(K251="Y",3,0)+IF(BE251="Lore",L251*2+Experience!$D$25,0)+IF(M251="Y",1,0)</f>
        <v>#N/A</v>
      </c>
      <c r="X251" s="1099"/>
      <c r="Y251" s="1100">
        <f ca="1">IF(P251="NS",IFERROR(INDIRECT(S251),NA()),VLOOKUP(INDIRECT(P251)+INDIRECT(S251),'System Lookups'!$A$3:$D$146,2))</f>
        <v>0.06</v>
      </c>
      <c r="Z251" s="1100">
        <f>IF(ISNA(W251),0,W251*0.03)+IF(X251&gt;0,X251*0.03,0)+IF(AND(ISNA(W251),X251&lt;=0),0,IF(G251&gt;0,G251*0.07,0))</f>
        <v>0</v>
      </c>
      <c r="AA251" s="1101">
        <f ca="1">IF(ISNA(Y251),0,Y251)+Z251</f>
        <v>0.06</v>
      </c>
      <c r="AB251" s="1102">
        <f>VLOOKUP(V251,'System Lookups'!$J$55:$P$64,3)</f>
        <v>0.3</v>
      </c>
      <c r="AC251" s="1103">
        <f>VLOOKUP(V251,'System Lookups'!$J$55:$P$64,4)</f>
        <v>0.4</v>
      </c>
      <c r="AD251" s="1104">
        <f ca="1">IF(AND(ISBLANK(X251),ISNA(W251)),IF(B251="~",0,AB251+AA251+IF(BB251&gt;0,0.05,0)),AA251+AC251+IF(BB251&gt;0,0.05,0))</f>
        <v>0.36</v>
      </c>
      <c r="AE251" s="1094">
        <f ca="1">(IF(AD251&gt;VLOOKUP(V251,'System Lookups'!$J$55:$P$63,6),(((AD251-VLOOKUP(V251,'System Lookups'!$J$55:$P$63,6))*100)/20),0))+AF251</f>
        <v>0</v>
      </c>
      <c r="AF251" s="1121"/>
      <c r="AG251" s="1092">
        <f>IF(ISBLANK(X251),0,AQ251*X251+IF(ISNA(W251),1,0))</f>
        <v>0</v>
      </c>
      <c r="AH251" s="1092" t="str">
        <f>IF(X251&lt;=Experience!$R$15+1,"","*")</f>
        <v/>
      </c>
      <c r="AI251" s="1092"/>
      <c r="AJ251" s="1080">
        <f t="shared" ref="AJ251:AJ252" si="308">IF(ISNUMBER(FIND("R",F251)),-1,0)</f>
        <v>0</v>
      </c>
      <c r="AK251" s="1080">
        <f>IF(F251="s",-2,0)</f>
        <v>0</v>
      </c>
      <c r="AL251" s="1080">
        <f t="shared" ref="AL251:AL252" si="309">IF(AND(H251="Y",OR(N251="P",N251="S")),-1,0)</f>
        <v>0</v>
      </c>
      <c r="AM251" s="1092">
        <f>IF(J251="y",1,0)</f>
        <v>0</v>
      </c>
      <c r="AN251" s="1080">
        <f>IF(N251="P",-1,IF(N251="T",1,0))</f>
        <v>1</v>
      </c>
      <c r="AO251" s="1080">
        <f t="shared" ref="AO251:AO252" si="310">IF(ISNUMBER(FIND("Z",I251)),1,0)</f>
        <v>0</v>
      </c>
      <c r="AP251" s="1080">
        <f>SUM(AJ251:AN251)-AM251</f>
        <v>1</v>
      </c>
      <c r="AQ251" s="1027">
        <f>VLOOKUP(V251,'System Lookups'!$J$55:$P$64,7)</f>
        <v>500</v>
      </c>
      <c r="AR251" s="1080" t="str">
        <f ca="1">IF(AND(NOT(ISBLANK(AJ251)),ISNA(MATCH(ROW(),'System Lookups'!$C$526:$C$539,0))),"Y","N")</f>
        <v>Y</v>
      </c>
      <c r="AS251" s="1080">
        <f>AG251-AI251</f>
        <v>0</v>
      </c>
      <c r="AU251" s="1080" t="e">
        <f t="shared" ref="AU251:AU314" si="311">IF(AND(NOT(ISNUMBER($W251)),ISBLANK($X251)),NA(),IFERROR($W251+$X251,$X251))</f>
        <v>#N/A</v>
      </c>
      <c r="AV251" s="1080" t="str">
        <f t="shared" si="303"/>
        <v>T</v>
      </c>
      <c r="AW251" s="1080">
        <f t="shared" ref="AW251:AW314" si="312">IF(OR(I251="N",ISBLANK(I251)),0,1)</f>
        <v>0</v>
      </c>
      <c r="AX251" s="1080">
        <f t="shared" ref="AX251:AX314" si="313">IF($N251="P",IF(ISNUMBER(FIND("V",$I251)),1,0),0)</f>
        <v>0</v>
      </c>
      <c r="AY251" s="1080">
        <f t="shared" ref="AY251:AY314" si="314">IF($N251="S",IF(ISNUMBER(FIND("V",$I251)),1,0),0)</f>
        <v>0</v>
      </c>
      <c r="AZ251" s="1080">
        <f t="shared" ref="AZ251:AZ314" si="315">IF($N251="T",IF(ISNUMBER(FIND("V",$I251)),1,0),0)</f>
        <v>0</v>
      </c>
      <c r="BA251" s="1080">
        <f t="shared" ref="BA251:BA314" si="316">IF($N251&lt;&gt;"T",IF(OR(ISNUMBER(FIND("C",$I251)),ISNUMBER(FIND("D",$I251)),ISNUMBER(FIND("E",$I251)),ISNUMBER(FIND("F",$I251)),ISNUMBER(FIND("L",$I251)),ISNUMBER(FIND("R",$I251)),ISNUMBER(FIND("S",$I251))),1,0),0)</f>
        <v>0</v>
      </c>
      <c r="BB251" s="1080">
        <f>IF(AND(RACE=1,'Main Creation Page'!$E$6="Well",OR(ISNUMBER(FIND(Experience!$G$11,BE251)),ISNUMBER(FIND(Experience!$G$11,BF251)),ISNUMBER(FIND(Experience!$I$11,BE251)),ISNUMBER(FIND(Experience!$I$11,BF251)))),1,0)</f>
        <v>0</v>
      </c>
      <c r="BC251" s="1080" t="str">
        <f t="shared" si="239"/>
        <v>Cloth Making:Dying</v>
      </c>
      <c r="BD251" s="1080" t="s">
        <v>5688</v>
      </c>
      <c r="BE251" s="1080" t="str">
        <f t="shared" si="304"/>
        <v/>
      </c>
      <c r="BF251" s="1080" t="str">
        <f t="shared" si="305"/>
        <v>Crafts &amp; Trades Skills</v>
      </c>
    </row>
    <row r="252" spans="1:58" ht="11.1" customHeight="1" outlineLevel="2">
      <c r="A252" s="1028" t="s">
        <v>2199</v>
      </c>
      <c r="B252" s="1094"/>
      <c r="C252" s="1094"/>
      <c r="D252" s="1094"/>
      <c r="E252" s="1095" t="str">
        <f>IF(Experience!D3=4,IF('Main Creation Page'!I31="F","C","N"),IF(Experience!F3=4,IF('Main Creation Page'!I31="F","C","N"),"N"))</f>
        <v>N</v>
      </c>
      <c r="F252" s="1095" t="s">
        <v>5224</v>
      </c>
      <c r="G252" s="1096">
        <v>0</v>
      </c>
      <c r="H252" s="1096" t="s">
        <v>5224</v>
      </c>
      <c r="I252" s="1096" t="s">
        <v>5224</v>
      </c>
      <c r="J252" s="1096" t="s">
        <v>5224</v>
      </c>
      <c r="K252" s="1096" t="s">
        <v>5224</v>
      </c>
      <c r="L252" s="1096" t="s">
        <v>5224</v>
      </c>
      <c r="M252" s="1096" t="s">
        <v>5224</v>
      </c>
      <c r="N252" s="1096" t="s">
        <v>4631</v>
      </c>
      <c r="O252" s="1028"/>
      <c r="P252" s="1028" t="s">
        <v>3611</v>
      </c>
      <c r="Q252" s="1097">
        <f t="shared" ca="1" si="306"/>
        <v>15</v>
      </c>
      <c r="R252" s="1028"/>
      <c r="S252" s="1028" t="s">
        <v>3611</v>
      </c>
      <c r="T252" s="1097">
        <f t="shared" ca="1" si="307"/>
        <v>15</v>
      </c>
      <c r="U252" s="1027">
        <v>3</v>
      </c>
      <c r="V252" s="1027">
        <f>IF(AP252+U252&gt;10,10,IF(AP252+U252&lt;1,1,AP252+U252))</f>
        <v>4</v>
      </c>
      <c r="W252" s="1098" t="e">
        <f>IF(OR(I252&lt;&gt;"N",E252="C"),IF(AND(N252&lt;&gt;"T",ISNUMBER(FIND("V",I252))),1,0),NA())+IF(H252="Y",IF(AND(N252="P",ISNUMBER(FIND("Z",I252))),2,1),0)+IF(J252="Y",1,0)+IF(K252="Y",3,0)+IF(BE252="Lore",L252*2+Experience!$D$25,0)+IF(M252="Y",1,0)</f>
        <v>#N/A</v>
      </c>
      <c r="X252" s="1099"/>
      <c r="Y252" s="1100">
        <f ca="1">IF(P252="NS",IFERROR(INDIRECT(S252),NA()),VLOOKUP(INDIRECT(P252)+INDIRECT(S252),'System Lookups'!$A$3:$D$146,2))</f>
        <v>0.06</v>
      </c>
      <c r="Z252" s="1100">
        <f>IF(ISNA(W252),0,W252*0.03)+IF(X252&gt;0,X252*0.03,0)+IF(AND(ISNA(W252),X252&lt;=0),0,IF(G252&gt;0,G252*0.07,0))</f>
        <v>0</v>
      </c>
      <c r="AA252" s="1101">
        <f ca="1">IF(ISNA(Y252),0,Y252)+Z252</f>
        <v>0.06</v>
      </c>
      <c r="AB252" s="1102">
        <f>VLOOKUP(V252,'System Lookups'!$J$55:$P$64,3)</f>
        <v>0.2</v>
      </c>
      <c r="AC252" s="1103">
        <f>VLOOKUP(V252,'System Lookups'!$J$55:$P$64,4)</f>
        <v>0.3</v>
      </c>
      <c r="AD252" s="1104">
        <f ca="1">IF(AND(ISBLANK(X252),ISNA(W252)),IF(B252="~",0,AB252+AA252+IF(BB252&gt;0,0.05,0)),AA252+AC252+IF(BB252&gt;0,0.05,0))</f>
        <v>0.26</v>
      </c>
      <c r="AE252" s="1094">
        <f ca="1">(IF(AD252&gt;VLOOKUP(V252,'System Lookups'!$J$55:$P$63,6),(((AD252-VLOOKUP(V252,'System Lookups'!$J$55:$P$63,6))*100)/20),0))+AF252</f>
        <v>0</v>
      </c>
      <c r="AF252" s="1121"/>
      <c r="AG252" s="1092">
        <f>IF(ISBLANK(X252),0,AQ252*X252+IF(ISNA(W252),1,0))</f>
        <v>0</v>
      </c>
      <c r="AH252" s="1092" t="str">
        <f>IF(X252&lt;=Experience!$R$15+1,"","*")</f>
        <v/>
      </c>
      <c r="AI252" s="1092"/>
      <c r="AJ252" s="1080">
        <f t="shared" si="308"/>
        <v>0</v>
      </c>
      <c r="AK252" s="1080">
        <f>IF(F252="s",-2,0)</f>
        <v>0</v>
      </c>
      <c r="AL252" s="1080">
        <f t="shared" si="309"/>
        <v>0</v>
      </c>
      <c r="AM252" s="1092">
        <f>IF(J252="y",1,0)</f>
        <v>0</v>
      </c>
      <c r="AN252" s="1080">
        <f>IF(N252="P",-1,IF(N252="T",1,0))</f>
        <v>1</v>
      </c>
      <c r="AO252" s="1080">
        <f t="shared" si="310"/>
        <v>0</v>
      </c>
      <c r="AP252" s="1080">
        <f>SUM(AJ252:AN252)-AM252</f>
        <v>1</v>
      </c>
      <c r="AQ252" s="1027">
        <f>VLOOKUP(V252,'System Lookups'!$J$55:$P$64,7)</f>
        <v>600</v>
      </c>
      <c r="AR252" s="1080" t="str">
        <f ca="1">IF(AND(NOT(ISBLANK(AJ252)),ISNA(MATCH(ROW(),'System Lookups'!$C$526:$C$539,0))),"Y","N")</f>
        <v>Y</v>
      </c>
      <c r="AS252" s="1080">
        <f>AG252-AI252</f>
        <v>0</v>
      </c>
      <c r="AU252" s="1080" t="e">
        <f t="shared" si="311"/>
        <v>#N/A</v>
      </c>
      <c r="AV252" s="1080" t="str">
        <f t="shared" si="303"/>
        <v>T</v>
      </c>
      <c r="AW252" s="1080">
        <f t="shared" si="312"/>
        <v>0</v>
      </c>
      <c r="AX252" s="1080">
        <f t="shared" si="313"/>
        <v>0</v>
      </c>
      <c r="AY252" s="1080">
        <f t="shared" si="314"/>
        <v>0</v>
      </c>
      <c r="AZ252" s="1080">
        <f t="shared" si="315"/>
        <v>0</v>
      </c>
      <c r="BA252" s="1080">
        <f t="shared" si="316"/>
        <v>0</v>
      </c>
      <c r="BB252" s="1080">
        <f>IF(AND(RACE=1,'Main Creation Page'!$E$6="Well",OR(ISNUMBER(FIND(Experience!$G$11,BE252)),ISNUMBER(FIND(Experience!$G$11,BF252)),ISNUMBER(FIND(Experience!$I$11,BE252)),ISNUMBER(FIND(Experience!$I$11,BF252)))),1,0)</f>
        <v>0</v>
      </c>
      <c r="BC252" s="1080" t="str">
        <f t="shared" si="239"/>
        <v>Cloth Making:Spinning &amp; Weaving</v>
      </c>
      <c r="BD252" s="1080" t="s">
        <v>5688</v>
      </c>
      <c r="BE252" s="1080" t="str">
        <f t="shared" si="304"/>
        <v/>
      </c>
      <c r="BF252" s="1080" t="str">
        <f t="shared" si="305"/>
        <v>Crafts &amp; Trades Skills</v>
      </c>
    </row>
    <row r="253" spans="1:58" ht="11.1" customHeight="1" outlineLevel="1">
      <c r="A253" s="1124" t="s">
        <v>1476</v>
      </c>
      <c r="B253" s="1111"/>
      <c r="C253" s="1111"/>
      <c r="D253" s="1111"/>
      <c r="O253" s="1034"/>
      <c r="P253" s="1034"/>
      <c r="Q253" s="1034"/>
      <c r="R253" s="1034"/>
      <c r="V253" s="1027"/>
      <c r="W253" s="1112"/>
      <c r="AE253" s="1094"/>
      <c r="AF253" s="1121"/>
      <c r="AR253" s="1080" t="str">
        <f ca="1">IF(AND(NOT(ISBLANK(AJ253)),ISNA(MATCH(ROW(),'System Lookups'!$C$526:$C$539,0))),"Y","N")</f>
        <v>N</v>
      </c>
      <c r="AU253" s="1080" t="e">
        <f t="shared" si="311"/>
        <v>#N/A</v>
      </c>
      <c r="AV253" s="1080" t="str">
        <f t="shared" si="303"/>
        <v/>
      </c>
      <c r="AW253" s="1080">
        <f t="shared" si="312"/>
        <v>0</v>
      </c>
      <c r="AX253" s="1080">
        <f t="shared" si="313"/>
        <v>0</v>
      </c>
      <c r="AY253" s="1080">
        <f t="shared" si="314"/>
        <v>0</v>
      </c>
      <c r="AZ253" s="1080">
        <f t="shared" si="315"/>
        <v>0</v>
      </c>
      <c r="BA253" s="1080">
        <f t="shared" si="316"/>
        <v>0</v>
      </c>
      <c r="BB253" s="1080">
        <f>IF(AND(RACE=1,'Main Creation Page'!$E$6="Well",OR(ISNUMBER(FIND(Experience!$G$11,BE253)),ISNUMBER(FIND(Experience!$G$11,BF253)),ISNUMBER(FIND(Experience!$I$11,BE253)),ISNUMBER(FIND(Experience!$I$11,BF253)))),1,0)</f>
        <v>0</v>
      </c>
      <c r="BC253" s="1080" t="e">
        <f t="shared" si="239"/>
        <v>#N/A</v>
      </c>
      <c r="BD253" s="1080" t="s">
        <v>5689</v>
      </c>
      <c r="BE253" s="1080" t="str">
        <f t="shared" si="304"/>
        <v/>
      </c>
      <c r="BF253" s="1080" t="str">
        <f t="shared" si="305"/>
        <v>Crafts &amp; Trades Skills</v>
      </c>
    </row>
    <row r="254" spans="1:58" ht="11.1" customHeight="1" outlineLevel="2">
      <c r="A254" s="1028" t="s">
        <v>3800</v>
      </c>
      <c r="B254" s="1094"/>
      <c r="C254" s="1094"/>
      <c r="D254" s="1094"/>
      <c r="E254" s="1095" t="s">
        <v>5224</v>
      </c>
      <c r="F254" s="1095" t="s">
        <v>5224</v>
      </c>
      <c r="G254" s="1096">
        <v>0</v>
      </c>
      <c r="H254" s="1096" t="s">
        <v>5224</v>
      </c>
      <c r="I254" s="1096" t="s">
        <v>5224</v>
      </c>
      <c r="J254" s="1096" t="s">
        <v>5224</v>
      </c>
      <c r="K254" s="1096" t="s">
        <v>5224</v>
      </c>
      <c r="L254" s="1096" t="s">
        <v>5224</v>
      </c>
      <c r="M254" s="1096" t="s">
        <v>5224</v>
      </c>
      <c r="N254" s="1096" t="s">
        <v>4631</v>
      </c>
      <c r="O254" s="1028"/>
      <c r="P254" s="1028" t="s">
        <v>3615</v>
      </c>
      <c r="Q254" s="1097">
        <f t="shared" ref="Q254:Q264" ca="1" si="317">INDIRECT(P254)</f>
        <v>20</v>
      </c>
      <c r="R254" s="1028"/>
      <c r="S254" s="1028" t="s">
        <v>3616</v>
      </c>
      <c r="T254" s="1097">
        <f t="shared" ref="T254:T264" ca="1" si="318">INDIRECT(S254)</f>
        <v>17</v>
      </c>
      <c r="U254" s="1027">
        <v>2</v>
      </c>
      <c r="V254" s="1027">
        <f t="shared" ref="V254:V264" si="319">IF(AP254+U254&gt;10,10,IF(AP254+U254&lt;1,1,AP254+U254))</f>
        <v>3</v>
      </c>
      <c r="W254" s="1098" t="e">
        <f>IF(OR(I254&lt;&gt;"N",E254="C"),IF(AND(N254&lt;&gt;"T",ISNUMBER(FIND("V",I254))),1,0),NA())+IF(H254="Y",IF(AND(N254="P",ISNUMBER(FIND("Z",I254))),2,1),0)+IF(J254="Y",1,0)+IF(K254="Y",3,0)+IF(BE254="Lore",L254*2+Experience!$D$25,0)+IF(M254="Y",1,0)</f>
        <v>#N/A</v>
      </c>
      <c r="X254" s="1099"/>
      <c r="Y254" s="1100">
        <f ca="1">IF(P254="NS",IFERROR(INDIRECT(S254),NA()),VLOOKUP(INDIRECT(P254)+INDIRECT(S254),'System Lookups'!$A$3:$D$146,2))</f>
        <v>0.14000000000000001</v>
      </c>
      <c r="Z254" s="1100">
        <f t="shared" ref="Z254:Z264" si="320">IF(ISNA(W254),0,W254*0.03)+IF(X254&gt;0,X254*0.03,0)+IF(AND(ISNA(W254),X254&lt;=0),0,IF(G254&gt;0,G254*0.07,0))</f>
        <v>0</v>
      </c>
      <c r="AA254" s="1101">
        <f t="shared" ref="AA254:AA264" ca="1" si="321">IF(ISNA(Y254),0,Y254)+Z254</f>
        <v>0.14000000000000001</v>
      </c>
      <c r="AB254" s="1102">
        <f>VLOOKUP(V254,'System Lookups'!$J$55:$P$64,3)</f>
        <v>0.3</v>
      </c>
      <c r="AC254" s="1103">
        <f>VLOOKUP(V254,'System Lookups'!$J$55:$P$64,4)</f>
        <v>0.4</v>
      </c>
      <c r="AD254" s="1104">
        <f t="shared" ref="AD254:AD264" ca="1" si="322">IF(AND(ISBLANK(X254),ISNA(W254)),IF(B254="~",0,AB254+AA254+IF(BB254&gt;0,0.05,0)),AA254+AC254+IF(BB254&gt;0,0.05,0))</f>
        <v>0.44</v>
      </c>
      <c r="AE254" s="1094">
        <f ca="1">(IF(AD254&gt;VLOOKUP(V254,'System Lookups'!$J$55:$P$63,6),(((AD254-VLOOKUP(V254,'System Lookups'!$J$55:$P$63,6))*100)/20),0))+AF254</f>
        <v>0</v>
      </c>
      <c r="AF254" s="1121"/>
      <c r="AG254" s="1092">
        <f t="shared" ref="AG254:AG264" si="323">IF(ISBLANK(X254),0,AQ254*X254+IF(ISNA(W254),1,0))</f>
        <v>0</v>
      </c>
      <c r="AH254" s="1092" t="str">
        <f>IF(X254&lt;=Experience!$R$15+1,"","*")</f>
        <v/>
      </c>
      <c r="AI254" s="1092"/>
      <c r="AJ254" s="1080">
        <f t="shared" ref="AJ254:AJ264" si="324">IF(ISNUMBER(FIND("R",F254)),-1,0)</f>
        <v>0</v>
      </c>
      <c r="AK254" s="1080">
        <f t="shared" ref="AK254:AK264" si="325">IF(F254="s",-2,0)</f>
        <v>0</v>
      </c>
      <c r="AL254" s="1080">
        <f t="shared" ref="AL254:AL264" si="326">IF(AND(H254="Y",OR(N254="P",N254="S")),-1,0)</f>
        <v>0</v>
      </c>
      <c r="AM254" s="1092">
        <f t="shared" ref="AM254:AM264" si="327">IF(J254="y",1,0)</f>
        <v>0</v>
      </c>
      <c r="AN254" s="1080">
        <f t="shared" ref="AN254:AN264" si="328">IF(N254="P",-1,IF(N254="T",1,0))</f>
        <v>1</v>
      </c>
      <c r="AO254" s="1080">
        <f t="shared" ref="AO254:AO264" si="329">IF(ISNUMBER(FIND("Z",I254)),1,0)</f>
        <v>0</v>
      </c>
      <c r="AP254" s="1080">
        <f t="shared" ref="AP254:AP264" si="330">SUM(AJ254:AN254)-AM254</f>
        <v>1</v>
      </c>
      <c r="AQ254" s="1027">
        <f>VLOOKUP(V254,'System Lookups'!$J$55:$P$64,7)</f>
        <v>500</v>
      </c>
      <c r="AR254" s="1080" t="str">
        <f ca="1">IF(AND(NOT(ISBLANK(AJ254)),ISNA(MATCH(ROW(),'System Lookups'!$C$526:$C$539,0))),"Y","N")</f>
        <v>Y</v>
      </c>
      <c r="AS254" s="1080">
        <f t="shared" ref="AS254:AS264" si="331">AG254-AI254</f>
        <v>0</v>
      </c>
      <c r="AU254" s="1080" t="e">
        <f t="shared" si="311"/>
        <v>#N/A</v>
      </c>
      <c r="AV254" s="1080" t="str">
        <f t="shared" si="303"/>
        <v>T</v>
      </c>
      <c r="AW254" s="1080">
        <f t="shared" si="312"/>
        <v>0</v>
      </c>
      <c r="AX254" s="1080">
        <f t="shared" si="313"/>
        <v>0</v>
      </c>
      <c r="AY254" s="1080">
        <f t="shared" si="314"/>
        <v>0</v>
      </c>
      <c r="AZ254" s="1080">
        <f t="shared" si="315"/>
        <v>0</v>
      </c>
      <c r="BA254" s="1080">
        <f t="shared" si="316"/>
        <v>0</v>
      </c>
      <c r="BB254" s="1080">
        <f>IF(AND(RACE=1,'Main Creation Page'!$E$6="Well",OR(ISNUMBER(FIND(Experience!$G$11,BE254)),ISNUMBER(FIND(Experience!$G$11,BF254)),ISNUMBER(FIND(Experience!$I$11,BE254)),ISNUMBER(FIND(Experience!$I$11,BF254)))),1,0)</f>
        <v>0</v>
      </c>
      <c r="BC254" s="1080" t="str">
        <f t="shared" si="239"/>
        <v>Clothes:Fuller</v>
      </c>
      <c r="BD254" s="1080" t="s">
        <v>5689</v>
      </c>
      <c r="BE254" s="1080" t="str">
        <f t="shared" si="304"/>
        <v/>
      </c>
      <c r="BF254" s="1080" t="str">
        <f t="shared" si="305"/>
        <v>Crafts &amp; Trades Skills</v>
      </c>
    </row>
    <row r="255" spans="1:58" ht="11.1" customHeight="1" outlineLevel="2">
      <c r="A255" s="1028" t="s">
        <v>2195</v>
      </c>
      <c r="B255" s="1094"/>
      <c r="C255" s="1094"/>
      <c r="D255" s="1094"/>
      <c r="E255" s="1095" t="str">
        <f>IF(Experience!D3=3,IF('Main Creation Page'!I31="F","C","N"),IF(Experience!F3=3,IF('Main Creation Page'!I31="F","C","N"),"N"))</f>
        <v>N</v>
      </c>
      <c r="F255" s="1095" t="s">
        <v>5224</v>
      </c>
      <c r="G255" s="1096">
        <v>0</v>
      </c>
      <c r="H255" s="1096" t="s">
        <v>5224</v>
      </c>
      <c r="I255" s="1096" t="s">
        <v>5224</v>
      </c>
      <c r="J255" s="1096" t="s">
        <v>5224</v>
      </c>
      <c r="K255" s="1096" t="s">
        <v>5224</v>
      </c>
      <c r="L255" s="1096" t="s">
        <v>5224</v>
      </c>
      <c r="M255" s="1096" t="s">
        <v>5224</v>
      </c>
      <c r="N255" s="1096" t="s">
        <v>4631</v>
      </c>
      <c r="O255" s="1028"/>
      <c r="P255" s="1028" t="s">
        <v>3611</v>
      </c>
      <c r="Q255" s="1097">
        <f t="shared" ca="1" si="317"/>
        <v>15</v>
      </c>
      <c r="R255" s="1028"/>
      <c r="S255" s="1028" t="s">
        <v>3611</v>
      </c>
      <c r="T255" s="1097">
        <f t="shared" ca="1" si="318"/>
        <v>15</v>
      </c>
      <c r="U255" s="1027">
        <v>2</v>
      </c>
      <c r="V255" s="1027">
        <f t="shared" si="319"/>
        <v>3</v>
      </c>
      <c r="W255" s="1098" t="e">
        <f>IF(OR(I255&lt;&gt;"N",E255="C"),IF(AND(N255&lt;&gt;"T",ISNUMBER(FIND("V",I255))),1,0),NA())+IF(H255="Y",IF(AND(N255="P",ISNUMBER(FIND("Z",I255))),2,1),0)+IF(J255="Y",1,0)+IF(K255="Y",3,0)+IF(BE255="Lore",L255*2+Experience!$D$25,0)+IF(M255="Y",1,0)</f>
        <v>#N/A</v>
      </c>
      <c r="X255" s="1099"/>
      <c r="Y255" s="1100">
        <f ca="1">IF(P255="NS",IFERROR(INDIRECT(S255),NA()),VLOOKUP(INDIRECT(P255)+INDIRECT(S255),'System Lookups'!$A$3:$D$146,2))</f>
        <v>0.06</v>
      </c>
      <c r="Z255" s="1100">
        <f t="shared" si="320"/>
        <v>0</v>
      </c>
      <c r="AA255" s="1101">
        <f t="shared" ca="1" si="321"/>
        <v>0.06</v>
      </c>
      <c r="AB255" s="1102">
        <f>VLOOKUP(V255,'System Lookups'!$J$55:$P$64,3)</f>
        <v>0.3</v>
      </c>
      <c r="AC255" s="1103">
        <f>VLOOKUP(V255,'System Lookups'!$J$55:$P$64,4)</f>
        <v>0.4</v>
      </c>
      <c r="AD255" s="1104">
        <f t="shared" ca="1" si="322"/>
        <v>0.36</v>
      </c>
      <c r="AE255" s="1094">
        <f ca="1">(IF(AD255&gt;VLOOKUP(V255,'System Lookups'!$J$55:$P$63,6),(((AD255-VLOOKUP(V255,'System Lookups'!$J$55:$P$63,6))*100)/20),0))+AF255</f>
        <v>0</v>
      </c>
      <c r="AF255" s="1121"/>
      <c r="AG255" s="1092">
        <f t="shared" si="323"/>
        <v>0</v>
      </c>
      <c r="AH255" s="1092" t="str">
        <f>IF(X255&lt;=Experience!$R$15+1,"","*")</f>
        <v/>
      </c>
      <c r="AI255" s="1092"/>
      <c r="AJ255" s="1080">
        <f t="shared" si="324"/>
        <v>0</v>
      </c>
      <c r="AK255" s="1080">
        <f t="shared" si="325"/>
        <v>0</v>
      </c>
      <c r="AL255" s="1080">
        <f t="shared" si="326"/>
        <v>0</v>
      </c>
      <c r="AM255" s="1092">
        <f t="shared" si="327"/>
        <v>0</v>
      </c>
      <c r="AN255" s="1080">
        <f t="shared" si="328"/>
        <v>1</v>
      </c>
      <c r="AO255" s="1080">
        <f t="shared" si="329"/>
        <v>0</v>
      </c>
      <c r="AP255" s="1080">
        <f t="shared" si="330"/>
        <v>1</v>
      </c>
      <c r="AQ255" s="1027">
        <f>VLOOKUP(V255,'System Lookups'!$J$55:$P$64,7)</f>
        <v>500</v>
      </c>
      <c r="AR255" s="1080" t="str">
        <f ca="1">IF(AND(NOT(ISBLANK(AJ255)),ISNA(MATCH(ROW(),'System Lookups'!$C$526:$C$539,0))),"Y","N")</f>
        <v>Y</v>
      </c>
      <c r="AS255" s="1080">
        <f t="shared" si="331"/>
        <v>0</v>
      </c>
      <c r="AU255" s="1080" t="e">
        <f t="shared" si="311"/>
        <v>#N/A</v>
      </c>
      <c r="AV255" s="1080" t="str">
        <f t="shared" si="303"/>
        <v>T</v>
      </c>
      <c r="AW255" s="1080">
        <f t="shared" si="312"/>
        <v>0</v>
      </c>
      <c r="AX255" s="1080">
        <f t="shared" si="313"/>
        <v>0</v>
      </c>
      <c r="AY255" s="1080">
        <f t="shared" si="314"/>
        <v>0</v>
      </c>
      <c r="AZ255" s="1080">
        <f t="shared" si="315"/>
        <v>0</v>
      </c>
      <c r="BA255" s="1080">
        <f t="shared" si="316"/>
        <v>0</v>
      </c>
      <c r="BB255" s="1080">
        <f>IF(AND(RACE=1,'Main Creation Page'!$E$6="Well",OR(ISNUMBER(FIND(Experience!$G$11,BE255)),ISNUMBER(FIND(Experience!$G$11,BF255)),ISNUMBER(FIND(Experience!$I$11,BE255)),ISNUMBER(FIND(Experience!$I$11,BF255)))),1,0)</f>
        <v>0</v>
      </c>
      <c r="BC255" s="1080" t="str">
        <f t="shared" si="239"/>
        <v>Clothes:Sewing, Embroidering, Knitting</v>
      </c>
      <c r="BD255" s="1080" t="s">
        <v>5689</v>
      </c>
      <c r="BE255" s="1080" t="str">
        <f t="shared" si="304"/>
        <v/>
      </c>
      <c r="BF255" s="1080" t="str">
        <f t="shared" si="305"/>
        <v>Crafts &amp; Trades Skills</v>
      </c>
    </row>
    <row r="256" spans="1:58" ht="11.1" customHeight="1" outlineLevel="2">
      <c r="A256" s="1028" t="s">
        <v>2196</v>
      </c>
      <c r="B256" s="1094" t="s">
        <v>1942</v>
      </c>
      <c r="C256" s="1094"/>
      <c r="D256" s="1094"/>
      <c r="E256" s="1095" t="s">
        <v>5224</v>
      </c>
      <c r="F256" s="1095" t="s">
        <v>5224</v>
      </c>
      <c r="G256" s="1096">
        <v>0</v>
      </c>
      <c r="H256" s="1096" t="s">
        <v>5224</v>
      </c>
      <c r="I256" s="1096" t="s">
        <v>5224</v>
      </c>
      <c r="J256" s="1096" t="s">
        <v>5224</v>
      </c>
      <c r="K256" s="1096" t="s">
        <v>5224</v>
      </c>
      <c r="L256" s="1096" t="s">
        <v>5224</v>
      </c>
      <c r="M256" s="1096" t="s">
        <v>5224</v>
      </c>
      <c r="N256" s="1096" t="s">
        <v>4631</v>
      </c>
      <c r="O256" s="1028"/>
      <c r="P256" s="1028" t="s">
        <v>3611</v>
      </c>
      <c r="Q256" s="1097">
        <f t="shared" ca="1" si="317"/>
        <v>15</v>
      </c>
      <c r="R256" s="1028"/>
      <c r="S256" s="1028" t="s">
        <v>3611</v>
      </c>
      <c r="T256" s="1097">
        <f t="shared" ca="1" si="318"/>
        <v>15</v>
      </c>
      <c r="U256" s="1027">
        <v>4</v>
      </c>
      <c r="V256" s="1027">
        <f t="shared" si="319"/>
        <v>5</v>
      </c>
      <c r="W256" s="1098" t="e">
        <f>IF(OR(I256&lt;&gt;"N",E256="C"),IF(AND(N256&lt;&gt;"T",ISNUMBER(FIND("V",I256))),1,0),NA())+IF(H256="Y",IF(AND(N256="P",ISNUMBER(FIND("Z",I256))),2,1),0)+IF(J256="Y",1,0)+IF(K256="Y",3,0)+IF(BE256="Lore",L256*2+Experience!$D$25,0)+IF(M256="Y",1,0)</f>
        <v>#N/A</v>
      </c>
      <c r="X256" s="1099"/>
      <c r="Y256" s="1100">
        <f ca="1">IF(P256="NS",IFERROR(INDIRECT(S256),NA()),VLOOKUP(INDIRECT(P256)+INDIRECT(S256),'System Lookups'!$A$3:$D$146,2))</f>
        <v>0.06</v>
      </c>
      <c r="Z256" s="1100">
        <f t="shared" si="320"/>
        <v>0</v>
      </c>
      <c r="AA256" s="1101">
        <f t="shared" ca="1" si="321"/>
        <v>0.06</v>
      </c>
      <c r="AB256" s="1102">
        <f>VLOOKUP(V256,'System Lookups'!$J$55:$P$64,3)</f>
        <v>0.1</v>
      </c>
      <c r="AC256" s="1103">
        <f>VLOOKUP(V256,'System Lookups'!$J$55:$P$64,4)</f>
        <v>0.2</v>
      </c>
      <c r="AD256" s="1104">
        <f t="shared" si="322"/>
        <v>0</v>
      </c>
      <c r="AE256" s="1094">
        <f>(IF(AD256&gt;VLOOKUP(V256,'System Lookups'!$J$55:$P$63,6),(((AD256-VLOOKUP(V256,'System Lookups'!$J$55:$P$63,6))*100)/20),0))+AF256</f>
        <v>0</v>
      </c>
      <c r="AF256" s="1121"/>
      <c r="AG256" s="1092">
        <f t="shared" si="323"/>
        <v>0</v>
      </c>
      <c r="AH256" s="1092" t="str">
        <f>IF(X256&lt;=Experience!$R$15+1,"","*")</f>
        <v/>
      </c>
      <c r="AI256" s="1092"/>
      <c r="AJ256" s="1080">
        <f t="shared" si="324"/>
        <v>0</v>
      </c>
      <c r="AK256" s="1080">
        <f t="shared" si="325"/>
        <v>0</v>
      </c>
      <c r="AL256" s="1080">
        <f t="shared" si="326"/>
        <v>0</v>
      </c>
      <c r="AM256" s="1092">
        <f t="shared" si="327"/>
        <v>0</v>
      </c>
      <c r="AN256" s="1080">
        <f t="shared" si="328"/>
        <v>1</v>
      </c>
      <c r="AO256" s="1080">
        <f t="shared" si="329"/>
        <v>0</v>
      </c>
      <c r="AP256" s="1080">
        <f t="shared" si="330"/>
        <v>1</v>
      </c>
      <c r="AQ256" s="1027">
        <f>VLOOKUP(V256,'System Lookups'!$J$55:$P$64,7)</f>
        <v>700</v>
      </c>
      <c r="AR256" s="1080" t="str">
        <f ca="1">IF(AND(NOT(ISBLANK(AJ256)),ISNA(MATCH(ROW(),'System Lookups'!$C$526:$C$539,0))),"Y","N")</f>
        <v>Y</v>
      </c>
      <c r="AS256" s="1080">
        <f t="shared" si="331"/>
        <v>0</v>
      </c>
      <c r="AU256" s="1080" t="e">
        <f t="shared" si="311"/>
        <v>#N/A</v>
      </c>
      <c r="AV256" s="1080" t="str">
        <f t="shared" si="303"/>
        <v>T</v>
      </c>
      <c r="AW256" s="1080">
        <f t="shared" si="312"/>
        <v>0</v>
      </c>
      <c r="AX256" s="1080">
        <f t="shared" si="313"/>
        <v>0</v>
      </c>
      <c r="AY256" s="1080">
        <f t="shared" si="314"/>
        <v>0</v>
      </c>
      <c r="AZ256" s="1080">
        <f t="shared" si="315"/>
        <v>0</v>
      </c>
      <c r="BA256" s="1080">
        <f t="shared" si="316"/>
        <v>0</v>
      </c>
      <c r="BB256" s="1080">
        <f>IF(AND(RACE=1,'Main Creation Page'!$E$6="Well",OR(ISNUMBER(FIND(Experience!$G$11,BE256)),ISNUMBER(FIND(Experience!$G$11,BF256)),ISNUMBER(FIND(Experience!$I$11,BE256)),ISNUMBER(FIND(Experience!$I$11,BF256)))),1,0)</f>
        <v>0</v>
      </c>
      <c r="BC256" s="1080" t="str">
        <f t="shared" si="239"/>
        <v>Clothes:Tailoring</v>
      </c>
      <c r="BD256" s="1080" t="s">
        <v>5689</v>
      </c>
      <c r="BE256" s="1080" t="str">
        <f t="shared" si="304"/>
        <v/>
      </c>
      <c r="BF256" s="1080" t="str">
        <f t="shared" si="305"/>
        <v>Crafts &amp; Trades Skills</v>
      </c>
    </row>
    <row r="257" spans="1:58" ht="11.1" customHeight="1" outlineLevel="1">
      <c r="A257" s="1123" t="s">
        <v>3537</v>
      </c>
      <c r="B257" s="1094" t="s">
        <v>1942</v>
      </c>
      <c r="C257" s="1094"/>
      <c r="D257" s="1094"/>
      <c r="E257" s="1095" t="s">
        <v>5224</v>
      </c>
      <c r="F257" s="1095" t="s">
        <v>5224</v>
      </c>
      <c r="G257" s="1096">
        <v>0</v>
      </c>
      <c r="H257" s="1096" t="s">
        <v>5224</v>
      </c>
      <c r="I257" s="1096" t="s">
        <v>5224</v>
      </c>
      <c r="J257" s="1096" t="s">
        <v>5224</v>
      </c>
      <c r="K257" s="1096" t="s">
        <v>5224</v>
      </c>
      <c r="L257" s="1096" t="s">
        <v>5224</v>
      </c>
      <c r="M257" s="1096" t="s">
        <v>5224</v>
      </c>
      <c r="N257" s="1096" t="s">
        <v>4631</v>
      </c>
      <c r="O257" s="1028"/>
      <c r="P257" s="1028" t="s">
        <v>3615</v>
      </c>
      <c r="Q257" s="1097">
        <f t="shared" ca="1" si="317"/>
        <v>20</v>
      </c>
      <c r="R257" s="1028"/>
      <c r="S257" s="1028" t="s">
        <v>3611</v>
      </c>
      <c r="T257" s="1097">
        <f t="shared" ca="1" si="318"/>
        <v>15</v>
      </c>
      <c r="U257" s="1027">
        <v>3</v>
      </c>
      <c r="V257" s="1027">
        <f t="shared" si="319"/>
        <v>4</v>
      </c>
      <c r="W257" s="1098" t="e">
        <f>IF(OR(I257&lt;&gt;"N",E257="C"),IF(AND(N257&lt;&gt;"T",ISNUMBER(FIND("V",I257))),1,0),NA())+IF(H257="Y",IF(AND(N257="P",ISNUMBER(FIND("Z",I257))),2,1),0)+IF(J257="Y",1,0)+IF(K257="Y",3,0)+IF(BE257="Lore",L257*2+Experience!$D$25,0)+IF(M257="Y",1,0)</f>
        <v>#N/A</v>
      </c>
      <c r="X257" s="1099"/>
      <c r="Y257" s="1100">
        <f ca="1">IF(P257="NS",IFERROR(INDIRECT(S257),NA()),VLOOKUP(INDIRECT(P257)+INDIRECT(S257),'System Lookups'!$A$3:$D$146,2))</f>
        <v>0.12</v>
      </c>
      <c r="Z257" s="1100">
        <f t="shared" si="320"/>
        <v>0</v>
      </c>
      <c r="AA257" s="1101">
        <f t="shared" ca="1" si="321"/>
        <v>0.12</v>
      </c>
      <c r="AB257" s="1102">
        <f>VLOOKUP(V257,'System Lookups'!$J$55:$P$64,3)</f>
        <v>0.2</v>
      </c>
      <c r="AC257" s="1103">
        <f>VLOOKUP(V257,'System Lookups'!$J$55:$P$64,4)</f>
        <v>0.3</v>
      </c>
      <c r="AD257" s="1104">
        <f t="shared" si="322"/>
        <v>0</v>
      </c>
      <c r="AE257" s="1094">
        <f>(IF(AD257&gt;VLOOKUP(V257,'System Lookups'!$J$55:$P$63,6),(((AD257-VLOOKUP(V257,'System Lookups'!$J$55:$P$63,6))*100)/20),0))+AF257</f>
        <v>0</v>
      </c>
      <c r="AF257" s="1121"/>
      <c r="AG257" s="1092">
        <f t="shared" si="323"/>
        <v>0</v>
      </c>
      <c r="AH257" s="1092" t="str">
        <f>IF(X257&lt;=Experience!$R$15+1,"","*")</f>
        <v/>
      </c>
      <c r="AI257" s="1092"/>
      <c r="AJ257" s="1080">
        <f t="shared" si="324"/>
        <v>0</v>
      </c>
      <c r="AK257" s="1080">
        <f t="shared" si="325"/>
        <v>0</v>
      </c>
      <c r="AL257" s="1080">
        <f t="shared" si="326"/>
        <v>0</v>
      </c>
      <c r="AM257" s="1092">
        <f t="shared" si="327"/>
        <v>0</v>
      </c>
      <c r="AN257" s="1080">
        <f t="shared" si="328"/>
        <v>1</v>
      </c>
      <c r="AO257" s="1080">
        <f t="shared" si="329"/>
        <v>0</v>
      </c>
      <c r="AP257" s="1080">
        <f t="shared" si="330"/>
        <v>1</v>
      </c>
      <c r="AQ257" s="1027">
        <f>VLOOKUP(V257,'System Lookups'!$J$55:$P$64,7)</f>
        <v>600</v>
      </c>
      <c r="AR257" s="1080" t="str">
        <f ca="1">IF(AND(NOT(ISBLANK(AJ257)),ISNA(MATCH(ROW(),'System Lookups'!$C$526:$C$539,0))),"Y","N")</f>
        <v>Y</v>
      </c>
      <c r="AS257" s="1080">
        <f t="shared" si="331"/>
        <v>0</v>
      </c>
      <c r="AU257" s="1080" t="e">
        <f t="shared" si="311"/>
        <v>#N/A</v>
      </c>
      <c r="AV257" s="1080" t="str">
        <f t="shared" si="303"/>
        <v>T</v>
      </c>
      <c r="AW257" s="1080">
        <f t="shared" si="312"/>
        <v>0</v>
      </c>
      <c r="AX257" s="1080">
        <f t="shared" si="313"/>
        <v>0</v>
      </c>
      <c r="AY257" s="1080">
        <f t="shared" si="314"/>
        <v>0</v>
      </c>
      <c r="AZ257" s="1080">
        <f t="shared" si="315"/>
        <v>0</v>
      </c>
      <c r="BA257" s="1080">
        <f t="shared" si="316"/>
        <v>0</v>
      </c>
      <c r="BB257" s="1080">
        <f>IF(AND(RACE=1,'Main Creation Page'!$E$6="Well",OR(ISNUMBER(FIND(Experience!$G$11,BE257)),ISNUMBER(FIND(Experience!$G$11,BF257)),ISNUMBER(FIND(Experience!$I$11,BE257)),ISNUMBER(FIND(Experience!$I$11,BF257)))),1,0)</f>
        <v>0</v>
      </c>
      <c r="BC257" s="1080" t="str">
        <f t="shared" si="239"/>
        <v>Cobbler</v>
      </c>
      <c r="BE257" s="1080" t="str">
        <f t="shared" si="304"/>
        <v/>
      </c>
      <c r="BF257" s="1080" t="str">
        <f t="shared" si="305"/>
        <v>Crafts &amp; Trades Skills</v>
      </c>
    </row>
    <row r="258" spans="1:58" ht="11.1" customHeight="1" outlineLevel="1">
      <c r="A258" s="1117" t="s">
        <v>748</v>
      </c>
      <c r="B258" s="1094" t="s">
        <v>1942</v>
      </c>
      <c r="C258" s="1094"/>
      <c r="D258" s="1094"/>
      <c r="E258" s="1095" t="s">
        <v>5224</v>
      </c>
      <c r="F258" s="1095" t="s">
        <v>5224</v>
      </c>
      <c r="G258" s="1096">
        <v>0</v>
      </c>
      <c r="H258" s="1096" t="s">
        <v>5224</v>
      </c>
      <c r="I258" s="1096" t="s">
        <v>5224</v>
      </c>
      <c r="J258" s="1096" t="s">
        <v>5224</v>
      </c>
      <c r="K258" s="1096" t="s">
        <v>5224</v>
      </c>
      <c r="L258" s="1096" t="s">
        <v>5224</v>
      </c>
      <c r="M258" s="1096" t="s">
        <v>5224</v>
      </c>
      <c r="N258" s="1096" t="s">
        <v>4631</v>
      </c>
      <c r="O258" s="1028"/>
      <c r="P258" s="1028" t="s">
        <v>3615</v>
      </c>
      <c r="Q258" s="1097">
        <f t="shared" ca="1" si="317"/>
        <v>20</v>
      </c>
      <c r="R258" s="1028"/>
      <c r="S258" s="1028" t="s">
        <v>3611</v>
      </c>
      <c r="T258" s="1097">
        <f t="shared" ca="1" si="318"/>
        <v>15</v>
      </c>
      <c r="U258" s="1027">
        <f>IF(ISBLANK($X$244),3,2)</f>
        <v>3</v>
      </c>
      <c r="V258" s="1027">
        <f t="shared" si="319"/>
        <v>4</v>
      </c>
      <c r="W258" s="1098" t="e">
        <f>IF(OR(I258&lt;&gt;"N",E258="C"),IF(AND(N258&lt;&gt;"T",ISNUMBER(FIND("V",I258))),1,0),NA())+IF(H258="Y",IF(AND(N258="P",ISNUMBER(FIND("Z",I258))),2,1),0)+IF(J258="Y",1,0)+IF(K258="Y",3,0)+IF(BE258="Lore",L258*2+Experience!$D$25,0)+IF(M258="Y",1,0)</f>
        <v>#N/A</v>
      </c>
      <c r="X258" s="1099"/>
      <c r="Y258" s="1100">
        <f ca="1">IF(P258="NS",IFERROR(INDIRECT(S258),NA()),VLOOKUP(INDIRECT(P258)+INDIRECT(S258),'System Lookups'!$A$3:$D$146,2))</f>
        <v>0.12</v>
      </c>
      <c r="Z258" s="1100">
        <f t="shared" si="320"/>
        <v>0</v>
      </c>
      <c r="AA258" s="1101">
        <f t="shared" ca="1" si="321"/>
        <v>0.12</v>
      </c>
      <c r="AB258" s="1102">
        <f>VLOOKUP(V258,'System Lookups'!$J$55:$P$64,3)</f>
        <v>0.2</v>
      </c>
      <c r="AC258" s="1103">
        <f>VLOOKUP(V258,'System Lookups'!$J$55:$P$64,4)</f>
        <v>0.3</v>
      </c>
      <c r="AD258" s="1104">
        <f t="shared" si="322"/>
        <v>0</v>
      </c>
      <c r="AE258" s="1094">
        <f>(IF(AD258&gt;VLOOKUP(V258,'System Lookups'!$J$55:$P$63,6),(((AD258-VLOOKUP(V258,'System Lookups'!$J$55:$P$63,6))*100)/20),0))+AF258</f>
        <v>0</v>
      </c>
      <c r="AF258" s="1121"/>
      <c r="AG258" s="1092">
        <f t="shared" si="323"/>
        <v>0</v>
      </c>
      <c r="AH258" s="1092" t="str">
        <f>IF(X258&lt;=Experience!$R$15+1,"","*")</f>
        <v/>
      </c>
      <c r="AI258" s="1092"/>
      <c r="AJ258" s="1080">
        <f t="shared" si="324"/>
        <v>0</v>
      </c>
      <c r="AK258" s="1080">
        <f t="shared" si="325"/>
        <v>0</v>
      </c>
      <c r="AL258" s="1080">
        <f t="shared" si="326"/>
        <v>0</v>
      </c>
      <c r="AM258" s="1092">
        <f t="shared" si="327"/>
        <v>0</v>
      </c>
      <c r="AN258" s="1080">
        <f t="shared" si="328"/>
        <v>1</v>
      </c>
      <c r="AO258" s="1080">
        <f t="shared" si="329"/>
        <v>0</v>
      </c>
      <c r="AP258" s="1080">
        <f t="shared" si="330"/>
        <v>1</v>
      </c>
      <c r="AQ258" s="1027">
        <f>VLOOKUP(V258,'System Lookups'!$J$55:$P$64,7)</f>
        <v>600</v>
      </c>
      <c r="AR258" s="1080" t="str">
        <f ca="1">IF(AND(NOT(ISBLANK(AJ258)),ISNA(MATCH(ROW(),'System Lookups'!$C$526:$C$539,0))),"Y","N")</f>
        <v>Y</v>
      </c>
      <c r="AS258" s="1080">
        <f t="shared" si="331"/>
        <v>0</v>
      </c>
      <c r="AU258" s="1080" t="e">
        <f t="shared" si="311"/>
        <v>#N/A</v>
      </c>
      <c r="AV258" s="1080" t="str">
        <f t="shared" si="303"/>
        <v>T</v>
      </c>
      <c r="AW258" s="1080">
        <f t="shared" si="312"/>
        <v>0</v>
      </c>
      <c r="AX258" s="1080">
        <f t="shared" si="313"/>
        <v>0</v>
      </c>
      <c r="AY258" s="1080">
        <f t="shared" si="314"/>
        <v>0</v>
      </c>
      <c r="AZ258" s="1080">
        <f t="shared" si="315"/>
        <v>0</v>
      </c>
      <c r="BA258" s="1080">
        <f t="shared" si="316"/>
        <v>0</v>
      </c>
      <c r="BB258" s="1080">
        <f>IF(AND(RACE=1,'Main Creation Page'!$E$6="Well",OR(ISNUMBER(FIND(Experience!$G$11,BE258)),ISNUMBER(FIND(Experience!$G$11,BF258)),ISNUMBER(FIND(Experience!$I$11,BE258)),ISNUMBER(FIND(Experience!$I$11,BF258)))),1,0)</f>
        <v>0</v>
      </c>
      <c r="BC258" s="1080" t="str">
        <f t="shared" si="239"/>
        <v>Cooper</v>
      </c>
      <c r="BE258" s="1080" t="str">
        <f t="shared" si="304"/>
        <v/>
      </c>
      <c r="BF258" s="1080" t="str">
        <f t="shared" si="305"/>
        <v>Crafts &amp; Trades Skills</v>
      </c>
    </row>
    <row r="259" spans="1:58" ht="11.1" customHeight="1" outlineLevel="1">
      <c r="A259" s="1123" t="s">
        <v>5645</v>
      </c>
      <c r="B259" s="1094"/>
      <c r="C259" s="1094"/>
      <c r="D259" s="1094"/>
      <c r="E259" s="1095" t="s">
        <v>5224</v>
      </c>
      <c r="F259" s="1095" t="s">
        <v>5224</v>
      </c>
      <c r="G259" s="1096">
        <v>0</v>
      </c>
      <c r="H259" s="1096" t="s">
        <v>5224</v>
      </c>
      <c r="I259" s="1096" t="s">
        <v>5224</v>
      </c>
      <c r="J259" s="1096" t="s">
        <v>5224</v>
      </c>
      <c r="K259" s="1096" t="s">
        <v>5224</v>
      </c>
      <c r="L259" s="1096" t="s">
        <v>5224</v>
      </c>
      <c r="M259" s="1096" t="s">
        <v>5224</v>
      </c>
      <c r="N259" s="1096" t="s">
        <v>4631</v>
      </c>
      <c r="O259" s="1028"/>
      <c r="P259" s="1028" t="s">
        <v>3616</v>
      </c>
      <c r="Q259" s="1097">
        <f t="shared" ca="1" si="317"/>
        <v>17</v>
      </c>
      <c r="R259" s="1028"/>
      <c r="S259" s="1028" t="s">
        <v>3611</v>
      </c>
      <c r="T259" s="1097">
        <f t="shared" ca="1" si="318"/>
        <v>15</v>
      </c>
      <c r="U259" s="1027">
        <v>6</v>
      </c>
      <c r="V259" s="1027">
        <f t="shared" si="319"/>
        <v>7</v>
      </c>
      <c r="W259" s="1098" t="e">
        <f>IF(OR(I259&lt;&gt;"N",E259="C"),IF(AND(N259&lt;&gt;"T",ISNUMBER(FIND("V",I259))),1,0),NA())+IF(H259="Y",IF(AND(N259="P",ISNUMBER(FIND("Z",I259))),2,1),0)+IF(J259="Y",1,0)+IF(K259="Y",3,0)+IF(BE259="Lore",L259*2+Experience!$D$25,0)+IF(M259="Y",1,0)</f>
        <v>#N/A</v>
      </c>
      <c r="X259" s="1099"/>
      <c r="Y259" s="1100">
        <f ca="1">IF(P259="NS",IFERROR(INDIRECT(S259),NA()),VLOOKUP(INDIRECT(P259)+INDIRECT(S259),'System Lookups'!$A$3:$D$146,2))</f>
        <v>0.08</v>
      </c>
      <c r="Z259" s="1100">
        <f t="shared" si="320"/>
        <v>0</v>
      </c>
      <c r="AA259" s="1101">
        <f t="shared" ca="1" si="321"/>
        <v>0.08</v>
      </c>
      <c r="AB259" s="1102">
        <f>VLOOKUP(V259,'System Lookups'!$J$55:$P$64,3)</f>
        <v>0.03</v>
      </c>
      <c r="AC259" s="1103">
        <f>VLOOKUP(V259,'System Lookups'!$J$55:$P$64,4)</f>
        <v>7.0000000000000007E-2</v>
      </c>
      <c r="AD259" s="1104">
        <f t="shared" ca="1" si="322"/>
        <v>0.11</v>
      </c>
      <c r="AE259" s="1094">
        <f ca="1">(IF(AD259&gt;VLOOKUP(V259,'System Lookups'!$J$55:$P$63,6),(((AD259-VLOOKUP(V259,'System Lookups'!$J$55:$P$63,6))*100)/20),0))+AF259</f>
        <v>0</v>
      </c>
      <c r="AF259" s="1121"/>
      <c r="AG259" s="1092">
        <f t="shared" si="323"/>
        <v>0</v>
      </c>
      <c r="AH259" s="1092" t="str">
        <f>IF(X259&lt;=Experience!$R$15+1,"","*")</f>
        <v/>
      </c>
      <c r="AI259" s="1092"/>
      <c r="AJ259" s="1080">
        <f t="shared" si="324"/>
        <v>0</v>
      </c>
      <c r="AK259" s="1080">
        <f t="shared" si="325"/>
        <v>0</v>
      </c>
      <c r="AL259" s="1080">
        <f t="shared" si="326"/>
        <v>0</v>
      </c>
      <c r="AM259" s="1092">
        <f t="shared" si="327"/>
        <v>0</v>
      </c>
      <c r="AN259" s="1080">
        <f t="shared" si="328"/>
        <v>1</v>
      </c>
      <c r="AO259" s="1080">
        <f t="shared" si="329"/>
        <v>0</v>
      </c>
      <c r="AP259" s="1080">
        <f t="shared" si="330"/>
        <v>1</v>
      </c>
      <c r="AQ259" s="1027">
        <f>VLOOKUP(V259,'System Lookups'!$J$55:$P$64,7)</f>
        <v>1000</v>
      </c>
      <c r="AR259" s="1080" t="str">
        <f ca="1">IF(AND(NOT(ISBLANK(AJ259)),ISNA(MATCH(ROW(),'System Lookups'!$C$526:$C$539,0))),"Y","N")</f>
        <v>Y</v>
      </c>
      <c r="AS259" s="1080">
        <f t="shared" si="331"/>
        <v>0</v>
      </c>
      <c r="AU259" s="1080" t="e">
        <f t="shared" si="311"/>
        <v>#N/A</v>
      </c>
      <c r="AV259" s="1080" t="str">
        <f t="shared" si="303"/>
        <v>T</v>
      </c>
      <c r="AW259" s="1080">
        <f t="shared" si="312"/>
        <v>0</v>
      </c>
      <c r="AX259" s="1080">
        <f t="shared" si="313"/>
        <v>0</v>
      </c>
      <c r="AY259" s="1080">
        <f t="shared" si="314"/>
        <v>0</v>
      </c>
      <c r="AZ259" s="1080">
        <f t="shared" si="315"/>
        <v>0</v>
      </c>
      <c r="BA259" s="1080">
        <f t="shared" si="316"/>
        <v>0</v>
      </c>
      <c r="BB259" s="1080">
        <f>IF(AND(RACE=1,'Main Creation Page'!$E$6="Well",OR(ISNUMBER(FIND(Experience!$G$11,BE259)),ISNUMBER(FIND(Experience!$G$11,BF259)),ISNUMBER(FIND(Experience!$I$11,BE259)),ISNUMBER(FIND(Experience!$I$11,BF259)))),1,0)</f>
        <v>0</v>
      </c>
      <c r="BC259" s="1080" t="str">
        <f t="shared" si="239"/>
        <v>Crafting Flies</v>
      </c>
      <c r="BE259" s="1080" t="str">
        <f t="shared" si="304"/>
        <v/>
      </c>
      <c r="BF259" s="1080" t="str">
        <f t="shared" si="305"/>
        <v>Crafts &amp; Trades Skills</v>
      </c>
    </row>
    <row r="260" spans="1:58" ht="11.1" customHeight="1" outlineLevel="1">
      <c r="A260" s="1123" t="s">
        <v>5521</v>
      </c>
      <c r="B260" s="1094"/>
      <c r="C260" s="1094"/>
      <c r="D260" s="1094"/>
      <c r="E260" s="1095" t="s">
        <v>5224</v>
      </c>
      <c r="F260" s="1095" t="s">
        <v>5224</v>
      </c>
      <c r="G260" s="1096">
        <v>0</v>
      </c>
      <c r="H260" s="1096" t="s">
        <v>5224</v>
      </c>
      <c r="I260" s="1096" t="s">
        <v>5224</v>
      </c>
      <c r="J260" s="1096" t="s">
        <v>5224</v>
      </c>
      <c r="K260" s="1096" t="s">
        <v>5224</v>
      </c>
      <c r="L260" s="1096" t="s">
        <v>5224</v>
      </c>
      <c r="M260" s="1096" t="s">
        <v>5224</v>
      </c>
      <c r="N260" s="1096" t="s">
        <v>4631</v>
      </c>
      <c r="O260" s="1028"/>
      <c r="P260" s="1028" t="s">
        <v>3611</v>
      </c>
      <c r="Q260" s="1097">
        <f t="shared" ca="1" si="317"/>
        <v>15</v>
      </c>
      <c r="R260" s="1097"/>
      <c r="S260" s="1028" t="s">
        <v>3613</v>
      </c>
      <c r="T260" s="1097">
        <f t="shared" ca="1" si="318"/>
        <v>15</v>
      </c>
      <c r="U260" s="1027">
        <v>5</v>
      </c>
      <c r="V260" s="1027">
        <f t="shared" si="319"/>
        <v>6</v>
      </c>
      <c r="W260" s="1098" t="e">
        <f>IF(OR(I260&lt;&gt;"N",E260="C"),IF(AND(N260&lt;&gt;"T",ISNUMBER(FIND("V",I260))),1,0),NA())+IF(H260="Y",IF(AND(N260="P",ISNUMBER(FIND("Z",I260))),2,1),0)+IF(J260="Y",1,0)+IF(K260="Y",3,0)+IF(BE260="Lore",L260*2+Experience!$D$25,0)+IF(M260="Y",1,0)</f>
        <v>#N/A</v>
      </c>
      <c r="X260" s="1099"/>
      <c r="Y260" s="1100">
        <f ca="1">IF(P260="NS",IFERROR(INDIRECT(S260),NA()),VLOOKUP(INDIRECT(P260)+INDIRECT(S260),'System Lookups'!$A$3:$D$146,2))</f>
        <v>0.06</v>
      </c>
      <c r="Z260" s="1100">
        <f t="shared" si="320"/>
        <v>0</v>
      </c>
      <c r="AA260" s="1101">
        <f t="shared" ca="1" si="321"/>
        <v>0.06</v>
      </c>
      <c r="AB260" s="1102">
        <f>VLOOKUP(V260,'System Lookups'!$J$55:$P$64,3)</f>
        <v>0.05</v>
      </c>
      <c r="AC260" s="1103">
        <f>VLOOKUP(V260,'System Lookups'!$J$55:$P$64,4)</f>
        <v>0.1</v>
      </c>
      <c r="AD260" s="1104">
        <f t="shared" ca="1" si="322"/>
        <v>0.11</v>
      </c>
      <c r="AE260" s="1094">
        <f ca="1">(IF(AD260&gt;VLOOKUP(V260,'System Lookups'!$J$55:$P$63,6),(((AD260-VLOOKUP(V260,'System Lookups'!$J$55:$P$63,6))*100)/20),0))+AF260</f>
        <v>0</v>
      </c>
      <c r="AF260" s="1121"/>
      <c r="AG260" s="1092">
        <f t="shared" si="323"/>
        <v>0</v>
      </c>
      <c r="AH260" s="1092" t="str">
        <f>IF(X260&lt;=Experience!$R$15+1,"","*")</f>
        <v/>
      </c>
      <c r="AI260" s="1092"/>
      <c r="AJ260" s="1080">
        <f t="shared" si="324"/>
        <v>0</v>
      </c>
      <c r="AK260" s="1080">
        <f t="shared" si="325"/>
        <v>0</v>
      </c>
      <c r="AL260" s="1080">
        <f t="shared" si="326"/>
        <v>0</v>
      </c>
      <c r="AM260" s="1092">
        <f t="shared" si="327"/>
        <v>0</v>
      </c>
      <c r="AN260" s="1080">
        <f t="shared" si="328"/>
        <v>1</v>
      </c>
      <c r="AO260" s="1080">
        <f t="shared" si="329"/>
        <v>0</v>
      </c>
      <c r="AP260" s="1080">
        <f t="shared" si="330"/>
        <v>1</v>
      </c>
      <c r="AQ260" s="1027">
        <f>VLOOKUP(V260,'System Lookups'!$J$55:$P$64,7)</f>
        <v>800</v>
      </c>
      <c r="AR260" s="1080" t="str">
        <f ca="1">IF(AND(NOT(ISBLANK(AJ260)),ISNA(MATCH(ROW(),'System Lookups'!$C$526:$C$539,0))),"Y","N")</f>
        <v>Y</v>
      </c>
      <c r="AS260" s="1080">
        <f t="shared" si="331"/>
        <v>0</v>
      </c>
      <c r="AU260" s="1080" t="e">
        <f t="shared" si="311"/>
        <v>#N/A</v>
      </c>
      <c r="AV260" s="1080" t="str">
        <f t="shared" si="303"/>
        <v>T</v>
      </c>
      <c r="AW260" s="1080">
        <f t="shared" si="312"/>
        <v>0</v>
      </c>
      <c r="AX260" s="1080">
        <f t="shared" si="313"/>
        <v>0</v>
      </c>
      <c r="AY260" s="1080">
        <f t="shared" si="314"/>
        <v>0</v>
      </c>
      <c r="AZ260" s="1080">
        <f t="shared" si="315"/>
        <v>0</v>
      </c>
      <c r="BA260" s="1080">
        <f t="shared" si="316"/>
        <v>0</v>
      </c>
      <c r="BB260" s="1080">
        <f>IF(AND(RACE=1,'Main Creation Page'!$E$6="Well",OR(ISNUMBER(FIND(Experience!$G$11,BE260)),ISNUMBER(FIND(Experience!$G$11,BF260)),ISNUMBER(FIND(Experience!$I$11,BE260)),ISNUMBER(FIND(Experience!$I$11,BF260)))),1,0)</f>
        <v>0</v>
      </c>
      <c r="BC260" s="1080" t="str">
        <f t="shared" si="239"/>
        <v>Falconry &amp; Hawking</v>
      </c>
      <c r="BE260" s="1080" t="str">
        <f t="shared" si="304"/>
        <v/>
      </c>
      <c r="BF260" s="1080" t="str">
        <f t="shared" si="305"/>
        <v>Crafts &amp; Trades Skills</v>
      </c>
    </row>
    <row r="261" spans="1:58" ht="11.1" customHeight="1" outlineLevel="1">
      <c r="A261" s="1117" t="s">
        <v>4290</v>
      </c>
      <c r="B261" s="1094" t="s">
        <v>1942</v>
      </c>
      <c r="C261" s="1094"/>
      <c r="D261" s="1094"/>
      <c r="E261" s="1095" t="s">
        <v>5224</v>
      </c>
      <c r="F261" s="1095" t="s">
        <v>5224</v>
      </c>
      <c r="G261" s="1096">
        <v>0</v>
      </c>
      <c r="H261" s="1096" t="s">
        <v>5224</v>
      </c>
      <c r="I261" s="1096" t="s">
        <v>5224</v>
      </c>
      <c r="J261" s="1096" t="s">
        <v>5224</v>
      </c>
      <c r="K261" s="1096" t="s">
        <v>5224</v>
      </c>
      <c r="L261" s="1096" t="s">
        <v>5224</v>
      </c>
      <c r="M261" s="1096" t="s">
        <v>5224</v>
      </c>
      <c r="N261" s="1096" t="s">
        <v>4631</v>
      </c>
      <c r="O261" s="1028"/>
      <c r="P261" s="1028" t="s">
        <v>780</v>
      </c>
      <c r="Q261" s="1097">
        <f t="shared" ca="1" si="317"/>
        <v>17</v>
      </c>
      <c r="R261" s="1028"/>
      <c r="S261" s="1028" t="s">
        <v>3611</v>
      </c>
      <c r="T261" s="1097">
        <f t="shared" ca="1" si="318"/>
        <v>15</v>
      </c>
      <c r="U261" s="1027">
        <v>4</v>
      </c>
      <c r="V261" s="1027">
        <f t="shared" si="319"/>
        <v>5</v>
      </c>
      <c r="W261" s="1098" t="e">
        <f>IF(OR(I261&lt;&gt;"N",E261="C"),IF(AND(N261&lt;&gt;"T",ISNUMBER(FIND("V",I261))),1,0),NA())+IF(H261="Y",IF(AND(N261="P",ISNUMBER(FIND("Z",I261))),2,1),0)+IF(J261="Y",1,0)+IF(K261="Y",3,0)+IF(BE261="Lore",L261*2+Experience!$D$25,0)+IF(M261="Y",1,0)</f>
        <v>#N/A</v>
      </c>
      <c r="X261" s="1099"/>
      <c r="Y261" s="1100">
        <f ca="1">IF(P261="NS",IFERROR(INDIRECT(S261),NA()),VLOOKUP(INDIRECT(P261)+INDIRECT(S261),'System Lookups'!$A$3:$D$146,2))</f>
        <v>0.08</v>
      </c>
      <c r="Z261" s="1100">
        <f t="shared" si="320"/>
        <v>0</v>
      </c>
      <c r="AA261" s="1101">
        <f t="shared" ca="1" si="321"/>
        <v>0.08</v>
      </c>
      <c r="AB261" s="1102">
        <f>VLOOKUP(V261,'System Lookups'!$J$55:$P$64,3)</f>
        <v>0.1</v>
      </c>
      <c r="AC261" s="1103">
        <f>VLOOKUP(V261,'System Lookups'!$J$55:$P$64,4)</f>
        <v>0.2</v>
      </c>
      <c r="AD261" s="1104">
        <f t="shared" si="322"/>
        <v>0</v>
      </c>
      <c r="AE261" s="1094">
        <f>(IF(AD261&gt;VLOOKUP(V261,'System Lookups'!$J$55:$P$63,6),(((AD261-VLOOKUP(V261,'System Lookups'!$J$55:$P$63,6))*100)/20),0))+AF261</f>
        <v>0</v>
      </c>
      <c r="AF261" s="1121"/>
      <c r="AG261" s="1092">
        <f t="shared" si="323"/>
        <v>0</v>
      </c>
      <c r="AH261" s="1092" t="str">
        <f>IF(X261&lt;=Experience!$R$15+1,"","*")</f>
        <v/>
      </c>
      <c r="AI261" s="1092"/>
      <c r="AJ261" s="1080">
        <f t="shared" si="324"/>
        <v>0</v>
      </c>
      <c r="AK261" s="1080">
        <f t="shared" si="325"/>
        <v>0</v>
      </c>
      <c r="AL261" s="1080">
        <f t="shared" si="326"/>
        <v>0</v>
      </c>
      <c r="AM261" s="1092">
        <f t="shared" si="327"/>
        <v>0</v>
      </c>
      <c r="AN261" s="1080">
        <f t="shared" si="328"/>
        <v>1</v>
      </c>
      <c r="AO261" s="1080">
        <f t="shared" si="329"/>
        <v>0</v>
      </c>
      <c r="AP261" s="1080">
        <f t="shared" si="330"/>
        <v>1</v>
      </c>
      <c r="AQ261" s="1027">
        <f>VLOOKUP(V261,'System Lookups'!$J$55:$P$64,7)</f>
        <v>700</v>
      </c>
      <c r="AR261" s="1080" t="str">
        <f ca="1">IF(AND(NOT(ISBLANK(AJ261)),ISNA(MATCH(ROW(),'System Lookups'!$C$526:$C$539,0))),"Y","N")</f>
        <v>Y</v>
      </c>
      <c r="AS261" s="1080">
        <f t="shared" si="331"/>
        <v>0</v>
      </c>
      <c r="AU261" s="1080" t="e">
        <f t="shared" si="311"/>
        <v>#N/A</v>
      </c>
      <c r="AV261" s="1080" t="str">
        <f t="shared" si="303"/>
        <v>T</v>
      </c>
      <c r="AW261" s="1080">
        <f t="shared" si="312"/>
        <v>0</v>
      </c>
      <c r="AX261" s="1080">
        <f t="shared" si="313"/>
        <v>0</v>
      </c>
      <c r="AY261" s="1080">
        <f t="shared" si="314"/>
        <v>0</v>
      </c>
      <c r="AZ261" s="1080">
        <f t="shared" si="315"/>
        <v>0</v>
      </c>
      <c r="BA261" s="1080">
        <f t="shared" si="316"/>
        <v>0</v>
      </c>
      <c r="BB261" s="1080">
        <f>IF(AND(RACE=1,'Main Creation Page'!$E$6="Well",OR(ISNUMBER(FIND(Experience!$G$11,BE261)),ISNUMBER(FIND(Experience!$G$11,BF261)),ISNUMBER(FIND(Experience!$I$11,BE261)),ISNUMBER(FIND(Experience!$I$11,BF261)))),1,0)</f>
        <v>0</v>
      </c>
      <c r="BC261" s="1080" t="str">
        <f t="shared" si="239"/>
        <v>Fashioning Arrowheads</v>
      </c>
      <c r="BE261" s="1080" t="str">
        <f t="shared" si="304"/>
        <v/>
      </c>
      <c r="BF261" s="1080" t="str">
        <f t="shared" si="305"/>
        <v>Crafts &amp; Trades Skills</v>
      </c>
    </row>
    <row r="262" spans="1:58" ht="11.1" customHeight="1" outlineLevel="1">
      <c r="A262" s="1123" t="s">
        <v>4267</v>
      </c>
      <c r="B262" s="1094" t="s">
        <v>1942</v>
      </c>
      <c r="C262" s="1094"/>
      <c r="D262" s="1094"/>
      <c r="E262" s="1095" t="s">
        <v>5224</v>
      </c>
      <c r="F262" s="1095" t="s">
        <v>5224</v>
      </c>
      <c r="G262" s="1096">
        <v>0</v>
      </c>
      <c r="H262" s="1096" t="s">
        <v>5224</v>
      </c>
      <c r="I262" s="1096" t="s">
        <v>5224</v>
      </c>
      <c r="J262" s="1096" t="s">
        <v>5224</v>
      </c>
      <c r="K262" s="1096" t="s">
        <v>5224</v>
      </c>
      <c r="L262" s="1096" t="s">
        <v>5224</v>
      </c>
      <c r="M262" s="1096" t="s">
        <v>5224</v>
      </c>
      <c r="N262" s="1096" t="s">
        <v>4631</v>
      </c>
      <c r="O262" s="1028"/>
      <c r="P262" s="1028" t="s">
        <v>3615</v>
      </c>
      <c r="Q262" s="1097">
        <f t="shared" ca="1" si="317"/>
        <v>20</v>
      </c>
      <c r="R262" s="1028"/>
      <c r="S262" s="1028" t="s">
        <v>3616</v>
      </c>
      <c r="T262" s="1097">
        <f t="shared" ca="1" si="318"/>
        <v>17</v>
      </c>
      <c r="U262" s="1027">
        <v>3</v>
      </c>
      <c r="V262" s="1027">
        <f t="shared" si="319"/>
        <v>4</v>
      </c>
      <c r="W262" s="1098" t="e">
        <f>IF(OR(I262&lt;&gt;"N",E262="C"),IF(AND(N262&lt;&gt;"T",ISNUMBER(FIND("V",I262))),1,0),NA())+IF(H262="Y",IF(AND(N262="P",ISNUMBER(FIND("Z",I262))),2,1),0)+IF(J262="Y",1,0)+IF(K262="Y",3,0)+IF(BE262="Lore",L262*2+Experience!$D$25,0)+IF(M262="Y",1,0)</f>
        <v>#N/A</v>
      </c>
      <c r="X262" s="1099"/>
      <c r="Y262" s="1100">
        <f ca="1">IF(P262="NS",IFERROR(INDIRECT(S262),NA()),VLOOKUP(INDIRECT(P262)+INDIRECT(S262),'System Lookups'!$A$3:$D$146,2))</f>
        <v>0.14000000000000001</v>
      </c>
      <c r="Z262" s="1100">
        <f t="shared" si="320"/>
        <v>0</v>
      </c>
      <c r="AA262" s="1101">
        <f t="shared" ca="1" si="321"/>
        <v>0.14000000000000001</v>
      </c>
      <c r="AB262" s="1102">
        <f>VLOOKUP(V262,'System Lookups'!$J$55:$P$64,3)</f>
        <v>0.2</v>
      </c>
      <c r="AC262" s="1103">
        <f>VLOOKUP(V262,'System Lookups'!$J$55:$P$64,4)</f>
        <v>0.3</v>
      </c>
      <c r="AD262" s="1104">
        <f t="shared" si="322"/>
        <v>0</v>
      </c>
      <c r="AE262" s="1094">
        <f>(IF(AD262&gt;VLOOKUP(V262,'System Lookups'!$J$55:$P$63,6),(((AD262-VLOOKUP(V262,'System Lookups'!$J$55:$P$63,6))*100)/20),0))+AF262</f>
        <v>0</v>
      </c>
      <c r="AF262" s="1121"/>
      <c r="AG262" s="1092">
        <f t="shared" si="323"/>
        <v>0</v>
      </c>
      <c r="AH262" s="1092" t="str">
        <f>IF(X262&lt;=Experience!$R$15+1,"","*")</f>
        <v/>
      </c>
      <c r="AI262" s="1092"/>
      <c r="AJ262" s="1080">
        <f t="shared" si="324"/>
        <v>0</v>
      </c>
      <c r="AK262" s="1080">
        <f t="shared" si="325"/>
        <v>0</v>
      </c>
      <c r="AL262" s="1080">
        <f t="shared" si="326"/>
        <v>0</v>
      </c>
      <c r="AM262" s="1092">
        <f t="shared" si="327"/>
        <v>0</v>
      </c>
      <c r="AN262" s="1080">
        <f t="shared" si="328"/>
        <v>1</v>
      </c>
      <c r="AO262" s="1080">
        <f t="shared" si="329"/>
        <v>0</v>
      </c>
      <c r="AP262" s="1080">
        <f t="shared" si="330"/>
        <v>1</v>
      </c>
      <c r="AQ262" s="1027">
        <f>VLOOKUP(V262,'System Lookups'!$J$55:$P$64,7)</f>
        <v>600</v>
      </c>
      <c r="AR262" s="1080" t="str">
        <f ca="1">IF(AND(NOT(ISBLANK(AJ262)),ISNA(MATCH(ROW(),'System Lookups'!$C$526:$C$539,0))),"Y","N")</f>
        <v>Y</v>
      </c>
      <c r="AS262" s="1080">
        <f t="shared" si="331"/>
        <v>0</v>
      </c>
      <c r="AU262" s="1080" t="e">
        <f t="shared" si="311"/>
        <v>#N/A</v>
      </c>
      <c r="AV262" s="1080" t="str">
        <f t="shared" si="303"/>
        <v>T</v>
      </c>
      <c r="AW262" s="1080">
        <f t="shared" si="312"/>
        <v>0</v>
      </c>
      <c r="AX262" s="1080">
        <f t="shared" si="313"/>
        <v>0</v>
      </c>
      <c r="AY262" s="1080">
        <f t="shared" si="314"/>
        <v>0</v>
      </c>
      <c r="AZ262" s="1080">
        <f t="shared" si="315"/>
        <v>0</v>
      </c>
      <c r="BA262" s="1080">
        <f t="shared" si="316"/>
        <v>0</v>
      </c>
      <c r="BB262" s="1080">
        <f>IF(AND(RACE=1,'Main Creation Page'!$E$6="Well",OR(ISNUMBER(FIND(Experience!$G$11,BE262)),ISNUMBER(FIND(Experience!$G$11,BF262)),ISNUMBER(FIND(Experience!$I$11,BE262)),ISNUMBER(FIND(Experience!$I$11,BF262)))),1,0)</f>
        <v>0</v>
      </c>
      <c r="BC262" s="1080" t="str">
        <f t="shared" ref="BC262:BC325" si="332">IF(ISBLANK(AJ262),IF(ISBLANK(AI262),IF(RIGHT(A262,2)="en","Language Lore: "&amp;A262,IF(LEFT(A262,9)="Alquennas",A262,NA())),IF(RIGHT(A262,9)=" Medicina",A262&amp;": Healing Lore Skills",IF(OR(LEFT(A262,5)="Lore ",LEFT(A262,8)="Materia "),A262&amp;" Skills",IF(LEFT(A262,8)="Cooking ","Cooking &amp; Innkeeping Skills",A262)))),IF(LEFT(A262,9)="alertness","Alertness: "&amp;RIGHT(A262,5),IF(ISBLANK(BD262),A262,IF(RIGHT(BD262,2)=" (",BD262&amp;"Own)",BD262&amp;A262))))</f>
        <v>Fire Making</v>
      </c>
      <c r="BE262" s="1080" t="str">
        <f t="shared" si="304"/>
        <v/>
      </c>
      <c r="BF262" s="1080" t="str">
        <f t="shared" si="305"/>
        <v>Crafts &amp; Trades Skills</v>
      </c>
    </row>
    <row r="263" spans="1:58" ht="11.1" customHeight="1" outlineLevel="1">
      <c r="A263" s="1123" t="s">
        <v>353</v>
      </c>
      <c r="B263" s="1094" t="s">
        <v>1942</v>
      </c>
      <c r="C263" s="1094"/>
      <c r="D263" s="1094"/>
      <c r="E263" s="1095" t="s">
        <v>5224</v>
      </c>
      <c r="F263" s="1095" t="s">
        <v>5224</v>
      </c>
      <c r="G263" s="1096">
        <v>0</v>
      </c>
      <c r="H263" s="1096" t="s">
        <v>5224</v>
      </c>
      <c r="I263" s="1096" t="s">
        <v>5224</v>
      </c>
      <c r="J263" s="1096" t="s">
        <v>5224</v>
      </c>
      <c r="K263" s="1096" t="s">
        <v>5224</v>
      </c>
      <c r="L263" s="1096" t="s">
        <v>5224</v>
      </c>
      <c r="M263" s="1096" t="s">
        <v>5224</v>
      </c>
      <c r="N263" s="1096" t="s">
        <v>4631</v>
      </c>
      <c r="O263" s="1028"/>
      <c r="P263" s="1028" t="s">
        <v>780</v>
      </c>
      <c r="Q263" s="1097">
        <f t="shared" ca="1" si="317"/>
        <v>17</v>
      </c>
      <c r="R263" s="1028"/>
      <c r="S263" s="1028" t="s">
        <v>3611</v>
      </c>
      <c r="T263" s="1097">
        <f t="shared" ca="1" si="318"/>
        <v>15</v>
      </c>
      <c r="U263" s="1027">
        <v>5</v>
      </c>
      <c r="V263" s="1027">
        <f t="shared" si="319"/>
        <v>6</v>
      </c>
      <c r="W263" s="1098" t="e">
        <f>IF(OR(I263&lt;&gt;"N",E263="C"),IF(AND(N263&lt;&gt;"T",ISNUMBER(FIND("V",I263))),1,0),NA())+IF(H263="Y",IF(AND(N263="P",ISNUMBER(FIND("Z",I263))),2,1),0)+IF(J263="Y",1,0)+IF(K263="Y",3,0)+IF(BE263="Lore",L263*2+Experience!$D$25,0)+IF(M263="Y",1,0)</f>
        <v>#N/A</v>
      </c>
      <c r="X263" s="1099"/>
      <c r="Y263" s="1100">
        <f ca="1">IF(P263="NS",IFERROR(INDIRECT(S263),NA()),VLOOKUP(INDIRECT(P263)+INDIRECT(S263),'System Lookups'!$A$3:$D$146,2))</f>
        <v>0.08</v>
      </c>
      <c r="Z263" s="1100">
        <f t="shared" si="320"/>
        <v>0</v>
      </c>
      <c r="AA263" s="1101">
        <f t="shared" ca="1" si="321"/>
        <v>0.08</v>
      </c>
      <c r="AB263" s="1102">
        <f>VLOOKUP(V263,'System Lookups'!$J$55:$P$64,3)</f>
        <v>0.05</v>
      </c>
      <c r="AC263" s="1103">
        <f>VLOOKUP(V263,'System Lookups'!$J$55:$P$64,4)</f>
        <v>0.1</v>
      </c>
      <c r="AD263" s="1104">
        <f t="shared" si="322"/>
        <v>0</v>
      </c>
      <c r="AE263" s="1094">
        <f>(IF(AD263&gt;VLOOKUP(V263,'System Lookups'!$J$55:$P$63,6),(((AD263-VLOOKUP(V263,'System Lookups'!$J$55:$P$63,6))*100)/20),0))+AF263</f>
        <v>0</v>
      </c>
      <c r="AF263" s="1121"/>
      <c r="AG263" s="1092">
        <f t="shared" si="323"/>
        <v>0</v>
      </c>
      <c r="AH263" s="1092" t="str">
        <f>IF(X263&lt;=Experience!$R$15+1,"","*")</f>
        <v/>
      </c>
      <c r="AI263" s="1092"/>
      <c r="AJ263" s="1080">
        <f t="shared" si="324"/>
        <v>0</v>
      </c>
      <c r="AK263" s="1080">
        <f t="shared" si="325"/>
        <v>0</v>
      </c>
      <c r="AL263" s="1080">
        <f t="shared" si="326"/>
        <v>0</v>
      </c>
      <c r="AM263" s="1092">
        <f t="shared" si="327"/>
        <v>0</v>
      </c>
      <c r="AN263" s="1080">
        <f t="shared" si="328"/>
        <v>1</v>
      </c>
      <c r="AO263" s="1080">
        <f t="shared" si="329"/>
        <v>0</v>
      </c>
      <c r="AP263" s="1080">
        <f t="shared" si="330"/>
        <v>1</v>
      </c>
      <c r="AQ263" s="1027">
        <f>VLOOKUP(V263,'System Lookups'!$J$55:$P$64,7)</f>
        <v>800</v>
      </c>
      <c r="AR263" s="1080" t="str">
        <f ca="1">IF(AND(NOT(ISBLANK(AJ263)),ISNA(MATCH(ROW(),'System Lookups'!$C$526:$C$539,0))),"Y","N")</f>
        <v>Y</v>
      </c>
      <c r="AS263" s="1080">
        <f t="shared" si="331"/>
        <v>0</v>
      </c>
      <c r="AU263" s="1080" t="e">
        <f t="shared" si="311"/>
        <v>#N/A</v>
      </c>
      <c r="AV263" s="1080" t="str">
        <f t="shared" si="303"/>
        <v>T</v>
      </c>
      <c r="AW263" s="1080">
        <f t="shared" si="312"/>
        <v>0</v>
      </c>
      <c r="AX263" s="1080">
        <f t="shared" si="313"/>
        <v>0</v>
      </c>
      <c r="AY263" s="1080">
        <f t="shared" si="314"/>
        <v>0</v>
      </c>
      <c r="AZ263" s="1080">
        <f t="shared" si="315"/>
        <v>0</v>
      </c>
      <c r="BA263" s="1080">
        <f t="shared" si="316"/>
        <v>0</v>
      </c>
      <c r="BB263" s="1080">
        <f>IF(AND(RACE=1,'Main Creation Page'!$E$6="Well",OR(ISNUMBER(FIND(Experience!$G$11,BE263)),ISNUMBER(FIND(Experience!$G$11,BF263)),ISNUMBER(FIND(Experience!$I$11,BE263)),ISNUMBER(FIND(Experience!$I$11,BF263)))),1,0)</f>
        <v>0</v>
      </c>
      <c r="BC263" s="1080" t="str">
        <f t="shared" si="332"/>
        <v>Flint Knapping</v>
      </c>
      <c r="BE263" s="1080" t="str">
        <f t="shared" si="304"/>
        <v/>
      </c>
      <c r="BF263" s="1080" t="str">
        <f t="shared" si="305"/>
        <v>Crafts &amp; Trades Skills</v>
      </c>
    </row>
    <row r="264" spans="1:58" ht="11.1" customHeight="1" outlineLevel="1">
      <c r="A264" s="1117" t="s">
        <v>2489</v>
      </c>
      <c r="B264" s="1094" t="s">
        <v>1942</v>
      </c>
      <c r="C264" s="1094"/>
      <c r="D264" s="1094"/>
      <c r="E264" s="1095" t="s">
        <v>5224</v>
      </c>
      <c r="F264" s="1095" t="s">
        <v>5224</v>
      </c>
      <c r="G264" s="1096">
        <v>0</v>
      </c>
      <c r="H264" s="1096" t="s">
        <v>5224</v>
      </c>
      <c r="I264" s="1096" t="s">
        <v>5224</v>
      </c>
      <c r="J264" s="1096" t="s">
        <v>5224</v>
      </c>
      <c r="K264" s="1096" t="s">
        <v>5224</v>
      </c>
      <c r="L264" s="1096" t="s">
        <v>5224</v>
      </c>
      <c r="M264" s="1096" t="s">
        <v>5224</v>
      </c>
      <c r="N264" s="1096" t="s">
        <v>4631</v>
      </c>
      <c r="O264" s="1028"/>
      <c r="P264" s="1028" t="s">
        <v>3615</v>
      </c>
      <c r="Q264" s="1097">
        <f t="shared" ca="1" si="317"/>
        <v>20</v>
      </c>
      <c r="R264" s="1028"/>
      <c r="S264" s="1028" t="s">
        <v>3614</v>
      </c>
      <c r="T264" s="1097">
        <f t="shared" ca="1" si="318"/>
        <v>15</v>
      </c>
      <c r="U264" s="1027">
        <v>3</v>
      </c>
      <c r="V264" s="1027">
        <f t="shared" si="319"/>
        <v>4</v>
      </c>
      <c r="W264" s="1098" t="e">
        <f>IF(OR(I264&lt;&gt;"N",E264="C"),IF(AND(N264&lt;&gt;"T",ISNUMBER(FIND("V",I264))),1,0),NA())+IF(H264="Y",IF(AND(N264="P",ISNUMBER(FIND("Z",I264))),2,1),0)+IF(J264="Y",1,0)+IF(K264="Y",3,0)+IF(BE264="Lore",L264*2+Experience!$D$25,0)+IF(M264="Y",1,0)</f>
        <v>#N/A</v>
      </c>
      <c r="X264" s="1099"/>
      <c r="Y264" s="1100">
        <f ca="1">IF(P264="NS",IFERROR(INDIRECT(S264),NA()),VLOOKUP(INDIRECT(P264)+INDIRECT(S264),'System Lookups'!$A$3:$D$146,2))</f>
        <v>0.12</v>
      </c>
      <c r="Z264" s="1100">
        <f t="shared" si="320"/>
        <v>0</v>
      </c>
      <c r="AA264" s="1101">
        <f t="shared" ca="1" si="321"/>
        <v>0.12</v>
      </c>
      <c r="AB264" s="1102">
        <f>VLOOKUP(V264,'System Lookups'!$J$55:$P$64,3)</f>
        <v>0.2</v>
      </c>
      <c r="AC264" s="1103">
        <f>VLOOKUP(V264,'System Lookups'!$J$55:$P$64,4)</f>
        <v>0.3</v>
      </c>
      <c r="AD264" s="1104">
        <f t="shared" si="322"/>
        <v>0</v>
      </c>
      <c r="AE264" s="1094">
        <f>(IF(AD264&gt;VLOOKUP(V264,'System Lookups'!$J$55:$P$63,6),(((AD264-VLOOKUP(V264,'System Lookups'!$J$55:$P$63,6))*100)/20),0))+AF264</f>
        <v>0</v>
      </c>
      <c r="AF264" s="1121"/>
      <c r="AG264" s="1092">
        <f t="shared" si="323"/>
        <v>0</v>
      </c>
      <c r="AH264" s="1092" t="str">
        <f>IF(X264&lt;=Experience!$R$15+1,"","*")</f>
        <v/>
      </c>
      <c r="AI264" s="1092"/>
      <c r="AJ264" s="1080">
        <f t="shared" si="324"/>
        <v>0</v>
      </c>
      <c r="AK264" s="1080">
        <f t="shared" si="325"/>
        <v>0</v>
      </c>
      <c r="AL264" s="1080">
        <f t="shared" si="326"/>
        <v>0</v>
      </c>
      <c r="AM264" s="1092">
        <f t="shared" si="327"/>
        <v>0</v>
      </c>
      <c r="AN264" s="1080">
        <f t="shared" si="328"/>
        <v>1</v>
      </c>
      <c r="AO264" s="1080">
        <f t="shared" si="329"/>
        <v>0</v>
      </c>
      <c r="AP264" s="1080">
        <f t="shared" si="330"/>
        <v>1</v>
      </c>
      <c r="AQ264" s="1027">
        <f>VLOOKUP(V264,'System Lookups'!$J$55:$P$64,7)</f>
        <v>600</v>
      </c>
      <c r="AR264" s="1080" t="str">
        <f ca="1">IF(AND(NOT(ISBLANK(AJ264)),ISNA(MATCH(ROW(),'System Lookups'!$C$526:$C$539,0))),"Y","N")</f>
        <v>Y</v>
      </c>
      <c r="AS264" s="1080">
        <f t="shared" si="331"/>
        <v>0</v>
      </c>
      <c r="AU264" s="1080" t="e">
        <f t="shared" si="311"/>
        <v>#N/A</v>
      </c>
      <c r="AV264" s="1080" t="str">
        <f t="shared" si="303"/>
        <v>T</v>
      </c>
      <c r="AW264" s="1080">
        <f t="shared" si="312"/>
        <v>0</v>
      </c>
      <c r="AX264" s="1080">
        <f t="shared" si="313"/>
        <v>0</v>
      </c>
      <c r="AY264" s="1080">
        <f t="shared" si="314"/>
        <v>0</v>
      </c>
      <c r="AZ264" s="1080">
        <f t="shared" si="315"/>
        <v>0</v>
      </c>
      <c r="BA264" s="1080">
        <f t="shared" si="316"/>
        <v>0</v>
      </c>
      <c r="BB264" s="1080">
        <f>IF(AND(RACE=1,'Main Creation Page'!$E$6="Well",OR(ISNUMBER(FIND(Experience!$G$11,BE264)),ISNUMBER(FIND(Experience!$G$11,BF264)),ISNUMBER(FIND(Experience!$I$11,BE264)),ISNUMBER(FIND(Experience!$I$11,BF264)))),1,0)</f>
        <v>0</v>
      </c>
      <c r="BC264" s="1080" t="str">
        <f t="shared" si="332"/>
        <v>Foundryman: Smelting &amp; Casting</v>
      </c>
      <c r="BE264" s="1080" t="str">
        <f t="shared" si="304"/>
        <v/>
      </c>
      <c r="BF264" s="1080" t="str">
        <f t="shared" si="305"/>
        <v>Crafts &amp; Trades Skills</v>
      </c>
    </row>
    <row r="265" spans="1:58" ht="11.1" customHeight="1" outlineLevel="2">
      <c r="A265" s="1028" t="s">
        <v>1515</v>
      </c>
      <c r="B265" s="2641">
        <f>INT((+AD264/10)*100)*50</f>
        <v>0</v>
      </c>
      <c r="C265" s="2645"/>
      <c r="D265" s="2643"/>
      <c r="L265" s="1034"/>
      <c r="O265" s="1034"/>
      <c r="P265" s="1034"/>
      <c r="Q265" s="1034"/>
      <c r="R265" s="1034"/>
      <c r="W265" s="1112"/>
      <c r="AE265" s="1094"/>
      <c r="AF265" s="1121"/>
      <c r="AG265" s="1092"/>
      <c r="AH265" s="1092"/>
      <c r="AI265" s="1092"/>
      <c r="AM265" s="1092"/>
      <c r="AQ265" s="1027"/>
      <c r="AR265" s="1080" t="str">
        <f ca="1">IF(AND(NOT(ISBLANK(AJ265)),ISNA(MATCH(ROW(),'System Lookups'!$C$526:$C$539,0))),"Y","N")</f>
        <v>N</v>
      </c>
      <c r="AU265" s="1080" t="e">
        <f t="shared" si="311"/>
        <v>#N/A</v>
      </c>
      <c r="AV265" s="1080" t="str">
        <f t="shared" si="303"/>
        <v/>
      </c>
      <c r="AW265" s="1080">
        <f t="shared" si="312"/>
        <v>0</v>
      </c>
      <c r="AX265" s="1080">
        <f t="shared" si="313"/>
        <v>0</v>
      </c>
      <c r="AY265" s="1080">
        <f t="shared" si="314"/>
        <v>0</v>
      </c>
      <c r="AZ265" s="1080">
        <f t="shared" si="315"/>
        <v>0</v>
      </c>
      <c r="BA265" s="1080">
        <f t="shared" si="316"/>
        <v>0</v>
      </c>
      <c r="BB265" s="1080">
        <f>IF(AND(RACE=1,'Main Creation Page'!$E$6="Well",OR(ISNUMBER(FIND(Experience!$G$11,BE265)),ISNUMBER(FIND(Experience!$G$11,BF265)),ISNUMBER(FIND(Experience!$I$11,BE265)),ISNUMBER(FIND(Experience!$I$11,BF265)))),1,0)</f>
        <v>0</v>
      </c>
      <c r="BC265" s="1080" t="e">
        <f t="shared" si="332"/>
        <v>#N/A</v>
      </c>
      <c r="BE265" s="1080" t="str">
        <f t="shared" si="304"/>
        <v/>
      </c>
      <c r="BF265" s="1080" t="str">
        <f t="shared" si="305"/>
        <v>Crafts &amp; Trades Skills</v>
      </c>
    </row>
    <row r="266" spans="1:58" ht="11.1" customHeight="1" outlineLevel="1">
      <c r="A266" s="1117" t="s">
        <v>1834</v>
      </c>
      <c r="B266" s="1094" t="s">
        <v>1942</v>
      </c>
      <c r="C266" s="1094"/>
      <c r="D266" s="1094"/>
      <c r="E266" s="1095" t="s">
        <v>5224</v>
      </c>
      <c r="F266" s="1095" t="str">
        <f>IF(('Main Creation Page'!C3=3),"R","N")</f>
        <v>N</v>
      </c>
      <c r="G266" s="1096">
        <v>0</v>
      </c>
      <c r="H266" s="1096" t="s">
        <v>5224</v>
      </c>
      <c r="I266" s="1096" t="s">
        <v>5224</v>
      </c>
      <c r="J266" s="1096" t="s">
        <v>5224</v>
      </c>
      <c r="K266" s="1096" t="s">
        <v>5224</v>
      </c>
      <c r="L266" s="1096" t="s">
        <v>5224</v>
      </c>
      <c r="M266" s="1096" t="s">
        <v>5224</v>
      </c>
      <c r="N266" s="1096" t="s">
        <v>4631</v>
      </c>
      <c r="O266" s="1028"/>
      <c r="P266" s="1028" t="s">
        <v>3611</v>
      </c>
      <c r="Q266" s="1097">
        <f t="shared" ref="Q266:Q282" ca="1" si="333">INDIRECT(P266)</f>
        <v>15</v>
      </c>
      <c r="R266" s="1028"/>
      <c r="S266" s="1028" t="s">
        <v>3613</v>
      </c>
      <c r="T266" s="1097">
        <f t="shared" ref="T266:T282" ca="1" si="334">INDIRECT(S266)</f>
        <v>15</v>
      </c>
      <c r="U266" s="1027">
        <v>4</v>
      </c>
      <c r="V266" s="1027">
        <f t="shared" ref="V266:V292" si="335">IF(AP266+U266&gt;10,10,IF(AP266+U266&lt;1,1,AP266+U266))</f>
        <v>5</v>
      </c>
      <c r="W266" s="1098" t="e">
        <f>IF(OR(I266&lt;&gt;"N",E266="C"),IF(AND(N266&lt;&gt;"T",ISNUMBER(FIND("V",I266))),1,0),NA())+IF(H266="Y",IF(AND(N266="P",ISNUMBER(FIND("Z",I266))),2,1),0)+IF(J266="Y",1,0)+IF(K266="Y",3,0)+IF(BE266="Lore",L266*2+Experience!$D$25,0)+IF(M266="Y",1,0)</f>
        <v>#N/A</v>
      </c>
      <c r="X266" s="1099"/>
      <c r="Y266" s="1100">
        <f ca="1">IF(P266="NS",IFERROR(INDIRECT(S266),NA()),VLOOKUP(INDIRECT(P266)+INDIRECT(S266),'System Lookups'!$A$3:$D$146,2))</f>
        <v>0.06</v>
      </c>
      <c r="Z266" s="1100">
        <f t="shared" ref="Z266:Z292" si="336">IF(ISNA(W266),0,W266*0.03)+IF(X266&gt;0,X266*0.03,0)+IF(AND(ISNA(W266),X266&lt;=0),0,IF(G266&gt;0,G266*0.07,0))</f>
        <v>0</v>
      </c>
      <c r="AA266" s="1101">
        <f t="shared" ref="AA266:AA281" ca="1" si="337">IF(ISNA(Y266),0,Y266)+Z266</f>
        <v>0.06</v>
      </c>
      <c r="AB266" s="1102">
        <f>VLOOKUP(V266,'System Lookups'!$J$55:$P$64,3)</f>
        <v>0.1</v>
      </c>
      <c r="AC266" s="1103">
        <f>VLOOKUP(V266,'System Lookups'!$J$55:$P$64,4)</f>
        <v>0.2</v>
      </c>
      <c r="AD266" s="1104">
        <f t="shared" ref="AD266:AD292" si="338">IF(AND(ISBLANK(X266),ISNA(W266)),IF(B266="~",0,AB266+AA266+IF(BB266&gt;0,0.05,0)),AA266+AC266+IF(BB266&gt;0,0.05,0))</f>
        <v>0</v>
      </c>
      <c r="AE266" s="1094">
        <f>(IF(AD266&gt;VLOOKUP(V266,'System Lookups'!$J$55:$P$63,6),(((AD266-VLOOKUP(V266,'System Lookups'!$J$55:$P$63,6))*100)/20),0))+AF266</f>
        <v>0</v>
      </c>
      <c r="AF266" s="1121"/>
      <c r="AG266" s="1092">
        <f t="shared" ref="AG266:AG292" si="339">IF(ISBLANK(X266),0,AQ266*X266+IF(ISNA(W266),1,0))</f>
        <v>0</v>
      </c>
      <c r="AH266" s="1092" t="str">
        <f>IF(X266&lt;=Experience!$R$15+1,"","*")</f>
        <v/>
      </c>
      <c r="AI266" s="1092"/>
      <c r="AJ266" s="1080">
        <f t="shared" ref="AJ266:AJ292" si="340">IF(ISNUMBER(FIND("R",F266)),-1,0)</f>
        <v>0</v>
      </c>
      <c r="AK266" s="1080">
        <f t="shared" ref="AK266:AK281" si="341">IF(F266="s",-2,0)</f>
        <v>0</v>
      </c>
      <c r="AL266" s="1080">
        <f t="shared" ref="AL266:AL292" si="342">IF(AND(H266="Y",OR(N266="P",N266="S")),-1,0)</f>
        <v>0</v>
      </c>
      <c r="AM266" s="1092">
        <f t="shared" ref="AM266:AM281" si="343">IF(J266="y",1,0)</f>
        <v>0</v>
      </c>
      <c r="AN266" s="1080">
        <f t="shared" ref="AN266:AN281" si="344">IF(N266="P",-1,IF(N266="T",1,0))</f>
        <v>1</v>
      </c>
      <c r="AO266" s="1080">
        <f t="shared" ref="AO266:AO292" si="345">IF(ISNUMBER(FIND("Z",I266)),1,0)</f>
        <v>0</v>
      </c>
      <c r="AP266" s="1080">
        <f t="shared" ref="AP266:AP292" si="346">SUM(AJ266:AN266)-AM266</f>
        <v>1</v>
      </c>
      <c r="AQ266" s="1027">
        <f>VLOOKUP(V266,'System Lookups'!$J$55:$P$64,7)</f>
        <v>700</v>
      </c>
      <c r="AR266" s="1080" t="str">
        <f ca="1">IF(AND(NOT(ISBLANK(AJ266)),ISNA(MATCH(ROW(),'System Lookups'!$C$526:$C$539,0))),"Y","N")</f>
        <v>Y</v>
      </c>
      <c r="AS266" s="1080">
        <f t="shared" ref="AS266:AS292" si="347">AG266-AI266</f>
        <v>0</v>
      </c>
      <c r="AU266" s="1080" t="e">
        <f t="shared" si="311"/>
        <v>#N/A</v>
      </c>
      <c r="AV266" s="1080" t="str">
        <f t="shared" si="303"/>
        <v>T</v>
      </c>
      <c r="AW266" s="1080">
        <f t="shared" si="312"/>
        <v>0</v>
      </c>
      <c r="AX266" s="1080">
        <f t="shared" si="313"/>
        <v>0</v>
      </c>
      <c r="AY266" s="1080">
        <f t="shared" si="314"/>
        <v>0</v>
      </c>
      <c r="AZ266" s="1080">
        <f t="shared" si="315"/>
        <v>0</v>
      </c>
      <c r="BA266" s="1080">
        <f t="shared" si="316"/>
        <v>0</v>
      </c>
      <c r="BB266" s="1080">
        <f>IF(AND(RACE=1,'Main Creation Page'!$E$6="Well",OR(ISNUMBER(FIND(Experience!$G$11,BE266)),ISNUMBER(FIND(Experience!$G$11,BF266)),ISNUMBER(FIND(Experience!$I$11,BE266)),ISNUMBER(FIND(Experience!$I$11,BF266)))),1,0)</f>
        <v>0</v>
      </c>
      <c r="BC266" s="1080" t="str">
        <f t="shared" si="332"/>
        <v>Gem Cutting</v>
      </c>
      <c r="BE266" s="1080" t="str">
        <f t="shared" si="304"/>
        <v/>
      </c>
      <c r="BF266" s="1080" t="str">
        <f t="shared" si="305"/>
        <v>Crafts &amp; Trades Skills</v>
      </c>
    </row>
    <row r="267" spans="1:58" ht="11.1" customHeight="1" outlineLevel="1">
      <c r="A267" s="1117" t="s">
        <v>749</v>
      </c>
      <c r="B267" s="1094" t="s">
        <v>1942</v>
      </c>
      <c r="C267" s="1094"/>
      <c r="D267" s="1094"/>
      <c r="E267" s="1095" t="s">
        <v>5224</v>
      </c>
      <c r="F267" s="1095" t="s">
        <v>5224</v>
      </c>
      <c r="G267" s="1096">
        <v>0</v>
      </c>
      <c r="H267" s="1096" t="s">
        <v>5224</v>
      </c>
      <c r="I267" s="1096" t="s">
        <v>5224</v>
      </c>
      <c r="J267" s="1096" t="s">
        <v>5224</v>
      </c>
      <c r="K267" s="1096" t="s">
        <v>5224</v>
      </c>
      <c r="L267" s="1096" t="s">
        <v>5224</v>
      </c>
      <c r="M267" s="1096" t="s">
        <v>5224</v>
      </c>
      <c r="N267" s="1096" t="s">
        <v>4631</v>
      </c>
      <c r="O267" s="1028"/>
      <c r="P267" s="1028" t="s">
        <v>3614</v>
      </c>
      <c r="Q267" s="1097">
        <f t="shared" ca="1" si="333"/>
        <v>15</v>
      </c>
      <c r="R267" s="1028"/>
      <c r="S267" s="1028" t="s">
        <v>3611</v>
      </c>
      <c r="T267" s="1097">
        <f t="shared" ca="1" si="334"/>
        <v>15</v>
      </c>
      <c r="U267" s="1027">
        <v>4</v>
      </c>
      <c r="V267" s="1027">
        <f t="shared" si="335"/>
        <v>5</v>
      </c>
      <c r="W267" s="1098" t="e">
        <f>IF(OR(I267&lt;&gt;"N",E267="C"),IF(AND(N267&lt;&gt;"T",ISNUMBER(FIND("V",I267))),1,0),NA())+IF(H267="Y",IF(AND(N267="P",ISNUMBER(FIND("Z",I267))),2,1),0)+IF(J267="Y",1,0)+IF(K267="Y",3,0)+IF(BE267="Lore",L267*2+Experience!$D$25,0)+IF(M267="Y",1,0)</f>
        <v>#N/A</v>
      </c>
      <c r="X267" s="1099"/>
      <c r="Y267" s="1100">
        <f ca="1">IF(P267="NS",IFERROR(INDIRECT(S267),NA()),VLOOKUP(INDIRECT(P267)+INDIRECT(S267),'System Lookups'!$A$3:$D$146,2))</f>
        <v>0.06</v>
      </c>
      <c r="Z267" s="1100">
        <f t="shared" si="336"/>
        <v>0</v>
      </c>
      <c r="AA267" s="1101">
        <f t="shared" ca="1" si="337"/>
        <v>0.06</v>
      </c>
      <c r="AB267" s="1102">
        <f>VLOOKUP(V267,'System Lookups'!$J$55:$P$64,3)</f>
        <v>0.1</v>
      </c>
      <c r="AC267" s="1103">
        <f>VLOOKUP(V267,'System Lookups'!$J$55:$P$64,4)</f>
        <v>0.2</v>
      </c>
      <c r="AD267" s="1104">
        <f t="shared" si="338"/>
        <v>0</v>
      </c>
      <c r="AE267" s="1094">
        <f>(IF(AD267&gt;VLOOKUP(V267,'System Lookups'!$J$55:$P$63,6),(((AD267-VLOOKUP(V267,'System Lookups'!$J$55:$P$63,6))*100)/20),0))+AF267</f>
        <v>0</v>
      </c>
      <c r="AF267" s="1121"/>
      <c r="AG267" s="1092">
        <f t="shared" si="339"/>
        <v>0</v>
      </c>
      <c r="AH267" s="1092" t="str">
        <f>IF(X267&lt;=Experience!$R$15+1,"","*")</f>
        <v/>
      </c>
      <c r="AI267" s="1092"/>
      <c r="AJ267" s="1080">
        <f t="shared" si="340"/>
        <v>0</v>
      </c>
      <c r="AK267" s="1080">
        <f t="shared" si="341"/>
        <v>0</v>
      </c>
      <c r="AL267" s="1080">
        <f t="shared" si="342"/>
        <v>0</v>
      </c>
      <c r="AM267" s="1092">
        <f t="shared" si="343"/>
        <v>0</v>
      </c>
      <c r="AN267" s="1080">
        <f t="shared" si="344"/>
        <v>1</v>
      </c>
      <c r="AO267" s="1080">
        <f t="shared" si="345"/>
        <v>0</v>
      </c>
      <c r="AP267" s="1080">
        <f t="shared" si="346"/>
        <v>1</v>
      </c>
      <c r="AQ267" s="1027">
        <f>VLOOKUP(V267,'System Lookups'!$J$55:$P$64,7)</f>
        <v>700</v>
      </c>
      <c r="AR267" s="1080" t="str">
        <f ca="1">IF(AND(NOT(ISBLANK(AJ267)),ISNA(MATCH(ROW(),'System Lookups'!$C$526:$C$539,0))),"Y","N")</f>
        <v>Y</v>
      </c>
      <c r="AS267" s="1080">
        <f t="shared" si="347"/>
        <v>0</v>
      </c>
      <c r="AU267" s="1080" t="e">
        <f t="shared" si="311"/>
        <v>#N/A</v>
      </c>
      <c r="AV267" s="1080" t="str">
        <f t="shared" si="303"/>
        <v>T</v>
      </c>
      <c r="AW267" s="1080">
        <f t="shared" si="312"/>
        <v>0</v>
      </c>
      <c r="AX267" s="1080">
        <f t="shared" si="313"/>
        <v>0</v>
      </c>
      <c r="AY267" s="1080">
        <f t="shared" si="314"/>
        <v>0</v>
      </c>
      <c r="AZ267" s="1080">
        <f t="shared" si="315"/>
        <v>0</v>
      </c>
      <c r="BA267" s="1080">
        <f t="shared" si="316"/>
        <v>0</v>
      </c>
      <c r="BB267" s="1080">
        <f>IF(AND(RACE=1,'Main Creation Page'!$E$6="Well",OR(ISNUMBER(FIND(Experience!$G$11,BE267)),ISNUMBER(FIND(Experience!$G$11,BF267)),ISNUMBER(FIND(Experience!$I$11,BE267)),ISNUMBER(FIND(Experience!$I$11,BF267)))),1,0)</f>
        <v>0</v>
      </c>
      <c r="BC267" s="1080" t="str">
        <f t="shared" si="332"/>
        <v>Glassblowing &amp; Glazing</v>
      </c>
      <c r="BE267" s="1080" t="str">
        <f t="shared" si="304"/>
        <v/>
      </c>
      <c r="BF267" s="1080" t="str">
        <f t="shared" si="305"/>
        <v>Crafts &amp; Trades Skills</v>
      </c>
    </row>
    <row r="268" spans="1:58" ht="11.1" customHeight="1" outlineLevel="1">
      <c r="A268" s="1123" t="s">
        <v>5576</v>
      </c>
      <c r="B268" s="1094"/>
      <c r="C268" s="1094"/>
      <c r="D268" s="1094"/>
      <c r="E268" s="1095" t="s">
        <v>5224</v>
      </c>
      <c r="F268" s="1095" t="str">
        <f>IF(('Main Creation Page'!C3=3),"R","N")</f>
        <v>N</v>
      </c>
      <c r="G268" s="1096">
        <v>0</v>
      </c>
      <c r="H268" s="1096" t="s">
        <v>5224</v>
      </c>
      <c r="I268" s="1096" t="s">
        <v>5224</v>
      </c>
      <c r="J268" s="1096" t="s">
        <v>5224</v>
      </c>
      <c r="K268" s="1096" t="s">
        <v>5224</v>
      </c>
      <c r="L268" s="1096" t="s">
        <v>5224</v>
      </c>
      <c r="M268" s="1096" t="s">
        <v>5224</v>
      </c>
      <c r="N268" s="1096" t="s">
        <v>4631</v>
      </c>
      <c r="O268" s="1097"/>
      <c r="P268" s="1097" t="s">
        <v>780</v>
      </c>
      <c r="Q268" s="1097">
        <f t="shared" ca="1" si="333"/>
        <v>17</v>
      </c>
      <c r="R268" s="1097"/>
      <c r="S268" s="1028" t="s">
        <v>3616</v>
      </c>
      <c r="T268" s="1097">
        <f t="shared" ca="1" si="334"/>
        <v>17</v>
      </c>
      <c r="U268" s="1027">
        <v>3</v>
      </c>
      <c r="V268" s="1027">
        <f t="shared" si="335"/>
        <v>4</v>
      </c>
      <c r="W268" s="1098" t="e">
        <f>IF(OR(I268&lt;&gt;"N",E268="C"),IF(AND(N268&lt;&gt;"T",ISNUMBER(FIND("V",I268))),1,0),NA())+IF(H268="Y",IF(AND(N268="P",ISNUMBER(FIND("Z",I268))),2,1),0)+IF(J268="Y",1,0)+IF(K268="Y",3,0)+IF(BE268="Lore",L268*2+Experience!$D$25,0)+IF(M268="Y",1,0)</f>
        <v>#N/A</v>
      </c>
      <c r="X268" s="1099"/>
      <c r="Y268" s="1100">
        <f ca="1">IF(P268="NS",IFERROR(INDIRECT(S268),NA()),VLOOKUP(INDIRECT(P268)+INDIRECT(S268),'System Lookups'!$A$3:$D$146,2))</f>
        <v>0.1</v>
      </c>
      <c r="Z268" s="1100">
        <f t="shared" si="336"/>
        <v>0</v>
      </c>
      <c r="AA268" s="1101">
        <f t="shared" ca="1" si="337"/>
        <v>0.1</v>
      </c>
      <c r="AB268" s="1102">
        <f>VLOOKUP(V268,'System Lookups'!$J$55:$P$64,3)</f>
        <v>0.2</v>
      </c>
      <c r="AC268" s="1103">
        <f>VLOOKUP(V268,'System Lookups'!$J$55:$P$64,4)</f>
        <v>0.3</v>
      </c>
      <c r="AD268" s="1104">
        <f t="shared" ca="1" si="338"/>
        <v>0.30000000000000004</v>
      </c>
      <c r="AE268" s="1094">
        <f ca="1">(IF(AD268&gt;VLOOKUP(V268,'System Lookups'!$J$55:$P$63,6),(((AD268-VLOOKUP(V268,'System Lookups'!$J$55:$P$63,6))*100)/20),0))+AF268</f>
        <v>0</v>
      </c>
      <c r="AF268" s="1121"/>
      <c r="AG268" s="1092">
        <f t="shared" si="339"/>
        <v>0</v>
      </c>
      <c r="AH268" s="1092" t="str">
        <f>IF(X268&lt;=Experience!$R$15+1,"","*")</f>
        <v/>
      </c>
      <c r="AI268" s="1092"/>
      <c r="AJ268" s="1080">
        <f t="shared" si="340"/>
        <v>0</v>
      </c>
      <c r="AK268" s="1080">
        <f t="shared" si="341"/>
        <v>0</v>
      </c>
      <c r="AL268" s="1080">
        <f t="shared" si="342"/>
        <v>0</v>
      </c>
      <c r="AM268" s="1092">
        <f t="shared" si="343"/>
        <v>0</v>
      </c>
      <c r="AN268" s="1080">
        <f t="shared" si="344"/>
        <v>1</v>
      </c>
      <c r="AO268" s="1080">
        <f t="shared" si="345"/>
        <v>0</v>
      </c>
      <c r="AP268" s="1080">
        <f t="shared" si="346"/>
        <v>1</v>
      </c>
      <c r="AQ268" s="1027">
        <f>VLOOKUP(V268,'System Lookups'!$J$55:$P$64,7)</f>
        <v>600</v>
      </c>
      <c r="AR268" s="1080" t="str">
        <f ca="1">IF(AND(NOT(ISBLANK(AJ268)),ISNA(MATCH(ROW(),'System Lookups'!$C$526:$C$539,0))),"Y","N")</f>
        <v>Y</v>
      </c>
      <c r="AS268" s="1080">
        <f t="shared" si="347"/>
        <v>0</v>
      </c>
      <c r="AU268" s="1080" t="e">
        <f t="shared" si="311"/>
        <v>#N/A</v>
      </c>
      <c r="AV268" s="1080" t="str">
        <f t="shared" si="303"/>
        <v>T</v>
      </c>
      <c r="AW268" s="1080">
        <f t="shared" si="312"/>
        <v>0</v>
      </c>
      <c r="AX268" s="1080">
        <f t="shared" si="313"/>
        <v>0</v>
      </c>
      <c r="AY268" s="1080">
        <f t="shared" si="314"/>
        <v>0</v>
      </c>
      <c r="AZ268" s="1080">
        <f t="shared" si="315"/>
        <v>0</v>
      </c>
      <c r="BA268" s="1080">
        <f t="shared" si="316"/>
        <v>0</v>
      </c>
      <c r="BB268" s="1080">
        <f>IF(AND(RACE=1,'Main Creation Page'!$E$6="Well",OR(ISNUMBER(FIND(Experience!$G$11,BE268)),ISNUMBER(FIND(Experience!$G$11,BF268)),ISNUMBER(FIND(Experience!$I$11,BE268)),ISNUMBER(FIND(Experience!$I$11,BF268)))),1,0)</f>
        <v>0</v>
      </c>
      <c r="BC268" s="1080" t="str">
        <f t="shared" si="332"/>
        <v>Gluemaking</v>
      </c>
      <c r="BE268" s="1080" t="str">
        <f t="shared" si="304"/>
        <v/>
      </c>
      <c r="BF268" s="1080" t="str">
        <f t="shared" si="305"/>
        <v>Crafts &amp; Trades Skills</v>
      </c>
    </row>
    <row r="269" spans="1:58" ht="11.1" customHeight="1" outlineLevel="1">
      <c r="A269" s="1117" t="s">
        <v>1833</v>
      </c>
      <c r="B269" s="1094" t="s">
        <v>1942</v>
      </c>
      <c r="C269" s="1094"/>
      <c r="D269" s="1094"/>
      <c r="E269" s="1095" t="s">
        <v>5224</v>
      </c>
      <c r="F269" s="1095" t="str">
        <f>IF(('Main Creation Page'!C3=3),"R","N")</f>
        <v>N</v>
      </c>
      <c r="G269" s="1096">
        <v>0</v>
      </c>
      <c r="H269" s="1096" t="s">
        <v>5224</v>
      </c>
      <c r="I269" s="1096" t="s">
        <v>5224</v>
      </c>
      <c r="J269" s="1096" t="s">
        <v>5224</v>
      </c>
      <c r="K269" s="1096" t="s">
        <v>5224</v>
      </c>
      <c r="L269" s="1096" t="s">
        <v>5224</v>
      </c>
      <c r="M269" s="1096" t="s">
        <v>5224</v>
      </c>
      <c r="N269" s="1096" t="s">
        <v>4631</v>
      </c>
      <c r="O269" s="1028"/>
      <c r="P269" s="1028" t="s">
        <v>3611</v>
      </c>
      <c r="Q269" s="1097">
        <f t="shared" ca="1" si="333"/>
        <v>15</v>
      </c>
      <c r="R269" s="1028"/>
      <c r="S269" s="1028" t="s">
        <v>3613</v>
      </c>
      <c r="T269" s="1097">
        <f t="shared" ca="1" si="334"/>
        <v>15</v>
      </c>
      <c r="U269" s="1027">
        <v>4</v>
      </c>
      <c r="V269" s="1027">
        <f t="shared" si="335"/>
        <v>5</v>
      </c>
      <c r="W269" s="1098" t="e">
        <f>IF(OR(I269&lt;&gt;"N",E269="C"),IF(AND(N269&lt;&gt;"T",ISNUMBER(FIND("V",I269))),1,0),NA())+IF(H269="Y",IF(AND(N269="P",ISNUMBER(FIND("Z",I269))),2,1),0)+IF(J269="Y",1,0)+IF(K269="Y",3,0)+IF(BE269="Lore",L269*2+Experience!$D$25,0)+IF(M269="Y",1,0)</f>
        <v>#N/A</v>
      </c>
      <c r="X269" s="1099"/>
      <c r="Y269" s="1100">
        <f ca="1">IF(P269="NS",IFERROR(INDIRECT(S269),NA()),VLOOKUP(INDIRECT(P269)+INDIRECT(S269),'System Lookups'!$A$3:$D$146,2))</f>
        <v>0.06</v>
      </c>
      <c r="Z269" s="1100">
        <f t="shared" si="336"/>
        <v>0</v>
      </c>
      <c r="AA269" s="1101">
        <f t="shared" ca="1" si="337"/>
        <v>0.06</v>
      </c>
      <c r="AB269" s="1102">
        <f>VLOOKUP(V269,'System Lookups'!$J$55:$P$64,3)</f>
        <v>0.1</v>
      </c>
      <c r="AC269" s="1103">
        <f>VLOOKUP(V269,'System Lookups'!$J$55:$P$64,4)</f>
        <v>0.2</v>
      </c>
      <c r="AD269" s="1104">
        <f t="shared" si="338"/>
        <v>0</v>
      </c>
      <c r="AE269" s="1094">
        <f>(IF(AD269&gt;VLOOKUP(V269,'System Lookups'!$J$55:$P$63,6),(((AD269-VLOOKUP(V269,'System Lookups'!$J$55:$P$63,6))*100)/20),0))+AF269</f>
        <v>0</v>
      </c>
      <c r="AF269" s="1121"/>
      <c r="AG269" s="1092">
        <f t="shared" si="339"/>
        <v>0</v>
      </c>
      <c r="AH269" s="1092" t="str">
        <f>IF(X269&lt;=Experience!$R$15+1,"","*")</f>
        <v/>
      </c>
      <c r="AI269" s="1092"/>
      <c r="AJ269" s="1080">
        <f t="shared" si="340"/>
        <v>0</v>
      </c>
      <c r="AK269" s="1080">
        <f t="shared" si="341"/>
        <v>0</v>
      </c>
      <c r="AL269" s="1080">
        <f t="shared" si="342"/>
        <v>0</v>
      </c>
      <c r="AM269" s="1092">
        <f t="shared" si="343"/>
        <v>0</v>
      </c>
      <c r="AN269" s="1080">
        <f t="shared" si="344"/>
        <v>1</v>
      </c>
      <c r="AO269" s="1080">
        <f t="shared" si="345"/>
        <v>0</v>
      </c>
      <c r="AP269" s="1080">
        <f t="shared" si="346"/>
        <v>1</v>
      </c>
      <c r="AQ269" s="1027">
        <f>VLOOKUP(V269,'System Lookups'!$J$55:$P$64,7)</f>
        <v>700</v>
      </c>
      <c r="AR269" s="1080" t="str">
        <f ca="1">IF(AND(NOT(ISBLANK(AJ269)),ISNA(MATCH(ROW(),'System Lookups'!$C$526:$C$539,0))),"Y","N")</f>
        <v>Y</v>
      </c>
      <c r="AS269" s="1080">
        <f t="shared" si="347"/>
        <v>0</v>
      </c>
      <c r="AU269" s="1080" t="e">
        <f t="shared" si="311"/>
        <v>#N/A</v>
      </c>
      <c r="AV269" s="1080" t="str">
        <f t="shared" si="303"/>
        <v>T</v>
      </c>
      <c r="AW269" s="1080">
        <f t="shared" si="312"/>
        <v>0</v>
      </c>
      <c r="AX269" s="1080">
        <f t="shared" si="313"/>
        <v>0</v>
      </c>
      <c r="AY269" s="1080">
        <f t="shared" si="314"/>
        <v>0</v>
      </c>
      <c r="AZ269" s="1080">
        <f t="shared" si="315"/>
        <v>0</v>
      </c>
      <c r="BA269" s="1080">
        <f t="shared" si="316"/>
        <v>0</v>
      </c>
      <c r="BB269" s="1080">
        <f>IF(AND(RACE=1,'Main Creation Page'!$E$6="Well",OR(ISNUMBER(FIND(Experience!$G$11,BE269)),ISNUMBER(FIND(Experience!$G$11,BF269)),ISNUMBER(FIND(Experience!$I$11,BE269)),ISNUMBER(FIND(Experience!$I$11,BF269)))),1,0)</f>
        <v>0</v>
      </c>
      <c r="BC269" s="1080" t="str">
        <f t="shared" si="332"/>
        <v>Gold &amp; Silversmithing</v>
      </c>
      <c r="BE269" s="1080" t="str">
        <f t="shared" si="304"/>
        <v/>
      </c>
      <c r="BF269" s="1080" t="str">
        <f t="shared" si="305"/>
        <v>Crafts &amp; Trades Skills</v>
      </c>
    </row>
    <row r="270" spans="1:58" ht="11.1" customHeight="1" outlineLevel="1">
      <c r="A270" s="1117" t="s">
        <v>1868</v>
      </c>
      <c r="B270" s="1094"/>
      <c r="C270" s="1094"/>
      <c r="D270" s="1094"/>
      <c r="E270" s="1095" t="s">
        <v>5224</v>
      </c>
      <c r="F270" s="1095" t="s">
        <v>5224</v>
      </c>
      <c r="G270" s="1096">
        <v>0</v>
      </c>
      <c r="H270" s="1096" t="s">
        <v>5224</v>
      </c>
      <c r="I270" s="1096" t="s">
        <v>5224</v>
      </c>
      <c r="J270" s="1096" t="s">
        <v>5224</v>
      </c>
      <c r="K270" s="1096" t="s">
        <v>5224</v>
      </c>
      <c r="L270" s="1096" t="s">
        <v>5224</v>
      </c>
      <c r="M270" s="1096" t="s">
        <v>5224</v>
      </c>
      <c r="N270" s="1096" t="s">
        <v>4631</v>
      </c>
      <c r="O270" s="1028"/>
      <c r="P270" s="1028" t="s">
        <v>3615</v>
      </c>
      <c r="Q270" s="1097">
        <f t="shared" ca="1" si="333"/>
        <v>20</v>
      </c>
      <c r="R270" s="1028"/>
      <c r="S270" s="1028" t="s">
        <v>3612</v>
      </c>
      <c r="T270" s="1097">
        <f t="shared" ca="1" si="334"/>
        <v>10</v>
      </c>
      <c r="U270" s="1027">
        <v>3</v>
      </c>
      <c r="V270" s="1027">
        <f t="shared" si="335"/>
        <v>4</v>
      </c>
      <c r="W270" s="1098" t="e">
        <f>IF(OR(I270&lt;&gt;"N",E270="C"),IF(AND(N270&lt;&gt;"T",ISNUMBER(FIND("V",I270))),1,0),NA())+IF(H270="Y",IF(AND(N270="P",ISNUMBER(FIND("Z",I270))),2,1),0)+IF(J270="Y",1,0)+IF(K270="Y",3,0)+IF(BE270="Lore",L270*2+Experience!$D$25,0)+IF(M270="Y",1,0)</f>
        <v>#N/A</v>
      </c>
      <c r="X270" s="1099"/>
      <c r="Y270" s="1100">
        <f ca="1">IF(P270="NS",IFERROR(INDIRECT(S270),NA()),VLOOKUP(INDIRECT(P270)+INDIRECT(S270),'System Lookups'!$A$3:$D$146,2))</f>
        <v>0.06</v>
      </c>
      <c r="Z270" s="1100">
        <f t="shared" si="336"/>
        <v>0</v>
      </c>
      <c r="AA270" s="1101">
        <f t="shared" ca="1" si="337"/>
        <v>0.06</v>
      </c>
      <c r="AB270" s="1102">
        <f>VLOOKUP(V270,'System Lookups'!$J$55:$P$64,3)</f>
        <v>0.2</v>
      </c>
      <c r="AC270" s="1103">
        <f>VLOOKUP(V270,'System Lookups'!$J$55:$P$64,4)</f>
        <v>0.3</v>
      </c>
      <c r="AD270" s="1104">
        <f t="shared" ca="1" si="338"/>
        <v>0.26</v>
      </c>
      <c r="AE270" s="1094">
        <f ca="1">(IF(AD270&gt;VLOOKUP(V270,'System Lookups'!$J$55:$P$63,6),(((AD270-VLOOKUP(V270,'System Lookups'!$J$55:$P$63,6))*100)/20),0))+AF270</f>
        <v>0</v>
      </c>
      <c r="AF270" s="1121"/>
      <c r="AG270" s="1092">
        <f t="shared" si="339"/>
        <v>0</v>
      </c>
      <c r="AH270" s="1092" t="str">
        <f>IF(X270&lt;=Experience!$R$15+1,"","*")</f>
        <v/>
      </c>
      <c r="AI270" s="1092"/>
      <c r="AJ270" s="1080">
        <f t="shared" si="340"/>
        <v>0</v>
      </c>
      <c r="AK270" s="1080">
        <f t="shared" si="341"/>
        <v>0</v>
      </c>
      <c r="AL270" s="1080">
        <f t="shared" si="342"/>
        <v>0</v>
      </c>
      <c r="AM270" s="1092">
        <f t="shared" si="343"/>
        <v>0</v>
      </c>
      <c r="AN270" s="1080">
        <f t="shared" si="344"/>
        <v>1</v>
      </c>
      <c r="AO270" s="1080">
        <f t="shared" si="345"/>
        <v>0</v>
      </c>
      <c r="AP270" s="1080">
        <f t="shared" si="346"/>
        <v>1</v>
      </c>
      <c r="AQ270" s="1027">
        <f>VLOOKUP(V270,'System Lookups'!$J$55:$P$64,7)</f>
        <v>600</v>
      </c>
      <c r="AR270" s="1080" t="str">
        <f ca="1">IF(AND(NOT(ISBLANK(AJ270)),ISNA(MATCH(ROW(),'System Lookups'!$C$526:$C$539,0))),"Y","N")</f>
        <v>Y</v>
      </c>
      <c r="AS270" s="1080">
        <f t="shared" si="347"/>
        <v>0</v>
      </c>
      <c r="AU270" s="1080" t="e">
        <f t="shared" si="311"/>
        <v>#N/A</v>
      </c>
      <c r="AV270" s="1080" t="str">
        <f t="shared" si="303"/>
        <v>T</v>
      </c>
      <c r="AW270" s="1080">
        <f t="shared" si="312"/>
        <v>0</v>
      </c>
      <c r="AX270" s="1080">
        <f t="shared" si="313"/>
        <v>0</v>
      </c>
      <c r="AY270" s="1080">
        <f t="shared" si="314"/>
        <v>0</v>
      </c>
      <c r="AZ270" s="1080">
        <f t="shared" si="315"/>
        <v>0</v>
      </c>
      <c r="BA270" s="1080">
        <f t="shared" si="316"/>
        <v>0</v>
      </c>
      <c r="BB270" s="1080">
        <f>IF(AND(RACE=1,'Main Creation Page'!$E$6="Well",OR(ISNUMBER(FIND(Experience!$G$11,BE270)),ISNUMBER(FIND(Experience!$G$11,BF270)),ISNUMBER(FIND(Experience!$I$11,BE270)),ISNUMBER(FIND(Experience!$I$11,BF270)))),1,0)</f>
        <v>0</v>
      </c>
      <c r="BC270" s="1080" t="str">
        <f t="shared" si="332"/>
        <v>Innkeeping</v>
      </c>
      <c r="BE270" s="1080" t="str">
        <f t="shared" si="304"/>
        <v/>
      </c>
      <c r="BF270" s="1080" t="str">
        <f t="shared" si="305"/>
        <v>Crafts &amp; Trades Skills</v>
      </c>
    </row>
    <row r="271" spans="1:58" ht="11.1" customHeight="1" outlineLevel="1">
      <c r="A271" s="1117" t="s">
        <v>103</v>
      </c>
      <c r="B271" s="1094"/>
      <c r="C271" s="1094"/>
      <c r="D271" s="1094"/>
      <c r="E271" s="1095" t="s">
        <v>5224</v>
      </c>
      <c r="F271" s="1095" t="s">
        <v>5224</v>
      </c>
      <c r="G271" s="1096">
        <v>0</v>
      </c>
      <c r="H271" s="1096" t="s">
        <v>5224</v>
      </c>
      <c r="I271" s="1096" t="s">
        <v>5224</v>
      </c>
      <c r="J271" s="1096" t="s">
        <v>5224</v>
      </c>
      <c r="K271" s="1096" t="s">
        <v>5224</v>
      </c>
      <c r="L271" s="1096" t="s">
        <v>5224</v>
      </c>
      <c r="M271" s="1096" t="s">
        <v>5224</v>
      </c>
      <c r="N271" s="1096" t="s">
        <v>4631</v>
      </c>
      <c r="O271" s="1028"/>
      <c r="P271" s="1028" t="s">
        <v>3614</v>
      </c>
      <c r="Q271" s="1097">
        <f t="shared" ca="1" si="333"/>
        <v>15</v>
      </c>
      <c r="R271" s="1028"/>
      <c r="S271" s="1028" t="s">
        <v>3611</v>
      </c>
      <c r="T271" s="1097">
        <f t="shared" ca="1" si="334"/>
        <v>15</v>
      </c>
      <c r="U271" s="1027">
        <v>3</v>
      </c>
      <c r="V271" s="1027">
        <f t="shared" si="335"/>
        <v>4</v>
      </c>
      <c r="W271" s="1098" t="e">
        <f>IF(OR(I271&lt;&gt;"N",E271="C"),IF(AND(N271&lt;&gt;"T",ISNUMBER(FIND("V",I271))),1,0),NA())+IF(H271="Y",IF(AND(N271="P",ISNUMBER(FIND("Z",I271))),2,1),0)+IF(J271="Y",1,0)+IF(K271="Y",3,0)+IF(BE271="Lore",L271*2+Experience!$D$25,0)+IF(M271="Y",1,0)</f>
        <v>#N/A</v>
      </c>
      <c r="X271" s="1099"/>
      <c r="Y271" s="1100">
        <f ca="1">IF(P271="NS",IFERROR(INDIRECT(S271),NA()),VLOOKUP(INDIRECT(P271)+INDIRECT(S271),'System Lookups'!$A$3:$D$146,2))</f>
        <v>0.06</v>
      </c>
      <c r="Z271" s="1100">
        <f t="shared" si="336"/>
        <v>0</v>
      </c>
      <c r="AA271" s="1101">
        <f t="shared" ca="1" si="337"/>
        <v>0.06</v>
      </c>
      <c r="AB271" s="1102">
        <f>VLOOKUP(V271,'System Lookups'!$J$55:$P$64,3)</f>
        <v>0.2</v>
      </c>
      <c r="AC271" s="1103">
        <f>VLOOKUP(V271,'System Lookups'!$J$55:$P$64,4)</f>
        <v>0.3</v>
      </c>
      <c r="AD271" s="1104">
        <f t="shared" ca="1" si="338"/>
        <v>0.26</v>
      </c>
      <c r="AE271" s="1094">
        <f ca="1">(IF(AD271&gt;VLOOKUP(V271,'System Lookups'!$J$55:$P$63,6),(((AD271-VLOOKUP(V271,'System Lookups'!$J$55:$P$63,6))*100)/20),0))+AF271</f>
        <v>0</v>
      </c>
      <c r="AF271" s="1121"/>
      <c r="AG271" s="1092">
        <f t="shared" si="339"/>
        <v>0</v>
      </c>
      <c r="AH271" s="1092" t="str">
        <f>IF(X271&lt;=Experience!$R$15+1,"","*")</f>
        <v/>
      </c>
      <c r="AI271" s="1092"/>
      <c r="AJ271" s="1080">
        <f t="shared" si="340"/>
        <v>0</v>
      </c>
      <c r="AK271" s="1080">
        <f t="shared" si="341"/>
        <v>0</v>
      </c>
      <c r="AL271" s="1080">
        <f t="shared" si="342"/>
        <v>0</v>
      </c>
      <c r="AM271" s="1092">
        <f t="shared" si="343"/>
        <v>0</v>
      </c>
      <c r="AN271" s="1080">
        <f t="shared" si="344"/>
        <v>1</v>
      </c>
      <c r="AO271" s="1080">
        <f t="shared" si="345"/>
        <v>0</v>
      </c>
      <c r="AP271" s="1080">
        <f t="shared" si="346"/>
        <v>1</v>
      </c>
      <c r="AQ271" s="1027">
        <f>VLOOKUP(V271,'System Lookups'!$J$55:$P$64,7)</f>
        <v>600</v>
      </c>
      <c r="AR271" s="1080" t="str">
        <f ca="1">IF(AND(NOT(ISBLANK(AJ271)),ISNA(MATCH(ROW(),'System Lookups'!$C$526:$C$539,0))),"Y","N")</f>
        <v>Y</v>
      </c>
      <c r="AS271" s="1080">
        <f t="shared" si="347"/>
        <v>0</v>
      </c>
      <c r="AU271" s="1080" t="e">
        <f t="shared" si="311"/>
        <v>#N/A</v>
      </c>
      <c r="AV271" s="1080" t="str">
        <f t="shared" si="303"/>
        <v>T</v>
      </c>
      <c r="AW271" s="1080">
        <f t="shared" si="312"/>
        <v>0</v>
      </c>
      <c r="AX271" s="1080">
        <f t="shared" si="313"/>
        <v>0</v>
      </c>
      <c r="AY271" s="1080">
        <f t="shared" si="314"/>
        <v>0</v>
      </c>
      <c r="AZ271" s="1080">
        <f t="shared" si="315"/>
        <v>0</v>
      </c>
      <c r="BA271" s="1080">
        <f t="shared" si="316"/>
        <v>0</v>
      </c>
      <c r="BB271" s="1080">
        <f>IF(AND(RACE=1,'Main Creation Page'!$E$6="Well",OR(ISNUMBER(FIND(Experience!$G$11,BE271)),ISNUMBER(FIND(Experience!$G$11,BF271)),ISNUMBER(FIND(Experience!$I$11,BE271)),ISNUMBER(FIND(Experience!$I$11,BF271)))),1,0)</f>
        <v>0</v>
      </c>
      <c r="BC271" s="1080" t="str">
        <f t="shared" si="332"/>
        <v>Leatherworking &amp; Tanning</v>
      </c>
      <c r="BE271" s="1080" t="str">
        <f t="shared" si="304"/>
        <v/>
      </c>
      <c r="BF271" s="1080" t="str">
        <f t="shared" si="305"/>
        <v>Crafts &amp; Trades Skills</v>
      </c>
    </row>
    <row r="272" spans="1:58" ht="11.1" customHeight="1" outlineLevel="1">
      <c r="A272" s="1123" t="s">
        <v>2508</v>
      </c>
      <c r="B272" s="1094" t="s">
        <v>1942</v>
      </c>
      <c r="C272" s="1094"/>
      <c r="D272" s="1094"/>
      <c r="E272" s="1095" t="s">
        <v>5224</v>
      </c>
      <c r="F272" s="1095" t="s">
        <v>5224</v>
      </c>
      <c r="G272" s="1096">
        <v>0</v>
      </c>
      <c r="H272" s="1096" t="s">
        <v>5224</v>
      </c>
      <c r="I272" s="1096" t="s">
        <v>5224</v>
      </c>
      <c r="J272" s="1096" t="s">
        <v>5224</v>
      </c>
      <c r="K272" s="1096" t="s">
        <v>5224</v>
      </c>
      <c r="L272" s="1096" t="s">
        <v>5224</v>
      </c>
      <c r="M272" s="1096" t="s">
        <v>5224</v>
      </c>
      <c r="N272" s="1096" t="s">
        <v>4631</v>
      </c>
      <c r="O272" s="1028"/>
      <c r="P272" s="1028" t="s">
        <v>3615</v>
      </c>
      <c r="Q272" s="1097">
        <f t="shared" ca="1" si="333"/>
        <v>20</v>
      </c>
      <c r="R272" s="1028"/>
      <c r="S272" s="1028" t="s">
        <v>3616</v>
      </c>
      <c r="T272" s="1097">
        <f t="shared" ca="1" si="334"/>
        <v>17</v>
      </c>
      <c r="U272" s="1027">
        <v>5</v>
      </c>
      <c r="V272" s="1027">
        <f t="shared" si="335"/>
        <v>6</v>
      </c>
      <c r="W272" s="1098" t="e">
        <f>IF(OR(I272&lt;&gt;"N",E272="C"),IF(AND(N272&lt;&gt;"T",ISNUMBER(FIND("V",I272))),1,0),NA())+IF(H272="Y",IF(AND(N272="P",ISNUMBER(FIND("Z",I272))),2,1),0)+IF(J272="Y",1,0)+IF(K272="Y",3,0)+IF(BE272="Lore",L272*2+Experience!$D$25,0)+IF(M272="Y",1,0)</f>
        <v>#N/A</v>
      </c>
      <c r="X272" s="1099"/>
      <c r="Y272" s="1100">
        <f ca="1">IF(P272="NS",IFERROR(INDIRECT(S272),NA()),VLOOKUP(INDIRECT(P272)+INDIRECT(S272),'System Lookups'!$A$3:$D$146,2))</f>
        <v>0.14000000000000001</v>
      </c>
      <c r="Z272" s="1100">
        <f t="shared" si="336"/>
        <v>0</v>
      </c>
      <c r="AA272" s="1101">
        <f t="shared" ca="1" si="337"/>
        <v>0.14000000000000001</v>
      </c>
      <c r="AB272" s="1102">
        <f>VLOOKUP(V272,'System Lookups'!$J$55:$P$64,3)</f>
        <v>0.05</v>
      </c>
      <c r="AC272" s="1103">
        <f>VLOOKUP(V272,'System Lookups'!$J$55:$P$64,4)</f>
        <v>0.1</v>
      </c>
      <c r="AD272" s="1104">
        <f t="shared" si="338"/>
        <v>0</v>
      </c>
      <c r="AE272" s="1094">
        <f>(IF(AD272&gt;VLOOKUP(V272,'System Lookups'!$J$55:$P$63,6),(((AD272-VLOOKUP(V272,'System Lookups'!$J$55:$P$63,6))*100)/20),0))+AF272</f>
        <v>0</v>
      </c>
      <c r="AF272" s="1121"/>
      <c r="AG272" s="1092">
        <f t="shared" si="339"/>
        <v>0</v>
      </c>
      <c r="AH272" s="1092" t="str">
        <f>IF(X272&lt;=Experience!$R$15+1,"","*")</f>
        <v/>
      </c>
      <c r="AI272" s="1092"/>
      <c r="AJ272" s="1080">
        <f t="shared" si="340"/>
        <v>0</v>
      </c>
      <c r="AK272" s="1080">
        <f t="shared" si="341"/>
        <v>0</v>
      </c>
      <c r="AL272" s="1080">
        <f t="shared" si="342"/>
        <v>0</v>
      </c>
      <c r="AM272" s="1092">
        <f t="shared" si="343"/>
        <v>0</v>
      </c>
      <c r="AN272" s="1080">
        <f t="shared" si="344"/>
        <v>1</v>
      </c>
      <c r="AO272" s="1080">
        <f t="shared" si="345"/>
        <v>0</v>
      </c>
      <c r="AP272" s="1080">
        <f t="shared" si="346"/>
        <v>1</v>
      </c>
      <c r="AQ272" s="1027">
        <f>VLOOKUP(V272,'System Lookups'!$J$55:$P$64,7)</f>
        <v>800</v>
      </c>
      <c r="AR272" s="1080" t="str">
        <f ca="1">IF(AND(NOT(ISBLANK(AJ272)),ISNA(MATCH(ROW(),'System Lookups'!$C$526:$C$539,0))),"Y","N")</f>
        <v>Y</v>
      </c>
      <c r="AS272" s="1080">
        <f t="shared" si="347"/>
        <v>0</v>
      </c>
      <c r="AU272" s="1080" t="e">
        <f t="shared" si="311"/>
        <v>#N/A</v>
      </c>
      <c r="AV272" s="1080" t="str">
        <f t="shared" si="303"/>
        <v>T</v>
      </c>
      <c r="AW272" s="1080">
        <f t="shared" si="312"/>
        <v>0</v>
      </c>
      <c r="AX272" s="1080">
        <f t="shared" si="313"/>
        <v>0</v>
      </c>
      <c r="AY272" s="1080">
        <f t="shared" si="314"/>
        <v>0</v>
      </c>
      <c r="AZ272" s="1080">
        <f t="shared" si="315"/>
        <v>0</v>
      </c>
      <c r="BA272" s="1080">
        <f t="shared" si="316"/>
        <v>0</v>
      </c>
      <c r="BB272" s="1080">
        <f>IF(AND(RACE=1,'Main Creation Page'!$E$6="Well",OR(ISNUMBER(FIND(Experience!$G$11,BE272)),ISNUMBER(FIND(Experience!$G$11,BF272)),ISNUMBER(FIND(Experience!$I$11,BE272)),ISNUMBER(FIND(Experience!$I$11,BF272)))),1,0)</f>
        <v>0</v>
      </c>
      <c r="BC272" s="1080" t="str">
        <f t="shared" si="332"/>
        <v>Locksmithing</v>
      </c>
      <c r="BE272" s="1080" t="str">
        <f t="shared" si="304"/>
        <v/>
      </c>
      <c r="BF272" s="1080" t="str">
        <f t="shared" si="305"/>
        <v>Crafts &amp; Trades Skills</v>
      </c>
    </row>
    <row r="273" spans="1:58" ht="11.1" customHeight="1" outlineLevel="1">
      <c r="A273" s="1117" t="s">
        <v>763</v>
      </c>
      <c r="B273" s="1094"/>
      <c r="C273" s="1094"/>
      <c r="D273" s="1094"/>
      <c r="E273" s="1095" t="s">
        <v>5224</v>
      </c>
      <c r="F273" s="1095" t="s">
        <v>5224</v>
      </c>
      <c r="G273" s="1096">
        <v>0</v>
      </c>
      <c r="H273" s="1096" t="s">
        <v>5224</v>
      </c>
      <c r="I273" s="1096" t="s">
        <v>5224</v>
      </c>
      <c r="J273" s="1096" t="s">
        <v>5224</v>
      </c>
      <c r="K273" s="1096" t="s">
        <v>5224</v>
      </c>
      <c r="L273" s="1096" t="s">
        <v>5224</v>
      </c>
      <c r="M273" s="1096" t="s">
        <v>5224</v>
      </c>
      <c r="N273" s="1096" t="s">
        <v>4631</v>
      </c>
      <c r="O273" s="1028"/>
      <c r="P273" s="1028" t="s">
        <v>3615</v>
      </c>
      <c r="Q273" s="1097">
        <f t="shared" ca="1" si="333"/>
        <v>20</v>
      </c>
      <c r="R273" s="1028"/>
      <c r="S273" s="1028" t="s">
        <v>3616</v>
      </c>
      <c r="T273" s="1097">
        <f t="shared" ca="1" si="334"/>
        <v>17</v>
      </c>
      <c r="U273" s="1027">
        <v>3</v>
      </c>
      <c r="V273" s="1027">
        <f t="shared" si="335"/>
        <v>4</v>
      </c>
      <c r="W273" s="1098" t="e">
        <f>IF(OR(I273&lt;&gt;"N",E273="C"),IF(AND(N273&lt;&gt;"T",ISNUMBER(FIND("V",I273))),1,0),NA())+IF(H273="Y",IF(AND(N273="P",ISNUMBER(FIND("Z",I273))),2,1),0)+IF(J273="Y",1,0)+IF(K273="Y",3,0)+IF(BE273="Lore",L273*2+Experience!$D$25,0)+IF(M273="Y",1,0)</f>
        <v>#N/A</v>
      </c>
      <c r="X273" s="1099"/>
      <c r="Y273" s="1100">
        <f ca="1">IF(P273="NS",IFERROR(INDIRECT(S273),NA()),VLOOKUP(INDIRECT(P273)+INDIRECT(S273),'System Lookups'!$A$3:$D$146,2))</f>
        <v>0.14000000000000001</v>
      </c>
      <c r="Z273" s="1100">
        <f t="shared" si="336"/>
        <v>0</v>
      </c>
      <c r="AA273" s="1101">
        <f t="shared" ca="1" si="337"/>
        <v>0.14000000000000001</v>
      </c>
      <c r="AB273" s="1102">
        <f>VLOOKUP(V273,'System Lookups'!$J$55:$P$64,3)</f>
        <v>0.2</v>
      </c>
      <c r="AC273" s="1103">
        <f>VLOOKUP(V273,'System Lookups'!$J$55:$P$64,4)</f>
        <v>0.3</v>
      </c>
      <c r="AD273" s="1104">
        <f t="shared" ca="1" si="338"/>
        <v>0.34</v>
      </c>
      <c r="AE273" s="1094">
        <f ca="1">(IF(AD273&gt;VLOOKUP(V273,'System Lookups'!$J$55:$P$63,6),(((AD273-VLOOKUP(V273,'System Lookups'!$J$55:$P$63,6))*100)/20),0))+AF273</f>
        <v>0</v>
      </c>
      <c r="AF273" s="1121"/>
      <c r="AG273" s="1092">
        <f t="shared" si="339"/>
        <v>0</v>
      </c>
      <c r="AH273" s="1092" t="str">
        <f>IF(X273&lt;=Experience!$R$15+1,"","*")</f>
        <v/>
      </c>
      <c r="AI273" s="1092"/>
      <c r="AJ273" s="1080">
        <f t="shared" si="340"/>
        <v>0</v>
      </c>
      <c r="AK273" s="1080">
        <f t="shared" si="341"/>
        <v>0</v>
      </c>
      <c r="AL273" s="1080">
        <f t="shared" si="342"/>
        <v>0</v>
      </c>
      <c r="AM273" s="1092">
        <f t="shared" si="343"/>
        <v>0</v>
      </c>
      <c r="AN273" s="1080">
        <f t="shared" si="344"/>
        <v>1</v>
      </c>
      <c r="AO273" s="1080">
        <f t="shared" si="345"/>
        <v>0</v>
      </c>
      <c r="AP273" s="1080">
        <f t="shared" si="346"/>
        <v>1</v>
      </c>
      <c r="AQ273" s="1027">
        <f>VLOOKUP(V273,'System Lookups'!$J$55:$P$64,7)</f>
        <v>600</v>
      </c>
      <c r="AR273" s="1080" t="str">
        <f ca="1">IF(AND(NOT(ISBLANK(AJ273)),ISNA(MATCH(ROW(),'System Lookups'!$C$526:$C$539,0))),"Y","N")</f>
        <v>Y</v>
      </c>
      <c r="AS273" s="1080">
        <f t="shared" si="347"/>
        <v>0</v>
      </c>
      <c r="AU273" s="1080" t="e">
        <f t="shared" si="311"/>
        <v>#N/A</v>
      </c>
      <c r="AV273" s="1080" t="str">
        <f t="shared" si="303"/>
        <v>T</v>
      </c>
      <c r="AW273" s="1080">
        <f t="shared" si="312"/>
        <v>0</v>
      </c>
      <c r="AX273" s="1080">
        <f t="shared" si="313"/>
        <v>0</v>
      </c>
      <c r="AY273" s="1080">
        <f t="shared" si="314"/>
        <v>0</v>
      </c>
      <c r="AZ273" s="1080">
        <f t="shared" si="315"/>
        <v>0</v>
      </c>
      <c r="BA273" s="1080">
        <f t="shared" si="316"/>
        <v>0</v>
      </c>
      <c r="BB273" s="1080">
        <f>IF(AND(RACE=1,'Main Creation Page'!$E$6="Well",OR(ISNUMBER(FIND(Experience!$G$11,BE273)),ISNUMBER(FIND(Experience!$G$11,BF273)),ISNUMBER(FIND(Experience!$I$11,BE273)),ISNUMBER(FIND(Experience!$I$11,BF273)))),1,0)</f>
        <v>0</v>
      </c>
      <c r="BC273" s="1080" t="str">
        <f t="shared" si="332"/>
        <v>Lumbering</v>
      </c>
      <c r="BE273" s="1080" t="str">
        <f t="shared" si="304"/>
        <v/>
      </c>
      <c r="BF273" s="1080" t="str">
        <f t="shared" si="305"/>
        <v>Crafts &amp; Trades Skills</v>
      </c>
    </row>
    <row r="274" spans="1:58" ht="11.1" customHeight="1" outlineLevel="1">
      <c r="A274" s="1117" t="s">
        <v>104</v>
      </c>
      <c r="B274" s="1094"/>
      <c r="C274" s="1094"/>
      <c r="D274" s="1094"/>
      <c r="E274" s="1095" t="s">
        <v>5224</v>
      </c>
      <c r="F274" s="1095" t="s">
        <v>5224</v>
      </c>
      <c r="G274" s="1096">
        <v>0</v>
      </c>
      <c r="H274" s="1096" t="s">
        <v>5224</v>
      </c>
      <c r="I274" s="1096" t="s">
        <v>5224</v>
      </c>
      <c r="J274" s="1096" t="s">
        <v>5224</v>
      </c>
      <c r="K274" s="1096" t="s">
        <v>5224</v>
      </c>
      <c r="L274" s="1096" t="s">
        <v>5224</v>
      </c>
      <c r="M274" s="1096" t="s">
        <v>5224</v>
      </c>
      <c r="N274" s="1096" t="s">
        <v>4631</v>
      </c>
      <c r="O274" s="1028"/>
      <c r="P274" s="1028" t="s">
        <v>3615</v>
      </c>
      <c r="Q274" s="1097">
        <f t="shared" ca="1" si="333"/>
        <v>20</v>
      </c>
      <c r="R274" s="1028"/>
      <c r="S274" s="1028" t="s">
        <v>3614</v>
      </c>
      <c r="T274" s="1097">
        <f t="shared" ca="1" si="334"/>
        <v>15</v>
      </c>
      <c r="U274" s="1027">
        <v>3</v>
      </c>
      <c r="V274" s="1027">
        <f t="shared" si="335"/>
        <v>4</v>
      </c>
      <c r="W274" s="1098" t="e">
        <f>IF(OR(I274&lt;&gt;"N",E274="C"),IF(AND(N274&lt;&gt;"T",ISNUMBER(FIND("V",I274))),1,0),NA())+IF(H274="Y",IF(AND(N274="P",ISNUMBER(FIND("Z",I274))),2,1),0)+IF(J274="Y",1,0)+IF(K274="Y",3,0)+IF(BE274="Lore",L274*2+Experience!$D$25,0)+IF(M274="Y",1,0)</f>
        <v>#N/A</v>
      </c>
      <c r="X274" s="1099"/>
      <c r="Y274" s="1100">
        <f ca="1">IF(P274="NS",IFERROR(INDIRECT(S274),NA()),VLOOKUP(INDIRECT(P274)+INDIRECT(S274),'System Lookups'!$A$3:$D$146,2))</f>
        <v>0.12</v>
      </c>
      <c r="Z274" s="1100">
        <f t="shared" si="336"/>
        <v>0</v>
      </c>
      <c r="AA274" s="1101">
        <f t="shared" ca="1" si="337"/>
        <v>0.12</v>
      </c>
      <c r="AB274" s="1102">
        <f>VLOOKUP(V274,'System Lookups'!$J$55:$P$64,3)</f>
        <v>0.2</v>
      </c>
      <c r="AC274" s="1103">
        <f>VLOOKUP(V274,'System Lookups'!$J$55:$P$64,4)</f>
        <v>0.3</v>
      </c>
      <c r="AD274" s="1104">
        <f t="shared" ca="1" si="338"/>
        <v>0.32</v>
      </c>
      <c r="AE274" s="1094">
        <f ca="1">(IF(AD274&gt;VLOOKUP(V274,'System Lookups'!$J$55:$P$63,6),(((AD274-VLOOKUP(V274,'System Lookups'!$J$55:$P$63,6))*100)/20),0))+AF274</f>
        <v>0</v>
      </c>
      <c r="AF274" s="1121"/>
      <c r="AG274" s="1092">
        <f t="shared" si="339"/>
        <v>0</v>
      </c>
      <c r="AH274" s="1092" t="str">
        <f>IF(X274&lt;=Experience!$R$15+1,"","*")</f>
        <v/>
      </c>
      <c r="AI274" s="1092"/>
      <c r="AJ274" s="1080">
        <f t="shared" si="340"/>
        <v>0</v>
      </c>
      <c r="AK274" s="1080">
        <f t="shared" si="341"/>
        <v>0</v>
      </c>
      <c r="AL274" s="1080">
        <f t="shared" si="342"/>
        <v>0</v>
      </c>
      <c r="AM274" s="1092">
        <f t="shared" si="343"/>
        <v>0</v>
      </c>
      <c r="AN274" s="1080">
        <f t="shared" si="344"/>
        <v>1</v>
      </c>
      <c r="AO274" s="1080">
        <f t="shared" si="345"/>
        <v>0</v>
      </c>
      <c r="AP274" s="1080">
        <f t="shared" si="346"/>
        <v>1</v>
      </c>
      <c r="AQ274" s="1027">
        <f>VLOOKUP(V274,'System Lookups'!$J$55:$P$64,7)</f>
        <v>600</v>
      </c>
      <c r="AR274" s="1080" t="str">
        <f ca="1">IF(AND(NOT(ISBLANK(AJ274)),ISNA(MATCH(ROW(),'System Lookups'!$C$526:$C$539,0))),"Y","N")</f>
        <v>Y</v>
      </c>
      <c r="AS274" s="1080">
        <f t="shared" si="347"/>
        <v>0</v>
      </c>
      <c r="AU274" s="1080" t="e">
        <f t="shared" si="311"/>
        <v>#N/A</v>
      </c>
      <c r="AV274" s="1080" t="str">
        <f t="shared" si="303"/>
        <v>T</v>
      </c>
      <c r="AW274" s="1080">
        <f t="shared" si="312"/>
        <v>0</v>
      </c>
      <c r="AX274" s="1080">
        <f t="shared" si="313"/>
        <v>0</v>
      </c>
      <c r="AY274" s="1080">
        <f t="shared" si="314"/>
        <v>0</v>
      </c>
      <c r="AZ274" s="1080">
        <f t="shared" si="315"/>
        <v>0</v>
      </c>
      <c r="BA274" s="1080">
        <f t="shared" si="316"/>
        <v>0</v>
      </c>
      <c r="BB274" s="1080">
        <f>IF(AND(RACE=1,'Main Creation Page'!$E$6="Well",OR(ISNUMBER(FIND(Experience!$G$11,BE274)),ISNUMBER(FIND(Experience!$G$11,BF274)),ISNUMBER(FIND(Experience!$I$11,BE274)),ISNUMBER(FIND(Experience!$I$11,BF274)))),1,0)</f>
        <v>0</v>
      </c>
      <c r="BC274" s="1080" t="str">
        <f t="shared" si="332"/>
        <v>Masonry &amp; Stonecutting</v>
      </c>
      <c r="BE274" s="1080" t="str">
        <f t="shared" si="304"/>
        <v/>
      </c>
      <c r="BF274" s="1080" t="str">
        <f t="shared" si="305"/>
        <v>Crafts &amp; Trades Skills</v>
      </c>
    </row>
    <row r="275" spans="1:58" ht="11.1" customHeight="1" outlineLevel="1">
      <c r="A275" s="1117" t="s">
        <v>4289</v>
      </c>
      <c r="B275" s="1094"/>
      <c r="C275" s="1094"/>
      <c r="D275" s="1094"/>
      <c r="E275" s="1095" t="s">
        <v>5224</v>
      </c>
      <c r="F275" s="1095" t="str">
        <f>IF(('Main Creation Page'!C3=3),"R","N")</f>
        <v>N</v>
      </c>
      <c r="G275" s="1096">
        <v>0</v>
      </c>
      <c r="H275" s="1096" t="s">
        <v>5224</v>
      </c>
      <c r="I275" s="1096" t="s">
        <v>5224</v>
      </c>
      <c r="J275" s="1096" t="s">
        <v>5224</v>
      </c>
      <c r="K275" s="1096" t="s">
        <v>5224</v>
      </c>
      <c r="L275" s="1096" t="s">
        <v>5224</v>
      </c>
      <c r="M275" s="1096" t="s">
        <v>5224</v>
      </c>
      <c r="N275" s="1096" t="s">
        <v>4631</v>
      </c>
      <c r="O275" s="1028"/>
      <c r="P275" s="1028" t="s">
        <v>3615</v>
      </c>
      <c r="Q275" s="1097">
        <f t="shared" ca="1" si="333"/>
        <v>20</v>
      </c>
      <c r="R275" s="1028"/>
      <c r="S275" s="1028" t="s">
        <v>3611</v>
      </c>
      <c r="T275" s="1097">
        <f t="shared" ca="1" si="334"/>
        <v>15</v>
      </c>
      <c r="U275" s="1027">
        <v>3</v>
      </c>
      <c r="V275" s="1027">
        <f t="shared" si="335"/>
        <v>4</v>
      </c>
      <c r="W275" s="1098" t="e">
        <f>IF(OR(I275&lt;&gt;"N",E275="C"),IF(AND(N275&lt;&gt;"T",ISNUMBER(FIND("V",I275))),1,0),NA())+IF(H275="Y",IF(AND(N275="P",ISNUMBER(FIND("Z",I275))),2,1),0)+IF(J275="Y",1,0)+IF(K275="Y",3,0)+IF(BE275="Lore",L275*2+Experience!$D$25,0)+IF(M275="Y",1,0)</f>
        <v>#N/A</v>
      </c>
      <c r="X275" s="1099"/>
      <c r="Y275" s="1100">
        <f ca="1">IF(P275="NS",IFERROR(INDIRECT(S275),NA()),VLOOKUP(INDIRECT(P275)+INDIRECT(S275),'System Lookups'!$A$3:$D$146,2))</f>
        <v>0.12</v>
      </c>
      <c r="Z275" s="1100">
        <f t="shared" si="336"/>
        <v>0</v>
      </c>
      <c r="AA275" s="1101">
        <f t="shared" ca="1" si="337"/>
        <v>0.12</v>
      </c>
      <c r="AB275" s="1102">
        <f>VLOOKUP(V275,'System Lookups'!$J$55:$P$64,3)</f>
        <v>0.2</v>
      </c>
      <c r="AC275" s="1103">
        <f>VLOOKUP(V275,'System Lookups'!$J$55:$P$64,4)</f>
        <v>0.3</v>
      </c>
      <c r="AD275" s="1104">
        <f t="shared" ca="1" si="338"/>
        <v>0.32</v>
      </c>
      <c r="AE275" s="1094">
        <f ca="1">(IF(AD275&gt;VLOOKUP(V275,'System Lookups'!$J$55:$P$63,6),(((AD275-VLOOKUP(V275,'System Lookups'!$J$55:$P$63,6))*100)/20),0))+AF275</f>
        <v>0</v>
      </c>
      <c r="AF275" s="1121"/>
      <c r="AG275" s="1092">
        <f t="shared" si="339"/>
        <v>0</v>
      </c>
      <c r="AH275" s="1092" t="str">
        <f>IF(X275&lt;=Experience!$R$15+1,"","*")</f>
        <v/>
      </c>
      <c r="AI275" s="1092"/>
      <c r="AJ275" s="1080">
        <f t="shared" si="340"/>
        <v>0</v>
      </c>
      <c r="AK275" s="1080">
        <f t="shared" si="341"/>
        <v>0</v>
      </c>
      <c r="AL275" s="1080">
        <f t="shared" si="342"/>
        <v>0</v>
      </c>
      <c r="AM275" s="1092">
        <f t="shared" si="343"/>
        <v>0</v>
      </c>
      <c r="AN275" s="1080">
        <f t="shared" si="344"/>
        <v>1</v>
      </c>
      <c r="AO275" s="1080">
        <f t="shared" si="345"/>
        <v>0</v>
      </c>
      <c r="AP275" s="1080">
        <f t="shared" si="346"/>
        <v>1</v>
      </c>
      <c r="AQ275" s="1027">
        <f>VLOOKUP(V275,'System Lookups'!$J$55:$P$64,7)</f>
        <v>600</v>
      </c>
      <c r="AR275" s="1080" t="str">
        <f ca="1">IF(AND(NOT(ISBLANK(AJ275)),ISNA(MATCH(ROW(),'System Lookups'!$C$526:$C$539,0))),"Y","N")</f>
        <v>Y</v>
      </c>
      <c r="AS275" s="1080">
        <f t="shared" si="347"/>
        <v>0</v>
      </c>
      <c r="AU275" s="1080" t="e">
        <f t="shared" si="311"/>
        <v>#N/A</v>
      </c>
      <c r="AV275" s="1080" t="str">
        <f t="shared" si="303"/>
        <v>T</v>
      </c>
      <c r="AW275" s="1080">
        <f t="shared" si="312"/>
        <v>0</v>
      </c>
      <c r="AX275" s="1080">
        <f t="shared" si="313"/>
        <v>0</v>
      </c>
      <c r="AY275" s="1080">
        <f t="shared" si="314"/>
        <v>0</v>
      </c>
      <c r="AZ275" s="1080">
        <f t="shared" si="315"/>
        <v>0</v>
      </c>
      <c r="BA275" s="1080">
        <f t="shared" si="316"/>
        <v>0</v>
      </c>
      <c r="BB275" s="1080">
        <f>IF(AND(RACE=1,'Main Creation Page'!$E$6="Well",OR(ISNUMBER(FIND(Experience!$G$11,BE275)),ISNUMBER(FIND(Experience!$G$11,BF275)),ISNUMBER(FIND(Experience!$I$11,BE275)),ISNUMBER(FIND(Experience!$I$11,BF275)))),1,0)</f>
        <v>0</v>
      </c>
      <c r="BC275" s="1080" t="str">
        <f t="shared" si="332"/>
        <v>Miller</v>
      </c>
      <c r="BE275" s="1080" t="str">
        <f t="shared" si="304"/>
        <v/>
      </c>
      <c r="BF275" s="1080" t="str">
        <f t="shared" si="305"/>
        <v>Crafts &amp; Trades Skills</v>
      </c>
    </row>
    <row r="276" spans="1:58" ht="11.1" customHeight="1" outlineLevel="1">
      <c r="A276" s="1117" t="s">
        <v>764</v>
      </c>
      <c r="B276" s="1094"/>
      <c r="C276" s="1094"/>
      <c r="D276" s="1094"/>
      <c r="E276" s="1095" t="s">
        <v>5224</v>
      </c>
      <c r="F276" s="1095" t="str">
        <f>IF(('Main Creation Page'!C3=3),"R","N")</f>
        <v>N</v>
      </c>
      <c r="G276" s="1096">
        <v>0</v>
      </c>
      <c r="H276" s="1096" t="s">
        <v>5224</v>
      </c>
      <c r="I276" s="1096" t="s">
        <v>5224</v>
      </c>
      <c r="J276" s="1096" t="s">
        <v>5224</v>
      </c>
      <c r="K276" s="1096" t="s">
        <v>5224</v>
      </c>
      <c r="L276" s="1096" t="s">
        <v>5224</v>
      </c>
      <c r="M276" s="1096" t="s">
        <v>5224</v>
      </c>
      <c r="N276" s="1096" t="s">
        <v>4631</v>
      </c>
      <c r="O276" s="1028"/>
      <c r="P276" s="1028" t="s">
        <v>3615</v>
      </c>
      <c r="Q276" s="1097">
        <f t="shared" ca="1" si="333"/>
        <v>20</v>
      </c>
      <c r="R276" s="1028"/>
      <c r="S276" s="1028" t="s">
        <v>3614</v>
      </c>
      <c r="T276" s="1097">
        <f t="shared" ca="1" si="334"/>
        <v>15</v>
      </c>
      <c r="U276" s="1027">
        <v>3</v>
      </c>
      <c r="V276" s="1027">
        <f t="shared" si="335"/>
        <v>4</v>
      </c>
      <c r="W276" s="1098" t="e">
        <f>IF(OR(I276&lt;&gt;"N",E276="C"),IF(AND(N276&lt;&gt;"T",ISNUMBER(FIND("V",I276))),1,0),NA())+IF(H276="Y",IF(AND(N276="P",ISNUMBER(FIND("Z",I276))),2,1),0)+IF(J276="Y",1,0)+IF(K276="Y",3,0)+IF(BE276="Lore",L276*2+Experience!$D$25,0)+IF(M276="Y",1,0)</f>
        <v>#N/A</v>
      </c>
      <c r="X276" s="1099"/>
      <c r="Y276" s="1100">
        <f ca="1">IF(P276="NS",IFERROR(INDIRECT(S276),NA()),VLOOKUP(INDIRECT(P276)+INDIRECT(S276),'System Lookups'!$A$3:$D$146,2))</f>
        <v>0.12</v>
      </c>
      <c r="Z276" s="1100">
        <f t="shared" si="336"/>
        <v>0</v>
      </c>
      <c r="AA276" s="1101">
        <f t="shared" ca="1" si="337"/>
        <v>0.12</v>
      </c>
      <c r="AB276" s="1102">
        <f>VLOOKUP(V276,'System Lookups'!$J$55:$P$64,3)</f>
        <v>0.2</v>
      </c>
      <c r="AC276" s="1103">
        <f>VLOOKUP(V276,'System Lookups'!$J$55:$P$64,4)</f>
        <v>0.3</v>
      </c>
      <c r="AD276" s="1104">
        <f t="shared" ca="1" si="338"/>
        <v>0.32</v>
      </c>
      <c r="AE276" s="1094">
        <f ca="1">(IF(AD276&gt;VLOOKUP(V276,'System Lookups'!$J$55:$P$63,6),(((AD276-VLOOKUP(V276,'System Lookups'!$J$55:$P$63,6))*100)/20),0))+AF276</f>
        <v>0</v>
      </c>
      <c r="AF276" s="1121"/>
      <c r="AG276" s="1092">
        <f t="shared" si="339"/>
        <v>0</v>
      </c>
      <c r="AH276" s="1092" t="str">
        <f>IF(X276&lt;=Experience!$R$15+1,"","*")</f>
        <v/>
      </c>
      <c r="AI276" s="1092"/>
      <c r="AJ276" s="1080">
        <f t="shared" si="340"/>
        <v>0</v>
      </c>
      <c r="AK276" s="1080">
        <f t="shared" si="341"/>
        <v>0</v>
      </c>
      <c r="AL276" s="1080">
        <f t="shared" si="342"/>
        <v>0</v>
      </c>
      <c r="AM276" s="1092">
        <f t="shared" si="343"/>
        <v>0</v>
      </c>
      <c r="AN276" s="1080">
        <f t="shared" si="344"/>
        <v>1</v>
      </c>
      <c r="AO276" s="1080">
        <f t="shared" si="345"/>
        <v>0</v>
      </c>
      <c r="AP276" s="1080">
        <f t="shared" si="346"/>
        <v>1</v>
      </c>
      <c r="AQ276" s="1027">
        <f>VLOOKUP(V276,'System Lookups'!$J$55:$P$64,7)</f>
        <v>600</v>
      </c>
      <c r="AR276" s="1080" t="str">
        <f ca="1">IF(AND(NOT(ISBLANK(AJ276)),ISNA(MATCH(ROW(),'System Lookups'!$C$526:$C$539,0))),"Y","N")</f>
        <v>Y</v>
      </c>
      <c r="AS276" s="1080">
        <f t="shared" si="347"/>
        <v>0</v>
      </c>
      <c r="AU276" s="1080" t="e">
        <f t="shared" si="311"/>
        <v>#N/A</v>
      </c>
      <c r="AV276" s="1080" t="str">
        <f t="shared" si="303"/>
        <v>T</v>
      </c>
      <c r="AW276" s="1080">
        <f t="shared" si="312"/>
        <v>0</v>
      </c>
      <c r="AX276" s="1080">
        <f t="shared" si="313"/>
        <v>0</v>
      </c>
      <c r="AY276" s="1080">
        <f t="shared" si="314"/>
        <v>0</v>
      </c>
      <c r="AZ276" s="1080">
        <f t="shared" si="315"/>
        <v>0</v>
      </c>
      <c r="BA276" s="1080">
        <f t="shared" si="316"/>
        <v>0</v>
      </c>
      <c r="BB276" s="1080">
        <f>IF(AND(RACE=1,'Main Creation Page'!$E$6="Well",OR(ISNUMBER(FIND(Experience!$G$11,BE276)),ISNUMBER(FIND(Experience!$G$11,BF276)),ISNUMBER(FIND(Experience!$I$11,BE276)),ISNUMBER(FIND(Experience!$I$11,BF276)))),1,0)</f>
        <v>0</v>
      </c>
      <c r="BC276" s="1080" t="str">
        <f t="shared" si="332"/>
        <v>Mining &amp; Tunneling</v>
      </c>
      <c r="BE276" s="1080" t="str">
        <f t="shared" si="304"/>
        <v/>
      </c>
      <c r="BF276" s="1080" t="str">
        <f t="shared" si="305"/>
        <v>Crafts &amp; Trades Skills</v>
      </c>
    </row>
    <row r="277" spans="1:58" ht="11.1" customHeight="1" outlineLevel="1">
      <c r="A277" s="1123" t="s">
        <v>5577</v>
      </c>
      <c r="B277" s="1094"/>
      <c r="C277" s="1094"/>
      <c r="D277" s="1094"/>
      <c r="E277" s="1095" t="s">
        <v>5224</v>
      </c>
      <c r="F277" s="1095" t="str">
        <f>IF(('Main Creation Page'!C3=3),"R","N")</f>
        <v>N</v>
      </c>
      <c r="G277" s="1096">
        <v>0</v>
      </c>
      <c r="H277" s="1096" t="s">
        <v>5224</v>
      </c>
      <c r="I277" s="1096" t="s">
        <v>5224</v>
      </c>
      <c r="J277" s="1096" t="s">
        <v>5224</v>
      </c>
      <c r="K277" s="1096" t="s">
        <v>5224</v>
      </c>
      <c r="L277" s="1096" t="s">
        <v>5224</v>
      </c>
      <c r="M277" s="1096" t="s">
        <v>5224</v>
      </c>
      <c r="N277" s="1096" t="s">
        <v>4631</v>
      </c>
      <c r="O277" s="1097"/>
      <c r="P277" s="1097" t="s">
        <v>780</v>
      </c>
      <c r="Q277" s="1097">
        <f t="shared" ca="1" si="333"/>
        <v>17</v>
      </c>
      <c r="R277" s="1097"/>
      <c r="S277" s="1028" t="s">
        <v>3616</v>
      </c>
      <c r="T277" s="1097">
        <f t="shared" ca="1" si="334"/>
        <v>17</v>
      </c>
      <c r="U277" s="1027">
        <v>3</v>
      </c>
      <c r="V277" s="1027">
        <f t="shared" si="335"/>
        <v>4</v>
      </c>
      <c r="W277" s="1098" t="e">
        <f>IF(OR(I277&lt;&gt;"N",E277="C"),IF(AND(N277&lt;&gt;"T",ISNUMBER(FIND("V",I277))),1,0),NA())+IF(H277="Y",IF(AND(N277="P",ISNUMBER(FIND("Z",I277))),2,1),0)+IF(J277="Y",1,0)+IF(K277="Y",3,0)+IF(BE277="Lore",L277*2+Experience!$D$25,0)+IF(M277="Y",1,0)</f>
        <v>#N/A</v>
      </c>
      <c r="X277" s="1099"/>
      <c r="Y277" s="1100">
        <f ca="1">IF(P277="NS",IFERROR(INDIRECT(S277),NA()),VLOOKUP(INDIRECT(P277)+INDIRECT(S277),'System Lookups'!$A$3:$D$146,2))</f>
        <v>0.1</v>
      </c>
      <c r="Z277" s="1100">
        <f t="shared" si="336"/>
        <v>0</v>
      </c>
      <c r="AA277" s="1101">
        <f t="shared" ca="1" si="337"/>
        <v>0.1</v>
      </c>
      <c r="AB277" s="1102">
        <f>VLOOKUP(V277,'System Lookups'!$J$55:$P$64,3)</f>
        <v>0.2</v>
      </c>
      <c r="AC277" s="1103">
        <f>VLOOKUP(V277,'System Lookups'!$J$55:$P$64,4)</f>
        <v>0.3</v>
      </c>
      <c r="AD277" s="1104">
        <f t="shared" ca="1" si="338"/>
        <v>0.30000000000000004</v>
      </c>
      <c r="AE277" s="1094">
        <f ca="1">(IF(AD277&gt;VLOOKUP(V277,'System Lookups'!$J$55:$P$63,6),(((AD277-VLOOKUP(V277,'System Lookups'!$J$55:$P$63,6))*100)/20),0))+AF277</f>
        <v>0</v>
      </c>
      <c r="AF277" s="1121"/>
      <c r="AG277" s="1092">
        <f t="shared" si="339"/>
        <v>0</v>
      </c>
      <c r="AH277" s="1092" t="str">
        <f>IF(X277&lt;=Experience!$R$15+1,"","*")</f>
        <v/>
      </c>
      <c r="AI277" s="1092"/>
      <c r="AJ277" s="1080">
        <f t="shared" si="340"/>
        <v>0</v>
      </c>
      <c r="AK277" s="1080">
        <f t="shared" si="341"/>
        <v>0</v>
      </c>
      <c r="AL277" s="1080">
        <f t="shared" si="342"/>
        <v>0</v>
      </c>
      <c r="AM277" s="1092">
        <f t="shared" si="343"/>
        <v>0</v>
      </c>
      <c r="AN277" s="1080">
        <f t="shared" si="344"/>
        <v>1</v>
      </c>
      <c r="AO277" s="1080">
        <f t="shared" si="345"/>
        <v>0</v>
      </c>
      <c r="AP277" s="1080">
        <f t="shared" si="346"/>
        <v>1</v>
      </c>
      <c r="AQ277" s="1027">
        <f>VLOOKUP(V277,'System Lookups'!$J$55:$P$64,7)</f>
        <v>600</v>
      </c>
      <c r="AR277" s="1080" t="str">
        <f ca="1">IF(AND(NOT(ISBLANK(AJ277)),ISNA(MATCH(ROW(),'System Lookups'!$C$526:$C$539,0))),"Y","N")</f>
        <v>Y</v>
      </c>
      <c r="AS277" s="1080">
        <f t="shared" si="347"/>
        <v>0</v>
      </c>
      <c r="AU277" s="1080" t="e">
        <f t="shared" si="311"/>
        <v>#N/A</v>
      </c>
      <c r="AV277" s="1080" t="str">
        <f t="shared" si="303"/>
        <v>T</v>
      </c>
      <c r="AW277" s="1080">
        <f t="shared" si="312"/>
        <v>0</v>
      </c>
      <c r="AX277" s="1080">
        <f t="shared" si="313"/>
        <v>0</v>
      </c>
      <c r="AY277" s="1080">
        <f t="shared" si="314"/>
        <v>0</v>
      </c>
      <c r="AZ277" s="1080">
        <f t="shared" si="315"/>
        <v>0</v>
      </c>
      <c r="BA277" s="1080">
        <f t="shared" si="316"/>
        <v>0</v>
      </c>
      <c r="BB277" s="1080">
        <f>IF(AND(RACE=1,'Main Creation Page'!$E$6="Well",OR(ISNUMBER(FIND(Experience!$G$11,BE277)),ISNUMBER(FIND(Experience!$G$11,BF277)),ISNUMBER(FIND(Experience!$I$11,BE277)),ISNUMBER(FIND(Experience!$I$11,BF277)))),1,0)</f>
        <v>0</v>
      </c>
      <c r="BC277" s="1080" t="str">
        <f t="shared" si="332"/>
        <v>Paint Making</v>
      </c>
      <c r="BE277" s="1080" t="str">
        <f t="shared" si="304"/>
        <v/>
      </c>
      <c r="BF277" s="1080" t="str">
        <f t="shared" si="305"/>
        <v>Crafts &amp; Trades Skills</v>
      </c>
    </row>
    <row r="278" spans="1:58" ht="11.1" customHeight="1" outlineLevel="1">
      <c r="A278" s="1117" t="s">
        <v>3726</v>
      </c>
      <c r="B278" s="1094" t="s">
        <v>1942</v>
      </c>
      <c r="C278" s="1094"/>
      <c r="D278" s="1094"/>
      <c r="E278" s="1095" t="s">
        <v>5224</v>
      </c>
      <c r="F278" s="1095" t="s">
        <v>5224</v>
      </c>
      <c r="G278" s="1096">
        <v>0</v>
      </c>
      <c r="H278" s="1096" t="s">
        <v>5224</v>
      </c>
      <c r="I278" s="1096" t="s">
        <v>5224</v>
      </c>
      <c r="J278" s="1096" t="s">
        <v>5224</v>
      </c>
      <c r="K278" s="1096" t="s">
        <v>5224</v>
      </c>
      <c r="L278" s="1096" t="s">
        <v>5224</v>
      </c>
      <c r="M278" s="1096" t="s">
        <v>5224</v>
      </c>
      <c r="N278" s="1096" t="s">
        <v>4631</v>
      </c>
      <c r="O278" s="1028"/>
      <c r="P278" s="1028" t="s">
        <v>780</v>
      </c>
      <c r="Q278" s="1097">
        <f t="shared" ca="1" si="333"/>
        <v>17</v>
      </c>
      <c r="R278" s="1028"/>
      <c r="S278" s="1028" t="s">
        <v>3611</v>
      </c>
      <c r="T278" s="1097">
        <f t="shared" ca="1" si="334"/>
        <v>15</v>
      </c>
      <c r="U278" s="1027">
        <v>3</v>
      </c>
      <c r="V278" s="1027">
        <f t="shared" si="335"/>
        <v>4</v>
      </c>
      <c r="W278" s="1098" t="e">
        <f>IF(OR(I278&lt;&gt;"N",E278="C"),IF(AND(N278&lt;&gt;"T",ISNUMBER(FIND("V",I278))),1,0),NA())+IF(H278="Y",IF(AND(N278="P",ISNUMBER(FIND("Z",I278))),2,1),0)+IF(J278="Y",1,0)+IF(K278="Y",3,0)+IF(BE278="Lore",L278*2+Experience!$D$25,0)+IF(M278="Y",1,0)</f>
        <v>#N/A</v>
      </c>
      <c r="X278" s="1099"/>
      <c r="Y278" s="1100">
        <f ca="1">IF(P278="NS",IFERROR(INDIRECT(S278),NA()),VLOOKUP(INDIRECT(P278)+INDIRECT(S278),'System Lookups'!$A$3:$D$146,2))</f>
        <v>0.08</v>
      </c>
      <c r="Z278" s="1100">
        <f t="shared" si="336"/>
        <v>0</v>
      </c>
      <c r="AA278" s="1101">
        <f t="shared" ca="1" si="337"/>
        <v>0.08</v>
      </c>
      <c r="AB278" s="1102">
        <f>VLOOKUP(V278,'System Lookups'!$J$55:$P$64,3)</f>
        <v>0.2</v>
      </c>
      <c r="AC278" s="1103">
        <f>VLOOKUP(V278,'System Lookups'!$J$55:$P$64,4)</f>
        <v>0.3</v>
      </c>
      <c r="AD278" s="1104">
        <f t="shared" si="338"/>
        <v>0</v>
      </c>
      <c r="AE278" s="1094">
        <f>(IF(AD278&gt;VLOOKUP(V278,'System Lookups'!$J$55:$P$63,6),(((AD278-VLOOKUP(V278,'System Lookups'!$J$55:$P$63,6))*100)/20),0))+AF278</f>
        <v>0</v>
      </c>
      <c r="AF278" s="1121"/>
      <c r="AG278" s="1092">
        <f t="shared" si="339"/>
        <v>0</v>
      </c>
      <c r="AH278" s="1092" t="str">
        <f>IF(X278&lt;=Experience!$R$15+1,"","*")</f>
        <v/>
      </c>
      <c r="AI278" s="1092"/>
      <c r="AJ278" s="1080">
        <f t="shared" si="340"/>
        <v>0</v>
      </c>
      <c r="AK278" s="1080">
        <f t="shared" si="341"/>
        <v>0</v>
      </c>
      <c r="AL278" s="1080">
        <f t="shared" si="342"/>
        <v>0</v>
      </c>
      <c r="AM278" s="1092">
        <f t="shared" si="343"/>
        <v>0</v>
      </c>
      <c r="AN278" s="1080">
        <f t="shared" si="344"/>
        <v>1</v>
      </c>
      <c r="AO278" s="1080">
        <f t="shared" si="345"/>
        <v>0</v>
      </c>
      <c r="AP278" s="1080">
        <f t="shared" si="346"/>
        <v>1</v>
      </c>
      <c r="AQ278" s="1027">
        <f>VLOOKUP(V278,'System Lookups'!$J$55:$P$64,7)</f>
        <v>600</v>
      </c>
      <c r="AR278" s="1080" t="str">
        <f ca="1">IF(AND(NOT(ISBLANK(AJ278)),ISNA(MATCH(ROW(),'System Lookups'!$C$526:$C$539,0))),"Y","N")</f>
        <v>Y</v>
      </c>
      <c r="AS278" s="1080">
        <f t="shared" si="347"/>
        <v>0</v>
      </c>
      <c r="AU278" s="1080" t="e">
        <f t="shared" si="311"/>
        <v>#N/A</v>
      </c>
      <c r="AV278" s="1080" t="str">
        <f t="shared" si="303"/>
        <v>T</v>
      </c>
      <c r="AW278" s="1080">
        <f t="shared" si="312"/>
        <v>0</v>
      </c>
      <c r="AX278" s="1080">
        <f t="shared" si="313"/>
        <v>0</v>
      </c>
      <c r="AY278" s="1080">
        <f t="shared" si="314"/>
        <v>0</v>
      </c>
      <c r="AZ278" s="1080">
        <f t="shared" si="315"/>
        <v>0</v>
      </c>
      <c r="BA278" s="1080">
        <f t="shared" si="316"/>
        <v>0</v>
      </c>
      <c r="BB278" s="1080">
        <f>IF(AND(RACE=1,'Main Creation Page'!$E$6="Well",OR(ISNUMBER(FIND(Experience!$G$11,BE278)),ISNUMBER(FIND(Experience!$G$11,BF278)),ISNUMBER(FIND(Experience!$I$11,BE278)),ISNUMBER(FIND(Experience!$I$11,BF278)))),1,0)</f>
        <v>0</v>
      </c>
      <c r="BC278" s="1080" t="str">
        <f t="shared" si="332"/>
        <v>Paper &amp; Ink Making</v>
      </c>
      <c r="BE278" s="1080" t="str">
        <f t="shared" si="304"/>
        <v/>
      </c>
      <c r="BF278" s="1080" t="str">
        <f t="shared" si="305"/>
        <v>Crafts &amp; Trades Skills</v>
      </c>
    </row>
    <row r="279" spans="1:58" ht="11.1" customHeight="1" outlineLevel="1">
      <c r="A279" s="1117" t="s">
        <v>3727</v>
      </c>
      <c r="B279" s="1094" t="s">
        <v>1942</v>
      </c>
      <c r="C279" s="1094"/>
      <c r="D279" s="1094"/>
      <c r="E279" s="1095" t="s">
        <v>5224</v>
      </c>
      <c r="F279" s="1095" t="s">
        <v>5224</v>
      </c>
      <c r="G279" s="1096">
        <v>0</v>
      </c>
      <c r="H279" s="1096" t="s">
        <v>5224</v>
      </c>
      <c r="I279" s="1096" t="s">
        <v>5224</v>
      </c>
      <c r="J279" s="1096" t="s">
        <v>5224</v>
      </c>
      <c r="K279" s="1096" t="s">
        <v>5224</v>
      </c>
      <c r="L279" s="1096" t="s">
        <v>5224</v>
      </c>
      <c r="M279" s="1096" t="s">
        <v>5224</v>
      </c>
      <c r="N279" s="1096" t="s">
        <v>4631</v>
      </c>
      <c r="O279" s="1028"/>
      <c r="P279" s="1028" t="s">
        <v>780</v>
      </c>
      <c r="Q279" s="1097">
        <f t="shared" ca="1" si="333"/>
        <v>17</v>
      </c>
      <c r="R279" s="1028"/>
      <c r="S279" s="1028" t="s">
        <v>3611</v>
      </c>
      <c r="T279" s="1097">
        <f t="shared" ca="1" si="334"/>
        <v>15</v>
      </c>
      <c r="U279" s="1027">
        <v>4</v>
      </c>
      <c r="V279" s="1027">
        <f t="shared" si="335"/>
        <v>5</v>
      </c>
      <c r="W279" s="1098" t="e">
        <f>IF(OR(I279&lt;&gt;"N",E279="C"),IF(AND(N279&lt;&gt;"T",ISNUMBER(FIND("V",I279))),1,0),NA())+IF(H279="Y",IF(AND(N279="P",ISNUMBER(FIND("Z",I279))),2,1),0)+IF(J279="Y",1,0)+IF(K279="Y",3,0)+IF(BE279="Lore",L279*2+Experience!$D$25,0)+IF(M279="Y",1,0)</f>
        <v>#N/A</v>
      </c>
      <c r="X279" s="1099"/>
      <c r="Y279" s="1100">
        <f ca="1">IF(P279="NS",IFERROR(INDIRECT(S279),NA()),VLOOKUP(INDIRECT(P279)+INDIRECT(S279),'System Lookups'!$A$3:$D$146,2))</f>
        <v>0.08</v>
      </c>
      <c r="Z279" s="1100">
        <f t="shared" si="336"/>
        <v>0</v>
      </c>
      <c r="AA279" s="1101">
        <f t="shared" ca="1" si="337"/>
        <v>0.08</v>
      </c>
      <c r="AB279" s="1102">
        <f>VLOOKUP(V279,'System Lookups'!$J$55:$P$64,3)</f>
        <v>0.1</v>
      </c>
      <c r="AC279" s="1103">
        <f>VLOOKUP(V279,'System Lookups'!$J$55:$P$64,4)</f>
        <v>0.2</v>
      </c>
      <c r="AD279" s="1104">
        <f t="shared" si="338"/>
        <v>0</v>
      </c>
      <c r="AE279" s="1094">
        <f>(IF(AD279&gt;VLOOKUP(V279,'System Lookups'!$J$55:$P$63,6),(((AD279-VLOOKUP(V279,'System Lookups'!$J$55:$P$63,6))*100)/20),0))+AF279</f>
        <v>0</v>
      </c>
      <c r="AF279" s="1121"/>
      <c r="AG279" s="1092">
        <f t="shared" si="339"/>
        <v>0</v>
      </c>
      <c r="AH279" s="1092" t="str">
        <f>IF(X279&lt;=Experience!$R$15+1,"","*")</f>
        <v/>
      </c>
      <c r="AI279" s="1092"/>
      <c r="AJ279" s="1080">
        <f t="shared" si="340"/>
        <v>0</v>
      </c>
      <c r="AK279" s="1080">
        <f t="shared" si="341"/>
        <v>0</v>
      </c>
      <c r="AL279" s="1080">
        <f t="shared" si="342"/>
        <v>0</v>
      </c>
      <c r="AM279" s="1092">
        <f t="shared" si="343"/>
        <v>0</v>
      </c>
      <c r="AN279" s="1080">
        <f t="shared" si="344"/>
        <v>1</v>
      </c>
      <c r="AO279" s="1080">
        <f t="shared" si="345"/>
        <v>0</v>
      </c>
      <c r="AP279" s="1080">
        <f t="shared" si="346"/>
        <v>1</v>
      </c>
      <c r="AQ279" s="1027">
        <f>VLOOKUP(V279,'System Lookups'!$J$55:$P$64,7)</f>
        <v>700</v>
      </c>
      <c r="AR279" s="1080" t="str">
        <f ca="1">IF(AND(NOT(ISBLANK(AJ279)),ISNA(MATCH(ROW(),'System Lookups'!$C$526:$C$539,0))),"Y","N")</f>
        <v>Y</v>
      </c>
      <c r="AS279" s="1080">
        <f t="shared" si="347"/>
        <v>0</v>
      </c>
      <c r="AU279" s="1080" t="e">
        <f t="shared" si="311"/>
        <v>#N/A</v>
      </c>
      <c r="AV279" s="1080" t="str">
        <f t="shared" si="303"/>
        <v>T</v>
      </c>
      <c r="AW279" s="1080">
        <f t="shared" si="312"/>
        <v>0</v>
      </c>
      <c r="AX279" s="1080">
        <f t="shared" si="313"/>
        <v>0</v>
      </c>
      <c r="AY279" s="1080">
        <f t="shared" si="314"/>
        <v>0</v>
      </c>
      <c r="AZ279" s="1080">
        <f t="shared" si="315"/>
        <v>0</v>
      </c>
      <c r="BA279" s="1080">
        <f t="shared" si="316"/>
        <v>0</v>
      </c>
      <c r="BB279" s="1080">
        <f>IF(AND(RACE=1,'Main Creation Page'!$E$6="Well",OR(ISNUMBER(FIND(Experience!$G$11,BE279)),ISNUMBER(FIND(Experience!$G$11,BF279)),ISNUMBER(FIND(Experience!$I$11,BE279)),ISNUMBER(FIND(Experience!$I$11,BF279)))),1,0)</f>
        <v>0</v>
      </c>
      <c r="BC279" s="1080" t="str">
        <f t="shared" si="332"/>
        <v>Perfumery</v>
      </c>
      <c r="BE279" s="1080" t="str">
        <f t="shared" si="304"/>
        <v/>
      </c>
      <c r="BF279" s="1080" t="str">
        <f t="shared" si="305"/>
        <v>Crafts &amp; Trades Skills</v>
      </c>
    </row>
    <row r="280" spans="1:58" ht="11.1" customHeight="1" outlineLevel="1">
      <c r="A280" s="1117" t="s">
        <v>3728</v>
      </c>
      <c r="B280" s="1094"/>
      <c r="C280" s="1094"/>
      <c r="D280" s="1094"/>
      <c r="E280" s="1095" t="s">
        <v>5224</v>
      </c>
      <c r="F280" s="1095" t="s">
        <v>5224</v>
      </c>
      <c r="G280" s="1096">
        <v>0</v>
      </c>
      <c r="H280" s="1096" t="s">
        <v>5224</v>
      </c>
      <c r="I280" s="1096" t="s">
        <v>5224</v>
      </c>
      <c r="J280" s="1096" t="s">
        <v>5224</v>
      </c>
      <c r="K280" s="1096" t="s">
        <v>5224</v>
      </c>
      <c r="L280" s="1096" t="s">
        <v>5224</v>
      </c>
      <c r="M280" s="1096" t="s">
        <v>5224</v>
      </c>
      <c r="N280" s="1096" t="s">
        <v>4631</v>
      </c>
      <c r="O280" s="1028"/>
      <c r="P280" s="1028" t="s">
        <v>780</v>
      </c>
      <c r="Q280" s="1097">
        <f t="shared" ca="1" si="333"/>
        <v>17</v>
      </c>
      <c r="R280" s="1028"/>
      <c r="S280" s="1028" t="s">
        <v>3611</v>
      </c>
      <c r="T280" s="1097">
        <f t="shared" ca="1" si="334"/>
        <v>15</v>
      </c>
      <c r="U280" s="1027">
        <v>3</v>
      </c>
      <c r="V280" s="1027">
        <f t="shared" si="335"/>
        <v>4</v>
      </c>
      <c r="W280" s="1098" t="e">
        <f>IF(OR(I280&lt;&gt;"N",E280="C"),IF(AND(N280&lt;&gt;"T",ISNUMBER(FIND("V",I280))),1,0),NA())+IF(H280="Y",IF(AND(N280="P",ISNUMBER(FIND("Z",I280))),2,1),0)+IF(J280="Y",1,0)+IF(K280="Y",3,0)+IF(BE280="Lore",L280*2+Experience!$D$25,0)+IF(M280="Y",1,0)</f>
        <v>#N/A</v>
      </c>
      <c r="X280" s="1099"/>
      <c r="Y280" s="1100">
        <f ca="1">IF(P280="NS",IFERROR(INDIRECT(S280),NA()),VLOOKUP(INDIRECT(P280)+INDIRECT(S280),'System Lookups'!$A$3:$D$146,2))</f>
        <v>0.08</v>
      </c>
      <c r="Z280" s="1100">
        <f t="shared" si="336"/>
        <v>0</v>
      </c>
      <c r="AA280" s="1101">
        <f t="shared" ca="1" si="337"/>
        <v>0.08</v>
      </c>
      <c r="AB280" s="1102">
        <f>VLOOKUP(V280,'System Lookups'!$J$55:$P$64,3)</f>
        <v>0.2</v>
      </c>
      <c r="AC280" s="1103">
        <f>VLOOKUP(V280,'System Lookups'!$J$55:$P$64,4)</f>
        <v>0.3</v>
      </c>
      <c r="AD280" s="1104">
        <f t="shared" ca="1" si="338"/>
        <v>0.28000000000000003</v>
      </c>
      <c r="AE280" s="1094">
        <f ca="1">(IF(AD280&gt;VLOOKUP(V280,'System Lookups'!$J$55:$P$63,6),(((AD280-VLOOKUP(V280,'System Lookups'!$J$55:$P$63,6))*100)/20),0))+AF280</f>
        <v>0</v>
      </c>
      <c r="AF280" s="1121"/>
      <c r="AG280" s="1092">
        <f t="shared" si="339"/>
        <v>0</v>
      </c>
      <c r="AH280" s="1092" t="str">
        <f>IF(X280&lt;=Experience!$R$15+1,"","*")</f>
        <v/>
      </c>
      <c r="AI280" s="1092"/>
      <c r="AJ280" s="1080">
        <f t="shared" si="340"/>
        <v>0</v>
      </c>
      <c r="AK280" s="1080">
        <f t="shared" si="341"/>
        <v>0</v>
      </c>
      <c r="AL280" s="1080">
        <f t="shared" si="342"/>
        <v>0</v>
      </c>
      <c r="AM280" s="1092">
        <f t="shared" si="343"/>
        <v>0</v>
      </c>
      <c r="AN280" s="1080">
        <f t="shared" si="344"/>
        <v>1</v>
      </c>
      <c r="AO280" s="1080">
        <f t="shared" si="345"/>
        <v>0</v>
      </c>
      <c r="AP280" s="1080">
        <f t="shared" si="346"/>
        <v>1</v>
      </c>
      <c r="AQ280" s="1027">
        <f>VLOOKUP(V280,'System Lookups'!$J$55:$P$64,7)</f>
        <v>600</v>
      </c>
      <c r="AR280" s="1080" t="str">
        <f ca="1">IF(AND(NOT(ISBLANK(AJ280)),ISNA(MATCH(ROW(),'System Lookups'!$C$526:$C$539,0))),"Y","N")</f>
        <v>Y</v>
      </c>
      <c r="AS280" s="1080">
        <f t="shared" si="347"/>
        <v>0</v>
      </c>
      <c r="AU280" s="1080" t="e">
        <f t="shared" si="311"/>
        <v>#N/A</v>
      </c>
      <c r="AV280" s="1080" t="str">
        <f t="shared" si="303"/>
        <v>T</v>
      </c>
      <c r="AW280" s="1080">
        <f t="shared" si="312"/>
        <v>0</v>
      </c>
      <c r="AX280" s="1080">
        <f t="shared" si="313"/>
        <v>0</v>
      </c>
      <c r="AY280" s="1080">
        <f t="shared" si="314"/>
        <v>0</v>
      </c>
      <c r="AZ280" s="1080">
        <f t="shared" si="315"/>
        <v>0</v>
      </c>
      <c r="BA280" s="1080">
        <f t="shared" si="316"/>
        <v>0</v>
      </c>
      <c r="BB280" s="1080">
        <f>IF(AND(RACE=1,'Main Creation Page'!$E$6="Well",OR(ISNUMBER(FIND(Experience!$G$11,BE280)),ISNUMBER(FIND(Experience!$G$11,BF280)),ISNUMBER(FIND(Experience!$I$11,BE280)),ISNUMBER(FIND(Experience!$I$11,BF280)))),1,0)</f>
        <v>0</v>
      </c>
      <c r="BC280" s="1080" t="str">
        <f t="shared" si="332"/>
        <v>Pottery Making</v>
      </c>
      <c r="BE280" s="1080" t="str">
        <f t="shared" si="304"/>
        <v/>
      </c>
      <c r="BF280" s="1080" t="str">
        <f t="shared" si="305"/>
        <v>Crafts &amp; Trades Skills</v>
      </c>
    </row>
    <row r="281" spans="1:58" ht="11.1" customHeight="1" outlineLevel="1">
      <c r="A281" s="1123" t="s">
        <v>4268</v>
      </c>
      <c r="B281" s="1094" t="s">
        <v>1942</v>
      </c>
      <c r="C281" s="1094"/>
      <c r="D281" s="1094"/>
      <c r="E281" s="1095" t="s">
        <v>5224</v>
      </c>
      <c r="F281" s="1095" t="s">
        <v>5224</v>
      </c>
      <c r="G281" s="1096">
        <v>0</v>
      </c>
      <c r="H281" s="1096" t="s">
        <v>5224</v>
      </c>
      <c r="I281" s="1096" t="s">
        <v>5224</v>
      </c>
      <c r="J281" s="1096" t="s">
        <v>5224</v>
      </c>
      <c r="K281" s="1096" t="s">
        <v>5224</v>
      </c>
      <c r="L281" s="1096" t="s">
        <v>5224</v>
      </c>
      <c r="M281" s="1096" t="s">
        <v>5224</v>
      </c>
      <c r="N281" s="1096" t="s">
        <v>4631</v>
      </c>
      <c r="O281" s="1028"/>
      <c r="P281" s="1028" t="s">
        <v>3615</v>
      </c>
      <c r="Q281" s="1097">
        <f t="shared" ca="1" si="333"/>
        <v>20</v>
      </c>
      <c r="R281" s="1028"/>
      <c r="S281" s="1028" t="s">
        <v>3611</v>
      </c>
      <c r="T281" s="1097">
        <f t="shared" ca="1" si="334"/>
        <v>15</v>
      </c>
      <c r="U281" s="1027">
        <v>3</v>
      </c>
      <c r="V281" s="1027">
        <f t="shared" si="335"/>
        <v>4</v>
      </c>
      <c r="W281" s="1098" t="e">
        <f>IF(OR(I281&lt;&gt;"N",E281="C"),IF(AND(N281&lt;&gt;"T",ISNUMBER(FIND("V",I281))),1,0),NA())+IF(H281="Y",IF(AND(N281="P",ISNUMBER(FIND("Z",I281))),2,1),0)+IF(J281="Y",1,0)+IF(K281="Y",3,0)+IF(BE281="Lore",L281*2+Experience!$D$25,0)+IF(M281="Y",1,0)</f>
        <v>#N/A</v>
      </c>
      <c r="X281" s="1099"/>
      <c r="Y281" s="1100">
        <f ca="1">IF(P281="NS",IFERROR(INDIRECT(S281),NA()),VLOOKUP(INDIRECT(P281)+INDIRECT(S281),'System Lookups'!$A$3:$D$146,2))</f>
        <v>0.12</v>
      </c>
      <c r="Z281" s="1100">
        <f t="shared" si="336"/>
        <v>0</v>
      </c>
      <c r="AA281" s="1101">
        <f t="shared" ca="1" si="337"/>
        <v>0.12</v>
      </c>
      <c r="AB281" s="1102">
        <f>VLOOKUP(V281,'System Lookups'!$J$55:$P$64,3)</f>
        <v>0.2</v>
      </c>
      <c r="AC281" s="1103">
        <f>VLOOKUP(V281,'System Lookups'!$J$55:$P$64,4)</f>
        <v>0.3</v>
      </c>
      <c r="AD281" s="1104">
        <f t="shared" si="338"/>
        <v>0</v>
      </c>
      <c r="AE281" s="1094">
        <f>(IF(AD281&gt;VLOOKUP(V281,'System Lookups'!$J$55:$P$63,6),(((AD281-VLOOKUP(V281,'System Lookups'!$J$55:$P$63,6))*100)/20),0))+AF281</f>
        <v>0</v>
      </c>
      <c r="AF281" s="1121"/>
      <c r="AG281" s="1092">
        <f t="shared" si="339"/>
        <v>0</v>
      </c>
      <c r="AH281" s="1092" t="str">
        <f>IF(X281&lt;=Experience!$R$15+1,"","*")</f>
        <v/>
      </c>
      <c r="AI281" s="1092"/>
      <c r="AJ281" s="1080">
        <f t="shared" si="340"/>
        <v>0</v>
      </c>
      <c r="AK281" s="1080">
        <f t="shared" si="341"/>
        <v>0</v>
      </c>
      <c r="AL281" s="1080">
        <f t="shared" si="342"/>
        <v>0</v>
      </c>
      <c r="AM281" s="1092">
        <f t="shared" si="343"/>
        <v>0</v>
      </c>
      <c r="AN281" s="1080">
        <f t="shared" si="344"/>
        <v>1</v>
      </c>
      <c r="AO281" s="1080">
        <f t="shared" si="345"/>
        <v>0</v>
      </c>
      <c r="AP281" s="1080">
        <f t="shared" si="346"/>
        <v>1</v>
      </c>
      <c r="AQ281" s="1027">
        <f>VLOOKUP(V281,'System Lookups'!$J$55:$P$64,7)</f>
        <v>600</v>
      </c>
      <c r="AR281" s="1080" t="str">
        <f ca="1">IF(AND(NOT(ISBLANK(AJ281)),ISNA(MATCH(ROW(),'System Lookups'!$C$526:$C$539,0))),"Y","N")</f>
        <v>Y</v>
      </c>
      <c r="AS281" s="1080">
        <f t="shared" si="347"/>
        <v>0</v>
      </c>
      <c r="AU281" s="1080" t="e">
        <f t="shared" si="311"/>
        <v>#N/A</v>
      </c>
      <c r="AV281" s="1080" t="str">
        <f t="shared" si="303"/>
        <v>T</v>
      </c>
      <c r="AW281" s="1080">
        <f t="shared" si="312"/>
        <v>0</v>
      </c>
      <c r="AX281" s="1080">
        <f t="shared" si="313"/>
        <v>0</v>
      </c>
      <c r="AY281" s="1080">
        <f t="shared" si="314"/>
        <v>0</v>
      </c>
      <c r="AZ281" s="1080">
        <f t="shared" si="315"/>
        <v>0</v>
      </c>
      <c r="BA281" s="1080">
        <f t="shared" si="316"/>
        <v>0</v>
      </c>
      <c r="BB281" s="1080">
        <f>IF(AND(RACE=1,'Main Creation Page'!$E$6="Well",OR(ISNUMBER(FIND(Experience!$G$11,BE281)),ISNUMBER(FIND(Experience!$G$11,BF281)),ISNUMBER(FIND(Experience!$I$11,BE281)),ISNUMBER(FIND(Experience!$I$11,BF281)))),1,0)</f>
        <v>0</v>
      </c>
      <c r="BC281" s="1080" t="str">
        <f t="shared" si="332"/>
        <v>Rope &amp; Cordage Making</v>
      </c>
      <c r="BE281" s="1080" t="str">
        <f t="shared" si="304"/>
        <v/>
      </c>
      <c r="BF281" s="1080" t="str">
        <f t="shared" si="305"/>
        <v>Crafts &amp; Trades Skills</v>
      </c>
    </row>
    <row r="282" spans="1:58" ht="10.5" customHeight="1" outlineLevel="1">
      <c r="A282" s="1138" t="s">
        <v>3503</v>
      </c>
      <c r="B282" s="1094" t="s">
        <v>1942</v>
      </c>
      <c r="C282" s="1094"/>
      <c r="D282" s="1094"/>
      <c r="E282" s="1095" t="s">
        <v>5224</v>
      </c>
      <c r="F282" s="1095" t="s">
        <v>5224</v>
      </c>
      <c r="G282" s="1096">
        <v>0</v>
      </c>
      <c r="H282" s="1096" t="s">
        <v>5224</v>
      </c>
      <c r="I282" s="1096" t="s">
        <v>5224</v>
      </c>
      <c r="J282" s="1096" t="s">
        <v>5224</v>
      </c>
      <c r="K282" s="1096" t="s">
        <v>5224</v>
      </c>
      <c r="L282" s="1096" t="s">
        <v>5224</v>
      </c>
      <c r="M282" s="1096" t="s">
        <v>5224</v>
      </c>
      <c r="N282" s="1096" t="s">
        <v>4631</v>
      </c>
      <c r="O282" s="1097"/>
      <c r="P282" s="1097" t="s">
        <v>780</v>
      </c>
      <c r="Q282" s="1097">
        <f t="shared" ca="1" si="333"/>
        <v>17</v>
      </c>
      <c r="R282" s="1097"/>
      <c r="S282" s="1028" t="s">
        <v>3616</v>
      </c>
      <c r="T282" s="1097">
        <f t="shared" ca="1" si="334"/>
        <v>17</v>
      </c>
      <c r="U282" s="1027">
        <v>3</v>
      </c>
      <c r="V282" s="1027">
        <f t="shared" si="335"/>
        <v>4</v>
      </c>
      <c r="W282" s="1098" t="e">
        <f>IF(OR(I282&lt;&gt;"N",E282="C"),IF(AND(N282&lt;&gt;"T",ISNUMBER(FIND("V",I282))),1,0),NA())+IF(H282="Y",IF(AND(N282="P",ISNUMBER(FIND("Z",I282))),2,1),0)+IF(J282="Y",1,0)+IF(K282="Y",3,0)+IF(BE282="Lore",L282*2+Experience!$D$25,0)+IF(M282="Y",1,0)</f>
        <v>#N/A</v>
      </c>
      <c r="X282" s="1099"/>
      <c r="Y282" s="1100">
        <f ca="1">IF(P282="NS",IFERROR(INDIRECT(S282),NA()),VLOOKUP(INDIRECT(P282)+INDIRECT(S282),'System Lookups'!$A$3:$D$146,2))</f>
        <v>0.1</v>
      </c>
      <c r="Z282" s="1100">
        <f t="shared" si="336"/>
        <v>0</v>
      </c>
      <c r="AA282" s="1101">
        <f t="shared" ref="AA282" ca="1" si="348">IF(ISNA(Y282),0,Y282)+Z282</f>
        <v>0.1</v>
      </c>
      <c r="AB282" s="1102">
        <f>VLOOKUP(V282,'System Lookups'!$J$55:$P$64,3)</f>
        <v>0.2</v>
      </c>
      <c r="AC282" s="1103">
        <f>VLOOKUP(V282,'System Lookups'!$J$55:$P$64,4)</f>
        <v>0.3</v>
      </c>
      <c r="AD282" s="1104">
        <f t="shared" si="338"/>
        <v>0</v>
      </c>
      <c r="AE282" s="1094">
        <f>(IF(AD282&gt;VLOOKUP(V282,'System Lookups'!$J$55:$P$63,6),(((AD282-VLOOKUP(V282,'System Lookups'!$J$55:$P$63,6))*100)/20),0))+AF282</f>
        <v>0</v>
      </c>
      <c r="AF282" s="1121"/>
      <c r="AG282" s="1092">
        <f t="shared" si="339"/>
        <v>0</v>
      </c>
      <c r="AH282" s="1092" t="str">
        <f>IF(X282&lt;=Experience!$R$15+1,"","*")</f>
        <v/>
      </c>
      <c r="AI282" s="1092"/>
      <c r="AJ282" s="1080">
        <f t="shared" si="340"/>
        <v>0</v>
      </c>
      <c r="AK282" s="1080">
        <f t="shared" ref="AK282" si="349">IF(F282="s",-2,0)</f>
        <v>0</v>
      </c>
      <c r="AL282" s="1080">
        <f t="shared" si="342"/>
        <v>0</v>
      </c>
      <c r="AM282" s="1092">
        <f t="shared" ref="AM282" si="350">IF(J282="y",1,0)</f>
        <v>0</v>
      </c>
      <c r="AN282" s="1080">
        <f t="shared" ref="AN282" si="351">IF(N282="P",-1,IF(N282="T",1,0))</f>
        <v>1</v>
      </c>
      <c r="AO282" s="1080">
        <f t="shared" si="345"/>
        <v>0</v>
      </c>
      <c r="AP282" s="1080">
        <f t="shared" si="346"/>
        <v>1</v>
      </c>
      <c r="AQ282" s="1027">
        <f>VLOOKUP(V282,'System Lookups'!$J$55:$P$64,7)</f>
        <v>600</v>
      </c>
      <c r="AR282" s="1080" t="str">
        <f ca="1">IF(AND(NOT(ISBLANK(AJ282)),ISNA(MATCH(ROW(),'System Lookups'!$C$526:$C$539,0))),"Y","N")</f>
        <v>Y</v>
      </c>
      <c r="AS282" s="1080">
        <f t="shared" si="347"/>
        <v>0</v>
      </c>
      <c r="AU282" s="1080" t="e">
        <f t="shared" si="311"/>
        <v>#N/A</v>
      </c>
      <c r="AV282" s="1080" t="str">
        <f t="shared" si="303"/>
        <v>T</v>
      </c>
      <c r="AW282" s="1080">
        <f t="shared" si="312"/>
        <v>0</v>
      </c>
      <c r="AX282" s="1080">
        <f t="shared" si="313"/>
        <v>0</v>
      </c>
      <c r="AY282" s="1080">
        <f t="shared" si="314"/>
        <v>0</v>
      </c>
      <c r="AZ282" s="1080">
        <f t="shared" si="315"/>
        <v>0</v>
      </c>
      <c r="BA282" s="1080">
        <f t="shared" si="316"/>
        <v>0</v>
      </c>
      <c r="BB282" s="1080">
        <f>IF(AND(RACE=1,'Main Creation Page'!$E$6="Well",OR(ISNUMBER(FIND(Experience!$G$11,BE282)),ISNUMBER(FIND(Experience!$G$11,BF282)),ISNUMBER(FIND(Experience!$I$11,BE282)),ISNUMBER(FIND(Experience!$I$11,BF282)))),1,0)</f>
        <v>0</v>
      </c>
      <c r="BC282" s="1080" t="str">
        <f t="shared" si="332"/>
        <v>Salt Making</v>
      </c>
      <c r="BE282" s="1080" t="str">
        <f t="shared" si="304"/>
        <v/>
      </c>
      <c r="BF282" s="1080" t="str">
        <f t="shared" si="305"/>
        <v>Crafts &amp; Trades Skills</v>
      </c>
    </row>
    <row r="283" spans="1:58" ht="11.1" customHeight="1" outlineLevel="2">
      <c r="A283" s="1093" t="s">
        <v>5647</v>
      </c>
      <c r="B283" s="1094" t="s">
        <v>1942</v>
      </c>
      <c r="C283" s="1094"/>
      <c r="D283" s="1094"/>
      <c r="E283" s="1095" t="s">
        <v>5224</v>
      </c>
      <c r="F283" s="1095" t="s">
        <v>5224</v>
      </c>
      <c r="G283" s="1096">
        <v>0</v>
      </c>
      <c r="H283" s="1096" t="s">
        <v>5224</v>
      </c>
      <c r="I283" s="1096" t="s">
        <v>5224</v>
      </c>
      <c r="J283" s="1096" t="s">
        <v>5224</v>
      </c>
      <c r="K283" s="1096" t="s">
        <v>5224</v>
      </c>
      <c r="L283" s="1096" t="s">
        <v>5224</v>
      </c>
      <c r="M283" s="1096" t="s">
        <v>5224</v>
      </c>
      <c r="N283" s="1096" t="s">
        <v>4631</v>
      </c>
      <c r="O283" s="1028"/>
      <c r="P283" s="1113" t="s">
        <v>13</v>
      </c>
      <c r="Q283" s="1028"/>
      <c r="R283" s="1028"/>
      <c r="S283" s="1113" t="s">
        <v>13</v>
      </c>
      <c r="T283" s="1113"/>
      <c r="U283" s="1027">
        <v>0</v>
      </c>
      <c r="V283" s="1027">
        <f t="shared" si="335"/>
        <v>1</v>
      </c>
      <c r="W283" s="1098" t="e">
        <f>IF(OR(I283&lt;&gt;"N",E283="C"),IF(AND(N283&lt;&gt;"T",ISNUMBER(FIND("V",I283))),1,0),NA())+IF(H283="Y",IF(AND(N283="P",ISNUMBER(FIND("Z",I283))),2,1),0)+IF(J283="Y",1,0)+IF(K283="Y",3,0)+IF(BE283="Lore",L283*2+Experience!$D$25,0)+IF(M283="Y",1,0)</f>
        <v>#N/A</v>
      </c>
      <c r="X283" s="1099"/>
      <c r="Y283" s="1100" t="e">
        <f ca="1">IF(P283="NS",IFERROR(INDIRECT(S283),NA()),VLOOKUP(INDIRECT(P283)+INDIRECT(S283),'System Lookups'!$A$3:$D$146,2))</f>
        <v>#N/A</v>
      </c>
      <c r="Z283" s="1100">
        <f t="shared" si="336"/>
        <v>0</v>
      </c>
      <c r="AA283" s="1101">
        <f t="shared" ref="AA283:AA292" ca="1" si="352">IF(ISNA(Y283),0,Y283)+Z283</f>
        <v>0</v>
      </c>
      <c r="AB283" s="1102">
        <f>VLOOKUP(V283,'System Lookups'!$J$55:$P$64,3)</f>
        <v>0.5</v>
      </c>
      <c r="AC283" s="1103">
        <f>VLOOKUP(V283,'System Lookups'!$J$55:$P$64,4)</f>
        <v>0.6</v>
      </c>
      <c r="AD283" s="1104">
        <f t="shared" si="338"/>
        <v>0</v>
      </c>
      <c r="AE283" s="1094">
        <f>(IF(AD283&gt;VLOOKUP(V283,'System Lookups'!$J$55:$P$63,6),(((AD283-VLOOKUP(V283,'System Lookups'!$J$55:$P$63,6))*100)/20),0))+AF283</f>
        <v>0</v>
      </c>
      <c r="AF283" s="1121"/>
      <c r="AG283" s="1092">
        <f t="shared" si="339"/>
        <v>0</v>
      </c>
      <c r="AH283" s="1092" t="str">
        <f>IF(X283&lt;=Experience!$R$15+1,"","*")</f>
        <v/>
      </c>
      <c r="AI283" s="1092"/>
      <c r="AJ283" s="1080">
        <f t="shared" si="340"/>
        <v>0</v>
      </c>
      <c r="AK283" s="1080">
        <f t="shared" ref="AK283:AK292" si="353">IF(F283="s",-2,0)</f>
        <v>0</v>
      </c>
      <c r="AL283" s="1080">
        <f t="shared" si="342"/>
        <v>0</v>
      </c>
      <c r="AM283" s="1092">
        <f t="shared" ref="AM283:AM292" si="354">IF(J283="y",1,0)</f>
        <v>0</v>
      </c>
      <c r="AN283" s="1080">
        <f t="shared" ref="AN283:AN292" si="355">IF(N283="P",-1,IF(N283="T",1,0))</f>
        <v>1</v>
      </c>
      <c r="AO283" s="1080">
        <f t="shared" si="345"/>
        <v>0</v>
      </c>
      <c r="AP283" s="1080">
        <f t="shared" si="346"/>
        <v>1</v>
      </c>
      <c r="AQ283" s="1027">
        <f>VLOOKUP(V283,'System Lookups'!$J$55:$P$64,7)</f>
        <v>300</v>
      </c>
      <c r="AR283" s="1080" t="str">
        <f ca="1">IF(AND(NOT(ISBLANK(AJ283)),ISNA(MATCH(ROW(),'System Lookups'!$C$526:$C$539,0))),"Y","N")</f>
        <v>Y</v>
      </c>
      <c r="AS283" s="1080">
        <f t="shared" si="347"/>
        <v>0</v>
      </c>
      <c r="AU283" s="1080" t="e">
        <f t="shared" si="311"/>
        <v>#N/A</v>
      </c>
      <c r="AV283" s="1080" t="str">
        <f t="shared" si="303"/>
        <v>T</v>
      </c>
      <c r="AW283" s="1080">
        <f t="shared" si="312"/>
        <v>0</v>
      </c>
      <c r="AX283" s="1080">
        <f t="shared" si="313"/>
        <v>0</v>
      </c>
      <c r="AY283" s="1080">
        <f t="shared" si="314"/>
        <v>0</v>
      </c>
      <c r="AZ283" s="1080">
        <f t="shared" si="315"/>
        <v>0</v>
      </c>
      <c r="BA283" s="1080">
        <f t="shared" si="316"/>
        <v>0</v>
      </c>
      <c r="BB283" s="1080">
        <f>IF(AND(RACE=1,'Main Creation Page'!$E$6="Well",OR(ISNUMBER(FIND(Experience!$G$11,BE283)),ISNUMBER(FIND(Experience!$G$11,BF283)),ISNUMBER(FIND(Experience!$I$11,BE283)),ISNUMBER(FIND(Experience!$I$11,BF283)))),1,0)</f>
        <v>0</v>
      </c>
      <c r="BC283" s="1080" t="str">
        <f t="shared" si="332"/>
        <v>Salt Panning</v>
      </c>
      <c r="BE283" s="1080" t="str">
        <f t="shared" si="304"/>
        <v/>
      </c>
      <c r="BF283" s="1080" t="str">
        <f t="shared" si="305"/>
        <v>Crafts &amp; Trades Skills</v>
      </c>
    </row>
    <row r="284" spans="1:58" ht="11.1" customHeight="1" outlineLevel="2">
      <c r="A284" s="1093" t="s">
        <v>5648</v>
      </c>
      <c r="B284" s="1094" t="s">
        <v>1942</v>
      </c>
      <c r="C284" s="1094"/>
      <c r="D284" s="1094"/>
      <c r="E284" s="1095" t="s">
        <v>5224</v>
      </c>
      <c r="F284" s="1095" t="s">
        <v>5224</v>
      </c>
      <c r="G284" s="1096">
        <v>0</v>
      </c>
      <c r="H284" s="1096" t="s">
        <v>5224</v>
      </c>
      <c r="I284" s="1096" t="s">
        <v>5224</v>
      </c>
      <c r="J284" s="1096" t="s">
        <v>5224</v>
      </c>
      <c r="K284" s="1096" t="s">
        <v>5224</v>
      </c>
      <c r="L284" s="1096" t="s">
        <v>5224</v>
      </c>
      <c r="M284" s="1096" t="s">
        <v>5224</v>
      </c>
      <c r="N284" s="1096" t="s">
        <v>4631</v>
      </c>
      <c r="O284" s="1028"/>
      <c r="P284" s="1113" t="s">
        <v>13</v>
      </c>
      <c r="Q284" s="1028"/>
      <c r="R284" s="1028"/>
      <c r="S284" s="1113" t="s">
        <v>13</v>
      </c>
      <c r="T284" s="1113"/>
      <c r="U284" s="1027">
        <v>0</v>
      </c>
      <c r="V284" s="1027">
        <f t="shared" si="335"/>
        <v>1</v>
      </c>
      <c r="W284" s="1098" t="e">
        <f>IF(OR(I284&lt;&gt;"N",E284="C"),IF(AND(N284&lt;&gt;"T",ISNUMBER(FIND("V",I284))),1,0),NA())+IF(H284="Y",IF(AND(N284="P",ISNUMBER(FIND("Z",I284))),2,1),0)+IF(J284="Y",1,0)+IF(K284="Y",3,0)+IF(BE284="Lore",L284*2+Experience!$D$25,0)+IF(M284="Y",1,0)</f>
        <v>#N/A</v>
      </c>
      <c r="X284" s="1099"/>
      <c r="Y284" s="1100" t="e">
        <f ca="1">IF(P284="NS",IFERROR(INDIRECT(S284),NA()),VLOOKUP(INDIRECT(P284)+INDIRECT(S284),'System Lookups'!$A$3:$D$146,2))</f>
        <v>#N/A</v>
      </c>
      <c r="Z284" s="1100">
        <f t="shared" si="336"/>
        <v>0</v>
      </c>
      <c r="AA284" s="1101">
        <f t="shared" ca="1" si="352"/>
        <v>0</v>
      </c>
      <c r="AB284" s="1102">
        <f>VLOOKUP(V284,'System Lookups'!$J$55:$P$64,3)</f>
        <v>0.5</v>
      </c>
      <c r="AC284" s="1103">
        <f>VLOOKUP(V284,'System Lookups'!$J$55:$P$64,4)</f>
        <v>0.6</v>
      </c>
      <c r="AD284" s="1104">
        <f t="shared" si="338"/>
        <v>0</v>
      </c>
      <c r="AE284" s="1094">
        <f>(IF(AD284&gt;VLOOKUP(V284,'System Lookups'!$J$55:$P$63,6),(((AD284-VLOOKUP(V284,'System Lookups'!$J$55:$P$63,6))*100)/20),0))+AF284</f>
        <v>0</v>
      </c>
      <c r="AF284" s="1121"/>
      <c r="AG284" s="1092">
        <f t="shared" si="339"/>
        <v>0</v>
      </c>
      <c r="AH284" s="1092" t="str">
        <f>IF(X284&lt;=Experience!$R$15+1,"","*")</f>
        <v/>
      </c>
      <c r="AI284" s="1092"/>
      <c r="AJ284" s="1080">
        <f t="shared" si="340"/>
        <v>0</v>
      </c>
      <c r="AK284" s="1080">
        <f t="shared" si="353"/>
        <v>0</v>
      </c>
      <c r="AL284" s="1080">
        <f t="shared" si="342"/>
        <v>0</v>
      </c>
      <c r="AM284" s="1092">
        <f t="shared" si="354"/>
        <v>0</v>
      </c>
      <c r="AN284" s="1080">
        <f t="shared" si="355"/>
        <v>1</v>
      </c>
      <c r="AO284" s="1080">
        <f t="shared" si="345"/>
        <v>0</v>
      </c>
      <c r="AP284" s="1080">
        <f t="shared" si="346"/>
        <v>1</v>
      </c>
      <c r="AQ284" s="1027">
        <f>VLOOKUP(V284,'System Lookups'!$J$55:$P$64,7)</f>
        <v>300</v>
      </c>
      <c r="AR284" s="1080" t="str">
        <f ca="1">IF(AND(NOT(ISBLANK(AJ284)),ISNA(MATCH(ROW(),'System Lookups'!$C$526:$C$539,0))),"Y","N")</f>
        <v>Y</v>
      </c>
      <c r="AS284" s="1080">
        <f t="shared" si="347"/>
        <v>0</v>
      </c>
      <c r="AU284" s="1080" t="e">
        <f t="shared" si="311"/>
        <v>#N/A</v>
      </c>
      <c r="AV284" s="1080" t="str">
        <f t="shared" si="303"/>
        <v>T</v>
      </c>
      <c r="AW284" s="1080">
        <f t="shared" si="312"/>
        <v>0</v>
      </c>
      <c r="AX284" s="1080">
        <f t="shared" si="313"/>
        <v>0</v>
      </c>
      <c r="AY284" s="1080">
        <f t="shared" si="314"/>
        <v>0</v>
      </c>
      <c r="AZ284" s="1080">
        <f t="shared" si="315"/>
        <v>0</v>
      </c>
      <c r="BA284" s="1080">
        <f t="shared" si="316"/>
        <v>0</v>
      </c>
      <c r="BB284" s="1080">
        <f>IF(AND(RACE=1,'Main Creation Page'!$E$6="Well",OR(ISNUMBER(FIND(Experience!$G$11,BE284)),ISNUMBER(FIND(Experience!$G$11,BF284)),ISNUMBER(FIND(Experience!$I$11,BE284)),ISNUMBER(FIND(Experience!$I$11,BF284)))),1,0)</f>
        <v>0</v>
      </c>
      <c r="BC284" s="1080" t="str">
        <f t="shared" si="332"/>
        <v>Salt Raking</v>
      </c>
      <c r="BE284" s="1080" t="str">
        <f t="shared" si="304"/>
        <v/>
      </c>
      <c r="BF284" s="1080" t="str">
        <f t="shared" si="305"/>
        <v>Crafts &amp; Trades Skills</v>
      </c>
    </row>
    <row r="285" spans="1:58" ht="11.1" customHeight="1" outlineLevel="2">
      <c r="A285" s="1093" t="s">
        <v>5649</v>
      </c>
      <c r="B285" s="1094" t="s">
        <v>1942</v>
      </c>
      <c r="C285" s="1094"/>
      <c r="D285" s="1094"/>
      <c r="E285" s="1095" t="s">
        <v>5224</v>
      </c>
      <c r="F285" s="1095" t="s">
        <v>5224</v>
      </c>
      <c r="G285" s="1096">
        <v>0</v>
      </c>
      <c r="H285" s="1096" t="s">
        <v>5224</v>
      </c>
      <c r="I285" s="1096" t="s">
        <v>5224</v>
      </c>
      <c r="J285" s="1096" t="s">
        <v>5224</v>
      </c>
      <c r="K285" s="1096" t="s">
        <v>5224</v>
      </c>
      <c r="L285" s="1096" t="s">
        <v>5224</v>
      </c>
      <c r="M285" s="1096" t="s">
        <v>5224</v>
      </c>
      <c r="N285" s="1096" t="s">
        <v>4631</v>
      </c>
      <c r="O285" s="1028"/>
      <c r="P285" s="1113" t="s">
        <v>13</v>
      </c>
      <c r="Q285" s="1028"/>
      <c r="R285" s="1028"/>
      <c r="S285" s="1113" t="s">
        <v>13</v>
      </c>
      <c r="T285" s="1113"/>
      <c r="U285" s="1027">
        <v>0</v>
      </c>
      <c r="V285" s="1027">
        <f t="shared" si="335"/>
        <v>1</v>
      </c>
      <c r="W285" s="1098" t="e">
        <f>IF(OR(I285&lt;&gt;"N",E285="C"),IF(AND(N285&lt;&gt;"T",ISNUMBER(FIND("V",I285))),1,0),NA())+IF(H285="Y",IF(AND(N285="P",ISNUMBER(FIND("Z",I285))),2,1),0)+IF(J285="Y",1,0)+IF(K285="Y",3,0)+IF(BE285="Lore",L285*2+Experience!$D$25,0)+IF(M285="Y",1,0)</f>
        <v>#N/A</v>
      </c>
      <c r="X285" s="1099"/>
      <c r="Y285" s="1100" t="e">
        <f ca="1">IF(P285="NS",IFERROR(INDIRECT(S285),NA()),VLOOKUP(INDIRECT(P285)+INDIRECT(S285),'System Lookups'!$A$3:$D$146,2))</f>
        <v>#N/A</v>
      </c>
      <c r="Z285" s="1100">
        <f t="shared" si="336"/>
        <v>0</v>
      </c>
      <c r="AA285" s="1101">
        <f t="shared" ca="1" si="352"/>
        <v>0</v>
      </c>
      <c r="AB285" s="1102">
        <f>VLOOKUP(V285,'System Lookups'!$J$55:$P$64,3)</f>
        <v>0.5</v>
      </c>
      <c r="AC285" s="1103">
        <f>VLOOKUP(V285,'System Lookups'!$J$55:$P$64,4)</f>
        <v>0.6</v>
      </c>
      <c r="AD285" s="1104">
        <f t="shared" si="338"/>
        <v>0</v>
      </c>
      <c r="AE285" s="1094">
        <f>(IF(AD285&gt;VLOOKUP(V285,'System Lookups'!$J$55:$P$63,6),(((AD285-VLOOKUP(V285,'System Lookups'!$J$55:$P$63,6))*100)/20),0))+AF285</f>
        <v>0</v>
      </c>
      <c r="AF285" s="1121"/>
      <c r="AG285" s="1092">
        <f t="shared" si="339"/>
        <v>0</v>
      </c>
      <c r="AH285" s="1092" t="str">
        <f>IF(X285&lt;=Experience!$R$15+1,"","*")</f>
        <v/>
      </c>
      <c r="AI285" s="1092"/>
      <c r="AJ285" s="1080">
        <f t="shared" si="340"/>
        <v>0</v>
      </c>
      <c r="AK285" s="1080">
        <f t="shared" si="353"/>
        <v>0</v>
      </c>
      <c r="AL285" s="1080">
        <f t="shared" si="342"/>
        <v>0</v>
      </c>
      <c r="AM285" s="1092">
        <f t="shared" si="354"/>
        <v>0</v>
      </c>
      <c r="AN285" s="1080">
        <f t="shared" si="355"/>
        <v>1</v>
      </c>
      <c r="AO285" s="1080">
        <f t="shared" si="345"/>
        <v>0</v>
      </c>
      <c r="AP285" s="1080">
        <f t="shared" si="346"/>
        <v>1</v>
      </c>
      <c r="AQ285" s="1027">
        <f>VLOOKUP(V285,'System Lookups'!$J$55:$P$64,7)</f>
        <v>300</v>
      </c>
      <c r="AR285" s="1080" t="str">
        <f ca="1">IF(AND(NOT(ISBLANK(AJ285)),ISNA(MATCH(ROW(),'System Lookups'!$C$526:$C$539,0))),"Y","N")</f>
        <v>Y</v>
      </c>
      <c r="AS285" s="1080">
        <f t="shared" si="347"/>
        <v>0</v>
      </c>
      <c r="AU285" s="1080" t="e">
        <f t="shared" si="311"/>
        <v>#N/A</v>
      </c>
      <c r="AV285" s="1080" t="str">
        <f t="shared" si="303"/>
        <v>T</v>
      </c>
      <c r="AW285" s="1080">
        <f t="shared" si="312"/>
        <v>0</v>
      </c>
      <c r="AX285" s="1080">
        <f t="shared" si="313"/>
        <v>0</v>
      </c>
      <c r="AY285" s="1080">
        <f t="shared" si="314"/>
        <v>0</v>
      </c>
      <c r="AZ285" s="1080">
        <f t="shared" si="315"/>
        <v>0</v>
      </c>
      <c r="BA285" s="1080">
        <f t="shared" si="316"/>
        <v>0</v>
      </c>
      <c r="BB285" s="1080">
        <f>IF(AND(RACE=1,'Main Creation Page'!$E$6="Well",OR(ISNUMBER(FIND(Experience!$G$11,BE285)),ISNUMBER(FIND(Experience!$G$11,BF285)),ISNUMBER(FIND(Experience!$I$11,BE285)),ISNUMBER(FIND(Experience!$I$11,BF285)))),1,0)</f>
        <v>0</v>
      </c>
      <c r="BC285" s="1080" t="str">
        <f t="shared" si="332"/>
        <v>Salt Welling</v>
      </c>
      <c r="BE285" s="1080" t="str">
        <f t="shared" si="304"/>
        <v/>
      </c>
      <c r="BF285" s="1080" t="str">
        <f t="shared" si="305"/>
        <v>Crafts &amp; Trades Skills</v>
      </c>
    </row>
    <row r="286" spans="1:58" ht="11.1" customHeight="1" outlineLevel="2">
      <c r="A286" s="1093" t="s">
        <v>5646</v>
      </c>
      <c r="B286" s="1094" t="s">
        <v>1942</v>
      </c>
      <c r="C286" s="1094"/>
      <c r="D286" s="1094"/>
      <c r="E286" s="1095" t="s">
        <v>5224</v>
      </c>
      <c r="F286" s="1095" t="s">
        <v>5224</v>
      </c>
      <c r="G286" s="1096">
        <v>0</v>
      </c>
      <c r="H286" s="1096" t="s">
        <v>5224</v>
      </c>
      <c r="I286" s="1096" t="s">
        <v>5224</v>
      </c>
      <c r="J286" s="1096" t="s">
        <v>5224</v>
      </c>
      <c r="K286" s="1096" t="s">
        <v>5224</v>
      </c>
      <c r="L286" s="1096" t="s">
        <v>5224</v>
      </c>
      <c r="M286" s="1096" t="s">
        <v>5224</v>
      </c>
      <c r="N286" s="1096" t="s">
        <v>4631</v>
      </c>
      <c r="O286" s="1028"/>
      <c r="P286" s="1113" t="s">
        <v>13</v>
      </c>
      <c r="Q286" s="1028"/>
      <c r="R286" s="1028"/>
      <c r="S286" s="1113" t="s">
        <v>13</v>
      </c>
      <c r="T286" s="1113"/>
      <c r="U286" s="1027">
        <v>0</v>
      </c>
      <c r="V286" s="1027">
        <f t="shared" si="335"/>
        <v>1</v>
      </c>
      <c r="W286" s="1098" t="e">
        <f>IF(OR(I286&lt;&gt;"N",E286="C"),IF(AND(N286&lt;&gt;"T",ISNUMBER(FIND("V",I286))),1,0),NA())+IF(H286="Y",IF(AND(N286="P",ISNUMBER(FIND("Z",I286))),2,1),0)+IF(J286="Y",1,0)+IF(K286="Y",3,0)+IF(BE286="Lore",L286*2+Experience!$D$25,0)+IF(M286="Y",1,0)</f>
        <v>#N/A</v>
      </c>
      <c r="X286" s="1099"/>
      <c r="Y286" s="1100" t="e">
        <f ca="1">IF(P286="NS",IFERROR(INDIRECT(S286),NA()),VLOOKUP(INDIRECT(P286)+INDIRECT(S286),'System Lookups'!$A$3:$D$146,2))</f>
        <v>#N/A</v>
      </c>
      <c r="Z286" s="1100">
        <f t="shared" si="336"/>
        <v>0</v>
      </c>
      <c r="AA286" s="1101">
        <f t="shared" ca="1" si="352"/>
        <v>0</v>
      </c>
      <c r="AB286" s="1102">
        <f>VLOOKUP(V286,'System Lookups'!$J$55:$P$64,3)</f>
        <v>0.5</v>
      </c>
      <c r="AC286" s="1103">
        <f>VLOOKUP(V286,'System Lookups'!$J$55:$P$64,4)</f>
        <v>0.6</v>
      </c>
      <c r="AD286" s="1104">
        <f t="shared" si="338"/>
        <v>0</v>
      </c>
      <c r="AE286" s="1094">
        <f>(IF(AD286&gt;VLOOKUP(V286,'System Lookups'!$J$55:$P$63,6),(((AD286-VLOOKUP(V286,'System Lookups'!$J$55:$P$63,6))*100)/20),0))+AF286</f>
        <v>0</v>
      </c>
      <c r="AF286" s="1121"/>
      <c r="AG286" s="1092">
        <f t="shared" si="339"/>
        <v>0</v>
      </c>
      <c r="AH286" s="1092" t="str">
        <f>IF(X286&lt;=Experience!$R$15+1,"","*")</f>
        <v/>
      </c>
      <c r="AI286" s="1092"/>
      <c r="AJ286" s="1080">
        <f t="shared" si="340"/>
        <v>0</v>
      </c>
      <c r="AK286" s="1080">
        <f t="shared" si="353"/>
        <v>0</v>
      </c>
      <c r="AL286" s="1080">
        <f t="shared" si="342"/>
        <v>0</v>
      </c>
      <c r="AM286" s="1092">
        <f t="shared" si="354"/>
        <v>0</v>
      </c>
      <c r="AN286" s="1080">
        <f t="shared" si="355"/>
        <v>1</v>
      </c>
      <c r="AO286" s="1080">
        <f t="shared" si="345"/>
        <v>0</v>
      </c>
      <c r="AP286" s="1080">
        <f t="shared" si="346"/>
        <v>1</v>
      </c>
      <c r="AQ286" s="1027">
        <f>VLOOKUP(V286,'System Lookups'!$J$55:$P$64,7)</f>
        <v>300</v>
      </c>
      <c r="AR286" s="1080" t="str">
        <f ca="1">IF(AND(NOT(ISBLANK(AJ286)),ISNA(MATCH(ROW(),'System Lookups'!$C$526:$C$539,0))),"Y","N")</f>
        <v>Y</v>
      </c>
      <c r="AS286" s="1080">
        <f t="shared" si="347"/>
        <v>0</v>
      </c>
      <c r="AU286" s="1080" t="e">
        <f t="shared" si="311"/>
        <v>#N/A</v>
      </c>
      <c r="AV286" s="1080" t="str">
        <f t="shared" si="303"/>
        <v>T</v>
      </c>
      <c r="AW286" s="1080">
        <f t="shared" si="312"/>
        <v>0</v>
      </c>
      <c r="AX286" s="1080">
        <f t="shared" si="313"/>
        <v>0</v>
      </c>
      <c r="AY286" s="1080">
        <f t="shared" si="314"/>
        <v>0</v>
      </c>
      <c r="AZ286" s="1080">
        <f t="shared" si="315"/>
        <v>0</v>
      </c>
      <c r="BA286" s="1080">
        <f t="shared" si="316"/>
        <v>0</v>
      </c>
      <c r="BB286" s="1080">
        <f>IF(AND(RACE=1,'Main Creation Page'!$E$6="Well",OR(ISNUMBER(FIND(Experience!$G$11,BE286)),ISNUMBER(FIND(Experience!$G$11,BF286)),ISNUMBER(FIND(Experience!$I$11,BE286)),ISNUMBER(FIND(Experience!$I$11,BF286)))),1,0)</f>
        <v>0</v>
      </c>
      <c r="BC286" s="1080" t="str">
        <f t="shared" si="332"/>
        <v>Sowing Salt</v>
      </c>
      <c r="BE286" s="1080" t="str">
        <f t="shared" si="304"/>
        <v/>
      </c>
      <c r="BF286" s="1080" t="str">
        <f t="shared" si="305"/>
        <v>Crafts &amp; Trades Skills</v>
      </c>
    </row>
    <row r="287" spans="1:58" ht="11.1" customHeight="1" outlineLevel="1">
      <c r="A287" s="1123" t="s">
        <v>2078</v>
      </c>
      <c r="B287" s="1094" t="s">
        <v>1942</v>
      </c>
      <c r="C287" s="1094"/>
      <c r="D287" s="1094"/>
      <c r="E287" s="1095" t="s">
        <v>5224</v>
      </c>
      <c r="F287" s="1095" t="s">
        <v>5224</v>
      </c>
      <c r="G287" s="1096">
        <v>0</v>
      </c>
      <c r="H287" s="1096" t="s">
        <v>5224</v>
      </c>
      <c r="I287" s="1096" t="s">
        <v>5224</v>
      </c>
      <c r="J287" s="1096" t="s">
        <v>5224</v>
      </c>
      <c r="K287" s="1096" t="s">
        <v>5224</v>
      </c>
      <c r="L287" s="1096" t="s">
        <v>5224</v>
      </c>
      <c r="M287" s="1096" t="s">
        <v>5224</v>
      </c>
      <c r="N287" s="1096" t="s">
        <v>4631</v>
      </c>
      <c r="O287" s="1028"/>
      <c r="P287" s="1028" t="s">
        <v>3615</v>
      </c>
      <c r="Q287" s="1097">
        <f t="shared" ref="Q287:Q292" ca="1" si="356">INDIRECT(P287)</f>
        <v>20</v>
      </c>
      <c r="R287" s="1028"/>
      <c r="S287" s="1028" t="s">
        <v>3611</v>
      </c>
      <c r="T287" s="1097">
        <f t="shared" ref="T287:T292" ca="1" si="357">INDIRECT(S287)</f>
        <v>15</v>
      </c>
      <c r="U287" s="1027">
        <v>2</v>
      </c>
      <c r="V287" s="1027">
        <f t="shared" si="335"/>
        <v>3</v>
      </c>
      <c r="W287" s="1098" t="e">
        <f>IF(OR(I287&lt;&gt;"N",E287="C"),IF(AND(N287&lt;&gt;"T",ISNUMBER(FIND("V",I287))),1,0),NA())+IF(H287="Y",IF(AND(N287="P",ISNUMBER(FIND("Z",I287))),2,1),0)+IF(J287="Y",1,0)+IF(K287="Y",3,0)+IF(BE287="Lore",L287*2+Experience!$D$25,0)+IF(M287="Y",1,0)</f>
        <v>#N/A</v>
      </c>
      <c r="X287" s="1099"/>
      <c r="Y287" s="1100">
        <f ca="1">IF(P287="NS",IFERROR(INDIRECT(S287),NA()),VLOOKUP(INDIRECT(P287)+INDIRECT(S287),'System Lookups'!$A$3:$D$146,2))</f>
        <v>0.12</v>
      </c>
      <c r="Z287" s="1100">
        <f t="shared" si="336"/>
        <v>0</v>
      </c>
      <c r="AA287" s="1101">
        <f ca="1">IF(ISNA(Y287),0,Y287)+Z287</f>
        <v>0.12</v>
      </c>
      <c r="AB287" s="1102">
        <f>VLOOKUP(V287,'System Lookups'!$J$55:$P$64,3)</f>
        <v>0.3</v>
      </c>
      <c r="AC287" s="1103">
        <f>VLOOKUP(V287,'System Lookups'!$J$55:$P$64,4)</f>
        <v>0.4</v>
      </c>
      <c r="AD287" s="1104">
        <f t="shared" si="338"/>
        <v>0</v>
      </c>
      <c r="AE287" s="1094">
        <f>(IF(AD287&gt;VLOOKUP(V287,'System Lookups'!$J$55:$P$63,6),(((AD287-VLOOKUP(V287,'System Lookups'!$J$55:$P$63,6))*100)/20),0))+AF287</f>
        <v>0</v>
      </c>
      <c r="AF287" s="1121"/>
      <c r="AG287" s="1092">
        <f t="shared" si="339"/>
        <v>0</v>
      </c>
      <c r="AH287" s="1092" t="str">
        <f>IF(X287&lt;=Experience!$R$15+1,"","*")</f>
        <v/>
      </c>
      <c r="AI287" s="1092"/>
      <c r="AJ287" s="1080">
        <f t="shared" si="340"/>
        <v>0</v>
      </c>
      <c r="AK287" s="1080">
        <f>IF(F287="s",-2,0)</f>
        <v>0</v>
      </c>
      <c r="AL287" s="1080">
        <f t="shared" si="342"/>
        <v>0</v>
      </c>
      <c r="AM287" s="1092">
        <f>IF(J287="y",1,0)</f>
        <v>0</v>
      </c>
      <c r="AN287" s="1080">
        <f>IF(N287="P",-1,IF(N287="T",1,0))</f>
        <v>1</v>
      </c>
      <c r="AO287" s="1080">
        <f t="shared" si="345"/>
        <v>0</v>
      </c>
      <c r="AP287" s="1080">
        <f t="shared" si="346"/>
        <v>1</v>
      </c>
      <c r="AQ287" s="1027">
        <f>VLOOKUP(V287,'System Lookups'!$J$55:$P$64,7)</f>
        <v>500</v>
      </c>
      <c r="AR287" s="1080" t="str">
        <f ca="1">IF(AND(NOT(ISBLANK(AJ287)),ISNA(MATCH(ROW(),'System Lookups'!$C$526:$C$539,0))),"Y","N")</f>
        <v>Y</v>
      </c>
      <c r="AS287" s="1080">
        <f t="shared" si="347"/>
        <v>0</v>
      </c>
      <c r="AU287" s="1080" t="e">
        <f t="shared" si="311"/>
        <v>#N/A</v>
      </c>
      <c r="AV287" s="1080" t="str">
        <f t="shared" si="303"/>
        <v>T</v>
      </c>
      <c r="AW287" s="1080">
        <f t="shared" si="312"/>
        <v>0</v>
      </c>
      <c r="AX287" s="1080">
        <f t="shared" si="313"/>
        <v>0</v>
      </c>
      <c r="AY287" s="1080">
        <f t="shared" si="314"/>
        <v>0</v>
      </c>
      <c r="AZ287" s="1080">
        <f t="shared" si="315"/>
        <v>0</v>
      </c>
      <c r="BA287" s="1080">
        <f t="shared" si="316"/>
        <v>0</v>
      </c>
      <c r="BB287" s="1080">
        <f>IF(AND(RACE=1,'Main Creation Page'!$E$6="Well",OR(ISNUMBER(FIND(Experience!$G$11,BE287)),ISNUMBER(FIND(Experience!$G$11,BF287)),ISNUMBER(FIND(Experience!$I$11,BE287)),ISNUMBER(FIND(Experience!$I$11,BF287)))),1,0)</f>
        <v>0</v>
      </c>
      <c r="BC287" s="1080" t="str">
        <f t="shared" si="332"/>
        <v>Sawyer</v>
      </c>
      <c r="BE287" s="1080" t="str">
        <f t="shared" si="304"/>
        <v/>
      </c>
      <c r="BF287" s="1080" t="str">
        <f t="shared" si="305"/>
        <v>Crafts &amp; Trades Skills</v>
      </c>
    </row>
    <row r="288" spans="1:58" ht="11.1" customHeight="1" outlineLevel="1">
      <c r="A288" s="1117" t="s">
        <v>1205</v>
      </c>
      <c r="B288" s="1094" t="s">
        <v>1942</v>
      </c>
      <c r="C288" s="1094"/>
      <c r="D288" s="1094"/>
      <c r="E288" s="1095" t="s">
        <v>5224</v>
      </c>
      <c r="F288" s="1095" t="str">
        <f>IF(('Main Creation Page'!C9=3),"R","N")</f>
        <v>N</v>
      </c>
      <c r="G288" s="1096">
        <v>0</v>
      </c>
      <c r="H288" s="1096" t="s">
        <v>5224</v>
      </c>
      <c r="I288" s="1096" t="s">
        <v>5224</v>
      </c>
      <c r="J288" s="1096" t="s">
        <v>5224</v>
      </c>
      <c r="K288" s="1096" t="s">
        <v>5224</v>
      </c>
      <c r="L288" s="1096" t="s">
        <v>5224</v>
      </c>
      <c r="M288" s="1096" t="s">
        <v>5224</v>
      </c>
      <c r="N288" s="1096" t="s">
        <v>4631</v>
      </c>
      <c r="O288" s="1028"/>
      <c r="P288" s="1028" t="s">
        <v>3611</v>
      </c>
      <c r="Q288" s="1097">
        <f t="shared" ca="1" si="356"/>
        <v>15</v>
      </c>
      <c r="R288" s="1028"/>
      <c r="S288" s="1028" t="s">
        <v>3613</v>
      </c>
      <c r="T288" s="1097">
        <f t="shared" ca="1" si="357"/>
        <v>15</v>
      </c>
      <c r="U288" s="1027">
        <f>IF(ISBLANK(X276),4,3)</f>
        <v>4</v>
      </c>
      <c r="V288" s="1027">
        <f t="shared" si="335"/>
        <v>5</v>
      </c>
      <c r="W288" s="1098" t="e">
        <f>IF(OR(I288&lt;&gt;"N",E288="C"),IF(AND(N288&lt;&gt;"T",ISNUMBER(FIND("V",I288))),1,0),NA())+IF(H288="Y",IF(AND(N288="P",ISNUMBER(FIND("Z",I288))),2,1),0)+IF(J288="Y",1,0)+IF(K288="Y",3,0)+IF(BE288="Lore",L288*2+Experience!$D$25,0)+IF(M288="Y",1,0)</f>
        <v>#N/A</v>
      </c>
      <c r="X288" s="1099"/>
      <c r="Y288" s="1100">
        <f ca="1">IF(P288="NS",IFERROR(INDIRECT(S288),NA()),VLOOKUP(INDIRECT(P288)+INDIRECT(S288),'System Lookups'!$A$3:$D$146,2))</f>
        <v>0.06</v>
      </c>
      <c r="Z288" s="1100">
        <f t="shared" si="336"/>
        <v>0</v>
      </c>
      <c r="AA288" s="1101">
        <f ca="1">IF(ISNA(Y288),0,Y288)+Z288</f>
        <v>0.06</v>
      </c>
      <c r="AB288" s="1102">
        <f>VLOOKUP(V288,'System Lookups'!$J$55:$P$64,3)</f>
        <v>0.1</v>
      </c>
      <c r="AC288" s="1103">
        <f>VLOOKUP(V288,'System Lookups'!$J$55:$P$64,4)</f>
        <v>0.2</v>
      </c>
      <c r="AD288" s="1104">
        <f t="shared" si="338"/>
        <v>0</v>
      </c>
      <c r="AE288" s="1094">
        <f>(IF(AD288&gt;VLOOKUP(V288,'System Lookups'!$J$55:$P$63,6),(((AD288-VLOOKUP(V288,'System Lookups'!$J$55:$P$63,6))*100)/20),0))+AF288</f>
        <v>0</v>
      </c>
      <c r="AF288" s="1121"/>
      <c r="AG288" s="1092">
        <f t="shared" si="339"/>
        <v>0</v>
      </c>
      <c r="AH288" s="1092" t="str">
        <f>IF(X288&lt;=Experience!$R$15+1,"","*")</f>
        <v/>
      </c>
      <c r="AI288" s="1092"/>
      <c r="AJ288" s="1080">
        <f t="shared" si="340"/>
        <v>0</v>
      </c>
      <c r="AK288" s="1080">
        <f>IF(F288="s",-2,0)</f>
        <v>0</v>
      </c>
      <c r="AL288" s="1080">
        <f t="shared" si="342"/>
        <v>0</v>
      </c>
      <c r="AM288" s="1092">
        <f>IF(J288="y",1,0)</f>
        <v>0</v>
      </c>
      <c r="AN288" s="1080">
        <f>IF(N288="P",-1,IF(N288="T",1,0))</f>
        <v>1</v>
      </c>
      <c r="AO288" s="1080">
        <f t="shared" si="345"/>
        <v>0</v>
      </c>
      <c r="AP288" s="1080">
        <f t="shared" si="346"/>
        <v>1</v>
      </c>
      <c r="AQ288" s="1027">
        <f>VLOOKUP(V288,'System Lookups'!$J$55:$P$64,7)</f>
        <v>700</v>
      </c>
      <c r="AR288" s="1080" t="str">
        <f ca="1">IF(AND(NOT(ISBLANK(AJ288)),ISNA(MATCH(ROW(),'System Lookups'!$C$526:$C$539,0))),"Y","N")</f>
        <v>Y</v>
      </c>
      <c r="AS288" s="1080">
        <f t="shared" si="347"/>
        <v>0</v>
      </c>
      <c r="AU288" s="1080" t="e">
        <f t="shared" si="311"/>
        <v>#N/A</v>
      </c>
      <c r="AV288" s="1080" t="str">
        <f t="shared" si="303"/>
        <v>T</v>
      </c>
      <c r="AW288" s="1080">
        <f t="shared" si="312"/>
        <v>0</v>
      </c>
      <c r="AX288" s="1080">
        <f t="shared" si="313"/>
        <v>0</v>
      </c>
      <c r="AY288" s="1080">
        <f t="shared" si="314"/>
        <v>0</v>
      </c>
      <c r="AZ288" s="1080">
        <f t="shared" si="315"/>
        <v>0</v>
      </c>
      <c r="BA288" s="1080">
        <f t="shared" si="316"/>
        <v>0</v>
      </c>
      <c r="BB288" s="1080">
        <f>IF(AND(RACE=1,'Main Creation Page'!$E$6="Well",OR(ISNUMBER(FIND(Experience!$G$11,BE288)),ISNUMBER(FIND(Experience!$G$11,BF288)),ISNUMBER(FIND(Experience!$I$11,BE288)),ISNUMBER(FIND(Experience!$I$11,BF288)))),1,0)</f>
        <v>0</v>
      </c>
      <c r="BC288" s="1080" t="str">
        <f t="shared" si="332"/>
        <v>Seal Making, Engraving &amp; Coinage</v>
      </c>
      <c r="BE288" s="1080" t="str">
        <f t="shared" si="304"/>
        <v/>
      </c>
      <c r="BF288" s="1080" t="str">
        <f t="shared" si="305"/>
        <v>Crafts &amp; Trades Skills</v>
      </c>
    </row>
    <row r="289" spans="1:58" ht="11.1" customHeight="1" outlineLevel="1">
      <c r="A289" s="1123" t="s">
        <v>5736</v>
      </c>
      <c r="B289" s="1094" t="s">
        <v>1942</v>
      </c>
      <c r="C289" s="1094"/>
      <c r="D289" s="1094"/>
      <c r="E289" s="1095" t="s">
        <v>5224</v>
      </c>
      <c r="F289" s="1095" t="s">
        <v>5224</v>
      </c>
      <c r="G289" s="1096">
        <v>0</v>
      </c>
      <c r="H289" s="1096" t="s">
        <v>5224</v>
      </c>
      <c r="I289" s="1096" t="s">
        <v>5224</v>
      </c>
      <c r="J289" s="1096" t="s">
        <v>5224</v>
      </c>
      <c r="K289" s="1096" t="s">
        <v>5224</v>
      </c>
      <c r="L289" s="1096" t="s">
        <v>5224</v>
      </c>
      <c r="M289" s="1096" t="s">
        <v>5224</v>
      </c>
      <c r="N289" s="1096" t="s">
        <v>4631</v>
      </c>
      <c r="O289" s="1028"/>
      <c r="P289" s="1028" t="s">
        <v>3616</v>
      </c>
      <c r="Q289" s="1097">
        <f t="shared" ca="1" si="356"/>
        <v>17</v>
      </c>
      <c r="R289" s="1028"/>
      <c r="S289" s="1028" t="s">
        <v>3611</v>
      </c>
      <c r="T289" s="1097">
        <f t="shared" ca="1" si="357"/>
        <v>15</v>
      </c>
      <c r="U289" s="1027">
        <v>3</v>
      </c>
      <c r="V289" s="1027">
        <f t="shared" si="335"/>
        <v>4</v>
      </c>
      <c r="W289" s="1098" t="e">
        <f>IF(OR(I289&lt;&gt;"N",E289="C"),IF(AND(N289&lt;&gt;"T",ISNUMBER(FIND("V",I289))),1,0),NA())+IF(H289="Y",IF(AND(N289="P",ISNUMBER(FIND("Z",I289))),2,1),0)+IF(J289="Y",1,0)+IF(K289="Y",3,0)+IF(BE289="Lore",L289*2+Experience!$D$25,0)+IF(M289="Y",1,0)</f>
        <v>#N/A</v>
      </c>
      <c r="X289" s="1099"/>
      <c r="Y289" s="1100">
        <f ca="1">IF(P289="NS",IFERROR(INDIRECT(S289),NA()),VLOOKUP(INDIRECT(P289)+INDIRECT(S289),'System Lookups'!$A$3:$D$146,2))</f>
        <v>0.08</v>
      </c>
      <c r="Z289" s="1100">
        <f t="shared" si="336"/>
        <v>0</v>
      </c>
      <c r="AA289" s="1101">
        <f t="shared" ca="1" si="352"/>
        <v>0.08</v>
      </c>
      <c r="AB289" s="1102">
        <f>VLOOKUP(V289,'System Lookups'!$J$55:$P$64,3)</f>
        <v>0.2</v>
      </c>
      <c r="AC289" s="1103">
        <f>VLOOKUP(V289,'System Lookups'!$J$55:$P$64,4)</f>
        <v>0.3</v>
      </c>
      <c r="AD289" s="1104">
        <f t="shared" si="338"/>
        <v>0</v>
      </c>
      <c r="AE289" s="1094">
        <f>(IF(AD289&gt;VLOOKUP(V289,'System Lookups'!$J$55:$P$63,6),(((AD289-VLOOKUP(V289,'System Lookups'!$J$55:$P$63,6))*100)/20),0))+AF289</f>
        <v>0</v>
      </c>
      <c r="AF289" s="1121"/>
      <c r="AG289" s="1092">
        <f t="shared" si="339"/>
        <v>0</v>
      </c>
      <c r="AH289" s="1092" t="str">
        <f>IF(X289&lt;=Experience!$R$15+1,"","*")</f>
        <v/>
      </c>
      <c r="AI289" s="1092"/>
      <c r="AJ289" s="1080">
        <f t="shared" si="340"/>
        <v>0</v>
      </c>
      <c r="AK289" s="1080">
        <f t="shared" si="353"/>
        <v>0</v>
      </c>
      <c r="AL289" s="1080">
        <f t="shared" si="342"/>
        <v>0</v>
      </c>
      <c r="AM289" s="1092">
        <f t="shared" si="354"/>
        <v>0</v>
      </c>
      <c r="AN289" s="1080">
        <f t="shared" si="355"/>
        <v>1</v>
      </c>
      <c r="AO289" s="1080">
        <f t="shared" si="345"/>
        <v>0</v>
      </c>
      <c r="AP289" s="1080">
        <f t="shared" si="346"/>
        <v>1</v>
      </c>
      <c r="AQ289" s="1027">
        <f>VLOOKUP(V289,'System Lookups'!$J$55:$P$64,7)</f>
        <v>600</v>
      </c>
      <c r="AR289" s="1080" t="str">
        <f ca="1">IF(AND(NOT(ISBLANK(AJ289)),ISNA(MATCH(ROW(),'System Lookups'!$C$526:$C$539,0))),"Y","N")</f>
        <v>Y</v>
      </c>
      <c r="AS289" s="1080">
        <f t="shared" si="347"/>
        <v>0</v>
      </c>
      <c r="AU289" s="1080" t="e">
        <f t="shared" si="311"/>
        <v>#N/A</v>
      </c>
      <c r="AV289" s="1080" t="str">
        <f t="shared" si="303"/>
        <v>T</v>
      </c>
      <c r="AW289" s="1080">
        <f t="shared" si="312"/>
        <v>0</v>
      </c>
      <c r="AX289" s="1080">
        <f t="shared" si="313"/>
        <v>0</v>
      </c>
      <c r="AY289" s="1080">
        <f t="shared" si="314"/>
        <v>0</v>
      </c>
      <c r="AZ289" s="1080">
        <f t="shared" si="315"/>
        <v>0</v>
      </c>
      <c r="BA289" s="1080">
        <f t="shared" si="316"/>
        <v>0</v>
      </c>
      <c r="BB289" s="1080">
        <f>IF(AND(RACE=1,'Main Creation Page'!$E$6="Well",OR(ISNUMBER(FIND(Experience!$G$11,BE289)),ISNUMBER(FIND(Experience!$G$11,BF289)),ISNUMBER(FIND(Experience!$I$11,BE289)),ISNUMBER(FIND(Experience!$I$11,BF289)))),1,0)</f>
        <v>0</v>
      </c>
      <c r="BC289" s="1080" t="str">
        <f t="shared" si="332"/>
        <v>Soap Making</v>
      </c>
      <c r="BE289" s="1080" t="str">
        <f t="shared" si="304"/>
        <v/>
      </c>
      <c r="BF289" s="1080" t="str">
        <f t="shared" si="305"/>
        <v>Crafts &amp; Trades Skills</v>
      </c>
    </row>
    <row r="290" spans="1:58" ht="11.1" customHeight="1" outlineLevel="1">
      <c r="A290" s="1123" t="s">
        <v>2016</v>
      </c>
      <c r="B290" s="1094" t="s">
        <v>1942</v>
      </c>
      <c r="C290" s="1094"/>
      <c r="D290" s="1094"/>
      <c r="E290" s="1095" t="s">
        <v>5224</v>
      </c>
      <c r="F290" s="1095" t="s">
        <v>5224</v>
      </c>
      <c r="G290" s="1096">
        <v>0</v>
      </c>
      <c r="H290" s="1096" t="s">
        <v>5224</v>
      </c>
      <c r="I290" s="1096" t="s">
        <v>5224</v>
      </c>
      <c r="J290" s="1096" t="s">
        <v>5224</v>
      </c>
      <c r="K290" s="1096" t="s">
        <v>5224</v>
      </c>
      <c r="L290" s="1096" t="s">
        <v>5224</v>
      </c>
      <c r="M290" s="1096" t="s">
        <v>5224</v>
      </c>
      <c r="N290" s="1096" t="s">
        <v>4631</v>
      </c>
      <c r="O290" s="1028"/>
      <c r="P290" s="1028" t="s">
        <v>3616</v>
      </c>
      <c r="Q290" s="1097">
        <f t="shared" ca="1" si="356"/>
        <v>17</v>
      </c>
      <c r="R290" s="1028"/>
      <c r="S290" s="1028" t="s">
        <v>3611</v>
      </c>
      <c r="T290" s="1097">
        <f t="shared" ca="1" si="357"/>
        <v>15</v>
      </c>
      <c r="U290" s="1027">
        <v>4</v>
      </c>
      <c r="V290" s="1027">
        <f t="shared" si="335"/>
        <v>5</v>
      </c>
      <c r="W290" s="1098" t="e">
        <f>IF(OR(I290&lt;&gt;"N",E290="C"),IF(AND(N290&lt;&gt;"T",ISNUMBER(FIND("V",I290))),1,0),NA())+IF(H290="Y",IF(AND(N290="P",ISNUMBER(FIND("Z",I290))),2,1),0)+IF(J290="Y",1,0)+IF(K290="Y",3,0)+IF(BE290="Lore",L290*2+Experience!$D$25,0)+IF(M290="Y",1,0)</f>
        <v>#N/A</v>
      </c>
      <c r="X290" s="1099"/>
      <c r="Y290" s="1100">
        <f ca="1">IF(P290="NS",IFERROR(INDIRECT(S290),NA()),VLOOKUP(INDIRECT(P290)+INDIRECT(S290),'System Lookups'!$A$3:$D$146,2))</f>
        <v>0.08</v>
      </c>
      <c r="Z290" s="1100">
        <f t="shared" si="336"/>
        <v>0</v>
      </c>
      <c r="AA290" s="1101">
        <f t="shared" ref="AA290" ca="1" si="358">IF(ISNA(Y290),0,Y290)+Z290</f>
        <v>0.08</v>
      </c>
      <c r="AB290" s="1102">
        <f>VLOOKUP(V290,'System Lookups'!$J$55:$P$64,3)</f>
        <v>0.1</v>
      </c>
      <c r="AC290" s="1103">
        <f>VLOOKUP(V290,'System Lookups'!$J$55:$P$64,4)</f>
        <v>0.2</v>
      </c>
      <c r="AD290" s="1104">
        <f t="shared" si="338"/>
        <v>0</v>
      </c>
      <c r="AE290" s="1094">
        <f>(IF(AD290&gt;VLOOKUP(V290,'System Lookups'!$J$55:$P$63,6),(((AD290-VLOOKUP(V290,'System Lookups'!$J$55:$P$63,6))*100)/20),0))+AF290</f>
        <v>0</v>
      </c>
      <c r="AF290" s="1121"/>
      <c r="AG290" s="1092">
        <f t="shared" si="339"/>
        <v>0</v>
      </c>
      <c r="AH290" s="1092" t="str">
        <f>IF(X290&lt;=Experience!$R$15+1,"","*")</f>
        <v/>
      </c>
      <c r="AI290" s="1092"/>
      <c r="AJ290" s="1080">
        <f t="shared" si="340"/>
        <v>0</v>
      </c>
      <c r="AK290" s="1080">
        <f t="shared" ref="AK290" si="359">IF(F290="s",-2,0)</f>
        <v>0</v>
      </c>
      <c r="AL290" s="1080">
        <f t="shared" si="342"/>
        <v>0</v>
      </c>
      <c r="AM290" s="1092">
        <f t="shared" ref="AM290" si="360">IF(J290="y",1,0)</f>
        <v>0</v>
      </c>
      <c r="AN290" s="1080">
        <f t="shared" ref="AN290" si="361">IF(N290="P",-1,IF(N290="T",1,0))</f>
        <v>1</v>
      </c>
      <c r="AO290" s="1080">
        <f t="shared" si="345"/>
        <v>0</v>
      </c>
      <c r="AP290" s="1080">
        <f t="shared" si="346"/>
        <v>1</v>
      </c>
      <c r="AQ290" s="1027">
        <f>VLOOKUP(V290,'System Lookups'!$J$55:$P$64,7)</f>
        <v>700</v>
      </c>
      <c r="AR290" s="1080" t="str">
        <f ca="1">IF(AND(NOT(ISBLANK(AJ290)),ISNA(MATCH(ROW(),'System Lookups'!$C$526:$C$539,0))),"Y","N")</f>
        <v>Y</v>
      </c>
      <c r="AS290" s="1080">
        <f t="shared" si="347"/>
        <v>0</v>
      </c>
      <c r="AU290" s="1080" t="e">
        <f t="shared" si="311"/>
        <v>#N/A</v>
      </c>
      <c r="AV290" s="1080" t="str">
        <f t="shared" si="303"/>
        <v>T</v>
      </c>
      <c r="AW290" s="1080">
        <f t="shared" si="312"/>
        <v>0</v>
      </c>
      <c r="AX290" s="1080">
        <f t="shared" si="313"/>
        <v>0</v>
      </c>
      <c r="AY290" s="1080">
        <f t="shared" si="314"/>
        <v>0</v>
      </c>
      <c r="AZ290" s="1080">
        <f t="shared" si="315"/>
        <v>0</v>
      </c>
      <c r="BA290" s="1080">
        <f t="shared" si="316"/>
        <v>0</v>
      </c>
      <c r="BB290" s="1080">
        <f>IF(AND(RACE=1,'Main Creation Page'!$E$6="Well",OR(ISNUMBER(FIND(Experience!$G$11,BE290)),ISNUMBER(FIND(Experience!$G$11,BF290)),ISNUMBER(FIND(Experience!$I$11,BE290)),ISNUMBER(FIND(Experience!$I$11,BF290)))),1,0)</f>
        <v>0</v>
      </c>
      <c r="BC290" s="1080" t="str">
        <f t="shared" si="332"/>
        <v>Tatooing</v>
      </c>
      <c r="BE290" s="1080" t="str">
        <f t="shared" si="304"/>
        <v/>
      </c>
      <c r="BF290" s="1080" t="str">
        <f t="shared" si="305"/>
        <v>Crafts &amp; Trades Skills</v>
      </c>
    </row>
    <row r="291" spans="1:58" ht="11.1" customHeight="1" outlineLevel="1">
      <c r="A291" s="1117" t="s">
        <v>3729</v>
      </c>
      <c r="B291" s="1094"/>
      <c r="C291" s="1094"/>
      <c r="D291" s="1094"/>
      <c r="E291" s="1095" t="s">
        <v>5224</v>
      </c>
      <c r="F291" s="1095" t="s">
        <v>5224</v>
      </c>
      <c r="G291" s="1096">
        <v>0</v>
      </c>
      <c r="H291" s="1096" t="s">
        <v>5224</v>
      </c>
      <c r="I291" s="1096" t="s">
        <v>5224</v>
      </c>
      <c r="J291" s="1096" t="s">
        <v>5224</v>
      </c>
      <c r="K291" s="1096" t="s">
        <v>5224</v>
      </c>
      <c r="L291" s="1096" t="s">
        <v>5224</v>
      </c>
      <c r="M291" s="1096" t="s">
        <v>5224</v>
      </c>
      <c r="N291" s="1096" t="s">
        <v>4631</v>
      </c>
      <c r="O291" s="1028"/>
      <c r="P291" s="1028" t="s">
        <v>3615</v>
      </c>
      <c r="Q291" s="1097">
        <f t="shared" ca="1" si="356"/>
        <v>20</v>
      </c>
      <c r="R291" s="1028"/>
      <c r="S291" s="1028" t="s">
        <v>3611</v>
      </c>
      <c r="T291" s="1097">
        <f t="shared" ca="1" si="357"/>
        <v>15</v>
      </c>
      <c r="U291" s="1027">
        <v>2</v>
      </c>
      <c r="V291" s="1027">
        <f t="shared" si="335"/>
        <v>3</v>
      </c>
      <c r="W291" s="1098" t="e">
        <f>IF(OR(I291&lt;&gt;"N",E291="C"),IF(AND(N291&lt;&gt;"T",ISNUMBER(FIND("V",I291))),1,0),NA())+IF(H291="Y",IF(AND(N291="P",ISNUMBER(FIND("Z",I291))),2,1),0)+IF(J291="Y",1,0)+IF(K291="Y",3,0)+IF(BE291="Lore",L291*2+Experience!$D$25,0)+IF(M291="Y",1,0)</f>
        <v>#N/A</v>
      </c>
      <c r="X291" s="1099"/>
      <c r="Y291" s="1100">
        <f ca="1">IF(P291="NS",IFERROR(INDIRECT(S291),NA()),VLOOKUP(INDIRECT(P291)+INDIRECT(S291),'System Lookups'!$A$3:$D$146,2))</f>
        <v>0.12</v>
      </c>
      <c r="Z291" s="1100">
        <f t="shared" si="336"/>
        <v>0</v>
      </c>
      <c r="AA291" s="1101">
        <f t="shared" ca="1" si="352"/>
        <v>0.12</v>
      </c>
      <c r="AB291" s="1102">
        <f>VLOOKUP(V291,'System Lookups'!$J$55:$P$64,3)</f>
        <v>0.3</v>
      </c>
      <c r="AC291" s="1103">
        <f>VLOOKUP(V291,'System Lookups'!$J$55:$P$64,4)</f>
        <v>0.4</v>
      </c>
      <c r="AD291" s="1104">
        <f t="shared" ca="1" si="338"/>
        <v>0.42</v>
      </c>
      <c r="AE291" s="1094">
        <f ca="1">(IF(AD291&gt;VLOOKUP(V291,'System Lookups'!$J$55:$P$63,6),(((AD291-VLOOKUP(V291,'System Lookups'!$J$55:$P$63,6))*100)/20),0))+AF291</f>
        <v>0</v>
      </c>
      <c r="AF291" s="1121"/>
      <c r="AG291" s="1092">
        <f t="shared" si="339"/>
        <v>0</v>
      </c>
      <c r="AH291" s="1092" t="str">
        <f>IF(X291&lt;=Experience!$R$15+1,"","*")</f>
        <v/>
      </c>
      <c r="AI291" s="1092"/>
      <c r="AJ291" s="1080">
        <f t="shared" si="340"/>
        <v>0</v>
      </c>
      <c r="AK291" s="1080">
        <f t="shared" si="353"/>
        <v>0</v>
      </c>
      <c r="AL291" s="1080">
        <f t="shared" si="342"/>
        <v>0</v>
      </c>
      <c r="AM291" s="1092">
        <f t="shared" si="354"/>
        <v>0</v>
      </c>
      <c r="AN291" s="1080">
        <f t="shared" si="355"/>
        <v>1</v>
      </c>
      <c r="AO291" s="1080">
        <f t="shared" si="345"/>
        <v>0</v>
      </c>
      <c r="AP291" s="1080">
        <f t="shared" si="346"/>
        <v>1</v>
      </c>
      <c r="AQ291" s="1027">
        <f>VLOOKUP(V291,'System Lookups'!$J$55:$P$64,7)</f>
        <v>500</v>
      </c>
      <c r="AR291" s="1080" t="str">
        <f ca="1">IF(AND(NOT(ISBLANK(AJ291)),ISNA(MATCH(ROW(),'System Lookups'!$C$526:$C$539,0))),"Y","N")</f>
        <v>Y</v>
      </c>
      <c r="AS291" s="1080">
        <f t="shared" si="347"/>
        <v>0</v>
      </c>
      <c r="AU291" s="1080" t="e">
        <f t="shared" si="311"/>
        <v>#N/A</v>
      </c>
      <c r="AV291" s="1080" t="str">
        <f t="shared" si="303"/>
        <v>T</v>
      </c>
      <c r="AW291" s="1080">
        <f t="shared" si="312"/>
        <v>0</v>
      </c>
      <c r="AX291" s="1080">
        <f t="shared" si="313"/>
        <v>0</v>
      </c>
      <c r="AY291" s="1080">
        <f t="shared" si="314"/>
        <v>0</v>
      </c>
      <c r="AZ291" s="1080">
        <f t="shared" si="315"/>
        <v>0</v>
      </c>
      <c r="BA291" s="1080">
        <f t="shared" si="316"/>
        <v>0</v>
      </c>
      <c r="BB291" s="1080">
        <f>IF(AND(RACE=1,'Main Creation Page'!$E$6="Well",OR(ISNUMBER(FIND(Experience!$G$11,BE291)),ISNUMBER(FIND(Experience!$G$11,BF291)),ISNUMBER(FIND(Experience!$I$11,BE291)),ISNUMBER(FIND(Experience!$I$11,BF291)))),1,0)</f>
        <v>0</v>
      </c>
      <c r="BC291" s="1080" t="str">
        <f t="shared" si="332"/>
        <v>Tinker</v>
      </c>
      <c r="BE291" s="1080" t="str">
        <f t="shared" si="304"/>
        <v/>
      </c>
      <c r="BF291" s="1080" t="str">
        <f t="shared" si="305"/>
        <v>Crafts &amp; Trades Skills</v>
      </c>
    </row>
    <row r="292" spans="1:58" ht="11.1" customHeight="1" outlineLevel="1">
      <c r="A292" s="1123" t="s">
        <v>4044</v>
      </c>
      <c r="B292" s="1094"/>
      <c r="C292" s="1094" t="s">
        <v>4629</v>
      </c>
      <c r="D292" s="1094"/>
      <c r="E292" s="1095" t="s">
        <v>5224</v>
      </c>
      <c r="F292" s="1095" t="s">
        <v>5224</v>
      </c>
      <c r="G292" s="1096">
        <v>0</v>
      </c>
      <c r="H292" s="1096" t="s">
        <v>5224</v>
      </c>
      <c r="I292" s="1096" t="s">
        <v>5224</v>
      </c>
      <c r="J292" s="1096" t="s">
        <v>5224</v>
      </c>
      <c r="K292" s="1096" t="s">
        <v>5224</v>
      </c>
      <c r="L292" s="1096" t="s">
        <v>5224</v>
      </c>
      <c r="M292" s="1096" t="s">
        <v>5224</v>
      </c>
      <c r="N292" s="1096" t="s">
        <v>4631</v>
      </c>
      <c r="O292" s="1028"/>
      <c r="P292" s="1028" t="s">
        <v>3616</v>
      </c>
      <c r="Q292" s="1097">
        <f t="shared" ca="1" si="356"/>
        <v>17</v>
      </c>
      <c r="R292" s="1028"/>
      <c r="S292" s="1028" t="s">
        <v>3611</v>
      </c>
      <c r="T292" s="1097">
        <f t="shared" ca="1" si="357"/>
        <v>15</v>
      </c>
      <c r="U292" s="1027">
        <v>2</v>
      </c>
      <c r="V292" s="1027">
        <f t="shared" si="335"/>
        <v>3</v>
      </c>
      <c r="W292" s="1098" t="e">
        <f>IF(OR(I292&lt;&gt;"N",E292="C"),IF(AND(N292&lt;&gt;"T",ISNUMBER(FIND("V",I292))),1,0),NA())+IF(H292="Y",IF(AND(N292="P",ISNUMBER(FIND("Z",I292))),2,1),0)+IF(J292="Y",1,0)+IF(K292="Y",3,0)+IF(BE292="Lore",L292*2+Experience!$D$25,0)+IF(M292="Y",1,0)</f>
        <v>#N/A</v>
      </c>
      <c r="X292" s="1099"/>
      <c r="Y292" s="1100">
        <f ca="1">IF(P292="NS",IFERROR(INDIRECT(S292),NA()),VLOOKUP(INDIRECT(P292)+INDIRECT(S292),'System Lookups'!$A$3:$D$146,2))</f>
        <v>0.08</v>
      </c>
      <c r="Z292" s="1100">
        <f t="shared" si="336"/>
        <v>0</v>
      </c>
      <c r="AA292" s="1101">
        <f t="shared" ca="1" si="352"/>
        <v>0.08</v>
      </c>
      <c r="AB292" s="1102">
        <f>VLOOKUP(V292,'System Lookups'!$J$55:$P$64,3)</f>
        <v>0.3</v>
      </c>
      <c r="AC292" s="1103">
        <f>VLOOKUP(V292,'System Lookups'!$J$55:$P$64,4)</f>
        <v>0.4</v>
      </c>
      <c r="AD292" s="1104">
        <f t="shared" ca="1" si="338"/>
        <v>0.38</v>
      </c>
      <c r="AE292" s="1094">
        <f ca="1">(IF(AD292&gt;VLOOKUP(V292,'System Lookups'!$J$55:$P$63,6),(((AD292-VLOOKUP(V292,'System Lookups'!$J$55:$P$63,6))*100)/20),0))+AF292</f>
        <v>0</v>
      </c>
      <c r="AF292" s="1121"/>
      <c r="AG292" s="1092">
        <f t="shared" si="339"/>
        <v>0</v>
      </c>
      <c r="AH292" s="1092" t="str">
        <f>IF(X292&lt;=Experience!$R$15+1,"","*")</f>
        <v/>
      </c>
      <c r="AI292" s="1092"/>
      <c r="AJ292" s="1080">
        <f t="shared" si="340"/>
        <v>0</v>
      </c>
      <c r="AK292" s="1080">
        <f t="shared" si="353"/>
        <v>0</v>
      </c>
      <c r="AL292" s="1080">
        <f t="shared" si="342"/>
        <v>0</v>
      </c>
      <c r="AM292" s="1092">
        <f t="shared" si="354"/>
        <v>0</v>
      </c>
      <c r="AN292" s="1080">
        <f t="shared" si="355"/>
        <v>1</v>
      </c>
      <c r="AO292" s="1080">
        <f t="shared" si="345"/>
        <v>0</v>
      </c>
      <c r="AP292" s="1080">
        <f t="shared" si="346"/>
        <v>1</v>
      </c>
      <c r="AQ292" s="1027">
        <f>VLOOKUP(V292,'System Lookups'!$J$55:$P$64,7)</f>
        <v>500</v>
      </c>
      <c r="AR292" s="1080" t="str">
        <f ca="1">IF(AND(NOT(ISBLANK(AJ292)),ISNA(MATCH(ROW(),'System Lookups'!$C$526:$C$539,0))),"Y","N")</f>
        <v>Y</v>
      </c>
      <c r="AS292" s="1080">
        <f t="shared" si="347"/>
        <v>0</v>
      </c>
      <c r="AU292" s="1080" t="e">
        <f t="shared" si="311"/>
        <v>#N/A</v>
      </c>
      <c r="AV292" s="1080" t="str">
        <f t="shared" si="303"/>
        <v>T</v>
      </c>
      <c r="AW292" s="1080">
        <f t="shared" si="312"/>
        <v>0</v>
      </c>
      <c r="AX292" s="1080">
        <f t="shared" si="313"/>
        <v>0</v>
      </c>
      <c r="AY292" s="1080">
        <f t="shared" si="314"/>
        <v>0</v>
      </c>
      <c r="AZ292" s="1080">
        <f t="shared" si="315"/>
        <v>0</v>
      </c>
      <c r="BA292" s="1080">
        <f t="shared" si="316"/>
        <v>0</v>
      </c>
      <c r="BB292" s="1080">
        <f>IF(AND(RACE=1,'Main Creation Page'!$E$6="Well",OR(ISNUMBER(FIND(Experience!$G$11,BE292)),ISNUMBER(FIND(Experience!$G$11,BF292)),ISNUMBER(FIND(Experience!$I$11,BE292)),ISNUMBER(FIND(Experience!$I$11,BF292)))),1,0)</f>
        <v>0</v>
      </c>
      <c r="BC292" s="1080" t="str">
        <f t="shared" si="332"/>
        <v>Tying, Using and Releasing Knots</v>
      </c>
      <c r="BE292" s="1080" t="str">
        <f t="shared" si="304"/>
        <v/>
      </c>
      <c r="BF292" s="1080" t="str">
        <f t="shared" si="305"/>
        <v>Crafts &amp; Trades Skills</v>
      </c>
    </row>
    <row r="293" spans="1:58" ht="11.1" customHeight="1" outlineLevel="1">
      <c r="A293" s="1115" t="s">
        <v>1206</v>
      </c>
      <c r="B293" s="1094"/>
      <c r="C293" s="1111"/>
      <c r="D293" s="1111"/>
      <c r="O293" s="1034"/>
      <c r="P293" s="1034"/>
      <c r="Q293" s="1034"/>
      <c r="R293" s="1034"/>
      <c r="V293" s="1027"/>
      <c r="W293" s="1112"/>
      <c r="AE293" s="1094"/>
      <c r="AF293" s="1121"/>
      <c r="AR293" s="1080" t="str">
        <f ca="1">IF(AND(NOT(ISBLANK(AJ293)),ISNA(MATCH(ROW(),'System Lookups'!$C$526:$C$539,0))),"Y","N")</f>
        <v>N</v>
      </c>
      <c r="AU293" s="1080" t="e">
        <f t="shared" si="311"/>
        <v>#N/A</v>
      </c>
      <c r="AV293" s="1080" t="str">
        <f t="shared" si="303"/>
        <v/>
      </c>
      <c r="AW293" s="1080">
        <f t="shared" si="312"/>
        <v>0</v>
      </c>
      <c r="AX293" s="1080">
        <f t="shared" si="313"/>
        <v>0</v>
      </c>
      <c r="AY293" s="1080">
        <f t="shared" si="314"/>
        <v>0</v>
      </c>
      <c r="AZ293" s="1080">
        <f t="shared" si="315"/>
        <v>0</v>
      </c>
      <c r="BA293" s="1080">
        <f t="shared" si="316"/>
        <v>0</v>
      </c>
      <c r="BB293" s="1080">
        <f>IF(AND(RACE=1,'Main Creation Page'!$E$6="Well",OR(ISNUMBER(FIND(Experience!$G$11,BE293)),ISNUMBER(FIND(Experience!$G$11,BF293)),ISNUMBER(FIND(Experience!$I$11,BE293)),ISNUMBER(FIND(Experience!$I$11,BF293)))),1,0)</f>
        <v>0</v>
      </c>
      <c r="BC293" s="1080" t="e">
        <f t="shared" si="332"/>
        <v>#N/A</v>
      </c>
      <c r="BE293" s="1080" t="str">
        <f t="shared" si="304"/>
        <v/>
      </c>
      <c r="BF293" s="1080" t="str">
        <f t="shared" si="305"/>
        <v>Crafts &amp; Trades Skills</v>
      </c>
    </row>
    <row r="294" spans="1:58" ht="11.1" customHeight="1" outlineLevel="2">
      <c r="A294" s="1028" t="s">
        <v>1208</v>
      </c>
      <c r="B294" s="1094" t="s">
        <v>1942</v>
      </c>
      <c r="C294" s="1094"/>
      <c r="D294" s="1094"/>
      <c r="E294" s="1095" t="s">
        <v>5224</v>
      </c>
      <c r="F294" s="1095" t="str">
        <f>IF(('Main Creation Page'!C3="Dwarf"),"R","N")</f>
        <v>N</v>
      </c>
      <c r="G294" s="1096">
        <v>0</v>
      </c>
      <c r="H294" s="1096" t="s">
        <v>5224</v>
      </c>
      <c r="I294" s="1096" t="s">
        <v>5224</v>
      </c>
      <c r="J294" s="1096" t="s">
        <v>5224</v>
      </c>
      <c r="K294" s="1096" t="s">
        <v>5224</v>
      </c>
      <c r="L294" s="1096" t="s">
        <v>5224</v>
      </c>
      <c r="M294" s="1096" t="s">
        <v>5224</v>
      </c>
      <c r="N294" s="1096" t="s">
        <v>4631</v>
      </c>
      <c r="O294" s="1028"/>
      <c r="P294" s="1028" t="s">
        <v>3615</v>
      </c>
      <c r="Q294" s="1097">
        <f t="shared" ref="Q294:Q295" ca="1" si="362">INDIRECT(P294)</f>
        <v>20</v>
      </c>
      <c r="R294" s="1028"/>
      <c r="S294" s="1028" t="s">
        <v>3614</v>
      </c>
      <c r="T294" s="1097">
        <f t="shared" ref="T294:T295" ca="1" si="363">INDIRECT(S294)</f>
        <v>15</v>
      </c>
      <c r="U294" s="1027">
        <v>5</v>
      </c>
      <c r="V294" s="1027">
        <f>IF(AP294+U294&gt;10,10,IF(AP294+U294&lt;1,1,AP294+U294))</f>
        <v>6</v>
      </c>
      <c r="W294" s="1098" t="e">
        <f>IF(OR(I294&lt;&gt;"N",E294="C"),IF(AND(N294&lt;&gt;"T",ISNUMBER(FIND("V",I294))),1,0),NA())+IF(H294="Y",IF(AND(N294="P",ISNUMBER(FIND("Z",I294))),2,1),0)+IF(J294="Y",1,0)+IF(K294="Y",3,0)+IF(BE294="Lore",L294*2+Experience!$D$25,0)+IF(M294="Y",1,0)</f>
        <v>#N/A</v>
      </c>
      <c r="X294" s="1099"/>
      <c r="Y294" s="1100">
        <f ca="1">IF(P294="NS",IFERROR(INDIRECT(S294),NA()),VLOOKUP(INDIRECT(P294)+INDIRECT(S294),'System Lookups'!$A$3:$D$146,2))</f>
        <v>0.12</v>
      </c>
      <c r="Z294" s="1100">
        <f>IF(ISNA(W294),0,W294*0.03)+IF(X294&gt;0,X294*0.03,0)+IF(AND(ISNA(W294),X294&lt;=0),0,IF(G294&gt;0,G294*0.07,0))</f>
        <v>0</v>
      </c>
      <c r="AA294" s="1101">
        <f ca="1">IF(ISNA(Y294),0,Y294)+Z294</f>
        <v>0.12</v>
      </c>
      <c r="AB294" s="1102">
        <f>VLOOKUP(V294,'System Lookups'!$J$55:$P$64,3)</f>
        <v>0.05</v>
      </c>
      <c r="AC294" s="1103">
        <f>VLOOKUP(V294,'System Lookups'!$J$55:$P$64,4)</f>
        <v>0.1</v>
      </c>
      <c r="AD294" s="1104">
        <f>IF(AND(ISBLANK(X294),ISNA(W294)),IF(B294="~",0,AB294+AA294+IF(BB294&gt;0,0.05,0)),AA294+AC294+IF(BB294&gt;0,0.05,0))</f>
        <v>0</v>
      </c>
      <c r="AE294" s="1094">
        <f>(IF(AD294&gt;VLOOKUP(V294,'System Lookups'!$J$55:$P$63,6),(((AD294-VLOOKUP(V294,'System Lookups'!$J$55:$P$63,6))*100)/20),0))+AF294</f>
        <v>0</v>
      </c>
      <c r="AF294" s="1121"/>
      <c r="AG294" s="1092">
        <f>IF(ISBLANK(X294),0,AQ294*X294+IF(ISNA(W294),1,0))</f>
        <v>0</v>
      </c>
      <c r="AH294" s="1092" t="str">
        <f>IF(X294&lt;=Experience!$R$15+1,"","*")</f>
        <v/>
      </c>
      <c r="AI294" s="1092"/>
      <c r="AJ294" s="1080">
        <f t="shared" ref="AJ294:AJ295" si="364">IF(ISNUMBER(FIND("R",F294)),-1,0)</f>
        <v>0</v>
      </c>
      <c r="AK294" s="1080">
        <f>IF(F294="s",-2,0)</f>
        <v>0</v>
      </c>
      <c r="AL294" s="1080">
        <f t="shared" ref="AL294:AL295" si="365">IF(AND(H294="Y",OR(N294="P",N294="S")),-1,0)</f>
        <v>0</v>
      </c>
      <c r="AM294" s="1092">
        <f>IF(J294="y",1,0)</f>
        <v>0</v>
      </c>
      <c r="AN294" s="1080">
        <f>IF(N294="P",-1,IF(N294="T",1,0))</f>
        <v>1</v>
      </c>
      <c r="AO294" s="1080">
        <f t="shared" ref="AO294:AO295" si="366">IF(ISNUMBER(FIND("Z",I294)),1,0)</f>
        <v>0</v>
      </c>
      <c r="AP294" s="1080">
        <f>SUM(AJ294:AN294)-AM294</f>
        <v>1</v>
      </c>
      <c r="AQ294" s="1027">
        <f>VLOOKUP(V294,'System Lookups'!$J$55:$P$64,7)</f>
        <v>800</v>
      </c>
      <c r="AR294" s="1080" t="str">
        <f ca="1">IF(AND(NOT(ISBLANK(AJ294)),ISNA(MATCH(ROW(),'System Lookups'!$C$526:$C$539,0))),"Y","N")</f>
        <v>Y</v>
      </c>
      <c r="AS294" s="1080">
        <f>AG294-AI294</f>
        <v>0</v>
      </c>
      <c r="AU294" s="1080" t="e">
        <f t="shared" si="311"/>
        <v>#N/A</v>
      </c>
      <c r="AV294" s="1080" t="str">
        <f t="shared" si="303"/>
        <v>T</v>
      </c>
      <c r="AW294" s="1080">
        <f t="shared" si="312"/>
        <v>0</v>
      </c>
      <c r="AX294" s="1080">
        <f t="shared" si="313"/>
        <v>0</v>
      </c>
      <c r="AY294" s="1080">
        <f t="shared" si="314"/>
        <v>0</v>
      </c>
      <c r="AZ294" s="1080">
        <f t="shared" si="315"/>
        <v>0</v>
      </c>
      <c r="BA294" s="1080">
        <f t="shared" si="316"/>
        <v>0</v>
      </c>
      <c r="BB294" s="1080">
        <f>IF(AND(RACE=1,'Main Creation Page'!$E$6="Well",OR(ISNUMBER(FIND(Experience!$G$11,BE294)),ISNUMBER(FIND(Experience!$G$11,BF294)),ISNUMBER(FIND(Experience!$I$11,BE294)),ISNUMBER(FIND(Experience!$I$11,BF294)))),1,0)</f>
        <v>0</v>
      </c>
      <c r="BC294" s="1080" t="str">
        <f t="shared" si="332"/>
        <v>Armorer</v>
      </c>
      <c r="BE294" s="1080" t="str">
        <f t="shared" si="304"/>
        <v/>
      </c>
      <c r="BF294" s="1080" t="str">
        <f t="shared" si="305"/>
        <v>Crafts &amp; Trades Skills</v>
      </c>
    </row>
    <row r="295" spans="1:58" ht="11.1" customHeight="1" outlineLevel="2">
      <c r="A295" s="1028" t="s">
        <v>1207</v>
      </c>
      <c r="B295" s="1094" t="s">
        <v>1942</v>
      </c>
      <c r="C295" s="1094"/>
      <c r="D295" s="1094"/>
      <c r="E295" s="1095" t="s">
        <v>5224</v>
      </c>
      <c r="F295" s="1095" t="str">
        <f>IF(('Main Creation Page'!C3="Dwarf"),"R","N")</f>
        <v>N</v>
      </c>
      <c r="G295" s="1096">
        <v>0</v>
      </c>
      <c r="H295" s="1096" t="s">
        <v>5224</v>
      </c>
      <c r="I295" s="1096" t="s">
        <v>5224</v>
      </c>
      <c r="J295" s="1096" t="s">
        <v>5224</v>
      </c>
      <c r="K295" s="1096" t="s">
        <v>5224</v>
      </c>
      <c r="L295" s="1096" t="s">
        <v>5224</v>
      </c>
      <c r="M295" s="1096" t="s">
        <v>5224</v>
      </c>
      <c r="N295" s="1096" t="s">
        <v>4631</v>
      </c>
      <c r="O295" s="1028"/>
      <c r="P295" s="1028" t="s">
        <v>3615</v>
      </c>
      <c r="Q295" s="1097">
        <f t="shared" ca="1" si="362"/>
        <v>20</v>
      </c>
      <c r="R295" s="1028"/>
      <c r="S295" s="1028" t="s">
        <v>3614</v>
      </c>
      <c r="T295" s="1097">
        <f t="shared" ca="1" si="363"/>
        <v>15</v>
      </c>
      <c r="U295" s="1027">
        <v>5</v>
      </c>
      <c r="V295" s="1027">
        <f>IF(AP295+U295&gt;10,10,IF(AP295+U295&lt;1,1,AP295+U295))</f>
        <v>6</v>
      </c>
      <c r="W295" s="1098" t="e">
        <f>IF(OR(I295&lt;&gt;"N",E295="C"),IF(AND(N295&lt;&gt;"T",ISNUMBER(FIND("V",I295))),1,0),NA())+IF(H295="Y",IF(AND(N295="P",ISNUMBER(FIND("Z",I295))),2,1),0)+IF(J295="Y",1,0)+IF(K295="Y",3,0)+IF(BE295="Lore",L295*2+Experience!$D$25,0)+IF(M295="Y",1,0)</f>
        <v>#N/A</v>
      </c>
      <c r="X295" s="1099"/>
      <c r="Y295" s="1100">
        <f ca="1">IF(P295="NS",IFERROR(INDIRECT(S295),NA()),VLOOKUP(INDIRECT(P295)+INDIRECT(S295),'System Lookups'!$A$3:$D$146,2))</f>
        <v>0.12</v>
      </c>
      <c r="Z295" s="1100">
        <f>IF(ISNA(W295),0,W295*0.03)+IF(X295&gt;0,X295*0.03,0)+IF(AND(ISNA(W295),X295&lt;=0),0,IF(G295&gt;0,G295*0.07,0))</f>
        <v>0</v>
      </c>
      <c r="AA295" s="1101">
        <f ca="1">IF(ISNA(Y295),0,Y295)+Z295</f>
        <v>0.12</v>
      </c>
      <c r="AB295" s="1102">
        <f>VLOOKUP(V295,'System Lookups'!$J$55:$P$64,3)</f>
        <v>0.05</v>
      </c>
      <c r="AC295" s="1103">
        <f>VLOOKUP(V295,'System Lookups'!$J$55:$P$64,4)</f>
        <v>0.1</v>
      </c>
      <c r="AD295" s="1104">
        <f>IF(AND(ISBLANK(X295),ISNA(W295)),IF(B295="~",0,AB295+AA295+IF(BB295&gt;0,0.05,0)),AA295+AC295+IF(BB295&gt;0,0.05,0))</f>
        <v>0</v>
      </c>
      <c r="AE295" s="1094">
        <f>(IF(AD295&gt;VLOOKUP(V295,'System Lookups'!$J$55:$P$63,6),(((AD295-VLOOKUP(V295,'System Lookups'!$J$55:$P$63,6))*100)/20),0))+AF295</f>
        <v>0</v>
      </c>
      <c r="AF295" s="1121"/>
      <c r="AG295" s="1092">
        <f>IF(ISBLANK(X295),0,AQ295*X295+IF(ISNA(W295),1,0))</f>
        <v>0</v>
      </c>
      <c r="AH295" s="1092" t="str">
        <f>IF(X295&lt;=Experience!$R$15+1,"","*")</f>
        <v/>
      </c>
      <c r="AI295" s="1092"/>
      <c r="AJ295" s="1080">
        <f t="shared" si="364"/>
        <v>0</v>
      </c>
      <c r="AK295" s="1080">
        <f>IF(F295="s",-2,0)</f>
        <v>0</v>
      </c>
      <c r="AL295" s="1080">
        <f t="shared" si="365"/>
        <v>0</v>
      </c>
      <c r="AM295" s="1092">
        <f>IF(J295="y",1,0)</f>
        <v>0</v>
      </c>
      <c r="AN295" s="1080">
        <f>IF(N295="P",-1,IF(N295="T",1,0))</f>
        <v>1</v>
      </c>
      <c r="AO295" s="1080">
        <f t="shared" si="366"/>
        <v>0</v>
      </c>
      <c r="AP295" s="1080">
        <f>SUM(AJ295:AN295)-AM295</f>
        <v>1</v>
      </c>
      <c r="AQ295" s="1027">
        <f>VLOOKUP(V295,'System Lookups'!$J$55:$P$64,7)</f>
        <v>800</v>
      </c>
      <c r="AR295" s="1080" t="str">
        <f ca="1">IF(AND(NOT(ISBLANK(AJ295)),ISNA(MATCH(ROW(),'System Lookups'!$C$526:$C$539,0))),"Y","N")</f>
        <v>Y</v>
      </c>
      <c r="AS295" s="1080">
        <f>AG295-AI295</f>
        <v>0</v>
      </c>
      <c r="AU295" s="1080" t="e">
        <f t="shared" si="311"/>
        <v>#N/A</v>
      </c>
      <c r="AV295" s="1080" t="str">
        <f t="shared" si="303"/>
        <v>T</v>
      </c>
      <c r="AW295" s="1080">
        <f t="shared" si="312"/>
        <v>0</v>
      </c>
      <c r="AX295" s="1080">
        <f t="shared" si="313"/>
        <v>0</v>
      </c>
      <c r="AY295" s="1080">
        <f t="shared" si="314"/>
        <v>0</v>
      </c>
      <c r="AZ295" s="1080">
        <f t="shared" si="315"/>
        <v>0</v>
      </c>
      <c r="BA295" s="1080">
        <f t="shared" si="316"/>
        <v>0</v>
      </c>
      <c r="BB295" s="1080">
        <f>IF(AND(RACE=1,'Main Creation Page'!$E$6="Well",OR(ISNUMBER(FIND(Experience!$G$11,BE295)),ISNUMBER(FIND(Experience!$G$11,BF295)),ISNUMBER(FIND(Experience!$I$11,BE295)),ISNUMBER(FIND(Experience!$I$11,BF295)))),1,0)</f>
        <v>0</v>
      </c>
      <c r="BC295" s="1080" t="str">
        <f t="shared" si="332"/>
        <v>Weaponsmith</v>
      </c>
      <c r="BE295" s="1080" t="str">
        <f t="shared" si="304"/>
        <v/>
      </c>
      <c r="BF295" s="1080" t="str">
        <f t="shared" si="305"/>
        <v>Crafts &amp; Trades Skills</v>
      </c>
    </row>
    <row r="296" spans="1:58" ht="11.1" customHeight="1" outlineLevel="1">
      <c r="B296" s="1111"/>
      <c r="C296" s="1111"/>
      <c r="D296" s="1111"/>
      <c r="V296" s="1027"/>
      <c r="W296" s="1112"/>
      <c r="AE296" s="1094"/>
      <c r="AF296" s="1121"/>
      <c r="AG296" s="1092"/>
      <c r="AH296" s="1092"/>
      <c r="AI296" s="1092"/>
      <c r="AM296" s="1092"/>
      <c r="AQ296" s="1027"/>
      <c r="AR296" s="1080" t="str">
        <f ca="1">IF(AND(NOT(ISBLANK(AJ296)),ISNA(MATCH(ROW(),'System Lookups'!$C$526:$C$539,0))),"Y","N")</f>
        <v>N</v>
      </c>
      <c r="AU296" s="1080" t="e">
        <f t="shared" si="311"/>
        <v>#N/A</v>
      </c>
      <c r="AV296" s="1080" t="str">
        <f t="shared" si="303"/>
        <v/>
      </c>
      <c r="AW296" s="1080">
        <f t="shared" si="312"/>
        <v>0</v>
      </c>
      <c r="AX296" s="1080">
        <f t="shared" si="313"/>
        <v>0</v>
      </c>
      <c r="AY296" s="1080">
        <f t="shared" si="314"/>
        <v>0</v>
      </c>
      <c r="AZ296" s="1080">
        <f t="shared" si="315"/>
        <v>0</v>
      </c>
      <c r="BA296" s="1080">
        <f t="shared" si="316"/>
        <v>0</v>
      </c>
      <c r="BB296" s="1080">
        <f>IF(AND(RACE=1,'Main Creation Page'!$E$6="Well",OR(ISNUMBER(FIND(Experience!$G$11,BE296)),ISNUMBER(FIND(Experience!$G$11,BF296)),ISNUMBER(FIND(Experience!$I$11,BE296)),ISNUMBER(FIND(Experience!$I$11,BF296)))),1,0)</f>
        <v>0</v>
      </c>
      <c r="BC296" s="1080" t="e">
        <f t="shared" si="332"/>
        <v>#N/A</v>
      </c>
      <c r="BE296" s="1080" t="str">
        <f t="shared" si="304"/>
        <v/>
      </c>
      <c r="BF296" s="1080" t="str">
        <f t="shared" si="305"/>
        <v>Crafts &amp; Trades Skills</v>
      </c>
    </row>
    <row r="297" spans="1:58" ht="11.1" customHeight="1">
      <c r="A297" s="1087" t="s">
        <v>57</v>
      </c>
      <c r="B297" s="1091"/>
      <c r="C297" s="1091"/>
      <c r="D297" s="1091"/>
      <c r="F297" s="1027"/>
      <c r="G297" s="1027"/>
      <c r="H297" s="1027"/>
      <c r="I297" s="1085"/>
      <c r="J297" s="1085"/>
      <c r="K297" s="1085"/>
      <c r="L297" s="1085"/>
      <c r="M297" s="1085"/>
      <c r="N297" s="1027"/>
      <c r="O297" s="1027"/>
      <c r="P297" s="1027"/>
      <c r="Q297" s="1027"/>
      <c r="R297" s="1027"/>
      <c r="S297" s="1113"/>
      <c r="T297" s="1113"/>
      <c r="U297" s="1085"/>
      <c r="V297" s="1027"/>
      <c r="W297" s="1028"/>
      <c r="X297" s="1114"/>
      <c r="AE297" s="1094"/>
      <c r="AF297" s="1121"/>
      <c r="AG297" s="1092">
        <f>SUM(AG299:AG471)</f>
        <v>0</v>
      </c>
      <c r="AH297" s="1092"/>
      <c r="AI297" s="1092">
        <f>SUM(AI299:AI471)</f>
        <v>0</v>
      </c>
      <c r="AM297" s="1092"/>
      <c r="AR297" s="1080" t="str">
        <f ca="1">IF(AND(NOT(ISBLANK(AJ297)),ISNA(MATCH(ROW(),'System Lookups'!$C$526:$C$539,0))),"Y","N")</f>
        <v>N</v>
      </c>
      <c r="AU297" s="1080" t="e">
        <f t="shared" si="311"/>
        <v>#N/A</v>
      </c>
      <c r="AV297" s="1080" t="str">
        <f t="shared" si="303"/>
        <v/>
      </c>
      <c r="AW297" s="1080">
        <f t="shared" si="312"/>
        <v>0</v>
      </c>
      <c r="AX297" s="1080">
        <f t="shared" si="313"/>
        <v>0</v>
      </c>
      <c r="AY297" s="1080">
        <f t="shared" si="314"/>
        <v>0</v>
      </c>
      <c r="AZ297" s="1080">
        <f t="shared" si="315"/>
        <v>0</v>
      </c>
      <c r="BA297" s="1080">
        <f t="shared" si="316"/>
        <v>0</v>
      </c>
      <c r="BB297" s="1080">
        <f>IF(AND(RACE=1,'Main Creation Page'!$E$6="Well",OR(ISNUMBER(FIND(Experience!$G$11,BE297)),ISNUMBER(FIND(Experience!$G$11,BF297)),ISNUMBER(FIND(Experience!$I$11,BE297)),ISNUMBER(FIND(Experience!$I$11,BF297)))),1,0)</f>
        <v>1</v>
      </c>
      <c r="BC297" s="1080" t="str">
        <f t="shared" si="332"/>
        <v>Language Lore</v>
      </c>
      <c r="BE297" s="1080" t="str">
        <f t="shared" si="304"/>
        <v>Lore</v>
      </c>
      <c r="BF297" s="1080" t="str">
        <f t="shared" si="305"/>
        <v>Language Lore</v>
      </c>
    </row>
    <row r="298" spans="1:58" ht="11.1" customHeight="1" outlineLevel="1">
      <c r="A298" s="1115" t="s">
        <v>58</v>
      </c>
      <c r="B298" s="1094" t="s">
        <v>1942</v>
      </c>
      <c r="C298" s="1094"/>
      <c r="D298" s="1094"/>
      <c r="F298" s="1027"/>
      <c r="G298" s="1027"/>
      <c r="H298" s="1027"/>
      <c r="I298" s="1027"/>
      <c r="J298" s="1027"/>
      <c r="K298" s="1027"/>
      <c r="L298" s="1027"/>
      <c r="M298" s="1027"/>
      <c r="N298" s="1027"/>
      <c r="O298" s="1027"/>
      <c r="P298" s="1027" t="s">
        <v>780</v>
      </c>
      <c r="Q298" s="1097">
        <f ca="1">INDIRECT(P298)</f>
        <v>17</v>
      </c>
      <c r="R298" s="1027"/>
      <c r="S298" s="1028" t="s">
        <v>3612</v>
      </c>
      <c r="T298" s="1097">
        <f ca="1">INDIRECT(S298)</f>
        <v>10</v>
      </c>
      <c r="U298" s="1027"/>
      <c r="V298" s="1027"/>
      <c r="W298" s="1028"/>
      <c r="X298" s="1092"/>
      <c r="AE298" s="1094"/>
      <c r="AF298" s="1121"/>
      <c r="AG298" s="1092"/>
      <c r="AH298" s="1092"/>
      <c r="AI298" s="1092"/>
      <c r="AM298" s="1092"/>
      <c r="AR298" s="1080" t="str">
        <f ca="1">IF(AND(NOT(ISBLANK(AJ298)),ISNA(MATCH(ROW(),'System Lookups'!$C$526:$C$539,0))),"Y","N")</f>
        <v>N</v>
      </c>
      <c r="AU298" s="1080" t="e">
        <f t="shared" si="311"/>
        <v>#N/A</v>
      </c>
      <c r="AV298" s="1080" t="str">
        <f t="shared" si="303"/>
        <v/>
      </c>
      <c r="AW298" s="1080">
        <f t="shared" si="312"/>
        <v>0</v>
      </c>
      <c r="AX298" s="1080">
        <f t="shared" si="313"/>
        <v>0</v>
      </c>
      <c r="AY298" s="1080">
        <f t="shared" si="314"/>
        <v>0</v>
      </c>
      <c r="AZ298" s="1080">
        <f t="shared" si="315"/>
        <v>0</v>
      </c>
      <c r="BA298" s="1080">
        <f t="shared" si="316"/>
        <v>0</v>
      </c>
      <c r="BB298" s="1080">
        <f>IF(AND(RACE=1,'Main Creation Page'!$E$6="Well",OR(ISNUMBER(FIND(Experience!$G$11,BE298)),ISNUMBER(FIND(Experience!$G$11,BF298)),ISNUMBER(FIND(Experience!$I$11,BE298)),ISNUMBER(FIND(Experience!$I$11,BF298)))),1,0)</f>
        <v>1</v>
      </c>
      <c r="BC298" s="1080" t="str">
        <f t="shared" si="332"/>
        <v>Language Lore: Spoken</v>
      </c>
      <c r="BE298" s="1080" t="str">
        <f t="shared" si="304"/>
        <v>Lore</v>
      </c>
      <c r="BF298" s="1080" t="str">
        <f t="shared" si="305"/>
        <v>Language Lore: Spoken</v>
      </c>
    </row>
    <row r="299" spans="1:58" ht="11.1" customHeight="1" outlineLevel="2">
      <c r="A299" s="1139" t="s">
        <v>5220</v>
      </c>
      <c r="B299" s="1094" t="s">
        <v>1942</v>
      </c>
      <c r="C299" s="1094"/>
      <c r="D299" s="1094"/>
      <c r="E299" s="1095" t="s">
        <v>178</v>
      </c>
      <c r="F299" s="1095" t="s">
        <v>5224</v>
      </c>
      <c r="G299" s="1096" t="s">
        <v>3043</v>
      </c>
      <c r="H299" s="1096" t="s">
        <v>5224</v>
      </c>
      <c r="I299" s="1096" t="s">
        <v>5224</v>
      </c>
      <c r="J299" s="1096" t="s">
        <v>5224</v>
      </c>
      <c r="K299" s="1096" t="s">
        <v>5224</v>
      </c>
      <c r="L299" s="1096">
        <v>0</v>
      </c>
      <c r="M299" s="1096" t="s">
        <v>5224</v>
      </c>
      <c r="N299" s="1096" t="s">
        <v>4630</v>
      </c>
      <c r="O299" s="1113"/>
      <c r="P299" s="1113" t="s">
        <v>13</v>
      </c>
      <c r="S299" s="1113" t="s">
        <v>58</v>
      </c>
      <c r="T299" s="1113"/>
      <c r="U299" s="1027">
        <v>1</v>
      </c>
      <c r="V299" s="1027">
        <f>IF((AP299+U299+VLOOKUP('Main Creation Page'!E$14,'System Lookups'!R$45:S$49,2))&gt;10,10,IF((AP299+U299+VLOOKUP('Main Creation Page'!E$14,'System Lookups'!R$45:S$49,2))&lt;1,1,(AP299+U299+VLOOKUP('Main Creation Page'!E$14,'System Lookups'!R$45:S$49,2))))</f>
        <v>1</v>
      </c>
      <c r="W299" s="1098">
        <f>IF(OR(I299&lt;&gt;"N",E299="C"),IF(AND(N299&lt;&gt;"T",ISNUMBER(FIND("V",I299))),1,0),NA())+IF(H299="Y",IF(AND(N299="P",ISNUMBER(FIND("Z",I299))),2,1),0)+IF(J299="Y",1,0)+IF(K299="Y",3,0)+IF(BE299="Lore",L299*2+Experience!$D$25,0)+IF(M299="Y",1,0)</f>
        <v>4</v>
      </c>
      <c r="X299" s="1099"/>
      <c r="Y299" s="1100">
        <f ca="1">IF(P299="NS",IFERROR(INDIRECT(S299),NA()),VLOOKUP(INDIRECT(P299)+INDIRECT(S299),'System Lookups'!$A$3:$D$146,2))</f>
        <v>0.08</v>
      </c>
      <c r="Z299" s="1100">
        <f>(X299*0.1)+IF(ISNA(W299),0,W299*0.1)</f>
        <v>0.4</v>
      </c>
      <c r="AA299" s="1101">
        <f ca="1">IF(ISNA(Y299),0,Y299)+Z299+IF('Main Creation Page'!AB$2=37,'Main Creation Page'!E$14/100,0)</f>
        <v>0.48000000000000004</v>
      </c>
      <c r="AB299" s="1102">
        <f>VLOOKUP(V299,'System Lookups'!$J$55:$P$64,3)</f>
        <v>0.5</v>
      </c>
      <c r="AC299" s="1103">
        <f>VLOOKUP(V299,'System Lookups'!$J$55:$P$64,4)</f>
        <v>0.6</v>
      </c>
      <c r="AD299" s="1104">
        <f t="shared" ref="AD299:AD334" ca="1" si="367">IF(AND(ISBLANK(X299),ISNA(W299)),IF(B299="~",0,AB299+AA299+IF(BB299&gt;0,0.05,0)),AA299+AC299+IF(BB299&gt;0,0.05,0))</f>
        <v>1.1300000000000001</v>
      </c>
      <c r="AE299" s="1094">
        <f ca="1">(IF(AD299&gt;VLOOKUP(V299,'System Lookups'!$J$55:$P$63,6),(((AD299-VLOOKUP(V299,'System Lookups'!$J$55:$P$63,6))*100)/20),0))+AF299</f>
        <v>0.70000000000000062</v>
      </c>
      <c r="AF299" s="1121"/>
      <c r="AG299" s="1092">
        <f t="shared" ref="AG299:AG334" si="368">IF(ISBLANK(X299),0,AQ299*X299+IF(ISNA(W299),1,0))</f>
        <v>0</v>
      </c>
      <c r="AH299" s="1092" t="str">
        <f>IF(X299&lt;=Experience!$R$15+1,"","*")</f>
        <v/>
      </c>
      <c r="AI299" s="1092"/>
      <c r="AJ299" s="1080">
        <f t="shared" ref="AJ299:AJ334" si="369">IF(ISNUMBER(FIND("R",F299)),-1,0)</f>
        <v>0</v>
      </c>
      <c r="AK299" s="1080">
        <f t="shared" ref="AK299:AK313" si="370">IF(F299="s",-2,0)</f>
        <v>0</v>
      </c>
      <c r="AL299" s="1080">
        <f t="shared" ref="AL299:AL334" si="371">IF(AND(H299="Y",OR(N299="P",N299="S")),-1,0)</f>
        <v>0</v>
      </c>
      <c r="AM299" s="1092">
        <f t="shared" ref="AM299:AM313" si="372">IF(J299="y",1,0)</f>
        <v>0</v>
      </c>
      <c r="AN299" s="1080">
        <f t="shared" ref="AN299:AN313" si="373">IF(N299="P",-1,IF(N299="T",1,0))</f>
        <v>0</v>
      </c>
      <c r="AO299" s="1080">
        <f t="shared" ref="AO299:AO334" si="374">IF(ISNUMBER(FIND("Z",I299)),1,0)</f>
        <v>0</v>
      </c>
      <c r="AP299" s="1080">
        <f t="shared" ref="AP299:AP334" si="375">SUM(AJ299:AN299)-AM299</f>
        <v>0</v>
      </c>
      <c r="AQ299" s="1027">
        <f>VLOOKUP(V299,'System Lookups'!$J$55:$P$64,7)</f>
        <v>300</v>
      </c>
      <c r="AR299" s="1080" t="str">
        <f ca="1">IF(AND(NOT(ISBLANK(AJ299)),ISNA(MATCH(ROW(),'System Lookups'!$C$526:$C$539,0))),"Y","N")</f>
        <v>N</v>
      </c>
      <c r="AS299" s="1080">
        <f>AG296-AI296</f>
        <v>0</v>
      </c>
      <c r="AU299" s="1080">
        <f t="shared" si="311"/>
        <v>4</v>
      </c>
      <c r="AV299" s="1080" t="str">
        <f t="shared" si="303"/>
        <v>CS</v>
      </c>
      <c r="AW299" s="1080">
        <f t="shared" si="312"/>
        <v>0</v>
      </c>
      <c r="AX299" s="1080">
        <f t="shared" si="313"/>
        <v>0</v>
      </c>
      <c r="AY299" s="1080">
        <f t="shared" si="314"/>
        <v>0</v>
      </c>
      <c r="AZ299" s="1080">
        <f t="shared" si="315"/>
        <v>0</v>
      </c>
      <c r="BA299" s="1080">
        <f t="shared" si="316"/>
        <v>0</v>
      </c>
      <c r="BB299" s="1080">
        <f>IF(AND(RACE=1,'Main Creation Page'!$E$6="Well",OR(ISNUMBER(FIND(Experience!$G$11,BE299)),ISNUMBER(FIND(Experience!$G$11,BF299)),ISNUMBER(FIND(Experience!$I$11,BE299)),ISNUMBER(FIND(Experience!$I$11,BF299)))),1,0)</f>
        <v>1</v>
      </c>
      <c r="BC299" s="1080" t="str">
        <f t="shared" si="332"/>
        <v>Language: Spoken (Own)</v>
      </c>
      <c r="BD299" s="1080" t="s">
        <v>5690</v>
      </c>
      <c r="BE299" s="1080" t="str">
        <f t="shared" si="304"/>
        <v>Lore</v>
      </c>
      <c r="BF299" s="1080" t="str">
        <f t="shared" si="305"/>
        <v>Language Lore: Spoken</v>
      </c>
    </row>
    <row r="300" spans="1:58" ht="11.1" customHeight="1" outlineLevel="2">
      <c r="A300" s="1028" t="s">
        <v>4335</v>
      </c>
      <c r="B300" s="1094" t="s">
        <v>1942</v>
      </c>
      <c r="C300" s="1094"/>
      <c r="D300" s="1094"/>
      <c r="E300" s="1095" t="s">
        <v>5224</v>
      </c>
      <c r="F300" s="1095" t="s">
        <v>5224</v>
      </c>
      <c r="G300" s="1096">
        <v>0</v>
      </c>
      <c r="H300" s="1096" t="s">
        <v>5224</v>
      </c>
      <c r="I300" s="1096" t="s">
        <v>5224</v>
      </c>
      <c r="J300" s="1096" t="s">
        <v>5224</v>
      </c>
      <c r="K300" s="1096" t="s">
        <v>5224</v>
      </c>
      <c r="L300" s="1096">
        <v>0</v>
      </c>
      <c r="M300" s="1096" t="s">
        <v>5224</v>
      </c>
      <c r="N300" s="1096" t="s">
        <v>4631</v>
      </c>
      <c r="O300" s="1113"/>
      <c r="P300" s="1113" t="s">
        <v>13</v>
      </c>
      <c r="S300" s="1113" t="s">
        <v>58</v>
      </c>
      <c r="T300" s="1113"/>
      <c r="U300" s="1027">
        <v>2</v>
      </c>
      <c r="V300" s="1027">
        <f>IF((AP300+U300+VLOOKUP('Main Creation Page'!E$14,'System Lookups'!R$45:S$49,2))&gt;7,7,IF((AP300+U300+VLOOKUP('Main Creation Page'!E$14,'System Lookups'!R$45:S$49,2))&lt;1,1,(AP300+U300+VLOOKUP('Main Creation Page'!E$14,'System Lookups'!R$45:S$49,2))))</f>
        <v>3</v>
      </c>
      <c r="W300" s="1098" t="e">
        <f>IF(OR(I300&lt;&gt;"N",E300="C"),IF(AND(N300&lt;&gt;"T",ISNUMBER(FIND("V",I300))),1,0),NA())+IF(H300="Y",IF(AND(N300="P",ISNUMBER(FIND("Z",I300))),2,1),0)+IF(J300="Y",1,0)+IF(K300="Y",3,0)+IF(BE300="Lore",L300*2+Experience!$D$25,0)+IF(M300="Y",1,0)</f>
        <v>#N/A</v>
      </c>
      <c r="X300" s="1099"/>
      <c r="Y300" s="1100">
        <f ca="1">IF(P300="NS",IFERROR(INDIRECT(S300),NA()),VLOOKUP(INDIRECT(P300)+INDIRECT(S300),'System Lookups'!$A$3:$D$146,2))</f>
        <v>0.08</v>
      </c>
      <c r="Z300" s="1100">
        <f>IF(ISNA(W300),0,W300*0.05)+IF(X300&gt;0,X300*0.05,0)+IF(AND(ISNA(W300),X300&lt;=0),0,IF(G300&gt;0,G300*0.05,0))</f>
        <v>0</v>
      </c>
      <c r="AA300" s="1101">
        <f ca="1">IF(ISNA(Y300),0,Y300)+Z300+IF('Main Creation Page'!AB$2=37,'Main Creation Page'!E$14/100,0)</f>
        <v>0.08</v>
      </c>
      <c r="AB300" s="1102">
        <f>VLOOKUP(V300,'System Lookups'!$J$55:$P$64,3)</f>
        <v>0.3</v>
      </c>
      <c r="AC300" s="1103">
        <f>VLOOKUP(V300,'System Lookups'!$J$55:$P$64,4)</f>
        <v>0.4</v>
      </c>
      <c r="AD300" s="1104">
        <f t="shared" si="367"/>
        <v>0</v>
      </c>
      <c r="AE300" s="1094">
        <f>(IF(AD300&gt;VLOOKUP(V300,'System Lookups'!$J$55:$P$63,6),(((AD300-VLOOKUP(V300,'System Lookups'!$J$55:$P$63,6))*100)/20),0))+AF300</f>
        <v>0</v>
      </c>
      <c r="AF300" s="1121"/>
      <c r="AG300" s="1092">
        <f t="shared" si="368"/>
        <v>0</v>
      </c>
      <c r="AH300" s="1092" t="str">
        <f>IF(X300&lt;=Experience!$R$15+1,"","*")</f>
        <v/>
      </c>
      <c r="AI300" s="1092"/>
      <c r="AJ300" s="1080">
        <f t="shared" si="369"/>
        <v>0</v>
      </c>
      <c r="AK300" s="1080">
        <f t="shared" si="370"/>
        <v>0</v>
      </c>
      <c r="AL300" s="1080">
        <f t="shared" si="371"/>
        <v>0</v>
      </c>
      <c r="AM300" s="1092">
        <f t="shared" si="372"/>
        <v>0</v>
      </c>
      <c r="AN300" s="1080">
        <f t="shared" si="373"/>
        <v>1</v>
      </c>
      <c r="AO300" s="1080">
        <f t="shared" si="374"/>
        <v>0</v>
      </c>
      <c r="AP300" s="1080">
        <f t="shared" si="375"/>
        <v>1</v>
      </c>
      <c r="AQ300" s="1027">
        <f>VLOOKUP(V300,'System Lookups'!$J$55:$P$64,7)</f>
        <v>500</v>
      </c>
      <c r="AR300" s="1080" t="str">
        <f ca="1">IF(AND(NOT(ISBLANK(AJ300)),ISNA(MATCH(ROW(),'System Lookups'!$C$526:$C$539,0))),"Y","N")</f>
        <v>Y</v>
      </c>
      <c r="AS300" s="1080">
        <f>AG297-AI297</f>
        <v>0</v>
      </c>
      <c r="AU300" s="1080" t="e">
        <f t="shared" si="311"/>
        <v>#N/A</v>
      </c>
      <c r="AV300" s="1080" t="str">
        <f t="shared" si="303"/>
        <v>T</v>
      </c>
      <c r="AW300" s="1080">
        <f t="shared" si="312"/>
        <v>0</v>
      </c>
      <c r="AX300" s="1080">
        <f t="shared" si="313"/>
        <v>0</v>
      </c>
      <c r="AY300" s="1080">
        <f t="shared" si="314"/>
        <v>0</v>
      </c>
      <c r="AZ300" s="1080">
        <f t="shared" si="315"/>
        <v>0</v>
      </c>
      <c r="BA300" s="1080">
        <f t="shared" si="316"/>
        <v>0</v>
      </c>
      <c r="BB300" s="1080">
        <f>IF(AND(RACE=1,'Main Creation Page'!$E$6="Well",OR(ISNUMBER(FIND(Experience!$G$11,BE300)),ISNUMBER(FIND(Experience!$G$11,BF300)),ISNUMBER(FIND(Experience!$I$11,BE300)),ISNUMBER(FIND(Experience!$I$11,BF300)))),1,0)</f>
        <v>1</v>
      </c>
      <c r="BC300" s="1080" t="str">
        <f t="shared" si="332"/>
        <v>Own Language (Ancient)</v>
      </c>
      <c r="BE300" s="1080" t="str">
        <f t="shared" si="304"/>
        <v>Lore</v>
      </c>
      <c r="BF300" s="1080" t="str">
        <f t="shared" si="305"/>
        <v>Language Lore: Spoken</v>
      </c>
    </row>
    <row r="301" spans="1:58" ht="11.1" customHeight="1" outlineLevel="2">
      <c r="A301" s="1028" t="str">
        <f>IF('Main Creation Page'!$K$5=3,"Trade Tongue","Common Language")</f>
        <v>Trade Tongue</v>
      </c>
      <c r="B301" s="1094" t="s">
        <v>1942</v>
      </c>
      <c r="C301" s="1094"/>
      <c r="D301" s="1094"/>
      <c r="E301" s="1095" t="str">
        <f>IF(Experience!G5="Y","C","N")</f>
        <v>C</v>
      </c>
      <c r="F301" s="1095" t="str">
        <f>IF('Main Creation Page'!C3=4,"R","N")</f>
        <v>N</v>
      </c>
      <c r="G301" s="1096" t="s">
        <v>3043</v>
      </c>
      <c r="H301" s="1096" t="s">
        <v>5224</v>
      </c>
      <c r="I301" s="1096" t="s">
        <v>5224</v>
      </c>
      <c r="J301" s="1096" t="s">
        <v>5224</v>
      </c>
      <c r="K301" s="1096" t="s">
        <v>5224</v>
      </c>
      <c r="L301" s="1096">
        <v>0</v>
      </c>
      <c r="M301" s="1096" t="s">
        <v>5224</v>
      </c>
      <c r="N301" s="1096" t="s">
        <v>4630</v>
      </c>
      <c r="O301" s="1113"/>
      <c r="P301" s="1113" t="s">
        <v>13</v>
      </c>
      <c r="S301" s="1113" t="s">
        <v>58</v>
      </c>
      <c r="T301" s="1113"/>
      <c r="U301" s="1027">
        <v>2</v>
      </c>
      <c r="V301" s="1027">
        <f>IF((AP301+U301+VLOOKUP('Main Creation Page'!E$14,'System Lookups'!R$45:S$49,2))&gt;10,10,IF((AP301+U301+VLOOKUP('Main Creation Page'!E$14,'System Lookups'!R$45:S$49,2))&lt;1,1,(AP301+U301+VLOOKUP('Main Creation Page'!E$14,'System Lookups'!R$45:S$49,2))))</f>
        <v>2</v>
      </c>
      <c r="W301" s="1098">
        <f>IF(OR(I301&lt;&gt;"N",E301="C"),IF(AND(N301&lt;&gt;"T",ISNUMBER(FIND("V",I301))),1,0),NA())+IF(H301="Y",IF(AND(N301="P",ISNUMBER(FIND("Z",I301))),2,1),0)+IF(J301="Y",1,0)+IF(K301="Y",3,0)+IF(BE301="Lore",L301*2+Experience!$D$25,0)+IF(M301="Y",1,0)</f>
        <v>4</v>
      </c>
      <c r="X301" s="1099"/>
      <c r="Y301" s="1100">
        <f ca="1">IF(P301="NS",IFERROR(INDIRECT(S301),NA()),VLOOKUP(INDIRECT(P301)+INDIRECT(S301),'System Lookups'!$A$3:$D$146,2))</f>
        <v>0.08</v>
      </c>
      <c r="Z301" s="1100">
        <f>(X301*0.1)+IF(ISNA(W301),0,W301*0.1)</f>
        <v>0.4</v>
      </c>
      <c r="AA301" s="1101">
        <f ca="1">IF(ISNA(Y301),0,Y301)+Z301+IF('Main Creation Page'!AB$2=37,'Main Creation Page'!E$14/100,0)</f>
        <v>0.48000000000000004</v>
      </c>
      <c r="AB301" s="1102">
        <f>VLOOKUP(V301,'System Lookups'!$J$55:$P$64,3)</f>
        <v>0.4</v>
      </c>
      <c r="AC301" s="1103">
        <f>VLOOKUP(V301,'System Lookups'!$J$55:$P$64,4)</f>
        <v>0.5</v>
      </c>
      <c r="AD301" s="1104">
        <f t="shared" ca="1" si="367"/>
        <v>1.03</v>
      </c>
      <c r="AE301" s="1094">
        <f ca="1">(IF(AD301&gt;VLOOKUP(V301,'System Lookups'!$J$55:$P$63,6),(((AD301-VLOOKUP(V301,'System Lookups'!$J$55:$P$63,6))*100)/20),0))+AF301</f>
        <v>0.25000000000000022</v>
      </c>
      <c r="AF301" s="1121"/>
      <c r="AG301" s="1092">
        <f t="shared" si="368"/>
        <v>0</v>
      </c>
      <c r="AH301" s="1092" t="str">
        <f>IF(X301&lt;=Experience!$R$15+1,"","*")</f>
        <v/>
      </c>
      <c r="AI301" s="1092"/>
      <c r="AJ301" s="1080">
        <f t="shared" si="369"/>
        <v>0</v>
      </c>
      <c r="AK301" s="1080">
        <f t="shared" si="370"/>
        <v>0</v>
      </c>
      <c r="AL301" s="1080">
        <f t="shared" si="371"/>
        <v>0</v>
      </c>
      <c r="AM301" s="1092">
        <f t="shared" si="372"/>
        <v>0</v>
      </c>
      <c r="AN301" s="1080">
        <f t="shared" si="373"/>
        <v>0</v>
      </c>
      <c r="AO301" s="1080">
        <f t="shared" si="374"/>
        <v>0</v>
      </c>
      <c r="AP301" s="1080">
        <f t="shared" si="375"/>
        <v>0</v>
      </c>
      <c r="AQ301" s="1027">
        <f>VLOOKUP(V301,'System Lookups'!$J$55:$P$64,7)</f>
        <v>400</v>
      </c>
      <c r="AR301" s="1080" t="str">
        <f ca="1">IF(AND(NOT(ISBLANK(AJ301)),ISNA(MATCH(ROW(),'System Lookups'!$C$526:$C$539,0))),"Y","N")</f>
        <v>Y</v>
      </c>
      <c r="AS301" s="1080">
        <f>AG298-AI298</f>
        <v>0</v>
      </c>
      <c r="AU301" s="1080">
        <f t="shared" si="311"/>
        <v>4</v>
      </c>
      <c r="AV301" s="1080" t="str">
        <f t="shared" si="303"/>
        <v>CS</v>
      </c>
      <c r="AW301" s="1080">
        <f t="shared" si="312"/>
        <v>0</v>
      </c>
      <c r="AX301" s="1080">
        <f t="shared" si="313"/>
        <v>0</v>
      </c>
      <c r="AY301" s="1080">
        <f t="shared" si="314"/>
        <v>0</v>
      </c>
      <c r="AZ301" s="1080">
        <f t="shared" si="315"/>
        <v>0</v>
      </c>
      <c r="BA301" s="1080">
        <f t="shared" si="316"/>
        <v>0</v>
      </c>
      <c r="BB301" s="1080">
        <f>IF(AND(RACE=1,'Main Creation Page'!$E$6="Well",OR(ISNUMBER(FIND(Experience!$G$11,BE301)),ISNUMBER(FIND(Experience!$G$11,BF301)),ISNUMBER(FIND(Experience!$I$11,BE301)),ISNUMBER(FIND(Experience!$I$11,BF301)))),1,0)</f>
        <v>1</v>
      </c>
      <c r="BC301" s="1080" t="str">
        <f t="shared" si="332"/>
        <v>Trade Tongue</v>
      </c>
      <c r="BE301" s="1080" t="str">
        <f t="shared" si="304"/>
        <v>Lore</v>
      </c>
      <c r="BF301" s="1080" t="str">
        <f t="shared" si="305"/>
        <v>Language Lore: Spoken</v>
      </c>
    </row>
    <row r="302" spans="1:58" ht="11.1" customHeight="1" outlineLevel="2">
      <c r="A302" s="1028" t="str">
        <f>CONCATENATE("Dwarven Tongue",IF('Main Creation Page'!K5=3," (Usage)", " "))</f>
        <v>Dwarven Tongue (Usage)</v>
      </c>
      <c r="B302" s="1094" t="s">
        <v>1942</v>
      </c>
      <c r="C302" s="1094"/>
      <c r="D302" s="1094"/>
      <c r="E302" s="1095" t="s">
        <v>5224</v>
      </c>
      <c r="F302" s="1095" t="str">
        <f>IF('Main Creation Page'!$C$3=3, "R", "N")</f>
        <v>N</v>
      </c>
      <c r="G302" s="1096">
        <v>0</v>
      </c>
      <c r="H302" s="1096" t="s">
        <v>5224</v>
      </c>
      <c r="I302" s="1096" t="s">
        <v>5224</v>
      </c>
      <c r="J302" s="1096" t="s">
        <v>5224</v>
      </c>
      <c r="K302" s="1096" t="s">
        <v>5224</v>
      </c>
      <c r="L302" s="1096">
        <v>0</v>
      </c>
      <c r="M302" s="1096" t="s">
        <v>5224</v>
      </c>
      <c r="N302" s="1096" t="s">
        <v>4631</v>
      </c>
      <c r="O302" s="1113"/>
      <c r="P302" s="1113" t="s">
        <v>13</v>
      </c>
      <c r="S302" s="1113" t="s">
        <v>58</v>
      </c>
      <c r="T302" s="1113"/>
      <c r="U302" s="1027">
        <f>IF(F302="r",1,3)</f>
        <v>3</v>
      </c>
      <c r="V302" s="1027">
        <f>IF((AP302+U302+VLOOKUP('Main Creation Page'!E$14,'System Lookups'!R$45:S$49,2))&gt;10,10,IF((AP302+U302+VLOOKUP('Main Creation Page'!E$14,'System Lookups'!R$45:S$49,2))&lt;1,1,(AP302+U302+VLOOKUP('Main Creation Page'!E$14,'System Lookups'!R$45:S$49,2))))</f>
        <v>4</v>
      </c>
      <c r="W302" s="1098" t="e">
        <f>IF(OR(I302&lt;&gt;"N",E302="C"),IF(AND(N302&lt;&gt;"T",ISNUMBER(FIND("V",I302))),1,0),NA())+IF(H302="Y",IF(AND(N302="P",ISNUMBER(FIND("Z",I302))),2,1),0)+IF(J302="Y",1,0)+IF(K302="Y",3,0)+IF(BE302="Lore",L302*2+Experience!$D$25,0)+IF(M302="Y",1,0)</f>
        <v>#N/A</v>
      </c>
      <c r="X302" s="1099"/>
      <c r="Y302" s="1100">
        <f ca="1">IF(P302="NS",IFERROR(INDIRECT(S302),NA()),VLOOKUP(INDIRECT(P302)+INDIRECT(S302),'System Lookups'!$A$3:$D$146,2))</f>
        <v>0.08</v>
      </c>
      <c r="Z302" s="1100">
        <f>IF(ISNA(W302),0,W302*0.05)+IF(X302&gt;0,X302*0.05,0)+IF(AND(ISNA(W302),X302&lt;=0),0,IF(G302&gt;0,G302*0.05,0))</f>
        <v>0</v>
      </c>
      <c r="AA302" s="1101">
        <f ca="1">IF(ISNA(Y302),0,Y302)+Z302+IF('Main Creation Page'!AB$2=37,'Main Creation Page'!E$14/100,0)</f>
        <v>0.08</v>
      </c>
      <c r="AB302" s="1102">
        <f>VLOOKUP(V302,'System Lookups'!$J$55:$P$64,3)</f>
        <v>0.2</v>
      </c>
      <c r="AC302" s="1103">
        <f>VLOOKUP(V302,'System Lookups'!$J$55:$P$64,4)</f>
        <v>0.3</v>
      </c>
      <c r="AD302" s="1104">
        <f t="shared" si="367"/>
        <v>0</v>
      </c>
      <c r="AE302" s="1094">
        <f>(IF(AD302&gt;VLOOKUP(V302,'System Lookups'!$J$55:$P$63,6),(((AD302-VLOOKUP(V302,'System Lookups'!$J$55:$P$63,6))*100)/20),0))+AF302</f>
        <v>0</v>
      </c>
      <c r="AF302" s="1121"/>
      <c r="AG302" s="1092">
        <f t="shared" si="368"/>
        <v>0</v>
      </c>
      <c r="AH302" s="1092" t="str">
        <f>IF(X302&lt;=Experience!$R$15+1,"","*")</f>
        <v/>
      </c>
      <c r="AI302" s="1092"/>
      <c r="AJ302" s="1080">
        <f t="shared" si="369"/>
        <v>0</v>
      </c>
      <c r="AK302" s="1080">
        <f t="shared" si="370"/>
        <v>0</v>
      </c>
      <c r="AL302" s="1080">
        <f t="shared" si="371"/>
        <v>0</v>
      </c>
      <c r="AM302" s="1092">
        <f t="shared" si="372"/>
        <v>0</v>
      </c>
      <c r="AN302" s="1080">
        <f t="shared" si="373"/>
        <v>1</v>
      </c>
      <c r="AO302" s="1080">
        <f t="shared" si="374"/>
        <v>0</v>
      </c>
      <c r="AP302" s="1080">
        <f t="shared" si="375"/>
        <v>1</v>
      </c>
      <c r="AQ302" s="1027">
        <f>VLOOKUP(V302,'System Lookups'!$J$55:$P$64,7)</f>
        <v>600</v>
      </c>
      <c r="AR302" s="1080" t="str">
        <f ca="1">IF(AND(NOT(ISBLANK(AJ302)),ISNA(MATCH(ROW(),'System Lookups'!$C$526:$C$539,0))),"Y","N")</f>
        <v>Y</v>
      </c>
      <c r="AS302" s="1080">
        <f t="shared" ref="AS302:AS334" si="376">AG302-AI302</f>
        <v>0</v>
      </c>
      <c r="AU302" s="1080" t="e">
        <f t="shared" si="311"/>
        <v>#N/A</v>
      </c>
      <c r="AV302" s="1080" t="str">
        <f t="shared" si="303"/>
        <v>T</v>
      </c>
      <c r="AW302" s="1080">
        <f t="shared" si="312"/>
        <v>0</v>
      </c>
      <c r="AX302" s="1080">
        <f t="shared" si="313"/>
        <v>0</v>
      </c>
      <c r="AY302" s="1080">
        <f t="shared" si="314"/>
        <v>0</v>
      </c>
      <c r="AZ302" s="1080">
        <f t="shared" si="315"/>
        <v>0</v>
      </c>
      <c r="BA302" s="1080">
        <f t="shared" si="316"/>
        <v>0</v>
      </c>
      <c r="BB302" s="1080">
        <f>IF(AND(RACE=1,'Main Creation Page'!$E$6="Well",OR(ISNUMBER(FIND(Experience!$G$11,BE302)),ISNUMBER(FIND(Experience!$G$11,BF302)),ISNUMBER(FIND(Experience!$I$11,BE302)),ISNUMBER(FIND(Experience!$I$11,BF302)))),1,0)</f>
        <v>1</v>
      </c>
      <c r="BC302" s="1080" t="str">
        <f t="shared" si="332"/>
        <v>Dwarven Tongue (Usage)</v>
      </c>
      <c r="BE302" s="1080" t="str">
        <f t="shared" si="304"/>
        <v>Lore</v>
      </c>
      <c r="BF302" s="1080" t="str">
        <f t="shared" si="305"/>
        <v>Language Lore: Spoken</v>
      </c>
    </row>
    <row r="303" spans="1:58" ht="11.1" customHeight="1" outlineLevel="3">
      <c r="A303" s="1093" t="s">
        <v>4877</v>
      </c>
      <c r="B303" s="1094" t="s">
        <v>1942</v>
      </c>
      <c r="C303" s="1094"/>
      <c r="D303" s="1094"/>
      <c r="E303" s="1095" t="s">
        <v>5224</v>
      </c>
      <c r="F303" s="1095" t="str">
        <f>IF('Main Creation Page'!$C$3=3, "R", "N")</f>
        <v>N</v>
      </c>
      <c r="G303" s="1096">
        <v>0</v>
      </c>
      <c r="H303" s="1096" t="s">
        <v>5224</v>
      </c>
      <c r="I303" s="1096" t="s">
        <v>5224</v>
      </c>
      <c r="J303" s="1096" t="s">
        <v>5224</v>
      </c>
      <c r="K303" s="1096" t="s">
        <v>5224</v>
      </c>
      <c r="L303" s="1096">
        <v>0</v>
      </c>
      <c r="M303" s="1096" t="s">
        <v>5224</v>
      </c>
      <c r="N303" s="1096" t="s">
        <v>4631</v>
      </c>
      <c r="O303" s="1113"/>
      <c r="P303" s="1113" t="s">
        <v>13</v>
      </c>
      <c r="S303" s="1113" t="s">
        <v>58</v>
      </c>
      <c r="T303" s="1113"/>
      <c r="U303" s="1027">
        <f>IF(F303="r",1,IF('Main Creation Page'!$K$5=3,4,3))</f>
        <v>4</v>
      </c>
      <c r="V303" s="1027">
        <f>IF((AP303+U303+VLOOKUP('Main Creation Page'!E$14,'System Lookups'!R$45:S$49,2))&gt;10,10,IF((AP303+U303+VLOOKUP('Main Creation Page'!E$14,'System Lookups'!R$45:S$49,2))&lt;1,1,(AP303+U303+VLOOKUP('Main Creation Page'!E$14,'System Lookups'!R$45:S$49,2))))</f>
        <v>5</v>
      </c>
      <c r="W303" s="1098" t="e">
        <f>IF(OR(I303&lt;&gt;"N",E303="C"),IF(AND(N303&lt;&gt;"T",ISNUMBER(FIND("V",I303))),1,0),NA())+IF(H303="Y",IF(AND(N303="P",ISNUMBER(FIND("Z",I303))),2,1),0)+IF(J303="Y",1,0)+IF(K303="Y",3,0)+IF(BE303="Lore",L303*2+Experience!$D$25,0)+IF(M303="Y",1,0)</f>
        <v>#N/A</v>
      </c>
      <c r="X303" s="1099"/>
      <c r="Y303" s="1100">
        <f ca="1">IF(P303="NS",IFERROR(INDIRECT(S303),NA()),VLOOKUP(INDIRECT(P303)+INDIRECT(S303),'System Lookups'!$A$3:$D$146,2))</f>
        <v>0.08</v>
      </c>
      <c r="Z303" s="1100">
        <f>IF(ISNA(W303),0,W303*0.05)+IF(X303&gt;0,X303*0.05,0)+IF(AND(ISNA(W303),X303&lt;=0),0,IF(G303&gt;0,G303*0.05,0))</f>
        <v>0</v>
      </c>
      <c r="AA303" s="1101">
        <f ca="1">IF(ISNA(Y303),0,Y303)+Z303+IF('Main Creation Page'!AB$2=37,'Main Creation Page'!E$14/100,0)</f>
        <v>0.08</v>
      </c>
      <c r="AB303" s="1102">
        <f>VLOOKUP(V303,'System Lookups'!$J$55:$P$64,3)</f>
        <v>0.1</v>
      </c>
      <c r="AC303" s="1103">
        <f>VLOOKUP(V303,'System Lookups'!$J$55:$P$64,4)</f>
        <v>0.2</v>
      </c>
      <c r="AD303" s="1104">
        <f t="shared" si="367"/>
        <v>0</v>
      </c>
      <c r="AE303" s="1094">
        <f>(IF(AD303&gt;VLOOKUP(V303,'System Lookups'!$J$55:$P$63,6),(((AD303-VLOOKUP(V303,'System Lookups'!$J$55:$P$63,6))*100)/20),0))+AF303</f>
        <v>0</v>
      </c>
      <c r="AF303" s="1121"/>
      <c r="AG303" s="1092">
        <f t="shared" si="368"/>
        <v>0</v>
      </c>
      <c r="AH303" s="1092" t="str">
        <f>IF(X303&lt;=Experience!$R$15+1,"","*")</f>
        <v/>
      </c>
      <c r="AI303" s="1092"/>
      <c r="AJ303" s="1080">
        <f t="shared" si="369"/>
        <v>0</v>
      </c>
      <c r="AK303" s="1080">
        <f t="shared" si="370"/>
        <v>0</v>
      </c>
      <c r="AL303" s="1080">
        <f t="shared" si="371"/>
        <v>0</v>
      </c>
      <c r="AM303" s="1092">
        <f t="shared" si="372"/>
        <v>0</v>
      </c>
      <c r="AN303" s="1080">
        <f t="shared" si="373"/>
        <v>1</v>
      </c>
      <c r="AO303" s="1080">
        <f t="shared" si="374"/>
        <v>0</v>
      </c>
      <c r="AP303" s="1080">
        <f t="shared" si="375"/>
        <v>1</v>
      </c>
      <c r="AQ303" s="1027">
        <f>VLOOKUP(V303,'System Lookups'!$J$55:$P$64,7)</f>
        <v>700</v>
      </c>
      <c r="AR303" s="1080" t="str">
        <f ca="1">IF(AND(NOT(ISBLANK(AJ303)),ISNA(MATCH(ROW(),'System Lookups'!$C$526:$C$539,0))),"Y","N")</f>
        <v>Y</v>
      </c>
      <c r="AS303" s="1080">
        <f t="shared" si="376"/>
        <v>0</v>
      </c>
      <c r="AU303" s="1080" t="e">
        <f t="shared" si="311"/>
        <v>#N/A</v>
      </c>
      <c r="AV303" s="1080" t="str">
        <f t="shared" si="303"/>
        <v>T</v>
      </c>
      <c r="AW303" s="1080">
        <f t="shared" si="312"/>
        <v>0</v>
      </c>
      <c r="AX303" s="1080">
        <f t="shared" si="313"/>
        <v>0</v>
      </c>
      <c r="AY303" s="1080">
        <f t="shared" si="314"/>
        <v>0</v>
      </c>
      <c r="AZ303" s="1080">
        <f t="shared" si="315"/>
        <v>0</v>
      </c>
      <c r="BA303" s="1080">
        <f t="shared" si="316"/>
        <v>0</v>
      </c>
      <c r="BB303" s="1080">
        <f>IF(AND(RACE=1,'Main Creation Page'!$E$6="Well",OR(ISNUMBER(FIND(Experience!$G$11,BE303)),ISNUMBER(FIND(Experience!$G$11,BF303)),ISNUMBER(FIND(Experience!$I$11,BE303)),ISNUMBER(FIND(Experience!$I$11,BF303)))),1,0)</f>
        <v>1</v>
      </c>
      <c r="BC303" s="1080" t="str">
        <f t="shared" si="332"/>
        <v>Dwarven Tongue (Formal)</v>
      </c>
      <c r="BE303" s="1080" t="str">
        <f t="shared" si="304"/>
        <v>Lore</v>
      </c>
      <c r="BF303" s="1080" t="str">
        <f t="shared" si="305"/>
        <v>Language Lore: Spoken</v>
      </c>
    </row>
    <row r="304" spans="1:58" ht="11.1" customHeight="1" outlineLevel="2">
      <c r="A304" s="1028" t="s">
        <v>4336</v>
      </c>
      <c r="B304" s="1094" t="s">
        <v>1942</v>
      </c>
      <c r="C304" s="1094"/>
      <c r="D304" s="1094"/>
      <c r="E304" s="1095" t="s">
        <v>5224</v>
      </c>
      <c r="F304" s="1095" t="str">
        <f>IF('Main Creation Page'!$C$3=3, "R", "N")</f>
        <v>N</v>
      </c>
      <c r="G304" s="1096">
        <v>0</v>
      </c>
      <c r="H304" s="1096" t="s">
        <v>5224</v>
      </c>
      <c r="I304" s="1096" t="s">
        <v>5224</v>
      </c>
      <c r="J304" s="1096" t="s">
        <v>5224</v>
      </c>
      <c r="K304" s="1096" t="s">
        <v>5224</v>
      </c>
      <c r="L304" s="1096">
        <v>0</v>
      </c>
      <c r="M304" s="1096" t="s">
        <v>5224</v>
      </c>
      <c r="N304" s="1096" t="s">
        <v>4631</v>
      </c>
      <c r="O304" s="1113"/>
      <c r="P304" s="1113" t="s">
        <v>13</v>
      </c>
      <c r="S304" s="1113" t="s">
        <v>58</v>
      </c>
      <c r="T304" s="1113"/>
      <c r="U304" s="1027">
        <f>IF(F304="r",1,IF('Main Creation Page'!$K$5=3,5,4))</f>
        <v>5</v>
      </c>
      <c r="V304" s="1027">
        <f>IF((AP304+U304+VLOOKUP('Main Creation Page'!E$14,'System Lookups'!R$45:S$49,2))&gt;10,10,IF((AP304+U304+VLOOKUP('Main Creation Page'!E$14,'System Lookups'!R$45:S$49,2))&lt;1,1,(AP304+U304+VLOOKUP('Main Creation Page'!E$14,'System Lookups'!R$45:S$49,2))))</f>
        <v>6</v>
      </c>
      <c r="W304" s="1098" t="e">
        <f>IF(OR(I304&lt;&gt;"N",E304="C"),IF(AND(N304&lt;&gt;"T",ISNUMBER(FIND("V",I304))),1,0),NA())+IF(H304="Y",IF(AND(N304="P",ISNUMBER(FIND("Z",I304))),2,1),0)+IF(J304="Y",1,0)+IF(K304="Y",3,0)+IF(BE304="Lore",L304*2+Experience!$D$25,0)+IF(M304="Y",1,0)</f>
        <v>#N/A</v>
      </c>
      <c r="X304" s="1099"/>
      <c r="Y304" s="1100">
        <f ca="1">IF(P304="NS",IFERROR(INDIRECT(S304),NA()),VLOOKUP(INDIRECT(P304)+INDIRECT(S304),'System Lookups'!$A$3:$D$146,2))</f>
        <v>0.08</v>
      </c>
      <c r="Z304" s="1100">
        <f>IF(ISNA(W304),0,W304*0.05)+IF(X304&gt;0,X304*0.05,0)+IF(AND(ISNA(W304),X304&lt;=0),0,IF(G304&gt;0,G304*0.05,0))</f>
        <v>0</v>
      </c>
      <c r="AA304" s="1101">
        <f ca="1">IF(ISNA(Y304),0,Y304)+Z304+IF('Main Creation Page'!AB$2=37,'Main Creation Page'!E$14/100,0)</f>
        <v>0.08</v>
      </c>
      <c r="AB304" s="1102">
        <f>VLOOKUP(V304,'System Lookups'!$J$55:$P$64,3)</f>
        <v>0.05</v>
      </c>
      <c r="AC304" s="1103">
        <f>VLOOKUP(V304,'System Lookups'!$J$55:$P$64,4)</f>
        <v>0.1</v>
      </c>
      <c r="AD304" s="1104">
        <f t="shared" si="367"/>
        <v>0</v>
      </c>
      <c r="AE304" s="1094">
        <f>(IF(AD304&gt;VLOOKUP(V304,'System Lookups'!$J$55:$P$63,6),(((AD304-VLOOKUP(V304,'System Lookups'!$J$55:$P$63,6))*100)/20),0))+AF304</f>
        <v>0</v>
      </c>
      <c r="AF304" s="1121"/>
      <c r="AG304" s="1092">
        <f t="shared" si="368"/>
        <v>0</v>
      </c>
      <c r="AH304" s="1092" t="str">
        <f>IF(X304&lt;=Experience!$R$15+1,"","*")</f>
        <v/>
      </c>
      <c r="AI304" s="1092"/>
      <c r="AJ304" s="1080">
        <f t="shared" si="369"/>
        <v>0</v>
      </c>
      <c r="AK304" s="1080">
        <f t="shared" si="370"/>
        <v>0</v>
      </c>
      <c r="AL304" s="1080">
        <f t="shared" si="371"/>
        <v>0</v>
      </c>
      <c r="AM304" s="1092">
        <f t="shared" si="372"/>
        <v>0</v>
      </c>
      <c r="AN304" s="1080">
        <f t="shared" si="373"/>
        <v>1</v>
      </c>
      <c r="AO304" s="1080">
        <f t="shared" si="374"/>
        <v>0</v>
      </c>
      <c r="AP304" s="1080">
        <f t="shared" si="375"/>
        <v>1</v>
      </c>
      <c r="AQ304" s="1027">
        <f>VLOOKUP(V304,'System Lookups'!$J$55:$P$64,7)</f>
        <v>800</v>
      </c>
      <c r="AR304" s="1080" t="str">
        <f ca="1">IF(AND(NOT(ISBLANK(AJ304)),ISNA(MATCH(ROW(),'System Lookups'!$C$526:$C$539,0))),"Y","N")</f>
        <v>Y</v>
      </c>
      <c r="AS304" s="1080">
        <f t="shared" si="376"/>
        <v>0</v>
      </c>
      <c r="AU304" s="1080" t="e">
        <f t="shared" si="311"/>
        <v>#N/A</v>
      </c>
      <c r="AV304" s="1080" t="str">
        <f t="shared" si="303"/>
        <v>T</v>
      </c>
      <c r="AW304" s="1080">
        <f t="shared" si="312"/>
        <v>0</v>
      </c>
      <c r="AX304" s="1080">
        <f t="shared" si="313"/>
        <v>0</v>
      </c>
      <c r="AY304" s="1080">
        <f t="shared" si="314"/>
        <v>0</v>
      </c>
      <c r="AZ304" s="1080">
        <f t="shared" si="315"/>
        <v>0</v>
      </c>
      <c r="BA304" s="1080">
        <f t="shared" si="316"/>
        <v>0</v>
      </c>
      <c r="BB304" s="1080">
        <f>IF(AND(RACE=1,'Main Creation Page'!$E$6="Well",OR(ISNUMBER(FIND(Experience!$G$11,BE304)),ISNUMBER(FIND(Experience!$G$11,BF304)),ISNUMBER(FIND(Experience!$I$11,BE304)),ISNUMBER(FIND(Experience!$I$11,BF304)))),1,0)</f>
        <v>1</v>
      </c>
      <c r="BC304" s="1080" t="str">
        <f t="shared" si="332"/>
        <v>Dwarven Tongue (Ancient)</v>
      </c>
      <c r="BE304" s="1080" t="str">
        <f t="shared" si="304"/>
        <v>Lore</v>
      </c>
      <c r="BF304" s="1080" t="str">
        <f t="shared" si="305"/>
        <v>Language Lore: Spoken</v>
      </c>
    </row>
    <row r="305" spans="1:58" ht="11.1" customHeight="1" outlineLevel="2">
      <c r="A305" s="1028" t="str">
        <f>CONCATENATE("Elven Tongue",IF('Main Creation Page'!K5=3," (Western)", " "))</f>
        <v>Elven Tongue (Western)</v>
      </c>
      <c r="B305" s="1094" t="s">
        <v>1942</v>
      </c>
      <c r="C305" s="1094"/>
      <c r="D305" s="1094"/>
      <c r="E305" s="1095" t="s">
        <v>5224</v>
      </c>
      <c r="F305" s="1095" t="str">
        <f>IF('Main Creation Page'!$C$3=2, "R", "N")</f>
        <v>N</v>
      </c>
      <c r="G305" s="1096">
        <v>0</v>
      </c>
      <c r="H305" s="1096" t="s">
        <v>5224</v>
      </c>
      <c r="I305" s="1096" t="s">
        <v>5224</v>
      </c>
      <c r="J305" s="1096" t="s">
        <v>5224</v>
      </c>
      <c r="K305" s="1096" t="s">
        <v>5224</v>
      </c>
      <c r="L305" s="1096">
        <v>0</v>
      </c>
      <c r="M305" s="1096" t="s">
        <v>5224</v>
      </c>
      <c r="N305" s="1096" t="s">
        <v>4631</v>
      </c>
      <c r="O305" s="1113"/>
      <c r="P305" s="1113" t="s">
        <v>13</v>
      </c>
      <c r="S305" s="1113" t="s">
        <v>58</v>
      </c>
      <c r="T305" s="1113"/>
      <c r="U305" s="1027">
        <f>IF(F305="r",1,5)</f>
        <v>5</v>
      </c>
      <c r="V305" s="1027">
        <f>IF((AP305+U305+VLOOKUP('Main Creation Page'!E$14,'System Lookups'!R$45:S$49,2))&gt;10,10,IF((AP305+U305+VLOOKUP('Main Creation Page'!E$14,'System Lookups'!R$45:S$49,2))&lt;1,1,(AP305+U305+VLOOKUP('Main Creation Page'!E$14,'System Lookups'!R$45:S$49,2))))</f>
        <v>6</v>
      </c>
      <c r="W305" s="1098" t="e">
        <f>IF(OR(I305&lt;&gt;"N",E305="C"),IF(AND(N305&lt;&gt;"T",ISNUMBER(FIND("V",I305))),1,0),NA())+IF(H305="Y",IF(AND(N305="P",ISNUMBER(FIND("Z",I305))),2,1),0)+IF(J305="Y",1,0)+IF(K305="Y",3,0)+IF(BE305="Lore",L305*2+Experience!$D$25,0)+IF(M305="Y",1,0)</f>
        <v>#N/A</v>
      </c>
      <c r="X305" s="1099"/>
      <c r="Y305" s="1100">
        <f ca="1">IF(P305="NS",IFERROR(INDIRECT(S305),NA()),VLOOKUP(INDIRECT(P305)+INDIRECT(S305),'System Lookups'!$A$3:$D$146,2))</f>
        <v>0.08</v>
      </c>
      <c r="Z305" s="1100">
        <f>IF(ISNA(W305),0,W305*0.03)+IF(X305&gt;0,X305*0.03,0)+IF(AND(ISNA(W305),X305&lt;=0),0,IF(G305&gt;0,G305*0.07,0))</f>
        <v>0</v>
      </c>
      <c r="AA305" s="1101">
        <f ca="1">IF(ISNA(Y305),0,Y305)+Z305+IF('Main Creation Page'!AB$2=37,'Main Creation Page'!E$14/100,0)</f>
        <v>0.08</v>
      </c>
      <c r="AB305" s="1102">
        <f>VLOOKUP(V305,'System Lookups'!$J$55:$P$64,3)</f>
        <v>0.05</v>
      </c>
      <c r="AC305" s="1103">
        <f>VLOOKUP(V305,'System Lookups'!$J$55:$P$64,4)</f>
        <v>0.1</v>
      </c>
      <c r="AD305" s="1104">
        <f t="shared" si="367"/>
        <v>0</v>
      </c>
      <c r="AE305" s="1094">
        <f>(IF(AD305&gt;VLOOKUP(V305,'System Lookups'!$J$55:$P$63,6),(((AD305-VLOOKUP(V305,'System Lookups'!$J$55:$P$63,6))*100)/20),0))+AF305</f>
        <v>0</v>
      </c>
      <c r="AF305" s="1121"/>
      <c r="AG305" s="1092">
        <f t="shared" si="368"/>
        <v>0</v>
      </c>
      <c r="AH305" s="1092" t="str">
        <f>IF(X305&lt;=Experience!$R$15+1,"","*")</f>
        <v/>
      </c>
      <c r="AI305" s="1092"/>
      <c r="AJ305" s="1080">
        <f t="shared" si="369"/>
        <v>0</v>
      </c>
      <c r="AK305" s="1080">
        <f t="shared" si="370"/>
        <v>0</v>
      </c>
      <c r="AL305" s="1080">
        <f t="shared" si="371"/>
        <v>0</v>
      </c>
      <c r="AM305" s="1092">
        <f t="shared" si="372"/>
        <v>0</v>
      </c>
      <c r="AN305" s="1080">
        <f t="shared" si="373"/>
        <v>1</v>
      </c>
      <c r="AO305" s="1080">
        <f t="shared" si="374"/>
        <v>0</v>
      </c>
      <c r="AP305" s="1080">
        <f t="shared" si="375"/>
        <v>1</v>
      </c>
      <c r="AQ305" s="1027">
        <f>VLOOKUP(V305,'System Lookups'!$J$55:$P$64,7)</f>
        <v>800</v>
      </c>
      <c r="AR305" s="1080" t="str">
        <f ca="1">IF(AND(NOT(ISBLANK(AJ305)),ISNA(MATCH(ROW(),'System Lookups'!$C$526:$C$539,0))),"Y","N")</f>
        <v>Y</v>
      </c>
      <c r="AS305" s="1080">
        <f t="shared" si="376"/>
        <v>0</v>
      </c>
      <c r="AU305" s="1080" t="e">
        <f t="shared" si="311"/>
        <v>#N/A</v>
      </c>
      <c r="AV305" s="1080" t="str">
        <f t="shared" si="303"/>
        <v>T</v>
      </c>
      <c r="AW305" s="1080">
        <f t="shared" si="312"/>
        <v>0</v>
      </c>
      <c r="AX305" s="1080">
        <f t="shared" si="313"/>
        <v>0</v>
      </c>
      <c r="AY305" s="1080">
        <f t="shared" si="314"/>
        <v>0</v>
      </c>
      <c r="AZ305" s="1080">
        <f t="shared" si="315"/>
        <v>0</v>
      </c>
      <c r="BA305" s="1080">
        <f t="shared" si="316"/>
        <v>0</v>
      </c>
      <c r="BB305" s="1080">
        <f>IF(AND(RACE=1,'Main Creation Page'!$E$6="Well",OR(ISNUMBER(FIND(Experience!$G$11,BE305)),ISNUMBER(FIND(Experience!$G$11,BF305)),ISNUMBER(FIND(Experience!$I$11,BE305)),ISNUMBER(FIND(Experience!$I$11,BF305)))),1,0)</f>
        <v>1</v>
      </c>
      <c r="BC305" s="1080" t="str">
        <f t="shared" si="332"/>
        <v>Elven Tongue (Western)</v>
      </c>
      <c r="BE305" s="1080" t="str">
        <f t="shared" si="304"/>
        <v>Lore</v>
      </c>
      <c r="BF305" s="1080" t="str">
        <f t="shared" si="305"/>
        <v>Language Lore: Spoken</v>
      </c>
    </row>
    <row r="306" spans="1:58" ht="11.1" customHeight="1" outlineLevel="3">
      <c r="A306" s="1093" t="s">
        <v>4305</v>
      </c>
      <c r="B306" s="1094" t="s">
        <v>1942</v>
      </c>
      <c r="C306" s="1094"/>
      <c r="D306" s="1094"/>
      <c r="E306" s="1095" t="s">
        <v>5224</v>
      </c>
      <c r="F306" s="1095" t="str">
        <f>IF('Main Creation Page'!$C$3=2, "R", "N")</f>
        <v>N</v>
      </c>
      <c r="G306" s="1096">
        <v>0</v>
      </c>
      <c r="H306" s="1096" t="s">
        <v>5224</v>
      </c>
      <c r="I306" s="1096" t="s">
        <v>5224</v>
      </c>
      <c r="J306" s="1096" t="s">
        <v>5224</v>
      </c>
      <c r="K306" s="1096" t="s">
        <v>5224</v>
      </c>
      <c r="L306" s="1096">
        <v>0</v>
      </c>
      <c r="M306" s="1096" t="s">
        <v>5224</v>
      </c>
      <c r="N306" s="1096" t="s">
        <v>4631</v>
      </c>
      <c r="O306" s="1113"/>
      <c r="P306" s="1113" t="s">
        <v>13</v>
      </c>
      <c r="S306" s="1113" t="s">
        <v>58</v>
      </c>
      <c r="T306" s="1113"/>
      <c r="U306" s="1027">
        <f>IF(F306="r",1,IF('Main Creation Page'!$K$5=3,6,5))</f>
        <v>6</v>
      </c>
      <c r="V306" s="1027">
        <f>IF((AP306+U306+VLOOKUP('Main Creation Page'!E$14,'System Lookups'!R$45:S$49,2))&gt;10,10,IF((AP306+U306+VLOOKUP('Main Creation Page'!E$14,'System Lookups'!R$45:S$49,2))&lt;1,1,(AP306+U306+VLOOKUP('Main Creation Page'!E$14,'System Lookups'!R$45:S$49,2))))</f>
        <v>7</v>
      </c>
      <c r="W306" s="1098" t="e">
        <f>IF(OR(I306&lt;&gt;"N",E306="C"),IF(AND(N306&lt;&gt;"T",ISNUMBER(FIND("V",I306))),1,0),NA())+IF(H306="Y",IF(AND(N306="P",ISNUMBER(FIND("Z",I306))),2,1),0)+IF(J306="Y",1,0)+IF(K306="Y",3,0)+IF(BE306="Lore",L306*2+Experience!$D$25,0)+IF(M306="Y",1,0)</f>
        <v>#N/A</v>
      </c>
      <c r="X306" s="1099"/>
      <c r="Y306" s="1100">
        <f ca="1">IF(P306="NS",IFERROR(INDIRECT(S306),NA()),VLOOKUP(INDIRECT(P306)+INDIRECT(S306),'System Lookups'!$A$3:$D$146,2))</f>
        <v>0.08</v>
      </c>
      <c r="Z306" s="1100">
        <f>IF(ISNA(W306),0,W306*0.03)+IF(X306&gt;0,X306*0.03,0)+IF(AND(ISNA(W306),X306&lt;=0),0,IF(G306&gt;0,G306*0.07,0))</f>
        <v>0</v>
      </c>
      <c r="AA306" s="1101">
        <f ca="1">IF(ISNA(Y306),0,Y306)+Z306+IF('Main Creation Page'!AB$2=37,'Main Creation Page'!E$14/100,0)</f>
        <v>0.08</v>
      </c>
      <c r="AB306" s="1102">
        <f>VLOOKUP(V306,'System Lookups'!$J$55:$P$64,3)</f>
        <v>0.03</v>
      </c>
      <c r="AC306" s="1103">
        <f>VLOOKUP(V306,'System Lookups'!$J$55:$P$64,4)</f>
        <v>7.0000000000000007E-2</v>
      </c>
      <c r="AD306" s="1104">
        <f t="shared" si="367"/>
        <v>0</v>
      </c>
      <c r="AE306" s="1094">
        <f>(IF(AD306&gt;VLOOKUP(V306,'System Lookups'!$J$55:$P$63,6),(((AD306-VLOOKUP(V306,'System Lookups'!$J$55:$P$63,6))*100)/20),0))+AF306</f>
        <v>0</v>
      </c>
      <c r="AF306" s="1121"/>
      <c r="AG306" s="1092">
        <f t="shared" si="368"/>
        <v>0</v>
      </c>
      <c r="AH306" s="1092" t="str">
        <f>IF(X306&lt;=Experience!$R$15+1,"","*")</f>
        <v/>
      </c>
      <c r="AI306" s="1092"/>
      <c r="AJ306" s="1080">
        <f t="shared" si="369"/>
        <v>0</v>
      </c>
      <c r="AK306" s="1080">
        <f t="shared" si="370"/>
        <v>0</v>
      </c>
      <c r="AL306" s="1080">
        <f t="shared" si="371"/>
        <v>0</v>
      </c>
      <c r="AM306" s="1092">
        <f t="shared" si="372"/>
        <v>0</v>
      </c>
      <c r="AN306" s="1080">
        <f t="shared" si="373"/>
        <v>1</v>
      </c>
      <c r="AO306" s="1080">
        <f t="shared" si="374"/>
        <v>0</v>
      </c>
      <c r="AP306" s="1080">
        <f t="shared" si="375"/>
        <v>1</v>
      </c>
      <c r="AQ306" s="1027">
        <f>VLOOKUP(V306,'System Lookups'!$J$55:$P$64,7)</f>
        <v>1000</v>
      </c>
      <c r="AR306" s="1080" t="str">
        <f ca="1">IF(AND(NOT(ISBLANK(AJ306)),ISNA(MATCH(ROW(),'System Lookups'!$C$526:$C$539,0))),"Y","N")</f>
        <v>Y</v>
      </c>
      <c r="AS306" s="1080">
        <f t="shared" si="376"/>
        <v>0</v>
      </c>
      <c r="AU306" s="1080" t="e">
        <f t="shared" si="311"/>
        <v>#N/A</v>
      </c>
      <c r="AV306" s="1080" t="str">
        <f t="shared" si="303"/>
        <v>T</v>
      </c>
      <c r="AW306" s="1080">
        <f t="shared" si="312"/>
        <v>0</v>
      </c>
      <c r="AX306" s="1080">
        <f t="shared" si="313"/>
        <v>0</v>
      </c>
      <c r="AY306" s="1080">
        <f t="shared" si="314"/>
        <v>0</v>
      </c>
      <c r="AZ306" s="1080">
        <f t="shared" si="315"/>
        <v>0</v>
      </c>
      <c r="BA306" s="1080">
        <f t="shared" si="316"/>
        <v>0</v>
      </c>
      <c r="BB306" s="1080">
        <f>IF(AND(RACE=1,'Main Creation Page'!$E$6="Well",OR(ISNUMBER(FIND(Experience!$G$11,BE306)),ISNUMBER(FIND(Experience!$G$11,BF306)),ISNUMBER(FIND(Experience!$I$11,BE306)),ISNUMBER(FIND(Experience!$I$11,BF306)))),1,0)</f>
        <v>1</v>
      </c>
      <c r="BC306" s="1080" t="str">
        <f t="shared" si="332"/>
        <v>Elven Tongue (Eastern)</v>
      </c>
      <c r="BE306" s="1080" t="str">
        <f t="shared" si="304"/>
        <v>Lore</v>
      </c>
      <c r="BF306" s="1080" t="str">
        <f t="shared" si="305"/>
        <v>Language Lore: Spoken</v>
      </c>
    </row>
    <row r="307" spans="1:58" ht="11.1" customHeight="1" outlineLevel="2">
      <c r="A307" s="1028" t="s">
        <v>4337</v>
      </c>
      <c r="B307" s="1094" t="s">
        <v>1942</v>
      </c>
      <c r="C307" s="1094"/>
      <c r="D307" s="1094"/>
      <c r="E307" s="1095" t="s">
        <v>5224</v>
      </c>
      <c r="F307" s="1095" t="str">
        <f>IF('Main Creation Page'!$C$3=2, "R", "N")</f>
        <v>N</v>
      </c>
      <c r="G307" s="1096">
        <v>0</v>
      </c>
      <c r="H307" s="1096" t="s">
        <v>5224</v>
      </c>
      <c r="I307" s="1096" t="s">
        <v>5224</v>
      </c>
      <c r="J307" s="1096" t="s">
        <v>5224</v>
      </c>
      <c r="K307" s="1096" t="s">
        <v>5224</v>
      </c>
      <c r="L307" s="1096">
        <v>0</v>
      </c>
      <c r="M307" s="1096" t="s">
        <v>5224</v>
      </c>
      <c r="N307" s="1096" t="s">
        <v>4631</v>
      </c>
      <c r="O307" s="1113"/>
      <c r="P307" s="1113" t="s">
        <v>13</v>
      </c>
      <c r="S307" s="1113" t="s">
        <v>58</v>
      </c>
      <c r="T307" s="1113"/>
      <c r="U307" s="1027">
        <f>IF(F307="r",1,6)</f>
        <v>6</v>
      </c>
      <c r="V307" s="1027">
        <f>IF((AP307+U307+VLOOKUP('Main Creation Page'!E$14,'System Lookups'!R$45:S$49,2))&gt;10,10,IF((AP307+U307+VLOOKUP('Main Creation Page'!E$14,'System Lookups'!R$45:S$49,2))&lt;1,1,(AP307+U307+VLOOKUP('Main Creation Page'!E$14,'System Lookups'!R$45:S$49,2))))</f>
        <v>7</v>
      </c>
      <c r="W307" s="1098" t="e">
        <f>IF(OR(I307&lt;&gt;"N",E307="C"),IF(AND(N307&lt;&gt;"T",ISNUMBER(FIND("V",I307))),1,0),NA())+IF(H307="Y",IF(AND(N307="P",ISNUMBER(FIND("Z",I307))),2,1),0)+IF(J307="Y",1,0)+IF(K307="Y",3,0)+IF(BE307="Lore",L307*2+Experience!$D$25,0)+IF(M307="Y",1,0)</f>
        <v>#N/A</v>
      </c>
      <c r="X307" s="1099"/>
      <c r="Y307" s="1100">
        <f ca="1">IF(P307="NS",IFERROR(INDIRECT(S307),NA()),VLOOKUP(INDIRECT(P307)+INDIRECT(S307),'System Lookups'!$A$3:$D$146,2))</f>
        <v>0.08</v>
      </c>
      <c r="Z307" s="1100">
        <f>IF(ISNA(W307),0,W307*0.03)+IF(X307&gt;0,X307*0.03,0)+IF(AND(ISNA(W307),X307&lt;=0),0,IF(G307&gt;0,G307*0.07,0))</f>
        <v>0</v>
      </c>
      <c r="AA307" s="1101">
        <f ca="1">IF(ISNA(Y307),0,Y307)+Z307+IF('Main Creation Page'!AB$2=37,'Main Creation Page'!E$14/100,0)</f>
        <v>0.08</v>
      </c>
      <c r="AB307" s="1102">
        <f>VLOOKUP(V307,'System Lookups'!$J$55:$P$64,3)</f>
        <v>0.03</v>
      </c>
      <c r="AC307" s="1103">
        <f>VLOOKUP(V307,'System Lookups'!$J$55:$P$64,4)</f>
        <v>7.0000000000000007E-2</v>
      </c>
      <c r="AD307" s="1104">
        <f t="shared" si="367"/>
        <v>0</v>
      </c>
      <c r="AE307" s="1094">
        <f>(IF(AD307&gt;VLOOKUP(V307,'System Lookups'!$J$55:$P$63,6),(((AD307-VLOOKUP(V307,'System Lookups'!$J$55:$P$63,6))*100)/20),0))+AF307</f>
        <v>0</v>
      </c>
      <c r="AF307" s="1121"/>
      <c r="AG307" s="1092">
        <f t="shared" si="368"/>
        <v>0</v>
      </c>
      <c r="AH307" s="1092" t="str">
        <f>IF(X307&lt;=Experience!$R$15+1,"","*")</f>
        <v/>
      </c>
      <c r="AI307" s="1092"/>
      <c r="AJ307" s="1080">
        <f t="shared" si="369"/>
        <v>0</v>
      </c>
      <c r="AK307" s="1080">
        <f t="shared" si="370"/>
        <v>0</v>
      </c>
      <c r="AL307" s="1080">
        <f t="shared" si="371"/>
        <v>0</v>
      </c>
      <c r="AM307" s="1092">
        <f t="shared" si="372"/>
        <v>0</v>
      </c>
      <c r="AN307" s="1080">
        <f t="shared" si="373"/>
        <v>1</v>
      </c>
      <c r="AO307" s="1080">
        <f t="shared" si="374"/>
        <v>0</v>
      </c>
      <c r="AP307" s="1080">
        <f t="shared" si="375"/>
        <v>1</v>
      </c>
      <c r="AQ307" s="1027">
        <f>VLOOKUP(V307,'System Lookups'!$J$55:$P$64,7)</f>
        <v>1000</v>
      </c>
      <c r="AR307" s="1080" t="str">
        <f ca="1">IF(AND(NOT(ISBLANK(AJ307)),ISNA(MATCH(ROW(),'System Lookups'!$C$526:$C$539,0))),"Y","N")</f>
        <v>Y</v>
      </c>
      <c r="AS307" s="1080">
        <f t="shared" si="376"/>
        <v>0</v>
      </c>
      <c r="AU307" s="1080" t="e">
        <f t="shared" si="311"/>
        <v>#N/A</v>
      </c>
      <c r="AV307" s="1080" t="str">
        <f t="shared" si="303"/>
        <v>T</v>
      </c>
      <c r="AW307" s="1080">
        <f t="shared" si="312"/>
        <v>0</v>
      </c>
      <c r="AX307" s="1080">
        <f t="shared" si="313"/>
        <v>0</v>
      </c>
      <c r="AY307" s="1080">
        <f t="shared" si="314"/>
        <v>0</v>
      </c>
      <c r="AZ307" s="1080">
        <f t="shared" si="315"/>
        <v>0</v>
      </c>
      <c r="BA307" s="1080">
        <f t="shared" si="316"/>
        <v>0</v>
      </c>
      <c r="BB307" s="1080">
        <f>IF(AND(RACE=1,'Main Creation Page'!$E$6="Well",OR(ISNUMBER(FIND(Experience!$G$11,BE307)),ISNUMBER(FIND(Experience!$G$11,BF307)),ISNUMBER(FIND(Experience!$I$11,BE307)),ISNUMBER(FIND(Experience!$I$11,BF307)))),1,0)</f>
        <v>1</v>
      </c>
      <c r="BC307" s="1080" t="str">
        <f t="shared" si="332"/>
        <v>Elven Tongue (Ancient)</v>
      </c>
      <c r="BE307" s="1080" t="str">
        <f t="shared" si="304"/>
        <v>Lore</v>
      </c>
      <c r="BF307" s="1080" t="str">
        <f t="shared" si="305"/>
        <v>Language Lore: Spoken</v>
      </c>
    </row>
    <row r="308" spans="1:58" ht="11.1" customHeight="1" outlineLevel="2">
      <c r="A308" s="1093" t="s">
        <v>1419</v>
      </c>
      <c r="B308" s="1094" t="s">
        <v>1942</v>
      </c>
      <c r="C308" s="1094"/>
      <c r="D308" s="1094"/>
      <c r="E308" s="1095" t="s">
        <v>5224</v>
      </c>
      <c r="F308" s="1095" t="str">
        <f>IF('Main Creation Page'!$C$3=4, "R", "N")</f>
        <v>N</v>
      </c>
      <c r="G308" s="1096">
        <v>0</v>
      </c>
      <c r="H308" s="1096" t="s">
        <v>5224</v>
      </c>
      <c r="I308" s="1096" t="s">
        <v>5224</v>
      </c>
      <c r="J308" s="1096" t="s">
        <v>5224</v>
      </c>
      <c r="K308" s="1096" t="s">
        <v>5224</v>
      </c>
      <c r="L308" s="1096">
        <v>0</v>
      </c>
      <c r="M308" s="1096" t="s">
        <v>5224</v>
      </c>
      <c r="N308" s="1096" t="s">
        <v>4631</v>
      </c>
      <c r="O308" s="1113"/>
      <c r="P308" s="1113" t="s">
        <v>13</v>
      </c>
      <c r="S308" s="1113" t="s">
        <v>58</v>
      </c>
      <c r="T308" s="1113"/>
      <c r="U308" s="1027">
        <f>IF(F308="r",1,3)</f>
        <v>3</v>
      </c>
      <c r="V308" s="1027">
        <f>IF((AP308+U308+VLOOKUP('Main Creation Page'!E$14,'System Lookups'!R$45:S$49,2))&gt;10,10,IF((AP308+U308+VLOOKUP('Main Creation Page'!E$14,'System Lookups'!R$45:S$49,2))&lt;1,1,(AP308+U308+VLOOKUP('Main Creation Page'!E$14,'System Lookups'!R$45:S$49,2))))</f>
        <v>4</v>
      </c>
      <c r="W308" s="1098" t="e">
        <f>IF(OR(I308&lt;&gt;"N",E308="C"),IF(AND(N308&lt;&gt;"T",ISNUMBER(FIND("V",I308))),1,0),NA())+IF(H308="Y",IF(AND(N308="P",ISNUMBER(FIND("Z",I308))),2,1),0)+IF(J308="Y",1,0)+IF(K308="Y",3,0)+IF(BE308="Lore",L308*2+Experience!$D$25,0)+IF(M308="Y",1,0)</f>
        <v>#N/A</v>
      </c>
      <c r="X308" s="1099"/>
      <c r="Y308" s="1100">
        <f ca="1">IF(P308="NS",IFERROR(INDIRECT(S308),NA()),VLOOKUP(INDIRECT(P308)+INDIRECT(S308),'System Lookups'!$A$3:$D$146,2))</f>
        <v>0.08</v>
      </c>
      <c r="Z308" s="1100">
        <f>IF(ISNA(W308),0,W308*0.05)+IF(X308&gt;0,X308*0.05,0)+IF(AND(ISNA(W308),X308&lt;=0),0,IF(G308&gt;0,G308*0.05,0))</f>
        <v>0</v>
      </c>
      <c r="AA308" s="1101">
        <f ca="1">IF(ISNA(Y308),0,Y308)+Z308+IF('Main Creation Page'!AB$2=37,'Main Creation Page'!E$14/100,0)</f>
        <v>0.08</v>
      </c>
      <c r="AB308" s="1102">
        <f>VLOOKUP(V308,'System Lookups'!$J$55:$P$64,3)</f>
        <v>0.2</v>
      </c>
      <c r="AC308" s="1103">
        <f>VLOOKUP(V308,'System Lookups'!$J$55:$P$64,4)</f>
        <v>0.3</v>
      </c>
      <c r="AD308" s="1104">
        <f t="shared" si="367"/>
        <v>0</v>
      </c>
      <c r="AE308" s="1094">
        <f>(IF(AD308&gt;VLOOKUP(V308,'System Lookups'!$J$55:$P$63,6),(((AD308-VLOOKUP(V308,'System Lookups'!$J$55:$P$63,6))*100)/20),0))+AF308</f>
        <v>0</v>
      </c>
      <c r="AF308" s="1121"/>
      <c r="AG308" s="1092">
        <f t="shared" si="368"/>
        <v>0</v>
      </c>
      <c r="AH308" s="1092" t="str">
        <f>IF(X308&lt;=Experience!$R$15+1,"","*")</f>
        <v/>
      </c>
      <c r="AI308" s="1092"/>
      <c r="AJ308" s="1080">
        <f t="shared" si="369"/>
        <v>0</v>
      </c>
      <c r="AK308" s="1080">
        <f t="shared" si="370"/>
        <v>0</v>
      </c>
      <c r="AL308" s="1080">
        <f t="shared" si="371"/>
        <v>0</v>
      </c>
      <c r="AM308" s="1092">
        <f t="shared" si="372"/>
        <v>0</v>
      </c>
      <c r="AN308" s="1080">
        <f t="shared" si="373"/>
        <v>1</v>
      </c>
      <c r="AO308" s="1080">
        <f t="shared" si="374"/>
        <v>0</v>
      </c>
      <c r="AP308" s="1080">
        <f t="shared" si="375"/>
        <v>1</v>
      </c>
      <c r="AQ308" s="1027">
        <f>VLOOKUP(V308,'System Lookups'!$J$55:$P$64,7)</f>
        <v>600</v>
      </c>
      <c r="AR308" s="1080" t="str">
        <f ca="1">IF(AND(NOT(ISBLANK(AJ308)),ISNA(MATCH(ROW(),'System Lookups'!$C$526:$C$539,0))),"Y","N")</f>
        <v>Y</v>
      </c>
      <c r="AS308" s="1080">
        <f t="shared" si="376"/>
        <v>0</v>
      </c>
      <c r="AU308" s="1080" t="e">
        <f t="shared" si="311"/>
        <v>#N/A</v>
      </c>
      <c r="AV308" s="1080" t="str">
        <f t="shared" si="303"/>
        <v>T</v>
      </c>
      <c r="AW308" s="1080">
        <f t="shared" si="312"/>
        <v>0</v>
      </c>
      <c r="AX308" s="1080">
        <f t="shared" si="313"/>
        <v>0</v>
      </c>
      <c r="AY308" s="1080">
        <f t="shared" si="314"/>
        <v>0</v>
      </c>
      <c r="AZ308" s="1080">
        <f t="shared" si="315"/>
        <v>0</v>
      </c>
      <c r="BA308" s="1080">
        <f t="shared" si="316"/>
        <v>0</v>
      </c>
      <c r="BB308" s="1080">
        <f>IF(AND(RACE=1,'Main Creation Page'!$E$6="Well",OR(ISNUMBER(FIND(Experience!$G$11,BE308)),ISNUMBER(FIND(Experience!$G$11,BF308)),ISNUMBER(FIND(Experience!$I$11,BE308)),ISNUMBER(FIND(Experience!$I$11,BF308)))),1,0)</f>
        <v>1</v>
      </c>
      <c r="BC308" s="1080" t="str">
        <f t="shared" si="332"/>
        <v>Haeflin Tongue</v>
      </c>
      <c r="BE308" s="1080" t="str">
        <f t="shared" si="304"/>
        <v>Lore</v>
      </c>
      <c r="BF308" s="1080" t="str">
        <f t="shared" si="305"/>
        <v>Language Lore: Spoken</v>
      </c>
    </row>
    <row r="309" spans="1:58" ht="11.1" customHeight="1" outlineLevel="2">
      <c r="A309" s="1093" t="s">
        <v>1420</v>
      </c>
      <c r="B309" s="1094" t="s">
        <v>1942</v>
      </c>
      <c r="C309" s="1094"/>
      <c r="D309" s="1094"/>
      <c r="E309" s="1095" t="s">
        <v>5224</v>
      </c>
      <c r="F309" s="1095" t="str">
        <f>IF('Main Creation Page'!$C$3=4, "R", "N")</f>
        <v>N</v>
      </c>
      <c r="G309" s="1096">
        <v>0</v>
      </c>
      <c r="H309" s="1096" t="s">
        <v>5224</v>
      </c>
      <c r="I309" s="1096" t="s">
        <v>5224</v>
      </c>
      <c r="J309" s="1096" t="s">
        <v>5224</v>
      </c>
      <c r="K309" s="1096" t="s">
        <v>5224</v>
      </c>
      <c r="L309" s="1096">
        <v>0</v>
      </c>
      <c r="M309" s="1096" t="s">
        <v>5224</v>
      </c>
      <c r="N309" s="1096" t="s">
        <v>4631</v>
      </c>
      <c r="O309" s="1113"/>
      <c r="P309" s="1113" t="s">
        <v>13</v>
      </c>
      <c r="S309" s="1113" t="s">
        <v>58</v>
      </c>
      <c r="T309" s="1113"/>
      <c r="U309" s="1027">
        <f>IF(F309="r",1,4)</f>
        <v>4</v>
      </c>
      <c r="V309" s="1027">
        <f>IF((AP309+U309+VLOOKUP('Main Creation Page'!E$14,'System Lookups'!R$45:S$49,2))&gt;10,10,IF((AP309+U309+VLOOKUP('Main Creation Page'!E$14,'System Lookups'!R$45:S$49,2))&lt;1,1,(AP309+U309+VLOOKUP('Main Creation Page'!E$14,'System Lookups'!R$45:S$49,2))))</f>
        <v>5</v>
      </c>
      <c r="W309" s="1098" t="e">
        <f>IF(OR(I309&lt;&gt;"N",E309="C"),IF(AND(N309&lt;&gt;"T",ISNUMBER(FIND("V",I309))),1,0),NA())+IF(H309="Y",IF(AND(N309="P",ISNUMBER(FIND("Z",I309))),2,1),0)+IF(J309="Y",1,0)+IF(K309="Y",3,0)+IF(BE309="Lore",L309*2+Experience!$D$25,0)+IF(M309="Y",1,0)</f>
        <v>#N/A</v>
      </c>
      <c r="X309" s="1099"/>
      <c r="Y309" s="1100">
        <f ca="1">IF(P309="NS",IFERROR(INDIRECT(S309),NA()),VLOOKUP(INDIRECT(P309)+INDIRECT(S309),'System Lookups'!$A$3:$D$146,2))</f>
        <v>0.08</v>
      </c>
      <c r="Z309" s="1100">
        <f>IF(ISNA(W309),0,W309*0.05)+IF(X309&gt;0,X309*0.05,0)+IF(AND(ISNA(W309),X309&lt;=0),0,IF(G309&gt;0,G309*0.05,0))</f>
        <v>0</v>
      </c>
      <c r="AA309" s="1101">
        <f ca="1">IF(ISNA(Y309),0,Y309)+Z309+IF('Main Creation Page'!AB$2=37,'Main Creation Page'!E$14/100,0)</f>
        <v>0.08</v>
      </c>
      <c r="AB309" s="1102">
        <f>VLOOKUP(V309,'System Lookups'!$J$55:$P$64,3)</f>
        <v>0.1</v>
      </c>
      <c r="AC309" s="1103">
        <f>VLOOKUP(V309,'System Lookups'!$J$55:$P$64,4)</f>
        <v>0.2</v>
      </c>
      <c r="AD309" s="1104">
        <f t="shared" si="367"/>
        <v>0</v>
      </c>
      <c r="AE309" s="1094">
        <f>(IF(AD309&gt;VLOOKUP(V309,'System Lookups'!$J$55:$P$63,6),(((AD309-VLOOKUP(V309,'System Lookups'!$J$55:$P$63,6))*100)/20),0))+AF309</f>
        <v>0</v>
      </c>
      <c r="AF309" s="1121"/>
      <c r="AG309" s="1092">
        <f t="shared" si="368"/>
        <v>0</v>
      </c>
      <c r="AH309" s="1092" t="str">
        <f>IF(X309&lt;=Experience!$R$15+1,"","*")</f>
        <v/>
      </c>
      <c r="AI309" s="1092"/>
      <c r="AJ309" s="1080">
        <f t="shared" si="369"/>
        <v>0</v>
      </c>
      <c r="AK309" s="1080">
        <f t="shared" si="370"/>
        <v>0</v>
      </c>
      <c r="AL309" s="1080">
        <f t="shared" si="371"/>
        <v>0</v>
      </c>
      <c r="AM309" s="1092">
        <f t="shared" si="372"/>
        <v>0</v>
      </c>
      <c r="AN309" s="1080">
        <f t="shared" si="373"/>
        <v>1</v>
      </c>
      <c r="AO309" s="1080">
        <f t="shared" si="374"/>
        <v>0</v>
      </c>
      <c r="AP309" s="1080">
        <f t="shared" si="375"/>
        <v>1</v>
      </c>
      <c r="AQ309" s="1027">
        <f>VLOOKUP(V309,'System Lookups'!$J$55:$P$64,7)</f>
        <v>700</v>
      </c>
      <c r="AR309" s="1080" t="str">
        <f ca="1">IF(AND(NOT(ISBLANK(AJ309)),ISNA(MATCH(ROW(),'System Lookups'!$C$526:$C$539,0))),"Y","N")</f>
        <v>Y</v>
      </c>
      <c r="AS309" s="1080">
        <f t="shared" si="376"/>
        <v>0</v>
      </c>
      <c r="AU309" s="1080" t="e">
        <f t="shared" si="311"/>
        <v>#N/A</v>
      </c>
      <c r="AV309" s="1080" t="str">
        <f t="shared" si="303"/>
        <v>T</v>
      </c>
      <c r="AW309" s="1080">
        <f t="shared" si="312"/>
        <v>0</v>
      </c>
      <c r="AX309" s="1080">
        <f t="shared" si="313"/>
        <v>0</v>
      </c>
      <c r="AY309" s="1080">
        <f t="shared" si="314"/>
        <v>0</v>
      </c>
      <c r="AZ309" s="1080">
        <f t="shared" si="315"/>
        <v>0</v>
      </c>
      <c r="BA309" s="1080">
        <f t="shared" si="316"/>
        <v>0</v>
      </c>
      <c r="BB309" s="1080">
        <f>IF(AND(RACE=1,'Main Creation Page'!$E$6="Well",OR(ISNUMBER(FIND(Experience!$G$11,BE309)),ISNUMBER(FIND(Experience!$G$11,BF309)),ISNUMBER(FIND(Experience!$I$11,BE309)),ISNUMBER(FIND(Experience!$I$11,BF309)))),1,0)</f>
        <v>1</v>
      </c>
      <c r="BC309" s="1080" t="str">
        <f t="shared" si="332"/>
        <v>Haeflin Tongue (Ancient)</v>
      </c>
      <c r="BE309" s="1080" t="str">
        <f t="shared" si="304"/>
        <v>Lore</v>
      </c>
      <c r="BF309" s="1080" t="str">
        <f t="shared" si="305"/>
        <v>Language Lore: Spoken</v>
      </c>
    </row>
    <row r="310" spans="1:58" ht="11.1" customHeight="1" outlineLevel="2">
      <c r="A310" s="1028" t="str">
        <f>CONCATENATE("Mage Speech",IF('Main Creation Page'!K5=3," (Coniron)", " "))</f>
        <v>Mage Speech (Coniron)</v>
      </c>
      <c r="B310" s="1094" t="s">
        <v>1942</v>
      </c>
      <c r="C310" s="1094"/>
      <c r="D310" s="1094"/>
      <c r="E310" s="1095" t="s">
        <v>5224</v>
      </c>
      <c r="F310" s="1095" t="s">
        <v>5224</v>
      </c>
      <c r="G310" s="1096">
        <v>0</v>
      </c>
      <c r="H310" s="1096" t="s">
        <v>5224</v>
      </c>
      <c r="I310" s="1096" t="s">
        <v>5224</v>
      </c>
      <c r="J310" s="1096" t="s">
        <v>5224</v>
      </c>
      <c r="K310" s="1096" t="s">
        <v>5224</v>
      </c>
      <c r="L310" s="1096">
        <v>0</v>
      </c>
      <c r="M310" s="1096" t="s">
        <v>5224</v>
      </c>
      <c r="N310" s="1096" t="s">
        <v>4631</v>
      </c>
      <c r="O310" s="1113"/>
      <c r="P310" s="1113" t="s">
        <v>13</v>
      </c>
      <c r="S310" s="1113" t="s">
        <v>58</v>
      </c>
      <c r="T310" s="1113"/>
      <c r="U310" s="1027">
        <v>4</v>
      </c>
      <c r="V310" s="1027">
        <f>IF((AP310+U310+VLOOKUP('Main Creation Page'!E$14,'System Lookups'!R$45:S$49,2))&gt;10,10,IF((AP310+U310+VLOOKUP('Main Creation Page'!E$14,'System Lookups'!R$45:S$49,2))&lt;1,1,(AP310+U310+VLOOKUP('Main Creation Page'!E$14,'System Lookups'!R$45:S$49,2))))</f>
        <v>5</v>
      </c>
      <c r="W310" s="1098" t="e">
        <f>IF(OR(I310&lt;&gt;"N",E310="C"),IF(AND(N310&lt;&gt;"T",ISNUMBER(FIND("V",I310))),1,0),NA())+IF(H310="Y",IF(AND(N310="P",ISNUMBER(FIND("Z",I310))),2,1),0)+IF(J310="Y",1,0)+IF(K310="Y",3,0)+IF(BE310="Lore",L310*2+Experience!$D$25,0)+IF(M310="Y",1,0)</f>
        <v>#N/A</v>
      </c>
      <c r="X310" s="1099"/>
      <c r="Y310" s="1100">
        <f ca="1">IF(P310="NS",IFERROR(INDIRECT(S310),NA()),VLOOKUP(INDIRECT(P310)+INDIRECT(S310),'System Lookups'!$A$3:$D$146,2))</f>
        <v>0.08</v>
      </c>
      <c r="Z310" s="1100">
        <f>IF($AD$305&lt;0.8,IF(G310&gt;0,((X310*0.05)+(IF(X310&gt;0,G310*0.05,0))),(X310*0.05))+IF(ISNA(W310),0,W310*0.05),(X310*0.1)+IF(ISNA(W310),0,W310*0.1))</f>
        <v>0</v>
      </c>
      <c r="AA310" s="1101">
        <f ca="1">IF(ISNA(Y310),0,Y310)+Z310+IF('Main Creation Page'!AB$2=37,'Main Creation Page'!E$14/100,0)</f>
        <v>0.08</v>
      </c>
      <c r="AB310" s="1102">
        <f>VLOOKUP(V310,'System Lookups'!$J$55:$P$64,3)</f>
        <v>0.1</v>
      </c>
      <c r="AC310" s="1103">
        <f>VLOOKUP(V310,'System Lookups'!$J$55:$P$64,4)</f>
        <v>0.2</v>
      </c>
      <c r="AD310" s="1104">
        <f t="shared" si="367"/>
        <v>0</v>
      </c>
      <c r="AE310" s="1094">
        <f>(IF(AD310&gt;VLOOKUP(V310,'System Lookups'!$J$55:$P$63,6),(((AD310-VLOOKUP(V310,'System Lookups'!$J$55:$P$63,6))*100)/20),0))+AF310</f>
        <v>0</v>
      </c>
      <c r="AF310" s="1121"/>
      <c r="AG310" s="1092">
        <f t="shared" si="368"/>
        <v>0</v>
      </c>
      <c r="AH310" s="1092" t="str">
        <f>IF(X310&lt;=Experience!$R$15+1,"","*")</f>
        <v/>
      </c>
      <c r="AI310" s="1092"/>
      <c r="AJ310" s="1080">
        <f t="shared" si="369"/>
        <v>0</v>
      </c>
      <c r="AK310" s="1080">
        <f t="shared" si="370"/>
        <v>0</v>
      </c>
      <c r="AL310" s="1080">
        <f t="shared" si="371"/>
        <v>0</v>
      </c>
      <c r="AM310" s="1092">
        <f t="shared" si="372"/>
        <v>0</v>
      </c>
      <c r="AN310" s="1080">
        <f t="shared" si="373"/>
        <v>1</v>
      </c>
      <c r="AO310" s="1080">
        <f t="shared" si="374"/>
        <v>0</v>
      </c>
      <c r="AP310" s="1080">
        <f t="shared" si="375"/>
        <v>1</v>
      </c>
      <c r="AQ310" s="1027">
        <f>VLOOKUP(V310,'System Lookups'!$J$55:$P$64,7)</f>
        <v>700</v>
      </c>
      <c r="AR310" s="1080" t="str">
        <f ca="1">IF(AND(NOT(ISBLANK(AJ310)),ISNA(MATCH(ROW(),'System Lookups'!$C$526:$C$539,0))),"Y","N")</f>
        <v>Y</v>
      </c>
      <c r="AS310" s="1080">
        <f t="shared" si="376"/>
        <v>0</v>
      </c>
      <c r="AU310" s="1080" t="e">
        <f t="shared" si="311"/>
        <v>#N/A</v>
      </c>
      <c r="AV310" s="1080" t="str">
        <f t="shared" si="303"/>
        <v>T</v>
      </c>
      <c r="AW310" s="1080">
        <f t="shared" si="312"/>
        <v>0</v>
      </c>
      <c r="AX310" s="1080">
        <f t="shared" si="313"/>
        <v>0</v>
      </c>
      <c r="AY310" s="1080">
        <f t="shared" si="314"/>
        <v>0</v>
      </c>
      <c r="AZ310" s="1080">
        <f t="shared" si="315"/>
        <v>0</v>
      </c>
      <c r="BA310" s="1080">
        <f t="shared" si="316"/>
        <v>0</v>
      </c>
      <c r="BB310" s="1080">
        <f>IF(AND(RACE=1,'Main Creation Page'!$E$6="Well",OR(ISNUMBER(FIND(Experience!$G$11,BE310)),ISNUMBER(FIND(Experience!$G$11,BF310)),ISNUMBER(FIND(Experience!$I$11,BE310)),ISNUMBER(FIND(Experience!$I$11,BF310)))),1,0)</f>
        <v>1</v>
      </c>
      <c r="BC310" s="1080" t="str">
        <f t="shared" si="332"/>
        <v>Mage Speech (Coniron)</v>
      </c>
      <c r="BE310" s="1080" t="str">
        <f t="shared" si="304"/>
        <v>Lore</v>
      </c>
      <c r="BF310" s="1080" t="str">
        <f t="shared" si="305"/>
        <v>Language Lore: Spoken</v>
      </c>
    </row>
    <row r="311" spans="1:58" ht="11.1" customHeight="1" outlineLevel="2">
      <c r="A311" s="1028" t="s">
        <v>2270</v>
      </c>
      <c r="B311" s="1094" t="s">
        <v>1942</v>
      </c>
      <c r="C311" s="1094"/>
      <c r="D311" s="1094"/>
      <c r="E311" s="1095" t="s">
        <v>5224</v>
      </c>
      <c r="F311" s="1095" t="s">
        <v>5224</v>
      </c>
      <c r="G311" s="1096">
        <v>0</v>
      </c>
      <c r="H311" s="1096" t="s">
        <v>5224</v>
      </c>
      <c r="I311" s="1096" t="s">
        <v>5224</v>
      </c>
      <c r="J311" s="1096" t="s">
        <v>5224</v>
      </c>
      <c r="K311" s="1096" t="s">
        <v>5224</v>
      </c>
      <c r="L311" s="1096">
        <v>0</v>
      </c>
      <c r="M311" s="1096" t="s">
        <v>5224</v>
      </c>
      <c r="N311" s="1096" t="s">
        <v>4631</v>
      </c>
      <c r="O311" s="1113"/>
      <c r="P311" s="1113" t="s">
        <v>13</v>
      </c>
      <c r="S311" s="1113" t="s">
        <v>58</v>
      </c>
      <c r="T311" s="1113"/>
      <c r="U311" s="1027">
        <v>5</v>
      </c>
      <c r="V311" s="1027">
        <f>IF((AP311+U311+VLOOKUP('Main Creation Page'!E$14,'System Lookups'!R$45:S$49,2))&gt;10,10,IF((AP311+U311+VLOOKUP('Main Creation Page'!E$14,'System Lookups'!R$45:S$49,2))&lt;1,1,(AP311+U311+VLOOKUP('Main Creation Page'!E$14,'System Lookups'!R$45:S$49,2))))</f>
        <v>6</v>
      </c>
      <c r="W311" s="1098" t="e">
        <f>IF(OR(I311&lt;&gt;"N",E311="C"),IF(AND(N311&lt;&gt;"T",ISNUMBER(FIND("V",I311))),1,0),NA())+IF(H311="Y",IF(AND(N311="P",ISNUMBER(FIND("Z",I311))),2,1),0)+IF(J311="Y",1,0)+IF(K311="Y",3,0)+IF(BE311="Lore",L311*2+Experience!$D$25,0)+IF(M311="Y",1,0)</f>
        <v>#N/A</v>
      </c>
      <c r="X311" s="1099"/>
      <c r="Y311" s="1100">
        <f ca="1">IF(P311="NS",IFERROR(INDIRECT(S311),NA()),VLOOKUP(INDIRECT(P311)+INDIRECT(S311),'System Lookups'!$A$3:$D$146,2))</f>
        <v>0.08</v>
      </c>
      <c r="Z311" s="1100">
        <f>IF($AD$305&lt;0.8,IF(G311&gt;0,((X311*0.05)+(IF(X311&gt;0,G311*0.05,0))),(X311*0.05))+IF(ISNA(W311),0,W311*0.05),(X311*0.1)+IF(ISNA(W311),0,W311*0.1))</f>
        <v>0</v>
      </c>
      <c r="AA311" s="1101">
        <f ca="1">IF(ISNA(Y311),0,Y311)+Z311+IF('Main Creation Page'!AB$2=37,'Main Creation Page'!E$14/100,0)</f>
        <v>0.08</v>
      </c>
      <c r="AB311" s="1102">
        <f>VLOOKUP(V311,'System Lookups'!$J$55:$P$64,3)</f>
        <v>0.05</v>
      </c>
      <c r="AC311" s="1103">
        <f>VLOOKUP(V311,'System Lookups'!$J$55:$P$64,4)</f>
        <v>0.1</v>
      </c>
      <c r="AD311" s="1104">
        <f t="shared" si="367"/>
        <v>0</v>
      </c>
      <c r="AE311" s="1094">
        <f>(IF(AD311&gt;VLOOKUP(V311,'System Lookups'!$J$55:$P$63,6),(((AD311-VLOOKUP(V311,'System Lookups'!$J$55:$P$63,6))*100)/20),0))+AF311</f>
        <v>0</v>
      </c>
      <c r="AF311" s="1121"/>
      <c r="AG311" s="1092">
        <f t="shared" si="368"/>
        <v>0</v>
      </c>
      <c r="AH311" s="1092" t="str">
        <f>IF(X311&lt;=Experience!$R$15+1,"","*")</f>
        <v/>
      </c>
      <c r="AI311" s="1092"/>
      <c r="AJ311" s="1080">
        <f t="shared" si="369"/>
        <v>0</v>
      </c>
      <c r="AK311" s="1080">
        <f t="shared" si="370"/>
        <v>0</v>
      </c>
      <c r="AL311" s="1080">
        <f t="shared" si="371"/>
        <v>0</v>
      </c>
      <c r="AM311" s="1092">
        <f t="shared" si="372"/>
        <v>0</v>
      </c>
      <c r="AN311" s="1080">
        <f t="shared" si="373"/>
        <v>1</v>
      </c>
      <c r="AO311" s="1080">
        <f t="shared" si="374"/>
        <v>0</v>
      </c>
      <c r="AP311" s="1080">
        <f t="shared" si="375"/>
        <v>1</v>
      </c>
      <c r="AQ311" s="1027">
        <f>VLOOKUP(V311,'System Lookups'!$J$55:$P$64,7)</f>
        <v>800</v>
      </c>
      <c r="AR311" s="1080" t="str">
        <f ca="1">IF(AND(NOT(ISBLANK(AJ311)),ISNA(MATCH(ROW(),'System Lookups'!$C$526:$C$539,0))),"Y","N")</f>
        <v>Y</v>
      </c>
      <c r="AS311" s="1080">
        <f t="shared" si="376"/>
        <v>0</v>
      </c>
      <c r="AU311" s="1080" t="e">
        <f t="shared" si="311"/>
        <v>#N/A</v>
      </c>
      <c r="AV311" s="1080" t="str">
        <f t="shared" si="303"/>
        <v>T</v>
      </c>
      <c r="AW311" s="1080">
        <f t="shared" si="312"/>
        <v>0</v>
      </c>
      <c r="AX311" s="1080">
        <f t="shared" si="313"/>
        <v>0</v>
      </c>
      <c r="AY311" s="1080">
        <f t="shared" si="314"/>
        <v>0</v>
      </c>
      <c r="AZ311" s="1080">
        <f t="shared" si="315"/>
        <v>0</v>
      </c>
      <c r="BA311" s="1080">
        <f t="shared" si="316"/>
        <v>0</v>
      </c>
      <c r="BB311" s="1080">
        <f>IF(AND(RACE=1,'Main Creation Page'!$E$6="Well",OR(ISNUMBER(FIND(Experience!$G$11,BE311)),ISNUMBER(FIND(Experience!$G$11,BF311)),ISNUMBER(FIND(Experience!$I$11,BE311)),ISNUMBER(FIND(Experience!$I$11,BF311)))),1,0)</f>
        <v>1</v>
      </c>
      <c r="BC311" s="1080" t="str">
        <f t="shared" si="332"/>
        <v>Mage Speech (Ancient)</v>
      </c>
      <c r="BE311" s="1080" t="str">
        <f t="shared" si="304"/>
        <v>Lore</v>
      </c>
      <c r="BF311" s="1080" t="str">
        <f t="shared" si="305"/>
        <v>Language Lore: Spoken</v>
      </c>
    </row>
    <row r="312" spans="1:58" ht="11.1" customHeight="1" outlineLevel="2">
      <c r="A312" s="1093" t="s">
        <v>280</v>
      </c>
      <c r="B312" s="1094" t="s">
        <v>1942</v>
      </c>
      <c r="C312" s="1094"/>
      <c r="D312" s="1094"/>
      <c r="E312" s="1095" t="s">
        <v>5224</v>
      </c>
      <c r="F312" s="1095" t="str">
        <f>IF('Main Creation Page'!$C$3=2, "R", "N")</f>
        <v>N</v>
      </c>
      <c r="G312" s="1096">
        <v>0</v>
      </c>
      <c r="H312" s="1096" t="s">
        <v>5224</v>
      </c>
      <c r="I312" s="1096" t="s">
        <v>5224</v>
      </c>
      <c r="J312" s="1096" t="s">
        <v>5224</v>
      </c>
      <c r="K312" s="1096" t="s">
        <v>5224</v>
      </c>
      <c r="L312" s="1096">
        <v>0</v>
      </c>
      <c r="M312" s="1096" t="s">
        <v>5224</v>
      </c>
      <c r="N312" s="1096" t="s">
        <v>4631</v>
      </c>
      <c r="O312" s="1027"/>
      <c r="P312" s="1027" t="s">
        <v>3616</v>
      </c>
      <c r="Q312" s="1097">
        <f ca="1">INDIRECT(P312)</f>
        <v>17</v>
      </c>
      <c r="R312" s="1027"/>
      <c r="S312" s="1028" t="s">
        <v>3611</v>
      </c>
      <c r="T312" s="1097">
        <f ca="1">INDIRECT(S312)</f>
        <v>15</v>
      </c>
      <c r="U312" s="1027">
        <v>2</v>
      </c>
      <c r="V312" s="1027">
        <f>IF((AP312+U312+VLOOKUP('Main Creation Page'!E$14,'System Lookups'!R$45:S$49,2))&gt;10,10,IF((AP312+U312+VLOOKUP('Main Creation Page'!E$14,'System Lookups'!R$45:S$49,2))&lt;1,1,(AP312+U312+VLOOKUP('Main Creation Page'!E$14,'System Lookups'!R$45:S$49,2))))</f>
        <v>3</v>
      </c>
      <c r="W312" s="1098" t="e">
        <f>IF(OR(I312&lt;&gt;"N",E312="C"),IF(AND(N312&lt;&gt;"T",ISNUMBER(FIND("V",I312))),1,0),NA())+IF(H312="Y",IF(AND(N312="P",ISNUMBER(FIND("Z",I312))),2,1),0)+IF(J312="Y",1,0)+IF(K312="Y",3,0)+IF(BE312="Lore",L312*2+Experience!$D$25,0)+IF(M312="Y",1,0)</f>
        <v>#N/A</v>
      </c>
      <c r="X312" s="1099"/>
      <c r="Y312" s="1100">
        <f ca="1">IF(P312="NS",IFERROR(INDIRECT(S312),NA()),VLOOKUP(INDIRECT(P312)+INDIRECT(S312),'System Lookups'!$A$3:$D$146,2))</f>
        <v>0.08</v>
      </c>
      <c r="Z312" s="1100">
        <f>IF(ISNA(W312),0,W312*0.03)+IF(X312&gt;0,X312*0.03,0)+IF(AND(ISNA(W312),X312&lt;=0),0,IF(G312&gt;0,G312*0.07,0))</f>
        <v>0</v>
      </c>
      <c r="AA312" s="1101">
        <f ca="1">IF(ISNA(Y312),0,Y312)+Z312+IF('Main Creation Page'!AB$2=37,'Main Creation Page'!E$14/100,0)</f>
        <v>0.08</v>
      </c>
      <c r="AB312" s="1102">
        <f>VLOOKUP(V312,'System Lookups'!$J$55:$P$64,3)</f>
        <v>0.3</v>
      </c>
      <c r="AC312" s="1103">
        <f>VLOOKUP(V312,'System Lookups'!$J$55:$P$64,4)</f>
        <v>0.4</v>
      </c>
      <c r="AD312" s="1104">
        <f t="shared" si="367"/>
        <v>0</v>
      </c>
      <c r="AE312" s="1094">
        <f>(IF(AD312&gt;VLOOKUP(V312,'System Lookups'!$J$55:$P$63,6),(((AD312-VLOOKUP(V312,'System Lookups'!$J$55:$P$63,6))*100)/20),0))+AF312</f>
        <v>0</v>
      </c>
      <c r="AF312" s="1121"/>
      <c r="AG312" s="1092">
        <f t="shared" si="368"/>
        <v>0</v>
      </c>
      <c r="AH312" s="1092" t="str">
        <f>IF(X312&lt;=Experience!$R$15+1,"","*")</f>
        <v/>
      </c>
      <c r="AI312" s="1092"/>
      <c r="AJ312" s="1080">
        <f t="shared" si="369"/>
        <v>0</v>
      </c>
      <c r="AK312" s="1080">
        <f t="shared" si="370"/>
        <v>0</v>
      </c>
      <c r="AL312" s="1080">
        <f t="shared" si="371"/>
        <v>0</v>
      </c>
      <c r="AM312" s="1092">
        <f t="shared" si="372"/>
        <v>0</v>
      </c>
      <c r="AN312" s="1080">
        <f t="shared" si="373"/>
        <v>1</v>
      </c>
      <c r="AO312" s="1080">
        <f t="shared" si="374"/>
        <v>0</v>
      </c>
      <c r="AP312" s="1080">
        <f t="shared" si="375"/>
        <v>1</v>
      </c>
      <c r="AQ312" s="1027">
        <f>VLOOKUP(V312,'System Lookups'!$J$55:$P$64,7)</f>
        <v>500</v>
      </c>
      <c r="AR312" s="1080" t="str">
        <f ca="1">IF(AND(NOT(ISBLANK(AJ312)),ISNA(MATCH(ROW(),'System Lookups'!$C$526:$C$539,0))),"Y","N")</f>
        <v>Y</v>
      </c>
      <c r="AS312" s="1080">
        <f t="shared" si="376"/>
        <v>0</v>
      </c>
      <c r="AU312" s="1080" t="e">
        <f t="shared" si="311"/>
        <v>#N/A</v>
      </c>
      <c r="AV312" s="1080" t="str">
        <f t="shared" si="303"/>
        <v>T</v>
      </c>
      <c r="AW312" s="1080">
        <f t="shared" si="312"/>
        <v>0</v>
      </c>
      <c r="AX312" s="1080">
        <f t="shared" si="313"/>
        <v>0</v>
      </c>
      <c r="AY312" s="1080">
        <f t="shared" si="314"/>
        <v>0</v>
      </c>
      <c r="AZ312" s="1080">
        <f t="shared" si="315"/>
        <v>0</v>
      </c>
      <c r="BA312" s="1080">
        <f t="shared" si="316"/>
        <v>0</v>
      </c>
      <c r="BB312" s="1080">
        <f>IF(AND(RACE=1,'Main Creation Page'!$E$6="Well",OR(ISNUMBER(FIND(Experience!$G$11,BE312)),ISNUMBER(FIND(Experience!$G$11,BF312)),ISNUMBER(FIND(Experience!$I$11,BE312)),ISNUMBER(FIND(Experience!$I$11,BF312)))),1,0)</f>
        <v>1</v>
      </c>
      <c r="BC312" s="1080" t="str">
        <f t="shared" si="332"/>
        <v>Signed Communication</v>
      </c>
      <c r="BE312" s="1080" t="str">
        <f t="shared" si="304"/>
        <v>Lore</v>
      </c>
      <c r="BF312" s="1080" t="str">
        <f t="shared" si="305"/>
        <v>Language Lore: Spoken</v>
      </c>
    </row>
    <row r="313" spans="1:58" ht="11.1" customHeight="1" outlineLevel="2">
      <c r="A313" s="1028" t="s">
        <v>59</v>
      </c>
      <c r="B313" s="1094" t="s">
        <v>1942</v>
      </c>
      <c r="C313" s="1094"/>
      <c r="D313" s="1094"/>
      <c r="E313" s="1095" t="s">
        <v>5224</v>
      </c>
      <c r="F313" s="1095" t="s">
        <v>5224</v>
      </c>
      <c r="G313" s="1096" t="s">
        <v>3043</v>
      </c>
      <c r="H313" s="1096" t="s">
        <v>5224</v>
      </c>
      <c r="I313" s="1096" t="s">
        <v>5224</v>
      </c>
      <c r="J313" s="1096" t="s">
        <v>5224</v>
      </c>
      <c r="K313" s="1096" t="s">
        <v>5224</v>
      </c>
      <c r="L313" s="1096">
        <v>0</v>
      </c>
      <c r="M313" s="1096" t="s">
        <v>5224</v>
      </c>
      <c r="N313" s="1096" t="s">
        <v>4631</v>
      </c>
      <c r="O313" s="1113"/>
      <c r="P313" s="1113" t="s">
        <v>13</v>
      </c>
      <c r="S313" s="1113" t="s">
        <v>58</v>
      </c>
      <c r="T313" s="1113"/>
      <c r="U313" s="1027">
        <f>IF('Main Creation Page'!$K$5=3,3,2)</f>
        <v>3</v>
      </c>
      <c r="V313" s="1027">
        <f>IF((AP313+U313+VLOOKUP('Main Creation Page'!E$14,'System Lookups'!R$45:S$49,2))&gt;10,10,IF((AP313+U313+VLOOKUP('Main Creation Page'!E$14,'System Lookups'!R$45:S$49,2))&lt;1,1,(AP313+U313+VLOOKUP('Main Creation Page'!E$14,'System Lookups'!R$45:S$49,2))))</f>
        <v>4</v>
      </c>
      <c r="W313" s="1098" t="e">
        <f>IF(OR(I313&lt;&gt;"N",E313="C"),IF(AND(N313&lt;&gt;"T",ISNUMBER(FIND("V",I313))),1,0),NA())+IF(H313="Y",IF(AND(N313="P",ISNUMBER(FIND("Z",I313))),2,1),0)+IF(J313="Y",1,0)+IF(K313="Y",3,0)+IF(BE313="Lore",L313*2+Experience!$D$25,0)+IF(M313="Y",1,0)</f>
        <v>#N/A</v>
      </c>
      <c r="X313" s="1099"/>
      <c r="Y313" s="1100">
        <f ca="1">IF(P313="NS",IFERROR(INDIRECT(S313),NA()),VLOOKUP(INDIRECT(P313)+INDIRECT(S313),'System Lookups'!$A$3:$D$146,2))</f>
        <v>0.08</v>
      </c>
      <c r="Z313" s="1100">
        <f>(X313*0.1)+IF(ISNA(W313),0,W313*0.1)</f>
        <v>0</v>
      </c>
      <c r="AA313" s="1101">
        <f ca="1">IF(ISNA(Y313),0,Y313)+Z313+IF('Main Creation Page'!AB$2=37,'Main Creation Page'!E$14/100,0)</f>
        <v>0.08</v>
      </c>
      <c r="AB313" s="1102">
        <f>VLOOKUP(V313,'System Lookups'!$J$55:$P$64,3)</f>
        <v>0.2</v>
      </c>
      <c r="AC313" s="1103">
        <f>VLOOKUP(V313,'System Lookups'!$J$55:$P$64,4)</f>
        <v>0.3</v>
      </c>
      <c r="AD313" s="1104">
        <f t="shared" si="367"/>
        <v>0</v>
      </c>
      <c r="AE313" s="1094">
        <f>(IF(AD313&gt;VLOOKUP(V313,'System Lookups'!$J$55:$P$63,6),(((AD313-VLOOKUP(V313,'System Lookups'!$J$55:$P$63,6))*100)/20),0))+AF313</f>
        <v>0</v>
      </c>
      <c r="AF313" s="1121"/>
      <c r="AG313" s="1092">
        <f t="shared" si="368"/>
        <v>0</v>
      </c>
      <c r="AH313" s="1092" t="str">
        <f>IF(X313&lt;=Experience!$R$15+1,"","*")</f>
        <v/>
      </c>
      <c r="AI313" s="1092"/>
      <c r="AJ313" s="1080">
        <f t="shared" si="369"/>
        <v>0</v>
      </c>
      <c r="AK313" s="1080">
        <f t="shared" si="370"/>
        <v>0</v>
      </c>
      <c r="AL313" s="1080">
        <f t="shared" si="371"/>
        <v>0</v>
      </c>
      <c r="AM313" s="1092">
        <f t="shared" si="372"/>
        <v>0</v>
      </c>
      <c r="AN313" s="1080">
        <f t="shared" si="373"/>
        <v>1</v>
      </c>
      <c r="AO313" s="1080">
        <f t="shared" si="374"/>
        <v>0</v>
      </c>
      <c r="AP313" s="1080">
        <f t="shared" si="375"/>
        <v>1</v>
      </c>
      <c r="AQ313" s="1027">
        <f>VLOOKUP(V313,'System Lookups'!$J$55:$P$64,7)</f>
        <v>600</v>
      </c>
      <c r="AR313" s="1080" t="str">
        <f ca="1">IF(AND(NOT(ISBLANK(AJ313)),ISNA(MATCH(ROW(),'System Lookups'!$C$526:$C$539,0))),"Y","N")</f>
        <v>Y</v>
      </c>
      <c r="AS313" s="1080">
        <f t="shared" si="376"/>
        <v>0</v>
      </c>
      <c r="AU313" s="1080" t="e">
        <f t="shared" si="311"/>
        <v>#N/A</v>
      </c>
      <c r="AV313" s="1080" t="str">
        <f t="shared" si="303"/>
        <v>T</v>
      </c>
      <c r="AW313" s="1080">
        <f t="shared" si="312"/>
        <v>0</v>
      </c>
      <c r="AX313" s="1080">
        <f t="shared" si="313"/>
        <v>0</v>
      </c>
      <c r="AY313" s="1080">
        <f t="shared" si="314"/>
        <v>0</v>
      </c>
      <c r="AZ313" s="1080">
        <f t="shared" si="315"/>
        <v>0</v>
      </c>
      <c r="BA313" s="1080">
        <f t="shared" si="316"/>
        <v>0</v>
      </c>
      <c r="BB313" s="1080">
        <f>IF(AND(RACE=1,'Main Creation Page'!$E$6="Well",OR(ISNUMBER(FIND(Experience!$G$11,BE313)),ISNUMBER(FIND(Experience!$G$11,BF313)),ISNUMBER(FIND(Experience!$I$11,BE313)),ISNUMBER(FIND(Experience!$I$11,BF313)))),1,0)</f>
        <v>1</v>
      </c>
      <c r="BC313" s="1080" t="str">
        <f t="shared" si="332"/>
        <v>Foreign Languages</v>
      </c>
      <c r="BE313" s="1080" t="str">
        <f t="shared" si="304"/>
        <v>Lore</v>
      </c>
      <c r="BF313" s="1080" t="str">
        <f t="shared" si="305"/>
        <v>Language Lore: Spoken</v>
      </c>
    </row>
    <row r="314" spans="1:58" ht="11.1" customHeight="1" outlineLevel="3">
      <c r="A314" s="1028" t="str">
        <f>IF('Main Creation Page'!$K$5=3,"Azarian","Arabic")</f>
        <v>Azarian</v>
      </c>
      <c r="B314" s="1094" t="s">
        <v>1942</v>
      </c>
      <c r="C314" s="1094"/>
      <c r="D314" s="1094"/>
      <c r="E314" s="1095" t="s">
        <v>5224</v>
      </c>
      <c r="F314" s="1095" t="s">
        <v>5224</v>
      </c>
      <c r="G314" s="1096" t="s">
        <v>3043</v>
      </c>
      <c r="H314" s="1096" t="s">
        <v>5224</v>
      </c>
      <c r="I314" s="1096" t="s">
        <v>5224</v>
      </c>
      <c r="J314" s="1096" t="s">
        <v>5224</v>
      </c>
      <c r="K314" s="1096" t="s">
        <v>5224</v>
      </c>
      <c r="L314" s="1096">
        <v>0</v>
      </c>
      <c r="M314" s="1096" t="s">
        <v>5224</v>
      </c>
      <c r="N314" s="1096" t="s">
        <v>4631</v>
      </c>
      <c r="O314" s="1113"/>
      <c r="P314" s="1113" t="s">
        <v>13</v>
      </c>
      <c r="S314" s="1113" t="s">
        <v>58</v>
      </c>
      <c r="T314" s="1113"/>
      <c r="U314" s="1027">
        <f>IF('Main Creation Page'!$K$5=3,3,2)</f>
        <v>3</v>
      </c>
      <c r="V314" s="1027">
        <f>IF((AP314+U314+VLOOKUP('Main Creation Page'!E$14,'System Lookups'!R$45:S$49,2))&gt;10,10,IF((AP314+U314+VLOOKUP('Main Creation Page'!E$14,'System Lookups'!R$45:S$49,2))&lt;1,1,(AP314+U314+VLOOKUP('Main Creation Page'!E$14,'System Lookups'!R$45:S$49,2))))</f>
        <v>4</v>
      </c>
      <c r="W314" s="1098" t="e">
        <f>IF(OR(I314&lt;&gt;"N",E314="C"),IF(AND(N314&lt;&gt;"T",ISNUMBER(FIND("V",I314))),1,0),NA())+IF(H314="Y",IF(AND(N314="P",ISNUMBER(FIND("Z",I314))),2,1),0)+IF(J314="Y",1,0)+IF(K314="Y",3,0)+IF(BE314="Lore",L314*2+Experience!$D$25,0)+IF(M314="Y",1,0)</f>
        <v>#N/A</v>
      </c>
      <c r="X314" s="1099"/>
      <c r="Y314" s="1100">
        <f ca="1">IF(P314="NS",IFERROR(INDIRECT(S314),NA()),VLOOKUP(INDIRECT(P314)+INDIRECT(S314),'System Lookups'!$A$3:$D$146,2))</f>
        <v>0.08</v>
      </c>
      <c r="Z314" s="1100">
        <f t="shared" ref="Z314:Z334" si="377">(X314*0.1)+IF(ISNA(W314),0,W314*0.1)</f>
        <v>0</v>
      </c>
      <c r="AA314" s="1101">
        <f ca="1">IF(ISNA(Y314),0,Y314)+Z314+IF('Main Creation Page'!AB$2=37,'Main Creation Page'!E$14/100,0)</f>
        <v>0.08</v>
      </c>
      <c r="AB314" s="1102">
        <f>VLOOKUP(V314,'System Lookups'!$J$55:$P$64,3)</f>
        <v>0.2</v>
      </c>
      <c r="AC314" s="1103">
        <f>VLOOKUP(V314,'System Lookups'!$J$55:$P$64,4)</f>
        <v>0.3</v>
      </c>
      <c r="AD314" s="1104">
        <f t="shared" si="367"/>
        <v>0</v>
      </c>
      <c r="AE314" s="1094">
        <f>(IF(AD314&gt;VLOOKUP(V314,'System Lookups'!$J$55:$P$63,6),(((AD314-VLOOKUP(V314,'System Lookups'!$J$55:$P$63,6))*100)/20),0))+AF314</f>
        <v>0</v>
      </c>
      <c r="AF314" s="1121"/>
      <c r="AG314" s="1092">
        <f t="shared" si="368"/>
        <v>0</v>
      </c>
      <c r="AH314" s="1092" t="str">
        <f>IF(X314&lt;=Experience!$R$15+1,"","*")</f>
        <v/>
      </c>
      <c r="AI314" s="1092"/>
      <c r="AJ314" s="1080">
        <f t="shared" si="369"/>
        <v>0</v>
      </c>
      <c r="AK314" s="1080">
        <f t="shared" ref="AK314:AK334" si="378">IF(F314="s",-2,0)</f>
        <v>0</v>
      </c>
      <c r="AL314" s="1080">
        <f t="shared" si="371"/>
        <v>0</v>
      </c>
      <c r="AM314" s="1092">
        <f t="shared" ref="AM314:AM334" si="379">IF(J314="y",1,0)</f>
        <v>0</v>
      </c>
      <c r="AN314" s="1080">
        <f t="shared" ref="AN314:AN334" si="380">IF(N314="P",-1,IF(N314="T",1,0))</f>
        <v>1</v>
      </c>
      <c r="AO314" s="1080">
        <f t="shared" si="374"/>
        <v>0</v>
      </c>
      <c r="AP314" s="1080">
        <f t="shared" si="375"/>
        <v>1</v>
      </c>
      <c r="AQ314" s="1027">
        <f>VLOOKUP(V314,'System Lookups'!$J$55:$P$64,7)</f>
        <v>600</v>
      </c>
      <c r="AR314" s="1080" t="str">
        <f ca="1">IF(AND(NOT(ISBLANK(AJ314)),ISNA(MATCH(ROW(),'System Lookups'!$C$526:$C$539,0))),"Y","N")</f>
        <v>Y</v>
      </c>
      <c r="AS314" s="1080">
        <f t="shared" si="376"/>
        <v>0</v>
      </c>
      <c r="AU314" s="1080" t="e">
        <f t="shared" si="311"/>
        <v>#N/A</v>
      </c>
      <c r="AV314" s="1080" t="str">
        <f t="shared" ref="AV314:AV377" si="381">IF(ISNUMBER(U314),CONCATENATE(IF(E314="C","C",""),IF(H314="Y","M",""),N314,IF(ISNUMBER(FIND("F",I314)),"Bk",""),IF(ISNUMBER(FIND("Z",I314)),"Zm",""),IF(J314="Y","L",""),IF(OR(K314="Y",AND(ISNUMBER(L314),L314&gt;0),M314="Y"),"Sa","")),"")</f>
        <v>T</v>
      </c>
      <c r="AW314" s="1080">
        <f t="shared" si="312"/>
        <v>0</v>
      </c>
      <c r="AX314" s="1080">
        <f t="shared" si="313"/>
        <v>0</v>
      </c>
      <c r="AY314" s="1080">
        <f t="shared" si="314"/>
        <v>0</v>
      </c>
      <c r="AZ314" s="1080">
        <f t="shared" si="315"/>
        <v>0</v>
      </c>
      <c r="BA314" s="1080">
        <f t="shared" si="316"/>
        <v>0</v>
      </c>
      <c r="BB314" s="1080">
        <f>IF(AND(RACE=1,'Main Creation Page'!$E$6="Well",OR(ISNUMBER(FIND(Experience!$G$11,BE314)),ISNUMBER(FIND(Experience!$G$11,BF314)),ISNUMBER(FIND(Experience!$I$11,BE314)),ISNUMBER(FIND(Experience!$I$11,BF314)))),1,0)</f>
        <v>1</v>
      </c>
      <c r="BC314" s="1080" t="str">
        <f t="shared" si="332"/>
        <v>Foreign:Azarian</v>
      </c>
      <c r="BD314" s="1080" t="s">
        <v>5691</v>
      </c>
      <c r="BE314" s="1080" t="str">
        <f t="shared" ref="BE314:BE377" si="382">IF(OR(ISNUMBER(FIND("Lore",BF314)),ISNUMBER(FIND("Materia",BF314)),ISNUMBER(FIND("Lore",BD314))),"Lore","")</f>
        <v>Lore</v>
      </c>
      <c r="BF314" s="1080" t="str">
        <f t="shared" ref="BF314:BF377" si="383">IF(ISBLANK(AC314),IF(OR(ISNA(BC314),ISBLANK(BC314)),BF313,BC314),BF313)</f>
        <v>Language Lore: Spoken</v>
      </c>
    </row>
    <row r="315" spans="1:58" ht="11.1" customHeight="1" outlineLevel="3">
      <c r="A315" s="1028" t="str">
        <f>IF('Main Creation Page'!$K$5=3,"Pacfin","Spanish")</f>
        <v>Pacfin</v>
      </c>
      <c r="B315" s="1094" t="s">
        <v>1942</v>
      </c>
      <c r="C315" s="1094"/>
      <c r="D315" s="1094"/>
      <c r="E315" s="1095" t="s">
        <v>5224</v>
      </c>
      <c r="F315" s="1095" t="s">
        <v>5224</v>
      </c>
      <c r="G315" s="1096" t="s">
        <v>3043</v>
      </c>
      <c r="H315" s="1096" t="s">
        <v>5224</v>
      </c>
      <c r="I315" s="1096" t="s">
        <v>5224</v>
      </c>
      <c r="J315" s="1096" t="s">
        <v>5224</v>
      </c>
      <c r="K315" s="1096" t="s">
        <v>5224</v>
      </c>
      <c r="L315" s="1096">
        <v>0</v>
      </c>
      <c r="M315" s="1096" t="s">
        <v>5224</v>
      </c>
      <c r="N315" s="1096" t="s">
        <v>4631</v>
      </c>
      <c r="O315" s="1113"/>
      <c r="P315" s="1113" t="s">
        <v>13</v>
      </c>
      <c r="S315" s="1113" t="s">
        <v>58</v>
      </c>
      <c r="T315" s="1113"/>
      <c r="U315" s="1027">
        <f>IF('Main Creation Page'!$K$5=3,3,2)</f>
        <v>3</v>
      </c>
      <c r="V315" s="1027">
        <f>IF((AP315+U315+VLOOKUP('Main Creation Page'!E$14,'System Lookups'!R$45:S$49,2))&gt;10,10,IF((AP315+U315+VLOOKUP('Main Creation Page'!E$14,'System Lookups'!R$45:S$49,2))&lt;1,1,(AP315+U315+VLOOKUP('Main Creation Page'!E$14,'System Lookups'!R$45:S$49,2))))</f>
        <v>4</v>
      </c>
      <c r="W315" s="1098" t="e">
        <f>IF(OR(I315&lt;&gt;"N",E315="C"),IF(AND(N315&lt;&gt;"T",ISNUMBER(FIND("V",I315))),1,0),NA())+IF(H315="Y",IF(AND(N315="P",ISNUMBER(FIND("Z",I315))),2,1),0)+IF(J315="Y",1,0)+IF(K315="Y",3,0)+IF(BE315="Lore",L315*2+Experience!$D$25,0)+IF(M315="Y",1,0)</f>
        <v>#N/A</v>
      </c>
      <c r="X315" s="1099"/>
      <c r="Y315" s="1100">
        <f ca="1">IF(P315="NS",IFERROR(INDIRECT(S315),NA()),VLOOKUP(INDIRECT(P315)+INDIRECT(S315),'System Lookups'!$A$3:$D$146,2))</f>
        <v>0.08</v>
      </c>
      <c r="Z315" s="1100">
        <f t="shared" si="377"/>
        <v>0</v>
      </c>
      <c r="AA315" s="1101">
        <f ca="1">IF(ISNA(Y315),0,Y315)+Z315+IF('Main Creation Page'!AB$2=37,'Main Creation Page'!E$14/100,0)</f>
        <v>0.08</v>
      </c>
      <c r="AB315" s="1102">
        <f>VLOOKUP(V315,'System Lookups'!$J$55:$P$64,3)</f>
        <v>0.2</v>
      </c>
      <c r="AC315" s="1103">
        <f>VLOOKUP(V315,'System Lookups'!$J$55:$P$64,4)</f>
        <v>0.3</v>
      </c>
      <c r="AD315" s="1104">
        <f t="shared" si="367"/>
        <v>0</v>
      </c>
      <c r="AE315" s="1094">
        <f>(IF(AD315&gt;VLOOKUP(V315,'System Lookups'!$J$55:$P$63,6),(((AD315-VLOOKUP(V315,'System Lookups'!$J$55:$P$63,6))*100)/20),0))+AF315</f>
        <v>0</v>
      </c>
      <c r="AF315" s="1121"/>
      <c r="AG315" s="1092">
        <f t="shared" si="368"/>
        <v>0</v>
      </c>
      <c r="AH315" s="1092" t="str">
        <f>IF(X315&lt;=Experience!$R$15+1,"","*")</f>
        <v/>
      </c>
      <c r="AI315" s="1092"/>
      <c r="AJ315" s="1080">
        <f t="shared" si="369"/>
        <v>0</v>
      </c>
      <c r="AK315" s="1080">
        <f t="shared" si="378"/>
        <v>0</v>
      </c>
      <c r="AL315" s="1080">
        <f t="shared" si="371"/>
        <v>0</v>
      </c>
      <c r="AM315" s="1092">
        <f t="shared" si="379"/>
        <v>0</v>
      </c>
      <c r="AN315" s="1080">
        <f t="shared" si="380"/>
        <v>1</v>
      </c>
      <c r="AO315" s="1080">
        <f t="shared" si="374"/>
        <v>0</v>
      </c>
      <c r="AP315" s="1080">
        <f t="shared" si="375"/>
        <v>1</v>
      </c>
      <c r="AQ315" s="1027">
        <f>VLOOKUP(V315,'System Lookups'!$J$55:$P$64,7)</f>
        <v>600</v>
      </c>
      <c r="AR315" s="1080" t="str">
        <f ca="1">IF(AND(NOT(ISBLANK(AJ315)),ISNA(MATCH(ROW(),'System Lookups'!$C$526:$C$539,0))),"Y","N")</f>
        <v>Y</v>
      </c>
      <c r="AS315" s="1080">
        <f t="shared" si="376"/>
        <v>0</v>
      </c>
      <c r="AU315" s="1080" t="e">
        <f t="shared" ref="AU315:AU378" si="384">IF(AND(NOT(ISNUMBER($W315)),ISBLANK($X315)),NA(),IFERROR($W315+$X315,$X315))</f>
        <v>#N/A</v>
      </c>
      <c r="AV315" s="1080" t="str">
        <f t="shared" si="381"/>
        <v>T</v>
      </c>
      <c r="AW315" s="1080">
        <f t="shared" ref="AW315:AW378" si="385">IF(OR(I315="N",ISBLANK(I315)),0,1)</f>
        <v>0</v>
      </c>
      <c r="AX315" s="1080">
        <f t="shared" ref="AX315:AX378" si="386">IF($N315="P",IF(ISNUMBER(FIND("V",$I315)),1,0),0)</f>
        <v>0</v>
      </c>
      <c r="AY315" s="1080">
        <f t="shared" ref="AY315:AY378" si="387">IF($N315="S",IF(ISNUMBER(FIND("V",$I315)),1,0),0)</f>
        <v>0</v>
      </c>
      <c r="AZ315" s="1080">
        <f t="shared" ref="AZ315:AZ378" si="388">IF($N315="T",IF(ISNUMBER(FIND("V",$I315)),1,0),0)</f>
        <v>0</v>
      </c>
      <c r="BA315" s="1080">
        <f t="shared" ref="BA315:BA378" si="389">IF($N315&lt;&gt;"T",IF(OR(ISNUMBER(FIND("C",$I315)),ISNUMBER(FIND("D",$I315)),ISNUMBER(FIND("E",$I315)),ISNUMBER(FIND("F",$I315)),ISNUMBER(FIND("L",$I315)),ISNUMBER(FIND("R",$I315)),ISNUMBER(FIND("S",$I315))),1,0),0)</f>
        <v>0</v>
      </c>
      <c r="BB315" s="1080">
        <f>IF(AND(RACE=1,'Main Creation Page'!$E$6="Well",OR(ISNUMBER(FIND(Experience!$G$11,BE315)),ISNUMBER(FIND(Experience!$G$11,BF315)),ISNUMBER(FIND(Experience!$I$11,BE315)),ISNUMBER(FIND(Experience!$I$11,BF315)))),1,0)</f>
        <v>1</v>
      </c>
      <c r="BC315" s="1080" t="str">
        <f t="shared" si="332"/>
        <v>Foreign:Pacfin</v>
      </c>
      <c r="BD315" s="1080" t="s">
        <v>5691</v>
      </c>
      <c r="BE315" s="1080" t="str">
        <f t="shared" si="382"/>
        <v>Lore</v>
      </c>
      <c r="BF315" s="1080" t="str">
        <f t="shared" si="383"/>
        <v>Language Lore: Spoken</v>
      </c>
    </row>
    <row r="316" spans="1:58" ht="11.1" customHeight="1" outlineLevel="3">
      <c r="A316" s="1028" t="str">
        <f>IF('Main Creation Page'!$K$5=3,"Utan","Hungarian")</f>
        <v>Utan</v>
      </c>
      <c r="B316" s="1094" t="s">
        <v>1942</v>
      </c>
      <c r="C316" s="1094"/>
      <c r="D316" s="1094"/>
      <c r="E316" s="1095" t="s">
        <v>5224</v>
      </c>
      <c r="F316" s="1095" t="s">
        <v>5224</v>
      </c>
      <c r="G316" s="1096" t="s">
        <v>3043</v>
      </c>
      <c r="H316" s="1096" t="s">
        <v>5224</v>
      </c>
      <c r="I316" s="1096" t="s">
        <v>5224</v>
      </c>
      <c r="J316" s="1096" t="s">
        <v>5224</v>
      </c>
      <c r="K316" s="1096" t="s">
        <v>5224</v>
      </c>
      <c r="L316" s="1096">
        <v>0</v>
      </c>
      <c r="M316" s="1096" t="s">
        <v>5224</v>
      </c>
      <c r="N316" s="1096" t="s">
        <v>4631</v>
      </c>
      <c r="O316" s="1113"/>
      <c r="P316" s="1113" t="s">
        <v>13</v>
      </c>
      <c r="S316" s="1113" t="s">
        <v>58</v>
      </c>
      <c r="T316" s="1113"/>
      <c r="U316" s="1027">
        <f>IF('Main Creation Page'!$K$5=3,3,2)</f>
        <v>3</v>
      </c>
      <c r="V316" s="1027">
        <f>IF((AP316+U316+VLOOKUP('Main Creation Page'!E$14,'System Lookups'!R$45:S$49,2))&gt;10,10,IF((AP316+U316+VLOOKUP('Main Creation Page'!E$14,'System Lookups'!R$45:S$49,2))&lt;1,1,(AP316+U316+VLOOKUP('Main Creation Page'!E$14,'System Lookups'!R$45:S$49,2))))</f>
        <v>4</v>
      </c>
      <c r="W316" s="1098" t="e">
        <f>IF(OR(I316&lt;&gt;"N",E316="C"),IF(AND(N316&lt;&gt;"T",ISNUMBER(FIND("V",I316))),1,0),NA())+IF(H316="Y",IF(AND(N316="P",ISNUMBER(FIND("Z",I316))),2,1),0)+IF(J316="Y",1,0)+IF(K316="Y",3,0)+IF(BE316="Lore",L316*2+Experience!$D$25,0)+IF(M316="Y",1,0)</f>
        <v>#N/A</v>
      </c>
      <c r="X316" s="1099"/>
      <c r="Y316" s="1100">
        <f ca="1">IF(P316="NS",IFERROR(INDIRECT(S316),NA()),VLOOKUP(INDIRECT(P316)+INDIRECT(S316),'System Lookups'!$A$3:$D$146,2))</f>
        <v>0.08</v>
      </c>
      <c r="Z316" s="1100">
        <f t="shared" si="377"/>
        <v>0</v>
      </c>
      <c r="AA316" s="1101">
        <f ca="1">IF(ISNA(Y316),0,Y316)+Z316+IF('Main Creation Page'!AB$2=37,'Main Creation Page'!E$14/100,0)</f>
        <v>0.08</v>
      </c>
      <c r="AB316" s="1102">
        <f>VLOOKUP(V316,'System Lookups'!$J$55:$P$64,3)</f>
        <v>0.2</v>
      </c>
      <c r="AC316" s="1103">
        <f>VLOOKUP(V316,'System Lookups'!$J$55:$P$64,4)</f>
        <v>0.3</v>
      </c>
      <c r="AD316" s="1104">
        <f t="shared" si="367"/>
        <v>0</v>
      </c>
      <c r="AE316" s="1094">
        <f>(IF(AD316&gt;VLOOKUP(V316,'System Lookups'!$J$55:$P$63,6),(((AD316-VLOOKUP(V316,'System Lookups'!$J$55:$P$63,6))*100)/20),0))+AF316</f>
        <v>0</v>
      </c>
      <c r="AF316" s="1121"/>
      <c r="AG316" s="1092">
        <f t="shared" si="368"/>
        <v>0</v>
      </c>
      <c r="AH316" s="1092" t="str">
        <f>IF(X316&lt;=Experience!$R$15+1,"","*")</f>
        <v/>
      </c>
      <c r="AI316" s="1092"/>
      <c r="AJ316" s="1080">
        <f t="shared" si="369"/>
        <v>0</v>
      </c>
      <c r="AK316" s="1080">
        <f t="shared" si="378"/>
        <v>0</v>
      </c>
      <c r="AL316" s="1080">
        <f t="shared" si="371"/>
        <v>0</v>
      </c>
      <c r="AM316" s="1092">
        <f t="shared" si="379"/>
        <v>0</v>
      </c>
      <c r="AN316" s="1080">
        <f t="shared" si="380"/>
        <v>1</v>
      </c>
      <c r="AO316" s="1080">
        <f t="shared" si="374"/>
        <v>0</v>
      </c>
      <c r="AP316" s="1080">
        <f t="shared" si="375"/>
        <v>1</v>
      </c>
      <c r="AQ316" s="1027">
        <f>VLOOKUP(V316,'System Lookups'!$J$55:$P$64,7)</f>
        <v>600</v>
      </c>
      <c r="AR316" s="1080" t="str">
        <f ca="1">IF(AND(NOT(ISBLANK(AJ316)),ISNA(MATCH(ROW(),'System Lookups'!$C$526:$C$539,0))),"Y","N")</f>
        <v>Y</v>
      </c>
      <c r="AS316" s="1080">
        <f t="shared" si="376"/>
        <v>0</v>
      </c>
      <c r="AU316" s="1080" t="e">
        <f t="shared" si="384"/>
        <v>#N/A</v>
      </c>
      <c r="AV316" s="1080" t="str">
        <f t="shared" si="381"/>
        <v>T</v>
      </c>
      <c r="AW316" s="1080">
        <f t="shared" si="385"/>
        <v>0</v>
      </c>
      <c r="AX316" s="1080">
        <f t="shared" si="386"/>
        <v>0</v>
      </c>
      <c r="AY316" s="1080">
        <f t="shared" si="387"/>
        <v>0</v>
      </c>
      <c r="AZ316" s="1080">
        <f t="shared" si="388"/>
        <v>0</v>
      </c>
      <c r="BA316" s="1080">
        <f t="shared" si="389"/>
        <v>0</v>
      </c>
      <c r="BB316" s="1080">
        <f>IF(AND(RACE=1,'Main Creation Page'!$E$6="Well",OR(ISNUMBER(FIND(Experience!$G$11,BE316)),ISNUMBER(FIND(Experience!$G$11,BF316)),ISNUMBER(FIND(Experience!$I$11,BE316)),ISNUMBER(FIND(Experience!$I$11,BF316)))),1,0)</f>
        <v>1</v>
      </c>
      <c r="BC316" s="1080" t="str">
        <f t="shared" si="332"/>
        <v>Foreign:Utan</v>
      </c>
      <c r="BD316" s="1080" t="s">
        <v>5691</v>
      </c>
      <c r="BE316" s="1080" t="str">
        <f t="shared" si="382"/>
        <v>Lore</v>
      </c>
      <c r="BF316" s="1080" t="str">
        <f t="shared" si="383"/>
        <v>Language Lore: Spoken</v>
      </c>
    </row>
    <row r="317" spans="1:58" ht="11.1" customHeight="1" outlineLevel="3">
      <c r="A317" s="1028" t="str">
        <f>IF('Main Creation Page'!$K$5=3,"Kingdom","English")</f>
        <v>Kingdom</v>
      </c>
      <c r="B317" s="1094" t="s">
        <v>1942</v>
      </c>
      <c r="C317" s="1094"/>
      <c r="D317" s="1094"/>
      <c r="E317" s="1095" t="s">
        <v>5224</v>
      </c>
      <c r="F317" s="1095" t="s">
        <v>5224</v>
      </c>
      <c r="G317" s="1096" t="s">
        <v>3043</v>
      </c>
      <c r="H317" s="1096" t="s">
        <v>5224</v>
      </c>
      <c r="I317" s="1096" t="s">
        <v>5224</v>
      </c>
      <c r="J317" s="1096" t="s">
        <v>5224</v>
      </c>
      <c r="K317" s="1096" t="s">
        <v>5224</v>
      </c>
      <c r="L317" s="1096">
        <v>0</v>
      </c>
      <c r="M317" s="1096" t="s">
        <v>5224</v>
      </c>
      <c r="N317" s="1096" t="s">
        <v>4631</v>
      </c>
      <c r="O317" s="1113"/>
      <c r="P317" s="1113" t="s">
        <v>13</v>
      </c>
      <c r="S317" s="1113" t="s">
        <v>58</v>
      </c>
      <c r="T317" s="1113"/>
      <c r="U317" s="1027">
        <f>IF('Main Creation Page'!$K$5=3,3,2)</f>
        <v>3</v>
      </c>
      <c r="V317" s="1027">
        <f>IF((AP317+U317+VLOOKUP('Main Creation Page'!E$14,'System Lookups'!R$45:S$49,2))&gt;10,10,IF((AP317+U317+VLOOKUP('Main Creation Page'!E$14,'System Lookups'!R$45:S$49,2))&lt;1,1,(AP317+U317+VLOOKUP('Main Creation Page'!E$14,'System Lookups'!R$45:S$49,2))))</f>
        <v>4</v>
      </c>
      <c r="W317" s="1098" t="e">
        <f>IF(OR(I317&lt;&gt;"N",E317="C"),IF(AND(N317&lt;&gt;"T",ISNUMBER(FIND("V",I317))),1,0),NA())+IF(H317="Y",IF(AND(N317="P",ISNUMBER(FIND("Z",I317))),2,1),0)+IF(J317="Y",1,0)+IF(K317="Y",3,0)+IF(BE317="Lore",L317*2+Experience!$D$25,0)+IF(M317="Y",1,0)</f>
        <v>#N/A</v>
      </c>
      <c r="X317" s="1099"/>
      <c r="Y317" s="1100">
        <f ca="1">IF(P317="NS",IFERROR(INDIRECT(S317),NA()),VLOOKUP(INDIRECT(P317)+INDIRECT(S317),'System Lookups'!$A$3:$D$146,2))</f>
        <v>0.08</v>
      </c>
      <c r="Z317" s="1100">
        <f t="shared" si="377"/>
        <v>0</v>
      </c>
      <c r="AA317" s="1101">
        <f ca="1">IF(ISNA(Y317),0,Y317)+Z317+IF('Main Creation Page'!AB$2=37,'Main Creation Page'!E$14/100,0)</f>
        <v>0.08</v>
      </c>
      <c r="AB317" s="1102">
        <f>VLOOKUP(V317,'System Lookups'!$J$55:$P$64,3)</f>
        <v>0.2</v>
      </c>
      <c r="AC317" s="1103">
        <f>VLOOKUP(V317,'System Lookups'!$J$55:$P$64,4)</f>
        <v>0.3</v>
      </c>
      <c r="AD317" s="1104">
        <f t="shared" si="367"/>
        <v>0</v>
      </c>
      <c r="AE317" s="1094">
        <f>(IF(AD317&gt;VLOOKUP(V317,'System Lookups'!$J$55:$P$63,6),(((AD317-VLOOKUP(V317,'System Lookups'!$J$55:$P$63,6))*100)/20),0))+AF317</f>
        <v>0</v>
      </c>
      <c r="AF317" s="1121"/>
      <c r="AG317" s="1092">
        <f t="shared" si="368"/>
        <v>0</v>
      </c>
      <c r="AH317" s="1092" t="str">
        <f>IF(X317&lt;=Experience!$R$15+1,"","*")</f>
        <v/>
      </c>
      <c r="AI317" s="1092"/>
      <c r="AJ317" s="1080">
        <f t="shared" si="369"/>
        <v>0</v>
      </c>
      <c r="AK317" s="1080">
        <f t="shared" si="378"/>
        <v>0</v>
      </c>
      <c r="AL317" s="1080">
        <f t="shared" si="371"/>
        <v>0</v>
      </c>
      <c r="AM317" s="1092">
        <f t="shared" si="379"/>
        <v>0</v>
      </c>
      <c r="AN317" s="1080">
        <f t="shared" si="380"/>
        <v>1</v>
      </c>
      <c r="AO317" s="1080">
        <f t="shared" si="374"/>
        <v>0</v>
      </c>
      <c r="AP317" s="1080">
        <f t="shared" si="375"/>
        <v>1</v>
      </c>
      <c r="AQ317" s="1027">
        <f>VLOOKUP(V317,'System Lookups'!$J$55:$P$64,7)</f>
        <v>600</v>
      </c>
      <c r="AR317" s="1080" t="str">
        <f ca="1">IF(AND(NOT(ISBLANK(AJ317)),ISNA(MATCH(ROW(),'System Lookups'!$C$526:$C$539,0))),"Y","N")</f>
        <v>Y</v>
      </c>
      <c r="AS317" s="1080">
        <f t="shared" si="376"/>
        <v>0</v>
      </c>
      <c r="AU317" s="1080" t="e">
        <f t="shared" si="384"/>
        <v>#N/A</v>
      </c>
      <c r="AV317" s="1080" t="str">
        <f t="shared" si="381"/>
        <v>T</v>
      </c>
      <c r="AW317" s="1080">
        <f t="shared" si="385"/>
        <v>0</v>
      </c>
      <c r="AX317" s="1080">
        <f t="shared" si="386"/>
        <v>0</v>
      </c>
      <c r="AY317" s="1080">
        <f t="shared" si="387"/>
        <v>0</v>
      </c>
      <c r="AZ317" s="1080">
        <f t="shared" si="388"/>
        <v>0</v>
      </c>
      <c r="BA317" s="1080">
        <f t="shared" si="389"/>
        <v>0</v>
      </c>
      <c r="BB317" s="1080">
        <f>IF(AND(RACE=1,'Main Creation Page'!$E$6="Well",OR(ISNUMBER(FIND(Experience!$G$11,BE317)),ISNUMBER(FIND(Experience!$G$11,BF317)),ISNUMBER(FIND(Experience!$I$11,BE317)),ISNUMBER(FIND(Experience!$I$11,BF317)))),1,0)</f>
        <v>1</v>
      </c>
      <c r="BC317" s="1080" t="str">
        <f t="shared" si="332"/>
        <v>Foreign:Kingdom</v>
      </c>
      <c r="BD317" s="1080" t="s">
        <v>5691</v>
      </c>
      <c r="BE317" s="1080" t="str">
        <f t="shared" si="382"/>
        <v>Lore</v>
      </c>
      <c r="BF317" s="1080" t="str">
        <f t="shared" si="383"/>
        <v>Language Lore: Spoken</v>
      </c>
    </row>
    <row r="318" spans="1:58" ht="11.1" customHeight="1" outlineLevel="3">
      <c r="A318" s="1028" t="str">
        <f>IF('Main Creation Page'!$K$5=3,"Nortar","Nordic")</f>
        <v>Nortar</v>
      </c>
      <c r="B318" s="1094" t="s">
        <v>1942</v>
      </c>
      <c r="C318" s="1094"/>
      <c r="D318" s="1094"/>
      <c r="E318" s="1095" t="s">
        <v>5224</v>
      </c>
      <c r="F318" s="1095" t="s">
        <v>5224</v>
      </c>
      <c r="G318" s="1096" t="s">
        <v>3043</v>
      </c>
      <c r="H318" s="1096" t="s">
        <v>5224</v>
      </c>
      <c r="I318" s="1096" t="s">
        <v>5224</v>
      </c>
      <c r="J318" s="1096" t="s">
        <v>5224</v>
      </c>
      <c r="K318" s="1096" t="s">
        <v>5224</v>
      </c>
      <c r="L318" s="1096">
        <v>0</v>
      </c>
      <c r="M318" s="1096" t="s">
        <v>5224</v>
      </c>
      <c r="N318" s="1096" t="s">
        <v>4631</v>
      </c>
      <c r="O318" s="1113"/>
      <c r="P318" s="1113" t="s">
        <v>13</v>
      </c>
      <c r="S318" s="1113" t="s">
        <v>58</v>
      </c>
      <c r="T318" s="1113"/>
      <c r="U318" s="1027">
        <f>IF('Main Creation Page'!$K$5=3,3,2)</f>
        <v>3</v>
      </c>
      <c r="V318" s="1027">
        <f>IF((AP318+U318+VLOOKUP('Main Creation Page'!E$14,'System Lookups'!R$45:S$49,2))&gt;10,10,IF((AP318+U318+VLOOKUP('Main Creation Page'!E$14,'System Lookups'!R$45:S$49,2))&lt;1,1,(AP318+U318+VLOOKUP('Main Creation Page'!E$14,'System Lookups'!R$45:S$49,2))))</f>
        <v>4</v>
      </c>
      <c r="W318" s="1098" t="e">
        <f>IF(OR(I318&lt;&gt;"N",E318="C"),IF(AND(N318&lt;&gt;"T",ISNUMBER(FIND("V",I318))),1,0),NA())+IF(H318="Y",IF(AND(N318="P",ISNUMBER(FIND("Z",I318))),2,1),0)+IF(J318="Y",1,0)+IF(K318="Y",3,0)+IF(BE318="Lore",L318*2+Experience!$D$25,0)+IF(M318="Y",1,0)</f>
        <v>#N/A</v>
      </c>
      <c r="X318" s="1099"/>
      <c r="Y318" s="1100">
        <f ca="1">IF(P318="NS",IFERROR(INDIRECT(S318),NA()),VLOOKUP(INDIRECT(P318)+INDIRECT(S318),'System Lookups'!$A$3:$D$146,2))</f>
        <v>0.08</v>
      </c>
      <c r="Z318" s="1100">
        <f t="shared" si="377"/>
        <v>0</v>
      </c>
      <c r="AA318" s="1101">
        <f ca="1">IF(ISNA(Y318),0,Y318)+Z318+IF('Main Creation Page'!AB$2=37,'Main Creation Page'!E$14/100,0)</f>
        <v>0.08</v>
      </c>
      <c r="AB318" s="1102">
        <f>VLOOKUP(V318,'System Lookups'!$J$55:$P$64,3)</f>
        <v>0.2</v>
      </c>
      <c r="AC318" s="1103">
        <f>VLOOKUP(V318,'System Lookups'!$J$55:$P$64,4)</f>
        <v>0.3</v>
      </c>
      <c r="AD318" s="1104">
        <f t="shared" si="367"/>
        <v>0</v>
      </c>
      <c r="AE318" s="1094">
        <f>(IF(AD318&gt;VLOOKUP(V318,'System Lookups'!$J$55:$P$63,6),(((AD318-VLOOKUP(V318,'System Lookups'!$J$55:$P$63,6))*100)/20),0))+AF318</f>
        <v>0</v>
      </c>
      <c r="AF318" s="1121"/>
      <c r="AG318" s="1092">
        <f t="shared" si="368"/>
        <v>0</v>
      </c>
      <c r="AH318" s="1092" t="str">
        <f>IF(X318&lt;=Experience!$R$15+1,"","*")</f>
        <v/>
      </c>
      <c r="AI318" s="1092"/>
      <c r="AJ318" s="1080">
        <f t="shared" si="369"/>
        <v>0</v>
      </c>
      <c r="AK318" s="1080">
        <f t="shared" si="378"/>
        <v>0</v>
      </c>
      <c r="AL318" s="1080">
        <f t="shared" si="371"/>
        <v>0</v>
      </c>
      <c r="AM318" s="1092">
        <f t="shared" si="379"/>
        <v>0</v>
      </c>
      <c r="AN318" s="1080">
        <f t="shared" si="380"/>
        <v>1</v>
      </c>
      <c r="AO318" s="1080">
        <f t="shared" si="374"/>
        <v>0</v>
      </c>
      <c r="AP318" s="1080">
        <f t="shared" si="375"/>
        <v>1</v>
      </c>
      <c r="AQ318" s="1027">
        <f>VLOOKUP(V318,'System Lookups'!$J$55:$P$64,7)</f>
        <v>600</v>
      </c>
      <c r="AR318" s="1080" t="str">
        <f ca="1">IF(AND(NOT(ISBLANK(AJ318)),ISNA(MATCH(ROW(),'System Lookups'!$C$526:$C$539,0))),"Y","N")</f>
        <v>Y</v>
      </c>
      <c r="AS318" s="1080">
        <f t="shared" si="376"/>
        <v>0</v>
      </c>
      <c r="AU318" s="1080" t="e">
        <f t="shared" si="384"/>
        <v>#N/A</v>
      </c>
      <c r="AV318" s="1080" t="str">
        <f t="shared" si="381"/>
        <v>T</v>
      </c>
      <c r="AW318" s="1080">
        <f t="shared" si="385"/>
        <v>0</v>
      </c>
      <c r="AX318" s="1080">
        <f t="shared" si="386"/>
        <v>0</v>
      </c>
      <c r="AY318" s="1080">
        <f t="shared" si="387"/>
        <v>0</v>
      </c>
      <c r="AZ318" s="1080">
        <f t="shared" si="388"/>
        <v>0</v>
      </c>
      <c r="BA318" s="1080">
        <f t="shared" si="389"/>
        <v>0</v>
      </c>
      <c r="BB318" s="1080">
        <f>IF(AND(RACE=1,'Main Creation Page'!$E$6="Well",OR(ISNUMBER(FIND(Experience!$G$11,BE318)),ISNUMBER(FIND(Experience!$G$11,BF318)),ISNUMBER(FIND(Experience!$I$11,BE318)),ISNUMBER(FIND(Experience!$I$11,BF318)))),1,0)</f>
        <v>1</v>
      </c>
      <c r="BC318" s="1080" t="str">
        <f t="shared" si="332"/>
        <v>Foreign:Nortar</v>
      </c>
      <c r="BD318" s="1080" t="s">
        <v>5691</v>
      </c>
      <c r="BE318" s="1080" t="str">
        <f t="shared" si="382"/>
        <v>Lore</v>
      </c>
      <c r="BF318" s="1080" t="str">
        <f t="shared" si="383"/>
        <v>Language Lore: Spoken</v>
      </c>
    </row>
    <row r="319" spans="1:58" ht="11.1" customHeight="1" outlineLevel="3">
      <c r="A319" s="1028" t="str">
        <f>IF('Main Creation Page'!$K$5=3, "Larton","Russian")</f>
        <v>Larton</v>
      </c>
      <c r="B319" s="1094" t="s">
        <v>1942</v>
      </c>
      <c r="C319" s="1094"/>
      <c r="D319" s="1094"/>
      <c r="E319" s="1095" t="s">
        <v>5224</v>
      </c>
      <c r="F319" s="1095" t="s">
        <v>5224</v>
      </c>
      <c r="G319" s="1096" t="s">
        <v>3043</v>
      </c>
      <c r="H319" s="1096" t="s">
        <v>5224</v>
      </c>
      <c r="I319" s="1096" t="s">
        <v>5224</v>
      </c>
      <c r="J319" s="1096" t="s">
        <v>5224</v>
      </c>
      <c r="K319" s="1096" t="s">
        <v>5224</v>
      </c>
      <c r="L319" s="1096">
        <v>0</v>
      </c>
      <c r="M319" s="1096" t="s">
        <v>5224</v>
      </c>
      <c r="N319" s="1096" t="s">
        <v>4631</v>
      </c>
      <c r="O319" s="1113"/>
      <c r="P319" s="1113" t="s">
        <v>13</v>
      </c>
      <c r="S319" s="1113" t="s">
        <v>58</v>
      </c>
      <c r="T319" s="1113"/>
      <c r="U319" s="1027">
        <f>IF('Main Creation Page'!$K$5=3,3,2)</f>
        <v>3</v>
      </c>
      <c r="V319" s="1027">
        <f>IF((AP319+U319+VLOOKUP('Main Creation Page'!E$14,'System Lookups'!R$45:S$49,2))&gt;10,10,IF((AP319+U319+VLOOKUP('Main Creation Page'!E$14,'System Lookups'!R$45:S$49,2))&lt;1,1,(AP319+U319+VLOOKUP('Main Creation Page'!E$14,'System Lookups'!R$45:S$49,2))))</f>
        <v>4</v>
      </c>
      <c r="W319" s="1098" t="e">
        <f>IF(OR(I319&lt;&gt;"N",E319="C"),IF(AND(N319&lt;&gt;"T",ISNUMBER(FIND("V",I319))),1,0),NA())+IF(H319="Y",IF(AND(N319="P",ISNUMBER(FIND("Z",I319))),2,1),0)+IF(J319="Y",1,0)+IF(K319="Y",3,0)+IF(BE319="Lore",L319*2+Experience!$D$25,0)+IF(M319="Y",1,0)</f>
        <v>#N/A</v>
      </c>
      <c r="X319" s="1099"/>
      <c r="Y319" s="1100">
        <f ca="1">IF(P319="NS",IFERROR(INDIRECT(S319),NA()),VLOOKUP(INDIRECT(P319)+INDIRECT(S319),'System Lookups'!$A$3:$D$146,2))</f>
        <v>0.08</v>
      </c>
      <c r="Z319" s="1100">
        <f t="shared" si="377"/>
        <v>0</v>
      </c>
      <c r="AA319" s="1101">
        <f ca="1">IF(ISNA(Y319),0,Y319)+Z319+IF('Main Creation Page'!AB$2=37,'Main Creation Page'!E$14/100,0)</f>
        <v>0.08</v>
      </c>
      <c r="AB319" s="1102">
        <f>VLOOKUP(V319,'System Lookups'!$J$55:$P$64,3)</f>
        <v>0.2</v>
      </c>
      <c r="AC319" s="1103">
        <f>VLOOKUP(V319,'System Lookups'!$J$55:$P$64,4)</f>
        <v>0.3</v>
      </c>
      <c r="AD319" s="1104">
        <f t="shared" si="367"/>
        <v>0</v>
      </c>
      <c r="AE319" s="1094">
        <f>(IF(AD319&gt;VLOOKUP(V319,'System Lookups'!$J$55:$P$63,6),(((AD319-VLOOKUP(V319,'System Lookups'!$J$55:$P$63,6))*100)/20),0))+AF319</f>
        <v>0</v>
      </c>
      <c r="AF319" s="1121"/>
      <c r="AG319" s="1092">
        <f t="shared" si="368"/>
        <v>0</v>
      </c>
      <c r="AH319" s="1092" t="str">
        <f>IF(X319&lt;=Experience!$R$15+1,"","*")</f>
        <v/>
      </c>
      <c r="AI319" s="1092"/>
      <c r="AJ319" s="1080">
        <f t="shared" si="369"/>
        <v>0</v>
      </c>
      <c r="AK319" s="1080">
        <f t="shared" si="378"/>
        <v>0</v>
      </c>
      <c r="AL319" s="1080">
        <f t="shared" si="371"/>
        <v>0</v>
      </c>
      <c r="AM319" s="1092">
        <f t="shared" si="379"/>
        <v>0</v>
      </c>
      <c r="AN319" s="1080">
        <f t="shared" si="380"/>
        <v>1</v>
      </c>
      <c r="AO319" s="1080">
        <f t="shared" si="374"/>
        <v>0</v>
      </c>
      <c r="AP319" s="1080">
        <f t="shared" si="375"/>
        <v>1</v>
      </c>
      <c r="AQ319" s="1027">
        <f>VLOOKUP(V319,'System Lookups'!$J$55:$P$64,7)</f>
        <v>600</v>
      </c>
      <c r="AR319" s="1080" t="str">
        <f ca="1">IF(AND(NOT(ISBLANK(AJ319)),ISNA(MATCH(ROW(),'System Lookups'!$C$526:$C$539,0))),"Y","N")</f>
        <v>Y</v>
      </c>
      <c r="AS319" s="1080">
        <f t="shared" si="376"/>
        <v>0</v>
      </c>
      <c r="AU319" s="1080" t="e">
        <f t="shared" si="384"/>
        <v>#N/A</v>
      </c>
      <c r="AV319" s="1080" t="str">
        <f t="shared" si="381"/>
        <v>T</v>
      </c>
      <c r="AW319" s="1080">
        <f t="shared" si="385"/>
        <v>0</v>
      </c>
      <c r="AX319" s="1080">
        <f t="shared" si="386"/>
        <v>0</v>
      </c>
      <c r="AY319" s="1080">
        <f t="shared" si="387"/>
        <v>0</v>
      </c>
      <c r="AZ319" s="1080">
        <f t="shared" si="388"/>
        <v>0</v>
      </c>
      <c r="BA319" s="1080">
        <f t="shared" si="389"/>
        <v>0</v>
      </c>
      <c r="BB319" s="1080">
        <f>IF(AND(RACE=1,'Main Creation Page'!$E$6="Well",OR(ISNUMBER(FIND(Experience!$G$11,BE319)),ISNUMBER(FIND(Experience!$G$11,BF319)),ISNUMBER(FIND(Experience!$I$11,BE319)),ISNUMBER(FIND(Experience!$I$11,BF319)))),1,0)</f>
        <v>1</v>
      </c>
      <c r="BC319" s="1080" t="str">
        <f t="shared" si="332"/>
        <v>Foreign:Larton</v>
      </c>
      <c r="BD319" s="1080" t="s">
        <v>5691</v>
      </c>
      <c r="BE319" s="1080" t="str">
        <f t="shared" si="382"/>
        <v>Lore</v>
      </c>
      <c r="BF319" s="1080" t="str">
        <f t="shared" si="383"/>
        <v>Language Lore: Spoken</v>
      </c>
    </row>
    <row r="320" spans="1:58" ht="11.1" customHeight="1" outlineLevel="3">
      <c r="A320" s="1028" t="s">
        <v>3247</v>
      </c>
      <c r="B320" s="1094" t="s">
        <v>1942</v>
      </c>
      <c r="C320" s="1094"/>
      <c r="D320" s="1094"/>
      <c r="E320" s="1095" t="s">
        <v>5224</v>
      </c>
      <c r="F320" s="1095" t="s">
        <v>5224</v>
      </c>
      <c r="G320" s="1096" t="s">
        <v>3043</v>
      </c>
      <c r="H320" s="1096" t="s">
        <v>5224</v>
      </c>
      <c r="I320" s="1096" t="s">
        <v>5224</v>
      </c>
      <c r="J320" s="1096" t="s">
        <v>5224</v>
      </c>
      <c r="K320" s="1096" t="s">
        <v>5224</v>
      </c>
      <c r="L320" s="1096">
        <v>0</v>
      </c>
      <c r="M320" s="1096" t="s">
        <v>5224</v>
      </c>
      <c r="N320" s="1096" t="s">
        <v>4631</v>
      </c>
      <c r="O320" s="1113"/>
      <c r="P320" s="1113" t="s">
        <v>13</v>
      </c>
      <c r="S320" s="1113" t="s">
        <v>58</v>
      </c>
      <c r="T320" s="1113"/>
      <c r="U320" s="1027">
        <f>IF('Main Creation Page'!$K$5=3,3,2)</f>
        <v>3</v>
      </c>
      <c r="V320" s="1027">
        <f>IF((AP320+U320+VLOOKUP('Main Creation Page'!E$14,'System Lookups'!R$45:S$49,2))&gt;10,10,IF((AP320+U320+VLOOKUP('Main Creation Page'!E$14,'System Lookups'!R$45:S$49,2))&lt;1,1,(AP320+U320+VLOOKUP('Main Creation Page'!E$14,'System Lookups'!R$45:S$49,2))))</f>
        <v>4</v>
      </c>
      <c r="W320" s="1098" t="e">
        <f>IF(OR(I320&lt;&gt;"N",E320="C"),IF(AND(N320&lt;&gt;"T",ISNUMBER(FIND("V",I320))),1,0),NA())+IF(H320="Y",IF(AND(N320="P",ISNUMBER(FIND("Z",I320))),2,1),0)+IF(J320="Y",1,0)+IF(K320="Y",3,0)+IF(BE320="Lore",L320*2+Experience!$D$25,0)+IF(M320="Y",1,0)</f>
        <v>#N/A</v>
      </c>
      <c r="X320" s="1099"/>
      <c r="Y320" s="1100">
        <f ca="1">IF(P320="NS",IFERROR(INDIRECT(S320),NA()),VLOOKUP(INDIRECT(P320)+INDIRECT(S320),'System Lookups'!$A$3:$D$146,2))</f>
        <v>0.08</v>
      </c>
      <c r="Z320" s="1100">
        <f t="shared" si="377"/>
        <v>0</v>
      </c>
      <c r="AA320" s="1101">
        <f ca="1">IF(ISNA(Y320),0,Y320)+Z320+IF('Main Creation Page'!AB$2=37,'Main Creation Page'!E$14/100,0)</f>
        <v>0.08</v>
      </c>
      <c r="AB320" s="1102">
        <f>VLOOKUP(V320,'System Lookups'!$J$55:$P$64,3)</f>
        <v>0.2</v>
      </c>
      <c r="AC320" s="1103">
        <f>VLOOKUP(V320,'System Lookups'!$J$55:$P$64,4)</f>
        <v>0.3</v>
      </c>
      <c r="AD320" s="1104">
        <f t="shared" si="367"/>
        <v>0</v>
      </c>
      <c r="AE320" s="1094">
        <f>(IF(AD320&gt;VLOOKUP(V320,'System Lookups'!$J$55:$P$63,6),(((AD320-VLOOKUP(V320,'System Lookups'!$J$55:$P$63,6))*100)/20),0))+AF320</f>
        <v>0</v>
      </c>
      <c r="AF320" s="1121"/>
      <c r="AG320" s="1092">
        <f t="shared" si="368"/>
        <v>0</v>
      </c>
      <c r="AH320" s="1092" t="str">
        <f>IF(X320&lt;=Experience!$R$15+1,"","*")</f>
        <v/>
      </c>
      <c r="AI320" s="1092"/>
      <c r="AJ320" s="1080">
        <f t="shared" si="369"/>
        <v>0</v>
      </c>
      <c r="AK320" s="1080">
        <f t="shared" si="378"/>
        <v>0</v>
      </c>
      <c r="AL320" s="1080">
        <f t="shared" si="371"/>
        <v>0</v>
      </c>
      <c r="AM320" s="1092">
        <f t="shared" si="379"/>
        <v>0</v>
      </c>
      <c r="AN320" s="1080">
        <f t="shared" si="380"/>
        <v>1</v>
      </c>
      <c r="AO320" s="1080">
        <f t="shared" si="374"/>
        <v>0</v>
      </c>
      <c r="AP320" s="1080">
        <f t="shared" si="375"/>
        <v>1</v>
      </c>
      <c r="AQ320" s="1027">
        <f>VLOOKUP(V320,'System Lookups'!$J$55:$P$64,7)</f>
        <v>600</v>
      </c>
      <c r="AR320" s="1080" t="str">
        <f ca="1">IF(AND(NOT(ISBLANK(AJ320)),ISNA(MATCH(ROW(),'System Lookups'!$C$526:$C$539,0))),"Y","N")</f>
        <v>Y</v>
      </c>
      <c r="AS320" s="1080">
        <f t="shared" si="376"/>
        <v>0</v>
      </c>
      <c r="AU320" s="1080" t="e">
        <f t="shared" si="384"/>
        <v>#N/A</v>
      </c>
      <c r="AV320" s="1080" t="str">
        <f t="shared" si="381"/>
        <v>T</v>
      </c>
      <c r="AW320" s="1080">
        <f t="shared" si="385"/>
        <v>0</v>
      </c>
      <c r="AX320" s="1080">
        <f t="shared" si="386"/>
        <v>0</v>
      </c>
      <c r="AY320" s="1080">
        <f t="shared" si="387"/>
        <v>0</v>
      </c>
      <c r="AZ320" s="1080">
        <f t="shared" si="388"/>
        <v>0</v>
      </c>
      <c r="BA320" s="1080">
        <f t="shared" si="389"/>
        <v>0</v>
      </c>
      <c r="BB320" s="1080">
        <f>IF(AND(RACE=1,'Main Creation Page'!$E$6="Well",OR(ISNUMBER(FIND(Experience!$G$11,BE320)),ISNUMBER(FIND(Experience!$G$11,BF320)),ISNUMBER(FIND(Experience!$I$11,BE320)),ISNUMBER(FIND(Experience!$I$11,BF320)))),1,0)</f>
        <v>1</v>
      </c>
      <c r="BC320" s="1080" t="str">
        <f t="shared" si="332"/>
        <v>Foreign:Gaelic (Irish)</v>
      </c>
      <c r="BD320" s="1080" t="s">
        <v>5691</v>
      </c>
      <c r="BE320" s="1080" t="str">
        <f t="shared" si="382"/>
        <v>Lore</v>
      </c>
      <c r="BF320" s="1080" t="str">
        <f t="shared" si="383"/>
        <v>Language Lore: Spoken</v>
      </c>
    </row>
    <row r="321" spans="1:58" ht="11.1" customHeight="1" outlineLevel="3">
      <c r="A321" s="1113" t="s">
        <v>390</v>
      </c>
      <c r="B321" s="1094" t="s">
        <v>1942</v>
      </c>
      <c r="C321" s="1094"/>
      <c r="D321" s="1094"/>
      <c r="E321" s="1095" t="s">
        <v>5224</v>
      </c>
      <c r="F321" s="1095" t="s">
        <v>5224</v>
      </c>
      <c r="G321" s="1096" t="s">
        <v>3043</v>
      </c>
      <c r="H321" s="1096" t="s">
        <v>5224</v>
      </c>
      <c r="I321" s="1096" t="s">
        <v>5224</v>
      </c>
      <c r="J321" s="1096" t="s">
        <v>5224</v>
      </c>
      <c r="K321" s="1096" t="s">
        <v>5224</v>
      </c>
      <c r="L321" s="1096">
        <v>0</v>
      </c>
      <c r="M321" s="1096" t="s">
        <v>5224</v>
      </c>
      <c r="N321" s="1096" t="s">
        <v>4631</v>
      </c>
      <c r="O321" s="1113"/>
      <c r="P321" s="1113" t="s">
        <v>13</v>
      </c>
      <c r="S321" s="1113" t="s">
        <v>58</v>
      </c>
      <c r="T321" s="1113"/>
      <c r="U321" s="1027">
        <f>IF('Main Creation Page'!$K$5=3,3,2)</f>
        <v>3</v>
      </c>
      <c r="V321" s="1027">
        <f>IF((AP321+U321+VLOOKUP('Main Creation Page'!E$14,'System Lookups'!R$45:S$49,2))&gt;10,10,IF((AP321+U321+VLOOKUP('Main Creation Page'!E$14,'System Lookups'!R$45:S$49,2))&lt;1,1,(AP321+U321+VLOOKUP('Main Creation Page'!E$14,'System Lookups'!R$45:S$49,2))))</f>
        <v>4</v>
      </c>
      <c r="W321" s="1098" t="e">
        <f>IF(OR(I321&lt;&gt;"N",E321="C"),IF(AND(N321&lt;&gt;"T",ISNUMBER(FIND("V",I321))),1,0),NA())+IF(H321="Y",IF(AND(N321="P",ISNUMBER(FIND("Z",I321))),2,1),0)+IF(J321="Y",1,0)+IF(K321="Y",3,0)+IF(BE321="Lore",L321*2+Experience!$D$25,0)+IF(M321="Y",1,0)</f>
        <v>#N/A</v>
      </c>
      <c r="X321" s="1099"/>
      <c r="Y321" s="1100">
        <f ca="1">IF(P321="NS",IFERROR(INDIRECT(S321),NA()),VLOOKUP(INDIRECT(P321)+INDIRECT(S321),'System Lookups'!$A$3:$D$146,2))</f>
        <v>0.08</v>
      </c>
      <c r="Z321" s="1100">
        <f t="shared" si="377"/>
        <v>0</v>
      </c>
      <c r="AA321" s="1101">
        <f ca="1">IF(ISNA(Y321),0,Y321)+Z321+IF('Main Creation Page'!AB$2=37,'Main Creation Page'!E$14/100,0)</f>
        <v>0.08</v>
      </c>
      <c r="AB321" s="1102">
        <f>VLOOKUP(V321,'System Lookups'!$J$55:$P$64,3)</f>
        <v>0.2</v>
      </c>
      <c r="AC321" s="1103">
        <f>VLOOKUP(V321,'System Lookups'!$J$55:$P$64,4)</f>
        <v>0.3</v>
      </c>
      <c r="AD321" s="1104">
        <f t="shared" si="367"/>
        <v>0</v>
      </c>
      <c r="AE321" s="1094">
        <f>(IF(AD321&gt;VLOOKUP(V321,'System Lookups'!$J$55:$P$63,6),(((AD321-VLOOKUP(V321,'System Lookups'!$J$55:$P$63,6))*100)/20),0))+AF321</f>
        <v>0</v>
      </c>
      <c r="AF321" s="1121"/>
      <c r="AG321" s="1092">
        <f t="shared" si="368"/>
        <v>0</v>
      </c>
      <c r="AH321" s="1092" t="str">
        <f>IF(X321&lt;=Experience!$R$15+1,"","*")</f>
        <v/>
      </c>
      <c r="AI321" s="1092"/>
      <c r="AJ321" s="1080">
        <f t="shared" si="369"/>
        <v>0</v>
      </c>
      <c r="AK321" s="1080">
        <f t="shared" si="378"/>
        <v>0</v>
      </c>
      <c r="AL321" s="1080">
        <f t="shared" si="371"/>
        <v>0</v>
      </c>
      <c r="AM321" s="1092">
        <f t="shared" si="379"/>
        <v>0</v>
      </c>
      <c r="AN321" s="1080">
        <f t="shared" si="380"/>
        <v>1</v>
      </c>
      <c r="AO321" s="1080">
        <f t="shared" si="374"/>
        <v>0</v>
      </c>
      <c r="AP321" s="1080">
        <f t="shared" si="375"/>
        <v>1</v>
      </c>
      <c r="AQ321" s="1027">
        <f>VLOOKUP(V321,'System Lookups'!$J$55:$P$64,7)</f>
        <v>600</v>
      </c>
      <c r="AR321" s="1080" t="str">
        <f ca="1">IF(AND(NOT(ISBLANK(AJ321)),ISNA(MATCH(ROW(),'System Lookups'!$C$526:$C$539,0))),"Y","N")</f>
        <v>Y</v>
      </c>
      <c r="AS321" s="1080">
        <f t="shared" si="376"/>
        <v>0</v>
      </c>
      <c r="AU321" s="1080" t="e">
        <f t="shared" si="384"/>
        <v>#N/A</v>
      </c>
      <c r="AV321" s="1080" t="str">
        <f t="shared" si="381"/>
        <v>T</v>
      </c>
      <c r="AW321" s="1080">
        <f t="shared" si="385"/>
        <v>0</v>
      </c>
      <c r="AX321" s="1080">
        <f t="shared" si="386"/>
        <v>0</v>
      </c>
      <c r="AY321" s="1080">
        <f t="shared" si="387"/>
        <v>0</v>
      </c>
      <c r="AZ321" s="1080">
        <f t="shared" si="388"/>
        <v>0</v>
      </c>
      <c r="BA321" s="1080">
        <f t="shared" si="389"/>
        <v>0</v>
      </c>
      <c r="BB321" s="1080">
        <f>IF(AND(RACE=1,'Main Creation Page'!$E$6="Well",OR(ISNUMBER(FIND(Experience!$G$11,BE321)),ISNUMBER(FIND(Experience!$G$11,BF321)),ISNUMBER(FIND(Experience!$I$11,BE321)),ISNUMBER(FIND(Experience!$I$11,BF321)))),1,0)</f>
        <v>1</v>
      </c>
      <c r="BC321" s="1080" t="str">
        <f t="shared" si="332"/>
        <v>Foreign:Gaelic (Scots)</v>
      </c>
      <c r="BD321" s="1080" t="s">
        <v>5691</v>
      </c>
      <c r="BE321" s="1080" t="str">
        <f t="shared" si="382"/>
        <v>Lore</v>
      </c>
      <c r="BF321" s="1080" t="str">
        <f t="shared" si="383"/>
        <v>Language Lore: Spoken</v>
      </c>
    </row>
    <row r="322" spans="1:58" ht="11.1" customHeight="1" outlineLevel="3">
      <c r="A322" s="1028" t="str">
        <f>IF('Main Creation Page'!$K$5=3,"Highlands", "Gaelic (Scots)")</f>
        <v>Highlands</v>
      </c>
      <c r="B322" s="1094" t="s">
        <v>1942</v>
      </c>
      <c r="C322" s="1094"/>
      <c r="D322" s="1094"/>
      <c r="E322" s="1095" t="s">
        <v>5224</v>
      </c>
      <c r="F322" s="1095" t="s">
        <v>5224</v>
      </c>
      <c r="G322" s="1096" t="s">
        <v>3043</v>
      </c>
      <c r="H322" s="1096" t="s">
        <v>5224</v>
      </c>
      <c r="I322" s="1096" t="s">
        <v>5224</v>
      </c>
      <c r="J322" s="1096" t="s">
        <v>5224</v>
      </c>
      <c r="K322" s="1096" t="s">
        <v>5224</v>
      </c>
      <c r="L322" s="1096">
        <v>0</v>
      </c>
      <c r="M322" s="1096" t="s">
        <v>5224</v>
      </c>
      <c r="N322" s="1096" t="s">
        <v>4631</v>
      </c>
      <c r="O322" s="1113"/>
      <c r="P322" s="1113" t="s">
        <v>13</v>
      </c>
      <c r="S322" s="1113" t="s">
        <v>58</v>
      </c>
      <c r="T322" s="1113"/>
      <c r="U322" s="1027">
        <f>IF('Main Creation Page'!$K$5=3,3,2)</f>
        <v>3</v>
      </c>
      <c r="V322" s="1027">
        <f>IF((AP322+U322+VLOOKUP('Main Creation Page'!E$14,'System Lookups'!R$45:S$49,2))&gt;10,10,IF((AP322+U322+VLOOKUP('Main Creation Page'!E$14,'System Lookups'!R$45:S$49,2))&lt;1,1,(AP322+U322+VLOOKUP('Main Creation Page'!E$14,'System Lookups'!R$45:S$49,2))))</f>
        <v>4</v>
      </c>
      <c r="W322" s="1098" t="e">
        <f>IF(OR(I322&lt;&gt;"N",E322="C"),IF(AND(N322&lt;&gt;"T",ISNUMBER(FIND("V",I322))),1,0),NA())+IF(H322="Y",IF(AND(N322="P",ISNUMBER(FIND("Z",I322))),2,1),0)+IF(J322="Y",1,0)+IF(K322="Y",3,0)+IF(BE322="Lore",L322*2+Experience!$D$25,0)+IF(M322="Y",1,0)</f>
        <v>#N/A</v>
      </c>
      <c r="X322" s="1099"/>
      <c r="Y322" s="1100">
        <f ca="1">IF(P322="NS",IFERROR(INDIRECT(S322),NA()),VLOOKUP(INDIRECT(P322)+INDIRECT(S322),'System Lookups'!$A$3:$D$146,2))</f>
        <v>0.08</v>
      </c>
      <c r="Z322" s="1100">
        <f t="shared" si="377"/>
        <v>0</v>
      </c>
      <c r="AA322" s="1101">
        <f ca="1">IF(ISNA(Y322),0,Y322)+Z322+IF('Main Creation Page'!AB$2=37,'Main Creation Page'!E$14/100,0)</f>
        <v>0.08</v>
      </c>
      <c r="AB322" s="1102">
        <f>VLOOKUP(V322,'System Lookups'!$J$55:$P$64,3)</f>
        <v>0.2</v>
      </c>
      <c r="AC322" s="1103">
        <f>VLOOKUP(V322,'System Lookups'!$J$55:$P$64,4)</f>
        <v>0.3</v>
      </c>
      <c r="AD322" s="1104">
        <f t="shared" si="367"/>
        <v>0</v>
      </c>
      <c r="AE322" s="1094">
        <f>(IF(AD322&gt;VLOOKUP(V322,'System Lookups'!$J$55:$P$63,6),(((AD322-VLOOKUP(V322,'System Lookups'!$J$55:$P$63,6))*100)/20),0))+AF322</f>
        <v>0</v>
      </c>
      <c r="AF322" s="1121"/>
      <c r="AG322" s="1092">
        <f t="shared" si="368"/>
        <v>0</v>
      </c>
      <c r="AH322" s="1092" t="str">
        <f>IF(X322&lt;=Experience!$R$15+1,"","*")</f>
        <v/>
      </c>
      <c r="AI322" s="1092"/>
      <c r="AJ322" s="1080">
        <f t="shared" si="369"/>
        <v>0</v>
      </c>
      <c r="AK322" s="1080">
        <f t="shared" si="378"/>
        <v>0</v>
      </c>
      <c r="AL322" s="1080">
        <f t="shared" si="371"/>
        <v>0</v>
      </c>
      <c r="AM322" s="1092">
        <f t="shared" si="379"/>
        <v>0</v>
      </c>
      <c r="AN322" s="1080">
        <f t="shared" si="380"/>
        <v>1</v>
      </c>
      <c r="AO322" s="1080">
        <f t="shared" si="374"/>
        <v>0</v>
      </c>
      <c r="AP322" s="1080">
        <f t="shared" si="375"/>
        <v>1</v>
      </c>
      <c r="AQ322" s="1027">
        <f>VLOOKUP(V322,'System Lookups'!$J$55:$P$64,7)</f>
        <v>600</v>
      </c>
      <c r="AR322" s="1080" t="str">
        <f ca="1">IF(AND(NOT(ISBLANK(AJ322)),ISNA(MATCH(ROW(),'System Lookups'!$C$526:$C$539,0))),"Y","N")</f>
        <v>Y</v>
      </c>
      <c r="AS322" s="1080">
        <f t="shared" si="376"/>
        <v>0</v>
      </c>
      <c r="AU322" s="1080" t="e">
        <f t="shared" si="384"/>
        <v>#N/A</v>
      </c>
      <c r="AV322" s="1080" t="str">
        <f t="shared" si="381"/>
        <v>T</v>
      </c>
      <c r="AW322" s="1080">
        <f t="shared" si="385"/>
        <v>0</v>
      </c>
      <c r="AX322" s="1080">
        <f t="shared" si="386"/>
        <v>0</v>
      </c>
      <c r="AY322" s="1080">
        <f t="shared" si="387"/>
        <v>0</v>
      </c>
      <c r="AZ322" s="1080">
        <f t="shared" si="388"/>
        <v>0</v>
      </c>
      <c r="BA322" s="1080">
        <f t="shared" si="389"/>
        <v>0</v>
      </c>
      <c r="BB322" s="1080">
        <f>IF(AND(RACE=1,'Main Creation Page'!$E$6="Well",OR(ISNUMBER(FIND(Experience!$G$11,BE322)),ISNUMBER(FIND(Experience!$G$11,BF322)),ISNUMBER(FIND(Experience!$I$11,BE322)),ISNUMBER(FIND(Experience!$I$11,BF322)))),1,0)</f>
        <v>1</v>
      </c>
      <c r="BC322" s="1080" t="str">
        <f t="shared" si="332"/>
        <v>Foreign:Highlands</v>
      </c>
      <c r="BD322" s="1080" t="s">
        <v>5691</v>
      </c>
      <c r="BE322" s="1080" t="str">
        <f t="shared" si="382"/>
        <v>Lore</v>
      </c>
      <c r="BF322" s="1080" t="str">
        <f t="shared" si="383"/>
        <v>Language Lore: Spoken</v>
      </c>
    </row>
    <row r="323" spans="1:58" ht="11.1" customHeight="1" outlineLevel="3">
      <c r="A323" s="1028" t="str">
        <f>IF('Main Creation Page'!$K$5=3, "Shortlands","Portugese")</f>
        <v>Shortlands</v>
      </c>
      <c r="B323" s="1094" t="s">
        <v>1942</v>
      </c>
      <c r="C323" s="1094"/>
      <c r="D323" s="1094"/>
      <c r="E323" s="1095" t="s">
        <v>5224</v>
      </c>
      <c r="F323" s="1095" t="s">
        <v>5224</v>
      </c>
      <c r="G323" s="1096" t="s">
        <v>3043</v>
      </c>
      <c r="H323" s="1096" t="s">
        <v>5224</v>
      </c>
      <c r="I323" s="1096" t="s">
        <v>5224</v>
      </c>
      <c r="J323" s="1096" t="s">
        <v>5224</v>
      </c>
      <c r="K323" s="1096" t="s">
        <v>5224</v>
      </c>
      <c r="L323" s="1096">
        <v>0</v>
      </c>
      <c r="M323" s="1096" t="s">
        <v>5224</v>
      </c>
      <c r="N323" s="1096" t="s">
        <v>4631</v>
      </c>
      <c r="O323" s="1113"/>
      <c r="P323" s="1113" t="s">
        <v>13</v>
      </c>
      <c r="S323" s="1113" t="s">
        <v>58</v>
      </c>
      <c r="T323" s="1113"/>
      <c r="U323" s="1027">
        <f>IF('Main Creation Page'!$K$5=3,3,2)</f>
        <v>3</v>
      </c>
      <c r="V323" s="1027">
        <f>IF((AP323+U323+VLOOKUP('Main Creation Page'!E$14,'System Lookups'!R$45:S$49,2))&gt;10,10,IF((AP323+U323+VLOOKUP('Main Creation Page'!E$14,'System Lookups'!R$45:S$49,2))&lt;1,1,(AP323+U323+VLOOKUP('Main Creation Page'!E$14,'System Lookups'!R$45:S$49,2))))</f>
        <v>4</v>
      </c>
      <c r="W323" s="1098" t="e">
        <f>IF(OR(I323&lt;&gt;"N",E323="C"),IF(AND(N323&lt;&gt;"T",ISNUMBER(FIND("V",I323))),1,0),NA())+IF(H323="Y",IF(AND(N323="P",ISNUMBER(FIND("Z",I323))),2,1),0)+IF(J323="Y",1,0)+IF(K323="Y",3,0)+IF(BE323="Lore",L323*2+Experience!$D$25,0)+IF(M323="Y",1,0)</f>
        <v>#N/A</v>
      </c>
      <c r="X323" s="1099"/>
      <c r="Y323" s="1100">
        <f ca="1">IF(P323="NS",IFERROR(INDIRECT(S323),NA()),VLOOKUP(INDIRECT(P323)+INDIRECT(S323),'System Lookups'!$A$3:$D$146,2))</f>
        <v>0.08</v>
      </c>
      <c r="Z323" s="1100">
        <f t="shared" si="377"/>
        <v>0</v>
      </c>
      <c r="AA323" s="1101">
        <f ca="1">IF(ISNA(Y323),0,Y323)+Z323+IF('Main Creation Page'!AB$2=37,'Main Creation Page'!E$14/100,0)</f>
        <v>0.08</v>
      </c>
      <c r="AB323" s="1102">
        <f>VLOOKUP(V323,'System Lookups'!$J$55:$P$64,3)</f>
        <v>0.2</v>
      </c>
      <c r="AC323" s="1103">
        <f>VLOOKUP(V323,'System Lookups'!$J$55:$P$64,4)</f>
        <v>0.3</v>
      </c>
      <c r="AD323" s="1104">
        <f t="shared" si="367"/>
        <v>0</v>
      </c>
      <c r="AE323" s="1094">
        <f>(IF(AD323&gt;VLOOKUP(V323,'System Lookups'!$J$55:$P$63,6),(((AD323-VLOOKUP(V323,'System Lookups'!$J$55:$P$63,6))*100)/20),0))+AF323</f>
        <v>0</v>
      </c>
      <c r="AF323" s="1121"/>
      <c r="AG323" s="1092">
        <f t="shared" si="368"/>
        <v>0</v>
      </c>
      <c r="AH323" s="1092" t="str">
        <f>IF(X323&lt;=Experience!$R$15+1,"","*")</f>
        <v/>
      </c>
      <c r="AI323" s="1092"/>
      <c r="AJ323" s="1080">
        <f t="shared" si="369"/>
        <v>0</v>
      </c>
      <c r="AK323" s="1080">
        <f t="shared" si="378"/>
        <v>0</v>
      </c>
      <c r="AL323" s="1080">
        <f t="shared" si="371"/>
        <v>0</v>
      </c>
      <c r="AM323" s="1092">
        <f t="shared" si="379"/>
        <v>0</v>
      </c>
      <c r="AN323" s="1080">
        <f t="shared" si="380"/>
        <v>1</v>
      </c>
      <c r="AO323" s="1080">
        <f t="shared" si="374"/>
        <v>0</v>
      </c>
      <c r="AP323" s="1080">
        <f t="shared" si="375"/>
        <v>1</v>
      </c>
      <c r="AQ323" s="1027">
        <f>VLOOKUP(V323,'System Lookups'!$J$55:$P$64,7)</f>
        <v>600</v>
      </c>
      <c r="AR323" s="1080" t="str">
        <f ca="1">IF(AND(NOT(ISBLANK(AJ323)),ISNA(MATCH(ROW(),'System Lookups'!$C$526:$C$539,0))),"Y","N")</f>
        <v>Y</v>
      </c>
      <c r="AS323" s="1080">
        <f t="shared" si="376"/>
        <v>0</v>
      </c>
      <c r="AU323" s="1080" t="e">
        <f t="shared" si="384"/>
        <v>#N/A</v>
      </c>
      <c r="AV323" s="1080" t="str">
        <f t="shared" si="381"/>
        <v>T</v>
      </c>
      <c r="AW323" s="1080">
        <f t="shared" si="385"/>
        <v>0</v>
      </c>
      <c r="AX323" s="1080">
        <f t="shared" si="386"/>
        <v>0</v>
      </c>
      <c r="AY323" s="1080">
        <f t="shared" si="387"/>
        <v>0</v>
      </c>
      <c r="AZ323" s="1080">
        <f t="shared" si="388"/>
        <v>0</v>
      </c>
      <c r="BA323" s="1080">
        <f t="shared" si="389"/>
        <v>0</v>
      </c>
      <c r="BB323" s="1080">
        <f>IF(AND(RACE=1,'Main Creation Page'!$E$6="Well",OR(ISNUMBER(FIND(Experience!$G$11,BE323)),ISNUMBER(FIND(Experience!$G$11,BF323)),ISNUMBER(FIND(Experience!$I$11,BE323)),ISNUMBER(FIND(Experience!$I$11,BF323)))),1,0)</f>
        <v>1</v>
      </c>
      <c r="BC323" s="1080" t="str">
        <f t="shared" si="332"/>
        <v>Foreign:Shortlands</v>
      </c>
      <c r="BD323" s="1080" t="s">
        <v>5691</v>
      </c>
      <c r="BE323" s="1080" t="str">
        <f t="shared" si="382"/>
        <v>Lore</v>
      </c>
      <c r="BF323" s="1080" t="str">
        <f t="shared" si="383"/>
        <v>Language Lore: Spoken</v>
      </c>
    </row>
    <row r="324" spans="1:58" ht="11.1" customHeight="1" outlineLevel="3">
      <c r="A324" s="1113" t="s">
        <v>389</v>
      </c>
      <c r="B324" s="1094" t="s">
        <v>1942</v>
      </c>
      <c r="C324" s="1094"/>
      <c r="D324" s="1094"/>
      <c r="E324" s="1095" t="s">
        <v>5224</v>
      </c>
      <c r="F324" s="1095" t="s">
        <v>5224</v>
      </c>
      <c r="G324" s="1096" t="s">
        <v>3043</v>
      </c>
      <c r="H324" s="1096" t="s">
        <v>5224</v>
      </c>
      <c r="I324" s="1096" t="s">
        <v>5224</v>
      </c>
      <c r="J324" s="1096" t="s">
        <v>5224</v>
      </c>
      <c r="K324" s="1096" t="s">
        <v>5224</v>
      </c>
      <c r="L324" s="1096">
        <v>0</v>
      </c>
      <c r="M324" s="1096" t="s">
        <v>5224</v>
      </c>
      <c r="N324" s="1096" t="s">
        <v>4631</v>
      </c>
      <c r="O324" s="1113"/>
      <c r="P324" s="1113" t="s">
        <v>13</v>
      </c>
      <c r="S324" s="1113" t="s">
        <v>58</v>
      </c>
      <c r="T324" s="1113"/>
      <c r="U324" s="1027">
        <f>IF('Main Creation Page'!$K$5=3,3,2)</f>
        <v>3</v>
      </c>
      <c r="V324" s="1027">
        <f>IF((AP324+U324+VLOOKUP('Main Creation Page'!E$14,'System Lookups'!R$45:S$49,2))&gt;10,10,IF((AP324+U324+VLOOKUP('Main Creation Page'!E$14,'System Lookups'!R$45:S$49,2))&lt;1,1,(AP324+U324+VLOOKUP('Main Creation Page'!E$14,'System Lookups'!R$45:S$49,2))))</f>
        <v>4</v>
      </c>
      <c r="W324" s="1098" t="e">
        <f>IF(OR(I324&lt;&gt;"N",E324="C"),IF(AND(N324&lt;&gt;"T",ISNUMBER(FIND("V",I324))),1,0),NA())+IF(H324="Y",IF(AND(N324="P",ISNUMBER(FIND("Z",I324))),2,1),0)+IF(J324="Y",1,0)+IF(K324="Y",3,0)+IF(BE324="Lore",L324*2+Experience!$D$25,0)+IF(M324="Y",1,0)</f>
        <v>#N/A</v>
      </c>
      <c r="X324" s="1099"/>
      <c r="Y324" s="1100">
        <f ca="1">IF(P324="NS",IFERROR(INDIRECT(S324),NA()),VLOOKUP(INDIRECT(P324)+INDIRECT(S324),'System Lookups'!$A$3:$D$146,2))</f>
        <v>0.08</v>
      </c>
      <c r="Z324" s="1100">
        <f t="shared" si="377"/>
        <v>0</v>
      </c>
      <c r="AA324" s="1101">
        <f ca="1">IF(ISNA(Y324),0,Y324)+Z324+IF('Main Creation Page'!AB$2=37,'Main Creation Page'!E$14/100,0)</f>
        <v>0.08</v>
      </c>
      <c r="AB324" s="1102">
        <f>VLOOKUP(V324,'System Lookups'!$J$55:$P$64,3)</f>
        <v>0.2</v>
      </c>
      <c r="AC324" s="1103">
        <f>VLOOKUP(V324,'System Lookups'!$J$55:$P$64,4)</f>
        <v>0.3</v>
      </c>
      <c r="AD324" s="1104">
        <f t="shared" si="367"/>
        <v>0</v>
      </c>
      <c r="AE324" s="1094">
        <f>(IF(AD324&gt;VLOOKUP(V324,'System Lookups'!$J$55:$P$63,6),(((AD324-VLOOKUP(V324,'System Lookups'!$J$55:$P$63,6))*100)/20),0))+AF324</f>
        <v>0</v>
      </c>
      <c r="AF324" s="1121"/>
      <c r="AG324" s="1092">
        <f t="shared" si="368"/>
        <v>0</v>
      </c>
      <c r="AH324" s="1092" t="str">
        <f>IF(X324&lt;=Experience!$R$15+1,"","*")</f>
        <v/>
      </c>
      <c r="AI324" s="1092"/>
      <c r="AJ324" s="1080">
        <f t="shared" si="369"/>
        <v>0</v>
      </c>
      <c r="AK324" s="1080">
        <f t="shared" si="378"/>
        <v>0</v>
      </c>
      <c r="AL324" s="1080">
        <f t="shared" si="371"/>
        <v>0</v>
      </c>
      <c r="AM324" s="1092">
        <f t="shared" si="379"/>
        <v>0</v>
      </c>
      <c r="AN324" s="1080">
        <f t="shared" si="380"/>
        <v>1</v>
      </c>
      <c r="AO324" s="1080">
        <f t="shared" si="374"/>
        <v>0</v>
      </c>
      <c r="AP324" s="1080">
        <f t="shared" si="375"/>
        <v>1</v>
      </c>
      <c r="AQ324" s="1027">
        <f>VLOOKUP(V324,'System Lookups'!$J$55:$P$64,7)</f>
        <v>600</v>
      </c>
      <c r="AR324" s="1080" t="str">
        <f ca="1">IF(AND(NOT(ISBLANK(AJ324)),ISNA(MATCH(ROW(),'System Lookups'!$C$526:$C$539,0))),"Y","N")</f>
        <v>Y</v>
      </c>
      <c r="AS324" s="1080">
        <f t="shared" si="376"/>
        <v>0</v>
      </c>
      <c r="AU324" s="1080" t="e">
        <f t="shared" si="384"/>
        <v>#N/A</v>
      </c>
      <c r="AV324" s="1080" t="str">
        <f t="shared" si="381"/>
        <v>T</v>
      </c>
      <c r="AW324" s="1080">
        <f t="shared" si="385"/>
        <v>0</v>
      </c>
      <c r="AX324" s="1080">
        <f t="shared" si="386"/>
        <v>0</v>
      </c>
      <c r="AY324" s="1080">
        <f t="shared" si="387"/>
        <v>0</v>
      </c>
      <c r="AZ324" s="1080">
        <f t="shared" si="388"/>
        <v>0</v>
      </c>
      <c r="BA324" s="1080">
        <f t="shared" si="389"/>
        <v>0</v>
      </c>
      <c r="BB324" s="1080">
        <f>IF(AND(RACE=1,'Main Creation Page'!$E$6="Well",OR(ISNUMBER(FIND(Experience!$G$11,BE324)),ISNUMBER(FIND(Experience!$G$11,BF324)),ISNUMBER(FIND(Experience!$I$11,BE324)),ISNUMBER(FIND(Experience!$I$11,BF324)))),1,0)</f>
        <v>1</v>
      </c>
      <c r="BC324" s="1080" t="str">
        <f t="shared" si="332"/>
        <v>Foreign:German (Middle)</v>
      </c>
      <c r="BD324" s="1080" t="s">
        <v>5691</v>
      </c>
      <c r="BE324" s="1080" t="str">
        <f t="shared" si="382"/>
        <v>Lore</v>
      </c>
      <c r="BF324" s="1080" t="str">
        <f t="shared" si="383"/>
        <v>Language Lore: Spoken</v>
      </c>
    </row>
    <row r="325" spans="1:58" ht="11.1" customHeight="1" outlineLevel="3">
      <c r="A325" s="1028" t="str">
        <f>IF('Main Creation Page'!$K$5=3, "Tilosian","Greek (Medieval)")</f>
        <v>Tilosian</v>
      </c>
      <c r="B325" s="1094" t="s">
        <v>1942</v>
      </c>
      <c r="C325" s="1094"/>
      <c r="D325" s="1094"/>
      <c r="E325" s="1095" t="s">
        <v>5224</v>
      </c>
      <c r="F325" s="1095" t="s">
        <v>5224</v>
      </c>
      <c r="G325" s="1096" t="s">
        <v>3043</v>
      </c>
      <c r="H325" s="1096" t="s">
        <v>5224</v>
      </c>
      <c r="I325" s="1096" t="s">
        <v>5224</v>
      </c>
      <c r="J325" s="1096" t="s">
        <v>5224</v>
      </c>
      <c r="K325" s="1096" t="s">
        <v>5224</v>
      </c>
      <c r="L325" s="1096">
        <v>0</v>
      </c>
      <c r="M325" s="1096" t="s">
        <v>5224</v>
      </c>
      <c r="N325" s="1096" t="s">
        <v>4631</v>
      </c>
      <c r="O325" s="1113"/>
      <c r="P325" s="1113" t="s">
        <v>13</v>
      </c>
      <c r="S325" s="1113" t="s">
        <v>58</v>
      </c>
      <c r="T325" s="1113"/>
      <c r="U325" s="1027">
        <f>IF('Main Creation Page'!$K$5=3,3,2)</f>
        <v>3</v>
      </c>
      <c r="V325" s="1027">
        <f>IF((AP325+U325+VLOOKUP('Main Creation Page'!E$14,'System Lookups'!R$45:S$49,2))&gt;10,10,IF((AP325+U325+VLOOKUP('Main Creation Page'!E$14,'System Lookups'!R$45:S$49,2))&lt;1,1,(AP325+U325+VLOOKUP('Main Creation Page'!E$14,'System Lookups'!R$45:S$49,2))))</f>
        <v>4</v>
      </c>
      <c r="W325" s="1098" t="e">
        <f>IF(OR(I325&lt;&gt;"N",E325="C"),IF(AND(N325&lt;&gt;"T",ISNUMBER(FIND("V",I325))),1,0),NA())+IF(H325="Y",IF(AND(N325="P",ISNUMBER(FIND("Z",I325))),2,1),0)+IF(J325="Y",1,0)+IF(K325="Y",3,0)+IF(BE325="Lore",L325*2+Experience!$D$25,0)+IF(M325="Y",1,0)</f>
        <v>#N/A</v>
      </c>
      <c r="X325" s="1099"/>
      <c r="Y325" s="1100">
        <f ca="1">IF(P325="NS",IFERROR(INDIRECT(S325),NA()),VLOOKUP(INDIRECT(P325)+INDIRECT(S325),'System Lookups'!$A$3:$D$146,2))</f>
        <v>0.08</v>
      </c>
      <c r="Z325" s="1100">
        <f t="shared" si="377"/>
        <v>0</v>
      </c>
      <c r="AA325" s="1101">
        <f ca="1">IF(ISNA(Y325),0,Y325)+Z325+IF('Main Creation Page'!AB$2=37,'Main Creation Page'!E$14/100,0)</f>
        <v>0.08</v>
      </c>
      <c r="AB325" s="1102">
        <f>VLOOKUP(V325,'System Lookups'!$J$55:$P$64,3)</f>
        <v>0.2</v>
      </c>
      <c r="AC325" s="1103">
        <f>VLOOKUP(V325,'System Lookups'!$J$55:$P$64,4)</f>
        <v>0.3</v>
      </c>
      <c r="AD325" s="1104">
        <f t="shared" si="367"/>
        <v>0</v>
      </c>
      <c r="AE325" s="1094">
        <f>(IF(AD325&gt;VLOOKUP(V325,'System Lookups'!$J$55:$P$63,6),(((AD325-VLOOKUP(V325,'System Lookups'!$J$55:$P$63,6))*100)/20),0))+AF325</f>
        <v>0</v>
      </c>
      <c r="AF325" s="1121"/>
      <c r="AG325" s="1092">
        <f t="shared" si="368"/>
        <v>0</v>
      </c>
      <c r="AH325" s="1092" t="str">
        <f>IF(X325&lt;=Experience!$R$15+1,"","*")</f>
        <v/>
      </c>
      <c r="AI325" s="1092"/>
      <c r="AJ325" s="1080">
        <f t="shared" si="369"/>
        <v>0</v>
      </c>
      <c r="AK325" s="1080">
        <f t="shared" si="378"/>
        <v>0</v>
      </c>
      <c r="AL325" s="1080">
        <f t="shared" si="371"/>
        <v>0</v>
      </c>
      <c r="AM325" s="1092">
        <f t="shared" si="379"/>
        <v>0</v>
      </c>
      <c r="AN325" s="1080">
        <f t="shared" si="380"/>
        <v>1</v>
      </c>
      <c r="AO325" s="1080">
        <f t="shared" si="374"/>
        <v>0</v>
      </c>
      <c r="AP325" s="1080">
        <f t="shared" si="375"/>
        <v>1</v>
      </c>
      <c r="AQ325" s="1027">
        <f>VLOOKUP(V325,'System Lookups'!$J$55:$P$64,7)</f>
        <v>600</v>
      </c>
      <c r="AR325" s="1080" t="str">
        <f ca="1">IF(AND(NOT(ISBLANK(AJ325)),ISNA(MATCH(ROW(),'System Lookups'!$C$526:$C$539,0))),"Y","N")</f>
        <v>Y</v>
      </c>
      <c r="AS325" s="1080">
        <f t="shared" si="376"/>
        <v>0</v>
      </c>
      <c r="AU325" s="1080" t="e">
        <f t="shared" si="384"/>
        <v>#N/A</v>
      </c>
      <c r="AV325" s="1080" t="str">
        <f t="shared" si="381"/>
        <v>T</v>
      </c>
      <c r="AW325" s="1080">
        <f t="shared" si="385"/>
        <v>0</v>
      </c>
      <c r="AX325" s="1080">
        <f t="shared" si="386"/>
        <v>0</v>
      </c>
      <c r="AY325" s="1080">
        <f t="shared" si="387"/>
        <v>0</v>
      </c>
      <c r="AZ325" s="1080">
        <f t="shared" si="388"/>
        <v>0</v>
      </c>
      <c r="BA325" s="1080">
        <f t="shared" si="389"/>
        <v>0</v>
      </c>
      <c r="BB325" s="1080">
        <f>IF(AND(RACE=1,'Main Creation Page'!$E$6="Well",OR(ISNUMBER(FIND(Experience!$G$11,BE325)),ISNUMBER(FIND(Experience!$G$11,BF325)),ISNUMBER(FIND(Experience!$I$11,BE325)),ISNUMBER(FIND(Experience!$I$11,BF325)))),1,0)</f>
        <v>1</v>
      </c>
      <c r="BC325" s="1080" t="str">
        <f t="shared" si="332"/>
        <v>Foreign:Tilosian</v>
      </c>
      <c r="BD325" s="1080" t="s">
        <v>5691</v>
      </c>
      <c r="BE325" s="1080" t="str">
        <f t="shared" si="382"/>
        <v>Lore</v>
      </c>
      <c r="BF325" s="1080" t="str">
        <f t="shared" si="383"/>
        <v>Language Lore: Spoken</v>
      </c>
    </row>
    <row r="326" spans="1:58" ht="11.1" customHeight="1" outlineLevel="3">
      <c r="A326" s="1028" t="str">
        <f>IF('Main Creation Page'!$K$5=3, "Hindran","Hindu")</f>
        <v>Hindran</v>
      </c>
      <c r="B326" s="1094" t="s">
        <v>1942</v>
      </c>
      <c r="C326" s="1094"/>
      <c r="D326" s="1094"/>
      <c r="E326" s="1095" t="s">
        <v>5224</v>
      </c>
      <c r="F326" s="1095" t="s">
        <v>5224</v>
      </c>
      <c r="G326" s="1096" t="s">
        <v>3043</v>
      </c>
      <c r="H326" s="1096" t="s">
        <v>5224</v>
      </c>
      <c r="I326" s="1096" t="s">
        <v>5224</v>
      </c>
      <c r="J326" s="1096" t="s">
        <v>5224</v>
      </c>
      <c r="K326" s="1096" t="s">
        <v>5224</v>
      </c>
      <c r="L326" s="1096">
        <v>0</v>
      </c>
      <c r="M326" s="1096" t="s">
        <v>5224</v>
      </c>
      <c r="N326" s="1096" t="s">
        <v>4631</v>
      </c>
      <c r="O326" s="1113"/>
      <c r="P326" s="1113" t="s">
        <v>13</v>
      </c>
      <c r="S326" s="1113" t="s">
        <v>58</v>
      </c>
      <c r="T326" s="1113"/>
      <c r="U326" s="1027">
        <f>IF('Main Creation Page'!$K$5=3,3,2)</f>
        <v>3</v>
      </c>
      <c r="V326" s="1027">
        <f>IF((AP326+U326+VLOOKUP('Main Creation Page'!E$14,'System Lookups'!R$45:S$49,2))&gt;10,10,IF((AP326+U326+VLOOKUP('Main Creation Page'!E$14,'System Lookups'!R$45:S$49,2))&lt;1,1,(AP326+U326+VLOOKUP('Main Creation Page'!E$14,'System Lookups'!R$45:S$49,2))))</f>
        <v>4</v>
      </c>
      <c r="W326" s="1098" t="e">
        <f>IF(OR(I326&lt;&gt;"N",E326="C"),IF(AND(N326&lt;&gt;"T",ISNUMBER(FIND("V",I326))),1,0),NA())+IF(H326="Y",IF(AND(N326="P",ISNUMBER(FIND("Z",I326))),2,1),0)+IF(J326="Y",1,0)+IF(K326="Y",3,0)+IF(BE326="Lore",L326*2+Experience!$D$25,0)+IF(M326="Y",1,0)</f>
        <v>#N/A</v>
      </c>
      <c r="X326" s="1099"/>
      <c r="Y326" s="1100">
        <f ca="1">IF(P326="NS",IFERROR(INDIRECT(S326),NA()),VLOOKUP(INDIRECT(P326)+INDIRECT(S326),'System Lookups'!$A$3:$D$146,2))</f>
        <v>0.08</v>
      </c>
      <c r="Z326" s="1100">
        <f t="shared" si="377"/>
        <v>0</v>
      </c>
      <c r="AA326" s="1101">
        <f ca="1">IF(ISNA(Y326),0,Y326)+Z326+IF('Main Creation Page'!AB$2=37,'Main Creation Page'!E$14/100,0)</f>
        <v>0.08</v>
      </c>
      <c r="AB326" s="1102">
        <f>VLOOKUP(V326,'System Lookups'!$J$55:$P$64,3)</f>
        <v>0.2</v>
      </c>
      <c r="AC326" s="1103">
        <f>VLOOKUP(V326,'System Lookups'!$J$55:$P$64,4)</f>
        <v>0.3</v>
      </c>
      <c r="AD326" s="1104">
        <f t="shared" si="367"/>
        <v>0</v>
      </c>
      <c r="AE326" s="1094">
        <f>(IF(AD326&gt;VLOOKUP(V326,'System Lookups'!$J$55:$P$63,6),(((AD326-VLOOKUP(V326,'System Lookups'!$J$55:$P$63,6))*100)/20),0))+AF326</f>
        <v>0</v>
      </c>
      <c r="AF326" s="1121"/>
      <c r="AG326" s="1092">
        <f t="shared" si="368"/>
        <v>0</v>
      </c>
      <c r="AH326" s="1092" t="str">
        <f>IF(X326&lt;=Experience!$R$15+1,"","*")</f>
        <v/>
      </c>
      <c r="AI326" s="1092"/>
      <c r="AJ326" s="1080">
        <f t="shared" si="369"/>
        <v>0</v>
      </c>
      <c r="AK326" s="1080">
        <f t="shared" si="378"/>
        <v>0</v>
      </c>
      <c r="AL326" s="1080">
        <f t="shared" si="371"/>
        <v>0</v>
      </c>
      <c r="AM326" s="1092">
        <f t="shared" si="379"/>
        <v>0</v>
      </c>
      <c r="AN326" s="1080">
        <f t="shared" si="380"/>
        <v>1</v>
      </c>
      <c r="AO326" s="1080">
        <f t="shared" si="374"/>
        <v>0</v>
      </c>
      <c r="AP326" s="1080">
        <f t="shared" si="375"/>
        <v>1</v>
      </c>
      <c r="AQ326" s="1027">
        <f>VLOOKUP(V326,'System Lookups'!$J$55:$P$64,7)</f>
        <v>600</v>
      </c>
      <c r="AR326" s="1080" t="str">
        <f ca="1">IF(AND(NOT(ISBLANK(AJ326)),ISNA(MATCH(ROW(),'System Lookups'!$C$526:$C$539,0))),"Y","N")</f>
        <v>Y</v>
      </c>
      <c r="AS326" s="1080">
        <f t="shared" si="376"/>
        <v>0</v>
      </c>
      <c r="AU326" s="1080" t="e">
        <f t="shared" si="384"/>
        <v>#N/A</v>
      </c>
      <c r="AV326" s="1080" t="str">
        <f t="shared" si="381"/>
        <v>T</v>
      </c>
      <c r="AW326" s="1080">
        <f t="shared" si="385"/>
        <v>0</v>
      </c>
      <c r="AX326" s="1080">
        <f t="shared" si="386"/>
        <v>0</v>
      </c>
      <c r="AY326" s="1080">
        <f t="shared" si="387"/>
        <v>0</v>
      </c>
      <c r="AZ326" s="1080">
        <f t="shared" si="388"/>
        <v>0</v>
      </c>
      <c r="BA326" s="1080">
        <f t="shared" si="389"/>
        <v>0</v>
      </c>
      <c r="BB326" s="1080">
        <f>IF(AND(RACE=1,'Main Creation Page'!$E$6="Well",OR(ISNUMBER(FIND(Experience!$G$11,BE326)),ISNUMBER(FIND(Experience!$G$11,BF326)),ISNUMBER(FIND(Experience!$I$11,BE326)),ISNUMBER(FIND(Experience!$I$11,BF326)))),1,0)</f>
        <v>1</v>
      </c>
      <c r="BC326" s="1080" t="str">
        <f t="shared" ref="BC326:BC389" si="390">IF(ISBLANK(AJ326),IF(ISBLANK(AI326),IF(RIGHT(A326,2)="en","Language Lore: "&amp;A326,IF(LEFT(A326,9)="Alquennas",A326,NA())),IF(RIGHT(A326,9)=" Medicina",A326&amp;": Healing Lore Skills",IF(OR(LEFT(A326,5)="Lore ",LEFT(A326,8)="Materia "),A326&amp;" Skills",IF(LEFT(A326,8)="Cooking ","Cooking &amp; Innkeeping Skills",A326)))),IF(LEFT(A326,9)="alertness","Alertness: "&amp;RIGHT(A326,5),IF(ISBLANK(BD326),A326,IF(RIGHT(BD326,2)=" (",BD326&amp;"Own)",BD326&amp;A326))))</f>
        <v>Foreign:Hindran</v>
      </c>
      <c r="BD326" s="1080" t="s">
        <v>5691</v>
      </c>
      <c r="BE326" s="1080" t="str">
        <f t="shared" si="382"/>
        <v>Lore</v>
      </c>
      <c r="BF326" s="1080" t="str">
        <f t="shared" si="383"/>
        <v>Language Lore: Spoken</v>
      </c>
    </row>
    <row r="327" spans="1:58" ht="11.1" customHeight="1" outlineLevel="3">
      <c r="A327" s="1028" t="str">
        <f>IF('Main Creation Page'!$K$5=3,"Kindren","German")</f>
        <v>Kindren</v>
      </c>
      <c r="B327" s="1094" t="s">
        <v>1942</v>
      </c>
      <c r="C327" s="1094"/>
      <c r="D327" s="1094"/>
      <c r="E327" s="1095" t="s">
        <v>5224</v>
      </c>
      <c r="F327" s="1095" t="s">
        <v>5224</v>
      </c>
      <c r="G327" s="1096" t="s">
        <v>3043</v>
      </c>
      <c r="H327" s="1096" t="s">
        <v>5224</v>
      </c>
      <c r="I327" s="1096" t="s">
        <v>5224</v>
      </c>
      <c r="J327" s="1096" t="s">
        <v>5224</v>
      </c>
      <c r="K327" s="1096" t="s">
        <v>5224</v>
      </c>
      <c r="L327" s="1096">
        <v>0</v>
      </c>
      <c r="M327" s="1096" t="s">
        <v>5224</v>
      </c>
      <c r="N327" s="1096" t="s">
        <v>4631</v>
      </c>
      <c r="O327" s="1113"/>
      <c r="P327" s="1113" t="s">
        <v>13</v>
      </c>
      <c r="S327" s="1113" t="s">
        <v>58</v>
      </c>
      <c r="T327" s="1113"/>
      <c r="U327" s="1027">
        <f>IF('Main Creation Page'!$K$5=3,3,2)</f>
        <v>3</v>
      </c>
      <c r="V327" s="1027">
        <f>IF((AP327+U327+VLOOKUP('Main Creation Page'!E$14,'System Lookups'!R$45:S$49,2))&gt;10,10,IF((AP327+U327+VLOOKUP('Main Creation Page'!E$14,'System Lookups'!R$45:S$49,2))&lt;1,1,(AP327+U327+VLOOKUP('Main Creation Page'!E$14,'System Lookups'!R$45:S$49,2))))</f>
        <v>4</v>
      </c>
      <c r="W327" s="1098" t="e">
        <f>IF(OR(I327&lt;&gt;"N",E327="C"),IF(AND(N327&lt;&gt;"T",ISNUMBER(FIND("V",I327))),1,0),NA())+IF(H327="Y",IF(AND(N327="P",ISNUMBER(FIND("Z",I327))),2,1),0)+IF(J327="Y",1,0)+IF(K327="Y",3,0)+IF(BE327="Lore",L327*2+Experience!$D$25,0)+IF(M327="Y",1,0)</f>
        <v>#N/A</v>
      </c>
      <c r="X327" s="1099"/>
      <c r="Y327" s="1100">
        <f ca="1">IF(P327="NS",IFERROR(INDIRECT(S327),NA()),VLOOKUP(INDIRECT(P327)+INDIRECT(S327),'System Lookups'!$A$3:$D$146,2))</f>
        <v>0.08</v>
      </c>
      <c r="Z327" s="1100">
        <f t="shared" si="377"/>
        <v>0</v>
      </c>
      <c r="AA327" s="1101">
        <f ca="1">IF(ISNA(Y327),0,Y327)+Z327+IF('Main Creation Page'!AB$2=37,'Main Creation Page'!E$14/100,0)</f>
        <v>0.08</v>
      </c>
      <c r="AB327" s="1102">
        <f>VLOOKUP(V327,'System Lookups'!$J$55:$P$64,3)</f>
        <v>0.2</v>
      </c>
      <c r="AC327" s="1103">
        <f>VLOOKUP(V327,'System Lookups'!$J$55:$P$64,4)</f>
        <v>0.3</v>
      </c>
      <c r="AD327" s="1104">
        <f t="shared" si="367"/>
        <v>0</v>
      </c>
      <c r="AE327" s="1094">
        <f>(IF(AD327&gt;VLOOKUP(V327,'System Lookups'!$J$55:$P$63,6),(((AD327-VLOOKUP(V327,'System Lookups'!$J$55:$P$63,6))*100)/20),0))+AF327</f>
        <v>0</v>
      </c>
      <c r="AF327" s="1121"/>
      <c r="AG327" s="1092">
        <f t="shared" si="368"/>
        <v>0</v>
      </c>
      <c r="AH327" s="1092" t="str">
        <f>IF(X327&lt;=Experience!$R$15+1,"","*")</f>
        <v/>
      </c>
      <c r="AI327" s="1092"/>
      <c r="AJ327" s="1080">
        <f t="shared" si="369"/>
        <v>0</v>
      </c>
      <c r="AK327" s="1080">
        <f t="shared" si="378"/>
        <v>0</v>
      </c>
      <c r="AL327" s="1080">
        <f t="shared" si="371"/>
        <v>0</v>
      </c>
      <c r="AM327" s="1092">
        <f t="shared" si="379"/>
        <v>0</v>
      </c>
      <c r="AN327" s="1080">
        <f t="shared" si="380"/>
        <v>1</v>
      </c>
      <c r="AO327" s="1080">
        <f t="shared" si="374"/>
        <v>0</v>
      </c>
      <c r="AP327" s="1080">
        <f t="shared" si="375"/>
        <v>1</v>
      </c>
      <c r="AQ327" s="1027">
        <f>VLOOKUP(V327,'System Lookups'!$J$55:$P$64,7)</f>
        <v>600</v>
      </c>
      <c r="AR327" s="1080" t="str">
        <f ca="1">IF(AND(NOT(ISBLANK(AJ327)),ISNA(MATCH(ROW(),'System Lookups'!$C$526:$C$539,0))),"Y","N")</f>
        <v>Y</v>
      </c>
      <c r="AS327" s="1080">
        <f t="shared" si="376"/>
        <v>0</v>
      </c>
      <c r="AU327" s="1080" t="e">
        <f t="shared" si="384"/>
        <v>#N/A</v>
      </c>
      <c r="AV327" s="1080" t="str">
        <f t="shared" si="381"/>
        <v>T</v>
      </c>
      <c r="AW327" s="1080">
        <f t="shared" si="385"/>
        <v>0</v>
      </c>
      <c r="AX327" s="1080">
        <f t="shared" si="386"/>
        <v>0</v>
      </c>
      <c r="AY327" s="1080">
        <f t="shared" si="387"/>
        <v>0</v>
      </c>
      <c r="AZ327" s="1080">
        <f t="shared" si="388"/>
        <v>0</v>
      </c>
      <c r="BA327" s="1080">
        <f t="shared" si="389"/>
        <v>0</v>
      </c>
      <c r="BB327" s="1080">
        <f>IF(AND(RACE=1,'Main Creation Page'!$E$6="Well",OR(ISNUMBER(FIND(Experience!$G$11,BE327)),ISNUMBER(FIND(Experience!$G$11,BF327)),ISNUMBER(FIND(Experience!$I$11,BE327)),ISNUMBER(FIND(Experience!$I$11,BF327)))),1,0)</f>
        <v>1</v>
      </c>
      <c r="BC327" s="1080" t="str">
        <f t="shared" si="390"/>
        <v>Foreign:Kindren</v>
      </c>
      <c r="BD327" s="1080" t="s">
        <v>5691</v>
      </c>
      <c r="BE327" s="1080" t="str">
        <f t="shared" si="382"/>
        <v>Lore</v>
      </c>
      <c r="BF327" s="1080" t="str">
        <f t="shared" si="383"/>
        <v>Language Lore: Spoken</v>
      </c>
    </row>
    <row r="328" spans="1:58" ht="11.1" customHeight="1" outlineLevel="3">
      <c r="A328" s="1028" t="str">
        <f>IF('Main Creation Page'!$K$5=3, "Gonson","Japanese")</f>
        <v>Gonson</v>
      </c>
      <c r="B328" s="1094" t="s">
        <v>1942</v>
      </c>
      <c r="C328" s="1094"/>
      <c r="D328" s="1094"/>
      <c r="E328" s="1095" t="s">
        <v>5224</v>
      </c>
      <c r="F328" s="1095" t="s">
        <v>5224</v>
      </c>
      <c r="G328" s="1096" t="s">
        <v>3043</v>
      </c>
      <c r="H328" s="1096" t="s">
        <v>5224</v>
      </c>
      <c r="I328" s="1096" t="s">
        <v>5224</v>
      </c>
      <c r="J328" s="1096" t="s">
        <v>5224</v>
      </c>
      <c r="K328" s="1096" t="s">
        <v>5224</v>
      </c>
      <c r="L328" s="1096">
        <v>0</v>
      </c>
      <c r="M328" s="1096" t="s">
        <v>5224</v>
      </c>
      <c r="N328" s="1096" t="s">
        <v>4631</v>
      </c>
      <c r="O328" s="1113"/>
      <c r="P328" s="1113" t="s">
        <v>13</v>
      </c>
      <c r="S328" s="1113" t="s">
        <v>58</v>
      </c>
      <c r="T328" s="1113"/>
      <c r="U328" s="1027">
        <f>IF('Main Creation Page'!$K$5=3,3,2)</f>
        <v>3</v>
      </c>
      <c r="V328" s="1027">
        <f>IF((AP328+U328+VLOOKUP('Main Creation Page'!E$14,'System Lookups'!R$45:S$49,2))&gt;10,10,IF((AP328+U328+VLOOKUP('Main Creation Page'!E$14,'System Lookups'!R$45:S$49,2))&lt;1,1,(AP328+U328+VLOOKUP('Main Creation Page'!E$14,'System Lookups'!R$45:S$49,2))))</f>
        <v>4</v>
      </c>
      <c r="W328" s="1098" t="e">
        <f>IF(OR(I328&lt;&gt;"N",E328="C"),IF(AND(N328&lt;&gt;"T",ISNUMBER(FIND("V",I328))),1,0),NA())+IF(H328="Y",IF(AND(N328="P",ISNUMBER(FIND("Z",I328))),2,1),0)+IF(J328="Y",1,0)+IF(K328="Y",3,0)+IF(BE328="Lore",L328*2+Experience!$D$25,0)+IF(M328="Y",1,0)</f>
        <v>#N/A</v>
      </c>
      <c r="X328" s="1099"/>
      <c r="Y328" s="1100">
        <f ca="1">IF(P328="NS",IFERROR(INDIRECT(S328),NA()),VLOOKUP(INDIRECT(P328)+INDIRECT(S328),'System Lookups'!$A$3:$D$146,2))</f>
        <v>0.08</v>
      </c>
      <c r="Z328" s="1100">
        <f t="shared" si="377"/>
        <v>0</v>
      </c>
      <c r="AA328" s="1101">
        <f ca="1">IF(ISNA(Y328),0,Y328)+Z328+IF('Main Creation Page'!AB$2=37,'Main Creation Page'!E$14/100,0)</f>
        <v>0.08</v>
      </c>
      <c r="AB328" s="1102">
        <f>VLOOKUP(V328,'System Lookups'!$J$55:$P$64,3)</f>
        <v>0.2</v>
      </c>
      <c r="AC328" s="1103">
        <f>VLOOKUP(V328,'System Lookups'!$J$55:$P$64,4)</f>
        <v>0.3</v>
      </c>
      <c r="AD328" s="1104">
        <f t="shared" si="367"/>
        <v>0</v>
      </c>
      <c r="AE328" s="1094">
        <f>(IF(AD328&gt;VLOOKUP(V328,'System Lookups'!$J$55:$P$63,6),(((AD328-VLOOKUP(V328,'System Lookups'!$J$55:$P$63,6))*100)/20),0))+AF328</f>
        <v>0</v>
      </c>
      <c r="AF328" s="1121"/>
      <c r="AG328" s="1092">
        <f t="shared" si="368"/>
        <v>0</v>
      </c>
      <c r="AH328" s="1092" t="str">
        <f>IF(X328&lt;=Experience!$R$15+1,"","*")</f>
        <v/>
      </c>
      <c r="AI328" s="1092"/>
      <c r="AJ328" s="1080">
        <f t="shared" si="369"/>
        <v>0</v>
      </c>
      <c r="AK328" s="1080">
        <f t="shared" si="378"/>
        <v>0</v>
      </c>
      <c r="AL328" s="1080">
        <f t="shared" si="371"/>
        <v>0</v>
      </c>
      <c r="AM328" s="1092">
        <f t="shared" si="379"/>
        <v>0</v>
      </c>
      <c r="AN328" s="1080">
        <f t="shared" si="380"/>
        <v>1</v>
      </c>
      <c r="AO328" s="1080">
        <f t="shared" si="374"/>
        <v>0</v>
      </c>
      <c r="AP328" s="1080">
        <f t="shared" si="375"/>
        <v>1</v>
      </c>
      <c r="AQ328" s="1027">
        <f>VLOOKUP(V328,'System Lookups'!$J$55:$P$64,7)</f>
        <v>600</v>
      </c>
      <c r="AR328" s="1080" t="str">
        <f ca="1">IF(AND(NOT(ISBLANK(AJ328)),ISNA(MATCH(ROW(),'System Lookups'!$C$526:$C$539,0))),"Y","N")</f>
        <v>Y</v>
      </c>
      <c r="AS328" s="1080">
        <f t="shared" si="376"/>
        <v>0</v>
      </c>
      <c r="AU328" s="1080" t="e">
        <f t="shared" si="384"/>
        <v>#N/A</v>
      </c>
      <c r="AV328" s="1080" t="str">
        <f t="shared" si="381"/>
        <v>T</v>
      </c>
      <c r="AW328" s="1080">
        <f t="shared" si="385"/>
        <v>0</v>
      </c>
      <c r="AX328" s="1080">
        <f t="shared" si="386"/>
        <v>0</v>
      </c>
      <c r="AY328" s="1080">
        <f t="shared" si="387"/>
        <v>0</v>
      </c>
      <c r="AZ328" s="1080">
        <f t="shared" si="388"/>
        <v>0</v>
      </c>
      <c r="BA328" s="1080">
        <f t="shared" si="389"/>
        <v>0</v>
      </c>
      <c r="BB328" s="1080">
        <f>IF(AND(RACE=1,'Main Creation Page'!$E$6="Well",OR(ISNUMBER(FIND(Experience!$G$11,BE328)),ISNUMBER(FIND(Experience!$G$11,BF328)),ISNUMBER(FIND(Experience!$I$11,BE328)),ISNUMBER(FIND(Experience!$I$11,BF328)))),1,0)</f>
        <v>1</v>
      </c>
      <c r="BC328" s="1080" t="str">
        <f t="shared" si="390"/>
        <v>Foreign:Gonson</v>
      </c>
      <c r="BD328" s="1080" t="s">
        <v>5691</v>
      </c>
      <c r="BE328" s="1080" t="str">
        <f t="shared" si="382"/>
        <v>Lore</v>
      </c>
      <c r="BF328" s="1080" t="str">
        <f t="shared" si="383"/>
        <v>Language Lore: Spoken</v>
      </c>
    </row>
    <row r="329" spans="1:58" ht="11.1" customHeight="1" outlineLevel="3">
      <c r="A329" s="1028" t="str">
        <f>IF('Main Creation Page'!$K$5=3, "Caben","Italian")</f>
        <v>Caben</v>
      </c>
      <c r="B329" s="1094" t="s">
        <v>1942</v>
      </c>
      <c r="C329" s="1094"/>
      <c r="D329" s="1094"/>
      <c r="E329" s="1095" t="s">
        <v>5224</v>
      </c>
      <c r="F329" s="1095" t="s">
        <v>5224</v>
      </c>
      <c r="G329" s="1096" t="s">
        <v>3043</v>
      </c>
      <c r="H329" s="1096" t="s">
        <v>5224</v>
      </c>
      <c r="I329" s="1096" t="s">
        <v>5224</v>
      </c>
      <c r="J329" s="1096" t="s">
        <v>5224</v>
      </c>
      <c r="K329" s="1096" t="s">
        <v>5224</v>
      </c>
      <c r="L329" s="1096">
        <v>0</v>
      </c>
      <c r="M329" s="1096" t="s">
        <v>5224</v>
      </c>
      <c r="N329" s="1096" t="s">
        <v>4631</v>
      </c>
      <c r="O329" s="1113"/>
      <c r="P329" s="1113" t="s">
        <v>13</v>
      </c>
      <c r="S329" s="1113" t="s">
        <v>58</v>
      </c>
      <c r="T329" s="1113"/>
      <c r="U329" s="1027">
        <f>IF('Main Creation Page'!$K$5=3,3,2)</f>
        <v>3</v>
      </c>
      <c r="V329" s="1027">
        <f>IF((AP329+U329+VLOOKUP('Main Creation Page'!E$14,'System Lookups'!R$45:S$49,2))&gt;10,10,IF((AP329+U329+VLOOKUP('Main Creation Page'!E$14,'System Lookups'!R$45:S$49,2))&lt;1,1,(AP329+U329+VLOOKUP('Main Creation Page'!E$14,'System Lookups'!R$45:S$49,2))))</f>
        <v>4</v>
      </c>
      <c r="W329" s="1098" t="e">
        <f>IF(OR(I329&lt;&gt;"N",E329="C"),IF(AND(N329&lt;&gt;"T",ISNUMBER(FIND("V",I329))),1,0),NA())+IF(H329="Y",IF(AND(N329="P",ISNUMBER(FIND("Z",I329))),2,1),0)+IF(J329="Y",1,0)+IF(K329="Y",3,0)+IF(BE329="Lore",L329*2+Experience!$D$25,0)+IF(M329="Y",1,0)</f>
        <v>#N/A</v>
      </c>
      <c r="X329" s="1099"/>
      <c r="Y329" s="1100">
        <f ca="1">IF(P329="NS",IFERROR(INDIRECT(S329),NA()),VLOOKUP(INDIRECT(P329)+INDIRECT(S329),'System Lookups'!$A$3:$D$146,2))</f>
        <v>0.08</v>
      </c>
      <c r="Z329" s="1100">
        <f t="shared" si="377"/>
        <v>0</v>
      </c>
      <c r="AA329" s="1101">
        <f ca="1">IF(ISNA(Y329),0,Y329)+Z329+IF('Main Creation Page'!AB$2=37,'Main Creation Page'!E$14/100,0)</f>
        <v>0.08</v>
      </c>
      <c r="AB329" s="1102">
        <f>VLOOKUP(V329,'System Lookups'!$J$55:$P$64,3)</f>
        <v>0.2</v>
      </c>
      <c r="AC329" s="1103">
        <f>VLOOKUP(V329,'System Lookups'!$J$55:$P$64,4)</f>
        <v>0.3</v>
      </c>
      <c r="AD329" s="1104">
        <f t="shared" si="367"/>
        <v>0</v>
      </c>
      <c r="AE329" s="1094">
        <f>(IF(AD329&gt;VLOOKUP(V329,'System Lookups'!$J$55:$P$63,6),(((AD329-VLOOKUP(V329,'System Lookups'!$J$55:$P$63,6))*100)/20),0))+AF329</f>
        <v>0</v>
      </c>
      <c r="AF329" s="1121"/>
      <c r="AG329" s="1092">
        <f t="shared" si="368"/>
        <v>0</v>
      </c>
      <c r="AH329" s="1092" t="str">
        <f>IF(X329&lt;=Experience!$R$15+1,"","*")</f>
        <v/>
      </c>
      <c r="AI329" s="1092"/>
      <c r="AJ329" s="1080">
        <f t="shared" si="369"/>
        <v>0</v>
      </c>
      <c r="AK329" s="1080">
        <f t="shared" si="378"/>
        <v>0</v>
      </c>
      <c r="AL329" s="1080">
        <f t="shared" si="371"/>
        <v>0</v>
      </c>
      <c r="AM329" s="1092">
        <f t="shared" si="379"/>
        <v>0</v>
      </c>
      <c r="AN329" s="1080">
        <f t="shared" si="380"/>
        <v>1</v>
      </c>
      <c r="AO329" s="1080">
        <f t="shared" si="374"/>
        <v>0</v>
      </c>
      <c r="AP329" s="1080">
        <f t="shared" si="375"/>
        <v>1</v>
      </c>
      <c r="AQ329" s="1027">
        <f>VLOOKUP(V329,'System Lookups'!$J$55:$P$64,7)</f>
        <v>600</v>
      </c>
      <c r="AR329" s="1080" t="str">
        <f ca="1">IF(AND(NOT(ISBLANK(AJ329)),ISNA(MATCH(ROW(),'System Lookups'!$C$526:$C$539,0))),"Y","N")</f>
        <v>Y</v>
      </c>
      <c r="AS329" s="1080">
        <f t="shared" si="376"/>
        <v>0</v>
      </c>
      <c r="AU329" s="1080" t="e">
        <f t="shared" si="384"/>
        <v>#N/A</v>
      </c>
      <c r="AV329" s="1080" t="str">
        <f t="shared" si="381"/>
        <v>T</v>
      </c>
      <c r="AW329" s="1080">
        <f t="shared" si="385"/>
        <v>0</v>
      </c>
      <c r="AX329" s="1080">
        <f t="shared" si="386"/>
        <v>0</v>
      </c>
      <c r="AY329" s="1080">
        <f t="shared" si="387"/>
        <v>0</v>
      </c>
      <c r="AZ329" s="1080">
        <f t="shared" si="388"/>
        <v>0</v>
      </c>
      <c r="BA329" s="1080">
        <f t="shared" si="389"/>
        <v>0</v>
      </c>
      <c r="BB329" s="1080">
        <f>IF(AND(RACE=1,'Main Creation Page'!$E$6="Well",OR(ISNUMBER(FIND(Experience!$G$11,BE329)),ISNUMBER(FIND(Experience!$G$11,BF329)),ISNUMBER(FIND(Experience!$I$11,BE329)),ISNUMBER(FIND(Experience!$I$11,BF329)))),1,0)</f>
        <v>1</v>
      </c>
      <c r="BC329" s="1080" t="str">
        <f t="shared" si="390"/>
        <v>Foreign:Caben</v>
      </c>
      <c r="BD329" s="1080" t="s">
        <v>5691</v>
      </c>
      <c r="BE329" s="1080" t="str">
        <f t="shared" si="382"/>
        <v>Lore</v>
      </c>
      <c r="BF329" s="1080" t="str">
        <f t="shared" si="383"/>
        <v>Language Lore: Spoken</v>
      </c>
    </row>
    <row r="330" spans="1:58" ht="11.1" customHeight="1" outlineLevel="3">
      <c r="A330" s="1028" t="str">
        <f>IF('Main Creation Page'!$K$5=3,"Mednan","French")</f>
        <v>Mednan</v>
      </c>
      <c r="B330" s="1094" t="s">
        <v>1942</v>
      </c>
      <c r="C330" s="1094"/>
      <c r="D330" s="1094"/>
      <c r="E330" s="1095" t="s">
        <v>5224</v>
      </c>
      <c r="F330" s="1095" t="s">
        <v>5224</v>
      </c>
      <c r="G330" s="1096" t="s">
        <v>3043</v>
      </c>
      <c r="H330" s="1096" t="s">
        <v>5224</v>
      </c>
      <c r="I330" s="1096" t="s">
        <v>5224</v>
      </c>
      <c r="J330" s="1096" t="s">
        <v>5224</v>
      </c>
      <c r="K330" s="1096" t="s">
        <v>5224</v>
      </c>
      <c r="L330" s="1096">
        <v>0</v>
      </c>
      <c r="M330" s="1096" t="s">
        <v>5224</v>
      </c>
      <c r="N330" s="1096" t="s">
        <v>4631</v>
      </c>
      <c r="O330" s="1113"/>
      <c r="P330" s="1113" t="s">
        <v>13</v>
      </c>
      <c r="S330" s="1113" t="s">
        <v>58</v>
      </c>
      <c r="T330" s="1113"/>
      <c r="U330" s="1027">
        <f>IF('Main Creation Page'!$K$5=3,3,2)</f>
        <v>3</v>
      </c>
      <c r="V330" s="1027">
        <f>IF((AP330+U330+VLOOKUP('Main Creation Page'!E$14,'System Lookups'!R$45:S$49,2))&gt;10,10,IF((AP330+U330+VLOOKUP('Main Creation Page'!E$14,'System Lookups'!R$45:S$49,2))&lt;1,1,(AP330+U330+VLOOKUP('Main Creation Page'!E$14,'System Lookups'!R$45:S$49,2))))</f>
        <v>4</v>
      </c>
      <c r="W330" s="1098" t="e">
        <f>IF(OR(I330&lt;&gt;"N",E330="C"),IF(AND(N330&lt;&gt;"T",ISNUMBER(FIND("V",I330))),1,0),NA())+IF(H330="Y",IF(AND(N330="P",ISNUMBER(FIND("Z",I330))),2,1),0)+IF(J330="Y",1,0)+IF(K330="Y",3,0)+IF(BE330="Lore",L330*2+Experience!$D$25,0)+IF(M330="Y",1,0)</f>
        <v>#N/A</v>
      </c>
      <c r="X330" s="1099"/>
      <c r="Y330" s="1100">
        <f ca="1">IF(P330="NS",IFERROR(INDIRECT(S330),NA()),VLOOKUP(INDIRECT(P330)+INDIRECT(S330),'System Lookups'!$A$3:$D$146,2))</f>
        <v>0.08</v>
      </c>
      <c r="Z330" s="1100">
        <f t="shared" si="377"/>
        <v>0</v>
      </c>
      <c r="AA330" s="1101">
        <f ca="1">IF(ISNA(Y330),0,Y330)+Z330+IF('Main Creation Page'!AB$2=37,'Main Creation Page'!E$14/100,0)</f>
        <v>0.08</v>
      </c>
      <c r="AB330" s="1102">
        <f>VLOOKUP(V330,'System Lookups'!$J$55:$P$64,3)</f>
        <v>0.2</v>
      </c>
      <c r="AC330" s="1103">
        <f>VLOOKUP(V330,'System Lookups'!$J$55:$P$64,4)</f>
        <v>0.3</v>
      </c>
      <c r="AD330" s="1104">
        <f t="shared" si="367"/>
        <v>0</v>
      </c>
      <c r="AE330" s="1094">
        <f>(IF(AD330&gt;VLOOKUP(V330,'System Lookups'!$J$55:$P$63,6),(((AD330-VLOOKUP(V330,'System Lookups'!$J$55:$P$63,6))*100)/20),0))+AF330</f>
        <v>0</v>
      </c>
      <c r="AF330" s="1121"/>
      <c r="AG330" s="1092">
        <f t="shared" si="368"/>
        <v>0</v>
      </c>
      <c r="AH330" s="1092" t="str">
        <f>IF(X330&lt;=Experience!$R$15+1,"","*")</f>
        <v/>
      </c>
      <c r="AI330" s="1092"/>
      <c r="AJ330" s="1080">
        <f t="shared" si="369"/>
        <v>0</v>
      </c>
      <c r="AK330" s="1080">
        <f t="shared" si="378"/>
        <v>0</v>
      </c>
      <c r="AL330" s="1080">
        <f t="shared" si="371"/>
        <v>0</v>
      </c>
      <c r="AM330" s="1092">
        <f t="shared" si="379"/>
        <v>0</v>
      </c>
      <c r="AN330" s="1080">
        <f t="shared" si="380"/>
        <v>1</v>
      </c>
      <c r="AO330" s="1080">
        <f t="shared" si="374"/>
        <v>0</v>
      </c>
      <c r="AP330" s="1080">
        <f t="shared" si="375"/>
        <v>1</v>
      </c>
      <c r="AQ330" s="1027">
        <f>VLOOKUP(V330,'System Lookups'!$J$55:$P$64,7)</f>
        <v>600</v>
      </c>
      <c r="AR330" s="1080" t="str">
        <f ca="1">IF(AND(NOT(ISBLANK(AJ330)),ISNA(MATCH(ROW(),'System Lookups'!$C$526:$C$539,0))),"Y","N")</f>
        <v>Y</v>
      </c>
      <c r="AS330" s="1080">
        <f t="shared" si="376"/>
        <v>0</v>
      </c>
      <c r="AU330" s="1080" t="e">
        <f t="shared" si="384"/>
        <v>#N/A</v>
      </c>
      <c r="AV330" s="1080" t="str">
        <f t="shared" si="381"/>
        <v>T</v>
      </c>
      <c r="AW330" s="1080">
        <f t="shared" si="385"/>
        <v>0</v>
      </c>
      <c r="AX330" s="1080">
        <f t="shared" si="386"/>
        <v>0</v>
      </c>
      <c r="AY330" s="1080">
        <f t="shared" si="387"/>
        <v>0</v>
      </c>
      <c r="AZ330" s="1080">
        <f t="shared" si="388"/>
        <v>0</v>
      </c>
      <c r="BA330" s="1080">
        <f t="shared" si="389"/>
        <v>0</v>
      </c>
      <c r="BB330" s="1080">
        <f>IF(AND(RACE=1,'Main Creation Page'!$E$6="Well",OR(ISNUMBER(FIND(Experience!$G$11,BE330)),ISNUMBER(FIND(Experience!$G$11,BF330)),ISNUMBER(FIND(Experience!$I$11,BE330)),ISNUMBER(FIND(Experience!$I$11,BF330)))),1,0)</f>
        <v>1</v>
      </c>
      <c r="BC330" s="1080" t="str">
        <f t="shared" si="390"/>
        <v>Foreign:Mednan</v>
      </c>
      <c r="BD330" s="1080" t="s">
        <v>5691</v>
      </c>
      <c r="BE330" s="1080" t="str">
        <f t="shared" si="382"/>
        <v>Lore</v>
      </c>
      <c r="BF330" s="1080" t="str">
        <f t="shared" si="383"/>
        <v>Language Lore: Spoken</v>
      </c>
    </row>
    <row r="331" spans="1:58" ht="11.1" customHeight="1" outlineLevel="3">
      <c r="A331" s="1028" t="str">
        <f>IF('Main Creation Page'!$K$5=3, "Slaven","Swedish")</f>
        <v>Slaven</v>
      </c>
      <c r="B331" s="1094" t="s">
        <v>1942</v>
      </c>
      <c r="C331" s="1094"/>
      <c r="D331" s="1094"/>
      <c r="E331" s="1095" t="s">
        <v>5224</v>
      </c>
      <c r="F331" s="1095" t="s">
        <v>5224</v>
      </c>
      <c r="G331" s="1096" t="s">
        <v>3043</v>
      </c>
      <c r="H331" s="1096" t="s">
        <v>5224</v>
      </c>
      <c r="I331" s="1096" t="s">
        <v>5224</v>
      </c>
      <c r="J331" s="1096" t="s">
        <v>5224</v>
      </c>
      <c r="K331" s="1096" t="s">
        <v>5224</v>
      </c>
      <c r="L331" s="1096">
        <v>0</v>
      </c>
      <c r="M331" s="1096" t="s">
        <v>5224</v>
      </c>
      <c r="N331" s="1096" t="s">
        <v>4631</v>
      </c>
      <c r="O331" s="1113"/>
      <c r="P331" s="1113" t="s">
        <v>13</v>
      </c>
      <c r="S331" s="1113" t="s">
        <v>58</v>
      </c>
      <c r="T331" s="1113"/>
      <c r="U331" s="1027">
        <f>IF('Main Creation Page'!$K$5=3,3,2)</f>
        <v>3</v>
      </c>
      <c r="V331" s="1027">
        <f>IF((AP331+U331+VLOOKUP('Main Creation Page'!E$14,'System Lookups'!R$45:S$49,2))&gt;10,10,IF((AP331+U331+VLOOKUP('Main Creation Page'!E$14,'System Lookups'!R$45:S$49,2))&lt;1,1,(AP331+U331+VLOOKUP('Main Creation Page'!E$14,'System Lookups'!R$45:S$49,2))))</f>
        <v>4</v>
      </c>
      <c r="W331" s="1098" t="e">
        <f>IF(OR(I331&lt;&gt;"N",E331="C"),IF(AND(N331&lt;&gt;"T",ISNUMBER(FIND("V",I331))),1,0),NA())+IF(H331="Y",IF(AND(N331="P",ISNUMBER(FIND("Z",I331))),2,1),0)+IF(J331="Y",1,0)+IF(K331="Y",3,0)+IF(BE331="Lore",L331*2+Experience!$D$25,0)+IF(M331="Y",1,0)</f>
        <v>#N/A</v>
      </c>
      <c r="X331" s="1099"/>
      <c r="Y331" s="1100">
        <f ca="1">IF(P331="NS",IFERROR(INDIRECT(S331),NA()),VLOOKUP(INDIRECT(P331)+INDIRECT(S331),'System Lookups'!$A$3:$D$146,2))</f>
        <v>0.08</v>
      </c>
      <c r="Z331" s="1100">
        <f t="shared" si="377"/>
        <v>0</v>
      </c>
      <c r="AA331" s="1101">
        <f ca="1">IF(ISNA(Y331),0,Y331)+Z331+IF('Main Creation Page'!AB$2=37,'Main Creation Page'!E$14/100,0)</f>
        <v>0.08</v>
      </c>
      <c r="AB331" s="1102">
        <f>VLOOKUP(V331,'System Lookups'!$J$55:$P$64,3)</f>
        <v>0.2</v>
      </c>
      <c r="AC331" s="1103">
        <f>VLOOKUP(V331,'System Lookups'!$J$55:$P$64,4)</f>
        <v>0.3</v>
      </c>
      <c r="AD331" s="1104">
        <f t="shared" si="367"/>
        <v>0</v>
      </c>
      <c r="AE331" s="1094">
        <f>(IF(AD331&gt;VLOOKUP(V331,'System Lookups'!$J$55:$P$63,6),(((AD331-VLOOKUP(V331,'System Lookups'!$J$55:$P$63,6))*100)/20),0))+AF331</f>
        <v>0</v>
      </c>
      <c r="AF331" s="1121"/>
      <c r="AG331" s="1092">
        <f t="shared" si="368"/>
        <v>0</v>
      </c>
      <c r="AH331" s="1092" t="str">
        <f>IF(X331&lt;=Experience!$R$15+1,"","*")</f>
        <v/>
      </c>
      <c r="AI331" s="1092"/>
      <c r="AJ331" s="1080">
        <f t="shared" si="369"/>
        <v>0</v>
      </c>
      <c r="AK331" s="1080">
        <f t="shared" si="378"/>
        <v>0</v>
      </c>
      <c r="AL331" s="1080">
        <f t="shared" si="371"/>
        <v>0</v>
      </c>
      <c r="AM331" s="1092">
        <f t="shared" si="379"/>
        <v>0</v>
      </c>
      <c r="AN331" s="1080">
        <f t="shared" si="380"/>
        <v>1</v>
      </c>
      <c r="AO331" s="1080">
        <f t="shared" si="374"/>
        <v>0</v>
      </c>
      <c r="AP331" s="1080">
        <f t="shared" si="375"/>
        <v>1</v>
      </c>
      <c r="AQ331" s="1027">
        <f>VLOOKUP(V331,'System Lookups'!$J$55:$P$64,7)</f>
        <v>600</v>
      </c>
      <c r="AR331" s="1080" t="str">
        <f ca="1">IF(AND(NOT(ISBLANK(AJ331)),ISNA(MATCH(ROW(),'System Lookups'!$C$526:$C$539,0))),"Y","N")</f>
        <v>Y</v>
      </c>
      <c r="AS331" s="1080">
        <f t="shared" si="376"/>
        <v>0</v>
      </c>
      <c r="AU331" s="1080" t="e">
        <f t="shared" si="384"/>
        <v>#N/A</v>
      </c>
      <c r="AV331" s="1080" t="str">
        <f t="shared" si="381"/>
        <v>T</v>
      </c>
      <c r="AW331" s="1080">
        <f t="shared" si="385"/>
        <v>0</v>
      </c>
      <c r="AX331" s="1080">
        <f t="shared" si="386"/>
        <v>0</v>
      </c>
      <c r="AY331" s="1080">
        <f t="shared" si="387"/>
        <v>0</v>
      </c>
      <c r="AZ331" s="1080">
        <f t="shared" si="388"/>
        <v>0</v>
      </c>
      <c r="BA331" s="1080">
        <f t="shared" si="389"/>
        <v>0</v>
      </c>
      <c r="BB331" s="1080">
        <f>IF(AND(RACE=1,'Main Creation Page'!$E$6="Well",OR(ISNUMBER(FIND(Experience!$G$11,BE331)),ISNUMBER(FIND(Experience!$G$11,BF331)),ISNUMBER(FIND(Experience!$I$11,BE331)),ISNUMBER(FIND(Experience!$I$11,BF331)))),1,0)</f>
        <v>1</v>
      </c>
      <c r="BC331" s="1080" t="str">
        <f t="shared" si="390"/>
        <v>Foreign:Slaven</v>
      </c>
      <c r="BD331" s="1080" t="s">
        <v>5691</v>
      </c>
      <c r="BE331" s="1080" t="str">
        <f t="shared" si="382"/>
        <v>Lore</v>
      </c>
      <c r="BF331" s="1080" t="str">
        <f t="shared" si="383"/>
        <v>Language Lore: Spoken</v>
      </c>
    </row>
    <row r="332" spans="1:58" ht="11.1" customHeight="1" outlineLevel="3">
      <c r="A332" s="1028" t="s">
        <v>1094</v>
      </c>
      <c r="B332" s="1094" t="s">
        <v>1942</v>
      </c>
      <c r="C332" s="1094"/>
      <c r="D332" s="1094"/>
      <c r="E332" s="1095" t="s">
        <v>5224</v>
      </c>
      <c r="F332" s="1095" t="s">
        <v>5224</v>
      </c>
      <c r="G332" s="1096" t="s">
        <v>3043</v>
      </c>
      <c r="H332" s="1096" t="s">
        <v>5224</v>
      </c>
      <c r="I332" s="1096" t="s">
        <v>5224</v>
      </c>
      <c r="J332" s="1096" t="s">
        <v>5224</v>
      </c>
      <c r="K332" s="1096" t="s">
        <v>5224</v>
      </c>
      <c r="L332" s="1096">
        <v>0</v>
      </c>
      <c r="M332" s="1096" t="s">
        <v>5224</v>
      </c>
      <c r="N332" s="1096" t="s">
        <v>4631</v>
      </c>
      <c r="O332" s="1113"/>
      <c r="P332" s="1113" t="s">
        <v>13</v>
      </c>
      <c r="S332" s="1113" t="s">
        <v>58</v>
      </c>
      <c r="T332" s="1113"/>
      <c r="U332" s="1027">
        <f>IF('Main Creation Page'!$K$5=3,3,2)</f>
        <v>3</v>
      </c>
      <c r="V332" s="1027">
        <f>IF((AP332+U332+VLOOKUP('Main Creation Page'!E$14,'System Lookups'!R$45:S$49,2))&gt;10,10,IF((AP332+U332+VLOOKUP('Main Creation Page'!E$14,'System Lookups'!R$45:S$49,2))&lt;1,1,(AP332+U332+VLOOKUP('Main Creation Page'!E$14,'System Lookups'!R$45:S$49,2))))</f>
        <v>4</v>
      </c>
      <c r="W332" s="1098" t="e">
        <f>IF(OR(I332&lt;&gt;"N",E332="C"),IF(AND(N332&lt;&gt;"T",ISNUMBER(FIND("V",I332))),1,0),NA())+IF(H332="Y",IF(AND(N332="P",ISNUMBER(FIND("Z",I332))),2,1),0)+IF(J332="Y",1,0)+IF(K332="Y",3,0)+IF(BE332="Lore",L332*2+Experience!$D$25,0)+IF(M332="Y",1,0)</f>
        <v>#N/A</v>
      </c>
      <c r="X332" s="1099"/>
      <c r="Y332" s="1100">
        <f ca="1">IF(P332="NS",IFERROR(INDIRECT(S332),NA()),VLOOKUP(INDIRECT(P332)+INDIRECT(S332),'System Lookups'!$A$3:$D$146,2))</f>
        <v>0.08</v>
      </c>
      <c r="Z332" s="1100">
        <f t="shared" si="377"/>
        <v>0</v>
      </c>
      <c r="AA332" s="1101">
        <f ca="1">IF(ISNA(Y332),0,Y332)+Z332+IF('Main Creation Page'!AB$2=37,'Main Creation Page'!E$14/100,0)</f>
        <v>0.08</v>
      </c>
      <c r="AB332" s="1102">
        <f>VLOOKUP(V332,'System Lookups'!$J$55:$P$64,3)</f>
        <v>0.2</v>
      </c>
      <c r="AC332" s="1103">
        <f>VLOOKUP(V332,'System Lookups'!$J$55:$P$64,4)</f>
        <v>0.3</v>
      </c>
      <c r="AD332" s="1104">
        <f t="shared" si="367"/>
        <v>0</v>
      </c>
      <c r="AE332" s="1094">
        <f>(IF(AD332&gt;VLOOKUP(V332,'System Lookups'!$J$55:$P$63,6),(((AD332-VLOOKUP(V332,'System Lookups'!$J$55:$P$63,6))*100)/20),0))+AF332</f>
        <v>0</v>
      </c>
      <c r="AF332" s="1121"/>
      <c r="AG332" s="1092">
        <f t="shared" si="368"/>
        <v>0</v>
      </c>
      <c r="AH332" s="1092" t="str">
        <f>IF(X332&lt;=Experience!$R$15+1,"","*")</f>
        <v/>
      </c>
      <c r="AI332" s="1092"/>
      <c r="AJ332" s="1080">
        <f t="shared" si="369"/>
        <v>0</v>
      </c>
      <c r="AK332" s="1080">
        <f t="shared" si="378"/>
        <v>0</v>
      </c>
      <c r="AL332" s="1080">
        <f t="shared" si="371"/>
        <v>0</v>
      </c>
      <c r="AM332" s="1092">
        <f t="shared" si="379"/>
        <v>0</v>
      </c>
      <c r="AN332" s="1080">
        <f t="shared" si="380"/>
        <v>1</v>
      </c>
      <c r="AO332" s="1080">
        <f t="shared" si="374"/>
        <v>0</v>
      </c>
      <c r="AP332" s="1080">
        <f t="shared" si="375"/>
        <v>1</v>
      </c>
      <c r="AQ332" s="1027">
        <f>VLOOKUP(V332,'System Lookups'!$J$55:$P$64,7)</f>
        <v>600</v>
      </c>
      <c r="AR332" s="1080" t="str">
        <f ca="1">IF(AND(NOT(ISBLANK(AJ332)),ISNA(MATCH(ROW(),'System Lookups'!$C$526:$C$539,0))),"Y","N")</f>
        <v>Y</v>
      </c>
      <c r="AS332" s="1080">
        <f t="shared" si="376"/>
        <v>0</v>
      </c>
      <c r="AU332" s="1080" t="e">
        <f t="shared" si="384"/>
        <v>#N/A</v>
      </c>
      <c r="AV332" s="1080" t="str">
        <f t="shared" si="381"/>
        <v>T</v>
      </c>
      <c r="AW332" s="1080">
        <f t="shared" si="385"/>
        <v>0</v>
      </c>
      <c r="AX332" s="1080">
        <f t="shared" si="386"/>
        <v>0</v>
      </c>
      <c r="AY332" s="1080">
        <f t="shared" si="387"/>
        <v>0</v>
      </c>
      <c r="AZ332" s="1080">
        <f t="shared" si="388"/>
        <v>0</v>
      </c>
      <c r="BA332" s="1080">
        <f t="shared" si="389"/>
        <v>0</v>
      </c>
      <c r="BB332" s="1080">
        <f>IF(AND(RACE=1,'Main Creation Page'!$E$6="Well",OR(ISNUMBER(FIND(Experience!$G$11,BE332)),ISNUMBER(FIND(Experience!$G$11,BF332)),ISNUMBER(FIND(Experience!$I$11,BE332)),ISNUMBER(FIND(Experience!$I$11,BF332)))),1,0)</f>
        <v>1</v>
      </c>
      <c r="BC332" s="1080" t="str">
        <f t="shared" si="390"/>
        <v>Foreign:Spanish</v>
      </c>
      <c r="BD332" s="1080" t="s">
        <v>5691</v>
      </c>
      <c r="BE332" s="1080" t="str">
        <f t="shared" si="382"/>
        <v>Lore</v>
      </c>
      <c r="BF332" s="1080" t="str">
        <f t="shared" si="383"/>
        <v>Language Lore: Spoken</v>
      </c>
    </row>
    <row r="333" spans="1:58" ht="11.1" customHeight="1" outlineLevel="3">
      <c r="A333" s="1028" t="str">
        <f>IF('Main Creation Page'!$K$5=3, "Telnar","Polish")</f>
        <v>Telnar</v>
      </c>
      <c r="B333" s="1094" t="s">
        <v>1942</v>
      </c>
      <c r="C333" s="1094"/>
      <c r="D333" s="1094"/>
      <c r="E333" s="1095" t="s">
        <v>5224</v>
      </c>
      <c r="F333" s="1095" t="s">
        <v>5224</v>
      </c>
      <c r="G333" s="1096" t="s">
        <v>3043</v>
      </c>
      <c r="H333" s="1096" t="s">
        <v>5224</v>
      </c>
      <c r="I333" s="1096" t="s">
        <v>5224</v>
      </c>
      <c r="J333" s="1096" t="s">
        <v>5224</v>
      </c>
      <c r="K333" s="1096" t="s">
        <v>5224</v>
      </c>
      <c r="L333" s="1096">
        <v>0</v>
      </c>
      <c r="M333" s="1096" t="s">
        <v>5224</v>
      </c>
      <c r="N333" s="1096" t="s">
        <v>4631</v>
      </c>
      <c r="O333" s="1113"/>
      <c r="P333" s="1113" t="s">
        <v>13</v>
      </c>
      <c r="S333" s="1113" t="s">
        <v>58</v>
      </c>
      <c r="T333" s="1113"/>
      <c r="U333" s="1027">
        <f>IF('Main Creation Page'!$K$5=3,3,2)</f>
        <v>3</v>
      </c>
      <c r="V333" s="1027">
        <f>IF((AP333+U333+VLOOKUP('Main Creation Page'!E$14,'System Lookups'!R$45:S$49,2))&gt;10,10,IF((AP333+U333+VLOOKUP('Main Creation Page'!E$14,'System Lookups'!R$45:S$49,2))&lt;1,1,(AP333+U333+VLOOKUP('Main Creation Page'!E$14,'System Lookups'!R$45:S$49,2))))</f>
        <v>4</v>
      </c>
      <c r="W333" s="1098" t="e">
        <f>IF(OR(I333&lt;&gt;"N",E333="C"),IF(AND(N333&lt;&gt;"T",ISNUMBER(FIND("V",I333))),1,0),NA())+IF(H333="Y",IF(AND(N333="P",ISNUMBER(FIND("Z",I333))),2,1),0)+IF(J333="Y",1,0)+IF(K333="Y",3,0)+IF(BE333="Lore",L333*2+Experience!$D$25,0)+IF(M333="Y",1,0)</f>
        <v>#N/A</v>
      </c>
      <c r="X333" s="1099"/>
      <c r="Y333" s="1100">
        <f ca="1">IF(P333="NS",IFERROR(INDIRECT(S333),NA()),VLOOKUP(INDIRECT(P333)+INDIRECT(S333),'System Lookups'!$A$3:$D$146,2))</f>
        <v>0.08</v>
      </c>
      <c r="Z333" s="1100">
        <f t="shared" si="377"/>
        <v>0</v>
      </c>
      <c r="AA333" s="1101">
        <f ca="1">IF(ISNA(Y333),0,Y333)+Z333+IF('Main Creation Page'!AB$2=37,'Main Creation Page'!E$14/100,0)</f>
        <v>0.08</v>
      </c>
      <c r="AB333" s="1102">
        <f>VLOOKUP(V333,'System Lookups'!$J$55:$P$64,3)</f>
        <v>0.2</v>
      </c>
      <c r="AC333" s="1103">
        <f>VLOOKUP(V333,'System Lookups'!$J$55:$P$64,4)</f>
        <v>0.3</v>
      </c>
      <c r="AD333" s="1104">
        <f t="shared" si="367"/>
        <v>0</v>
      </c>
      <c r="AE333" s="1094">
        <f>(IF(AD333&gt;VLOOKUP(V333,'System Lookups'!$J$55:$P$63,6),(((AD333-VLOOKUP(V333,'System Lookups'!$J$55:$P$63,6))*100)/20),0))+AF333</f>
        <v>0</v>
      </c>
      <c r="AF333" s="1121"/>
      <c r="AG333" s="1092">
        <f t="shared" si="368"/>
        <v>0</v>
      </c>
      <c r="AH333" s="1092" t="str">
        <f>IF(X333&lt;=Experience!$R$15+1,"","*")</f>
        <v/>
      </c>
      <c r="AI333" s="1092"/>
      <c r="AJ333" s="1080">
        <f t="shared" si="369"/>
        <v>0</v>
      </c>
      <c r="AK333" s="1080">
        <f t="shared" si="378"/>
        <v>0</v>
      </c>
      <c r="AL333" s="1080">
        <f t="shared" si="371"/>
        <v>0</v>
      </c>
      <c r="AM333" s="1092">
        <f t="shared" si="379"/>
        <v>0</v>
      </c>
      <c r="AN333" s="1080">
        <f t="shared" si="380"/>
        <v>1</v>
      </c>
      <c r="AO333" s="1080">
        <f t="shared" si="374"/>
        <v>0</v>
      </c>
      <c r="AP333" s="1080">
        <f t="shared" si="375"/>
        <v>1</v>
      </c>
      <c r="AQ333" s="1027">
        <f>VLOOKUP(V333,'System Lookups'!$J$55:$P$64,7)</f>
        <v>600</v>
      </c>
      <c r="AR333" s="1080" t="str">
        <f ca="1">IF(AND(NOT(ISBLANK(AJ333)),ISNA(MATCH(ROW(),'System Lookups'!$C$526:$C$539,0))),"Y","N")</f>
        <v>Y</v>
      </c>
      <c r="AS333" s="1080">
        <f t="shared" si="376"/>
        <v>0</v>
      </c>
      <c r="AU333" s="1080" t="e">
        <f t="shared" si="384"/>
        <v>#N/A</v>
      </c>
      <c r="AV333" s="1080" t="str">
        <f t="shared" si="381"/>
        <v>T</v>
      </c>
      <c r="AW333" s="1080">
        <f t="shared" si="385"/>
        <v>0</v>
      </c>
      <c r="AX333" s="1080">
        <f t="shared" si="386"/>
        <v>0</v>
      </c>
      <c r="AY333" s="1080">
        <f t="shared" si="387"/>
        <v>0</v>
      </c>
      <c r="AZ333" s="1080">
        <f t="shared" si="388"/>
        <v>0</v>
      </c>
      <c r="BA333" s="1080">
        <f t="shared" si="389"/>
        <v>0</v>
      </c>
      <c r="BB333" s="1080">
        <f>IF(AND(RACE=1,'Main Creation Page'!$E$6="Well",OR(ISNUMBER(FIND(Experience!$G$11,BE333)),ISNUMBER(FIND(Experience!$G$11,BF333)),ISNUMBER(FIND(Experience!$I$11,BE333)),ISNUMBER(FIND(Experience!$I$11,BF333)))),1,0)</f>
        <v>1</v>
      </c>
      <c r="BC333" s="1080" t="str">
        <f t="shared" si="390"/>
        <v>Foreign:Telnar</v>
      </c>
      <c r="BD333" s="1080" t="s">
        <v>5691</v>
      </c>
      <c r="BE333" s="1080" t="str">
        <f t="shared" si="382"/>
        <v>Lore</v>
      </c>
      <c r="BF333" s="1080" t="str">
        <f t="shared" si="383"/>
        <v>Language Lore: Spoken</v>
      </c>
    </row>
    <row r="334" spans="1:58" ht="11.1" customHeight="1" outlineLevel="3">
      <c r="A334" s="1028" t="s">
        <v>1240</v>
      </c>
      <c r="B334" s="1094" t="s">
        <v>1942</v>
      </c>
      <c r="C334" s="1094"/>
      <c r="D334" s="1094"/>
      <c r="E334" s="1095" t="s">
        <v>5224</v>
      </c>
      <c r="F334" s="1095" t="s">
        <v>5224</v>
      </c>
      <c r="G334" s="1096" t="s">
        <v>3043</v>
      </c>
      <c r="H334" s="1096" t="s">
        <v>5224</v>
      </c>
      <c r="I334" s="1096" t="s">
        <v>5224</v>
      </c>
      <c r="J334" s="1096" t="s">
        <v>5224</v>
      </c>
      <c r="K334" s="1096" t="s">
        <v>5224</v>
      </c>
      <c r="L334" s="1096">
        <v>0</v>
      </c>
      <c r="M334" s="1096" t="s">
        <v>5224</v>
      </c>
      <c r="N334" s="1096" t="s">
        <v>4631</v>
      </c>
      <c r="O334" s="1113"/>
      <c r="P334" s="1113" t="s">
        <v>13</v>
      </c>
      <c r="S334" s="1113" t="s">
        <v>58</v>
      </c>
      <c r="T334" s="1113"/>
      <c r="U334" s="1027">
        <f>IF('Main Creation Page'!$K$5=3,3,2)</f>
        <v>3</v>
      </c>
      <c r="V334" s="1027">
        <f>IF((AP334+U334+VLOOKUP('Main Creation Page'!E$14,'System Lookups'!R$45:S$49,2))&gt;10,10,IF((AP334+U334+VLOOKUP('Main Creation Page'!E$14,'System Lookups'!R$45:S$49,2))&lt;1,1,(AP334+U334+VLOOKUP('Main Creation Page'!E$14,'System Lookups'!R$45:S$49,2))))</f>
        <v>4</v>
      </c>
      <c r="W334" s="1098" t="e">
        <f>IF(OR(I334&lt;&gt;"N",E334="C"),IF(AND(N334&lt;&gt;"T",ISNUMBER(FIND("V",I334))),1,0),NA())+IF(H334="Y",IF(AND(N334="P",ISNUMBER(FIND("Z",I334))),2,1),0)+IF(J334="Y",1,0)+IF(K334="Y",3,0)+IF(BE334="Lore",L334*2+Experience!$D$25,0)+IF(M334="Y",1,0)</f>
        <v>#N/A</v>
      </c>
      <c r="X334" s="1099"/>
      <c r="Y334" s="1100">
        <f ca="1">IF(P334="NS",IFERROR(INDIRECT(S334),NA()),VLOOKUP(INDIRECT(P334)+INDIRECT(S334),'System Lookups'!$A$3:$D$146,2))</f>
        <v>0.08</v>
      </c>
      <c r="Z334" s="1100">
        <f t="shared" si="377"/>
        <v>0</v>
      </c>
      <c r="AA334" s="1101">
        <f ca="1">IF(ISNA(Y334),0,Y334)+Z334+IF('Main Creation Page'!AB$2=37,'Main Creation Page'!E$14/100,0)</f>
        <v>0.08</v>
      </c>
      <c r="AB334" s="1102">
        <f>VLOOKUP(V334,'System Lookups'!$J$55:$P$64,3)</f>
        <v>0.2</v>
      </c>
      <c r="AC334" s="1103">
        <f>VLOOKUP(V334,'System Lookups'!$J$55:$P$64,4)</f>
        <v>0.3</v>
      </c>
      <c r="AD334" s="1104">
        <f t="shared" si="367"/>
        <v>0</v>
      </c>
      <c r="AE334" s="1094">
        <f>(IF(AD334&gt;VLOOKUP(V334,'System Lookups'!$J$55:$P$63,6),(((AD334-VLOOKUP(V334,'System Lookups'!$J$55:$P$63,6))*100)/20),0))+AF334</f>
        <v>0</v>
      </c>
      <c r="AF334" s="1121"/>
      <c r="AG334" s="1092">
        <f t="shared" si="368"/>
        <v>0</v>
      </c>
      <c r="AH334" s="1092" t="str">
        <f>IF(X334&lt;=Experience!$R$15+1,"","*")</f>
        <v/>
      </c>
      <c r="AI334" s="1092"/>
      <c r="AJ334" s="1080">
        <f t="shared" si="369"/>
        <v>0</v>
      </c>
      <c r="AK334" s="1080">
        <f t="shared" si="378"/>
        <v>0</v>
      </c>
      <c r="AL334" s="1080">
        <f t="shared" si="371"/>
        <v>0</v>
      </c>
      <c r="AM334" s="1092">
        <f t="shared" si="379"/>
        <v>0</v>
      </c>
      <c r="AN334" s="1080">
        <f t="shared" si="380"/>
        <v>1</v>
      </c>
      <c r="AO334" s="1080">
        <f t="shared" si="374"/>
        <v>0</v>
      </c>
      <c r="AP334" s="1080">
        <f t="shared" si="375"/>
        <v>1</v>
      </c>
      <c r="AQ334" s="1027">
        <f>VLOOKUP(V334,'System Lookups'!$J$55:$P$64,7)</f>
        <v>600</v>
      </c>
      <c r="AR334" s="1080" t="str">
        <f ca="1">IF(AND(NOT(ISBLANK(AJ334)),ISNA(MATCH(ROW(),'System Lookups'!$C$526:$C$539,0))),"Y","N")</f>
        <v>Y</v>
      </c>
      <c r="AS334" s="1080">
        <f t="shared" si="376"/>
        <v>0</v>
      </c>
      <c r="AU334" s="1080" t="e">
        <f t="shared" si="384"/>
        <v>#N/A</v>
      </c>
      <c r="AV334" s="1080" t="str">
        <f t="shared" si="381"/>
        <v>T</v>
      </c>
      <c r="AW334" s="1080">
        <f t="shared" si="385"/>
        <v>0</v>
      </c>
      <c r="AX334" s="1080">
        <f t="shared" si="386"/>
        <v>0</v>
      </c>
      <c r="AY334" s="1080">
        <f t="shared" si="387"/>
        <v>0</v>
      </c>
      <c r="AZ334" s="1080">
        <f t="shared" si="388"/>
        <v>0</v>
      </c>
      <c r="BA334" s="1080">
        <f t="shared" si="389"/>
        <v>0</v>
      </c>
      <c r="BB334" s="1080">
        <f>IF(AND(RACE=1,'Main Creation Page'!$E$6="Well",OR(ISNUMBER(FIND(Experience!$G$11,BE334)),ISNUMBER(FIND(Experience!$G$11,BF334)),ISNUMBER(FIND(Experience!$I$11,BE334)),ISNUMBER(FIND(Experience!$I$11,BF334)))),1,0)</f>
        <v>1</v>
      </c>
      <c r="BC334" s="1080" t="str">
        <f t="shared" si="390"/>
        <v>Foreign:Welsh</v>
      </c>
      <c r="BD334" s="1080" t="s">
        <v>5691</v>
      </c>
      <c r="BE334" s="1080" t="str">
        <f t="shared" si="382"/>
        <v>Lore</v>
      </c>
      <c r="BF334" s="1080" t="str">
        <f t="shared" si="383"/>
        <v>Language Lore: Spoken</v>
      </c>
    </row>
    <row r="335" spans="1:58" ht="11.1" customHeight="1" outlineLevel="3">
      <c r="A335" s="1140" t="s">
        <v>1516</v>
      </c>
      <c r="B335" s="1111"/>
      <c r="C335" s="1111"/>
      <c r="D335" s="1111"/>
      <c r="W335" s="1112"/>
      <c r="AE335" s="1034"/>
      <c r="AF335" s="1132"/>
      <c r="AQ335" s="1027"/>
      <c r="AR335" s="1080" t="str">
        <f ca="1">IF(AND(NOT(ISBLANK(AJ335)),ISNA(MATCH(ROW(),'System Lookups'!$C$526:$C$539,0))),"Y","N")</f>
        <v>N</v>
      </c>
      <c r="AU335" s="1080" t="e">
        <f t="shared" si="384"/>
        <v>#N/A</v>
      </c>
      <c r="AV335" s="1080" t="str">
        <f t="shared" si="381"/>
        <v/>
      </c>
      <c r="AW335" s="1080">
        <f t="shared" si="385"/>
        <v>0</v>
      </c>
      <c r="AX335" s="1080">
        <f t="shared" si="386"/>
        <v>0</v>
      </c>
      <c r="AY335" s="1080">
        <f t="shared" si="387"/>
        <v>0</v>
      </c>
      <c r="AZ335" s="1080">
        <f t="shared" si="388"/>
        <v>0</v>
      </c>
      <c r="BA335" s="1080">
        <f t="shared" si="389"/>
        <v>0</v>
      </c>
      <c r="BB335" s="1080">
        <f>IF(AND(RACE=1,'Main Creation Page'!$E$6="Well",OR(ISNUMBER(FIND(Experience!$G$11,BE335)),ISNUMBER(FIND(Experience!$G$11,BF335)),ISNUMBER(FIND(Experience!$I$11,BE335)),ISNUMBER(FIND(Experience!$I$11,BF335)))),1,0)</f>
        <v>1</v>
      </c>
      <c r="BC335" s="1080" t="e">
        <f t="shared" si="390"/>
        <v>#N/A</v>
      </c>
      <c r="BD335" s="1080" t="s">
        <v>5691</v>
      </c>
      <c r="BE335" s="1080" t="str">
        <f t="shared" si="382"/>
        <v>Lore</v>
      </c>
      <c r="BF335" s="1080" t="str">
        <f t="shared" si="383"/>
        <v>Language Lore: Spoken</v>
      </c>
    </row>
    <row r="336" spans="1:58" ht="11.1" customHeight="1" outlineLevel="2">
      <c r="A336" s="1028" t="s">
        <v>950</v>
      </c>
      <c r="B336" s="1094" t="s">
        <v>1942</v>
      </c>
      <c r="C336" s="1094"/>
      <c r="D336" s="1094"/>
      <c r="E336" s="1095" t="s">
        <v>5224</v>
      </c>
      <c r="F336" s="1095" t="s">
        <v>5224</v>
      </c>
      <c r="G336" s="1096">
        <v>0</v>
      </c>
      <c r="H336" s="1096" t="s">
        <v>5224</v>
      </c>
      <c r="I336" s="1096" t="s">
        <v>5224</v>
      </c>
      <c r="J336" s="1096" t="s">
        <v>5224</v>
      </c>
      <c r="K336" s="1096" t="s">
        <v>5224</v>
      </c>
      <c r="L336" s="1096">
        <v>0</v>
      </c>
      <c r="M336" s="1096" t="s">
        <v>5224</v>
      </c>
      <c r="N336" s="1096" t="s">
        <v>4631</v>
      </c>
      <c r="O336" s="1113"/>
      <c r="P336" s="1113" t="s">
        <v>13</v>
      </c>
      <c r="S336" s="1113" t="s">
        <v>58</v>
      </c>
      <c r="T336" s="1113"/>
      <c r="U336" s="1027">
        <f>IF('Main Creation Page'!$K$5=3,5,3)</f>
        <v>5</v>
      </c>
      <c r="V336" s="1027">
        <f>IF((AP336+U336+VLOOKUP('Main Creation Page'!E$14,'System Lookups'!R$45:S$49,2))&gt;10,10,IF((AP336+U336+VLOOKUP('Main Creation Page'!E$14,'System Lookups'!R$45:S$49,2))&lt;1,1,(AP336+U336+VLOOKUP('Main Creation Page'!E$14,'System Lookups'!R$45:S$49,2))))</f>
        <v>6</v>
      </c>
      <c r="W336" s="1098" t="e">
        <f>IF(OR(I336&lt;&gt;"N",E336="C"),IF(AND(N336&lt;&gt;"T",ISNUMBER(FIND("V",I336))),1,0),NA())+IF(H336="Y",IF(AND(N336="P",ISNUMBER(FIND("Z",I336))),2,1),0)+IF(J336="Y",1,0)+IF(K336="Y",3,0)+IF(BE336="Lore",L336*2+Experience!$D$25,0)+IF(M336="Y",1,0)</f>
        <v>#N/A</v>
      </c>
      <c r="X336" s="1099"/>
      <c r="Y336" s="1100">
        <f ca="1">IF(P336="NS",IFERROR(INDIRECT(S336),NA()),VLOOKUP(INDIRECT(P336)+INDIRECT(S336),'System Lookups'!$A$3:$D$146,2))</f>
        <v>0.08</v>
      </c>
      <c r="Z336" s="1100">
        <f t="shared" ref="Z336:Z343" si="391">IF(ISNA(W336),0,W336*0.03)+IF(X336&gt;0,X336*0.03,0)+IF(AND(ISNA(W336),X336&lt;=0),0,IF(G336&gt;0,G336*0.07,0))</f>
        <v>0</v>
      </c>
      <c r="AA336" s="1101">
        <f ca="1">IF(ISNA(Y336),0,Y336)+Z336+IF('Main Creation Page'!AB$2=37,'Main Creation Page'!E$14/100,0)</f>
        <v>0.08</v>
      </c>
      <c r="AB336" s="1102">
        <f>VLOOKUP(V336,'System Lookups'!$J$55:$P$64,3)</f>
        <v>0.05</v>
      </c>
      <c r="AC336" s="1103">
        <f>VLOOKUP(V336,'System Lookups'!$J$55:$P$64,4)</f>
        <v>0.1</v>
      </c>
      <c r="AD336" s="1104">
        <f t="shared" ref="AD336:AD345" si="392">IF(AND(ISBLANK(X336),ISNA(W336)),IF(B336="~",0,AB336+AA336+IF(BB336&gt;0,0.05,0)),AA336+AC336+IF(BB336&gt;0,0.05,0))</f>
        <v>0</v>
      </c>
      <c r="AE336" s="1094">
        <f>(IF(AD336&gt;VLOOKUP(V336,'System Lookups'!$J$55:$P$63,6),(((AD336-VLOOKUP(V336,'System Lookups'!$J$55:$P$63,6))*100)/20),0))+AF336</f>
        <v>0</v>
      </c>
      <c r="AF336" s="1121"/>
      <c r="AG336" s="1092">
        <f t="shared" ref="AG336:AG345" si="393">IF(ISBLANK(X336),0,AQ336*X336+IF(ISNA(W336),1,0))</f>
        <v>0</v>
      </c>
      <c r="AH336" s="1092" t="str">
        <f>IF(X336&lt;=Experience!$R$15+1,"","*")</f>
        <v/>
      </c>
      <c r="AI336" s="1092"/>
      <c r="AJ336" s="1080">
        <f t="shared" ref="AJ336:AJ345" si="394">IF(ISNUMBER(FIND("R",F336)),-1,0)</f>
        <v>0</v>
      </c>
      <c r="AK336" s="1080">
        <f t="shared" ref="AK336:AK345" si="395">IF(F336="s",-2,0)</f>
        <v>0</v>
      </c>
      <c r="AL336" s="1080">
        <f t="shared" ref="AL336:AL345" si="396">IF(AND(H336="Y",OR(N336="P",N336="S")),-1,0)</f>
        <v>0</v>
      </c>
      <c r="AM336" s="1092">
        <f t="shared" ref="AM336:AM345" si="397">IF(J336="y",1,0)</f>
        <v>0</v>
      </c>
      <c r="AN336" s="1080">
        <f t="shared" ref="AN336:AN345" si="398">IF(N336="P",-1,IF(N336="T",1,0))</f>
        <v>1</v>
      </c>
      <c r="AO336" s="1080">
        <f t="shared" ref="AO336:AO345" si="399">IF(ISNUMBER(FIND("Z",I336)),1,0)</f>
        <v>0</v>
      </c>
      <c r="AP336" s="1080">
        <f t="shared" ref="AP336:AP345" si="400">SUM(AJ336:AN336)-AM336</f>
        <v>1</v>
      </c>
      <c r="AQ336" s="1027">
        <f>VLOOKUP(V336,'System Lookups'!$J$55:$P$64,7)</f>
        <v>800</v>
      </c>
      <c r="AR336" s="1080" t="str">
        <f ca="1">IF(AND(NOT(ISBLANK(AJ336)),ISNA(MATCH(ROW(),'System Lookups'!$C$526:$C$539,0))),"Y","N")</f>
        <v>Y</v>
      </c>
      <c r="AS336" s="1080">
        <f t="shared" ref="AS336:AS345" si="401">AG336-AI336</f>
        <v>0</v>
      </c>
      <c r="AU336" s="1080" t="e">
        <f t="shared" si="384"/>
        <v>#N/A</v>
      </c>
      <c r="AV336" s="1080" t="str">
        <f t="shared" si="381"/>
        <v>T</v>
      </c>
      <c r="AW336" s="1080">
        <f t="shared" si="385"/>
        <v>0</v>
      </c>
      <c r="AX336" s="1080">
        <f t="shared" si="386"/>
        <v>0</v>
      </c>
      <c r="AY336" s="1080">
        <f t="shared" si="387"/>
        <v>0</v>
      </c>
      <c r="AZ336" s="1080">
        <f t="shared" si="388"/>
        <v>0</v>
      </c>
      <c r="BA336" s="1080">
        <f t="shared" si="389"/>
        <v>0</v>
      </c>
      <c r="BB336" s="1080">
        <f>IF(AND(RACE=1,'Main Creation Page'!$E$6="Well",OR(ISNUMBER(FIND(Experience!$G$11,BE336)),ISNUMBER(FIND(Experience!$G$11,BF336)),ISNUMBER(FIND(Experience!$I$11,BE336)),ISNUMBER(FIND(Experience!$I$11,BF336)))),1,0)</f>
        <v>1</v>
      </c>
      <c r="BC336" s="1080" t="str">
        <f t="shared" si="390"/>
        <v>Foreign Languages (Ancient)</v>
      </c>
      <c r="BE336" s="1080" t="str">
        <f t="shared" si="382"/>
        <v>Lore</v>
      </c>
      <c r="BF336" s="1080" t="str">
        <f t="shared" si="383"/>
        <v>Language Lore: Spoken</v>
      </c>
    </row>
    <row r="337" spans="1:58" ht="11.1" customHeight="1" outlineLevel="3">
      <c r="A337" s="1028" t="str">
        <f>IF('Main Creation Page'!$K$5=3,"Kingdom","Aramaic")</f>
        <v>Kingdom</v>
      </c>
      <c r="B337" s="1094" t="s">
        <v>1942</v>
      </c>
      <c r="C337" s="1094"/>
      <c r="D337" s="1094"/>
      <c r="E337" s="1095" t="s">
        <v>5224</v>
      </c>
      <c r="F337" s="1095" t="s">
        <v>5224</v>
      </c>
      <c r="G337" s="1096">
        <v>0</v>
      </c>
      <c r="H337" s="1096" t="s">
        <v>5224</v>
      </c>
      <c r="I337" s="1096" t="s">
        <v>5224</v>
      </c>
      <c r="J337" s="1096" t="s">
        <v>5224</v>
      </c>
      <c r="K337" s="1096" t="s">
        <v>5224</v>
      </c>
      <c r="L337" s="1096">
        <v>0</v>
      </c>
      <c r="M337" s="1096" t="s">
        <v>5224</v>
      </c>
      <c r="N337" s="1096" t="s">
        <v>4631</v>
      </c>
      <c r="O337" s="1113"/>
      <c r="P337" s="1113" t="s">
        <v>13</v>
      </c>
      <c r="S337" s="1113" t="s">
        <v>58</v>
      </c>
      <c r="T337" s="1113"/>
      <c r="U337" s="1027">
        <f>IF('Main Creation Page'!$K$5=3,5,3)</f>
        <v>5</v>
      </c>
      <c r="V337" s="1027">
        <f>IF((AP337+U337+VLOOKUP('Main Creation Page'!E$14,'System Lookups'!R$45:S$49,2))&gt;10,10,IF((AP337+U337+VLOOKUP('Main Creation Page'!E$14,'System Lookups'!R$45:S$49,2))&lt;1,1,(AP337+U337+VLOOKUP('Main Creation Page'!E$14,'System Lookups'!R$45:S$49,2))))</f>
        <v>6</v>
      </c>
      <c r="W337" s="1098" t="e">
        <f>IF(OR(I337&lt;&gt;"N",E337="C"),IF(AND(N337&lt;&gt;"T",ISNUMBER(FIND("V",I337))),1,0),NA())+IF(H337="Y",IF(AND(N337="P",ISNUMBER(FIND("Z",I337))),2,1),0)+IF(J337="Y",1,0)+IF(K337="Y",3,0)+IF(BE337="Lore",L337*2+Experience!$D$25,0)+IF(M337="Y",1,0)</f>
        <v>#N/A</v>
      </c>
      <c r="X337" s="1099"/>
      <c r="Y337" s="1100">
        <f ca="1">IF(P337="NS",IFERROR(INDIRECT(S337),NA()),VLOOKUP(INDIRECT(P337)+INDIRECT(S337),'System Lookups'!$A$3:$D$146,2))</f>
        <v>0.08</v>
      </c>
      <c r="Z337" s="1100">
        <f t="shared" si="391"/>
        <v>0</v>
      </c>
      <c r="AA337" s="1101">
        <f ca="1">IF(ISNA(Y337),0,Y337)+Z337+IF('Main Creation Page'!AB$2=37,'Main Creation Page'!E$14/100,0)</f>
        <v>0.08</v>
      </c>
      <c r="AB337" s="1102">
        <f>VLOOKUP(V337,'System Lookups'!$J$55:$P$64,3)</f>
        <v>0.05</v>
      </c>
      <c r="AC337" s="1103">
        <f>VLOOKUP(V337,'System Lookups'!$J$55:$P$64,4)</f>
        <v>0.1</v>
      </c>
      <c r="AD337" s="1104">
        <f t="shared" si="392"/>
        <v>0</v>
      </c>
      <c r="AE337" s="1094">
        <f>(IF(AD337&gt;VLOOKUP(V337,'System Lookups'!$J$55:$P$63,6),(((AD337-VLOOKUP(V337,'System Lookups'!$J$55:$P$63,6))*100)/20),0))+AF337</f>
        <v>0</v>
      </c>
      <c r="AF337" s="1121"/>
      <c r="AG337" s="1092">
        <f t="shared" si="393"/>
        <v>0</v>
      </c>
      <c r="AH337" s="1092" t="str">
        <f>IF(X337&lt;=Experience!$R$15+1,"","*")</f>
        <v/>
      </c>
      <c r="AI337" s="1092"/>
      <c r="AJ337" s="1080">
        <f t="shared" si="394"/>
        <v>0</v>
      </c>
      <c r="AK337" s="1080">
        <f t="shared" si="395"/>
        <v>0</v>
      </c>
      <c r="AL337" s="1080">
        <f t="shared" si="396"/>
        <v>0</v>
      </c>
      <c r="AM337" s="1092">
        <f t="shared" si="397"/>
        <v>0</v>
      </c>
      <c r="AN337" s="1080">
        <f t="shared" si="398"/>
        <v>1</v>
      </c>
      <c r="AO337" s="1080">
        <f t="shared" si="399"/>
        <v>0</v>
      </c>
      <c r="AP337" s="1080">
        <f t="shared" si="400"/>
        <v>1</v>
      </c>
      <c r="AQ337" s="1027">
        <f>VLOOKUP(V337,'System Lookups'!$J$55:$P$64,7)</f>
        <v>800</v>
      </c>
      <c r="AR337" s="1080" t="str">
        <f ca="1">IF(AND(NOT(ISBLANK(AJ337)),ISNA(MATCH(ROW(),'System Lookups'!$C$526:$C$539,0))),"Y","N")</f>
        <v>Y</v>
      </c>
      <c r="AS337" s="1080">
        <f t="shared" si="401"/>
        <v>0</v>
      </c>
      <c r="AU337" s="1080" t="e">
        <f t="shared" si="384"/>
        <v>#N/A</v>
      </c>
      <c r="AV337" s="1080" t="str">
        <f t="shared" si="381"/>
        <v>T</v>
      </c>
      <c r="AW337" s="1080">
        <f t="shared" si="385"/>
        <v>0</v>
      </c>
      <c r="AX337" s="1080">
        <f t="shared" si="386"/>
        <v>0</v>
      </c>
      <c r="AY337" s="1080">
        <f t="shared" si="387"/>
        <v>0</v>
      </c>
      <c r="AZ337" s="1080">
        <f t="shared" si="388"/>
        <v>0</v>
      </c>
      <c r="BA337" s="1080">
        <f t="shared" si="389"/>
        <v>0</v>
      </c>
      <c r="BB337" s="1080">
        <f>IF(AND(RACE=1,'Main Creation Page'!$E$6="Well",OR(ISNUMBER(FIND(Experience!$G$11,BE337)),ISNUMBER(FIND(Experience!$G$11,BF337)),ISNUMBER(FIND(Experience!$I$11,BE337)),ISNUMBER(FIND(Experience!$I$11,BF337)))),1,0)</f>
        <v>1</v>
      </c>
      <c r="BC337" s="1080" t="str">
        <f t="shared" si="390"/>
        <v>Foreign (Anc.):Kingdom</v>
      </c>
      <c r="BD337" s="1080" t="s">
        <v>5692</v>
      </c>
      <c r="BE337" s="1080" t="str">
        <f t="shared" si="382"/>
        <v>Lore</v>
      </c>
      <c r="BF337" s="1080" t="str">
        <f t="shared" si="383"/>
        <v>Language Lore: Spoken</v>
      </c>
    </row>
    <row r="338" spans="1:58" ht="11.1" customHeight="1" outlineLevel="3">
      <c r="A338" s="1028" t="str">
        <f>IF('Main Creation Page'!$K$5=3,"Rule","Assyrian")</f>
        <v>Rule</v>
      </c>
      <c r="B338" s="1094" t="s">
        <v>1942</v>
      </c>
      <c r="C338" s="1094"/>
      <c r="D338" s="1094"/>
      <c r="E338" s="1095" t="s">
        <v>5224</v>
      </c>
      <c r="F338" s="1095" t="s">
        <v>5224</v>
      </c>
      <c r="G338" s="1096">
        <v>0</v>
      </c>
      <c r="H338" s="1096" t="s">
        <v>5224</v>
      </c>
      <c r="I338" s="1096" t="s">
        <v>5224</v>
      </c>
      <c r="J338" s="1096" t="s">
        <v>5224</v>
      </c>
      <c r="K338" s="1096" t="s">
        <v>5224</v>
      </c>
      <c r="L338" s="1096">
        <v>0</v>
      </c>
      <c r="M338" s="1096" t="s">
        <v>5224</v>
      </c>
      <c r="N338" s="1096" t="s">
        <v>4631</v>
      </c>
      <c r="O338" s="1113"/>
      <c r="P338" s="1113" t="s">
        <v>13</v>
      </c>
      <c r="S338" s="1113" t="s">
        <v>58</v>
      </c>
      <c r="T338" s="1113"/>
      <c r="U338" s="1027">
        <f>IF('Main Creation Page'!$K$5=3,4,3)</f>
        <v>4</v>
      </c>
      <c r="V338" s="1027">
        <f>IF((AP338+U338+VLOOKUP('Main Creation Page'!E$14,'System Lookups'!R$45:S$49,2))&gt;10,10,IF((AP338+U338+VLOOKUP('Main Creation Page'!E$14,'System Lookups'!R$45:S$49,2))&lt;1,1,(AP338+U338+VLOOKUP('Main Creation Page'!E$14,'System Lookups'!R$45:S$49,2))))</f>
        <v>5</v>
      </c>
      <c r="W338" s="1098" t="e">
        <f>IF(OR(I338&lt;&gt;"N",E338="C"),IF(AND(N338&lt;&gt;"T",ISNUMBER(FIND("V",I338))),1,0),NA())+IF(H338="Y",IF(AND(N338="P",ISNUMBER(FIND("Z",I338))),2,1),0)+IF(J338="Y",1,0)+IF(K338="Y",3,0)+IF(BE338="Lore",L338*2+Experience!$D$25,0)+IF(M338="Y",1,0)</f>
        <v>#N/A</v>
      </c>
      <c r="X338" s="1099"/>
      <c r="Y338" s="1100">
        <f ca="1">IF(P338="NS",IFERROR(INDIRECT(S338),NA()),VLOOKUP(INDIRECT(P338)+INDIRECT(S338),'System Lookups'!$A$3:$D$146,2))</f>
        <v>0.08</v>
      </c>
      <c r="Z338" s="1100">
        <f t="shared" si="391"/>
        <v>0</v>
      </c>
      <c r="AA338" s="1101">
        <f ca="1">IF(ISNA(Y338),0,Y338)+Z338+IF('Main Creation Page'!AB$2=37,'Main Creation Page'!E$14/100,0)</f>
        <v>0.08</v>
      </c>
      <c r="AB338" s="1102">
        <f>VLOOKUP(V338,'System Lookups'!$J$55:$P$64,3)</f>
        <v>0.1</v>
      </c>
      <c r="AC338" s="1103">
        <f>VLOOKUP(V338,'System Lookups'!$J$55:$P$64,4)</f>
        <v>0.2</v>
      </c>
      <c r="AD338" s="1104">
        <f t="shared" si="392"/>
        <v>0</v>
      </c>
      <c r="AE338" s="1094">
        <f>(IF(AD338&gt;VLOOKUP(V338,'System Lookups'!$J$55:$P$63,6),(((AD338-VLOOKUP(V338,'System Lookups'!$J$55:$P$63,6))*100)/20),0))+AF338</f>
        <v>0</v>
      </c>
      <c r="AF338" s="1121"/>
      <c r="AG338" s="1092">
        <f t="shared" si="393"/>
        <v>0</v>
      </c>
      <c r="AH338" s="1092" t="str">
        <f>IF(X338&lt;=Experience!$R$15+1,"","*")</f>
        <v/>
      </c>
      <c r="AI338" s="1092"/>
      <c r="AJ338" s="1080">
        <f t="shared" si="394"/>
        <v>0</v>
      </c>
      <c r="AK338" s="1080">
        <f t="shared" si="395"/>
        <v>0</v>
      </c>
      <c r="AL338" s="1080">
        <f t="shared" si="396"/>
        <v>0</v>
      </c>
      <c r="AM338" s="1092">
        <f t="shared" si="397"/>
        <v>0</v>
      </c>
      <c r="AN338" s="1080">
        <f t="shared" si="398"/>
        <v>1</v>
      </c>
      <c r="AO338" s="1080">
        <f t="shared" si="399"/>
        <v>0</v>
      </c>
      <c r="AP338" s="1080">
        <f t="shared" si="400"/>
        <v>1</v>
      </c>
      <c r="AQ338" s="1027">
        <f>VLOOKUP(V338,'System Lookups'!$J$55:$P$64,7)</f>
        <v>700</v>
      </c>
      <c r="AR338" s="1080" t="str">
        <f ca="1">IF(AND(NOT(ISBLANK(AJ338)),ISNA(MATCH(ROW(),'System Lookups'!$C$526:$C$539,0))),"Y","N")</f>
        <v>Y</v>
      </c>
      <c r="AS338" s="1080">
        <f t="shared" si="401"/>
        <v>0</v>
      </c>
      <c r="AU338" s="1080" t="e">
        <f t="shared" si="384"/>
        <v>#N/A</v>
      </c>
      <c r="AV338" s="1080" t="str">
        <f t="shared" si="381"/>
        <v>T</v>
      </c>
      <c r="AW338" s="1080">
        <f t="shared" si="385"/>
        <v>0</v>
      </c>
      <c r="AX338" s="1080">
        <f t="shared" si="386"/>
        <v>0</v>
      </c>
      <c r="AY338" s="1080">
        <f t="shared" si="387"/>
        <v>0</v>
      </c>
      <c r="AZ338" s="1080">
        <f t="shared" si="388"/>
        <v>0</v>
      </c>
      <c r="BA338" s="1080">
        <f t="shared" si="389"/>
        <v>0</v>
      </c>
      <c r="BB338" s="1080">
        <f>IF(AND(RACE=1,'Main Creation Page'!$E$6="Well",OR(ISNUMBER(FIND(Experience!$G$11,BE338)),ISNUMBER(FIND(Experience!$G$11,BF338)),ISNUMBER(FIND(Experience!$I$11,BE338)),ISNUMBER(FIND(Experience!$I$11,BF338)))),1,0)</f>
        <v>1</v>
      </c>
      <c r="BC338" s="1080" t="str">
        <f t="shared" si="390"/>
        <v>Foreign (Anc.):Rule</v>
      </c>
      <c r="BD338" s="1080" t="s">
        <v>5692</v>
      </c>
      <c r="BE338" s="1080" t="str">
        <f t="shared" si="382"/>
        <v>Lore</v>
      </c>
      <c r="BF338" s="1080" t="str">
        <f t="shared" si="383"/>
        <v>Language Lore: Spoken</v>
      </c>
    </row>
    <row r="339" spans="1:58" ht="11.1" customHeight="1" outlineLevel="3">
      <c r="A339" s="1028" t="str">
        <f>IF('Main Creation Page'!$K$5=3,"Bidden","Babylonian")</f>
        <v>Bidden</v>
      </c>
      <c r="B339" s="1094" t="s">
        <v>1942</v>
      </c>
      <c r="C339" s="1094"/>
      <c r="D339" s="1094"/>
      <c r="E339" s="1095" t="s">
        <v>5224</v>
      </c>
      <c r="F339" s="1095" t="s">
        <v>5224</v>
      </c>
      <c r="G339" s="1096">
        <v>0</v>
      </c>
      <c r="H339" s="1096" t="s">
        <v>5224</v>
      </c>
      <c r="I339" s="1096" t="s">
        <v>5224</v>
      </c>
      <c r="J339" s="1096" t="s">
        <v>5224</v>
      </c>
      <c r="K339" s="1096" t="s">
        <v>5224</v>
      </c>
      <c r="L339" s="1096">
        <v>0</v>
      </c>
      <c r="M339" s="1096" t="s">
        <v>5224</v>
      </c>
      <c r="N339" s="1096" t="s">
        <v>4631</v>
      </c>
      <c r="O339" s="1113"/>
      <c r="P339" s="1113" t="s">
        <v>13</v>
      </c>
      <c r="S339" s="1113" t="s">
        <v>58</v>
      </c>
      <c r="T339" s="1113"/>
      <c r="U339" s="1027">
        <f>IF('Main Creation Page'!$K$5=3,5,3)</f>
        <v>5</v>
      </c>
      <c r="V339" s="1027">
        <f>IF((AP339+U339+VLOOKUP('Main Creation Page'!E$14,'System Lookups'!R$45:S$49,2))&gt;10,10,IF((AP339+U339+VLOOKUP('Main Creation Page'!E$14,'System Lookups'!R$45:S$49,2))&lt;1,1,(AP339+U339+VLOOKUP('Main Creation Page'!E$14,'System Lookups'!R$45:S$49,2))))</f>
        <v>6</v>
      </c>
      <c r="W339" s="1098" t="e">
        <f>IF(OR(I339&lt;&gt;"N",E339="C"),IF(AND(N339&lt;&gt;"T",ISNUMBER(FIND("V",I339))),1,0),NA())+IF(H339="Y",IF(AND(N339="P",ISNUMBER(FIND("Z",I339))),2,1),0)+IF(J339="Y",1,0)+IF(K339="Y",3,0)+IF(BE339="Lore",L339*2+Experience!$D$25,0)+IF(M339="Y",1,0)</f>
        <v>#N/A</v>
      </c>
      <c r="X339" s="1099"/>
      <c r="Y339" s="1100">
        <f ca="1">IF(P339="NS",IFERROR(INDIRECT(S339),NA()),VLOOKUP(INDIRECT(P339)+INDIRECT(S339),'System Lookups'!$A$3:$D$146,2))</f>
        <v>0.08</v>
      </c>
      <c r="Z339" s="1100">
        <f t="shared" si="391"/>
        <v>0</v>
      </c>
      <c r="AA339" s="1101">
        <f ca="1">IF(ISNA(Y339),0,Y339)+Z339+IF('Main Creation Page'!AB$2=37,'Main Creation Page'!E$14/100,0)</f>
        <v>0.08</v>
      </c>
      <c r="AB339" s="1102">
        <f>VLOOKUP(V339,'System Lookups'!$J$55:$P$64,3)</f>
        <v>0.05</v>
      </c>
      <c r="AC339" s="1103">
        <f>VLOOKUP(V339,'System Lookups'!$J$55:$P$64,4)</f>
        <v>0.1</v>
      </c>
      <c r="AD339" s="1104">
        <f t="shared" si="392"/>
        <v>0</v>
      </c>
      <c r="AE339" s="1094">
        <f>(IF(AD339&gt;VLOOKUP(V339,'System Lookups'!$J$55:$P$63,6),(((AD339-VLOOKUP(V339,'System Lookups'!$J$55:$P$63,6))*100)/20),0))+AF339</f>
        <v>0</v>
      </c>
      <c r="AF339" s="1121"/>
      <c r="AG339" s="1092">
        <f t="shared" si="393"/>
        <v>0</v>
      </c>
      <c r="AH339" s="1092" t="str">
        <f>IF(X339&lt;=Experience!$R$15+1,"","*")</f>
        <v/>
      </c>
      <c r="AI339" s="1092"/>
      <c r="AJ339" s="1080">
        <f t="shared" si="394"/>
        <v>0</v>
      </c>
      <c r="AK339" s="1080">
        <f t="shared" si="395"/>
        <v>0</v>
      </c>
      <c r="AL339" s="1080">
        <f t="shared" si="396"/>
        <v>0</v>
      </c>
      <c r="AM339" s="1092">
        <f t="shared" si="397"/>
        <v>0</v>
      </c>
      <c r="AN339" s="1080">
        <f t="shared" si="398"/>
        <v>1</v>
      </c>
      <c r="AO339" s="1080">
        <f t="shared" si="399"/>
        <v>0</v>
      </c>
      <c r="AP339" s="1080">
        <f t="shared" si="400"/>
        <v>1</v>
      </c>
      <c r="AQ339" s="1027">
        <f>VLOOKUP(V339,'System Lookups'!$J$55:$P$64,7)</f>
        <v>800</v>
      </c>
      <c r="AR339" s="1080" t="str">
        <f ca="1">IF(AND(NOT(ISBLANK(AJ339)),ISNA(MATCH(ROW(),'System Lookups'!$C$526:$C$539,0))),"Y","N")</f>
        <v>Y</v>
      </c>
      <c r="AS339" s="1080">
        <f t="shared" si="401"/>
        <v>0</v>
      </c>
      <c r="AU339" s="1080" t="e">
        <f t="shared" si="384"/>
        <v>#N/A</v>
      </c>
      <c r="AV339" s="1080" t="str">
        <f t="shared" si="381"/>
        <v>T</v>
      </c>
      <c r="AW339" s="1080">
        <f t="shared" si="385"/>
        <v>0</v>
      </c>
      <c r="AX339" s="1080">
        <f t="shared" si="386"/>
        <v>0</v>
      </c>
      <c r="AY339" s="1080">
        <f t="shared" si="387"/>
        <v>0</v>
      </c>
      <c r="AZ339" s="1080">
        <f t="shared" si="388"/>
        <v>0</v>
      </c>
      <c r="BA339" s="1080">
        <f t="shared" si="389"/>
        <v>0</v>
      </c>
      <c r="BB339" s="1080">
        <f>IF(AND(RACE=1,'Main Creation Page'!$E$6="Well",OR(ISNUMBER(FIND(Experience!$G$11,BE339)),ISNUMBER(FIND(Experience!$G$11,BF339)),ISNUMBER(FIND(Experience!$I$11,BE339)),ISNUMBER(FIND(Experience!$I$11,BF339)))),1,0)</f>
        <v>1</v>
      </c>
      <c r="BC339" s="1080" t="str">
        <f t="shared" si="390"/>
        <v>Foreign (Anc.):Bidden</v>
      </c>
      <c r="BD339" s="1080" t="s">
        <v>5692</v>
      </c>
      <c r="BE339" s="1080" t="str">
        <f t="shared" si="382"/>
        <v>Lore</v>
      </c>
      <c r="BF339" s="1080" t="str">
        <f t="shared" si="383"/>
        <v>Language Lore: Spoken</v>
      </c>
    </row>
    <row r="340" spans="1:58" ht="11.1" customHeight="1" outlineLevel="3">
      <c r="A340" s="1028" t="str">
        <f>IF('Main Creation Page'!$K$5=3,"Cobolan","Egyptian")</f>
        <v>Cobolan</v>
      </c>
      <c r="B340" s="1094" t="s">
        <v>1942</v>
      </c>
      <c r="C340" s="1094"/>
      <c r="D340" s="1094"/>
      <c r="E340" s="1095" t="s">
        <v>5224</v>
      </c>
      <c r="F340" s="1095" t="s">
        <v>5224</v>
      </c>
      <c r="G340" s="1096">
        <v>0</v>
      </c>
      <c r="H340" s="1096" t="s">
        <v>5224</v>
      </c>
      <c r="I340" s="1096" t="s">
        <v>5224</v>
      </c>
      <c r="J340" s="1096" t="s">
        <v>5224</v>
      </c>
      <c r="K340" s="1096" t="s">
        <v>5224</v>
      </c>
      <c r="L340" s="1096">
        <v>0</v>
      </c>
      <c r="M340" s="1096" t="s">
        <v>5224</v>
      </c>
      <c r="N340" s="1096" t="s">
        <v>4631</v>
      </c>
      <c r="O340" s="1113"/>
      <c r="P340" s="1113" t="s">
        <v>13</v>
      </c>
      <c r="S340" s="1113" t="s">
        <v>58</v>
      </c>
      <c r="T340" s="1113"/>
      <c r="U340" s="1027">
        <f>IF('Main Creation Page'!$K$5=3,7,3)</f>
        <v>7</v>
      </c>
      <c r="V340" s="1027">
        <f>IF((AP340+U340+VLOOKUP('Main Creation Page'!E$14,'System Lookups'!R$45:S$49,2))&gt;10,10,IF((AP340+U340+VLOOKUP('Main Creation Page'!E$14,'System Lookups'!R$45:S$49,2))&lt;1,1,(AP340+U340+VLOOKUP('Main Creation Page'!E$14,'System Lookups'!R$45:S$49,2))))</f>
        <v>8</v>
      </c>
      <c r="W340" s="1098" t="e">
        <f>IF(OR(I340&lt;&gt;"N",E340="C"),IF(AND(N340&lt;&gt;"T",ISNUMBER(FIND("V",I340))),1,0),NA())+IF(H340="Y",IF(AND(N340="P",ISNUMBER(FIND("Z",I340))),2,1),0)+IF(J340="Y",1,0)+IF(K340="Y",3,0)+IF(BE340="Lore",L340*2+Experience!$D$25,0)+IF(M340="Y",1,0)</f>
        <v>#N/A</v>
      </c>
      <c r="X340" s="1099"/>
      <c r="Y340" s="1100">
        <f ca="1">IF(P340="NS",IFERROR(INDIRECT(S340),NA()),VLOOKUP(INDIRECT(P340)+INDIRECT(S340),'System Lookups'!$A$3:$D$146,2))</f>
        <v>0.08</v>
      </c>
      <c r="Z340" s="1100">
        <f t="shared" si="391"/>
        <v>0</v>
      </c>
      <c r="AA340" s="1101">
        <f ca="1">IF(ISNA(Y340),0,Y340)+Z340+IF('Main Creation Page'!AB$2=37,'Main Creation Page'!E$14/100,0)</f>
        <v>0.08</v>
      </c>
      <c r="AB340" s="1102">
        <f>VLOOKUP(V340,'System Lookups'!$J$55:$P$64,3)</f>
        <v>0.02</v>
      </c>
      <c r="AC340" s="1103">
        <f>VLOOKUP(V340,'System Lookups'!$J$55:$P$64,4)</f>
        <v>0.03</v>
      </c>
      <c r="AD340" s="1104">
        <f t="shared" si="392"/>
        <v>0</v>
      </c>
      <c r="AE340" s="1094">
        <f>(IF(AD340&gt;VLOOKUP(V340,'System Lookups'!$J$55:$P$63,6),(((AD340-VLOOKUP(V340,'System Lookups'!$J$55:$P$63,6))*100)/20),0))+AF340</f>
        <v>0</v>
      </c>
      <c r="AF340" s="1121"/>
      <c r="AG340" s="1092">
        <f t="shared" si="393"/>
        <v>0</v>
      </c>
      <c r="AH340" s="1092" t="str">
        <f>IF(X340&lt;=Experience!$R$15+1,"","*")</f>
        <v/>
      </c>
      <c r="AI340" s="1092"/>
      <c r="AJ340" s="1080">
        <f t="shared" si="394"/>
        <v>0</v>
      </c>
      <c r="AK340" s="1080">
        <f t="shared" si="395"/>
        <v>0</v>
      </c>
      <c r="AL340" s="1080">
        <f t="shared" si="396"/>
        <v>0</v>
      </c>
      <c r="AM340" s="1092">
        <f t="shared" si="397"/>
        <v>0</v>
      </c>
      <c r="AN340" s="1080">
        <f t="shared" si="398"/>
        <v>1</v>
      </c>
      <c r="AO340" s="1080">
        <f t="shared" si="399"/>
        <v>0</v>
      </c>
      <c r="AP340" s="1080">
        <f t="shared" si="400"/>
        <v>1</v>
      </c>
      <c r="AQ340" s="1027">
        <f>VLOOKUP(V340,'System Lookups'!$J$55:$P$64,7)</f>
        <v>1200</v>
      </c>
      <c r="AR340" s="1080" t="str">
        <f ca="1">IF(AND(NOT(ISBLANK(AJ340)),ISNA(MATCH(ROW(),'System Lookups'!$C$526:$C$539,0))),"Y","N")</f>
        <v>Y</v>
      </c>
      <c r="AS340" s="1080">
        <f t="shared" si="401"/>
        <v>0</v>
      </c>
      <c r="AU340" s="1080" t="e">
        <f t="shared" si="384"/>
        <v>#N/A</v>
      </c>
      <c r="AV340" s="1080" t="str">
        <f t="shared" si="381"/>
        <v>T</v>
      </c>
      <c r="AW340" s="1080">
        <f t="shared" si="385"/>
        <v>0</v>
      </c>
      <c r="AX340" s="1080">
        <f t="shared" si="386"/>
        <v>0</v>
      </c>
      <c r="AY340" s="1080">
        <f t="shared" si="387"/>
        <v>0</v>
      </c>
      <c r="AZ340" s="1080">
        <f t="shared" si="388"/>
        <v>0</v>
      </c>
      <c r="BA340" s="1080">
        <f t="shared" si="389"/>
        <v>0</v>
      </c>
      <c r="BB340" s="1080">
        <f>IF(AND(RACE=1,'Main Creation Page'!$E$6="Well",OR(ISNUMBER(FIND(Experience!$G$11,BE340)),ISNUMBER(FIND(Experience!$G$11,BF340)),ISNUMBER(FIND(Experience!$I$11,BE340)),ISNUMBER(FIND(Experience!$I$11,BF340)))),1,0)</f>
        <v>1</v>
      </c>
      <c r="BC340" s="1080" t="str">
        <f t="shared" si="390"/>
        <v>Foreign (Anc.):Cobolan</v>
      </c>
      <c r="BD340" s="1080" t="s">
        <v>5692</v>
      </c>
      <c r="BE340" s="1080" t="str">
        <f t="shared" si="382"/>
        <v>Lore</v>
      </c>
      <c r="BF340" s="1080" t="str">
        <f t="shared" si="383"/>
        <v>Language Lore: Spoken</v>
      </c>
    </row>
    <row r="341" spans="1:58" ht="11.1" customHeight="1" outlineLevel="3">
      <c r="A341" s="1028" t="str">
        <f>IF('Main Creation Page'!$K$5=3, "Mednan","Greek (Ancient)")</f>
        <v>Mednan</v>
      </c>
      <c r="B341" s="1094" t="s">
        <v>1942</v>
      </c>
      <c r="C341" s="1094"/>
      <c r="D341" s="1094"/>
      <c r="E341" s="1095" t="s">
        <v>5224</v>
      </c>
      <c r="F341" s="1095" t="s">
        <v>5224</v>
      </c>
      <c r="G341" s="1096">
        <v>0</v>
      </c>
      <c r="H341" s="1096" t="s">
        <v>5224</v>
      </c>
      <c r="I341" s="1096" t="s">
        <v>5224</v>
      </c>
      <c r="J341" s="1096" t="s">
        <v>5224</v>
      </c>
      <c r="K341" s="1096" t="s">
        <v>5224</v>
      </c>
      <c r="L341" s="1096">
        <v>0</v>
      </c>
      <c r="M341" s="1096" t="s">
        <v>5224</v>
      </c>
      <c r="N341" s="1096" t="s">
        <v>4631</v>
      </c>
      <c r="O341" s="1113"/>
      <c r="P341" s="1113" t="s">
        <v>13</v>
      </c>
      <c r="S341" s="1113" t="s">
        <v>58</v>
      </c>
      <c r="T341" s="1113"/>
      <c r="U341" s="1027">
        <f>IF('Main Creation Page'!$K$5=3,5,3)</f>
        <v>5</v>
      </c>
      <c r="V341" s="1027">
        <f>IF((AP341+U341+VLOOKUP('Main Creation Page'!E$14,'System Lookups'!R$45:S$49,2))&gt;10,10,IF((AP341+U341+VLOOKUP('Main Creation Page'!E$14,'System Lookups'!R$45:S$49,2))&lt;1,1,(AP341+U341+VLOOKUP('Main Creation Page'!E$14,'System Lookups'!R$45:S$49,2))))</f>
        <v>6</v>
      </c>
      <c r="W341" s="1098" t="e">
        <f>IF(OR(I341&lt;&gt;"N",E341="C"),IF(AND(N341&lt;&gt;"T",ISNUMBER(FIND("V",I341))),1,0),NA())+IF(H341="Y",IF(AND(N341="P",ISNUMBER(FIND("Z",I341))),2,1),0)+IF(J341="Y",1,0)+IF(K341="Y",3,0)+IF(BE341="Lore",L341*2+Experience!$D$25,0)+IF(M341="Y",1,0)</f>
        <v>#N/A</v>
      </c>
      <c r="X341" s="1099"/>
      <c r="Y341" s="1100">
        <f ca="1">IF(P341="NS",IFERROR(INDIRECT(S341),NA()),VLOOKUP(INDIRECT(P341)+INDIRECT(S341),'System Lookups'!$A$3:$D$146,2))</f>
        <v>0.08</v>
      </c>
      <c r="Z341" s="1100">
        <f t="shared" si="391"/>
        <v>0</v>
      </c>
      <c r="AA341" s="1101">
        <f ca="1">IF(ISNA(Y341),0,Y341)+Z341+IF('Main Creation Page'!AB$2=37,'Main Creation Page'!E$14/100,0)</f>
        <v>0.08</v>
      </c>
      <c r="AB341" s="1102">
        <f>VLOOKUP(V341,'System Lookups'!$J$55:$P$64,3)</f>
        <v>0.05</v>
      </c>
      <c r="AC341" s="1103">
        <f>VLOOKUP(V341,'System Lookups'!$J$55:$P$64,4)</f>
        <v>0.1</v>
      </c>
      <c r="AD341" s="1104">
        <f t="shared" si="392"/>
        <v>0</v>
      </c>
      <c r="AE341" s="1094">
        <f>(IF(AD341&gt;VLOOKUP(V341,'System Lookups'!$J$55:$P$63,6),(((AD341-VLOOKUP(V341,'System Lookups'!$J$55:$P$63,6))*100)/20),0))+AF341</f>
        <v>0</v>
      </c>
      <c r="AF341" s="1121"/>
      <c r="AG341" s="1092">
        <f t="shared" si="393"/>
        <v>0</v>
      </c>
      <c r="AH341" s="1092" t="str">
        <f>IF(X341&lt;=Experience!$R$15+1,"","*")</f>
        <v/>
      </c>
      <c r="AI341" s="1092"/>
      <c r="AJ341" s="1080">
        <f t="shared" si="394"/>
        <v>0</v>
      </c>
      <c r="AK341" s="1080">
        <f t="shared" si="395"/>
        <v>0</v>
      </c>
      <c r="AL341" s="1080">
        <f t="shared" si="396"/>
        <v>0</v>
      </c>
      <c r="AM341" s="1092">
        <f t="shared" si="397"/>
        <v>0</v>
      </c>
      <c r="AN341" s="1080">
        <f t="shared" si="398"/>
        <v>1</v>
      </c>
      <c r="AO341" s="1080">
        <f t="shared" si="399"/>
        <v>0</v>
      </c>
      <c r="AP341" s="1080">
        <f t="shared" si="400"/>
        <v>1</v>
      </c>
      <c r="AQ341" s="1027">
        <f>VLOOKUP(V341,'System Lookups'!$J$55:$P$64,7)</f>
        <v>800</v>
      </c>
      <c r="AR341" s="1080" t="str">
        <f ca="1">IF(AND(NOT(ISBLANK(AJ341)),ISNA(MATCH(ROW(),'System Lookups'!$C$526:$C$539,0))),"Y","N")</f>
        <v>Y</v>
      </c>
      <c r="AS341" s="1080">
        <f t="shared" si="401"/>
        <v>0</v>
      </c>
      <c r="AU341" s="1080" t="e">
        <f t="shared" si="384"/>
        <v>#N/A</v>
      </c>
      <c r="AV341" s="1080" t="str">
        <f t="shared" si="381"/>
        <v>T</v>
      </c>
      <c r="AW341" s="1080">
        <f t="shared" si="385"/>
        <v>0</v>
      </c>
      <c r="AX341" s="1080">
        <f t="shared" si="386"/>
        <v>0</v>
      </c>
      <c r="AY341" s="1080">
        <f t="shared" si="387"/>
        <v>0</v>
      </c>
      <c r="AZ341" s="1080">
        <f t="shared" si="388"/>
        <v>0</v>
      </c>
      <c r="BA341" s="1080">
        <f t="shared" si="389"/>
        <v>0</v>
      </c>
      <c r="BB341" s="1080">
        <f>IF(AND(RACE=1,'Main Creation Page'!$E$6="Well",OR(ISNUMBER(FIND(Experience!$G$11,BE341)),ISNUMBER(FIND(Experience!$G$11,BF341)),ISNUMBER(FIND(Experience!$I$11,BE341)),ISNUMBER(FIND(Experience!$I$11,BF341)))),1,0)</f>
        <v>1</v>
      </c>
      <c r="BC341" s="1080" t="str">
        <f t="shared" si="390"/>
        <v>Foreign (Anc.):Mednan</v>
      </c>
      <c r="BD341" s="1080" t="s">
        <v>5692</v>
      </c>
      <c r="BE341" s="1080" t="str">
        <f t="shared" si="382"/>
        <v>Lore</v>
      </c>
      <c r="BF341" s="1080" t="str">
        <f t="shared" si="383"/>
        <v>Language Lore: Spoken</v>
      </c>
    </row>
    <row r="342" spans="1:58" ht="11.1" customHeight="1" outlineLevel="3">
      <c r="A342" s="1028" t="str">
        <f>IF('Main Creation Page'!$K$5=3, "Slaven","Hebrew")</f>
        <v>Slaven</v>
      </c>
      <c r="B342" s="1094" t="s">
        <v>1942</v>
      </c>
      <c r="C342" s="1094"/>
      <c r="D342" s="1094"/>
      <c r="E342" s="1095" t="s">
        <v>5224</v>
      </c>
      <c r="F342" s="1095" t="s">
        <v>5224</v>
      </c>
      <c r="G342" s="1096">
        <v>0</v>
      </c>
      <c r="H342" s="1096" t="s">
        <v>5224</v>
      </c>
      <c r="I342" s="1096" t="s">
        <v>5224</v>
      </c>
      <c r="J342" s="1096" t="s">
        <v>5224</v>
      </c>
      <c r="K342" s="1096" t="s">
        <v>5224</v>
      </c>
      <c r="L342" s="1096">
        <v>0</v>
      </c>
      <c r="M342" s="1096" t="s">
        <v>5224</v>
      </c>
      <c r="N342" s="1096" t="s">
        <v>4631</v>
      </c>
      <c r="O342" s="1113"/>
      <c r="P342" s="1113" t="s">
        <v>13</v>
      </c>
      <c r="S342" s="1113" t="s">
        <v>58</v>
      </c>
      <c r="T342" s="1113"/>
      <c r="U342" s="1027">
        <f>IF('Main Creation Page'!$K$5=3,5,3)</f>
        <v>5</v>
      </c>
      <c r="V342" s="1027">
        <f>IF((AP342+U342+VLOOKUP('Main Creation Page'!E$14,'System Lookups'!R$45:S$49,2))&gt;10,10,IF((AP342+U342+VLOOKUP('Main Creation Page'!E$14,'System Lookups'!R$45:S$49,2))&lt;1,1,(AP342+U342+VLOOKUP('Main Creation Page'!E$14,'System Lookups'!R$45:S$49,2))))</f>
        <v>6</v>
      </c>
      <c r="W342" s="1098" t="e">
        <f>IF(OR(I342&lt;&gt;"N",E342="C"),IF(AND(N342&lt;&gt;"T",ISNUMBER(FIND("V",I342))),1,0),NA())+IF(H342="Y",IF(AND(N342="P",ISNUMBER(FIND("Z",I342))),2,1),0)+IF(J342="Y",1,0)+IF(K342="Y",3,0)+IF(BE342="Lore",L342*2+Experience!$D$25,0)+IF(M342="Y",1,0)</f>
        <v>#N/A</v>
      </c>
      <c r="X342" s="1099"/>
      <c r="Y342" s="1100">
        <f ca="1">IF(P342="NS",IFERROR(INDIRECT(S342),NA()),VLOOKUP(INDIRECT(P342)+INDIRECT(S342),'System Lookups'!$A$3:$D$146,2))</f>
        <v>0.08</v>
      </c>
      <c r="Z342" s="1100">
        <f t="shared" si="391"/>
        <v>0</v>
      </c>
      <c r="AA342" s="1101">
        <f ca="1">IF(ISNA(Y342),0,Y342)+Z342+IF('Main Creation Page'!AB$2=37,'Main Creation Page'!E$14/100,0)</f>
        <v>0.08</v>
      </c>
      <c r="AB342" s="1102">
        <f>VLOOKUP(V342,'System Lookups'!$J$55:$P$64,3)</f>
        <v>0.05</v>
      </c>
      <c r="AC342" s="1103">
        <f>VLOOKUP(V342,'System Lookups'!$J$55:$P$64,4)</f>
        <v>0.1</v>
      </c>
      <c r="AD342" s="1104">
        <f t="shared" si="392"/>
        <v>0</v>
      </c>
      <c r="AE342" s="1094">
        <f>(IF(AD342&gt;VLOOKUP(V342,'System Lookups'!$J$55:$P$63,6),(((AD342-VLOOKUP(V342,'System Lookups'!$J$55:$P$63,6))*100)/20),0))+AF342</f>
        <v>0</v>
      </c>
      <c r="AF342" s="1121"/>
      <c r="AG342" s="1092">
        <f t="shared" si="393"/>
        <v>0</v>
      </c>
      <c r="AH342" s="1092" t="str">
        <f>IF(X342&lt;=Experience!$R$15+1,"","*")</f>
        <v/>
      </c>
      <c r="AI342" s="1092"/>
      <c r="AJ342" s="1080">
        <f t="shared" si="394"/>
        <v>0</v>
      </c>
      <c r="AK342" s="1080">
        <f t="shared" si="395"/>
        <v>0</v>
      </c>
      <c r="AL342" s="1080">
        <f t="shared" si="396"/>
        <v>0</v>
      </c>
      <c r="AM342" s="1092">
        <f t="shared" si="397"/>
        <v>0</v>
      </c>
      <c r="AN342" s="1080">
        <f t="shared" si="398"/>
        <v>1</v>
      </c>
      <c r="AO342" s="1080">
        <f t="shared" si="399"/>
        <v>0</v>
      </c>
      <c r="AP342" s="1080">
        <f t="shared" si="400"/>
        <v>1</v>
      </c>
      <c r="AQ342" s="1027">
        <f>VLOOKUP(V342,'System Lookups'!$J$55:$P$64,7)</f>
        <v>800</v>
      </c>
      <c r="AR342" s="1080" t="str">
        <f ca="1">IF(AND(NOT(ISBLANK(AJ342)),ISNA(MATCH(ROW(),'System Lookups'!$C$526:$C$539,0))),"Y","N")</f>
        <v>Y</v>
      </c>
      <c r="AS342" s="1080">
        <f t="shared" si="401"/>
        <v>0</v>
      </c>
      <c r="AU342" s="1080" t="e">
        <f t="shared" si="384"/>
        <v>#N/A</v>
      </c>
      <c r="AV342" s="1080" t="str">
        <f t="shared" si="381"/>
        <v>T</v>
      </c>
      <c r="AW342" s="1080">
        <f t="shared" si="385"/>
        <v>0</v>
      </c>
      <c r="AX342" s="1080">
        <f t="shared" si="386"/>
        <v>0</v>
      </c>
      <c r="AY342" s="1080">
        <f t="shared" si="387"/>
        <v>0</v>
      </c>
      <c r="AZ342" s="1080">
        <f t="shared" si="388"/>
        <v>0</v>
      </c>
      <c r="BA342" s="1080">
        <f t="shared" si="389"/>
        <v>0</v>
      </c>
      <c r="BB342" s="1080">
        <f>IF(AND(RACE=1,'Main Creation Page'!$E$6="Well",OR(ISNUMBER(FIND(Experience!$G$11,BE342)),ISNUMBER(FIND(Experience!$G$11,BF342)),ISNUMBER(FIND(Experience!$I$11,BE342)),ISNUMBER(FIND(Experience!$I$11,BF342)))),1,0)</f>
        <v>1</v>
      </c>
      <c r="BC342" s="1080" t="str">
        <f t="shared" si="390"/>
        <v>Foreign (Anc.):Slaven</v>
      </c>
      <c r="BD342" s="1080" t="s">
        <v>5692</v>
      </c>
      <c r="BE342" s="1080" t="str">
        <f t="shared" si="382"/>
        <v>Lore</v>
      </c>
      <c r="BF342" s="1080" t="str">
        <f t="shared" si="383"/>
        <v>Language Lore: Spoken</v>
      </c>
    </row>
    <row r="343" spans="1:58" ht="11.1" customHeight="1" outlineLevel="3">
      <c r="A343" s="1028" t="str">
        <f>IF('Main Creation Page'!$K$5=3,"Lorn","Latin")</f>
        <v>Lorn</v>
      </c>
      <c r="B343" s="1094" t="s">
        <v>1942</v>
      </c>
      <c r="C343" s="1094"/>
      <c r="D343" s="1094"/>
      <c r="E343" s="1095" t="s">
        <v>5224</v>
      </c>
      <c r="F343" s="1095" t="s">
        <v>5224</v>
      </c>
      <c r="G343" s="1096">
        <v>0</v>
      </c>
      <c r="H343" s="1096" t="s">
        <v>5224</v>
      </c>
      <c r="I343" s="1096" t="s">
        <v>5224</v>
      </c>
      <c r="J343" s="1096" t="s">
        <v>5224</v>
      </c>
      <c r="K343" s="1096" t="s">
        <v>5224</v>
      </c>
      <c r="L343" s="1096">
        <v>0</v>
      </c>
      <c r="M343" s="1096" t="s">
        <v>5224</v>
      </c>
      <c r="N343" s="1096" t="s">
        <v>4631</v>
      </c>
      <c r="O343" s="1113"/>
      <c r="P343" s="1113" t="s">
        <v>13</v>
      </c>
      <c r="S343" s="1113" t="s">
        <v>58</v>
      </c>
      <c r="T343" s="1113"/>
      <c r="U343" s="1027">
        <f>IF('Main Creation Page'!$K$5=3,5,3)</f>
        <v>5</v>
      </c>
      <c r="V343" s="1027">
        <f>IF((AP343+U343+VLOOKUP('Main Creation Page'!E$14,'System Lookups'!R$45:S$49,2))&gt;10,10,IF((AP343+U343+VLOOKUP('Main Creation Page'!E$14,'System Lookups'!R$45:S$49,2))&lt;1,1,(AP343+U343+VLOOKUP('Main Creation Page'!E$14,'System Lookups'!R$45:S$49,2))))</f>
        <v>6</v>
      </c>
      <c r="W343" s="1098" t="e">
        <f>IF(OR(I343&lt;&gt;"N",E343="C"),IF(AND(N343&lt;&gt;"T",ISNUMBER(FIND("V",I343))),1,0),NA())+IF(H343="Y",IF(AND(N343="P",ISNUMBER(FIND("Z",I343))),2,1),0)+IF(J343="Y",1,0)+IF(K343="Y",3,0)+IF(BE343="Lore",L343*2+Experience!$D$25,0)+IF(M343="Y",1,0)</f>
        <v>#N/A</v>
      </c>
      <c r="X343" s="1099"/>
      <c r="Y343" s="1100">
        <f ca="1">IF(P343="NS",IFERROR(INDIRECT(S343),NA()),VLOOKUP(INDIRECT(P343)+INDIRECT(S343),'System Lookups'!$A$3:$D$146,2))</f>
        <v>0.08</v>
      </c>
      <c r="Z343" s="1100">
        <f t="shared" si="391"/>
        <v>0</v>
      </c>
      <c r="AA343" s="1101">
        <f ca="1">IF(ISNA(Y343),0,Y343)+Z343+IF('Main Creation Page'!AB$2=37,'Main Creation Page'!E$14/100,0)</f>
        <v>0.08</v>
      </c>
      <c r="AB343" s="1102">
        <f>VLOOKUP(V343,'System Lookups'!$J$55:$P$64,3)</f>
        <v>0.05</v>
      </c>
      <c r="AC343" s="1103">
        <f>VLOOKUP(V343,'System Lookups'!$J$55:$P$64,4)</f>
        <v>0.1</v>
      </c>
      <c r="AD343" s="1104">
        <f t="shared" si="392"/>
        <v>0</v>
      </c>
      <c r="AE343" s="1094">
        <f>(IF(AD343&gt;VLOOKUP(V343,'System Lookups'!$J$55:$P$63,6),(((AD343-VLOOKUP(V343,'System Lookups'!$J$55:$P$63,6))*100)/20),0))+AF343</f>
        <v>0</v>
      </c>
      <c r="AF343" s="1121"/>
      <c r="AG343" s="1092">
        <f t="shared" si="393"/>
        <v>0</v>
      </c>
      <c r="AH343" s="1092" t="str">
        <f>IF(X343&lt;=Experience!$R$15+1,"","*")</f>
        <v/>
      </c>
      <c r="AI343" s="1092"/>
      <c r="AJ343" s="1080">
        <f t="shared" si="394"/>
        <v>0</v>
      </c>
      <c r="AK343" s="1080">
        <f t="shared" si="395"/>
        <v>0</v>
      </c>
      <c r="AL343" s="1080">
        <f t="shared" si="396"/>
        <v>0</v>
      </c>
      <c r="AM343" s="1092">
        <f t="shared" si="397"/>
        <v>0</v>
      </c>
      <c r="AN343" s="1080">
        <f t="shared" si="398"/>
        <v>1</v>
      </c>
      <c r="AO343" s="1080">
        <f t="shared" si="399"/>
        <v>0</v>
      </c>
      <c r="AP343" s="1080">
        <f t="shared" si="400"/>
        <v>1</v>
      </c>
      <c r="AQ343" s="1027">
        <f>VLOOKUP(V343,'System Lookups'!$J$55:$P$64,7)</f>
        <v>800</v>
      </c>
      <c r="AR343" s="1080" t="str">
        <f ca="1">IF(AND(NOT(ISBLANK(AJ343)),ISNA(MATCH(ROW(),'System Lookups'!$C$526:$C$539,0))),"Y","N")</f>
        <v>Y</v>
      </c>
      <c r="AS343" s="1080">
        <f t="shared" si="401"/>
        <v>0</v>
      </c>
      <c r="AU343" s="1080" t="e">
        <f t="shared" si="384"/>
        <v>#N/A</v>
      </c>
      <c r="AV343" s="1080" t="str">
        <f t="shared" si="381"/>
        <v>T</v>
      </c>
      <c r="AW343" s="1080">
        <f t="shared" si="385"/>
        <v>0</v>
      </c>
      <c r="AX343" s="1080">
        <f t="shared" si="386"/>
        <v>0</v>
      </c>
      <c r="AY343" s="1080">
        <f t="shared" si="387"/>
        <v>0</v>
      </c>
      <c r="AZ343" s="1080">
        <f t="shared" si="388"/>
        <v>0</v>
      </c>
      <c r="BA343" s="1080">
        <f t="shared" si="389"/>
        <v>0</v>
      </c>
      <c r="BB343" s="1080">
        <f>IF(AND(RACE=1,'Main Creation Page'!$E$6="Well",OR(ISNUMBER(FIND(Experience!$G$11,BE343)),ISNUMBER(FIND(Experience!$G$11,BF343)),ISNUMBER(FIND(Experience!$I$11,BE343)),ISNUMBER(FIND(Experience!$I$11,BF343)))),1,0)</f>
        <v>1</v>
      </c>
      <c r="BC343" s="1080" t="str">
        <f t="shared" si="390"/>
        <v>Foreign (Anc.):Lorn</v>
      </c>
      <c r="BD343" s="1080" t="s">
        <v>5692</v>
      </c>
      <c r="BE343" s="1080" t="str">
        <f t="shared" si="382"/>
        <v>Lore</v>
      </c>
      <c r="BF343" s="1080" t="str">
        <f t="shared" si="383"/>
        <v>Language Lore: Spoken</v>
      </c>
    </row>
    <row r="344" spans="1:58" ht="11.1" customHeight="1" outlineLevel="3">
      <c r="A344" s="1028" t="str">
        <f>IF('Main Creation Page'!$K$5=3, "Ancient Lands","Phoenician")</f>
        <v>Ancient Lands</v>
      </c>
      <c r="B344" s="1094" t="s">
        <v>1942</v>
      </c>
      <c r="C344" s="1094"/>
      <c r="D344" s="1094"/>
      <c r="E344" s="1095" t="s">
        <v>5224</v>
      </c>
      <c r="F344" s="1095" t="s">
        <v>5224</v>
      </c>
      <c r="G344" s="1096">
        <v>0</v>
      </c>
      <c r="H344" s="1096" t="s">
        <v>5224</v>
      </c>
      <c r="I344" s="1096" t="s">
        <v>5224</v>
      </c>
      <c r="J344" s="1096" t="s">
        <v>5224</v>
      </c>
      <c r="K344" s="1096" t="s">
        <v>5224</v>
      </c>
      <c r="L344" s="1096">
        <v>0</v>
      </c>
      <c r="M344" s="1096" t="s">
        <v>5224</v>
      </c>
      <c r="N344" s="1096" t="s">
        <v>4631</v>
      </c>
      <c r="O344" s="1113"/>
      <c r="P344" s="1113" t="s">
        <v>13</v>
      </c>
      <c r="S344" s="1113" t="s">
        <v>58</v>
      </c>
      <c r="T344" s="1113"/>
      <c r="U344" s="1027">
        <f>IF('Main Creation Page'!$K$5=3,5,3)</f>
        <v>5</v>
      </c>
      <c r="V344" s="1027">
        <f>IF((AP344+U344+VLOOKUP('Main Creation Page'!E$14,'System Lookups'!R$45:S$49,2))&gt;10,10,IF((AP344+U344+VLOOKUP('Main Creation Page'!E$14,'System Lookups'!R$45:S$49,2))&lt;1,1,(AP344+U344+VLOOKUP('Main Creation Page'!E$14,'System Lookups'!R$45:S$49,2))))</f>
        <v>6</v>
      </c>
      <c r="W344" s="1098" t="e">
        <f>IF(OR(I344&lt;&gt;"N",E344="C"),IF(AND(N344&lt;&gt;"T",ISNUMBER(FIND("V",I344))),1,0),NA())+IF(H344="Y",IF(AND(N344="P",ISNUMBER(FIND("Z",I344))),2,1),0)+IF(J344="Y",1,0)+IF(K344="Y",3,0)+IF(BE344="Lore",L344*2+Experience!$D$25,0)+IF(M344="Y",1,0)</f>
        <v>#N/A</v>
      </c>
      <c r="X344" s="1099"/>
      <c r="Y344" s="1100">
        <f ca="1">IF(P344="NS",IFERROR(INDIRECT(S344),NA()),VLOOKUP(INDIRECT(P344)+INDIRECT(S344),'System Lookups'!$A$3:$D$146,2))</f>
        <v>0.08</v>
      </c>
      <c r="Z344" s="1100">
        <f>IF(ISNA(W344),0,W344*0.05)+IF(X344&gt;0,X344*0.05,0)+IF(AND(ISNA(W344),X344&lt;=0),0,IF(G344&gt;0,G344*0.05,0))</f>
        <v>0</v>
      </c>
      <c r="AA344" s="1101">
        <f ca="1">IF(ISNA(Y344),0,Y344)+Z344+IF('Main Creation Page'!AB$2=37,'Main Creation Page'!E$14/100,0)</f>
        <v>0.08</v>
      </c>
      <c r="AB344" s="1102">
        <f>VLOOKUP(V344,'System Lookups'!$J$55:$P$64,3)</f>
        <v>0.05</v>
      </c>
      <c r="AC344" s="1103">
        <f>VLOOKUP(V344,'System Lookups'!$J$55:$P$64,4)</f>
        <v>0.1</v>
      </c>
      <c r="AD344" s="1104">
        <f t="shared" si="392"/>
        <v>0</v>
      </c>
      <c r="AE344" s="1094">
        <f>(IF(AD344&gt;VLOOKUP(V344,'System Lookups'!$J$55:$P$63,6),(((AD344-VLOOKUP(V344,'System Lookups'!$J$55:$P$63,6))*100)/20),0))+AF344</f>
        <v>0</v>
      </c>
      <c r="AF344" s="1121"/>
      <c r="AG344" s="1092">
        <f t="shared" si="393"/>
        <v>0</v>
      </c>
      <c r="AH344" s="1092" t="str">
        <f>IF(X344&lt;=Experience!$R$15+1,"","*")</f>
        <v/>
      </c>
      <c r="AI344" s="1092"/>
      <c r="AJ344" s="1080">
        <f t="shared" si="394"/>
        <v>0</v>
      </c>
      <c r="AK344" s="1080">
        <f t="shared" si="395"/>
        <v>0</v>
      </c>
      <c r="AL344" s="1080">
        <f t="shared" si="396"/>
        <v>0</v>
      </c>
      <c r="AM344" s="1092">
        <f t="shared" si="397"/>
        <v>0</v>
      </c>
      <c r="AN344" s="1080">
        <f t="shared" si="398"/>
        <v>1</v>
      </c>
      <c r="AO344" s="1080">
        <f t="shared" si="399"/>
        <v>0</v>
      </c>
      <c r="AP344" s="1080">
        <f t="shared" si="400"/>
        <v>1</v>
      </c>
      <c r="AQ344" s="1027">
        <f>VLOOKUP(V344,'System Lookups'!$J$55:$P$64,7)</f>
        <v>800</v>
      </c>
      <c r="AR344" s="1080" t="str">
        <f ca="1">IF(AND(NOT(ISBLANK(AJ344)),ISNA(MATCH(ROW(),'System Lookups'!$C$526:$C$539,0))),"Y","N")</f>
        <v>Y</v>
      </c>
      <c r="AS344" s="1080">
        <f t="shared" si="401"/>
        <v>0</v>
      </c>
      <c r="AU344" s="1080" t="e">
        <f t="shared" si="384"/>
        <v>#N/A</v>
      </c>
      <c r="AV344" s="1080" t="str">
        <f t="shared" si="381"/>
        <v>T</v>
      </c>
      <c r="AW344" s="1080">
        <f t="shared" si="385"/>
        <v>0</v>
      </c>
      <c r="AX344" s="1080">
        <f t="shared" si="386"/>
        <v>0</v>
      </c>
      <c r="AY344" s="1080">
        <f t="shared" si="387"/>
        <v>0</v>
      </c>
      <c r="AZ344" s="1080">
        <f t="shared" si="388"/>
        <v>0</v>
      </c>
      <c r="BA344" s="1080">
        <f t="shared" si="389"/>
        <v>0</v>
      </c>
      <c r="BB344" s="1080">
        <f>IF(AND(RACE=1,'Main Creation Page'!$E$6="Well",OR(ISNUMBER(FIND(Experience!$G$11,BE344)),ISNUMBER(FIND(Experience!$G$11,BF344)),ISNUMBER(FIND(Experience!$I$11,BE344)),ISNUMBER(FIND(Experience!$I$11,BF344)))),1,0)</f>
        <v>1</v>
      </c>
      <c r="BC344" s="1080" t="str">
        <f t="shared" si="390"/>
        <v>Foreign (Anc.):Ancient Lands</v>
      </c>
      <c r="BD344" s="1080" t="s">
        <v>5692</v>
      </c>
      <c r="BE344" s="1080" t="str">
        <f t="shared" si="382"/>
        <v>Lore</v>
      </c>
      <c r="BF344" s="1080" t="str">
        <f t="shared" si="383"/>
        <v>Language Lore: Spoken</v>
      </c>
    </row>
    <row r="345" spans="1:58" ht="11.1" customHeight="1" outlineLevel="3">
      <c r="A345" s="1028" t="str">
        <f>IF('Main Creation Page'!$K$5=3, "Telnar","Sumerian")</f>
        <v>Telnar</v>
      </c>
      <c r="B345" s="1094" t="s">
        <v>1942</v>
      </c>
      <c r="C345" s="1094"/>
      <c r="D345" s="1094"/>
      <c r="E345" s="1095" t="s">
        <v>5224</v>
      </c>
      <c r="F345" s="1095" t="s">
        <v>5224</v>
      </c>
      <c r="G345" s="1096">
        <v>0</v>
      </c>
      <c r="H345" s="1096" t="s">
        <v>5224</v>
      </c>
      <c r="I345" s="1096" t="s">
        <v>5224</v>
      </c>
      <c r="J345" s="1096" t="s">
        <v>5224</v>
      </c>
      <c r="K345" s="1096" t="s">
        <v>5224</v>
      </c>
      <c r="L345" s="1096">
        <v>0</v>
      </c>
      <c r="M345" s="1096" t="s">
        <v>5224</v>
      </c>
      <c r="N345" s="1096" t="s">
        <v>4631</v>
      </c>
      <c r="O345" s="1113"/>
      <c r="P345" s="1113" t="s">
        <v>13</v>
      </c>
      <c r="S345" s="1113" t="s">
        <v>58</v>
      </c>
      <c r="T345" s="1113"/>
      <c r="U345" s="1027">
        <f>IF('Main Creation Page'!$K$5=3,6,3)</f>
        <v>6</v>
      </c>
      <c r="V345" s="1027">
        <f>IF((AP345+U345+VLOOKUP('Main Creation Page'!E$14,'System Lookups'!R$45:S$49,2))&gt;10,10,IF((AP345+U345+VLOOKUP('Main Creation Page'!E$14,'System Lookups'!R$45:S$49,2))&lt;1,1,(AP345+U345+VLOOKUP('Main Creation Page'!E$14,'System Lookups'!R$45:S$49,2))))</f>
        <v>7</v>
      </c>
      <c r="W345" s="1098" t="e">
        <f>IF(OR(I345&lt;&gt;"N",E345="C"),IF(AND(N345&lt;&gt;"T",ISNUMBER(FIND("V",I345))),1,0),NA())+IF(H345="Y",IF(AND(N345="P",ISNUMBER(FIND("Z",I345))),2,1),0)+IF(J345="Y",1,0)+IF(K345="Y",3,0)+IF(BE345="Lore",L345*2+Experience!$D$25,0)+IF(M345="Y",1,0)</f>
        <v>#N/A</v>
      </c>
      <c r="X345" s="1099"/>
      <c r="Y345" s="1100">
        <f ca="1">IF(P345="NS",IFERROR(INDIRECT(S345),NA()),VLOOKUP(INDIRECT(P345)+INDIRECT(S345),'System Lookups'!$A$3:$D$146,2))</f>
        <v>0.08</v>
      </c>
      <c r="Z345" s="1100">
        <f>IF(ISNA(W345),0,W345*0.03)+IF(X345&gt;0,X345*0.03,0)+IF(AND(ISNA(W345),X345&lt;=0),0,IF(G345&gt;0,G345*0.07,0))</f>
        <v>0</v>
      </c>
      <c r="AA345" s="1101">
        <f ca="1">IF(ISNA(Y345),0,Y345)+Z345+IF('Main Creation Page'!AB$2=37,'Main Creation Page'!E$14/100,0)</f>
        <v>0.08</v>
      </c>
      <c r="AB345" s="1102">
        <f>VLOOKUP(V345,'System Lookups'!$J$55:$P$64,3)</f>
        <v>0.03</v>
      </c>
      <c r="AC345" s="1103">
        <f>VLOOKUP(V345,'System Lookups'!$J$55:$P$64,4)</f>
        <v>7.0000000000000007E-2</v>
      </c>
      <c r="AD345" s="1104">
        <f t="shared" si="392"/>
        <v>0</v>
      </c>
      <c r="AE345" s="1094">
        <f>(IF(AD345&gt;VLOOKUP(V345,'System Lookups'!$J$55:$P$63,6),(((AD345-VLOOKUP(V345,'System Lookups'!$J$55:$P$63,6))*100)/20),0))+AF345</f>
        <v>0</v>
      </c>
      <c r="AF345" s="1121"/>
      <c r="AG345" s="1092">
        <f t="shared" si="393"/>
        <v>0</v>
      </c>
      <c r="AH345" s="1092" t="str">
        <f>IF(X345&lt;=Experience!$R$15+1,"","*")</f>
        <v/>
      </c>
      <c r="AI345" s="1092"/>
      <c r="AJ345" s="1080">
        <f t="shared" si="394"/>
        <v>0</v>
      </c>
      <c r="AK345" s="1080">
        <f t="shared" si="395"/>
        <v>0</v>
      </c>
      <c r="AL345" s="1080">
        <f t="shared" si="396"/>
        <v>0</v>
      </c>
      <c r="AM345" s="1092">
        <f t="shared" si="397"/>
        <v>0</v>
      </c>
      <c r="AN345" s="1080">
        <f t="shared" si="398"/>
        <v>1</v>
      </c>
      <c r="AO345" s="1080">
        <f t="shared" si="399"/>
        <v>0</v>
      </c>
      <c r="AP345" s="1080">
        <f t="shared" si="400"/>
        <v>1</v>
      </c>
      <c r="AQ345" s="1027">
        <f>VLOOKUP(V345,'System Lookups'!$J$55:$P$64,7)</f>
        <v>1000</v>
      </c>
      <c r="AR345" s="1080" t="str">
        <f ca="1">IF(AND(NOT(ISBLANK(AJ345)),ISNA(MATCH(ROW(),'System Lookups'!$C$526:$C$539,0))),"Y","N")</f>
        <v>Y</v>
      </c>
      <c r="AS345" s="1080">
        <f t="shared" si="401"/>
        <v>0</v>
      </c>
      <c r="AU345" s="1080" t="e">
        <f t="shared" si="384"/>
        <v>#N/A</v>
      </c>
      <c r="AV345" s="1080" t="str">
        <f t="shared" si="381"/>
        <v>T</v>
      </c>
      <c r="AW345" s="1080">
        <f t="shared" si="385"/>
        <v>0</v>
      </c>
      <c r="AX345" s="1080">
        <f t="shared" si="386"/>
        <v>0</v>
      </c>
      <c r="AY345" s="1080">
        <f t="shared" si="387"/>
        <v>0</v>
      </c>
      <c r="AZ345" s="1080">
        <f t="shared" si="388"/>
        <v>0</v>
      </c>
      <c r="BA345" s="1080">
        <f t="shared" si="389"/>
        <v>0</v>
      </c>
      <c r="BB345" s="1080">
        <f>IF(AND(RACE=1,'Main Creation Page'!$E$6="Well",OR(ISNUMBER(FIND(Experience!$G$11,BE345)),ISNUMBER(FIND(Experience!$G$11,BF345)),ISNUMBER(FIND(Experience!$I$11,BE345)),ISNUMBER(FIND(Experience!$I$11,BF345)))),1,0)</f>
        <v>1</v>
      </c>
      <c r="BC345" s="1080" t="str">
        <f t="shared" si="390"/>
        <v>Foreign (Anc.):Telnar</v>
      </c>
      <c r="BD345" s="1080" t="s">
        <v>5692</v>
      </c>
      <c r="BE345" s="1080" t="str">
        <f t="shared" si="382"/>
        <v>Lore</v>
      </c>
      <c r="BF345" s="1080" t="str">
        <f t="shared" si="383"/>
        <v>Language Lore: Spoken</v>
      </c>
    </row>
    <row r="346" spans="1:58" ht="11.1" customHeight="1" outlineLevel="3">
      <c r="A346" s="1140" t="s">
        <v>1516</v>
      </c>
      <c r="AF346" s="1079"/>
      <c r="AR346" s="1080" t="str">
        <f ca="1">IF(AND(NOT(ISBLANK(AJ346)),ISNA(MATCH(ROW(),'System Lookups'!$C$526:$C$539,0))),"Y","N")</f>
        <v>N</v>
      </c>
      <c r="AU346" s="1080" t="e">
        <f t="shared" si="384"/>
        <v>#N/A</v>
      </c>
      <c r="AV346" s="1080" t="str">
        <f t="shared" si="381"/>
        <v/>
      </c>
      <c r="AW346" s="1080">
        <f t="shared" si="385"/>
        <v>0</v>
      </c>
      <c r="AX346" s="1080">
        <f t="shared" si="386"/>
        <v>0</v>
      </c>
      <c r="AY346" s="1080">
        <f t="shared" si="387"/>
        <v>0</v>
      </c>
      <c r="AZ346" s="1080">
        <f t="shared" si="388"/>
        <v>0</v>
      </c>
      <c r="BA346" s="1080">
        <f t="shared" si="389"/>
        <v>0</v>
      </c>
      <c r="BB346" s="1080">
        <f>IF(AND(RACE=1,'Main Creation Page'!$E$6="Well",OR(ISNUMBER(FIND(Experience!$G$11,BE346)),ISNUMBER(FIND(Experience!$G$11,BF346)),ISNUMBER(FIND(Experience!$I$11,BE346)),ISNUMBER(FIND(Experience!$I$11,BF346)))),1,0)</f>
        <v>1</v>
      </c>
      <c r="BC346" s="1080" t="e">
        <f t="shared" si="390"/>
        <v>#N/A</v>
      </c>
      <c r="BD346" s="1080" t="s">
        <v>5692</v>
      </c>
      <c r="BE346" s="1080" t="str">
        <f t="shared" si="382"/>
        <v>Lore</v>
      </c>
      <c r="BF346" s="1080" t="str">
        <f t="shared" si="383"/>
        <v>Language Lore: Spoken</v>
      </c>
    </row>
    <row r="347" spans="1:58" ht="11.1" customHeight="1" outlineLevel="2">
      <c r="A347" s="1028" t="s">
        <v>2250</v>
      </c>
      <c r="B347" s="1111"/>
      <c r="C347" s="1111"/>
      <c r="D347" s="1111"/>
      <c r="O347" s="1027"/>
      <c r="P347" s="1027" t="s">
        <v>780</v>
      </c>
      <c r="Q347" s="1097">
        <f t="shared" ref="Q347:Q362" ca="1" si="402">INDIRECT(P347)</f>
        <v>17</v>
      </c>
      <c r="R347" s="1027"/>
      <c r="S347" s="1028" t="s">
        <v>3612</v>
      </c>
      <c r="T347" s="1097">
        <f t="shared" ref="T347:T362" ca="1" si="403">INDIRECT(S347)</f>
        <v>10</v>
      </c>
      <c r="V347" s="1027"/>
      <c r="W347" s="1112"/>
      <c r="AE347" s="1094"/>
      <c r="AF347" s="1121"/>
      <c r="AR347" s="1080" t="str">
        <f ca="1">IF(AND(NOT(ISBLANK(AJ347)),ISNA(MATCH(ROW(),'System Lookups'!$C$526:$C$539,0))),"Y","N")</f>
        <v>N</v>
      </c>
      <c r="AU347" s="1080" t="e">
        <f t="shared" si="384"/>
        <v>#N/A</v>
      </c>
      <c r="AV347" s="1080" t="str">
        <f t="shared" si="381"/>
        <v/>
      </c>
      <c r="AW347" s="1080">
        <f t="shared" si="385"/>
        <v>0</v>
      </c>
      <c r="AX347" s="1080">
        <f t="shared" si="386"/>
        <v>0</v>
      </c>
      <c r="AY347" s="1080">
        <f t="shared" si="387"/>
        <v>0</v>
      </c>
      <c r="AZ347" s="1080">
        <f t="shared" si="388"/>
        <v>0</v>
      </c>
      <c r="BA347" s="1080">
        <f t="shared" si="389"/>
        <v>0</v>
      </c>
      <c r="BB347" s="1080">
        <f>IF(AND(RACE=1,'Main Creation Page'!$E$6="Well",OR(ISNUMBER(FIND(Experience!$G$11,BE347)),ISNUMBER(FIND(Experience!$G$11,BF347)),ISNUMBER(FIND(Experience!$I$11,BE347)),ISNUMBER(FIND(Experience!$I$11,BF347)))),1,0)</f>
        <v>1</v>
      </c>
      <c r="BC347" s="1080" t="e">
        <f t="shared" si="390"/>
        <v>#N/A</v>
      </c>
      <c r="BD347" s="1080" t="s">
        <v>5693</v>
      </c>
      <c r="BE347" s="1080" t="str">
        <f t="shared" si="382"/>
        <v>Lore</v>
      </c>
      <c r="BF347" s="1080" t="str">
        <f t="shared" si="383"/>
        <v>Language Lore: Spoken</v>
      </c>
    </row>
    <row r="348" spans="1:58" ht="11.1" customHeight="1" outlineLevel="3">
      <c r="A348" s="1093" t="s">
        <v>282</v>
      </c>
      <c r="B348" s="1094" t="s">
        <v>1942</v>
      </c>
      <c r="C348" s="1094"/>
      <c r="D348" s="1094"/>
      <c r="E348" s="1095" t="s">
        <v>5224</v>
      </c>
      <c r="F348" s="1095" t="s">
        <v>5224</v>
      </c>
      <c r="G348" s="1096">
        <v>0</v>
      </c>
      <c r="H348" s="1096" t="s">
        <v>5224</v>
      </c>
      <c r="I348" s="1096" t="s">
        <v>5224</v>
      </c>
      <c r="J348" s="1096" t="s">
        <v>5224</v>
      </c>
      <c r="K348" s="1096" t="s">
        <v>5224</v>
      </c>
      <c r="L348" s="1096">
        <v>0</v>
      </c>
      <c r="M348" s="1096" t="s">
        <v>5224</v>
      </c>
      <c r="N348" s="1096" t="s">
        <v>4631</v>
      </c>
      <c r="O348" s="1027"/>
      <c r="P348" s="1027" t="s">
        <v>780</v>
      </c>
      <c r="Q348" s="1097">
        <f t="shared" ca="1" si="402"/>
        <v>17</v>
      </c>
      <c r="R348" s="1027"/>
      <c r="S348" s="1028" t="s">
        <v>3612</v>
      </c>
      <c r="T348" s="1097">
        <f t="shared" ca="1" si="403"/>
        <v>10</v>
      </c>
      <c r="U348" s="1027">
        <v>6</v>
      </c>
      <c r="V348" s="1027">
        <f>IF((AP348+U348+VLOOKUP('Main Creation Page'!E$14,'System Lookups'!R$45:S$49,2))&gt;10,10,IF((AP348+U348+VLOOKUP('Main Creation Page'!E$14,'System Lookups'!R$45:S$49,2))&lt;1,1,(AP348+U348+VLOOKUP('Main Creation Page'!E$14,'System Lookups'!R$45:S$49,2))))</f>
        <v>7</v>
      </c>
      <c r="W348" s="1098" t="e">
        <f>IF(OR(I348&lt;&gt;"N",E348="C"),IF(AND(N348&lt;&gt;"T",ISNUMBER(FIND("V",I348))),1,0),NA())+IF(H348="Y",IF(AND(N348="P",ISNUMBER(FIND("Z",I348))),2,1),0)+IF(J348="Y",1,0)+IF(K348="Y",3,0)+IF(BE348="Lore",L348*2+Experience!$D$25,0)+IF(M348="Y",1,0)</f>
        <v>#N/A</v>
      </c>
      <c r="X348" s="1099"/>
      <c r="Y348" s="1100">
        <f ca="1">IF(P348="NS",IFERROR(INDIRECT(S348),NA()),VLOOKUP(INDIRECT(P348)+INDIRECT(S348),'System Lookups'!$A$3:$D$146,2))</f>
        <v>0.04</v>
      </c>
      <c r="Z348" s="1100">
        <f t="shared" ref="Z348:Z361" si="404">IF($AD$305&lt;0.8,IF(G348&gt;0,((X348*0.03)+(IF(X348&gt;0,G348*0.07,0))),(X348*0.03))+IF(ISNA(W348),0,W348*0.03),(X348*0.05)+IF(ISNA(W348),0,W348*0.05))</f>
        <v>0</v>
      </c>
      <c r="AA348" s="1101">
        <f ca="1">IF(ISNA(Y348),0,Y348)+Z348+IF('Main Creation Page'!AB$2=37,'Main Creation Page'!E$14/100,0)</f>
        <v>0.04</v>
      </c>
      <c r="AB348" s="1102">
        <f>VLOOKUP(V348,'System Lookups'!$J$55:$P$64,3)</f>
        <v>0.03</v>
      </c>
      <c r="AC348" s="1103">
        <f>VLOOKUP(V348,'System Lookups'!$J$55:$P$64,4)</f>
        <v>7.0000000000000007E-2</v>
      </c>
      <c r="AD348" s="1104">
        <f t="shared" ref="AD348:AD361" si="405">IF(AND(ISBLANK(X348),ISNA(W348)),IF(B348="~",0,AB348+AA348+IF(BB348&gt;0,0.05,0)),AA348+AC348+IF(BB348&gt;0,0.05,0))</f>
        <v>0</v>
      </c>
      <c r="AE348" s="1094">
        <f>(IF(AD348&gt;VLOOKUP(V348,'System Lookups'!$J$55:$P$63,6),(((AD348-VLOOKUP(V348,'System Lookups'!$J$55:$P$63,6))*100)/20),0))+AF348</f>
        <v>0</v>
      </c>
      <c r="AF348" s="1121"/>
      <c r="AG348" s="1092">
        <f t="shared" ref="AG348:AG361" si="406">IF(ISBLANK(X348),0,AQ348*X348+IF(ISNA(W348),1,0))</f>
        <v>0</v>
      </c>
      <c r="AH348" s="1092" t="str">
        <f>IF(X348&lt;=Experience!$R$15+1,"","*")</f>
        <v/>
      </c>
      <c r="AI348" s="1092"/>
      <c r="AJ348" s="1080">
        <f t="shared" ref="AJ348:AJ361" si="407">IF(ISNUMBER(FIND("R",F348)),-1,0)</f>
        <v>0</v>
      </c>
      <c r="AK348" s="1080">
        <f t="shared" ref="AK348:AK361" si="408">IF(F348="s",-2,0)</f>
        <v>0</v>
      </c>
      <c r="AL348" s="1080">
        <f t="shared" ref="AL348:AL361" si="409">IF(AND(H348="Y",OR(N348="P",N348="S")),-1,0)</f>
        <v>0</v>
      </c>
      <c r="AM348" s="1092">
        <f t="shared" ref="AM348:AM361" si="410">IF(J348="y",1,0)</f>
        <v>0</v>
      </c>
      <c r="AN348" s="1080">
        <f t="shared" ref="AN348:AN361" si="411">IF(N348="P",-1,IF(N348="T",1,0))</f>
        <v>1</v>
      </c>
      <c r="AO348" s="1080">
        <f t="shared" ref="AO348:AO361" si="412">IF(ISNUMBER(FIND("Z",I348)),1,0)</f>
        <v>0</v>
      </c>
      <c r="AP348" s="1080">
        <f t="shared" ref="AP348:AP361" si="413">SUM(AJ348:AN348)-AM348</f>
        <v>1</v>
      </c>
      <c r="AQ348" s="1027">
        <f>VLOOKUP(V348,'System Lookups'!$J$55:$P$64,7)</f>
        <v>1000</v>
      </c>
      <c r="AR348" s="1080" t="str">
        <f ca="1">IF(AND(NOT(ISBLANK(AJ348)),ISNA(MATCH(ROW(),'System Lookups'!$C$526:$C$539,0))),"Y","N")</f>
        <v>Y</v>
      </c>
      <c r="AS348" s="1080">
        <f t="shared" ref="AS348:AS361" si="414">AG348-AI348</f>
        <v>0</v>
      </c>
      <c r="AU348" s="1080" t="e">
        <f t="shared" si="384"/>
        <v>#N/A</v>
      </c>
      <c r="AV348" s="1080" t="str">
        <f t="shared" si="381"/>
        <v>T</v>
      </c>
      <c r="AW348" s="1080">
        <f t="shared" si="385"/>
        <v>0</v>
      </c>
      <c r="AX348" s="1080">
        <f t="shared" si="386"/>
        <v>0</v>
      </c>
      <c r="AY348" s="1080">
        <f t="shared" si="387"/>
        <v>0</v>
      </c>
      <c r="AZ348" s="1080">
        <f t="shared" si="388"/>
        <v>0</v>
      </c>
      <c r="BA348" s="1080">
        <f t="shared" si="389"/>
        <v>0</v>
      </c>
      <c r="BB348" s="1080">
        <f>IF(AND(RACE=1,'Main Creation Page'!$E$6="Well",OR(ISNUMBER(FIND(Experience!$G$11,BE348)),ISNUMBER(FIND(Experience!$G$11,BF348)),ISNUMBER(FIND(Experience!$I$11,BE348)),ISNUMBER(FIND(Experience!$I$11,BF348)))),1,0)</f>
        <v>1</v>
      </c>
      <c r="BC348" s="1080" t="str">
        <f t="shared" si="390"/>
        <v>Beast:Arachnids</v>
      </c>
      <c r="BD348" s="1080" t="s">
        <v>5693</v>
      </c>
      <c r="BE348" s="1080" t="str">
        <f t="shared" si="382"/>
        <v>Lore</v>
      </c>
      <c r="BF348" s="1080" t="str">
        <f t="shared" si="383"/>
        <v>Language Lore: Spoken</v>
      </c>
    </row>
    <row r="349" spans="1:58" ht="11.1" customHeight="1" outlineLevel="3">
      <c r="A349" s="1028" t="s">
        <v>4757</v>
      </c>
      <c r="B349" s="1094" t="s">
        <v>1942</v>
      </c>
      <c r="C349" s="1094"/>
      <c r="D349" s="1094"/>
      <c r="E349" s="1095" t="s">
        <v>5224</v>
      </c>
      <c r="F349" s="1095" t="s">
        <v>5224</v>
      </c>
      <c r="G349" s="1096">
        <v>0</v>
      </c>
      <c r="H349" s="1096" t="s">
        <v>5224</v>
      </c>
      <c r="I349" s="1096" t="s">
        <v>5224</v>
      </c>
      <c r="J349" s="1096" t="s">
        <v>5224</v>
      </c>
      <c r="K349" s="1096" t="s">
        <v>5224</v>
      </c>
      <c r="L349" s="1096">
        <v>0</v>
      </c>
      <c r="M349" s="1096" t="s">
        <v>5224</v>
      </c>
      <c r="N349" s="1096" t="s">
        <v>4631</v>
      </c>
      <c r="O349" s="1027"/>
      <c r="P349" s="1027" t="s">
        <v>780</v>
      </c>
      <c r="Q349" s="1097">
        <f t="shared" ca="1" si="402"/>
        <v>17</v>
      </c>
      <c r="R349" s="1027"/>
      <c r="S349" s="1028" t="s">
        <v>3612</v>
      </c>
      <c r="T349" s="1097">
        <f t="shared" ca="1" si="403"/>
        <v>10</v>
      </c>
      <c r="U349" s="1027">
        <v>6</v>
      </c>
      <c r="V349" s="1027">
        <f>IF((AP349+U349+VLOOKUP('Main Creation Page'!E$14,'System Lookups'!R$45:S$49,2))&gt;10,10,IF((AP349+U349+VLOOKUP('Main Creation Page'!E$14,'System Lookups'!R$45:S$49,2))&lt;1,1,(AP349+U349+VLOOKUP('Main Creation Page'!E$14,'System Lookups'!R$45:S$49,2))))</f>
        <v>7</v>
      </c>
      <c r="W349" s="1098" t="e">
        <f>IF(OR(I349&lt;&gt;"N",E349="C"),IF(AND(N349&lt;&gt;"T",ISNUMBER(FIND("V",I349))),1,0),NA())+IF(H349="Y",IF(AND(N349="P",ISNUMBER(FIND("Z",I349))),2,1),0)+IF(J349="Y",1,0)+IF(K349="Y",3,0)+IF(BE349="Lore",L349*2+Experience!$D$25,0)+IF(M349="Y",1,0)</f>
        <v>#N/A</v>
      </c>
      <c r="X349" s="1099"/>
      <c r="Y349" s="1100">
        <f ca="1">IF(P349="NS",IFERROR(INDIRECT(S349),NA()),VLOOKUP(INDIRECT(P349)+INDIRECT(S349),'System Lookups'!$A$3:$D$146,2))</f>
        <v>0.04</v>
      </c>
      <c r="Z349" s="1100">
        <f t="shared" si="404"/>
        <v>0</v>
      </c>
      <c r="AA349" s="1101">
        <f ca="1">IF(ISNA(Y349),0,Y349)+Z349+IF('Main Creation Page'!AB$2=37,'Main Creation Page'!E$14/100,0)</f>
        <v>0.04</v>
      </c>
      <c r="AB349" s="1102">
        <f>VLOOKUP(V349,'System Lookups'!$J$55:$P$64,3)</f>
        <v>0.03</v>
      </c>
      <c r="AC349" s="1103">
        <f>VLOOKUP(V349,'System Lookups'!$J$55:$P$64,4)</f>
        <v>7.0000000000000007E-2</v>
      </c>
      <c r="AD349" s="1104">
        <f t="shared" si="405"/>
        <v>0</v>
      </c>
      <c r="AE349" s="1094">
        <f>(IF(AD349&gt;VLOOKUP(V349,'System Lookups'!$J$55:$P$63,6),(((AD349-VLOOKUP(V349,'System Lookups'!$J$55:$P$63,6))*100)/20),0))+AF349</f>
        <v>0</v>
      </c>
      <c r="AF349" s="1121"/>
      <c r="AG349" s="1092">
        <f t="shared" si="406"/>
        <v>0</v>
      </c>
      <c r="AH349" s="1092" t="str">
        <f>IF(X349&lt;=Experience!$R$15+1,"","*")</f>
        <v/>
      </c>
      <c r="AI349" s="1092"/>
      <c r="AJ349" s="1080">
        <f t="shared" si="407"/>
        <v>0</v>
      </c>
      <c r="AK349" s="1080">
        <f t="shared" si="408"/>
        <v>0</v>
      </c>
      <c r="AL349" s="1080">
        <f t="shared" si="409"/>
        <v>0</v>
      </c>
      <c r="AM349" s="1092">
        <f t="shared" si="410"/>
        <v>0</v>
      </c>
      <c r="AN349" s="1080">
        <f t="shared" si="411"/>
        <v>1</v>
      </c>
      <c r="AO349" s="1080">
        <f t="shared" si="412"/>
        <v>0</v>
      </c>
      <c r="AP349" s="1080">
        <f t="shared" si="413"/>
        <v>1</v>
      </c>
      <c r="AQ349" s="1027">
        <f>VLOOKUP(V349,'System Lookups'!$J$55:$P$64,7)</f>
        <v>1000</v>
      </c>
      <c r="AR349" s="1080" t="str">
        <f ca="1">IF(AND(NOT(ISBLANK(AJ349)),ISNA(MATCH(ROW(),'System Lookups'!$C$526:$C$539,0))),"Y","N")</f>
        <v>Y</v>
      </c>
      <c r="AS349" s="1080">
        <f t="shared" si="414"/>
        <v>0</v>
      </c>
      <c r="AU349" s="1080" t="e">
        <f t="shared" si="384"/>
        <v>#N/A</v>
      </c>
      <c r="AV349" s="1080" t="str">
        <f t="shared" si="381"/>
        <v>T</v>
      </c>
      <c r="AW349" s="1080">
        <f t="shared" si="385"/>
        <v>0</v>
      </c>
      <c r="AX349" s="1080">
        <f t="shared" si="386"/>
        <v>0</v>
      </c>
      <c r="AY349" s="1080">
        <f t="shared" si="387"/>
        <v>0</v>
      </c>
      <c r="AZ349" s="1080">
        <f t="shared" si="388"/>
        <v>0</v>
      </c>
      <c r="BA349" s="1080">
        <f t="shared" si="389"/>
        <v>0</v>
      </c>
      <c r="BB349" s="1080">
        <f>IF(AND(RACE=1,'Main Creation Page'!$E$6="Well",OR(ISNUMBER(FIND(Experience!$G$11,BE349)),ISNUMBER(FIND(Experience!$G$11,BF349)),ISNUMBER(FIND(Experience!$I$11,BE349)),ISNUMBER(FIND(Experience!$I$11,BF349)))),1,0)</f>
        <v>1</v>
      </c>
      <c r="BC349" s="1080" t="str">
        <f t="shared" si="390"/>
        <v>Beast:Avian</v>
      </c>
      <c r="BD349" s="1080" t="s">
        <v>5693</v>
      </c>
      <c r="BE349" s="1080" t="str">
        <f t="shared" si="382"/>
        <v>Lore</v>
      </c>
      <c r="BF349" s="1080" t="str">
        <f t="shared" si="383"/>
        <v>Language Lore: Spoken</v>
      </c>
    </row>
    <row r="350" spans="1:58" ht="11.1" customHeight="1" outlineLevel="3">
      <c r="A350" s="1093" t="s">
        <v>2484</v>
      </c>
      <c r="B350" s="1094" t="s">
        <v>1942</v>
      </c>
      <c r="C350" s="1094"/>
      <c r="D350" s="1094"/>
      <c r="E350" s="1095" t="s">
        <v>5224</v>
      </c>
      <c r="F350" s="1095" t="s">
        <v>5224</v>
      </c>
      <c r="G350" s="1096">
        <v>0</v>
      </c>
      <c r="H350" s="1096" t="s">
        <v>5224</v>
      </c>
      <c r="I350" s="1096" t="s">
        <v>5224</v>
      </c>
      <c r="J350" s="1096" t="s">
        <v>5224</v>
      </c>
      <c r="K350" s="1096" t="s">
        <v>5224</v>
      </c>
      <c r="L350" s="1096">
        <v>0</v>
      </c>
      <c r="M350" s="1096" t="s">
        <v>5224</v>
      </c>
      <c r="N350" s="1096" t="s">
        <v>4631</v>
      </c>
      <c r="O350" s="1027"/>
      <c r="P350" s="1027" t="s">
        <v>780</v>
      </c>
      <c r="Q350" s="1097">
        <f t="shared" ca="1" si="402"/>
        <v>17</v>
      </c>
      <c r="R350" s="1027"/>
      <c r="S350" s="1028" t="s">
        <v>3612</v>
      </c>
      <c r="T350" s="1097">
        <f t="shared" ca="1" si="403"/>
        <v>10</v>
      </c>
      <c r="U350" s="1027">
        <v>6</v>
      </c>
      <c r="V350" s="1027">
        <f>IF((AP350+U350+VLOOKUP('Main Creation Page'!E$14,'System Lookups'!R$45:S$49,2))&gt;10,10,IF((AP350+U350+VLOOKUP('Main Creation Page'!E$14,'System Lookups'!R$45:S$49,2))&lt;1,1,(AP350+U350+VLOOKUP('Main Creation Page'!E$14,'System Lookups'!R$45:S$49,2))))</f>
        <v>7</v>
      </c>
      <c r="W350" s="1098" t="e">
        <f>IF(OR(I350&lt;&gt;"N",E350="C"),IF(AND(N350&lt;&gt;"T",ISNUMBER(FIND("V",I350))),1,0),NA())+IF(H350="Y",IF(AND(N350="P",ISNUMBER(FIND("Z",I350))),2,1),0)+IF(J350="Y",1,0)+IF(K350="Y",3,0)+IF(BE350="Lore",L350*2+Experience!$D$25,0)+IF(M350="Y",1,0)</f>
        <v>#N/A</v>
      </c>
      <c r="X350" s="1099"/>
      <c r="Y350" s="1100">
        <f ca="1">IF(P350="NS",IFERROR(INDIRECT(S350),NA()),VLOOKUP(INDIRECT(P350)+INDIRECT(S350),'System Lookups'!$A$3:$D$146,2))</f>
        <v>0.04</v>
      </c>
      <c r="Z350" s="1100">
        <f t="shared" si="404"/>
        <v>0</v>
      </c>
      <c r="AA350" s="1101">
        <f ca="1">IF(ISNA(Y350),0,Y350)+Z350+IF('Main Creation Page'!AB$2=37,'Main Creation Page'!E$14/100,0)</f>
        <v>0.04</v>
      </c>
      <c r="AB350" s="1102">
        <f>VLOOKUP(V350,'System Lookups'!$J$55:$P$64,3)</f>
        <v>0.03</v>
      </c>
      <c r="AC350" s="1103">
        <f>VLOOKUP(V350,'System Lookups'!$J$55:$P$64,4)</f>
        <v>7.0000000000000007E-2</v>
      </c>
      <c r="AD350" s="1104">
        <f t="shared" si="405"/>
        <v>0</v>
      </c>
      <c r="AE350" s="1094">
        <f>(IF(AD350&gt;VLOOKUP(V350,'System Lookups'!$J$55:$P$63,6),(((AD350-VLOOKUP(V350,'System Lookups'!$J$55:$P$63,6))*100)/20),0))+AF350</f>
        <v>0</v>
      </c>
      <c r="AF350" s="1121"/>
      <c r="AG350" s="1092">
        <f t="shared" si="406"/>
        <v>0</v>
      </c>
      <c r="AH350" s="1092" t="str">
        <f>IF(X350&lt;=Experience!$R$15+1,"","*")</f>
        <v/>
      </c>
      <c r="AI350" s="1092"/>
      <c r="AJ350" s="1080">
        <f t="shared" si="407"/>
        <v>0</v>
      </c>
      <c r="AK350" s="1080">
        <f t="shared" si="408"/>
        <v>0</v>
      </c>
      <c r="AL350" s="1080">
        <f t="shared" si="409"/>
        <v>0</v>
      </c>
      <c r="AM350" s="1092">
        <f t="shared" si="410"/>
        <v>0</v>
      </c>
      <c r="AN350" s="1080">
        <f t="shared" si="411"/>
        <v>1</v>
      </c>
      <c r="AO350" s="1080">
        <f t="shared" si="412"/>
        <v>0</v>
      </c>
      <c r="AP350" s="1080">
        <f t="shared" si="413"/>
        <v>1</v>
      </c>
      <c r="AQ350" s="1027">
        <f>VLOOKUP(V350,'System Lookups'!$J$55:$P$64,7)</f>
        <v>1000</v>
      </c>
      <c r="AR350" s="1080" t="str">
        <f ca="1">IF(AND(NOT(ISBLANK(AJ350)),ISNA(MATCH(ROW(),'System Lookups'!$C$526:$C$539,0))),"Y","N")</f>
        <v>Y</v>
      </c>
      <c r="AS350" s="1080">
        <f t="shared" si="414"/>
        <v>0</v>
      </c>
      <c r="AU350" s="1080" t="e">
        <f t="shared" si="384"/>
        <v>#N/A</v>
      </c>
      <c r="AV350" s="1080" t="str">
        <f t="shared" si="381"/>
        <v>T</v>
      </c>
      <c r="AW350" s="1080">
        <f t="shared" si="385"/>
        <v>0</v>
      </c>
      <c r="AX350" s="1080">
        <f t="shared" si="386"/>
        <v>0</v>
      </c>
      <c r="AY350" s="1080">
        <f t="shared" si="387"/>
        <v>0</v>
      </c>
      <c r="AZ350" s="1080">
        <f t="shared" si="388"/>
        <v>0</v>
      </c>
      <c r="BA350" s="1080">
        <f t="shared" si="389"/>
        <v>0</v>
      </c>
      <c r="BB350" s="1080">
        <f>IF(AND(RACE=1,'Main Creation Page'!$E$6="Well",OR(ISNUMBER(FIND(Experience!$G$11,BE350)),ISNUMBER(FIND(Experience!$G$11,BF350)),ISNUMBER(FIND(Experience!$I$11,BE350)),ISNUMBER(FIND(Experience!$I$11,BF350)))),1,0)</f>
        <v>1</v>
      </c>
      <c r="BC350" s="1080" t="str">
        <f t="shared" si="390"/>
        <v>Beast:Bovine</v>
      </c>
      <c r="BD350" s="1080" t="s">
        <v>5693</v>
      </c>
      <c r="BE350" s="1080" t="str">
        <f t="shared" si="382"/>
        <v>Lore</v>
      </c>
      <c r="BF350" s="1080" t="str">
        <f t="shared" si="383"/>
        <v>Language Lore: Spoken</v>
      </c>
    </row>
    <row r="351" spans="1:58" ht="11.1" customHeight="1" outlineLevel="3">
      <c r="A351" s="1028" t="s">
        <v>4758</v>
      </c>
      <c r="B351" s="1094" t="s">
        <v>1942</v>
      </c>
      <c r="C351" s="1094"/>
      <c r="D351" s="1094"/>
      <c r="E351" s="1095" t="s">
        <v>5224</v>
      </c>
      <c r="F351" s="1095" t="s">
        <v>5224</v>
      </c>
      <c r="G351" s="1096">
        <v>0</v>
      </c>
      <c r="H351" s="1096" t="s">
        <v>5224</v>
      </c>
      <c r="I351" s="1096" t="s">
        <v>5224</v>
      </c>
      <c r="J351" s="1096" t="s">
        <v>5224</v>
      </c>
      <c r="K351" s="1096" t="s">
        <v>5224</v>
      </c>
      <c r="L351" s="1096">
        <v>0</v>
      </c>
      <c r="M351" s="1096" t="s">
        <v>5224</v>
      </c>
      <c r="N351" s="1096" t="s">
        <v>4631</v>
      </c>
      <c r="O351" s="1027"/>
      <c r="P351" s="1027" t="s">
        <v>780</v>
      </c>
      <c r="Q351" s="1097">
        <f t="shared" ca="1" si="402"/>
        <v>17</v>
      </c>
      <c r="R351" s="1027"/>
      <c r="S351" s="1028" t="s">
        <v>3612</v>
      </c>
      <c r="T351" s="1097">
        <f t="shared" ca="1" si="403"/>
        <v>10</v>
      </c>
      <c r="U351" s="1027">
        <v>6</v>
      </c>
      <c r="V351" s="1027">
        <f>IF((AP351+U351+VLOOKUP('Main Creation Page'!E$14,'System Lookups'!R$45:S$49,2))&gt;10,10,IF((AP351+U351+VLOOKUP('Main Creation Page'!E$14,'System Lookups'!R$45:S$49,2))&lt;1,1,(AP351+U351+VLOOKUP('Main Creation Page'!E$14,'System Lookups'!R$45:S$49,2))))</f>
        <v>7</v>
      </c>
      <c r="W351" s="1098" t="e">
        <f>IF(OR(I351&lt;&gt;"N",E351="C"),IF(AND(N351&lt;&gt;"T",ISNUMBER(FIND("V",I351))),1,0),NA())+IF(H351="Y",IF(AND(N351="P",ISNUMBER(FIND("Z",I351))),2,1),0)+IF(J351="Y",1,0)+IF(K351="Y",3,0)+IF(BE351="Lore",L351*2+Experience!$D$25,0)+IF(M351="Y",1,0)</f>
        <v>#N/A</v>
      </c>
      <c r="X351" s="1099"/>
      <c r="Y351" s="1100">
        <f ca="1">IF(P351="NS",IFERROR(INDIRECT(S351),NA()),VLOOKUP(INDIRECT(P351)+INDIRECT(S351),'System Lookups'!$A$3:$D$146,2))</f>
        <v>0.04</v>
      </c>
      <c r="Z351" s="1100">
        <f t="shared" si="404"/>
        <v>0</v>
      </c>
      <c r="AA351" s="1101">
        <f ca="1">IF(ISNA(Y351),0,Y351)+Z351+IF('Main Creation Page'!AB$2=37,'Main Creation Page'!E$14/100,0)</f>
        <v>0.04</v>
      </c>
      <c r="AB351" s="1102">
        <f>VLOOKUP(V351,'System Lookups'!$J$55:$P$64,3)</f>
        <v>0.03</v>
      </c>
      <c r="AC351" s="1103">
        <f>VLOOKUP(V351,'System Lookups'!$J$55:$P$64,4)</f>
        <v>7.0000000000000007E-2</v>
      </c>
      <c r="AD351" s="1104">
        <f t="shared" si="405"/>
        <v>0</v>
      </c>
      <c r="AE351" s="1094">
        <f>(IF(AD351&gt;VLOOKUP(V351,'System Lookups'!$J$55:$P$63,6),(((AD351-VLOOKUP(V351,'System Lookups'!$J$55:$P$63,6))*100)/20),0))+AF351</f>
        <v>0</v>
      </c>
      <c r="AF351" s="1121"/>
      <c r="AG351" s="1092">
        <f t="shared" si="406"/>
        <v>0</v>
      </c>
      <c r="AH351" s="1092" t="str">
        <f>IF(X351&lt;=Experience!$R$15+1,"","*")</f>
        <v/>
      </c>
      <c r="AI351" s="1092"/>
      <c r="AJ351" s="1080">
        <f t="shared" si="407"/>
        <v>0</v>
      </c>
      <c r="AK351" s="1080">
        <f t="shared" si="408"/>
        <v>0</v>
      </c>
      <c r="AL351" s="1080">
        <f t="shared" si="409"/>
        <v>0</v>
      </c>
      <c r="AM351" s="1092">
        <f t="shared" si="410"/>
        <v>0</v>
      </c>
      <c r="AN351" s="1080">
        <f t="shared" si="411"/>
        <v>1</v>
      </c>
      <c r="AO351" s="1080">
        <f t="shared" si="412"/>
        <v>0</v>
      </c>
      <c r="AP351" s="1080">
        <f t="shared" si="413"/>
        <v>1</v>
      </c>
      <c r="AQ351" s="1027">
        <f>VLOOKUP(V351,'System Lookups'!$J$55:$P$64,7)</f>
        <v>1000</v>
      </c>
      <c r="AR351" s="1080" t="str">
        <f ca="1">IF(AND(NOT(ISBLANK(AJ351)),ISNA(MATCH(ROW(),'System Lookups'!$C$526:$C$539,0))),"Y","N")</f>
        <v>Y</v>
      </c>
      <c r="AS351" s="1080">
        <f t="shared" si="414"/>
        <v>0</v>
      </c>
      <c r="AU351" s="1080" t="e">
        <f t="shared" si="384"/>
        <v>#N/A</v>
      </c>
      <c r="AV351" s="1080" t="str">
        <f t="shared" si="381"/>
        <v>T</v>
      </c>
      <c r="AW351" s="1080">
        <f t="shared" si="385"/>
        <v>0</v>
      </c>
      <c r="AX351" s="1080">
        <f t="shared" si="386"/>
        <v>0</v>
      </c>
      <c r="AY351" s="1080">
        <f t="shared" si="387"/>
        <v>0</v>
      </c>
      <c r="AZ351" s="1080">
        <f t="shared" si="388"/>
        <v>0</v>
      </c>
      <c r="BA351" s="1080">
        <f t="shared" si="389"/>
        <v>0</v>
      </c>
      <c r="BB351" s="1080">
        <f>IF(AND(RACE=1,'Main Creation Page'!$E$6="Well",OR(ISNUMBER(FIND(Experience!$G$11,BE351)),ISNUMBER(FIND(Experience!$G$11,BF351)),ISNUMBER(FIND(Experience!$I$11,BE351)),ISNUMBER(FIND(Experience!$I$11,BF351)))),1,0)</f>
        <v>1</v>
      </c>
      <c r="BC351" s="1080" t="str">
        <f t="shared" si="390"/>
        <v>Beast:Canine</v>
      </c>
      <c r="BD351" s="1080" t="s">
        <v>5693</v>
      </c>
      <c r="BE351" s="1080" t="str">
        <f t="shared" si="382"/>
        <v>Lore</v>
      </c>
      <c r="BF351" s="1080" t="str">
        <f t="shared" si="383"/>
        <v>Language Lore: Spoken</v>
      </c>
    </row>
    <row r="352" spans="1:58" ht="11.1" customHeight="1" outlineLevel="3">
      <c r="A352" s="1093" t="s">
        <v>68</v>
      </c>
      <c r="B352" s="1094" t="s">
        <v>1942</v>
      </c>
      <c r="C352" s="1094"/>
      <c r="D352" s="1094"/>
      <c r="E352" s="1095" t="s">
        <v>5224</v>
      </c>
      <c r="F352" s="1095" t="s">
        <v>5224</v>
      </c>
      <c r="G352" s="1096">
        <v>0</v>
      </c>
      <c r="H352" s="1096" t="s">
        <v>5224</v>
      </c>
      <c r="I352" s="1096" t="s">
        <v>5224</v>
      </c>
      <c r="J352" s="1096" t="s">
        <v>5224</v>
      </c>
      <c r="K352" s="1096" t="s">
        <v>5224</v>
      </c>
      <c r="L352" s="1096">
        <v>0</v>
      </c>
      <c r="M352" s="1096" t="s">
        <v>5224</v>
      </c>
      <c r="N352" s="1096" t="s">
        <v>4631</v>
      </c>
      <c r="O352" s="1027"/>
      <c r="P352" s="1027" t="s">
        <v>780</v>
      </c>
      <c r="Q352" s="1097">
        <f t="shared" ca="1" si="402"/>
        <v>17</v>
      </c>
      <c r="R352" s="1027"/>
      <c r="S352" s="1028" t="s">
        <v>3612</v>
      </c>
      <c r="T352" s="1097">
        <f t="shared" ca="1" si="403"/>
        <v>10</v>
      </c>
      <c r="U352" s="1027">
        <v>6</v>
      </c>
      <c r="V352" s="1027">
        <f>IF((AP352+U352+VLOOKUP('Main Creation Page'!E$14,'System Lookups'!R$45:S$49,2))&gt;10,10,IF((AP352+U352+VLOOKUP('Main Creation Page'!E$14,'System Lookups'!R$45:S$49,2))&lt;1,1,(AP352+U352+VLOOKUP('Main Creation Page'!E$14,'System Lookups'!R$45:S$49,2))))</f>
        <v>7</v>
      </c>
      <c r="W352" s="1098" t="e">
        <f>IF(OR(I352&lt;&gt;"N",E352="C"),IF(AND(N352&lt;&gt;"T",ISNUMBER(FIND("V",I352))),1,0),NA())+IF(H352="Y",IF(AND(N352="P",ISNUMBER(FIND("Z",I352))),2,1),0)+IF(J352="Y",1,0)+IF(K352="Y",3,0)+IF(BE352="Lore",L352*2+Experience!$D$25,0)+IF(M352="Y",1,0)</f>
        <v>#N/A</v>
      </c>
      <c r="X352" s="1099"/>
      <c r="Y352" s="1100">
        <f ca="1">IF(P352="NS",IFERROR(INDIRECT(S352),NA()),VLOOKUP(INDIRECT(P352)+INDIRECT(S352),'System Lookups'!$A$3:$D$146,2))</f>
        <v>0.04</v>
      </c>
      <c r="Z352" s="1100">
        <f t="shared" si="404"/>
        <v>0</v>
      </c>
      <c r="AA352" s="1101">
        <f ca="1">IF(ISNA(Y352),0,Y352)+Z352+IF('Main Creation Page'!AB$2=37,'Main Creation Page'!E$14/100,0)</f>
        <v>0.04</v>
      </c>
      <c r="AB352" s="1102">
        <f>VLOOKUP(V352,'System Lookups'!$J$55:$P$64,3)</f>
        <v>0.03</v>
      </c>
      <c r="AC352" s="1103">
        <f>VLOOKUP(V352,'System Lookups'!$J$55:$P$64,4)</f>
        <v>7.0000000000000007E-2</v>
      </c>
      <c r="AD352" s="1104">
        <f t="shared" si="405"/>
        <v>0</v>
      </c>
      <c r="AE352" s="1094">
        <f>(IF(AD352&gt;VLOOKUP(V352,'System Lookups'!$J$55:$P$63,6),(((AD352-VLOOKUP(V352,'System Lookups'!$J$55:$P$63,6))*100)/20),0))+AF352</f>
        <v>0</v>
      </c>
      <c r="AF352" s="1121"/>
      <c r="AG352" s="1092">
        <f t="shared" si="406"/>
        <v>0</v>
      </c>
      <c r="AH352" s="1092" t="str">
        <f>IF(X352&lt;=Experience!$R$15+1,"","*")</f>
        <v/>
      </c>
      <c r="AI352" s="1092"/>
      <c r="AJ352" s="1080">
        <f t="shared" si="407"/>
        <v>0</v>
      </c>
      <c r="AK352" s="1080">
        <f>IF(F352="s",-2,0)</f>
        <v>0</v>
      </c>
      <c r="AL352" s="1080">
        <f t="shared" si="409"/>
        <v>0</v>
      </c>
      <c r="AM352" s="1092">
        <f>IF(J352="y",1,0)</f>
        <v>0</v>
      </c>
      <c r="AN352" s="1080">
        <f>IF(N352="P",-1,IF(N352="T",1,0))</f>
        <v>1</v>
      </c>
      <c r="AO352" s="1080">
        <f t="shared" si="412"/>
        <v>0</v>
      </c>
      <c r="AP352" s="1080">
        <f t="shared" si="413"/>
        <v>1</v>
      </c>
      <c r="AQ352" s="1027">
        <f>VLOOKUP(V352,'System Lookups'!$J$55:$P$64,7)</f>
        <v>1000</v>
      </c>
      <c r="AR352" s="1080" t="str">
        <f ca="1">IF(AND(NOT(ISBLANK(AJ352)),ISNA(MATCH(ROW(),'System Lookups'!$C$526:$C$539,0))),"Y","N")</f>
        <v>Y</v>
      </c>
      <c r="AS352" s="1080">
        <f t="shared" si="414"/>
        <v>0</v>
      </c>
      <c r="AU352" s="1080" t="e">
        <f t="shared" si="384"/>
        <v>#N/A</v>
      </c>
      <c r="AV352" s="1080" t="str">
        <f t="shared" si="381"/>
        <v>T</v>
      </c>
      <c r="AW352" s="1080">
        <f t="shared" si="385"/>
        <v>0</v>
      </c>
      <c r="AX352" s="1080">
        <f t="shared" si="386"/>
        <v>0</v>
      </c>
      <c r="AY352" s="1080">
        <f t="shared" si="387"/>
        <v>0</v>
      </c>
      <c r="AZ352" s="1080">
        <f t="shared" si="388"/>
        <v>0</v>
      </c>
      <c r="BA352" s="1080">
        <f t="shared" si="389"/>
        <v>0</v>
      </c>
      <c r="BB352" s="1080">
        <f>IF(AND(RACE=1,'Main Creation Page'!$E$6="Well",OR(ISNUMBER(FIND(Experience!$G$11,BE352)),ISNUMBER(FIND(Experience!$G$11,BF352)),ISNUMBER(FIND(Experience!$I$11,BE352)),ISNUMBER(FIND(Experience!$I$11,BF352)))),1,0)</f>
        <v>1</v>
      </c>
      <c r="BC352" s="1080" t="str">
        <f t="shared" si="390"/>
        <v>Beast:Cetacean</v>
      </c>
      <c r="BD352" s="1080" t="s">
        <v>5693</v>
      </c>
      <c r="BE352" s="1080" t="str">
        <f t="shared" si="382"/>
        <v>Lore</v>
      </c>
      <c r="BF352" s="1080" t="str">
        <f t="shared" si="383"/>
        <v>Language Lore: Spoken</v>
      </c>
    </row>
    <row r="353" spans="1:58" ht="11.1" customHeight="1" outlineLevel="3">
      <c r="A353" s="1093" t="s">
        <v>2483</v>
      </c>
      <c r="B353" s="1094" t="s">
        <v>1942</v>
      </c>
      <c r="C353" s="1094"/>
      <c r="D353" s="1094"/>
      <c r="E353" s="1095" t="s">
        <v>5224</v>
      </c>
      <c r="F353" s="1095" t="s">
        <v>5224</v>
      </c>
      <c r="G353" s="1096">
        <v>0</v>
      </c>
      <c r="H353" s="1096" t="s">
        <v>5224</v>
      </c>
      <c r="I353" s="1096" t="s">
        <v>5224</v>
      </c>
      <c r="J353" s="1096" t="s">
        <v>5224</v>
      </c>
      <c r="K353" s="1096" t="s">
        <v>5224</v>
      </c>
      <c r="L353" s="1096">
        <v>0</v>
      </c>
      <c r="M353" s="1096" t="s">
        <v>5224</v>
      </c>
      <c r="N353" s="1096" t="s">
        <v>4631</v>
      </c>
      <c r="O353" s="1027"/>
      <c r="P353" s="1027" t="s">
        <v>780</v>
      </c>
      <c r="Q353" s="1097">
        <f t="shared" ca="1" si="402"/>
        <v>17</v>
      </c>
      <c r="R353" s="1027"/>
      <c r="S353" s="1028" t="s">
        <v>3612</v>
      </c>
      <c r="T353" s="1097">
        <f t="shared" ca="1" si="403"/>
        <v>10</v>
      </c>
      <c r="U353" s="1027">
        <v>6</v>
      </c>
      <c r="V353" s="1027">
        <f>IF((AP353+U353+VLOOKUP('Main Creation Page'!E$14,'System Lookups'!R$45:S$49,2))&gt;10,10,IF((AP353+U353+VLOOKUP('Main Creation Page'!E$14,'System Lookups'!R$45:S$49,2))&lt;1,1,(AP353+U353+VLOOKUP('Main Creation Page'!E$14,'System Lookups'!R$45:S$49,2))))</f>
        <v>7</v>
      </c>
      <c r="W353" s="1098" t="e">
        <f>IF(OR(I353&lt;&gt;"N",E353="C"),IF(AND(N353&lt;&gt;"T",ISNUMBER(FIND("V",I353))),1,0),NA())+IF(H353="Y",IF(AND(N353="P",ISNUMBER(FIND("Z",I353))),2,1),0)+IF(J353="Y",1,0)+IF(K353="Y",3,0)+IF(BE353="Lore",L353*2+Experience!$D$25,0)+IF(M353="Y",1,0)</f>
        <v>#N/A</v>
      </c>
      <c r="X353" s="1099"/>
      <c r="Y353" s="1100">
        <f ca="1">IF(P353="NS",IFERROR(INDIRECT(S353),NA()),VLOOKUP(INDIRECT(P353)+INDIRECT(S353),'System Lookups'!$A$3:$D$146,2))</f>
        <v>0.04</v>
      </c>
      <c r="Z353" s="1100">
        <f t="shared" si="404"/>
        <v>0</v>
      </c>
      <c r="AA353" s="1101">
        <f ca="1">IF(ISNA(Y353),0,Y353)+Z353+IF('Main Creation Page'!AB$2=37,'Main Creation Page'!E$14/100,0)</f>
        <v>0.04</v>
      </c>
      <c r="AB353" s="1102">
        <f>VLOOKUP(V353,'System Lookups'!$J$55:$P$64,3)</f>
        <v>0.03</v>
      </c>
      <c r="AC353" s="1103">
        <f>VLOOKUP(V353,'System Lookups'!$J$55:$P$64,4)</f>
        <v>7.0000000000000007E-2</v>
      </c>
      <c r="AD353" s="1104">
        <f t="shared" si="405"/>
        <v>0</v>
      </c>
      <c r="AE353" s="1094">
        <f>(IF(AD353&gt;VLOOKUP(V353,'System Lookups'!$J$55:$P$63,6),(((AD353-VLOOKUP(V353,'System Lookups'!$J$55:$P$63,6))*100)/20),0))+AF353</f>
        <v>0</v>
      </c>
      <c r="AF353" s="1121"/>
      <c r="AG353" s="1092">
        <f t="shared" si="406"/>
        <v>0</v>
      </c>
      <c r="AH353" s="1092" t="str">
        <f>IF(X353&lt;=Experience!$R$15+1,"","*")</f>
        <v/>
      </c>
      <c r="AI353" s="1092"/>
      <c r="AJ353" s="1080">
        <f t="shared" si="407"/>
        <v>0</v>
      </c>
      <c r="AK353" s="1080">
        <f t="shared" si="408"/>
        <v>0</v>
      </c>
      <c r="AL353" s="1080">
        <f t="shared" si="409"/>
        <v>0</v>
      </c>
      <c r="AM353" s="1092">
        <f t="shared" si="410"/>
        <v>0</v>
      </c>
      <c r="AN353" s="1080">
        <f t="shared" si="411"/>
        <v>1</v>
      </c>
      <c r="AO353" s="1080">
        <f t="shared" si="412"/>
        <v>0</v>
      </c>
      <c r="AP353" s="1080">
        <f t="shared" si="413"/>
        <v>1</v>
      </c>
      <c r="AQ353" s="1027">
        <f>VLOOKUP(V353,'System Lookups'!$J$55:$P$64,7)</f>
        <v>1000</v>
      </c>
      <c r="AR353" s="1080" t="str">
        <f ca="1">IF(AND(NOT(ISBLANK(AJ353)),ISNA(MATCH(ROW(),'System Lookups'!$C$526:$C$539,0))),"Y","N")</f>
        <v>Y</v>
      </c>
      <c r="AS353" s="1080">
        <f t="shared" si="414"/>
        <v>0</v>
      </c>
      <c r="AU353" s="1080" t="e">
        <f t="shared" si="384"/>
        <v>#N/A</v>
      </c>
      <c r="AV353" s="1080" t="str">
        <f t="shared" si="381"/>
        <v>T</v>
      </c>
      <c r="AW353" s="1080">
        <f t="shared" si="385"/>
        <v>0</v>
      </c>
      <c r="AX353" s="1080">
        <f t="shared" si="386"/>
        <v>0</v>
      </c>
      <c r="AY353" s="1080">
        <f t="shared" si="387"/>
        <v>0</v>
      </c>
      <c r="AZ353" s="1080">
        <f t="shared" si="388"/>
        <v>0</v>
      </c>
      <c r="BA353" s="1080">
        <f t="shared" si="389"/>
        <v>0</v>
      </c>
      <c r="BB353" s="1080">
        <f>IF(AND(RACE=1,'Main Creation Page'!$E$6="Well",OR(ISNUMBER(FIND(Experience!$G$11,BE353)),ISNUMBER(FIND(Experience!$G$11,BF353)),ISNUMBER(FIND(Experience!$I$11,BE353)),ISNUMBER(FIND(Experience!$I$11,BF353)))),1,0)</f>
        <v>1</v>
      </c>
      <c r="BC353" s="1080" t="str">
        <f t="shared" si="390"/>
        <v>Beast:Equine</v>
      </c>
      <c r="BD353" s="1080" t="s">
        <v>5693</v>
      </c>
      <c r="BE353" s="1080" t="str">
        <f t="shared" si="382"/>
        <v>Lore</v>
      </c>
      <c r="BF353" s="1080" t="str">
        <f t="shared" si="383"/>
        <v>Language Lore: Spoken</v>
      </c>
    </row>
    <row r="354" spans="1:58" ht="11.1" customHeight="1" outlineLevel="3">
      <c r="A354" s="1028" t="s">
        <v>4759</v>
      </c>
      <c r="B354" s="1094" t="s">
        <v>1942</v>
      </c>
      <c r="C354" s="1094"/>
      <c r="D354" s="1094"/>
      <c r="E354" s="1095" t="s">
        <v>5224</v>
      </c>
      <c r="F354" s="1095" t="s">
        <v>5224</v>
      </c>
      <c r="G354" s="1096">
        <v>0</v>
      </c>
      <c r="H354" s="1096" t="s">
        <v>5224</v>
      </c>
      <c r="I354" s="1096" t="s">
        <v>5224</v>
      </c>
      <c r="J354" s="1096" t="s">
        <v>5224</v>
      </c>
      <c r="K354" s="1096" t="s">
        <v>5224</v>
      </c>
      <c r="L354" s="1096">
        <v>0</v>
      </c>
      <c r="M354" s="1096" t="s">
        <v>5224</v>
      </c>
      <c r="N354" s="1096" t="s">
        <v>4631</v>
      </c>
      <c r="O354" s="1027"/>
      <c r="P354" s="1027" t="s">
        <v>780</v>
      </c>
      <c r="Q354" s="1097">
        <f t="shared" ca="1" si="402"/>
        <v>17</v>
      </c>
      <c r="R354" s="1027"/>
      <c r="S354" s="1028" t="s">
        <v>3612</v>
      </c>
      <c r="T354" s="1097">
        <f t="shared" ca="1" si="403"/>
        <v>10</v>
      </c>
      <c r="U354" s="1027">
        <v>6</v>
      </c>
      <c r="V354" s="1027">
        <f>IF((AP354+U354+VLOOKUP('Main Creation Page'!E$14,'System Lookups'!R$45:S$49,2))&gt;10,10,IF((AP354+U354+VLOOKUP('Main Creation Page'!E$14,'System Lookups'!R$45:S$49,2))&lt;1,1,(AP354+U354+VLOOKUP('Main Creation Page'!E$14,'System Lookups'!R$45:S$49,2))))</f>
        <v>7</v>
      </c>
      <c r="W354" s="1098" t="e">
        <f>IF(OR(I354&lt;&gt;"N",E354="C"),IF(AND(N354&lt;&gt;"T",ISNUMBER(FIND("V",I354))),1,0),NA())+IF(H354="Y",IF(AND(N354="P",ISNUMBER(FIND("Z",I354))),2,1),0)+IF(J354="Y",1,0)+IF(K354="Y",3,0)+IF(BE354="Lore",L354*2+Experience!$D$25,0)+IF(M354="Y",1,0)</f>
        <v>#N/A</v>
      </c>
      <c r="X354" s="1099"/>
      <c r="Y354" s="1100">
        <f ca="1">IF(P354="NS",IFERROR(INDIRECT(S354),NA()),VLOOKUP(INDIRECT(P354)+INDIRECT(S354),'System Lookups'!$A$3:$D$146,2))</f>
        <v>0.04</v>
      </c>
      <c r="Z354" s="1100">
        <f t="shared" si="404"/>
        <v>0</v>
      </c>
      <c r="AA354" s="1101">
        <f ca="1">IF(ISNA(Y354),0,Y354)+Z354+IF('Main Creation Page'!AB$2=37,'Main Creation Page'!E$14/100,0)</f>
        <v>0.04</v>
      </c>
      <c r="AB354" s="1102">
        <f>VLOOKUP(V354,'System Lookups'!$J$55:$P$64,3)</f>
        <v>0.03</v>
      </c>
      <c r="AC354" s="1103">
        <f>VLOOKUP(V354,'System Lookups'!$J$55:$P$64,4)</f>
        <v>7.0000000000000007E-2</v>
      </c>
      <c r="AD354" s="1104">
        <f t="shared" si="405"/>
        <v>0</v>
      </c>
      <c r="AE354" s="1094">
        <f>(IF(AD354&gt;VLOOKUP(V354,'System Lookups'!$J$55:$P$63,6),(((AD354-VLOOKUP(V354,'System Lookups'!$J$55:$P$63,6))*100)/20),0))+AF354</f>
        <v>0</v>
      </c>
      <c r="AF354" s="1121"/>
      <c r="AG354" s="1092">
        <f t="shared" si="406"/>
        <v>0</v>
      </c>
      <c r="AH354" s="1092" t="str">
        <f>IF(X354&lt;=Experience!$R$15+1,"","*")</f>
        <v/>
      </c>
      <c r="AI354" s="1092"/>
      <c r="AJ354" s="1080">
        <f t="shared" si="407"/>
        <v>0</v>
      </c>
      <c r="AK354" s="1080">
        <f t="shared" si="408"/>
        <v>0</v>
      </c>
      <c r="AL354" s="1080">
        <f t="shared" si="409"/>
        <v>0</v>
      </c>
      <c r="AM354" s="1092">
        <f t="shared" si="410"/>
        <v>0</v>
      </c>
      <c r="AN354" s="1080">
        <f t="shared" si="411"/>
        <v>1</v>
      </c>
      <c r="AO354" s="1080">
        <f t="shared" si="412"/>
        <v>0</v>
      </c>
      <c r="AP354" s="1080">
        <f t="shared" si="413"/>
        <v>1</v>
      </c>
      <c r="AQ354" s="1027">
        <f>VLOOKUP(V354,'System Lookups'!$J$55:$P$64,7)</f>
        <v>1000</v>
      </c>
      <c r="AR354" s="1080" t="str">
        <f ca="1">IF(AND(NOT(ISBLANK(AJ354)),ISNA(MATCH(ROW(),'System Lookups'!$C$526:$C$539,0))),"Y","N")</f>
        <v>Y</v>
      </c>
      <c r="AS354" s="1080">
        <f t="shared" si="414"/>
        <v>0</v>
      </c>
      <c r="AU354" s="1080" t="e">
        <f t="shared" si="384"/>
        <v>#N/A</v>
      </c>
      <c r="AV354" s="1080" t="str">
        <f t="shared" si="381"/>
        <v>T</v>
      </c>
      <c r="AW354" s="1080">
        <f t="shared" si="385"/>
        <v>0</v>
      </c>
      <c r="AX354" s="1080">
        <f t="shared" si="386"/>
        <v>0</v>
      </c>
      <c r="AY354" s="1080">
        <f t="shared" si="387"/>
        <v>0</v>
      </c>
      <c r="AZ354" s="1080">
        <f t="shared" si="388"/>
        <v>0</v>
      </c>
      <c r="BA354" s="1080">
        <f t="shared" si="389"/>
        <v>0</v>
      </c>
      <c r="BB354" s="1080">
        <f>IF(AND(RACE=1,'Main Creation Page'!$E$6="Well",OR(ISNUMBER(FIND(Experience!$G$11,BE354)),ISNUMBER(FIND(Experience!$G$11,BF354)),ISNUMBER(FIND(Experience!$I$11,BE354)),ISNUMBER(FIND(Experience!$I$11,BF354)))),1,0)</f>
        <v>1</v>
      </c>
      <c r="BC354" s="1080" t="str">
        <f t="shared" si="390"/>
        <v>Beast:Feline</v>
      </c>
      <c r="BD354" s="1080" t="s">
        <v>5693</v>
      </c>
      <c r="BE354" s="1080" t="str">
        <f t="shared" si="382"/>
        <v>Lore</v>
      </c>
      <c r="BF354" s="1080" t="str">
        <f t="shared" si="383"/>
        <v>Language Lore: Spoken</v>
      </c>
    </row>
    <row r="355" spans="1:58" ht="11.1" customHeight="1" outlineLevel="3">
      <c r="A355" s="1028" t="s">
        <v>4760</v>
      </c>
      <c r="B355" s="1094" t="s">
        <v>1942</v>
      </c>
      <c r="C355" s="1094"/>
      <c r="D355" s="1094"/>
      <c r="E355" s="1095" t="s">
        <v>5224</v>
      </c>
      <c r="F355" s="1095" t="s">
        <v>5224</v>
      </c>
      <c r="G355" s="1096">
        <v>0</v>
      </c>
      <c r="H355" s="1096" t="s">
        <v>5224</v>
      </c>
      <c r="I355" s="1096" t="s">
        <v>5224</v>
      </c>
      <c r="J355" s="1096" t="s">
        <v>5224</v>
      </c>
      <c r="K355" s="1096" t="s">
        <v>5224</v>
      </c>
      <c r="L355" s="1096">
        <v>0</v>
      </c>
      <c r="M355" s="1096" t="s">
        <v>5224</v>
      </c>
      <c r="N355" s="1096" t="s">
        <v>4631</v>
      </c>
      <c r="O355" s="1027"/>
      <c r="P355" s="1027" t="s">
        <v>780</v>
      </c>
      <c r="Q355" s="1097">
        <f t="shared" ca="1" si="402"/>
        <v>17</v>
      </c>
      <c r="R355" s="1027"/>
      <c r="S355" s="1028" t="s">
        <v>3612</v>
      </c>
      <c r="T355" s="1097">
        <f t="shared" ca="1" si="403"/>
        <v>10</v>
      </c>
      <c r="U355" s="1027">
        <v>6</v>
      </c>
      <c r="V355" s="1027">
        <f>IF((AP355+U355+VLOOKUP('Main Creation Page'!E$14,'System Lookups'!R$45:S$49,2))&gt;10,10,IF((AP355+U355+VLOOKUP('Main Creation Page'!E$14,'System Lookups'!R$45:S$49,2))&lt;1,1,(AP355+U355+VLOOKUP('Main Creation Page'!E$14,'System Lookups'!R$45:S$49,2))))</f>
        <v>7</v>
      </c>
      <c r="W355" s="1098" t="e">
        <f>IF(OR(I355&lt;&gt;"N",E355="C"),IF(AND(N355&lt;&gt;"T",ISNUMBER(FIND("V",I355))),1,0),NA())+IF(H355="Y",IF(AND(N355="P",ISNUMBER(FIND("Z",I355))),2,1),0)+IF(J355="Y",1,0)+IF(K355="Y",3,0)+IF(BE355="Lore",L355*2+Experience!$D$25,0)+IF(M355="Y",1,0)</f>
        <v>#N/A</v>
      </c>
      <c r="X355" s="1099"/>
      <c r="Y355" s="1100">
        <f ca="1">IF(P355="NS",IFERROR(INDIRECT(S355),NA()),VLOOKUP(INDIRECT(P355)+INDIRECT(S355),'System Lookups'!$A$3:$D$146,2))</f>
        <v>0.04</v>
      </c>
      <c r="Z355" s="1100">
        <f t="shared" si="404"/>
        <v>0</v>
      </c>
      <c r="AA355" s="1101">
        <f ca="1">IF(ISNA(Y355),0,Y355)+Z355+IF('Main Creation Page'!AB$2=37,'Main Creation Page'!E$14/100,0)</f>
        <v>0.04</v>
      </c>
      <c r="AB355" s="1102">
        <f>VLOOKUP(V355,'System Lookups'!$J$55:$P$64,3)</f>
        <v>0.03</v>
      </c>
      <c r="AC355" s="1103">
        <f>VLOOKUP(V355,'System Lookups'!$J$55:$P$64,4)</f>
        <v>7.0000000000000007E-2</v>
      </c>
      <c r="AD355" s="1104">
        <f t="shared" si="405"/>
        <v>0</v>
      </c>
      <c r="AE355" s="1094">
        <f>(IF(AD355&gt;VLOOKUP(V355,'System Lookups'!$J$55:$P$63,6),(((AD355-VLOOKUP(V355,'System Lookups'!$J$55:$P$63,6))*100)/20),0))+AF355</f>
        <v>0</v>
      </c>
      <c r="AF355" s="1121"/>
      <c r="AG355" s="1092">
        <f t="shared" si="406"/>
        <v>0</v>
      </c>
      <c r="AH355" s="1092" t="str">
        <f>IF(X355&lt;=Experience!$R$15+1,"","*")</f>
        <v/>
      </c>
      <c r="AI355" s="1092"/>
      <c r="AJ355" s="1080">
        <f t="shared" si="407"/>
        <v>0</v>
      </c>
      <c r="AK355" s="1080">
        <f t="shared" si="408"/>
        <v>0</v>
      </c>
      <c r="AL355" s="1080">
        <f t="shared" si="409"/>
        <v>0</v>
      </c>
      <c r="AM355" s="1092">
        <f t="shared" si="410"/>
        <v>0</v>
      </c>
      <c r="AN355" s="1080">
        <f t="shared" si="411"/>
        <v>1</v>
      </c>
      <c r="AO355" s="1080">
        <f t="shared" si="412"/>
        <v>0</v>
      </c>
      <c r="AP355" s="1080">
        <f t="shared" si="413"/>
        <v>1</v>
      </c>
      <c r="AQ355" s="1027">
        <f>VLOOKUP(V355,'System Lookups'!$J$55:$P$64,7)</f>
        <v>1000</v>
      </c>
      <c r="AR355" s="1080" t="str">
        <f ca="1">IF(AND(NOT(ISBLANK(AJ355)),ISNA(MATCH(ROW(),'System Lookups'!$C$526:$C$539,0))),"Y","N")</f>
        <v>Y</v>
      </c>
      <c r="AS355" s="1080">
        <f t="shared" si="414"/>
        <v>0</v>
      </c>
      <c r="AU355" s="1080" t="e">
        <f t="shared" si="384"/>
        <v>#N/A</v>
      </c>
      <c r="AV355" s="1080" t="str">
        <f t="shared" si="381"/>
        <v>T</v>
      </c>
      <c r="AW355" s="1080">
        <f t="shared" si="385"/>
        <v>0</v>
      </c>
      <c r="AX355" s="1080">
        <f t="shared" si="386"/>
        <v>0</v>
      </c>
      <c r="AY355" s="1080">
        <f t="shared" si="387"/>
        <v>0</v>
      </c>
      <c r="AZ355" s="1080">
        <f t="shared" si="388"/>
        <v>0</v>
      </c>
      <c r="BA355" s="1080">
        <f t="shared" si="389"/>
        <v>0</v>
      </c>
      <c r="BB355" s="1080">
        <f>IF(AND(RACE=1,'Main Creation Page'!$E$6="Well",OR(ISNUMBER(FIND(Experience!$G$11,BE355)),ISNUMBER(FIND(Experience!$G$11,BF355)),ISNUMBER(FIND(Experience!$I$11,BE355)),ISNUMBER(FIND(Experience!$I$11,BF355)))),1,0)</f>
        <v>1</v>
      </c>
      <c r="BC355" s="1080" t="str">
        <f t="shared" si="390"/>
        <v>Beast:Hooven</v>
      </c>
      <c r="BD355" s="1080" t="s">
        <v>5693</v>
      </c>
      <c r="BE355" s="1080" t="str">
        <f t="shared" si="382"/>
        <v>Lore</v>
      </c>
      <c r="BF355" s="1080" t="str">
        <f t="shared" si="383"/>
        <v>Language Lore: Spoken</v>
      </c>
    </row>
    <row r="356" spans="1:58" ht="11.1" customHeight="1" outlineLevel="3">
      <c r="A356" s="1093" t="s">
        <v>283</v>
      </c>
      <c r="B356" s="1094" t="s">
        <v>1942</v>
      </c>
      <c r="C356" s="1094"/>
      <c r="D356" s="1094"/>
      <c r="E356" s="1095" t="s">
        <v>5224</v>
      </c>
      <c r="F356" s="1095" t="s">
        <v>5224</v>
      </c>
      <c r="G356" s="1096">
        <v>0</v>
      </c>
      <c r="H356" s="1096" t="s">
        <v>5224</v>
      </c>
      <c r="I356" s="1096" t="s">
        <v>5224</v>
      </c>
      <c r="J356" s="1096" t="s">
        <v>5224</v>
      </c>
      <c r="K356" s="1096" t="s">
        <v>5224</v>
      </c>
      <c r="L356" s="1096">
        <v>0</v>
      </c>
      <c r="M356" s="1096" t="s">
        <v>5224</v>
      </c>
      <c r="N356" s="1096" t="s">
        <v>4631</v>
      </c>
      <c r="O356" s="1027"/>
      <c r="P356" s="1027" t="s">
        <v>780</v>
      </c>
      <c r="Q356" s="1097">
        <f t="shared" ca="1" si="402"/>
        <v>17</v>
      </c>
      <c r="R356" s="1027"/>
      <c r="S356" s="1028" t="s">
        <v>3612</v>
      </c>
      <c r="T356" s="1097">
        <f t="shared" ca="1" si="403"/>
        <v>10</v>
      </c>
      <c r="U356" s="1027">
        <v>6</v>
      </c>
      <c r="V356" s="1027">
        <f>IF((AP356+U356+VLOOKUP('Main Creation Page'!E$14,'System Lookups'!R$45:S$49,2))&gt;10,10,IF((AP356+U356+VLOOKUP('Main Creation Page'!E$14,'System Lookups'!R$45:S$49,2))&lt;1,1,(AP356+U356+VLOOKUP('Main Creation Page'!E$14,'System Lookups'!R$45:S$49,2))))</f>
        <v>7</v>
      </c>
      <c r="W356" s="1098" t="e">
        <f>IF(OR(I356&lt;&gt;"N",E356="C"),IF(AND(N356&lt;&gt;"T",ISNUMBER(FIND("V",I356))),1,0),NA())+IF(H356="Y",IF(AND(N356="P",ISNUMBER(FIND("Z",I356))),2,1),0)+IF(J356="Y",1,0)+IF(K356="Y",3,0)+IF(BE356="Lore",L356*2+Experience!$D$25,0)+IF(M356="Y",1,0)</f>
        <v>#N/A</v>
      </c>
      <c r="X356" s="1099"/>
      <c r="Y356" s="1100">
        <f ca="1">IF(P356="NS",IFERROR(INDIRECT(S356),NA()),VLOOKUP(INDIRECT(P356)+INDIRECT(S356),'System Lookups'!$A$3:$D$146,2))</f>
        <v>0.04</v>
      </c>
      <c r="Z356" s="1100">
        <f t="shared" si="404"/>
        <v>0</v>
      </c>
      <c r="AA356" s="1101">
        <f ca="1">IF(ISNA(Y356),0,Y356)+Z356+IF('Main Creation Page'!AB$2=37,'Main Creation Page'!E$14/100,0)</f>
        <v>0.04</v>
      </c>
      <c r="AB356" s="1102">
        <f>VLOOKUP(V356,'System Lookups'!$J$55:$P$64,3)</f>
        <v>0.03</v>
      </c>
      <c r="AC356" s="1103">
        <f>VLOOKUP(V356,'System Lookups'!$J$55:$P$64,4)</f>
        <v>7.0000000000000007E-2</v>
      </c>
      <c r="AD356" s="1104">
        <f t="shared" si="405"/>
        <v>0</v>
      </c>
      <c r="AE356" s="1094">
        <f>(IF(AD356&gt;VLOOKUP(V356,'System Lookups'!$J$55:$P$63,6),(((AD356-VLOOKUP(V356,'System Lookups'!$J$55:$P$63,6))*100)/20),0))+AF356</f>
        <v>0</v>
      </c>
      <c r="AF356" s="1121"/>
      <c r="AG356" s="1092">
        <f t="shared" si="406"/>
        <v>0</v>
      </c>
      <c r="AH356" s="1092" t="str">
        <f>IF(X356&lt;=Experience!$R$15+1,"","*")</f>
        <v/>
      </c>
      <c r="AI356" s="1092"/>
      <c r="AJ356" s="1080">
        <f t="shared" si="407"/>
        <v>0</v>
      </c>
      <c r="AK356" s="1080">
        <f t="shared" si="408"/>
        <v>0</v>
      </c>
      <c r="AL356" s="1080">
        <f t="shared" si="409"/>
        <v>0</v>
      </c>
      <c r="AM356" s="1092">
        <f t="shared" si="410"/>
        <v>0</v>
      </c>
      <c r="AN356" s="1080">
        <f t="shared" si="411"/>
        <v>1</v>
      </c>
      <c r="AO356" s="1080">
        <f t="shared" si="412"/>
        <v>0</v>
      </c>
      <c r="AP356" s="1080">
        <f t="shared" si="413"/>
        <v>1</v>
      </c>
      <c r="AQ356" s="1027">
        <f>VLOOKUP(V356,'System Lookups'!$J$55:$P$64,7)</f>
        <v>1000</v>
      </c>
      <c r="AR356" s="1080" t="str">
        <f ca="1">IF(AND(NOT(ISBLANK(AJ356)),ISNA(MATCH(ROW(),'System Lookups'!$C$526:$C$539,0))),"Y","N")</f>
        <v>Y</v>
      </c>
      <c r="AS356" s="1080">
        <f t="shared" si="414"/>
        <v>0</v>
      </c>
      <c r="AU356" s="1080" t="e">
        <f t="shared" si="384"/>
        <v>#N/A</v>
      </c>
      <c r="AV356" s="1080" t="str">
        <f t="shared" si="381"/>
        <v>T</v>
      </c>
      <c r="AW356" s="1080">
        <f t="shared" si="385"/>
        <v>0</v>
      </c>
      <c r="AX356" s="1080">
        <f t="shared" si="386"/>
        <v>0</v>
      </c>
      <c r="AY356" s="1080">
        <f t="shared" si="387"/>
        <v>0</v>
      </c>
      <c r="AZ356" s="1080">
        <f t="shared" si="388"/>
        <v>0</v>
      </c>
      <c r="BA356" s="1080">
        <f t="shared" si="389"/>
        <v>0</v>
      </c>
      <c r="BB356" s="1080">
        <f>IF(AND(RACE=1,'Main Creation Page'!$E$6="Well",OR(ISNUMBER(FIND(Experience!$G$11,BE356)),ISNUMBER(FIND(Experience!$G$11,BF356)),ISNUMBER(FIND(Experience!$I$11,BE356)),ISNUMBER(FIND(Experience!$I$11,BF356)))),1,0)</f>
        <v>1</v>
      </c>
      <c r="BC356" s="1080" t="str">
        <f t="shared" si="390"/>
        <v>Beast:Insects</v>
      </c>
      <c r="BD356" s="1080" t="s">
        <v>5693</v>
      </c>
      <c r="BE356" s="1080" t="str">
        <f t="shared" si="382"/>
        <v>Lore</v>
      </c>
      <c r="BF356" s="1080" t="str">
        <f t="shared" si="383"/>
        <v>Language Lore: Spoken</v>
      </c>
    </row>
    <row r="357" spans="1:58" ht="11.1" customHeight="1" outlineLevel="3">
      <c r="A357" s="1093" t="s">
        <v>4296</v>
      </c>
      <c r="B357" s="1094" t="s">
        <v>1942</v>
      </c>
      <c r="C357" s="1094"/>
      <c r="D357" s="1094"/>
      <c r="E357" s="1095" t="s">
        <v>5224</v>
      </c>
      <c r="F357" s="1095" t="s">
        <v>5224</v>
      </c>
      <c r="G357" s="1096">
        <v>0</v>
      </c>
      <c r="H357" s="1096" t="s">
        <v>5224</v>
      </c>
      <c r="I357" s="1096" t="s">
        <v>5224</v>
      </c>
      <c r="J357" s="1096" t="s">
        <v>5224</v>
      </c>
      <c r="K357" s="1096" t="s">
        <v>5224</v>
      </c>
      <c r="L357" s="1096">
        <v>0</v>
      </c>
      <c r="M357" s="1096" t="s">
        <v>5224</v>
      </c>
      <c r="N357" s="1096" t="s">
        <v>4631</v>
      </c>
      <c r="O357" s="1027"/>
      <c r="P357" s="1027" t="s">
        <v>780</v>
      </c>
      <c r="Q357" s="1097">
        <f t="shared" ca="1" si="402"/>
        <v>17</v>
      </c>
      <c r="R357" s="1027"/>
      <c r="S357" s="1028" t="s">
        <v>3612</v>
      </c>
      <c r="T357" s="1097">
        <f t="shared" ca="1" si="403"/>
        <v>10</v>
      </c>
      <c r="U357" s="1027">
        <v>6</v>
      </c>
      <c r="V357" s="1027">
        <f>IF((AP357+U357+VLOOKUP('Main Creation Page'!E$14,'System Lookups'!R$45:S$49,2))&gt;10,10,IF((AP357+U357+VLOOKUP('Main Creation Page'!E$14,'System Lookups'!R$45:S$49,2))&lt;1,1,(AP357+U357+VLOOKUP('Main Creation Page'!E$14,'System Lookups'!R$45:S$49,2))))</f>
        <v>7</v>
      </c>
      <c r="W357" s="1098" t="e">
        <f>IF(OR(I357&lt;&gt;"N",E357="C"),IF(AND(N357&lt;&gt;"T",ISNUMBER(FIND("V",I357))),1,0),NA())+IF(H357="Y",IF(AND(N357="P",ISNUMBER(FIND("Z",I357))),2,1),0)+IF(J357="Y",1,0)+IF(K357="Y",3,0)+IF(BE357="Lore",L357*2+Experience!$D$25,0)+IF(M357="Y",1,0)</f>
        <v>#N/A</v>
      </c>
      <c r="X357" s="1099"/>
      <c r="Y357" s="1100">
        <f ca="1">IF(P357="NS",IFERROR(INDIRECT(S357),NA()),VLOOKUP(INDIRECT(P357)+INDIRECT(S357),'System Lookups'!$A$3:$D$146,2))</f>
        <v>0.04</v>
      </c>
      <c r="Z357" s="1100">
        <f t="shared" si="404"/>
        <v>0</v>
      </c>
      <c r="AA357" s="1101">
        <f ca="1">IF(ISNA(Y357),0,Y357)+Z357+IF('Main Creation Page'!AB$2=37,'Main Creation Page'!E$14/100,0)</f>
        <v>0.04</v>
      </c>
      <c r="AB357" s="1102">
        <f>VLOOKUP(V357,'System Lookups'!$J$55:$P$64,3)</f>
        <v>0.03</v>
      </c>
      <c r="AC357" s="1103">
        <f>VLOOKUP(V357,'System Lookups'!$J$55:$P$64,4)</f>
        <v>7.0000000000000007E-2</v>
      </c>
      <c r="AD357" s="1104">
        <f t="shared" si="405"/>
        <v>0</v>
      </c>
      <c r="AE357" s="1094">
        <f>(IF(AD357&gt;VLOOKUP(V357,'System Lookups'!$J$55:$P$63,6),(((AD357-VLOOKUP(V357,'System Lookups'!$J$55:$P$63,6))*100)/20),0))+AF357</f>
        <v>0</v>
      </c>
      <c r="AF357" s="1121"/>
      <c r="AG357" s="1092">
        <f t="shared" si="406"/>
        <v>0</v>
      </c>
      <c r="AH357" s="1092" t="str">
        <f>IF(X357&lt;=Experience!$R$15+1,"","*")</f>
        <v/>
      </c>
      <c r="AI357" s="1092"/>
      <c r="AJ357" s="1080">
        <f t="shared" si="407"/>
        <v>0</v>
      </c>
      <c r="AK357" s="1080">
        <f t="shared" si="408"/>
        <v>0</v>
      </c>
      <c r="AL357" s="1080">
        <f t="shared" si="409"/>
        <v>0</v>
      </c>
      <c r="AM357" s="1092">
        <f t="shared" si="410"/>
        <v>0</v>
      </c>
      <c r="AN357" s="1080">
        <f t="shared" si="411"/>
        <v>1</v>
      </c>
      <c r="AO357" s="1080">
        <f t="shared" si="412"/>
        <v>0</v>
      </c>
      <c r="AP357" s="1080">
        <f t="shared" si="413"/>
        <v>1</v>
      </c>
      <c r="AQ357" s="1027">
        <f>VLOOKUP(V357,'System Lookups'!$J$55:$P$64,7)</f>
        <v>1000</v>
      </c>
      <c r="AR357" s="1080" t="str">
        <f ca="1">IF(AND(NOT(ISBLANK(AJ357)),ISNA(MATCH(ROW(),'System Lookups'!$C$526:$C$539,0))),"Y","N")</f>
        <v>Y</v>
      </c>
      <c r="AS357" s="1080">
        <f t="shared" si="414"/>
        <v>0</v>
      </c>
      <c r="AU357" s="1080" t="e">
        <f t="shared" si="384"/>
        <v>#N/A</v>
      </c>
      <c r="AV357" s="1080" t="str">
        <f t="shared" si="381"/>
        <v>T</v>
      </c>
      <c r="AW357" s="1080">
        <f t="shared" si="385"/>
        <v>0</v>
      </c>
      <c r="AX357" s="1080">
        <f t="shared" si="386"/>
        <v>0</v>
      </c>
      <c r="AY357" s="1080">
        <f t="shared" si="387"/>
        <v>0</v>
      </c>
      <c r="AZ357" s="1080">
        <f t="shared" si="388"/>
        <v>0</v>
      </c>
      <c r="BA357" s="1080">
        <f t="shared" si="389"/>
        <v>0</v>
      </c>
      <c r="BB357" s="1080">
        <f>IF(AND(RACE=1,'Main Creation Page'!$E$6="Well",OR(ISNUMBER(FIND(Experience!$G$11,BE357)),ISNUMBER(FIND(Experience!$G$11,BF357)),ISNUMBER(FIND(Experience!$I$11,BE357)),ISNUMBER(FIND(Experience!$I$11,BF357)))),1,0)</f>
        <v>1</v>
      </c>
      <c r="BC357" s="1080" t="str">
        <f t="shared" si="390"/>
        <v>Beast:Mustelid</v>
      </c>
      <c r="BD357" s="1080" t="s">
        <v>5693</v>
      </c>
      <c r="BE357" s="1080" t="str">
        <f t="shared" si="382"/>
        <v>Lore</v>
      </c>
      <c r="BF357" s="1080" t="str">
        <f t="shared" si="383"/>
        <v>Language Lore: Spoken</v>
      </c>
    </row>
    <row r="358" spans="1:58" ht="11.1" customHeight="1" outlineLevel="3">
      <c r="A358" s="1028" t="s">
        <v>2369</v>
      </c>
      <c r="B358" s="1094" t="s">
        <v>1942</v>
      </c>
      <c r="C358" s="1094"/>
      <c r="D358" s="1094"/>
      <c r="E358" s="1095" t="s">
        <v>5224</v>
      </c>
      <c r="F358" s="1095" t="s">
        <v>5224</v>
      </c>
      <c r="G358" s="1096">
        <v>0</v>
      </c>
      <c r="H358" s="1096" t="s">
        <v>5224</v>
      </c>
      <c r="I358" s="1096" t="s">
        <v>5224</v>
      </c>
      <c r="J358" s="1096" t="s">
        <v>5224</v>
      </c>
      <c r="K358" s="1096" t="s">
        <v>5224</v>
      </c>
      <c r="L358" s="1096">
        <v>0</v>
      </c>
      <c r="M358" s="1096" t="s">
        <v>5224</v>
      </c>
      <c r="N358" s="1096" t="s">
        <v>4631</v>
      </c>
      <c r="O358" s="1027"/>
      <c r="P358" s="1027" t="s">
        <v>780</v>
      </c>
      <c r="Q358" s="1097">
        <f t="shared" ca="1" si="402"/>
        <v>17</v>
      </c>
      <c r="R358" s="1027"/>
      <c r="S358" s="1028" t="s">
        <v>3612</v>
      </c>
      <c r="T358" s="1097">
        <f t="shared" ca="1" si="403"/>
        <v>10</v>
      </c>
      <c r="U358" s="1027">
        <v>6</v>
      </c>
      <c r="V358" s="1027">
        <f>IF((AP358+U358+VLOOKUP('Main Creation Page'!E$14,'System Lookups'!R$45:S$49,2))&gt;10,10,IF((AP358+U358+VLOOKUP('Main Creation Page'!E$14,'System Lookups'!R$45:S$49,2))&lt;1,1,(AP358+U358+VLOOKUP('Main Creation Page'!E$14,'System Lookups'!R$45:S$49,2))))</f>
        <v>7</v>
      </c>
      <c r="W358" s="1098" t="e">
        <f>IF(OR(I358&lt;&gt;"N",E358="C"),IF(AND(N358&lt;&gt;"T",ISNUMBER(FIND("V",I358))),1,0),NA())+IF(H358="Y",IF(AND(N358="P",ISNUMBER(FIND("Z",I358))),2,1),0)+IF(J358="Y",1,0)+IF(K358="Y",3,0)+IF(BE358="Lore",L358*2+Experience!$D$25,0)+IF(M358="Y",1,0)</f>
        <v>#N/A</v>
      </c>
      <c r="X358" s="1099"/>
      <c r="Y358" s="1100">
        <f ca="1">IF(P358="NS",IFERROR(INDIRECT(S358),NA()),VLOOKUP(INDIRECT(P358)+INDIRECT(S358),'System Lookups'!$A$3:$D$146,2))</f>
        <v>0.04</v>
      </c>
      <c r="Z358" s="1100">
        <f t="shared" si="404"/>
        <v>0</v>
      </c>
      <c r="AA358" s="1101">
        <f ca="1">IF(ISNA(Y358),0,Y358)+Z358+IF('Main Creation Page'!AB$2=37,'Main Creation Page'!E$14/100,0)</f>
        <v>0.04</v>
      </c>
      <c r="AB358" s="1102">
        <f>VLOOKUP(V358,'System Lookups'!$J$55:$P$64,3)</f>
        <v>0.03</v>
      </c>
      <c r="AC358" s="1103">
        <f>VLOOKUP(V358,'System Lookups'!$J$55:$P$64,4)</f>
        <v>7.0000000000000007E-2</v>
      </c>
      <c r="AD358" s="1104">
        <f t="shared" si="405"/>
        <v>0</v>
      </c>
      <c r="AE358" s="1094">
        <f>(IF(AD358&gt;VLOOKUP(V358,'System Lookups'!$J$55:$P$63,6),(((AD358-VLOOKUP(V358,'System Lookups'!$J$55:$P$63,6))*100)/20),0))+AF358</f>
        <v>0</v>
      </c>
      <c r="AF358" s="1121"/>
      <c r="AG358" s="1092">
        <f t="shared" si="406"/>
        <v>0</v>
      </c>
      <c r="AH358" s="1092" t="str">
        <f>IF(X358&lt;=Experience!$R$15+1,"","*")</f>
        <v/>
      </c>
      <c r="AI358" s="1092"/>
      <c r="AJ358" s="1080">
        <f t="shared" si="407"/>
        <v>0</v>
      </c>
      <c r="AK358" s="1080">
        <f t="shared" si="408"/>
        <v>0</v>
      </c>
      <c r="AL358" s="1080">
        <f t="shared" si="409"/>
        <v>0</v>
      </c>
      <c r="AM358" s="1092">
        <f t="shared" si="410"/>
        <v>0</v>
      </c>
      <c r="AN358" s="1080">
        <f t="shared" si="411"/>
        <v>1</v>
      </c>
      <c r="AO358" s="1080">
        <f t="shared" si="412"/>
        <v>0</v>
      </c>
      <c r="AP358" s="1080">
        <f t="shared" si="413"/>
        <v>1</v>
      </c>
      <c r="AQ358" s="1027">
        <f>VLOOKUP(V358,'System Lookups'!$J$55:$P$64,7)</f>
        <v>1000</v>
      </c>
      <c r="AR358" s="1080" t="str">
        <f ca="1">IF(AND(NOT(ISBLANK(AJ358)),ISNA(MATCH(ROW(),'System Lookups'!$C$526:$C$539,0))),"Y","N")</f>
        <v>Y</v>
      </c>
      <c r="AS358" s="1080">
        <f t="shared" si="414"/>
        <v>0</v>
      </c>
      <c r="AU358" s="1080" t="e">
        <f t="shared" si="384"/>
        <v>#N/A</v>
      </c>
      <c r="AV358" s="1080" t="str">
        <f t="shared" si="381"/>
        <v>T</v>
      </c>
      <c r="AW358" s="1080">
        <f t="shared" si="385"/>
        <v>0</v>
      </c>
      <c r="AX358" s="1080">
        <f t="shared" si="386"/>
        <v>0</v>
      </c>
      <c r="AY358" s="1080">
        <f t="shared" si="387"/>
        <v>0</v>
      </c>
      <c r="AZ358" s="1080">
        <f t="shared" si="388"/>
        <v>0</v>
      </c>
      <c r="BA358" s="1080">
        <f t="shared" si="389"/>
        <v>0</v>
      </c>
      <c r="BB358" s="1080">
        <f>IF(AND(RACE=1,'Main Creation Page'!$E$6="Well",OR(ISNUMBER(FIND(Experience!$G$11,BE358)),ISNUMBER(FIND(Experience!$G$11,BF358)),ISNUMBER(FIND(Experience!$I$11,BE358)),ISNUMBER(FIND(Experience!$I$11,BF358)))),1,0)</f>
        <v>1</v>
      </c>
      <c r="BC358" s="1080" t="str">
        <f t="shared" si="390"/>
        <v>Beast:Piscan</v>
      </c>
      <c r="BD358" s="1080" t="s">
        <v>5693</v>
      </c>
      <c r="BE358" s="1080" t="str">
        <f t="shared" si="382"/>
        <v>Lore</v>
      </c>
      <c r="BF358" s="1080" t="str">
        <f t="shared" si="383"/>
        <v>Language Lore: Spoken</v>
      </c>
    </row>
    <row r="359" spans="1:58" ht="11.1" customHeight="1" outlineLevel="3">
      <c r="A359" s="1028" t="s">
        <v>4293</v>
      </c>
      <c r="B359" s="1094" t="s">
        <v>1942</v>
      </c>
      <c r="C359" s="1094"/>
      <c r="D359" s="1094"/>
      <c r="E359" s="1095" t="s">
        <v>5224</v>
      </c>
      <c r="F359" s="1095" t="s">
        <v>5224</v>
      </c>
      <c r="G359" s="1096">
        <v>0</v>
      </c>
      <c r="H359" s="1096" t="s">
        <v>5224</v>
      </c>
      <c r="I359" s="1096" t="s">
        <v>5224</v>
      </c>
      <c r="J359" s="1096" t="s">
        <v>5224</v>
      </c>
      <c r="K359" s="1096" t="s">
        <v>5224</v>
      </c>
      <c r="L359" s="1096">
        <v>0</v>
      </c>
      <c r="M359" s="1096" t="s">
        <v>5224</v>
      </c>
      <c r="N359" s="1096" t="s">
        <v>4631</v>
      </c>
      <c r="O359" s="1027"/>
      <c r="P359" s="1027" t="s">
        <v>780</v>
      </c>
      <c r="Q359" s="1097">
        <f t="shared" ca="1" si="402"/>
        <v>17</v>
      </c>
      <c r="R359" s="1027"/>
      <c r="S359" s="1028" t="s">
        <v>3612</v>
      </c>
      <c r="T359" s="1097">
        <f t="shared" ca="1" si="403"/>
        <v>10</v>
      </c>
      <c r="U359" s="1027">
        <v>6</v>
      </c>
      <c r="V359" s="1027">
        <f>IF((AP359+U359+VLOOKUP('Main Creation Page'!E$14,'System Lookups'!R$45:S$49,2))&gt;10,10,IF((AP359+U359+VLOOKUP('Main Creation Page'!E$14,'System Lookups'!R$45:S$49,2))&lt;1,1,(AP359+U359+VLOOKUP('Main Creation Page'!E$14,'System Lookups'!R$45:S$49,2))))</f>
        <v>7</v>
      </c>
      <c r="W359" s="1098" t="e">
        <f>IF(OR(I359&lt;&gt;"N",E359="C"),IF(AND(N359&lt;&gt;"T",ISNUMBER(FIND("V",I359))),1,0),NA())+IF(H359="Y",IF(AND(N359="P",ISNUMBER(FIND("Z",I359))),2,1),0)+IF(J359="Y",1,0)+IF(K359="Y",3,0)+IF(BE359="Lore",L359*2+Experience!$D$25,0)+IF(M359="Y",1,0)</f>
        <v>#N/A</v>
      </c>
      <c r="X359" s="1099"/>
      <c r="Y359" s="1100">
        <f ca="1">IF(P359="NS",IFERROR(INDIRECT(S359),NA()),VLOOKUP(INDIRECT(P359)+INDIRECT(S359),'System Lookups'!$A$3:$D$146,2))</f>
        <v>0.04</v>
      </c>
      <c r="Z359" s="1100">
        <f t="shared" si="404"/>
        <v>0</v>
      </c>
      <c r="AA359" s="1101">
        <f ca="1">IF(ISNA(Y359),0,Y359)+Z359+IF('Main Creation Page'!AB$2=37,'Main Creation Page'!E$14/100,0)</f>
        <v>0.04</v>
      </c>
      <c r="AB359" s="1102">
        <f>VLOOKUP(V359,'System Lookups'!$J$55:$P$64,3)</f>
        <v>0.03</v>
      </c>
      <c r="AC359" s="1103">
        <f>VLOOKUP(V359,'System Lookups'!$J$55:$P$64,4)</f>
        <v>7.0000000000000007E-2</v>
      </c>
      <c r="AD359" s="1104">
        <f t="shared" si="405"/>
        <v>0</v>
      </c>
      <c r="AE359" s="1094">
        <f>(IF(AD359&gt;VLOOKUP(V359,'System Lookups'!$J$55:$P$63,6),(((AD359-VLOOKUP(V359,'System Lookups'!$J$55:$P$63,6))*100)/20),0))+AF359</f>
        <v>0</v>
      </c>
      <c r="AF359" s="1121"/>
      <c r="AG359" s="1092">
        <f t="shared" si="406"/>
        <v>0</v>
      </c>
      <c r="AH359" s="1092" t="str">
        <f>IF(X359&lt;=Experience!$R$15+1,"","*")</f>
        <v/>
      </c>
      <c r="AI359" s="1092"/>
      <c r="AJ359" s="1080">
        <f t="shared" si="407"/>
        <v>0</v>
      </c>
      <c r="AK359" s="1080">
        <f t="shared" si="408"/>
        <v>0</v>
      </c>
      <c r="AL359" s="1080">
        <f t="shared" si="409"/>
        <v>0</v>
      </c>
      <c r="AM359" s="1092">
        <f t="shared" si="410"/>
        <v>0</v>
      </c>
      <c r="AN359" s="1080">
        <f t="shared" si="411"/>
        <v>1</v>
      </c>
      <c r="AO359" s="1080">
        <f t="shared" si="412"/>
        <v>0</v>
      </c>
      <c r="AP359" s="1080">
        <f t="shared" si="413"/>
        <v>1</v>
      </c>
      <c r="AQ359" s="1027">
        <f>VLOOKUP(V359,'System Lookups'!$J$55:$P$64,7)</f>
        <v>1000</v>
      </c>
      <c r="AR359" s="1080" t="str">
        <f ca="1">IF(AND(NOT(ISBLANK(AJ359)),ISNA(MATCH(ROW(),'System Lookups'!$C$526:$C$539,0))),"Y","N")</f>
        <v>Y</v>
      </c>
      <c r="AS359" s="1080">
        <f t="shared" si="414"/>
        <v>0</v>
      </c>
      <c r="AU359" s="1080" t="e">
        <f t="shared" si="384"/>
        <v>#N/A</v>
      </c>
      <c r="AV359" s="1080" t="str">
        <f t="shared" si="381"/>
        <v>T</v>
      </c>
      <c r="AW359" s="1080">
        <f t="shared" si="385"/>
        <v>0</v>
      </c>
      <c r="AX359" s="1080">
        <f t="shared" si="386"/>
        <v>0</v>
      </c>
      <c r="AY359" s="1080">
        <f t="shared" si="387"/>
        <v>0</v>
      </c>
      <c r="AZ359" s="1080">
        <f t="shared" si="388"/>
        <v>0</v>
      </c>
      <c r="BA359" s="1080">
        <f t="shared" si="389"/>
        <v>0</v>
      </c>
      <c r="BB359" s="1080">
        <f>IF(AND(RACE=1,'Main Creation Page'!$E$6="Well",OR(ISNUMBER(FIND(Experience!$G$11,BE359)),ISNUMBER(FIND(Experience!$G$11,BF359)),ISNUMBER(FIND(Experience!$I$11,BE359)),ISNUMBER(FIND(Experience!$I$11,BF359)))),1,0)</f>
        <v>1</v>
      </c>
      <c r="BC359" s="1080" t="str">
        <f t="shared" si="390"/>
        <v>Beast:Primate</v>
      </c>
      <c r="BD359" s="1080" t="s">
        <v>5693</v>
      </c>
      <c r="BE359" s="1080" t="str">
        <f t="shared" si="382"/>
        <v>Lore</v>
      </c>
      <c r="BF359" s="1080" t="str">
        <f t="shared" si="383"/>
        <v>Language Lore: Spoken</v>
      </c>
    </row>
    <row r="360" spans="1:58" ht="11.1" customHeight="1" outlineLevel="3">
      <c r="A360" s="1028" t="s">
        <v>4295</v>
      </c>
      <c r="B360" s="1094" t="s">
        <v>1942</v>
      </c>
      <c r="C360" s="1094"/>
      <c r="D360" s="1094"/>
      <c r="E360" s="1095" t="s">
        <v>5224</v>
      </c>
      <c r="F360" s="1095" t="s">
        <v>5224</v>
      </c>
      <c r="G360" s="1096">
        <v>0</v>
      </c>
      <c r="H360" s="1096" t="s">
        <v>5224</v>
      </c>
      <c r="I360" s="1096" t="s">
        <v>5224</v>
      </c>
      <c r="J360" s="1096" t="s">
        <v>5224</v>
      </c>
      <c r="K360" s="1096" t="s">
        <v>5224</v>
      </c>
      <c r="L360" s="1096">
        <v>0</v>
      </c>
      <c r="M360" s="1096" t="s">
        <v>5224</v>
      </c>
      <c r="N360" s="1096" t="s">
        <v>4631</v>
      </c>
      <c r="O360" s="1027"/>
      <c r="P360" s="1027" t="s">
        <v>780</v>
      </c>
      <c r="Q360" s="1097">
        <f t="shared" ca="1" si="402"/>
        <v>17</v>
      </c>
      <c r="R360" s="1027"/>
      <c r="S360" s="1028" t="s">
        <v>3612</v>
      </c>
      <c r="T360" s="1097">
        <f t="shared" ca="1" si="403"/>
        <v>10</v>
      </c>
      <c r="U360" s="1027">
        <v>6</v>
      </c>
      <c r="V360" s="1027">
        <f>IF((AP360+U360+VLOOKUP('Main Creation Page'!E$14,'System Lookups'!R$45:S$49,2))&gt;10,10,IF((AP360+U360+VLOOKUP('Main Creation Page'!E$14,'System Lookups'!R$45:S$49,2))&lt;1,1,(AP360+U360+VLOOKUP('Main Creation Page'!E$14,'System Lookups'!R$45:S$49,2))))</f>
        <v>7</v>
      </c>
      <c r="W360" s="1098" t="e">
        <f>IF(OR(I360&lt;&gt;"N",E360="C"),IF(AND(N360&lt;&gt;"T",ISNUMBER(FIND("V",I360))),1,0),NA())+IF(H360="Y",IF(AND(N360="P",ISNUMBER(FIND("Z",I360))),2,1),0)+IF(J360="Y",1,0)+IF(K360="Y",3,0)+IF(BE360="Lore",L360*2+Experience!$D$25,0)+IF(M360="Y",1,0)</f>
        <v>#N/A</v>
      </c>
      <c r="X360" s="1099"/>
      <c r="Y360" s="1100">
        <f ca="1">IF(P360="NS",IFERROR(INDIRECT(S360),NA()),VLOOKUP(INDIRECT(P360)+INDIRECT(S360),'System Lookups'!$A$3:$D$146,2))</f>
        <v>0.04</v>
      </c>
      <c r="Z360" s="1100">
        <f t="shared" si="404"/>
        <v>0</v>
      </c>
      <c r="AA360" s="1101">
        <f ca="1">IF(ISNA(Y360),0,Y360)+Z360+IF('Main Creation Page'!AB$2=37,'Main Creation Page'!E$14/100,0)</f>
        <v>0.04</v>
      </c>
      <c r="AB360" s="1102">
        <f>VLOOKUP(V360,'System Lookups'!$J$55:$P$64,3)</f>
        <v>0.03</v>
      </c>
      <c r="AC360" s="1103">
        <f>VLOOKUP(V360,'System Lookups'!$J$55:$P$64,4)</f>
        <v>7.0000000000000007E-2</v>
      </c>
      <c r="AD360" s="1104">
        <f t="shared" si="405"/>
        <v>0</v>
      </c>
      <c r="AE360" s="1094">
        <f>(IF(AD360&gt;VLOOKUP(V360,'System Lookups'!$J$55:$P$63,6),(((AD360-VLOOKUP(V360,'System Lookups'!$J$55:$P$63,6))*100)/20),0))+AF360</f>
        <v>0</v>
      </c>
      <c r="AF360" s="1121"/>
      <c r="AG360" s="1092">
        <f t="shared" si="406"/>
        <v>0</v>
      </c>
      <c r="AH360" s="1092" t="str">
        <f>IF(X360&lt;=Experience!$R$15+1,"","*")</f>
        <v/>
      </c>
      <c r="AI360" s="1092"/>
      <c r="AJ360" s="1080">
        <f t="shared" si="407"/>
        <v>0</v>
      </c>
      <c r="AK360" s="1080">
        <f t="shared" si="408"/>
        <v>0</v>
      </c>
      <c r="AL360" s="1080">
        <f t="shared" si="409"/>
        <v>0</v>
      </c>
      <c r="AM360" s="1092">
        <f t="shared" si="410"/>
        <v>0</v>
      </c>
      <c r="AN360" s="1080">
        <f t="shared" si="411"/>
        <v>1</v>
      </c>
      <c r="AO360" s="1080">
        <f t="shared" si="412"/>
        <v>0</v>
      </c>
      <c r="AP360" s="1080">
        <f t="shared" si="413"/>
        <v>1</v>
      </c>
      <c r="AQ360" s="1027">
        <f>VLOOKUP(V360,'System Lookups'!$J$55:$P$64,7)</f>
        <v>1000</v>
      </c>
      <c r="AR360" s="1080" t="str">
        <f ca="1">IF(AND(NOT(ISBLANK(AJ360)),ISNA(MATCH(ROW(),'System Lookups'!$C$526:$C$539,0))),"Y","N")</f>
        <v>Y</v>
      </c>
      <c r="AS360" s="1080">
        <f t="shared" si="414"/>
        <v>0</v>
      </c>
      <c r="AU360" s="1080" t="e">
        <f t="shared" si="384"/>
        <v>#N/A</v>
      </c>
      <c r="AV360" s="1080" t="str">
        <f t="shared" si="381"/>
        <v>T</v>
      </c>
      <c r="AW360" s="1080">
        <f t="shared" si="385"/>
        <v>0</v>
      </c>
      <c r="AX360" s="1080">
        <f t="shared" si="386"/>
        <v>0</v>
      </c>
      <c r="AY360" s="1080">
        <f t="shared" si="387"/>
        <v>0</v>
      </c>
      <c r="AZ360" s="1080">
        <f t="shared" si="388"/>
        <v>0</v>
      </c>
      <c r="BA360" s="1080">
        <f t="shared" si="389"/>
        <v>0</v>
      </c>
      <c r="BB360" s="1080">
        <f>IF(AND(RACE=1,'Main Creation Page'!$E$6="Well",OR(ISNUMBER(FIND(Experience!$G$11,BE360)),ISNUMBER(FIND(Experience!$G$11,BF360)),ISNUMBER(FIND(Experience!$I$11,BE360)),ISNUMBER(FIND(Experience!$I$11,BF360)))),1,0)</f>
        <v>1</v>
      </c>
      <c r="BC360" s="1080" t="str">
        <f t="shared" si="390"/>
        <v>Beast:Reptilian</v>
      </c>
      <c r="BD360" s="1080" t="s">
        <v>5693</v>
      </c>
      <c r="BE360" s="1080" t="str">
        <f t="shared" si="382"/>
        <v>Lore</v>
      </c>
      <c r="BF360" s="1080" t="str">
        <f t="shared" si="383"/>
        <v>Language Lore: Spoken</v>
      </c>
    </row>
    <row r="361" spans="1:58" ht="11.1" customHeight="1" outlineLevel="3">
      <c r="A361" s="1028" t="s">
        <v>4294</v>
      </c>
      <c r="B361" s="1094" t="s">
        <v>1942</v>
      </c>
      <c r="C361" s="1094"/>
      <c r="D361" s="1094"/>
      <c r="E361" s="1095" t="s">
        <v>5224</v>
      </c>
      <c r="F361" s="1095" t="s">
        <v>5224</v>
      </c>
      <c r="G361" s="1096">
        <v>0</v>
      </c>
      <c r="H361" s="1096" t="s">
        <v>5224</v>
      </c>
      <c r="I361" s="1096" t="s">
        <v>5224</v>
      </c>
      <c r="J361" s="1096" t="s">
        <v>5224</v>
      </c>
      <c r="K361" s="1096" t="s">
        <v>5224</v>
      </c>
      <c r="L361" s="1096">
        <v>0</v>
      </c>
      <c r="M361" s="1096" t="s">
        <v>5224</v>
      </c>
      <c r="N361" s="1096" t="s">
        <v>4631</v>
      </c>
      <c r="O361" s="1027"/>
      <c r="P361" s="1027" t="s">
        <v>780</v>
      </c>
      <c r="Q361" s="1097">
        <f t="shared" ca="1" si="402"/>
        <v>17</v>
      </c>
      <c r="R361" s="1027"/>
      <c r="S361" s="1028" t="s">
        <v>3612</v>
      </c>
      <c r="T361" s="1097">
        <f t="shared" ca="1" si="403"/>
        <v>10</v>
      </c>
      <c r="U361" s="1027">
        <v>6</v>
      </c>
      <c r="V361" s="1027">
        <f>IF((AP361+U361+VLOOKUP('Main Creation Page'!E$14,'System Lookups'!R$45:S$49,2))&gt;10,10,IF((AP361+U361+VLOOKUP('Main Creation Page'!E$14,'System Lookups'!R$45:S$49,2))&lt;1,1,(AP361+U361+VLOOKUP('Main Creation Page'!E$14,'System Lookups'!R$45:S$49,2))))</f>
        <v>7</v>
      </c>
      <c r="W361" s="1098" t="e">
        <f>IF(OR(I361&lt;&gt;"N",E361="C"),IF(AND(N361&lt;&gt;"T",ISNUMBER(FIND("V",I361))),1,0),NA())+IF(H361="Y",IF(AND(N361="P",ISNUMBER(FIND("Z",I361))),2,1),0)+IF(J361="Y",1,0)+IF(K361="Y",3,0)+IF(BE361="Lore",L361*2+Experience!$D$25,0)+IF(M361="Y",1,0)</f>
        <v>#N/A</v>
      </c>
      <c r="X361" s="1099"/>
      <c r="Y361" s="1100">
        <f ca="1">IF(P361="NS",IFERROR(INDIRECT(S361),NA()),VLOOKUP(INDIRECT(P361)+INDIRECT(S361),'System Lookups'!$A$3:$D$146,2))</f>
        <v>0.04</v>
      </c>
      <c r="Z361" s="1100">
        <f t="shared" si="404"/>
        <v>0</v>
      </c>
      <c r="AA361" s="1101">
        <f ca="1">IF(ISNA(Y361),0,Y361)+Z361+IF('Main Creation Page'!AB$2=37,'Main Creation Page'!E$14/100,0)</f>
        <v>0.04</v>
      </c>
      <c r="AB361" s="1102">
        <f>VLOOKUP(V361,'System Lookups'!$J$55:$P$64,3)</f>
        <v>0.03</v>
      </c>
      <c r="AC361" s="1103">
        <f>VLOOKUP(V361,'System Lookups'!$J$55:$P$64,4)</f>
        <v>7.0000000000000007E-2</v>
      </c>
      <c r="AD361" s="1104">
        <f t="shared" si="405"/>
        <v>0</v>
      </c>
      <c r="AE361" s="1094">
        <f>(IF(AD361&gt;VLOOKUP(V361,'System Lookups'!$J$55:$P$63,6),(((AD361-VLOOKUP(V361,'System Lookups'!$J$55:$P$63,6))*100)/20),0))+AF361</f>
        <v>0</v>
      </c>
      <c r="AF361" s="1121"/>
      <c r="AG361" s="1092">
        <f t="shared" si="406"/>
        <v>0</v>
      </c>
      <c r="AH361" s="1092" t="str">
        <f>IF(X361&lt;=Experience!$R$15+1,"","*")</f>
        <v/>
      </c>
      <c r="AI361" s="1092"/>
      <c r="AJ361" s="1080">
        <f t="shared" si="407"/>
        <v>0</v>
      </c>
      <c r="AK361" s="1080">
        <f t="shared" si="408"/>
        <v>0</v>
      </c>
      <c r="AL361" s="1080">
        <f t="shared" si="409"/>
        <v>0</v>
      </c>
      <c r="AM361" s="1092">
        <f t="shared" si="410"/>
        <v>0</v>
      </c>
      <c r="AN361" s="1080">
        <f t="shared" si="411"/>
        <v>1</v>
      </c>
      <c r="AO361" s="1080">
        <f t="shared" si="412"/>
        <v>0</v>
      </c>
      <c r="AP361" s="1080">
        <f t="shared" si="413"/>
        <v>1</v>
      </c>
      <c r="AQ361" s="1027">
        <f>VLOOKUP(V361,'System Lookups'!$J$55:$P$64,7)</f>
        <v>1000</v>
      </c>
      <c r="AR361" s="1080" t="str">
        <f ca="1">IF(AND(NOT(ISBLANK(AJ361)),ISNA(MATCH(ROW(),'System Lookups'!$C$526:$C$539,0))),"Y","N")</f>
        <v>Y</v>
      </c>
      <c r="AS361" s="1080">
        <f t="shared" si="414"/>
        <v>0</v>
      </c>
      <c r="AU361" s="1080" t="e">
        <f t="shared" si="384"/>
        <v>#N/A</v>
      </c>
      <c r="AV361" s="1080" t="str">
        <f t="shared" si="381"/>
        <v>T</v>
      </c>
      <c r="AW361" s="1080">
        <f t="shared" si="385"/>
        <v>0</v>
      </c>
      <c r="AX361" s="1080">
        <f t="shared" si="386"/>
        <v>0</v>
      </c>
      <c r="AY361" s="1080">
        <f t="shared" si="387"/>
        <v>0</v>
      </c>
      <c r="AZ361" s="1080">
        <f t="shared" si="388"/>
        <v>0</v>
      </c>
      <c r="BA361" s="1080">
        <f t="shared" si="389"/>
        <v>0</v>
      </c>
      <c r="BB361" s="1080">
        <f>IF(AND(RACE=1,'Main Creation Page'!$E$6="Well",OR(ISNUMBER(FIND(Experience!$G$11,BE361)),ISNUMBER(FIND(Experience!$G$11,BF361)),ISNUMBER(FIND(Experience!$I$11,BE361)),ISNUMBER(FIND(Experience!$I$11,BF361)))),1,0)</f>
        <v>1</v>
      </c>
      <c r="BC361" s="1080" t="str">
        <f t="shared" si="390"/>
        <v>Beast:Rodent</v>
      </c>
      <c r="BD361" s="1080" t="s">
        <v>5693</v>
      </c>
      <c r="BE361" s="1080" t="str">
        <f t="shared" si="382"/>
        <v>Lore</v>
      </c>
      <c r="BF361" s="1080" t="str">
        <f t="shared" si="383"/>
        <v>Language Lore: Spoken</v>
      </c>
    </row>
    <row r="362" spans="1:58" ht="11.1" customHeight="1" outlineLevel="2">
      <c r="A362" s="1028" t="s">
        <v>52</v>
      </c>
      <c r="B362" s="1111"/>
      <c r="C362" s="1111"/>
      <c r="D362" s="1111"/>
      <c r="O362" s="1027"/>
      <c r="P362" s="1027" t="s">
        <v>780</v>
      </c>
      <c r="Q362" s="1097">
        <f t="shared" ca="1" si="402"/>
        <v>17</v>
      </c>
      <c r="R362" s="1027"/>
      <c r="S362" s="1028" t="s">
        <v>3612</v>
      </c>
      <c r="T362" s="1097">
        <f t="shared" ca="1" si="403"/>
        <v>10</v>
      </c>
      <c r="V362" s="1027"/>
      <c r="W362" s="1112"/>
      <c r="AE362" s="1094"/>
      <c r="AF362" s="1121"/>
      <c r="AR362" s="1080" t="str">
        <f ca="1">IF(AND(NOT(ISBLANK(AJ362)),ISNA(MATCH(ROW(),'System Lookups'!$C$526:$C$539,0))),"Y","N")</f>
        <v>N</v>
      </c>
      <c r="AU362" s="1080" t="e">
        <f t="shared" si="384"/>
        <v>#N/A</v>
      </c>
      <c r="AV362" s="1080" t="str">
        <f t="shared" si="381"/>
        <v/>
      </c>
      <c r="AW362" s="1080">
        <f t="shared" si="385"/>
        <v>0</v>
      </c>
      <c r="AX362" s="1080">
        <f t="shared" si="386"/>
        <v>0</v>
      </c>
      <c r="AY362" s="1080">
        <f t="shared" si="387"/>
        <v>0</v>
      </c>
      <c r="AZ362" s="1080">
        <f t="shared" si="388"/>
        <v>0</v>
      </c>
      <c r="BA362" s="1080">
        <f t="shared" si="389"/>
        <v>0</v>
      </c>
      <c r="BB362" s="1080">
        <f>IF(AND(RACE=1,'Main Creation Page'!$E$6="Well",OR(ISNUMBER(FIND(Experience!$G$11,BE362)),ISNUMBER(FIND(Experience!$G$11,BF362)),ISNUMBER(FIND(Experience!$I$11,BE362)),ISNUMBER(FIND(Experience!$I$11,BF362)))),1,0)</f>
        <v>1</v>
      </c>
      <c r="BC362" s="1080" t="e">
        <f t="shared" si="390"/>
        <v>#N/A</v>
      </c>
      <c r="BD362" s="1080" t="s">
        <v>5694</v>
      </c>
      <c r="BE362" s="1080" t="str">
        <f t="shared" si="382"/>
        <v>Lore</v>
      </c>
      <c r="BF362" s="1080" t="str">
        <f t="shared" si="383"/>
        <v>Language Lore: Spoken</v>
      </c>
    </row>
    <row r="363" spans="1:58" ht="11.1" customHeight="1" outlineLevel="3">
      <c r="A363" s="1093" t="s">
        <v>4880</v>
      </c>
      <c r="B363" s="1094" t="s">
        <v>1942</v>
      </c>
      <c r="C363" s="1094"/>
      <c r="D363" s="1094"/>
      <c r="E363" s="1095" t="s">
        <v>5224</v>
      </c>
      <c r="F363" s="1095" t="s">
        <v>5224</v>
      </c>
      <c r="G363" s="1096">
        <v>0</v>
      </c>
      <c r="H363" s="1096" t="s">
        <v>5224</v>
      </c>
      <c r="I363" s="1096" t="s">
        <v>5224</v>
      </c>
      <c r="J363" s="1096" t="s">
        <v>5224</v>
      </c>
      <c r="K363" s="1096" t="s">
        <v>5224</v>
      </c>
      <c r="L363" s="1096">
        <v>0</v>
      </c>
      <c r="M363" s="1096" t="s">
        <v>5224</v>
      </c>
      <c r="N363" s="1096" t="s">
        <v>4631</v>
      </c>
      <c r="O363" s="1113"/>
      <c r="P363" s="1113" t="s">
        <v>13</v>
      </c>
      <c r="S363" s="1113" t="s">
        <v>58</v>
      </c>
      <c r="T363" s="1113"/>
      <c r="U363" s="1027">
        <v>2</v>
      </c>
      <c r="V363" s="1027">
        <f>IF((AP363+U363+VLOOKUP('Main Creation Page'!E$14,'System Lookups'!R$45:S$49,2))&gt;10,10,IF((AP363+U363+VLOOKUP('Main Creation Page'!E$14,'System Lookups'!R$45:S$49,2))&lt;1,1,(AP363+U363+VLOOKUP('Main Creation Page'!E$14,'System Lookups'!R$45:S$49,2))))</f>
        <v>3</v>
      </c>
      <c r="W363" s="1098" t="e">
        <f>IF(OR(I363&lt;&gt;"N",E363="C"),IF(AND(N363&lt;&gt;"T",ISNUMBER(FIND("V",I363))),1,0),NA())+IF(H363="Y",IF(AND(N363="P",ISNUMBER(FIND("Z",I363))),2,1),0)+IF(J363="Y",1,0)+IF(K363="Y",3,0)+IF(BE363="Lore",L363*2+Experience!$D$25,0)+IF(M363="Y",1,0)</f>
        <v>#N/A</v>
      </c>
      <c r="X363" s="1099"/>
      <c r="Y363" s="1100">
        <f ca="1">IF(P363="NS",IFERROR(INDIRECT(S363),NA()),VLOOKUP(INDIRECT(P363)+INDIRECT(S363),'System Lookups'!$A$3:$D$146,2))</f>
        <v>0.08</v>
      </c>
      <c r="Z363" s="1100">
        <f t="shared" ref="Z363:Z390" si="415">IF(ISNA(W363),0,W363*0.03)+IF(X363&gt;0,X363*0.03,0)+IF(AND(ISNA(W363),X363&lt;=0),0,IF(G363&gt;0,G363*0.07,0))</f>
        <v>0</v>
      </c>
      <c r="AA363" s="1101">
        <f ca="1">IF(ISNA(Y363),0,Y363)+Z363+IF('Main Creation Page'!AB$2=37,'Main Creation Page'!E$14/100,0)</f>
        <v>0.08</v>
      </c>
      <c r="AB363" s="1102">
        <f>VLOOKUP(V363,'System Lookups'!$J$55:$P$64,3)</f>
        <v>0.3</v>
      </c>
      <c r="AC363" s="1103">
        <f>VLOOKUP(V363,'System Lookups'!$J$55:$P$64,4)</f>
        <v>0.4</v>
      </c>
      <c r="AD363" s="1104">
        <f t="shared" ref="AD363:AD390" si="416">IF(AND(ISBLANK(X363),ISNA(W363)),IF(B363="~",0,AB363+AA363+IF(BB363&gt;0,0.05,0)),AA363+AC363+IF(BB363&gt;0,0.05,0))</f>
        <v>0</v>
      </c>
      <c r="AE363" s="1094">
        <f>(IF(AD363&gt;VLOOKUP(V363,'System Lookups'!$J$55:$P$63,6),(((AD363-VLOOKUP(V363,'System Lookups'!$J$55:$P$63,6))*100)/20),0))+AF363</f>
        <v>0</v>
      </c>
      <c r="AF363" s="1121"/>
      <c r="AG363" s="1092">
        <f t="shared" ref="AG363:AG390" si="417">IF(ISBLANK(X363),0,AQ363*X363+IF(ISNA(W363),1,0))</f>
        <v>0</v>
      </c>
      <c r="AH363" s="1092" t="str">
        <f>IF(X363&lt;=Experience!$R$15+1,"","*")</f>
        <v/>
      </c>
      <c r="AI363" s="1092"/>
      <c r="AJ363" s="1080">
        <f t="shared" ref="AJ363:AJ390" si="418">IF(ISNUMBER(FIND("R",F363)),-1,0)</f>
        <v>0</v>
      </c>
      <c r="AK363" s="1080">
        <f t="shared" ref="AK363:AK390" si="419">IF(F363="s",-2,0)</f>
        <v>0</v>
      </c>
      <c r="AL363" s="1080">
        <f t="shared" ref="AL363:AL390" si="420">IF(AND(H363="Y",OR(N363="P",N363="S")),-1,0)</f>
        <v>0</v>
      </c>
      <c r="AM363" s="1092">
        <f t="shared" ref="AM363:AM390" si="421">IF(J363="y",1,0)</f>
        <v>0</v>
      </c>
      <c r="AN363" s="1080">
        <f t="shared" ref="AN363:AN390" si="422">IF(N363="P",-1,IF(N363="T",1,0))</f>
        <v>1</v>
      </c>
      <c r="AO363" s="1080">
        <f t="shared" ref="AO363:AO390" si="423">IF(ISNUMBER(FIND("Z",I363)),1,0)</f>
        <v>0</v>
      </c>
      <c r="AP363" s="1080">
        <f t="shared" ref="AP363:AP390" si="424">SUM(AJ363:AN363)-AM363</f>
        <v>1</v>
      </c>
      <c r="AQ363" s="1027">
        <f>VLOOKUP(V363,'System Lookups'!$J$55:$P$64,7)</f>
        <v>500</v>
      </c>
      <c r="AR363" s="1080" t="str">
        <f ca="1">IF(AND(NOT(ISBLANK(AJ363)),ISNA(MATCH(ROW(),'System Lookups'!$C$526:$C$539,0))),"Y","N")</f>
        <v>Y</v>
      </c>
      <c r="AS363" s="1080">
        <f t="shared" ref="AS363:AS390" si="425">AG363-AI363</f>
        <v>0</v>
      </c>
      <c r="AU363" s="1080" t="e">
        <f t="shared" si="384"/>
        <v>#N/A</v>
      </c>
      <c r="AV363" s="1080" t="str">
        <f t="shared" si="381"/>
        <v>T</v>
      </c>
      <c r="AW363" s="1080">
        <f t="shared" si="385"/>
        <v>0</v>
      </c>
      <c r="AX363" s="1080">
        <f t="shared" si="386"/>
        <v>0</v>
      </c>
      <c r="AY363" s="1080">
        <f t="shared" si="387"/>
        <v>0</v>
      </c>
      <c r="AZ363" s="1080">
        <f t="shared" si="388"/>
        <v>0</v>
      </c>
      <c r="BA363" s="1080">
        <f t="shared" si="389"/>
        <v>0</v>
      </c>
      <c r="BB363" s="1080">
        <f>IF(AND(RACE=1,'Main Creation Page'!$E$6="Well",OR(ISNUMBER(FIND(Experience!$G$11,BE363)),ISNUMBER(FIND(Experience!$G$11,BF363)),ISNUMBER(FIND(Experience!$I$11,BE363)),ISNUMBER(FIND(Experience!$I$11,BF363)))),1,0)</f>
        <v>1</v>
      </c>
      <c r="BC363" s="1080" t="str">
        <f t="shared" si="390"/>
        <v>Monster:Arkon</v>
      </c>
      <c r="BD363" s="1080" t="s">
        <v>5694</v>
      </c>
      <c r="BE363" s="1080" t="str">
        <f t="shared" si="382"/>
        <v>Lore</v>
      </c>
      <c r="BF363" s="1080" t="str">
        <f t="shared" si="383"/>
        <v>Language Lore: Spoken</v>
      </c>
    </row>
    <row r="364" spans="1:58" ht="11.1" customHeight="1" outlineLevel="3">
      <c r="A364" s="1028" t="s">
        <v>5292</v>
      </c>
      <c r="B364" s="1094" t="s">
        <v>1942</v>
      </c>
      <c r="C364" s="1094"/>
      <c r="D364" s="1094"/>
      <c r="E364" s="1095" t="s">
        <v>5224</v>
      </c>
      <c r="F364" s="1095" t="s">
        <v>5224</v>
      </c>
      <c r="G364" s="1096">
        <v>0</v>
      </c>
      <c r="H364" s="1096" t="s">
        <v>5224</v>
      </c>
      <c r="I364" s="1096" t="s">
        <v>5224</v>
      </c>
      <c r="J364" s="1096" t="s">
        <v>5224</v>
      </c>
      <c r="K364" s="1096" t="s">
        <v>5224</v>
      </c>
      <c r="L364" s="1096">
        <v>0</v>
      </c>
      <c r="M364" s="1096" t="s">
        <v>5224</v>
      </c>
      <c r="N364" s="1096" t="s">
        <v>4631</v>
      </c>
      <c r="O364" s="1113"/>
      <c r="P364" s="1113" t="s">
        <v>13</v>
      </c>
      <c r="S364" s="1113" t="s">
        <v>58</v>
      </c>
      <c r="T364" s="1113"/>
      <c r="U364" s="1027">
        <v>3</v>
      </c>
      <c r="V364" s="1027">
        <f>IF((AP364+U364+VLOOKUP('Main Creation Page'!E$14,'System Lookups'!R$45:S$49,2))&gt;10,10,IF((AP364+U364+VLOOKUP('Main Creation Page'!E$14,'System Lookups'!R$45:S$49,2))&lt;1,1,(AP364+U364+VLOOKUP('Main Creation Page'!E$14,'System Lookups'!R$45:S$49,2))))</f>
        <v>4</v>
      </c>
      <c r="W364" s="1098" t="e">
        <f>IF(OR(I364&lt;&gt;"N",E364="C"),IF(AND(N364&lt;&gt;"T",ISNUMBER(FIND("V",I364))),1,0),NA())+IF(H364="Y",IF(AND(N364="P",ISNUMBER(FIND("Z",I364))),2,1),0)+IF(J364="Y",1,0)+IF(K364="Y",3,0)+IF(BE364="Lore",L364*2+Experience!$D$25,0)+IF(M364="Y",1,0)</f>
        <v>#N/A</v>
      </c>
      <c r="X364" s="1099"/>
      <c r="Y364" s="1100">
        <f ca="1">IF(P364="NS",IFERROR(INDIRECT(S364),NA()),VLOOKUP(INDIRECT(P364)+INDIRECT(S364),'System Lookups'!$A$3:$D$146,2))</f>
        <v>0.08</v>
      </c>
      <c r="Z364" s="1100">
        <f t="shared" si="415"/>
        <v>0</v>
      </c>
      <c r="AA364" s="1101">
        <f ca="1">IF(ISNA(Y364),0,Y364)+Z364+IF('Main Creation Page'!AB$2=37,'Main Creation Page'!E$14/100,0)</f>
        <v>0.08</v>
      </c>
      <c r="AB364" s="1102">
        <f>VLOOKUP(V364,'System Lookups'!$J$55:$P$64,3)</f>
        <v>0.2</v>
      </c>
      <c r="AC364" s="1103">
        <f>VLOOKUP(V364,'System Lookups'!$J$55:$P$64,4)</f>
        <v>0.3</v>
      </c>
      <c r="AD364" s="1104">
        <f t="shared" si="416"/>
        <v>0</v>
      </c>
      <c r="AE364" s="1094">
        <f>(IF(AD364&gt;VLOOKUP(V364,'System Lookups'!$J$55:$P$63,6),(((AD364-VLOOKUP(V364,'System Lookups'!$J$55:$P$63,6))*100)/20),0))+AF364</f>
        <v>0</v>
      </c>
      <c r="AF364" s="1121"/>
      <c r="AG364" s="1092">
        <f t="shared" si="417"/>
        <v>0</v>
      </c>
      <c r="AH364" s="1092" t="str">
        <f>IF(X364&lt;=Experience!$R$15+1,"","*")</f>
        <v/>
      </c>
      <c r="AI364" s="1092"/>
      <c r="AJ364" s="1080">
        <f t="shared" si="418"/>
        <v>0</v>
      </c>
      <c r="AK364" s="1080">
        <f t="shared" si="419"/>
        <v>0</v>
      </c>
      <c r="AL364" s="1080">
        <f t="shared" si="420"/>
        <v>0</v>
      </c>
      <c r="AM364" s="1092">
        <f t="shared" si="421"/>
        <v>0</v>
      </c>
      <c r="AN364" s="1080">
        <f t="shared" si="422"/>
        <v>1</v>
      </c>
      <c r="AO364" s="1080">
        <f t="shared" si="423"/>
        <v>0</v>
      </c>
      <c r="AP364" s="1080">
        <f t="shared" si="424"/>
        <v>1</v>
      </c>
      <c r="AQ364" s="1027">
        <f>VLOOKUP(V364,'System Lookups'!$J$55:$P$64,7)</f>
        <v>600</v>
      </c>
      <c r="AR364" s="1080" t="str">
        <f ca="1">IF(AND(NOT(ISBLANK(AJ364)),ISNA(MATCH(ROW(),'System Lookups'!$C$526:$C$539,0))),"Y","N")</f>
        <v>Y</v>
      </c>
      <c r="AS364" s="1080">
        <f t="shared" si="425"/>
        <v>0</v>
      </c>
      <c r="AU364" s="1080" t="e">
        <f t="shared" si="384"/>
        <v>#N/A</v>
      </c>
      <c r="AV364" s="1080" t="str">
        <f t="shared" si="381"/>
        <v>T</v>
      </c>
      <c r="AW364" s="1080">
        <f t="shared" si="385"/>
        <v>0</v>
      </c>
      <c r="AX364" s="1080">
        <f t="shared" si="386"/>
        <v>0</v>
      </c>
      <c r="AY364" s="1080">
        <f t="shared" si="387"/>
        <v>0</v>
      </c>
      <c r="AZ364" s="1080">
        <f t="shared" si="388"/>
        <v>0</v>
      </c>
      <c r="BA364" s="1080">
        <f t="shared" si="389"/>
        <v>0</v>
      </c>
      <c r="BB364" s="1080">
        <f>IF(AND(RACE=1,'Main Creation Page'!$E$6="Well",OR(ISNUMBER(FIND(Experience!$G$11,BE364)),ISNUMBER(FIND(Experience!$G$11,BF364)),ISNUMBER(FIND(Experience!$I$11,BE364)),ISNUMBER(FIND(Experience!$I$11,BF364)))),1,0)</f>
        <v>1</v>
      </c>
      <c r="BC364" s="1080" t="str">
        <f t="shared" si="390"/>
        <v>Monster:Centaur</v>
      </c>
      <c r="BD364" s="1080" t="s">
        <v>5694</v>
      </c>
      <c r="BE364" s="1080" t="str">
        <f t="shared" si="382"/>
        <v>Lore</v>
      </c>
      <c r="BF364" s="1080" t="str">
        <f t="shared" si="383"/>
        <v>Language Lore: Spoken</v>
      </c>
    </row>
    <row r="365" spans="1:58" ht="11.1" customHeight="1" outlineLevel="3">
      <c r="A365" s="1028" t="str">
        <f>CONCATENATE("Demonic",IF('Main Creation Page'!K5=3," (Common)", " "))</f>
        <v>Demonic (Common)</v>
      </c>
      <c r="B365" s="1094" t="s">
        <v>1942</v>
      </c>
      <c r="C365" s="1094"/>
      <c r="D365" s="1094"/>
      <c r="E365" s="1095" t="s">
        <v>5224</v>
      </c>
      <c r="F365" s="1095" t="s">
        <v>5224</v>
      </c>
      <c r="G365" s="1096">
        <v>0</v>
      </c>
      <c r="H365" s="1096" t="s">
        <v>5224</v>
      </c>
      <c r="I365" s="1096" t="s">
        <v>5224</v>
      </c>
      <c r="J365" s="1096" t="s">
        <v>5224</v>
      </c>
      <c r="K365" s="1096" t="s">
        <v>5224</v>
      </c>
      <c r="L365" s="1096">
        <v>0</v>
      </c>
      <c r="M365" s="1096" t="s">
        <v>5224</v>
      </c>
      <c r="N365" s="1096" t="s">
        <v>4631</v>
      </c>
      <c r="O365" s="1113"/>
      <c r="P365" s="1113" t="s">
        <v>13</v>
      </c>
      <c r="S365" s="1113" t="s">
        <v>58</v>
      </c>
      <c r="T365" s="1113"/>
      <c r="U365" s="1027">
        <v>7</v>
      </c>
      <c r="V365" s="1027">
        <f>IF((AP365+U365+VLOOKUP('Main Creation Page'!E$14,'System Lookups'!R$45:S$49,2))&gt;10,10,IF((AP365+U365+VLOOKUP('Main Creation Page'!E$14,'System Lookups'!R$45:S$49,2))&lt;1,1,(AP365+U365+VLOOKUP('Main Creation Page'!E$14,'System Lookups'!R$45:S$49,2))))</f>
        <v>8</v>
      </c>
      <c r="W365" s="1098" t="e">
        <f>IF(OR(I365&lt;&gt;"N",E365="C"),IF(AND(N365&lt;&gt;"T",ISNUMBER(FIND("V",I365))),1,0),NA())+IF(H365="Y",IF(AND(N365="P",ISNUMBER(FIND("Z",I365))),2,1),0)+IF(J365="Y",1,0)+IF(K365="Y",3,0)+IF(BE365="Lore",L365*2+Experience!$D$25,0)+IF(M365="Y",1,0)</f>
        <v>#N/A</v>
      </c>
      <c r="X365" s="1099"/>
      <c r="Y365" s="1100">
        <f ca="1">IF(P365="NS",IFERROR(INDIRECT(S365),NA()),VLOOKUP(INDIRECT(P365)+INDIRECT(S365),'System Lookups'!$A$3:$D$146,2))</f>
        <v>0.08</v>
      </c>
      <c r="Z365" s="1100">
        <f t="shared" si="415"/>
        <v>0</v>
      </c>
      <c r="AA365" s="1101">
        <f ca="1">IF(ISNA(Y365),0,Y365)+Z365+IF('Main Creation Page'!AB$2=37,'Main Creation Page'!E$14/100,0)</f>
        <v>0.08</v>
      </c>
      <c r="AB365" s="1102">
        <f>VLOOKUP(V365,'System Lookups'!$J$55:$P$64,3)</f>
        <v>0.02</v>
      </c>
      <c r="AC365" s="1103">
        <f>VLOOKUP(V365,'System Lookups'!$J$55:$P$64,4)</f>
        <v>0.03</v>
      </c>
      <c r="AD365" s="1104">
        <f t="shared" si="416"/>
        <v>0</v>
      </c>
      <c r="AE365" s="1094">
        <f>(IF(AD365&gt;VLOOKUP(V365,'System Lookups'!$J$55:$P$63,6),(((AD365-VLOOKUP(V365,'System Lookups'!$J$55:$P$63,6))*100)/20),0))+AF365</f>
        <v>0</v>
      </c>
      <c r="AF365" s="1121"/>
      <c r="AG365" s="1092">
        <f t="shared" si="417"/>
        <v>0</v>
      </c>
      <c r="AH365" s="1092" t="str">
        <f>IF(X365&lt;=Experience!$R$15+1,"","*")</f>
        <v/>
      </c>
      <c r="AI365" s="1092"/>
      <c r="AJ365" s="1080">
        <f t="shared" si="418"/>
        <v>0</v>
      </c>
      <c r="AK365" s="1080">
        <f t="shared" si="419"/>
        <v>0</v>
      </c>
      <c r="AL365" s="1080">
        <f t="shared" si="420"/>
        <v>0</v>
      </c>
      <c r="AM365" s="1092">
        <f t="shared" si="421"/>
        <v>0</v>
      </c>
      <c r="AN365" s="1080">
        <f t="shared" si="422"/>
        <v>1</v>
      </c>
      <c r="AO365" s="1080">
        <f t="shared" si="423"/>
        <v>0</v>
      </c>
      <c r="AP365" s="1080">
        <f t="shared" si="424"/>
        <v>1</v>
      </c>
      <c r="AQ365" s="1027">
        <f>VLOOKUP(V365,'System Lookups'!$J$55:$P$64,7)</f>
        <v>1200</v>
      </c>
      <c r="AR365" s="1080" t="str">
        <f ca="1">IF(AND(NOT(ISBLANK(AJ365)),ISNA(MATCH(ROW(),'System Lookups'!$C$526:$C$539,0))),"Y","N")</f>
        <v>Y</v>
      </c>
      <c r="AS365" s="1080">
        <f t="shared" si="425"/>
        <v>0</v>
      </c>
      <c r="AU365" s="1080" t="e">
        <f t="shared" si="384"/>
        <v>#N/A</v>
      </c>
      <c r="AV365" s="1080" t="str">
        <f t="shared" si="381"/>
        <v>T</v>
      </c>
      <c r="AW365" s="1080">
        <f t="shared" si="385"/>
        <v>0</v>
      </c>
      <c r="AX365" s="1080">
        <f t="shared" si="386"/>
        <v>0</v>
      </c>
      <c r="AY365" s="1080">
        <f t="shared" si="387"/>
        <v>0</v>
      </c>
      <c r="AZ365" s="1080">
        <f t="shared" si="388"/>
        <v>0</v>
      </c>
      <c r="BA365" s="1080">
        <f t="shared" si="389"/>
        <v>0</v>
      </c>
      <c r="BB365" s="1080">
        <f>IF(AND(RACE=1,'Main Creation Page'!$E$6="Well",OR(ISNUMBER(FIND(Experience!$G$11,BE365)),ISNUMBER(FIND(Experience!$G$11,BF365)),ISNUMBER(FIND(Experience!$I$11,BE365)),ISNUMBER(FIND(Experience!$I$11,BF365)))),1,0)</f>
        <v>1</v>
      </c>
      <c r="BC365" s="1080" t="str">
        <f t="shared" si="390"/>
        <v>Monster:Demonic (Common)</v>
      </c>
      <c r="BD365" s="1080" t="s">
        <v>5694</v>
      </c>
      <c r="BE365" s="1080" t="str">
        <f t="shared" si="382"/>
        <v>Lore</v>
      </c>
      <c r="BF365" s="1080" t="str">
        <f t="shared" si="383"/>
        <v>Language Lore: Spoken</v>
      </c>
    </row>
    <row r="366" spans="1:58" ht="11.1" customHeight="1" outlineLevel="4">
      <c r="A366" s="1093" t="s">
        <v>4878</v>
      </c>
      <c r="B366" s="1094" t="s">
        <v>1942</v>
      </c>
      <c r="C366" s="1094"/>
      <c r="D366" s="1094"/>
      <c r="E366" s="1095" t="s">
        <v>5224</v>
      </c>
      <c r="F366" s="1095" t="s">
        <v>5224</v>
      </c>
      <c r="G366" s="1096">
        <v>0</v>
      </c>
      <c r="H366" s="1096" t="s">
        <v>5224</v>
      </c>
      <c r="I366" s="1096" t="s">
        <v>5224</v>
      </c>
      <c r="J366" s="1096" t="s">
        <v>5224</v>
      </c>
      <c r="K366" s="1096" t="s">
        <v>5224</v>
      </c>
      <c r="L366" s="1096">
        <v>0</v>
      </c>
      <c r="M366" s="1096" t="s">
        <v>5224</v>
      </c>
      <c r="N366" s="1096" t="s">
        <v>4631</v>
      </c>
      <c r="O366" s="1113"/>
      <c r="P366" s="1113" t="s">
        <v>13</v>
      </c>
      <c r="S366" s="1113" t="s">
        <v>58</v>
      </c>
      <c r="T366" s="1113"/>
      <c r="U366" s="1027">
        <v>8</v>
      </c>
      <c r="V366" s="1027">
        <f>IF((AP366+U366+VLOOKUP('Main Creation Page'!E$14,'System Lookups'!R$45:S$49,2))&gt;10,10,IF((AP366+U366+VLOOKUP('Main Creation Page'!E$14,'System Lookups'!R$45:S$49,2))&lt;1,1,(AP366+U366+VLOOKUP('Main Creation Page'!E$14,'System Lookups'!R$45:S$49,2))))</f>
        <v>9</v>
      </c>
      <c r="W366" s="1098" t="e">
        <f>IF(OR(I366&lt;&gt;"N",E366="C"),IF(AND(N366&lt;&gt;"T",ISNUMBER(FIND("V",I366))),1,0),NA())+IF(H366="Y",IF(AND(N366="P",ISNUMBER(FIND("Z",I366))),2,1),0)+IF(J366="Y",1,0)+IF(K366="Y",3,0)+IF(BE366="Lore",L366*2+Experience!$D$25,0)+IF(M366="Y",1,0)</f>
        <v>#N/A</v>
      </c>
      <c r="X366" s="1099"/>
      <c r="Y366" s="1100">
        <f ca="1">IF(P366="NS",IFERROR(INDIRECT(S366),NA()),VLOOKUP(INDIRECT(P366)+INDIRECT(S366),'System Lookups'!$A$3:$D$146,2))</f>
        <v>0.08</v>
      </c>
      <c r="Z366" s="1100">
        <f t="shared" si="415"/>
        <v>0</v>
      </c>
      <c r="AA366" s="1101">
        <f ca="1">IF(ISNA(Y366),0,Y366)+Z366+IF('Main Creation Page'!AB$2=37,'Main Creation Page'!E$14/100,0)</f>
        <v>0.08</v>
      </c>
      <c r="AB366" s="1102">
        <f>VLOOKUP(V366,'System Lookups'!$J$55:$P$64,3)</f>
        <v>0.01</v>
      </c>
      <c r="AC366" s="1103">
        <f>VLOOKUP(V366,'System Lookups'!$J$55:$P$64,4)</f>
        <v>0.02</v>
      </c>
      <c r="AD366" s="1104">
        <f t="shared" si="416"/>
        <v>0</v>
      </c>
      <c r="AE366" s="1094">
        <f>(IF(AD366&gt;VLOOKUP(V366,'System Lookups'!$J$55:$P$63,6),(((AD366-VLOOKUP(V366,'System Lookups'!$J$55:$P$63,6))*100)/20),0))+AF366</f>
        <v>0</v>
      </c>
      <c r="AF366" s="1121"/>
      <c r="AG366" s="1092">
        <f t="shared" si="417"/>
        <v>0</v>
      </c>
      <c r="AH366" s="1092" t="str">
        <f>IF(X366&lt;=Experience!$R$15+1,"","*")</f>
        <v/>
      </c>
      <c r="AI366" s="1092"/>
      <c r="AJ366" s="1080">
        <f t="shared" si="418"/>
        <v>0</v>
      </c>
      <c r="AK366" s="1080">
        <f t="shared" si="419"/>
        <v>0</v>
      </c>
      <c r="AL366" s="1080">
        <f t="shared" si="420"/>
        <v>0</v>
      </c>
      <c r="AM366" s="1092">
        <f t="shared" si="421"/>
        <v>0</v>
      </c>
      <c r="AN366" s="1080">
        <f t="shared" si="422"/>
        <v>1</v>
      </c>
      <c r="AO366" s="1080">
        <f t="shared" si="423"/>
        <v>0</v>
      </c>
      <c r="AP366" s="1080">
        <f t="shared" si="424"/>
        <v>1</v>
      </c>
      <c r="AQ366" s="1027">
        <f>VLOOKUP(V366,'System Lookups'!$J$55:$P$64,7)</f>
        <v>1500</v>
      </c>
      <c r="AR366" s="1080" t="str">
        <f ca="1">IF(AND(NOT(ISBLANK(AJ366)),ISNA(MATCH(ROW(),'System Lookups'!$C$526:$C$539,0))),"Y","N")</f>
        <v>Y</v>
      </c>
      <c r="AS366" s="1080">
        <f t="shared" si="425"/>
        <v>0</v>
      </c>
      <c r="AU366" s="1080" t="e">
        <f t="shared" si="384"/>
        <v>#N/A</v>
      </c>
      <c r="AV366" s="1080" t="str">
        <f t="shared" si="381"/>
        <v>T</v>
      </c>
      <c r="AW366" s="1080">
        <f t="shared" si="385"/>
        <v>0</v>
      </c>
      <c r="AX366" s="1080">
        <f t="shared" si="386"/>
        <v>0</v>
      </c>
      <c r="AY366" s="1080">
        <f t="shared" si="387"/>
        <v>0</v>
      </c>
      <c r="AZ366" s="1080">
        <f t="shared" si="388"/>
        <v>0</v>
      </c>
      <c r="BA366" s="1080">
        <f t="shared" si="389"/>
        <v>0</v>
      </c>
      <c r="BB366" s="1080">
        <f>IF(AND(RACE=1,'Main Creation Page'!$E$6="Well",OR(ISNUMBER(FIND(Experience!$G$11,BE366)),ISNUMBER(FIND(Experience!$G$11,BF366)),ISNUMBER(FIND(Experience!$I$11,BE366)),ISNUMBER(FIND(Experience!$I$11,BF366)))),1,0)</f>
        <v>1</v>
      </c>
      <c r="BC366" s="1080" t="str">
        <f t="shared" si="390"/>
        <v>Monster:Demonic (Challenge)</v>
      </c>
      <c r="BD366" s="1080" t="s">
        <v>5694</v>
      </c>
      <c r="BE366" s="1080" t="str">
        <f t="shared" si="382"/>
        <v>Lore</v>
      </c>
      <c r="BF366" s="1080" t="str">
        <f t="shared" si="383"/>
        <v>Language Lore: Spoken</v>
      </c>
    </row>
    <row r="367" spans="1:58" ht="11.1" customHeight="1" outlineLevel="3">
      <c r="A367" s="1028" t="s">
        <v>559</v>
      </c>
      <c r="B367" s="1094" t="s">
        <v>1942</v>
      </c>
      <c r="C367" s="1094"/>
      <c r="D367" s="1094"/>
      <c r="E367" s="1095" t="s">
        <v>5224</v>
      </c>
      <c r="F367" s="1095" t="s">
        <v>5224</v>
      </c>
      <c r="G367" s="1096">
        <v>0</v>
      </c>
      <c r="H367" s="1096" t="s">
        <v>5222</v>
      </c>
      <c r="I367" s="1096" t="s">
        <v>4635</v>
      </c>
      <c r="J367" s="1096" t="s">
        <v>5224</v>
      </c>
      <c r="K367" s="1096" t="s">
        <v>5224</v>
      </c>
      <c r="L367" s="1096">
        <v>0</v>
      </c>
      <c r="M367" s="1096" t="s">
        <v>5224</v>
      </c>
      <c r="N367" s="1096" t="s">
        <v>4631</v>
      </c>
      <c r="O367" s="1113"/>
      <c r="P367" s="1113" t="s">
        <v>13</v>
      </c>
      <c r="S367" s="1113" t="s">
        <v>58</v>
      </c>
      <c r="T367" s="1113"/>
      <c r="U367" s="1027">
        <v>8</v>
      </c>
      <c r="V367" s="1027">
        <f>IF((AP367+U367+VLOOKUP('Main Creation Page'!E$14,'System Lookups'!R$45:S$49,2))&gt;10,10,IF((AP367+U367+VLOOKUP('Main Creation Page'!E$14,'System Lookups'!R$45:S$49,2))&lt;1,1,(AP367+U367+VLOOKUP('Main Creation Page'!E$14,'System Lookups'!R$45:S$49,2))))</f>
        <v>9</v>
      </c>
      <c r="W367" s="1098">
        <f>IF(OR(I367&lt;&gt;"N",E367="C"),IF(AND(N367&lt;&gt;"T",ISNUMBER(FIND("V",I367))),1,0),NA())+IF(H367="Y",IF(AND(N367="P",ISNUMBER(FIND("Z",I367))),2,1),0)+IF(J367="Y",1,0)+IF(K367="Y",3,0)+IF(BE367="Lore",L367*2+Experience!$D$25,0)+IF(M367="Y",1,0)</f>
        <v>5</v>
      </c>
      <c r="X367" s="1099"/>
      <c r="Y367" s="1100">
        <f ca="1">IF(P367="NS",IFERROR(INDIRECT(S367),NA()),VLOOKUP(INDIRECT(P367)+INDIRECT(S367),'System Lookups'!$A$3:$D$146,2))</f>
        <v>0.08</v>
      </c>
      <c r="Z367" s="1100">
        <f t="shared" si="415"/>
        <v>0.15</v>
      </c>
      <c r="AA367" s="1101">
        <f ca="1">IF(ISNA(Y367),0,Y367)+Z367+IF('Main Creation Page'!AB$2=37,'Main Creation Page'!E$14/100,0)</f>
        <v>0.22999999999999998</v>
      </c>
      <c r="AB367" s="1102">
        <f>VLOOKUP(V367,'System Lookups'!$J$55:$P$64,3)</f>
        <v>0.01</v>
      </c>
      <c r="AC367" s="1103">
        <f>VLOOKUP(V367,'System Lookups'!$J$55:$P$64,4)</f>
        <v>0.02</v>
      </c>
      <c r="AD367" s="1104">
        <f t="shared" ca="1" si="416"/>
        <v>0.3</v>
      </c>
      <c r="AE367" s="1094">
        <f ca="1">(IF(AD367&gt;VLOOKUP(V367,'System Lookups'!$J$55:$P$63,6),(((AD367-VLOOKUP(V367,'System Lookups'!$J$55:$P$63,6))*100)/20),0))+AF367</f>
        <v>0</v>
      </c>
      <c r="AF367" s="1121"/>
      <c r="AG367" s="1092">
        <f t="shared" si="417"/>
        <v>0</v>
      </c>
      <c r="AH367" s="1092" t="str">
        <f>IF(X367&lt;=Experience!$R$15+1,"","*")</f>
        <v/>
      </c>
      <c r="AI367" s="1092"/>
      <c r="AJ367" s="1080">
        <f t="shared" si="418"/>
        <v>0</v>
      </c>
      <c r="AK367" s="1080">
        <f t="shared" ref="AK367:AK380" si="426">IF(F367="s",-2,0)</f>
        <v>0</v>
      </c>
      <c r="AL367" s="1080">
        <f t="shared" si="420"/>
        <v>0</v>
      </c>
      <c r="AM367" s="1092">
        <f t="shared" ref="AM367:AM380" si="427">IF(J367="y",1,0)</f>
        <v>0</v>
      </c>
      <c r="AN367" s="1080">
        <f t="shared" ref="AN367:AN380" si="428">IF(N367="P",-1,IF(N367="T",1,0))</f>
        <v>1</v>
      </c>
      <c r="AO367" s="1080">
        <f t="shared" si="423"/>
        <v>1</v>
      </c>
      <c r="AP367" s="1080">
        <f t="shared" si="424"/>
        <v>1</v>
      </c>
      <c r="AQ367" s="1027">
        <f>VLOOKUP(V367,'System Lookups'!$J$55:$P$64,7)</f>
        <v>1500</v>
      </c>
      <c r="AR367" s="1080" t="str">
        <f ca="1">IF(AND(NOT(ISBLANK(AJ367)),ISNA(MATCH(ROW(),'System Lookups'!$C$526:$C$539,0))),"Y","N")</f>
        <v>Y</v>
      </c>
      <c r="AS367" s="1080">
        <f t="shared" si="425"/>
        <v>0</v>
      </c>
      <c r="AU367" s="1080">
        <f t="shared" si="384"/>
        <v>5</v>
      </c>
      <c r="AV367" s="1080" t="str">
        <f t="shared" si="381"/>
        <v>MTZm</v>
      </c>
      <c r="AW367" s="1080">
        <f t="shared" si="385"/>
        <v>1</v>
      </c>
      <c r="AX367" s="1080">
        <f t="shared" si="386"/>
        <v>0</v>
      </c>
      <c r="AY367" s="1080">
        <f t="shared" si="387"/>
        <v>0</v>
      </c>
      <c r="AZ367" s="1080">
        <f t="shared" si="388"/>
        <v>0</v>
      </c>
      <c r="BA367" s="1080">
        <f t="shared" si="389"/>
        <v>0</v>
      </c>
      <c r="BB367" s="1080">
        <f>IF(AND(RACE=1,'Main Creation Page'!$E$6="Well",OR(ISNUMBER(FIND(Experience!$G$11,BE367)),ISNUMBER(FIND(Experience!$G$11,BF367)),ISNUMBER(FIND(Experience!$I$11,BE367)),ISNUMBER(FIND(Experience!$I$11,BF367)))),1,0)</f>
        <v>1</v>
      </c>
      <c r="BC367" s="1080" t="str">
        <f t="shared" si="390"/>
        <v>Monster:Draconic</v>
      </c>
      <c r="BD367" s="1080" t="s">
        <v>5694</v>
      </c>
      <c r="BE367" s="1080" t="str">
        <f t="shared" si="382"/>
        <v>Lore</v>
      </c>
      <c r="BF367" s="1080" t="str">
        <f t="shared" si="383"/>
        <v>Language Lore: Spoken</v>
      </c>
    </row>
    <row r="368" spans="1:58" ht="11.1" customHeight="1" outlineLevel="3">
      <c r="A368" s="1028" t="s">
        <v>4879</v>
      </c>
      <c r="B368" s="1094" t="s">
        <v>1942</v>
      </c>
      <c r="C368" s="1094"/>
      <c r="D368" s="1094"/>
      <c r="E368" s="1095" t="s">
        <v>5224</v>
      </c>
      <c r="F368" s="1095" t="s">
        <v>5224</v>
      </c>
      <c r="G368" s="1096">
        <v>0</v>
      </c>
      <c r="H368" s="1096" t="s">
        <v>5224</v>
      </c>
      <c r="I368" s="1096" t="s">
        <v>5224</v>
      </c>
      <c r="J368" s="1096" t="s">
        <v>5224</v>
      </c>
      <c r="K368" s="1096" t="s">
        <v>5224</v>
      </c>
      <c r="L368" s="1096">
        <v>0</v>
      </c>
      <c r="M368" s="1096" t="s">
        <v>5224</v>
      </c>
      <c r="N368" s="1096" t="s">
        <v>4631</v>
      </c>
      <c r="O368" s="1113"/>
      <c r="P368" s="1113" t="s">
        <v>13</v>
      </c>
      <c r="S368" s="1113" t="s">
        <v>58</v>
      </c>
      <c r="T368" s="1113"/>
      <c r="U368" s="1027">
        <v>9</v>
      </c>
      <c r="V368" s="1027">
        <f>IF((AP368+U368+VLOOKUP('Main Creation Page'!E$14,'System Lookups'!R$45:S$49,2))&gt;10,10,IF((AP368+U368+VLOOKUP('Main Creation Page'!E$14,'System Lookups'!R$45:S$49,2))&lt;1,1,(AP368+U368+VLOOKUP('Main Creation Page'!E$14,'System Lookups'!R$45:S$49,2))))</f>
        <v>10</v>
      </c>
      <c r="W368" s="1098" t="e">
        <f>IF(OR(I368&lt;&gt;"N",E368="C"),IF(AND(N368&lt;&gt;"T",ISNUMBER(FIND("V",I368))),1,0),NA())+IF(H368="Y",IF(AND(N368="P",ISNUMBER(FIND("Z",I368))),2,1),0)+IF(J368="Y",1,0)+IF(K368="Y",3,0)+IF(BE368="Lore",L368*2+Experience!$D$25,0)+IF(M368="Y",1,0)</f>
        <v>#N/A</v>
      </c>
      <c r="X368" s="1099"/>
      <c r="Y368" s="1100">
        <f ca="1">IF(P368="NS",IFERROR(INDIRECT(S368),NA()),VLOOKUP(INDIRECT(P368)+INDIRECT(S368),'System Lookups'!$A$3:$D$146,2))</f>
        <v>0.08</v>
      </c>
      <c r="Z368" s="1100">
        <f t="shared" si="415"/>
        <v>0</v>
      </c>
      <c r="AA368" s="1101">
        <f ca="1">IF(ISNA(Y368),0,Y368)+Z368+IF('Main Creation Page'!AB$2=37,'Main Creation Page'!E$14/100,0)</f>
        <v>0.08</v>
      </c>
      <c r="AB368" s="1102">
        <f>VLOOKUP(V368,'System Lookups'!$J$55:$P$64,3)</f>
        <v>0</v>
      </c>
      <c r="AC368" s="1103">
        <f>VLOOKUP(V368,'System Lookups'!$J$55:$P$64,4)</f>
        <v>0.01</v>
      </c>
      <c r="AD368" s="1104">
        <f t="shared" si="416"/>
        <v>0</v>
      </c>
      <c r="AE368" s="1094">
        <f>(IF(AD368&gt;VLOOKUP(V368,'System Lookups'!$J$55:$P$63,6),(((AD368-VLOOKUP(V368,'System Lookups'!$J$55:$P$63,6))*100)/20),0))+AF368</f>
        <v>0</v>
      </c>
      <c r="AF368" s="1121"/>
      <c r="AG368" s="1092">
        <f t="shared" si="417"/>
        <v>0</v>
      </c>
      <c r="AH368" s="1092" t="str">
        <f>IF(X368&lt;=Experience!$R$15+1,"","*")</f>
        <v/>
      </c>
      <c r="AI368" s="1092"/>
      <c r="AJ368" s="1080">
        <f t="shared" si="418"/>
        <v>0</v>
      </c>
      <c r="AK368" s="1080">
        <f t="shared" si="426"/>
        <v>0</v>
      </c>
      <c r="AL368" s="1080">
        <f t="shared" si="420"/>
        <v>0</v>
      </c>
      <c r="AM368" s="1092">
        <f t="shared" si="427"/>
        <v>0</v>
      </c>
      <c r="AN368" s="1080">
        <f t="shared" si="428"/>
        <v>1</v>
      </c>
      <c r="AO368" s="1080">
        <f t="shared" si="423"/>
        <v>0</v>
      </c>
      <c r="AP368" s="1080">
        <f t="shared" si="424"/>
        <v>1</v>
      </c>
      <c r="AQ368" s="1027">
        <f>VLOOKUP(V368,'System Lookups'!$J$55:$P$64,7)</f>
        <v>2000</v>
      </c>
      <c r="AR368" s="1080" t="str">
        <f ca="1">IF(AND(NOT(ISBLANK(AJ368)),ISNA(MATCH(ROW(),'System Lookups'!$C$526:$C$539,0))),"Y","N")</f>
        <v>Y</v>
      </c>
      <c r="AS368" s="1080">
        <f t="shared" si="425"/>
        <v>0</v>
      </c>
      <c r="AU368" s="1080" t="e">
        <f t="shared" si="384"/>
        <v>#N/A</v>
      </c>
      <c r="AV368" s="1080" t="str">
        <f t="shared" si="381"/>
        <v>T</v>
      </c>
      <c r="AW368" s="1080">
        <f t="shared" si="385"/>
        <v>0</v>
      </c>
      <c r="AX368" s="1080">
        <f t="shared" si="386"/>
        <v>0</v>
      </c>
      <c r="AY368" s="1080">
        <f t="shared" si="387"/>
        <v>0</v>
      </c>
      <c r="AZ368" s="1080">
        <f t="shared" si="388"/>
        <v>0</v>
      </c>
      <c r="BA368" s="1080">
        <f t="shared" si="389"/>
        <v>0</v>
      </c>
      <c r="BB368" s="1080">
        <f>IF(AND(RACE=1,'Main Creation Page'!$E$6="Well",OR(ISNUMBER(FIND(Experience!$G$11,BE368)),ISNUMBER(FIND(Experience!$G$11,BF368)),ISNUMBER(FIND(Experience!$I$11,BE368)),ISNUMBER(FIND(Experience!$I$11,BF368)))),1,0)</f>
        <v>1</v>
      </c>
      <c r="BC368" s="1080" t="str">
        <f t="shared" si="390"/>
        <v>Monster:Draconic (Ancient)</v>
      </c>
      <c r="BD368" s="1080" t="s">
        <v>5694</v>
      </c>
      <c r="BE368" s="1080" t="str">
        <f t="shared" si="382"/>
        <v>Lore</v>
      </c>
      <c r="BF368" s="1080" t="str">
        <f t="shared" si="383"/>
        <v>Language Lore: Spoken</v>
      </c>
    </row>
    <row r="369" spans="1:58" ht="11.1" customHeight="1" outlineLevel="3">
      <c r="A369" s="1028" t="s">
        <v>1524</v>
      </c>
      <c r="B369" s="1094" t="s">
        <v>1942</v>
      </c>
      <c r="C369" s="1094"/>
      <c r="D369" s="1094"/>
      <c r="E369" s="1095" t="s">
        <v>5224</v>
      </c>
      <c r="F369" s="1095" t="s">
        <v>5224</v>
      </c>
      <c r="G369" s="1096">
        <v>0</v>
      </c>
      <c r="H369" s="1096" t="s">
        <v>5224</v>
      </c>
      <c r="I369" s="1096" t="s">
        <v>5224</v>
      </c>
      <c r="J369" s="1096" t="s">
        <v>5224</v>
      </c>
      <c r="K369" s="1096" t="s">
        <v>5224</v>
      </c>
      <c r="L369" s="1096">
        <v>0</v>
      </c>
      <c r="M369" s="1096" t="s">
        <v>5224</v>
      </c>
      <c r="N369" s="1096" t="s">
        <v>4631</v>
      </c>
      <c r="O369" s="1113"/>
      <c r="P369" s="1113" t="s">
        <v>13</v>
      </c>
      <c r="S369" s="1113" t="s">
        <v>58</v>
      </c>
      <c r="T369" s="1113"/>
      <c r="U369" s="1027">
        <v>7</v>
      </c>
      <c r="V369" s="1027">
        <f>IF((AP369+U369+VLOOKUP('Main Creation Page'!E$14,'System Lookups'!R$45:S$49,2))&gt;10,10,IF((AP369+U369+VLOOKUP('Main Creation Page'!E$14,'System Lookups'!R$45:S$49,2))&lt;1,1,(AP369+U369+VLOOKUP('Main Creation Page'!E$14,'System Lookups'!R$45:S$49,2))))</f>
        <v>8</v>
      </c>
      <c r="W369" s="1098" t="e">
        <f>IF(OR(I369&lt;&gt;"N",E369="C"),IF(AND(N369&lt;&gt;"T",ISNUMBER(FIND("V",I369))),1,0),NA())+IF(H369="Y",IF(AND(N369="P",ISNUMBER(FIND("Z",I369))),2,1),0)+IF(J369="Y",1,0)+IF(K369="Y",3,0)+IF(BE369="Lore",L369*2+Experience!$D$25,0)+IF(M369="Y",1,0)</f>
        <v>#N/A</v>
      </c>
      <c r="X369" s="1099"/>
      <c r="Y369" s="1100">
        <f ca="1">IF(P369="NS",IFERROR(INDIRECT(S369),NA()),VLOOKUP(INDIRECT(P369)+INDIRECT(S369),'System Lookups'!$A$3:$D$146,2))</f>
        <v>0.08</v>
      </c>
      <c r="Z369" s="1100">
        <f t="shared" si="415"/>
        <v>0</v>
      </c>
      <c r="AA369" s="1101">
        <f ca="1">IF(ISNA(Y369),0,Y369)+Z369+IF('Main Creation Page'!AB$2=37,'Main Creation Page'!E$14/100,0)</f>
        <v>0.08</v>
      </c>
      <c r="AB369" s="1102">
        <f>VLOOKUP(V369,'System Lookups'!$J$55:$P$64,3)</f>
        <v>0.02</v>
      </c>
      <c r="AC369" s="1103">
        <f>VLOOKUP(V369,'System Lookups'!$J$55:$P$64,4)</f>
        <v>0.03</v>
      </c>
      <c r="AD369" s="1104">
        <f t="shared" si="416"/>
        <v>0</v>
      </c>
      <c r="AE369" s="1094">
        <f>(IF(AD369&gt;VLOOKUP(V369,'System Lookups'!$J$55:$P$63,6),(((AD369-VLOOKUP(V369,'System Lookups'!$J$55:$P$63,6))*100)/20),0))+AF369</f>
        <v>0</v>
      </c>
      <c r="AF369" s="1121"/>
      <c r="AG369" s="1092">
        <f t="shared" si="417"/>
        <v>0</v>
      </c>
      <c r="AH369" s="1092" t="str">
        <f>IF(X369&lt;=Experience!$R$15+1,"","*")</f>
        <v/>
      </c>
      <c r="AI369" s="1092"/>
      <c r="AJ369" s="1080">
        <f t="shared" si="418"/>
        <v>0</v>
      </c>
      <c r="AK369" s="1080">
        <f t="shared" si="426"/>
        <v>0</v>
      </c>
      <c r="AL369" s="1080">
        <f t="shared" si="420"/>
        <v>0</v>
      </c>
      <c r="AM369" s="1092">
        <f t="shared" si="427"/>
        <v>0</v>
      </c>
      <c r="AN369" s="1080">
        <f t="shared" si="428"/>
        <v>1</v>
      </c>
      <c r="AO369" s="1080">
        <f t="shared" si="423"/>
        <v>0</v>
      </c>
      <c r="AP369" s="1080">
        <f t="shared" si="424"/>
        <v>1</v>
      </c>
      <c r="AQ369" s="1027">
        <f>VLOOKUP(V369,'System Lookups'!$J$55:$P$64,7)</f>
        <v>1200</v>
      </c>
      <c r="AR369" s="1080" t="str">
        <f ca="1">IF(AND(NOT(ISBLANK(AJ369)),ISNA(MATCH(ROW(),'System Lookups'!$C$526:$C$539,0))),"Y","N")</f>
        <v>Y</v>
      </c>
      <c r="AS369" s="1080">
        <f t="shared" si="425"/>
        <v>0</v>
      </c>
      <c r="AU369" s="1080" t="e">
        <f t="shared" si="384"/>
        <v>#N/A</v>
      </c>
      <c r="AV369" s="1080" t="str">
        <f t="shared" si="381"/>
        <v>T</v>
      </c>
      <c r="AW369" s="1080">
        <f t="shared" si="385"/>
        <v>0</v>
      </c>
      <c r="AX369" s="1080">
        <f t="shared" si="386"/>
        <v>0</v>
      </c>
      <c r="AY369" s="1080">
        <f t="shared" si="387"/>
        <v>0</v>
      </c>
      <c r="AZ369" s="1080">
        <f t="shared" si="388"/>
        <v>0</v>
      </c>
      <c r="BA369" s="1080">
        <f t="shared" si="389"/>
        <v>0</v>
      </c>
      <c r="BB369" s="1080">
        <f>IF(AND(RACE=1,'Main Creation Page'!$E$6="Well",OR(ISNUMBER(FIND(Experience!$G$11,BE369)),ISNUMBER(FIND(Experience!$G$11,BF369)),ISNUMBER(FIND(Experience!$I$11,BE369)),ISNUMBER(FIND(Experience!$I$11,BF369)))),1,0)</f>
        <v>1</v>
      </c>
      <c r="BC369" s="1080" t="str">
        <f t="shared" si="390"/>
        <v>Monster:Faery (Seelie)</v>
      </c>
      <c r="BD369" s="1080" t="s">
        <v>5694</v>
      </c>
      <c r="BE369" s="1080" t="str">
        <f t="shared" si="382"/>
        <v>Lore</v>
      </c>
      <c r="BF369" s="1080" t="str">
        <f t="shared" si="383"/>
        <v>Language Lore: Spoken</v>
      </c>
    </row>
    <row r="370" spans="1:58" ht="11.1" customHeight="1" outlineLevel="3">
      <c r="A370" s="1028" t="s">
        <v>1493</v>
      </c>
      <c r="B370" s="1094" t="s">
        <v>1942</v>
      </c>
      <c r="C370" s="1094"/>
      <c r="D370" s="1094"/>
      <c r="E370" s="1095" t="s">
        <v>5224</v>
      </c>
      <c r="F370" s="1095" t="s">
        <v>5224</v>
      </c>
      <c r="G370" s="1096">
        <v>0</v>
      </c>
      <c r="H370" s="1096" t="s">
        <v>5224</v>
      </c>
      <c r="I370" s="1096" t="s">
        <v>5224</v>
      </c>
      <c r="J370" s="1096" t="s">
        <v>5224</v>
      </c>
      <c r="K370" s="1096" t="s">
        <v>5224</v>
      </c>
      <c r="L370" s="1096">
        <v>0</v>
      </c>
      <c r="M370" s="1096" t="s">
        <v>5224</v>
      </c>
      <c r="N370" s="1096" t="s">
        <v>4631</v>
      </c>
      <c r="O370" s="1113"/>
      <c r="P370" s="1113" t="s">
        <v>13</v>
      </c>
      <c r="S370" s="1113" t="s">
        <v>58</v>
      </c>
      <c r="T370" s="1113"/>
      <c r="U370" s="1027">
        <v>7</v>
      </c>
      <c r="V370" s="1027">
        <f>IF((AP370+U370+VLOOKUP('Main Creation Page'!E$14,'System Lookups'!R$45:S$49,2))&gt;10,10,IF((AP370+U370+VLOOKUP('Main Creation Page'!E$14,'System Lookups'!R$45:S$49,2))&lt;1,1,(AP370+U370+VLOOKUP('Main Creation Page'!E$14,'System Lookups'!R$45:S$49,2))))</f>
        <v>8</v>
      </c>
      <c r="W370" s="1098" t="e">
        <f>IF(OR(I370&lt;&gt;"N",E370="C"),IF(AND(N370&lt;&gt;"T",ISNUMBER(FIND("V",I370))),1,0),NA())+IF(H370="Y",IF(AND(N370="P",ISNUMBER(FIND("Z",I370))),2,1),0)+IF(J370="Y",1,0)+IF(K370="Y",3,0)+IF(BE370="Lore",L370*2+Experience!$D$25,0)+IF(M370="Y",1,0)</f>
        <v>#N/A</v>
      </c>
      <c r="X370" s="1099"/>
      <c r="Y370" s="1100">
        <f ca="1">IF(P370="NS",IFERROR(INDIRECT(S370),NA()),VLOOKUP(INDIRECT(P370)+INDIRECT(S370),'System Lookups'!$A$3:$D$146,2))</f>
        <v>0.08</v>
      </c>
      <c r="Z370" s="1100">
        <f t="shared" si="415"/>
        <v>0</v>
      </c>
      <c r="AA370" s="1101">
        <f ca="1">IF(ISNA(Y370),0,Y370)+Z370+IF('Main Creation Page'!AB$2=37,'Main Creation Page'!E$14/100,0)</f>
        <v>0.08</v>
      </c>
      <c r="AB370" s="1102">
        <f>VLOOKUP(V370,'System Lookups'!$J$55:$P$64,3)</f>
        <v>0.02</v>
      </c>
      <c r="AC370" s="1103">
        <f>VLOOKUP(V370,'System Lookups'!$J$55:$P$64,4)</f>
        <v>0.03</v>
      </c>
      <c r="AD370" s="1104">
        <f t="shared" si="416"/>
        <v>0</v>
      </c>
      <c r="AE370" s="1094">
        <f>(IF(AD370&gt;VLOOKUP(V370,'System Lookups'!$J$55:$P$63,6),(((AD370-VLOOKUP(V370,'System Lookups'!$J$55:$P$63,6))*100)/20),0))+AF370</f>
        <v>0</v>
      </c>
      <c r="AF370" s="1121"/>
      <c r="AG370" s="1092">
        <f t="shared" si="417"/>
        <v>0</v>
      </c>
      <c r="AH370" s="1092" t="str">
        <f>IF(X370&lt;=Experience!$R$15+1,"","*")</f>
        <v/>
      </c>
      <c r="AI370" s="1092"/>
      <c r="AJ370" s="1080">
        <f t="shared" si="418"/>
        <v>0</v>
      </c>
      <c r="AK370" s="1080">
        <f t="shared" si="426"/>
        <v>0</v>
      </c>
      <c r="AL370" s="1080">
        <f t="shared" si="420"/>
        <v>0</v>
      </c>
      <c r="AM370" s="1092">
        <f t="shared" si="427"/>
        <v>0</v>
      </c>
      <c r="AN370" s="1080">
        <f t="shared" si="428"/>
        <v>1</v>
      </c>
      <c r="AO370" s="1080">
        <f t="shared" si="423"/>
        <v>0</v>
      </c>
      <c r="AP370" s="1080">
        <f t="shared" si="424"/>
        <v>1</v>
      </c>
      <c r="AQ370" s="1027">
        <f>VLOOKUP(V370,'System Lookups'!$J$55:$P$64,7)</f>
        <v>1200</v>
      </c>
      <c r="AR370" s="1080" t="str">
        <f ca="1">IF(AND(NOT(ISBLANK(AJ370)),ISNA(MATCH(ROW(),'System Lookups'!$C$526:$C$539,0))),"Y","N")</f>
        <v>Y</v>
      </c>
      <c r="AS370" s="1080">
        <f t="shared" si="425"/>
        <v>0</v>
      </c>
      <c r="AU370" s="1080" t="e">
        <f t="shared" si="384"/>
        <v>#N/A</v>
      </c>
      <c r="AV370" s="1080" t="str">
        <f t="shared" si="381"/>
        <v>T</v>
      </c>
      <c r="AW370" s="1080">
        <f t="shared" si="385"/>
        <v>0</v>
      </c>
      <c r="AX370" s="1080">
        <f t="shared" si="386"/>
        <v>0</v>
      </c>
      <c r="AY370" s="1080">
        <f t="shared" si="387"/>
        <v>0</v>
      </c>
      <c r="AZ370" s="1080">
        <f t="shared" si="388"/>
        <v>0</v>
      </c>
      <c r="BA370" s="1080">
        <f t="shared" si="389"/>
        <v>0</v>
      </c>
      <c r="BB370" s="1080">
        <f>IF(AND(RACE=1,'Main Creation Page'!$E$6="Well",OR(ISNUMBER(FIND(Experience!$G$11,BE370)),ISNUMBER(FIND(Experience!$G$11,BF370)),ISNUMBER(FIND(Experience!$I$11,BE370)),ISNUMBER(FIND(Experience!$I$11,BF370)))),1,0)</f>
        <v>1</v>
      </c>
      <c r="BC370" s="1080" t="str">
        <f t="shared" si="390"/>
        <v>Monster:Faery (Un-Seelie)</v>
      </c>
      <c r="BD370" s="1080" t="s">
        <v>5694</v>
      </c>
      <c r="BE370" s="1080" t="str">
        <f t="shared" si="382"/>
        <v>Lore</v>
      </c>
      <c r="BF370" s="1080" t="str">
        <f t="shared" si="383"/>
        <v>Language Lore: Spoken</v>
      </c>
    </row>
    <row r="371" spans="1:58" ht="11.1" customHeight="1" outlineLevel="3">
      <c r="A371" s="1093" t="s">
        <v>1494</v>
      </c>
      <c r="B371" s="1094" t="s">
        <v>1942</v>
      </c>
      <c r="C371" s="1094"/>
      <c r="D371" s="1094"/>
      <c r="E371" s="1095" t="s">
        <v>5224</v>
      </c>
      <c r="F371" s="1095" t="s">
        <v>5224</v>
      </c>
      <c r="G371" s="1096">
        <v>0</v>
      </c>
      <c r="H371" s="1096" t="s">
        <v>5224</v>
      </c>
      <c r="I371" s="1096" t="s">
        <v>5224</v>
      </c>
      <c r="J371" s="1096" t="s">
        <v>5224</v>
      </c>
      <c r="K371" s="1096" t="s">
        <v>5224</v>
      </c>
      <c r="L371" s="1096">
        <v>0</v>
      </c>
      <c r="M371" s="1096" t="s">
        <v>5224</v>
      </c>
      <c r="N371" s="1096" t="s">
        <v>4631</v>
      </c>
      <c r="O371" s="1113"/>
      <c r="P371" s="1113" t="s">
        <v>13</v>
      </c>
      <c r="S371" s="1113" t="s">
        <v>58</v>
      </c>
      <c r="T371" s="1113"/>
      <c r="U371" s="1027">
        <v>3</v>
      </c>
      <c r="V371" s="1027">
        <f>IF((AP371+U371+VLOOKUP('Main Creation Page'!E$14,'System Lookups'!R$45:S$49,2))&gt;10,10,IF((AP371+U371+VLOOKUP('Main Creation Page'!E$14,'System Lookups'!R$45:S$49,2))&lt;1,1,(AP371+U371+VLOOKUP('Main Creation Page'!E$14,'System Lookups'!R$45:S$49,2))))</f>
        <v>4</v>
      </c>
      <c r="W371" s="1098" t="e">
        <f>IF(OR(I371&lt;&gt;"N",E371="C"),IF(AND(N371&lt;&gt;"T",ISNUMBER(FIND("V",I371))),1,0),NA())+IF(H371="Y",IF(AND(N371="P",ISNUMBER(FIND("Z",I371))),2,1),0)+IF(J371="Y",1,0)+IF(K371="Y",3,0)+IF(BE371="Lore",L371*2+Experience!$D$25,0)+IF(M371="Y",1,0)</f>
        <v>#N/A</v>
      </c>
      <c r="X371" s="1099"/>
      <c r="Y371" s="1100">
        <f ca="1">IF(P371="NS",IFERROR(INDIRECT(S371),NA()),VLOOKUP(INDIRECT(P371)+INDIRECT(S371),'System Lookups'!$A$3:$D$146,2))</f>
        <v>0.08</v>
      </c>
      <c r="Z371" s="1100">
        <f t="shared" si="415"/>
        <v>0</v>
      </c>
      <c r="AA371" s="1101">
        <f ca="1">IF(ISNA(Y371),0,Y371)+Z371+IF('Main Creation Page'!AB$2=37,'Main Creation Page'!E$14/100,0)</f>
        <v>0.08</v>
      </c>
      <c r="AB371" s="1102">
        <f>VLOOKUP(V371,'System Lookups'!$J$55:$P$64,3)</f>
        <v>0.2</v>
      </c>
      <c r="AC371" s="1103">
        <f>VLOOKUP(V371,'System Lookups'!$J$55:$P$64,4)</f>
        <v>0.3</v>
      </c>
      <c r="AD371" s="1104">
        <f t="shared" si="416"/>
        <v>0</v>
      </c>
      <c r="AE371" s="1094">
        <f>(IF(AD371&gt;VLOOKUP(V371,'System Lookups'!$J$55:$P$63,6),(((AD371-VLOOKUP(V371,'System Lookups'!$J$55:$P$63,6))*100)/20),0))+AF371</f>
        <v>0</v>
      </c>
      <c r="AF371" s="1121"/>
      <c r="AG371" s="1092">
        <f t="shared" si="417"/>
        <v>0</v>
      </c>
      <c r="AH371" s="1092" t="str">
        <f>IF(X371&lt;=Experience!$R$15+1,"","*")</f>
        <v/>
      </c>
      <c r="AI371" s="1092"/>
      <c r="AJ371" s="1080">
        <f t="shared" si="418"/>
        <v>0</v>
      </c>
      <c r="AK371" s="1080">
        <f t="shared" si="426"/>
        <v>0</v>
      </c>
      <c r="AL371" s="1080">
        <f t="shared" si="420"/>
        <v>0</v>
      </c>
      <c r="AM371" s="1092">
        <f t="shared" si="427"/>
        <v>0</v>
      </c>
      <c r="AN371" s="1080">
        <f t="shared" si="428"/>
        <v>1</v>
      </c>
      <c r="AO371" s="1080">
        <f t="shared" si="423"/>
        <v>0</v>
      </c>
      <c r="AP371" s="1080">
        <f t="shared" si="424"/>
        <v>1</v>
      </c>
      <c r="AQ371" s="1027">
        <f>VLOOKUP(V371,'System Lookups'!$J$55:$P$64,7)</f>
        <v>600</v>
      </c>
      <c r="AR371" s="1080" t="str">
        <f ca="1">IF(AND(NOT(ISBLANK(AJ371)),ISNA(MATCH(ROW(),'System Lookups'!$C$526:$C$539,0))),"Y","N")</f>
        <v>Y</v>
      </c>
      <c r="AS371" s="1080">
        <f t="shared" si="425"/>
        <v>0</v>
      </c>
      <c r="AU371" s="1080" t="e">
        <f t="shared" si="384"/>
        <v>#N/A</v>
      </c>
      <c r="AV371" s="1080" t="str">
        <f t="shared" si="381"/>
        <v>T</v>
      </c>
      <c r="AW371" s="1080">
        <f t="shared" si="385"/>
        <v>0</v>
      </c>
      <c r="AX371" s="1080">
        <f t="shared" si="386"/>
        <v>0</v>
      </c>
      <c r="AY371" s="1080">
        <f t="shared" si="387"/>
        <v>0</v>
      </c>
      <c r="AZ371" s="1080">
        <f t="shared" si="388"/>
        <v>0</v>
      </c>
      <c r="BA371" s="1080">
        <f t="shared" si="389"/>
        <v>0</v>
      </c>
      <c r="BB371" s="1080">
        <f>IF(AND(RACE=1,'Main Creation Page'!$E$6="Well",OR(ISNUMBER(FIND(Experience!$G$11,BE371)),ISNUMBER(FIND(Experience!$G$11,BF371)),ISNUMBER(FIND(Experience!$I$11,BE371)),ISNUMBER(FIND(Experience!$I$11,BF371)))),1,0)</f>
        <v>1</v>
      </c>
      <c r="BC371" s="1080" t="str">
        <f t="shared" si="390"/>
        <v>Monster:Giant</v>
      </c>
      <c r="BD371" s="1080" t="s">
        <v>5694</v>
      </c>
      <c r="BE371" s="1080" t="str">
        <f t="shared" si="382"/>
        <v>Lore</v>
      </c>
      <c r="BF371" s="1080" t="str">
        <f t="shared" si="383"/>
        <v>Language Lore: Spoken</v>
      </c>
    </row>
    <row r="372" spans="1:58" ht="11.1" customHeight="1" outlineLevel="3">
      <c r="A372" s="1028" t="s">
        <v>1412</v>
      </c>
      <c r="B372" s="1094" t="s">
        <v>1942</v>
      </c>
      <c r="C372" s="1094"/>
      <c r="D372" s="1094"/>
      <c r="E372" s="1095" t="s">
        <v>5224</v>
      </c>
      <c r="F372" s="1095" t="str">
        <f>IF('Main Creation Page'!$C$3=7, "R", "N")</f>
        <v>N</v>
      </c>
      <c r="G372" s="1096">
        <v>0</v>
      </c>
      <c r="H372" s="1096" t="s">
        <v>5224</v>
      </c>
      <c r="I372" s="1096" t="s">
        <v>5224</v>
      </c>
      <c r="J372" s="1096" t="s">
        <v>5224</v>
      </c>
      <c r="K372" s="1096" t="s">
        <v>5224</v>
      </c>
      <c r="L372" s="1096">
        <v>0</v>
      </c>
      <c r="M372" s="1096" t="s">
        <v>5224</v>
      </c>
      <c r="N372" s="1096" t="s">
        <v>4631</v>
      </c>
      <c r="O372" s="1113"/>
      <c r="P372" s="1113" t="s">
        <v>13</v>
      </c>
      <c r="S372" s="1113" t="s">
        <v>58</v>
      </c>
      <c r="T372" s="1113"/>
      <c r="U372" s="1027">
        <f>IF(F372="r",1,3)</f>
        <v>3</v>
      </c>
      <c r="V372" s="1027">
        <f>IF((AP372+U372+VLOOKUP('Main Creation Page'!E$14,'System Lookups'!R$45:S$49,2))&gt;10,10,IF((AP372+U372+VLOOKUP('Main Creation Page'!E$14,'System Lookups'!R$45:S$49,2))&lt;1,1,(AP372+U372+VLOOKUP('Main Creation Page'!E$14,'System Lookups'!R$45:S$49,2))))</f>
        <v>4</v>
      </c>
      <c r="W372" s="1098" t="e">
        <f>IF(OR(I372&lt;&gt;"N",E372="C"),IF(AND(N372&lt;&gt;"T",ISNUMBER(FIND("V",I372))),1,0),NA())+IF(H372="Y",IF(AND(N372="P",ISNUMBER(FIND("Z",I372))),2,1),0)+IF(J372="Y",1,0)+IF(K372="Y",3,0)+IF(BE372="Lore",L372*2+Experience!$D$25,0)+IF(M372="Y",1,0)</f>
        <v>#N/A</v>
      </c>
      <c r="X372" s="1099"/>
      <c r="Y372" s="1100">
        <f ca="1">IF(P372="NS",IFERROR(INDIRECT(S372),NA()),VLOOKUP(INDIRECT(P372)+INDIRECT(S372),'System Lookups'!$A$3:$D$146,2))</f>
        <v>0.08</v>
      </c>
      <c r="Z372" s="1100">
        <f t="shared" si="415"/>
        <v>0</v>
      </c>
      <c r="AA372" s="1101">
        <f ca="1">IF(ISNA(Y372),0,Y372)+Z372+IF('Main Creation Page'!AB$2=37,'Main Creation Page'!E$14/100,0)</f>
        <v>0.08</v>
      </c>
      <c r="AB372" s="1102">
        <f>VLOOKUP(V372,'System Lookups'!$J$55:$P$64,3)</f>
        <v>0.2</v>
      </c>
      <c r="AC372" s="1103">
        <f>VLOOKUP(V372,'System Lookups'!$J$55:$P$64,4)</f>
        <v>0.3</v>
      </c>
      <c r="AD372" s="1104">
        <f t="shared" si="416"/>
        <v>0</v>
      </c>
      <c r="AE372" s="1094">
        <f>(IF(AD372&gt;VLOOKUP(V372,'System Lookups'!$J$55:$P$63,6),(((AD372-VLOOKUP(V372,'System Lookups'!$J$55:$P$63,6))*100)/20),0))+AF372</f>
        <v>0</v>
      </c>
      <c r="AF372" s="1121"/>
      <c r="AG372" s="1092">
        <f t="shared" si="417"/>
        <v>0</v>
      </c>
      <c r="AH372" s="1092" t="str">
        <f>IF(X372&lt;=Experience!$R$15+1,"","*")</f>
        <v/>
      </c>
      <c r="AI372" s="1092"/>
      <c r="AJ372" s="1080">
        <f t="shared" si="418"/>
        <v>0</v>
      </c>
      <c r="AK372" s="1080">
        <f t="shared" si="426"/>
        <v>0</v>
      </c>
      <c r="AL372" s="1080">
        <f t="shared" si="420"/>
        <v>0</v>
      </c>
      <c r="AM372" s="1092">
        <f t="shared" si="427"/>
        <v>0</v>
      </c>
      <c r="AN372" s="1080">
        <f t="shared" si="428"/>
        <v>1</v>
      </c>
      <c r="AO372" s="1080">
        <f t="shared" si="423"/>
        <v>0</v>
      </c>
      <c r="AP372" s="1080">
        <f t="shared" si="424"/>
        <v>1</v>
      </c>
      <c r="AQ372" s="1027">
        <f>VLOOKUP(V372,'System Lookups'!$J$55:$P$64,7)</f>
        <v>600</v>
      </c>
      <c r="AR372" s="1080" t="str">
        <f ca="1">IF(AND(NOT(ISBLANK(AJ372)),ISNA(MATCH(ROW(),'System Lookups'!$C$526:$C$539,0))),"Y","N")</f>
        <v>Y</v>
      </c>
      <c r="AS372" s="1080">
        <f t="shared" si="425"/>
        <v>0</v>
      </c>
      <c r="AU372" s="1080" t="e">
        <f t="shared" si="384"/>
        <v>#N/A</v>
      </c>
      <c r="AV372" s="1080" t="str">
        <f t="shared" si="381"/>
        <v>T</v>
      </c>
      <c r="AW372" s="1080">
        <f t="shared" si="385"/>
        <v>0</v>
      </c>
      <c r="AX372" s="1080">
        <f t="shared" si="386"/>
        <v>0</v>
      </c>
      <c r="AY372" s="1080">
        <f t="shared" si="387"/>
        <v>0</v>
      </c>
      <c r="AZ372" s="1080">
        <f t="shared" si="388"/>
        <v>0</v>
      </c>
      <c r="BA372" s="1080">
        <f t="shared" si="389"/>
        <v>0</v>
      </c>
      <c r="BB372" s="1080">
        <f>IF(AND(RACE=1,'Main Creation Page'!$E$6="Well",OR(ISNUMBER(FIND(Experience!$G$11,BE372)),ISNUMBER(FIND(Experience!$G$11,BF372)),ISNUMBER(FIND(Experience!$I$11,BE372)),ISNUMBER(FIND(Experience!$I$11,BF372)))),1,0)</f>
        <v>1</v>
      </c>
      <c r="BC372" s="1080" t="str">
        <f t="shared" si="390"/>
        <v>Monster:Goblin</v>
      </c>
      <c r="BD372" s="1080" t="s">
        <v>5694</v>
      </c>
      <c r="BE372" s="1080" t="str">
        <f t="shared" si="382"/>
        <v>Lore</v>
      </c>
      <c r="BF372" s="1080" t="str">
        <f t="shared" si="383"/>
        <v>Language Lore: Spoken</v>
      </c>
    </row>
    <row r="373" spans="1:58" ht="11.1" customHeight="1" outlineLevel="3">
      <c r="A373" s="1028" t="s">
        <v>3260</v>
      </c>
      <c r="B373" s="1094" t="s">
        <v>1942</v>
      </c>
      <c r="C373" s="1094"/>
      <c r="D373" s="1094"/>
      <c r="E373" s="1095" t="s">
        <v>5224</v>
      </c>
      <c r="F373" s="1095" t="str">
        <f>IF('Main Creation Page'!$C$3=7, "R", "N")</f>
        <v>N</v>
      </c>
      <c r="G373" s="1096">
        <v>0</v>
      </c>
      <c r="H373" s="1096" t="s">
        <v>5224</v>
      </c>
      <c r="I373" s="1096" t="s">
        <v>5224</v>
      </c>
      <c r="J373" s="1096" t="s">
        <v>5224</v>
      </c>
      <c r="K373" s="1096" t="s">
        <v>5224</v>
      </c>
      <c r="L373" s="1096">
        <v>0</v>
      </c>
      <c r="M373" s="1096" t="s">
        <v>5224</v>
      </c>
      <c r="N373" s="1096" t="s">
        <v>4631</v>
      </c>
      <c r="O373" s="1113"/>
      <c r="P373" s="1113" t="s">
        <v>13</v>
      </c>
      <c r="S373" s="1113" t="s">
        <v>58</v>
      </c>
      <c r="T373" s="1113"/>
      <c r="U373" s="1027">
        <f>IF(F373="r",1,3)</f>
        <v>3</v>
      </c>
      <c r="V373" s="1027">
        <f>IF((AP373+U373+VLOOKUP('Main Creation Page'!E$14,'System Lookups'!R$45:S$49,2))&gt;10,10,IF((AP373+U373+VLOOKUP('Main Creation Page'!E$14,'System Lookups'!R$45:S$49,2))&lt;1,1,(AP373+U373+VLOOKUP('Main Creation Page'!E$14,'System Lookups'!R$45:S$49,2))))</f>
        <v>4</v>
      </c>
      <c r="W373" s="1098" t="e">
        <f>IF(OR(I373&lt;&gt;"N",E373="C"),IF(AND(N373&lt;&gt;"T",ISNUMBER(FIND("V",I373))),1,0),NA())+IF(H373="Y",IF(AND(N373="P",ISNUMBER(FIND("Z",I373))),2,1),0)+IF(J373="Y",1,0)+IF(K373="Y",3,0)+IF(BE373="Lore",L373*2+Experience!$D$25,0)+IF(M373="Y",1,0)</f>
        <v>#N/A</v>
      </c>
      <c r="X373" s="1099"/>
      <c r="Y373" s="1100">
        <f ca="1">IF(P373="NS",IFERROR(INDIRECT(S373),NA()),VLOOKUP(INDIRECT(P373)+INDIRECT(S373),'System Lookups'!$A$3:$D$146,2))</f>
        <v>0.08</v>
      </c>
      <c r="Z373" s="1100">
        <f t="shared" si="415"/>
        <v>0</v>
      </c>
      <c r="AA373" s="1101">
        <f ca="1">IF(ISNA(Y373),0,Y373)+Z373+IF('Main Creation Page'!AB$2=37,'Main Creation Page'!E$14/100,0)</f>
        <v>0.08</v>
      </c>
      <c r="AB373" s="1102">
        <f>VLOOKUP(V373,'System Lookups'!$J$55:$P$64,3)</f>
        <v>0.2</v>
      </c>
      <c r="AC373" s="1103">
        <f>VLOOKUP(V373,'System Lookups'!$J$55:$P$64,4)</f>
        <v>0.3</v>
      </c>
      <c r="AD373" s="1104">
        <f t="shared" si="416"/>
        <v>0</v>
      </c>
      <c r="AE373" s="1094">
        <f>(IF(AD373&gt;VLOOKUP(V373,'System Lookups'!$J$55:$P$63,6),(((AD373-VLOOKUP(V373,'System Lookups'!$J$55:$P$63,6))*100)/20),0))+AF373</f>
        <v>0</v>
      </c>
      <c r="AF373" s="1121"/>
      <c r="AG373" s="1092">
        <f t="shared" si="417"/>
        <v>0</v>
      </c>
      <c r="AH373" s="1092" t="str">
        <f>IF(X373&lt;=Experience!$R$15+1,"","*")</f>
        <v/>
      </c>
      <c r="AI373" s="1092"/>
      <c r="AJ373" s="1080">
        <f t="shared" si="418"/>
        <v>0</v>
      </c>
      <c r="AK373" s="1080">
        <f t="shared" si="426"/>
        <v>0</v>
      </c>
      <c r="AL373" s="1080">
        <f t="shared" si="420"/>
        <v>0</v>
      </c>
      <c r="AM373" s="1092">
        <f t="shared" si="427"/>
        <v>0</v>
      </c>
      <c r="AN373" s="1080">
        <f t="shared" si="428"/>
        <v>1</v>
      </c>
      <c r="AO373" s="1080">
        <f t="shared" si="423"/>
        <v>0</v>
      </c>
      <c r="AP373" s="1080">
        <f t="shared" si="424"/>
        <v>1</v>
      </c>
      <c r="AQ373" s="1027">
        <f>VLOOKUP(V373,'System Lookups'!$J$55:$P$64,7)</f>
        <v>600</v>
      </c>
      <c r="AR373" s="1080" t="str">
        <f ca="1">IF(AND(NOT(ISBLANK(AJ373)),ISNA(MATCH(ROW(),'System Lookups'!$C$526:$C$539,0))),"Y","N")</f>
        <v>Y</v>
      </c>
      <c r="AS373" s="1080">
        <f t="shared" si="425"/>
        <v>0</v>
      </c>
      <c r="AU373" s="1080" t="e">
        <f t="shared" si="384"/>
        <v>#N/A</v>
      </c>
      <c r="AV373" s="1080" t="str">
        <f t="shared" si="381"/>
        <v>T</v>
      </c>
      <c r="AW373" s="1080">
        <f t="shared" si="385"/>
        <v>0</v>
      </c>
      <c r="AX373" s="1080">
        <f t="shared" si="386"/>
        <v>0</v>
      </c>
      <c r="AY373" s="1080">
        <f t="shared" si="387"/>
        <v>0</v>
      </c>
      <c r="AZ373" s="1080">
        <f t="shared" si="388"/>
        <v>0</v>
      </c>
      <c r="BA373" s="1080">
        <f t="shared" si="389"/>
        <v>0</v>
      </c>
      <c r="BB373" s="1080">
        <f>IF(AND(RACE=1,'Main Creation Page'!$E$6="Well",OR(ISNUMBER(FIND(Experience!$G$11,BE373)),ISNUMBER(FIND(Experience!$G$11,BF373)),ISNUMBER(FIND(Experience!$I$11,BE373)),ISNUMBER(FIND(Experience!$I$11,BF373)))),1,0)</f>
        <v>1</v>
      </c>
      <c r="BC373" s="1080" t="str">
        <f t="shared" si="390"/>
        <v>Monster:Hobgoblin</v>
      </c>
      <c r="BD373" s="1080" t="s">
        <v>5694</v>
      </c>
      <c r="BE373" s="1080" t="str">
        <f t="shared" si="382"/>
        <v>Lore</v>
      </c>
      <c r="BF373" s="1080" t="str">
        <f t="shared" si="383"/>
        <v>Language Lore: Spoken</v>
      </c>
    </row>
    <row r="374" spans="1:58" ht="11.1" customHeight="1" outlineLevel="3">
      <c r="A374" s="1093" t="str">
        <f>IF('Main Creation Page'!$K$5=3, "Mer Folk","Harpy")</f>
        <v>Mer Folk</v>
      </c>
      <c r="B374" s="1094" t="s">
        <v>1942</v>
      </c>
      <c r="C374" s="1094"/>
      <c r="D374" s="1094"/>
      <c r="E374" s="1095" t="s">
        <v>5224</v>
      </c>
      <c r="F374" s="1095" t="s">
        <v>5224</v>
      </c>
      <c r="G374" s="1096">
        <v>0</v>
      </c>
      <c r="H374" s="1096" t="s">
        <v>5224</v>
      </c>
      <c r="I374" s="1096" t="s">
        <v>5224</v>
      </c>
      <c r="J374" s="1096" t="s">
        <v>5224</v>
      </c>
      <c r="K374" s="1096" t="s">
        <v>5224</v>
      </c>
      <c r="L374" s="1096">
        <v>0</v>
      </c>
      <c r="M374" s="1096" t="s">
        <v>5224</v>
      </c>
      <c r="N374" s="1096" t="s">
        <v>4631</v>
      </c>
      <c r="O374" s="1113"/>
      <c r="P374" s="1113" t="s">
        <v>13</v>
      </c>
      <c r="S374" s="1113" t="s">
        <v>58</v>
      </c>
      <c r="T374" s="1113"/>
      <c r="U374" s="1027">
        <f>IF('Main Creation Page'!$K$5=3,5,3)</f>
        <v>5</v>
      </c>
      <c r="V374" s="1027">
        <f>IF((AP374+U374+VLOOKUP('Main Creation Page'!E$14,'System Lookups'!R$45:S$49,2))&gt;10,10,IF((AP374+U374+VLOOKUP('Main Creation Page'!E$14,'System Lookups'!R$45:S$49,2))&lt;1,1,(AP374+U374+VLOOKUP('Main Creation Page'!E$14,'System Lookups'!R$45:S$49,2))))</f>
        <v>6</v>
      </c>
      <c r="W374" s="1098" t="e">
        <f>IF(OR(I374&lt;&gt;"N",E374="C"),IF(AND(N374&lt;&gt;"T",ISNUMBER(FIND("V",I374))),1,0),NA())+IF(H374="Y",IF(AND(N374="P",ISNUMBER(FIND("Z",I374))),2,1),0)+IF(J374="Y",1,0)+IF(K374="Y",3,0)+IF(BE374="Lore",L374*2+Experience!$D$25,0)+IF(M374="Y",1,0)</f>
        <v>#N/A</v>
      </c>
      <c r="X374" s="1099"/>
      <c r="Y374" s="1100">
        <f ca="1">IF(P374="NS",IFERROR(INDIRECT(S374),NA()),VLOOKUP(INDIRECT(P374)+INDIRECT(S374),'System Lookups'!$A$3:$D$146,2))</f>
        <v>0.08</v>
      </c>
      <c r="Z374" s="1100">
        <f t="shared" si="415"/>
        <v>0</v>
      </c>
      <c r="AA374" s="1101">
        <f ca="1">IF(ISNA(Y374),0,Y374)+Z374+IF('Main Creation Page'!AB$2=37,'Main Creation Page'!E$14/100,0)</f>
        <v>0.08</v>
      </c>
      <c r="AB374" s="1102">
        <f>VLOOKUP(V374,'System Lookups'!$J$55:$P$64,3)</f>
        <v>0.05</v>
      </c>
      <c r="AC374" s="1103">
        <f>VLOOKUP(V374,'System Lookups'!$J$55:$P$64,4)</f>
        <v>0.1</v>
      </c>
      <c r="AD374" s="1104">
        <f t="shared" si="416"/>
        <v>0</v>
      </c>
      <c r="AE374" s="1094">
        <f>(IF(AD374&gt;VLOOKUP(V374,'System Lookups'!$J$55:$P$63,6),(((AD374-VLOOKUP(V374,'System Lookups'!$J$55:$P$63,6))*100)/20),0))+AF374</f>
        <v>0</v>
      </c>
      <c r="AF374" s="1121"/>
      <c r="AG374" s="1092">
        <f t="shared" si="417"/>
        <v>0</v>
      </c>
      <c r="AH374" s="1092" t="str">
        <f>IF(X374&lt;=Experience!$R$15+1,"","*")</f>
        <v/>
      </c>
      <c r="AI374" s="1092"/>
      <c r="AJ374" s="1080">
        <f t="shared" si="418"/>
        <v>0</v>
      </c>
      <c r="AK374" s="1080">
        <f t="shared" si="426"/>
        <v>0</v>
      </c>
      <c r="AL374" s="1080">
        <f t="shared" si="420"/>
        <v>0</v>
      </c>
      <c r="AM374" s="1092">
        <f t="shared" si="427"/>
        <v>0</v>
      </c>
      <c r="AN374" s="1080">
        <f t="shared" si="428"/>
        <v>1</v>
      </c>
      <c r="AO374" s="1080">
        <f t="shared" si="423"/>
        <v>0</v>
      </c>
      <c r="AP374" s="1080">
        <f t="shared" si="424"/>
        <v>1</v>
      </c>
      <c r="AQ374" s="1027">
        <f>VLOOKUP(V374,'System Lookups'!$J$55:$P$64,7)</f>
        <v>800</v>
      </c>
      <c r="AR374" s="1080" t="str">
        <f ca="1">IF(AND(NOT(ISBLANK(AJ374)),ISNA(MATCH(ROW(),'System Lookups'!$C$526:$C$539,0))),"Y","N")</f>
        <v>Y</v>
      </c>
      <c r="AS374" s="1080">
        <f t="shared" si="425"/>
        <v>0</v>
      </c>
      <c r="AU374" s="1080" t="e">
        <f t="shared" si="384"/>
        <v>#N/A</v>
      </c>
      <c r="AV374" s="1080" t="str">
        <f t="shared" si="381"/>
        <v>T</v>
      </c>
      <c r="AW374" s="1080">
        <f t="shared" si="385"/>
        <v>0</v>
      </c>
      <c r="AX374" s="1080">
        <f t="shared" si="386"/>
        <v>0</v>
      </c>
      <c r="AY374" s="1080">
        <f t="shared" si="387"/>
        <v>0</v>
      </c>
      <c r="AZ374" s="1080">
        <f t="shared" si="388"/>
        <v>0</v>
      </c>
      <c r="BA374" s="1080">
        <f t="shared" si="389"/>
        <v>0</v>
      </c>
      <c r="BB374" s="1080">
        <f>IF(AND(RACE=1,'Main Creation Page'!$E$6="Well",OR(ISNUMBER(FIND(Experience!$G$11,BE374)),ISNUMBER(FIND(Experience!$G$11,BF374)),ISNUMBER(FIND(Experience!$I$11,BE374)),ISNUMBER(FIND(Experience!$I$11,BF374)))),1,0)</f>
        <v>1</v>
      </c>
      <c r="BC374" s="1080" t="str">
        <f t="shared" si="390"/>
        <v>Monster:Mer Folk</v>
      </c>
      <c r="BD374" s="1080" t="s">
        <v>5694</v>
      </c>
      <c r="BE374" s="1080" t="str">
        <f t="shared" si="382"/>
        <v>Lore</v>
      </c>
      <c r="BF374" s="1080" t="str">
        <f t="shared" si="383"/>
        <v>Language Lore: Spoken</v>
      </c>
    </row>
    <row r="375" spans="1:58" ht="11.1" customHeight="1" outlineLevel="3">
      <c r="A375" s="1028" t="s">
        <v>3109</v>
      </c>
      <c r="B375" s="1094" t="s">
        <v>1942</v>
      </c>
      <c r="C375" s="1094"/>
      <c r="D375" s="1094"/>
      <c r="E375" s="1095" t="s">
        <v>5224</v>
      </c>
      <c r="F375" s="1095" t="s">
        <v>5224</v>
      </c>
      <c r="G375" s="1096">
        <v>0</v>
      </c>
      <c r="H375" s="1096" t="s">
        <v>5224</v>
      </c>
      <c r="I375" s="1096" t="s">
        <v>5224</v>
      </c>
      <c r="J375" s="1096" t="s">
        <v>5224</v>
      </c>
      <c r="K375" s="1096" t="s">
        <v>5224</v>
      </c>
      <c r="L375" s="1096">
        <v>0</v>
      </c>
      <c r="M375" s="1096" t="s">
        <v>5224</v>
      </c>
      <c r="N375" s="1096" t="s">
        <v>4631</v>
      </c>
      <c r="O375" s="1113"/>
      <c r="P375" s="1113" t="s">
        <v>13</v>
      </c>
      <c r="S375" s="1113" t="s">
        <v>58</v>
      </c>
      <c r="T375" s="1113"/>
      <c r="U375" s="1027">
        <f>IF('Main Creation Page'!$K$5=3,2,3)</f>
        <v>2</v>
      </c>
      <c r="V375" s="1027">
        <f>IF((AP375+U375+VLOOKUP('Main Creation Page'!E$14,'System Lookups'!R$45:S$49,2))&gt;10,10,IF((AP375+U375+VLOOKUP('Main Creation Page'!E$14,'System Lookups'!R$45:S$49,2))&lt;1,1,(AP375+U375+VLOOKUP('Main Creation Page'!E$14,'System Lookups'!R$45:S$49,2))))</f>
        <v>3</v>
      </c>
      <c r="W375" s="1098" t="e">
        <f>IF(OR(I375&lt;&gt;"N",E375="C"),IF(AND(N375&lt;&gt;"T",ISNUMBER(FIND("V",I375))),1,0),NA())+IF(H375="Y",IF(AND(N375="P",ISNUMBER(FIND("Z",I375))),2,1),0)+IF(J375="Y",1,0)+IF(K375="Y",3,0)+IF(BE375="Lore",L375*2+Experience!$D$25,0)+IF(M375="Y",1,0)</f>
        <v>#N/A</v>
      </c>
      <c r="X375" s="1099"/>
      <c r="Y375" s="1100">
        <f ca="1">IF(P375="NS",IFERROR(INDIRECT(S375),NA()),VLOOKUP(INDIRECT(P375)+INDIRECT(S375),'System Lookups'!$A$3:$D$146,2))</f>
        <v>0.08</v>
      </c>
      <c r="Z375" s="1100">
        <f t="shared" si="415"/>
        <v>0</v>
      </c>
      <c r="AA375" s="1101">
        <f ca="1">IF(ISNA(Y375),0,Y375)+Z375+IF('Main Creation Page'!AB$2=37,'Main Creation Page'!E$14/100,0)</f>
        <v>0.08</v>
      </c>
      <c r="AB375" s="1102">
        <f>VLOOKUP(V375,'System Lookups'!$J$55:$P$64,3)</f>
        <v>0.3</v>
      </c>
      <c r="AC375" s="1103">
        <f>VLOOKUP(V375,'System Lookups'!$J$55:$P$64,4)</f>
        <v>0.4</v>
      </c>
      <c r="AD375" s="1104">
        <f t="shared" si="416"/>
        <v>0</v>
      </c>
      <c r="AE375" s="1094">
        <f>(IF(AD375&gt;VLOOKUP(V375,'System Lookups'!$J$55:$P$63,6),(((AD375-VLOOKUP(V375,'System Lookups'!$J$55:$P$63,6))*100)/20),0))+AF375</f>
        <v>0</v>
      </c>
      <c r="AF375" s="1121"/>
      <c r="AG375" s="1092">
        <f t="shared" si="417"/>
        <v>0</v>
      </c>
      <c r="AH375" s="1092" t="str">
        <f>IF(X375&lt;=Experience!$R$15+1,"","*")</f>
        <v/>
      </c>
      <c r="AI375" s="1092"/>
      <c r="AJ375" s="1080">
        <f t="shared" si="418"/>
        <v>0</v>
      </c>
      <c r="AK375" s="1080">
        <f t="shared" si="426"/>
        <v>0</v>
      </c>
      <c r="AL375" s="1080">
        <f t="shared" si="420"/>
        <v>0</v>
      </c>
      <c r="AM375" s="1092">
        <f t="shared" si="427"/>
        <v>0</v>
      </c>
      <c r="AN375" s="1080">
        <f t="shared" si="428"/>
        <v>1</v>
      </c>
      <c r="AO375" s="1080">
        <f t="shared" si="423"/>
        <v>0</v>
      </c>
      <c r="AP375" s="1080">
        <f t="shared" si="424"/>
        <v>1</v>
      </c>
      <c r="AQ375" s="1027">
        <f>VLOOKUP(V375,'System Lookups'!$J$55:$P$64,7)</f>
        <v>500</v>
      </c>
      <c r="AR375" s="1080" t="str">
        <f ca="1">IF(AND(NOT(ISBLANK(AJ375)),ISNA(MATCH(ROW(),'System Lookups'!$C$526:$C$539,0))),"Y","N")</f>
        <v>Y</v>
      </c>
      <c r="AS375" s="1080">
        <f t="shared" si="425"/>
        <v>0</v>
      </c>
      <c r="AU375" s="1080" t="e">
        <f t="shared" si="384"/>
        <v>#N/A</v>
      </c>
      <c r="AV375" s="1080" t="str">
        <f t="shared" si="381"/>
        <v>T</v>
      </c>
      <c r="AW375" s="1080">
        <f t="shared" si="385"/>
        <v>0</v>
      </c>
      <c r="AX375" s="1080">
        <f t="shared" si="386"/>
        <v>0</v>
      </c>
      <c r="AY375" s="1080">
        <f t="shared" si="387"/>
        <v>0</v>
      </c>
      <c r="AZ375" s="1080">
        <f t="shared" si="388"/>
        <v>0</v>
      </c>
      <c r="BA375" s="1080">
        <f t="shared" si="389"/>
        <v>0</v>
      </c>
      <c r="BB375" s="1080">
        <f>IF(AND(RACE=1,'Main Creation Page'!$E$6="Well",OR(ISNUMBER(FIND(Experience!$G$11,BE375)),ISNUMBER(FIND(Experience!$G$11,BF375)),ISNUMBER(FIND(Experience!$I$11,BE375)),ISNUMBER(FIND(Experience!$I$11,BF375)))),1,0)</f>
        <v>1</v>
      </c>
      <c r="BC375" s="1080" t="str">
        <f t="shared" si="390"/>
        <v>Monster:Minotaur</v>
      </c>
      <c r="BD375" s="1080" t="s">
        <v>5694</v>
      </c>
      <c r="BE375" s="1080" t="str">
        <f t="shared" si="382"/>
        <v>Lore</v>
      </c>
      <c r="BF375" s="1080" t="str">
        <f t="shared" si="383"/>
        <v>Language Lore: Spoken</v>
      </c>
    </row>
    <row r="376" spans="1:58" ht="11.1" customHeight="1" outlineLevel="3">
      <c r="A376" s="1093" t="s">
        <v>4881</v>
      </c>
      <c r="B376" s="1094" t="s">
        <v>1942</v>
      </c>
      <c r="C376" s="1094"/>
      <c r="D376" s="1094"/>
      <c r="E376" s="1095" t="s">
        <v>5224</v>
      </c>
      <c r="F376" s="1095" t="s">
        <v>5224</v>
      </c>
      <c r="G376" s="1096">
        <v>0</v>
      </c>
      <c r="H376" s="1096" t="s">
        <v>5224</v>
      </c>
      <c r="I376" s="1096" t="s">
        <v>5224</v>
      </c>
      <c r="J376" s="1096" t="s">
        <v>5224</v>
      </c>
      <c r="K376" s="1096" t="s">
        <v>5224</v>
      </c>
      <c r="L376" s="1096">
        <v>0</v>
      </c>
      <c r="M376" s="1096" t="s">
        <v>5224</v>
      </c>
      <c r="N376" s="1096" t="s">
        <v>4631</v>
      </c>
      <c r="O376" s="1113"/>
      <c r="P376" s="1113" t="s">
        <v>13</v>
      </c>
      <c r="S376" s="1113" t="s">
        <v>58</v>
      </c>
      <c r="T376" s="1113"/>
      <c r="U376" s="1027">
        <v>3</v>
      </c>
      <c r="V376" s="1027">
        <f>IF((AP376+U376+VLOOKUP('Main Creation Page'!E$14,'System Lookups'!R$45:S$49,2))&gt;10,10,IF((AP376+U376+VLOOKUP('Main Creation Page'!E$14,'System Lookups'!R$45:S$49,2))&lt;1,1,(AP376+U376+VLOOKUP('Main Creation Page'!E$14,'System Lookups'!R$45:S$49,2))))</f>
        <v>4</v>
      </c>
      <c r="W376" s="1098" t="e">
        <f>IF(OR(I376&lt;&gt;"N",E376="C"),IF(AND(N376&lt;&gt;"T",ISNUMBER(FIND("V",I376))),1,0),NA())+IF(H376="Y",IF(AND(N376="P",ISNUMBER(FIND("Z",I376))),2,1),0)+IF(J376="Y",1,0)+IF(K376="Y",3,0)+IF(BE376="Lore",L376*2+Experience!$D$25,0)+IF(M376="Y",1,0)</f>
        <v>#N/A</v>
      </c>
      <c r="X376" s="1099"/>
      <c r="Y376" s="1100">
        <f ca="1">IF(P376="NS",IFERROR(INDIRECT(S376),NA()),VLOOKUP(INDIRECT(P376)+INDIRECT(S376),'System Lookups'!$A$3:$D$146,2))</f>
        <v>0.08</v>
      </c>
      <c r="Z376" s="1100">
        <f t="shared" si="415"/>
        <v>0</v>
      </c>
      <c r="AA376" s="1101">
        <f ca="1">IF(ISNA(Y376),0,Y376)+Z376+IF('Main Creation Page'!AB$2=37,'Main Creation Page'!E$14/100,0)</f>
        <v>0.08</v>
      </c>
      <c r="AB376" s="1102">
        <f>VLOOKUP(V376,'System Lookups'!$J$55:$P$64,3)</f>
        <v>0.2</v>
      </c>
      <c r="AC376" s="1103">
        <f>VLOOKUP(V376,'System Lookups'!$J$55:$P$64,4)</f>
        <v>0.3</v>
      </c>
      <c r="AD376" s="1104">
        <f t="shared" si="416"/>
        <v>0</v>
      </c>
      <c r="AE376" s="1094">
        <f>(IF(AD376&gt;VLOOKUP(V376,'System Lookups'!$J$55:$P$63,6),(((AD376-VLOOKUP(V376,'System Lookups'!$J$55:$P$63,6))*100)/20),0))+AF376</f>
        <v>0</v>
      </c>
      <c r="AF376" s="1121"/>
      <c r="AG376" s="1092">
        <f t="shared" si="417"/>
        <v>0</v>
      </c>
      <c r="AH376" s="1092" t="str">
        <f>IF(X376&lt;=Experience!$R$15+1,"","*")</f>
        <v/>
      </c>
      <c r="AI376" s="1092"/>
      <c r="AJ376" s="1080">
        <f t="shared" si="418"/>
        <v>0</v>
      </c>
      <c r="AK376" s="1080">
        <f t="shared" si="426"/>
        <v>0</v>
      </c>
      <c r="AL376" s="1080">
        <f t="shared" si="420"/>
        <v>0</v>
      </c>
      <c r="AM376" s="1092">
        <f t="shared" si="427"/>
        <v>0</v>
      </c>
      <c r="AN376" s="1080">
        <f t="shared" si="428"/>
        <v>1</v>
      </c>
      <c r="AO376" s="1080">
        <f t="shared" si="423"/>
        <v>0</v>
      </c>
      <c r="AP376" s="1080">
        <f t="shared" si="424"/>
        <v>1</v>
      </c>
      <c r="AQ376" s="1027">
        <f>VLOOKUP(V376,'System Lookups'!$J$55:$P$64,7)</f>
        <v>600</v>
      </c>
      <c r="AR376" s="1080" t="str">
        <f ca="1">IF(AND(NOT(ISBLANK(AJ376)),ISNA(MATCH(ROW(),'System Lookups'!$C$526:$C$539,0))),"Y","N")</f>
        <v>Y</v>
      </c>
      <c r="AS376" s="1080">
        <f t="shared" si="425"/>
        <v>0</v>
      </c>
      <c r="AU376" s="1080" t="e">
        <f t="shared" si="384"/>
        <v>#N/A</v>
      </c>
      <c r="AV376" s="1080" t="str">
        <f t="shared" si="381"/>
        <v>T</v>
      </c>
      <c r="AW376" s="1080">
        <f t="shared" si="385"/>
        <v>0</v>
      </c>
      <c r="AX376" s="1080">
        <f t="shared" si="386"/>
        <v>0</v>
      </c>
      <c r="AY376" s="1080">
        <f t="shared" si="387"/>
        <v>0</v>
      </c>
      <c r="AZ376" s="1080">
        <f t="shared" si="388"/>
        <v>0</v>
      </c>
      <c r="BA376" s="1080">
        <f t="shared" si="389"/>
        <v>0</v>
      </c>
      <c r="BB376" s="1080">
        <f>IF(AND(RACE=1,'Main Creation Page'!$E$6="Well",OR(ISNUMBER(FIND(Experience!$G$11,BE376)),ISNUMBER(FIND(Experience!$G$11,BF376)),ISNUMBER(FIND(Experience!$I$11,BE376)),ISNUMBER(FIND(Experience!$I$11,BF376)))),1,0)</f>
        <v>1</v>
      </c>
      <c r="BC376" s="1080" t="str">
        <f t="shared" si="390"/>
        <v>Monster:Nagas (Black)</v>
      </c>
      <c r="BD376" s="1080" t="s">
        <v>5694</v>
      </c>
      <c r="BE376" s="1080" t="str">
        <f t="shared" si="382"/>
        <v>Lore</v>
      </c>
      <c r="BF376" s="1080" t="str">
        <f t="shared" si="383"/>
        <v>Language Lore: Spoken</v>
      </c>
    </row>
    <row r="377" spans="1:58" ht="11.1" customHeight="1" outlineLevel="3">
      <c r="A377" s="1093" t="s">
        <v>4882</v>
      </c>
      <c r="B377" s="1094" t="s">
        <v>1942</v>
      </c>
      <c r="C377" s="1094"/>
      <c r="D377" s="1094"/>
      <c r="E377" s="1095" t="s">
        <v>5224</v>
      </c>
      <c r="F377" s="1095" t="s">
        <v>5224</v>
      </c>
      <c r="G377" s="1096">
        <v>0</v>
      </c>
      <c r="H377" s="1096" t="s">
        <v>5224</v>
      </c>
      <c r="I377" s="1096" t="s">
        <v>5224</v>
      </c>
      <c r="J377" s="1096" t="s">
        <v>5224</v>
      </c>
      <c r="K377" s="1096" t="s">
        <v>5224</v>
      </c>
      <c r="L377" s="1096">
        <v>0</v>
      </c>
      <c r="M377" s="1096" t="s">
        <v>5224</v>
      </c>
      <c r="N377" s="1096" t="s">
        <v>4631</v>
      </c>
      <c r="O377" s="1113"/>
      <c r="P377" s="1113" t="s">
        <v>13</v>
      </c>
      <c r="S377" s="1113" t="s">
        <v>58</v>
      </c>
      <c r="T377" s="1113"/>
      <c r="U377" s="1027">
        <v>3</v>
      </c>
      <c r="V377" s="1027">
        <f>IF((AP377+U377+VLOOKUP('Main Creation Page'!E$14,'System Lookups'!R$45:S$49,2))&gt;10,10,IF((AP377+U377+VLOOKUP('Main Creation Page'!E$14,'System Lookups'!R$45:S$49,2))&lt;1,1,(AP377+U377+VLOOKUP('Main Creation Page'!E$14,'System Lookups'!R$45:S$49,2))))</f>
        <v>4</v>
      </c>
      <c r="W377" s="1098" t="e">
        <f>IF(OR(I377&lt;&gt;"N",E377="C"),IF(AND(N377&lt;&gt;"T",ISNUMBER(FIND("V",I377))),1,0),NA())+IF(H377="Y",IF(AND(N377="P",ISNUMBER(FIND("Z",I377))),2,1),0)+IF(J377="Y",1,0)+IF(K377="Y",3,0)+IF(BE377="Lore",L377*2+Experience!$D$25,0)+IF(M377="Y",1,0)</f>
        <v>#N/A</v>
      </c>
      <c r="X377" s="1099"/>
      <c r="Y377" s="1100">
        <f ca="1">IF(P377="NS",IFERROR(INDIRECT(S377),NA()),VLOOKUP(INDIRECT(P377)+INDIRECT(S377),'System Lookups'!$A$3:$D$146,2))</f>
        <v>0.08</v>
      </c>
      <c r="Z377" s="1100">
        <f t="shared" si="415"/>
        <v>0</v>
      </c>
      <c r="AA377" s="1101">
        <f ca="1">IF(ISNA(Y377),0,Y377)+Z377+IF('Main Creation Page'!AB$2=37,'Main Creation Page'!E$14/100,0)</f>
        <v>0.08</v>
      </c>
      <c r="AB377" s="1102">
        <f>VLOOKUP(V377,'System Lookups'!$J$55:$P$64,3)</f>
        <v>0.2</v>
      </c>
      <c r="AC377" s="1103">
        <f>VLOOKUP(V377,'System Lookups'!$J$55:$P$64,4)</f>
        <v>0.3</v>
      </c>
      <c r="AD377" s="1104">
        <f t="shared" si="416"/>
        <v>0</v>
      </c>
      <c r="AE377" s="1094">
        <f>(IF(AD377&gt;VLOOKUP(V377,'System Lookups'!$J$55:$P$63,6),(((AD377-VLOOKUP(V377,'System Lookups'!$J$55:$P$63,6))*100)/20),0))+AF377</f>
        <v>0</v>
      </c>
      <c r="AF377" s="1121"/>
      <c r="AG377" s="1092">
        <f t="shared" si="417"/>
        <v>0</v>
      </c>
      <c r="AH377" s="1092" t="str">
        <f>IF(X377&lt;=Experience!$R$15+1,"","*")</f>
        <v/>
      </c>
      <c r="AI377" s="1092"/>
      <c r="AJ377" s="1080">
        <f t="shared" si="418"/>
        <v>0</v>
      </c>
      <c r="AK377" s="1080">
        <f t="shared" si="426"/>
        <v>0</v>
      </c>
      <c r="AL377" s="1080">
        <f t="shared" si="420"/>
        <v>0</v>
      </c>
      <c r="AM377" s="1092">
        <f t="shared" si="427"/>
        <v>0</v>
      </c>
      <c r="AN377" s="1080">
        <f t="shared" si="428"/>
        <v>1</v>
      </c>
      <c r="AO377" s="1080">
        <f t="shared" si="423"/>
        <v>0</v>
      </c>
      <c r="AP377" s="1080">
        <f t="shared" si="424"/>
        <v>1</v>
      </c>
      <c r="AQ377" s="1027">
        <f>VLOOKUP(V377,'System Lookups'!$J$55:$P$64,7)</f>
        <v>600</v>
      </c>
      <c r="AR377" s="1080" t="str">
        <f ca="1">IF(AND(NOT(ISBLANK(AJ377)),ISNA(MATCH(ROW(),'System Lookups'!$C$526:$C$539,0))),"Y","N")</f>
        <v>Y</v>
      </c>
      <c r="AS377" s="1080">
        <f t="shared" si="425"/>
        <v>0</v>
      </c>
      <c r="AU377" s="1080" t="e">
        <f t="shared" si="384"/>
        <v>#N/A</v>
      </c>
      <c r="AV377" s="1080" t="str">
        <f t="shared" si="381"/>
        <v>T</v>
      </c>
      <c r="AW377" s="1080">
        <f t="shared" si="385"/>
        <v>0</v>
      </c>
      <c r="AX377" s="1080">
        <f t="shared" si="386"/>
        <v>0</v>
      </c>
      <c r="AY377" s="1080">
        <f t="shared" si="387"/>
        <v>0</v>
      </c>
      <c r="AZ377" s="1080">
        <f t="shared" si="388"/>
        <v>0</v>
      </c>
      <c r="BA377" s="1080">
        <f t="shared" si="389"/>
        <v>0</v>
      </c>
      <c r="BB377" s="1080">
        <f>IF(AND(RACE=1,'Main Creation Page'!$E$6="Well",OR(ISNUMBER(FIND(Experience!$G$11,BE377)),ISNUMBER(FIND(Experience!$G$11,BF377)),ISNUMBER(FIND(Experience!$I$11,BE377)),ISNUMBER(FIND(Experience!$I$11,BF377)))),1,0)</f>
        <v>1</v>
      </c>
      <c r="BC377" s="1080" t="str">
        <f t="shared" si="390"/>
        <v>Monster:Nagas (White)</v>
      </c>
      <c r="BD377" s="1080" t="s">
        <v>5694</v>
      </c>
      <c r="BE377" s="1080" t="str">
        <f t="shared" si="382"/>
        <v>Lore</v>
      </c>
      <c r="BF377" s="1080" t="str">
        <f t="shared" si="383"/>
        <v>Language Lore: Spoken</v>
      </c>
    </row>
    <row r="378" spans="1:58" ht="11.1" customHeight="1" outlineLevel="3">
      <c r="A378" s="1028" t="s">
        <v>4756</v>
      </c>
      <c r="B378" s="1094" t="s">
        <v>1942</v>
      </c>
      <c r="C378" s="1094"/>
      <c r="D378" s="1094"/>
      <c r="E378" s="1095" t="s">
        <v>5224</v>
      </c>
      <c r="F378" s="1095" t="s">
        <v>5224</v>
      </c>
      <c r="G378" s="1096">
        <v>0</v>
      </c>
      <c r="H378" s="1096" t="s">
        <v>5224</v>
      </c>
      <c r="I378" s="1096" t="s">
        <v>5224</v>
      </c>
      <c r="J378" s="1096" t="s">
        <v>5224</v>
      </c>
      <c r="K378" s="1096" t="s">
        <v>5224</v>
      </c>
      <c r="L378" s="1096">
        <v>0</v>
      </c>
      <c r="M378" s="1096" t="s">
        <v>5224</v>
      </c>
      <c r="N378" s="1096" t="s">
        <v>4631</v>
      </c>
      <c r="O378" s="1113"/>
      <c r="P378" s="1113" t="s">
        <v>13</v>
      </c>
      <c r="S378" s="1113" t="s">
        <v>58</v>
      </c>
      <c r="T378" s="1113"/>
      <c r="U378" s="1027">
        <v>3</v>
      </c>
      <c r="V378" s="1027">
        <f>IF((AP378+U378+VLOOKUP('Main Creation Page'!E$14,'System Lookups'!R$45:S$49,2))&gt;10,10,IF((AP378+U378+VLOOKUP('Main Creation Page'!E$14,'System Lookups'!R$45:S$49,2))&lt;1,1,(AP378+U378+VLOOKUP('Main Creation Page'!E$14,'System Lookups'!R$45:S$49,2))))</f>
        <v>4</v>
      </c>
      <c r="W378" s="1098" t="e">
        <f>IF(OR(I378&lt;&gt;"N",E378="C"),IF(AND(N378&lt;&gt;"T",ISNUMBER(FIND("V",I378))),1,0),NA())+IF(H378="Y",IF(AND(N378="P",ISNUMBER(FIND("Z",I378))),2,1),0)+IF(J378="Y",1,0)+IF(K378="Y",3,0)+IF(BE378="Lore",L378*2+Experience!$D$25,0)+IF(M378="Y",1,0)</f>
        <v>#N/A</v>
      </c>
      <c r="X378" s="1099"/>
      <c r="Y378" s="1100">
        <f ca="1">IF(P378="NS",IFERROR(INDIRECT(S378),NA()),VLOOKUP(INDIRECT(P378)+INDIRECT(S378),'System Lookups'!$A$3:$D$146,2))</f>
        <v>0.08</v>
      </c>
      <c r="Z378" s="1100">
        <f t="shared" si="415"/>
        <v>0</v>
      </c>
      <c r="AA378" s="1101">
        <f ca="1">IF(ISNA(Y378),0,Y378)+Z378+IF('Main Creation Page'!AB$2=37,'Main Creation Page'!E$14/100,0)</f>
        <v>0.08</v>
      </c>
      <c r="AB378" s="1102">
        <f>VLOOKUP(V378,'System Lookups'!$J$55:$P$64,3)</f>
        <v>0.2</v>
      </c>
      <c r="AC378" s="1103">
        <f>VLOOKUP(V378,'System Lookups'!$J$55:$P$64,4)</f>
        <v>0.3</v>
      </c>
      <c r="AD378" s="1104">
        <f t="shared" si="416"/>
        <v>0</v>
      </c>
      <c r="AE378" s="1094">
        <f>(IF(AD378&gt;VLOOKUP(V378,'System Lookups'!$J$55:$P$63,6),(((AD378-VLOOKUP(V378,'System Lookups'!$J$55:$P$63,6))*100)/20),0))+AF378</f>
        <v>0</v>
      </c>
      <c r="AF378" s="1121"/>
      <c r="AG378" s="1092">
        <f t="shared" si="417"/>
        <v>0</v>
      </c>
      <c r="AH378" s="1092" t="str">
        <f>IF(X378&lt;=Experience!$R$15+1,"","*")</f>
        <v/>
      </c>
      <c r="AI378" s="1092"/>
      <c r="AJ378" s="1080">
        <f t="shared" si="418"/>
        <v>0</v>
      </c>
      <c r="AK378" s="1080">
        <f t="shared" si="426"/>
        <v>0</v>
      </c>
      <c r="AL378" s="1080">
        <f t="shared" si="420"/>
        <v>0</v>
      </c>
      <c r="AM378" s="1092">
        <f t="shared" si="427"/>
        <v>0</v>
      </c>
      <c r="AN378" s="1080">
        <f t="shared" si="428"/>
        <v>1</v>
      </c>
      <c r="AO378" s="1080">
        <f t="shared" si="423"/>
        <v>0</v>
      </c>
      <c r="AP378" s="1080">
        <f t="shared" si="424"/>
        <v>1</v>
      </c>
      <c r="AQ378" s="1027">
        <f>VLOOKUP(V378,'System Lookups'!$J$55:$P$64,7)</f>
        <v>600</v>
      </c>
      <c r="AR378" s="1080" t="str">
        <f ca="1">IF(AND(NOT(ISBLANK(AJ378)),ISNA(MATCH(ROW(),'System Lookups'!$C$526:$C$539,0))),"Y","N")</f>
        <v>Y</v>
      </c>
      <c r="AS378" s="1080">
        <f t="shared" si="425"/>
        <v>0</v>
      </c>
      <c r="AU378" s="1080" t="e">
        <f t="shared" si="384"/>
        <v>#N/A</v>
      </c>
      <c r="AV378" s="1080" t="str">
        <f t="shared" ref="AV378:AV441" si="429">IF(ISNUMBER(U378),CONCATENATE(IF(E378="C","C",""),IF(H378="Y","M",""),N378,IF(ISNUMBER(FIND("F",I378)),"Bk",""),IF(ISNUMBER(FIND("Z",I378)),"Zm",""),IF(J378="Y","L",""),IF(OR(K378="Y",AND(ISNUMBER(L378),L378&gt;0),M378="Y"),"Sa","")),"")</f>
        <v>T</v>
      </c>
      <c r="AW378" s="1080">
        <f t="shared" si="385"/>
        <v>0</v>
      </c>
      <c r="AX378" s="1080">
        <f t="shared" si="386"/>
        <v>0</v>
      </c>
      <c r="AY378" s="1080">
        <f t="shared" si="387"/>
        <v>0</v>
      </c>
      <c r="AZ378" s="1080">
        <f t="shared" si="388"/>
        <v>0</v>
      </c>
      <c r="BA378" s="1080">
        <f t="shared" si="389"/>
        <v>0</v>
      </c>
      <c r="BB378" s="1080">
        <f>IF(AND(RACE=1,'Main Creation Page'!$E$6="Well",OR(ISNUMBER(FIND(Experience!$G$11,BE378)),ISNUMBER(FIND(Experience!$G$11,BF378)),ISNUMBER(FIND(Experience!$I$11,BE378)),ISNUMBER(FIND(Experience!$I$11,BF378)))),1,0)</f>
        <v>1</v>
      </c>
      <c r="BC378" s="1080" t="str">
        <f t="shared" si="390"/>
        <v>Monster:Ogre</v>
      </c>
      <c r="BD378" s="1080" t="s">
        <v>5694</v>
      </c>
      <c r="BE378" s="1080" t="str">
        <f t="shared" ref="BE378:BE441" si="430">IF(OR(ISNUMBER(FIND("Lore",BF378)),ISNUMBER(FIND("Materia",BF378)),ISNUMBER(FIND("Lore",BD378))),"Lore","")</f>
        <v>Lore</v>
      </c>
      <c r="BF378" s="1080" t="str">
        <f t="shared" ref="BF378:BF441" si="431">IF(ISBLANK(AC378),IF(OR(ISNA(BC378),ISBLANK(BC378)),BF377,BC378),BF377)</f>
        <v>Language Lore: Spoken</v>
      </c>
    </row>
    <row r="379" spans="1:58" ht="11.1" customHeight="1" outlineLevel="3">
      <c r="A379" s="1028" t="s">
        <v>5375</v>
      </c>
      <c r="B379" s="1094" t="s">
        <v>1942</v>
      </c>
      <c r="C379" s="1094"/>
      <c r="D379" s="1094"/>
      <c r="E379" s="1095" t="s">
        <v>5224</v>
      </c>
      <c r="F379" s="1095" t="str">
        <f>IF('Main Creation Page'!$C$3=6, "R", "N")</f>
        <v>N</v>
      </c>
      <c r="G379" s="1096">
        <v>0</v>
      </c>
      <c r="H379" s="1096" t="s">
        <v>5224</v>
      </c>
      <c r="I379" s="1096" t="s">
        <v>5224</v>
      </c>
      <c r="J379" s="1096" t="s">
        <v>5224</v>
      </c>
      <c r="K379" s="1096" t="s">
        <v>5224</v>
      </c>
      <c r="L379" s="1096">
        <v>0</v>
      </c>
      <c r="M379" s="1096" t="s">
        <v>5224</v>
      </c>
      <c r="N379" s="1096" t="s">
        <v>4631</v>
      </c>
      <c r="O379" s="1113"/>
      <c r="P379" s="1113" t="s">
        <v>13</v>
      </c>
      <c r="S379" s="1113" t="s">
        <v>58</v>
      </c>
      <c r="T379" s="1113"/>
      <c r="U379" s="1027">
        <f>IF(F379="r",1,3)</f>
        <v>3</v>
      </c>
      <c r="V379" s="1027">
        <f>IF((AP379+U379+VLOOKUP('Main Creation Page'!E$14,'System Lookups'!R$45:S$49,2))&gt;10,10,IF((AP379+U379+VLOOKUP('Main Creation Page'!E$14,'System Lookups'!R$45:S$49,2))&lt;1,1,(AP379+U379+VLOOKUP('Main Creation Page'!E$14,'System Lookups'!R$45:S$49,2))))</f>
        <v>4</v>
      </c>
      <c r="W379" s="1098" t="e">
        <f>IF(OR(I379&lt;&gt;"N",E379="C"),IF(AND(N379&lt;&gt;"T",ISNUMBER(FIND("V",I379))),1,0),NA())+IF(H379="Y",IF(AND(N379="P",ISNUMBER(FIND("Z",I379))),2,1),0)+IF(J379="Y",1,0)+IF(K379="Y",3,0)+IF(BE379="Lore",L379*2+Experience!$D$25,0)+IF(M379="Y",1,0)</f>
        <v>#N/A</v>
      </c>
      <c r="X379" s="1099"/>
      <c r="Y379" s="1100">
        <f ca="1">IF(P379="NS",IFERROR(INDIRECT(S379),NA()),VLOOKUP(INDIRECT(P379)+INDIRECT(S379),'System Lookups'!$A$3:$D$146,2))</f>
        <v>0.08</v>
      </c>
      <c r="Z379" s="1100">
        <f t="shared" si="415"/>
        <v>0</v>
      </c>
      <c r="AA379" s="1101">
        <f ca="1">IF(ISNA(Y379),0,Y379)+Z379+IF('Main Creation Page'!AB$2=37,'Main Creation Page'!E$14/100,0)</f>
        <v>0.08</v>
      </c>
      <c r="AB379" s="1102">
        <f>VLOOKUP(V379,'System Lookups'!$J$55:$P$64,3)</f>
        <v>0.2</v>
      </c>
      <c r="AC379" s="1103">
        <f>VLOOKUP(V379,'System Lookups'!$J$55:$P$64,4)</f>
        <v>0.3</v>
      </c>
      <c r="AD379" s="1104">
        <f t="shared" si="416"/>
        <v>0</v>
      </c>
      <c r="AE379" s="1094">
        <f>(IF(AD379&gt;VLOOKUP(V379,'System Lookups'!$J$55:$P$63,6),(((AD379-VLOOKUP(V379,'System Lookups'!$J$55:$P$63,6))*100)/20),0))+AF379</f>
        <v>0</v>
      </c>
      <c r="AF379" s="1121"/>
      <c r="AG379" s="1092">
        <f t="shared" si="417"/>
        <v>0</v>
      </c>
      <c r="AH379" s="1092" t="str">
        <f>IF(X379&lt;=Experience!$R$15+1,"","*")</f>
        <v/>
      </c>
      <c r="AI379" s="1092"/>
      <c r="AJ379" s="1080">
        <f t="shared" si="418"/>
        <v>0</v>
      </c>
      <c r="AK379" s="1080">
        <f t="shared" si="426"/>
        <v>0</v>
      </c>
      <c r="AL379" s="1080">
        <f t="shared" si="420"/>
        <v>0</v>
      </c>
      <c r="AM379" s="1092">
        <f t="shared" si="427"/>
        <v>0</v>
      </c>
      <c r="AN379" s="1080">
        <f t="shared" si="428"/>
        <v>1</v>
      </c>
      <c r="AO379" s="1080">
        <f t="shared" si="423"/>
        <v>0</v>
      </c>
      <c r="AP379" s="1080">
        <f t="shared" si="424"/>
        <v>1</v>
      </c>
      <c r="AQ379" s="1027">
        <f>VLOOKUP(V379,'System Lookups'!$J$55:$P$64,7)</f>
        <v>600</v>
      </c>
      <c r="AR379" s="1080" t="str">
        <f ca="1">IF(AND(NOT(ISBLANK(AJ379)),ISNA(MATCH(ROW(),'System Lookups'!$C$526:$C$539,0))),"Y","N")</f>
        <v>Y</v>
      </c>
      <c r="AS379" s="1080">
        <f t="shared" si="425"/>
        <v>0</v>
      </c>
      <c r="AU379" s="1080" t="e">
        <f t="shared" ref="AU379:AU442" si="432">IF(AND(NOT(ISNUMBER($W379)),ISBLANK($X379)),NA(),IFERROR($W379+$X379,$X379))</f>
        <v>#N/A</v>
      </c>
      <c r="AV379" s="1080" t="str">
        <f t="shared" si="429"/>
        <v>T</v>
      </c>
      <c r="AW379" s="1080">
        <f t="shared" ref="AW379:AW442" si="433">IF(OR(I379="N",ISBLANK(I379)),0,1)</f>
        <v>0</v>
      </c>
      <c r="AX379" s="1080">
        <f t="shared" ref="AX379:AX442" si="434">IF($N379="P",IF(ISNUMBER(FIND("V",$I379)),1,0),0)</f>
        <v>0</v>
      </c>
      <c r="AY379" s="1080">
        <f t="shared" ref="AY379:AY442" si="435">IF($N379="S",IF(ISNUMBER(FIND("V",$I379)),1,0),0)</f>
        <v>0</v>
      </c>
      <c r="AZ379" s="1080">
        <f t="shared" ref="AZ379:AZ442" si="436">IF($N379="T",IF(ISNUMBER(FIND("V",$I379)),1,0),0)</f>
        <v>0</v>
      </c>
      <c r="BA379" s="1080">
        <f t="shared" ref="BA379:BA442" si="437">IF($N379&lt;&gt;"T",IF(OR(ISNUMBER(FIND("C",$I379)),ISNUMBER(FIND("D",$I379)),ISNUMBER(FIND("E",$I379)),ISNUMBER(FIND("F",$I379)),ISNUMBER(FIND("L",$I379)),ISNUMBER(FIND("R",$I379)),ISNUMBER(FIND("S",$I379))),1,0),0)</f>
        <v>0</v>
      </c>
      <c r="BB379" s="1080">
        <f>IF(AND(RACE=1,'Main Creation Page'!$E$6="Well",OR(ISNUMBER(FIND(Experience!$G$11,BE379)),ISNUMBER(FIND(Experience!$G$11,BF379)),ISNUMBER(FIND(Experience!$I$11,BE379)),ISNUMBER(FIND(Experience!$I$11,BF379)))),1,0)</f>
        <v>1</v>
      </c>
      <c r="BC379" s="1080" t="str">
        <f t="shared" si="390"/>
        <v>Monster:Orc</v>
      </c>
      <c r="BD379" s="1080" t="s">
        <v>5694</v>
      </c>
      <c r="BE379" s="1080" t="str">
        <f t="shared" si="430"/>
        <v>Lore</v>
      </c>
      <c r="BF379" s="1080" t="str">
        <f t="shared" si="431"/>
        <v>Language Lore: Spoken</v>
      </c>
    </row>
    <row r="380" spans="1:58" ht="11.1" customHeight="1" outlineLevel="3">
      <c r="A380" s="1093" t="s">
        <v>4883</v>
      </c>
      <c r="B380" s="1094" t="s">
        <v>1942</v>
      </c>
      <c r="C380" s="1094"/>
      <c r="D380" s="1094"/>
      <c r="E380" s="1095" t="s">
        <v>5224</v>
      </c>
      <c r="F380" s="1095" t="str">
        <f>IF('Main Creation Page'!$C$3=7, "R", "N")</f>
        <v>N</v>
      </c>
      <c r="G380" s="1096">
        <v>0</v>
      </c>
      <c r="H380" s="1096" t="s">
        <v>5224</v>
      </c>
      <c r="I380" s="1096" t="s">
        <v>5224</v>
      </c>
      <c r="J380" s="1096" t="s">
        <v>5224</v>
      </c>
      <c r="K380" s="1096" t="s">
        <v>5224</v>
      </c>
      <c r="L380" s="1096">
        <v>0</v>
      </c>
      <c r="M380" s="1096" t="s">
        <v>5224</v>
      </c>
      <c r="N380" s="1096" t="s">
        <v>4631</v>
      </c>
      <c r="O380" s="1113"/>
      <c r="P380" s="1113" t="s">
        <v>13</v>
      </c>
      <c r="S380" s="1113" t="s">
        <v>58</v>
      </c>
      <c r="T380" s="1113"/>
      <c r="U380" s="1027">
        <v>2</v>
      </c>
      <c r="V380" s="1027">
        <f>IF((AP380+U380+VLOOKUP('Main Creation Page'!E$14,'System Lookups'!R$45:S$49,2))&gt;10,10,IF((AP380+U380+VLOOKUP('Main Creation Page'!E$14,'System Lookups'!R$45:S$49,2))&lt;1,1,(AP380+U380+VLOOKUP('Main Creation Page'!E$14,'System Lookups'!R$45:S$49,2))))</f>
        <v>3</v>
      </c>
      <c r="W380" s="1098" t="e">
        <f>IF(OR(I380&lt;&gt;"N",E380="C"),IF(AND(N380&lt;&gt;"T",ISNUMBER(FIND("V",I380))),1,0),NA())+IF(H380="Y",IF(AND(N380="P",ISNUMBER(FIND("Z",I380))),2,1),0)+IF(J380="Y",1,0)+IF(K380="Y",3,0)+IF(BE380="Lore",L380*2+Experience!$D$25,0)+IF(M380="Y",1,0)</f>
        <v>#N/A</v>
      </c>
      <c r="X380" s="1099"/>
      <c r="Y380" s="1100">
        <f ca="1">IF(P380="NS",IFERROR(INDIRECT(S380),NA()),VLOOKUP(INDIRECT(P380)+INDIRECT(S380),'System Lookups'!$A$3:$D$146,2))</f>
        <v>0.08</v>
      </c>
      <c r="Z380" s="1100">
        <f t="shared" si="415"/>
        <v>0</v>
      </c>
      <c r="AA380" s="1101">
        <f ca="1">IF(ISNA(Y380),0,Y380)+Z380+IF('Main Creation Page'!AB$2=37,'Main Creation Page'!E$14/100,0)</f>
        <v>0.08</v>
      </c>
      <c r="AB380" s="1102">
        <f>VLOOKUP(V380,'System Lookups'!$J$55:$P$64,3)</f>
        <v>0.3</v>
      </c>
      <c r="AC380" s="1103">
        <f>VLOOKUP(V380,'System Lookups'!$J$55:$P$64,4)</f>
        <v>0.4</v>
      </c>
      <c r="AD380" s="1104">
        <f t="shared" si="416"/>
        <v>0</v>
      </c>
      <c r="AE380" s="1094">
        <f>(IF(AD380&gt;VLOOKUP(V380,'System Lookups'!$J$55:$P$63,6),(((AD380-VLOOKUP(V380,'System Lookups'!$J$55:$P$63,6))*100)/20),0))+AF380</f>
        <v>0</v>
      </c>
      <c r="AF380" s="1121"/>
      <c r="AG380" s="1092">
        <f t="shared" si="417"/>
        <v>0</v>
      </c>
      <c r="AH380" s="1092" t="str">
        <f>IF(X380&lt;=Experience!$R$15+1,"","*")</f>
        <v/>
      </c>
      <c r="AI380" s="1092"/>
      <c r="AJ380" s="1080">
        <f t="shared" si="418"/>
        <v>0</v>
      </c>
      <c r="AK380" s="1080">
        <f t="shared" si="426"/>
        <v>0</v>
      </c>
      <c r="AL380" s="1080">
        <f t="shared" si="420"/>
        <v>0</v>
      </c>
      <c r="AM380" s="1092">
        <f t="shared" si="427"/>
        <v>0</v>
      </c>
      <c r="AN380" s="1080">
        <f t="shared" si="428"/>
        <v>1</v>
      </c>
      <c r="AO380" s="1080">
        <f t="shared" si="423"/>
        <v>0</v>
      </c>
      <c r="AP380" s="1080">
        <f t="shared" si="424"/>
        <v>1</v>
      </c>
      <c r="AQ380" s="1027">
        <f>VLOOKUP(V380,'System Lookups'!$J$55:$P$64,7)</f>
        <v>500</v>
      </c>
      <c r="AR380" s="1080" t="str">
        <f ca="1">IF(AND(NOT(ISBLANK(AJ380)),ISNA(MATCH(ROW(),'System Lookups'!$C$526:$C$539,0))),"Y","N")</f>
        <v>Y</v>
      </c>
      <c r="AS380" s="1080">
        <f t="shared" si="425"/>
        <v>0</v>
      </c>
      <c r="AU380" s="1080" t="e">
        <f t="shared" si="432"/>
        <v>#N/A</v>
      </c>
      <c r="AV380" s="1080" t="str">
        <f t="shared" si="429"/>
        <v>T</v>
      </c>
      <c r="AW380" s="1080">
        <f t="shared" si="433"/>
        <v>0</v>
      </c>
      <c r="AX380" s="1080">
        <f t="shared" si="434"/>
        <v>0</v>
      </c>
      <c r="AY380" s="1080">
        <f t="shared" si="435"/>
        <v>0</v>
      </c>
      <c r="AZ380" s="1080">
        <f t="shared" si="436"/>
        <v>0</v>
      </c>
      <c r="BA380" s="1080">
        <f t="shared" si="437"/>
        <v>0</v>
      </c>
      <c r="BB380" s="1080">
        <f>IF(AND(RACE=1,'Main Creation Page'!$E$6="Well",OR(ISNUMBER(FIND(Experience!$G$11,BE380)),ISNUMBER(FIND(Experience!$G$11,BF380)),ISNUMBER(FIND(Experience!$I$11,BE380)),ISNUMBER(FIND(Experience!$I$11,BF380)))),1,0)</f>
        <v>1</v>
      </c>
      <c r="BC380" s="1080" t="str">
        <f t="shared" si="390"/>
        <v>Monster:Saurian (Lizardmen)</v>
      </c>
      <c r="BD380" s="1080" t="s">
        <v>5694</v>
      </c>
      <c r="BE380" s="1080" t="str">
        <f t="shared" si="430"/>
        <v>Lore</v>
      </c>
      <c r="BF380" s="1080" t="str">
        <f t="shared" si="431"/>
        <v>Language Lore: Spoken</v>
      </c>
    </row>
    <row r="381" spans="1:58" ht="11.1" customHeight="1" outlineLevel="3">
      <c r="A381" s="1028" t="str">
        <f>CONCATENATE("Saurian",IF('Main Creation Page'!K5=3,"  (Dragon Kin) (Common)", " "))</f>
        <v>Saurian  (Dragon Kin) (Common)</v>
      </c>
      <c r="B381" s="1094" t="s">
        <v>1942</v>
      </c>
      <c r="C381" s="1094"/>
      <c r="D381" s="1094"/>
      <c r="E381" s="1095" t="s">
        <v>5224</v>
      </c>
      <c r="F381" s="1095" t="s">
        <v>5224</v>
      </c>
      <c r="G381" s="1096">
        <v>0</v>
      </c>
      <c r="H381" s="1096" t="s">
        <v>5224</v>
      </c>
      <c r="I381" s="1096" t="s">
        <v>5224</v>
      </c>
      <c r="J381" s="1096" t="s">
        <v>5224</v>
      </c>
      <c r="K381" s="1096" t="s">
        <v>5224</v>
      </c>
      <c r="L381" s="1096">
        <v>0</v>
      </c>
      <c r="M381" s="1096" t="s">
        <v>5224</v>
      </c>
      <c r="N381" s="1096" t="s">
        <v>4631</v>
      </c>
      <c r="O381" s="1113"/>
      <c r="P381" s="1113" t="s">
        <v>13</v>
      </c>
      <c r="S381" s="1113" t="s">
        <v>58</v>
      </c>
      <c r="T381" s="1113"/>
      <c r="U381" s="1027">
        <v>3</v>
      </c>
      <c r="V381" s="1027">
        <f>IF((AP381+U381+VLOOKUP('Main Creation Page'!E$14,'System Lookups'!R$45:S$49,2))&gt;10,10,IF((AP381+U381+VLOOKUP('Main Creation Page'!E$14,'System Lookups'!R$45:S$49,2))&lt;1,1,(AP381+U381+VLOOKUP('Main Creation Page'!E$14,'System Lookups'!R$45:S$49,2))))</f>
        <v>4</v>
      </c>
      <c r="W381" s="1098" t="e">
        <f>IF(OR(I381&lt;&gt;"N",E381="C"),IF(AND(N381&lt;&gt;"T",ISNUMBER(FIND("V",I381))),1,0),NA())+IF(H381="Y",IF(AND(N381="P",ISNUMBER(FIND("Z",I381))),2,1),0)+IF(J381="Y",1,0)+IF(K381="Y",3,0)+IF(BE381="Lore",L381*2+Experience!$D$25,0)+IF(M381="Y",1,0)</f>
        <v>#N/A</v>
      </c>
      <c r="X381" s="1099"/>
      <c r="Y381" s="1100">
        <f ca="1">IF(P381="NS",IFERROR(INDIRECT(S381),NA()),VLOOKUP(INDIRECT(P381)+INDIRECT(S381),'System Lookups'!$A$3:$D$146,2))</f>
        <v>0.08</v>
      </c>
      <c r="Z381" s="1100">
        <f t="shared" si="415"/>
        <v>0</v>
      </c>
      <c r="AA381" s="1101">
        <f ca="1">IF(ISNA(Y381),0,Y381)+Z381+IF('Main Creation Page'!AB$2=37,'Main Creation Page'!E$14/100,0)</f>
        <v>0.08</v>
      </c>
      <c r="AB381" s="1102">
        <f>VLOOKUP(V381,'System Lookups'!$J$55:$P$64,3)</f>
        <v>0.2</v>
      </c>
      <c r="AC381" s="1103">
        <f>VLOOKUP(V381,'System Lookups'!$J$55:$P$64,4)</f>
        <v>0.3</v>
      </c>
      <c r="AD381" s="1104">
        <f t="shared" si="416"/>
        <v>0</v>
      </c>
      <c r="AE381" s="1094">
        <f>(IF(AD381&gt;VLOOKUP(V381,'System Lookups'!$J$55:$P$63,6),(((AD381-VLOOKUP(V381,'System Lookups'!$J$55:$P$63,6))*100)/20),0))+AF381</f>
        <v>0</v>
      </c>
      <c r="AF381" s="1121"/>
      <c r="AG381" s="1092">
        <f t="shared" si="417"/>
        <v>0</v>
      </c>
      <c r="AH381" s="1092" t="str">
        <f>IF(X381&lt;=Experience!$R$15+1,"","*")</f>
        <v/>
      </c>
      <c r="AI381" s="1092"/>
      <c r="AJ381" s="1080">
        <f t="shared" si="418"/>
        <v>0</v>
      </c>
      <c r="AK381" s="1080">
        <f t="shared" si="419"/>
        <v>0</v>
      </c>
      <c r="AL381" s="1080">
        <f t="shared" si="420"/>
        <v>0</v>
      </c>
      <c r="AM381" s="1092">
        <f t="shared" si="421"/>
        <v>0</v>
      </c>
      <c r="AN381" s="1080">
        <f t="shared" si="422"/>
        <v>1</v>
      </c>
      <c r="AO381" s="1080">
        <f t="shared" si="423"/>
        <v>0</v>
      </c>
      <c r="AP381" s="1080">
        <f t="shared" si="424"/>
        <v>1</v>
      </c>
      <c r="AQ381" s="1027">
        <f>VLOOKUP(V381,'System Lookups'!$J$55:$P$64,7)</f>
        <v>600</v>
      </c>
      <c r="AR381" s="1080" t="str">
        <f ca="1">IF(AND(NOT(ISBLANK(AJ381)),ISNA(MATCH(ROW(),'System Lookups'!$C$526:$C$539,0))),"Y","N")</f>
        <v>Y</v>
      </c>
      <c r="AS381" s="1080">
        <f t="shared" si="425"/>
        <v>0</v>
      </c>
      <c r="AU381" s="1080" t="e">
        <f t="shared" si="432"/>
        <v>#N/A</v>
      </c>
      <c r="AV381" s="1080" t="str">
        <f t="shared" si="429"/>
        <v>T</v>
      </c>
      <c r="AW381" s="1080">
        <f t="shared" si="433"/>
        <v>0</v>
      </c>
      <c r="AX381" s="1080">
        <f t="shared" si="434"/>
        <v>0</v>
      </c>
      <c r="AY381" s="1080">
        <f t="shared" si="435"/>
        <v>0</v>
      </c>
      <c r="AZ381" s="1080">
        <f t="shared" si="436"/>
        <v>0</v>
      </c>
      <c r="BA381" s="1080">
        <f t="shared" si="437"/>
        <v>0</v>
      </c>
      <c r="BB381" s="1080">
        <f>IF(AND(RACE=1,'Main Creation Page'!$E$6="Well",OR(ISNUMBER(FIND(Experience!$G$11,BE381)),ISNUMBER(FIND(Experience!$G$11,BF381)),ISNUMBER(FIND(Experience!$I$11,BE381)),ISNUMBER(FIND(Experience!$I$11,BF381)))),1,0)</f>
        <v>1</v>
      </c>
      <c r="BC381" s="1080" t="str">
        <f t="shared" si="390"/>
        <v>Monster:Saurian  (Dragon Kin) (Common)</v>
      </c>
      <c r="BD381" s="1080" t="s">
        <v>5694</v>
      </c>
      <c r="BE381" s="1080" t="str">
        <f t="shared" si="430"/>
        <v>Lore</v>
      </c>
      <c r="BF381" s="1080" t="str">
        <f t="shared" si="431"/>
        <v>Language Lore: Spoken</v>
      </c>
    </row>
    <row r="382" spans="1:58" ht="11.1" customHeight="1" outlineLevel="4">
      <c r="A382" s="1093" t="s">
        <v>4885</v>
      </c>
      <c r="B382" s="1094" t="s">
        <v>1942</v>
      </c>
      <c r="C382" s="1094"/>
      <c r="D382" s="1094"/>
      <c r="E382" s="1095" t="s">
        <v>5224</v>
      </c>
      <c r="F382" s="1095" t="s">
        <v>5224</v>
      </c>
      <c r="G382" s="1096">
        <v>0</v>
      </c>
      <c r="H382" s="1096" t="s">
        <v>5224</v>
      </c>
      <c r="I382" s="1096" t="s">
        <v>5224</v>
      </c>
      <c r="J382" s="1096" t="s">
        <v>5224</v>
      </c>
      <c r="K382" s="1096" t="s">
        <v>5224</v>
      </c>
      <c r="L382" s="1096">
        <v>0</v>
      </c>
      <c r="M382" s="1096" t="s">
        <v>5224</v>
      </c>
      <c r="N382" s="1096" t="s">
        <v>4631</v>
      </c>
      <c r="O382" s="1113"/>
      <c r="P382" s="1113" t="s">
        <v>13</v>
      </c>
      <c r="S382" s="1113" t="s">
        <v>58</v>
      </c>
      <c r="T382" s="1113"/>
      <c r="U382" s="1027">
        <v>3</v>
      </c>
      <c r="V382" s="1027">
        <f>IF((AP382+U382+VLOOKUP('Main Creation Page'!E$14,'System Lookups'!R$45:S$49,2))&gt;10,10,IF((AP382+U382+VLOOKUP('Main Creation Page'!E$14,'System Lookups'!R$45:S$49,2))&lt;1,1,(AP382+U382+VLOOKUP('Main Creation Page'!E$14,'System Lookups'!R$45:S$49,2))))</f>
        <v>4</v>
      </c>
      <c r="W382" s="1098" t="e">
        <f>IF(OR(I382&lt;&gt;"N",E382="C"),IF(AND(N382&lt;&gt;"T",ISNUMBER(FIND("V",I382))),1,0),NA())+IF(H382="Y",IF(AND(N382="P",ISNUMBER(FIND("Z",I382))),2,1),0)+IF(J382="Y",1,0)+IF(K382="Y",3,0)+IF(BE382="Lore",L382*2+Experience!$D$25,0)+IF(M382="Y",1,0)</f>
        <v>#N/A</v>
      </c>
      <c r="X382" s="1099"/>
      <c r="Y382" s="1100">
        <f ca="1">IF(P382="NS",IFERROR(INDIRECT(S382),NA()),VLOOKUP(INDIRECT(P382)+INDIRECT(S382),'System Lookups'!$A$3:$D$146,2))</f>
        <v>0.08</v>
      </c>
      <c r="Z382" s="1100">
        <f t="shared" si="415"/>
        <v>0</v>
      </c>
      <c r="AA382" s="1101">
        <f ca="1">IF(ISNA(Y382),0,Y382)+Z382+IF('Main Creation Page'!AB$2=37,'Main Creation Page'!E$14/100,0)</f>
        <v>0.08</v>
      </c>
      <c r="AB382" s="1102">
        <f>VLOOKUP(V382,'System Lookups'!$J$55:$P$64,3)</f>
        <v>0.2</v>
      </c>
      <c r="AC382" s="1103">
        <f>VLOOKUP(V382,'System Lookups'!$J$55:$P$64,4)</f>
        <v>0.3</v>
      </c>
      <c r="AD382" s="1104">
        <f t="shared" si="416"/>
        <v>0</v>
      </c>
      <c r="AE382" s="1094">
        <f>(IF(AD382&gt;VLOOKUP(V382,'System Lookups'!$J$55:$P$63,6),(((AD382-VLOOKUP(V382,'System Lookups'!$J$55:$P$63,6))*100)/20),0))+AF382</f>
        <v>0</v>
      </c>
      <c r="AF382" s="1121"/>
      <c r="AG382" s="1092">
        <f t="shared" si="417"/>
        <v>0</v>
      </c>
      <c r="AH382" s="1092" t="str">
        <f>IF(X382&lt;=Experience!$R$15+1,"","*")</f>
        <v/>
      </c>
      <c r="AI382" s="1092"/>
      <c r="AJ382" s="1080">
        <f t="shared" si="418"/>
        <v>0</v>
      </c>
      <c r="AK382" s="1080">
        <f t="shared" si="419"/>
        <v>0</v>
      </c>
      <c r="AL382" s="1080">
        <f t="shared" si="420"/>
        <v>0</v>
      </c>
      <c r="AM382" s="1092">
        <f t="shared" si="421"/>
        <v>0</v>
      </c>
      <c r="AN382" s="1080">
        <f t="shared" si="422"/>
        <v>1</v>
      </c>
      <c r="AO382" s="1080">
        <f t="shared" si="423"/>
        <v>0</v>
      </c>
      <c r="AP382" s="1080">
        <f t="shared" si="424"/>
        <v>1</v>
      </c>
      <c r="AQ382" s="1027">
        <f>VLOOKUP(V382,'System Lookups'!$J$55:$P$64,7)</f>
        <v>600</v>
      </c>
      <c r="AR382" s="1080" t="str">
        <f ca="1">IF(AND(NOT(ISBLANK(AJ382)),ISNA(MATCH(ROW(),'System Lookups'!$C$526:$C$539,0))),"Y","N")</f>
        <v>Y</v>
      </c>
      <c r="AS382" s="1080">
        <f t="shared" si="425"/>
        <v>0</v>
      </c>
      <c r="AU382" s="1080" t="e">
        <f t="shared" si="432"/>
        <v>#N/A</v>
      </c>
      <c r="AV382" s="1080" t="str">
        <f t="shared" si="429"/>
        <v>T</v>
      </c>
      <c r="AW382" s="1080">
        <f t="shared" si="433"/>
        <v>0</v>
      </c>
      <c r="AX382" s="1080">
        <f t="shared" si="434"/>
        <v>0</v>
      </c>
      <c r="AY382" s="1080">
        <f t="shared" si="435"/>
        <v>0</v>
      </c>
      <c r="AZ382" s="1080">
        <f t="shared" si="436"/>
        <v>0</v>
      </c>
      <c r="BA382" s="1080">
        <f t="shared" si="437"/>
        <v>0</v>
      </c>
      <c r="BB382" s="1080">
        <f>IF(AND(RACE=1,'Main Creation Page'!$E$6="Well",OR(ISNUMBER(FIND(Experience!$G$11,BE382)),ISNUMBER(FIND(Experience!$G$11,BF382)),ISNUMBER(FIND(Experience!$I$11,BE382)),ISNUMBER(FIND(Experience!$I$11,BF382)))),1,0)</f>
        <v>1</v>
      </c>
      <c r="BC382" s="1080" t="str">
        <f t="shared" si="390"/>
        <v>Monster:Saurian (Dragon Kin) (Native)</v>
      </c>
      <c r="BD382" s="1080" t="s">
        <v>5694</v>
      </c>
      <c r="BE382" s="1080" t="str">
        <f t="shared" si="430"/>
        <v>Lore</v>
      </c>
      <c r="BF382" s="1080" t="str">
        <f t="shared" si="431"/>
        <v>Language Lore: Spoken</v>
      </c>
    </row>
    <row r="383" spans="1:58" ht="11.1" customHeight="1" outlineLevel="4">
      <c r="A383" s="1093" t="s">
        <v>4886</v>
      </c>
      <c r="B383" s="1094" t="s">
        <v>1942</v>
      </c>
      <c r="C383" s="1094"/>
      <c r="D383" s="1094"/>
      <c r="E383" s="1095" t="s">
        <v>5224</v>
      </c>
      <c r="F383" s="1095" t="s">
        <v>5224</v>
      </c>
      <c r="G383" s="1096">
        <v>0</v>
      </c>
      <c r="H383" s="1096" t="s">
        <v>5224</v>
      </c>
      <c r="I383" s="1096" t="s">
        <v>5224</v>
      </c>
      <c r="J383" s="1096" t="s">
        <v>5224</v>
      </c>
      <c r="K383" s="1096" t="s">
        <v>5224</v>
      </c>
      <c r="L383" s="1096">
        <v>0</v>
      </c>
      <c r="M383" s="1096" t="s">
        <v>5224</v>
      </c>
      <c r="N383" s="1096" t="s">
        <v>4631</v>
      </c>
      <c r="O383" s="1113"/>
      <c r="P383" s="1113" t="s">
        <v>13</v>
      </c>
      <c r="S383" s="1113" t="s">
        <v>58</v>
      </c>
      <c r="T383" s="1113"/>
      <c r="U383" s="1027">
        <v>6</v>
      </c>
      <c r="V383" s="1027">
        <f>IF((AP383+U383+VLOOKUP('Main Creation Page'!E$14,'System Lookups'!R$45:S$49,2))&gt;10,10,IF((AP383+U383+VLOOKUP('Main Creation Page'!E$14,'System Lookups'!R$45:S$49,2))&lt;1,1,(AP383+U383+VLOOKUP('Main Creation Page'!E$14,'System Lookups'!R$45:S$49,2))))</f>
        <v>7</v>
      </c>
      <c r="W383" s="1098" t="e">
        <f>IF(OR(I383&lt;&gt;"N",E383="C"),IF(AND(N383&lt;&gt;"T",ISNUMBER(FIND("V",I383))),1,0),NA())+IF(H383="Y",IF(AND(N383="P",ISNUMBER(FIND("Z",I383))),2,1),0)+IF(J383="Y",1,0)+IF(K383="Y",3,0)+IF(BE383="Lore",L383*2+Experience!$D$25,0)+IF(M383="Y",1,0)</f>
        <v>#N/A</v>
      </c>
      <c r="X383" s="1099"/>
      <c r="Y383" s="1100">
        <f ca="1">IF(P383="NS",IFERROR(INDIRECT(S383),NA()),VLOOKUP(INDIRECT(P383)+INDIRECT(S383),'System Lookups'!$A$3:$D$146,2))</f>
        <v>0.08</v>
      </c>
      <c r="Z383" s="1100">
        <f t="shared" si="415"/>
        <v>0</v>
      </c>
      <c r="AA383" s="1101">
        <f ca="1">IF(ISNA(Y383),0,Y383)+Z383+IF('Main Creation Page'!AB$2=37,'Main Creation Page'!E$14/100,0)</f>
        <v>0.08</v>
      </c>
      <c r="AB383" s="1102">
        <f>VLOOKUP(V383,'System Lookups'!$J$55:$P$64,3)</f>
        <v>0.03</v>
      </c>
      <c r="AC383" s="1103">
        <f>VLOOKUP(V383,'System Lookups'!$J$55:$P$64,4)</f>
        <v>7.0000000000000007E-2</v>
      </c>
      <c r="AD383" s="1104">
        <f t="shared" si="416"/>
        <v>0</v>
      </c>
      <c r="AE383" s="1094">
        <f>(IF(AD383&gt;VLOOKUP(V383,'System Lookups'!$J$55:$P$63,6),(((AD383-VLOOKUP(V383,'System Lookups'!$J$55:$P$63,6))*100)/20),0))+AF383</f>
        <v>0</v>
      </c>
      <c r="AF383" s="1121"/>
      <c r="AG383" s="1092">
        <f t="shared" si="417"/>
        <v>0</v>
      </c>
      <c r="AH383" s="1092" t="str">
        <f>IF(X383&lt;=Experience!$R$15+1,"","*")</f>
        <v/>
      </c>
      <c r="AI383" s="1092"/>
      <c r="AJ383" s="1080">
        <f t="shared" si="418"/>
        <v>0</v>
      </c>
      <c r="AK383" s="1080">
        <f t="shared" si="419"/>
        <v>0</v>
      </c>
      <c r="AL383" s="1080">
        <f t="shared" si="420"/>
        <v>0</v>
      </c>
      <c r="AM383" s="1092">
        <f t="shared" si="421"/>
        <v>0</v>
      </c>
      <c r="AN383" s="1080">
        <f t="shared" si="422"/>
        <v>1</v>
      </c>
      <c r="AO383" s="1080">
        <f t="shared" si="423"/>
        <v>0</v>
      </c>
      <c r="AP383" s="1080">
        <f t="shared" si="424"/>
        <v>1</v>
      </c>
      <c r="AQ383" s="1027">
        <f>VLOOKUP(V383,'System Lookups'!$J$55:$P$64,7)</f>
        <v>1000</v>
      </c>
      <c r="AR383" s="1080" t="str">
        <f ca="1">IF(AND(NOT(ISBLANK(AJ383)),ISNA(MATCH(ROW(),'System Lookups'!$C$526:$C$539,0))),"Y","N")</f>
        <v>Y</v>
      </c>
      <c r="AS383" s="1080">
        <f t="shared" si="425"/>
        <v>0</v>
      </c>
      <c r="AU383" s="1080" t="e">
        <f t="shared" si="432"/>
        <v>#N/A</v>
      </c>
      <c r="AV383" s="1080" t="str">
        <f t="shared" si="429"/>
        <v>T</v>
      </c>
      <c r="AW383" s="1080">
        <f t="shared" si="433"/>
        <v>0</v>
      </c>
      <c r="AX383" s="1080">
        <f t="shared" si="434"/>
        <v>0</v>
      </c>
      <c r="AY383" s="1080">
        <f t="shared" si="435"/>
        <v>0</v>
      </c>
      <c r="AZ383" s="1080">
        <f t="shared" si="436"/>
        <v>0</v>
      </c>
      <c r="BA383" s="1080">
        <f t="shared" si="437"/>
        <v>0</v>
      </c>
      <c r="BB383" s="1080">
        <f>IF(AND(RACE=1,'Main Creation Page'!$E$6="Well",OR(ISNUMBER(FIND(Experience!$G$11,BE383)),ISNUMBER(FIND(Experience!$G$11,BF383)),ISNUMBER(FIND(Experience!$I$11,BE383)),ISNUMBER(FIND(Experience!$I$11,BF383)))),1,0)</f>
        <v>1</v>
      </c>
      <c r="BC383" s="1080" t="str">
        <f t="shared" si="390"/>
        <v>Monster:Saurian (Dragon Kin) (Ancient)</v>
      </c>
      <c r="BD383" s="1080" t="s">
        <v>5694</v>
      </c>
      <c r="BE383" s="1080" t="str">
        <f t="shared" si="430"/>
        <v>Lore</v>
      </c>
      <c r="BF383" s="1080" t="str">
        <f t="shared" si="431"/>
        <v>Language Lore: Spoken</v>
      </c>
    </row>
    <row r="384" spans="1:58" ht="11.1" customHeight="1" outlineLevel="3">
      <c r="A384" s="1093" t="s">
        <v>4887</v>
      </c>
      <c r="B384" s="1094" t="s">
        <v>1942</v>
      </c>
      <c r="C384" s="1094"/>
      <c r="D384" s="1094"/>
      <c r="E384" s="1095" t="s">
        <v>5224</v>
      </c>
      <c r="F384" s="1095" t="s">
        <v>5224</v>
      </c>
      <c r="G384" s="1096">
        <v>0</v>
      </c>
      <c r="H384" s="1096" t="s">
        <v>5224</v>
      </c>
      <c r="I384" s="1096" t="s">
        <v>5224</v>
      </c>
      <c r="J384" s="1096" t="s">
        <v>5224</v>
      </c>
      <c r="K384" s="1096" t="s">
        <v>5224</v>
      </c>
      <c r="L384" s="1096">
        <v>0</v>
      </c>
      <c r="M384" s="1096" t="s">
        <v>5224</v>
      </c>
      <c r="N384" s="1096" t="s">
        <v>4631</v>
      </c>
      <c r="O384" s="1113"/>
      <c r="P384" s="1113" t="s">
        <v>13</v>
      </c>
      <c r="S384" s="1113" t="s">
        <v>58</v>
      </c>
      <c r="T384" s="1113"/>
      <c r="U384" s="1027">
        <v>8</v>
      </c>
      <c r="V384" s="1027">
        <f>IF((AP384+U384+VLOOKUP('Main Creation Page'!E$14,'System Lookups'!R$45:S$49,2))&gt;10,10,IF((AP384+U384+VLOOKUP('Main Creation Page'!E$14,'System Lookups'!R$45:S$49,2))&lt;1,1,(AP384+U384+VLOOKUP('Main Creation Page'!E$14,'System Lookups'!R$45:S$49,2))))</f>
        <v>9</v>
      </c>
      <c r="W384" s="1098" t="e">
        <f>IF(OR(I384&lt;&gt;"N",E384="C"),IF(AND(N384&lt;&gt;"T",ISNUMBER(FIND("V",I384))),1,0),NA())+IF(H384="Y",IF(AND(N384="P",ISNUMBER(FIND("Z",I384))),2,1),0)+IF(J384="Y",1,0)+IF(K384="Y",3,0)+IF(BE384="Lore",L384*2+Experience!$D$25,0)+IF(M384="Y",1,0)</f>
        <v>#N/A</v>
      </c>
      <c r="X384" s="1099"/>
      <c r="Y384" s="1100">
        <f ca="1">IF(P384="NS",IFERROR(INDIRECT(S384),NA()),VLOOKUP(INDIRECT(P384)+INDIRECT(S384),'System Lookups'!$A$3:$D$146,2))</f>
        <v>0.08</v>
      </c>
      <c r="Z384" s="1100">
        <f t="shared" si="415"/>
        <v>0</v>
      </c>
      <c r="AA384" s="1101">
        <f ca="1">IF(ISNA(Y384),0,Y384)+Z384+IF('Main Creation Page'!AB$2=37,'Main Creation Page'!E$14/100,0)</f>
        <v>0.08</v>
      </c>
      <c r="AB384" s="1102">
        <f>VLOOKUP(V384,'System Lookups'!$J$55:$P$64,3)</f>
        <v>0.01</v>
      </c>
      <c r="AC384" s="1103">
        <f>VLOOKUP(V384,'System Lookups'!$J$55:$P$64,4)</f>
        <v>0.02</v>
      </c>
      <c r="AD384" s="1104">
        <f t="shared" si="416"/>
        <v>0</v>
      </c>
      <c r="AE384" s="1094">
        <f>(IF(AD384&gt;VLOOKUP(V384,'System Lookups'!$J$55:$P$63,6),(((AD384-VLOOKUP(V384,'System Lookups'!$J$55:$P$63,6))*100)/20),0))+AF384</f>
        <v>0</v>
      </c>
      <c r="AF384" s="1121"/>
      <c r="AG384" s="1092">
        <f t="shared" si="417"/>
        <v>0</v>
      </c>
      <c r="AH384" s="1092" t="str">
        <f>IF(X384&lt;=Experience!$R$15+1,"","*")</f>
        <v/>
      </c>
      <c r="AI384" s="1092"/>
      <c r="AJ384" s="1080">
        <f t="shared" si="418"/>
        <v>0</v>
      </c>
      <c r="AK384" s="1080">
        <f t="shared" si="419"/>
        <v>0</v>
      </c>
      <c r="AL384" s="1080">
        <f t="shared" si="420"/>
        <v>0</v>
      </c>
      <c r="AM384" s="1092">
        <f t="shared" si="421"/>
        <v>0</v>
      </c>
      <c r="AN384" s="1080">
        <f t="shared" si="422"/>
        <v>1</v>
      </c>
      <c r="AO384" s="1080">
        <f t="shared" si="423"/>
        <v>0</v>
      </c>
      <c r="AP384" s="1080">
        <f t="shared" si="424"/>
        <v>1</v>
      </c>
      <c r="AQ384" s="1027">
        <f>VLOOKUP(V384,'System Lookups'!$J$55:$P$64,7)</f>
        <v>1500</v>
      </c>
      <c r="AR384" s="1080" t="str">
        <f ca="1">IF(AND(NOT(ISBLANK(AJ384)),ISNA(MATCH(ROW(),'System Lookups'!$C$526:$C$539,0))),"Y","N")</f>
        <v>Y</v>
      </c>
      <c r="AS384" s="1080">
        <f t="shared" si="425"/>
        <v>0</v>
      </c>
      <c r="AU384" s="1080" t="e">
        <f t="shared" si="432"/>
        <v>#N/A</v>
      </c>
      <c r="AV384" s="1080" t="str">
        <f t="shared" si="429"/>
        <v>T</v>
      </c>
      <c r="AW384" s="1080">
        <f t="shared" si="433"/>
        <v>0</v>
      </c>
      <c r="AX384" s="1080">
        <f t="shared" si="434"/>
        <v>0</v>
      </c>
      <c r="AY384" s="1080">
        <f t="shared" si="435"/>
        <v>0</v>
      </c>
      <c r="AZ384" s="1080">
        <f t="shared" si="436"/>
        <v>0</v>
      </c>
      <c r="BA384" s="1080">
        <f t="shared" si="437"/>
        <v>0</v>
      </c>
      <c r="BB384" s="1080">
        <f>IF(AND(RACE=1,'Main Creation Page'!$E$6="Well",OR(ISNUMBER(FIND(Experience!$G$11,BE384)),ISNUMBER(FIND(Experience!$G$11,BF384)),ISNUMBER(FIND(Experience!$I$11,BE384)),ISNUMBER(FIND(Experience!$I$11,BF384)))),1,0)</f>
        <v>1</v>
      </c>
      <c r="BC384" s="1080" t="str">
        <f t="shared" si="390"/>
        <v>Monster:Saurian (Salamons) (Common)</v>
      </c>
      <c r="BD384" s="1080" t="s">
        <v>5694</v>
      </c>
      <c r="BE384" s="1080" t="str">
        <f t="shared" si="430"/>
        <v>Lore</v>
      </c>
      <c r="BF384" s="1080" t="str">
        <f t="shared" si="431"/>
        <v>Language Lore: Spoken</v>
      </c>
    </row>
    <row r="385" spans="1:58" ht="11.1" customHeight="1" outlineLevel="4">
      <c r="A385" s="1093" t="s">
        <v>4888</v>
      </c>
      <c r="B385" s="1094" t="s">
        <v>1942</v>
      </c>
      <c r="C385" s="1094"/>
      <c r="D385" s="1094"/>
      <c r="E385" s="1095" t="s">
        <v>5224</v>
      </c>
      <c r="F385" s="1095" t="s">
        <v>5224</v>
      </c>
      <c r="G385" s="1096">
        <v>0</v>
      </c>
      <c r="H385" s="1096" t="s">
        <v>5224</v>
      </c>
      <c r="I385" s="1096" t="s">
        <v>5224</v>
      </c>
      <c r="J385" s="1096" t="s">
        <v>5224</v>
      </c>
      <c r="K385" s="1096" t="s">
        <v>5224</v>
      </c>
      <c r="L385" s="1096">
        <v>0</v>
      </c>
      <c r="M385" s="1096" t="s">
        <v>5224</v>
      </c>
      <c r="N385" s="1096" t="s">
        <v>4631</v>
      </c>
      <c r="O385" s="1113"/>
      <c r="P385" s="1113" t="s">
        <v>13</v>
      </c>
      <c r="S385" s="1113" t="s">
        <v>58</v>
      </c>
      <c r="T385" s="1113"/>
      <c r="U385" s="1027">
        <v>5</v>
      </c>
      <c r="V385" s="1027">
        <f>IF((AP385+U385+VLOOKUP('Main Creation Page'!E$14,'System Lookups'!R$45:S$49,2))&gt;10,10,IF((AP385+U385+VLOOKUP('Main Creation Page'!E$14,'System Lookups'!R$45:S$49,2))&lt;1,1,(AP385+U385+VLOOKUP('Main Creation Page'!E$14,'System Lookups'!R$45:S$49,2))))</f>
        <v>6</v>
      </c>
      <c r="W385" s="1098" t="e">
        <f>IF(OR(I385&lt;&gt;"N",E385="C"),IF(AND(N385&lt;&gt;"T",ISNUMBER(FIND("V",I385))),1,0),NA())+IF(H385="Y",IF(AND(N385="P",ISNUMBER(FIND("Z",I385))),2,1),0)+IF(J385="Y",1,0)+IF(K385="Y",3,0)+IF(BE385="Lore",L385*2+Experience!$D$25,0)+IF(M385="Y",1,0)</f>
        <v>#N/A</v>
      </c>
      <c r="X385" s="1099"/>
      <c r="Y385" s="1100">
        <f ca="1">IF(P385="NS",IFERROR(INDIRECT(S385),NA()),VLOOKUP(INDIRECT(P385)+INDIRECT(S385),'System Lookups'!$A$3:$D$146,2))</f>
        <v>0.08</v>
      </c>
      <c r="Z385" s="1100">
        <f t="shared" si="415"/>
        <v>0</v>
      </c>
      <c r="AA385" s="1101">
        <f ca="1">IF(ISNA(Y385),0,Y385)+Z385+IF('Main Creation Page'!AB$2=37,'Main Creation Page'!E$14/100,0)</f>
        <v>0.08</v>
      </c>
      <c r="AB385" s="1102">
        <f>VLOOKUP(V385,'System Lookups'!$J$55:$P$64,3)</f>
        <v>0.05</v>
      </c>
      <c r="AC385" s="1103">
        <f>VLOOKUP(V385,'System Lookups'!$J$55:$P$64,4)</f>
        <v>0.1</v>
      </c>
      <c r="AD385" s="1104">
        <f t="shared" si="416"/>
        <v>0</v>
      </c>
      <c r="AE385" s="1094">
        <f>(IF(AD385&gt;VLOOKUP(V385,'System Lookups'!$J$55:$P$63,6),(((AD385-VLOOKUP(V385,'System Lookups'!$J$55:$P$63,6))*100)/20),0))+AF385</f>
        <v>0</v>
      </c>
      <c r="AF385" s="1121"/>
      <c r="AG385" s="1092">
        <f t="shared" si="417"/>
        <v>0</v>
      </c>
      <c r="AH385" s="1092" t="str">
        <f>IF(X385&lt;=Experience!$R$15+1,"","*")</f>
        <v/>
      </c>
      <c r="AI385" s="1092"/>
      <c r="AJ385" s="1080">
        <f t="shared" si="418"/>
        <v>0</v>
      </c>
      <c r="AK385" s="1080">
        <f t="shared" si="419"/>
        <v>0</v>
      </c>
      <c r="AL385" s="1080">
        <f t="shared" si="420"/>
        <v>0</v>
      </c>
      <c r="AM385" s="1092">
        <f t="shared" si="421"/>
        <v>0</v>
      </c>
      <c r="AN385" s="1080">
        <f t="shared" si="422"/>
        <v>1</v>
      </c>
      <c r="AO385" s="1080">
        <f t="shared" si="423"/>
        <v>0</v>
      </c>
      <c r="AP385" s="1080">
        <f t="shared" si="424"/>
        <v>1</v>
      </c>
      <c r="AQ385" s="1027">
        <f>VLOOKUP(V385,'System Lookups'!$J$55:$P$64,7)</f>
        <v>800</v>
      </c>
      <c r="AR385" s="1080" t="str">
        <f ca="1">IF(AND(NOT(ISBLANK(AJ385)),ISNA(MATCH(ROW(),'System Lookups'!$C$526:$C$539,0))),"Y","N")</f>
        <v>Y</v>
      </c>
      <c r="AS385" s="1080">
        <f t="shared" si="425"/>
        <v>0</v>
      </c>
      <c r="AU385" s="1080" t="e">
        <f t="shared" si="432"/>
        <v>#N/A</v>
      </c>
      <c r="AV385" s="1080" t="str">
        <f t="shared" si="429"/>
        <v>T</v>
      </c>
      <c r="AW385" s="1080">
        <f t="shared" si="433"/>
        <v>0</v>
      </c>
      <c r="AX385" s="1080">
        <f t="shared" si="434"/>
        <v>0</v>
      </c>
      <c r="AY385" s="1080">
        <f t="shared" si="435"/>
        <v>0</v>
      </c>
      <c r="AZ385" s="1080">
        <f t="shared" si="436"/>
        <v>0</v>
      </c>
      <c r="BA385" s="1080">
        <f t="shared" si="437"/>
        <v>0</v>
      </c>
      <c r="BB385" s="1080">
        <f>IF(AND(RACE=1,'Main Creation Page'!$E$6="Well",OR(ISNUMBER(FIND(Experience!$G$11,BE385)),ISNUMBER(FIND(Experience!$G$11,BF385)),ISNUMBER(FIND(Experience!$I$11,BE385)),ISNUMBER(FIND(Experience!$I$11,BF385)))),1,0)</f>
        <v>1</v>
      </c>
      <c r="BC385" s="1080" t="str">
        <f t="shared" si="390"/>
        <v>Monster:Saurian (Salamons) (Native)</v>
      </c>
      <c r="BD385" s="1080" t="s">
        <v>5694</v>
      </c>
      <c r="BE385" s="1080" t="str">
        <f t="shared" si="430"/>
        <v>Lore</v>
      </c>
      <c r="BF385" s="1080" t="str">
        <f t="shared" si="431"/>
        <v>Language Lore: Spoken</v>
      </c>
    </row>
    <row r="386" spans="1:58" ht="11.1" customHeight="1" outlineLevel="4">
      <c r="A386" s="1093" t="s">
        <v>4304</v>
      </c>
      <c r="B386" s="1094" t="s">
        <v>1942</v>
      </c>
      <c r="C386" s="1094"/>
      <c r="D386" s="1094"/>
      <c r="E386" s="1095" t="s">
        <v>5224</v>
      </c>
      <c r="F386" s="1095" t="s">
        <v>5224</v>
      </c>
      <c r="G386" s="1096">
        <v>0</v>
      </c>
      <c r="H386" s="1096" t="s">
        <v>5224</v>
      </c>
      <c r="I386" s="1096" t="s">
        <v>5224</v>
      </c>
      <c r="J386" s="1096" t="s">
        <v>5224</v>
      </c>
      <c r="K386" s="1096" t="s">
        <v>5224</v>
      </c>
      <c r="L386" s="1096">
        <v>0</v>
      </c>
      <c r="M386" s="1096" t="s">
        <v>5224</v>
      </c>
      <c r="N386" s="1096" t="s">
        <v>4631</v>
      </c>
      <c r="O386" s="1113"/>
      <c r="P386" s="1113" t="s">
        <v>13</v>
      </c>
      <c r="S386" s="1113" t="s">
        <v>58</v>
      </c>
      <c r="T386" s="1113"/>
      <c r="U386" s="1027">
        <v>7</v>
      </c>
      <c r="V386" s="1027">
        <f>IF((AP386+U386+VLOOKUP('Main Creation Page'!E$14,'System Lookups'!R$45:S$49,2))&gt;10,10,IF((AP386+U386+VLOOKUP('Main Creation Page'!E$14,'System Lookups'!R$45:S$49,2))&lt;1,1,(AP386+U386+VLOOKUP('Main Creation Page'!E$14,'System Lookups'!R$45:S$49,2))))</f>
        <v>8</v>
      </c>
      <c r="W386" s="1098" t="e">
        <f>IF(OR(I386&lt;&gt;"N",E386="C"),IF(AND(N386&lt;&gt;"T",ISNUMBER(FIND("V",I386))),1,0),NA())+IF(H386="Y",IF(AND(N386="P",ISNUMBER(FIND("Z",I386))),2,1),0)+IF(J386="Y",1,0)+IF(K386="Y",3,0)+IF(BE386="Lore",L386*2+Experience!$D$25,0)+IF(M386="Y",1,0)</f>
        <v>#N/A</v>
      </c>
      <c r="X386" s="1099"/>
      <c r="Y386" s="1100">
        <f ca="1">IF(P386="NS",IFERROR(INDIRECT(S386),NA()),VLOOKUP(INDIRECT(P386)+INDIRECT(S386),'System Lookups'!$A$3:$D$146,2))</f>
        <v>0.08</v>
      </c>
      <c r="Z386" s="1100">
        <f t="shared" si="415"/>
        <v>0</v>
      </c>
      <c r="AA386" s="1101">
        <f ca="1">IF(ISNA(Y386),0,Y386)+Z386+IF('Main Creation Page'!AB$2=37,'Main Creation Page'!E$14/100,0)</f>
        <v>0.08</v>
      </c>
      <c r="AB386" s="1102">
        <f>VLOOKUP(V386,'System Lookups'!$J$55:$P$64,3)</f>
        <v>0.02</v>
      </c>
      <c r="AC386" s="1103">
        <f>VLOOKUP(V386,'System Lookups'!$J$55:$P$64,4)</f>
        <v>0.03</v>
      </c>
      <c r="AD386" s="1104">
        <f t="shared" si="416"/>
        <v>0</v>
      </c>
      <c r="AE386" s="1094">
        <f>(IF(AD386&gt;VLOOKUP(V386,'System Lookups'!$J$55:$P$63,6),(((AD386-VLOOKUP(V386,'System Lookups'!$J$55:$P$63,6))*100)/20),0))+AF386</f>
        <v>0</v>
      </c>
      <c r="AF386" s="1121"/>
      <c r="AG386" s="1092">
        <f t="shared" si="417"/>
        <v>0</v>
      </c>
      <c r="AH386" s="1092" t="str">
        <f>IF(X386&lt;=Experience!$R$15+1,"","*")</f>
        <v/>
      </c>
      <c r="AI386" s="1092"/>
      <c r="AJ386" s="1080">
        <f t="shared" si="418"/>
        <v>0</v>
      </c>
      <c r="AK386" s="1080">
        <f t="shared" si="419"/>
        <v>0</v>
      </c>
      <c r="AL386" s="1080">
        <f t="shared" si="420"/>
        <v>0</v>
      </c>
      <c r="AM386" s="1092">
        <f t="shared" si="421"/>
        <v>0</v>
      </c>
      <c r="AN386" s="1080">
        <f t="shared" si="422"/>
        <v>1</v>
      </c>
      <c r="AO386" s="1080">
        <f t="shared" si="423"/>
        <v>0</v>
      </c>
      <c r="AP386" s="1080">
        <f t="shared" si="424"/>
        <v>1</v>
      </c>
      <c r="AQ386" s="1027">
        <f>VLOOKUP(V386,'System Lookups'!$J$55:$P$64,7)</f>
        <v>1200</v>
      </c>
      <c r="AR386" s="1080" t="str">
        <f ca="1">IF(AND(NOT(ISBLANK(AJ386)),ISNA(MATCH(ROW(),'System Lookups'!$C$526:$C$539,0))),"Y","N")</f>
        <v>Y</v>
      </c>
      <c r="AS386" s="1080">
        <f t="shared" si="425"/>
        <v>0</v>
      </c>
      <c r="AU386" s="1080" t="e">
        <f t="shared" si="432"/>
        <v>#N/A</v>
      </c>
      <c r="AV386" s="1080" t="str">
        <f t="shared" si="429"/>
        <v>T</v>
      </c>
      <c r="AW386" s="1080">
        <f t="shared" si="433"/>
        <v>0</v>
      </c>
      <c r="AX386" s="1080">
        <f t="shared" si="434"/>
        <v>0</v>
      </c>
      <c r="AY386" s="1080">
        <f t="shared" si="435"/>
        <v>0</v>
      </c>
      <c r="AZ386" s="1080">
        <f t="shared" si="436"/>
        <v>0</v>
      </c>
      <c r="BA386" s="1080">
        <f t="shared" si="437"/>
        <v>0</v>
      </c>
      <c r="BB386" s="1080">
        <f>IF(AND(RACE=1,'Main Creation Page'!$E$6="Well",OR(ISNUMBER(FIND(Experience!$G$11,BE386)),ISNUMBER(FIND(Experience!$G$11,BF386)),ISNUMBER(FIND(Experience!$I$11,BE386)),ISNUMBER(FIND(Experience!$I$11,BF386)))),1,0)</f>
        <v>1</v>
      </c>
      <c r="BC386" s="1080" t="str">
        <f t="shared" si="390"/>
        <v>Monster:Saurian (Salamons) (Ancient)</v>
      </c>
      <c r="BD386" s="1080" t="s">
        <v>5694</v>
      </c>
      <c r="BE386" s="1080" t="str">
        <f t="shared" si="430"/>
        <v>Lore</v>
      </c>
      <c r="BF386" s="1080" t="str">
        <f t="shared" si="431"/>
        <v>Language Lore: Spoken</v>
      </c>
    </row>
    <row r="387" spans="1:58" ht="11.1" customHeight="1" outlineLevel="3">
      <c r="A387" s="1093" t="s">
        <v>4884</v>
      </c>
      <c r="B387" s="1094" t="s">
        <v>1942</v>
      </c>
      <c r="C387" s="1094"/>
      <c r="D387" s="1094"/>
      <c r="E387" s="1095" t="s">
        <v>5224</v>
      </c>
      <c r="F387" s="1095" t="s">
        <v>5224</v>
      </c>
      <c r="G387" s="1096">
        <v>0</v>
      </c>
      <c r="H387" s="1096" t="s">
        <v>5224</v>
      </c>
      <c r="I387" s="1096" t="s">
        <v>5224</v>
      </c>
      <c r="J387" s="1096" t="s">
        <v>5224</v>
      </c>
      <c r="K387" s="1096" t="s">
        <v>5224</v>
      </c>
      <c r="L387" s="1096">
        <v>0</v>
      </c>
      <c r="M387" s="1096" t="s">
        <v>5224</v>
      </c>
      <c r="N387" s="1096" t="s">
        <v>4631</v>
      </c>
      <c r="O387" s="1113"/>
      <c r="P387" s="1113" t="s">
        <v>13</v>
      </c>
      <c r="S387" s="1113" t="s">
        <v>58</v>
      </c>
      <c r="T387" s="1113"/>
      <c r="U387" s="1027">
        <v>2</v>
      </c>
      <c r="V387" s="1027">
        <f>IF((AP387+U387+VLOOKUP('Main Creation Page'!E$14,'System Lookups'!R$45:S$49,2))&gt;10,10,IF((AP387+U387+VLOOKUP('Main Creation Page'!E$14,'System Lookups'!R$45:S$49,2))&lt;1,1,(AP387+U387+VLOOKUP('Main Creation Page'!E$14,'System Lookups'!R$45:S$49,2))))</f>
        <v>3</v>
      </c>
      <c r="W387" s="1098" t="e">
        <f>IF(OR(I387&lt;&gt;"N",E387="C"),IF(AND(N387&lt;&gt;"T",ISNUMBER(FIND("V",I387))),1,0),NA())+IF(H387="Y",IF(AND(N387="P",ISNUMBER(FIND("Z",I387))),2,1),0)+IF(J387="Y",1,0)+IF(K387="Y",3,0)+IF(BE387="Lore",L387*2+Experience!$D$25,0)+IF(M387="Y",1,0)</f>
        <v>#N/A</v>
      </c>
      <c r="X387" s="1099"/>
      <c r="Y387" s="1100">
        <f ca="1">IF(P387="NS",IFERROR(INDIRECT(S387),NA()),VLOOKUP(INDIRECT(P387)+INDIRECT(S387),'System Lookups'!$A$3:$D$146,2))</f>
        <v>0.08</v>
      </c>
      <c r="Z387" s="1100">
        <f t="shared" si="415"/>
        <v>0</v>
      </c>
      <c r="AA387" s="1101">
        <f ca="1">IF(ISNA(Y387),0,Y387)+Z387+IF('Main Creation Page'!AB$2=37,'Main Creation Page'!E$14/100,0)</f>
        <v>0.08</v>
      </c>
      <c r="AB387" s="1102">
        <f>VLOOKUP(V387,'System Lookups'!$J$55:$P$64,3)</f>
        <v>0.3</v>
      </c>
      <c r="AC387" s="1103">
        <f>VLOOKUP(V387,'System Lookups'!$J$55:$P$64,4)</f>
        <v>0.4</v>
      </c>
      <c r="AD387" s="1104">
        <f t="shared" si="416"/>
        <v>0</v>
      </c>
      <c r="AE387" s="1094">
        <f>(IF(AD387&gt;VLOOKUP(V387,'System Lookups'!$J$55:$P$63,6),(((AD387-VLOOKUP(V387,'System Lookups'!$J$55:$P$63,6))*100)/20),0))+AF387</f>
        <v>0</v>
      </c>
      <c r="AF387" s="1121"/>
      <c r="AG387" s="1092">
        <f t="shared" si="417"/>
        <v>0</v>
      </c>
      <c r="AH387" s="1092" t="str">
        <f>IF(X387&lt;=Experience!$R$15+1,"","*")</f>
        <v/>
      </c>
      <c r="AI387" s="1092"/>
      <c r="AJ387" s="1080">
        <f t="shared" si="418"/>
        <v>0</v>
      </c>
      <c r="AK387" s="1080">
        <f t="shared" si="419"/>
        <v>0</v>
      </c>
      <c r="AL387" s="1080">
        <f t="shared" si="420"/>
        <v>0</v>
      </c>
      <c r="AM387" s="1092">
        <f t="shared" si="421"/>
        <v>0</v>
      </c>
      <c r="AN387" s="1080">
        <f t="shared" si="422"/>
        <v>1</v>
      </c>
      <c r="AO387" s="1080">
        <f t="shared" si="423"/>
        <v>0</v>
      </c>
      <c r="AP387" s="1080">
        <f t="shared" si="424"/>
        <v>1</v>
      </c>
      <c r="AQ387" s="1027">
        <f>VLOOKUP(V387,'System Lookups'!$J$55:$P$64,7)</f>
        <v>500</v>
      </c>
      <c r="AR387" s="1080" t="str">
        <f ca="1">IF(AND(NOT(ISBLANK(AJ387)),ISNA(MATCH(ROW(),'System Lookups'!$C$526:$C$539,0))),"Y","N")</f>
        <v>Y</v>
      </c>
      <c r="AS387" s="1080">
        <f t="shared" si="425"/>
        <v>0</v>
      </c>
      <c r="AU387" s="1080" t="e">
        <f t="shared" si="432"/>
        <v>#N/A</v>
      </c>
      <c r="AV387" s="1080" t="str">
        <f t="shared" si="429"/>
        <v>T</v>
      </c>
      <c r="AW387" s="1080">
        <f t="shared" si="433"/>
        <v>0</v>
      </c>
      <c r="AX387" s="1080">
        <f t="shared" si="434"/>
        <v>0</v>
      </c>
      <c r="AY387" s="1080">
        <f t="shared" si="435"/>
        <v>0</v>
      </c>
      <c r="AZ387" s="1080">
        <f t="shared" si="436"/>
        <v>0</v>
      </c>
      <c r="BA387" s="1080">
        <f t="shared" si="437"/>
        <v>0</v>
      </c>
      <c r="BB387" s="1080">
        <f>IF(AND(RACE=1,'Main Creation Page'!$E$6="Well",OR(ISNUMBER(FIND(Experience!$G$11,BE387)),ISNUMBER(FIND(Experience!$G$11,BF387)),ISNUMBER(FIND(Experience!$I$11,BE387)),ISNUMBER(FIND(Experience!$I$11,BF387)))),1,0)</f>
        <v>1</v>
      </c>
      <c r="BC387" s="1080" t="str">
        <f t="shared" si="390"/>
        <v>Monster:Scorpion Men</v>
      </c>
      <c r="BD387" s="1080" t="s">
        <v>5694</v>
      </c>
      <c r="BE387" s="1080" t="str">
        <f t="shared" si="430"/>
        <v>Lore</v>
      </c>
      <c r="BF387" s="1080" t="str">
        <f t="shared" si="431"/>
        <v>Language Lore: Spoken</v>
      </c>
    </row>
    <row r="388" spans="1:58" ht="11.1" customHeight="1" outlineLevel="3">
      <c r="A388" s="1028" t="s">
        <v>5291</v>
      </c>
      <c r="B388" s="1094" t="s">
        <v>1942</v>
      </c>
      <c r="C388" s="1094"/>
      <c r="D388" s="1094"/>
      <c r="E388" s="1095" t="s">
        <v>5224</v>
      </c>
      <c r="F388" s="1095" t="s">
        <v>5224</v>
      </c>
      <c r="G388" s="1096">
        <v>0</v>
      </c>
      <c r="H388" s="1096" t="s">
        <v>5224</v>
      </c>
      <c r="I388" s="1096" t="s">
        <v>5224</v>
      </c>
      <c r="J388" s="1096" t="s">
        <v>5224</v>
      </c>
      <c r="K388" s="1096" t="s">
        <v>5224</v>
      </c>
      <c r="L388" s="1096">
        <v>0</v>
      </c>
      <c r="M388" s="1096" t="s">
        <v>5224</v>
      </c>
      <c r="N388" s="1096" t="s">
        <v>4631</v>
      </c>
      <c r="O388" s="1113"/>
      <c r="P388" s="1113" t="s">
        <v>13</v>
      </c>
      <c r="S388" s="1113" t="s">
        <v>58</v>
      </c>
      <c r="T388" s="1113"/>
      <c r="U388" s="1027">
        <v>3</v>
      </c>
      <c r="V388" s="1027">
        <f>IF((AP388+U388+VLOOKUP('Main Creation Page'!E$14,'System Lookups'!R$45:S$49,2))&gt;10,10,IF((AP388+U388+VLOOKUP('Main Creation Page'!E$14,'System Lookups'!R$45:S$49,2))&lt;1,1,(AP388+U388+VLOOKUP('Main Creation Page'!E$14,'System Lookups'!R$45:S$49,2))))</f>
        <v>4</v>
      </c>
      <c r="W388" s="1098" t="e">
        <f>IF(OR(I388&lt;&gt;"N",E388="C"),IF(AND(N388&lt;&gt;"T",ISNUMBER(FIND("V",I388))),1,0),NA())+IF(H388="Y",IF(AND(N388="P",ISNUMBER(FIND("Z",I388))),2,1),0)+IF(J388="Y",1,0)+IF(K388="Y",3,0)+IF(BE388="Lore",L388*2+Experience!$D$25,0)+IF(M388="Y",1,0)</f>
        <v>#N/A</v>
      </c>
      <c r="X388" s="1099"/>
      <c r="Y388" s="1100">
        <f ca="1">IF(P388="NS",IFERROR(INDIRECT(S388),NA()),VLOOKUP(INDIRECT(P388)+INDIRECT(S388),'System Lookups'!$A$3:$D$146,2))</f>
        <v>0.08</v>
      </c>
      <c r="Z388" s="1100">
        <f t="shared" si="415"/>
        <v>0</v>
      </c>
      <c r="AA388" s="1101">
        <f ca="1">IF(ISNA(Y388),0,Y388)+Z388+IF('Main Creation Page'!AB$2=37,'Main Creation Page'!E$14/100,0)</f>
        <v>0.08</v>
      </c>
      <c r="AB388" s="1102">
        <f>VLOOKUP(V388,'System Lookups'!$J$55:$P$64,3)</f>
        <v>0.2</v>
      </c>
      <c r="AC388" s="1103">
        <f>VLOOKUP(V388,'System Lookups'!$J$55:$P$64,4)</f>
        <v>0.3</v>
      </c>
      <c r="AD388" s="1104">
        <f t="shared" si="416"/>
        <v>0</v>
      </c>
      <c r="AE388" s="1094">
        <f>(IF(AD388&gt;VLOOKUP(V388,'System Lookups'!$J$55:$P$63,6),(((AD388-VLOOKUP(V388,'System Lookups'!$J$55:$P$63,6))*100)/20),0))+AF388</f>
        <v>0</v>
      </c>
      <c r="AF388" s="1121"/>
      <c r="AG388" s="1092">
        <f t="shared" si="417"/>
        <v>0</v>
      </c>
      <c r="AH388" s="1092" t="str">
        <f>IF(X388&lt;=Experience!$R$15+1,"","*")</f>
        <v/>
      </c>
      <c r="AI388" s="1092"/>
      <c r="AJ388" s="1080">
        <f t="shared" si="418"/>
        <v>0</v>
      </c>
      <c r="AK388" s="1080">
        <f t="shared" si="419"/>
        <v>0</v>
      </c>
      <c r="AL388" s="1080">
        <f t="shared" si="420"/>
        <v>0</v>
      </c>
      <c r="AM388" s="1092">
        <f t="shared" si="421"/>
        <v>0</v>
      </c>
      <c r="AN388" s="1080">
        <f t="shared" si="422"/>
        <v>1</v>
      </c>
      <c r="AO388" s="1080">
        <f t="shared" si="423"/>
        <v>0</v>
      </c>
      <c r="AP388" s="1080">
        <f t="shared" si="424"/>
        <v>1</v>
      </c>
      <c r="AQ388" s="1027">
        <f>VLOOKUP(V388,'System Lookups'!$J$55:$P$64,7)</f>
        <v>600</v>
      </c>
      <c r="AR388" s="1080" t="str">
        <f ca="1">IF(AND(NOT(ISBLANK(AJ388)),ISNA(MATCH(ROW(),'System Lookups'!$C$526:$C$539,0))),"Y","N")</f>
        <v>Y</v>
      </c>
      <c r="AS388" s="1080">
        <f t="shared" si="425"/>
        <v>0</v>
      </c>
      <c r="AU388" s="1080" t="e">
        <f t="shared" si="432"/>
        <v>#N/A</v>
      </c>
      <c r="AV388" s="1080" t="str">
        <f t="shared" si="429"/>
        <v>T</v>
      </c>
      <c r="AW388" s="1080">
        <f t="shared" si="433"/>
        <v>0</v>
      </c>
      <c r="AX388" s="1080">
        <f t="shared" si="434"/>
        <v>0</v>
      </c>
      <c r="AY388" s="1080">
        <f t="shared" si="435"/>
        <v>0</v>
      </c>
      <c r="AZ388" s="1080">
        <f t="shared" si="436"/>
        <v>0</v>
      </c>
      <c r="BA388" s="1080">
        <f t="shared" si="437"/>
        <v>0</v>
      </c>
      <c r="BB388" s="1080">
        <f>IF(AND(RACE=1,'Main Creation Page'!$E$6="Well",OR(ISNUMBER(FIND(Experience!$G$11,BE388)),ISNUMBER(FIND(Experience!$G$11,BF388)),ISNUMBER(FIND(Experience!$I$11,BE388)),ISNUMBER(FIND(Experience!$I$11,BF388)))),1,0)</f>
        <v>1</v>
      </c>
      <c r="BC388" s="1080" t="str">
        <f t="shared" si="390"/>
        <v>Monster:Triton</v>
      </c>
      <c r="BD388" s="1080" t="s">
        <v>5694</v>
      </c>
      <c r="BE388" s="1080" t="str">
        <f t="shared" si="430"/>
        <v>Lore</v>
      </c>
      <c r="BF388" s="1080" t="str">
        <f t="shared" si="431"/>
        <v>Language Lore: Spoken</v>
      </c>
    </row>
    <row r="389" spans="1:58" ht="11.1" customHeight="1" outlineLevel="3">
      <c r="A389" s="1028" t="s">
        <v>4755</v>
      </c>
      <c r="B389" s="1094" t="s">
        <v>1942</v>
      </c>
      <c r="C389" s="1094"/>
      <c r="D389" s="1094"/>
      <c r="E389" s="1095" t="s">
        <v>5224</v>
      </c>
      <c r="F389" s="1095" t="str">
        <f>IF('Main Creation Page'!$C$3=5, "R", "N")</f>
        <v>N</v>
      </c>
      <c r="G389" s="1096">
        <v>0</v>
      </c>
      <c r="H389" s="1096" t="s">
        <v>5224</v>
      </c>
      <c r="I389" s="1096" t="s">
        <v>5224</v>
      </c>
      <c r="J389" s="1096" t="s">
        <v>5224</v>
      </c>
      <c r="K389" s="1096" t="s">
        <v>5224</v>
      </c>
      <c r="L389" s="1096">
        <v>0</v>
      </c>
      <c r="M389" s="1096" t="s">
        <v>5224</v>
      </c>
      <c r="N389" s="1096" t="s">
        <v>4631</v>
      </c>
      <c r="O389" s="1113"/>
      <c r="P389" s="1113" t="s">
        <v>13</v>
      </c>
      <c r="S389" s="1113" t="s">
        <v>58</v>
      </c>
      <c r="T389" s="1113"/>
      <c r="U389" s="1027">
        <v>5</v>
      </c>
      <c r="V389" s="1027">
        <f>IF((AP389+U389+VLOOKUP('Main Creation Page'!E$14,'System Lookups'!R$45:S$49,2))&gt;10,10,IF((AP389+U389+VLOOKUP('Main Creation Page'!E$14,'System Lookups'!R$45:S$49,2))&lt;1,1,(AP389+U389+VLOOKUP('Main Creation Page'!E$14,'System Lookups'!R$45:S$49,2))))</f>
        <v>6</v>
      </c>
      <c r="W389" s="1098" t="e">
        <f>IF(OR(I389&lt;&gt;"N",E389="C"),IF(AND(N389&lt;&gt;"T",ISNUMBER(FIND("V",I389))),1,0),NA())+IF(H389="Y",IF(AND(N389="P",ISNUMBER(FIND("Z",I389))),2,1),0)+IF(J389="Y",1,0)+IF(K389="Y",3,0)+IF(BE389="Lore",L389*2+Experience!$D$25,0)+IF(M389="Y",1,0)</f>
        <v>#N/A</v>
      </c>
      <c r="X389" s="1099"/>
      <c r="Y389" s="1100">
        <f ca="1">IF(P389="NS",IFERROR(INDIRECT(S389),NA()),VLOOKUP(INDIRECT(P389)+INDIRECT(S389),'System Lookups'!$A$3:$D$146,2))</f>
        <v>0.08</v>
      </c>
      <c r="Z389" s="1100">
        <f t="shared" si="415"/>
        <v>0</v>
      </c>
      <c r="AA389" s="1101">
        <f ca="1">IF(ISNA(Y389),0,Y389)+Z389+IF('Main Creation Page'!AB$2=37,'Main Creation Page'!E$14/100,0)</f>
        <v>0.08</v>
      </c>
      <c r="AB389" s="1102">
        <f>VLOOKUP(V389,'System Lookups'!$J$55:$P$64,3)</f>
        <v>0.05</v>
      </c>
      <c r="AC389" s="1103">
        <f>VLOOKUP(V389,'System Lookups'!$J$55:$P$64,4)</f>
        <v>0.1</v>
      </c>
      <c r="AD389" s="1104">
        <f t="shared" si="416"/>
        <v>0</v>
      </c>
      <c r="AE389" s="1094">
        <f>(IF(AD389&gt;VLOOKUP(V389,'System Lookups'!$J$55:$P$63,6),(((AD389-VLOOKUP(V389,'System Lookups'!$J$55:$P$63,6))*100)/20),0))+AF389</f>
        <v>0</v>
      </c>
      <c r="AF389" s="1121"/>
      <c r="AG389" s="1092">
        <f t="shared" si="417"/>
        <v>0</v>
      </c>
      <c r="AH389" s="1092" t="str">
        <f>IF(X389&lt;=Experience!$R$15+1,"","*")</f>
        <v/>
      </c>
      <c r="AI389" s="1092"/>
      <c r="AJ389" s="1080">
        <f t="shared" si="418"/>
        <v>0</v>
      </c>
      <c r="AK389" s="1080">
        <f t="shared" si="419"/>
        <v>0</v>
      </c>
      <c r="AL389" s="1080">
        <f t="shared" si="420"/>
        <v>0</v>
      </c>
      <c r="AM389" s="1092">
        <f t="shared" si="421"/>
        <v>0</v>
      </c>
      <c r="AN389" s="1080">
        <f t="shared" si="422"/>
        <v>1</v>
      </c>
      <c r="AO389" s="1080">
        <f t="shared" si="423"/>
        <v>0</v>
      </c>
      <c r="AP389" s="1080">
        <f t="shared" si="424"/>
        <v>1</v>
      </c>
      <c r="AQ389" s="1027">
        <f>VLOOKUP(V389,'System Lookups'!$J$55:$P$64,7)</f>
        <v>800</v>
      </c>
      <c r="AR389" s="1080" t="str">
        <f ca="1">IF(AND(NOT(ISBLANK(AJ389)),ISNA(MATCH(ROW(),'System Lookups'!$C$526:$C$539,0))),"Y","N")</f>
        <v>Y</v>
      </c>
      <c r="AS389" s="1080">
        <f t="shared" si="425"/>
        <v>0</v>
      </c>
      <c r="AU389" s="1080" t="e">
        <f t="shared" si="432"/>
        <v>#N/A</v>
      </c>
      <c r="AV389" s="1080" t="str">
        <f t="shared" si="429"/>
        <v>T</v>
      </c>
      <c r="AW389" s="1080">
        <f t="shared" si="433"/>
        <v>0</v>
      </c>
      <c r="AX389" s="1080">
        <f t="shared" si="434"/>
        <v>0</v>
      </c>
      <c r="AY389" s="1080">
        <f t="shared" si="435"/>
        <v>0</v>
      </c>
      <c r="AZ389" s="1080">
        <f t="shared" si="436"/>
        <v>0</v>
      </c>
      <c r="BA389" s="1080">
        <f t="shared" si="437"/>
        <v>0</v>
      </c>
      <c r="BB389" s="1080">
        <f>IF(AND(RACE=1,'Main Creation Page'!$E$6="Well",OR(ISNUMBER(FIND(Experience!$G$11,BE389)),ISNUMBER(FIND(Experience!$G$11,BF389)),ISNUMBER(FIND(Experience!$I$11,BE389)),ISNUMBER(FIND(Experience!$I$11,BF389)))),1,0)</f>
        <v>1</v>
      </c>
      <c r="BC389" s="1080" t="str">
        <f t="shared" si="390"/>
        <v>Monster:Trollish</v>
      </c>
      <c r="BD389" s="1080" t="s">
        <v>5694</v>
      </c>
      <c r="BE389" s="1080" t="str">
        <f t="shared" si="430"/>
        <v>Lore</v>
      </c>
      <c r="BF389" s="1080" t="str">
        <f t="shared" si="431"/>
        <v>Language Lore: Spoken</v>
      </c>
    </row>
    <row r="390" spans="1:58" ht="11.1" customHeight="1" outlineLevel="3">
      <c r="A390" s="1093" t="s">
        <v>67</v>
      </c>
      <c r="B390" s="1094" t="s">
        <v>1942</v>
      </c>
      <c r="C390" s="1094"/>
      <c r="D390" s="1094"/>
      <c r="E390" s="1095" t="s">
        <v>5224</v>
      </c>
      <c r="F390" s="1095" t="str">
        <f>IF('Main Creation Page'!$C$3=5, "R", "N")</f>
        <v>N</v>
      </c>
      <c r="G390" s="1096">
        <v>0</v>
      </c>
      <c r="H390" s="1096" t="s">
        <v>5224</v>
      </c>
      <c r="I390" s="1096" t="s">
        <v>5224</v>
      </c>
      <c r="J390" s="1096" t="s">
        <v>5224</v>
      </c>
      <c r="K390" s="1096" t="s">
        <v>5224</v>
      </c>
      <c r="L390" s="1096">
        <v>0</v>
      </c>
      <c r="M390" s="1096" t="s">
        <v>5224</v>
      </c>
      <c r="N390" s="1096" t="s">
        <v>4631</v>
      </c>
      <c r="O390" s="1113"/>
      <c r="P390" s="1113" t="s">
        <v>13</v>
      </c>
      <c r="S390" s="1113" t="s">
        <v>58</v>
      </c>
      <c r="T390" s="1113"/>
      <c r="U390" s="1027">
        <v>3</v>
      </c>
      <c r="V390" s="1027">
        <f>IF((AP390+U390+VLOOKUP('Main Creation Page'!E$14,'System Lookups'!R$45:S$49,2))&gt;10,10,IF((AP390+U390+VLOOKUP('Main Creation Page'!E$14,'System Lookups'!R$45:S$49,2))&lt;1,1,(AP390+U390+VLOOKUP('Main Creation Page'!E$14,'System Lookups'!R$45:S$49,2))))</f>
        <v>4</v>
      </c>
      <c r="W390" s="1098" t="e">
        <f>IF(OR(I390&lt;&gt;"N",E390="C"),IF(AND(N390&lt;&gt;"T",ISNUMBER(FIND("V",I390))),1,0),NA())+IF(H390="Y",IF(AND(N390="P",ISNUMBER(FIND("Z",I390))),2,1),0)+IF(J390="Y",1,0)+IF(K390="Y",3,0)+IF(BE390="Lore",L390*2+Experience!$D$25,0)+IF(M390="Y",1,0)</f>
        <v>#N/A</v>
      </c>
      <c r="X390" s="1099"/>
      <c r="Y390" s="1100">
        <f ca="1">IF(P390="NS",IFERROR(INDIRECT(S390),NA()),VLOOKUP(INDIRECT(P390)+INDIRECT(S390),'System Lookups'!$A$3:$D$146,2))</f>
        <v>0.08</v>
      </c>
      <c r="Z390" s="1100">
        <f t="shared" si="415"/>
        <v>0</v>
      </c>
      <c r="AA390" s="1101">
        <f ca="1">IF(ISNA(Y390),0,Y390)+Z390+IF('Main Creation Page'!AB$2=37,'Main Creation Page'!E$14/100,0)</f>
        <v>0.08</v>
      </c>
      <c r="AB390" s="1102">
        <f>VLOOKUP(V390,'System Lookups'!$J$55:$P$64,3)</f>
        <v>0.2</v>
      </c>
      <c r="AC390" s="1103">
        <f>VLOOKUP(V390,'System Lookups'!$J$55:$P$64,4)</f>
        <v>0.3</v>
      </c>
      <c r="AD390" s="1104">
        <f t="shared" si="416"/>
        <v>0</v>
      </c>
      <c r="AE390" s="1094">
        <f>(IF(AD390&gt;VLOOKUP(V390,'System Lookups'!$J$55:$P$63,6),(((AD390-VLOOKUP(V390,'System Lookups'!$J$55:$P$63,6))*100)/20),0))+AF390</f>
        <v>0</v>
      </c>
      <c r="AF390" s="1121"/>
      <c r="AG390" s="1092">
        <f t="shared" si="417"/>
        <v>0</v>
      </c>
      <c r="AH390" s="1092" t="str">
        <f>IF(X390&lt;=Experience!$R$15+1,"","*")</f>
        <v/>
      </c>
      <c r="AI390" s="1092"/>
      <c r="AJ390" s="1080">
        <f t="shared" si="418"/>
        <v>0</v>
      </c>
      <c r="AK390" s="1080">
        <f t="shared" si="419"/>
        <v>0</v>
      </c>
      <c r="AL390" s="1080">
        <f t="shared" si="420"/>
        <v>0</v>
      </c>
      <c r="AM390" s="1092">
        <f t="shared" si="421"/>
        <v>0</v>
      </c>
      <c r="AN390" s="1080">
        <f t="shared" si="422"/>
        <v>1</v>
      </c>
      <c r="AO390" s="1080">
        <f t="shared" si="423"/>
        <v>0</v>
      </c>
      <c r="AP390" s="1080">
        <f t="shared" si="424"/>
        <v>1</v>
      </c>
      <c r="AQ390" s="1027">
        <f>VLOOKUP(V390,'System Lookups'!$J$55:$P$64,7)</f>
        <v>600</v>
      </c>
      <c r="AR390" s="1080" t="str">
        <f ca="1">IF(AND(NOT(ISBLANK(AJ390)),ISNA(MATCH(ROW(),'System Lookups'!$C$526:$C$539,0))),"Y","N")</f>
        <v>Y</v>
      </c>
      <c r="AS390" s="1080">
        <f t="shared" si="425"/>
        <v>0</v>
      </c>
      <c r="AU390" s="1080" t="e">
        <f t="shared" si="432"/>
        <v>#N/A</v>
      </c>
      <c r="AV390" s="1080" t="str">
        <f t="shared" si="429"/>
        <v>T</v>
      </c>
      <c r="AW390" s="1080">
        <f t="shared" si="433"/>
        <v>0</v>
      </c>
      <c r="AX390" s="1080">
        <f t="shared" si="434"/>
        <v>0</v>
      </c>
      <c r="AY390" s="1080">
        <f t="shared" si="435"/>
        <v>0</v>
      </c>
      <c r="AZ390" s="1080">
        <f t="shared" si="436"/>
        <v>0</v>
      </c>
      <c r="BA390" s="1080">
        <f t="shared" si="437"/>
        <v>0</v>
      </c>
      <c r="BB390" s="1080">
        <f>IF(AND(RACE=1,'Main Creation Page'!$E$6="Well",OR(ISNUMBER(FIND(Experience!$G$11,BE390)),ISNUMBER(FIND(Experience!$G$11,BF390)),ISNUMBER(FIND(Experience!$I$11,BE390)),ISNUMBER(FIND(Experience!$I$11,BF390)))),1,0)</f>
        <v>1</v>
      </c>
      <c r="BC390" s="1080" t="str">
        <f t="shared" ref="BC390:BC453" si="438">IF(ISBLANK(AJ390),IF(ISBLANK(AI390),IF(RIGHT(A390,2)="en","Language Lore: "&amp;A390,IF(LEFT(A390,9)="Alquennas",A390,NA())),IF(RIGHT(A390,9)=" Medicina",A390&amp;": Healing Lore Skills",IF(OR(LEFT(A390,5)="Lore ",LEFT(A390,8)="Materia "),A390&amp;" Skills",IF(LEFT(A390,8)="Cooking ","Cooking &amp; Innkeeping Skills",A390)))),IF(LEFT(A390,9)="alertness","Alertness: "&amp;RIGHT(A390,5),IF(ISBLANK(BD390),A390,IF(RIGHT(BD390,2)=" (",BD390&amp;"Own)",BD390&amp;A390))))</f>
        <v>Monster:Wyvern</v>
      </c>
      <c r="BD390" s="1080" t="s">
        <v>5694</v>
      </c>
      <c r="BE390" s="1080" t="str">
        <f t="shared" si="430"/>
        <v>Lore</v>
      </c>
      <c r="BF390" s="1080" t="str">
        <f t="shared" si="431"/>
        <v>Language Lore: Spoken</v>
      </c>
    </row>
    <row r="391" spans="1:58" ht="11.1" customHeight="1" outlineLevel="2">
      <c r="AF391" s="1079"/>
      <c r="AI391" s="1034"/>
      <c r="AR391" s="1080" t="str">
        <f ca="1">IF(AND(NOT(ISBLANK(AJ391)),ISNA(MATCH(ROW(),'System Lookups'!$C$526:$C$539,0))),"Y","N")</f>
        <v>N</v>
      </c>
      <c r="AU391" s="1080" t="e">
        <f t="shared" si="432"/>
        <v>#N/A</v>
      </c>
      <c r="AV391" s="1080" t="str">
        <f t="shared" si="429"/>
        <v/>
      </c>
      <c r="AW391" s="1080">
        <f t="shared" si="433"/>
        <v>0</v>
      </c>
      <c r="AX391" s="1080">
        <f t="shared" si="434"/>
        <v>0</v>
      </c>
      <c r="AY391" s="1080">
        <f t="shared" si="435"/>
        <v>0</v>
      </c>
      <c r="AZ391" s="1080">
        <f t="shared" si="436"/>
        <v>0</v>
      </c>
      <c r="BA391" s="1080">
        <f t="shared" si="437"/>
        <v>0</v>
      </c>
      <c r="BB391" s="1080">
        <f>IF(AND(RACE=1,'Main Creation Page'!$E$6="Well",OR(ISNUMBER(FIND(Experience!$G$11,BE391)),ISNUMBER(FIND(Experience!$G$11,BF391)),ISNUMBER(FIND(Experience!$I$11,BE391)),ISNUMBER(FIND(Experience!$I$11,BF391)))),1,0)</f>
        <v>1</v>
      </c>
      <c r="BC391" s="1080" t="e">
        <f t="shared" si="438"/>
        <v>#N/A</v>
      </c>
      <c r="BE391" s="1080" t="str">
        <f t="shared" si="430"/>
        <v>Lore</v>
      </c>
      <c r="BF391" s="1080" t="str">
        <f t="shared" si="431"/>
        <v>Language Lore: Spoken</v>
      </c>
    </row>
    <row r="392" spans="1:58" ht="11.1" customHeight="1" outlineLevel="1">
      <c r="A392" s="1115" t="s">
        <v>53</v>
      </c>
      <c r="B392" s="1094" t="s">
        <v>1942</v>
      </c>
      <c r="C392" s="1094"/>
      <c r="D392" s="1094"/>
      <c r="F392" s="1027"/>
      <c r="G392" s="1027"/>
      <c r="H392" s="1027"/>
      <c r="I392" s="1027"/>
      <c r="J392" s="1027"/>
      <c r="K392" s="1027"/>
      <c r="L392" s="1027"/>
      <c r="M392" s="1027"/>
      <c r="N392" s="1027"/>
      <c r="O392" s="1028"/>
      <c r="P392" s="1028" t="s">
        <v>780</v>
      </c>
      <c r="Q392" s="1097">
        <f ca="1">INDIRECT(P392)</f>
        <v>17</v>
      </c>
      <c r="R392" s="1027"/>
      <c r="S392" s="1028" t="s">
        <v>3611</v>
      </c>
      <c r="T392" s="1097">
        <f ca="1">INDIRECT(S392)</f>
        <v>15</v>
      </c>
      <c r="U392" s="1027"/>
      <c r="V392" s="1027"/>
      <c r="W392" s="1028"/>
      <c r="X392" s="1092"/>
      <c r="AE392" s="1094"/>
      <c r="AF392" s="1121"/>
      <c r="AG392" s="1092"/>
      <c r="AH392" s="1092"/>
      <c r="AI392" s="1092"/>
      <c r="AM392" s="1092"/>
      <c r="AR392" s="1080" t="str">
        <f ca="1">IF(AND(NOT(ISBLANK(AJ392)),ISNA(MATCH(ROW(),'System Lookups'!$C$526:$C$539,0))),"Y","N")</f>
        <v>N</v>
      </c>
      <c r="AU392" s="1080" t="e">
        <f t="shared" si="432"/>
        <v>#N/A</v>
      </c>
      <c r="AV392" s="1080" t="str">
        <f t="shared" si="429"/>
        <v/>
      </c>
      <c r="AW392" s="1080">
        <f t="shared" si="433"/>
        <v>0</v>
      </c>
      <c r="AX392" s="1080">
        <f t="shared" si="434"/>
        <v>0</v>
      </c>
      <c r="AY392" s="1080">
        <f t="shared" si="435"/>
        <v>0</v>
      </c>
      <c r="AZ392" s="1080">
        <f t="shared" si="436"/>
        <v>0</v>
      </c>
      <c r="BA392" s="1080">
        <f t="shared" si="437"/>
        <v>0</v>
      </c>
      <c r="BB392" s="1080">
        <f>IF(AND(RACE=1,'Main Creation Page'!$E$6="Well",OR(ISNUMBER(FIND(Experience!$G$11,BE392)),ISNUMBER(FIND(Experience!$G$11,BF392)),ISNUMBER(FIND(Experience!$I$11,BE392)),ISNUMBER(FIND(Experience!$I$11,BF392)))),1,0)</f>
        <v>1</v>
      </c>
      <c r="BC392" s="1080" t="str">
        <f t="shared" si="438"/>
        <v>Language Lore: Written</v>
      </c>
      <c r="BE392" s="1080" t="str">
        <f t="shared" si="430"/>
        <v>Lore</v>
      </c>
      <c r="BF392" s="1080" t="str">
        <f t="shared" si="431"/>
        <v>Language Lore: Written</v>
      </c>
    </row>
    <row r="393" spans="1:58" ht="11.1" customHeight="1" outlineLevel="2">
      <c r="A393" s="1139" t="s">
        <v>5220</v>
      </c>
      <c r="B393" s="1094" t="s">
        <v>1942</v>
      </c>
      <c r="C393" s="1094"/>
      <c r="D393" s="1094"/>
      <c r="E393" s="1095" t="str">
        <f>IF(AND('Main Creation Page'!E14&gt;12,'Main Creation Page'!E13&gt;13),"C","N")</f>
        <v>C</v>
      </c>
      <c r="F393" s="1095" t="s">
        <v>5224</v>
      </c>
      <c r="G393" s="1096" t="s">
        <v>3043</v>
      </c>
      <c r="H393" s="1096" t="s">
        <v>5224</v>
      </c>
      <c r="I393" s="1096" t="s">
        <v>5224</v>
      </c>
      <c r="J393" s="1096" t="s">
        <v>5224</v>
      </c>
      <c r="K393" s="1096" t="s">
        <v>5224</v>
      </c>
      <c r="L393" s="1096">
        <v>0</v>
      </c>
      <c r="M393" s="1096" t="s">
        <v>5224</v>
      </c>
      <c r="N393" s="1096" t="s">
        <v>4630</v>
      </c>
      <c r="O393" s="1113"/>
      <c r="P393" s="1113" t="s">
        <v>13</v>
      </c>
      <c r="S393" s="1113" t="s">
        <v>53</v>
      </c>
      <c r="T393" s="1113"/>
      <c r="U393" s="1027">
        <v>1</v>
      </c>
      <c r="V393" s="1027">
        <f>IF((AP393+U393+VLOOKUP('Main Creation Page'!E$14,'System Lookups'!R$45:S$49,2))&gt;10,10,IF((AP393+U393+VLOOKUP('Main Creation Page'!E$14,'System Lookups'!R$45:S$49,2))&lt;1,1,(AP393+U393+VLOOKUP('Main Creation Page'!E$14,'System Lookups'!R$45:S$49,2))))</f>
        <v>1</v>
      </c>
      <c r="W393" s="1098">
        <f>IF(OR(I393&lt;&gt;"N",E393="C"),IF(AND(N393&lt;&gt;"T",ISNUMBER(FIND("V",I393))),1,0),NA())+IF(H393="Y",IF(AND(N393="P",ISNUMBER(FIND("Z",I393))),2,1),0)+IF(J393="Y",1,0)+IF(K393="Y",3,0)+IF(BE393="Lore",L393*2+Experience!$D$25,0)+IF(M393="Y",1,0)</f>
        <v>4</v>
      </c>
      <c r="X393" s="1099"/>
      <c r="Y393" s="1100">
        <f ca="1">IF(P393="NS",IFERROR(INDIRECT(S393),NA()),VLOOKUP(INDIRECT(P393)+INDIRECT(S393),'System Lookups'!$A$3:$D$146,2))</f>
        <v>0.08</v>
      </c>
      <c r="Z393" s="1100">
        <f>(X393*0.1)+IF(ISNA(W393),0,W393*0.1)</f>
        <v>0.4</v>
      </c>
      <c r="AA393" s="1101">
        <f ca="1">IF(ISNA(Y393),0,Y393)+Z393+IF('Main Creation Page'!AB$2=37,'Main Creation Page'!E$14/100,0)</f>
        <v>0.48000000000000004</v>
      </c>
      <c r="AB393" s="1102">
        <f>VLOOKUP(V393,'System Lookups'!$J$55:$P$64,3)</f>
        <v>0.5</v>
      </c>
      <c r="AC393" s="1103">
        <f>VLOOKUP(V393,'System Lookups'!$J$55:$P$64,4)</f>
        <v>0.6</v>
      </c>
      <c r="AD393" s="1104">
        <f t="shared" ref="AD393:AD425" ca="1" si="439">IF(AND(ISBLANK(X393),ISNA(W393)),IF(B393="~",0,AB393+AA393+IF(BB393&gt;0,0.05,0)),AA393+AC393+IF(BB393&gt;0,0.05,0))</f>
        <v>1.1300000000000001</v>
      </c>
      <c r="AE393" s="1094">
        <f ca="1">(IF(AD393&gt;VLOOKUP(V393,'System Lookups'!$J$55:$P$63,6),(((AD393-VLOOKUP(V393,'System Lookups'!$J$55:$P$63,6))*100)/20),0))+AF393</f>
        <v>0.70000000000000062</v>
      </c>
      <c r="AF393" s="1121"/>
      <c r="AG393" s="1092">
        <f t="shared" ref="AG393:AG425" si="440">IF(ISBLANK(X393),0,AQ393*X393+IF(ISNA(W393),1,0))</f>
        <v>0</v>
      </c>
      <c r="AH393" s="1092" t="str">
        <f>IF(X393&lt;=Experience!$R$15+1,"","*")</f>
        <v/>
      </c>
      <c r="AI393" s="1092"/>
      <c r="AJ393" s="1080">
        <f t="shared" ref="AJ393:AJ425" si="441">IF(ISNUMBER(FIND("R",F393)),-1,0)</f>
        <v>0</v>
      </c>
      <c r="AK393" s="1080">
        <f t="shared" ref="AK393:AK404" si="442">IF(F393="s",-2,0)</f>
        <v>0</v>
      </c>
      <c r="AL393" s="1080">
        <f t="shared" ref="AL393:AL425" si="443">IF(AND(H393="Y",OR(N393="P",N393="S")),-1,0)</f>
        <v>0</v>
      </c>
      <c r="AM393" s="1092">
        <f t="shared" ref="AM393:AM404" si="444">IF(J393="y",1,0)</f>
        <v>0</v>
      </c>
      <c r="AN393" s="1080">
        <f t="shared" ref="AN393:AN404" si="445">IF(N393="P",-1,IF(N393="T",1,0))</f>
        <v>0</v>
      </c>
      <c r="AO393" s="1080">
        <f t="shared" ref="AO393:AO425" si="446">IF(ISNUMBER(FIND("Z",I393)),1,0)</f>
        <v>0</v>
      </c>
      <c r="AP393" s="1080">
        <f t="shared" ref="AP393:AP425" si="447">SUM(AJ393:AN393)-AM393</f>
        <v>0</v>
      </c>
      <c r="AQ393" s="1027">
        <f>VLOOKUP(V393,'System Lookups'!$J$55:$P$64,7)</f>
        <v>300</v>
      </c>
      <c r="AR393" s="1080" t="str">
        <f ca="1">IF(AND(NOT(ISBLANK(AJ393)),ISNA(MATCH(ROW(),'System Lookups'!$C$526:$C$539,0))),"Y","N")</f>
        <v>Y</v>
      </c>
      <c r="AS393" s="1080">
        <f>AG388-AI388</f>
        <v>0</v>
      </c>
      <c r="AU393" s="1080">
        <f t="shared" si="432"/>
        <v>4</v>
      </c>
      <c r="AV393" s="1080" t="str">
        <f t="shared" si="429"/>
        <v>CS</v>
      </c>
      <c r="AW393" s="1080">
        <f t="shared" si="433"/>
        <v>0</v>
      </c>
      <c r="AX393" s="1080">
        <f t="shared" si="434"/>
        <v>0</v>
      </c>
      <c r="AY393" s="1080">
        <f t="shared" si="435"/>
        <v>0</v>
      </c>
      <c r="AZ393" s="1080">
        <f t="shared" si="436"/>
        <v>0</v>
      </c>
      <c r="BA393" s="1080">
        <f t="shared" si="437"/>
        <v>0</v>
      </c>
      <c r="BB393" s="1080">
        <f>IF(AND(RACE=1,'Main Creation Page'!$E$6="Well",OR(ISNUMBER(FIND(Experience!$G$11,BE393)),ISNUMBER(FIND(Experience!$G$11,BF393)),ISNUMBER(FIND(Experience!$I$11,BE393)),ISNUMBER(FIND(Experience!$I$11,BF393)))),1,0)</f>
        <v>1</v>
      </c>
      <c r="BC393" s="1080" t="str">
        <f t="shared" si="438"/>
        <v>OWN LANGUAGE</v>
      </c>
      <c r="BE393" s="1080" t="str">
        <f t="shared" si="430"/>
        <v>Lore</v>
      </c>
      <c r="BF393" s="1080" t="str">
        <f t="shared" si="431"/>
        <v>Language Lore: Written</v>
      </c>
    </row>
    <row r="394" spans="1:58" ht="11.1" customHeight="1" outlineLevel="2">
      <c r="A394" s="1028" t="s">
        <v>4335</v>
      </c>
      <c r="B394" s="1094" t="s">
        <v>1942</v>
      </c>
      <c r="C394" s="1094"/>
      <c r="D394" s="1094"/>
      <c r="E394" s="1095" t="s">
        <v>5224</v>
      </c>
      <c r="F394" s="1095" t="s">
        <v>5224</v>
      </c>
      <c r="G394" s="1096">
        <v>0</v>
      </c>
      <c r="H394" s="1096" t="s">
        <v>5224</v>
      </c>
      <c r="I394" s="1096" t="s">
        <v>5224</v>
      </c>
      <c r="J394" s="1096" t="s">
        <v>5224</v>
      </c>
      <c r="K394" s="1096" t="s">
        <v>5224</v>
      </c>
      <c r="L394" s="1096">
        <v>0</v>
      </c>
      <c r="M394" s="1096" t="s">
        <v>5224</v>
      </c>
      <c r="N394" s="1096" t="s">
        <v>4631</v>
      </c>
      <c r="O394" s="1113"/>
      <c r="P394" s="1113" t="s">
        <v>13</v>
      </c>
      <c r="S394" s="1113" t="s">
        <v>53</v>
      </c>
      <c r="T394" s="1113"/>
      <c r="U394" s="1027">
        <v>2</v>
      </c>
      <c r="V394" s="1027">
        <f>IF((AP394+U394+VLOOKUP('Main Creation Page'!E$14,'System Lookups'!R$45:S$49,2))&gt;10,10,IF((AP394+U394+VLOOKUP('Main Creation Page'!E$14,'System Lookups'!R$45:S$49,2))&lt;1,1,(AP394+U394+VLOOKUP('Main Creation Page'!E$14,'System Lookups'!R$45:S$49,2))))</f>
        <v>3</v>
      </c>
      <c r="W394" s="1098" t="e">
        <f>IF(OR(I394&lt;&gt;"N",E394="C"),IF(AND(N394&lt;&gt;"T",ISNUMBER(FIND("V",I394))),1,0),NA())+IF(H394="Y",IF(AND(N394="P",ISNUMBER(FIND("Z",I394))),2,1),0)+IF(J394="Y",1,0)+IF(K394="Y",3,0)+IF(BE394="Lore",L394*2+Experience!$D$25,0)+IF(M394="Y",1,0)</f>
        <v>#N/A</v>
      </c>
      <c r="X394" s="1099"/>
      <c r="Y394" s="1100">
        <f ca="1">IF(P394="NS",IFERROR(INDIRECT(S394),NA()),VLOOKUP(INDIRECT(P394)+INDIRECT(S394),'System Lookups'!$A$3:$D$146,2))</f>
        <v>0.08</v>
      </c>
      <c r="Z394" s="1100">
        <f>IF(ISNA(W394),0,W394*0.05)+IF(X394&gt;0,X394*0.05,0)+IF(AND(ISNA(W394),X394&lt;=0),0,IF(G394&gt;0,G394*0.05,0))</f>
        <v>0</v>
      </c>
      <c r="AA394" s="1101">
        <f ca="1">IF(ISNA(Y394),0,Y394)+Z394+IF('Main Creation Page'!AB$2=37,'Main Creation Page'!E$14/100,0)</f>
        <v>0.08</v>
      </c>
      <c r="AB394" s="1102">
        <f>VLOOKUP(V394,'System Lookups'!$J$55:$P$64,3)</f>
        <v>0.3</v>
      </c>
      <c r="AC394" s="1103">
        <f>VLOOKUP(V394,'System Lookups'!$J$55:$P$64,4)</f>
        <v>0.4</v>
      </c>
      <c r="AD394" s="1104">
        <f t="shared" si="439"/>
        <v>0</v>
      </c>
      <c r="AE394" s="1094">
        <f>(IF(AD394&gt;VLOOKUP(V394,'System Lookups'!$J$55:$P$63,6),(((AD394-VLOOKUP(V394,'System Lookups'!$J$55:$P$63,6))*100)/20),0))+AF394</f>
        <v>0</v>
      </c>
      <c r="AF394" s="1121"/>
      <c r="AG394" s="1092">
        <f t="shared" si="440"/>
        <v>0</v>
      </c>
      <c r="AH394" s="1092" t="str">
        <f>IF(X394&lt;=Experience!$R$15+1,"","*")</f>
        <v/>
      </c>
      <c r="AI394" s="1092"/>
      <c r="AJ394" s="1080">
        <f t="shared" si="441"/>
        <v>0</v>
      </c>
      <c r="AK394" s="1080">
        <f t="shared" si="442"/>
        <v>0</v>
      </c>
      <c r="AL394" s="1080">
        <f t="shared" si="443"/>
        <v>0</v>
      </c>
      <c r="AM394" s="1092">
        <f t="shared" si="444"/>
        <v>0</v>
      </c>
      <c r="AN394" s="1080">
        <f t="shared" si="445"/>
        <v>1</v>
      </c>
      <c r="AO394" s="1080">
        <f t="shared" si="446"/>
        <v>0</v>
      </c>
      <c r="AP394" s="1080">
        <f t="shared" si="447"/>
        <v>1</v>
      </c>
      <c r="AQ394" s="1027">
        <f>VLOOKUP(V394,'System Lookups'!$J$55:$P$64,7)</f>
        <v>500</v>
      </c>
      <c r="AR394" s="1080" t="str">
        <f ca="1">IF(AND(NOT(ISBLANK(AJ394)),ISNA(MATCH(ROW(),'System Lookups'!$C$526:$C$539,0))),"Y","N")</f>
        <v>Y</v>
      </c>
      <c r="AS394" s="1080">
        <f>AG390-AI390</f>
        <v>0</v>
      </c>
      <c r="AU394" s="1080" t="e">
        <f t="shared" si="432"/>
        <v>#N/A</v>
      </c>
      <c r="AV394" s="1080" t="str">
        <f t="shared" si="429"/>
        <v>T</v>
      </c>
      <c r="AW394" s="1080">
        <f t="shared" si="433"/>
        <v>0</v>
      </c>
      <c r="AX394" s="1080">
        <f t="shared" si="434"/>
        <v>0</v>
      </c>
      <c r="AY394" s="1080">
        <f t="shared" si="435"/>
        <v>0</v>
      </c>
      <c r="AZ394" s="1080">
        <f t="shared" si="436"/>
        <v>0</v>
      </c>
      <c r="BA394" s="1080">
        <f t="shared" si="437"/>
        <v>0</v>
      </c>
      <c r="BB394" s="1080">
        <f>IF(AND(RACE=1,'Main Creation Page'!$E$6="Well",OR(ISNUMBER(FIND(Experience!$G$11,BE394)),ISNUMBER(FIND(Experience!$G$11,BF394)),ISNUMBER(FIND(Experience!$I$11,BE394)),ISNUMBER(FIND(Experience!$I$11,BF394)))),1,0)</f>
        <v>1</v>
      </c>
      <c r="BC394" s="1080" t="str">
        <f t="shared" si="438"/>
        <v>Own Language (Ancient)</v>
      </c>
      <c r="BE394" s="1080" t="str">
        <f t="shared" si="430"/>
        <v>Lore</v>
      </c>
      <c r="BF394" s="1080" t="str">
        <f t="shared" si="431"/>
        <v>Language Lore: Written</v>
      </c>
    </row>
    <row r="395" spans="1:58" ht="11.1" customHeight="1" outlineLevel="2">
      <c r="A395" s="1028" t="str">
        <f>IF('Main Creation Page'!$K$5=3,"Trade Tongue","Common Language")</f>
        <v>Trade Tongue</v>
      </c>
      <c r="B395" s="1094" t="s">
        <v>1942</v>
      </c>
      <c r="C395" s="1094"/>
      <c r="D395" s="1094"/>
      <c r="E395" s="1095" t="str">
        <f>IF(Experience!G5="Y",E393,"N")</f>
        <v>C</v>
      </c>
      <c r="F395" s="1095" t="str">
        <f>IF('Main Creation Page'!C3=4,"R","N")</f>
        <v>N</v>
      </c>
      <c r="G395" s="1096" t="s">
        <v>3043</v>
      </c>
      <c r="H395" s="1096" t="s">
        <v>5224</v>
      </c>
      <c r="I395" s="1096" t="s">
        <v>5224</v>
      </c>
      <c r="J395" s="1096" t="s">
        <v>5224</v>
      </c>
      <c r="K395" s="1096" t="s">
        <v>5224</v>
      </c>
      <c r="L395" s="1096">
        <v>0</v>
      </c>
      <c r="M395" s="1096" t="s">
        <v>5224</v>
      </c>
      <c r="N395" s="1096" t="s">
        <v>4630</v>
      </c>
      <c r="O395" s="1113"/>
      <c r="P395" s="1113" t="s">
        <v>13</v>
      </c>
      <c r="S395" s="1113" t="s">
        <v>53</v>
      </c>
      <c r="T395" s="1113"/>
      <c r="U395" s="1027">
        <v>2</v>
      </c>
      <c r="V395" s="1027">
        <f>IF((AP395+U395+VLOOKUP('Main Creation Page'!E$14,'System Lookups'!R$45:S$49,2))&gt;10,10,IF((AP395+U395+VLOOKUP('Main Creation Page'!E$14,'System Lookups'!R$45:S$49,2))&lt;1,1,(AP395+U395+VLOOKUP('Main Creation Page'!E$14,'System Lookups'!R$45:S$49,2))))</f>
        <v>2</v>
      </c>
      <c r="W395" s="1098">
        <f>IF(OR(I395&lt;&gt;"N",E395="C"),IF(AND(N395&lt;&gt;"T",ISNUMBER(FIND("V",I395))),1,0),NA())+IF(H395="Y",IF(AND(N395="P",ISNUMBER(FIND("Z",I395))),2,1),0)+IF(J395="Y",1,0)+IF(K395="Y",3,0)+IF(BE395="Lore",L395*2+Experience!$D$25,0)+IF(M395="Y",1,0)</f>
        <v>4</v>
      </c>
      <c r="X395" s="1099"/>
      <c r="Y395" s="1100">
        <f ca="1">IF(P395="NS",IFERROR(INDIRECT(S395),NA()),VLOOKUP(INDIRECT(P395)+INDIRECT(S395),'System Lookups'!$A$3:$D$146,2))</f>
        <v>0.08</v>
      </c>
      <c r="Z395" s="1100">
        <f>(X395*0.1)+IF(ISNA(W395),0,W395*0.1)</f>
        <v>0.4</v>
      </c>
      <c r="AA395" s="1101">
        <f ca="1">IF(ISNA(Y395),0,Y395)+Z395+IF('Main Creation Page'!AB$2=37,'Main Creation Page'!E$14/100,0)</f>
        <v>0.48000000000000004</v>
      </c>
      <c r="AB395" s="1102">
        <f>VLOOKUP(V395,'System Lookups'!$J$55:$P$64,3)</f>
        <v>0.4</v>
      </c>
      <c r="AC395" s="1103">
        <f>VLOOKUP(V395,'System Lookups'!$J$55:$P$64,4)</f>
        <v>0.5</v>
      </c>
      <c r="AD395" s="1104">
        <f t="shared" ca="1" si="439"/>
        <v>1.03</v>
      </c>
      <c r="AE395" s="1094">
        <f ca="1">(IF(AD395&gt;VLOOKUP(V395,'System Lookups'!$J$55:$P$63,6),(((AD395-VLOOKUP(V395,'System Lookups'!$J$55:$P$63,6))*100)/20),0))+AF395</f>
        <v>0.25000000000000022</v>
      </c>
      <c r="AF395" s="1121"/>
      <c r="AG395" s="1092">
        <f t="shared" si="440"/>
        <v>0</v>
      </c>
      <c r="AH395" s="1092" t="str">
        <f>IF(X395&lt;=Experience!$R$15+1,"","*")</f>
        <v/>
      </c>
      <c r="AI395" s="1092"/>
      <c r="AJ395" s="1080">
        <f t="shared" si="441"/>
        <v>0</v>
      </c>
      <c r="AK395" s="1080">
        <f t="shared" si="442"/>
        <v>0</v>
      </c>
      <c r="AL395" s="1080">
        <f t="shared" si="443"/>
        <v>0</v>
      </c>
      <c r="AM395" s="1092">
        <f t="shared" si="444"/>
        <v>0</v>
      </c>
      <c r="AN395" s="1080">
        <f t="shared" si="445"/>
        <v>0</v>
      </c>
      <c r="AO395" s="1080">
        <f t="shared" si="446"/>
        <v>0</v>
      </c>
      <c r="AP395" s="1080">
        <f t="shared" si="447"/>
        <v>0</v>
      </c>
      <c r="AQ395" s="1027">
        <f>VLOOKUP(V395,'System Lookups'!$J$55:$P$64,7)</f>
        <v>400</v>
      </c>
      <c r="AR395" s="1080" t="str">
        <f ca="1">IF(AND(NOT(ISBLANK(AJ395)),ISNA(MATCH(ROW(),'System Lookups'!$C$526:$C$539,0))),"Y","N")</f>
        <v>Y</v>
      </c>
      <c r="AS395" s="1080">
        <f>AG392-AI392</f>
        <v>0</v>
      </c>
      <c r="AU395" s="1080">
        <f t="shared" si="432"/>
        <v>4</v>
      </c>
      <c r="AV395" s="1080" t="str">
        <f t="shared" si="429"/>
        <v>CS</v>
      </c>
      <c r="AW395" s="1080">
        <f t="shared" si="433"/>
        <v>0</v>
      </c>
      <c r="AX395" s="1080">
        <f t="shared" si="434"/>
        <v>0</v>
      </c>
      <c r="AY395" s="1080">
        <f t="shared" si="435"/>
        <v>0</v>
      </c>
      <c r="AZ395" s="1080">
        <f t="shared" si="436"/>
        <v>0</v>
      </c>
      <c r="BA395" s="1080">
        <f t="shared" si="437"/>
        <v>0</v>
      </c>
      <c r="BB395" s="1080">
        <f>IF(AND(RACE=1,'Main Creation Page'!$E$6="Well",OR(ISNUMBER(FIND(Experience!$G$11,BE395)),ISNUMBER(FIND(Experience!$G$11,BF395)),ISNUMBER(FIND(Experience!$I$11,BE395)),ISNUMBER(FIND(Experience!$I$11,BF395)))),1,0)</f>
        <v>1</v>
      </c>
      <c r="BC395" s="1080" t="str">
        <f t="shared" si="438"/>
        <v>Trade Tongue</v>
      </c>
      <c r="BE395" s="1080" t="str">
        <f t="shared" si="430"/>
        <v>Lore</v>
      </c>
      <c r="BF395" s="1080" t="str">
        <f t="shared" si="431"/>
        <v>Language Lore: Written</v>
      </c>
    </row>
    <row r="396" spans="1:58" ht="11.1" customHeight="1" outlineLevel="2">
      <c r="A396" s="1028" t="str">
        <f>CONCATENATE("Dwarven Tongue",IF('Main Creation Page'!K5=3," (Usage)", " "))</f>
        <v>Dwarven Tongue (Usage)</v>
      </c>
      <c r="B396" s="1094" t="s">
        <v>1942</v>
      </c>
      <c r="C396" s="1094"/>
      <c r="D396" s="1094"/>
      <c r="E396" s="1095" t="s">
        <v>5224</v>
      </c>
      <c r="F396" s="1095" t="str">
        <f>IF('Main Creation Page'!$C$3=3, "R", "N")</f>
        <v>N</v>
      </c>
      <c r="G396" s="1096">
        <v>0</v>
      </c>
      <c r="H396" s="1096" t="s">
        <v>5224</v>
      </c>
      <c r="I396" s="1096" t="s">
        <v>5224</v>
      </c>
      <c r="J396" s="1096" t="s">
        <v>5224</v>
      </c>
      <c r="K396" s="1096" t="s">
        <v>5224</v>
      </c>
      <c r="L396" s="1096">
        <v>0</v>
      </c>
      <c r="M396" s="1096" t="s">
        <v>5224</v>
      </c>
      <c r="N396" s="1096" t="s">
        <v>4631</v>
      </c>
      <c r="O396" s="1113"/>
      <c r="P396" s="1113" t="s">
        <v>13</v>
      </c>
      <c r="S396" s="1113" t="s">
        <v>53</v>
      </c>
      <c r="T396" s="1113"/>
      <c r="U396" s="1027">
        <f>IF(F396="r",1,IF('Main Creation Page'!$K$5=3,4,3))</f>
        <v>4</v>
      </c>
      <c r="V396" s="1027">
        <f>IF((AP396+U396+VLOOKUP('Main Creation Page'!E$14,'System Lookups'!R$45:S$49,2))&gt;10,10,IF((AP396+U396+VLOOKUP('Main Creation Page'!E$14,'System Lookups'!R$45:S$49,2))&lt;1,1,(AP396+U396+VLOOKUP('Main Creation Page'!E$14,'System Lookups'!R$45:S$49,2))))</f>
        <v>5</v>
      </c>
      <c r="W396" s="1098" t="e">
        <f>IF(OR(I396&lt;&gt;"N",E396="C"),IF(AND(N396&lt;&gt;"T",ISNUMBER(FIND("V",I396))),1,0),NA())+IF(H396="Y",IF(AND(N396="P",ISNUMBER(FIND("Z",I396))),2,1),0)+IF(J396="Y",1,0)+IF(K396="Y",3,0)+IF(BE396="Lore",L396*2+Experience!$D$25,0)+IF(M396="Y",1,0)</f>
        <v>#N/A</v>
      </c>
      <c r="X396" s="1099"/>
      <c r="Y396" s="1100">
        <f ca="1">IF(P396="NS",IFERROR(INDIRECT(S396),NA()),VLOOKUP(INDIRECT(P396)+INDIRECT(S396),'System Lookups'!$A$3:$D$146,2))</f>
        <v>0.08</v>
      </c>
      <c r="Z396" s="1100">
        <f>IF(ISNA(W396),0,W396*0.05)+IF(X396&gt;0,X396*0.05,0)+IF(AND(ISNA(W396),X396&lt;=0),0,IF(G396&gt;0,G396*0.05,0))</f>
        <v>0</v>
      </c>
      <c r="AA396" s="1101">
        <f ca="1">IF(ISNA(Y396),0,Y396)+Z396+IF('Main Creation Page'!AB$2=37,'Main Creation Page'!E$14/100,0)</f>
        <v>0.08</v>
      </c>
      <c r="AB396" s="1102">
        <f>VLOOKUP(V396,'System Lookups'!$J$55:$P$64,3)</f>
        <v>0.1</v>
      </c>
      <c r="AC396" s="1103">
        <f>VLOOKUP(V396,'System Lookups'!$J$55:$P$64,4)</f>
        <v>0.2</v>
      </c>
      <c r="AD396" s="1104">
        <f t="shared" si="439"/>
        <v>0</v>
      </c>
      <c r="AE396" s="1094">
        <f>(IF(AD396&gt;VLOOKUP(V396,'System Lookups'!$J$55:$P$63,6),(((AD396-VLOOKUP(V396,'System Lookups'!$J$55:$P$63,6))*100)/20),0))+AF396</f>
        <v>0</v>
      </c>
      <c r="AF396" s="1121"/>
      <c r="AG396" s="1092">
        <f t="shared" si="440"/>
        <v>0</v>
      </c>
      <c r="AH396" s="1092" t="str">
        <f>IF(X396&lt;=Experience!$R$15+1,"","*")</f>
        <v/>
      </c>
      <c r="AI396" s="1092"/>
      <c r="AJ396" s="1080">
        <f t="shared" si="441"/>
        <v>0</v>
      </c>
      <c r="AK396" s="1080">
        <f t="shared" si="442"/>
        <v>0</v>
      </c>
      <c r="AL396" s="1080">
        <f t="shared" si="443"/>
        <v>0</v>
      </c>
      <c r="AM396" s="1092">
        <f t="shared" si="444"/>
        <v>0</v>
      </c>
      <c r="AN396" s="1080">
        <f t="shared" si="445"/>
        <v>1</v>
      </c>
      <c r="AO396" s="1080">
        <f t="shared" si="446"/>
        <v>0</v>
      </c>
      <c r="AP396" s="1080">
        <f t="shared" si="447"/>
        <v>1</v>
      </c>
      <c r="AQ396" s="1027">
        <f>VLOOKUP(V396,'System Lookups'!$J$55:$P$64,7)</f>
        <v>700</v>
      </c>
      <c r="AR396" s="1080" t="str">
        <f ca="1">IF(AND(NOT(ISBLANK(AJ396)),ISNA(MATCH(ROW(),'System Lookups'!$C$526:$C$539,0))),"Y","N")</f>
        <v>Y</v>
      </c>
      <c r="AS396" s="1080">
        <f t="shared" ref="AS396:AS425" si="448">AG396-AI396</f>
        <v>0</v>
      </c>
      <c r="AU396" s="1080" t="e">
        <f t="shared" si="432"/>
        <v>#N/A</v>
      </c>
      <c r="AV396" s="1080" t="str">
        <f t="shared" si="429"/>
        <v>T</v>
      </c>
      <c r="AW396" s="1080">
        <f t="shared" si="433"/>
        <v>0</v>
      </c>
      <c r="AX396" s="1080">
        <f t="shared" si="434"/>
        <v>0</v>
      </c>
      <c r="AY396" s="1080">
        <f t="shared" si="435"/>
        <v>0</v>
      </c>
      <c r="AZ396" s="1080">
        <f t="shared" si="436"/>
        <v>0</v>
      </c>
      <c r="BA396" s="1080">
        <f t="shared" si="437"/>
        <v>0</v>
      </c>
      <c r="BB396" s="1080">
        <f>IF(AND(RACE=1,'Main Creation Page'!$E$6="Well",OR(ISNUMBER(FIND(Experience!$G$11,BE396)),ISNUMBER(FIND(Experience!$G$11,BF396)),ISNUMBER(FIND(Experience!$I$11,BE396)),ISNUMBER(FIND(Experience!$I$11,BF396)))),1,0)</f>
        <v>1</v>
      </c>
      <c r="BC396" s="1080" t="str">
        <f t="shared" si="438"/>
        <v>Dwarven Tongue (Usage)</v>
      </c>
      <c r="BE396" s="1080" t="str">
        <f t="shared" si="430"/>
        <v>Lore</v>
      </c>
      <c r="BF396" s="1080" t="str">
        <f t="shared" si="431"/>
        <v>Language Lore: Written</v>
      </c>
    </row>
    <row r="397" spans="1:58" ht="11.1" customHeight="1" outlineLevel="3">
      <c r="A397" s="1093" t="s">
        <v>4877</v>
      </c>
      <c r="B397" s="1094" t="s">
        <v>1942</v>
      </c>
      <c r="C397" s="1094"/>
      <c r="D397" s="1094"/>
      <c r="E397" s="1095" t="s">
        <v>5224</v>
      </c>
      <c r="F397" s="1095" t="str">
        <f>IF('Main Creation Page'!$C$3=3, "R", "N")</f>
        <v>N</v>
      </c>
      <c r="G397" s="1096">
        <v>0</v>
      </c>
      <c r="H397" s="1096" t="s">
        <v>5224</v>
      </c>
      <c r="I397" s="1096" t="s">
        <v>5224</v>
      </c>
      <c r="J397" s="1096" t="s">
        <v>5224</v>
      </c>
      <c r="K397" s="1096" t="s">
        <v>5224</v>
      </c>
      <c r="L397" s="1096">
        <v>0</v>
      </c>
      <c r="M397" s="1096" t="s">
        <v>5224</v>
      </c>
      <c r="N397" s="1096" t="s">
        <v>4631</v>
      </c>
      <c r="O397" s="1113"/>
      <c r="P397" s="1113" t="s">
        <v>13</v>
      </c>
      <c r="S397" s="1113" t="s">
        <v>53</v>
      </c>
      <c r="T397" s="1113"/>
      <c r="U397" s="1027">
        <f>IF(F397="r",1,IF('Main Creation Page'!$K$5=3,4,3))</f>
        <v>4</v>
      </c>
      <c r="V397" s="1027">
        <f>IF((AP397+U397+VLOOKUP('Main Creation Page'!E$14,'System Lookups'!R$45:S$49,2))&gt;10,10,IF((AP397+U397+VLOOKUP('Main Creation Page'!E$14,'System Lookups'!R$45:S$49,2))&lt;1,1,(AP397+U397+VLOOKUP('Main Creation Page'!E$14,'System Lookups'!R$45:S$49,2))))</f>
        <v>5</v>
      </c>
      <c r="W397" s="1098" t="e">
        <f>IF(OR(I397&lt;&gt;"N",E397="C"),IF(AND(N397&lt;&gt;"T",ISNUMBER(FIND("V",I397))),1,0),NA())+IF(H397="Y",IF(AND(N397="P",ISNUMBER(FIND("Z",I397))),2,1),0)+IF(J397="Y",1,0)+IF(K397="Y",3,0)+IF(BE397="Lore",L397*2+Experience!$D$25,0)+IF(M397="Y",1,0)</f>
        <v>#N/A</v>
      </c>
      <c r="X397" s="1099"/>
      <c r="Y397" s="1100">
        <f ca="1">IF(P397="NS",IFERROR(INDIRECT(S397),NA()),VLOOKUP(INDIRECT(P397)+INDIRECT(S397),'System Lookups'!$A$3:$D$146,2))</f>
        <v>0.08</v>
      </c>
      <c r="Z397" s="1100">
        <f>IF(ISNA(W397),0,W397*0.05)+IF(X397&gt;0,X397*0.05,0)+IF(AND(ISNA(W397),X397&lt;=0),0,IF(G397&gt;0,G397*0.05,0))</f>
        <v>0</v>
      </c>
      <c r="AA397" s="1101">
        <f ca="1">IF(ISNA(Y397),0,Y397)+Z397+IF('Main Creation Page'!AB$2=37,'Main Creation Page'!E$14/100,0)</f>
        <v>0.08</v>
      </c>
      <c r="AB397" s="1102">
        <f>VLOOKUP(V397,'System Lookups'!$J$55:$P$64,3)</f>
        <v>0.1</v>
      </c>
      <c r="AC397" s="1103">
        <f>VLOOKUP(V397,'System Lookups'!$J$55:$P$64,4)</f>
        <v>0.2</v>
      </c>
      <c r="AD397" s="1104">
        <f t="shared" si="439"/>
        <v>0</v>
      </c>
      <c r="AE397" s="1094">
        <f>(IF(AD397&gt;VLOOKUP(V397,'System Lookups'!$J$55:$P$63,6),(((AD397-VLOOKUP(V397,'System Lookups'!$J$55:$P$63,6))*100)/20),0))+AF397</f>
        <v>0</v>
      </c>
      <c r="AF397" s="1121"/>
      <c r="AG397" s="1092">
        <f t="shared" si="440"/>
        <v>0</v>
      </c>
      <c r="AH397" s="1092" t="str">
        <f>IF(X397&lt;=Experience!$R$15+1,"","*")</f>
        <v/>
      </c>
      <c r="AI397" s="1092"/>
      <c r="AJ397" s="1080">
        <f t="shared" si="441"/>
        <v>0</v>
      </c>
      <c r="AK397" s="1080">
        <f>IF(F397="s",-2,0)</f>
        <v>0</v>
      </c>
      <c r="AL397" s="1080">
        <f t="shared" si="443"/>
        <v>0</v>
      </c>
      <c r="AM397" s="1092">
        <f>IF(J397="y",1,0)</f>
        <v>0</v>
      </c>
      <c r="AN397" s="1080">
        <f>IF(N397="P",-1,IF(N397="T",1,0))</f>
        <v>1</v>
      </c>
      <c r="AO397" s="1080">
        <f t="shared" si="446"/>
        <v>0</v>
      </c>
      <c r="AP397" s="1080">
        <f t="shared" si="447"/>
        <v>1</v>
      </c>
      <c r="AQ397" s="1027">
        <f>VLOOKUP(V397,'System Lookups'!$J$55:$P$64,7)</f>
        <v>700</v>
      </c>
      <c r="AR397" s="1080" t="str">
        <f ca="1">IF(AND(NOT(ISBLANK(AJ397)),ISNA(MATCH(ROW(),'System Lookups'!$C$526:$C$539,0))),"Y","N")</f>
        <v>Y</v>
      </c>
      <c r="AS397" s="1080">
        <f t="shared" si="448"/>
        <v>0</v>
      </c>
      <c r="AU397" s="1080" t="e">
        <f t="shared" si="432"/>
        <v>#N/A</v>
      </c>
      <c r="AV397" s="1080" t="str">
        <f t="shared" si="429"/>
        <v>T</v>
      </c>
      <c r="AW397" s="1080">
        <f t="shared" si="433"/>
        <v>0</v>
      </c>
      <c r="AX397" s="1080">
        <f t="shared" si="434"/>
        <v>0</v>
      </c>
      <c r="AY397" s="1080">
        <f t="shared" si="435"/>
        <v>0</v>
      </c>
      <c r="AZ397" s="1080">
        <f t="shared" si="436"/>
        <v>0</v>
      </c>
      <c r="BA397" s="1080">
        <f t="shared" si="437"/>
        <v>0</v>
      </c>
      <c r="BB397" s="1080">
        <f>IF(AND(RACE=1,'Main Creation Page'!$E$6="Well",OR(ISNUMBER(FIND(Experience!$G$11,BE397)),ISNUMBER(FIND(Experience!$G$11,BF397)),ISNUMBER(FIND(Experience!$I$11,BE397)),ISNUMBER(FIND(Experience!$I$11,BF397)))),1,0)</f>
        <v>1</v>
      </c>
      <c r="BC397" s="1080" t="str">
        <f t="shared" si="438"/>
        <v>Dwarven Tongue (Formal)</v>
      </c>
      <c r="BE397" s="1080" t="str">
        <f t="shared" si="430"/>
        <v>Lore</v>
      </c>
      <c r="BF397" s="1080" t="str">
        <f t="shared" si="431"/>
        <v>Language Lore: Written</v>
      </c>
    </row>
    <row r="398" spans="1:58" ht="11.1" customHeight="1" outlineLevel="2">
      <c r="A398" s="1028" t="s">
        <v>4336</v>
      </c>
      <c r="B398" s="1094" t="s">
        <v>1942</v>
      </c>
      <c r="C398" s="1094"/>
      <c r="D398" s="1094"/>
      <c r="E398" s="1095" t="s">
        <v>5224</v>
      </c>
      <c r="F398" s="1095" t="str">
        <f>IF('Main Creation Page'!$C$3=3, "R", "N")</f>
        <v>N</v>
      </c>
      <c r="G398" s="1096">
        <v>0</v>
      </c>
      <c r="H398" s="1096" t="s">
        <v>5224</v>
      </c>
      <c r="I398" s="1096" t="s">
        <v>5224</v>
      </c>
      <c r="J398" s="1096" t="s">
        <v>5224</v>
      </c>
      <c r="K398" s="1096" t="s">
        <v>5224</v>
      </c>
      <c r="L398" s="1096">
        <v>0</v>
      </c>
      <c r="M398" s="1096" t="s">
        <v>5224</v>
      </c>
      <c r="N398" s="1096" t="s">
        <v>4631</v>
      </c>
      <c r="O398" s="1113"/>
      <c r="P398" s="1113" t="s">
        <v>13</v>
      </c>
      <c r="S398" s="1113" t="s">
        <v>53</v>
      </c>
      <c r="T398" s="1113"/>
      <c r="U398" s="1027">
        <f>IF(F398="r",1,IF('Main Creation Page'!$K$5=3,6,4))</f>
        <v>6</v>
      </c>
      <c r="V398" s="1027">
        <f>IF((AP398+U398+VLOOKUP('Main Creation Page'!E$14,'System Lookups'!R$45:S$49,2))&gt;10,10,IF((AP398+U398+VLOOKUP('Main Creation Page'!E$14,'System Lookups'!R$45:S$49,2))&lt;1,1,(AP398+U398+VLOOKUP('Main Creation Page'!E$14,'System Lookups'!R$45:S$49,2))))</f>
        <v>7</v>
      </c>
      <c r="W398" s="1098" t="e">
        <f>IF(OR(I398&lt;&gt;"N",E398="C"),IF(AND(N398&lt;&gt;"T",ISNUMBER(FIND("V",I398))),1,0),NA())+IF(H398="Y",IF(AND(N398="P",ISNUMBER(FIND("Z",I398))),2,1),0)+IF(J398="Y",1,0)+IF(K398="Y",3,0)+IF(BE398="Lore",L398*2+Experience!$D$25,0)+IF(M398="Y",1,0)</f>
        <v>#N/A</v>
      </c>
      <c r="X398" s="1099"/>
      <c r="Y398" s="1100">
        <f ca="1">IF(P398="NS",IFERROR(INDIRECT(S398),NA()),VLOOKUP(INDIRECT(P398)+INDIRECT(S398),'System Lookups'!$A$3:$D$146,2))</f>
        <v>0.08</v>
      </c>
      <c r="Z398" s="1100">
        <f>IF(ISNA(W398),0,W398*0.05)+IF(X398&gt;0,X398*0.05,0)+IF(AND(ISNA(W398),X398&lt;=0),0,IF(G398&gt;0,G398*0.05,0))</f>
        <v>0</v>
      </c>
      <c r="AA398" s="1101">
        <f ca="1">IF(ISNA(Y398),0,Y398)+Z398+IF('Main Creation Page'!AB$2=37,'Main Creation Page'!E$14/100,0)</f>
        <v>0.08</v>
      </c>
      <c r="AB398" s="1102">
        <f>VLOOKUP(V398,'System Lookups'!$J$55:$P$64,3)</f>
        <v>0.03</v>
      </c>
      <c r="AC398" s="1103">
        <f>VLOOKUP(V398,'System Lookups'!$J$55:$P$64,4)</f>
        <v>7.0000000000000007E-2</v>
      </c>
      <c r="AD398" s="1104">
        <f t="shared" si="439"/>
        <v>0</v>
      </c>
      <c r="AE398" s="1094">
        <f>(IF(AD398&gt;VLOOKUP(V398,'System Lookups'!$J$55:$P$63,6),(((AD398-VLOOKUP(V398,'System Lookups'!$J$55:$P$63,6))*100)/20),0))+AF398</f>
        <v>0</v>
      </c>
      <c r="AF398" s="1121"/>
      <c r="AG398" s="1092">
        <f t="shared" si="440"/>
        <v>0</v>
      </c>
      <c r="AH398" s="1092" t="str">
        <f>IF(X398&lt;=Experience!$R$15+1,"","*")</f>
        <v/>
      </c>
      <c r="AI398" s="1092"/>
      <c r="AJ398" s="1080">
        <f t="shared" si="441"/>
        <v>0</v>
      </c>
      <c r="AK398" s="1080">
        <f t="shared" si="442"/>
        <v>0</v>
      </c>
      <c r="AL398" s="1080">
        <f t="shared" si="443"/>
        <v>0</v>
      </c>
      <c r="AM398" s="1092">
        <f t="shared" si="444"/>
        <v>0</v>
      </c>
      <c r="AN398" s="1080">
        <f t="shared" si="445"/>
        <v>1</v>
      </c>
      <c r="AO398" s="1080">
        <f t="shared" si="446"/>
        <v>0</v>
      </c>
      <c r="AP398" s="1080">
        <f t="shared" si="447"/>
        <v>1</v>
      </c>
      <c r="AQ398" s="1027">
        <f>VLOOKUP(V398,'System Lookups'!$J$55:$P$64,7)</f>
        <v>1000</v>
      </c>
      <c r="AR398" s="1080" t="str">
        <f ca="1">IF(AND(NOT(ISBLANK(AJ398)),ISNA(MATCH(ROW(),'System Lookups'!$C$526:$C$539,0))),"Y","N")</f>
        <v>Y</v>
      </c>
      <c r="AS398" s="1080">
        <f t="shared" si="448"/>
        <v>0</v>
      </c>
      <c r="AU398" s="1080" t="e">
        <f t="shared" si="432"/>
        <v>#N/A</v>
      </c>
      <c r="AV398" s="1080" t="str">
        <f t="shared" si="429"/>
        <v>T</v>
      </c>
      <c r="AW398" s="1080">
        <f t="shared" si="433"/>
        <v>0</v>
      </c>
      <c r="AX398" s="1080">
        <f t="shared" si="434"/>
        <v>0</v>
      </c>
      <c r="AY398" s="1080">
        <f t="shared" si="435"/>
        <v>0</v>
      </c>
      <c r="AZ398" s="1080">
        <f t="shared" si="436"/>
        <v>0</v>
      </c>
      <c r="BA398" s="1080">
        <f t="shared" si="437"/>
        <v>0</v>
      </c>
      <c r="BB398" s="1080">
        <f>IF(AND(RACE=1,'Main Creation Page'!$E$6="Well",OR(ISNUMBER(FIND(Experience!$G$11,BE398)),ISNUMBER(FIND(Experience!$G$11,BF398)),ISNUMBER(FIND(Experience!$I$11,BE398)),ISNUMBER(FIND(Experience!$I$11,BF398)))),1,0)</f>
        <v>1</v>
      </c>
      <c r="BC398" s="1080" t="str">
        <f t="shared" si="438"/>
        <v>Dwarven Tongue (Ancient)</v>
      </c>
      <c r="BE398" s="1080" t="str">
        <f t="shared" si="430"/>
        <v>Lore</v>
      </c>
      <c r="BF398" s="1080" t="str">
        <f t="shared" si="431"/>
        <v>Language Lore: Written</v>
      </c>
    </row>
    <row r="399" spans="1:58" ht="11.1" customHeight="1" outlineLevel="2">
      <c r="A399" s="1028" t="str">
        <f>CONCATENATE("Elven Tongue",IF('Main Creation Page'!K5=3," (Western)", " "))</f>
        <v>Elven Tongue (Western)</v>
      </c>
      <c r="B399" s="1094" t="s">
        <v>1942</v>
      </c>
      <c r="C399" s="1094"/>
      <c r="D399" s="1094"/>
      <c r="E399" s="1095" t="s">
        <v>5224</v>
      </c>
      <c r="F399" s="1095" t="str">
        <f>IF('Main Creation Page'!$C$3=2, "R", "N")</f>
        <v>N</v>
      </c>
      <c r="G399" s="1096">
        <v>0</v>
      </c>
      <c r="H399" s="1096" t="s">
        <v>5224</v>
      </c>
      <c r="I399" s="1096" t="s">
        <v>5224</v>
      </c>
      <c r="J399" s="1096" t="s">
        <v>5224</v>
      </c>
      <c r="K399" s="1096" t="s">
        <v>5224</v>
      </c>
      <c r="L399" s="1096">
        <v>0</v>
      </c>
      <c r="M399" s="1096" t="s">
        <v>5224</v>
      </c>
      <c r="N399" s="1096" t="s">
        <v>4631</v>
      </c>
      <c r="O399" s="1113"/>
      <c r="P399" s="1113" t="s">
        <v>13</v>
      </c>
      <c r="S399" s="1113" t="s">
        <v>53</v>
      </c>
      <c r="T399" s="1113"/>
      <c r="U399" s="1027">
        <f>IF(F399="r",1,IF('Main Creation Page'!$K$5=3,6,5))</f>
        <v>6</v>
      </c>
      <c r="V399" s="1027">
        <f>IF((AP399+U399+VLOOKUP('Main Creation Page'!E$14,'System Lookups'!R$45:S$49,2))&gt;10,10,IF((AP399+U399+VLOOKUP('Main Creation Page'!E$14,'System Lookups'!R$45:S$49,2))&lt;1,1,(AP399+U399+VLOOKUP('Main Creation Page'!E$14,'System Lookups'!R$45:S$49,2))))</f>
        <v>7</v>
      </c>
      <c r="W399" s="1098" t="e">
        <f>IF(OR(I399&lt;&gt;"N",E399="C"),IF(AND(N399&lt;&gt;"T",ISNUMBER(FIND("V",I399))),1,0),NA())+IF(H399="Y",IF(AND(N399="P",ISNUMBER(FIND("Z",I399))),2,1),0)+IF(J399="Y",1,0)+IF(K399="Y",3,0)+IF(BE399="Lore",L399*2+Experience!$D$25,0)+IF(M399="Y",1,0)</f>
        <v>#N/A</v>
      </c>
      <c r="X399" s="1099"/>
      <c r="Y399" s="1100">
        <f ca="1">IF(P399="NS",IFERROR(INDIRECT(S399),NA()),VLOOKUP(INDIRECT(P399)+INDIRECT(S399),'System Lookups'!$A$3:$D$146,2))</f>
        <v>0.08</v>
      </c>
      <c r="Z399" s="1100">
        <f>IF(ISNA(W399),0,W399*0.03)+IF(X399&gt;0,X399*0.03,0)+IF(AND(ISNA(W399),X399&lt;=0),0,IF(G399&gt;0,G399*0.07,0))</f>
        <v>0</v>
      </c>
      <c r="AA399" s="1101">
        <f ca="1">IF(ISNA(Y399),0,Y399)+Z399+IF('Main Creation Page'!AB$2=37,'Main Creation Page'!E$14/100,0)</f>
        <v>0.08</v>
      </c>
      <c r="AB399" s="1102">
        <f>VLOOKUP(V399,'System Lookups'!$J$55:$P$64,3)</f>
        <v>0.03</v>
      </c>
      <c r="AC399" s="1103">
        <f>VLOOKUP(V399,'System Lookups'!$J$55:$P$64,4)</f>
        <v>7.0000000000000007E-2</v>
      </c>
      <c r="AD399" s="1104">
        <f t="shared" si="439"/>
        <v>0</v>
      </c>
      <c r="AE399" s="1094">
        <f>(IF(AD399&gt;VLOOKUP(V399,'System Lookups'!$J$55:$P$63,6),(((AD399-VLOOKUP(V399,'System Lookups'!$J$55:$P$63,6))*100)/20),0))+AF399</f>
        <v>0</v>
      </c>
      <c r="AF399" s="1121"/>
      <c r="AG399" s="1092">
        <f t="shared" si="440"/>
        <v>0</v>
      </c>
      <c r="AH399" s="1092" t="str">
        <f>IF(X399&lt;=Experience!$R$15+1,"","*")</f>
        <v/>
      </c>
      <c r="AI399" s="1092"/>
      <c r="AJ399" s="1080">
        <f t="shared" si="441"/>
        <v>0</v>
      </c>
      <c r="AK399" s="1080">
        <f t="shared" si="442"/>
        <v>0</v>
      </c>
      <c r="AL399" s="1080">
        <f t="shared" si="443"/>
        <v>0</v>
      </c>
      <c r="AM399" s="1092">
        <f t="shared" si="444"/>
        <v>0</v>
      </c>
      <c r="AN399" s="1080">
        <f t="shared" si="445"/>
        <v>1</v>
      </c>
      <c r="AO399" s="1080">
        <f t="shared" si="446"/>
        <v>0</v>
      </c>
      <c r="AP399" s="1080">
        <f t="shared" si="447"/>
        <v>1</v>
      </c>
      <c r="AQ399" s="1027">
        <f>VLOOKUP(V399,'System Lookups'!$J$55:$P$64,7)</f>
        <v>1000</v>
      </c>
      <c r="AR399" s="1080" t="str">
        <f ca="1">IF(AND(NOT(ISBLANK(AJ399)),ISNA(MATCH(ROW(),'System Lookups'!$C$526:$C$539,0))),"Y","N")</f>
        <v>Y</v>
      </c>
      <c r="AS399" s="1080">
        <f t="shared" si="448"/>
        <v>0</v>
      </c>
      <c r="AU399" s="1080" t="e">
        <f t="shared" si="432"/>
        <v>#N/A</v>
      </c>
      <c r="AV399" s="1080" t="str">
        <f t="shared" si="429"/>
        <v>T</v>
      </c>
      <c r="AW399" s="1080">
        <f t="shared" si="433"/>
        <v>0</v>
      </c>
      <c r="AX399" s="1080">
        <f t="shared" si="434"/>
        <v>0</v>
      </c>
      <c r="AY399" s="1080">
        <f t="shared" si="435"/>
        <v>0</v>
      </c>
      <c r="AZ399" s="1080">
        <f t="shared" si="436"/>
        <v>0</v>
      </c>
      <c r="BA399" s="1080">
        <f t="shared" si="437"/>
        <v>0</v>
      </c>
      <c r="BB399" s="1080">
        <f>IF(AND(RACE=1,'Main Creation Page'!$E$6="Well",OR(ISNUMBER(FIND(Experience!$G$11,BE399)),ISNUMBER(FIND(Experience!$G$11,BF399)),ISNUMBER(FIND(Experience!$I$11,BE399)),ISNUMBER(FIND(Experience!$I$11,BF399)))),1,0)</f>
        <v>1</v>
      </c>
      <c r="BC399" s="1080" t="str">
        <f t="shared" si="438"/>
        <v>Elven Tongue (Western)</v>
      </c>
      <c r="BE399" s="1080" t="str">
        <f t="shared" si="430"/>
        <v>Lore</v>
      </c>
      <c r="BF399" s="1080" t="str">
        <f t="shared" si="431"/>
        <v>Language Lore: Written</v>
      </c>
    </row>
    <row r="400" spans="1:58" ht="11.1" customHeight="1" outlineLevel="3">
      <c r="A400" s="1093" t="s">
        <v>4305</v>
      </c>
      <c r="B400" s="1094" t="s">
        <v>1942</v>
      </c>
      <c r="C400" s="1094"/>
      <c r="D400" s="1094"/>
      <c r="E400" s="1095" t="s">
        <v>5224</v>
      </c>
      <c r="F400" s="1095" t="str">
        <f>IF('Main Creation Page'!$C$3=2, "R", "N")</f>
        <v>N</v>
      </c>
      <c r="G400" s="1096">
        <v>0</v>
      </c>
      <c r="H400" s="1096" t="s">
        <v>5224</v>
      </c>
      <c r="I400" s="1096" t="s">
        <v>5224</v>
      </c>
      <c r="J400" s="1096" t="s">
        <v>5224</v>
      </c>
      <c r="K400" s="1096" t="s">
        <v>5224</v>
      </c>
      <c r="L400" s="1096">
        <v>0</v>
      </c>
      <c r="M400" s="1096" t="s">
        <v>5224</v>
      </c>
      <c r="N400" s="1096" t="s">
        <v>4631</v>
      </c>
      <c r="O400" s="1113"/>
      <c r="P400" s="1113" t="s">
        <v>13</v>
      </c>
      <c r="S400" s="1113" t="s">
        <v>53</v>
      </c>
      <c r="T400" s="1113"/>
      <c r="U400" s="1027">
        <f>IF(F400="r",1,IF('Main Creation Page'!$K$5=3,6,5))</f>
        <v>6</v>
      </c>
      <c r="V400" s="1027">
        <f>IF((AP400+U400+VLOOKUP('Main Creation Page'!E$14,'System Lookups'!R$45:S$49,2))&gt;10,10,IF((AP400+U400+VLOOKUP('Main Creation Page'!E$14,'System Lookups'!R$45:S$49,2))&lt;1,1,(AP400+U400+VLOOKUP('Main Creation Page'!E$14,'System Lookups'!R$45:S$49,2))))</f>
        <v>7</v>
      </c>
      <c r="W400" s="1098" t="e">
        <f>IF(OR(I400&lt;&gt;"N",E400="C"),IF(AND(N400&lt;&gt;"T",ISNUMBER(FIND("V",I400))),1,0),NA())+IF(H400="Y",IF(AND(N400="P",ISNUMBER(FIND("Z",I400))),2,1),0)+IF(J400="Y",1,0)+IF(K400="Y",3,0)+IF(BE400="Lore",L400*2+Experience!$D$25,0)+IF(M400="Y",1,0)</f>
        <v>#N/A</v>
      </c>
      <c r="X400" s="1099"/>
      <c r="Y400" s="1100">
        <f ca="1">IF(P400="NS",IFERROR(INDIRECT(S400),NA()),VLOOKUP(INDIRECT(P400)+INDIRECT(S400),'System Lookups'!$A$3:$D$146,2))</f>
        <v>0.08</v>
      </c>
      <c r="Z400" s="1100">
        <f>IF(ISNA(W400),0,W400*0.03)+IF(X400&gt;0,X400*0.03,0)+IF(AND(ISNA(W400),X400&lt;=0),0,IF(G400&gt;0,G400*0.07,0))</f>
        <v>0</v>
      </c>
      <c r="AA400" s="1101">
        <f ca="1">IF(ISNA(Y400),0,Y400)+Z400+IF('Main Creation Page'!AB$2=37,'Main Creation Page'!E$14/100,0)</f>
        <v>0.08</v>
      </c>
      <c r="AB400" s="1102">
        <f>VLOOKUP(V400,'System Lookups'!$J$55:$P$64,3)</f>
        <v>0.03</v>
      </c>
      <c r="AC400" s="1103">
        <f>VLOOKUP(V400,'System Lookups'!$J$55:$P$64,4)</f>
        <v>7.0000000000000007E-2</v>
      </c>
      <c r="AD400" s="1104">
        <f t="shared" si="439"/>
        <v>0</v>
      </c>
      <c r="AE400" s="1094">
        <f>(IF(AD400&gt;VLOOKUP(V400,'System Lookups'!$J$55:$P$63,6),(((AD400-VLOOKUP(V400,'System Lookups'!$J$55:$P$63,6))*100)/20),0))+AF400</f>
        <v>0</v>
      </c>
      <c r="AF400" s="1121"/>
      <c r="AG400" s="1092">
        <f t="shared" si="440"/>
        <v>0</v>
      </c>
      <c r="AH400" s="1092" t="str">
        <f>IF(X400&lt;=Experience!$R$15+1,"","*")</f>
        <v/>
      </c>
      <c r="AI400" s="1092"/>
      <c r="AJ400" s="1080">
        <f t="shared" si="441"/>
        <v>0</v>
      </c>
      <c r="AK400" s="1080">
        <f>IF(F400="s",-2,0)</f>
        <v>0</v>
      </c>
      <c r="AL400" s="1080">
        <f t="shared" si="443"/>
        <v>0</v>
      </c>
      <c r="AM400" s="1092">
        <f>IF(J400="y",1,0)</f>
        <v>0</v>
      </c>
      <c r="AN400" s="1080">
        <f>IF(N400="P",-1,IF(N400="T",1,0))</f>
        <v>1</v>
      </c>
      <c r="AO400" s="1080">
        <f t="shared" si="446"/>
        <v>0</v>
      </c>
      <c r="AP400" s="1080">
        <f t="shared" si="447"/>
        <v>1</v>
      </c>
      <c r="AQ400" s="1027">
        <f>VLOOKUP(V400,'System Lookups'!$J$55:$P$64,7)</f>
        <v>1000</v>
      </c>
      <c r="AR400" s="1080" t="str">
        <f ca="1">IF(AND(NOT(ISBLANK(AJ400)),ISNA(MATCH(ROW(),'System Lookups'!$C$526:$C$539,0))),"Y","N")</f>
        <v>Y</v>
      </c>
      <c r="AS400" s="1080">
        <f t="shared" si="448"/>
        <v>0</v>
      </c>
      <c r="AU400" s="1080" t="e">
        <f t="shared" si="432"/>
        <v>#N/A</v>
      </c>
      <c r="AV400" s="1080" t="str">
        <f t="shared" si="429"/>
        <v>T</v>
      </c>
      <c r="AW400" s="1080">
        <f t="shared" si="433"/>
        <v>0</v>
      </c>
      <c r="AX400" s="1080">
        <f t="shared" si="434"/>
        <v>0</v>
      </c>
      <c r="AY400" s="1080">
        <f t="shared" si="435"/>
        <v>0</v>
      </c>
      <c r="AZ400" s="1080">
        <f t="shared" si="436"/>
        <v>0</v>
      </c>
      <c r="BA400" s="1080">
        <f t="shared" si="437"/>
        <v>0</v>
      </c>
      <c r="BB400" s="1080">
        <f>IF(AND(RACE=1,'Main Creation Page'!$E$6="Well",OR(ISNUMBER(FIND(Experience!$G$11,BE400)),ISNUMBER(FIND(Experience!$G$11,BF400)),ISNUMBER(FIND(Experience!$I$11,BE400)),ISNUMBER(FIND(Experience!$I$11,BF400)))),1,0)</f>
        <v>1</v>
      </c>
      <c r="BC400" s="1080" t="str">
        <f t="shared" si="438"/>
        <v>Elven Tongue (Eastern)</v>
      </c>
      <c r="BE400" s="1080" t="str">
        <f t="shared" si="430"/>
        <v>Lore</v>
      </c>
      <c r="BF400" s="1080" t="str">
        <f t="shared" si="431"/>
        <v>Language Lore: Written</v>
      </c>
    </row>
    <row r="401" spans="1:58" ht="11.1" customHeight="1" outlineLevel="2">
      <c r="A401" s="1028" t="s">
        <v>4337</v>
      </c>
      <c r="B401" s="1094" t="s">
        <v>1942</v>
      </c>
      <c r="C401" s="1094"/>
      <c r="D401" s="1094"/>
      <c r="E401" s="1095" t="s">
        <v>5224</v>
      </c>
      <c r="F401" s="1095" t="str">
        <f>IF('Main Creation Page'!$C$3=2, "R", "N")</f>
        <v>N</v>
      </c>
      <c r="G401" s="1096">
        <v>0</v>
      </c>
      <c r="H401" s="1096" t="s">
        <v>5224</v>
      </c>
      <c r="I401" s="1096" t="s">
        <v>5224</v>
      </c>
      <c r="J401" s="1096" t="s">
        <v>5224</v>
      </c>
      <c r="K401" s="1096" t="s">
        <v>5224</v>
      </c>
      <c r="L401" s="1096">
        <v>0</v>
      </c>
      <c r="M401" s="1096" t="s">
        <v>5224</v>
      </c>
      <c r="N401" s="1096" t="s">
        <v>4631</v>
      </c>
      <c r="O401" s="1113"/>
      <c r="P401" s="1113" t="s">
        <v>13</v>
      </c>
      <c r="S401" s="1113" t="s">
        <v>53</v>
      </c>
      <c r="T401" s="1113"/>
      <c r="U401" s="1027">
        <f>IF(F401="r",1,IF('Main Creation Page'!$K$5=3,7,6))</f>
        <v>7</v>
      </c>
      <c r="V401" s="1027">
        <f>IF((AP401+U401+VLOOKUP('Main Creation Page'!E$14,'System Lookups'!R$45:S$49,2))&gt;10,10,IF((AP401+U401+VLOOKUP('Main Creation Page'!E$14,'System Lookups'!R$45:S$49,2))&lt;1,1,(AP401+U401+VLOOKUP('Main Creation Page'!E$14,'System Lookups'!R$45:S$49,2))))</f>
        <v>8</v>
      </c>
      <c r="W401" s="1098" t="e">
        <f>IF(OR(I401&lt;&gt;"N",E401="C"),IF(AND(N401&lt;&gt;"T",ISNUMBER(FIND("V",I401))),1,0),NA())+IF(H401="Y",IF(AND(N401="P",ISNUMBER(FIND("Z",I401))),2,1),0)+IF(J401="Y",1,0)+IF(K401="Y",3,0)+IF(BE401="Lore",L401*2+Experience!$D$25,0)+IF(M401="Y",1,0)</f>
        <v>#N/A</v>
      </c>
      <c r="X401" s="1099"/>
      <c r="Y401" s="1100">
        <f ca="1">IF(P401="NS",IFERROR(INDIRECT(S401),NA()),VLOOKUP(INDIRECT(P401)+INDIRECT(S401),'System Lookups'!$A$3:$D$146,2))</f>
        <v>0.08</v>
      </c>
      <c r="Z401" s="1100">
        <f>IF(ISNA(W401),0,W401*0.03)+IF(X401&gt;0,X401*0.03,0)+IF(AND(ISNA(W401),X401&lt;=0),0,IF(G401&gt;0,G401*0.07,0))</f>
        <v>0</v>
      </c>
      <c r="AA401" s="1101">
        <f ca="1">IF(ISNA(Y401),0,Y401)+Z401+IF('Main Creation Page'!AB$2=37,'Main Creation Page'!E$14/100,0)</f>
        <v>0.08</v>
      </c>
      <c r="AB401" s="1102">
        <f>VLOOKUP(V401,'System Lookups'!$J$55:$P$64,3)</f>
        <v>0.02</v>
      </c>
      <c r="AC401" s="1103">
        <f>VLOOKUP(V401,'System Lookups'!$J$55:$P$64,4)</f>
        <v>0.03</v>
      </c>
      <c r="AD401" s="1104">
        <f t="shared" si="439"/>
        <v>0</v>
      </c>
      <c r="AE401" s="1094">
        <f>(IF(AD401&gt;VLOOKUP(V401,'System Lookups'!$J$55:$P$63,6),(((AD401-VLOOKUP(V401,'System Lookups'!$J$55:$P$63,6))*100)/20),0))+AF401</f>
        <v>0</v>
      </c>
      <c r="AF401" s="1121"/>
      <c r="AG401" s="1092">
        <f t="shared" si="440"/>
        <v>0</v>
      </c>
      <c r="AH401" s="1092" t="str">
        <f>IF(X401&lt;=Experience!$R$15+1,"","*")</f>
        <v/>
      </c>
      <c r="AI401" s="1092"/>
      <c r="AJ401" s="1080">
        <f t="shared" si="441"/>
        <v>0</v>
      </c>
      <c r="AK401" s="1080">
        <f t="shared" si="442"/>
        <v>0</v>
      </c>
      <c r="AL401" s="1080">
        <f t="shared" si="443"/>
        <v>0</v>
      </c>
      <c r="AM401" s="1092">
        <f t="shared" si="444"/>
        <v>0</v>
      </c>
      <c r="AN401" s="1080">
        <f t="shared" si="445"/>
        <v>1</v>
      </c>
      <c r="AO401" s="1080">
        <f t="shared" si="446"/>
        <v>0</v>
      </c>
      <c r="AP401" s="1080">
        <f t="shared" si="447"/>
        <v>1</v>
      </c>
      <c r="AQ401" s="1027">
        <f>VLOOKUP(V401,'System Lookups'!$J$55:$P$64,7)</f>
        <v>1200</v>
      </c>
      <c r="AR401" s="1080" t="str">
        <f ca="1">IF(AND(NOT(ISBLANK(AJ401)),ISNA(MATCH(ROW(),'System Lookups'!$C$526:$C$539,0))),"Y","N")</f>
        <v>Y</v>
      </c>
      <c r="AS401" s="1080">
        <f t="shared" si="448"/>
        <v>0</v>
      </c>
      <c r="AU401" s="1080" t="e">
        <f t="shared" si="432"/>
        <v>#N/A</v>
      </c>
      <c r="AV401" s="1080" t="str">
        <f t="shared" si="429"/>
        <v>T</v>
      </c>
      <c r="AW401" s="1080">
        <f t="shared" si="433"/>
        <v>0</v>
      </c>
      <c r="AX401" s="1080">
        <f t="shared" si="434"/>
        <v>0</v>
      </c>
      <c r="AY401" s="1080">
        <f t="shared" si="435"/>
        <v>0</v>
      </c>
      <c r="AZ401" s="1080">
        <f t="shared" si="436"/>
        <v>0</v>
      </c>
      <c r="BA401" s="1080">
        <f t="shared" si="437"/>
        <v>0</v>
      </c>
      <c r="BB401" s="1080">
        <f>IF(AND(RACE=1,'Main Creation Page'!$E$6="Well",OR(ISNUMBER(FIND(Experience!$G$11,BE401)),ISNUMBER(FIND(Experience!$G$11,BF401)),ISNUMBER(FIND(Experience!$I$11,BE401)),ISNUMBER(FIND(Experience!$I$11,BF401)))),1,0)</f>
        <v>1</v>
      </c>
      <c r="BC401" s="1080" t="str">
        <f t="shared" si="438"/>
        <v>Elven Tongue (Ancient)</v>
      </c>
      <c r="BE401" s="1080" t="str">
        <f t="shared" si="430"/>
        <v>Lore</v>
      </c>
      <c r="BF401" s="1080" t="str">
        <f t="shared" si="431"/>
        <v>Language Lore: Written</v>
      </c>
    </row>
    <row r="402" spans="1:58" ht="11.1" customHeight="1" outlineLevel="2">
      <c r="A402" s="1093" t="s">
        <v>1419</v>
      </c>
      <c r="B402" s="1094" t="s">
        <v>1942</v>
      </c>
      <c r="C402" s="1094"/>
      <c r="D402" s="1094"/>
      <c r="E402" s="1095" t="s">
        <v>5224</v>
      </c>
      <c r="F402" s="1095" t="str">
        <f>IF('Main Creation Page'!$C$3=4, "R", "N")</f>
        <v>N</v>
      </c>
      <c r="G402" s="1096">
        <v>0</v>
      </c>
      <c r="H402" s="1096" t="s">
        <v>5224</v>
      </c>
      <c r="I402" s="1096" t="s">
        <v>5224</v>
      </c>
      <c r="J402" s="1096" t="s">
        <v>5224</v>
      </c>
      <c r="K402" s="1096" t="s">
        <v>5224</v>
      </c>
      <c r="L402" s="1096">
        <v>0</v>
      </c>
      <c r="M402" s="1096" t="s">
        <v>5224</v>
      </c>
      <c r="N402" s="1096" t="s">
        <v>4631</v>
      </c>
      <c r="O402" s="1113"/>
      <c r="P402" s="1113" t="s">
        <v>13</v>
      </c>
      <c r="S402" s="1113" t="s">
        <v>53</v>
      </c>
      <c r="T402" s="1113"/>
      <c r="U402" s="1027">
        <f>IF(F402="r",1,IF('Main Creation Page'!$K$5=3,4,3))</f>
        <v>4</v>
      </c>
      <c r="V402" s="1027">
        <f>IF((AP402+U402+VLOOKUP('Main Creation Page'!E$14,'System Lookups'!R$45:S$49,2))&gt;10,10,IF((AP402+U402+VLOOKUP('Main Creation Page'!E$14,'System Lookups'!R$45:S$49,2))&lt;1,1,(AP402+U402+VLOOKUP('Main Creation Page'!E$14,'System Lookups'!R$45:S$49,2))))</f>
        <v>5</v>
      </c>
      <c r="W402" s="1098" t="e">
        <f>IF(OR(I402&lt;&gt;"N",E402="C"),IF(AND(N402&lt;&gt;"T",ISNUMBER(FIND("V",I402))),1,0),NA())+IF(H402="Y",IF(AND(N402="P",ISNUMBER(FIND("Z",I402))),2,1),0)+IF(J402="Y",1,0)+IF(K402="Y",3,0)+IF(BE402="Lore",L402*2+Experience!$D$25,0)+IF(M402="Y",1,0)</f>
        <v>#N/A</v>
      </c>
      <c r="X402" s="1099"/>
      <c r="Y402" s="1100">
        <f ca="1">IF(P402="NS",IFERROR(INDIRECT(S402),NA()),VLOOKUP(INDIRECT(P402)+INDIRECT(S402),'System Lookups'!$A$3:$D$146,2))</f>
        <v>0.08</v>
      </c>
      <c r="Z402" s="1100">
        <f>IF(ISNA(W402),0,W402*0.05)+IF(X402&gt;0,X402*0.05,0)+IF(AND(ISNA(W402),X402&lt;=0),0,IF(G402&gt;0,G402*0.05,0))</f>
        <v>0</v>
      </c>
      <c r="AA402" s="1101">
        <f ca="1">IF(ISNA(Y402),0,Y402)+Z402+IF('Main Creation Page'!AB$2=37,'Main Creation Page'!E$14/100,0)</f>
        <v>0.08</v>
      </c>
      <c r="AB402" s="1102">
        <f>VLOOKUP(V402,'System Lookups'!$J$55:$P$64,3)</f>
        <v>0.1</v>
      </c>
      <c r="AC402" s="1103">
        <f>VLOOKUP(V402,'System Lookups'!$J$55:$P$64,4)</f>
        <v>0.2</v>
      </c>
      <c r="AD402" s="1104">
        <f t="shared" si="439"/>
        <v>0</v>
      </c>
      <c r="AE402" s="1094">
        <f>(IF(AD402&gt;VLOOKUP(V402,'System Lookups'!$J$55:$P$63,6),(((AD402-VLOOKUP(V402,'System Lookups'!$J$55:$P$63,6))*100)/20),0))+AF402</f>
        <v>0</v>
      </c>
      <c r="AF402" s="1121"/>
      <c r="AG402" s="1092">
        <f t="shared" si="440"/>
        <v>0</v>
      </c>
      <c r="AH402" s="1092" t="str">
        <f>IF(X402&lt;=Experience!$R$15+1,"","*")</f>
        <v/>
      </c>
      <c r="AI402" s="1092"/>
      <c r="AJ402" s="1080">
        <f t="shared" si="441"/>
        <v>0</v>
      </c>
      <c r="AK402" s="1080">
        <f>IF(F402="s",-2,0)</f>
        <v>0</v>
      </c>
      <c r="AL402" s="1080">
        <f t="shared" si="443"/>
        <v>0</v>
      </c>
      <c r="AM402" s="1092">
        <f>IF(J402="y",1,0)</f>
        <v>0</v>
      </c>
      <c r="AN402" s="1080">
        <f>IF(N402="P",-1,IF(N402="T",1,0))</f>
        <v>1</v>
      </c>
      <c r="AO402" s="1080">
        <f t="shared" si="446"/>
        <v>0</v>
      </c>
      <c r="AP402" s="1080">
        <f t="shared" si="447"/>
        <v>1</v>
      </c>
      <c r="AQ402" s="1027">
        <f>VLOOKUP(V402,'System Lookups'!$J$55:$P$64,7)</f>
        <v>700</v>
      </c>
      <c r="AR402" s="1080" t="str">
        <f ca="1">IF(AND(NOT(ISBLANK(AJ402)),ISNA(MATCH(ROW(),'System Lookups'!$C$526:$C$539,0))),"Y","N")</f>
        <v>Y</v>
      </c>
      <c r="AS402" s="1080">
        <f t="shared" si="448"/>
        <v>0</v>
      </c>
      <c r="AU402" s="1080" t="e">
        <f t="shared" si="432"/>
        <v>#N/A</v>
      </c>
      <c r="AV402" s="1080" t="str">
        <f t="shared" si="429"/>
        <v>T</v>
      </c>
      <c r="AW402" s="1080">
        <f t="shared" si="433"/>
        <v>0</v>
      </c>
      <c r="AX402" s="1080">
        <f t="shared" si="434"/>
        <v>0</v>
      </c>
      <c r="AY402" s="1080">
        <f t="shared" si="435"/>
        <v>0</v>
      </c>
      <c r="AZ402" s="1080">
        <f t="shared" si="436"/>
        <v>0</v>
      </c>
      <c r="BA402" s="1080">
        <f t="shared" si="437"/>
        <v>0</v>
      </c>
      <c r="BB402" s="1080">
        <f>IF(AND(RACE=1,'Main Creation Page'!$E$6="Well",OR(ISNUMBER(FIND(Experience!$G$11,BE402)),ISNUMBER(FIND(Experience!$G$11,BF402)),ISNUMBER(FIND(Experience!$I$11,BE402)),ISNUMBER(FIND(Experience!$I$11,BF402)))),1,0)</f>
        <v>1</v>
      </c>
      <c r="BC402" s="1080" t="str">
        <f t="shared" si="438"/>
        <v>Haeflin Tongue</v>
      </c>
      <c r="BE402" s="1080" t="str">
        <f t="shared" si="430"/>
        <v>Lore</v>
      </c>
      <c r="BF402" s="1080" t="str">
        <f t="shared" si="431"/>
        <v>Language Lore: Written</v>
      </c>
    </row>
    <row r="403" spans="1:58" ht="11.1" customHeight="1" outlineLevel="2">
      <c r="A403" s="1093" t="s">
        <v>1420</v>
      </c>
      <c r="B403" s="1094" t="s">
        <v>1942</v>
      </c>
      <c r="C403" s="1094"/>
      <c r="D403" s="1094"/>
      <c r="E403" s="1095" t="s">
        <v>5224</v>
      </c>
      <c r="F403" s="1095" t="str">
        <f>IF('Main Creation Page'!$C$3=4, "R", "N")</f>
        <v>N</v>
      </c>
      <c r="G403" s="1096">
        <v>0</v>
      </c>
      <c r="H403" s="1096" t="s">
        <v>5224</v>
      </c>
      <c r="I403" s="1096" t="s">
        <v>5224</v>
      </c>
      <c r="J403" s="1096" t="s">
        <v>5224</v>
      </c>
      <c r="K403" s="1096" t="s">
        <v>5224</v>
      </c>
      <c r="L403" s="1096">
        <v>0</v>
      </c>
      <c r="M403" s="1096" t="s">
        <v>5224</v>
      </c>
      <c r="N403" s="1096" t="s">
        <v>4631</v>
      </c>
      <c r="O403" s="1113"/>
      <c r="P403" s="1113" t="s">
        <v>13</v>
      </c>
      <c r="S403" s="1113" t="s">
        <v>53</v>
      </c>
      <c r="T403" s="1113"/>
      <c r="U403" s="1027">
        <f>IF(F403="r",1,IF('Main Creation Page'!$K$5=3,5,4))</f>
        <v>5</v>
      </c>
      <c r="V403" s="1027">
        <f>IF((AP403+U403+VLOOKUP('Main Creation Page'!E$14,'System Lookups'!R$45:S$49,2))&gt;10,10,IF((AP403+U403+VLOOKUP('Main Creation Page'!E$14,'System Lookups'!R$45:S$49,2))&lt;1,1,(AP403+U403+VLOOKUP('Main Creation Page'!E$14,'System Lookups'!R$45:S$49,2))))</f>
        <v>6</v>
      </c>
      <c r="W403" s="1098" t="e">
        <f>IF(OR(I403&lt;&gt;"N",E403="C"),IF(AND(N403&lt;&gt;"T",ISNUMBER(FIND("V",I403))),1,0),NA())+IF(H403="Y",IF(AND(N403="P",ISNUMBER(FIND("Z",I403))),2,1),0)+IF(J403="Y",1,0)+IF(K403="Y",3,0)+IF(BE403="Lore",L403*2+Experience!$D$25,0)+IF(M403="Y",1,0)</f>
        <v>#N/A</v>
      </c>
      <c r="X403" s="1099"/>
      <c r="Y403" s="1100">
        <f ca="1">IF(P403="NS",IFERROR(INDIRECT(S403),NA()),VLOOKUP(INDIRECT(P403)+INDIRECT(S403),'System Lookups'!$A$3:$D$146,2))</f>
        <v>0.08</v>
      </c>
      <c r="Z403" s="1100">
        <f>IF(ISNA(W403),0,W403*0.05)+IF(X403&gt;0,X403*0.05,0)+IF(AND(ISNA(W403),X403&lt;=0),0,IF(G403&gt;0,G403*0.05,0))</f>
        <v>0</v>
      </c>
      <c r="AA403" s="1101">
        <f ca="1">IF(ISNA(Y403),0,Y403)+Z403+IF('Main Creation Page'!AB$2=37,'Main Creation Page'!E$14/100,0)</f>
        <v>0.08</v>
      </c>
      <c r="AB403" s="1102">
        <f>VLOOKUP(V403,'System Lookups'!$J$55:$P$64,3)</f>
        <v>0.05</v>
      </c>
      <c r="AC403" s="1103">
        <f>VLOOKUP(V403,'System Lookups'!$J$55:$P$64,4)</f>
        <v>0.1</v>
      </c>
      <c r="AD403" s="1104">
        <f t="shared" si="439"/>
        <v>0</v>
      </c>
      <c r="AE403" s="1094">
        <f>(IF(AD403&gt;VLOOKUP(V403,'System Lookups'!$J$55:$P$63,6),(((AD403-VLOOKUP(V403,'System Lookups'!$J$55:$P$63,6))*100)/20),0))+AF403</f>
        <v>0</v>
      </c>
      <c r="AF403" s="1121"/>
      <c r="AG403" s="1092">
        <f t="shared" si="440"/>
        <v>0</v>
      </c>
      <c r="AH403" s="1092" t="str">
        <f>IF(X403&lt;=Experience!$R$15+1,"","*")</f>
        <v/>
      </c>
      <c r="AI403" s="1092"/>
      <c r="AJ403" s="1080">
        <f t="shared" si="441"/>
        <v>0</v>
      </c>
      <c r="AK403" s="1080">
        <f>IF(F403="s",-2,0)</f>
        <v>0</v>
      </c>
      <c r="AL403" s="1080">
        <f t="shared" si="443"/>
        <v>0</v>
      </c>
      <c r="AM403" s="1092">
        <f>IF(J403="y",1,0)</f>
        <v>0</v>
      </c>
      <c r="AN403" s="1080">
        <f>IF(N403="P",-1,IF(N403="T",1,0))</f>
        <v>1</v>
      </c>
      <c r="AO403" s="1080">
        <f t="shared" si="446"/>
        <v>0</v>
      </c>
      <c r="AP403" s="1080">
        <f t="shared" si="447"/>
        <v>1</v>
      </c>
      <c r="AQ403" s="1027">
        <f>VLOOKUP(V403,'System Lookups'!$J$55:$P$64,7)</f>
        <v>800</v>
      </c>
      <c r="AR403" s="1080" t="str">
        <f ca="1">IF(AND(NOT(ISBLANK(AJ403)),ISNA(MATCH(ROW(),'System Lookups'!$C$526:$C$539,0))),"Y","N")</f>
        <v>Y</v>
      </c>
      <c r="AS403" s="1080">
        <f t="shared" si="448"/>
        <v>0</v>
      </c>
      <c r="AU403" s="1080" t="e">
        <f t="shared" si="432"/>
        <v>#N/A</v>
      </c>
      <c r="AV403" s="1080" t="str">
        <f t="shared" si="429"/>
        <v>T</v>
      </c>
      <c r="AW403" s="1080">
        <f t="shared" si="433"/>
        <v>0</v>
      </c>
      <c r="AX403" s="1080">
        <f t="shared" si="434"/>
        <v>0</v>
      </c>
      <c r="AY403" s="1080">
        <f t="shared" si="435"/>
        <v>0</v>
      </c>
      <c r="AZ403" s="1080">
        <f t="shared" si="436"/>
        <v>0</v>
      </c>
      <c r="BA403" s="1080">
        <f t="shared" si="437"/>
        <v>0</v>
      </c>
      <c r="BB403" s="1080">
        <f>IF(AND(RACE=1,'Main Creation Page'!$E$6="Well",OR(ISNUMBER(FIND(Experience!$G$11,BE403)),ISNUMBER(FIND(Experience!$G$11,BF403)),ISNUMBER(FIND(Experience!$I$11,BE403)),ISNUMBER(FIND(Experience!$I$11,BF403)))),1,0)</f>
        <v>1</v>
      </c>
      <c r="BC403" s="1080" t="str">
        <f t="shared" si="438"/>
        <v>Haeflin Tongue (Ancient)</v>
      </c>
      <c r="BE403" s="1080" t="str">
        <f t="shared" si="430"/>
        <v>Lore</v>
      </c>
      <c r="BF403" s="1080" t="str">
        <f t="shared" si="431"/>
        <v>Language Lore: Written</v>
      </c>
    </row>
    <row r="404" spans="1:58" ht="11.1" customHeight="1" outlineLevel="2">
      <c r="A404" s="1028" t="s">
        <v>59</v>
      </c>
      <c r="B404" s="1094" t="s">
        <v>1942</v>
      </c>
      <c r="C404" s="1094"/>
      <c r="D404" s="1094"/>
      <c r="E404" s="1095" t="s">
        <v>5224</v>
      </c>
      <c r="F404" s="1095" t="s">
        <v>5224</v>
      </c>
      <c r="G404" s="1096" t="s">
        <v>3043</v>
      </c>
      <c r="H404" s="1096" t="s">
        <v>5224</v>
      </c>
      <c r="I404" s="1096" t="s">
        <v>5224</v>
      </c>
      <c r="J404" s="1096" t="s">
        <v>5224</v>
      </c>
      <c r="K404" s="1096" t="s">
        <v>5224</v>
      </c>
      <c r="L404" s="1096">
        <v>0</v>
      </c>
      <c r="M404" s="1096" t="s">
        <v>5224</v>
      </c>
      <c r="N404" s="1096" t="s">
        <v>4631</v>
      </c>
      <c r="O404" s="1113"/>
      <c r="P404" s="1113" t="s">
        <v>13</v>
      </c>
      <c r="S404" s="1113" t="s">
        <v>53</v>
      </c>
      <c r="T404" s="1113"/>
      <c r="U404" s="1027">
        <v>2</v>
      </c>
      <c r="V404" s="1027">
        <f>IF((AP404+U404+VLOOKUP('Main Creation Page'!E$14,'System Lookups'!R$45:S$49,2))&gt;10,10,IF((AP404+U404+VLOOKUP('Main Creation Page'!E$14,'System Lookups'!R$45:S$49,2))&lt;1,1,(AP404+U404+VLOOKUP('Main Creation Page'!E$14,'System Lookups'!R$45:S$49,2))))</f>
        <v>3</v>
      </c>
      <c r="W404" s="1098" t="e">
        <f>IF(OR(I404&lt;&gt;"N",E404="C"),IF(AND(N404&lt;&gt;"T",ISNUMBER(FIND("V",I404))),1,0),NA())+IF(H404="Y",IF(AND(N404="P",ISNUMBER(FIND("Z",I404))),2,1),0)+IF(J404="Y",1,0)+IF(K404="Y",3,0)+IF(BE404="Lore",L404*2+Experience!$D$25,0)+IF(M404="Y",1,0)</f>
        <v>#N/A</v>
      </c>
      <c r="X404" s="1099"/>
      <c r="Y404" s="1100">
        <f ca="1">IF(P404="NS",IFERROR(INDIRECT(S404),NA()),VLOOKUP(INDIRECT(P404)+INDIRECT(S404),'System Lookups'!$A$3:$D$146,2))</f>
        <v>0.08</v>
      </c>
      <c r="Z404" s="1100">
        <f t="shared" ref="Z404:Z425" si="449">(X404*0.1)+IF(ISNA(W404),0,W404*0.1)</f>
        <v>0</v>
      </c>
      <c r="AA404" s="1101">
        <f ca="1">IF(ISNA(Y404),0,Y404)+Z404+IF('Main Creation Page'!AB$2=37,'Main Creation Page'!E$14/100,0)</f>
        <v>0.08</v>
      </c>
      <c r="AB404" s="1102">
        <f>VLOOKUP(V404,'System Lookups'!$J$55:$P$64,3)</f>
        <v>0.3</v>
      </c>
      <c r="AC404" s="1103">
        <f>VLOOKUP(V404,'System Lookups'!$J$55:$P$64,4)</f>
        <v>0.4</v>
      </c>
      <c r="AD404" s="1104">
        <f t="shared" si="439"/>
        <v>0</v>
      </c>
      <c r="AE404" s="1094">
        <f>(IF(AD404&gt;VLOOKUP(V404,'System Lookups'!$J$55:$P$63,6),(((AD404-VLOOKUP(V404,'System Lookups'!$J$55:$P$63,6))*100)/20),0))+AF404</f>
        <v>0</v>
      </c>
      <c r="AF404" s="1121"/>
      <c r="AG404" s="1092">
        <f t="shared" si="440"/>
        <v>0</v>
      </c>
      <c r="AH404" s="1092" t="str">
        <f>IF(X404&lt;=Experience!$R$15+1,"","*")</f>
        <v/>
      </c>
      <c r="AI404" s="1092"/>
      <c r="AJ404" s="1080">
        <f t="shared" si="441"/>
        <v>0</v>
      </c>
      <c r="AK404" s="1080">
        <f t="shared" si="442"/>
        <v>0</v>
      </c>
      <c r="AL404" s="1080">
        <f t="shared" si="443"/>
        <v>0</v>
      </c>
      <c r="AM404" s="1092">
        <f t="shared" si="444"/>
        <v>0</v>
      </c>
      <c r="AN404" s="1080">
        <f t="shared" si="445"/>
        <v>1</v>
      </c>
      <c r="AO404" s="1080">
        <f t="shared" si="446"/>
        <v>0</v>
      </c>
      <c r="AP404" s="1080">
        <f t="shared" si="447"/>
        <v>1</v>
      </c>
      <c r="AQ404" s="1027">
        <f>VLOOKUP(V404,'System Lookups'!$J$55:$P$64,7)</f>
        <v>500</v>
      </c>
      <c r="AR404" s="1080" t="str">
        <f ca="1">IF(AND(NOT(ISBLANK(AJ404)),ISNA(MATCH(ROW(),'System Lookups'!$C$526:$C$539,0))),"Y","N")</f>
        <v>Y</v>
      </c>
      <c r="AS404" s="1080">
        <f t="shared" si="448"/>
        <v>0</v>
      </c>
      <c r="AU404" s="1080" t="e">
        <f t="shared" si="432"/>
        <v>#N/A</v>
      </c>
      <c r="AV404" s="1080" t="str">
        <f t="shared" si="429"/>
        <v>T</v>
      </c>
      <c r="AW404" s="1080">
        <f t="shared" si="433"/>
        <v>0</v>
      </c>
      <c r="AX404" s="1080">
        <f t="shared" si="434"/>
        <v>0</v>
      </c>
      <c r="AY404" s="1080">
        <f t="shared" si="435"/>
        <v>0</v>
      </c>
      <c r="AZ404" s="1080">
        <f t="shared" si="436"/>
        <v>0</v>
      </c>
      <c r="BA404" s="1080">
        <f t="shared" si="437"/>
        <v>0</v>
      </c>
      <c r="BB404" s="1080">
        <f>IF(AND(RACE=1,'Main Creation Page'!$E$6="Well",OR(ISNUMBER(FIND(Experience!$G$11,BE404)),ISNUMBER(FIND(Experience!$G$11,BF404)),ISNUMBER(FIND(Experience!$I$11,BE404)),ISNUMBER(FIND(Experience!$I$11,BF404)))),1,0)</f>
        <v>1</v>
      </c>
      <c r="BC404" s="1080" t="str">
        <f t="shared" si="438"/>
        <v>Foreign Languages</v>
      </c>
      <c r="BE404" s="1080" t="str">
        <f t="shared" si="430"/>
        <v>Lore</v>
      </c>
      <c r="BF404" s="1080" t="str">
        <f t="shared" si="431"/>
        <v>Language Lore: Written</v>
      </c>
    </row>
    <row r="405" spans="1:58" ht="11.1" customHeight="1" outlineLevel="3">
      <c r="A405" s="1028" t="str">
        <f>IF('Main Creation Page'!$K$5=3,"Azarian","Arabic")</f>
        <v>Azarian</v>
      </c>
      <c r="B405" s="1094" t="s">
        <v>1942</v>
      </c>
      <c r="C405" s="1094"/>
      <c r="D405" s="1094"/>
      <c r="E405" s="1095" t="s">
        <v>5224</v>
      </c>
      <c r="F405" s="1095" t="s">
        <v>5224</v>
      </c>
      <c r="G405" s="1096" t="s">
        <v>3043</v>
      </c>
      <c r="H405" s="1096" t="s">
        <v>5224</v>
      </c>
      <c r="I405" s="1096" t="s">
        <v>5224</v>
      </c>
      <c r="J405" s="1096" t="s">
        <v>5224</v>
      </c>
      <c r="K405" s="1096" t="s">
        <v>5224</v>
      </c>
      <c r="L405" s="1096">
        <v>0</v>
      </c>
      <c r="M405" s="1096" t="s">
        <v>5224</v>
      </c>
      <c r="N405" s="1096" t="s">
        <v>4631</v>
      </c>
      <c r="O405" s="1113"/>
      <c r="P405" s="1113" t="s">
        <v>13</v>
      </c>
      <c r="S405" s="1113" t="s">
        <v>53</v>
      </c>
      <c r="T405" s="1113"/>
      <c r="U405" s="1027">
        <f>IF('Main Creation Page'!$K$5=3,4,2)</f>
        <v>4</v>
      </c>
      <c r="V405" s="1027">
        <f>IF((AP405+U405+VLOOKUP('Main Creation Page'!E$14,'System Lookups'!R$45:S$49,2))&gt;10,10,IF((AP405+U405+VLOOKUP('Main Creation Page'!E$14,'System Lookups'!R$45:S$49,2))&lt;1,1,(AP405+U405+VLOOKUP('Main Creation Page'!E$14,'System Lookups'!R$45:S$49,2))))</f>
        <v>5</v>
      </c>
      <c r="W405" s="1098" t="e">
        <f>IF(OR(I405&lt;&gt;"N",E405="C"),IF(AND(N405&lt;&gt;"T",ISNUMBER(FIND("V",I405))),1,0),NA())+IF(H405="Y",IF(AND(N405="P",ISNUMBER(FIND("Z",I405))),2,1),0)+IF(J405="Y",1,0)+IF(K405="Y",3,0)+IF(BE405="Lore",L405*2+Experience!$D$25,0)+IF(M405="Y",1,0)</f>
        <v>#N/A</v>
      </c>
      <c r="X405" s="1099"/>
      <c r="Y405" s="1100">
        <f ca="1">IF(P405="NS",IFERROR(INDIRECT(S405),NA()),VLOOKUP(INDIRECT(P405)+INDIRECT(S405),'System Lookups'!$A$3:$D$146,2))</f>
        <v>0.08</v>
      </c>
      <c r="Z405" s="1100">
        <f t="shared" si="449"/>
        <v>0</v>
      </c>
      <c r="AA405" s="1101">
        <f ca="1">IF(ISNA(Y405),0,Y405)+Z405+IF('Main Creation Page'!AB$2=37,'Main Creation Page'!E$14/100,0)</f>
        <v>0.08</v>
      </c>
      <c r="AB405" s="1102">
        <f>VLOOKUP(V405,'System Lookups'!$J$55:$P$64,3)</f>
        <v>0.1</v>
      </c>
      <c r="AC405" s="1103">
        <f>VLOOKUP(V405,'System Lookups'!$J$55:$P$64,4)</f>
        <v>0.2</v>
      </c>
      <c r="AD405" s="1104">
        <f t="shared" si="439"/>
        <v>0</v>
      </c>
      <c r="AE405" s="1094">
        <f>(IF(AD405&gt;VLOOKUP(V405,'System Lookups'!$J$55:$P$63,6),(((AD405-VLOOKUP(V405,'System Lookups'!$J$55:$P$63,6))*100)/20),0))+AF405</f>
        <v>0</v>
      </c>
      <c r="AF405" s="1121"/>
      <c r="AG405" s="1092">
        <f t="shared" si="440"/>
        <v>0</v>
      </c>
      <c r="AH405" s="1092" t="str">
        <f>IF(X405&lt;=Experience!$R$15+1,"","*")</f>
        <v/>
      </c>
      <c r="AI405" s="1092"/>
      <c r="AJ405" s="1080">
        <f t="shared" si="441"/>
        <v>0</v>
      </c>
      <c r="AK405" s="1080">
        <f t="shared" ref="AK405:AK425" si="450">IF(F405="s",-2,0)</f>
        <v>0</v>
      </c>
      <c r="AL405" s="1080">
        <f t="shared" si="443"/>
        <v>0</v>
      </c>
      <c r="AM405" s="1092">
        <f t="shared" ref="AM405:AM425" si="451">IF(J405="y",1,0)</f>
        <v>0</v>
      </c>
      <c r="AN405" s="1080">
        <f t="shared" ref="AN405:AN425" si="452">IF(N405="P",-1,IF(N405="T",1,0))</f>
        <v>1</v>
      </c>
      <c r="AO405" s="1080">
        <f t="shared" si="446"/>
        <v>0</v>
      </c>
      <c r="AP405" s="1080">
        <f t="shared" si="447"/>
        <v>1</v>
      </c>
      <c r="AQ405" s="1027">
        <f>VLOOKUP(V405,'System Lookups'!$J$55:$P$64,7)</f>
        <v>700</v>
      </c>
      <c r="AR405" s="1080" t="str">
        <f ca="1">IF(AND(NOT(ISBLANK(AJ405)),ISNA(MATCH(ROW(),'System Lookups'!$C$526:$C$539,0))),"Y","N")</f>
        <v>Y</v>
      </c>
      <c r="AS405" s="1080">
        <f t="shared" si="448"/>
        <v>0</v>
      </c>
      <c r="AU405" s="1080" t="e">
        <f t="shared" si="432"/>
        <v>#N/A</v>
      </c>
      <c r="AV405" s="1080" t="str">
        <f t="shared" si="429"/>
        <v>T</v>
      </c>
      <c r="AW405" s="1080">
        <f t="shared" si="433"/>
        <v>0</v>
      </c>
      <c r="AX405" s="1080">
        <f t="shared" si="434"/>
        <v>0</v>
      </c>
      <c r="AY405" s="1080">
        <f t="shared" si="435"/>
        <v>0</v>
      </c>
      <c r="AZ405" s="1080">
        <f t="shared" si="436"/>
        <v>0</v>
      </c>
      <c r="BA405" s="1080">
        <f t="shared" si="437"/>
        <v>0</v>
      </c>
      <c r="BB405" s="1080">
        <f>IF(AND(RACE=1,'Main Creation Page'!$E$6="Well",OR(ISNUMBER(FIND(Experience!$G$11,BE405)),ISNUMBER(FIND(Experience!$G$11,BF405)),ISNUMBER(FIND(Experience!$I$11,BE405)),ISNUMBER(FIND(Experience!$I$11,BF405)))),1,0)</f>
        <v>1</v>
      </c>
      <c r="BC405" s="1080" t="str">
        <f t="shared" si="438"/>
        <v>Foreign:Azarian</v>
      </c>
      <c r="BD405" s="1080" t="s">
        <v>5691</v>
      </c>
      <c r="BE405" s="1080" t="str">
        <f t="shared" si="430"/>
        <v>Lore</v>
      </c>
      <c r="BF405" s="1080" t="str">
        <f t="shared" si="431"/>
        <v>Language Lore: Written</v>
      </c>
    </row>
    <row r="406" spans="1:58" ht="11.1" customHeight="1" outlineLevel="3">
      <c r="A406" s="1028" t="str">
        <f>IF('Main Creation Page'!$K$5=3,"Pacfin","Chinese")</f>
        <v>Pacfin</v>
      </c>
      <c r="B406" s="1094" t="s">
        <v>1942</v>
      </c>
      <c r="C406" s="1094"/>
      <c r="D406" s="1094"/>
      <c r="E406" s="1095" t="s">
        <v>5224</v>
      </c>
      <c r="F406" s="1095" t="s">
        <v>5224</v>
      </c>
      <c r="G406" s="1096" t="s">
        <v>3043</v>
      </c>
      <c r="H406" s="1096" t="s">
        <v>5224</v>
      </c>
      <c r="I406" s="1096" t="s">
        <v>5224</v>
      </c>
      <c r="J406" s="1096" t="s">
        <v>5224</v>
      </c>
      <c r="K406" s="1096" t="s">
        <v>5224</v>
      </c>
      <c r="L406" s="1096">
        <v>0</v>
      </c>
      <c r="M406" s="1096" t="s">
        <v>5224</v>
      </c>
      <c r="N406" s="1096" t="s">
        <v>4631</v>
      </c>
      <c r="O406" s="1113"/>
      <c r="P406" s="1113" t="s">
        <v>13</v>
      </c>
      <c r="S406" s="1113" t="s">
        <v>53</v>
      </c>
      <c r="T406" s="1113"/>
      <c r="U406" s="1027">
        <f>IF('Main Creation Page'!$K$5=3,4,2)</f>
        <v>4</v>
      </c>
      <c r="V406" s="1027">
        <f>IF((AP406+U406+VLOOKUP('Main Creation Page'!E$14,'System Lookups'!R$45:S$49,2))&gt;10,10,IF((AP406+U406+VLOOKUP('Main Creation Page'!E$14,'System Lookups'!R$45:S$49,2))&lt;1,1,(AP406+U406+VLOOKUP('Main Creation Page'!E$14,'System Lookups'!R$45:S$49,2))))</f>
        <v>5</v>
      </c>
      <c r="W406" s="1098" t="e">
        <f>IF(OR(I406&lt;&gt;"N",E406="C"),IF(AND(N406&lt;&gt;"T",ISNUMBER(FIND("V",I406))),1,0),NA())+IF(H406="Y",IF(AND(N406="P",ISNUMBER(FIND("Z",I406))),2,1),0)+IF(J406="Y",1,0)+IF(K406="Y",3,0)+IF(BE406="Lore",L406*2+Experience!$D$25,0)+IF(M406="Y",1,0)</f>
        <v>#N/A</v>
      </c>
      <c r="X406" s="1099"/>
      <c r="Y406" s="1100">
        <f ca="1">IF(P406="NS",IFERROR(INDIRECT(S406),NA()),VLOOKUP(INDIRECT(P406)+INDIRECT(S406),'System Lookups'!$A$3:$D$146,2))</f>
        <v>0.08</v>
      </c>
      <c r="Z406" s="1100">
        <f t="shared" si="449"/>
        <v>0</v>
      </c>
      <c r="AA406" s="1101">
        <f ca="1">IF(ISNA(Y406),0,Y406)+Z406+IF('Main Creation Page'!AB$2=37,'Main Creation Page'!E$14/100,0)</f>
        <v>0.08</v>
      </c>
      <c r="AB406" s="1102">
        <f>VLOOKUP(V406,'System Lookups'!$J$55:$P$64,3)</f>
        <v>0.1</v>
      </c>
      <c r="AC406" s="1103">
        <f>VLOOKUP(V406,'System Lookups'!$J$55:$P$64,4)</f>
        <v>0.2</v>
      </c>
      <c r="AD406" s="1104">
        <f t="shared" si="439"/>
        <v>0</v>
      </c>
      <c r="AE406" s="1094">
        <f>(IF(AD406&gt;VLOOKUP(V406,'System Lookups'!$J$55:$P$63,6),(((AD406-VLOOKUP(V406,'System Lookups'!$J$55:$P$63,6))*100)/20),0))+AF406</f>
        <v>0</v>
      </c>
      <c r="AF406" s="1121"/>
      <c r="AG406" s="1092">
        <f t="shared" si="440"/>
        <v>0</v>
      </c>
      <c r="AH406" s="1092" t="str">
        <f>IF(X406&lt;=Experience!$R$15+1,"","*")</f>
        <v/>
      </c>
      <c r="AI406" s="1092"/>
      <c r="AJ406" s="1080">
        <f t="shared" si="441"/>
        <v>0</v>
      </c>
      <c r="AK406" s="1080">
        <f t="shared" si="450"/>
        <v>0</v>
      </c>
      <c r="AL406" s="1080">
        <f t="shared" si="443"/>
        <v>0</v>
      </c>
      <c r="AM406" s="1092">
        <f t="shared" si="451"/>
        <v>0</v>
      </c>
      <c r="AN406" s="1080">
        <f t="shared" si="452"/>
        <v>1</v>
      </c>
      <c r="AO406" s="1080">
        <f t="shared" si="446"/>
        <v>0</v>
      </c>
      <c r="AP406" s="1080">
        <f t="shared" si="447"/>
        <v>1</v>
      </c>
      <c r="AQ406" s="1027">
        <f>VLOOKUP(V406,'System Lookups'!$J$55:$P$64,7)</f>
        <v>700</v>
      </c>
      <c r="AR406" s="1080" t="str">
        <f ca="1">IF(AND(NOT(ISBLANK(AJ406)),ISNA(MATCH(ROW(),'System Lookups'!$C$526:$C$539,0))),"Y","N")</f>
        <v>Y</v>
      </c>
      <c r="AS406" s="1080">
        <f t="shared" si="448"/>
        <v>0</v>
      </c>
      <c r="AU406" s="1080" t="e">
        <f t="shared" si="432"/>
        <v>#N/A</v>
      </c>
      <c r="AV406" s="1080" t="str">
        <f t="shared" si="429"/>
        <v>T</v>
      </c>
      <c r="AW406" s="1080">
        <f t="shared" si="433"/>
        <v>0</v>
      </c>
      <c r="AX406" s="1080">
        <f t="shared" si="434"/>
        <v>0</v>
      </c>
      <c r="AY406" s="1080">
        <f t="shared" si="435"/>
        <v>0</v>
      </c>
      <c r="AZ406" s="1080">
        <f t="shared" si="436"/>
        <v>0</v>
      </c>
      <c r="BA406" s="1080">
        <f t="shared" si="437"/>
        <v>0</v>
      </c>
      <c r="BB406" s="1080">
        <f>IF(AND(RACE=1,'Main Creation Page'!$E$6="Well",OR(ISNUMBER(FIND(Experience!$G$11,BE406)),ISNUMBER(FIND(Experience!$G$11,BF406)),ISNUMBER(FIND(Experience!$I$11,BE406)),ISNUMBER(FIND(Experience!$I$11,BF406)))),1,0)</f>
        <v>1</v>
      </c>
      <c r="BC406" s="1080" t="str">
        <f t="shared" si="438"/>
        <v>Foreign:Pacfin</v>
      </c>
      <c r="BD406" s="1080" t="s">
        <v>5691</v>
      </c>
      <c r="BE406" s="1080" t="str">
        <f t="shared" si="430"/>
        <v>Lore</v>
      </c>
      <c r="BF406" s="1080" t="str">
        <f t="shared" si="431"/>
        <v>Language Lore: Written</v>
      </c>
    </row>
    <row r="407" spans="1:58" ht="11.1" customHeight="1" outlineLevel="3">
      <c r="A407" s="1028" t="str">
        <f>IF('Main Creation Page'!$K$5=3,"Utan","Coptic")</f>
        <v>Utan</v>
      </c>
      <c r="B407" s="1094" t="s">
        <v>1942</v>
      </c>
      <c r="C407" s="1094"/>
      <c r="D407" s="1094"/>
      <c r="E407" s="1095" t="s">
        <v>5224</v>
      </c>
      <c r="F407" s="1095" t="s">
        <v>5224</v>
      </c>
      <c r="G407" s="1096" t="s">
        <v>3043</v>
      </c>
      <c r="H407" s="1096" t="s">
        <v>5224</v>
      </c>
      <c r="I407" s="1096" t="s">
        <v>5224</v>
      </c>
      <c r="J407" s="1096" t="s">
        <v>5224</v>
      </c>
      <c r="K407" s="1096" t="s">
        <v>5224</v>
      </c>
      <c r="L407" s="1096">
        <v>0</v>
      </c>
      <c r="M407" s="1096" t="s">
        <v>5224</v>
      </c>
      <c r="N407" s="1096" t="s">
        <v>4631</v>
      </c>
      <c r="O407" s="1113"/>
      <c r="P407" s="1113" t="s">
        <v>13</v>
      </c>
      <c r="S407" s="1113" t="s">
        <v>53</v>
      </c>
      <c r="T407" s="1113"/>
      <c r="U407" s="1027">
        <f>IF('Main Creation Page'!$K$5=3,4,2)</f>
        <v>4</v>
      </c>
      <c r="V407" s="1027">
        <f>IF((AP407+U407+VLOOKUP('Main Creation Page'!E$14,'System Lookups'!R$45:S$49,2))&gt;10,10,IF((AP407+U407+VLOOKUP('Main Creation Page'!E$14,'System Lookups'!R$45:S$49,2))&lt;1,1,(AP407+U407+VLOOKUP('Main Creation Page'!E$14,'System Lookups'!R$45:S$49,2))))</f>
        <v>5</v>
      </c>
      <c r="W407" s="1098" t="e">
        <f>IF(OR(I407&lt;&gt;"N",E407="C"),IF(AND(N407&lt;&gt;"T",ISNUMBER(FIND("V",I407))),1,0),NA())+IF(H407="Y",IF(AND(N407="P",ISNUMBER(FIND("Z",I407))),2,1),0)+IF(J407="Y",1,0)+IF(K407="Y",3,0)+IF(BE407="Lore",L407*2+Experience!$D$25,0)+IF(M407="Y",1,0)</f>
        <v>#N/A</v>
      </c>
      <c r="X407" s="1099"/>
      <c r="Y407" s="1100">
        <f ca="1">IF(P407="NS",IFERROR(INDIRECT(S407),NA()),VLOOKUP(INDIRECT(P407)+INDIRECT(S407),'System Lookups'!$A$3:$D$146,2))</f>
        <v>0.08</v>
      </c>
      <c r="Z407" s="1100">
        <f t="shared" si="449"/>
        <v>0</v>
      </c>
      <c r="AA407" s="1101">
        <f ca="1">IF(ISNA(Y407),0,Y407)+Z407+IF('Main Creation Page'!AB$2=37,'Main Creation Page'!E$14/100,0)</f>
        <v>0.08</v>
      </c>
      <c r="AB407" s="1102">
        <f>VLOOKUP(V407,'System Lookups'!$J$55:$P$64,3)</f>
        <v>0.1</v>
      </c>
      <c r="AC407" s="1103">
        <f>VLOOKUP(V407,'System Lookups'!$J$55:$P$64,4)</f>
        <v>0.2</v>
      </c>
      <c r="AD407" s="1104">
        <f t="shared" si="439"/>
        <v>0</v>
      </c>
      <c r="AE407" s="1094">
        <f>(IF(AD407&gt;VLOOKUP(V407,'System Lookups'!$J$55:$P$63,6),(((AD407-VLOOKUP(V407,'System Lookups'!$J$55:$P$63,6))*100)/20),0))+AF407</f>
        <v>0</v>
      </c>
      <c r="AF407" s="1121"/>
      <c r="AG407" s="1092">
        <f t="shared" si="440"/>
        <v>0</v>
      </c>
      <c r="AH407" s="1092" t="str">
        <f>IF(X407&lt;=Experience!$R$15+1,"","*")</f>
        <v/>
      </c>
      <c r="AI407" s="1092"/>
      <c r="AJ407" s="1080">
        <f t="shared" si="441"/>
        <v>0</v>
      </c>
      <c r="AK407" s="1080">
        <f t="shared" si="450"/>
        <v>0</v>
      </c>
      <c r="AL407" s="1080">
        <f t="shared" si="443"/>
        <v>0</v>
      </c>
      <c r="AM407" s="1092">
        <f t="shared" si="451"/>
        <v>0</v>
      </c>
      <c r="AN407" s="1080">
        <f t="shared" si="452"/>
        <v>1</v>
      </c>
      <c r="AO407" s="1080">
        <f t="shared" si="446"/>
        <v>0</v>
      </c>
      <c r="AP407" s="1080">
        <f t="shared" si="447"/>
        <v>1</v>
      </c>
      <c r="AQ407" s="1027">
        <f>VLOOKUP(V407,'System Lookups'!$J$55:$P$64,7)</f>
        <v>700</v>
      </c>
      <c r="AR407" s="1080" t="str">
        <f ca="1">IF(AND(NOT(ISBLANK(AJ407)),ISNA(MATCH(ROW(),'System Lookups'!$C$526:$C$539,0))),"Y","N")</f>
        <v>Y</v>
      </c>
      <c r="AS407" s="1080">
        <f t="shared" si="448"/>
        <v>0</v>
      </c>
      <c r="AU407" s="1080" t="e">
        <f t="shared" si="432"/>
        <v>#N/A</v>
      </c>
      <c r="AV407" s="1080" t="str">
        <f t="shared" si="429"/>
        <v>T</v>
      </c>
      <c r="AW407" s="1080">
        <f t="shared" si="433"/>
        <v>0</v>
      </c>
      <c r="AX407" s="1080">
        <f t="shared" si="434"/>
        <v>0</v>
      </c>
      <c r="AY407" s="1080">
        <f t="shared" si="435"/>
        <v>0</v>
      </c>
      <c r="AZ407" s="1080">
        <f t="shared" si="436"/>
        <v>0</v>
      </c>
      <c r="BA407" s="1080">
        <f t="shared" si="437"/>
        <v>0</v>
      </c>
      <c r="BB407" s="1080">
        <f>IF(AND(RACE=1,'Main Creation Page'!$E$6="Well",OR(ISNUMBER(FIND(Experience!$G$11,BE407)),ISNUMBER(FIND(Experience!$G$11,BF407)),ISNUMBER(FIND(Experience!$I$11,BE407)),ISNUMBER(FIND(Experience!$I$11,BF407)))),1,0)</f>
        <v>1</v>
      </c>
      <c r="BC407" s="1080" t="str">
        <f t="shared" si="438"/>
        <v>Foreign:Utan</v>
      </c>
      <c r="BD407" s="1080" t="s">
        <v>5691</v>
      </c>
      <c r="BE407" s="1080" t="str">
        <f t="shared" si="430"/>
        <v>Lore</v>
      </c>
      <c r="BF407" s="1080" t="str">
        <f t="shared" si="431"/>
        <v>Language Lore: Written</v>
      </c>
    </row>
    <row r="408" spans="1:58" ht="11.1" customHeight="1" outlineLevel="3">
      <c r="A408" s="1028" t="str">
        <f>IF('Main Creation Page'!$K$5=3,"Kingdom","English")</f>
        <v>Kingdom</v>
      </c>
      <c r="B408" s="1094" t="s">
        <v>1942</v>
      </c>
      <c r="C408" s="1094"/>
      <c r="D408" s="1094"/>
      <c r="E408" s="1095" t="s">
        <v>5224</v>
      </c>
      <c r="F408" s="1095" t="s">
        <v>5224</v>
      </c>
      <c r="G408" s="1096" t="s">
        <v>3043</v>
      </c>
      <c r="H408" s="1096" t="s">
        <v>5224</v>
      </c>
      <c r="I408" s="1096" t="s">
        <v>5224</v>
      </c>
      <c r="J408" s="1096" t="s">
        <v>5224</v>
      </c>
      <c r="K408" s="1096" t="s">
        <v>5224</v>
      </c>
      <c r="L408" s="1096">
        <v>0</v>
      </c>
      <c r="M408" s="1096" t="s">
        <v>5224</v>
      </c>
      <c r="N408" s="1096" t="s">
        <v>4631</v>
      </c>
      <c r="O408" s="1113"/>
      <c r="P408" s="1113" t="s">
        <v>13</v>
      </c>
      <c r="S408" s="1113" t="s">
        <v>53</v>
      </c>
      <c r="T408" s="1113"/>
      <c r="U408" s="1027">
        <f>IF('Main Creation Page'!$K$5=3,4,2)</f>
        <v>4</v>
      </c>
      <c r="V408" s="1027">
        <f>IF((AP408+U408+VLOOKUP('Main Creation Page'!E$14,'System Lookups'!R$45:S$49,2))&gt;10,10,IF((AP408+U408+VLOOKUP('Main Creation Page'!E$14,'System Lookups'!R$45:S$49,2))&lt;1,1,(AP408+U408+VLOOKUP('Main Creation Page'!E$14,'System Lookups'!R$45:S$49,2))))</f>
        <v>5</v>
      </c>
      <c r="W408" s="1098" t="e">
        <f>IF(OR(I408&lt;&gt;"N",E408="C"),IF(AND(N408&lt;&gt;"T",ISNUMBER(FIND("V",I408))),1,0),NA())+IF(H408="Y",IF(AND(N408="P",ISNUMBER(FIND("Z",I408))),2,1),0)+IF(J408="Y",1,0)+IF(K408="Y",3,0)+IF(BE408="Lore",L408*2+Experience!$D$25,0)+IF(M408="Y",1,0)</f>
        <v>#N/A</v>
      </c>
      <c r="X408" s="1099"/>
      <c r="Y408" s="1100">
        <f ca="1">IF(P408="NS",IFERROR(INDIRECT(S408),NA()),VLOOKUP(INDIRECT(P408)+INDIRECT(S408),'System Lookups'!$A$3:$D$146,2))</f>
        <v>0.08</v>
      </c>
      <c r="Z408" s="1100">
        <f t="shared" si="449"/>
        <v>0</v>
      </c>
      <c r="AA408" s="1101">
        <f ca="1">IF(ISNA(Y408),0,Y408)+Z408+IF('Main Creation Page'!AB$2=37,'Main Creation Page'!E$14/100,0)</f>
        <v>0.08</v>
      </c>
      <c r="AB408" s="1102">
        <f>VLOOKUP(V408,'System Lookups'!$J$55:$P$64,3)</f>
        <v>0.1</v>
      </c>
      <c r="AC408" s="1103">
        <f>VLOOKUP(V408,'System Lookups'!$J$55:$P$64,4)</f>
        <v>0.2</v>
      </c>
      <c r="AD408" s="1104">
        <f t="shared" si="439"/>
        <v>0</v>
      </c>
      <c r="AE408" s="1094">
        <f>(IF(AD408&gt;VLOOKUP(V408,'System Lookups'!$J$55:$P$63,6),(((AD408-VLOOKUP(V408,'System Lookups'!$J$55:$P$63,6))*100)/20),0))+AF408</f>
        <v>0</v>
      </c>
      <c r="AF408" s="1121"/>
      <c r="AG408" s="1092">
        <f t="shared" si="440"/>
        <v>0</v>
      </c>
      <c r="AH408" s="1092" t="str">
        <f>IF(X408&lt;=Experience!$R$15+1,"","*")</f>
        <v/>
      </c>
      <c r="AI408" s="1092"/>
      <c r="AJ408" s="1080">
        <f t="shared" si="441"/>
        <v>0</v>
      </c>
      <c r="AK408" s="1080">
        <f t="shared" si="450"/>
        <v>0</v>
      </c>
      <c r="AL408" s="1080">
        <f t="shared" si="443"/>
        <v>0</v>
      </c>
      <c r="AM408" s="1092">
        <f t="shared" si="451"/>
        <v>0</v>
      </c>
      <c r="AN408" s="1080">
        <f t="shared" si="452"/>
        <v>1</v>
      </c>
      <c r="AO408" s="1080">
        <f t="shared" si="446"/>
        <v>0</v>
      </c>
      <c r="AP408" s="1080">
        <f t="shared" si="447"/>
        <v>1</v>
      </c>
      <c r="AQ408" s="1027">
        <f>VLOOKUP(V408,'System Lookups'!$J$55:$P$64,7)</f>
        <v>700</v>
      </c>
      <c r="AR408" s="1080" t="str">
        <f ca="1">IF(AND(NOT(ISBLANK(AJ408)),ISNA(MATCH(ROW(),'System Lookups'!$C$526:$C$539,0))),"Y","N")</f>
        <v>Y</v>
      </c>
      <c r="AS408" s="1080">
        <f t="shared" si="448"/>
        <v>0</v>
      </c>
      <c r="AU408" s="1080" t="e">
        <f t="shared" si="432"/>
        <v>#N/A</v>
      </c>
      <c r="AV408" s="1080" t="str">
        <f t="shared" si="429"/>
        <v>T</v>
      </c>
      <c r="AW408" s="1080">
        <f t="shared" si="433"/>
        <v>0</v>
      </c>
      <c r="AX408" s="1080">
        <f t="shared" si="434"/>
        <v>0</v>
      </c>
      <c r="AY408" s="1080">
        <f t="shared" si="435"/>
        <v>0</v>
      </c>
      <c r="AZ408" s="1080">
        <f t="shared" si="436"/>
        <v>0</v>
      </c>
      <c r="BA408" s="1080">
        <f t="shared" si="437"/>
        <v>0</v>
      </c>
      <c r="BB408" s="1080">
        <f>IF(AND(RACE=1,'Main Creation Page'!$E$6="Well",OR(ISNUMBER(FIND(Experience!$G$11,BE408)),ISNUMBER(FIND(Experience!$G$11,BF408)),ISNUMBER(FIND(Experience!$I$11,BE408)),ISNUMBER(FIND(Experience!$I$11,BF408)))),1,0)</f>
        <v>1</v>
      </c>
      <c r="BC408" s="1080" t="str">
        <f t="shared" si="438"/>
        <v>Foreign:Kingdom</v>
      </c>
      <c r="BD408" s="1080" t="s">
        <v>5691</v>
      </c>
      <c r="BE408" s="1080" t="str">
        <f t="shared" si="430"/>
        <v>Lore</v>
      </c>
      <c r="BF408" s="1080" t="str">
        <f t="shared" si="431"/>
        <v>Language Lore: Written</v>
      </c>
    </row>
    <row r="409" spans="1:58" ht="11.1" customHeight="1" outlineLevel="3">
      <c r="A409" s="1028" t="s">
        <v>1241</v>
      </c>
      <c r="B409" s="1094" t="s">
        <v>1942</v>
      </c>
      <c r="C409" s="1094"/>
      <c r="D409" s="1094"/>
      <c r="E409" s="1095" t="s">
        <v>5224</v>
      </c>
      <c r="F409" s="1095" t="s">
        <v>5224</v>
      </c>
      <c r="G409" s="1096" t="s">
        <v>3043</v>
      </c>
      <c r="H409" s="1096" t="s">
        <v>5224</v>
      </c>
      <c r="I409" s="1096" t="s">
        <v>5224</v>
      </c>
      <c r="J409" s="1096" t="s">
        <v>5224</v>
      </c>
      <c r="K409" s="1096" t="s">
        <v>5224</v>
      </c>
      <c r="L409" s="1096">
        <v>0</v>
      </c>
      <c r="M409" s="1096" t="s">
        <v>5224</v>
      </c>
      <c r="N409" s="1096" t="s">
        <v>4631</v>
      </c>
      <c r="O409" s="1113"/>
      <c r="P409" s="1113" t="s">
        <v>13</v>
      </c>
      <c r="S409" s="1113" t="s">
        <v>53</v>
      </c>
      <c r="T409" s="1113"/>
      <c r="U409" s="1027">
        <f>IF('Main Creation Page'!$K$5=3,4,2)</f>
        <v>4</v>
      </c>
      <c r="V409" s="1027">
        <f>IF((AP409+U409+VLOOKUP('Main Creation Page'!E$14,'System Lookups'!R$45:S$49,2))&gt;10,10,IF((AP409+U409+VLOOKUP('Main Creation Page'!E$14,'System Lookups'!R$45:S$49,2))&lt;1,1,(AP409+U409+VLOOKUP('Main Creation Page'!E$14,'System Lookups'!R$45:S$49,2))))</f>
        <v>5</v>
      </c>
      <c r="W409" s="1098" t="e">
        <f>IF(OR(I409&lt;&gt;"N",E409="C"),IF(AND(N409&lt;&gt;"T",ISNUMBER(FIND("V",I409))),1,0),NA())+IF(H409="Y",IF(AND(N409="P",ISNUMBER(FIND("Z",I409))),2,1),0)+IF(J409="Y",1,0)+IF(K409="Y",3,0)+IF(BE409="Lore",L409*2+Experience!$D$25,0)+IF(M409="Y",1,0)</f>
        <v>#N/A</v>
      </c>
      <c r="X409" s="1099"/>
      <c r="Y409" s="1100">
        <f ca="1">IF(P409="NS",IFERROR(INDIRECT(S409),NA()),VLOOKUP(INDIRECT(P409)+INDIRECT(S409),'System Lookups'!$A$3:$D$146,2))</f>
        <v>0.08</v>
      </c>
      <c r="Z409" s="1100">
        <f t="shared" si="449"/>
        <v>0</v>
      </c>
      <c r="AA409" s="1101">
        <f ca="1">IF(ISNA(Y409),0,Y409)+Z409+IF('Main Creation Page'!AB$2=37,'Main Creation Page'!E$14/100,0)</f>
        <v>0.08</v>
      </c>
      <c r="AB409" s="1102">
        <f>VLOOKUP(V409,'System Lookups'!$J$55:$P$64,3)</f>
        <v>0.1</v>
      </c>
      <c r="AC409" s="1103">
        <f>VLOOKUP(V409,'System Lookups'!$J$55:$P$64,4)</f>
        <v>0.2</v>
      </c>
      <c r="AD409" s="1104">
        <f t="shared" si="439"/>
        <v>0</v>
      </c>
      <c r="AE409" s="1094">
        <f>(IF(AD409&gt;VLOOKUP(V409,'System Lookups'!$J$55:$P$63,6),(((AD409-VLOOKUP(V409,'System Lookups'!$J$55:$P$63,6))*100)/20),0))+AF409</f>
        <v>0</v>
      </c>
      <c r="AF409" s="1121"/>
      <c r="AG409" s="1092">
        <f t="shared" si="440"/>
        <v>0</v>
      </c>
      <c r="AH409" s="1092" t="str">
        <f>IF(X409&lt;=Experience!$R$15+1,"","*")</f>
        <v/>
      </c>
      <c r="AI409" s="1092"/>
      <c r="AJ409" s="1080">
        <f t="shared" si="441"/>
        <v>0</v>
      </c>
      <c r="AK409" s="1080">
        <f t="shared" si="450"/>
        <v>0</v>
      </c>
      <c r="AL409" s="1080">
        <f t="shared" si="443"/>
        <v>0</v>
      </c>
      <c r="AM409" s="1092">
        <f t="shared" si="451"/>
        <v>0</v>
      </c>
      <c r="AN409" s="1080">
        <f t="shared" si="452"/>
        <v>1</v>
      </c>
      <c r="AO409" s="1080">
        <f t="shared" si="446"/>
        <v>0</v>
      </c>
      <c r="AP409" s="1080">
        <f t="shared" si="447"/>
        <v>1</v>
      </c>
      <c r="AQ409" s="1027">
        <f>VLOOKUP(V409,'System Lookups'!$J$55:$P$64,7)</f>
        <v>700</v>
      </c>
      <c r="AR409" s="1080" t="str">
        <f ca="1">IF(AND(NOT(ISBLANK(AJ409)),ISNA(MATCH(ROW(),'System Lookups'!$C$526:$C$539,0))),"Y","N")</f>
        <v>Y</v>
      </c>
      <c r="AS409" s="1080">
        <f t="shared" si="448"/>
        <v>0</v>
      </c>
      <c r="AU409" s="1080" t="e">
        <f t="shared" si="432"/>
        <v>#N/A</v>
      </c>
      <c r="AV409" s="1080" t="str">
        <f t="shared" si="429"/>
        <v>T</v>
      </c>
      <c r="AW409" s="1080">
        <f t="shared" si="433"/>
        <v>0</v>
      </c>
      <c r="AX409" s="1080">
        <f t="shared" si="434"/>
        <v>0</v>
      </c>
      <c r="AY409" s="1080">
        <f t="shared" si="435"/>
        <v>0</v>
      </c>
      <c r="AZ409" s="1080">
        <f t="shared" si="436"/>
        <v>0</v>
      </c>
      <c r="BA409" s="1080">
        <f t="shared" si="437"/>
        <v>0</v>
      </c>
      <c r="BB409" s="1080">
        <f>IF(AND(RACE=1,'Main Creation Page'!$E$6="Well",OR(ISNUMBER(FIND(Experience!$G$11,BE409)),ISNUMBER(FIND(Experience!$G$11,BF409)),ISNUMBER(FIND(Experience!$I$11,BE409)),ISNUMBER(FIND(Experience!$I$11,BF409)))),1,0)</f>
        <v>1</v>
      </c>
      <c r="BC409" s="1080" t="str">
        <f t="shared" si="438"/>
        <v>Foreign:Finnish</v>
      </c>
      <c r="BD409" s="1080" t="s">
        <v>5691</v>
      </c>
      <c r="BE409" s="1080" t="str">
        <f t="shared" si="430"/>
        <v>Lore</v>
      </c>
      <c r="BF409" s="1080" t="str">
        <f t="shared" si="431"/>
        <v>Language Lore: Written</v>
      </c>
    </row>
    <row r="410" spans="1:58" ht="11.1" customHeight="1" outlineLevel="3">
      <c r="A410" s="1028" t="str">
        <f>IF('Main Creation Page'!$K$5=3, "Larton","French")</f>
        <v>Larton</v>
      </c>
      <c r="B410" s="1094" t="s">
        <v>1942</v>
      </c>
      <c r="C410" s="1094"/>
      <c r="D410" s="1094"/>
      <c r="E410" s="1095" t="s">
        <v>5224</v>
      </c>
      <c r="F410" s="1095" t="s">
        <v>5224</v>
      </c>
      <c r="G410" s="1096" t="s">
        <v>3043</v>
      </c>
      <c r="H410" s="1096" t="s">
        <v>5224</v>
      </c>
      <c r="I410" s="1096" t="s">
        <v>5224</v>
      </c>
      <c r="J410" s="1096" t="s">
        <v>5224</v>
      </c>
      <c r="K410" s="1096" t="s">
        <v>5224</v>
      </c>
      <c r="L410" s="1096">
        <v>0</v>
      </c>
      <c r="M410" s="1096" t="s">
        <v>5224</v>
      </c>
      <c r="N410" s="1096" t="s">
        <v>4631</v>
      </c>
      <c r="O410" s="1113"/>
      <c r="P410" s="1113" t="s">
        <v>13</v>
      </c>
      <c r="S410" s="1113" t="s">
        <v>53</v>
      </c>
      <c r="T410" s="1113"/>
      <c r="U410" s="1027">
        <f>IF('Main Creation Page'!$K$5=3,4,2)</f>
        <v>4</v>
      </c>
      <c r="V410" s="1027">
        <f>IF((AP410+U410+VLOOKUP('Main Creation Page'!E$14,'System Lookups'!R$45:S$49,2))&gt;10,10,IF((AP410+U410+VLOOKUP('Main Creation Page'!E$14,'System Lookups'!R$45:S$49,2))&lt;1,1,(AP410+U410+VLOOKUP('Main Creation Page'!E$14,'System Lookups'!R$45:S$49,2))))</f>
        <v>5</v>
      </c>
      <c r="W410" s="1098" t="e">
        <f>IF(OR(I410&lt;&gt;"N",E410="C"),IF(AND(N410&lt;&gt;"T",ISNUMBER(FIND("V",I410))),1,0),NA())+IF(H410="Y",IF(AND(N410="P",ISNUMBER(FIND("Z",I410))),2,1),0)+IF(J410="Y",1,0)+IF(K410="Y",3,0)+IF(BE410="Lore",L410*2+Experience!$D$25,0)+IF(M410="Y",1,0)</f>
        <v>#N/A</v>
      </c>
      <c r="X410" s="1099"/>
      <c r="Y410" s="1100">
        <f ca="1">IF(P410="NS",IFERROR(INDIRECT(S410),NA()),VLOOKUP(INDIRECT(P410)+INDIRECT(S410),'System Lookups'!$A$3:$D$146,2))</f>
        <v>0.08</v>
      </c>
      <c r="Z410" s="1100">
        <f t="shared" si="449"/>
        <v>0</v>
      </c>
      <c r="AA410" s="1101">
        <f ca="1">IF(ISNA(Y410),0,Y410)+Z410+IF('Main Creation Page'!AB$2=37,'Main Creation Page'!E$14/100,0)</f>
        <v>0.08</v>
      </c>
      <c r="AB410" s="1102">
        <f>VLOOKUP(V410,'System Lookups'!$J$55:$P$64,3)</f>
        <v>0.1</v>
      </c>
      <c r="AC410" s="1103">
        <f>VLOOKUP(V410,'System Lookups'!$J$55:$P$64,4)</f>
        <v>0.2</v>
      </c>
      <c r="AD410" s="1104">
        <f t="shared" si="439"/>
        <v>0</v>
      </c>
      <c r="AE410" s="1094">
        <f>(IF(AD410&gt;VLOOKUP(V410,'System Lookups'!$J$55:$P$63,6),(((AD410-VLOOKUP(V410,'System Lookups'!$J$55:$P$63,6))*100)/20),0))+AF410</f>
        <v>0</v>
      </c>
      <c r="AF410" s="1121"/>
      <c r="AG410" s="1092">
        <f t="shared" si="440"/>
        <v>0</v>
      </c>
      <c r="AH410" s="1092" t="str">
        <f>IF(X410&lt;=Experience!$R$15+1,"","*")</f>
        <v/>
      </c>
      <c r="AI410" s="1092"/>
      <c r="AJ410" s="1080">
        <f t="shared" si="441"/>
        <v>0</v>
      </c>
      <c r="AK410" s="1080">
        <f t="shared" si="450"/>
        <v>0</v>
      </c>
      <c r="AL410" s="1080">
        <f t="shared" si="443"/>
        <v>0</v>
      </c>
      <c r="AM410" s="1092">
        <f t="shared" si="451"/>
        <v>0</v>
      </c>
      <c r="AN410" s="1080">
        <f t="shared" si="452"/>
        <v>1</v>
      </c>
      <c r="AO410" s="1080">
        <f t="shared" si="446"/>
        <v>0</v>
      </c>
      <c r="AP410" s="1080">
        <f t="shared" si="447"/>
        <v>1</v>
      </c>
      <c r="AQ410" s="1027">
        <f>VLOOKUP(V410,'System Lookups'!$J$55:$P$64,7)</f>
        <v>700</v>
      </c>
      <c r="AR410" s="1080" t="str">
        <f ca="1">IF(AND(NOT(ISBLANK(AJ410)),ISNA(MATCH(ROW(),'System Lookups'!$C$526:$C$539,0))),"Y","N")</f>
        <v>Y</v>
      </c>
      <c r="AS410" s="1080">
        <f t="shared" si="448"/>
        <v>0</v>
      </c>
      <c r="AU410" s="1080" t="e">
        <f t="shared" si="432"/>
        <v>#N/A</v>
      </c>
      <c r="AV410" s="1080" t="str">
        <f t="shared" si="429"/>
        <v>T</v>
      </c>
      <c r="AW410" s="1080">
        <f t="shared" si="433"/>
        <v>0</v>
      </c>
      <c r="AX410" s="1080">
        <f t="shared" si="434"/>
        <v>0</v>
      </c>
      <c r="AY410" s="1080">
        <f t="shared" si="435"/>
        <v>0</v>
      </c>
      <c r="AZ410" s="1080">
        <f t="shared" si="436"/>
        <v>0</v>
      </c>
      <c r="BA410" s="1080">
        <f t="shared" si="437"/>
        <v>0</v>
      </c>
      <c r="BB410" s="1080">
        <f>IF(AND(RACE=1,'Main Creation Page'!$E$6="Well",OR(ISNUMBER(FIND(Experience!$G$11,BE410)),ISNUMBER(FIND(Experience!$G$11,BF410)),ISNUMBER(FIND(Experience!$I$11,BE410)),ISNUMBER(FIND(Experience!$I$11,BF410)))),1,0)</f>
        <v>1</v>
      </c>
      <c r="BC410" s="1080" t="str">
        <f t="shared" si="438"/>
        <v>Foreign:Larton</v>
      </c>
      <c r="BD410" s="1080" t="s">
        <v>5691</v>
      </c>
      <c r="BE410" s="1080" t="str">
        <f t="shared" si="430"/>
        <v>Lore</v>
      </c>
      <c r="BF410" s="1080" t="str">
        <f t="shared" si="431"/>
        <v>Language Lore: Written</v>
      </c>
    </row>
    <row r="411" spans="1:58" ht="11.1" customHeight="1" outlineLevel="3">
      <c r="A411" s="1028" t="s">
        <v>3247</v>
      </c>
      <c r="B411" s="1094" t="s">
        <v>1942</v>
      </c>
      <c r="C411" s="1094"/>
      <c r="D411" s="1094"/>
      <c r="E411" s="1095" t="s">
        <v>5224</v>
      </c>
      <c r="F411" s="1095" t="s">
        <v>5224</v>
      </c>
      <c r="G411" s="1096" t="s">
        <v>3043</v>
      </c>
      <c r="H411" s="1096" t="s">
        <v>5224</v>
      </c>
      <c r="I411" s="1096" t="s">
        <v>5224</v>
      </c>
      <c r="J411" s="1096" t="s">
        <v>5224</v>
      </c>
      <c r="K411" s="1096" t="s">
        <v>5224</v>
      </c>
      <c r="L411" s="1096">
        <v>0</v>
      </c>
      <c r="M411" s="1096" t="s">
        <v>5224</v>
      </c>
      <c r="N411" s="1096" t="s">
        <v>4631</v>
      </c>
      <c r="O411" s="1113"/>
      <c r="P411" s="1113" t="s">
        <v>13</v>
      </c>
      <c r="S411" s="1113" t="s">
        <v>53</v>
      </c>
      <c r="T411" s="1113"/>
      <c r="U411" s="1027">
        <f>IF('Main Creation Page'!$K$5=3,4,2)</f>
        <v>4</v>
      </c>
      <c r="V411" s="1027">
        <f>IF((AP411+U411+VLOOKUP('Main Creation Page'!E$14,'System Lookups'!R$45:S$49,2))&gt;10,10,IF((AP411+U411+VLOOKUP('Main Creation Page'!E$14,'System Lookups'!R$45:S$49,2))&lt;1,1,(AP411+U411+VLOOKUP('Main Creation Page'!E$14,'System Lookups'!R$45:S$49,2))))</f>
        <v>5</v>
      </c>
      <c r="W411" s="1098" t="e">
        <f>IF(OR(I411&lt;&gt;"N",E411="C"),IF(AND(N411&lt;&gt;"T",ISNUMBER(FIND("V",I411))),1,0),NA())+IF(H411="Y",IF(AND(N411="P",ISNUMBER(FIND("Z",I411))),2,1),0)+IF(J411="Y",1,0)+IF(K411="Y",3,0)+IF(BE411="Lore",L411*2+Experience!$D$25,0)+IF(M411="Y",1,0)</f>
        <v>#N/A</v>
      </c>
      <c r="X411" s="1099"/>
      <c r="Y411" s="1100">
        <f ca="1">IF(P411="NS",IFERROR(INDIRECT(S411),NA()),VLOOKUP(INDIRECT(P411)+INDIRECT(S411),'System Lookups'!$A$3:$D$146,2))</f>
        <v>0.08</v>
      </c>
      <c r="Z411" s="1100">
        <f t="shared" si="449"/>
        <v>0</v>
      </c>
      <c r="AA411" s="1101">
        <f ca="1">IF(ISNA(Y411),0,Y411)+Z411+IF('Main Creation Page'!AB$2=37,'Main Creation Page'!E$14/100,0)</f>
        <v>0.08</v>
      </c>
      <c r="AB411" s="1102">
        <f>VLOOKUP(V411,'System Lookups'!$J$55:$P$64,3)</f>
        <v>0.1</v>
      </c>
      <c r="AC411" s="1103">
        <f>VLOOKUP(V411,'System Lookups'!$J$55:$P$64,4)</f>
        <v>0.2</v>
      </c>
      <c r="AD411" s="1104">
        <f t="shared" si="439"/>
        <v>0</v>
      </c>
      <c r="AE411" s="1094">
        <f>(IF(AD411&gt;VLOOKUP(V411,'System Lookups'!$J$55:$P$63,6),(((AD411-VLOOKUP(V411,'System Lookups'!$J$55:$P$63,6))*100)/20),0))+AF411</f>
        <v>0</v>
      </c>
      <c r="AF411" s="1121"/>
      <c r="AG411" s="1092">
        <f t="shared" si="440"/>
        <v>0</v>
      </c>
      <c r="AH411" s="1092" t="str">
        <f>IF(X411&lt;=Experience!$R$15+1,"","*")</f>
        <v/>
      </c>
      <c r="AI411" s="1092"/>
      <c r="AJ411" s="1080">
        <f t="shared" si="441"/>
        <v>0</v>
      </c>
      <c r="AK411" s="1080">
        <f t="shared" si="450"/>
        <v>0</v>
      </c>
      <c r="AL411" s="1080">
        <f t="shared" si="443"/>
        <v>0</v>
      </c>
      <c r="AM411" s="1092">
        <f t="shared" si="451"/>
        <v>0</v>
      </c>
      <c r="AN411" s="1080">
        <f t="shared" si="452"/>
        <v>1</v>
      </c>
      <c r="AO411" s="1080">
        <f t="shared" si="446"/>
        <v>0</v>
      </c>
      <c r="AP411" s="1080">
        <f t="shared" si="447"/>
        <v>1</v>
      </c>
      <c r="AQ411" s="1027">
        <f>VLOOKUP(V411,'System Lookups'!$J$55:$P$64,7)</f>
        <v>700</v>
      </c>
      <c r="AR411" s="1080" t="str">
        <f ca="1">IF(AND(NOT(ISBLANK(AJ411)),ISNA(MATCH(ROW(),'System Lookups'!$C$526:$C$539,0))),"Y","N")</f>
        <v>Y</v>
      </c>
      <c r="AS411" s="1080">
        <f t="shared" si="448"/>
        <v>0</v>
      </c>
      <c r="AU411" s="1080" t="e">
        <f t="shared" si="432"/>
        <v>#N/A</v>
      </c>
      <c r="AV411" s="1080" t="str">
        <f t="shared" si="429"/>
        <v>T</v>
      </c>
      <c r="AW411" s="1080">
        <f t="shared" si="433"/>
        <v>0</v>
      </c>
      <c r="AX411" s="1080">
        <f t="shared" si="434"/>
        <v>0</v>
      </c>
      <c r="AY411" s="1080">
        <f t="shared" si="435"/>
        <v>0</v>
      </c>
      <c r="AZ411" s="1080">
        <f t="shared" si="436"/>
        <v>0</v>
      </c>
      <c r="BA411" s="1080">
        <f t="shared" si="437"/>
        <v>0</v>
      </c>
      <c r="BB411" s="1080">
        <f>IF(AND(RACE=1,'Main Creation Page'!$E$6="Well",OR(ISNUMBER(FIND(Experience!$G$11,BE411)),ISNUMBER(FIND(Experience!$G$11,BF411)),ISNUMBER(FIND(Experience!$I$11,BE411)),ISNUMBER(FIND(Experience!$I$11,BF411)))),1,0)</f>
        <v>1</v>
      </c>
      <c r="BC411" s="1080" t="str">
        <f t="shared" si="438"/>
        <v>Foreign:Gaelic (Irish)</v>
      </c>
      <c r="BD411" s="1080" t="s">
        <v>5691</v>
      </c>
      <c r="BE411" s="1080" t="str">
        <f t="shared" si="430"/>
        <v>Lore</v>
      </c>
      <c r="BF411" s="1080" t="str">
        <f t="shared" si="431"/>
        <v>Language Lore: Written</v>
      </c>
    </row>
    <row r="412" spans="1:58" ht="11.1" customHeight="1" outlineLevel="3">
      <c r="A412" s="1028" t="s">
        <v>390</v>
      </c>
      <c r="B412" s="1094" t="s">
        <v>1942</v>
      </c>
      <c r="C412" s="1094"/>
      <c r="D412" s="1094"/>
      <c r="E412" s="1095" t="s">
        <v>5224</v>
      </c>
      <c r="F412" s="1095" t="s">
        <v>5224</v>
      </c>
      <c r="G412" s="1096" t="s">
        <v>3043</v>
      </c>
      <c r="H412" s="1096" t="s">
        <v>5224</v>
      </c>
      <c r="I412" s="1096" t="s">
        <v>5224</v>
      </c>
      <c r="J412" s="1096" t="s">
        <v>5224</v>
      </c>
      <c r="K412" s="1096" t="s">
        <v>5224</v>
      </c>
      <c r="L412" s="1096">
        <v>0</v>
      </c>
      <c r="M412" s="1096" t="s">
        <v>5224</v>
      </c>
      <c r="N412" s="1096" t="s">
        <v>4631</v>
      </c>
      <c r="O412" s="1113"/>
      <c r="P412" s="1113" t="s">
        <v>13</v>
      </c>
      <c r="S412" s="1113" t="s">
        <v>53</v>
      </c>
      <c r="T412" s="1113"/>
      <c r="U412" s="1027">
        <f>IF('Main Creation Page'!$K$5=3,4,2)</f>
        <v>4</v>
      </c>
      <c r="V412" s="1027">
        <f>IF((AP412+U412+VLOOKUP('Main Creation Page'!E$14,'System Lookups'!R$45:S$49,2))&gt;10,10,IF((AP412+U412+VLOOKUP('Main Creation Page'!E$14,'System Lookups'!R$45:S$49,2))&lt;1,1,(AP412+U412+VLOOKUP('Main Creation Page'!E$14,'System Lookups'!R$45:S$49,2))))</f>
        <v>5</v>
      </c>
      <c r="W412" s="1098" t="e">
        <f>IF(OR(I412&lt;&gt;"N",E412="C"),IF(AND(N412&lt;&gt;"T",ISNUMBER(FIND("V",I412))),1,0),NA())+IF(H412="Y",IF(AND(N412="P",ISNUMBER(FIND("Z",I412))),2,1),0)+IF(J412="Y",1,0)+IF(K412="Y",3,0)+IF(BE412="Lore",L412*2+Experience!$D$25,0)+IF(M412="Y",1,0)</f>
        <v>#N/A</v>
      </c>
      <c r="X412" s="1099"/>
      <c r="Y412" s="1100">
        <f ca="1">IF(P412="NS",IFERROR(INDIRECT(S412),NA()),VLOOKUP(INDIRECT(P412)+INDIRECT(S412),'System Lookups'!$A$3:$D$146,2))</f>
        <v>0.08</v>
      </c>
      <c r="Z412" s="1100">
        <f t="shared" si="449"/>
        <v>0</v>
      </c>
      <c r="AA412" s="1101">
        <f ca="1">IF(ISNA(Y412),0,Y412)+Z412+IF('Main Creation Page'!AB$2=37,'Main Creation Page'!E$14/100,0)</f>
        <v>0.08</v>
      </c>
      <c r="AB412" s="1102">
        <f>VLOOKUP(V412,'System Lookups'!$J$55:$P$64,3)</f>
        <v>0.1</v>
      </c>
      <c r="AC412" s="1103">
        <f>VLOOKUP(V412,'System Lookups'!$J$55:$P$64,4)</f>
        <v>0.2</v>
      </c>
      <c r="AD412" s="1104">
        <f t="shared" si="439"/>
        <v>0</v>
      </c>
      <c r="AE412" s="1094">
        <f>(IF(AD412&gt;VLOOKUP(V412,'System Lookups'!$J$55:$P$63,6),(((AD412-VLOOKUP(V412,'System Lookups'!$J$55:$P$63,6))*100)/20),0))+AF412</f>
        <v>0</v>
      </c>
      <c r="AF412" s="1121"/>
      <c r="AG412" s="1092">
        <f t="shared" si="440"/>
        <v>0</v>
      </c>
      <c r="AH412" s="1092" t="str">
        <f>IF(X412&lt;=Experience!$R$15+1,"","*")</f>
        <v/>
      </c>
      <c r="AI412" s="1092"/>
      <c r="AJ412" s="1080">
        <f t="shared" si="441"/>
        <v>0</v>
      </c>
      <c r="AK412" s="1080">
        <f t="shared" si="450"/>
        <v>0</v>
      </c>
      <c r="AL412" s="1080">
        <f t="shared" si="443"/>
        <v>0</v>
      </c>
      <c r="AM412" s="1092">
        <f t="shared" si="451"/>
        <v>0</v>
      </c>
      <c r="AN412" s="1080">
        <f t="shared" si="452"/>
        <v>1</v>
      </c>
      <c r="AO412" s="1080">
        <f t="shared" si="446"/>
        <v>0</v>
      </c>
      <c r="AP412" s="1080">
        <f t="shared" si="447"/>
        <v>1</v>
      </c>
      <c r="AQ412" s="1027">
        <f>VLOOKUP(V412,'System Lookups'!$J$55:$P$64,7)</f>
        <v>700</v>
      </c>
      <c r="AR412" s="1080" t="str">
        <f ca="1">IF(AND(NOT(ISBLANK(AJ412)),ISNA(MATCH(ROW(),'System Lookups'!$C$526:$C$539,0))),"Y","N")</f>
        <v>Y</v>
      </c>
      <c r="AS412" s="1080">
        <f t="shared" si="448"/>
        <v>0</v>
      </c>
      <c r="AU412" s="1080" t="e">
        <f t="shared" si="432"/>
        <v>#N/A</v>
      </c>
      <c r="AV412" s="1080" t="str">
        <f t="shared" si="429"/>
        <v>T</v>
      </c>
      <c r="AW412" s="1080">
        <f t="shared" si="433"/>
        <v>0</v>
      </c>
      <c r="AX412" s="1080">
        <f t="shared" si="434"/>
        <v>0</v>
      </c>
      <c r="AY412" s="1080">
        <f t="shared" si="435"/>
        <v>0</v>
      </c>
      <c r="AZ412" s="1080">
        <f t="shared" si="436"/>
        <v>0</v>
      </c>
      <c r="BA412" s="1080">
        <f t="shared" si="437"/>
        <v>0</v>
      </c>
      <c r="BB412" s="1080">
        <f>IF(AND(RACE=1,'Main Creation Page'!$E$6="Well",OR(ISNUMBER(FIND(Experience!$G$11,BE412)),ISNUMBER(FIND(Experience!$G$11,BF412)),ISNUMBER(FIND(Experience!$I$11,BE412)),ISNUMBER(FIND(Experience!$I$11,BF412)))),1,0)</f>
        <v>1</v>
      </c>
      <c r="BC412" s="1080" t="str">
        <f t="shared" si="438"/>
        <v>Foreign:Gaelic (Scots)</v>
      </c>
      <c r="BD412" s="1080" t="s">
        <v>5691</v>
      </c>
      <c r="BE412" s="1080" t="str">
        <f t="shared" si="430"/>
        <v>Lore</v>
      </c>
      <c r="BF412" s="1080" t="str">
        <f t="shared" si="431"/>
        <v>Language Lore: Written</v>
      </c>
    </row>
    <row r="413" spans="1:58" ht="11.1" customHeight="1" outlineLevel="3">
      <c r="A413" s="1028" t="str">
        <f>IF('Main Creation Page'!$K$5=3,"Highlands", "German (High)")</f>
        <v>Highlands</v>
      </c>
      <c r="B413" s="1094" t="s">
        <v>1942</v>
      </c>
      <c r="C413" s="1094"/>
      <c r="D413" s="1094"/>
      <c r="E413" s="1095" t="s">
        <v>5224</v>
      </c>
      <c r="F413" s="1095" t="s">
        <v>5224</v>
      </c>
      <c r="G413" s="1096" t="s">
        <v>3043</v>
      </c>
      <c r="H413" s="1096" t="s">
        <v>5224</v>
      </c>
      <c r="I413" s="1096" t="s">
        <v>5224</v>
      </c>
      <c r="J413" s="1096" t="s">
        <v>5224</v>
      </c>
      <c r="K413" s="1096" t="s">
        <v>5224</v>
      </c>
      <c r="L413" s="1096">
        <v>0</v>
      </c>
      <c r="M413" s="1096" t="s">
        <v>5224</v>
      </c>
      <c r="N413" s="1096" t="s">
        <v>4631</v>
      </c>
      <c r="O413" s="1113"/>
      <c r="P413" s="1113" t="s">
        <v>13</v>
      </c>
      <c r="S413" s="1113" t="s">
        <v>53</v>
      </c>
      <c r="T413" s="1113"/>
      <c r="U413" s="1027">
        <f>IF('Main Creation Page'!$K$5=3,4,2)</f>
        <v>4</v>
      </c>
      <c r="V413" s="1027">
        <f>IF((AP413+U413+VLOOKUP('Main Creation Page'!E$14,'System Lookups'!R$45:S$49,2))&gt;10,10,IF((AP413+U413+VLOOKUP('Main Creation Page'!E$14,'System Lookups'!R$45:S$49,2))&lt;1,1,(AP413+U413+VLOOKUP('Main Creation Page'!E$14,'System Lookups'!R$45:S$49,2))))</f>
        <v>5</v>
      </c>
      <c r="W413" s="1098" t="e">
        <f>IF(OR(I413&lt;&gt;"N",E413="C"),IF(AND(N413&lt;&gt;"T",ISNUMBER(FIND("V",I413))),1,0),NA())+IF(H413="Y",IF(AND(N413="P",ISNUMBER(FIND("Z",I413))),2,1),0)+IF(J413="Y",1,0)+IF(K413="Y",3,0)+IF(BE413="Lore",L413*2+Experience!$D$25,0)+IF(M413="Y",1,0)</f>
        <v>#N/A</v>
      </c>
      <c r="X413" s="1099"/>
      <c r="Y413" s="1100">
        <f ca="1">IF(P413="NS",IFERROR(INDIRECT(S413),NA()),VLOOKUP(INDIRECT(P413)+INDIRECT(S413),'System Lookups'!$A$3:$D$146,2))</f>
        <v>0.08</v>
      </c>
      <c r="Z413" s="1100">
        <f t="shared" si="449"/>
        <v>0</v>
      </c>
      <c r="AA413" s="1101">
        <f ca="1">IF(ISNA(Y413),0,Y413)+Z413+IF('Main Creation Page'!AB$2=37,'Main Creation Page'!E$14/100,0)</f>
        <v>0.08</v>
      </c>
      <c r="AB413" s="1102">
        <f>VLOOKUP(V413,'System Lookups'!$J$55:$P$64,3)</f>
        <v>0.1</v>
      </c>
      <c r="AC413" s="1103">
        <f>VLOOKUP(V413,'System Lookups'!$J$55:$P$64,4)</f>
        <v>0.2</v>
      </c>
      <c r="AD413" s="1104">
        <f t="shared" si="439"/>
        <v>0</v>
      </c>
      <c r="AE413" s="1094">
        <f>(IF(AD413&gt;VLOOKUP(V413,'System Lookups'!$J$55:$P$63,6),(((AD413-VLOOKUP(V413,'System Lookups'!$J$55:$P$63,6))*100)/20),0))+AF413</f>
        <v>0</v>
      </c>
      <c r="AF413" s="1121"/>
      <c r="AG413" s="1092">
        <f t="shared" si="440"/>
        <v>0</v>
      </c>
      <c r="AH413" s="1092" t="str">
        <f>IF(X413&lt;=Experience!$R$15+1,"","*")</f>
        <v/>
      </c>
      <c r="AI413" s="1092"/>
      <c r="AJ413" s="1080">
        <f t="shared" si="441"/>
        <v>0</v>
      </c>
      <c r="AK413" s="1080">
        <f t="shared" si="450"/>
        <v>0</v>
      </c>
      <c r="AL413" s="1080">
        <f t="shared" si="443"/>
        <v>0</v>
      </c>
      <c r="AM413" s="1092">
        <f t="shared" si="451"/>
        <v>0</v>
      </c>
      <c r="AN413" s="1080">
        <f t="shared" si="452"/>
        <v>1</v>
      </c>
      <c r="AO413" s="1080">
        <f t="shared" si="446"/>
        <v>0</v>
      </c>
      <c r="AP413" s="1080">
        <f t="shared" si="447"/>
        <v>1</v>
      </c>
      <c r="AQ413" s="1027">
        <f>VLOOKUP(V413,'System Lookups'!$J$55:$P$64,7)</f>
        <v>700</v>
      </c>
      <c r="AR413" s="1080" t="str">
        <f ca="1">IF(AND(NOT(ISBLANK(AJ413)),ISNA(MATCH(ROW(),'System Lookups'!$C$526:$C$539,0))),"Y","N")</f>
        <v>Y</v>
      </c>
      <c r="AS413" s="1080">
        <f t="shared" si="448"/>
        <v>0</v>
      </c>
      <c r="AU413" s="1080" t="e">
        <f t="shared" si="432"/>
        <v>#N/A</v>
      </c>
      <c r="AV413" s="1080" t="str">
        <f t="shared" si="429"/>
        <v>T</v>
      </c>
      <c r="AW413" s="1080">
        <f t="shared" si="433"/>
        <v>0</v>
      </c>
      <c r="AX413" s="1080">
        <f t="shared" si="434"/>
        <v>0</v>
      </c>
      <c r="AY413" s="1080">
        <f t="shared" si="435"/>
        <v>0</v>
      </c>
      <c r="AZ413" s="1080">
        <f t="shared" si="436"/>
        <v>0</v>
      </c>
      <c r="BA413" s="1080">
        <f t="shared" si="437"/>
        <v>0</v>
      </c>
      <c r="BB413" s="1080">
        <f>IF(AND(RACE=1,'Main Creation Page'!$E$6="Well",OR(ISNUMBER(FIND(Experience!$G$11,BE413)),ISNUMBER(FIND(Experience!$G$11,BF413)),ISNUMBER(FIND(Experience!$I$11,BE413)),ISNUMBER(FIND(Experience!$I$11,BF413)))),1,0)</f>
        <v>1</v>
      </c>
      <c r="BC413" s="1080" t="str">
        <f t="shared" si="438"/>
        <v>Foreign:Highlands</v>
      </c>
      <c r="BD413" s="1080" t="s">
        <v>5691</v>
      </c>
      <c r="BE413" s="1080" t="str">
        <f t="shared" si="430"/>
        <v>Lore</v>
      </c>
      <c r="BF413" s="1080" t="str">
        <f t="shared" si="431"/>
        <v>Language Lore: Written</v>
      </c>
    </row>
    <row r="414" spans="1:58" ht="11.1" customHeight="1" outlineLevel="3">
      <c r="A414" s="1028" t="str">
        <f>IF('Main Creation Page'!$K$5=3, "Lowlands","German (Low)")</f>
        <v>Lowlands</v>
      </c>
      <c r="B414" s="1094" t="s">
        <v>1942</v>
      </c>
      <c r="C414" s="1094"/>
      <c r="D414" s="1094"/>
      <c r="E414" s="1095" t="s">
        <v>5224</v>
      </c>
      <c r="F414" s="1095" t="s">
        <v>5224</v>
      </c>
      <c r="G414" s="1096" t="s">
        <v>3043</v>
      </c>
      <c r="H414" s="1096" t="s">
        <v>5224</v>
      </c>
      <c r="I414" s="1096" t="s">
        <v>5224</v>
      </c>
      <c r="J414" s="1096" t="s">
        <v>5224</v>
      </c>
      <c r="K414" s="1096" t="s">
        <v>5224</v>
      </c>
      <c r="L414" s="1096">
        <v>0</v>
      </c>
      <c r="M414" s="1096" t="s">
        <v>5224</v>
      </c>
      <c r="N414" s="1096" t="s">
        <v>4631</v>
      </c>
      <c r="O414" s="1113"/>
      <c r="P414" s="1113" t="s">
        <v>13</v>
      </c>
      <c r="S414" s="1113" t="s">
        <v>53</v>
      </c>
      <c r="T414" s="1113"/>
      <c r="U414" s="1027">
        <f>IF('Main Creation Page'!$K$5=3,4,2)</f>
        <v>4</v>
      </c>
      <c r="V414" s="1027">
        <f>IF((AP414+U414+VLOOKUP('Main Creation Page'!E$14,'System Lookups'!R$45:S$49,2))&gt;10,10,IF((AP414+U414+VLOOKUP('Main Creation Page'!E$14,'System Lookups'!R$45:S$49,2))&lt;1,1,(AP414+U414+VLOOKUP('Main Creation Page'!E$14,'System Lookups'!R$45:S$49,2))))</f>
        <v>5</v>
      </c>
      <c r="W414" s="1098" t="e">
        <f>IF(OR(I414&lt;&gt;"N",E414="C"),IF(AND(N414&lt;&gt;"T",ISNUMBER(FIND("V",I414))),1,0),NA())+IF(H414="Y",IF(AND(N414="P",ISNUMBER(FIND("Z",I414))),2,1),0)+IF(J414="Y",1,0)+IF(K414="Y",3,0)+IF(BE414="Lore",L414*2+Experience!$D$25,0)+IF(M414="Y",1,0)</f>
        <v>#N/A</v>
      </c>
      <c r="X414" s="1099"/>
      <c r="Y414" s="1100">
        <f ca="1">IF(P414="NS",IFERROR(INDIRECT(S414),NA()),VLOOKUP(INDIRECT(P414)+INDIRECT(S414),'System Lookups'!$A$3:$D$146,2))</f>
        <v>0.08</v>
      </c>
      <c r="Z414" s="1100">
        <f t="shared" si="449"/>
        <v>0</v>
      </c>
      <c r="AA414" s="1101">
        <f ca="1">IF(ISNA(Y414),0,Y414)+Z414+IF('Main Creation Page'!AB$2=37,'Main Creation Page'!E$14/100,0)</f>
        <v>0.08</v>
      </c>
      <c r="AB414" s="1102">
        <f>VLOOKUP(V414,'System Lookups'!$J$55:$P$64,3)</f>
        <v>0.1</v>
      </c>
      <c r="AC414" s="1103">
        <f>VLOOKUP(V414,'System Lookups'!$J$55:$P$64,4)</f>
        <v>0.2</v>
      </c>
      <c r="AD414" s="1104">
        <f t="shared" si="439"/>
        <v>0</v>
      </c>
      <c r="AE414" s="1094">
        <f>(IF(AD414&gt;VLOOKUP(V414,'System Lookups'!$J$55:$P$63,6),(((AD414-VLOOKUP(V414,'System Lookups'!$J$55:$P$63,6))*100)/20),0))+AF414</f>
        <v>0</v>
      </c>
      <c r="AF414" s="1121"/>
      <c r="AG414" s="1092">
        <f t="shared" si="440"/>
        <v>0</v>
      </c>
      <c r="AH414" s="1092" t="str">
        <f>IF(X414&lt;=Experience!$R$15+1,"","*")</f>
        <v/>
      </c>
      <c r="AI414" s="1092"/>
      <c r="AJ414" s="1080">
        <f t="shared" si="441"/>
        <v>0</v>
      </c>
      <c r="AK414" s="1080">
        <f t="shared" si="450"/>
        <v>0</v>
      </c>
      <c r="AL414" s="1080">
        <f t="shared" si="443"/>
        <v>0</v>
      </c>
      <c r="AM414" s="1092">
        <f t="shared" si="451"/>
        <v>0</v>
      </c>
      <c r="AN414" s="1080">
        <f t="shared" si="452"/>
        <v>1</v>
      </c>
      <c r="AO414" s="1080">
        <f t="shared" si="446"/>
        <v>0</v>
      </c>
      <c r="AP414" s="1080">
        <f t="shared" si="447"/>
        <v>1</v>
      </c>
      <c r="AQ414" s="1027">
        <f>VLOOKUP(V414,'System Lookups'!$J$55:$P$64,7)</f>
        <v>700</v>
      </c>
      <c r="AR414" s="1080" t="str">
        <f ca="1">IF(AND(NOT(ISBLANK(AJ414)),ISNA(MATCH(ROW(),'System Lookups'!$C$526:$C$539,0))),"Y","N")</f>
        <v>Y</v>
      </c>
      <c r="AS414" s="1080">
        <f t="shared" si="448"/>
        <v>0</v>
      </c>
      <c r="AU414" s="1080" t="e">
        <f t="shared" si="432"/>
        <v>#N/A</v>
      </c>
      <c r="AV414" s="1080" t="str">
        <f t="shared" si="429"/>
        <v>T</v>
      </c>
      <c r="AW414" s="1080">
        <f t="shared" si="433"/>
        <v>0</v>
      </c>
      <c r="AX414" s="1080">
        <f t="shared" si="434"/>
        <v>0</v>
      </c>
      <c r="AY414" s="1080">
        <f t="shared" si="435"/>
        <v>0</v>
      </c>
      <c r="AZ414" s="1080">
        <f t="shared" si="436"/>
        <v>0</v>
      </c>
      <c r="BA414" s="1080">
        <f t="shared" si="437"/>
        <v>0</v>
      </c>
      <c r="BB414" s="1080">
        <f>IF(AND(RACE=1,'Main Creation Page'!$E$6="Well",OR(ISNUMBER(FIND(Experience!$G$11,BE414)),ISNUMBER(FIND(Experience!$G$11,BF414)),ISNUMBER(FIND(Experience!$I$11,BE414)),ISNUMBER(FIND(Experience!$I$11,BF414)))),1,0)</f>
        <v>1</v>
      </c>
      <c r="BC414" s="1080" t="str">
        <f t="shared" si="438"/>
        <v>Foreign:Lowlands</v>
      </c>
      <c r="BD414" s="1080" t="s">
        <v>5691</v>
      </c>
      <c r="BE414" s="1080" t="str">
        <f t="shared" si="430"/>
        <v>Lore</v>
      </c>
      <c r="BF414" s="1080" t="str">
        <f t="shared" si="431"/>
        <v>Language Lore: Written</v>
      </c>
    </row>
    <row r="415" spans="1:58" ht="11.1" customHeight="1" outlineLevel="3">
      <c r="A415" s="1028" t="s">
        <v>389</v>
      </c>
      <c r="B415" s="1094" t="s">
        <v>1942</v>
      </c>
      <c r="C415" s="1094"/>
      <c r="D415" s="1094"/>
      <c r="E415" s="1095" t="s">
        <v>5224</v>
      </c>
      <c r="F415" s="1095" t="s">
        <v>5224</v>
      </c>
      <c r="G415" s="1096" t="s">
        <v>3043</v>
      </c>
      <c r="H415" s="1096" t="s">
        <v>5224</v>
      </c>
      <c r="I415" s="1096" t="s">
        <v>5224</v>
      </c>
      <c r="J415" s="1096" t="s">
        <v>5224</v>
      </c>
      <c r="K415" s="1096" t="s">
        <v>5224</v>
      </c>
      <c r="L415" s="1096">
        <v>0</v>
      </c>
      <c r="M415" s="1096" t="s">
        <v>5224</v>
      </c>
      <c r="N415" s="1096" t="s">
        <v>4631</v>
      </c>
      <c r="O415" s="1113"/>
      <c r="P415" s="1113" t="s">
        <v>13</v>
      </c>
      <c r="S415" s="1113" t="s">
        <v>53</v>
      </c>
      <c r="T415" s="1113"/>
      <c r="U415" s="1027">
        <f>IF('Main Creation Page'!$K$5=3,4,2)</f>
        <v>4</v>
      </c>
      <c r="V415" s="1027">
        <f>IF((AP415+U415+VLOOKUP('Main Creation Page'!E$14,'System Lookups'!R$45:S$49,2))&gt;10,10,IF((AP415+U415+VLOOKUP('Main Creation Page'!E$14,'System Lookups'!R$45:S$49,2))&lt;1,1,(AP415+U415+VLOOKUP('Main Creation Page'!E$14,'System Lookups'!R$45:S$49,2))))</f>
        <v>5</v>
      </c>
      <c r="W415" s="1098" t="e">
        <f>IF(OR(I415&lt;&gt;"N",E415="C"),IF(AND(N415&lt;&gt;"T",ISNUMBER(FIND("V",I415))),1,0),NA())+IF(H415="Y",IF(AND(N415="P",ISNUMBER(FIND("Z",I415))),2,1),0)+IF(J415="Y",1,0)+IF(K415="Y",3,0)+IF(BE415="Lore",L415*2+Experience!$D$25,0)+IF(M415="Y",1,0)</f>
        <v>#N/A</v>
      </c>
      <c r="X415" s="1099"/>
      <c r="Y415" s="1100">
        <f ca="1">IF(P415="NS",IFERROR(INDIRECT(S415),NA()),VLOOKUP(INDIRECT(P415)+INDIRECT(S415),'System Lookups'!$A$3:$D$146,2))</f>
        <v>0.08</v>
      </c>
      <c r="Z415" s="1100">
        <f t="shared" si="449"/>
        <v>0</v>
      </c>
      <c r="AA415" s="1101">
        <f ca="1">IF(ISNA(Y415),0,Y415)+Z415+IF('Main Creation Page'!AB$2=37,'Main Creation Page'!E$14/100,0)</f>
        <v>0.08</v>
      </c>
      <c r="AB415" s="1102">
        <f>VLOOKUP(V415,'System Lookups'!$J$55:$P$64,3)</f>
        <v>0.1</v>
      </c>
      <c r="AC415" s="1103">
        <f>VLOOKUP(V415,'System Lookups'!$J$55:$P$64,4)</f>
        <v>0.2</v>
      </c>
      <c r="AD415" s="1104">
        <f t="shared" si="439"/>
        <v>0</v>
      </c>
      <c r="AE415" s="1094">
        <f>(IF(AD415&gt;VLOOKUP(V415,'System Lookups'!$J$55:$P$63,6),(((AD415-VLOOKUP(V415,'System Lookups'!$J$55:$P$63,6))*100)/20),0))+AF415</f>
        <v>0</v>
      </c>
      <c r="AF415" s="1121"/>
      <c r="AG415" s="1092">
        <f t="shared" si="440"/>
        <v>0</v>
      </c>
      <c r="AH415" s="1092" t="str">
        <f>IF(X415&lt;=Experience!$R$15+1,"","*")</f>
        <v/>
      </c>
      <c r="AI415" s="1092"/>
      <c r="AJ415" s="1080">
        <f t="shared" si="441"/>
        <v>0</v>
      </c>
      <c r="AK415" s="1080">
        <f t="shared" si="450"/>
        <v>0</v>
      </c>
      <c r="AL415" s="1080">
        <f t="shared" si="443"/>
        <v>0</v>
      </c>
      <c r="AM415" s="1092">
        <f t="shared" si="451"/>
        <v>0</v>
      </c>
      <c r="AN415" s="1080">
        <f t="shared" si="452"/>
        <v>1</v>
      </c>
      <c r="AO415" s="1080">
        <f t="shared" si="446"/>
        <v>0</v>
      </c>
      <c r="AP415" s="1080">
        <f t="shared" si="447"/>
        <v>1</v>
      </c>
      <c r="AQ415" s="1027">
        <f>VLOOKUP(V415,'System Lookups'!$J$55:$P$64,7)</f>
        <v>700</v>
      </c>
      <c r="AR415" s="1080" t="str">
        <f ca="1">IF(AND(NOT(ISBLANK(AJ415)),ISNA(MATCH(ROW(),'System Lookups'!$C$526:$C$539,0))),"Y","N")</f>
        <v>Y</v>
      </c>
      <c r="AS415" s="1080">
        <f t="shared" si="448"/>
        <v>0</v>
      </c>
      <c r="AU415" s="1080" t="e">
        <f t="shared" si="432"/>
        <v>#N/A</v>
      </c>
      <c r="AV415" s="1080" t="str">
        <f t="shared" si="429"/>
        <v>T</v>
      </c>
      <c r="AW415" s="1080">
        <f t="shared" si="433"/>
        <v>0</v>
      </c>
      <c r="AX415" s="1080">
        <f t="shared" si="434"/>
        <v>0</v>
      </c>
      <c r="AY415" s="1080">
        <f t="shared" si="435"/>
        <v>0</v>
      </c>
      <c r="AZ415" s="1080">
        <f t="shared" si="436"/>
        <v>0</v>
      </c>
      <c r="BA415" s="1080">
        <f t="shared" si="437"/>
        <v>0</v>
      </c>
      <c r="BB415" s="1080">
        <f>IF(AND(RACE=1,'Main Creation Page'!$E$6="Well",OR(ISNUMBER(FIND(Experience!$G$11,BE415)),ISNUMBER(FIND(Experience!$G$11,BF415)),ISNUMBER(FIND(Experience!$I$11,BE415)),ISNUMBER(FIND(Experience!$I$11,BF415)))),1,0)</f>
        <v>1</v>
      </c>
      <c r="BC415" s="1080" t="str">
        <f t="shared" si="438"/>
        <v>Foreign:German (Middle)</v>
      </c>
      <c r="BD415" s="1080" t="s">
        <v>5691</v>
      </c>
      <c r="BE415" s="1080" t="str">
        <f t="shared" si="430"/>
        <v>Lore</v>
      </c>
      <c r="BF415" s="1080" t="str">
        <f t="shared" si="431"/>
        <v>Language Lore: Written</v>
      </c>
    </row>
    <row r="416" spans="1:58" ht="11.1" customHeight="1" outlineLevel="3">
      <c r="A416" s="1028" t="s">
        <v>2368</v>
      </c>
      <c r="B416" s="1094" t="s">
        <v>1942</v>
      </c>
      <c r="C416" s="1094"/>
      <c r="D416" s="1094"/>
      <c r="E416" s="1095" t="s">
        <v>5224</v>
      </c>
      <c r="F416" s="1095" t="s">
        <v>5224</v>
      </c>
      <c r="G416" s="1096" t="s">
        <v>3043</v>
      </c>
      <c r="H416" s="1096" t="s">
        <v>5224</v>
      </c>
      <c r="I416" s="1096" t="s">
        <v>5224</v>
      </c>
      <c r="J416" s="1096" t="s">
        <v>5224</v>
      </c>
      <c r="K416" s="1096" t="s">
        <v>5224</v>
      </c>
      <c r="L416" s="1096">
        <v>0</v>
      </c>
      <c r="M416" s="1096" t="s">
        <v>5224</v>
      </c>
      <c r="N416" s="1096" t="s">
        <v>4631</v>
      </c>
      <c r="O416" s="1113"/>
      <c r="P416" s="1113" t="s">
        <v>13</v>
      </c>
      <c r="S416" s="1113" t="s">
        <v>53</v>
      </c>
      <c r="T416" s="1113"/>
      <c r="U416" s="1027">
        <f>IF('Main Creation Page'!$K$5=3,4,2)</f>
        <v>4</v>
      </c>
      <c r="V416" s="1027">
        <f>IF((AP416+U416+VLOOKUP('Main Creation Page'!E$14,'System Lookups'!R$45:S$49,2))&gt;10,10,IF((AP416+U416+VLOOKUP('Main Creation Page'!E$14,'System Lookups'!R$45:S$49,2))&lt;1,1,(AP416+U416+VLOOKUP('Main Creation Page'!E$14,'System Lookups'!R$45:S$49,2))))</f>
        <v>5</v>
      </c>
      <c r="W416" s="1098" t="e">
        <f>IF(OR(I416&lt;&gt;"N",E416="C"),IF(AND(N416&lt;&gt;"T",ISNUMBER(FIND("V",I416))),1,0),NA())+IF(H416="Y",IF(AND(N416="P",ISNUMBER(FIND("Z",I416))),2,1),0)+IF(J416="Y",1,0)+IF(K416="Y",3,0)+IF(BE416="Lore",L416*2+Experience!$D$25,0)+IF(M416="Y",1,0)</f>
        <v>#N/A</v>
      </c>
      <c r="X416" s="1099"/>
      <c r="Y416" s="1100">
        <f ca="1">IF(P416="NS",IFERROR(INDIRECT(S416),NA()),VLOOKUP(INDIRECT(P416)+INDIRECT(S416),'System Lookups'!$A$3:$D$146,2))</f>
        <v>0.08</v>
      </c>
      <c r="Z416" s="1100">
        <f t="shared" si="449"/>
        <v>0</v>
      </c>
      <c r="AA416" s="1101">
        <f ca="1">IF(ISNA(Y416),0,Y416)+Z416+IF('Main Creation Page'!AB$2=37,'Main Creation Page'!E$14/100,0)</f>
        <v>0.08</v>
      </c>
      <c r="AB416" s="1102">
        <f>VLOOKUP(V416,'System Lookups'!$J$55:$P$64,3)</f>
        <v>0.1</v>
      </c>
      <c r="AC416" s="1103">
        <f>VLOOKUP(V416,'System Lookups'!$J$55:$P$64,4)</f>
        <v>0.2</v>
      </c>
      <c r="AD416" s="1104">
        <f t="shared" si="439"/>
        <v>0</v>
      </c>
      <c r="AE416" s="1094">
        <f>(IF(AD416&gt;VLOOKUP(V416,'System Lookups'!$J$55:$P$63,6),(((AD416-VLOOKUP(V416,'System Lookups'!$J$55:$P$63,6))*100)/20),0))+AF416</f>
        <v>0</v>
      </c>
      <c r="AF416" s="1121"/>
      <c r="AG416" s="1092">
        <f t="shared" si="440"/>
        <v>0</v>
      </c>
      <c r="AH416" s="1092" t="str">
        <f>IF(X416&lt;=Experience!$R$15+1,"","*")</f>
        <v/>
      </c>
      <c r="AI416" s="1092"/>
      <c r="AJ416" s="1080">
        <f t="shared" si="441"/>
        <v>0</v>
      </c>
      <c r="AK416" s="1080">
        <f t="shared" si="450"/>
        <v>0</v>
      </c>
      <c r="AL416" s="1080">
        <f t="shared" si="443"/>
        <v>0</v>
      </c>
      <c r="AM416" s="1092">
        <f t="shared" si="451"/>
        <v>0</v>
      </c>
      <c r="AN416" s="1080">
        <f t="shared" si="452"/>
        <v>1</v>
      </c>
      <c r="AO416" s="1080">
        <f t="shared" si="446"/>
        <v>0</v>
      </c>
      <c r="AP416" s="1080">
        <f t="shared" si="447"/>
        <v>1</v>
      </c>
      <c r="AQ416" s="1027">
        <f>VLOOKUP(V416,'System Lookups'!$J$55:$P$64,7)</f>
        <v>700</v>
      </c>
      <c r="AR416" s="1080" t="str">
        <f ca="1">IF(AND(NOT(ISBLANK(AJ416)),ISNA(MATCH(ROW(),'System Lookups'!$C$526:$C$539,0))),"Y","N")</f>
        <v>Y</v>
      </c>
      <c r="AS416" s="1080">
        <f t="shared" si="448"/>
        <v>0</v>
      </c>
      <c r="AU416" s="1080" t="e">
        <f t="shared" si="432"/>
        <v>#N/A</v>
      </c>
      <c r="AV416" s="1080" t="str">
        <f t="shared" si="429"/>
        <v>T</v>
      </c>
      <c r="AW416" s="1080">
        <f t="shared" si="433"/>
        <v>0</v>
      </c>
      <c r="AX416" s="1080">
        <f t="shared" si="434"/>
        <v>0</v>
      </c>
      <c r="AY416" s="1080">
        <f t="shared" si="435"/>
        <v>0</v>
      </c>
      <c r="AZ416" s="1080">
        <f t="shared" si="436"/>
        <v>0</v>
      </c>
      <c r="BA416" s="1080">
        <f t="shared" si="437"/>
        <v>0</v>
      </c>
      <c r="BB416" s="1080">
        <f>IF(AND(RACE=1,'Main Creation Page'!$E$6="Well",OR(ISNUMBER(FIND(Experience!$G$11,BE416)),ISNUMBER(FIND(Experience!$G$11,BF416)),ISNUMBER(FIND(Experience!$I$11,BE416)),ISNUMBER(FIND(Experience!$I$11,BF416)))),1,0)</f>
        <v>1</v>
      </c>
      <c r="BC416" s="1080" t="str">
        <f t="shared" si="438"/>
        <v>Foreign:Greek (Medieval)</v>
      </c>
      <c r="BD416" s="1080" t="s">
        <v>5691</v>
      </c>
      <c r="BE416" s="1080" t="str">
        <f t="shared" si="430"/>
        <v>Lore</v>
      </c>
      <c r="BF416" s="1080" t="str">
        <f t="shared" si="431"/>
        <v>Language Lore: Written</v>
      </c>
    </row>
    <row r="417" spans="1:58" ht="11.1" customHeight="1" outlineLevel="3">
      <c r="A417" s="1028" t="s">
        <v>1239</v>
      </c>
      <c r="B417" s="1094" t="s">
        <v>1942</v>
      </c>
      <c r="C417" s="1094"/>
      <c r="D417" s="1094"/>
      <c r="E417" s="1095" t="s">
        <v>5224</v>
      </c>
      <c r="F417" s="1095" t="s">
        <v>5224</v>
      </c>
      <c r="G417" s="1096" t="s">
        <v>3043</v>
      </c>
      <c r="H417" s="1096" t="s">
        <v>5224</v>
      </c>
      <c r="I417" s="1096" t="s">
        <v>5224</v>
      </c>
      <c r="J417" s="1096" t="s">
        <v>5224</v>
      </c>
      <c r="K417" s="1096" t="s">
        <v>5224</v>
      </c>
      <c r="L417" s="1096">
        <v>0</v>
      </c>
      <c r="M417" s="1096" t="s">
        <v>5224</v>
      </c>
      <c r="N417" s="1096" t="s">
        <v>4631</v>
      </c>
      <c r="O417" s="1113"/>
      <c r="P417" s="1113" t="s">
        <v>13</v>
      </c>
      <c r="S417" s="1113" t="s">
        <v>53</v>
      </c>
      <c r="T417" s="1113"/>
      <c r="U417" s="1027">
        <f>IF('Main Creation Page'!$K$5=3,4,2)</f>
        <v>4</v>
      </c>
      <c r="V417" s="1027">
        <f>IF((AP417+U417+VLOOKUP('Main Creation Page'!E$14,'System Lookups'!R$45:S$49,2))&gt;10,10,IF((AP417+U417+VLOOKUP('Main Creation Page'!E$14,'System Lookups'!R$45:S$49,2))&lt;1,1,(AP417+U417+VLOOKUP('Main Creation Page'!E$14,'System Lookups'!R$45:S$49,2))))</f>
        <v>5</v>
      </c>
      <c r="W417" s="1098" t="e">
        <f>IF(OR(I417&lt;&gt;"N",E417="C"),IF(AND(N417&lt;&gt;"T",ISNUMBER(FIND("V",I417))),1,0),NA())+IF(H417="Y",IF(AND(N417="P",ISNUMBER(FIND("Z",I417))),2,1),0)+IF(J417="Y",1,0)+IF(K417="Y",3,0)+IF(BE417="Lore",L417*2+Experience!$D$25,0)+IF(M417="Y",1,0)</f>
        <v>#N/A</v>
      </c>
      <c r="X417" s="1099"/>
      <c r="Y417" s="1100">
        <f ca="1">IF(P417="NS",IFERROR(INDIRECT(S417),NA()),VLOOKUP(INDIRECT(P417)+INDIRECT(S417),'System Lookups'!$A$3:$D$146,2))</f>
        <v>0.08</v>
      </c>
      <c r="Z417" s="1100">
        <f t="shared" si="449"/>
        <v>0</v>
      </c>
      <c r="AA417" s="1101">
        <f ca="1">IF(ISNA(Y417),0,Y417)+Z417+IF('Main Creation Page'!AB$2=37,'Main Creation Page'!E$14/100,0)</f>
        <v>0.08</v>
      </c>
      <c r="AB417" s="1102">
        <f>VLOOKUP(V417,'System Lookups'!$J$55:$P$64,3)</f>
        <v>0.1</v>
      </c>
      <c r="AC417" s="1103">
        <f>VLOOKUP(V417,'System Lookups'!$J$55:$P$64,4)</f>
        <v>0.2</v>
      </c>
      <c r="AD417" s="1104">
        <f t="shared" si="439"/>
        <v>0</v>
      </c>
      <c r="AE417" s="1094">
        <f>(IF(AD417&gt;VLOOKUP(V417,'System Lookups'!$J$55:$P$63,6),(((AD417-VLOOKUP(V417,'System Lookups'!$J$55:$P$63,6))*100)/20),0))+AF417</f>
        <v>0</v>
      </c>
      <c r="AF417" s="1121"/>
      <c r="AG417" s="1092">
        <f t="shared" si="440"/>
        <v>0</v>
      </c>
      <c r="AH417" s="1092" t="str">
        <f>IF(X417&lt;=Experience!$R$15+1,"","*")</f>
        <v/>
      </c>
      <c r="AI417" s="1092"/>
      <c r="AJ417" s="1080">
        <f t="shared" si="441"/>
        <v>0</v>
      </c>
      <c r="AK417" s="1080">
        <f t="shared" si="450"/>
        <v>0</v>
      </c>
      <c r="AL417" s="1080">
        <f t="shared" si="443"/>
        <v>0</v>
      </c>
      <c r="AM417" s="1092">
        <f t="shared" si="451"/>
        <v>0</v>
      </c>
      <c r="AN417" s="1080">
        <f t="shared" si="452"/>
        <v>1</v>
      </c>
      <c r="AO417" s="1080">
        <f t="shared" si="446"/>
        <v>0</v>
      </c>
      <c r="AP417" s="1080">
        <f t="shared" si="447"/>
        <v>1</v>
      </c>
      <c r="AQ417" s="1027">
        <f>VLOOKUP(V417,'System Lookups'!$J$55:$P$64,7)</f>
        <v>700</v>
      </c>
      <c r="AR417" s="1080" t="str">
        <f ca="1">IF(AND(NOT(ISBLANK(AJ417)),ISNA(MATCH(ROW(),'System Lookups'!$C$526:$C$539,0))),"Y","N")</f>
        <v>Y</v>
      </c>
      <c r="AS417" s="1080">
        <f t="shared" si="448"/>
        <v>0</v>
      </c>
      <c r="AU417" s="1080" t="e">
        <f t="shared" si="432"/>
        <v>#N/A</v>
      </c>
      <c r="AV417" s="1080" t="str">
        <f t="shared" si="429"/>
        <v>T</v>
      </c>
      <c r="AW417" s="1080">
        <f t="shared" si="433"/>
        <v>0</v>
      </c>
      <c r="AX417" s="1080">
        <f t="shared" si="434"/>
        <v>0</v>
      </c>
      <c r="AY417" s="1080">
        <f t="shared" si="435"/>
        <v>0</v>
      </c>
      <c r="AZ417" s="1080">
        <f t="shared" si="436"/>
        <v>0</v>
      </c>
      <c r="BA417" s="1080">
        <f t="shared" si="437"/>
        <v>0</v>
      </c>
      <c r="BB417" s="1080">
        <f>IF(AND(RACE=1,'Main Creation Page'!$E$6="Well",OR(ISNUMBER(FIND(Experience!$G$11,BE417)),ISNUMBER(FIND(Experience!$G$11,BF417)),ISNUMBER(FIND(Experience!$I$11,BE417)),ISNUMBER(FIND(Experience!$I$11,BF417)))),1,0)</f>
        <v>1</v>
      </c>
      <c r="BC417" s="1080" t="str">
        <f t="shared" si="438"/>
        <v>Foreign:Italian</v>
      </c>
      <c r="BD417" s="1080" t="s">
        <v>5691</v>
      </c>
      <c r="BE417" s="1080" t="str">
        <f t="shared" si="430"/>
        <v>Lore</v>
      </c>
      <c r="BF417" s="1080" t="str">
        <f t="shared" si="431"/>
        <v>Language Lore: Written</v>
      </c>
    </row>
    <row r="418" spans="1:58" ht="11.1" customHeight="1" outlineLevel="3">
      <c r="A418" s="1028" t="s">
        <v>2867</v>
      </c>
      <c r="B418" s="1094" t="s">
        <v>1942</v>
      </c>
      <c r="C418" s="1094"/>
      <c r="D418" s="1094"/>
      <c r="E418" s="1095" t="s">
        <v>5224</v>
      </c>
      <c r="F418" s="1095" t="s">
        <v>5224</v>
      </c>
      <c r="G418" s="1096" t="s">
        <v>3043</v>
      </c>
      <c r="H418" s="1096" t="s">
        <v>5224</v>
      </c>
      <c r="I418" s="1096" t="s">
        <v>5224</v>
      </c>
      <c r="J418" s="1096" t="s">
        <v>5224</v>
      </c>
      <c r="K418" s="1096" t="s">
        <v>5224</v>
      </c>
      <c r="L418" s="1096">
        <v>0</v>
      </c>
      <c r="M418" s="1096" t="s">
        <v>5224</v>
      </c>
      <c r="N418" s="1096" t="s">
        <v>4631</v>
      </c>
      <c r="O418" s="1113"/>
      <c r="P418" s="1113" t="s">
        <v>13</v>
      </c>
      <c r="S418" s="1113" t="s">
        <v>53</v>
      </c>
      <c r="T418" s="1113"/>
      <c r="U418" s="1027">
        <f>IF('Main Creation Page'!$K$5=3,4,2)</f>
        <v>4</v>
      </c>
      <c r="V418" s="1027">
        <f>IF((AP418+U418+VLOOKUP('Main Creation Page'!E$14,'System Lookups'!R$45:S$49,2))&gt;10,10,IF((AP418+U418+VLOOKUP('Main Creation Page'!E$14,'System Lookups'!R$45:S$49,2))&lt;1,1,(AP418+U418+VLOOKUP('Main Creation Page'!E$14,'System Lookups'!R$45:S$49,2))))</f>
        <v>5</v>
      </c>
      <c r="W418" s="1098" t="e">
        <f>IF(OR(I418&lt;&gt;"N",E418="C"),IF(AND(N418&lt;&gt;"T",ISNUMBER(FIND("V",I418))),1,0),NA())+IF(H418="Y",IF(AND(N418="P",ISNUMBER(FIND("Z",I418))),2,1),0)+IF(J418="Y",1,0)+IF(K418="Y",3,0)+IF(BE418="Lore",L418*2+Experience!$D$25,0)+IF(M418="Y",1,0)</f>
        <v>#N/A</v>
      </c>
      <c r="X418" s="1099"/>
      <c r="Y418" s="1100">
        <f ca="1">IF(P418="NS",IFERROR(INDIRECT(S418),NA()),VLOOKUP(INDIRECT(P418)+INDIRECT(S418),'System Lookups'!$A$3:$D$146,2))</f>
        <v>0.08</v>
      </c>
      <c r="Z418" s="1100">
        <f t="shared" si="449"/>
        <v>0</v>
      </c>
      <c r="AA418" s="1101">
        <f ca="1">IF(ISNA(Y418),0,Y418)+Z418+IF('Main Creation Page'!AB$2=37,'Main Creation Page'!E$14/100,0)</f>
        <v>0.08</v>
      </c>
      <c r="AB418" s="1102">
        <f>VLOOKUP(V418,'System Lookups'!$J$55:$P$64,3)</f>
        <v>0.1</v>
      </c>
      <c r="AC418" s="1103">
        <f>VLOOKUP(V418,'System Lookups'!$J$55:$P$64,4)</f>
        <v>0.2</v>
      </c>
      <c r="AD418" s="1104">
        <f t="shared" si="439"/>
        <v>0</v>
      </c>
      <c r="AE418" s="1094">
        <f>(IF(AD418&gt;VLOOKUP(V418,'System Lookups'!$J$55:$P$63,6),(((AD418-VLOOKUP(V418,'System Lookups'!$J$55:$P$63,6))*100)/20),0))+AF418</f>
        <v>0</v>
      </c>
      <c r="AF418" s="1121"/>
      <c r="AG418" s="1092">
        <f t="shared" si="440"/>
        <v>0</v>
      </c>
      <c r="AH418" s="1092" t="str">
        <f>IF(X418&lt;=Experience!$R$15+1,"","*")</f>
        <v/>
      </c>
      <c r="AI418" s="1092"/>
      <c r="AJ418" s="1080">
        <f t="shared" si="441"/>
        <v>0</v>
      </c>
      <c r="AK418" s="1080">
        <f t="shared" si="450"/>
        <v>0</v>
      </c>
      <c r="AL418" s="1080">
        <f t="shared" si="443"/>
        <v>0</v>
      </c>
      <c r="AM418" s="1092">
        <f t="shared" si="451"/>
        <v>0</v>
      </c>
      <c r="AN418" s="1080">
        <f t="shared" si="452"/>
        <v>1</v>
      </c>
      <c r="AO418" s="1080">
        <f t="shared" si="446"/>
        <v>0</v>
      </c>
      <c r="AP418" s="1080">
        <f t="shared" si="447"/>
        <v>1</v>
      </c>
      <c r="AQ418" s="1027">
        <f>VLOOKUP(V418,'System Lookups'!$J$55:$P$64,7)</f>
        <v>700</v>
      </c>
      <c r="AR418" s="1080" t="str">
        <f ca="1">IF(AND(NOT(ISBLANK(AJ418)),ISNA(MATCH(ROW(),'System Lookups'!$C$526:$C$539,0))),"Y","N")</f>
        <v>Y</v>
      </c>
      <c r="AS418" s="1080">
        <f t="shared" si="448"/>
        <v>0</v>
      </c>
      <c r="AU418" s="1080" t="e">
        <f t="shared" si="432"/>
        <v>#N/A</v>
      </c>
      <c r="AV418" s="1080" t="str">
        <f t="shared" si="429"/>
        <v>T</v>
      </c>
      <c r="AW418" s="1080">
        <f t="shared" si="433"/>
        <v>0</v>
      </c>
      <c r="AX418" s="1080">
        <f t="shared" si="434"/>
        <v>0</v>
      </c>
      <c r="AY418" s="1080">
        <f t="shared" si="435"/>
        <v>0</v>
      </c>
      <c r="AZ418" s="1080">
        <f t="shared" si="436"/>
        <v>0</v>
      </c>
      <c r="BA418" s="1080">
        <f t="shared" si="437"/>
        <v>0</v>
      </c>
      <c r="BB418" s="1080">
        <f>IF(AND(RACE=1,'Main Creation Page'!$E$6="Well",OR(ISNUMBER(FIND(Experience!$G$11,BE418)),ISNUMBER(FIND(Experience!$G$11,BF418)),ISNUMBER(FIND(Experience!$I$11,BE418)),ISNUMBER(FIND(Experience!$I$11,BF418)))),1,0)</f>
        <v>1</v>
      </c>
      <c r="BC418" s="1080" t="str">
        <f t="shared" si="438"/>
        <v>Foreign:Japanese</v>
      </c>
      <c r="BD418" s="1080" t="s">
        <v>5691</v>
      </c>
      <c r="BE418" s="1080" t="str">
        <f t="shared" si="430"/>
        <v>Lore</v>
      </c>
      <c r="BF418" s="1080" t="str">
        <f t="shared" si="431"/>
        <v>Language Lore: Written</v>
      </c>
    </row>
    <row r="419" spans="1:58" ht="11.1" customHeight="1" outlineLevel="3">
      <c r="A419" s="1028" t="str">
        <f>IF('Main Creation Page'!$K$5=3, "Caben","Nordic")</f>
        <v>Caben</v>
      </c>
      <c r="B419" s="1094" t="s">
        <v>1942</v>
      </c>
      <c r="C419" s="1094"/>
      <c r="D419" s="1094"/>
      <c r="E419" s="1095" t="s">
        <v>5224</v>
      </c>
      <c r="F419" s="1095" t="s">
        <v>5224</v>
      </c>
      <c r="G419" s="1096" t="s">
        <v>3043</v>
      </c>
      <c r="H419" s="1096" t="s">
        <v>5224</v>
      </c>
      <c r="I419" s="1096" t="s">
        <v>5224</v>
      </c>
      <c r="J419" s="1096" t="s">
        <v>5224</v>
      </c>
      <c r="K419" s="1096" t="s">
        <v>5224</v>
      </c>
      <c r="L419" s="1096">
        <v>0</v>
      </c>
      <c r="M419" s="1096" t="s">
        <v>5224</v>
      </c>
      <c r="N419" s="1096" t="s">
        <v>4631</v>
      </c>
      <c r="O419" s="1113"/>
      <c r="P419" s="1113" t="s">
        <v>13</v>
      </c>
      <c r="S419" s="1113" t="s">
        <v>53</v>
      </c>
      <c r="T419" s="1113"/>
      <c r="U419" s="1027">
        <f>IF('Main Creation Page'!$K$5=3,4,2)</f>
        <v>4</v>
      </c>
      <c r="V419" s="1027">
        <f>IF((AP419+U419+VLOOKUP('Main Creation Page'!E$14,'System Lookups'!R$45:S$49,2))&gt;10,10,IF((AP419+U419+VLOOKUP('Main Creation Page'!E$14,'System Lookups'!R$45:S$49,2))&lt;1,1,(AP419+U419+VLOOKUP('Main Creation Page'!E$14,'System Lookups'!R$45:S$49,2))))</f>
        <v>5</v>
      </c>
      <c r="W419" s="1098" t="e">
        <f>IF(OR(I419&lt;&gt;"N",E419="C"),IF(AND(N419&lt;&gt;"T",ISNUMBER(FIND("V",I419))),1,0),NA())+IF(H419="Y",IF(AND(N419="P",ISNUMBER(FIND("Z",I419))),2,1),0)+IF(J419="Y",1,0)+IF(K419="Y",3,0)+IF(BE419="Lore",L419*2+Experience!$D$25,0)+IF(M419="Y",1,0)</f>
        <v>#N/A</v>
      </c>
      <c r="X419" s="1099"/>
      <c r="Y419" s="1100">
        <f ca="1">IF(P419="NS",IFERROR(INDIRECT(S419),NA()),VLOOKUP(INDIRECT(P419)+INDIRECT(S419),'System Lookups'!$A$3:$D$146,2))</f>
        <v>0.08</v>
      </c>
      <c r="Z419" s="1100">
        <f t="shared" si="449"/>
        <v>0</v>
      </c>
      <c r="AA419" s="1101">
        <f ca="1">IF(ISNA(Y419),0,Y419)+Z419+IF('Main Creation Page'!AB$2=37,'Main Creation Page'!E$14/100,0)</f>
        <v>0.08</v>
      </c>
      <c r="AB419" s="1102">
        <f>VLOOKUP(V419,'System Lookups'!$J$55:$P$64,3)</f>
        <v>0.1</v>
      </c>
      <c r="AC419" s="1103">
        <f>VLOOKUP(V419,'System Lookups'!$J$55:$P$64,4)</f>
        <v>0.2</v>
      </c>
      <c r="AD419" s="1104">
        <f t="shared" si="439"/>
        <v>0</v>
      </c>
      <c r="AE419" s="1094">
        <f>(IF(AD419&gt;VLOOKUP(V419,'System Lookups'!$J$55:$P$63,6),(((AD419-VLOOKUP(V419,'System Lookups'!$J$55:$P$63,6))*100)/20),0))+AF419</f>
        <v>0</v>
      </c>
      <c r="AF419" s="1121"/>
      <c r="AG419" s="1092">
        <f t="shared" si="440"/>
        <v>0</v>
      </c>
      <c r="AH419" s="1092" t="str">
        <f>IF(X419&lt;=Experience!$R$15+1,"","*")</f>
        <v/>
      </c>
      <c r="AI419" s="1092"/>
      <c r="AJ419" s="1080">
        <f t="shared" si="441"/>
        <v>0</v>
      </c>
      <c r="AK419" s="1080">
        <f t="shared" si="450"/>
        <v>0</v>
      </c>
      <c r="AL419" s="1080">
        <f t="shared" si="443"/>
        <v>0</v>
      </c>
      <c r="AM419" s="1092">
        <f t="shared" si="451"/>
        <v>0</v>
      </c>
      <c r="AN419" s="1080">
        <f t="shared" si="452"/>
        <v>1</v>
      </c>
      <c r="AO419" s="1080">
        <f t="shared" si="446"/>
        <v>0</v>
      </c>
      <c r="AP419" s="1080">
        <f t="shared" si="447"/>
        <v>1</v>
      </c>
      <c r="AQ419" s="1027">
        <f>VLOOKUP(V419,'System Lookups'!$J$55:$P$64,7)</f>
        <v>700</v>
      </c>
      <c r="AR419" s="1080" t="str">
        <f ca="1">IF(AND(NOT(ISBLANK(AJ419)),ISNA(MATCH(ROW(),'System Lookups'!$C$526:$C$539,0))),"Y","N")</f>
        <v>Y</v>
      </c>
      <c r="AS419" s="1080">
        <f t="shared" si="448"/>
        <v>0</v>
      </c>
      <c r="AU419" s="1080" t="e">
        <f t="shared" si="432"/>
        <v>#N/A</v>
      </c>
      <c r="AV419" s="1080" t="str">
        <f t="shared" si="429"/>
        <v>T</v>
      </c>
      <c r="AW419" s="1080">
        <f t="shared" si="433"/>
        <v>0</v>
      </c>
      <c r="AX419" s="1080">
        <f t="shared" si="434"/>
        <v>0</v>
      </c>
      <c r="AY419" s="1080">
        <f t="shared" si="435"/>
        <v>0</v>
      </c>
      <c r="AZ419" s="1080">
        <f t="shared" si="436"/>
        <v>0</v>
      </c>
      <c r="BA419" s="1080">
        <f t="shared" si="437"/>
        <v>0</v>
      </c>
      <c r="BB419" s="1080">
        <f>IF(AND(RACE=1,'Main Creation Page'!$E$6="Well",OR(ISNUMBER(FIND(Experience!$G$11,BE419)),ISNUMBER(FIND(Experience!$G$11,BF419)),ISNUMBER(FIND(Experience!$I$11,BE419)),ISNUMBER(FIND(Experience!$I$11,BF419)))),1,0)</f>
        <v>1</v>
      </c>
      <c r="BC419" s="1080" t="str">
        <f t="shared" si="438"/>
        <v>Foreign:Caben</v>
      </c>
      <c r="BD419" s="1080" t="s">
        <v>5691</v>
      </c>
      <c r="BE419" s="1080" t="str">
        <f t="shared" si="430"/>
        <v>Lore</v>
      </c>
      <c r="BF419" s="1080" t="str">
        <f t="shared" si="431"/>
        <v>Language Lore: Written</v>
      </c>
    </row>
    <row r="420" spans="1:58" ht="11.1" customHeight="1" outlineLevel="3">
      <c r="A420" s="1028" t="s">
        <v>2367</v>
      </c>
      <c r="B420" s="1094" t="s">
        <v>1942</v>
      </c>
      <c r="C420" s="1094"/>
      <c r="D420" s="1094"/>
      <c r="E420" s="1095" t="s">
        <v>5224</v>
      </c>
      <c r="F420" s="1095" t="s">
        <v>5224</v>
      </c>
      <c r="G420" s="1096" t="s">
        <v>3043</v>
      </c>
      <c r="H420" s="1096" t="s">
        <v>5224</v>
      </c>
      <c r="I420" s="1096" t="s">
        <v>5224</v>
      </c>
      <c r="J420" s="1096" t="s">
        <v>5224</v>
      </c>
      <c r="K420" s="1096" t="s">
        <v>5224</v>
      </c>
      <c r="L420" s="1096">
        <v>0</v>
      </c>
      <c r="M420" s="1096" t="s">
        <v>5224</v>
      </c>
      <c r="N420" s="1096" t="s">
        <v>4631</v>
      </c>
      <c r="O420" s="1113"/>
      <c r="P420" s="1113" t="s">
        <v>13</v>
      </c>
      <c r="S420" s="1113" t="s">
        <v>53</v>
      </c>
      <c r="T420" s="1113"/>
      <c r="U420" s="1027">
        <f>IF('Main Creation Page'!$K$5=3,4,2)</f>
        <v>4</v>
      </c>
      <c r="V420" s="1027">
        <f>IF((AP420+U420+VLOOKUP('Main Creation Page'!E$14,'System Lookups'!R$45:S$49,2))&gt;10,10,IF((AP420+U420+VLOOKUP('Main Creation Page'!E$14,'System Lookups'!R$45:S$49,2))&lt;1,1,(AP420+U420+VLOOKUP('Main Creation Page'!E$14,'System Lookups'!R$45:S$49,2))))</f>
        <v>5</v>
      </c>
      <c r="W420" s="1098" t="e">
        <f>IF(OR(I420&lt;&gt;"N",E420="C"),IF(AND(N420&lt;&gt;"T",ISNUMBER(FIND("V",I420))),1,0),NA())+IF(H420="Y",IF(AND(N420="P",ISNUMBER(FIND("Z",I420))),2,1),0)+IF(J420="Y",1,0)+IF(K420="Y",3,0)+IF(BE420="Lore",L420*2+Experience!$D$25,0)+IF(M420="Y",1,0)</f>
        <v>#N/A</v>
      </c>
      <c r="X420" s="1099"/>
      <c r="Y420" s="1100">
        <f ca="1">IF(P420="NS",IFERROR(INDIRECT(S420),NA()),VLOOKUP(INDIRECT(P420)+INDIRECT(S420),'System Lookups'!$A$3:$D$146,2))</f>
        <v>0.08</v>
      </c>
      <c r="Z420" s="1100">
        <f t="shared" si="449"/>
        <v>0</v>
      </c>
      <c r="AA420" s="1101">
        <f ca="1">IF(ISNA(Y420),0,Y420)+Z420+IF('Main Creation Page'!AB$2=37,'Main Creation Page'!E$14/100,0)</f>
        <v>0.08</v>
      </c>
      <c r="AB420" s="1102">
        <f>VLOOKUP(V420,'System Lookups'!$J$55:$P$64,3)</f>
        <v>0.1</v>
      </c>
      <c r="AC420" s="1103">
        <f>VLOOKUP(V420,'System Lookups'!$J$55:$P$64,4)</f>
        <v>0.2</v>
      </c>
      <c r="AD420" s="1104">
        <f t="shared" si="439"/>
        <v>0</v>
      </c>
      <c r="AE420" s="1094">
        <f>(IF(AD420&gt;VLOOKUP(V420,'System Lookups'!$J$55:$P$63,6),(((AD420-VLOOKUP(V420,'System Lookups'!$J$55:$P$63,6))*100)/20),0))+AF420</f>
        <v>0</v>
      </c>
      <c r="AF420" s="1121"/>
      <c r="AG420" s="1092">
        <f t="shared" si="440"/>
        <v>0</v>
      </c>
      <c r="AH420" s="1092" t="str">
        <f>IF(X420&lt;=Experience!$R$15+1,"","*")</f>
        <v/>
      </c>
      <c r="AI420" s="1092"/>
      <c r="AJ420" s="1080">
        <f t="shared" si="441"/>
        <v>0</v>
      </c>
      <c r="AK420" s="1080">
        <f t="shared" si="450"/>
        <v>0</v>
      </c>
      <c r="AL420" s="1080">
        <f t="shared" si="443"/>
        <v>0</v>
      </c>
      <c r="AM420" s="1092">
        <f t="shared" si="451"/>
        <v>0</v>
      </c>
      <c r="AN420" s="1080">
        <f t="shared" si="452"/>
        <v>1</v>
      </c>
      <c r="AO420" s="1080">
        <f t="shared" si="446"/>
        <v>0</v>
      </c>
      <c r="AP420" s="1080">
        <f t="shared" si="447"/>
        <v>1</v>
      </c>
      <c r="AQ420" s="1027">
        <f>VLOOKUP(V420,'System Lookups'!$J$55:$P$64,7)</f>
        <v>700</v>
      </c>
      <c r="AR420" s="1080" t="str">
        <f ca="1">IF(AND(NOT(ISBLANK(AJ420)),ISNA(MATCH(ROW(),'System Lookups'!$C$526:$C$539,0))),"Y","N")</f>
        <v>Y</v>
      </c>
      <c r="AS420" s="1080">
        <f t="shared" si="448"/>
        <v>0</v>
      </c>
      <c r="AU420" s="1080" t="e">
        <f t="shared" si="432"/>
        <v>#N/A</v>
      </c>
      <c r="AV420" s="1080" t="str">
        <f t="shared" si="429"/>
        <v>T</v>
      </c>
      <c r="AW420" s="1080">
        <f t="shared" si="433"/>
        <v>0</v>
      </c>
      <c r="AX420" s="1080">
        <f t="shared" si="434"/>
        <v>0</v>
      </c>
      <c r="AY420" s="1080">
        <f t="shared" si="435"/>
        <v>0</v>
      </c>
      <c r="AZ420" s="1080">
        <f t="shared" si="436"/>
        <v>0</v>
      </c>
      <c r="BA420" s="1080">
        <f t="shared" si="437"/>
        <v>0</v>
      </c>
      <c r="BB420" s="1080">
        <f>IF(AND(RACE=1,'Main Creation Page'!$E$6="Well",OR(ISNUMBER(FIND(Experience!$G$11,BE420)),ISNUMBER(FIND(Experience!$G$11,BF420)),ISNUMBER(FIND(Experience!$I$11,BE420)),ISNUMBER(FIND(Experience!$I$11,BF420)))),1,0)</f>
        <v>1</v>
      </c>
      <c r="BC420" s="1080" t="str">
        <f t="shared" si="438"/>
        <v>Foreign:Russian/Cyrillic</v>
      </c>
      <c r="BD420" s="1080" t="s">
        <v>5691</v>
      </c>
      <c r="BE420" s="1080" t="str">
        <f t="shared" si="430"/>
        <v>Lore</v>
      </c>
      <c r="BF420" s="1080" t="str">
        <f t="shared" si="431"/>
        <v>Language Lore: Written</v>
      </c>
    </row>
    <row r="421" spans="1:58" ht="11.1" customHeight="1" outlineLevel="3">
      <c r="A421" s="1028" t="s">
        <v>2868</v>
      </c>
      <c r="B421" s="1094" t="s">
        <v>1942</v>
      </c>
      <c r="C421" s="1094"/>
      <c r="D421" s="1094"/>
      <c r="E421" s="1095" t="s">
        <v>5224</v>
      </c>
      <c r="F421" s="1095" t="s">
        <v>5224</v>
      </c>
      <c r="G421" s="1096" t="s">
        <v>3043</v>
      </c>
      <c r="H421" s="1096" t="s">
        <v>5224</v>
      </c>
      <c r="I421" s="1096" t="s">
        <v>5224</v>
      </c>
      <c r="J421" s="1096" t="s">
        <v>5224</v>
      </c>
      <c r="K421" s="1096" t="s">
        <v>5224</v>
      </c>
      <c r="L421" s="1096">
        <v>0</v>
      </c>
      <c r="M421" s="1096" t="s">
        <v>5224</v>
      </c>
      <c r="N421" s="1096" t="s">
        <v>4631</v>
      </c>
      <c r="O421" s="1113"/>
      <c r="P421" s="1113" t="s">
        <v>13</v>
      </c>
      <c r="S421" s="1113" t="s">
        <v>53</v>
      </c>
      <c r="T421" s="1113"/>
      <c r="U421" s="1027">
        <f>IF('Main Creation Page'!$K$5=3,4,2)</f>
        <v>4</v>
      </c>
      <c r="V421" s="1027">
        <f>IF((AP421+U421+VLOOKUP('Main Creation Page'!E$14,'System Lookups'!R$45:S$49,2))&gt;10,10,IF((AP421+U421+VLOOKUP('Main Creation Page'!E$14,'System Lookups'!R$45:S$49,2))&lt;1,1,(AP421+U421+VLOOKUP('Main Creation Page'!E$14,'System Lookups'!R$45:S$49,2))))</f>
        <v>5</v>
      </c>
      <c r="W421" s="1098" t="e">
        <f>IF(OR(I421&lt;&gt;"N",E421="C"),IF(AND(N421&lt;&gt;"T",ISNUMBER(FIND("V",I421))),1,0),NA())+IF(H421="Y",IF(AND(N421="P",ISNUMBER(FIND("Z",I421))),2,1),0)+IF(J421="Y",1,0)+IF(K421="Y",3,0)+IF(BE421="Lore",L421*2+Experience!$D$25,0)+IF(M421="Y",1,0)</f>
        <v>#N/A</v>
      </c>
      <c r="X421" s="1099"/>
      <c r="Y421" s="1100">
        <f ca="1">IF(P421="NS",IFERROR(INDIRECT(S421),NA()),VLOOKUP(INDIRECT(P421)+INDIRECT(S421),'System Lookups'!$A$3:$D$146,2))</f>
        <v>0.08</v>
      </c>
      <c r="Z421" s="1100">
        <f t="shared" si="449"/>
        <v>0</v>
      </c>
      <c r="AA421" s="1101">
        <f ca="1">IF(ISNA(Y421),0,Y421)+Z421+IF('Main Creation Page'!AB$2=37,'Main Creation Page'!E$14/100,0)</f>
        <v>0.08</v>
      </c>
      <c r="AB421" s="1102">
        <f>VLOOKUP(V421,'System Lookups'!$J$55:$P$64,3)</f>
        <v>0.1</v>
      </c>
      <c r="AC421" s="1103">
        <f>VLOOKUP(V421,'System Lookups'!$J$55:$P$64,4)</f>
        <v>0.2</v>
      </c>
      <c r="AD421" s="1104">
        <f t="shared" si="439"/>
        <v>0</v>
      </c>
      <c r="AE421" s="1094">
        <f>(IF(AD421&gt;VLOOKUP(V421,'System Lookups'!$J$55:$P$63,6),(((AD421-VLOOKUP(V421,'System Lookups'!$J$55:$P$63,6))*100)/20),0))+AF421</f>
        <v>0</v>
      </c>
      <c r="AF421" s="1121"/>
      <c r="AG421" s="1092">
        <f t="shared" si="440"/>
        <v>0</v>
      </c>
      <c r="AH421" s="1092" t="str">
        <f>IF(X421&lt;=Experience!$R$15+1,"","*")</f>
        <v/>
      </c>
      <c r="AI421" s="1092"/>
      <c r="AJ421" s="1080">
        <f t="shared" si="441"/>
        <v>0</v>
      </c>
      <c r="AK421" s="1080">
        <f t="shared" si="450"/>
        <v>0</v>
      </c>
      <c r="AL421" s="1080">
        <f t="shared" si="443"/>
        <v>0</v>
      </c>
      <c r="AM421" s="1092">
        <f t="shared" si="451"/>
        <v>0</v>
      </c>
      <c r="AN421" s="1080">
        <f t="shared" si="452"/>
        <v>1</v>
      </c>
      <c r="AO421" s="1080">
        <f t="shared" si="446"/>
        <v>0</v>
      </c>
      <c r="AP421" s="1080">
        <f t="shared" si="447"/>
        <v>1</v>
      </c>
      <c r="AQ421" s="1027">
        <f>VLOOKUP(V421,'System Lookups'!$J$55:$P$64,7)</f>
        <v>700</v>
      </c>
      <c r="AR421" s="1080" t="str">
        <f ca="1">IF(AND(NOT(ISBLANK(AJ421)),ISNA(MATCH(ROW(),'System Lookups'!$C$526:$C$539,0))),"Y","N")</f>
        <v>Y</v>
      </c>
      <c r="AS421" s="1080">
        <f t="shared" si="448"/>
        <v>0</v>
      </c>
      <c r="AU421" s="1080" t="e">
        <f t="shared" si="432"/>
        <v>#N/A</v>
      </c>
      <c r="AV421" s="1080" t="str">
        <f t="shared" si="429"/>
        <v>T</v>
      </c>
      <c r="AW421" s="1080">
        <f t="shared" si="433"/>
        <v>0</v>
      </c>
      <c r="AX421" s="1080">
        <f t="shared" si="434"/>
        <v>0</v>
      </c>
      <c r="AY421" s="1080">
        <f t="shared" si="435"/>
        <v>0</v>
      </c>
      <c r="AZ421" s="1080">
        <f t="shared" si="436"/>
        <v>0</v>
      </c>
      <c r="BA421" s="1080">
        <f t="shared" si="437"/>
        <v>0</v>
      </c>
      <c r="BB421" s="1080">
        <f>IF(AND(RACE=1,'Main Creation Page'!$E$6="Well",OR(ISNUMBER(FIND(Experience!$G$11,BE421)),ISNUMBER(FIND(Experience!$G$11,BF421)),ISNUMBER(FIND(Experience!$I$11,BE421)),ISNUMBER(FIND(Experience!$I$11,BF421)))),1,0)</f>
        <v>1</v>
      </c>
      <c r="BC421" s="1080" t="str">
        <f t="shared" si="438"/>
        <v>Foreign:Sanskrit</v>
      </c>
      <c r="BD421" s="1080" t="s">
        <v>5691</v>
      </c>
      <c r="BE421" s="1080" t="str">
        <f t="shared" si="430"/>
        <v>Lore</v>
      </c>
      <c r="BF421" s="1080" t="str">
        <f t="shared" si="431"/>
        <v>Language Lore: Written</v>
      </c>
    </row>
    <row r="422" spans="1:58" ht="11.1" customHeight="1" outlineLevel="3">
      <c r="A422" s="1028" t="str">
        <f>IF('Main Creation Page'!$K$5=3, "Slaven","Slavonic")</f>
        <v>Slaven</v>
      </c>
      <c r="B422" s="1094" t="s">
        <v>1942</v>
      </c>
      <c r="C422" s="1094"/>
      <c r="D422" s="1094"/>
      <c r="E422" s="1095" t="s">
        <v>5224</v>
      </c>
      <c r="F422" s="1095" t="s">
        <v>5224</v>
      </c>
      <c r="G422" s="1096" t="s">
        <v>3043</v>
      </c>
      <c r="H422" s="1096" t="s">
        <v>5224</v>
      </c>
      <c r="I422" s="1096" t="s">
        <v>5224</v>
      </c>
      <c r="J422" s="1096" t="s">
        <v>5224</v>
      </c>
      <c r="K422" s="1096" t="s">
        <v>5224</v>
      </c>
      <c r="L422" s="1096">
        <v>0</v>
      </c>
      <c r="M422" s="1096" t="s">
        <v>5224</v>
      </c>
      <c r="N422" s="1096" t="s">
        <v>4631</v>
      </c>
      <c r="O422" s="1113"/>
      <c r="P422" s="1113" t="s">
        <v>13</v>
      </c>
      <c r="S422" s="1113" t="s">
        <v>53</v>
      </c>
      <c r="T422" s="1113"/>
      <c r="U422" s="1027">
        <f>IF('Main Creation Page'!$K$5=3,4,2)</f>
        <v>4</v>
      </c>
      <c r="V422" s="1027">
        <f>IF((AP422+U422+VLOOKUP('Main Creation Page'!E$14,'System Lookups'!R$45:S$49,2))&gt;10,10,IF((AP422+U422+VLOOKUP('Main Creation Page'!E$14,'System Lookups'!R$45:S$49,2))&lt;1,1,(AP422+U422+VLOOKUP('Main Creation Page'!E$14,'System Lookups'!R$45:S$49,2))))</f>
        <v>5</v>
      </c>
      <c r="W422" s="1098" t="e">
        <f>IF(OR(I422&lt;&gt;"N",E422="C"),IF(AND(N422&lt;&gt;"T",ISNUMBER(FIND("V",I422))),1,0),NA())+IF(H422="Y",IF(AND(N422="P",ISNUMBER(FIND("Z",I422))),2,1),0)+IF(J422="Y",1,0)+IF(K422="Y",3,0)+IF(BE422="Lore",L422*2+Experience!$D$25,0)+IF(M422="Y",1,0)</f>
        <v>#N/A</v>
      </c>
      <c r="X422" s="1099"/>
      <c r="Y422" s="1100">
        <f ca="1">IF(P422="NS",IFERROR(INDIRECT(S422),NA()),VLOOKUP(INDIRECT(P422)+INDIRECT(S422),'System Lookups'!$A$3:$D$146,2))</f>
        <v>0.08</v>
      </c>
      <c r="Z422" s="1100">
        <f t="shared" si="449"/>
        <v>0</v>
      </c>
      <c r="AA422" s="1101">
        <f ca="1">IF(ISNA(Y422),0,Y422)+Z422+IF('Main Creation Page'!AB$2=37,'Main Creation Page'!E$14/100,0)</f>
        <v>0.08</v>
      </c>
      <c r="AB422" s="1102">
        <f>VLOOKUP(V422,'System Lookups'!$J$55:$P$64,3)</f>
        <v>0.1</v>
      </c>
      <c r="AC422" s="1103">
        <f>VLOOKUP(V422,'System Lookups'!$J$55:$P$64,4)</f>
        <v>0.2</v>
      </c>
      <c r="AD422" s="1104">
        <f t="shared" si="439"/>
        <v>0</v>
      </c>
      <c r="AE422" s="1094">
        <f>(IF(AD422&gt;VLOOKUP(V422,'System Lookups'!$J$55:$P$63,6),(((AD422-VLOOKUP(V422,'System Lookups'!$J$55:$P$63,6))*100)/20),0))+AF422</f>
        <v>0</v>
      </c>
      <c r="AF422" s="1121"/>
      <c r="AG422" s="1092">
        <f t="shared" si="440"/>
        <v>0</v>
      </c>
      <c r="AH422" s="1092" t="str">
        <f>IF(X422&lt;=Experience!$R$15+1,"","*")</f>
        <v/>
      </c>
      <c r="AI422" s="1092"/>
      <c r="AJ422" s="1080">
        <f t="shared" si="441"/>
        <v>0</v>
      </c>
      <c r="AK422" s="1080">
        <f t="shared" si="450"/>
        <v>0</v>
      </c>
      <c r="AL422" s="1080">
        <f t="shared" si="443"/>
        <v>0</v>
      </c>
      <c r="AM422" s="1092">
        <f t="shared" si="451"/>
        <v>0</v>
      </c>
      <c r="AN422" s="1080">
        <f t="shared" si="452"/>
        <v>1</v>
      </c>
      <c r="AO422" s="1080">
        <f t="shared" si="446"/>
        <v>0</v>
      </c>
      <c r="AP422" s="1080">
        <f t="shared" si="447"/>
        <v>1</v>
      </c>
      <c r="AQ422" s="1027">
        <f>VLOOKUP(V422,'System Lookups'!$J$55:$P$64,7)</f>
        <v>700</v>
      </c>
      <c r="AR422" s="1080" t="str">
        <f ca="1">IF(AND(NOT(ISBLANK(AJ422)),ISNA(MATCH(ROW(),'System Lookups'!$C$526:$C$539,0))),"Y","N")</f>
        <v>Y</v>
      </c>
      <c r="AS422" s="1080">
        <f t="shared" si="448"/>
        <v>0</v>
      </c>
      <c r="AU422" s="1080" t="e">
        <f t="shared" si="432"/>
        <v>#N/A</v>
      </c>
      <c r="AV422" s="1080" t="str">
        <f t="shared" si="429"/>
        <v>T</v>
      </c>
      <c r="AW422" s="1080">
        <f t="shared" si="433"/>
        <v>0</v>
      </c>
      <c r="AX422" s="1080">
        <f t="shared" si="434"/>
        <v>0</v>
      </c>
      <c r="AY422" s="1080">
        <f t="shared" si="435"/>
        <v>0</v>
      </c>
      <c r="AZ422" s="1080">
        <f t="shared" si="436"/>
        <v>0</v>
      </c>
      <c r="BA422" s="1080">
        <f t="shared" si="437"/>
        <v>0</v>
      </c>
      <c r="BB422" s="1080">
        <f>IF(AND(RACE=1,'Main Creation Page'!$E$6="Well",OR(ISNUMBER(FIND(Experience!$G$11,BE422)),ISNUMBER(FIND(Experience!$G$11,BF422)),ISNUMBER(FIND(Experience!$I$11,BE422)),ISNUMBER(FIND(Experience!$I$11,BF422)))),1,0)</f>
        <v>1</v>
      </c>
      <c r="BC422" s="1080" t="str">
        <f t="shared" si="438"/>
        <v>Foreign:Slaven</v>
      </c>
      <c r="BD422" s="1080" t="s">
        <v>5691</v>
      </c>
      <c r="BE422" s="1080" t="str">
        <f t="shared" si="430"/>
        <v>Lore</v>
      </c>
      <c r="BF422" s="1080" t="str">
        <f t="shared" si="431"/>
        <v>Language Lore: Written</v>
      </c>
    </row>
    <row r="423" spans="1:58" ht="11.1" customHeight="1" outlineLevel="3">
      <c r="A423" s="1028" t="s">
        <v>1094</v>
      </c>
      <c r="B423" s="1094" t="s">
        <v>1942</v>
      </c>
      <c r="C423" s="1094"/>
      <c r="D423" s="1094"/>
      <c r="E423" s="1095" t="s">
        <v>5224</v>
      </c>
      <c r="F423" s="1095" t="s">
        <v>5224</v>
      </c>
      <c r="G423" s="1096" t="s">
        <v>3043</v>
      </c>
      <c r="H423" s="1096" t="s">
        <v>5224</v>
      </c>
      <c r="I423" s="1096" t="s">
        <v>5224</v>
      </c>
      <c r="J423" s="1096" t="s">
        <v>5224</v>
      </c>
      <c r="K423" s="1096" t="s">
        <v>5224</v>
      </c>
      <c r="L423" s="1096">
        <v>0</v>
      </c>
      <c r="M423" s="1096" t="s">
        <v>5224</v>
      </c>
      <c r="N423" s="1096" t="s">
        <v>4631</v>
      </c>
      <c r="O423" s="1113"/>
      <c r="P423" s="1113" t="s">
        <v>13</v>
      </c>
      <c r="S423" s="1113" t="s">
        <v>53</v>
      </c>
      <c r="T423" s="1113"/>
      <c r="U423" s="1027">
        <f>IF('Main Creation Page'!$K$5=3,4,2)</f>
        <v>4</v>
      </c>
      <c r="V423" s="1027">
        <f>IF((AP423+U423+VLOOKUP('Main Creation Page'!E$14,'System Lookups'!R$45:S$49,2))&gt;10,10,IF((AP423+U423+VLOOKUP('Main Creation Page'!E$14,'System Lookups'!R$45:S$49,2))&lt;1,1,(AP423+U423+VLOOKUP('Main Creation Page'!E$14,'System Lookups'!R$45:S$49,2))))</f>
        <v>5</v>
      </c>
      <c r="W423" s="1098" t="e">
        <f>IF(OR(I423&lt;&gt;"N",E423="C"),IF(AND(N423&lt;&gt;"T",ISNUMBER(FIND("V",I423))),1,0),NA())+IF(H423="Y",IF(AND(N423="P",ISNUMBER(FIND("Z",I423))),2,1),0)+IF(J423="Y",1,0)+IF(K423="Y",3,0)+IF(BE423="Lore",L423*2+Experience!$D$25,0)+IF(M423="Y",1,0)</f>
        <v>#N/A</v>
      </c>
      <c r="X423" s="1099"/>
      <c r="Y423" s="1100">
        <f ca="1">IF(P423="NS",IFERROR(INDIRECT(S423),NA()),VLOOKUP(INDIRECT(P423)+INDIRECT(S423),'System Lookups'!$A$3:$D$146,2))</f>
        <v>0.08</v>
      </c>
      <c r="Z423" s="1100">
        <f t="shared" si="449"/>
        <v>0</v>
      </c>
      <c r="AA423" s="1101">
        <f ca="1">IF(ISNA(Y423),0,Y423)+Z423+IF('Main Creation Page'!AB$2=37,'Main Creation Page'!E$14/100,0)</f>
        <v>0.08</v>
      </c>
      <c r="AB423" s="1102">
        <f>VLOOKUP(V423,'System Lookups'!$J$55:$P$64,3)</f>
        <v>0.1</v>
      </c>
      <c r="AC423" s="1103">
        <f>VLOOKUP(V423,'System Lookups'!$J$55:$P$64,4)</f>
        <v>0.2</v>
      </c>
      <c r="AD423" s="1104">
        <f t="shared" si="439"/>
        <v>0</v>
      </c>
      <c r="AE423" s="1094">
        <f>(IF(AD423&gt;VLOOKUP(V423,'System Lookups'!$J$55:$P$63,6),(((AD423-VLOOKUP(V423,'System Lookups'!$J$55:$P$63,6))*100)/20),0))+AF423</f>
        <v>0</v>
      </c>
      <c r="AF423" s="1121"/>
      <c r="AG423" s="1092">
        <f t="shared" si="440"/>
        <v>0</v>
      </c>
      <c r="AH423" s="1092" t="str">
        <f>IF(X423&lt;=Experience!$R$15+1,"","*")</f>
        <v/>
      </c>
      <c r="AI423" s="1092"/>
      <c r="AJ423" s="1080">
        <f t="shared" si="441"/>
        <v>0</v>
      </c>
      <c r="AK423" s="1080">
        <f t="shared" si="450"/>
        <v>0</v>
      </c>
      <c r="AL423" s="1080">
        <f t="shared" si="443"/>
        <v>0</v>
      </c>
      <c r="AM423" s="1092">
        <f t="shared" si="451"/>
        <v>0</v>
      </c>
      <c r="AN423" s="1080">
        <f t="shared" si="452"/>
        <v>1</v>
      </c>
      <c r="AO423" s="1080">
        <f t="shared" si="446"/>
        <v>0</v>
      </c>
      <c r="AP423" s="1080">
        <f t="shared" si="447"/>
        <v>1</v>
      </c>
      <c r="AQ423" s="1027">
        <f>VLOOKUP(V423,'System Lookups'!$J$55:$P$64,7)</f>
        <v>700</v>
      </c>
      <c r="AR423" s="1080" t="str">
        <f ca="1">IF(AND(NOT(ISBLANK(AJ423)),ISNA(MATCH(ROW(),'System Lookups'!$C$526:$C$539,0))),"Y","N")</f>
        <v>Y</v>
      </c>
      <c r="AS423" s="1080">
        <f t="shared" si="448"/>
        <v>0</v>
      </c>
      <c r="AU423" s="1080" t="e">
        <f t="shared" si="432"/>
        <v>#N/A</v>
      </c>
      <c r="AV423" s="1080" t="str">
        <f t="shared" si="429"/>
        <v>T</v>
      </c>
      <c r="AW423" s="1080">
        <f t="shared" si="433"/>
        <v>0</v>
      </c>
      <c r="AX423" s="1080">
        <f t="shared" si="434"/>
        <v>0</v>
      </c>
      <c r="AY423" s="1080">
        <f t="shared" si="435"/>
        <v>0</v>
      </c>
      <c r="AZ423" s="1080">
        <f t="shared" si="436"/>
        <v>0</v>
      </c>
      <c r="BA423" s="1080">
        <f t="shared" si="437"/>
        <v>0</v>
      </c>
      <c r="BB423" s="1080">
        <f>IF(AND(RACE=1,'Main Creation Page'!$E$6="Well",OR(ISNUMBER(FIND(Experience!$G$11,BE423)),ISNUMBER(FIND(Experience!$G$11,BF423)),ISNUMBER(FIND(Experience!$I$11,BE423)),ISNUMBER(FIND(Experience!$I$11,BF423)))),1,0)</f>
        <v>1</v>
      </c>
      <c r="BC423" s="1080" t="str">
        <f t="shared" si="438"/>
        <v>Foreign:Spanish</v>
      </c>
      <c r="BD423" s="1080" t="s">
        <v>5691</v>
      </c>
      <c r="BE423" s="1080" t="str">
        <f t="shared" si="430"/>
        <v>Lore</v>
      </c>
      <c r="BF423" s="1080" t="str">
        <f t="shared" si="431"/>
        <v>Language Lore: Written</v>
      </c>
    </row>
    <row r="424" spans="1:58" ht="11.1" customHeight="1" outlineLevel="3">
      <c r="A424" s="1028" t="str">
        <f>IF('Main Creation Page'!$K$5=3, "Telnar","Turkish")</f>
        <v>Telnar</v>
      </c>
      <c r="B424" s="1094" t="s">
        <v>1942</v>
      </c>
      <c r="C424" s="1094"/>
      <c r="D424" s="1094"/>
      <c r="E424" s="1095" t="s">
        <v>5224</v>
      </c>
      <c r="F424" s="1095" t="s">
        <v>5224</v>
      </c>
      <c r="G424" s="1096" t="s">
        <v>3043</v>
      </c>
      <c r="H424" s="1096" t="s">
        <v>5224</v>
      </c>
      <c r="I424" s="1096" t="s">
        <v>5224</v>
      </c>
      <c r="J424" s="1096" t="s">
        <v>5224</v>
      </c>
      <c r="K424" s="1096" t="s">
        <v>5224</v>
      </c>
      <c r="L424" s="1096">
        <v>0</v>
      </c>
      <c r="M424" s="1096" t="s">
        <v>5224</v>
      </c>
      <c r="N424" s="1096" t="s">
        <v>4631</v>
      </c>
      <c r="O424" s="1113"/>
      <c r="P424" s="1113" t="s">
        <v>13</v>
      </c>
      <c r="S424" s="1113" t="s">
        <v>53</v>
      </c>
      <c r="T424" s="1113"/>
      <c r="U424" s="1027">
        <f>IF('Main Creation Page'!$K$5=3,4,2)</f>
        <v>4</v>
      </c>
      <c r="V424" s="1027">
        <f>IF((AP424+U424+VLOOKUP('Main Creation Page'!E$14,'System Lookups'!R$45:S$49,2))&gt;10,10,IF((AP424+U424+VLOOKUP('Main Creation Page'!E$14,'System Lookups'!R$45:S$49,2))&lt;1,1,(AP424+U424+VLOOKUP('Main Creation Page'!E$14,'System Lookups'!R$45:S$49,2))))</f>
        <v>5</v>
      </c>
      <c r="W424" s="1098" t="e">
        <f>IF(OR(I424&lt;&gt;"N",E424="C"),IF(AND(N424&lt;&gt;"T",ISNUMBER(FIND("V",I424))),1,0),NA())+IF(H424="Y",IF(AND(N424="P",ISNUMBER(FIND("Z",I424))),2,1),0)+IF(J424="Y",1,0)+IF(K424="Y",3,0)+IF(BE424="Lore",L424*2+Experience!$D$25,0)+IF(M424="Y",1,0)</f>
        <v>#N/A</v>
      </c>
      <c r="X424" s="1099"/>
      <c r="Y424" s="1100">
        <f ca="1">IF(P424="NS",IFERROR(INDIRECT(S424),NA()),VLOOKUP(INDIRECT(P424)+INDIRECT(S424),'System Lookups'!$A$3:$D$146,2))</f>
        <v>0.08</v>
      </c>
      <c r="Z424" s="1100">
        <f t="shared" si="449"/>
        <v>0</v>
      </c>
      <c r="AA424" s="1101">
        <f ca="1">IF(ISNA(Y424),0,Y424)+Z424+IF('Main Creation Page'!AB$2=37,'Main Creation Page'!E$14/100,0)</f>
        <v>0.08</v>
      </c>
      <c r="AB424" s="1102">
        <f>VLOOKUP(V424,'System Lookups'!$J$55:$P$64,3)</f>
        <v>0.1</v>
      </c>
      <c r="AC424" s="1103">
        <f>VLOOKUP(V424,'System Lookups'!$J$55:$P$64,4)</f>
        <v>0.2</v>
      </c>
      <c r="AD424" s="1104">
        <f t="shared" si="439"/>
        <v>0</v>
      </c>
      <c r="AE424" s="1094">
        <f>(IF(AD424&gt;VLOOKUP(V424,'System Lookups'!$J$55:$P$63,6),(((AD424-VLOOKUP(V424,'System Lookups'!$J$55:$P$63,6))*100)/20),0))+AF424</f>
        <v>0</v>
      </c>
      <c r="AF424" s="1121"/>
      <c r="AG424" s="1092">
        <f t="shared" si="440"/>
        <v>0</v>
      </c>
      <c r="AH424" s="1092" t="str">
        <f>IF(X424&lt;=Experience!$R$15+1,"","*")</f>
        <v/>
      </c>
      <c r="AI424" s="1092"/>
      <c r="AJ424" s="1080">
        <f t="shared" si="441"/>
        <v>0</v>
      </c>
      <c r="AK424" s="1080">
        <f t="shared" si="450"/>
        <v>0</v>
      </c>
      <c r="AL424" s="1080">
        <f t="shared" si="443"/>
        <v>0</v>
      </c>
      <c r="AM424" s="1092">
        <f t="shared" si="451"/>
        <v>0</v>
      </c>
      <c r="AN424" s="1080">
        <f t="shared" si="452"/>
        <v>1</v>
      </c>
      <c r="AO424" s="1080">
        <f t="shared" si="446"/>
        <v>0</v>
      </c>
      <c r="AP424" s="1080">
        <f t="shared" si="447"/>
        <v>1</v>
      </c>
      <c r="AQ424" s="1027">
        <f>VLOOKUP(V424,'System Lookups'!$J$55:$P$64,7)</f>
        <v>700</v>
      </c>
      <c r="AR424" s="1080" t="str">
        <f ca="1">IF(AND(NOT(ISBLANK(AJ424)),ISNA(MATCH(ROW(),'System Lookups'!$C$526:$C$539,0))),"Y","N")</f>
        <v>Y</v>
      </c>
      <c r="AS424" s="1080">
        <f t="shared" si="448"/>
        <v>0</v>
      </c>
      <c r="AU424" s="1080" t="e">
        <f t="shared" si="432"/>
        <v>#N/A</v>
      </c>
      <c r="AV424" s="1080" t="str">
        <f t="shared" si="429"/>
        <v>T</v>
      </c>
      <c r="AW424" s="1080">
        <f t="shared" si="433"/>
        <v>0</v>
      </c>
      <c r="AX424" s="1080">
        <f t="shared" si="434"/>
        <v>0</v>
      </c>
      <c r="AY424" s="1080">
        <f t="shared" si="435"/>
        <v>0</v>
      </c>
      <c r="AZ424" s="1080">
        <f t="shared" si="436"/>
        <v>0</v>
      </c>
      <c r="BA424" s="1080">
        <f t="shared" si="437"/>
        <v>0</v>
      </c>
      <c r="BB424" s="1080">
        <f>IF(AND(RACE=1,'Main Creation Page'!$E$6="Well",OR(ISNUMBER(FIND(Experience!$G$11,BE424)),ISNUMBER(FIND(Experience!$G$11,BF424)),ISNUMBER(FIND(Experience!$I$11,BE424)),ISNUMBER(FIND(Experience!$I$11,BF424)))),1,0)</f>
        <v>1</v>
      </c>
      <c r="BC424" s="1080" t="str">
        <f t="shared" si="438"/>
        <v>Foreign:Telnar</v>
      </c>
      <c r="BD424" s="1080" t="s">
        <v>5691</v>
      </c>
      <c r="BE424" s="1080" t="str">
        <f t="shared" si="430"/>
        <v>Lore</v>
      </c>
      <c r="BF424" s="1080" t="str">
        <f t="shared" si="431"/>
        <v>Language Lore: Written</v>
      </c>
    </row>
    <row r="425" spans="1:58" ht="11.1" customHeight="1" outlineLevel="3">
      <c r="A425" s="1028" t="s">
        <v>1240</v>
      </c>
      <c r="B425" s="1094" t="s">
        <v>1942</v>
      </c>
      <c r="C425" s="1094"/>
      <c r="D425" s="1094"/>
      <c r="E425" s="1095" t="s">
        <v>5224</v>
      </c>
      <c r="F425" s="1095" t="s">
        <v>5224</v>
      </c>
      <c r="G425" s="1096" t="s">
        <v>3043</v>
      </c>
      <c r="H425" s="1096" t="s">
        <v>5224</v>
      </c>
      <c r="I425" s="1096" t="s">
        <v>5224</v>
      </c>
      <c r="J425" s="1096" t="s">
        <v>5224</v>
      </c>
      <c r="K425" s="1096" t="s">
        <v>5224</v>
      </c>
      <c r="L425" s="1096">
        <v>0</v>
      </c>
      <c r="M425" s="1096" t="s">
        <v>5224</v>
      </c>
      <c r="N425" s="1096" t="s">
        <v>4631</v>
      </c>
      <c r="O425" s="1113"/>
      <c r="P425" s="1113" t="s">
        <v>13</v>
      </c>
      <c r="S425" s="1113" t="s">
        <v>53</v>
      </c>
      <c r="T425" s="1113"/>
      <c r="U425" s="1027">
        <f>IF('Main Creation Page'!$K$5=3,4,2)</f>
        <v>4</v>
      </c>
      <c r="V425" s="1027">
        <f>IF((AP425+U425+VLOOKUP('Main Creation Page'!E$14,'System Lookups'!R$45:S$49,2))&gt;10,10,IF((AP425+U425+VLOOKUP('Main Creation Page'!E$14,'System Lookups'!R$45:S$49,2))&lt;1,1,(AP425+U425+VLOOKUP('Main Creation Page'!E$14,'System Lookups'!R$45:S$49,2))))</f>
        <v>5</v>
      </c>
      <c r="W425" s="1098" t="e">
        <f>IF(OR(I425&lt;&gt;"N",E425="C"),IF(AND(N425&lt;&gt;"T",ISNUMBER(FIND("V",I425))),1,0),NA())+IF(H425="Y",IF(AND(N425="P",ISNUMBER(FIND("Z",I425))),2,1),0)+IF(J425="Y",1,0)+IF(K425="Y",3,0)+IF(BE425="Lore",L425*2+Experience!$D$25,0)+IF(M425="Y",1,0)</f>
        <v>#N/A</v>
      </c>
      <c r="X425" s="1099"/>
      <c r="Y425" s="1100">
        <f ca="1">IF(P425="NS",IFERROR(INDIRECT(S425),NA()),VLOOKUP(INDIRECT(P425)+INDIRECT(S425),'System Lookups'!$A$3:$D$146,2))</f>
        <v>0.08</v>
      </c>
      <c r="Z425" s="1100">
        <f t="shared" si="449"/>
        <v>0</v>
      </c>
      <c r="AA425" s="1101">
        <f ca="1">IF(ISNA(Y425),0,Y425)+Z425+IF('Main Creation Page'!AB$2=37,'Main Creation Page'!E$14/100,0)</f>
        <v>0.08</v>
      </c>
      <c r="AB425" s="1102">
        <f>VLOOKUP(V425,'System Lookups'!$J$55:$P$64,3)</f>
        <v>0.1</v>
      </c>
      <c r="AC425" s="1103">
        <f>VLOOKUP(V425,'System Lookups'!$J$55:$P$64,4)</f>
        <v>0.2</v>
      </c>
      <c r="AD425" s="1104">
        <f t="shared" si="439"/>
        <v>0</v>
      </c>
      <c r="AE425" s="1094">
        <f>(IF(AD425&gt;VLOOKUP(V425,'System Lookups'!$J$55:$P$63,6),(((AD425-VLOOKUP(V425,'System Lookups'!$J$55:$P$63,6))*100)/20),0))+AF425</f>
        <v>0</v>
      </c>
      <c r="AF425" s="1121"/>
      <c r="AG425" s="1092">
        <f t="shared" si="440"/>
        <v>0</v>
      </c>
      <c r="AH425" s="1092" t="str">
        <f>IF(X425&lt;=Experience!$R$15+1,"","*")</f>
        <v/>
      </c>
      <c r="AI425" s="1092"/>
      <c r="AJ425" s="1080">
        <f t="shared" si="441"/>
        <v>0</v>
      </c>
      <c r="AK425" s="1080">
        <f t="shared" si="450"/>
        <v>0</v>
      </c>
      <c r="AL425" s="1080">
        <f t="shared" si="443"/>
        <v>0</v>
      </c>
      <c r="AM425" s="1092">
        <f t="shared" si="451"/>
        <v>0</v>
      </c>
      <c r="AN425" s="1080">
        <f t="shared" si="452"/>
        <v>1</v>
      </c>
      <c r="AO425" s="1080">
        <f t="shared" si="446"/>
        <v>0</v>
      </c>
      <c r="AP425" s="1080">
        <f t="shared" si="447"/>
        <v>1</v>
      </c>
      <c r="AQ425" s="1027">
        <f>VLOOKUP(V425,'System Lookups'!$J$55:$P$64,7)</f>
        <v>700</v>
      </c>
      <c r="AR425" s="1080" t="str">
        <f ca="1">IF(AND(NOT(ISBLANK(AJ425)),ISNA(MATCH(ROW(),'System Lookups'!$C$526:$C$539,0))),"Y","N")</f>
        <v>Y</v>
      </c>
      <c r="AS425" s="1080">
        <f t="shared" si="448"/>
        <v>0</v>
      </c>
      <c r="AU425" s="1080" t="e">
        <f t="shared" si="432"/>
        <v>#N/A</v>
      </c>
      <c r="AV425" s="1080" t="str">
        <f t="shared" si="429"/>
        <v>T</v>
      </c>
      <c r="AW425" s="1080">
        <f t="shared" si="433"/>
        <v>0</v>
      </c>
      <c r="AX425" s="1080">
        <f t="shared" si="434"/>
        <v>0</v>
      </c>
      <c r="AY425" s="1080">
        <f t="shared" si="435"/>
        <v>0</v>
      </c>
      <c r="AZ425" s="1080">
        <f t="shared" si="436"/>
        <v>0</v>
      </c>
      <c r="BA425" s="1080">
        <f t="shared" si="437"/>
        <v>0</v>
      </c>
      <c r="BB425" s="1080">
        <f>IF(AND(RACE=1,'Main Creation Page'!$E$6="Well",OR(ISNUMBER(FIND(Experience!$G$11,BE425)),ISNUMBER(FIND(Experience!$G$11,BF425)),ISNUMBER(FIND(Experience!$I$11,BE425)),ISNUMBER(FIND(Experience!$I$11,BF425)))),1,0)</f>
        <v>1</v>
      </c>
      <c r="BC425" s="1080" t="str">
        <f t="shared" si="438"/>
        <v>Foreign:Welsh</v>
      </c>
      <c r="BD425" s="1080" t="s">
        <v>5691</v>
      </c>
      <c r="BE425" s="1080" t="str">
        <f t="shared" si="430"/>
        <v>Lore</v>
      </c>
      <c r="BF425" s="1080" t="str">
        <f t="shared" si="431"/>
        <v>Language Lore: Written</v>
      </c>
    </row>
    <row r="426" spans="1:58" ht="11.1" customHeight="1" outlineLevel="3">
      <c r="A426" s="1140" t="s">
        <v>1516</v>
      </c>
      <c r="B426" s="1111"/>
      <c r="C426" s="1111"/>
      <c r="D426" s="1111"/>
      <c r="W426" s="1112"/>
      <c r="AE426" s="1034"/>
      <c r="AF426" s="1132"/>
      <c r="AI426" s="1092"/>
      <c r="AQ426" s="1027"/>
      <c r="AR426" s="1080" t="str">
        <f ca="1">IF(AND(NOT(ISBLANK(AJ426)),ISNA(MATCH(ROW(),'System Lookups'!$C$526:$C$539,0))),"Y","N")</f>
        <v>N</v>
      </c>
      <c r="AU426" s="1080" t="e">
        <f t="shared" si="432"/>
        <v>#N/A</v>
      </c>
      <c r="AV426" s="1080" t="str">
        <f t="shared" si="429"/>
        <v/>
      </c>
      <c r="AW426" s="1080">
        <f t="shared" si="433"/>
        <v>0</v>
      </c>
      <c r="AX426" s="1080">
        <f t="shared" si="434"/>
        <v>0</v>
      </c>
      <c r="AY426" s="1080">
        <f t="shared" si="435"/>
        <v>0</v>
      </c>
      <c r="AZ426" s="1080">
        <f t="shared" si="436"/>
        <v>0</v>
      </c>
      <c r="BA426" s="1080">
        <f t="shared" si="437"/>
        <v>0</v>
      </c>
      <c r="BB426" s="1080">
        <f>IF(AND(RACE=1,'Main Creation Page'!$E$6="Well",OR(ISNUMBER(FIND(Experience!$G$11,BE426)),ISNUMBER(FIND(Experience!$G$11,BF426)),ISNUMBER(FIND(Experience!$I$11,BE426)),ISNUMBER(FIND(Experience!$I$11,BF426)))),1,0)</f>
        <v>1</v>
      </c>
      <c r="BC426" s="1080" t="e">
        <f t="shared" si="438"/>
        <v>#N/A</v>
      </c>
      <c r="BD426" s="1080" t="s">
        <v>5691</v>
      </c>
      <c r="BE426" s="1080" t="str">
        <f t="shared" si="430"/>
        <v>Lore</v>
      </c>
      <c r="BF426" s="1080" t="str">
        <f t="shared" si="431"/>
        <v>Language Lore: Written</v>
      </c>
    </row>
    <row r="427" spans="1:58" ht="11.1" customHeight="1" outlineLevel="2">
      <c r="A427" s="1028" t="s">
        <v>950</v>
      </c>
      <c r="B427" s="1094" t="s">
        <v>1942</v>
      </c>
      <c r="C427" s="1094"/>
      <c r="D427" s="1094"/>
      <c r="E427" s="1095" t="s">
        <v>5224</v>
      </c>
      <c r="F427" s="1095" t="s">
        <v>5224</v>
      </c>
      <c r="G427" s="1096">
        <v>0</v>
      </c>
      <c r="H427" s="1096" t="s">
        <v>5224</v>
      </c>
      <c r="I427" s="1096" t="s">
        <v>5224</v>
      </c>
      <c r="J427" s="1096" t="s">
        <v>5224</v>
      </c>
      <c r="K427" s="1096" t="s">
        <v>5224</v>
      </c>
      <c r="L427" s="1096">
        <v>0</v>
      </c>
      <c r="M427" s="1096" t="s">
        <v>5224</v>
      </c>
      <c r="N427" s="1096" t="s">
        <v>4631</v>
      </c>
      <c r="O427" s="1113"/>
      <c r="P427" s="1113" t="s">
        <v>13</v>
      </c>
      <c r="S427" s="1113" t="s">
        <v>53</v>
      </c>
      <c r="T427" s="1113"/>
      <c r="U427" s="1027">
        <v>3</v>
      </c>
      <c r="V427" s="1027">
        <f>IF((AP427+U427+VLOOKUP('Main Creation Page'!E$14,'System Lookups'!R$45:S$49,2))&gt;10,10,IF((AP427+U427+VLOOKUP('Main Creation Page'!E$14,'System Lookups'!R$45:S$49,2))&lt;1,1,(AP427+U427+VLOOKUP('Main Creation Page'!E$14,'System Lookups'!R$45:S$49,2))))</f>
        <v>4</v>
      </c>
      <c r="W427" s="1098" t="e">
        <f>IF(OR(I427&lt;&gt;"N",E427="C"),IF(AND(N427&lt;&gt;"T",ISNUMBER(FIND("V",I427))),1,0),NA())+IF(H427="Y",IF(AND(N427="P",ISNUMBER(FIND("Z",I427))),2,1),0)+IF(J427="Y",1,0)+IF(K427="Y",3,0)+IF(BE427="Lore",L427*2+Experience!$D$25,0)+IF(M427="Y",1,0)</f>
        <v>#N/A</v>
      </c>
      <c r="X427" s="1099"/>
      <c r="Y427" s="1100">
        <f ca="1">IF(P427="NS",IFERROR(INDIRECT(S427),NA()),VLOOKUP(INDIRECT(P427)+INDIRECT(S427),'System Lookups'!$A$3:$D$146,2))</f>
        <v>0.08</v>
      </c>
      <c r="Z427" s="1100">
        <f t="shared" ref="Z427:Z437" si="453">IF(ISNA(W427),0,W427*0.05)+IF(X427&gt;0,X427*0.05,0)+IF(AND(ISNA(W427),X427&lt;=0),0,IF(G427&gt;0,G427*0.05,0))</f>
        <v>0</v>
      </c>
      <c r="AA427" s="1101">
        <f ca="1">IF(ISNA(Y427),0,Y427)+Z427+IF('Main Creation Page'!AB$2=37,'Main Creation Page'!E$14/100,0)</f>
        <v>0.08</v>
      </c>
      <c r="AB427" s="1102">
        <f>VLOOKUP(V427,'System Lookups'!$J$55:$P$64,3)</f>
        <v>0.2</v>
      </c>
      <c r="AC427" s="1103">
        <f>VLOOKUP(V427,'System Lookups'!$J$55:$P$64,4)</f>
        <v>0.3</v>
      </c>
      <c r="AD427" s="1104">
        <f t="shared" ref="AD427:AD437" si="454">IF(AND(ISBLANK(X427),ISNA(W427)),IF(B427="~",0,AB427+AA427+IF(BB427&gt;0,0.05,0)),AA427+AC427+IF(BB427&gt;0,0.05,0))</f>
        <v>0</v>
      </c>
      <c r="AE427" s="1094">
        <f>(IF(AD427&gt;VLOOKUP(V427,'System Lookups'!$J$55:$P$63,6),(((AD427-VLOOKUP(V427,'System Lookups'!$J$55:$P$63,6))*100)/20),0))+AF427</f>
        <v>0</v>
      </c>
      <c r="AF427" s="1121"/>
      <c r="AG427" s="1092">
        <f t="shared" ref="AG427:AG437" si="455">IF(ISBLANK(X427),0,AQ427*X427+IF(ISNA(W427),1,0))</f>
        <v>0</v>
      </c>
      <c r="AH427" s="1092" t="str">
        <f>IF(X427&lt;=Experience!$R$15+1,"","*")</f>
        <v/>
      </c>
      <c r="AI427" s="1092"/>
      <c r="AJ427" s="1080">
        <f t="shared" ref="AJ427:AJ437" si="456">IF(ISNUMBER(FIND("R",F427)),-1,0)</f>
        <v>0</v>
      </c>
      <c r="AK427" s="1080">
        <f t="shared" ref="AK427:AK437" si="457">IF(F427="s",-2,0)</f>
        <v>0</v>
      </c>
      <c r="AL427" s="1080">
        <f t="shared" ref="AL427:AL437" si="458">IF(AND(H427="Y",OR(N427="P",N427="S")),-1,0)</f>
        <v>0</v>
      </c>
      <c r="AM427" s="1092">
        <f t="shared" ref="AM427:AM437" si="459">IF(J427="y",1,0)</f>
        <v>0</v>
      </c>
      <c r="AN427" s="1080">
        <f t="shared" ref="AN427:AN437" si="460">IF(N427="P",-1,IF(N427="T",1,0))</f>
        <v>1</v>
      </c>
      <c r="AO427" s="1080">
        <f t="shared" ref="AO427:AO437" si="461">IF(ISNUMBER(FIND("Z",I427)),1,0)</f>
        <v>0</v>
      </c>
      <c r="AP427" s="1080">
        <f t="shared" ref="AP427:AP437" si="462">SUM(AJ427:AN427)-AM427</f>
        <v>1</v>
      </c>
      <c r="AQ427" s="1027">
        <f>VLOOKUP(V427,'System Lookups'!$J$55:$P$64,7)</f>
        <v>600</v>
      </c>
      <c r="AR427" s="1080" t="str">
        <f ca="1">IF(AND(NOT(ISBLANK(AJ427)),ISNA(MATCH(ROW(),'System Lookups'!$C$526:$C$539,0))),"Y","N")</f>
        <v>Y</v>
      </c>
      <c r="AS427" s="1080">
        <f t="shared" ref="AS427:AS437" si="463">AG427-AI427</f>
        <v>0</v>
      </c>
      <c r="AU427" s="1080" t="e">
        <f t="shared" si="432"/>
        <v>#N/A</v>
      </c>
      <c r="AV427" s="1080" t="str">
        <f t="shared" si="429"/>
        <v>T</v>
      </c>
      <c r="AW427" s="1080">
        <f t="shared" si="433"/>
        <v>0</v>
      </c>
      <c r="AX427" s="1080">
        <f t="shared" si="434"/>
        <v>0</v>
      </c>
      <c r="AY427" s="1080">
        <f t="shared" si="435"/>
        <v>0</v>
      </c>
      <c r="AZ427" s="1080">
        <f t="shared" si="436"/>
        <v>0</v>
      </c>
      <c r="BA427" s="1080">
        <f t="shared" si="437"/>
        <v>0</v>
      </c>
      <c r="BB427" s="1080">
        <f>IF(AND(RACE=1,'Main Creation Page'!$E$6="Well",OR(ISNUMBER(FIND(Experience!$G$11,BE427)),ISNUMBER(FIND(Experience!$G$11,BF427)),ISNUMBER(FIND(Experience!$I$11,BE427)),ISNUMBER(FIND(Experience!$I$11,BF427)))),1,0)</f>
        <v>1</v>
      </c>
      <c r="BC427" s="1080" t="str">
        <f t="shared" si="438"/>
        <v>Foreign Languages (Ancient)</v>
      </c>
      <c r="BE427" s="1080" t="str">
        <f t="shared" si="430"/>
        <v>Lore</v>
      </c>
      <c r="BF427" s="1080" t="str">
        <f t="shared" si="431"/>
        <v>Language Lore: Written</v>
      </c>
    </row>
    <row r="428" spans="1:58" ht="11.1" customHeight="1" outlineLevel="3">
      <c r="A428" s="1028" t="str">
        <f>IF('Main Creation Page'!$K$5=3,"Kingdom","Aramaic")</f>
        <v>Kingdom</v>
      </c>
      <c r="B428" s="1094" t="s">
        <v>1942</v>
      </c>
      <c r="C428" s="1094"/>
      <c r="D428" s="1094"/>
      <c r="E428" s="1095" t="s">
        <v>5224</v>
      </c>
      <c r="F428" s="1095" t="s">
        <v>5224</v>
      </c>
      <c r="G428" s="1096">
        <v>0</v>
      </c>
      <c r="H428" s="1096" t="s">
        <v>5224</v>
      </c>
      <c r="I428" s="1096" t="s">
        <v>5224</v>
      </c>
      <c r="J428" s="1096" t="s">
        <v>5224</v>
      </c>
      <c r="K428" s="1096" t="s">
        <v>5224</v>
      </c>
      <c r="L428" s="1096">
        <v>0</v>
      </c>
      <c r="M428" s="1096" t="s">
        <v>5224</v>
      </c>
      <c r="N428" s="1096" t="s">
        <v>4631</v>
      </c>
      <c r="O428" s="1113"/>
      <c r="P428" s="1113" t="s">
        <v>13</v>
      </c>
      <c r="S428" s="1113" t="s">
        <v>53</v>
      </c>
      <c r="T428" s="1113"/>
      <c r="U428" s="1027">
        <f>IF('Main Creation Page'!$K$5=3,6,3)</f>
        <v>6</v>
      </c>
      <c r="V428" s="1027">
        <f>IF((AP428+U428+VLOOKUP('Main Creation Page'!E$14,'System Lookups'!R$45:S$49,2))&gt;10,10,IF((AP428+U428+VLOOKUP('Main Creation Page'!E$14,'System Lookups'!R$45:S$49,2))&lt;1,1,(AP428+U428+VLOOKUP('Main Creation Page'!E$14,'System Lookups'!R$45:S$49,2))))</f>
        <v>7</v>
      </c>
      <c r="W428" s="1098" t="e">
        <f>IF(OR(I428&lt;&gt;"N",E428="C"),IF(AND(N428&lt;&gt;"T",ISNUMBER(FIND("V",I428))),1,0),NA())+IF(H428="Y",IF(AND(N428="P",ISNUMBER(FIND("Z",I428))),2,1),0)+IF(J428="Y",1,0)+IF(K428="Y",3,0)+IF(BE428="Lore",L428*2+Experience!$D$25,0)+IF(M428="Y",1,0)</f>
        <v>#N/A</v>
      </c>
      <c r="X428" s="1099"/>
      <c r="Y428" s="1100">
        <f ca="1">IF(P428="NS",IFERROR(INDIRECT(S428),NA()),VLOOKUP(INDIRECT(P428)+INDIRECT(S428),'System Lookups'!$A$3:$D$146,2))</f>
        <v>0.08</v>
      </c>
      <c r="Z428" s="1100">
        <f t="shared" si="453"/>
        <v>0</v>
      </c>
      <c r="AA428" s="1101">
        <f ca="1">IF(ISNA(Y428),0,Y428)+Z428+IF('Main Creation Page'!AB$2=37,'Main Creation Page'!E$14/100,0)</f>
        <v>0.08</v>
      </c>
      <c r="AB428" s="1102">
        <f>VLOOKUP(V428,'System Lookups'!$J$55:$P$64,3)</f>
        <v>0.03</v>
      </c>
      <c r="AC428" s="1103">
        <f>VLOOKUP(V428,'System Lookups'!$J$55:$P$64,4)</f>
        <v>7.0000000000000007E-2</v>
      </c>
      <c r="AD428" s="1104">
        <f t="shared" si="454"/>
        <v>0</v>
      </c>
      <c r="AE428" s="1094">
        <f>(IF(AD428&gt;VLOOKUP(V428,'System Lookups'!$J$55:$P$63,6),(((AD428-VLOOKUP(V428,'System Lookups'!$J$55:$P$63,6))*100)/20),0))+AF428</f>
        <v>0</v>
      </c>
      <c r="AF428" s="1121"/>
      <c r="AG428" s="1092">
        <f t="shared" si="455"/>
        <v>0</v>
      </c>
      <c r="AH428" s="1092" t="str">
        <f>IF(X428&lt;=Experience!$R$15+1,"","*")</f>
        <v/>
      </c>
      <c r="AI428" s="1092"/>
      <c r="AJ428" s="1080">
        <f t="shared" si="456"/>
        <v>0</v>
      </c>
      <c r="AK428" s="1080">
        <f t="shared" si="457"/>
        <v>0</v>
      </c>
      <c r="AL428" s="1080">
        <f t="shared" si="458"/>
        <v>0</v>
      </c>
      <c r="AM428" s="1092">
        <f t="shared" si="459"/>
        <v>0</v>
      </c>
      <c r="AN428" s="1080">
        <f t="shared" si="460"/>
        <v>1</v>
      </c>
      <c r="AO428" s="1080">
        <f t="shared" si="461"/>
        <v>0</v>
      </c>
      <c r="AP428" s="1080">
        <f t="shared" si="462"/>
        <v>1</v>
      </c>
      <c r="AQ428" s="1027">
        <f>VLOOKUP(V428,'System Lookups'!$J$55:$P$64,7)</f>
        <v>1000</v>
      </c>
      <c r="AR428" s="1080" t="str">
        <f ca="1">IF(AND(NOT(ISBLANK(AJ428)),ISNA(MATCH(ROW(),'System Lookups'!$C$526:$C$539,0))),"Y","N")</f>
        <v>Y</v>
      </c>
      <c r="AS428" s="1080">
        <f t="shared" si="463"/>
        <v>0</v>
      </c>
      <c r="AU428" s="1080" t="e">
        <f t="shared" si="432"/>
        <v>#N/A</v>
      </c>
      <c r="AV428" s="1080" t="str">
        <f t="shared" si="429"/>
        <v>T</v>
      </c>
      <c r="AW428" s="1080">
        <f t="shared" si="433"/>
        <v>0</v>
      </c>
      <c r="AX428" s="1080">
        <f t="shared" si="434"/>
        <v>0</v>
      </c>
      <c r="AY428" s="1080">
        <f t="shared" si="435"/>
        <v>0</v>
      </c>
      <c r="AZ428" s="1080">
        <f t="shared" si="436"/>
        <v>0</v>
      </c>
      <c r="BA428" s="1080">
        <f t="shared" si="437"/>
        <v>0</v>
      </c>
      <c r="BB428" s="1080">
        <f>IF(AND(RACE=1,'Main Creation Page'!$E$6="Well",OR(ISNUMBER(FIND(Experience!$G$11,BE428)),ISNUMBER(FIND(Experience!$G$11,BF428)),ISNUMBER(FIND(Experience!$I$11,BE428)),ISNUMBER(FIND(Experience!$I$11,BF428)))),1,0)</f>
        <v>1</v>
      </c>
      <c r="BC428" s="1080" t="str">
        <f t="shared" si="438"/>
        <v>Foreign (Anc.):Kingdom</v>
      </c>
      <c r="BD428" s="1080" t="s">
        <v>5692</v>
      </c>
      <c r="BE428" s="1080" t="str">
        <f t="shared" si="430"/>
        <v>Lore</v>
      </c>
      <c r="BF428" s="1080" t="str">
        <f t="shared" si="431"/>
        <v>Language Lore: Written</v>
      </c>
    </row>
    <row r="429" spans="1:58" ht="11.1" customHeight="1" outlineLevel="3">
      <c r="A429" s="1028" t="str">
        <f>IF('Main Creation Page'!$K$5=3,"Rule","Assyrian")</f>
        <v>Rule</v>
      </c>
      <c r="B429" s="1094" t="s">
        <v>1942</v>
      </c>
      <c r="C429" s="1094"/>
      <c r="D429" s="1094"/>
      <c r="E429" s="1095" t="s">
        <v>5224</v>
      </c>
      <c r="F429" s="1095" t="s">
        <v>5224</v>
      </c>
      <c r="G429" s="1096">
        <v>0</v>
      </c>
      <c r="H429" s="1096" t="s">
        <v>5224</v>
      </c>
      <c r="I429" s="1096" t="s">
        <v>5224</v>
      </c>
      <c r="J429" s="1096" t="s">
        <v>5224</v>
      </c>
      <c r="K429" s="1096" t="s">
        <v>5224</v>
      </c>
      <c r="L429" s="1096">
        <v>0</v>
      </c>
      <c r="M429" s="1096" t="s">
        <v>5224</v>
      </c>
      <c r="N429" s="1096" t="s">
        <v>4631</v>
      </c>
      <c r="O429" s="1113"/>
      <c r="P429" s="1113" t="s">
        <v>13</v>
      </c>
      <c r="S429" s="1113" t="s">
        <v>53</v>
      </c>
      <c r="T429" s="1113"/>
      <c r="U429" s="1027">
        <f>IF('Main Creation Page'!$K$5=3,5,3)</f>
        <v>5</v>
      </c>
      <c r="V429" s="1027">
        <f>IF((AP429+U429+VLOOKUP('Main Creation Page'!E$14,'System Lookups'!R$45:S$49,2))&gt;10,10,IF((AP429+U429+VLOOKUP('Main Creation Page'!E$14,'System Lookups'!R$45:S$49,2))&lt;1,1,(AP429+U429+VLOOKUP('Main Creation Page'!E$14,'System Lookups'!R$45:S$49,2))))</f>
        <v>6</v>
      </c>
      <c r="W429" s="1098" t="e">
        <f>IF(OR(I429&lt;&gt;"N",E429="C"),IF(AND(N429&lt;&gt;"T",ISNUMBER(FIND("V",I429))),1,0),NA())+IF(H429="Y",IF(AND(N429="P",ISNUMBER(FIND("Z",I429))),2,1),0)+IF(J429="Y",1,0)+IF(K429="Y",3,0)+IF(BE429="Lore",L429*2+Experience!$D$25,0)+IF(M429="Y",1,0)</f>
        <v>#N/A</v>
      </c>
      <c r="X429" s="1099"/>
      <c r="Y429" s="1100">
        <f ca="1">IF(P429="NS",IFERROR(INDIRECT(S429),NA()),VLOOKUP(INDIRECT(P429)+INDIRECT(S429),'System Lookups'!$A$3:$D$146,2))</f>
        <v>0.08</v>
      </c>
      <c r="Z429" s="1100">
        <f t="shared" si="453"/>
        <v>0</v>
      </c>
      <c r="AA429" s="1101">
        <f ca="1">IF(ISNA(Y429),0,Y429)+Z429+IF('Main Creation Page'!AB$2=37,'Main Creation Page'!E$14/100,0)</f>
        <v>0.08</v>
      </c>
      <c r="AB429" s="1102">
        <f>VLOOKUP(V429,'System Lookups'!$J$55:$P$64,3)</f>
        <v>0.05</v>
      </c>
      <c r="AC429" s="1103">
        <f>VLOOKUP(V429,'System Lookups'!$J$55:$P$64,4)</f>
        <v>0.1</v>
      </c>
      <c r="AD429" s="1104">
        <f t="shared" si="454"/>
        <v>0</v>
      </c>
      <c r="AE429" s="1094">
        <f>(IF(AD429&gt;VLOOKUP(V429,'System Lookups'!$J$55:$P$63,6),(((AD429-VLOOKUP(V429,'System Lookups'!$J$55:$P$63,6))*100)/20),0))+AF429</f>
        <v>0</v>
      </c>
      <c r="AF429" s="1121"/>
      <c r="AG429" s="1092">
        <f t="shared" si="455"/>
        <v>0</v>
      </c>
      <c r="AH429" s="1092" t="str">
        <f>IF(X429&lt;=Experience!$R$15+1,"","*")</f>
        <v/>
      </c>
      <c r="AI429" s="1092"/>
      <c r="AJ429" s="1080">
        <f t="shared" si="456"/>
        <v>0</v>
      </c>
      <c r="AK429" s="1080">
        <f t="shared" si="457"/>
        <v>0</v>
      </c>
      <c r="AL429" s="1080">
        <f t="shared" si="458"/>
        <v>0</v>
      </c>
      <c r="AM429" s="1092">
        <f t="shared" si="459"/>
        <v>0</v>
      </c>
      <c r="AN429" s="1080">
        <f t="shared" si="460"/>
        <v>1</v>
      </c>
      <c r="AO429" s="1080">
        <f t="shared" si="461"/>
        <v>0</v>
      </c>
      <c r="AP429" s="1080">
        <f t="shared" si="462"/>
        <v>1</v>
      </c>
      <c r="AQ429" s="1027">
        <f>VLOOKUP(V429,'System Lookups'!$J$55:$P$64,7)</f>
        <v>800</v>
      </c>
      <c r="AR429" s="1080" t="str">
        <f ca="1">IF(AND(NOT(ISBLANK(AJ429)),ISNA(MATCH(ROW(),'System Lookups'!$C$526:$C$539,0))),"Y","N")</f>
        <v>Y</v>
      </c>
      <c r="AS429" s="1080">
        <f t="shared" si="463"/>
        <v>0</v>
      </c>
      <c r="AU429" s="1080" t="e">
        <f t="shared" si="432"/>
        <v>#N/A</v>
      </c>
      <c r="AV429" s="1080" t="str">
        <f t="shared" si="429"/>
        <v>T</v>
      </c>
      <c r="AW429" s="1080">
        <f t="shared" si="433"/>
        <v>0</v>
      </c>
      <c r="AX429" s="1080">
        <f t="shared" si="434"/>
        <v>0</v>
      </c>
      <c r="AY429" s="1080">
        <f t="shared" si="435"/>
        <v>0</v>
      </c>
      <c r="AZ429" s="1080">
        <f t="shared" si="436"/>
        <v>0</v>
      </c>
      <c r="BA429" s="1080">
        <f t="shared" si="437"/>
        <v>0</v>
      </c>
      <c r="BB429" s="1080">
        <f>IF(AND(RACE=1,'Main Creation Page'!$E$6="Well",OR(ISNUMBER(FIND(Experience!$G$11,BE429)),ISNUMBER(FIND(Experience!$G$11,BF429)),ISNUMBER(FIND(Experience!$I$11,BE429)),ISNUMBER(FIND(Experience!$I$11,BF429)))),1,0)</f>
        <v>1</v>
      </c>
      <c r="BC429" s="1080" t="str">
        <f t="shared" si="438"/>
        <v>Foreign (Anc.):Rule</v>
      </c>
      <c r="BD429" s="1080" t="s">
        <v>5692</v>
      </c>
      <c r="BE429" s="1080" t="str">
        <f t="shared" si="430"/>
        <v>Lore</v>
      </c>
      <c r="BF429" s="1080" t="str">
        <f t="shared" si="431"/>
        <v>Language Lore: Written</v>
      </c>
    </row>
    <row r="430" spans="1:58" ht="11.1" customHeight="1" outlineLevel="3">
      <c r="A430" s="1028" t="str">
        <f>IF('Main Creation Page'!$K$5=3,"Bidden","Babylonian")</f>
        <v>Bidden</v>
      </c>
      <c r="B430" s="1094" t="s">
        <v>1942</v>
      </c>
      <c r="C430" s="1094"/>
      <c r="D430" s="1094"/>
      <c r="E430" s="1095" t="s">
        <v>5224</v>
      </c>
      <c r="F430" s="1095" t="s">
        <v>5224</v>
      </c>
      <c r="G430" s="1096">
        <v>0</v>
      </c>
      <c r="H430" s="1096" t="s">
        <v>5224</v>
      </c>
      <c r="I430" s="1096" t="s">
        <v>5224</v>
      </c>
      <c r="J430" s="1096" t="s">
        <v>5224</v>
      </c>
      <c r="K430" s="1096" t="s">
        <v>5224</v>
      </c>
      <c r="L430" s="1096">
        <v>0</v>
      </c>
      <c r="M430" s="1096" t="s">
        <v>5224</v>
      </c>
      <c r="N430" s="1096" t="s">
        <v>4631</v>
      </c>
      <c r="O430" s="1113"/>
      <c r="P430" s="1113" t="s">
        <v>13</v>
      </c>
      <c r="S430" s="1113" t="s">
        <v>53</v>
      </c>
      <c r="T430" s="1113"/>
      <c r="U430" s="1027">
        <f>IF('Main Creation Page'!$K$5=3,6,3)</f>
        <v>6</v>
      </c>
      <c r="V430" s="1027">
        <f>IF((AP430+U430+VLOOKUP('Main Creation Page'!E$14,'System Lookups'!R$45:S$49,2))&gt;10,10,IF((AP430+U430+VLOOKUP('Main Creation Page'!E$14,'System Lookups'!R$45:S$49,2))&lt;1,1,(AP430+U430+VLOOKUP('Main Creation Page'!E$14,'System Lookups'!R$45:S$49,2))))</f>
        <v>7</v>
      </c>
      <c r="W430" s="1098" t="e">
        <f>IF(OR(I430&lt;&gt;"N",E430="C"),IF(AND(N430&lt;&gt;"T",ISNUMBER(FIND("V",I430))),1,0),NA())+IF(H430="Y",IF(AND(N430="P",ISNUMBER(FIND("Z",I430))),2,1),0)+IF(J430="Y",1,0)+IF(K430="Y",3,0)+IF(BE430="Lore",L430*2+Experience!$D$25,0)+IF(M430="Y",1,0)</f>
        <v>#N/A</v>
      </c>
      <c r="X430" s="1099"/>
      <c r="Y430" s="1100">
        <f ca="1">IF(P430="NS",IFERROR(INDIRECT(S430),NA()),VLOOKUP(INDIRECT(P430)+INDIRECT(S430),'System Lookups'!$A$3:$D$146,2))</f>
        <v>0.08</v>
      </c>
      <c r="Z430" s="1100">
        <f t="shared" si="453"/>
        <v>0</v>
      </c>
      <c r="AA430" s="1101">
        <f ca="1">IF(ISNA(Y430),0,Y430)+Z430+IF('Main Creation Page'!AB$2=37,'Main Creation Page'!E$14/100,0)</f>
        <v>0.08</v>
      </c>
      <c r="AB430" s="1102">
        <f>VLOOKUP(V430,'System Lookups'!$J$55:$P$64,3)</f>
        <v>0.03</v>
      </c>
      <c r="AC430" s="1103">
        <f>VLOOKUP(V430,'System Lookups'!$J$55:$P$64,4)</f>
        <v>7.0000000000000007E-2</v>
      </c>
      <c r="AD430" s="1104">
        <f t="shared" si="454"/>
        <v>0</v>
      </c>
      <c r="AE430" s="1094">
        <f>(IF(AD430&gt;VLOOKUP(V430,'System Lookups'!$J$55:$P$63,6),(((AD430-VLOOKUP(V430,'System Lookups'!$J$55:$P$63,6))*100)/20),0))+AF430</f>
        <v>0</v>
      </c>
      <c r="AF430" s="1121"/>
      <c r="AG430" s="1092">
        <f t="shared" si="455"/>
        <v>0</v>
      </c>
      <c r="AH430" s="1092" t="str">
        <f>IF(X430&lt;=Experience!$R$15+1,"","*")</f>
        <v/>
      </c>
      <c r="AI430" s="1092"/>
      <c r="AJ430" s="1080">
        <f t="shared" si="456"/>
        <v>0</v>
      </c>
      <c r="AK430" s="1080">
        <f t="shared" si="457"/>
        <v>0</v>
      </c>
      <c r="AL430" s="1080">
        <f t="shared" si="458"/>
        <v>0</v>
      </c>
      <c r="AM430" s="1092">
        <f t="shared" si="459"/>
        <v>0</v>
      </c>
      <c r="AN430" s="1080">
        <f t="shared" si="460"/>
        <v>1</v>
      </c>
      <c r="AO430" s="1080">
        <f t="shared" si="461"/>
        <v>0</v>
      </c>
      <c r="AP430" s="1080">
        <f t="shared" si="462"/>
        <v>1</v>
      </c>
      <c r="AQ430" s="1027">
        <f>VLOOKUP(V430,'System Lookups'!$J$55:$P$64,7)</f>
        <v>1000</v>
      </c>
      <c r="AR430" s="1080" t="str">
        <f ca="1">IF(AND(NOT(ISBLANK(AJ430)),ISNA(MATCH(ROW(),'System Lookups'!$C$526:$C$539,0))),"Y","N")</f>
        <v>Y</v>
      </c>
      <c r="AS430" s="1080">
        <f t="shared" si="463"/>
        <v>0</v>
      </c>
      <c r="AU430" s="1080" t="e">
        <f t="shared" si="432"/>
        <v>#N/A</v>
      </c>
      <c r="AV430" s="1080" t="str">
        <f t="shared" si="429"/>
        <v>T</v>
      </c>
      <c r="AW430" s="1080">
        <f t="shared" si="433"/>
        <v>0</v>
      </c>
      <c r="AX430" s="1080">
        <f t="shared" si="434"/>
        <v>0</v>
      </c>
      <c r="AY430" s="1080">
        <f t="shared" si="435"/>
        <v>0</v>
      </c>
      <c r="AZ430" s="1080">
        <f t="shared" si="436"/>
        <v>0</v>
      </c>
      <c r="BA430" s="1080">
        <f t="shared" si="437"/>
        <v>0</v>
      </c>
      <c r="BB430" s="1080">
        <f>IF(AND(RACE=1,'Main Creation Page'!$E$6="Well",OR(ISNUMBER(FIND(Experience!$G$11,BE430)),ISNUMBER(FIND(Experience!$G$11,BF430)),ISNUMBER(FIND(Experience!$I$11,BE430)),ISNUMBER(FIND(Experience!$I$11,BF430)))),1,0)</f>
        <v>1</v>
      </c>
      <c r="BC430" s="1080" t="str">
        <f t="shared" si="438"/>
        <v>Foreign (Anc.):Bidden</v>
      </c>
      <c r="BD430" s="1080" t="s">
        <v>5692</v>
      </c>
      <c r="BE430" s="1080" t="str">
        <f t="shared" si="430"/>
        <v>Lore</v>
      </c>
      <c r="BF430" s="1080" t="str">
        <f t="shared" si="431"/>
        <v>Language Lore: Written</v>
      </c>
    </row>
    <row r="431" spans="1:58" ht="11.1" customHeight="1" outlineLevel="3">
      <c r="A431" s="1028" t="str">
        <f>IF('Main Creation Page'!$K$5=3,"Cobolan (Demotic)","Egyptian (Demotic)")</f>
        <v>Cobolan (Demotic)</v>
      </c>
      <c r="B431" s="1094" t="s">
        <v>1942</v>
      </c>
      <c r="C431" s="1094"/>
      <c r="D431" s="1094"/>
      <c r="E431" s="1095" t="s">
        <v>5224</v>
      </c>
      <c r="F431" s="1095" t="s">
        <v>5224</v>
      </c>
      <c r="G431" s="1096">
        <v>0</v>
      </c>
      <c r="H431" s="1096" t="s">
        <v>5224</v>
      </c>
      <c r="I431" s="1096" t="s">
        <v>5224</v>
      </c>
      <c r="J431" s="1096" t="s">
        <v>5224</v>
      </c>
      <c r="K431" s="1096" t="s">
        <v>5224</v>
      </c>
      <c r="L431" s="1096">
        <v>0</v>
      </c>
      <c r="M431" s="1096" t="s">
        <v>5224</v>
      </c>
      <c r="N431" s="1096" t="s">
        <v>4631</v>
      </c>
      <c r="O431" s="1113"/>
      <c r="P431" s="1113" t="s">
        <v>13</v>
      </c>
      <c r="S431" s="1113" t="s">
        <v>53</v>
      </c>
      <c r="T431" s="1113"/>
      <c r="U431" s="1027">
        <f>IF('Main Creation Page'!$K$5=3,7,3)</f>
        <v>7</v>
      </c>
      <c r="V431" s="1027">
        <f>IF((AP431+U431+VLOOKUP('Main Creation Page'!E$14,'System Lookups'!R$45:S$49,2))&gt;10,10,IF((AP431+U431+VLOOKUP('Main Creation Page'!E$14,'System Lookups'!R$45:S$49,2))&lt;1,1,(AP431+U431+VLOOKUP('Main Creation Page'!E$14,'System Lookups'!R$45:S$49,2))))</f>
        <v>8</v>
      </c>
      <c r="W431" s="1098" t="e">
        <f>IF(OR(I431&lt;&gt;"N",E431="C"),IF(AND(N431&lt;&gt;"T",ISNUMBER(FIND("V",I431))),1,0),NA())+IF(H431="Y",IF(AND(N431="P",ISNUMBER(FIND("Z",I431))),2,1),0)+IF(J431="Y",1,0)+IF(K431="Y",3,0)+IF(BE431="Lore",L431*2+Experience!$D$25,0)+IF(M431="Y",1,0)</f>
        <v>#N/A</v>
      </c>
      <c r="X431" s="1099"/>
      <c r="Y431" s="1100">
        <f ca="1">IF(P431="NS",IFERROR(INDIRECT(S431),NA()),VLOOKUP(INDIRECT(P431)+INDIRECT(S431),'System Lookups'!$A$3:$D$146,2))</f>
        <v>0.08</v>
      </c>
      <c r="Z431" s="1100">
        <f t="shared" si="453"/>
        <v>0</v>
      </c>
      <c r="AA431" s="1101">
        <f ca="1">IF(ISNA(Y431),0,Y431)+Z431+IF('Main Creation Page'!AB$2=37,'Main Creation Page'!E$14/100,0)</f>
        <v>0.08</v>
      </c>
      <c r="AB431" s="1102">
        <f>VLOOKUP(V431,'System Lookups'!$J$55:$P$64,3)</f>
        <v>0.02</v>
      </c>
      <c r="AC431" s="1103">
        <f>VLOOKUP(V431,'System Lookups'!$J$55:$P$64,4)</f>
        <v>0.03</v>
      </c>
      <c r="AD431" s="1104">
        <f t="shared" si="454"/>
        <v>0</v>
      </c>
      <c r="AE431" s="1094">
        <f>(IF(AD431&gt;VLOOKUP(V431,'System Lookups'!$J$55:$P$63,6),(((AD431-VLOOKUP(V431,'System Lookups'!$J$55:$P$63,6))*100)/20),0))+AF431</f>
        <v>0</v>
      </c>
      <c r="AF431" s="1121"/>
      <c r="AG431" s="1092">
        <f t="shared" si="455"/>
        <v>0</v>
      </c>
      <c r="AH431" s="1092" t="str">
        <f>IF(X431&lt;=Experience!$R$15+1,"","*")</f>
        <v/>
      </c>
      <c r="AI431" s="1092"/>
      <c r="AJ431" s="1080">
        <f t="shared" si="456"/>
        <v>0</v>
      </c>
      <c r="AK431" s="1080">
        <f t="shared" si="457"/>
        <v>0</v>
      </c>
      <c r="AL431" s="1080">
        <f t="shared" si="458"/>
        <v>0</v>
      </c>
      <c r="AM431" s="1092">
        <f t="shared" si="459"/>
        <v>0</v>
      </c>
      <c r="AN431" s="1080">
        <f t="shared" si="460"/>
        <v>1</v>
      </c>
      <c r="AO431" s="1080">
        <f t="shared" si="461"/>
        <v>0</v>
      </c>
      <c r="AP431" s="1080">
        <f t="shared" si="462"/>
        <v>1</v>
      </c>
      <c r="AQ431" s="1027">
        <f>VLOOKUP(V431,'System Lookups'!$J$55:$P$64,7)</f>
        <v>1200</v>
      </c>
      <c r="AR431" s="1080" t="str">
        <f ca="1">IF(AND(NOT(ISBLANK(AJ431)),ISNA(MATCH(ROW(),'System Lookups'!$C$526:$C$539,0))),"Y","N")</f>
        <v>Y</v>
      </c>
      <c r="AS431" s="1080">
        <f t="shared" si="463"/>
        <v>0</v>
      </c>
      <c r="AU431" s="1080" t="e">
        <f t="shared" si="432"/>
        <v>#N/A</v>
      </c>
      <c r="AV431" s="1080" t="str">
        <f t="shared" si="429"/>
        <v>T</v>
      </c>
      <c r="AW431" s="1080">
        <f t="shared" si="433"/>
        <v>0</v>
      </c>
      <c r="AX431" s="1080">
        <f t="shared" si="434"/>
        <v>0</v>
      </c>
      <c r="AY431" s="1080">
        <f t="shared" si="435"/>
        <v>0</v>
      </c>
      <c r="AZ431" s="1080">
        <f t="shared" si="436"/>
        <v>0</v>
      </c>
      <c r="BA431" s="1080">
        <f t="shared" si="437"/>
        <v>0</v>
      </c>
      <c r="BB431" s="1080">
        <f>IF(AND(RACE=1,'Main Creation Page'!$E$6="Well",OR(ISNUMBER(FIND(Experience!$G$11,BE431)),ISNUMBER(FIND(Experience!$G$11,BF431)),ISNUMBER(FIND(Experience!$I$11,BE431)),ISNUMBER(FIND(Experience!$I$11,BF431)))),1,0)</f>
        <v>1</v>
      </c>
      <c r="BC431" s="1080" t="str">
        <f t="shared" si="438"/>
        <v>Foreign (Anc.):Cobolan (Demotic)</v>
      </c>
      <c r="BD431" s="1080" t="s">
        <v>5692</v>
      </c>
      <c r="BE431" s="1080" t="str">
        <f t="shared" si="430"/>
        <v>Lore</v>
      </c>
      <c r="BF431" s="1080" t="str">
        <f t="shared" si="431"/>
        <v>Language Lore: Written</v>
      </c>
    </row>
    <row r="432" spans="1:58" ht="11.1" customHeight="1" outlineLevel="3">
      <c r="A432" s="1028" t="str">
        <f>IF('Main Creation Page'!$K$5=3,"Cobolan (Hieroglyphic)","Egyptian (Hieroglyphic)")</f>
        <v>Cobolan (Hieroglyphic)</v>
      </c>
      <c r="B432" s="1094" t="s">
        <v>1942</v>
      </c>
      <c r="C432" s="1094"/>
      <c r="D432" s="1094"/>
      <c r="E432" s="1095" t="s">
        <v>5224</v>
      </c>
      <c r="F432" s="1095" t="s">
        <v>5224</v>
      </c>
      <c r="G432" s="1096">
        <v>0</v>
      </c>
      <c r="H432" s="1096" t="s">
        <v>5224</v>
      </c>
      <c r="I432" s="1096" t="s">
        <v>5224</v>
      </c>
      <c r="J432" s="1096" t="s">
        <v>5224</v>
      </c>
      <c r="K432" s="1096" t="s">
        <v>5224</v>
      </c>
      <c r="L432" s="1096">
        <v>0</v>
      </c>
      <c r="M432" s="1096" t="s">
        <v>5224</v>
      </c>
      <c r="N432" s="1096" t="s">
        <v>4631</v>
      </c>
      <c r="O432" s="1113"/>
      <c r="P432" s="1113" t="s">
        <v>13</v>
      </c>
      <c r="S432" s="1113" t="s">
        <v>53</v>
      </c>
      <c r="T432" s="1113"/>
      <c r="U432" s="1027">
        <f>IF('Main Creation Page'!$K$5=3,8,3)</f>
        <v>8</v>
      </c>
      <c r="V432" s="1027">
        <f>IF((AP432+U432+VLOOKUP('Main Creation Page'!E$14,'System Lookups'!R$45:S$49,2))&gt;10,10,IF((AP432+U432+VLOOKUP('Main Creation Page'!E$14,'System Lookups'!R$45:S$49,2))&lt;1,1,(AP432+U432+VLOOKUP('Main Creation Page'!E$14,'System Lookups'!R$45:S$49,2))))</f>
        <v>9</v>
      </c>
      <c r="W432" s="1098" t="e">
        <f>IF(OR(I432&lt;&gt;"N",E432="C"),IF(AND(N432&lt;&gt;"T",ISNUMBER(FIND("V",I432))),1,0),NA())+IF(H432="Y",IF(AND(N432="P",ISNUMBER(FIND("Z",I432))),2,1),0)+IF(J432="Y",1,0)+IF(K432="Y",3,0)+IF(BE432="Lore",L432*2+Experience!$D$25,0)+IF(M432="Y",1,0)</f>
        <v>#N/A</v>
      </c>
      <c r="X432" s="1099"/>
      <c r="Y432" s="1100">
        <f ca="1">IF(P432="NS",IFERROR(INDIRECT(S432),NA()),VLOOKUP(INDIRECT(P432)+INDIRECT(S432),'System Lookups'!$A$3:$D$146,2))</f>
        <v>0.08</v>
      </c>
      <c r="Z432" s="1100">
        <f t="shared" si="453"/>
        <v>0</v>
      </c>
      <c r="AA432" s="1101">
        <f ca="1">IF(ISNA(Y432),0,Y432)+Z432+IF('Main Creation Page'!AB$2=37,'Main Creation Page'!E$14/100,0)</f>
        <v>0.08</v>
      </c>
      <c r="AB432" s="1102">
        <f>VLOOKUP(V432,'System Lookups'!$J$55:$P$64,3)</f>
        <v>0.01</v>
      </c>
      <c r="AC432" s="1103">
        <f>VLOOKUP(V432,'System Lookups'!$J$55:$P$64,4)</f>
        <v>0.02</v>
      </c>
      <c r="AD432" s="1104">
        <f t="shared" si="454"/>
        <v>0</v>
      </c>
      <c r="AE432" s="1094">
        <f>(IF(AD432&gt;VLOOKUP(V432,'System Lookups'!$J$55:$P$63,6),(((AD432-VLOOKUP(V432,'System Lookups'!$J$55:$P$63,6))*100)/20),0))+AF432</f>
        <v>0</v>
      </c>
      <c r="AF432" s="1121"/>
      <c r="AG432" s="1092">
        <f t="shared" si="455"/>
        <v>0</v>
      </c>
      <c r="AH432" s="1092" t="str">
        <f>IF(X432&lt;=Experience!$R$15+1,"","*")</f>
        <v/>
      </c>
      <c r="AI432" s="1092"/>
      <c r="AJ432" s="1080">
        <f t="shared" si="456"/>
        <v>0</v>
      </c>
      <c r="AK432" s="1080">
        <f t="shared" si="457"/>
        <v>0</v>
      </c>
      <c r="AL432" s="1080">
        <f t="shared" si="458"/>
        <v>0</v>
      </c>
      <c r="AM432" s="1092">
        <f t="shared" si="459"/>
        <v>0</v>
      </c>
      <c r="AN432" s="1080">
        <f t="shared" si="460"/>
        <v>1</v>
      </c>
      <c r="AO432" s="1080">
        <f t="shared" si="461"/>
        <v>0</v>
      </c>
      <c r="AP432" s="1080">
        <f t="shared" si="462"/>
        <v>1</v>
      </c>
      <c r="AQ432" s="1027">
        <f>VLOOKUP(V432,'System Lookups'!$J$55:$P$64,7)</f>
        <v>1500</v>
      </c>
      <c r="AR432" s="1080" t="str">
        <f ca="1">IF(AND(NOT(ISBLANK(AJ432)),ISNA(MATCH(ROW(),'System Lookups'!$C$526:$C$539,0))),"Y","N")</f>
        <v>Y</v>
      </c>
      <c r="AS432" s="1080">
        <f t="shared" si="463"/>
        <v>0</v>
      </c>
      <c r="AU432" s="1080" t="e">
        <f t="shared" si="432"/>
        <v>#N/A</v>
      </c>
      <c r="AV432" s="1080" t="str">
        <f t="shared" si="429"/>
        <v>T</v>
      </c>
      <c r="AW432" s="1080">
        <f t="shared" si="433"/>
        <v>0</v>
      </c>
      <c r="AX432" s="1080">
        <f t="shared" si="434"/>
        <v>0</v>
      </c>
      <c r="AY432" s="1080">
        <f t="shared" si="435"/>
        <v>0</v>
      </c>
      <c r="AZ432" s="1080">
        <f t="shared" si="436"/>
        <v>0</v>
      </c>
      <c r="BA432" s="1080">
        <f t="shared" si="437"/>
        <v>0</v>
      </c>
      <c r="BB432" s="1080">
        <f>IF(AND(RACE=1,'Main Creation Page'!$E$6="Well",OR(ISNUMBER(FIND(Experience!$G$11,BE432)),ISNUMBER(FIND(Experience!$G$11,BF432)),ISNUMBER(FIND(Experience!$I$11,BE432)),ISNUMBER(FIND(Experience!$I$11,BF432)))),1,0)</f>
        <v>1</v>
      </c>
      <c r="BC432" s="1080" t="str">
        <f t="shared" si="438"/>
        <v>Foreign (Anc.):Cobolan (Hieroglyphic)</v>
      </c>
      <c r="BD432" s="1080" t="s">
        <v>5692</v>
      </c>
      <c r="BE432" s="1080" t="str">
        <f t="shared" si="430"/>
        <v>Lore</v>
      </c>
      <c r="BF432" s="1080" t="str">
        <f t="shared" si="431"/>
        <v>Language Lore: Written</v>
      </c>
    </row>
    <row r="433" spans="1:58" ht="11.1" customHeight="1" outlineLevel="3">
      <c r="A433" s="1028" t="str">
        <f>IF('Main Creation Page'!$K$5=3, "Mednan","Greek")</f>
        <v>Mednan</v>
      </c>
      <c r="B433" s="1094" t="s">
        <v>1942</v>
      </c>
      <c r="C433" s="1094"/>
      <c r="D433" s="1094"/>
      <c r="E433" s="1095" t="s">
        <v>5224</v>
      </c>
      <c r="F433" s="1095" t="s">
        <v>5224</v>
      </c>
      <c r="G433" s="1096">
        <v>0</v>
      </c>
      <c r="H433" s="1096" t="s">
        <v>5224</v>
      </c>
      <c r="I433" s="1096" t="s">
        <v>5224</v>
      </c>
      <c r="J433" s="1096" t="s">
        <v>5224</v>
      </c>
      <c r="K433" s="1096" t="s">
        <v>5224</v>
      </c>
      <c r="L433" s="1096">
        <v>0</v>
      </c>
      <c r="M433" s="1096" t="s">
        <v>5224</v>
      </c>
      <c r="N433" s="1096" t="s">
        <v>4631</v>
      </c>
      <c r="O433" s="1113"/>
      <c r="P433" s="1113" t="s">
        <v>13</v>
      </c>
      <c r="S433" s="1113" t="s">
        <v>53</v>
      </c>
      <c r="T433" s="1113"/>
      <c r="U433" s="1027">
        <f>IF('Main Creation Page'!$K$5=3,6,3)</f>
        <v>6</v>
      </c>
      <c r="V433" s="1027">
        <f>IF((AP433+U433+VLOOKUP('Main Creation Page'!E$14,'System Lookups'!R$45:S$49,2))&gt;10,10,IF((AP433+U433+VLOOKUP('Main Creation Page'!E$14,'System Lookups'!R$45:S$49,2))&lt;1,1,(AP433+U433+VLOOKUP('Main Creation Page'!E$14,'System Lookups'!R$45:S$49,2))))</f>
        <v>7</v>
      </c>
      <c r="W433" s="1098" t="e">
        <f>IF(OR(I433&lt;&gt;"N",E433="C"),IF(AND(N433&lt;&gt;"T",ISNUMBER(FIND("V",I433))),1,0),NA())+IF(H433="Y",IF(AND(N433="P",ISNUMBER(FIND("Z",I433))),2,1),0)+IF(J433="Y",1,0)+IF(K433="Y",3,0)+IF(BE433="Lore",L433*2+Experience!$D$25,0)+IF(M433="Y",1,0)</f>
        <v>#N/A</v>
      </c>
      <c r="X433" s="1099"/>
      <c r="Y433" s="1100">
        <f ca="1">IF(P433="NS",IFERROR(INDIRECT(S433),NA()),VLOOKUP(INDIRECT(P433)+INDIRECT(S433),'System Lookups'!$A$3:$D$146,2))</f>
        <v>0.08</v>
      </c>
      <c r="Z433" s="1100">
        <f t="shared" si="453"/>
        <v>0</v>
      </c>
      <c r="AA433" s="1101">
        <f ca="1">IF(ISNA(Y433),0,Y433)+Z433+IF('Main Creation Page'!AB$2=37,'Main Creation Page'!E$14/100,0)</f>
        <v>0.08</v>
      </c>
      <c r="AB433" s="1102">
        <f>VLOOKUP(V433,'System Lookups'!$J$55:$P$64,3)</f>
        <v>0.03</v>
      </c>
      <c r="AC433" s="1103">
        <f>VLOOKUP(V433,'System Lookups'!$J$55:$P$64,4)</f>
        <v>7.0000000000000007E-2</v>
      </c>
      <c r="AD433" s="1104">
        <f t="shared" si="454"/>
        <v>0</v>
      </c>
      <c r="AE433" s="1094">
        <f>(IF(AD433&gt;VLOOKUP(V433,'System Lookups'!$J$55:$P$63,6),(((AD433-VLOOKUP(V433,'System Lookups'!$J$55:$P$63,6))*100)/20),0))+AF433</f>
        <v>0</v>
      </c>
      <c r="AF433" s="1121"/>
      <c r="AG433" s="1092">
        <f t="shared" si="455"/>
        <v>0</v>
      </c>
      <c r="AH433" s="1092" t="str">
        <f>IF(X433&lt;=Experience!$R$15+1,"","*")</f>
        <v/>
      </c>
      <c r="AI433" s="1092"/>
      <c r="AJ433" s="1080">
        <f t="shared" si="456"/>
        <v>0</v>
      </c>
      <c r="AK433" s="1080">
        <f t="shared" si="457"/>
        <v>0</v>
      </c>
      <c r="AL433" s="1080">
        <f t="shared" si="458"/>
        <v>0</v>
      </c>
      <c r="AM433" s="1092">
        <f t="shared" si="459"/>
        <v>0</v>
      </c>
      <c r="AN433" s="1080">
        <f t="shared" si="460"/>
        <v>1</v>
      </c>
      <c r="AO433" s="1080">
        <f t="shared" si="461"/>
        <v>0</v>
      </c>
      <c r="AP433" s="1080">
        <f t="shared" si="462"/>
        <v>1</v>
      </c>
      <c r="AQ433" s="1027">
        <f>VLOOKUP(V433,'System Lookups'!$J$55:$P$64,7)</f>
        <v>1000</v>
      </c>
      <c r="AR433" s="1080" t="str">
        <f ca="1">IF(AND(NOT(ISBLANK(AJ433)),ISNA(MATCH(ROW(),'System Lookups'!$C$526:$C$539,0))),"Y","N")</f>
        <v>Y</v>
      </c>
      <c r="AS433" s="1080">
        <f t="shared" si="463"/>
        <v>0</v>
      </c>
      <c r="AU433" s="1080" t="e">
        <f t="shared" si="432"/>
        <v>#N/A</v>
      </c>
      <c r="AV433" s="1080" t="str">
        <f t="shared" si="429"/>
        <v>T</v>
      </c>
      <c r="AW433" s="1080">
        <f t="shared" si="433"/>
        <v>0</v>
      </c>
      <c r="AX433" s="1080">
        <f t="shared" si="434"/>
        <v>0</v>
      </c>
      <c r="AY433" s="1080">
        <f t="shared" si="435"/>
        <v>0</v>
      </c>
      <c r="AZ433" s="1080">
        <f t="shared" si="436"/>
        <v>0</v>
      </c>
      <c r="BA433" s="1080">
        <f t="shared" si="437"/>
        <v>0</v>
      </c>
      <c r="BB433" s="1080">
        <f>IF(AND(RACE=1,'Main Creation Page'!$E$6="Well",OR(ISNUMBER(FIND(Experience!$G$11,BE433)),ISNUMBER(FIND(Experience!$G$11,BF433)),ISNUMBER(FIND(Experience!$I$11,BE433)),ISNUMBER(FIND(Experience!$I$11,BF433)))),1,0)</f>
        <v>1</v>
      </c>
      <c r="BC433" s="1080" t="str">
        <f t="shared" si="438"/>
        <v>Foreign (Anc.):Mednan</v>
      </c>
      <c r="BD433" s="1080" t="s">
        <v>5692</v>
      </c>
      <c r="BE433" s="1080" t="str">
        <f t="shared" si="430"/>
        <v>Lore</v>
      </c>
      <c r="BF433" s="1080" t="str">
        <f t="shared" si="431"/>
        <v>Language Lore: Written</v>
      </c>
    </row>
    <row r="434" spans="1:58" ht="11.1" customHeight="1" outlineLevel="3">
      <c r="A434" s="1028" t="str">
        <f>IF('Main Creation Page'!$K$5=3, "Slaven","Hebrew")</f>
        <v>Slaven</v>
      </c>
      <c r="B434" s="1094" t="s">
        <v>1942</v>
      </c>
      <c r="C434" s="1094"/>
      <c r="D434" s="1094"/>
      <c r="E434" s="1095" t="s">
        <v>5224</v>
      </c>
      <c r="F434" s="1095" t="s">
        <v>5224</v>
      </c>
      <c r="G434" s="1096">
        <v>0</v>
      </c>
      <c r="H434" s="1096" t="s">
        <v>5224</v>
      </c>
      <c r="I434" s="1096" t="s">
        <v>5224</v>
      </c>
      <c r="J434" s="1096" t="s">
        <v>5224</v>
      </c>
      <c r="K434" s="1096" t="s">
        <v>5224</v>
      </c>
      <c r="L434" s="1096">
        <v>0</v>
      </c>
      <c r="M434" s="1096" t="s">
        <v>5224</v>
      </c>
      <c r="N434" s="1096" t="s">
        <v>4631</v>
      </c>
      <c r="O434" s="1113"/>
      <c r="P434" s="1113" t="s">
        <v>13</v>
      </c>
      <c r="S434" s="1113" t="s">
        <v>53</v>
      </c>
      <c r="T434" s="1113"/>
      <c r="U434" s="1027">
        <f>IF('Main Creation Page'!$K$5=3,6,3)</f>
        <v>6</v>
      </c>
      <c r="V434" s="1027">
        <f>IF((AP434+U434+VLOOKUP('Main Creation Page'!E$14,'System Lookups'!R$45:S$49,2))&gt;10,10,IF((AP434+U434+VLOOKUP('Main Creation Page'!E$14,'System Lookups'!R$45:S$49,2))&lt;1,1,(AP434+U434+VLOOKUP('Main Creation Page'!E$14,'System Lookups'!R$45:S$49,2))))</f>
        <v>7</v>
      </c>
      <c r="W434" s="1098" t="e">
        <f>IF(OR(I434&lt;&gt;"N",E434="C"),IF(AND(N434&lt;&gt;"T",ISNUMBER(FIND("V",I434))),1,0),NA())+IF(H434="Y",IF(AND(N434="P",ISNUMBER(FIND("Z",I434))),2,1),0)+IF(J434="Y",1,0)+IF(K434="Y",3,0)+IF(BE434="Lore",L434*2+Experience!$D$25,0)+IF(M434="Y",1,0)</f>
        <v>#N/A</v>
      </c>
      <c r="X434" s="1099"/>
      <c r="Y434" s="1100">
        <f ca="1">IF(P434="NS",IFERROR(INDIRECT(S434),NA()),VLOOKUP(INDIRECT(P434)+INDIRECT(S434),'System Lookups'!$A$3:$D$146,2))</f>
        <v>0.08</v>
      </c>
      <c r="Z434" s="1100">
        <f t="shared" si="453"/>
        <v>0</v>
      </c>
      <c r="AA434" s="1101">
        <f ca="1">IF(ISNA(Y434),0,Y434)+Z434+IF('Main Creation Page'!AB$2=37,'Main Creation Page'!E$14/100,0)</f>
        <v>0.08</v>
      </c>
      <c r="AB434" s="1102">
        <f>VLOOKUP(V434,'System Lookups'!$J$55:$P$64,3)</f>
        <v>0.03</v>
      </c>
      <c r="AC434" s="1103">
        <f>VLOOKUP(V434,'System Lookups'!$J$55:$P$64,4)</f>
        <v>7.0000000000000007E-2</v>
      </c>
      <c r="AD434" s="1104">
        <f t="shared" si="454"/>
        <v>0</v>
      </c>
      <c r="AE434" s="1094">
        <f>(IF(AD434&gt;VLOOKUP(V434,'System Lookups'!$J$55:$P$63,6),(((AD434-VLOOKUP(V434,'System Lookups'!$J$55:$P$63,6))*100)/20),0))+AF434</f>
        <v>0</v>
      </c>
      <c r="AF434" s="1121"/>
      <c r="AG434" s="1092">
        <f t="shared" si="455"/>
        <v>0</v>
      </c>
      <c r="AH434" s="1092" t="str">
        <f>IF(X434&lt;=Experience!$R$15+1,"","*")</f>
        <v/>
      </c>
      <c r="AI434" s="1092"/>
      <c r="AJ434" s="1080">
        <f t="shared" si="456"/>
        <v>0</v>
      </c>
      <c r="AK434" s="1080">
        <f t="shared" si="457"/>
        <v>0</v>
      </c>
      <c r="AL434" s="1080">
        <f t="shared" si="458"/>
        <v>0</v>
      </c>
      <c r="AM434" s="1092">
        <f t="shared" si="459"/>
        <v>0</v>
      </c>
      <c r="AN434" s="1080">
        <f t="shared" si="460"/>
        <v>1</v>
      </c>
      <c r="AO434" s="1080">
        <f t="shared" si="461"/>
        <v>0</v>
      </c>
      <c r="AP434" s="1080">
        <f t="shared" si="462"/>
        <v>1</v>
      </c>
      <c r="AQ434" s="1027">
        <f>VLOOKUP(V434,'System Lookups'!$J$55:$P$64,7)</f>
        <v>1000</v>
      </c>
      <c r="AR434" s="1080" t="str">
        <f ca="1">IF(AND(NOT(ISBLANK(AJ434)),ISNA(MATCH(ROW(),'System Lookups'!$C$526:$C$539,0))),"Y","N")</f>
        <v>Y</v>
      </c>
      <c r="AS434" s="1080">
        <f t="shared" si="463"/>
        <v>0</v>
      </c>
      <c r="AU434" s="1080" t="e">
        <f t="shared" si="432"/>
        <v>#N/A</v>
      </c>
      <c r="AV434" s="1080" t="str">
        <f t="shared" si="429"/>
        <v>T</v>
      </c>
      <c r="AW434" s="1080">
        <f t="shared" si="433"/>
        <v>0</v>
      </c>
      <c r="AX434" s="1080">
        <f t="shared" si="434"/>
        <v>0</v>
      </c>
      <c r="AY434" s="1080">
        <f t="shared" si="435"/>
        <v>0</v>
      </c>
      <c r="AZ434" s="1080">
        <f t="shared" si="436"/>
        <v>0</v>
      </c>
      <c r="BA434" s="1080">
        <f t="shared" si="437"/>
        <v>0</v>
      </c>
      <c r="BB434" s="1080">
        <f>IF(AND(RACE=1,'Main Creation Page'!$E$6="Well",OR(ISNUMBER(FIND(Experience!$G$11,BE434)),ISNUMBER(FIND(Experience!$G$11,BF434)),ISNUMBER(FIND(Experience!$I$11,BE434)),ISNUMBER(FIND(Experience!$I$11,BF434)))),1,0)</f>
        <v>1</v>
      </c>
      <c r="BC434" s="1080" t="str">
        <f t="shared" si="438"/>
        <v>Foreign (Anc.):Slaven</v>
      </c>
      <c r="BD434" s="1080" t="s">
        <v>5692</v>
      </c>
      <c r="BE434" s="1080" t="str">
        <f t="shared" si="430"/>
        <v>Lore</v>
      </c>
      <c r="BF434" s="1080" t="str">
        <f t="shared" si="431"/>
        <v>Language Lore: Written</v>
      </c>
    </row>
    <row r="435" spans="1:58" ht="11.1" customHeight="1" outlineLevel="3">
      <c r="A435" s="1028" t="str">
        <f>IF('Main Creation Page'!$K$5=3,"Lorn","Latin")</f>
        <v>Lorn</v>
      </c>
      <c r="B435" s="1094" t="s">
        <v>1942</v>
      </c>
      <c r="C435" s="1094"/>
      <c r="D435" s="1094"/>
      <c r="E435" s="1095" t="s">
        <v>5224</v>
      </c>
      <c r="F435" s="1095" t="s">
        <v>5224</v>
      </c>
      <c r="G435" s="1096">
        <v>0</v>
      </c>
      <c r="H435" s="1096" t="s">
        <v>5224</v>
      </c>
      <c r="I435" s="1096" t="s">
        <v>5224</v>
      </c>
      <c r="J435" s="1096" t="s">
        <v>5224</v>
      </c>
      <c r="K435" s="1096" t="s">
        <v>5224</v>
      </c>
      <c r="L435" s="1096">
        <v>0</v>
      </c>
      <c r="M435" s="1096" t="s">
        <v>5224</v>
      </c>
      <c r="N435" s="1096" t="s">
        <v>4631</v>
      </c>
      <c r="O435" s="1113"/>
      <c r="P435" s="1113" t="s">
        <v>13</v>
      </c>
      <c r="S435" s="1113" t="s">
        <v>53</v>
      </c>
      <c r="T435" s="1113"/>
      <c r="U435" s="1027">
        <f>IF('Main Creation Page'!$K$5=3,6,3)</f>
        <v>6</v>
      </c>
      <c r="V435" s="1027">
        <f>IF((AP435+U435+VLOOKUP('Main Creation Page'!E$14,'System Lookups'!R$45:S$49,2))&gt;10,10,IF((AP435+U435+VLOOKUP('Main Creation Page'!E$14,'System Lookups'!R$45:S$49,2))&lt;1,1,(AP435+U435+VLOOKUP('Main Creation Page'!E$14,'System Lookups'!R$45:S$49,2))))</f>
        <v>7</v>
      </c>
      <c r="W435" s="1098" t="e">
        <f>IF(OR(I435&lt;&gt;"N",E435="C"),IF(AND(N435&lt;&gt;"T",ISNUMBER(FIND("V",I435))),1,0),NA())+IF(H435="Y",IF(AND(N435="P",ISNUMBER(FIND("Z",I435))),2,1),0)+IF(J435="Y",1,0)+IF(K435="Y",3,0)+IF(BE435="Lore",L435*2+Experience!$D$25,0)+IF(M435="Y",1,0)</f>
        <v>#N/A</v>
      </c>
      <c r="X435" s="1099"/>
      <c r="Y435" s="1100">
        <f ca="1">IF(P435="NS",IFERROR(INDIRECT(S435),NA()),VLOOKUP(INDIRECT(P435)+INDIRECT(S435),'System Lookups'!$A$3:$D$146,2))</f>
        <v>0.08</v>
      </c>
      <c r="Z435" s="1100">
        <f t="shared" si="453"/>
        <v>0</v>
      </c>
      <c r="AA435" s="1101">
        <f ca="1">IF(ISNA(Y435),0,Y435)+Z435+IF('Main Creation Page'!AB$2=37,'Main Creation Page'!E$14/100,0)</f>
        <v>0.08</v>
      </c>
      <c r="AB435" s="1102">
        <f>VLOOKUP(V435,'System Lookups'!$J$55:$P$64,3)</f>
        <v>0.03</v>
      </c>
      <c r="AC435" s="1103">
        <f>VLOOKUP(V435,'System Lookups'!$J$55:$P$64,4)</f>
        <v>7.0000000000000007E-2</v>
      </c>
      <c r="AD435" s="1104">
        <f t="shared" si="454"/>
        <v>0</v>
      </c>
      <c r="AE435" s="1094">
        <f>(IF(AD435&gt;VLOOKUP(V435,'System Lookups'!$J$55:$P$63,6),(((AD435-VLOOKUP(V435,'System Lookups'!$J$55:$P$63,6))*100)/20),0))+AF435</f>
        <v>0</v>
      </c>
      <c r="AF435" s="1121"/>
      <c r="AG435" s="1092">
        <f t="shared" si="455"/>
        <v>0</v>
      </c>
      <c r="AH435" s="1092" t="str">
        <f>IF(X435&lt;=Experience!$R$15+1,"","*")</f>
        <v/>
      </c>
      <c r="AI435" s="1092"/>
      <c r="AJ435" s="1080">
        <f t="shared" si="456"/>
        <v>0</v>
      </c>
      <c r="AK435" s="1080">
        <f t="shared" si="457"/>
        <v>0</v>
      </c>
      <c r="AL435" s="1080">
        <f t="shared" si="458"/>
        <v>0</v>
      </c>
      <c r="AM435" s="1092">
        <f t="shared" si="459"/>
        <v>0</v>
      </c>
      <c r="AN435" s="1080">
        <f t="shared" si="460"/>
        <v>1</v>
      </c>
      <c r="AO435" s="1080">
        <f t="shared" si="461"/>
        <v>0</v>
      </c>
      <c r="AP435" s="1080">
        <f t="shared" si="462"/>
        <v>1</v>
      </c>
      <c r="AQ435" s="1027">
        <f>VLOOKUP(V435,'System Lookups'!$J$55:$P$64,7)</f>
        <v>1000</v>
      </c>
      <c r="AR435" s="1080" t="str">
        <f ca="1">IF(AND(NOT(ISBLANK(AJ435)),ISNA(MATCH(ROW(),'System Lookups'!$C$526:$C$539,0))),"Y","N")</f>
        <v>Y</v>
      </c>
      <c r="AS435" s="1080">
        <f t="shared" si="463"/>
        <v>0</v>
      </c>
      <c r="AU435" s="1080" t="e">
        <f t="shared" si="432"/>
        <v>#N/A</v>
      </c>
      <c r="AV435" s="1080" t="str">
        <f t="shared" si="429"/>
        <v>T</v>
      </c>
      <c r="AW435" s="1080">
        <f t="shared" si="433"/>
        <v>0</v>
      </c>
      <c r="AX435" s="1080">
        <f t="shared" si="434"/>
        <v>0</v>
      </c>
      <c r="AY435" s="1080">
        <f t="shared" si="435"/>
        <v>0</v>
      </c>
      <c r="AZ435" s="1080">
        <f t="shared" si="436"/>
        <v>0</v>
      </c>
      <c r="BA435" s="1080">
        <f t="shared" si="437"/>
        <v>0</v>
      </c>
      <c r="BB435" s="1080">
        <f>IF(AND(RACE=1,'Main Creation Page'!$E$6="Well",OR(ISNUMBER(FIND(Experience!$G$11,BE435)),ISNUMBER(FIND(Experience!$G$11,BF435)),ISNUMBER(FIND(Experience!$I$11,BE435)),ISNUMBER(FIND(Experience!$I$11,BF435)))),1,0)</f>
        <v>1</v>
      </c>
      <c r="BC435" s="1080" t="str">
        <f t="shared" si="438"/>
        <v>Foreign (Anc.):Lorn</v>
      </c>
      <c r="BD435" s="1080" t="s">
        <v>5692</v>
      </c>
      <c r="BE435" s="1080" t="str">
        <f t="shared" si="430"/>
        <v>Lore</v>
      </c>
      <c r="BF435" s="1080" t="str">
        <f t="shared" si="431"/>
        <v>Language Lore: Written</v>
      </c>
    </row>
    <row r="436" spans="1:58" ht="11.1" customHeight="1" outlineLevel="3">
      <c r="A436" s="1028" t="str">
        <f>IF('Main Creation Page'!$K$5=3, "Ancient Lands","Phoenician")</f>
        <v>Ancient Lands</v>
      </c>
      <c r="B436" s="1094" t="s">
        <v>1942</v>
      </c>
      <c r="C436" s="1094"/>
      <c r="D436" s="1094"/>
      <c r="E436" s="1095" t="s">
        <v>5224</v>
      </c>
      <c r="F436" s="1095" t="s">
        <v>5224</v>
      </c>
      <c r="G436" s="1096">
        <v>0</v>
      </c>
      <c r="H436" s="1096" t="s">
        <v>5224</v>
      </c>
      <c r="I436" s="1096" t="s">
        <v>5224</v>
      </c>
      <c r="J436" s="1096" t="s">
        <v>5224</v>
      </c>
      <c r="K436" s="1096" t="s">
        <v>5224</v>
      </c>
      <c r="L436" s="1096">
        <v>0</v>
      </c>
      <c r="M436" s="1096" t="s">
        <v>5224</v>
      </c>
      <c r="N436" s="1096" t="s">
        <v>4631</v>
      </c>
      <c r="O436" s="1113"/>
      <c r="P436" s="1113" t="s">
        <v>13</v>
      </c>
      <c r="S436" s="1113" t="s">
        <v>53</v>
      </c>
      <c r="T436" s="1113"/>
      <c r="U436" s="1027">
        <f>IF('Main Creation Page'!$K$5=3,6,3)</f>
        <v>6</v>
      </c>
      <c r="V436" s="1027">
        <f>IF((AP436+U436+VLOOKUP('Main Creation Page'!E$14,'System Lookups'!R$45:S$49,2))&gt;10,10,IF((AP436+U436+VLOOKUP('Main Creation Page'!E$14,'System Lookups'!R$45:S$49,2))&lt;1,1,(AP436+U436+VLOOKUP('Main Creation Page'!E$14,'System Lookups'!R$45:S$49,2))))</f>
        <v>7</v>
      </c>
      <c r="W436" s="1098" t="e">
        <f>IF(OR(I436&lt;&gt;"N",E436="C"),IF(AND(N436&lt;&gt;"T",ISNUMBER(FIND("V",I436))),1,0),NA())+IF(H436="Y",IF(AND(N436="P",ISNUMBER(FIND("Z",I436))),2,1),0)+IF(J436="Y",1,0)+IF(K436="Y",3,0)+IF(BE436="Lore",L436*2+Experience!$D$25,0)+IF(M436="Y",1,0)</f>
        <v>#N/A</v>
      </c>
      <c r="X436" s="1099"/>
      <c r="Y436" s="1100">
        <f ca="1">IF(P436="NS",IFERROR(INDIRECT(S436),NA()),VLOOKUP(INDIRECT(P436)+INDIRECT(S436),'System Lookups'!$A$3:$D$146,2))</f>
        <v>0.08</v>
      </c>
      <c r="Z436" s="1100">
        <f t="shared" si="453"/>
        <v>0</v>
      </c>
      <c r="AA436" s="1101">
        <f ca="1">IF(ISNA(Y436),0,Y436)+Z436+IF('Main Creation Page'!AB$2=37,'Main Creation Page'!E$14/100,0)</f>
        <v>0.08</v>
      </c>
      <c r="AB436" s="1102">
        <f>VLOOKUP(V436,'System Lookups'!$J$55:$P$64,3)</f>
        <v>0.03</v>
      </c>
      <c r="AC436" s="1103">
        <f>VLOOKUP(V436,'System Lookups'!$J$55:$P$64,4)</f>
        <v>7.0000000000000007E-2</v>
      </c>
      <c r="AD436" s="1104">
        <f t="shared" si="454"/>
        <v>0</v>
      </c>
      <c r="AE436" s="1094">
        <f>(IF(AD436&gt;VLOOKUP(V436,'System Lookups'!$J$55:$P$63,6),(((AD436-VLOOKUP(V436,'System Lookups'!$J$55:$P$63,6))*100)/20),0))+AF436</f>
        <v>0</v>
      </c>
      <c r="AF436" s="1121"/>
      <c r="AG436" s="1092">
        <f t="shared" si="455"/>
        <v>0</v>
      </c>
      <c r="AH436" s="1092" t="str">
        <f>IF(X436&lt;=Experience!$R$15+1,"","*")</f>
        <v/>
      </c>
      <c r="AI436" s="1092"/>
      <c r="AJ436" s="1080">
        <f t="shared" si="456"/>
        <v>0</v>
      </c>
      <c r="AK436" s="1080">
        <f t="shared" si="457"/>
        <v>0</v>
      </c>
      <c r="AL436" s="1080">
        <f t="shared" si="458"/>
        <v>0</v>
      </c>
      <c r="AM436" s="1092">
        <f t="shared" si="459"/>
        <v>0</v>
      </c>
      <c r="AN436" s="1080">
        <f t="shared" si="460"/>
        <v>1</v>
      </c>
      <c r="AO436" s="1080">
        <f t="shared" si="461"/>
        <v>0</v>
      </c>
      <c r="AP436" s="1080">
        <f t="shared" si="462"/>
        <v>1</v>
      </c>
      <c r="AQ436" s="1027">
        <f>VLOOKUP(V436,'System Lookups'!$J$55:$P$64,7)</f>
        <v>1000</v>
      </c>
      <c r="AR436" s="1080" t="str">
        <f ca="1">IF(AND(NOT(ISBLANK(AJ436)),ISNA(MATCH(ROW(),'System Lookups'!$C$526:$C$539,0))),"Y","N")</f>
        <v>Y</v>
      </c>
      <c r="AS436" s="1080">
        <f t="shared" si="463"/>
        <v>0</v>
      </c>
      <c r="AU436" s="1080" t="e">
        <f t="shared" si="432"/>
        <v>#N/A</v>
      </c>
      <c r="AV436" s="1080" t="str">
        <f t="shared" si="429"/>
        <v>T</v>
      </c>
      <c r="AW436" s="1080">
        <f t="shared" si="433"/>
        <v>0</v>
      </c>
      <c r="AX436" s="1080">
        <f t="shared" si="434"/>
        <v>0</v>
      </c>
      <c r="AY436" s="1080">
        <f t="shared" si="435"/>
        <v>0</v>
      </c>
      <c r="AZ436" s="1080">
        <f t="shared" si="436"/>
        <v>0</v>
      </c>
      <c r="BA436" s="1080">
        <f t="shared" si="437"/>
        <v>0</v>
      </c>
      <c r="BB436" s="1080">
        <f>IF(AND(RACE=1,'Main Creation Page'!$E$6="Well",OR(ISNUMBER(FIND(Experience!$G$11,BE436)),ISNUMBER(FIND(Experience!$G$11,BF436)),ISNUMBER(FIND(Experience!$I$11,BE436)),ISNUMBER(FIND(Experience!$I$11,BF436)))),1,0)</f>
        <v>1</v>
      </c>
      <c r="BC436" s="1080" t="str">
        <f t="shared" si="438"/>
        <v>Foreign (Anc.):Ancient Lands</v>
      </c>
      <c r="BD436" s="1080" t="s">
        <v>5692</v>
      </c>
      <c r="BE436" s="1080" t="str">
        <f t="shared" si="430"/>
        <v>Lore</v>
      </c>
      <c r="BF436" s="1080" t="str">
        <f t="shared" si="431"/>
        <v>Language Lore: Written</v>
      </c>
    </row>
    <row r="437" spans="1:58" ht="11.1" customHeight="1" outlineLevel="3">
      <c r="A437" s="1028" t="str">
        <f>IF('Main Creation Page'!$K$5=3, "Telnar","Sumerian")</f>
        <v>Telnar</v>
      </c>
      <c r="B437" s="1094" t="s">
        <v>1942</v>
      </c>
      <c r="C437" s="1094"/>
      <c r="D437" s="1094"/>
      <c r="E437" s="1095" t="s">
        <v>5224</v>
      </c>
      <c r="F437" s="1095" t="s">
        <v>5224</v>
      </c>
      <c r="G437" s="1096">
        <v>0</v>
      </c>
      <c r="H437" s="1096" t="s">
        <v>5224</v>
      </c>
      <c r="I437" s="1096" t="s">
        <v>5224</v>
      </c>
      <c r="J437" s="1096" t="s">
        <v>5224</v>
      </c>
      <c r="K437" s="1096" t="s">
        <v>5224</v>
      </c>
      <c r="L437" s="1096">
        <v>0</v>
      </c>
      <c r="M437" s="1096" t="s">
        <v>5224</v>
      </c>
      <c r="N437" s="1096" t="s">
        <v>4631</v>
      </c>
      <c r="O437" s="1113"/>
      <c r="P437" s="1113" t="s">
        <v>13</v>
      </c>
      <c r="S437" s="1113" t="s">
        <v>53</v>
      </c>
      <c r="T437" s="1113"/>
      <c r="U437" s="1027">
        <f>IF('Main Creation Page'!$K$5=3,7,3)</f>
        <v>7</v>
      </c>
      <c r="V437" s="1027">
        <f>IF((AP437+U437+VLOOKUP('Main Creation Page'!E$14,'System Lookups'!R$45:S$49,2))&gt;10,10,IF((AP437+U437+VLOOKUP('Main Creation Page'!E$14,'System Lookups'!R$45:S$49,2))&lt;1,1,(AP437+U437+VLOOKUP('Main Creation Page'!E$14,'System Lookups'!R$45:S$49,2))))</f>
        <v>8</v>
      </c>
      <c r="W437" s="1098" t="e">
        <f>IF(OR(I437&lt;&gt;"N",E437="C"),IF(AND(N437&lt;&gt;"T",ISNUMBER(FIND("V",I437))),1,0),NA())+IF(H437="Y",IF(AND(N437="P",ISNUMBER(FIND("Z",I437))),2,1),0)+IF(J437="Y",1,0)+IF(K437="Y",3,0)+IF(BE437="Lore",L437*2+Experience!$D$25,0)+IF(M437="Y",1,0)</f>
        <v>#N/A</v>
      </c>
      <c r="X437" s="1099"/>
      <c r="Y437" s="1100">
        <f ca="1">IF(P437="NS",IFERROR(INDIRECT(S437),NA()),VLOOKUP(INDIRECT(P437)+INDIRECT(S437),'System Lookups'!$A$3:$D$146,2))</f>
        <v>0.08</v>
      </c>
      <c r="Z437" s="1100">
        <f t="shared" si="453"/>
        <v>0</v>
      </c>
      <c r="AA437" s="1101">
        <f ca="1">IF(ISNA(Y437),0,Y437)+Z437+IF('Main Creation Page'!AB$2=37,'Main Creation Page'!E$14/100,0)</f>
        <v>0.08</v>
      </c>
      <c r="AB437" s="1102">
        <f>VLOOKUP(V437,'System Lookups'!$J$55:$P$64,3)</f>
        <v>0.02</v>
      </c>
      <c r="AC437" s="1103">
        <f>VLOOKUP(V437,'System Lookups'!$J$55:$P$64,4)</f>
        <v>0.03</v>
      </c>
      <c r="AD437" s="1104">
        <f t="shared" si="454"/>
        <v>0</v>
      </c>
      <c r="AE437" s="1094">
        <f>(IF(AD437&gt;VLOOKUP(V437,'System Lookups'!$J$55:$P$63,6),(((AD437-VLOOKUP(V437,'System Lookups'!$J$55:$P$63,6))*100)/20),0))+AF437</f>
        <v>0</v>
      </c>
      <c r="AF437" s="1121"/>
      <c r="AG437" s="1092">
        <f t="shared" si="455"/>
        <v>0</v>
      </c>
      <c r="AH437" s="1092" t="str">
        <f>IF(X437&lt;=Experience!$R$15+1,"","*")</f>
        <v/>
      </c>
      <c r="AI437" s="1092"/>
      <c r="AJ437" s="1080">
        <f t="shared" si="456"/>
        <v>0</v>
      </c>
      <c r="AK437" s="1080">
        <f t="shared" si="457"/>
        <v>0</v>
      </c>
      <c r="AL437" s="1080">
        <f t="shared" si="458"/>
        <v>0</v>
      </c>
      <c r="AM437" s="1092">
        <f t="shared" si="459"/>
        <v>0</v>
      </c>
      <c r="AN437" s="1080">
        <f t="shared" si="460"/>
        <v>1</v>
      </c>
      <c r="AO437" s="1080">
        <f t="shared" si="461"/>
        <v>0</v>
      </c>
      <c r="AP437" s="1080">
        <f t="shared" si="462"/>
        <v>1</v>
      </c>
      <c r="AQ437" s="1027">
        <f>VLOOKUP(V437,'System Lookups'!$J$55:$P$64,7)</f>
        <v>1200</v>
      </c>
      <c r="AR437" s="1080" t="str">
        <f ca="1">IF(AND(NOT(ISBLANK(AJ437)),ISNA(MATCH(ROW(),'System Lookups'!$C$526:$C$539,0))),"Y","N")</f>
        <v>Y</v>
      </c>
      <c r="AS437" s="1080">
        <f t="shared" si="463"/>
        <v>0</v>
      </c>
      <c r="AU437" s="1080" t="e">
        <f t="shared" si="432"/>
        <v>#N/A</v>
      </c>
      <c r="AV437" s="1080" t="str">
        <f t="shared" si="429"/>
        <v>T</v>
      </c>
      <c r="AW437" s="1080">
        <f t="shared" si="433"/>
        <v>0</v>
      </c>
      <c r="AX437" s="1080">
        <f t="shared" si="434"/>
        <v>0</v>
      </c>
      <c r="AY437" s="1080">
        <f t="shared" si="435"/>
        <v>0</v>
      </c>
      <c r="AZ437" s="1080">
        <f t="shared" si="436"/>
        <v>0</v>
      </c>
      <c r="BA437" s="1080">
        <f t="shared" si="437"/>
        <v>0</v>
      </c>
      <c r="BB437" s="1080">
        <f>IF(AND(RACE=1,'Main Creation Page'!$E$6="Well",OR(ISNUMBER(FIND(Experience!$G$11,BE437)),ISNUMBER(FIND(Experience!$G$11,BF437)),ISNUMBER(FIND(Experience!$I$11,BE437)),ISNUMBER(FIND(Experience!$I$11,BF437)))),1,0)</f>
        <v>1</v>
      </c>
      <c r="BC437" s="1080" t="str">
        <f t="shared" si="438"/>
        <v>Foreign (Anc.):Telnar</v>
      </c>
      <c r="BD437" s="1080" t="s">
        <v>5692</v>
      </c>
      <c r="BE437" s="1080" t="str">
        <f t="shared" si="430"/>
        <v>Lore</v>
      </c>
      <c r="BF437" s="1080" t="str">
        <f t="shared" si="431"/>
        <v>Language Lore: Written</v>
      </c>
    </row>
    <row r="438" spans="1:58" ht="11.1" customHeight="1" outlineLevel="3">
      <c r="A438" s="1140" t="s">
        <v>1516</v>
      </c>
      <c r="B438" s="1111"/>
      <c r="C438" s="1111"/>
      <c r="D438" s="1111"/>
      <c r="G438" s="1141"/>
      <c r="W438" s="1112"/>
      <c r="AE438" s="1094"/>
      <c r="AF438" s="1121"/>
      <c r="AQ438" s="1027"/>
      <c r="AR438" s="1080" t="str">
        <f ca="1">IF(AND(NOT(ISBLANK(AJ438)),ISNA(MATCH(ROW(),'System Lookups'!$C$526:$C$539,0))),"Y","N")</f>
        <v>N</v>
      </c>
      <c r="AU438" s="1080" t="e">
        <f t="shared" si="432"/>
        <v>#N/A</v>
      </c>
      <c r="AV438" s="1080" t="str">
        <f t="shared" si="429"/>
        <v/>
      </c>
      <c r="AW438" s="1080">
        <f t="shared" si="433"/>
        <v>0</v>
      </c>
      <c r="AX438" s="1080">
        <f t="shared" si="434"/>
        <v>0</v>
      </c>
      <c r="AY438" s="1080">
        <f t="shared" si="435"/>
        <v>0</v>
      </c>
      <c r="AZ438" s="1080">
        <f t="shared" si="436"/>
        <v>0</v>
      </c>
      <c r="BA438" s="1080">
        <f t="shared" si="437"/>
        <v>0</v>
      </c>
      <c r="BB438" s="1080">
        <f>IF(AND(RACE=1,'Main Creation Page'!$E$6="Well",OR(ISNUMBER(FIND(Experience!$G$11,BE438)),ISNUMBER(FIND(Experience!$G$11,BF438)),ISNUMBER(FIND(Experience!$I$11,BE438)),ISNUMBER(FIND(Experience!$I$11,BF438)))),1,0)</f>
        <v>1</v>
      </c>
      <c r="BC438" s="1080" t="e">
        <f t="shared" si="438"/>
        <v>#N/A</v>
      </c>
      <c r="BE438" s="1080" t="str">
        <f t="shared" si="430"/>
        <v>Lore</v>
      </c>
      <c r="BF438" s="1080" t="str">
        <f t="shared" si="431"/>
        <v>Language Lore: Written</v>
      </c>
    </row>
    <row r="439" spans="1:58" ht="11.1" customHeight="1" outlineLevel="2">
      <c r="A439" s="1028" t="str">
        <f>CONCATENATE("Mage Speech",IF('Main Creation Page'!K5=3," (Coniron)", " "))</f>
        <v>Mage Speech (Coniron)</v>
      </c>
      <c r="B439" s="1094" t="s">
        <v>1942</v>
      </c>
      <c r="C439" s="1094"/>
      <c r="D439" s="1094"/>
      <c r="E439" s="1095" t="s">
        <v>5224</v>
      </c>
      <c r="F439" s="1095" t="s">
        <v>5224</v>
      </c>
      <c r="G439" s="1096">
        <v>0</v>
      </c>
      <c r="H439" s="1096" t="s">
        <v>5224</v>
      </c>
      <c r="I439" s="1096" t="s">
        <v>5224</v>
      </c>
      <c r="J439" s="1096" t="s">
        <v>5224</v>
      </c>
      <c r="K439" s="1096" t="s">
        <v>5224</v>
      </c>
      <c r="L439" s="1096">
        <v>0</v>
      </c>
      <c r="M439" s="1096" t="s">
        <v>5224</v>
      </c>
      <c r="N439" s="1096" t="s">
        <v>4631</v>
      </c>
      <c r="O439" s="1113"/>
      <c r="P439" s="1113" t="s">
        <v>13</v>
      </c>
      <c r="S439" s="1113" t="s">
        <v>53</v>
      </c>
      <c r="T439" s="1113"/>
      <c r="U439" s="1027">
        <v>4</v>
      </c>
      <c r="V439" s="1027">
        <f>IF((AP439+U439+VLOOKUP('Main Creation Page'!E$14,'System Lookups'!R$45:S$49,2))&gt;10,10,IF((AP439+U439+VLOOKUP('Main Creation Page'!E$14,'System Lookups'!R$45:S$49,2))&lt;1,1,(AP439+U439+VLOOKUP('Main Creation Page'!E$14,'System Lookups'!R$45:S$49,2))))</f>
        <v>5</v>
      </c>
      <c r="W439" s="1098" t="e">
        <f>IF(OR(I439&lt;&gt;"N",E439="C"),IF(AND(N439&lt;&gt;"T",ISNUMBER(FIND("V",I439))),1,0),NA())+IF(H439="Y",IF(AND(N439="P",ISNUMBER(FIND("Z",I439))),2,1),0)+IF(J439="Y",1,0)+IF(K439="Y",3,0)+IF(BE439="Lore",L439*2+Experience!$D$25,0)+IF(M439="Y",1,0)</f>
        <v>#N/A</v>
      </c>
      <c r="X439" s="1099"/>
      <c r="Y439" s="1100">
        <f ca="1">IF(P439="NS",IFERROR(INDIRECT(S439),NA()),VLOOKUP(INDIRECT(P439)+INDIRECT(S439),'System Lookups'!$A$3:$D$146,2))</f>
        <v>0.08</v>
      </c>
      <c r="Z439" s="1100">
        <f>IF($AD$305&lt;0.8,IF(G439&gt;0,((X439*0.05)+(IF(X439&gt;0,G439*0.05,0))),(X439*0.05))+IF(ISNA(W439),0,W439*0.05),(X439*0.1)+IF(ISNA(W439),0,W439*0.1))</f>
        <v>0</v>
      </c>
      <c r="AA439" s="1101">
        <f ca="1">IF(ISNA(Y439),0,Y439)+Z439+IF('Main Creation Page'!AB$2=37,'Main Creation Page'!E$14/100,0)</f>
        <v>0.08</v>
      </c>
      <c r="AB439" s="1102">
        <f>VLOOKUP(V439,'System Lookups'!$J$55:$P$64,3)</f>
        <v>0.1</v>
      </c>
      <c r="AC439" s="1103">
        <f>VLOOKUP(V439,'System Lookups'!$J$55:$P$64,4)</f>
        <v>0.2</v>
      </c>
      <c r="AD439" s="1104">
        <f>IF(AND(ISBLANK(X439),ISNA(W439)),IF(B439="~",0,AB439+AA439+IF(BB439&gt;0,0.05,0)),AA439+AC439+IF(BB439&gt;0,0.05,0))</f>
        <v>0</v>
      </c>
      <c r="AE439" s="1094">
        <f>(IF(AD439&gt;VLOOKUP(V439,'System Lookups'!$J$55:$P$63,6),(((AD439-VLOOKUP(V439,'System Lookups'!$J$55:$P$63,6))*100)/20),0))+AF439</f>
        <v>0</v>
      </c>
      <c r="AF439" s="1121"/>
      <c r="AG439" s="1092">
        <f>IF(ISBLANK(X439),0,AQ439*X439+IF(ISNA(W439),1,0))</f>
        <v>0</v>
      </c>
      <c r="AH439" s="1092" t="str">
        <f>IF(X439&lt;=Experience!$R$15+1,"","*")</f>
        <v/>
      </c>
      <c r="AI439" s="1092"/>
      <c r="AJ439" s="1080">
        <f t="shared" ref="AJ439:AJ440" si="464">IF(ISNUMBER(FIND("R",F439)),-1,0)</f>
        <v>0</v>
      </c>
      <c r="AK439" s="1080">
        <f>IF(F439="s",-2,0)</f>
        <v>0</v>
      </c>
      <c r="AL439" s="1080">
        <f t="shared" ref="AL439:AL440" si="465">IF(AND(H439="Y",OR(N439="P",N439="S")),-1,0)</f>
        <v>0</v>
      </c>
      <c r="AM439" s="1092">
        <f>IF(J439="y",1,0)</f>
        <v>0</v>
      </c>
      <c r="AN439" s="1080">
        <f>IF(N439="P",-1,IF(N439="T",1,0))</f>
        <v>1</v>
      </c>
      <c r="AO439" s="1080">
        <f t="shared" ref="AO439:AO440" si="466">IF(ISNUMBER(FIND("Z",I439)),1,0)</f>
        <v>0</v>
      </c>
      <c r="AP439" s="1080">
        <f>SUM(AJ439:AN439)-AM439</f>
        <v>1</v>
      </c>
      <c r="AQ439" s="1027">
        <f>VLOOKUP(V439,'System Lookups'!$J$55:$P$64,7)</f>
        <v>700</v>
      </c>
      <c r="AR439" s="1080" t="str">
        <f ca="1">IF(AND(NOT(ISBLANK(AJ439)),ISNA(MATCH(ROW(),'System Lookups'!$C$526:$C$539,0))),"Y","N")</f>
        <v>Y</v>
      </c>
      <c r="AS439" s="1080">
        <f>AG439-AI439</f>
        <v>0</v>
      </c>
      <c r="AU439" s="1080" t="e">
        <f t="shared" si="432"/>
        <v>#N/A</v>
      </c>
      <c r="AV439" s="1080" t="str">
        <f t="shared" si="429"/>
        <v>T</v>
      </c>
      <c r="AW439" s="1080">
        <f t="shared" si="433"/>
        <v>0</v>
      </c>
      <c r="AX439" s="1080">
        <f t="shared" si="434"/>
        <v>0</v>
      </c>
      <c r="AY439" s="1080">
        <f t="shared" si="435"/>
        <v>0</v>
      </c>
      <c r="AZ439" s="1080">
        <f t="shared" si="436"/>
        <v>0</v>
      </c>
      <c r="BA439" s="1080">
        <f t="shared" si="437"/>
        <v>0</v>
      </c>
      <c r="BB439" s="1080">
        <f>IF(AND(RACE=1,'Main Creation Page'!$E$6="Well",OR(ISNUMBER(FIND(Experience!$G$11,BE439)),ISNUMBER(FIND(Experience!$G$11,BF439)),ISNUMBER(FIND(Experience!$I$11,BE439)),ISNUMBER(FIND(Experience!$I$11,BF439)))),1,0)</f>
        <v>1</v>
      </c>
      <c r="BC439" s="1080" t="str">
        <f t="shared" si="438"/>
        <v>Mage Speech (Coniron)</v>
      </c>
      <c r="BE439" s="1080" t="str">
        <f t="shared" si="430"/>
        <v>Lore</v>
      </c>
      <c r="BF439" s="1080" t="str">
        <f t="shared" si="431"/>
        <v>Language Lore: Written</v>
      </c>
    </row>
    <row r="440" spans="1:58" ht="11.1" customHeight="1" outlineLevel="2">
      <c r="A440" s="1028" t="s">
        <v>2270</v>
      </c>
      <c r="B440" s="1094" t="s">
        <v>1942</v>
      </c>
      <c r="C440" s="1094"/>
      <c r="D440" s="1094"/>
      <c r="E440" s="1095" t="s">
        <v>5224</v>
      </c>
      <c r="F440" s="1095" t="s">
        <v>5224</v>
      </c>
      <c r="G440" s="1096">
        <v>0</v>
      </c>
      <c r="H440" s="1096" t="s">
        <v>5224</v>
      </c>
      <c r="I440" s="1096" t="s">
        <v>5224</v>
      </c>
      <c r="J440" s="1096" t="s">
        <v>5224</v>
      </c>
      <c r="K440" s="1096" t="s">
        <v>5224</v>
      </c>
      <c r="L440" s="1096">
        <v>0</v>
      </c>
      <c r="M440" s="1096" t="s">
        <v>5224</v>
      </c>
      <c r="N440" s="1096" t="s">
        <v>4631</v>
      </c>
      <c r="O440" s="1113"/>
      <c r="P440" s="1113" t="s">
        <v>13</v>
      </c>
      <c r="S440" s="1113" t="s">
        <v>53</v>
      </c>
      <c r="T440" s="1113"/>
      <c r="U440" s="1027">
        <v>5</v>
      </c>
      <c r="V440" s="1027">
        <f>IF((AP440+U440+VLOOKUP('Main Creation Page'!E$14,'System Lookups'!R$45:S$49,2))&gt;10,10,IF((AP440+U440+VLOOKUP('Main Creation Page'!E$14,'System Lookups'!R$45:S$49,2))&lt;1,1,(AP440+U440+VLOOKUP('Main Creation Page'!E$14,'System Lookups'!R$45:S$49,2))))</f>
        <v>6</v>
      </c>
      <c r="W440" s="1098" t="e">
        <f>IF(OR(I440&lt;&gt;"N",E440="C"),IF(AND(N440&lt;&gt;"T",ISNUMBER(FIND("V",I440))),1,0),NA())+IF(H440="Y",IF(AND(N440="P",ISNUMBER(FIND("Z",I440))),2,1),0)+IF(J440="Y",1,0)+IF(K440="Y",3,0)+IF(BE440="Lore",L440*2+Experience!$D$25,0)+IF(M440="Y",1,0)</f>
        <v>#N/A</v>
      </c>
      <c r="X440" s="1099"/>
      <c r="Y440" s="1100">
        <f ca="1">IF(P440="NS",IFERROR(INDIRECT(S440),NA()),VLOOKUP(INDIRECT(P440)+INDIRECT(S440),'System Lookups'!$A$3:$D$146,2))</f>
        <v>0.08</v>
      </c>
      <c r="Z440" s="1100">
        <f>IF($AD$305&lt;0.8,IF(G440&gt;0,((X440*0.05)+(IF(X440&gt;0,G440*0.05,0))),(X440*0.05))+IF(ISNA(W440),0,W440*0.05),(X440*0.1)+IF(ISNA(W440),0,W440*0.1))</f>
        <v>0</v>
      </c>
      <c r="AA440" s="1101">
        <f ca="1">IF(ISNA(Y440),0,Y440)+Z440+IF('Main Creation Page'!AB$2=37,'Main Creation Page'!E$14/100,0)</f>
        <v>0.08</v>
      </c>
      <c r="AB440" s="1102">
        <f>VLOOKUP(V440,'System Lookups'!$J$55:$P$64,3)</f>
        <v>0.05</v>
      </c>
      <c r="AC440" s="1103">
        <f>VLOOKUP(V440,'System Lookups'!$J$55:$P$64,4)</f>
        <v>0.1</v>
      </c>
      <c r="AD440" s="1104">
        <f>IF(AND(ISBLANK(X440),ISNA(W440)),IF(B440="~",0,AB440+AA440+IF(BB440&gt;0,0.05,0)),AA440+AC440+IF(BB440&gt;0,0.05,0))</f>
        <v>0</v>
      </c>
      <c r="AE440" s="1094">
        <f>(IF(AD440&gt;VLOOKUP(V440,'System Lookups'!$J$55:$P$63,6),(((AD440-VLOOKUP(V440,'System Lookups'!$J$55:$P$63,6))*100)/20),0))+AF440</f>
        <v>0</v>
      </c>
      <c r="AF440" s="1121"/>
      <c r="AG440" s="1092">
        <f>IF(ISBLANK(X440),0,AQ440*X440+IF(ISNA(W440),1,0))</f>
        <v>0</v>
      </c>
      <c r="AH440" s="1092" t="str">
        <f>IF(X440&lt;=Experience!$R$15+1,"","*")</f>
        <v/>
      </c>
      <c r="AI440" s="1092"/>
      <c r="AJ440" s="1080">
        <f t="shared" si="464"/>
        <v>0</v>
      </c>
      <c r="AK440" s="1080">
        <f>IF(F440="s",-2,0)</f>
        <v>0</v>
      </c>
      <c r="AL440" s="1080">
        <f t="shared" si="465"/>
        <v>0</v>
      </c>
      <c r="AM440" s="1092">
        <f>IF(J440="y",1,0)</f>
        <v>0</v>
      </c>
      <c r="AN440" s="1080">
        <f>IF(N440="P",-1,IF(N440="T",1,0))</f>
        <v>1</v>
      </c>
      <c r="AO440" s="1080">
        <f t="shared" si="466"/>
        <v>0</v>
      </c>
      <c r="AP440" s="1080">
        <f>SUM(AJ440:AN440)-AM440</f>
        <v>1</v>
      </c>
      <c r="AQ440" s="1027">
        <f>VLOOKUP(V440,'System Lookups'!$J$55:$P$64,7)</f>
        <v>800</v>
      </c>
      <c r="AR440" s="1080" t="str">
        <f ca="1">IF(AND(NOT(ISBLANK(AJ440)),ISNA(MATCH(ROW(),'System Lookups'!$C$526:$C$539,0))),"Y","N")</f>
        <v>Y</v>
      </c>
      <c r="AS440" s="1080">
        <f>AG440-AI440</f>
        <v>0</v>
      </c>
      <c r="AU440" s="1080" t="e">
        <f t="shared" si="432"/>
        <v>#N/A</v>
      </c>
      <c r="AV440" s="1080" t="str">
        <f t="shared" si="429"/>
        <v>T</v>
      </c>
      <c r="AW440" s="1080">
        <f t="shared" si="433"/>
        <v>0</v>
      </c>
      <c r="AX440" s="1080">
        <f t="shared" si="434"/>
        <v>0</v>
      </c>
      <c r="AY440" s="1080">
        <f t="shared" si="435"/>
        <v>0</v>
      </c>
      <c r="AZ440" s="1080">
        <f t="shared" si="436"/>
        <v>0</v>
      </c>
      <c r="BA440" s="1080">
        <f t="shared" si="437"/>
        <v>0</v>
      </c>
      <c r="BB440" s="1080">
        <f>IF(AND(RACE=1,'Main Creation Page'!$E$6="Well",OR(ISNUMBER(FIND(Experience!$G$11,BE440)),ISNUMBER(FIND(Experience!$G$11,BF440)),ISNUMBER(FIND(Experience!$I$11,BE440)),ISNUMBER(FIND(Experience!$I$11,BF440)))),1,0)</f>
        <v>1</v>
      </c>
      <c r="BC440" s="1080" t="str">
        <f t="shared" si="438"/>
        <v>Mage Speech (Ancient)</v>
      </c>
      <c r="BE440" s="1080" t="str">
        <f t="shared" si="430"/>
        <v>Lore</v>
      </c>
      <c r="BF440" s="1080" t="str">
        <f t="shared" si="431"/>
        <v>Language Lore: Written</v>
      </c>
    </row>
    <row r="441" spans="1:58" ht="11.1" customHeight="1" outlineLevel="2">
      <c r="A441" s="1028" t="s">
        <v>52</v>
      </c>
      <c r="B441" s="1111"/>
      <c r="C441" s="1111"/>
      <c r="D441" s="1111"/>
      <c r="O441" s="1027"/>
      <c r="P441" s="1027" t="s">
        <v>780</v>
      </c>
      <c r="Q441" s="1097">
        <f ca="1">INDIRECT(P441)</f>
        <v>17</v>
      </c>
      <c r="R441" s="1027"/>
      <c r="S441" s="1028" t="s">
        <v>3611</v>
      </c>
      <c r="T441" s="1097">
        <f ca="1">INDIRECT(S441)</f>
        <v>15</v>
      </c>
      <c r="V441" s="1027"/>
      <c r="W441" s="1112"/>
      <c r="AE441" s="1094"/>
      <c r="AF441" s="1121"/>
      <c r="AQ441" s="1034"/>
      <c r="AR441" s="1080" t="str">
        <f ca="1">IF(AND(NOT(ISBLANK(AJ441)),ISNA(MATCH(ROW(),'System Lookups'!$C$526:$C$539,0))),"Y","N")</f>
        <v>N</v>
      </c>
      <c r="AU441" s="1080" t="e">
        <f t="shared" si="432"/>
        <v>#N/A</v>
      </c>
      <c r="AV441" s="1080" t="str">
        <f t="shared" si="429"/>
        <v/>
      </c>
      <c r="AW441" s="1080">
        <f t="shared" si="433"/>
        <v>0</v>
      </c>
      <c r="AX441" s="1080">
        <f t="shared" si="434"/>
        <v>0</v>
      </c>
      <c r="AY441" s="1080">
        <f t="shared" si="435"/>
        <v>0</v>
      </c>
      <c r="AZ441" s="1080">
        <f t="shared" si="436"/>
        <v>0</v>
      </c>
      <c r="BA441" s="1080">
        <f t="shared" si="437"/>
        <v>0</v>
      </c>
      <c r="BB441" s="1080">
        <f>IF(AND(RACE=1,'Main Creation Page'!$E$6="Well",OR(ISNUMBER(FIND(Experience!$G$11,BE441)),ISNUMBER(FIND(Experience!$G$11,BF441)),ISNUMBER(FIND(Experience!$I$11,BE441)),ISNUMBER(FIND(Experience!$I$11,BF441)))),1,0)</f>
        <v>1</v>
      </c>
      <c r="BC441" s="1080" t="e">
        <f t="shared" si="438"/>
        <v>#N/A</v>
      </c>
      <c r="BE441" s="1080" t="str">
        <f t="shared" si="430"/>
        <v>Lore</v>
      </c>
      <c r="BF441" s="1080" t="str">
        <f t="shared" si="431"/>
        <v>Language Lore: Written</v>
      </c>
    </row>
    <row r="442" spans="1:58" ht="11.1" customHeight="1" outlineLevel="3">
      <c r="A442" s="1093" t="s">
        <v>4880</v>
      </c>
      <c r="B442" s="1094" t="s">
        <v>1942</v>
      </c>
      <c r="C442" s="1094"/>
      <c r="D442" s="1094"/>
      <c r="E442" s="1095" t="s">
        <v>5224</v>
      </c>
      <c r="F442" s="1095" t="s">
        <v>5224</v>
      </c>
      <c r="G442" s="1096">
        <v>0</v>
      </c>
      <c r="H442" s="1096" t="s">
        <v>5224</v>
      </c>
      <c r="I442" s="1096" t="s">
        <v>5224</v>
      </c>
      <c r="J442" s="1096" t="s">
        <v>5224</v>
      </c>
      <c r="K442" s="1096" t="s">
        <v>5224</v>
      </c>
      <c r="L442" s="1096">
        <v>0</v>
      </c>
      <c r="M442" s="1096" t="s">
        <v>5224</v>
      </c>
      <c r="N442" s="1096" t="s">
        <v>4631</v>
      </c>
      <c r="O442" s="1113"/>
      <c r="P442" s="1113" t="s">
        <v>13</v>
      </c>
      <c r="S442" s="1113" t="s">
        <v>53</v>
      </c>
      <c r="T442" s="1113"/>
      <c r="U442" s="1027">
        <v>3</v>
      </c>
      <c r="V442" s="1027">
        <f>IF((AP442+U442+VLOOKUP('Main Creation Page'!E$14,'System Lookups'!R$45:S$49,2))&gt;10,10,IF((AP442+U442+VLOOKUP('Main Creation Page'!E$14,'System Lookups'!R$45:S$49,2))&lt;1,1,(AP442+U442+VLOOKUP('Main Creation Page'!E$14,'System Lookups'!R$45:S$49,2))))</f>
        <v>4</v>
      </c>
      <c r="W442" s="1098" t="e">
        <f>IF(OR(I442&lt;&gt;"N",E442="C"),IF(AND(N442&lt;&gt;"T",ISNUMBER(FIND("V",I442))),1,0),NA())+IF(H442="Y",IF(AND(N442="P",ISNUMBER(FIND("Z",I442))),2,1),0)+IF(J442="Y",1,0)+IF(K442="Y",3,0)+IF(BE442="Lore",L442*2+Experience!$D$25,0)+IF(M442="Y",1,0)</f>
        <v>#N/A</v>
      </c>
      <c r="X442" s="1099"/>
      <c r="Y442" s="1100">
        <f ca="1">IF(P442="NS",IFERROR(INDIRECT(S442),NA()),VLOOKUP(INDIRECT(P442)+INDIRECT(S442),'System Lookups'!$A$3:$D$146,2))</f>
        <v>0.08</v>
      </c>
      <c r="Z442" s="1100">
        <f>IF(ISNA(W442),0,W442*0.05)+IF(X442&gt;0,X442*0.05,0)+IF(AND(ISNA(W442),X442&lt;=0),0,IF(G442&gt;0,G442*0.05,0))</f>
        <v>0</v>
      </c>
      <c r="AA442" s="1101">
        <f ca="1">IF(ISNA(Y442),0,Y442)+Z442+IF('Main Creation Page'!AB$2=37,'Main Creation Page'!E$14/100,0)</f>
        <v>0.08</v>
      </c>
      <c r="AB442" s="1102">
        <f>VLOOKUP(V442,'System Lookups'!$J$55:$P$64,3)</f>
        <v>0.2</v>
      </c>
      <c r="AC442" s="1103">
        <f>VLOOKUP(V442,'System Lookups'!$J$55:$P$64,4)</f>
        <v>0.3</v>
      </c>
      <c r="AD442" s="1104">
        <f t="shared" ref="AD442:AD468" si="467">IF(AND(ISBLANK(X442),ISNA(W442)),IF(B442="~",0,AB442+AA442+IF(BB442&gt;0,0.05,0)),AA442+AC442+IF(BB442&gt;0,0.05,0))</f>
        <v>0</v>
      </c>
      <c r="AE442" s="1094">
        <f>(IF(AD442&gt;VLOOKUP(V442,'System Lookups'!$J$55:$P$63,6),(((AD442-VLOOKUP(V442,'System Lookups'!$J$55:$P$63,6))*100)/20),0))+AF442</f>
        <v>0</v>
      </c>
      <c r="AF442" s="1121"/>
      <c r="AG442" s="1092">
        <f t="shared" ref="AG442:AG468" si="468">IF(ISBLANK(X442),0,AQ442*X442+IF(ISNA(W442),1,0))</f>
        <v>0</v>
      </c>
      <c r="AH442" s="1092" t="str">
        <f>IF(X442&lt;=Experience!$R$15+1,"","*")</f>
        <v/>
      </c>
      <c r="AI442" s="1092"/>
      <c r="AJ442" s="1080">
        <f t="shared" ref="AJ442:AJ444" si="469">IF(ISNUMBER(FIND("R",F442)),-1,0)</f>
        <v>0</v>
      </c>
      <c r="AK442" s="1080">
        <f t="shared" ref="AK442:AK468" si="470">IF(F442="s",-2,0)</f>
        <v>0</v>
      </c>
      <c r="AL442" s="1080">
        <f t="shared" ref="AL442:AL468" si="471">IF(AND(H442="Y",OR(N442="P",N442="S")),-1,0)</f>
        <v>0</v>
      </c>
      <c r="AM442" s="1092">
        <f t="shared" ref="AM442:AM468" si="472">IF(J442="y",1,0)</f>
        <v>0</v>
      </c>
      <c r="AN442" s="1080">
        <f t="shared" ref="AN442:AN468" si="473">IF(N442="P",-1,IF(N442="T",1,0))</f>
        <v>1</v>
      </c>
      <c r="AO442" s="1080">
        <f t="shared" ref="AO442:AO468" si="474">IF(ISNUMBER(FIND("Z",I442)),1,0)</f>
        <v>0</v>
      </c>
      <c r="AP442" s="1080">
        <f>SUM(AJ442:AN442)-AM442</f>
        <v>1</v>
      </c>
      <c r="AQ442" s="1027">
        <f>VLOOKUP(V442,'System Lookups'!$J$55:$P$64,7)</f>
        <v>600</v>
      </c>
      <c r="AR442" s="1080" t="str">
        <f ca="1">IF(AND(NOT(ISBLANK(AJ442)),ISNA(MATCH(ROW(),'System Lookups'!$C$526:$C$539,0))),"Y","N")</f>
        <v>Y</v>
      </c>
      <c r="AS442" s="1080">
        <f t="shared" ref="AS442:AS468" si="475">AG442-AI442</f>
        <v>0</v>
      </c>
      <c r="AU442" s="1080" t="e">
        <f t="shared" si="432"/>
        <v>#N/A</v>
      </c>
      <c r="AV442" s="1080" t="str">
        <f t="shared" ref="AV442:AV502" si="476">IF(ISNUMBER(U442),CONCATENATE(IF(E442="C","C",""),IF(H442="Y","M",""),N442,IF(ISNUMBER(FIND("F",I442)),"Bk",""),IF(ISNUMBER(FIND("Z",I442)),"Zm",""),IF(J442="Y","L",""),IF(OR(K442="Y",AND(ISNUMBER(L442),L442&gt;0),M442="Y"),"Sa","")),"")</f>
        <v>T</v>
      </c>
      <c r="AW442" s="1080">
        <f t="shared" si="433"/>
        <v>0</v>
      </c>
      <c r="AX442" s="1080">
        <f t="shared" si="434"/>
        <v>0</v>
      </c>
      <c r="AY442" s="1080">
        <f t="shared" si="435"/>
        <v>0</v>
      </c>
      <c r="AZ442" s="1080">
        <f t="shared" si="436"/>
        <v>0</v>
      </c>
      <c r="BA442" s="1080">
        <f t="shared" si="437"/>
        <v>0</v>
      </c>
      <c r="BB442" s="1080">
        <f>IF(AND(RACE=1,'Main Creation Page'!$E$6="Well",OR(ISNUMBER(FIND(Experience!$G$11,BE442)),ISNUMBER(FIND(Experience!$G$11,BF442)),ISNUMBER(FIND(Experience!$I$11,BE442)),ISNUMBER(FIND(Experience!$I$11,BF442)))),1,0)</f>
        <v>1</v>
      </c>
      <c r="BC442" s="1080" t="str">
        <f t="shared" si="438"/>
        <v>Monster:Arkon</v>
      </c>
      <c r="BD442" s="1080" t="s">
        <v>5694</v>
      </c>
      <c r="BE442" s="1080" t="str">
        <f t="shared" ref="BE442:BE502" si="477">IF(OR(ISNUMBER(FIND("Lore",BF442)),ISNUMBER(FIND("Materia",BF442)),ISNUMBER(FIND("Lore",BD442))),"Lore","")</f>
        <v>Lore</v>
      </c>
      <c r="BF442" s="1080" t="str">
        <f t="shared" ref="BF442:BF502" si="478">IF(ISBLANK(AC442),IF(OR(ISNA(BC442),ISBLANK(BC442)),BF441,BC442),BF441)</f>
        <v>Language Lore: Written</v>
      </c>
    </row>
    <row r="443" spans="1:58" ht="11.1" customHeight="1" outlineLevel="3">
      <c r="A443" s="1028" t="s">
        <v>5292</v>
      </c>
      <c r="B443" s="1094" t="s">
        <v>1942</v>
      </c>
      <c r="C443" s="1094"/>
      <c r="D443" s="1094"/>
      <c r="E443" s="1095" t="s">
        <v>5224</v>
      </c>
      <c r="F443" s="1095" t="s">
        <v>5224</v>
      </c>
      <c r="G443" s="1096">
        <v>0</v>
      </c>
      <c r="H443" s="1096" t="s">
        <v>5224</v>
      </c>
      <c r="I443" s="1096" t="s">
        <v>5224</v>
      </c>
      <c r="J443" s="1096" t="s">
        <v>5224</v>
      </c>
      <c r="K443" s="1096" t="s">
        <v>5224</v>
      </c>
      <c r="L443" s="1096">
        <v>0</v>
      </c>
      <c r="M443" s="1096" t="s">
        <v>5224</v>
      </c>
      <c r="N443" s="1096" t="s">
        <v>4631</v>
      </c>
      <c r="O443" s="1113"/>
      <c r="P443" s="1113" t="s">
        <v>13</v>
      </c>
      <c r="S443" s="1113" t="s">
        <v>53</v>
      </c>
      <c r="T443" s="1113"/>
      <c r="U443" s="1027">
        <f>IF(F443="r",1,IF('Main Creation Page'!$K$5=3,4,3))</f>
        <v>4</v>
      </c>
      <c r="V443" s="1027">
        <f>IF((AP443+U443+VLOOKUP('Main Creation Page'!E$14,'System Lookups'!R$45:S$49,2))&gt;10,10,IF((AP443+U443+VLOOKUP('Main Creation Page'!E$14,'System Lookups'!R$45:S$49,2))&lt;1,1,(AP443+U443+VLOOKUP('Main Creation Page'!E$14,'System Lookups'!R$45:S$49,2))))</f>
        <v>5</v>
      </c>
      <c r="W443" s="1098" t="e">
        <f>IF(OR(I443&lt;&gt;"N",E443="C"),IF(AND(N443&lt;&gt;"T",ISNUMBER(FIND("V",I443))),1,0),NA())+IF(H443="Y",IF(AND(N443="P",ISNUMBER(FIND("Z",I443))),2,1),0)+IF(J443="Y",1,0)+IF(K443="Y",3,0)+IF(BE443="Lore",L443*2+Experience!$D$25,0)+IF(M443="Y",1,0)</f>
        <v>#N/A</v>
      </c>
      <c r="X443" s="1099"/>
      <c r="Y443" s="1100">
        <f ca="1">IF(P443="NS",IFERROR(INDIRECT(S443),NA()),VLOOKUP(INDIRECT(P443)+INDIRECT(S443),'System Lookups'!$A$3:$D$146,2))</f>
        <v>0.08</v>
      </c>
      <c r="Z443" s="1100">
        <f>IF(ISNA(W443),0,W443*0.05)+IF(X443&gt;0,X443*0.05,0)+IF(AND(ISNA(W443),X443&lt;=0),0,IF(G443&gt;0,G443*0.05,0))</f>
        <v>0</v>
      </c>
      <c r="AA443" s="1101">
        <f ca="1">IF(ISNA(Y443),0,Y443)+Z443+IF('Main Creation Page'!AB$2=37,'Main Creation Page'!E$14/100,0)</f>
        <v>0.08</v>
      </c>
      <c r="AB443" s="1102">
        <f>VLOOKUP(V443,'System Lookups'!$J$55:$P$64,3)</f>
        <v>0.1</v>
      </c>
      <c r="AC443" s="1103">
        <f>VLOOKUP(V443,'System Lookups'!$J$55:$P$64,4)</f>
        <v>0.2</v>
      </c>
      <c r="AD443" s="1104">
        <f t="shared" si="467"/>
        <v>0</v>
      </c>
      <c r="AE443" s="1094">
        <f>(IF(AD443&gt;VLOOKUP(V443,'System Lookups'!$J$55:$P$63,6),(((AD443-VLOOKUP(V443,'System Lookups'!$J$55:$P$63,6))*100)/20),0))+AF443</f>
        <v>0</v>
      </c>
      <c r="AF443" s="1121"/>
      <c r="AG443" s="1092">
        <f t="shared" si="468"/>
        <v>0</v>
      </c>
      <c r="AH443" s="1092" t="str">
        <f>IF(X443&lt;=Experience!$R$15+1,"","*")</f>
        <v/>
      </c>
      <c r="AI443" s="1092"/>
      <c r="AJ443" s="1080">
        <f t="shared" si="469"/>
        <v>0</v>
      </c>
      <c r="AK443" s="1080">
        <f>IF(F443="s",-2,0)</f>
        <v>0</v>
      </c>
      <c r="AL443" s="1080">
        <f t="shared" si="471"/>
        <v>0</v>
      </c>
      <c r="AM443" s="1092">
        <f>IF(J443="y",1,0)</f>
        <v>0</v>
      </c>
      <c r="AN443" s="1080">
        <f>IF(N443="P",-1,IF(N443="T",1,0))</f>
        <v>1</v>
      </c>
      <c r="AO443" s="1080">
        <f t="shared" si="474"/>
        <v>0</v>
      </c>
      <c r="AP443" s="1080">
        <f>SUM(AJ443:AN443)-AM443</f>
        <v>1</v>
      </c>
      <c r="AQ443" s="1027">
        <f>VLOOKUP(V443,'System Lookups'!$J$55:$P$64,7)</f>
        <v>700</v>
      </c>
      <c r="AR443" s="1080" t="str">
        <f ca="1">IF(AND(NOT(ISBLANK(AJ443)),ISNA(MATCH(ROW(),'System Lookups'!$C$526:$C$539,0))),"Y","N")</f>
        <v>Y</v>
      </c>
      <c r="AS443" s="1080">
        <f t="shared" si="475"/>
        <v>0</v>
      </c>
      <c r="AU443" s="1080" t="e">
        <f t="shared" ref="AU443:AU503" si="479">IF(AND(NOT(ISNUMBER($W443)),ISBLANK($X443)),NA(),IFERROR($W443+$X443,$X443))</f>
        <v>#N/A</v>
      </c>
      <c r="AV443" s="1080" t="str">
        <f t="shared" si="476"/>
        <v>T</v>
      </c>
      <c r="AW443" s="1080">
        <f t="shared" ref="AW443:AW503" si="480">IF(OR(I443="N",ISBLANK(I443)),0,1)</f>
        <v>0</v>
      </c>
      <c r="AX443" s="1080">
        <f t="shared" ref="AX443:AX503" si="481">IF($N443="P",IF(ISNUMBER(FIND("V",$I443)),1,0),0)</f>
        <v>0</v>
      </c>
      <c r="AY443" s="1080">
        <f t="shared" ref="AY443:AY503" si="482">IF($N443="S",IF(ISNUMBER(FIND("V",$I443)),1,0),0)</f>
        <v>0</v>
      </c>
      <c r="AZ443" s="1080">
        <f t="shared" ref="AZ443:AZ503" si="483">IF($N443="T",IF(ISNUMBER(FIND("V",$I443)),1,0),0)</f>
        <v>0</v>
      </c>
      <c r="BA443" s="1080">
        <f t="shared" ref="BA443:BA503" si="484">IF($N443&lt;&gt;"T",IF(OR(ISNUMBER(FIND("C",$I443)),ISNUMBER(FIND("D",$I443)),ISNUMBER(FIND("E",$I443)),ISNUMBER(FIND("F",$I443)),ISNUMBER(FIND("L",$I443)),ISNUMBER(FIND("R",$I443)),ISNUMBER(FIND("S",$I443))),1,0),0)</f>
        <v>0</v>
      </c>
      <c r="BB443" s="1080">
        <f>IF(AND(RACE=1,'Main Creation Page'!$E$6="Well",OR(ISNUMBER(FIND(Experience!$G$11,BE443)),ISNUMBER(FIND(Experience!$G$11,BF443)),ISNUMBER(FIND(Experience!$I$11,BE443)),ISNUMBER(FIND(Experience!$I$11,BF443)))),1,0)</f>
        <v>1</v>
      </c>
      <c r="BC443" s="1080" t="str">
        <f t="shared" si="438"/>
        <v>Monster:Centaur</v>
      </c>
      <c r="BD443" s="1080" t="s">
        <v>5694</v>
      </c>
      <c r="BE443" s="1080" t="str">
        <f t="shared" si="477"/>
        <v>Lore</v>
      </c>
      <c r="BF443" s="1080" t="str">
        <f t="shared" si="478"/>
        <v>Language Lore: Written</v>
      </c>
    </row>
    <row r="444" spans="1:58" ht="11.1" customHeight="1" outlineLevel="3">
      <c r="A444" s="1028" t="str">
        <f>CONCATENATE("Demonic",IF('Main Creation Page'!K5=3," (Common)", " "))</f>
        <v>Demonic (Common)</v>
      </c>
      <c r="B444" s="1094" t="s">
        <v>1942</v>
      </c>
      <c r="C444" s="1094"/>
      <c r="D444" s="1094"/>
      <c r="E444" s="1095" t="s">
        <v>5224</v>
      </c>
      <c r="F444" s="1095" t="s">
        <v>5224</v>
      </c>
      <c r="G444" s="1096">
        <v>0</v>
      </c>
      <c r="H444" s="1096" t="s">
        <v>5224</v>
      </c>
      <c r="I444" s="1096" t="s">
        <v>5224</v>
      </c>
      <c r="J444" s="1096" t="s">
        <v>5224</v>
      </c>
      <c r="K444" s="1096" t="s">
        <v>5224</v>
      </c>
      <c r="L444" s="1096">
        <v>0</v>
      </c>
      <c r="M444" s="1096" t="s">
        <v>5224</v>
      </c>
      <c r="N444" s="1096" t="s">
        <v>4631</v>
      </c>
      <c r="O444" s="1113"/>
      <c r="P444" s="1113" t="s">
        <v>13</v>
      </c>
      <c r="S444" s="1113" t="s">
        <v>53</v>
      </c>
      <c r="T444" s="1113"/>
      <c r="U444" s="1027">
        <v>7</v>
      </c>
      <c r="V444" s="1027">
        <f>IF((AP444+U444+VLOOKUP('Main Creation Page'!E$14,'System Lookups'!R$45:S$49,2))&gt;10,10,IF((AP444+U444+VLOOKUP('Main Creation Page'!E$14,'System Lookups'!R$45:S$49,2))&lt;1,1,(AP444+U444+VLOOKUP('Main Creation Page'!E$14,'System Lookups'!R$45:S$49,2))))</f>
        <v>8</v>
      </c>
      <c r="W444" s="1098" t="e">
        <f>IF(OR(I444&lt;&gt;"N",E444="C"),IF(AND(N444&lt;&gt;"T",ISNUMBER(FIND("V",I444))),1,0),NA())+IF(H444="Y",IF(AND(N444="P",ISNUMBER(FIND("Z",I444))),2,1),0)+IF(J444="Y",1,0)+IF(K444="Y",3,0)+IF(BE444="Lore",L444*2+Experience!$D$25,0)+IF(M444="Y",1,0)</f>
        <v>#N/A</v>
      </c>
      <c r="X444" s="1099"/>
      <c r="Y444" s="1100">
        <f ca="1">IF(P444="NS",IFERROR(INDIRECT(S444),NA()),VLOOKUP(INDIRECT(P444)+INDIRECT(S444),'System Lookups'!$A$3:$D$146,2))</f>
        <v>0.08</v>
      </c>
      <c r="Z444" s="1100">
        <f>IF(ISNA(W444),0,W444*0.05)+IF(X444&gt;0,X444*0.05,0)+IF(AND(ISNA(W444),X444&lt;=0),0,IF(G444&gt;0,G444*0.05,0))</f>
        <v>0</v>
      </c>
      <c r="AA444" s="1101">
        <f ca="1">IF(ISNA(Y444),0,Y444)+Z444+IF('Main Creation Page'!AB$2=37,'Main Creation Page'!E$14/100,0)</f>
        <v>0.08</v>
      </c>
      <c r="AB444" s="1102">
        <f>VLOOKUP(V444,'System Lookups'!$J$55:$P$64,3)</f>
        <v>0.02</v>
      </c>
      <c r="AC444" s="1103">
        <f>VLOOKUP(V444,'System Lookups'!$J$55:$P$64,4)</f>
        <v>0.03</v>
      </c>
      <c r="AD444" s="1104">
        <f t="shared" si="467"/>
        <v>0</v>
      </c>
      <c r="AE444" s="1094">
        <f>(IF(AD444&gt;VLOOKUP(V444,'System Lookups'!$J$55:$P$63,6),(((AD444-VLOOKUP(V444,'System Lookups'!$J$55:$P$63,6))*100)/20),0))+AF444</f>
        <v>0</v>
      </c>
      <c r="AF444" s="1121"/>
      <c r="AG444" s="1092">
        <f t="shared" si="468"/>
        <v>0</v>
      </c>
      <c r="AH444" s="1092" t="str">
        <f>IF(X444&lt;=Experience!$R$15+1,"","*")</f>
        <v/>
      </c>
      <c r="AI444" s="1092"/>
      <c r="AJ444" s="1080">
        <f t="shared" si="469"/>
        <v>0</v>
      </c>
      <c r="AK444" s="1080">
        <f t="shared" si="470"/>
        <v>0</v>
      </c>
      <c r="AL444" s="1080">
        <f t="shared" si="471"/>
        <v>0</v>
      </c>
      <c r="AM444" s="1092">
        <f t="shared" si="472"/>
        <v>0</v>
      </c>
      <c r="AN444" s="1080">
        <f t="shared" si="473"/>
        <v>1</v>
      </c>
      <c r="AO444" s="1080">
        <f t="shared" si="474"/>
        <v>0</v>
      </c>
      <c r="AP444" s="1080">
        <f>SUM(AJ444:AN444)-AM444</f>
        <v>1</v>
      </c>
      <c r="AQ444" s="1027">
        <f>VLOOKUP(V444,'System Lookups'!$J$55:$P$64,7)</f>
        <v>1200</v>
      </c>
      <c r="AR444" s="1080" t="str">
        <f ca="1">IF(AND(NOT(ISBLANK(AJ444)),ISNA(MATCH(ROW(),'System Lookups'!$C$526:$C$539,0))),"Y","N")</f>
        <v>Y</v>
      </c>
      <c r="AS444" s="1080">
        <f t="shared" si="475"/>
        <v>0</v>
      </c>
      <c r="AU444" s="1080" t="e">
        <f t="shared" si="479"/>
        <v>#N/A</v>
      </c>
      <c r="AV444" s="1080" t="str">
        <f t="shared" si="476"/>
        <v>T</v>
      </c>
      <c r="AW444" s="1080">
        <f t="shared" si="480"/>
        <v>0</v>
      </c>
      <c r="AX444" s="1080">
        <f t="shared" si="481"/>
        <v>0</v>
      </c>
      <c r="AY444" s="1080">
        <f t="shared" si="482"/>
        <v>0</v>
      </c>
      <c r="AZ444" s="1080">
        <f t="shared" si="483"/>
        <v>0</v>
      </c>
      <c r="BA444" s="1080">
        <f t="shared" si="484"/>
        <v>0</v>
      </c>
      <c r="BB444" s="1080">
        <f>IF(AND(RACE=1,'Main Creation Page'!$E$6="Well",OR(ISNUMBER(FIND(Experience!$G$11,BE444)),ISNUMBER(FIND(Experience!$G$11,BF444)),ISNUMBER(FIND(Experience!$I$11,BE444)),ISNUMBER(FIND(Experience!$I$11,BF444)))),1,0)</f>
        <v>1</v>
      </c>
      <c r="BC444" s="1080" t="str">
        <f t="shared" si="438"/>
        <v>Monster:Demonic (Common)</v>
      </c>
      <c r="BD444" s="1080" t="s">
        <v>5694</v>
      </c>
      <c r="BE444" s="1080" t="str">
        <f t="shared" si="477"/>
        <v>Lore</v>
      </c>
      <c r="BF444" s="1080" t="str">
        <f t="shared" si="478"/>
        <v>Language Lore: Written</v>
      </c>
    </row>
    <row r="445" spans="1:58" ht="11.1" customHeight="1" outlineLevel="4">
      <c r="A445" s="1093" t="s">
        <v>4878</v>
      </c>
      <c r="B445" s="1094" t="s">
        <v>1942</v>
      </c>
      <c r="C445" s="1094"/>
      <c r="D445" s="1094"/>
      <c r="E445" s="1095" t="s">
        <v>5224</v>
      </c>
      <c r="F445" s="1095" t="s">
        <v>5224</v>
      </c>
      <c r="G445" s="1096">
        <v>0</v>
      </c>
      <c r="H445" s="1096" t="s">
        <v>5224</v>
      </c>
      <c r="I445" s="1096" t="s">
        <v>5224</v>
      </c>
      <c r="J445" s="1096" t="s">
        <v>5224</v>
      </c>
      <c r="K445" s="1096" t="s">
        <v>5224</v>
      </c>
      <c r="L445" s="1096">
        <v>0</v>
      </c>
      <c r="M445" s="1096" t="s">
        <v>5224</v>
      </c>
      <c r="N445" s="1096" t="s">
        <v>4631</v>
      </c>
      <c r="O445" s="1113"/>
      <c r="P445" s="1113" t="s">
        <v>13</v>
      </c>
      <c r="S445" s="1113" t="s">
        <v>53</v>
      </c>
      <c r="T445" s="1113"/>
      <c r="U445" s="1027">
        <v>7</v>
      </c>
      <c r="V445" s="1027">
        <f>IF((AP445+U445+VLOOKUP('Main Creation Page'!E$14,'System Lookups'!R$45:S$49,2))&gt;10,10,IF((AP445+U445+VLOOKUP('Main Creation Page'!E$14,'System Lookups'!R$45:S$49,2))&lt;1,1,(AP445+U445+VLOOKUP('Main Creation Page'!E$14,'System Lookups'!R$45:S$49,2))))</f>
        <v>8</v>
      </c>
      <c r="W445" s="1098" t="e">
        <f>IF(OR(I445&lt;&gt;"N",E445="C"),IF(AND(N445&lt;&gt;"T",ISNUMBER(FIND("V",I445))),1,0),NA())+IF(H445="Y",IF(AND(N445="P",ISNUMBER(FIND("Z",I445))),2,1),0)+IF(J445="Y",1,0)+IF(K445="Y",3,0)+IF(BE445="Lore",L445*2+Experience!$D$25,0)+IF(M445="Y",1,0)</f>
        <v>#N/A</v>
      </c>
      <c r="X445" s="1099"/>
      <c r="Y445" s="1100">
        <f ca="1">IF(P445="NS",IFERROR(INDIRECT(S445),NA()),VLOOKUP(INDIRECT(P445)+INDIRECT(S445),'System Lookups'!$A$3:$D$146,2))</f>
        <v>0.08</v>
      </c>
      <c r="Z445" s="1100">
        <f>IF(ISNA(W445),0,W445*0.05)+IF(X445&gt;0,X445*0.05,0)+IF(AND(ISNA(W445),X445&lt;=0),0,IF(G445&gt;0,G445*0.05,0))</f>
        <v>0</v>
      </c>
      <c r="AA445" s="1101">
        <f ca="1">IF(ISNA(Y445),0,Y445)+Z445+IF('Main Creation Page'!AB$2=37,'Main Creation Page'!E$14/100,0)</f>
        <v>0.08</v>
      </c>
      <c r="AB445" s="1102">
        <f>VLOOKUP(V445,'System Lookups'!$J$55:$P$64,3)</f>
        <v>0.02</v>
      </c>
      <c r="AC445" s="1103">
        <f>VLOOKUP(V445,'System Lookups'!$J$55:$P$64,4)</f>
        <v>0.03</v>
      </c>
      <c r="AD445" s="1104">
        <f t="shared" si="467"/>
        <v>0</v>
      </c>
      <c r="AE445" s="1094">
        <f>(IF(AD445&gt;VLOOKUP(V445,'System Lookups'!$J$55:$P$63,6),(((AD445-VLOOKUP(V445,'System Lookups'!$J$55:$P$63,6))*100)/20),0))+AF445</f>
        <v>0</v>
      </c>
      <c r="AF445" s="1121"/>
      <c r="AG445" s="1092">
        <f t="shared" si="468"/>
        <v>0</v>
      </c>
      <c r="AH445" s="1092" t="str">
        <f>IF(X445&lt;=Experience!$R$15+1,"","*")</f>
        <v/>
      </c>
      <c r="AI445" s="1092"/>
      <c r="AJ445" s="1080">
        <f t="shared" ref="AJ445" si="485">IF(ISNUMBER(FIND("R",F445)),-1,0)</f>
        <v>0</v>
      </c>
      <c r="AK445" s="1080">
        <f t="shared" ref="AK445" si="486">IF(F445="s",-2,0)</f>
        <v>0</v>
      </c>
      <c r="AL445" s="1080">
        <f t="shared" si="471"/>
        <v>0</v>
      </c>
      <c r="AM445" s="1092">
        <f t="shared" ref="AM445" si="487">IF(J445="y",1,0)</f>
        <v>0</v>
      </c>
      <c r="AN445" s="1080">
        <f t="shared" ref="AN445" si="488">IF(N445="P",-1,IF(N445="T",1,0))</f>
        <v>1</v>
      </c>
      <c r="AO445" s="1080">
        <f t="shared" si="474"/>
        <v>0</v>
      </c>
      <c r="AP445" s="1080">
        <f>SUM(AJ445:AN445)-AM445</f>
        <v>1</v>
      </c>
      <c r="AQ445" s="1027">
        <f>VLOOKUP(V445,'System Lookups'!$J$55:$P$64,7)</f>
        <v>1200</v>
      </c>
      <c r="AR445" s="1080" t="str">
        <f ca="1">IF(AND(NOT(ISBLANK(AJ445)),ISNA(MATCH(ROW(),'System Lookups'!$C$526:$C$539,0))),"Y","N")</f>
        <v>Y</v>
      </c>
      <c r="AS445" s="1080">
        <f t="shared" si="475"/>
        <v>0</v>
      </c>
      <c r="AU445" s="1080" t="e">
        <f t="shared" si="479"/>
        <v>#N/A</v>
      </c>
      <c r="AV445" s="1080" t="str">
        <f t="shared" si="476"/>
        <v>T</v>
      </c>
      <c r="AW445" s="1080">
        <f t="shared" si="480"/>
        <v>0</v>
      </c>
      <c r="AX445" s="1080">
        <f t="shared" si="481"/>
        <v>0</v>
      </c>
      <c r="AY445" s="1080">
        <f t="shared" si="482"/>
        <v>0</v>
      </c>
      <c r="AZ445" s="1080">
        <f t="shared" si="483"/>
        <v>0</v>
      </c>
      <c r="BA445" s="1080">
        <f t="shared" si="484"/>
        <v>0</v>
      </c>
      <c r="BB445" s="1080">
        <f>IF(AND(RACE=1,'Main Creation Page'!$E$6="Well",OR(ISNUMBER(FIND(Experience!$G$11,BE445)),ISNUMBER(FIND(Experience!$G$11,BF445)),ISNUMBER(FIND(Experience!$I$11,BE445)),ISNUMBER(FIND(Experience!$I$11,BF445)))),1,0)</f>
        <v>1</v>
      </c>
      <c r="BC445" s="1080" t="str">
        <f t="shared" si="438"/>
        <v>Monster:Demonic (Challenge)</v>
      </c>
      <c r="BD445" s="1080" t="s">
        <v>5694</v>
      </c>
      <c r="BE445" s="1080" t="str">
        <f t="shared" si="477"/>
        <v>Lore</v>
      </c>
      <c r="BF445" s="1080" t="str">
        <f t="shared" si="478"/>
        <v>Language Lore: Written</v>
      </c>
    </row>
    <row r="446" spans="1:58" ht="11.1" customHeight="1" outlineLevel="3">
      <c r="A446" s="1028" t="s">
        <v>559</v>
      </c>
      <c r="B446" s="1094" t="s">
        <v>1942</v>
      </c>
      <c r="C446" s="1094"/>
      <c r="D446" s="1094"/>
      <c r="E446" s="1095" t="s">
        <v>5224</v>
      </c>
      <c r="F446" s="1095" t="s">
        <v>5224</v>
      </c>
      <c r="G446" s="1096">
        <v>0</v>
      </c>
      <c r="H446" s="1096" t="s">
        <v>5224</v>
      </c>
      <c r="I446" s="1096" t="s">
        <v>5224</v>
      </c>
      <c r="J446" s="1096" t="s">
        <v>5224</v>
      </c>
      <c r="K446" s="1096" t="s">
        <v>5224</v>
      </c>
      <c r="L446" s="1096">
        <v>0</v>
      </c>
      <c r="M446" s="1096" t="s">
        <v>5224</v>
      </c>
      <c r="N446" s="1096" t="s">
        <v>4631</v>
      </c>
      <c r="O446" s="1113"/>
      <c r="P446" s="1113" t="s">
        <v>13</v>
      </c>
      <c r="S446" s="1113" t="s">
        <v>53</v>
      </c>
      <c r="T446" s="1113"/>
      <c r="U446" s="1027">
        <v>8</v>
      </c>
      <c r="V446" s="1027">
        <f>IF((AP446+U446+VLOOKUP('Main Creation Page'!E$14,'System Lookups'!R$45:S$49,2))&gt;10,10,IF((AP446+U446+VLOOKUP('Main Creation Page'!E$14,'System Lookups'!R$45:S$49,2))&lt;1,1,(AP446+U446+VLOOKUP('Main Creation Page'!E$14,'System Lookups'!R$45:S$49,2))))</f>
        <v>9</v>
      </c>
      <c r="W446" s="1098" t="e">
        <f>IF(OR(I446&lt;&gt;"N",E446="C"),IF(AND(N446&lt;&gt;"T",ISNUMBER(FIND("V",I446))),1,0),NA())+IF(H446="Y",IF(AND(N446="P",ISNUMBER(FIND("Z",I446))),2,1),0)+IF(J446="Y",1,0)+IF(K446="Y",3,0)+IF(BE446="Lore",L446*2+Experience!$D$25,0)+IF(M446="Y",1,0)</f>
        <v>#N/A</v>
      </c>
      <c r="X446" s="1099"/>
      <c r="Y446" s="1100">
        <f ca="1">IF(P446="NS",IFERROR(INDIRECT(S446),NA()),VLOOKUP(INDIRECT(P446)+INDIRECT(S446),'System Lookups'!$A$3:$D$146,2))</f>
        <v>0.08</v>
      </c>
      <c r="Z446" s="1100">
        <f>IF(ISNA(W446),0,W446*0.03)+IF(X446&gt;0,X446*0.03,0)+IF(AND(ISNA(W446),X446&lt;=0),0,IF(G446&gt;0,G446*0.07,0))</f>
        <v>0</v>
      </c>
      <c r="AA446" s="1101">
        <f ca="1">IF(ISNA(Y446),0,Y446)+Z446+IF('Main Creation Page'!AB$2=37,'Main Creation Page'!E$14/100,0)</f>
        <v>0.08</v>
      </c>
      <c r="AB446" s="1102">
        <f>VLOOKUP(V446,'System Lookups'!$J$55:$P$64,3)</f>
        <v>0.01</v>
      </c>
      <c r="AC446" s="1103">
        <f>VLOOKUP(V446,'System Lookups'!$J$55:$P$64,4)</f>
        <v>0.02</v>
      </c>
      <c r="AD446" s="1104">
        <f t="shared" si="467"/>
        <v>0</v>
      </c>
      <c r="AE446" s="1094">
        <f>(IF(AD446&gt;VLOOKUP(V446,'System Lookups'!$J$55:$P$63,6),(((AD446-VLOOKUP(V446,'System Lookups'!$J$55:$P$63,6))*100)/20),0))+AF446</f>
        <v>0</v>
      </c>
      <c r="AF446" s="1121"/>
      <c r="AG446" s="1092">
        <f t="shared" si="468"/>
        <v>0</v>
      </c>
      <c r="AH446" s="1092" t="str">
        <f>IF(X446&lt;=Experience!$R$15+1,"","*")</f>
        <v/>
      </c>
      <c r="AI446" s="1092"/>
      <c r="AJ446" s="1080">
        <f t="shared" ref="AJ446:AJ468" si="489">IF(ISNUMBER(FIND("R",F446)),-1,0)</f>
        <v>0</v>
      </c>
      <c r="AK446" s="1080">
        <f t="shared" ref="AK446:AK459" si="490">IF(F446="s",-2,0)</f>
        <v>0</v>
      </c>
      <c r="AL446" s="1080">
        <f t="shared" si="471"/>
        <v>0</v>
      </c>
      <c r="AM446" s="1092">
        <f t="shared" ref="AM446:AM459" si="491">IF(J446="y",1,0)</f>
        <v>0</v>
      </c>
      <c r="AN446" s="1080">
        <f t="shared" ref="AN446:AN459" si="492">IF(N446="P",-1,IF(N446="T",1,0))</f>
        <v>1</v>
      </c>
      <c r="AO446" s="1080">
        <f t="shared" si="474"/>
        <v>0</v>
      </c>
      <c r="AP446" s="1080">
        <f t="shared" ref="AP446:AP468" si="493">SUM(AJ446:AN446)-AM446</f>
        <v>1</v>
      </c>
      <c r="AQ446" s="1027">
        <f>VLOOKUP(V446,'System Lookups'!$J$55:$P$64,7)</f>
        <v>1500</v>
      </c>
      <c r="AR446" s="1080" t="str">
        <f ca="1">IF(AND(NOT(ISBLANK(AJ446)),ISNA(MATCH(ROW(),'System Lookups'!$C$526:$C$539,0))),"Y","N")</f>
        <v>Y</v>
      </c>
      <c r="AS446" s="1080">
        <f t="shared" si="475"/>
        <v>0</v>
      </c>
      <c r="AU446" s="1080" t="e">
        <f t="shared" si="479"/>
        <v>#N/A</v>
      </c>
      <c r="AV446" s="1080" t="str">
        <f t="shared" si="476"/>
        <v>T</v>
      </c>
      <c r="AW446" s="1080">
        <f t="shared" si="480"/>
        <v>0</v>
      </c>
      <c r="AX446" s="1080">
        <f t="shared" si="481"/>
        <v>0</v>
      </c>
      <c r="AY446" s="1080">
        <f t="shared" si="482"/>
        <v>0</v>
      </c>
      <c r="AZ446" s="1080">
        <f t="shared" si="483"/>
        <v>0</v>
      </c>
      <c r="BA446" s="1080">
        <f t="shared" si="484"/>
        <v>0</v>
      </c>
      <c r="BB446" s="1080">
        <f>IF(AND(RACE=1,'Main Creation Page'!$E$6="Well",OR(ISNUMBER(FIND(Experience!$G$11,BE446)),ISNUMBER(FIND(Experience!$G$11,BF446)),ISNUMBER(FIND(Experience!$I$11,BE446)),ISNUMBER(FIND(Experience!$I$11,BF446)))),1,0)</f>
        <v>1</v>
      </c>
      <c r="BC446" s="1080" t="str">
        <f t="shared" si="438"/>
        <v>Monster:Draconic</v>
      </c>
      <c r="BD446" s="1080" t="s">
        <v>5694</v>
      </c>
      <c r="BE446" s="1080" t="str">
        <f t="shared" si="477"/>
        <v>Lore</v>
      </c>
      <c r="BF446" s="1080" t="str">
        <f t="shared" si="478"/>
        <v>Language Lore: Written</v>
      </c>
    </row>
    <row r="447" spans="1:58" ht="11.1" customHeight="1" outlineLevel="3">
      <c r="A447" s="1028" t="s">
        <v>4879</v>
      </c>
      <c r="B447" s="1094" t="s">
        <v>1942</v>
      </c>
      <c r="C447" s="1094"/>
      <c r="D447" s="1094"/>
      <c r="E447" s="1095" t="s">
        <v>5224</v>
      </c>
      <c r="F447" s="1095" t="s">
        <v>5224</v>
      </c>
      <c r="G447" s="1096">
        <v>0</v>
      </c>
      <c r="H447" s="1096" t="s">
        <v>5224</v>
      </c>
      <c r="I447" s="1096" t="s">
        <v>5224</v>
      </c>
      <c r="J447" s="1096" t="s">
        <v>5224</v>
      </c>
      <c r="K447" s="1096" t="s">
        <v>5224</v>
      </c>
      <c r="L447" s="1096">
        <v>0</v>
      </c>
      <c r="M447" s="1096" t="s">
        <v>5224</v>
      </c>
      <c r="N447" s="1096" t="s">
        <v>4631</v>
      </c>
      <c r="O447" s="1113"/>
      <c r="P447" s="1113" t="s">
        <v>13</v>
      </c>
      <c r="S447" s="1113" t="s">
        <v>53</v>
      </c>
      <c r="T447" s="1113"/>
      <c r="U447" s="1027">
        <v>8</v>
      </c>
      <c r="V447" s="1027">
        <f>IF((AP447+U447+VLOOKUP('Main Creation Page'!E$14,'System Lookups'!R$45:S$49,2))&gt;10,10,IF((AP447+U447+VLOOKUP('Main Creation Page'!E$14,'System Lookups'!R$45:S$49,2))&lt;1,1,(AP447+U447+VLOOKUP('Main Creation Page'!E$14,'System Lookups'!R$45:S$49,2))))</f>
        <v>9</v>
      </c>
      <c r="W447" s="1098" t="e">
        <f>IF(OR(I447&lt;&gt;"N",E447="C"),IF(AND(N447&lt;&gt;"T",ISNUMBER(FIND("V",I447))),1,0),NA())+IF(H447="Y",IF(AND(N447="P",ISNUMBER(FIND("Z",I447))),2,1),0)+IF(J447="Y",1,0)+IF(K447="Y",3,0)+IF(BE447="Lore",L447*2+Experience!$D$25,0)+IF(M447="Y",1,0)</f>
        <v>#N/A</v>
      </c>
      <c r="X447" s="1099"/>
      <c r="Y447" s="1100">
        <f ca="1">IF(P447="NS",IFERROR(INDIRECT(S447),NA()),VLOOKUP(INDIRECT(P447)+INDIRECT(S447),'System Lookups'!$A$3:$D$146,2))</f>
        <v>0.08</v>
      </c>
      <c r="Z447" s="1100">
        <f>IF(ISNA(W447),0,W447*0.03)+IF(X447&gt;0,X447*0.03,0)+IF(AND(ISNA(W447),X447&lt;=0),0,IF(G447&gt;0,G447*0.07,0))</f>
        <v>0</v>
      </c>
      <c r="AA447" s="1101">
        <f ca="1">IF(ISNA(Y447),0,Y447)+Z447+IF('Main Creation Page'!AB$2=37,'Main Creation Page'!E$14/100,0)</f>
        <v>0.08</v>
      </c>
      <c r="AB447" s="1102">
        <f>VLOOKUP(V447,'System Lookups'!$J$55:$P$64,3)</f>
        <v>0.01</v>
      </c>
      <c r="AC447" s="1103">
        <f>VLOOKUP(V447,'System Lookups'!$J$55:$P$64,4)</f>
        <v>0.02</v>
      </c>
      <c r="AD447" s="1104">
        <f t="shared" si="467"/>
        <v>0</v>
      </c>
      <c r="AE447" s="1094">
        <f>(IF(AD447&gt;VLOOKUP(V447,'System Lookups'!$J$55:$P$63,6),(((AD447-VLOOKUP(V447,'System Lookups'!$J$55:$P$63,6))*100)/20),0))+AF447</f>
        <v>0</v>
      </c>
      <c r="AF447" s="1121"/>
      <c r="AG447" s="1092">
        <f t="shared" si="468"/>
        <v>0</v>
      </c>
      <c r="AH447" s="1092" t="str">
        <f>IF(X447&lt;=Experience!$R$15+1,"","*")</f>
        <v/>
      </c>
      <c r="AI447" s="1092"/>
      <c r="AJ447" s="1080">
        <f t="shared" si="489"/>
        <v>0</v>
      </c>
      <c r="AK447" s="1080">
        <f t="shared" si="490"/>
        <v>0</v>
      </c>
      <c r="AL447" s="1080">
        <f t="shared" si="471"/>
        <v>0</v>
      </c>
      <c r="AM447" s="1092">
        <f t="shared" si="491"/>
        <v>0</v>
      </c>
      <c r="AN447" s="1080">
        <f t="shared" si="492"/>
        <v>1</v>
      </c>
      <c r="AO447" s="1080">
        <f t="shared" si="474"/>
        <v>0</v>
      </c>
      <c r="AP447" s="1080">
        <f t="shared" si="493"/>
        <v>1</v>
      </c>
      <c r="AQ447" s="1027">
        <f>VLOOKUP(V447,'System Lookups'!$J$55:$P$64,7)</f>
        <v>1500</v>
      </c>
      <c r="AR447" s="1080" t="str">
        <f ca="1">IF(AND(NOT(ISBLANK(AJ447)),ISNA(MATCH(ROW(),'System Lookups'!$C$526:$C$539,0))),"Y","N")</f>
        <v>Y</v>
      </c>
      <c r="AS447" s="1080">
        <f t="shared" si="475"/>
        <v>0</v>
      </c>
      <c r="AU447" s="1080" t="e">
        <f t="shared" si="479"/>
        <v>#N/A</v>
      </c>
      <c r="AV447" s="1080" t="str">
        <f t="shared" si="476"/>
        <v>T</v>
      </c>
      <c r="AW447" s="1080">
        <f t="shared" si="480"/>
        <v>0</v>
      </c>
      <c r="AX447" s="1080">
        <f t="shared" si="481"/>
        <v>0</v>
      </c>
      <c r="AY447" s="1080">
        <f t="shared" si="482"/>
        <v>0</v>
      </c>
      <c r="AZ447" s="1080">
        <f t="shared" si="483"/>
        <v>0</v>
      </c>
      <c r="BA447" s="1080">
        <f t="shared" si="484"/>
        <v>0</v>
      </c>
      <c r="BB447" s="1080">
        <f>IF(AND(RACE=1,'Main Creation Page'!$E$6="Well",OR(ISNUMBER(FIND(Experience!$G$11,BE447)),ISNUMBER(FIND(Experience!$G$11,BF447)),ISNUMBER(FIND(Experience!$I$11,BE447)),ISNUMBER(FIND(Experience!$I$11,BF447)))),1,0)</f>
        <v>1</v>
      </c>
      <c r="BC447" s="1080" t="str">
        <f t="shared" si="438"/>
        <v>Monster:Draconic (Ancient)</v>
      </c>
      <c r="BD447" s="1080" t="s">
        <v>5694</v>
      </c>
      <c r="BE447" s="1080" t="str">
        <f t="shared" si="477"/>
        <v>Lore</v>
      </c>
      <c r="BF447" s="1080" t="str">
        <f t="shared" si="478"/>
        <v>Language Lore: Written</v>
      </c>
    </row>
    <row r="448" spans="1:58" ht="11.1" customHeight="1" outlineLevel="3">
      <c r="A448" s="1028" t="s">
        <v>1524</v>
      </c>
      <c r="B448" s="1094" t="s">
        <v>1942</v>
      </c>
      <c r="C448" s="1094"/>
      <c r="D448" s="1094"/>
      <c r="E448" s="1095" t="s">
        <v>5224</v>
      </c>
      <c r="F448" s="1095" t="s">
        <v>5224</v>
      </c>
      <c r="G448" s="1096">
        <v>0</v>
      </c>
      <c r="H448" s="1096" t="s">
        <v>5224</v>
      </c>
      <c r="I448" s="1096" t="s">
        <v>5224</v>
      </c>
      <c r="J448" s="1096" t="s">
        <v>5224</v>
      </c>
      <c r="K448" s="1096" t="s">
        <v>5224</v>
      </c>
      <c r="L448" s="1096">
        <v>0</v>
      </c>
      <c r="M448" s="1096" t="s">
        <v>5224</v>
      </c>
      <c r="N448" s="1096" t="s">
        <v>4631</v>
      </c>
      <c r="O448" s="1113"/>
      <c r="P448" s="1113" t="s">
        <v>13</v>
      </c>
      <c r="S448" s="1113" t="s">
        <v>53</v>
      </c>
      <c r="T448" s="1113"/>
      <c r="U448" s="1027">
        <v>7</v>
      </c>
      <c r="V448" s="1027">
        <f>IF((AP448+U448+VLOOKUP('Main Creation Page'!E$14,'System Lookups'!R$45:S$49,2))&gt;10,10,IF((AP448+U448+VLOOKUP('Main Creation Page'!E$14,'System Lookups'!R$45:S$49,2))&lt;1,1,(AP448+U448+VLOOKUP('Main Creation Page'!E$14,'System Lookups'!R$45:S$49,2))))</f>
        <v>8</v>
      </c>
      <c r="W448" s="1098" t="e">
        <f>IF(OR(I448&lt;&gt;"N",E448="C"),IF(AND(N448&lt;&gt;"T",ISNUMBER(FIND("V",I448))),1,0),NA())+IF(H448="Y",IF(AND(N448="P",ISNUMBER(FIND("Z",I448))),2,1),0)+IF(J448="Y",1,0)+IF(K448="Y",3,0)+IF(BE448="Lore",L448*2+Experience!$D$25,0)+IF(M448="Y",1,0)</f>
        <v>#N/A</v>
      </c>
      <c r="X448" s="1099"/>
      <c r="Y448" s="1100">
        <f ca="1">IF(P448="NS",IFERROR(INDIRECT(S448),NA()),VLOOKUP(INDIRECT(P448)+INDIRECT(S448),'System Lookups'!$A$3:$D$146,2))</f>
        <v>0.08</v>
      </c>
      <c r="Z448" s="1100">
        <f t="shared" ref="Z448:Z468" si="494">IF(ISNA(W448),0,W448*0.05)+IF(X448&gt;0,X448*0.05,0)+IF(AND(ISNA(W448),X448&lt;=0),0,IF(G448&gt;0,G448*0.05,0))</f>
        <v>0</v>
      </c>
      <c r="AA448" s="1101">
        <f ca="1">IF(ISNA(Y448),0,Y448)+Z448+IF('Main Creation Page'!AB$2=37,'Main Creation Page'!E$14/100,0)</f>
        <v>0.08</v>
      </c>
      <c r="AB448" s="1102">
        <f>VLOOKUP(V448,'System Lookups'!$J$55:$P$64,3)</f>
        <v>0.02</v>
      </c>
      <c r="AC448" s="1103">
        <f>VLOOKUP(V448,'System Lookups'!$J$55:$P$64,4)</f>
        <v>0.03</v>
      </c>
      <c r="AD448" s="1104">
        <f t="shared" si="467"/>
        <v>0</v>
      </c>
      <c r="AE448" s="1094">
        <f>(IF(AD448&gt;VLOOKUP(V448,'System Lookups'!$J$55:$P$63,6),(((AD448-VLOOKUP(V448,'System Lookups'!$J$55:$P$63,6))*100)/20),0))+AF448</f>
        <v>0</v>
      </c>
      <c r="AF448" s="1121"/>
      <c r="AG448" s="1092">
        <f t="shared" si="468"/>
        <v>0</v>
      </c>
      <c r="AH448" s="1092" t="str">
        <f>IF(X448&lt;=Experience!$R$15+1,"","*")</f>
        <v/>
      </c>
      <c r="AI448" s="1092"/>
      <c r="AJ448" s="1080">
        <f t="shared" si="489"/>
        <v>0</v>
      </c>
      <c r="AK448" s="1080">
        <f t="shared" si="490"/>
        <v>0</v>
      </c>
      <c r="AL448" s="1080">
        <f t="shared" si="471"/>
        <v>0</v>
      </c>
      <c r="AM448" s="1092">
        <f t="shared" si="491"/>
        <v>0</v>
      </c>
      <c r="AN448" s="1080">
        <f t="shared" si="492"/>
        <v>1</v>
      </c>
      <c r="AO448" s="1080">
        <f t="shared" si="474"/>
        <v>0</v>
      </c>
      <c r="AP448" s="1080">
        <f t="shared" si="493"/>
        <v>1</v>
      </c>
      <c r="AQ448" s="1027">
        <f>VLOOKUP(V448,'System Lookups'!$J$55:$P$64,7)</f>
        <v>1200</v>
      </c>
      <c r="AR448" s="1080" t="str">
        <f ca="1">IF(AND(NOT(ISBLANK(AJ448)),ISNA(MATCH(ROW(),'System Lookups'!$C$526:$C$539,0))),"Y","N")</f>
        <v>Y</v>
      </c>
      <c r="AS448" s="1080">
        <f t="shared" si="475"/>
        <v>0</v>
      </c>
      <c r="AU448" s="1080" t="e">
        <f t="shared" si="479"/>
        <v>#N/A</v>
      </c>
      <c r="AV448" s="1080" t="str">
        <f t="shared" si="476"/>
        <v>T</v>
      </c>
      <c r="AW448" s="1080">
        <f t="shared" si="480"/>
        <v>0</v>
      </c>
      <c r="AX448" s="1080">
        <f t="shared" si="481"/>
        <v>0</v>
      </c>
      <c r="AY448" s="1080">
        <f t="shared" si="482"/>
        <v>0</v>
      </c>
      <c r="AZ448" s="1080">
        <f t="shared" si="483"/>
        <v>0</v>
      </c>
      <c r="BA448" s="1080">
        <f t="shared" si="484"/>
        <v>0</v>
      </c>
      <c r="BB448" s="1080">
        <f>IF(AND(RACE=1,'Main Creation Page'!$E$6="Well",OR(ISNUMBER(FIND(Experience!$G$11,BE448)),ISNUMBER(FIND(Experience!$G$11,BF448)),ISNUMBER(FIND(Experience!$I$11,BE448)),ISNUMBER(FIND(Experience!$I$11,BF448)))),1,0)</f>
        <v>1</v>
      </c>
      <c r="BC448" s="1080" t="str">
        <f t="shared" si="438"/>
        <v>Monster:Faery (Seelie)</v>
      </c>
      <c r="BD448" s="1080" t="s">
        <v>5694</v>
      </c>
      <c r="BE448" s="1080" t="str">
        <f t="shared" si="477"/>
        <v>Lore</v>
      </c>
      <c r="BF448" s="1080" t="str">
        <f t="shared" si="478"/>
        <v>Language Lore: Written</v>
      </c>
    </row>
    <row r="449" spans="1:58" ht="11.1" customHeight="1" outlineLevel="3">
      <c r="A449" s="1028" t="s">
        <v>1493</v>
      </c>
      <c r="B449" s="1094" t="s">
        <v>1942</v>
      </c>
      <c r="C449" s="1094"/>
      <c r="D449" s="1094"/>
      <c r="E449" s="1095" t="s">
        <v>5224</v>
      </c>
      <c r="F449" s="1095" t="s">
        <v>5224</v>
      </c>
      <c r="G449" s="1096">
        <v>0</v>
      </c>
      <c r="H449" s="1096" t="s">
        <v>5224</v>
      </c>
      <c r="I449" s="1096" t="s">
        <v>5224</v>
      </c>
      <c r="J449" s="1096" t="s">
        <v>5224</v>
      </c>
      <c r="K449" s="1096" t="s">
        <v>5224</v>
      </c>
      <c r="L449" s="1096">
        <v>0</v>
      </c>
      <c r="M449" s="1096" t="s">
        <v>5224</v>
      </c>
      <c r="N449" s="1096" t="s">
        <v>4631</v>
      </c>
      <c r="O449" s="1113"/>
      <c r="P449" s="1113" t="s">
        <v>13</v>
      </c>
      <c r="S449" s="1113" t="s">
        <v>53</v>
      </c>
      <c r="T449" s="1113"/>
      <c r="U449" s="1027">
        <v>7</v>
      </c>
      <c r="V449" s="1027">
        <f>IF((AP449+U449+VLOOKUP('Main Creation Page'!E$14,'System Lookups'!R$45:S$49,2))&gt;10,10,IF((AP449+U449+VLOOKUP('Main Creation Page'!E$14,'System Lookups'!R$45:S$49,2))&lt;1,1,(AP449+U449+VLOOKUP('Main Creation Page'!E$14,'System Lookups'!R$45:S$49,2))))</f>
        <v>8</v>
      </c>
      <c r="W449" s="1098" t="e">
        <f>IF(OR(I449&lt;&gt;"N",E449="C"),IF(AND(N449&lt;&gt;"T",ISNUMBER(FIND("V",I449))),1,0),NA())+IF(H449="Y",IF(AND(N449="P",ISNUMBER(FIND("Z",I449))),2,1),0)+IF(J449="Y",1,0)+IF(K449="Y",3,0)+IF(BE449="Lore",L449*2+Experience!$D$25,0)+IF(M449="Y",1,0)</f>
        <v>#N/A</v>
      </c>
      <c r="X449" s="1099"/>
      <c r="Y449" s="1100">
        <f ca="1">IF(P449="NS",IFERROR(INDIRECT(S449),NA()),VLOOKUP(INDIRECT(P449)+INDIRECT(S449),'System Lookups'!$A$3:$D$146,2))</f>
        <v>0.08</v>
      </c>
      <c r="Z449" s="1100">
        <f t="shared" si="494"/>
        <v>0</v>
      </c>
      <c r="AA449" s="1101">
        <f ca="1">IF(ISNA(Y449),0,Y449)+Z449+IF('Main Creation Page'!AB$2=37,'Main Creation Page'!E$14/100,0)</f>
        <v>0.08</v>
      </c>
      <c r="AB449" s="1102">
        <f>VLOOKUP(V449,'System Lookups'!$J$55:$P$64,3)</f>
        <v>0.02</v>
      </c>
      <c r="AC449" s="1103">
        <f>VLOOKUP(V449,'System Lookups'!$J$55:$P$64,4)</f>
        <v>0.03</v>
      </c>
      <c r="AD449" s="1104">
        <f t="shared" si="467"/>
        <v>0</v>
      </c>
      <c r="AE449" s="1094">
        <f>(IF(AD449&gt;VLOOKUP(V449,'System Lookups'!$J$55:$P$63,6),(((AD449-VLOOKUP(V449,'System Lookups'!$J$55:$P$63,6))*100)/20),0))+AF449</f>
        <v>0</v>
      </c>
      <c r="AF449" s="1121"/>
      <c r="AG449" s="1092">
        <f t="shared" si="468"/>
        <v>0</v>
      </c>
      <c r="AH449" s="1092" t="str">
        <f>IF(X449&lt;=Experience!$R$15+1,"","*")</f>
        <v/>
      </c>
      <c r="AI449" s="1092"/>
      <c r="AJ449" s="1080">
        <f t="shared" si="489"/>
        <v>0</v>
      </c>
      <c r="AK449" s="1080">
        <f t="shared" si="490"/>
        <v>0</v>
      </c>
      <c r="AL449" s="1080">
        <f t="shared" si="471"/>
        <v>0</v>
      </c>
      <c r="AM449" s="1092">
        <f t="shared" si="491"/>
        <v>0</v>
      </c>
      <c r="AN449" s="1080">
        <f t="shared" si="492"/>
        <v>1</v>
      </c>
      <c r="AO449" s="1080">
        <f t="shared" si="474"/>
        <v>0</v>
      </c>
      <c r="AP449" s="1080">
        <f t="shared" si="493"/>
        <v>1</v>
      </c>
      <c r="AQ449" s="1027">
        <f>VLOOKUP(V449,'System Lookups'!$J$55:$P$64,7)</f>
        <v>1200</v>
      </c>
      <c r="AR449" s="1080" t="str">
        <f ca="1">IF(AND(NOT(ISBLANK(AJ449)),ISNA(MATCH(ROW(),'System Lookups'!$C$526:$C$539,0))),"Y","N")</f>
        <v>Y</v>
      </c>
      <c r="AS449" s="1080">
        <f t="shared" si="475"/>
        <v>0</v>
      </c>
      <c r="AU449" s="1080" t="e">
        <f t="shared" si="479"/>
        <v>#N/A</v>
      </c>
      <c r="AV449" s="1080" t="str">
        <f t="shared" si="476"/>
        <v>T</v>
      </c>
      <c r="AW449" s="1080">
        <f t="shared" si="480"/>
        <v>0</v>
      </c>
      <c r="AX449" s="1080">
        <f t="shared" si="481"/>
        <v>0</v>
      </c>
      <c r="AY449" s="1080">
        <f t="shared" si="482"/>
        <v>0</v>
      </c>
      <c r="AZ449" s="1080">
        <f t="shared" si="483"/>
        <v>0</v>
      </c>
      <c r="BA449" s="1080">
        <f t="shared" si="484"/>
        <v>0</v>
      </c>
      <c r="BB449" s="1080">
        <f>IF(AND(RACE=1,'Main Creation Page'!$E$6="Well",OR(ISNUMBER(FIND(Experience!$G$11,BE449)),ISNUMBER(FIND(Experience!$G$11,BF449)),ISNUMBER(FIND(Experience!$I$11,BE449)),ISNUMBER(FIND(Experience!$I$11,BF449)))),1,0)</f>
        <v>1</v>
      </c>
      <c r="BC449" s="1080" t="str">
        <f t="shared" si="438"/>
        <v>Monster:Faery (Un-Seelie)</v>
      </c>
      <c r="BD449" s="1080" t="s">
        <v>5694</v>
      </c>
      <c r="BE449" s="1080" t="str">
        <f t="shared" si="477"/>
        <v>Lore</v>
      </c>
      <c r="BF449" s="1080" t="str">
        <f t="shared" si="478"/>
        <v>Language Lore: Written</v>
      </c>
    </row>
    <row r="450" spans="1:58" ht="11.1" customHeight="1" outlineLevel="3">
      <c r="A450" s="1093" t="s">
        <v>1494</v>
      </c>
      <c r="B450" s="1094" t="s">
        <v>1942</v>
      </c>
      <c r="C450" s="1094"/>
      <c r="D450" s="1094"/>
      <c r="E450" s="1095" t="s">
        <v>5224</v>
      </c>
      <c r="F450" s="1095" t="s">
        <v>5224</v>
      </c>
      <c r="G450" s="1096">
        <v>0</v>
      </c>
      <c r="H450" s="1096" t="s">
        <v>5224</v>
      </c>
      <c r="I450" s="1096" t="s">
        <v>5224</v>
      </c>
      <c r="J450" s="1096" t="s">
        <v>5224</v>
      </c>
      <c r="K450" s="1096" t="s">
        <v>5224</v>
      </c>
      <c r="L450" s="1096">
        <v>0</v>
      </c>
      <c r="M450" s="1096" t="s">
        <v>5224</v>
      </c>
      <c r="N450" s="1096" t="s">
        <v>4631</v>
      </c>
      <c r="O450" s="1113"/>
      <c r="P450" s="1113" t="s">
        <v>13</v>
      </c>
      <c r="S450" s="1113" t="s">
        <v>53</v>
      </c>
      <c r="T450" s="1113"/>
      <c r="U450" s="1027">
        <v>3</v>
      </c>
      <c r="V450" s="1027">
        <f>IF((AP450+U450+VLOOKUP('Main Creation Page'!E$14,'System Lookups'!R$45:S$49,2))&gt;10,10,IF((AP450+U450+VLOOKUP('Main Creation Page'!E$14,'System Lookups'!R$45:S$49,2))&lt;1,1,(AP450+U450+VLOOKUP('Main Creation Page'!E$14,'System Lookups'!R$45:S$49,2))))</f>
        <v>4</v>
      </c>
      <c r="W450" s="1098" t="e">
        <f>IF(OR(I450&lt;&gt;"N",E450="C"),IF(AND(N450&lt;&gt;"T",ISNUMBER(FIND("V",I450))),1,0),NA())+IF(H450="Y",IF(AND(N450="P",ISNUMBER(FIND("Z",I450))),2,1),0)+IF(J450="Y",1,0)+IF(K450="Y",3,0)+IF(BE450="Lore",L450*2+Experience!$D$25,0)+IF(M450="Y",1,0)</f>
        <v>#N/A</v>
      </c>
      <c r="X450" s="1099"/>
      <c r="Y450" s="1100">
        <f ca="1">IF(P450="NS",IFERROR(INDIRECT(S450),NA()),VLOOKUP(INDIRECT(P450)+INDIRECT(S450),'System Lookups'!$A$3:$D$146,2))</f>
        <v>0.08</v>
      </c>
      <c r="Z450" s="1100">
        <f t="shared" si="494"/>
        <v>0</v>
      </c>
      <c r="AA450" s="1101">
        <f ca="1">IF(ISNA(Y450),0,Y450)+Z450+IF('Main Creation Page'!AB$2=37,'Main Creation Page'!E$14/100,0)</f>
        <v>0.08</v>
      </c>
      <c r="AB450" s="1102">
        <f>VLOOKUP(V450,'System Lookups'!$J$55:$P$64,3)</f>
        <v>0.2</v>
      </c>
      <c r="AC450" s="1103">
        <f>VLOOKUP(V450,'System Lookups'!$J$55:$P$64,4)</f>
        <v>0.3</v>
      </c>
      <c r="AD450" s="1104">
        <f t="shared" si="467"/>
        <v>0</v>
      </c>
      <c r="AE450" s="1094">
        <f>(IF(AD450&gt;VLOOKUP(V450,'System Lookups'!$J$55:$P$63,6),(((AD450-VLOOKUP(V450,'System Lookups'!$J$55:$P$63,6))*100)/20),0))+AF450</f>
        <v>0</v>
      </c>
      <c r="AF450" s="1121"/>
      <c r="AG450" s="1092">
        <f t="shared" si="468"/>
        <v>0</v>
      </c>
      <c r="AH450" s="1092" t="str">
        <f>IF(X450&lt;=Experience!$R$15+1,"","*")</f>
        <v/>
      </c>
      <c r="AI450" s="1092"/>
      <c r="AJ450" s="1080">
        <f t="shared" si="489"/>
        <v>0</v>
      </c>
      <c r="AK450" s="1080">
        <f t="shared" si="490"/>
        <v>0</v>
      </c>
      <c r="AL450" s="1080">
        <f t="shared" si="471"/>
        <v>0</v>
      </c>
      <c r="AM450" s="1092">
        <f t="shared" si="491"/>
        <v>0</v>
      </c>
      <c r="AN450" s="1080">
        <f t="shared" si="492"/>
        <v>1</v>
      </c>
      <c r="AO450" s="1080">
        <f t="shared" si="474"/>
        <v>0</v>
      </c>
      <c r="AP450" s="1080">
        <f t="shared" si="493"/>
        <v>1</v>
      </c>
      <c r="AQ450" s="1027">
        <f>VLOOKUP(V450,'System Lookups'!$J$55:$P$64,7)</f>
        <v>600</v>
      </c>
      <c r="AR450" s="1080" t="str">
        <f ca="1">IF(AND(NOT(ISBLANK(AJ450)),ISNA(MATCH(ROW(),'System Lookups'!$C$526:$C$539,0))),"Y","N")</f>
        <v>Y</v>
      </c>
      <c r="AS450" s="1080">
        <f t="shared" si="475"/>
        <v>0</v>
      </c>
      <c r="AU450" s="1080" t="e">
        <f t="shared" si="479"/>
        <v>#N/A</v>
      </c>
      <c r="AV450" s="1080" t="str">
        <f t="shared" si="476"/>
        <v>T</v>
      </c>
      <c r="AW450" s="1080">
        <f t="shared" si="480"/>
        <v>0</v>
      </c>
      <c r="AX450" s="1080">
        <f t="shared" si="481"/>
        <v>0</v>
      </c>
      <c r="AY450" s="1080">
        <f t="shared" si="482"/>
        <v>0</v>
      </c>
      <c r="AZ450" s="1080">
        <f t="shared" si="483"/>
        <v>0</v>
      </c>
      <c r="BA450" s="1080">
        <f t="shared" si="484"/>
        <v>0</v>
      </c>
      <c r="BB450" s="1080">
        <f>IF(AND(RACE=1,'Main Creation Page'!$E$6="Well",OR(ISNUMBER(FIND(Experience!$G$11,BE450)),ISNUMBER(FIND(Experience!$G$11,BF450)),ISNUMBER(FIND(Experience!$I$11,BE450)),ISNUMBER(FIND(Experience!$I$11,BF450)))),1,0)</f>
        <v>1</v>
      </c>
      <c r="BC450" s="1080" t="str">
        <f t="shared" si="438"/>
        <v>Monster:Giant</v>
      </c>
      <c r="BD450" s="1080" t="s">
        <v>5694</v>
      </c>
      <c r="BE450" s="1080" t="str">
        <f t="shared" si="477"/>
        <v>Lore</v>
      </c>
      <c r="BF450" s="1080" t="str">
        <f t="shared" si="478"/>
        <v>Language Lore: Written</v>
      </c>
    </row>
    <row r="451" spans="1:58" ht="11.1" customHeight="1" outlineLevel="3">
      <c r="A451" s="1028" t="s">
        <v>1412</v>
      </c>
      <c r="B451" s="1094" t="s">
        <v>1942</v>
      </c>
      <c r="C451" s="1094"/>
      <c r="D451" s="1094"/>
      <c r="E451" s="1095" t="s">
        <v>5224</v>
      </c>
      <c r="F451" s="1095" t="str">
        <f>IF('Main Creation Page'!$C$3=7, "R", "N")</f>
        <v>N</v>
      </c>
      <c r="G451" s="1096">
        <v>0</v>
      </c>
      <c r="H451" s="1096" t="s">
        <v>5224</v>
      </c>
      <c r="I451" s="1096" t="s">
        <v>5224</v>
      </c>
      <c r="J451" s="1096" t="s">
        <v>5224</v>
      </c>
      <c r="K451" s="1096" t="s">
        <v>5224</v>
      </c>
      <c r="L451" s="1096">
        <v>0</v>
      </c>
      <c r="M451" s="1096" t="s">
        <v>5224</v>
      </c>
      <c r="N451" s="1096" t="s">
        <v>4631</v>
      </c>
      <c r="O451" s="1113"/>
      <c r="P451" s="1113" t="s">
        <v>13</v>
      </c>
      <c r="S451" s="1113" t="s">
        <v>53</v>
      </c>
      <c r="T451" s="1113"/>
      <c r="U451" s="1027">
        <v>3</v>
      </c>
      <c r="V451" s="1027">
        <f>IF((AP451+U451+VLOOKUP('Main Creation Page'!E$14,'System Lookups'!R$45:S$49,2))&gt;10,10,IF((AP451+U451+VLOOKUP('Main Creation Page'!E$14,'System Lookups'!R$45:S$49,2))&lt;1,1,(AP451+U451+VLOOKUP('Main Creation Page'!E$14,'System Lookups'!R$45:S$49,2))))</f>
        <v>4</v>
      </c>
      <c r="W451" s="1098" t="e">
        <f>IF(OR(I451&lt;&gt;"N",E451="C"),IF(AND(N451&lt;&gt;"T",ISNUMBER(FIND("V",I451))),1,0),NA())+IF(H451="Y",IF(AND(N451="P",ISNUMBER(FIND("Z",I451))),2,1),0)+IF(J451="Y",1,0)+IF(K451="Y",3,0)+IF(BE451="Lore",L451*2+Experience!$D$25,0)+IF(M451="Y",1,0)</f>
        <v>#N/A</v>
      </c>
      <c r="X451" s="1099"/>
      <c r="Y451" s="1100">
        <f ca="1">IF(P451="NS",IFERROR(INDIRECT(S451),NA()),VLOOKUP(INDIRECT(P451)+INDIRECT(S451),'System Lookups'!$A$3:$D$146,2))</f>
        <v>0.08</v>
      </c>
      <c r="Z451" s="1100">
        <f t="shared" si="494"/>
        <v>0</v>
      </c>
      <c r="AA451" s="1101">
        <f ca="1">IF(ISNA(Y451),0,Y451)+Z451+IF('Main Creation Page'!AB$2=37,'Main Creation Page'!E$14/100,0)</f>
        <v>0.08</v>
      </c>
      <c r="AB451" s="1102">
        <f>VLOOKUP(V451,'System Lookups'!$J$55:$P$64,3)</f>
        <v>0.2</v>
      </c>
      <c r="AC451" s="1103">
        <f>VLOOKUP(V451,'System Lookups'!$J$55:$P$64,4)</f>
        <v>0.3</v>
      </c>
      <c r="AD451" s="1104">
        <f t="shared" si="467"/>
        <v>0</v>
      </c>
      <c r="AE451" s="1094">
        <f>(IF(AD451&gt;VLOOKUP(V451,'System Lookups'!$J$55:$P$63,6),(((AD451-VLOOKUP(V451,'System Lookups'!$J$55:$P$63,6))*100)/20),0))+AF451</f>
        <v>0</v>
      </c>
      <c r="AF451" s="1121"/>
      <c r="AG451" s="1092">
        <f t="shared" si="468"/>
        <v>0</v>
      </c>
      <c r="AH451" s="1092" t="str">
        <f>IF(X451&lt;=Experience!$R$15+1,"","*")</f>
        <v/>
      </c>
      <c r="AI451" s="1092"/>
      <c r="AJ451" s="1080">
        <f t="shared" si="489"/>
        <v>0</v>
      </c>
      <c r="AK451" s="1080">
        <f t="shared" si="490"/>
        <v>0</v>
      </c>
      <c r="AL451" s="1080">
        <f t="shared" si="471"/>
        <v>0</v>
      </c>
      <c r="AM451" s="1092">
        <f t="shared" si="491"/>
        <v>0</v>
      </c>
      <c r="AN451" s="1080">
        <f t="shared" si="492"/>
        <v>1</v>
      </c>
      <c r="AO451" s="1080">
        <f t="shared" si="474"/>
        <v>0</v>
      </c>
      <c r="AP451" s="1080">
        <f t="shared" si="493"/>
        <v>1</v>
      </c>
      <c r="AQ451" s="1027">
        <f>VLOOKUP(V451,'System Lookups'!$J$55:$P$64,7)</f>
        <v>600</v>
      </c>
      <c r="AR451" s="1080" t="str">
        <f ca="1">IF(AND(NOT(ISBLANK(AJ451)),ISNA(MATCH(ROW(),'System Lookups'!$C$526:$C$539,0))),"Y","N")</f>
        <v>Y</v>
      </c>
      <c r="AS451" s="1080">
        <f t="shared" si="475"/>
        <v>0</v>
      </c>
      <c r="AU451" s="1080" t="e">
        <f t="shared" si="479"/>
        <v>#N/A</v>
      </c>
      <c r="AV451" s="1080" t="str">
        <f t="shared" si="476"/>
        <v>T</v>
      </c>
      <c r="AW451" s="1080">
        <f t="shared" si="480"/>
        <v>0</v>
      </c>
      <c r="AX451" s="1080">
        <f t="shared" si="481"/>
        <v>0</v>
      </c>
      <c r="AY451" s="1080">
        <f t="shared" si="482"/>
        <v>0</v>
      </c>
      <c r="AZ451" s="1080">
        <f t="shared" si="483"/>
        <v>0</v>
      </c>
      <c r="BA451" s="1080">
        <f t="shared" si="484"/>
        <v>0</v>
      </c>
      <c r="BB451" s="1080">
        <f>IF(AND(RACE=1,'Main Creation Page'!$E$6="Well",OR(ISNUMBER(FIND(Experience!$G$11,BE451)),ISNUMBER(FIND(Experience!$G$11,BF451)),ISNUMBER(FIND(Experience!$I$11,BE451)),ISNUMBER(FIND(Experience!$I$11,BF451)))),1,0)</f>
        <v>1</v>
      </c>
      <c r="BC451" s="1080" t="str">
        <f t="shared" si="438"/>
        <v>Monster:Goblin</v>
      </c>
      <c r="BD451" s="1080" t="s">
        <v>5694</v>
      </c>
      <c r="BE451" s="1080" t="str">
        <f t="shared" si="477"/>
        <v>Lore</v>
      </c>
      <c r="BF451" s="1080" t="str">
        <f t="shared" si="478"/>
        <v>Language Lore: Written</v>
      </c>
    </row>
    <row r="452" spans="1:58" ht="11.1" customHeight="1" outlineLevel="3">
      <c r="A452" s="1028" t="s">
        <v>3260</v>
      </c>
      <c r="B452" s="1094" t="s">
        <v>1942</v>
      </c>
      <c r="C452" s="1094"/>
      <c r="D452" s="1094"/>
      <c r="E452" s="1095" t="s">
        <v>5224</v>
      </c>
      <c r="F452" s="1095" t="str">
        <f>IF('Main Creation Page'!$C$3=7, "R", "N")</f>
        <v>N</v>
      </c>
      <c r="G452" s="1096">
        <v>0</v>
      </c>
      <c r="H452" s="1096" t="s">
        <v>5224</v>
      </c>
      <c r="I452" s="1096" t="s">
        <v>5224</v>
      </c>
      <c r="J452" s="1096" t="s">
        <v>5224</v>
      </c>
      <c r="K452" s="1096" t="s">
        <v>5224</v>
      </c>
      <c r="L452" s="1096">
        <v>0</v>
      </c>
      <c r="M452" s="1096" t="s">
        <v>5224</v>
      </c>
      <c r="N452" s="1096" t="s">
        <v>4631</v>
      </c>
      <c r="O452" s="1113"/>
      <c r="P452" s="1113" t="s">
        <v>13</v>
      </c>
      <c r="S452" s="1113" t="s">
        <v>53</v>
      </c>
      <c r="T452" s="1113"/>
      <c r="U452" s="1027">
        <v>3</v>
      </c>
      <c r="V452" s="1027">
        <f>IF((AP452+U452+VLOOKUP('Main Creation Page'!E$14,'System Lookups'!R$45:S$49,2))&gt;10,10,IF((AP452+U452+VLOOKUP('Main Creation Page'!E$14,'System Lookups'!R$45:S$49,2))&lt;1,1,(AP452+U452+VLOOKUP('Main Creation Page'!E$14,'System Lookups'!R$45:S$49,2))))</f>
        <v>4</v>
      </c>
      <c r="W452" s="1098" t="e">
        <f>IF(OR(I452&lt;&gt;"N",E452="C"),IF(AND(N452&lt;&gt;"T",ISNUMBER(FIND("V",I452))),1,0),NA())+IF(H452="Y",IF(AND(N452="P",ISNUMBER(FIND("Z",I452))),2,1),0)+IF(J452="Y",1,0)+IF(K452="Y",3,0)+IF(BE452="Lore",L452*2+Experience!$D$25,0)+IF(M452="Y",1,0)</f>
        <v>#N/A</v>
      </c>
      <c r="X452" s="1099"/>
      <c r="Y452" s="1100">
        <f ca="1">IF(P452="NS",IFERROR(INDIRECT(S452),NA()),VLOOKUP(INDIRECT(P452)+INDIRECT(S452),'System Lookups'!$A$3:$D$146,2))</f>
        <v>0.08</v>
      </c>
      <c r="Z452" s="1100">
        <f t="shared" si="494"/>
        <v>0</v>
      </c>
      <c r="AA452" s="1101">
        <f ca="1">IF(ISNA(Y452),0,Y452)+Z452+IF('Main Creation Page'!AB$2=37,'Main Creation Page'!E$14/100,0)</f>
        <v>0.08</v>
      </c>
      <c r="AB452" s="1102">
        <f>VLOOKUP(V452,'System Lookups'!$J$55:$P$64,3)</f>
        <v>0.2</v>
      </c>
      <c r="AC452" s="1103">
        <f>VLOOKUP(V452,'System Lookups'!$J$55:$P$64,4)</f>
        <v>0.3</v>
      </c>
      <c r="AD452" s="1104">
        <f t="shared" si="467"/>
        <v>0</v>
      </c>
      <c r="AE452" s="1094">
        <f>(IF(AD452&gt;VLOOKUP(V452,'System Lookups'!$J$55:$P$63,6),(((AD452-VLOOKUP(V452,'System Lookups'!$J$55:$P$63,6))*100)/20),0))+AF452</f>
        <v>0</v>
      </c>
      <c r="AF452" s="1121"/>
      <c r="AG452" s="1092">
        <f t="shared" si="468"/>
        <v>0</v>
      </c>
      <c r="AH452" s="1092" t="str">
        <f>IF(X452&lt;=Experience!$R$15+1,"","*")</f>
        <v/>
      </c>
      <c r="AI452" s="1092"/>
      <c r="AJ452" s="1080">
        <f t="shared" si="489"/>
        <v>0</v>
      </c>
      <c r="AK452" s="1080">
        <f t="shared" si="490"/>
        <v>0</v>
      </c>
      <c r="AL452" s="1080">
        <f t="shared" si="471"/>
        <v>0</v>
      </c>
      <c r="AM452" s="1092">
        <f t="shared" si="491"/>
        <v>0</v>
      </c>
      <c r="AN452" s="1080">
        <f t="shared" si="492"/>
        <v>1</v>
      </c>
      <c r="AO452" s="1080">
        <f t="shared" si="474"/>
        <v>0</v>
      </c>
      <c r="AP452" s="1080">
        <f t="shared" si="493"/>
        <v>1</v>
      </c>
      <c r="AQ452" s="1027">
        <f>VLOOKUP(V452,'System Lookups'!$J$55:$P$64,7)</f>
        <v>600</v>
      </c>
      <c r="AR452" s="1080" t="str">
        <f ca="1">IF(AND(NOT(ISBLANK(AJ452)),ISNA(MATCH(ROW(),'System Lookups'!$C$526:$C$539,0))),"Y","N")</f>
        <v>Y</v>
      </c>
      <c r="AS452" s="1080">
        <f t="shared" si="475"/>
        <v>0</v>
      </c>
      <c r="AU452" s="1080" t="e">
        <f t="shared" si="479"/>
        <v>#N/A</v>
      </c>
      <c r="AV452" s="1080" t="str">
        <f t="shared" si="476"/>
        <v>T</v>
      </c>
      <c r="AW452" s="1080">
        <f t="shared" si="480"/>
        <v>0</v>
      </c>
      <c r="AX452" s="1080">
        <f t="shared" si="481"/>
        <v>0</v>
      </c>
      <c r="AY452" s="1080">
        <f t="shared" si="482"/>
        <v>0</v>
      </c>
      <c r="AZ452" s="1080">
        <f t="shared" si="483"/>
        <v>0</v>
      </c>
      <c r="BA452" s="1080">
        <f t="shared" si="484"/>
        <v>0</v>
      </c>
      <c r="BB452" s="1080">
        <f>IF(AND(RACE=1,'Main Creation Page'!$E$6="Well",OR(ISNUMBER(FIND(Experience!$G$11,BE452)),ISNUMBER(FIND(Experience!$G$11,BF452)),ISNUMBER(FIND(Experience!$I$11,BE452)),ISNUMBER(FIND(Experience!$I$11,BF452)))),1,0)</f>
        <v>1</v>
      </c>
      <c r="BC452" s="1080" t="str">
        <f t="shared" si="438"/>
        <v>Monster:Hobgoblin</v>
      </c>
      <c r="BD452" s="1080" t="s">
        <v>5694</v>
      </c>
      <c r="BE452" s="1080" t="str">
        <f t="shared" si="477"/>
        <v>Lore</v>
      </c>
      <c r="BF452" s="1080" t="str">
        <f t="shared" si="478"/>
        <v>Language Lore: Written</v>
      </c>
    </row>
    <row r="453" spans="1:58" ht="11.1" customHeight="1" outlineLevel="3">
      <c r="A453" s="1093" t="str">
        <f>IF('Main Creation Page'!$K$5=3, "Mer Folk","Harpy")</f>
        <v>Mer Folk</v>
      </c>
      <c r="B453" s="1094" t="s">
        <v>1942</v>
      </c>
      <c r="C453" s="1094"/>
      <c r="D453" s="1094"/>
      <c r="E453" s="1095" t="s">
        <v>5224</v>
      </c>
      <c r="F453" s="1095" t="s">
        <v>5224</v>
      </c>
      <c r="G453" s="1096">
        <v>0</v>
      </c>
      <c r="H453" s="1096" t="s">
        <v>5224</v>
      </c>
      <c r="I453" s="1096" t="s">
        <v>5224</v>
      </c>
      <c r="J453" s="1096" t="s">
        <v>5224</v>
      </c>
      <c r="K453" s="1096" t="s">
        <v>5224</v>
      </c>
      <c r="L453" s="1096">
        <v>0</v>
      </c>
      <c r="M453" s="1096" t="s">
        <v>5224</v>
      </c>
      <c r="N453" s="1096" t="s">
        <v>4631</v>
      </c>
      <c r="O453" s="1113"/>
      <c r="P453" s="1113" t="s">
        <v>13</v>
      </c>
      <c r="S453" s="1113" t="s">
        <v>53</v>
      </c>
      <c r="T453" s="1113"/>
      <c r="U453" s="1027">
        <f>IF(F453="r",1,IF('Main Creation Page'!$K$5=3,4,3))</f>
        <v>4</v>
      </c>
      <c r="V453" s="1027">
        <f>IF((AP453+U453+VLOOKUP('Main Creation Page'!E$14,'System Lookups'!R$45:S$49,2))&gt;10,10,IF((AP453+U453+VLOOKUP('Main Creation Page'!E$14,'System Lookups'!R$45:S$49,2))&lt;1,1,(AP453+U453+VLOOKUP('Main Creation Page'!E$14,'System Lookups'!R$45:S$49,2))))</f>
        <v>5</v>
      </c>
      <c r="W453" s="1098" t="e">
        <f>IF(OR(I453&lt;&gt;"N",E453="C"),IF(AND(N453&lt;&gt;"T",ISNUMBER(FIND("V",I453))),1,0),NA())+IF(H453="Y",IF(AND(N453="P",ISNUMBER(FIND("Z",I453))),2,1),0)+IF(J453="Y",1,0)+IF(K453="Y",3,0)+IF(BE453="Lore",L453*2+Experience!$D$25,0)+IF(M453="Y",1,0)</f>
        <v>#N/A</v>
      </c>
      <c r="X453" s="1099"/>
      <c r="Y453" s="1100">
        <f ca="1">IF(P453="NS",IFERROR(INDIRECT(S453),NA()),VLOOKUP(INDIRECT(P453)+INDIRECT(S453),'System Lookups'!$A$3:$D$146,2))</f>
        <v>0.08</v>
      </c>
      <c r="Z453" s="1100">
        <f t="shared" si="494"/>
        <v>0</v>
      </c>
      <c r="AA453" s="1101">
        <f ca="1">IF(ISNA(Y453),0,Y453)+Z453+IF('Main Creation Page'!AB$2=37,'Main Creation Page'!E$14/100,0)</f>
        <v>0.08</v>
      </c>
      <c r="AB453" s="1102">
        <f>VLOOKUP(V453,'System Lookups'!$J$55:$P$64,3)</f>
        <v>0.1</v>
      </c>
      <c r="AC453" s="1103">
        <f>VLOOKUP(V453,'System Lookups'!$J$55:$P$64,4)</f>
        <v>0.2</v>
      </c>
      <c r="AD453" s="1104">
        <f t="shared" si="467"/>
        <v>0</v>
      </c>
      <c r="AE453" s="1094">
        <f>(IF(AD453&gt;VLOOKUP(V453,'System Lookups'!$J$55:$P$63,6),(((AD453-VLOOKUP(V453,'System Lookups'!$J$55:$P$63,6))*100)/20),0))+AF453</f>
        <v>0</v>
      </c>
      <c r="AF453" s="1121"/>
      <c r="AG453" s="1092">
        <f t="shared" si="468"/>
        <v>0</v>
      </c>
      <c r="AH453" s="1092" t="str">
        <f>IF(X453&lt;=Experience!$R$15+1,"","*")</f>
        <v/>
      </c>
      <c r="AI453" s="1092"/>
      <c r="AJ453" s="1080">
        <f t="shared" si="489"/>
        <v>0</v>
      </c>
      <c r="AK453" s="1080">
        <f t="shared" si="490"/>
        <v>0</v>
      </c>
      <c r="AL453" s="1080">
        <f t="shared" si="471"/>
        <v>0</v>
      </c>
      <c r="AM453" s="1092">
        <f t="shared" si="491"/>
        <v>0</v>
      </c>
      <c r="AN453" s="1080">
        <f t="shared" si="492"/>
        <v>1</v>
      </c>
      <c r="AO453" s="1080">
        <f t="shared" si="474"/>
        <v>0</v>
      </c>
      <c r="AP453" s="1080">
        <f t="shared" si="493"/>
        <v>1</v>
      </c>
      <c r="AQ453" s="1027">
        <f>VLOOKUP(V453,'System Lookups'!$J$55:$P$64,7)</f>
        <v>700</v>
      </c>
      <c r="AR453" s="1080" t="str">
        <f ca="1">IF(AND(NOT(ISBLANK(AJ453)),ISNA(MATCH(ROW(),'System Lookups'!$C$526:$C$539,0))),"Y","N")</f>
        <v>Y</v>
      </c>
      <c r="AS453" s="1080">
        <f t="shared" si="475"/>
        <v>0</v>
      </c>
      <c r="AU453" s="1080" t="e">
        <f t="shared" si="479"/>
        <v>#N/A</v>
      </c>
      <c r="AV453" s="1080" t="str">
        <f t="shared" si="476"/>
        <v>T</v>
      </c>
      <c r="AW453" s="1080">
        <f t="shared" si="480"/>
        <v>0</v>
      </c>
      <c r="AX453" s="1080">
        <f t="shared" si="481"/>
        <v>0</v>
      </c>
      <c r="AY453" s="1080">
        <f t="shared" si="482"/>
        <v>0</v>
      </c>
      <c r="AZ453" s="1080">
        <f t="shared" si="483"/>
        <v>0</v>
      </c>
      <c r="BA453" s="1080">
        <f t="shared" si="484"/>
        <v>0</v>
      </c>
      <c r="BB453" s="1080">
        <f>IF(AND(RACE=1,'Main Creation Page'!$E$6="Well",OR(ISNUMBER(FIND(Experience!$G$11,BE453)),ISNUMBER(FIND(Experience!$G$11,BF453)),ISNUMBER(FIND(Experience!$I$11,BE453)),ISNUMBER(FIND(Experience!$I$11,BF453)))),1,0)</f>
        <v>1</v>
      </c>
      <c r="BC453" s="1080" t="str">
        <f t="shared" si="438"/>
        <v>Monster:Mer Folk</v>
      </c>
      <c r="BD453" s="1080" t="s">
        <v>5694</v>
      </c>
      <c r="BE453" s="1080" t="str">
        <f t="shared" si="477"/>
        <v>Lore</v>
      </c>
      <c r="BF453" s="1080" t="str">
        <f t="shared" si="478"/>
        <v>Language Lore: Written</v>
      </c>
    </row>
    <row r="454" spans="1:58" ht="11.1" customHeight="1" outlineLevel="3">
      <c r="A454" s="1028" t="s">
        <v>3109</v>
      </c>
      <c r="B454" s="1094" t="s">
        <v>1942</v>
      </c>
      <c r="C454" s="1094"/>
      <c r="D454" s="1094"/>
      <c r="E454" s="1095" t="s">
        <v>5224</v>
      </c>
      <c r="F454" s="1095" t="s">
        <v>5224</v>
      </c>
      <c r="G454" s="1096">
        <v>0</v>
      </c>
      <c r="H454" s="1096" t="s">
        <v>5224</v>
      </c>
      <c r="I454" s="1096" t="s">
        <v>5224</v>
      </c>
      <c r="J454" s="1096" t="s">
        <v>5224</v>
      </c>
      <c r="K454" s="1096" t="s">
        <v>5224</v>
      </c>
      <c r="L454" s="1096">
        <v>0</v>
      </c>
      <c r="M454" s="1096" t="s">
        <v>5224</v>
      </c>
      <c r="N454" s="1096" t="s">
        <v>4631</v>
      </c>
      <c r="O454" s="1113"/>
      <c r="P454" s="1113" t="s">
        <v>13</v>
      </c>
      <c r="S454" s="1113" t="s">
        <v>53</v>
      </c>
      <c r="T454" s="1113"/>
      <c r="U454" s="1027">
        <v>3</v>
      </c>
      <c r="V454" s="1027">
        <f>IF((AP454+U454+VLOOKUP('Main Creation Page'!E$14,'System Lookups'!R$45:S$49,2))&gt;10,10,IF((AP454+U454+VLOOKUP('Main Creation Page'!E$14,'System Lookups'!R$45:S$49,2))&lt;1,1,(AP454+U454+VLOOKUP('Main Creation Page'!E$14,'System Lookups'!R$45:S$49,2))))</f>
        <v>4</v>
      </c>
      <c r="W454" s="1098" t="e">
        <f>IF(OR(I454&lt;&gt;"N",E454="C"),IF(AND(N454&lt;&gt;"T",ISNUMBER(FIND("V",I454))),1,0),NA())+IF(H454="Y",IF(AND(N454="P",ISNUMBER(FIND("Z",I454))),2,1),0)+IF(J454="Y",1,0)+IF(K454="Y",3,0)+IF(BE454="Lore",L454*2+Experience!$D$25,0)+IF(M454="Y",1,0)</f>
        <v>#N/A</v>
      </c>
      <c r="X454" s="1099"/>
      <c r="Y454" s="1100">
        <f ca="1">IF(P454="NS",IFERROR(INDIRECT(S454),NA()),VLOOKUP(INDIRECT(P454)+INDIRECT(S454),'System Lookups'!$A$3:$D$146,2))</f>
        <v>0.08</v>
      </c>
      <c r="Z454" s="1100">
        <f t="shared" si="494"/>
        <v>0</v>
      </c>
      <c r="AA454" s="1101">
        <f ca="1">IF(ISNA(Y454),0,Y454)+Z454+IF('Main Creation Page'!AB$2=37,'Main Creation Page'!E$14/100,0)</f>
        <v>0.08</v>
      </c>
      <c r="AB454" s="1102">
        <f>VLOOKUP(V454,'System Lookups'!$J$55:$P$64,3)</f>
        <v>0.2</v>
      </c>
      <c r="AC454" s="1103">
        <f>VLOOKUP(V454,'System Lookups'!$J$55:$P$64,4)</f>
        <v>0.3</v>
      </c>
      <c r="AD454" s="1104">
        <f t="shared" si="467"/>
        <v>0</v>
      </c>
      <c r="AE454" s="1094">
        <f>(IF(AD454&gt;VLOOKUP(V454,'System Lookups'!$J$55:$P$63,6),(((AD454-VLOOKUP(V454,'System Lookups'!$J$55:$P$63,6))*100)/20),0))+AF454</f>
        <v>0</v>
      </c>
      <c r="AF454" s="1121"/>
      <c r="AG454" s="1092">
        <f t="shared" si="468"/>
        <v>0</v>
      </c>
      <c r="AH454" s="1092" t="str">
        <f>IF(X454&lt;=Experience!$R$15+1,"","*")</f>
        <v/>
      </c>
      <c r="AI454" s="1092"/>
      <c r="AJ454" s="1080">
        <f t="shared" si="489"/>
        <v>0</v>
      </c>
      <c r="AK454" s="1080">
        <f t="shared" si="490"/>
        <v>0</v>
      </c>
      <c r="AL454" s="1080">
        <f t="shared" si="471"/>
        <v>0</v>
      </c>
      <c r="AM454" s="1092">
        <f t="shared" si="491"/>
        <v>0</v>
      </c>
      <c r="AN454" s="1080">
        <f t="shared" si="492"/>
        <v>1</v>
      </c>
      <c r="AO454" s="1080">
        <f t="shared" si="474"/>
        <v>0</v>
      </c>
      <c r="AP454" s="1080">
        <f t="shared" si="493"/>
        <v>1</v>
      </c>
      <c r="AQ454" s="1027">
        <f>VLOOKUP(V454,'System Lookups'!$J$55:$P$64,7)</f>
        <v>600</v>
      </c>
      <c r="AR454" s="1080" t="str">
        <f ca="1">IF(AND(NOT(ISBLANK(AJ454)),ISNA(MATCH(ROW(),'System Lookups'!$C$526:$C$539,0))),"Y","N")</f>
        <v>Y</v>
      </c>
      <c r="AS454" s="1080">
        <f t="shared" si="475"/>
        <v>0</v>
      </c>
      <c r="AU454" s="1080" t="e">
        <f t="shared" si="479"/>
        <v>#N/A</v>
      </c>
      <c r="AV454" s="1080" t="str">
        <f t="shared" si="476"/>
        <v>T</v>
      </c>
      <c r="AW454" s="1080">
        <f t="shared" si="480"/>
        <v>0</v>
      </c>
      <c r="AX454" s="1080">
        <f t="shared" si="481"/>
        <v>0</v>
      </c>
      <c r="AY454" s="1080">
        <f t="shared" si="482"/>
        <v>0</v>
      </c>
      <c r="AZ454" s="1080">
        <f t="shared" si="483"/>
        <v>0</v>
      </c>
      <c r="BA454" s="1080">
        <f t="shared" si="484"/>
        <v>0</v>
      </c>
      <c r="BB454" s="1080">
        <f>IF(AND(RACE=1,'Main Creation Page'!$E$6="Well",OR(ISNUMBER(FIND(Experience!$G$11,BE454)),ISNUMBER(FIND(Experience!$G$11,BF454)),ISNUMBER(FIND(Experience!$I$11,BE454)),ISNUMBER(FIND(Experience!$I$11,BF454)))),1,0)</f>
        <v>1</v>
      </c>
      <c r="BC454" s="1080" t="str">
        <f t="shared" ref="BC454:BC517" si="495">IF(ISBLANK(AJ454),IF(ISBLANK(AI454),IF(RIGHT(A454,2)="en","Language Lore: "&amp;A454,IF(LEFT(A454,9)="Alquennas",A454,NA())),IF(RIGHT(A454,9)=" Medicina",A454&amp;": Healing Lore Skills",IF(OR(LEFT(A454,5)="Lore ",LEFT(A454,8)="Materia "),A454&amp;" Skills",IF(LEFT(A454,8)="Cooking ","Cooking &amp; Innkeeping Skills",A454)))),IF(LEFT(A454,9)="alertness","Alertness: "&amp;RIGHT(A454,5),IF(ISBLANK(BD454),A454,IF(RIGHT(BD454,2)=" (",BD454&amp;"Own)",BD454&amp;A454))))</f>
        <v>Monster:Minotaur</v>
      </c>
      <c r="BD454" s="1080" t="s">
        <v>5694</v>
      </c>
      <c r="BE454" s="1080" t="str">
        <f t="shared" si="477"/>
        <v>Lore</v>
      </c>
      <c r="BF454" s="1080" t="str">
        <f t="shared" si="478"/>
        <v>Language Lore: Written</v>
      </c>
    </row>
    <row r="455" spans="1:58" ht="11.1" customHeight="1" outlineLevel="3">
      <c r="A455" s="1093" t="s">
        <v>4881</v>
      </c>
      <c r="B455" s="1094" t="s">
        <v>1942</v>
      </c>
      <c r="C455" s="1094"/>
      <c r="D455" s="1094"/>
      <c r="E455" s="1095" t="s">
        <v>5224</v>
      </c>
      <c r="F455" s="1095" t="s">
        <v>5224</v>
      </c>
      <c r="G455" s="1096">
        <v>0</v>
      </c>
      <c r="H455" s="1096" t="s">
        <v>5224</v>
      </c>
      <c r="I455" s="1096" t="s">
        <v>5224</v>
      </c>
      <c r="J455" s="1096" t="s">
        <v>5224</v>
      </c>
      <c r="K455" s="1096" t="s">
        <v>5224</v>
      </c>
      <c r="L455" s="1096">
        <v>0</v>
      </c>
      <c r="M455" s="1096" t="s">
        <v>5224</v>
      </c>
      <c r="N455" s="1096" t="s">
        <v>4631</v>
      </c>
      <c r="O455" s="1113"/>
      <c r="P455" s="1113" t="s">
        <v>13</v>
      </c>
      <c r="S455" s="1113" t="s">
        <v>53</v>
      </c>
      <c r="T455" s="1113"/>
      <c r="U455" s="1027">
        <v>3</v>
      </c>
      <c r="V455" s="1027">
        <f>IF((AP455+U455+VLOOKUP('Main Creation Page'!E$14,'System Lookups'!R$45:S$49,2))&gt;10,10,IF((AP455+U455+VLOOKUP('Main Creation Page'!E$14,'System Lookups'!R$45:S$49,2))&lt;1,1,(AP455+U455+VLOOKUP('Main Creation Page'!E$14,'System Lookups'!R$45:S$49,2))))</f>
        <v>4</v>
      </c>
      <c r="W455" s="1098" t="e">
        <f>IF(OR(I455&lt;&gt;"N",E455="C"),IF(AND(N455&lt;&gt;"T",ISNUMBER(FIND("V",I455))),1,0),NA())+IF(H455="Y",IF(AND(N455="P",ISNUMBER(FIND("Z",I455))),2,1),0)+IF(J455="Y",1,0)+IF(K455="Y",3,0)+IF(BE455="Lore",L455*2+Experience!$D$25,0)+IF(M455="Y",1,0)</f>
        <v>#N/A</v>
      </c>
      <c r="X455" s="1099"/>
      <c r="Y455" s="1100">
        <f ca="1">IF(P455="NS",IFERROR(INDIRECT(S455),NA()),VLOOKUP(INDIRECT(P455)+INDIRECT(S455),'System Lookups'!$A$3:$D$146,2))</f>
        <v>0.08</v>
      </c>
      <c r="Z455" s="1100">
        <f t="shared" si="494"/>
        <v>0</v>
      </c>
      <c r="AA455" s="1101">
        <f ca="1">IF(ISNA(Y455),0,Y455)+Z455+IF('Main Creation Page'!AB$2=37,'Main Creation Page'!E$14/100,0)</f>
        <v>0.08</v>
      </c>
      <c r="AB455" s="1102">
        <f>VLOOKUP(V455,'System Lookups'!$J$55:$P$64,3)</f>
        <v>0.2</v>
      </c>
      <c r="AC455" s="1103">
        <f>VLOOKUP(V455,'System Lookups'!$J$55:$P$64,4)</f>
        <v>0.3</v>
      </c>
      <c r="AD455" s="1104">
        <f t="shared" si="467"/>
        <v>0</v>
      </c>
      <c r="AE455" s="1094">
        <f>(IF(AD455&gt;VLOOKUP(V455,'System Lookups'!$J$55:$P$63,6),(((AD455-VLOOKUP(V455,'System Lookups'!$J$55:$P$63,6))*100)/20),0))+AF455</f>
        <v>0</v>
      </c>
      <c r="AF455" s="1121"/>
      <c r="AG455" s="1092">
        <f t="shared" si="468"/>
        <v>0</v>
      </c>
      <c r="AH455" s="1092" t="str">
        <f>IF(X455&lt;=Experience!$R$15+1,"","*")</f>
        <v/>
      </c>
      <c r="AI455" s="1092"/>
      <c r="AJ455" s="1080">
        <f t="shared" si="489"/>
        <v>0</v>
      </c>
      <c r="AK455" s="1080">
        <f t="shared" si="490"/>
        <v>0</v>
      </c>
      <c r="AL455" s="1080">
        <f t="shared" si="471"/>
        <v>0</v>
      </c>
      <c r="AM455" s="1092">
        <f t="shared" si="491"/>
        <v>0</v>
      </c>
      <c r="AN455" s="1080">
        <f t="shared" si="492"/>
        <v>1</v>
      </c>
      <c r="AO455" s="1080">
        <f t="shared" si="474"/>
        <v>0</v>
      </c>
      <c r="AP455" s="1080">
        <f t="shared" si="493"/>
        <v>1</v>
      </c>
      <c r="AQ455" s="1027">
        <f>VLOOKUP(V455,'System Lookups'!$J$55:$P$64,7)</f>
        <v>600</v>
      </c>
      <c r="AR455" s="1080" t="str">
        <f ca="1">IF(AND(NOT(ISBLANK(AJ455)),ISNA(MATCH(ROW(),'System Lookups'!$C$526:$C$539,0))),"Y","N")</f>
        <v>Y</v>
      </c>
      <c r="AS455" s="1080">
        <f t="shared" si="475"/>
        <v>0</v>
      </c>
      <c r="AU455" s="1080" t="e">
        <f t="shared" si="479"/>
        <v>#N/A</v>
      </c>
      <c r="AV455" s="1080" t="str">
        <f t="shared" si="476"/>
        <v>T</v>
      </c>
      <c r="AW455" s="1080">
        <f t="shared" si="480"/>
        <v>0</v>
      </c>
      <c r="AX455" s="1080">
        <f t="shared" si="481"/>
        <v>0</v>
      </c>
      <c r="AY455" s="1080">
        <f t="shared" si="482"/>
        <v>0</v>
      </c>
      <c r="AZ455" s="1080">
        <f t="shared" si="483"/>
        <v>0</v>
      </c>
      <c r="BA455" s="1080">
        <f t="shared" si="484"/>
        <v>0</v>
      </c>
      <c r="BB455" s="1080">
        <f>IF(AND(RACE=1,'Main Creation Page'!$E$6="Well",OR(ISNUMBER(FIND(Experience!$G$11,BE455)),ISNUMBER(FIND(Experience!$G$11,BF455)),ISNUMBER(FIND(Experience!$I$11,BE455)),ISNUMBER(FIND(Experience!$I$11,BF455)))),1,0)</f>
        <v>1</v>
      </c>
      <c r="BC455" s="1080" t="str">
        <f t="shared" si="495"/>
        <v>Monster:Nagas (Black)</v>
      </c>
      <c r="BD455" s="1080" t="s">
        <v>5694</v>
      </c>
      <c r="BE455" s="1080" t="str">
        <f t="shared" si="477"/>
        <v>Lore</v>
      </c>
      <c r="BF455" s="1080" t="str">
        <f t="shared" si="478"/>
        <v>Language Lore: Written</v>
      </c>
    </row>
    <row r="456" spans="1:58" ht="11.1" customHeight="1" outlineLevel="3">
      <c r="A456" s="1093" t="s">
        <v>4882</v>
      </c>
      <c r="B456" s="1094" t="s">
        <v>1942</v>
      </c>
      <c r="C456" s="1094"/>
      <c r="D456" s="1094"/>
      <c r="E456" s="1095" t="s">
        <v>5224</v>
      </c>
      <c r="F456" s="1095" t="s">
        <v>5224</v>
      </c>
      <c r="G456" s="1096">
        <v>0</v>
      </c>
      <c r="H456" s="1096" t="s">
        <v>5224</v>
      </c>
      <c r="I456" s="1096" t="s">
        <v>5224</v>
      </c>
      <c r="J456" s="1096" t="s">
        <v>5224</v>
      </c>
      <c r="K456" s="1096" t="s">
        <v>5224</v>
      </c>
      <c r="L456" s="1096">
        <v>0</v>
      </c>
      <c r="M456" s="1096" t="s">
        <v>5224</v>
      </c>
      <c r="N456" s="1096" t="s">
        <v>4631</v>
      </c>
      <c r="O456" s="1113"/>
      <c r="P456" s="1113" t="s">
        <v>13</v>
      </c>
      <c r="S456" s="1113" t="s">
        <v>53</v>
      </c>
      <c r="T456" s="1113"/>
      <c r="U456" s="1027">
        <v>3</v>
      </c>
      <c r="V456" s="1027">
        <f>IF((AP456+U456+VLOOKUP('Main Creation Page'!E$14,'System Lookups'!R$45:S$49,2))&gt;10,10,IF((AP456+U456+VLOOKUP('Main Creation Page'!E$14,'System Lookups'!R$45:S$49,2))&lt;1,1,(AP456+U456+VLOOKUP('Main Creation Page'!E$14,'System Lookups'!R$45:S$49,2))))</f>
        <v>4</v>
      </c>
      <c r="W456" s="1098" t="e">
        <f>IF(OR(I456&lt;&gt;"N",E456="C"),IF(AND(N456&lt;&gt;"T",ISNUMBER(FIND("V",I456))),1,0),NA())+IF(H456="Y",IF(AND(N456="P",ISNUMBER(FIND("Z",I456))),2,1),0)+IF(J456="Y",1,0)+IF(K456="Y",3,0)+IF(BE456="Lore",L456*2+Experience!$D$25,0)+IF(M456="Y",1,0)</f>
        <v>#N/A</v>
      </c>
      <c r="X456" s="1099"/>
      <c r="Y456" s="1100">
        <f ca="1">IF(P456="NS",IFERROR(INDIRECT(S456),NA()),VLOOKUP(INDIRECT(P456)+INDIRECT(S456),'System Lookups'!$A$3:$D$146,2))</f>
        <v>0.08</v>
      </c>
      <c r="Z456" s="1100">
        <f t="shared" si="494"/>
        <v>0</v>
      </c>
      <c r="AA456" s="1101">
        <f ca="1">IF(ISNA(Y456),0,Y456)+Z456+IF('Main Creation Page'!AB$2=37,'Main Creation Page'!E$14/100,0)</f>
        <v>0.08</v>
      </c>
      <c r="AB456" s="1102">
        <f>VLOOKUP(V456,'System Lookups'!$J$55:$P$64,3)</f>
        <v>0.2</v>
      </c>
      <c r="AC456" s="1103">
        <f>VLOOKUP(V456,'System Lookups'!$J$55:$P$64,4)</f>
        <v>0.3</v>
      </c>
      <c r="AD456" s="1104">
        <f t="shared" si="467"/>
        <v>0</v>
      </c>
      <c r="AE456" s="1094">
        <f>(IF(AD456&gt;VLOOKUP(V456,'System Lookups'!$J$55:$P$63,6),(((AD456-VLOOKUP(V456,'System Lookups'!$J$55:$P$63,6))*100)/20),0))+AF456</f>
        <v>0</v>
      </c>
      <c r="AF456" s="1121"/>
      <c r="AG456" s="1092">
        <f t="shared" si="468"/>
        <v>0</v>
      </c>
      <c r="AH456" s="1092" t="str">
        <f>IF(X456&lt;=Experience!$R$15+1,"","*")</f>
        <v/>
      </c>
      <c r="AI456" s="1092"/>
      <c r="AJ456" s="1080">
        <f t="shared" si="489"/>
        <v>0</v>
      </c>
      <c r="AK456" s="1080">
        <f t="shared" si="490"/>
        <v>0</v>
      </c>
      <c r="AL456" s="1080">
        <f t="shared" si="471"/>
        <v>0</v>
      </c>
      <c r="AM456" s="1092">
        <f t="shared" si="491"/>
        <v>0</v>
      </c>
      <c r="AN456" s="1080">
        <f t="shared" si="492"/>
        <v>1</v>
      </c>
      <c r="AO456" s="1080">
        <f t="shared" si="474"/>
        <v>0</v>
      </c>
      <c r="AP456" s="1080">
        <f t="shared" si="493"/>
        <v>1</v>
      </c>
      <c r="AQ456" s="1027">
        <f>VLOOKUP(V456,'System Lookups'!$J$55:$P$64,7)</f>
        <v>600</v>
      </c>
      <c r="AR456" s="1080" t="str">
        <f ca="1">IF(AND(NOT(ISBLANK(AJ456)),ISNA(MATCH(ROW(),'System Lookups'!$C$526:$C$539,0))),"Y","N")</f>
        <v>Y</v>
      </c>
      <c r="AS456" s="1080">
        <f t="shared" si="475"/>
        <v>0</v>
      </c>
      <c r="AU456" s="1080" t="e">
        <f t="shared" si="479"/>
        <v>#N/A</v>
      </c>
      <c r="AV456" s="1080" t="str">
        <f t="shared" si="476"/>
        <v>T</v>
      </c>
      <c r="AW456" s="1080">
        <f t="shared" si="480"/>
        <v>0</v>
      </c>
      <c r="AX456" s="1080">
        <f t="shared" si="481"/>
        <v>0</v>
      </c>
      <c r="AY456" s="1080">
        <f t="shared" si="482"/>
        <v>0</v>
      </c>
      <c r="AZ456" s="1080">
        <f t="shared" si="483"/>
        <v>0</v>
      </c>
      <c r="BA456" s="1080">
        <f t="shared" si="484"/>
        <v>0</v>
      </c>
      <c r="BB456" s="1080">
        <f>IF(AND(RACE=1,'Main Creation Page'!$E$6="Well",OR(ISNUMBER(FIND(Experience!$G$11,BE456)),ISNUMBER(FIND(Experience!$G$11,BF456)),ISNUMBER(FIND(Experience!$I$11,BE456)),ISNUMBER(FIND(Experience!$I$11,BF456)))),1,0)</f>
        <v>1</v>
      </c>
      <c r="BC456" s="1080" t="str">
        <f t="shared" si="495"/>
        <v>Monster:Nagas (White)</v>
      </c>
      <c r="BD456" s="1080" t="s">
        <v>5694</v>
      </c>
      <c r="BE456" s="1080" t="str">
        <f t="shared" si="477"/>
        <v>Lore</v>
      </c>
      <c r="BF456" s="1080" t="str">
        <f t="shared" si="478"/>
        <v>Language Lore: Written</v>
      </c>
    </row>
    <row r="457" spans="1:58" ht="11.1" customHeight="1" outlineLevel="3">
      <c r="A457" s="1028" t="s">
        <v>4756</v>
      </c>
      <c r="B457" s="1094" t="s">
        <v>1942</v>
      </c>
      <c r="C457" s="1094"/>
      <c r="D457" s="1094"/>
      <c r="E457" s="1095" t="s">
        <v>5224</v>
      </c>
      <c r="F457" s="1095" t="s">
        <v>5224</v>
      </c>
      <c r="G457" s="1096">
        <v>0</v>
      </c>
      <c r="H457" s="1096" t="s">
        <v>5224</v>
      </c>
      <c r="I457" s="1096" t="s">
        <v>5224</v>
      </c>
      <c r="J457" s="1096" t="s">
        <v>5224</v>
      </c>
      <c r="K457" s="1096" t="s">
        <v>5224</v>
      </c>
      <c r="L457" s="1096">
        <v>0</v>
      </c>
      <c r="M457" s="1096" t="s">
        <v>5224</v>
      </c>
      <c r="N457" s="1096" t="s">
        <v>4631</v>
      </c>
      <c r="O457" s="1113"/>
      <c r="P457" s="1113" t="s">
        <v>13</v>
      </c>
      <c r="S457" s="1113" t="s">
        <v>53</v>
      </c>
      <c r="T457" s="1113"/>
      <c r="U457" s="1027">
        <v>3</v>
      </c>
      <c r="V457" s="1027">
        <f>IF((AP457+U457+VLOOKUP('Main Creation Page'!E$14,'System Lookups'!R$45:S$49,2))&gt;10,10,IF((AP457+U457+VLOOKUP('Main Creation Page'!E$14,'System Lookups'!R$45:S$49,2))&lt;1,1,(AP457+U457+VLOOKUP('Main Creation Page'!E$14,'System Lookups'!R$45:S$49,2))))</f>
        <v>4</v>
      </c>
      <c r="W457" s="1098" t="e">
        <f>IF(OR(I457&lt;&gt;"N",E457="C"),IF(AND(N457&lt;&gt;"T",ISNUMBER(FIND("V",I457))),1,0),NA())+IF(H457="Y",IF(AND(N457="P",ISNUMBER(FIND("Z",I457))),2,1),0)+IF(J457="Y",1,0)+IF(K457="Y",3,0)+IF(BE457="Lore",L457*2+Experience!$D$25,0)+IF(M457="Y",1,0)</f>
        <v>#N/A</v>
      </c>
      <c r="X457" s="1099"/>
      <c r="Y457" s="1100">
        <f ca="1">IF(P457="NS",IFERROR(INDIRECT(S457),NA()),VLOOKUP(INDIRECT(P457)+INDIRECT(S457),'System Lookups'!$A$3:$D$146,2))</f>
        <v>0.08</v>
      </c>
      <c r="Z457" s="1100">
        <f t="shared" si="494"/>
        <v>0</v>
      </c>
      <c r="AA457" s="1101">
        <f ca="1">IF(ISNA(Y457),0,Y457)+Z457+IF('Main Creation Page'!AB$2=37,'Main Creation Page'!E$14/100,0)</f>
        <v>0.08</v>
      </c>
      <c r="AB457" s="1102">
        <f>VLOOKUP(V457,'System Lookups'!$J$55:$P$64,3)</f>
        <v>0.2</v>
      </c>
      <c r="AC457" s="1103">
        <f>VLOOKUP(V457,'System Lookups'!$J$55:$P$64,4)</f>
        <v>0.3</v>
      </c>
      <c r="AD457" s="1104">
        <f t="shared" si="467"/>
        <v>0</v>
      </c>
      <c r="AE457" s="1094">
        <f>(IF(AD457&gt;VLOOKUP(V457,'System Lookups'!$J$55:$P$63,6),(((AD457-VLOOKUP(V457,'System Lookups'!$J$55:$P$63,6))*100)/20),0))+AF457</f>
        <v>0</v>
      </c>
      <c r="AF457" s="1121"/>
      <c r="AG457" s="1092">
        <f t="shared" si="468"/>
        <v>0</v>
      </c>
      <c r="AH457" s="1092" t="str">
        <f>IF(X457&lt;=Experience!$R$15+1,"","*")</f>
        <v/>
      </c>
      <c r="AI457" s="1092"/>
      <c r="AJ457" s="1080">
        <f t="shared" si="489"/>
        <v>0</v>
      </c>
      <c r="AK457" s="1080">
        <f t="shared" si="490"/>
        <v>0</v>
      </c>
      <c r="AL457" s="1080">
        <f t="shared" si="471"/>
        <v>0</v>
      </c>
      <c r="AM457" s="1092">
        <f t="shared" si="491"/>
        <v>0</v>
      </c>
      <c r="AN457" s="1080">
        <f t="shared" si="492"/>
        <v>1</v>
      </c>
      <c r="AO457" s="1080">
        <f t="shared" si="474"/>
        <v>0</v>
      </c>
      <c r="AP457" s="1080">
        <f t="shared" si="493"/>
        <v>1</v>
      </c>
      <c r="AQ457" s="1027">
        <f>VLOOKUP(V457,'System Lookups'!$J$55:$P$64,7)</f>
        <v>600</v>
      </c>
      <c r="AR457" s="1080" t="str">
        <f ca="1">IF(AND(NOT(ISBLANK(AJ457)),ISNA(MATCH(ROW(),'System Lookups'!$C$526:$C$539,0))),"Y","N")</f>
        <v>Y</v>
      </c>
      <c r="AS457" s="1080">
        <f t="shared" si="475"/>
        <v>0</v>
      </c>
      <c r="AU457" s="1080" t="e">
        <f t="shared" si="479"/>
        <v>#N/A</v>
      </c>
      <c r="AV457" s="1080" t="str">
        <f t="shared" si="476"/>
        <v>T</v>
      </c>
      <c r="AW457" s="1080">
        <f t="shared" si="480"/>
        <v>0</v>
      </c>
      <c r="AX457" s="1080">
        <f t="shared" si="481"/>
        <v>0</v>
      </c>
      <c r="AY457" s="1080">
        <f t="shared" si="482"/>
        <v>0</v>
      </c>
      <c r="AZ457" s="1080">
        <f t="shared" si="483"/>
        <v>0</v>
      </c>
      <c r="BA457" s="1080">
        <f t="shared" si="484"/>
        <v>0</v>
      </c>
      <c r="BB457" s="1080">
        <f>IF(AND(RACE=1,'Main Creation Page'!$E$6="Well",OR(ISNUMBER(FIND(Experience!$G$11,BE457)),ISNUMBER(FIND(Experience!$G$11,BF457)),ISNUMBER(FIND(Experience!$I$11,BE457)),ISNUMBER(FIND(Experience!$I$11,BF457)))),1,0)</f>
        <v>1</v>
      </c>
      <c r="BC457" s="1080" t="str">
        <f t="shared" si="495"/>
        <v>Monster:Ogre</v>
      </c>
      <c r="BD457" s="1080" t="s">
        <v>5694</v>
      </c>
      <c r="BE457" s="1080" t="str">
        <f t="shared" si="477"/>
        <v>Lore</v>
      </c>
      <c r="BF457" s="1080" t="str">
        <f t="shared" si="478"/>
        <v>Language Lore: Written</v>
      </c>
    </row>
    <row r="458" spans="1:58" ht="11.1" customHeight="1" outlineLevel="3">
      <c r="A458" s="1028" t="s">
        <v>5375</v>
      </c>
      <c r="B458" s="1094" t="s">
        <v>1942</v>
      </c>
      <c r="C458" s="1094"/>
      <c r="D458" s="1094"/>
      <c r="E458" s="1095" t="s">
        <v>5224</v>
      </c>
      <c r="F458" s="1095" t="str">
        <f>IF('Main Creation Page'!$C$3=6, "R", "N")</f>
        <v>N</v>
      </c>
      <c r="G458" s="1096">
        <v>0</v>
      </c>
      <c r="H458" s="1096" t="s">
        <v>5224</v>
      </c>
      <c r="I458" s="1096" t="s">
        <v>5224</v>
      </c>
      <c r="J458" s="1096" t="s">
        <v>5224</v>
      </c>
      <c r="K458" s="1096" t="s">
        <v>5224</v>
      </c>
      <c r="L458" s="1096">
        <v>0</v>
      </c>
      <c r="M458" s="1096" t="s">
        <v>5224</v>
      </c>
      <c r="N458" s="1096" t="s">
        <v>4631</v>
      </c>
      <c r="O458" s="1113"/>
      <c r="P458" s="1113" t="s">
        <v>13</v>
      </c>
      <c r="S458" s="1113" t="s">
        <v>53</v>
      </c>
      <c r="T458" s="1113"/>
      <c r="U458" s="1027">
        <v>3</v>
      </c>
      <c r="V458" s="1027">
        <f>IF((AP458+U458+VLOOKUP('Main Creation Page'!E$14,'System Lookups'!R$45:S$49,2))&gt;10,10,IF((AP458+U458+VLOOKUP('Main Creation Page'!E$14,'System Lookups'!R$45:S$49,2))&lt;1,1,(AP458+U458+VLOOKUP('Main Creation Page'!E$14,'System Lookups'!R$45:S$49,2))))</f>
        <v>4</v>
      </c>
      <c r="W458" s="1098" t="e">
        <f>IF(OR(I458&lt;&gt;"N",E458="C"),IF(AND(N458&lt;&gt;"T",ISNUMBER(FIND("V",I458))),1,0),NA())+IF(H458="Y",IF(AND(N458="P",ISNUMBER(FIND("Z",I458))),2,1),0)+IF(J458="Y",1,0)+IF(K458="Y",3,0)+IF(BE458="Lore",L458*2+Experience!$D$25,0)+IF(M458="Y",1,0)</f>
        <v>#N/A</v>
      </c>
      <c r="X458" s="1099"/>
      <c r="Y458" s="1100">
        <f ca="1">IF(P458="NS",IFERROR(INDIRECT(S458),NA()),VLOOKUP(INDIRECT(P458)+INDIRECT(S458),'System Lookups'!$A$3:$D$146,2))</f>
        <v>0.08</v>
      </c>
      <c r="Z458" s="1100">
        <f t="shared" si="494"/>
        <v>0</v>
      </c>
      <c r="AA458" s="1101">
        <f ca="1">IF(ISNA(Y458),0,Y458)+Z458+IF('Main Creation Page'!AB$2=37,'Main Creation Page'!E$14/100,0)</f>
        <v>0.08</v>
      </c>
      <c r="AB458" s="1102">
        <f>VLOOKUP(V458,'System Lookups'!$J$55:$P$64,3)</f>
        <v>0.2</v>
      </c>
      <c r="AC458" s="1103">
        <f>VLOOKUP(V458,'System Lookups'!$J$55:$P$64,4)</f>
        <v>0.3</v>
      </c>
      <c r="AD458" s="1104">
        <f t="shared" si="467"/>
        <v>0</v>
      </c>
      <c r="AE458" s="1094">
        <f>(IF(AD458&gt;VLOOKUP(V458,'System Lookups'!$J$55:$P$63,6),(((AD458-VLOOKUP(V458,'System Lookups'!$J$55:$P$63,6))*100)/20),0))+AF458</f>
        <v>0</v>
      </c>
      <c r="AF458" s="1121"/>
      <c r="AG458" s="1092">
        <f t="shared" si="468"/>
        <v>0</v>
      </c>
      <c r="AH458" s="1092" t="str">
        <f>IF(X458&lt;=Experience!$R$15+1,"","*")</f>
        <v/>
      </c>
      <c r="AI458" s="1092"/>
      <c r="AJ458" s="1080">
        <f t="shared" si="489"/>
        <v>0</v>
      </c>
      <c r="AK458" s="1080">
        <f t="shared" si="490"/>
        <v>0</v>
      </c>
      <c r="AL458" s="1080">
        <f t="shared" si="471"/>
        <v>0</v>
      </c>
      <c r="AM458" s="1092">
        <f t="shared" si="491"/>
        <v>0</v>
      </c>
      <c r="AN458" s="1080">
        <f t="shared" si="492"/>
        <v>1</v>
      </c>
      <c r="AO458" s="1080">
        <f t="shared" si="474"/>
        <v>0</v>
      </c>
      <c r="AP458" s="1080">
        <f t="shared" si="493"/>
        <v>1</v>
      </c>
      <c r="AQ458" s="1027">
        <f>VLOOKUP(V458,'System Lookups'!$J$55:$P$64,7)</f>
        <v>600</v>
      </c>
      <c r="AR458" s="1080" t="str">
        <f ca="1">IF(AND(NOT(ISBLANK(AJ458)),ISNA(MATCH(ROW(),'System Lookups'!$C$526:$C$539,0))),"Y","N")</f>
        <v>Y</v>
      </c>
      <c r="AS458" s="1080">
        <f t="shared" si="475"/>
        <v>0</v>
      </c>
      <c r="AU458" s="1080" t="e">
        <f t="shared" si="479"/>
        <v>#N/A</v>
      </c>
      <c r="AV458" s="1080" t="str">
        <f t="shared" si="476"/>
        <v>T</v>
      </c>
      <c r="AW458" s="1080">
        <f t="shared" si="480"/>
        <v>0</v>
      </c>
      <c r="AX458" s="1080">
        <f t="shared" si="481"/>
        <v>0</v>
      </c>
      <c r="AY458" s="1080">
        <f t="shared" si="482"/>
        <v>0</v>
      </c>
      <c r="AZ458" s="1080">
        <f t="shared" si="483"/>
        <v>0</v>
      </c>
      <c r="BA458" s="1080">
        <f t="shared" si="484"/>
        <v>0</v>
      </c>
      <c r="BB458" s="1080">
        <f>IF(AND(RACE=1,'Main Creation Page'!$E$6="Well",OR(ISNUMBER(FIND(Experience!$G$11,BE458)),ISNUMBER(FIND(Experience!$G$11,BF458)),ISNUMBER(FIND(Experience!$I$11,BE458)),ISNUMBER(FIND(Experience!$I$11,BF458)))),1,0)</f>
        <v>1</v>
      </c>
      <c r="BC458" s="1080" t="str">
        <f t="shared" si="495"/>
        <v>Monster:Orc</v>
      </c>
      <c r="BD458" s="1080" t="s">
        <v>5694</v>
      </c>
      <c r="BE458" s="1080" t="str">
        <f t="shared" si="477"/>
        <v>Lore</v>
      </c>
      <c r="BF458" s="1080" t="str">
        <f t="shared" si="478"/>
        <v>Language Lore: Written</v>
      </c>
    </row>
    <row r="459" spans="1:58" ht="11.1" customHeight="1" outlineLevel="3">
      <c r="A459" s="1093" t="s">
        <v>4883</v>
      </c>
      <c r="B459" s="1094" t="s">
        <v>1942</v>
      </c>
      <c r="C459" s="1094"/>
      <c r="D459" s="1094"/>
      <c r="E459" s="1095" t="s">
        <v>5224</v>
      </c>
      <c r="F459" s="1095" t="str">
        <f>IF('Main Creation Page'!$C$3=7, "R", "N")</f>
        <v>N</v>
      </c>
      <c r="G459" s="1096">
        <v>0</v>
      </c>
      <c r="H459" s="1096" t="s">
        <v>5224</v>
      </c>
      <c r="I459" s="1096" t="s">
        <v>5224</v>
      </c>
      <c r="J459" s="1096" t="s">
        <v>5224</v>
      </c>
      <c r="K459" s="1096" t="s">
        <v>5224</v>
      </c>
      <c r="L459" s="1096">
        <v>0</v>
      </c>
      <c r="M459" s="1096" t="s">
        <v>5224</v>
      </c>
      <c r="N459" s="1096" t="s">
        <v>4631</v>
      </c>
      <c r="O459" s="1113"/>
      <c r="P459" s="1113" t="s">
        <v>13</v>
      </c>
      <c r="S459" s="1113" t="s">
        <v>53</v>
      </c>
      <c r="T459" s="1113"/>
      <c r="U459" s="1027">
        <f>IF(F459="r",1,3)</f>
        <v>3</v>
      </c>
      <c r="V459" s="1027">
        <f>IF((AP459+U459+VLOOKUP('Main Creation Page'!E$14,'System Lookups'!R$45:S$49,2))&gt;10,10,IF((AP459+U459+VLOOKUP('Main Creation Page'!E$14,'System Lookups'!R$45:S$49,2))&lt;1,1,(AP459+U459+VLOOKUP('Main Creation Page'!E$14,'System Lookups'!R$45:S$49,2))))</f>
        <v>4</v>
      </c>
      <c r="W459" s="1098" t="e">
        <f>IF(OR(I459&lt;&gt;"N",E459="C"),IF(AND(N459&lt;&gt;"T",ISNUMBER(FIND("V",I459))),1,0),NA())+IF(H459="Y",IF(AND(N459="P",ISNUMBER(FIND("Z",I459))),2,1),0)+IF(J459="Y",1,0)+IF(K459="Y",3,0)+IF(BE459="Lore",L459*2+Experience!$D$25,0)+IF(M459="Y",1,0)</f>
        <v>#N/A</v>
      </c>
      <c r="X459" s="1099"/>
      <c r="Y459" s="1100">
        <f ca="1">IF(P459="NS",IFERROR(INDIRECT(S459),NA()),VLOOKUP(INDIRECT(P459)+INDIRECT(S459),'System Lookups'!$A$3:$D$146,2))</f>
        <v>0.08</v>
      </c>
      <c r="Z459" s="1100">
        <f t="shared" si="494"/>
        <v>0</v>
      </c>
      <c r="AA459" s="1101">
        <f ca="1">IF(ISNA(Y459),0,Y459)+Z459+IF('Main Creation Page'!AB$2=37,'Main Creation Page'!E$14/100,0)</f>
        <v>0.08</v>
      </c>
      <c r="AB459" s="1102">
        <f>VLOOKUP(V459,'System Lookups'!$J$55:$P$64,3)</f>
        <v>0.2</v>
      </c>
      <c r="AC459" s="1103">
        <f>VLOOKUP(V459,'System Lookups'!$J$55:$P$64,4)</f>
        <v>0.3</v>
      </c>
      <c r="AD459" s="1104">
        <f t="shared" si="467"/>
        <v>0</v>
      </c>
      <c r="AE459" s="1094">
        <f>(IF(AD459&gt;VLOOKUP(V459,'System Lookups'!$J$55:$P$63,6),(((AD459-VLOOKUP(V459,'System Lookups'!$J$55:$P$63,6))*100)/20),0))+AF459</f>
        <v>0</v>
      </c>
      <c r="AF459" s="1121"/>
      <c r="AG459" s="1092">
        <f t="shared" si="468"/>
        <v>0</v>
      </c>
      <c r="AH459" s="1092" t="str">
        <f>IF(X459&lt;=Experience!$R$15+1,"","*")</f>
        <v/>
      </c>
      <c r="AI459" s="1092"/>
      <c r="AJ459" s="1080">
        <f t="shared" si="489"/>
        <v>0</v>
      </c>
      <c r="AK459" s="1080">
        <f t="shared" si="490"/>
        <v>0</v>
      </c>
      <c r="AL459" s="1080">
        <f t="shared" si="471"/>
        <v>0</v>
      </c>
      <c r="AM459" s="1092">
        <f t="shared" si="491"/>
        <v>0</v>
      </c>
      <c r="AN459" s="1080">
        <f t="shared" si="492"/>
        <v>1</v>
      </c>
      <c r="AO459" s="1080">
        <f t="shared" si="474"/>
        <v>0</v>
      </c>
      <c r="AP459" s="1080">
        <f t="shared" si="493"/>
        <v>1</v>
      </c>
      <c r="AQ459" s="1027">
        <f>VLOOKUP(V459,'System Lookups'!$J$55:$P$64,7)</f>
        <v>600</v>
      </c>
      <c r="AR459" s="1080" t="str">
        <f ca="1">IF(AND(NOT(ISBLANK(AJ459)),ISNA(MATCH(ROW(),'System Lookups'!$C$526:$C$539,0))),"Y","N")</f>
        <v>Y</v>
      </c>
      <c r="AS459" s="1080">
        <f t="shared" si="475"/>
        <v>0</v>
      </c>
      <c r="AU459" s="1080" t="e">
        <f t="shared" si="479"/>
        <v>#N/A</v>
      </c>
      <c r="AV459" s="1080" t="str">
        <f t="shared" si="476"/>
        <v>T</v>
      </c>
      <c r="AW459" s="1080">
        <f t="shared" si="480"/>
        <v>0</v>
      </c>
      <c r="AX459" s="1080">
        <f t="shared" si="481"/>
        <v>0</v>
      </c>
      <c r="AY459" s="1080">
        <f t="shared" si="482"/>
        <v>0</v>
      </c>
      <c r="AZ459" s="1080">
        <f t="shared" si="483"/>
        <v>0</v>
      </c>
      <c r="BA459" s="1080">
        <f t="shared" si="484"/>
        <v>0</v>
      </c>
      <c r="BB459" s="1080">
        <f>IF(AND(RACE=1,'Main Creation Page'!$E$6="Well",OR(ISNUMBER(FIND(Experience!$G$11,BE459)),ISNUMBER(FIND(Experience!$G$11,BF459)),ISNUMBER(FIND(Experience!$I$11,BE459)),ISNUMBER(FIND(Experience!$I$11,BF459)))),1,0)</f>
        <v>1</v>
      </c>
      <c r="BC459" s="1080" t="str">
        <f t="shared" si="495"/>
        <v>Monster:Saurian (Lizardmen)</v>
      </c>
      <c r="BD459" s="1080" t="s">
        <v>5694</v>
      </c>
      <c r="BE459" s="1080" t="str">
        <f t="shared" si="477"/>
        <v>Lore</v>
      </c>
      <c r="BF459" s="1080" t="str">
        <f t="shared" si="478"/>
        <v>Language Lore: Written</v>
      </c>
    </row>
    <row r="460" spans="1:58" ht="11.1" customHeight="1" outlineLevel="3">
      <c r="A460" s="1028" t="str">
        <f>CONCATENATE("Saurian",IF('Main Creation Page'!K5=3,"  (Dragon Kin) (Common)", " "))</f>
        <v>Saurian  (Dragon Kin) (Common)</v>
      </c>
      <c r="B460" s="1094" t="s">
        <v>1942</v>
      </c>
      <c r="C460" s="1094"/>
      <c r="D460" s="1094"/>
      <c r="E460" s="1095" t="s">
        <v>5224</v>
      </c>
      <c r="F460" s="1095" t="s">
        <v>5224</v>
      </c>
      <c r="G460" s="1096">
        <v>0</v>
      </c>
      <c r="H460" s="1096" t="s">
        <v>5224</v>
      </c>
      <c r="I460" s="1096" t="s">
        <v>5224</v>
      </c>
      <c r="J460" s="1096" t="s">
        <v>5224</v>
      </c>
      <c r="K460" s="1096" t="s">
        <v>5224</v>
      </c>
      <c r="L460" s="1096">
        <v>0</v>
      </c>
      <c r="M460" s="1096" t="s">
        <v>5224</v>
      </c>
      <c r="N460" s="1096" t="s">
        <v>4631</v>
      </c>
      <c r="O460" s="1113"/>
      <c r="P460" s="1113" t="s">
        <v>13</v>
      </c>
      <c r="S460" s="1113" t="s">
        <v>53</v>
      </c>
      <c r="T460" s="1113"/>
      <c r="U460" s="1027">
        <f>IF(F460="r",1,IF('Main Creation Page'!$K$5=3,4,3))</f>
        <v>4</v>
      </c>
      <c r="V460" s="1027">
        <f>IF((AP460+U460+VLOOKUP('Main Creation Page'!E$14,'System Lookups'!R$45:S$49,2))&gt;10,10,IF((AP460+U460+VLOOKUP('Main Creation Page'!E$14,'System Lookups'!R$45:S$49,2))&lt;1,1,(AP460+U460+VLOOKUP('Main Creation Page'!E$14,'System Lookups'!R$45:S$49,2))))</f>
        <v>5</v>
      </c>
      <c r="W460" s="1098" t="e">
        <f>IF(OR(I460&lt;&gt;"N",E460="C"),IF(AND(N460&lt;&gt;"T",ISNUMBER(FIND("V",I460))),1,0),NA())+IF(H460="Y",IF(AND(N460="P",ISNUMBER(FIND("Z",I460))),2,1),0)+IF(J460="Y",1,0)+IF(K460="Y",3,0)+IF(BE460="Lore",L460*2+Experience!$D$25,0)+IF(M460="Y",1,0)</f>
        <v>#N/A</v>
      </c>
      <c r="X460" s="1099"/>
      <c r="Y460" s="1100">
        <f ca="1">IF(P460="NS",IFERROR(INDIRECT(S460),NA()),VLOOKUP(INDIRECT(P460)+INDIRECT(S460),'System Lookups'!$A$3:$D$146,2))</f>
        <v>0.08</v>
      </c>
      <c r="Z460" s="1100">
        <f t="shared" si="494"/>
        <v>0</v>
      </c>
      <c r="AA460" s="1101">
        <f ca="1">IF(ISNA(Y460),0,Y460)+Z460+IF('Main Creation Page'!AB$2=37,'Main Creation Page'!E$14/100,0)</f>
        <v>0.08</v>
      </c>
      <c r="AB460" s="1102">
        <f>VLOOKUP(V460,'System Lookups'!$J$55:$P$64,3)</f>
        <v>0.1</v>
      </c>
      <c r="AC460" s="1103">
        <f>VLOOKUP(V460,'System Lookups'!$J$55:$P$64,4)</f>
        <v>0.2</v>
      </c>
      <c r="AD460" s="1104">
        <f t="shared" si="467"/>
        <v>0</v>
      </c>
      <c r="AE460" s="1094">
        <f>(IF(AD460&gt;VLOOKUP(V460,'System Lookups'!$J$55:$P$63,6),(((AD460-VLOOKUP(V460,'System Lookups'!$J$55:$P$63,6))*100)/20),0))+AF460</f>
        <v>0</v>
      </c>
      <c r="AF460" s="1121"/>
      <c r="AG460" s="1092">
        <f t="shared" si="468"/>
        <v>0</v>
      </c>
      <c r="AH460" s="1092" t="str">
        <f>IF(X460&lt;=Experience!$R$15+1,"","*")</f>
        <v/>
      </c>
      <c r="AI460" s="1092"/>
      <c r="AJ460" s="1080">
        <f t="shared" si="489"/>
        <v>0</v>
      </c>
      <c r="AK460" s="1080">
        <f t="shared" si="470"/>
        <v>0</v>
      </c>
      <c r="AL460" s="1080">
        <f t="shared" si="471"/>
        <v>0</v>
      </c>
      <c r="AM460" s="1092">
        <f t="shared" si="472"/>
        <v>0</v>
      </c>
      <c r="AN460" s="1080">
        <f t="shared" si="473"/>
        <v>1</v>
      </c>
      <c r="AO460" s="1080">
        <f t="shared" si="474"/>
        <v>0</v>
      </c>
      <c r="AP460" s="1080">
        <f t="shared" si="493"/>
        <v>1</v>
      </c>
      <c r="AQ460" s="1027">
        <f>VLOOKUP(V460,'System Lookups'!$J$55:$P$64,7)</f>
        <v>700</v>
      </c>
      <c r="AR460" s="1080" t="str">
        <f ca="1">IF(AND(NOT(ISBLANK(AJ460)),ISNA(MATCH(ROW(),'System Lookups'!$C$526:$C$539,0))),"Y","N")</f>
        <v>Y</v>
      </c>
      <c r="AS460" s="1080">
        <f t="shared" si="475"/>
        <v>0</v>
      </c>
      <c r="AU460" s="1080" t="e">
        <f t="shared" si="479"/>
        <v>#N/A</v>
      </c>
      <c r="AV460" s="1080" t="str">
        <f t="shared" si="476"/>
        <v>T</v>
      </c>
      <c r="AW460" s="1080">
        <f t="shared" si="480"/>
        <v>0</v>
      </c>
      <c r="AX460" s="1080">
        <f t="shared" si="481"/>
        <v>0</v>
      </c>
      <c r="AY460" s="1080">
        <f t="shared" si="482"/>
        <v>0</v>
      </c>
      <c r="AZ460" s="1080">
        <f t="shared" si="483"/>
        <v>0</v>
      </c>
      <c r="BA460" s="1080">
        <f t="shared" si="484"/>
        <v>0</v>
      </c>
      <c r="BB460" s="1080">
        <f>IF(AND(RACE=1,'Main Creation Page'!$E$6="Well",OR(ISNUMBER(FIND(Experience!$G$11,BE460)),ISNUMBER(FIND(Experience!$G$11,BF460)),ISNUMBER(FIND(Experience!$I$11,BE460)),ISNUMBER(FIND(Experience!$I$11,BF460)))),1,0)</f>
        <v>1</v>
      </c>
      <c r="BC460" s="1080" t="str">
        <f t="shared" si="495"/>
        <v>Monster:Saurian  (Dragon Kin) (Common)</v>
      </c>
      <c r="BD460" s="1080" t="s">
        <v>5694</v>
      </c>
      <c r="BE460" s="1080" t="str">
        <f t="shared" si="477"/>
        <v>Lore</v>
      </c>
      <c r="BF460" s="1080" t="str">
        <f t="shared" si="478"/>
        <v>Language Lore: Written</v>
      </c>
    </row>
    <row r="461" spans="1:58" ht="11.1" customHeight="1" outlineLevel="4">
      <c r="A461" s="1093" t="s">
        <v>4885</v>
      </c>
      <c r="B461" s="1094" t="s">
        <v>1942</v>
      </c>
      <c r="C461" s="1094"/>
      <c r="D461" s="1094"/>
      <c r="E461" s="1095" t="s">
        <v>5224</v>
      </c>
      <c r="F461" s="1095" t="s">
        <v>5224</v>
      </c>
      <c r="G461" s="1096">
        <v>0</v>
      </c>
      <c r="H461" s="1096" t="s">
        <v>5224</v>
      </c>
      <c r="I461" s="1096" t="s">
        <v>5224</v>
      </c>
      <c r="J461" s="1096" t="s">
        <v>5224</v>
      </c>
      <c r="K461" s="1096" t="s">
        <v>5224</v>
      </c>
      <c r="L461" s="1096">
        <v>0</v>
      </c>
      <c r="M461" s="1096" t="s">
        <v>5224</v>
      </c>
      <c r="N461" s="1096" t="s">
        <v>4631</v>
      </c>
      <c r="O461" s="1113"/>
      <c r="P461" s="1113" t="s">
        <v>13</v>
      </c>
      <c r="S461" s="1113" t="s">
        <v>53</v>
      </c>
      <c r="T461" s="1113"/>
      <c r="U461" s="1027">
        <f>IF(F461="r",1,IF('Main Creation Page'!$K$5=3,4,3))</f>
        <v>4</v>
      </c>
      <c r="V461" s="1027">
        <f>IF((AP461+U461+VLOOKUP('Main Creation Page'!E$14,'System Lookups'!R$45:S$49,2))&gt;10,10,IF((AP461+U461+VLOOKUP('Main Creation Page'!E$14,'System Lookups'!R$45:S$49,2))&lt;1,1,(AP461+U461+VLOOKUP('Main Creation Page'!E$14,'System Lookups'!R$45:S$49,2))))</f>
        <v>5</v>
      </c>
      <c r="W461" s="1098" t="e">
        <f>IF(OR(I461&lt;&gt;"N",E461="C"),IF(AND(N461&lt;&gt;"T",ISNUMBER(FIND("V",I461))),1,0),NA())+IF(H461="Y",IF(AND(N461="P",ISNUMBER(FIND("Z",I461))),2,1),0)+IF(J461="Y",1,0)+IF(K461="Y",3,0)+IF(BE461="Lore",L461*2+Experience!$D$25,0)+IF(M461="Y",1,0)</f>
        <v>#N/A</v>
      </c>
      <c r="X461" s="1099"/>
      <c r="Y461" s="1100">
        <f ca="1">IF(P461="NS",IFERROR(INDIRECT(S461),NA()),VLOOKUP(INDIRECT(P461)+INDIRECT(S461),'System Lookups'!$A$3:$D$146,2))</f>
        <v>0.08</v>
      </c>
      <c r="Z461" s="1100">
        <f t="shared" si="494"/>
        <v>0</v>
      </c>
      <c r="AA461" s="1101">
        <f ca="1">IF(ISNA(Y461),0,Y461)+Z461+IF('Main Creation Page'!AB$2=37,'Main Creation Page'!E$14/100,0)</f>
        <v>0.08</v>
      </c>
      <c r="AB461" s="1102">
        <f>VLOOKUP(V461,'System Lookups'!$J$55:$P$64,3)</f>
        <v>0.1</v>
      </c>
      <c r="AC461" s="1103">
        <f>VLOOKUP(V461,'System Lookups'!$J$55:$P$64,4)</f>
        <v>0.2</v>
      </c>
      <c r="AD461" s="1104">
        <f t="shared" si="467"/>
        <v>0</v>
      </c>
      <c r="AE461" s="1094">
        <f>(IF(AD461&gt;VLOOKUP(V461,'System Lookups'!$J$55:$P$63,6),(((AD461-VLOOKUP(V461,'System Lookups'!$J$55:$P$63,6))*100)/20),0))+AF461</f>
        <v>0</v>
      </c>
      <c r="AF461" s="1121"/>
      <c r="AG461" s="1092">
        <f t="shared" si="468"/>
        <v>0</v>
      </c>
      <c r="AH461" s="1092" t="str">
        <f>IF(X461&lt;=Experience!$R$15+1,"","*")</f>
        <v/>
      </c>
      <c r="AI461" s="1092"/>
      <c r="AJ461" s="1080">
        <f t="shared" si="489"/>
        <v>0</v>
      </c>
      <c r="AK461" s="1080">
        <f t="shared" ref="AK461:AK466" si="496">IF(F461="s",-2,0)</f>
        <v>0</v>
      </c>
      <c r="AL461" s="1080">
        <f t="shared" si="471"/>
        <v>0</v>
      </c>
      <c r="AM461" s="1092">
        <f t="shared" ref="AM461:AM466" si="497">IF(J461="y",1,0)</f>
        <v>0</v>
      </c>
      <c r="AN461" s="1080">
        <f t="shared" ref="AN461:AN466" si="498">IF(N461="P",-1,IF(N461="T",1,0))</f>
        <v>1</v>
      </c>
      <c r="AO461" s="1080">
        <f t="shared" si="474"/>
        <v>0</v>
      </c>
      <c r="AP461" s="1080">
        <f t="shared" si="493"/>
        <v>1</v>
      </c>
      <c r="AQ461" s="1027">
        <f>VLOOKUP(V461,'System Lookups'!$J$55:$P$64,7)</f>
        <v>700</v>
      </c>
      <c r="AR461" s="1080" t="str">
        <f ca="1">IF(AND(NOT(ISBLANK(AJ461)),ISNA(MATCH(ROW(),'System Lookups'!$C$526:$C$539,0))),"Y","N")</f>
        <v>Y</v>
      </c>
      <c r="AS461" s="1080">
        <f t="shared" si="475"/>
        <v>0</v>
      </c>
      <c r="AU461" s="1080" t="e">
        <f t="shared" si="479"/>
        <v>#N/A</v>
      </c>
      <c r="AV461" s="1080" t="str">
        <f t="shared" si="476"/>
        <v>T</v>
      </c>
      <c r="AW461" s="1080">
        <f t="shared" si="480"/>
        <v>0</v>
      </c>
      <c r="AX461" s="1080">
        <f t="shared" si="481"/>
        <v>0</v>
      </c>
      <c r="AY461" s="1080">
        <f t="shared" si="482"/>
        <v>0</v>
      </c>
      <c r="AZ461" s="1080">
        <f t="shared" si="483"/>
        <v>0</v>
      </c>
      <c r="BA461" s="1080">
        <f t="shared" si="484"/>
        <v>0</v>
      </c>
      <c r="BB461" s="1080">
        <f>IF(AND(RACE=1,'Main Creation Page'!$E$6="Well",OR(ISNUMBER(FIND(Experience!$G$11,BE461)),ISNUMBER(FIND(Experience!$G$11,BF461)),ISNUMBER(FIND(Experience!$I$11,BE461)),ISNUMBER(FIND(Experience!$I$11,BF461)))),1,0)</f>
        <v>1</v>
      </c>
      <c r="BC461" s="1080" t="str">
        <f t="shared" si="495"/>
        <v>Monster:Saurian (Dragon Kin) (Native)</v>
      </c>
      <c r="BD461" s="1080" t="s">
        <v>5694</v>
      </c>
      <c r="BE461" s="1080" t="str">
        <f t="shared" si="477"/>
        <v>Lore</v>
      </c>
      <c r="BF461" s="1080" t="str">
        <f t="shared" si="478"/>
        <v>Language Lore: Written</v>
      </c>
    </row>
    <row r="462" spans="1:58" ht="11.1" customHeight="1" outlineLevel="4">
      <c r="A462" s="1093" t="s">
        <v>4886</v>
      </c>
      <c r="B462" s="1094" t="s">
        <v>1942</v>
      </c>
      <c r="C462" s="1094"/>
      <c r="D462" s="1094"/>
      <c r="E462" s="1095" t="s">
        <v>5224</v>
      </c>
      <c r="F462" s="1095" t="s">
        <v>5224</v>
      </c>
      <c r="G462" s="1096">
        <v>0</v>
      </c>
      <c r="H462" s="1096" t="s">
        <v>5224</v>
      </c>
      <c r="I462" s="1096" t="s">
        <v>5224</v>
      </c>
      <c r="J462" s="1096" t="s">
        <v>5224</v>
      </c>
      <c r="K462" s="1096" t="s">
        <v>5224</v>
      </c>
      <c r="L462" s="1096">
        <v>0</v>
      </c>
      <c r="M462" s="1096" t="s">
        <v>5224</v>
      </c>
      <c r="N462" s="1096" t="s">
        <v>4631</v>
      </c>
      <c r="O462" s="1113"/>
      <c r="P462" s="1113" t="s">
        <v>13</v>
      </c>
      <c r="S462" s="1113" t="s">
        <v>53</v>
      </c>
      <c r="T462" s="1113"/>
      <c r="U462" s="1027">
        <f>IF(F462="r",1,IF('Main Creation Page'!$K$5=3,4,3))</f>
        <v>4</v>
      </c>
      <c r="V462" s="1027">
        <f>IF((AP462+U462+VLOOKUP('Main Creation Page'!E$14,'System Lookups'!R$45:S$49,2))&gt;10,10,IF((AP462+U462+VLOOKUP('Main Creation Page'!E$14,'System Lookups'!R$45:S$49,2))&lt;1,1,(AP462+U462+VLOOKUP('Main Creation Page'!E$14,'System Lookups'!R$45:S$49,2))))</f>
        <v>5</v>
      </c>
      <c r="W462" s="1098" t="e">
        <f>IF(OR(I462&lt;&gt;"N",E462="C"),IF(AND(N462&lt;&gt;"T",ISNUMBER(FIND("V",I462))),1,0),NA())+IF(H462="Y",IF(AND(N462="P",ISNUMBER(FIND("Z",I462))),2,1),0)+IF(J462="Y",1,0)+IF(K462="Y",3,0)+IF(BE462="Lore",L462*2+Experience!$D$25,0)+IF(M462="Y",1,0)</f>
        <v>#N/A</v>
      </c>
      <c r="X462" s="1099"/>
      <c r="Y462" s="1100">
        <f ca="1">IF(P462="NS",IFERROR(INDIRECT(S462),NA()),VLOOKUP(INDIRECT(P462)+INDIRECT(S462),'System Lookups'!$A$3:$D$146,2))</f>
        <v>0.08</v>
      </c>
      <c r="Z462" s="1100">
        <f t="shared" si="494"/>
        <v>0</v>
      </c>
      <c r="AA462" s="1101">
        <f ca="1">IF(ISNA(Y462),0,Y462)+Z462+IF('Main Creation Page'!AB$2=37,'Main Creation Page'!E$14/100,0)</f>
        <v>0.08</v>
      </c>
      <c r="AB462" s="1102">
        <f>VLOOKUP(V462,'System Lookups'!$J$55:$P$64,3)</f>
        <v>0.1</v>
      </c>
      <c r="AC462" s="1103">
        <f>VLOOKUP(V462,'System Lookups'!$J$55:$P$64,4)</f>
        <v>0.2</v>
      </c>
      <c r="AD462" s="1104">
        <f t="shared" si="467"/>
        <v>0</v>
      </c>
      <c r="AE462" s="1094">
        <f>(IF(AD462&gt;VLOOKUP(V462,'System Lookups'!$J$55:$P$63,6),(((AD462-VLOOKUP(V462,'System Lookups'!$J$55:$P$63,6))*100)/20),0))+AF462</f>
        <v>0</v>
      </c>
      <c r="AF462" s="1121"/>
      <c r="AG462" s="1092">
        <f t="shared" si="468"/>
        <v>0</v>
      </c>
      <c r="AH462" s="1092" t="str">
        <f>IF(X462&lt;=Experience!$R$15+1,"","*")</f>
        <v/>
      </c>
      <c r="AI462" s="1092"/>
      <c r="AJ462" s="1080">
        <f t="shared" si="489"/>
        <v>0</v>
      </c>
      <c r="AK462" s="1080">
        <f t="shared" si="496"/>
        <v>0</v>
      </c>
      <c r="AL462" s="1080">
        <f t="shared" si="471"/>
        <v>0</v>
      </c>
      <c r="AM462" s="1092">
        <f t="shared" si="497"/>
        <v>0</v>
      </c>
      <c r="AN462" s="1080">
        <f t="shared" si="498"/>
        <v>1</v>
      </c>
      <c r="AO462" s="1080">
        <f t="shared" si="474"/>
        <v>0</v>
      </c>
      <c r="AP462" s="1080">
        <f t="shared" si="493"/>
        <v>1</v>
      </c>
      <c r="AQ462" s="1027">
        <f>VLOOKUP(V462,'System Lookups'!$J$55:$P$64,7)</f>
        <v>700</v>
      </c>
      <c r="AR462" s="1080" t="str">
        <f ca="1">IF(AND(NOT(ISBLANK(AJ462)),ISNA(MATCH(ROW(),'System Lookups'!$C$526:$C$539,0))),"Y","N")</f>
        <v>Y</v>
      </c>
      <c r="AS462" s="1080">
        <f t="shared" si="475"/>
        <v>0</v>
      </c>
      <c r="AU462" s="1080" t="e">
        <f t="shared" si="479"/>
        <v>#N/A</v>
      </c>
      <c r="AV462" s="1080" t="str">
        <f t="shared" si="476"/>
        <v>T</v>
      </c>
      <c r="AW462" s="1080">
        <f t="shared" si="480"/>
        <v>0</v>
      </c>
      <c r="AX462" s="1080">
        <f t="shared" si="481"/>
        <v>0</v>
      </c>
      <c r="AY462" s="1080">
        <f t="shared" si="482"/>
        <v>0</v>
      </c>
      <c r="AZ462" s="1080">
        <f t="shared" si="483"/>
        <v>0</v>
      </c>
      <c r="BA462" s="1080">
        <f t="shared" si="484"/>
        <v>0</v>
      </c>
      <c r="BB462" s="1080">
        <f>IF(AND(RACE=1,'Main Creation Page'!$E$6="Well",OR(ISNUMBER(FIND(Experience!$G$11,BE462)),ISNUMBER(FIND(Experience!$G$11,BF462)),ISNUMBER(FIND(Experience!$I$11,BE462)),ISNUMBER(FIND(Experience!$I$11,BF462)))),1,0)</f>
        <v>1</v>
      </c>
      <c r="BC462" s="1080" t="str">
        <f t="shared" si="495"/>
        <v>Monster:Saurian (Dragon Kin) (Ancient)</v>
      </c>
      <c r="BD462" s="1080" t="s">
        <v>5694</v>
      </c>
      <c r="BE462" s="1080" t="str">
        <f t="shared" si="477"/>
        <v>Lore</v>
      </c>
      <c r="BF462" s="1080" t="str">
        <f t="shared" si="478"/>
        <v>Language Lore: Written</v>
      </c>
    </row>
    <row r="463" spans="1:58" ht="11.1" customHeight="1" outlineLevel="3">
      <c r="A463" s="1093" t="s">
        <v>4887</v>
      </c>
      <c r="B463" s="1094" t="s">
        <v>1942</v>
      </c>
      <c r="C463" s="1094"/>
      <c r="D463" s="1094"/>
      <c r="E463" s="1095" t="s">
        <v>5224</v>
      </c>
      <c r="F463" s="1095" t="s">
        <v>5224</v>
      </c>
      <c r="G463" s="1096">
        <v>0</v>
      </c>
      <c r="H463" s="1096" t="s">
        <v>5224</v>
      </c>
      <c r="I463" s="1096" t="s">
        <v>5224</v>
      </c>
      <c r="J463" s="1096" t="s">
        <v>5224</v>
      </c>
      <c r="K463" s="1096" t="s">
        <v>5224</v>
      </c>
      <c r="L463" s="1096">
        <v>0</v>
      </c>
      <c r="M463" s="1096" t="s">
        <v>5224</v>
      </c>
      <c r="N463" s="1096" t="s">
        <v>4631</v>
      </c>
      <c r="O463" s="1113"/>
      <c r="P463" s="1113" t="s">
        <v>13</v>
      </c>
      <c r="S463" s="1113" t="s">
        <v>53</v>
      </c>
      <c r="T463" s="1113"/>
      <c r="U463" s="1027">
        <f>IF(F463="r",1,IF('Main Creation Page'!$K$5=3,4,3))</f>
        <v>4</v>
      </c>
      <c r="V463" s="1027">
        <f>IF((AP463+U463+VLOOKUP('Main Creation Page'!E$14,'System Lookups'!R$45:S$49,2))&gt;10,10,IF((AP463+U463+VLOOKUP('Main Creation Page'!E$14,'System Lookups'!R$45:S$49,2))&lt;1,1,(AP463+U463+VLOOKUP('Main Creation Page'!E$14,'System Lookups'!R$45:S$49,2))))</f>
        <v>5</v>
      </c>
      <c r="W463" s="1098" t="e">
        <f>IF(OR(I463&lt;&gt;"N",E463="C"),IF(AND(N463&lt;&gt;"T",ISNUMBER(FIND("V",I463))),1,0),NA())+IF(H463="Y",IF(AND(N463="P",ISNUMBER(FIND("Z",I463))),2,1),0)+IF(J463="Y",1,0)+IF(K463="Y",3,0)+IF(BE463="Lore",L463*2+Experience!$D$25,0)+IF(M463="Y",1,0)</f>
        <v>#N/A</v>
      </c>
      <c r="X463" s="1099"/>
      <c r="Y463" s="1100">
        <f ca="1">IF(P463="NS",IFERROR(INDIRECT(S463),NA()),VLOOKUP(INDIRECT(P463)+INDIRECT(S463),'System Lookups'!$A$3:$D$146,2))</f>
        <v>0.08</v>
      </c>
      <c r="Z463" s="1100">
        <f t="shared" si="494"/>
        <v>0</v>
      </c>
      <c r="AA463" s="1101">
        <f ca="1">IF(ISNA(Y463),0,Y463)+Z463+IF('Main Creation Page'!AB$2=37,'Main Creation Page'!E$14/100,0)</f>
        <v>0.08</v>
      </c>
      <c r="AB463" s="1102">
        <f>VLOOKUP(V463,'System Lookups'!$J$55:$P$64,3)</f>
        <v>0.1</v>
      </c>
      <c r="AC463" s="1103">
        <f>VLOOKUP(V463,'System Lookups'!$J$55:$P$64,4)</f>
        <v>0.2</v>
      </c>
      <c r="AD463" s="1104">
        <f t="shared" si="467"/>
        <v>0</v>
      </c>
      <c r="AE463" s="1094">
        <f>(IF(AD463&gt;VLOOKUP(V463,'System Lookups'!$J$55:$P$63,6),(((AD463-VLOOKUP(V463,'System Lookups'!$J$55:$P$63,6))*100)/20),0))+AF463</f>
        <v>0</v>
      </c>
      <c r="AF463" s="1121"/>
      <c r="AG463" s="1092">
        <f t="shared" si="468"/>
        <v>0</v>
      </c>
      <c r="AH463" s="1092" t="str">
        <f>IF(X463&lt;=Experience!$R$15+1,"","*")</f>
        <v/>
      </c>
      <c r="AI463" s="1092"/>
      <c r="AJ463" s="1080">
        <f t="shared" si="489"/>
        <v>0</v>
      </c>
      <c r="AK463" s="1080">
        <f t="shared" si="496"/>
        <v>0</v>
      </c>
      <c r="AL463" s="1080">
        <f t="shared" si="471"/>
        <v>0</v>
      </c>
      <c r="AM463" s="1092">
        <f t="shared" si="497"/>
        <v>0</v>
      </c>
      <c r="AN463" s="1080">
        <f t="shared" si="498"/>
        <v>1</v>
      </c>
      <c r="AO463" s="1080">
        <f t="shared" si="474"/>
        <v>0</v>
      </c>
      <c r="AP463" s="1080">
        <f t="shared" si="493"/>
        <v>1</v>
      </c>
      <c r="AQ463" s="1027">
        <f>VLOOKUP(V463,'System Lookups'!$J$55:$P$64,7)</f>
        <v>700</v>
      </c>
      <c r="AR463" s="1080" t="str">
        <f ca="1">IF(AND(NOT(ISBLANK(AJ463)),ISNA(MATCH(ROW(),'System Lookups'!$C$526:$C$539,0))),"Y","N")</f>
        <v>Y</v>
      </c>
      <c r="AS463" s="1080">
        <f t="shared" si="475"/>
        <v>0</v>
      </c>
      <c r="AU463" s="1080" t="e">
        <f t="shared" si="479"/>
        <v>#N/A</v>
      </c>
      <c r="AV463" s="1080" t="str">
        <f t="shared" si="476"/>
        <v>T</v>
      </c>
      <c r="AW463" s="1080">
        <f t="shared" si="480"/>
        <v>0</v>
      </c>
      <c r="AX463" s="1080">
        <f t="shared" si="481"/>
        <v>0</v>
      </c>
      <c r="AY463" s="1080">
        <f t="shared" si="482"/>
        <v>0</v>
      </c>
      <c r="AZ463" s="1080">
        <f t="shared" si="483"/>
        <v>0</v>
      </c>
      <c r="BA463" s="1080">
        <f t="shared" si="484"/>
        <v>0</v>
      </c>
      <c r="BB463" s="1080">
        <f>IF(AND(RACE=1,'Main Creation Page'!$E$6="Well",OR(ISNUMBER(FIND(Experience!$G$11,BE463)),ISNUMBER(FIND(Experience!$G$11,BF463)),ISNUMBER(FIND(Experience!$I$11,BE463)),ISNUMBER(FIND(Experience!$I$11,BF463)))),1,0)</f>
        <v>1</v>
      </c>
      <c r="BC463" s="1080" t="str">
        <f t="shared" si="495"/>
        <v>Monster:Saurian (Salamons) (Common)</v>
      </c>
      <c r="BD463" s="1080" t="s">
        <v>5694</v>
      </c>
      <c r="BE463" s="1080" t="str">
        <f t="shared" si="477"/>
        <v>Lore</v>
      </c>
      <c r="BF463" s="1080" t="str">
        <f t="shared" si="478"/>
        <v>Language Lore: Written</v>
      </c>
    </row>
    <row r="464" spans="1:58" ht="11.1" customHeight="1" outlineLevel="4">
      <c r="A464" s="1093" t="s">
        <v>4888</v>
      </c>
      <c r="B464" s="1094" t="s">
        <v>1942</v>
      </c>
      <c r="C464" s="1094"/>
      <c r="D464" s="1094"/>
      <c r="E464" s="1095" t="s">
        <v>5224</v>
      </c>
      <c r="F464" s="1095" t="s">
        <v>5224</v>
      </c>
      <c r="G464" s="1096">
        <v>0</v>
      </c>
      <c r="H464" s="1096" t="s">
        <v>5224</v>
      </c>
      <c r="I464" s="1096" t="s">
        <v>5224</v>
      </c>
      <c r="J464" s="1096" t="s">
        <v>5224</v>
      </c>
      <c r="K464" s="1096" t="s">
        <v>5224</v>
      </c>
      <c r="L464" s="1096">
        <v>0</v>
      </c>
      <c r="M464" s="1096" t="s">
        <v>5224</v>
      </c>
      <c r="N464" s="1096" t="s">
        <v>4631</v>
      </c>
      <c r="O464" s="1113"/>
      <c r="P464" s="1113" t="s">
        <v>13</v>
      </c>
      <c r="S464" s="1113" t="s">
        <v>53</v>
      </c>
      <c r="T464" s="1113"/>
      <c r="U464" s="1027">
        <f>IF(F464="r",1,IF('Main Creation Page'!$K$5=3,4,3))</f>
        <v>4</v>
      </c>
      <c r="V464" s="1027">
        <f>IF((AP464+U464+VLOOKUP('Main Creation Page'!E$14,'System Lookups'!R$45:S$49,2))&gt;10,10,IF((AP464+U464+VLOOKUP('Main Creation Page'!E$14,'System Lookups'!R$45:S$49,2))&lt;1,1,(AP464+U464+VLOOKUP('Main Creation Page'!E$14,'System Lookups'!R$45:S$49,2))))</f>
        <v>5</v>
      </c>
      <c r="W464" s="1098" t="e">
        <f>IF(OR(I464&lt;&gt;"N",E464="C"),IF(AND(N464&lt;&gt;"T",ISNUMBER(FIND("V",I464))),1,0),NA())+IF(H464="Y",IF(AND(N464="P",ISNUMBER(FIND("Z",I464))),2,1),0)+IF(J464="Y",1,0)+IF(K464="Y",3,0)+IF(BE464="Lore",L464*2+Experience!$D$25,0)+IF(M464="Y",1,0)</f>
        <v>#N/A</v>
      </c>
      <c r="X464" s="1099"/>
      <c r="Y464" s="1100">
        <f ca="1">IF(P464="NS",IFERROR(INDIRECT(S464),NA()),VLOOKUP(INDIRECT(P464)+INDIRECT(S464),'System Lookups'!$A$3:$D$146,2))</f>
        <v>0.08</v>
      </c>
      <c r="Z464" s="1100">
        <f t="shared" si="494"/>
        <v>0</v>
      </c>
      <c r="AA464" s="1101">
        <f ca="1">IF(ISNA(Y464),0,Y464)+Z464+IF('Main Creation Page'!AB$2=37,'Main Creation Page'!E$14/100,0)</f>
        <v>0.08</v>
      </c>
      <c r="AB464" s="1102">
        <f>VLOOKUP(V464,'System Lookups'!$J$55:$P$64,3)</f>
        <v>0.1</v>
      </c>
      <c r="AC464" s="1103">
        <f>VLOOKUP(V464,'System Lookups'!$J$55:$P$64,4)</f>
        <v>0.2</v>
      </c>
      <c r="AD464" s="1104">
        <f t="shared" si="467"/>
        <v>0</v>
      </c>
      <c r="AE464" s="1094">
        <f>(IF(AD464&gt;VLOOKUP(V464,'System Lookups'!$J$55:$P$63,6),(((AD464-VLOOKUP(V464,'System Lookups'!$J$55:$P$63,6))*100)/20),0))+AF464</f>
        <v>0</v>
      </c>
      <c r="AF464" s="1121"/>
      <c r="AG464" s="1092">
        <f t="shared" si="468"/>
        <v>0</v>
      </c>
      <c r="AH464" s="1092" t="str">
        <f>IF(X464&lt;=Experience!$R$15+1,"","*")</f>
        <v/>
      </c>
      <c r="AI464" s="1092"/>
      <c r="AJ464" s="1080">
        <f t="shared" si="489"/>
        <v>0</v>
      </c>
      <c r="AK464" s="1080">
        <f t="shared" si="496"/>
        <v>0</v>
      </c>
      <c r="AL464" s="1080">
        <f t="shared" si="471"/>
        <v>0</v>
      </c>
      <c r="AM464" s="1092">
        <f t="shared" si="497"/>
        <v>0</v>
      </c>
      <c r="AN464" s="1080">
        <f t="shared" si="498"/>
        <v>1</v>
      </c>
      <c r="AO464" s="1080">
        <f t="shared" si="474"/>
        <v>0</v>
      </c>
      <c r="AP464" s="1080">
        <f t="shared" si="493"/>
        <v>1</v>
      </c>
      <c r="AQ464" s="1027">
        <f>VLOOKUP(V464,'System Lookups'!$J$55:$P$64,7)</f>
        <v>700</v>
      </c>
      <c r="AR464" s="1080" t="str">
        <f ca="1">IF(AND(NOT(ISBLANK(AJ464)),ISNA(MATCH(ROW(),'System Lookups'!$C$526:$C$539,0))),"Y","N")</f>
        <v>Y</v>
      </c>
      <c r="AS464" s="1080">
        <f t="shared" si="475"/>
        <v>0</v>
      </c>
      <c r="AU464" s="1080" t="e">
        <f t="shared" si="479"/>
        <v>#N/A</v>
      </c>
      <c r="AV464" s="1080" t="str">
        <f t="shared" si="476"/>
        <v>T</v>
      </c>
      <c r="AW464" s="1080">
        <f t="shared" si="480"/>
        <v>0</v>
      </c>
      <c r="AX464" s="1080">
        <f t="shared" si="481"/>
        <v>0</v>
      </c>
      <c r="AY464" s="1080">
        <f t="shared" si="482"/>
        <v>0</v>
      </c>
      <c r="AZ464" s="1080">
        <f t="shared" si="483"/>
        <v>0</v>
      </c>
      <c r="BA464" s="1080">
        <f t="shared" si="484"/>
        <v>0</v>
      </c>
      <c r="BB464" s="1080">
        <f>IF(AND(RACE=1,'Main Creation Page'!$E$6="Well",OR(ISNUMBER(FIND(Experience!$G$11,BE464)),ISNUMBER(FIND(Experience!$G$11,BF464)),ISNUMBER(FIND(Experience!$I$11,BE464)),ISNUMBER(FIND(Experience!$I$11,BF464)))),1,0)</f>
        <v>1</v>
      </c>
      <c r="BC464" s="1080" t="str">
        <f t="shared" si="495"/>
        <v>Monster:Saurian (Salamons) (Native)</v>
      </c>
      <c r="BD464" s="1080" t="s">
        <v>5694</v>
      </c>
      <c r="BE464" s="1080" t="str">
        <f t="shared" si="477"/>
        <v>Lore</v>
      </c>
      <c r="BF464" s="1080" t="str">
        <f t="shared" si="478"/>
        <v>Language Lore: Written</v>
      </c>
    </row>
    <row r="465" spans="1:58" ht="11.1" customHeight="1" outlineLevel="4">
      <c r="A465" s="1093" t="s">
        <v>4304</v>
      </c>
      <c r="B465" s="1094" t="s">
        <v>1942</v>
      </c>
      <c r="C465" s="1094"/>
      <c r="D465" s="1094"/>
      <c r="E465" s="1095" t="s">
        <v>5224</v>
      </c>
      <c r="F465" s="1095" t="s">
        <v>5224</v>
      </c>
      <c r="G465" s="1096">
        <v>0</v>
      </c>
      <c r="H465" s="1096" t="s">
        <v>5224</v>
      </c>
      <c r="I465" s="1096" t="s">
        <v>5224</v>
      </c>
      <c r="J465" s="1096" t="s">
        <v>5224</v>
      </c>
      <c r="K465" s="1096" t="s">
        <v>5224</v>
      </c>
      <c r="L465" s="1096">
        <v>0</v>
      </c>
      <c r="M465" s="1096" t="s">
        <v>5224</v>
      </c>
      <c r="N465" s="1096" t="s">
        <v>4631</v>
      </c>
      <c r="O465" s="1113"/>
      <c r="P465" s="1113" t="s">
        <v>13</v>
      </c>
      <c r="S465" s="1113" t="s">
        <v>53</v>
      </c>
      <c r="T465" s="1113"/>
      <c r="U465" s="1027">
        <f>IF(F465="r",1,IF('Main Creation Page'!$K$5=3,4,3))</f>
        <v>4</v>
      </c>
      <c r="V465" s="1027">
        <f>IF((AP465+U465+VLOOKUP('Main Creation Page'!E$14,'System Lookups'!R$45:S$49,2))&gt;10,10,IF((AP465+U465+VLOOKUP('Main Creation Page'!E$14,'System Lookups'!R$45:S$49,2))&lt;1,1,(AP465+U465+VLOOKUP('Main Creation Page'!E$14,'System Lookups'!R$45:S$49,2))))</f>
        <v>5</v>
      </c>
      <c r="W465" s="1098" t="e">
        <f>IF(OR(I465&lt;&gt;"N",E465="C"),IF(AND(N465&lt;&gt;"T",ISNUMBER(FIND("V",I465))),1,0),NA())+IF(H465="Y",IF(AND(N465="P",ISNUMBER(FIND("Z",I465))),2,1),0)+IF(J465="Y",1,0)+IF(K465="Y",3,0)+IF(BE465="Lore",L465*2+Experience!$D$25,0)+IF(M465="Y",1,0)</f>
        <v>#N/A</v>
      </c>
      <c r="X465" s="1099"/>
      <c r="Y465" s="1100">
        <f ca="1">IF(P465="NS",IFERROR(INDIRECT(S465),NA()),VLOOKUP(INDIRECT(P465)+INDIRECT(S465),'System Lookups'!$A$3:$D$146,2))</f>
        <v>0.08</v>
      </c>
      <c r="Z465" s="1100">
        <f t="shared" si="494"/>
        <v>0</v>
      </c>
      <c r="AA465" s="1101">
        <f ca="1">IF(ISNA(Y465),0,Y465)+Z465+IF('Main Creation Page'!AB$2=37,'Main Creation Page'!E$14/100,0)</f>
        <v>0.08</v>
      </c>
      <c r="AB465" s="1102">
        <f>VLOOKUP(V465,'System Lookups'!$J$55:$P$64,3)</f>
        <v>0.1</v>
      </c>
      <c r="AC465" s="1103">
        <f>VLOOKUP(V465,'System Lookups'!$J$55:$P$64,4)</f>
        <v>0.2</v>
      </c>
      <c r="AD465" s="1104">
        <f t="shared" si="467"/>
        <v>0</v>
      </c>
      <c r="AE465" s="1094">
        <f>(IF(AD465&gt;VLOOKUP(V465,'System Lookups'!$J$55:$P$63,6),(((AD465-VLOOKUP(V465,'System Lookups'!$J$55:$P$63,6))*100)/20),0))+AF465</f>
        <v>0</v>
      </c>
      <c r="AF465" s="1121"/>
      <c r="AG465" s="1092">
        <f t="shared" si="468"/>
        <v>0</v>
      </c>
      <c r="AH465" s="1092" t="str">
        <f>IF(X465&lt;=Experience!$R$15+1,"","*")</f>
        <v/>
      </c>
      <c r="AI465" s="1092"/>
      <c r="AJ465" s="1080">
        <f t="shared" si="489"/>
        <v>0</v>
      </c>
      <c r="AK465" s="1080">
        <f t="shared" si="496"/>
        <v>0</v>
      </c>
      <c r="AL465" s="1080">
        <f t="shared" si="471"/>
        <v>0</v>
      </c>
      <c r="AM465" s="1092">
        <f t="shared" si="497"/>
        <v>0</v>
      </c>
      <c r="AN465" s="1080">
        <f t="shared" si="498"/>
        <v>1</v>
      </c>
      <c r="AO465" s="1080">
        <f t="shared" si="474"/>
        <v>0</v>
      </c>
      <c r="AP465" s="1080">
        <f t="shared" si="493"/>
        <v>1</v>
      </c>
      <c r="AQ465" s="1027">
        <f>VLOOKUP(V465,'System Lookups'!$J$55:$P$64,7)</f>
        <v>700</v>
      </c>
      <c r="AR465" s="1080" t="str">
        <f ca="1">IF(AND(NOT(ISBLANK(AJ465)),ISNA(MATCH(ROW(),'System Lookups'!$C$526:$C$539,0))),"Y","N")</f>
        <v>Y</v>
      </c>
      <c r="AS465" s="1080">
        <f t="shared" si="475"/>
        <v>0</v>
      </c>
      <c r="AU465" s="1080" t="e">
        <f t="shared" si="479"/>
        <v>#N/A</v>
      </c>
      <c r="AV465" s="1080" t="str">
        <f t="shared" si="476"/>
        <v>T</v>
      </c>
      <c r="AW465" s="1080">
        <f t="shared" si="480"/>
        <v>0</v>
      </c>
      <c r="AX465" s="1080">
        <f t="shared" si="481"/>
        <v>0</v>
      </c>
      <c r="AY465" s="1080">
        <f t="shared" si="482"/>
        <v>0</v>
      </c>
      <c r="AZ465" s="1080">
        <f t="shared" si="483"/>
        <v>0</v>
      </c>
      <c r="BA465" s="1080">
        <f t="shared" si="484"/>
        <v>0</v>
      </c>
      <c r="BB465" s="1080">
        <f>IF(AND(RACE=1,'Main Creation Page'!$E$6="Well",OR(ISNUMBER(FIND(Experience!$G$11,BE465)),ISNUMBER(FIND(Experience!$G$11,BF465)),ISNUMBER(FIND(Experience!$I$11,BE465)),ISNUMBER(FIND(Experience!$I$11,BF465)))),1,0)</f>
        <v>1</v>
      </c>
      <c r="BC465" s="1080" t="str">
        <f t="shared" si="495"/>
        <v>Monster:Saurian (Salamons) (Ancient)</v>
      </c>
      <c r="BD465" s="1080" t="s">
        <v>5694</v>
      </c>
      <c r="BE465" s="1080" t="str">
        <f t="shared" si="477"/>
        <v>Lore</v>
      </c>
      <c r="BF465" s="1080" t="str">
        <f t="shared" si="478"/>
        <v>Language Lore: Written</v>
      </c>
    </row>
    <row r="466" spans="1:58" ht="11.1" customHeight="1" outlineLevel="3">
      <c r="A466" s="1093" t="s">
        <v>4884</v>
      </c>
      <c r="B466" s="1094" t="s">
        <v>1942</v>
      </c>
      <c r="C466" s="1094"/>
      <c r="D466" s="1094"/>
      <c r="E466" s="1095" t="s">
        <v>5224</v>
      </c>
      <c r="F466" s="1095" t="s">
        <v>5224</v>
      </c>
      <c r="G466" s="1096">
        <v>0</v>
      </c>
      <c r="H466" s="1096" t="s">
        <v>5224</v>
      </c>
      <c r="I466" s="1096" t="s">
        <v>5224</v>
      </c>
      <c r="J466" s="1096" t="s">
        <v>5224</v>
      </c>
      <c r="K466" s="1096" t="s">
        <v>5224</v>
      </c>
      <c r="L466" s="1096">
        <v>0</v>
      </c>
      <c r="M466" s="1096" t="s">
        <v>5224</v>
      </c>
      <c r="N466" s="1096" t="s">
        <v>4631</v>
      </c>
      <c r="O466" s="1113"/>
      <c r="P466" s="1113" t="s">
        <v>13</v>
      </c>
      <c r="S466" s="1113" t="s">
        <v>53</v>
      </c>
      <c r="T466" s="1113"/>
      <c r="U466" s="1027">
        <v>3</v>
      </c>
      <c r="V466" s="1027">
        <f>IF((AP466+U466+VLOOKUP('Main Creation Page'!E$14,'System Lookups'!R$45:S$49,2))&gt;10,10,IF((AP466+U466+VLOOKUP('Main Creation Page'!E$14,'System Lookups'!R$45:S$49,2))&lt;1,1,(AP466+U466+VLOOKUP('Main Creation Page'!E$14,'System Lookups'!R$45:S$49,2))))</f>
        <v>4</v>
      </c>
      <c r="W466" s="1098" t="e">
        <f>IF(OR(I466&lt;&gt;"N",E466="C"),IF(AND(N466&lt;&gt;"T",ISNUMBER(FIND("V",I466))),1,0),NA())+IF(H466="Y",IF(AND(N466="P",ISNUMBER(FIND("Z",I466))),2,1),0)+IF(J466="Y",1,0)+IF(K466="Y",3,0)+IF(BE466="Lore",L466*2+Experience!$D$25,0)+IF(M466="Y",1,0)</f>
        <v>#N/A</v>
      </c>
      <c r="X466" s="1099"/>
      <c r="Y466" s="1100">
        <f ca="1">IF(P466="NS",IFERROR(INDIRECT(S466),NA()),VLOOKUP(INDIRECT(P466)+INDIRECT(S466),'System Lookups'!$A$3:$D$146,2))</f>
        <v>0.08</v>
      </c>
      <c r="Z466" s="1100">
        <f t="shared" si="494"/>
        <v>0</v>
      </c>
      <c r="AA466" s="1101">
        <f ca="1">IF(ISNA(Y466),0,Y466)+Z466+IF('Main Creation Page'!AB$2=37,'Main Creation Page'!E$14/100,0)</f>
        <v>0.08</v>
      </c>
      <c r="AB466" s="1102">
        <f>VLOOKUP(V466,'System Lookups'!$J$55:$P$64,3)</f>
        <v>0.2</v>
      </c>
      <c r="AC466" s="1103">
        <f>VLOOKUP(V466,'System Lookups'!$J$55:$P$64,4)</f>
        <v>0.3</v>
      </c>
      <c r="AD466" s="1104">
        <f t="shared" si="467"/>
        <v>0</v>
      </c>
      <c r="AE466" s="1094">
        <f>(IF(AD466&gt;VLOOKUP(V466,'System Lookups'!$J$55:$P$63,6),(((AD466-VLOOKUP(V466,'System Lookups'!$J$55:$P$63,6))*100)/20),0))+AF466</f>
        <v>0</v>
      </c>
      <c r="AF466" s="1121"/>
      <c r="AG466" s="1092">
        <f t="shared" si="468"/>
        <v>0</v>
      </c>
      <c r="AH466" s="1092" t="str">
        <f>IF(X466&lt;=Experience!$R$15+1,"","*")</f>
        <v/>
      </c>
      <c r="AI466" s="1092"/>
      <c r="AJ466" s="1080">
        <f t="shared" si="489"/>
        <v>0</v>
      </c>
      <c r="AK466" s="1080">
        <f t="shared" si="496"/>
        <v>0</v>
      </c>
      <c r="AL466" s="1080">
        <f t="shared" si="471"/>
        <v>0</v>
      </c>
      <c r="AM466" s="1092">
        <f t="shared" si="497"/>
        <v>0</v>
      </c>
      <c r="AN466" s="1080">
        <f t="shared" si="498"/>
        <v>1</v>
      </c>
      <c r="AO466" s="1080">
        <f t="shared" si="474"/>
        <v>0</v>
      </c>
      <c r="AP466" s="1080">
        <f t="shared" si="493"/>
        <v>1</v>
      </c>
      <c r="AQ466" s="1027">
        <f>VLOOKUP(V466,'System Lookups'!$J$55:$P$64,7)</f>
        <v>600</v>
      </c>
      <c r="AR466" s="1080" t="str">
        <f ca="1">IF(AND(NOT(ISBLANK(AJ466)),ISNA(MATCH(ROW(),'System Lookups'!$C$526:$C$539,0))),"Y","N")</f>
        <v>Y</v>
      </c>
      <c r="AS466" s="1080">
        <f t="shared" si="475"/>
        <v>0</v>
      </c>
      <c r="AU466" s="1080" t="e">
        <f t="shared" si="479"/>
        <v>#N/A</v>
      </c>
      <c r="AV466" s="1080" t="str">
        <f t="shared" si="476"/>
        <v>T</v>
      </c>
      <c r="AW466" s="1080">
        <f t="shared" si="480"/>
        <v>0</v>
      </c>
      <c r="AX466" s="1080">
        <f t="shared" si="481"/>
        <v>0</v>
      </c>
      <c r="AY466" s="1080">
        <f t="shared" si="482"/>
        <v>0</v>
      </c>
      <c r="AZ466" s="1080">
        <f t="shared" si="483"/>
        <v>0</v>
      </c>
      <c r="BA466" s="1080">
        <f t="shared" si="484"/>
        <v>0</v>
      </c>
      <c r="BB466" s="1080">
        <f>IF(AND(RACE=1,'Main Creation Page'!$E$6="Well",OR(ISNUMBER(FIND(Experience!$G$11,BE466)),ISNUMBER(FIND(Experience!$G$11,BF466)),ISNUMBER(FIND(Experience!$I$11,BE466)),ISNUMBER(FIND(Experience!$I$11,BF466)))),1,0)</f>
        <v>1</v>
      </c>
      <c r="BC466" s="1080" t="str">
        <f t="shared" si="495"/>
        <v>Monster:Scorpion Men</v>
      </c>
      <c r="BD466" s="1080" t="s">
        <v>5694</v>
      </c>
      <c r="BE466" s="1080" t="str">
        <f t="shared" si="477"/>
        <v>Lore</v>
      </c>
      <c r="BF466" s="1080" t="str">
        <f t="shared" si="478"/>
        <v>Language Lore: Written</v>
      </c>
    </row>
    <row r="467" spans="1:58" ht="11.1" customHeight="1" outlineLevel="3">
      <c r="A467" s="1028" t="s">
        <v>5291</v>
      </c>
      <c r="B467" s="1094" t="s">
        <v>1942</v>
      </c>
      <c r="C467" s="1094"/>
      <c r="D467" s="1094"/>
      <c r="E467" s="1095" t="s">
        <v>5224</v>
      </c>
      <c r="F467" s="1095" t="s">
        <v>5224</v>
      </c>
      <c r="G467" s="1096">
        <v>0</v>
      </c>
      <c r="H467" s="1096" t="s">
        <v>5224</v>
      </c>
      <c r="I467" s="1096" t="s">
        <v>5224</v>
      </c>
      <c r="J467" s="1096" t="s">
        <v>5224</v>
      </c>
      <c r="K467" s="1096" t="s">
        <v>5224</v>
      </c>
      <c r="L467" s="1096">
        <v>0</v>
      </c>
      <c r="M467" s="1096" t="s">
        <v>5224</v>
      </c>
      <c r="N467" s="1096" t="s">
        <v>4631</v>
      </c>
      <c r="O467" s="1113"/>
      <c r="P467" s="1113" t="s">
        <v>13</v>
      </c>
      <c r="S467" s="1113" t="s">
        <v>53</v>
      </c>
      <c r="T467" s="1113"/>
      <c r="U467" s="1027">
        <v>3</v>
      </c>
      <c r="V467" s="1027">
        <f>IF((AP467+U467+VLOOKUP('Main Creation Page'!E$14,'System Lookups'!R$45:S$49,2))&gt;10,10,IF((AP467+U467+VLOOKUP('Main Creation Page'!E$14,'System Lookups'!R$45:S$49,2))&lt;1,1,(AP467+U467+VLOOKUP('Main Creation Page'!E$14,'System Lookups'!R$45:S$49,2))))</f>
        <v>4</v>
      </c>
      <c r="W467" s="1098" t="e">
        <f>IF(OR(I467&lt;&gt;"N",E467="C"),IF(AND(N467&lt;&gt;"T",ISNUMBER(FIND("V",I467))),1,0),NA())+IF(H467="Y",IF(AND(N467="P",ISNUMBER(FIND("Z",I467))),2,1),0)+IF(J467="Y",1,0)+IF(K467="Y",3,0)+IF(BE467="Lore",L467*2+Experience!$D$25,0)+IF(M467="Y",1,0)</f>
        <v>#N/A</v>
      </c>
      <c r="X467" s="1099"/>
      <c r="Y467" s="1100">
        <f ca="1">IF(P467="NS",IFERROR(INDIRECT(S467),NA()),VLOOKUP(INDIRECT(P467)+INDIRECT(S467),'System Lookups'!$A$3:$D$146,2))</f>
        <v>0.08</v>
      </c>
      <c r="Z467" s="1100">
        <f t="shared" si="494"/>
        <v>0</v>
      </c>
      <c r="AA467" s="1101">
        <f ca="1">IF(ISNA(Y467),0,Y467)+Z467+IF('Main Creation Page'!AB$2=37,'Main Creation Page'!E$14/100,0)</f>
        <v>0.08</v>
      </c>
      <c r="AB467" s="1102">
        <f>VLOOKUP(V467,'System Lookups'!$J$55:$P$64,3)</f>
        <v>0.2</v>
      </c>
      <c r="AC467" s="1103">
        <f>VLOOKUP(V467,'System Lookups'!$J$55:$P$64,4)</f>
        <v>0.3</v>
      </c>
      <c r="AD467" s="1104">
        <f t="shared" si="467"/>
        <v>0</v>
      </c>
      <c r="AE467" s="1094">
        <f>(IF(AD467&gt;VLOOKUP(V467,'System Lookups'!$J$55:$P$63,6),(((AD467-VLOOKUP(V467,'System Lookups'!$J$55:$P$63,6))*100)/20),0))+AF467</f>
        <v>0</v>
      </c>
      <c r="AF467" s="1121"/>
      <c r="AG467" s="1092">
        <f t="shared" si="468"/>
        <v>0</v>
      </c>
      <c r="AH467" s="1092" t="str">
        <f>IF(X467&lt;=Experience!$R$15+1,"","*")</f>
        <v/>
      </c>
      <c r="AI467" s="1092"/>
      <c r="AJ467" s="1080">
        <f t="shared" si="489"/>
        <v>0</v>
      </c>
      <c r="AK467" s="1080">
        <f t="shared" si="470"/>
        <v>0</v>
      </c>
      <c r="AL467" s="1080">
        <f t="shared" si="471"/>
        <v>0</v>
      </c>
      <c r="AM467" s="1092">
        <f t="shared" si="472"/>
        <v>0</v>
      </c>
      <c r="AN467" s="1080">
        <f t="shared" si="473"/>
        <v>1</v>
      </c>
      <c r="AO467" s="1080">
        <f t="shared" si="474"/>
        <v>0</v>
      </c>
      <c r="AP467" s="1080">
        <f t="shared" si="493"/>
        <v>1</v>
      </c>
      <c r="AQ467" s="1027">
        <f>VLOOKUP(V467,'System Lookups'!$J$55:$P$64,7)</f>
        <v>600</v>
      </c>
      <c r="AR467" s="1080" t="str">
        <f ca="1">IF(AND(NOT(ISBLANK(AJ467)),ISNA(MATCH(ROW(),'System Lookups'!$C$526:$C$539,0))),"Y","N")</f>
        <v>Y</v>
      </c>
      <c r="AS467" s="1080">
        <f t="shared" si="475"/>
        <v>0</v>
      </c>
      <c r="AU467" s="1080" t="e">
        <f t="shared" si="479"/>
        <v>#N/A</v>
      </c>
      <c r="AV467" s="1080" t="str">
        <f t="shared" si="476"/>
        <v>T</v>
      </c>
      <c r="AW467" s="1080">
        <f t="shared" si="480"/>
        <v>0</v>
      </c>
      <c r="AX467" s="1080">
        <f t="shared" si="481"/>
        <v>0</v>
      </c>
      <c r="AY467" s="1080">
        <f t="shared" si="482"/>
        <v>0</v>
      </c>
      <c r="AZ467" s="1080">
        <f t="shared" si="483"/>
        <v>0</v>
      </c>
      <c r="BA467" s="1080">
        <f t="shared" si="484"/>
        <v>0</v>
      </c>
      <c r="BB467" s="1080">
        <f>IF(AND(RACE=1,'Main Creation Page'!$E$6="Well",OR(ISNUMBER(FIND(Experience!$G$11,BE467)),ISNUMBER(FIND(Experience!$G$11,BF467)),ISNUMBER(FIND(Experience!$I$11,BE467)),ISNUMBER(FIND(Experience!$I$11,BF467)))),1,0)</f>
        <v>1</v>
      </c>
      <c r="BC467" s="1080" t="str">
        <f t="shared" si="495"/>
        <v>Monster:Triton</v>
      </c>
      <c r="BD467" s="1080" t="s">
        <v>5694</v>
      </c>
      <c r="BE467" s="1080" t="str">
        <f t="shared" si="477"/>
        <v>Lore</v>
      </c>
      <c r="BF467" s="1080" t="str">
        <f t="shared" si="478"/>
        <v>Language Lore: Written</v>
      </c>
    </row>
    <row r="468" spans="1:58" ht="11.1" customHeight="1" outlineLevel="3">
      <c r="A468" s="1028" t="s">
        <v>4755</v>
      </c>
      <c r="B468" s="1094" t="s">
        <v>1942</v>
      </c>
      <c r="C468" s="1094"/>
      <c r="D468" s="1094"/>
      <c r="E468" s="1095" t="s">
        <v>5224</v>
      </c>
      <c r="F468" s="1095" t="str">
        <f>IF('Main Creation Page'!$C$3=5, "R", "N")</f>
        <v>N</v>
      </c>
      <c r="G468" s="1096">
        <v>0</v>
      </c>
      <c r="H468" s="1096" t="s">
        <v>5224</v>
      </c>
      <c r="I468" s="1096" t="s">
        <v>5224</v>
      </c>
      <c r="J468" s="1096" t="s">
        <v>5224</v>
      </c>
      <c r="K468" s="1096" t="s">
        <v>5224</v>
      </c>
      <c r="L468" s="1096">
        <v>0</v>
      </c>
      <c r="M468" s="1096" t="s">
        <v>5224</v>
      </c>
      <c r="N468" s="1096" t="s">
        <v>4631</v>
      </c>
      <c r="O468" s="1113"/>
      <c r="P468" s="1113" t="s">
        <v>13</v>
      </c>
      <c r="S468" s="1113" t="s">
        <v>53</v>
      </c>
      <c r="T468" s="1113"/>
      <c r="U468" s="1027">
        <v>5</v>
      </c>
      <c r="V468" s="1027">
        <f>IF((AP468+U468+VLOOKUP('Main Creation Page'!E$14,'System Lookups'!R$45:S$49,2))&gt;10,10,IF((AP468+U468+VLOOKUP('Main Creation Page'!E$14,'System Lookups'!R$45:S$49,2))&lt;1,1,(AP468+U468+VLOOKUP('Main Creation Page'!E$14,'System Lookups'!R$45:S$49,2))))</f>
        <v>6</v>
      </c>
      <c r="W468" s="1098" t="e">
        <f>IF(OR(I468&lt;&gt;"N",E468="C"),IF(AND(N468&lt;&gt;"T",ISNUMBER(FIND("V",I468))),1,0),NA())+IF(H468="Y",IF(AND(N468="P",ISNUMBER(FIND("Z",I468))),2,1),0)+IF(J468="Y",1,0)+IF(K468="Y",3,0)+IF(BE468="Lore",L468*2+Experience!$D$25,0)+IF(M468="Y",1,0)</f>
        <v>#N/A</v>
      </c>
      <c r="X468" s="1099"/>
      <c r="Y468" s="1100">
        <f ca="1">IF(P468="NS",IFERROR(INDIRECT(S468),NA()),VLOOKUP(INDIRECT(P468)+INDIRECT(S468),'System Lookups'!$A$3:$D$146,2))</f>
        <v>0.08</v>
      </c>
      <c r="Z468" s="1100">
        <f t="shared" si="494"/>
        <v>0</v>
      </c>
      <c r="AA468" s="1101">
        <f ca="1">IF(ISNA(Y468),0,Y468)+Z468+IF('Main Creation Page'!AB$2=37,'Main Creation Page'!E$14/100,0)</f>
        <v>0.08</v>
      </c>
      <c r="AB468" s="1102">
        <f>VLOOKUP(V468,'System Lookups'!$J$55:$P$64,3)</f>
        <v>0.05</v>
      </c>
      <c r="AC468" s="1103">
        <f>VLOOKUP(V468,'System Lookups'!$J$55:$P$64,4)</f>
        <v>0.1</v>
      </c>
      <c r="AD468" s="1104">
        <f t="shared" si="467"/>
        <v>0</v>
      </c>
      <c r="AE468" s="1094">
        <f>(IF(AD468&gt;VLOOKUP(V468,'System Lookups'!$J$55:$P$63,6),(((AD468-VLOOKUP(V468,'System Lookups'!$J$55:$P$63,6))*100)/20),0))+AF468</f>
        <v>0</v>
      </c>
      <c r="AF468" s="1121"/>
      <c r="AG468" s="1092">
        <f t="shared" si="468"/>
        <v>0</v>
      </c>
      <c r="AH468" s="1092" t="str">
        <f>IF(X468&lt;=Experience!$R$15+1,"","*")</f>
        <v/>
      </c>
      <c r="AI468" s="1092"/>
      <c r="AJ468" s="1080">
        <f t="shared" si="489"/>
        <v>0</v>
      </c>
      <c r="AK468" s="1080">
        <f t="shared" si="470"/>
        <v>0</v>
      </c>
      <c r="AL468" s="1080">
        <f t="shared" si="471"/>
        <v>0</v>
      </c>
      <c r="AM468" s="1092">
        <f t="shared" si="472"/>
        <v>0</v>
      </c>
      <c r="AN468" s="1080">
        <f t="shared" si="473"/>
        <v>1</v>
      </c>
      <c r="AO468" s="1080">
        <f t="shared" si="474"/>
        <v>0</v>
      </c>
      <c r="AP468" s="1080">
        <f t="shared" si="493"/>
        <v>1</v>
      </c>
      <c r="AQ468" s="1027">
        <f>VLOOKUP(V468,'System Lookups'!$J$55:$P$64,7)</f>
        <v>800</v>
      </c>
      <c r="AR468" s="1080" t="str">
        <f ca="1">IF(AND(NOT(ISBLANK(AJ468)),ISNA(MATCH(ROW(),'System Lookups'!$C$526:$C$539,0))),"Y","N")</f>
        <v>Y</v>
      </c>
      <c r="AS468" s="1080">
        <f t="shared" si="475"/>
        <v>0</v>
      </c>
      <c r="AU468" s="1080" t="e">
        <f t="shared" si="479"/>
        <v>#N/A</v>
      </c>
      <c r="AV468" s="1080" t="str">
        <f t="shared" si="476"/>
        <v>T</v>
      </c>
      <c r="AW468" s="1080">
        <f t="shared" si="480"/>
        <v>0</v>
      </c>
      <c r="AX468" s="1080">
        <f t="shared" si="481"/>
        <v>0</v>
      </c>
      <c r="AY468" s="1080">
        <f t="shared" si="482"/>
        <v>0</v>
      </c>
      <c r="AZ468" s="1080">
        <f t="shared" si="483"/>
        <v>0</v>
      </c>
      <c r="BA468" s="1080">
        <f t="shared" si="484"/>
        <v>0</v>
      </c>
      <c r="BB468" s="1080">
        <f>IF(AND(RACE=1,'Main Creation Page'!$E$6="Well",OR(ISNUMBER(FIND(Experience!$G$11,BE468)),ISNUMBER(FIND(Experience!$G$11,BF468)),ISNUMBER(FIND(Experience!$I$11,BE468)),ISNUMBER(FIND(Experience!$I$11,BF468)))),1,0)</f>
        <v>1</v>
      </c>
      <c r="BC468" s="1080" t="str">
        <f t="shared" si="495"/>
        <v>Monster:Trollish</v>
      </c>
      <c r="BD468" s="1080" t="s">
        <v>5694</v>
      </c>
      <c r="BE468" s="1080" t="str">
        <f t="shared" si="477"/>
        <v>Lore</v>
      </c>
      <c r="BF468" s="1080" t="str">
        <f t="shared" si="478"/>
        <v>Language Lore: Written</v>
      </c>
    </row>
    <row r="469" spans="1:58" ht="11.1" customHeight="1" outlineLevel="2">
      <c r="AF469" s="1079"/>
      <c r="AI469" s="1034"/>
      <c r="AR469" s="1080" t="str">
        <f ca="1">IF(AND(NOT(ISBLANK(AJ469)),ISNA(MATCH(ROW(),'System Lookups'!$C$526:$C$539,0))),"Y","N")</f>
        <v>N</v>
      </c>
      <c r="AU469" s="1080" t="e">
        <f t="shared" si="479"/>
        <v>#N/A</v>
      </c>
      <c r="AV469" s="1080" t="str">
        <f t="shared" si="476"/>
        <v/>
      </c>
      <c r="AW469" s="1080">
        <f t="shared" si="480"/>
        <v>0</v>
      </c>
      <c r="AX469" s="1080">
        <f t="shared" si="481"/>
        <v>0</v>
      </c>
      <c r="AY469" s="1080">
        <f t="shared" si="482"/>
        <v>0</v>
      </c>
      <c r="AZ469" s="1080">
        <f t="shared" si="483"/>
        <v>0</v>
      </c>
      <c r="BA469" s="1080">
        <f t="shared" si="484"/>
        <v>0</v>
      </c>
      <c r="BB469" s="1080">
        <f>IF(AND(RACE=1,'Main Creation Page'!$E$6="Well",OR(ISNUMBER(FIND(Experience!$G$11,BE469)),ISNUMBER(FIND(Experience!$G$11,BF469)),ISNUMBER(FIND(Experience!$I$11,BE469)),ISNUMBER(FIND(Experience!$I$11,BF469)))),1,0)</f>
        <v>1</v>
      </c>
      <c r="BC469" s="1080" t="e">
        <f t="shared" si="495"/>
        <v>#N/A</v>
      </c>
      <c r="BE469" s="1080" t="str">
        <f t="shared" si="477"/>
        <v>Lore</v>
      </c>
      <c r="BF469" s="1080" t="str">
        <f t="shared" si="478"/>
        <v>Language Lore: Written</v>
      </c>
    </row>
    <row r="470" spans="1:58" ht="11.1" customHeight="1" outlineLevel="2">
      <c r="A470" s="1028" t="s">
        <v>5026</v>
      </c>
      <c r="B470" s="1094" t="s">
        <v>1942</v>
      </c>
      <c r="C470" s="1094"/>
      <c r="D470" s="1094"/>
      <c r="E470" s="1095" t="s">
        <v>5224</v>
      </c>
      <c r="F470" s="1095" t="s">
        <v>5224</v>
      </c>
      <c r="G470" s="1096">
        <v>0</v>
      </c>
      <c r="H470" s="1096" t="s">
        <v>5224</v>
      </c>
      <c r="I470" s="1096" t="s">
        <v>5224</v>
      </c>
      <c r="J470" s="1096" t="s">
        <v>5224</v>
      </c>
      <c r="K470" s="1096" t="s">
        <v>5224</v>
      </c>
      <c r="L470" s="1096">
        <v>0</v>
      </c>
      <c r="M470" s="1096" t="s">
        <v>5224</v>
      </c>
      <c r="N470" s="1096" t="s">
        <v>4631</v>
      </c>
      <c r="O470" s="1027"/>
      <c r="P470" s="1027" t="s">
        <v>780</v>
      </c>
      <c r="Q470" s="1097">
        <f ca="1">INDIRECT(P470)</f>
        <v>17</v>
      </c>
      <c r="R470" s="1027"/>
      <c r="S470" s="1028" t="s">
        <v>3611</v>
      </c>
      <c r="T470" s="1097">
        <f ca="1">INDIRECT(S470)</f>
        <v>15</v>
      </c>
      <c r="U470" s="1027">
        <v>4</v>
      </c>
      <c r="V470" s="1027">
        <f>IF((AP470+U470+VLOOKUP('Main Creation Page'!E$14,'System Lookups'!R$45:S$49,2))&gt;10,10,IF((AP470+U470+VLOOKUP('Main Creation Page'!E$14,'System Lookups'!R$45:S$49,2))&lt;1,1,(AP470+U470+VLOOKUP('Main Creation Page'!E$14,'System Lookups'!R$45:S$49,2))))</f>
        <v>5</v>
      </c>
      <c r="W470" s="1098" t="e">
        <f>IF(OR(I470&lt;&gt;"N",E470="C"),IF(AND(N470&lt;&gt;"T",ISNUMBER(FIND("V",I470))),1,0),NA())+IF(H470="Y",IF(AND(N470="P",ISNUMBER(FIND("Z",I470))),2,1),0)+IF(J470="Y",1,0)+IF(K470="Y",3,0)+IF(BE470="Lore",L470*2+Experience!$D$25,0)+IF(M470="Y",1,0)</f>
        <v>#N/A</v>
      </c>
      <c r="X470" s="1099"/>
      <c r="Y470" s="1100">
        <f ca="1">IF(P470="NS",IFERROR(INDIRECT(S470),NA()),VLOOKUP(INDIRECT(P470)+INDIRECT(S470),'System Lookups'!$A$3:$D$146,2))</f>
        <v>0.08</v>
      </c>
      <c r="Z470" s="1100">
        <f>IF(ISNA(W470),0,W470*0.05)+IF(X470&gt;0,X470*0.05,0)+IF(AND(ISNA(W470),X470&lt;=0),0,IF(G470&gt;0,G470*0.05,0))</f>
        <v>0</v>
      </c>
      <c r="AA470" s="1101">
        <f ca="1">IF(ISNA(Y470),0,Y470)+Z470+IF('Main Creation Page'!AB$2=37,'Main Creation Page'!E$14/100,0)</f>
        <v>0.08</v>
      </c>
      <c r="AB470" s="1102">
        <f>VLOOKUP(V470,'System Lookups'!$J$55:$P$64,3)</f>
        <v>0.1</v>
      </c>
      <c r="AC470" s="1103">
        <f>VLOOKUP(V470,'System Lookups'!$J$55:$P$64,4)</f>
        <v>0.2</v>
      </c>
      <c r="AD470" s="1104">
        <f>IF(AND(ISBLANK(X470),ISNA(W470)),IF(B470="~",0,AB470+AA470+IF(BB470&gt;0,0.05,0)),AA470+AC470+IF(BB470&gt;0,0.05,0))</f>
        <v>0</v>
      </c>
      <c r="AE470" s="1094">
        <f>(IF(AD470&gt;VLOOKUP(V470,'System Lookups'!$J$55:$P$63,6),(((AD470-VLOOKUP(V470,'System Lookups'!$J$55:$P$63,6))*100)/20),0))+AF470</f>
        <v>0</v>
      </c>
      <c r="AF470" s="1121"/>
      <c r="AG470" s="1092">
        <f>IF(ISBLANK(X470),0,AQ470*X470+IF(ISNA(W470),1,0))</f>
        <v>0</v>
      </c>
      <c r="AH470" s="1092" t="str">
        <f>IF(X470&lt;=Experience!$R$15+1,"","*")</f>
        <v/>
      </c>
      <c r="AI470" s="1092"/>
      <c r="AJ470" s="1080">
        <f>IF(ISNUMBER(FIND("R",F470)),-1,0)</f>
        <v>0</v>
      </c>
      <c r="AK470" s="1080">
        <f>IF(F470="s",-2,0)</f>
        <v>0</v>
      </c>
      <c r="AL470" s="1080">
        <f>IF(AND(H470="Y",OR(N470="P",N470="S")),-1,0)</f>
        <v>0</v>
      </c>
      <c r="AM470" s="1092">
        <f>IF(J470="y",1,0)</f>
        <v>0</v>
      </c>
      <c r="AN470" s="1080">
        <f>IF(N470="P",-1,IF(N470="T",1,0))</f>
        <v>1</v>
      </c>
      <c r="AO470" s="1080">
        <f>IF(ISNUMBER(FIND("Z",I470)),1,0)</f>
        <v>0</v>
      </c>
      <c r="AP470" s="1080">
        <f>SUM(AJ470:AN470)-AM470</f>
        <v>1</v>
      </c>
      <c r="AQ470" s="1027">
        <f>VLOOKUP(V470,'System Lookups'!$J$55:$P$64,7)</f>
        <v>700</v>
      </c>
      <c r="AR470" s="1080" t="str">
        <f ca="1">IF(AND(NOT(ISBLANK(AJ470)),ISNA(MATCH(ROW(),'System Lookups'!$C$526:$C$539,0))),"Y","N")</f>
        <v>Y</v>
      </c>
      <c r="AS470" s="1080">
        <f>AG470-AI470</f>
        <v>0</v>
      </c>
      <c r="AU470" s="1080" t="e">
        <f t="shared" si="479"/>
        <v>#N/A</v>
      </c>
      <c r="AV470" s="1080" t="str">
        <f t="shared" si="476"/>
        <v>T</v>
      </c>
      <c r="AW470" s="1080">
        <f t="shared" si="480"/>
        <v>0</v>
      </c>
      <c r="AX470" s="1080">
        <f t="shared" si="481"/>
        <v>0</v>
      </c>
      <c r="AY470" s="1080">
        <f t="shared" si="482"/>
        <v>0</v>
      </c>
      <c r="AZ470" s="1080">
        <f t="shared" si="483"/>
        <v>0</v>
      </c>
      <c r="BA470" s="1080">
        <f t="shared" si="484"/>
        <v>0</v>
      </c>
      <c r="BB470" s="1080">
        <f>IF(AND(RACE=1,'Main Creation Page'!$E$6="Well",OR(ISNUMBER(FIND(Experience!$G$11,BE470)),ISNUMBER(FIND(Experience!$G$11,BF470)),ISNUMBER(FIND(Experience!$I$11,BE470)),ISNUMBER(FIND(Experience!$I$11,BF470)))),1,0)</f>
        <v>1</v>
      </c>
      <c r="BC470" s="1080" t="str">
        <f t="shared" si="495"/>
        <v>Music (Read/Write)</v>
      </c>
      <c r="BE470" s="1080" t="str">
        <f t="shared" si="477"/>
        <v>Lore</v>
      </c>
      <c r="BF470" s="1080" t="str">
        <f t="shared" si="478"/>
        <v>Language Lore: Written</v>
      </c>
    </row>
    <row r="471" spans="1:58" ht="11.1" customHeight="1" outlineLevel="1">
      <c r="AF471" s="1079"/>
      <c r="AI471" s="1034"/>
      <c r="AR471" s="1080" t="str">
        <f ca="1">IF(AND(NOT(ISBLANK(AJ471)),ISNA(MATCH(ROW(),'System Lookups'!$C$526:$C$539,0))),"Y","N")</f>
        <v>N</v>
      </c>
      <c r="AU471" s="1080" t="e">
        <f t="shared" si="479"/>
        <v>#N/A</v>
      </c>
      <c r="AV471" s="1080" t="str">
        <f t="shared" si="476"/>
        <v/>
      </c>
      <c r="AW471" s="1080">
        <f t="shared" si="480"/>
        <v>0</v>
      </c>
      <c r="AX471" s="1080">
        <f t="shared" si="481"/>
        <v>0</v>
      </c>
      <c r="AY471" s="1080">
        <f t="shared" si="482"/>
        <v>0</v>
      </c>
      <c r="AZ471" s="1080">
        <f t="shared" si="483"/>
        <v>0</v>
      </c>
      <c r="BA471" s="1080">
        <f t="shared" si="484"/>
        <v>0</v>
      </c>
      <c r="BB471" s="1080">
        <f>IF(AND(RACE=1,'Main Creation Page'!$E$6="Well",OR(ISNUMBER(FIND(Experience!$G$11,BE471)),ISNUMBER(FIND(Experience!$G$11,BF471)),ISNUMBER(FIND(Experience!$I$11,BE471)),ISNUMBER(FIND(Experience!$I$11,BF471)))),1,0)</f>
        <v>1</v>
      </c>
      <c r="BC471" s="1080" t="e">
        <f t="shared" si="495"/>
        <v>#N/A</v>
      </c>
      <c r="BE471" s="1080" t="str">
        <f t="shared" si="477"/>
        <v>Lore</v>
      </c>
      <c r="BF471" s="1080" t="str">
        <f t="shared" si="478"/>
        <v>Language Lore: Written</v>
      </c>
    </row>
    <row r="472" spans="1:58" ht="11.1" customHeight="1">
      <c r="A472" s="1142" t="s">
        <v>54</v>
      </c>
      <c r="B472" s="1111"/>
      <c r="C472" s="1111"/>
      <c r="D472" s="1111"/>
      <c r="V472" s="1027"/>
      <c r="W472" s="1112"/>
      <c r="AE472" s="1094"/>
      <c r="AF472" s="1121"/>
      <c r="AG472" s="1092">
        <f>SUM(AG475:AG552)</f>
        <v>0</v>
      </c>
      <c r="AH472" s="1092"/>
      <c r="AI472" s="1092">
        <f>SUM(AI475:AI552)</f>
        <v>0</v>
      </c>
      <c r="AM472" s="1092"/>
      <c r="AQ472" s="1027"/>
      <c r="AR472" s="1080" t="str">
        <f ca="1">IF(AND(NOT(ISBLANK(AJ472)),ISNA(MATCH(ROW(),'System Lookups'!$C$526:$C$539,0))),"Y","N")</f>
        <v>N</v>
      </c>
      <c r="AU472" s="1080" t="e">
        <f t="shared" si="479"/>
        <v>#N/A</v>
      </c>
      <c r="AV472" s="1080" t="str">
        <f t="shared" si="476"/>
        <v/>
      </c>
      <c r="AW472" s="1080">
        <f t="shared" si="480"/>
        <v>0</v>
      </c>
      <c r="AX472" s="1080">
        <f t="shared" si="481"/>
        <v>0</v>
      </c>
      <c r="AY472" s="1080">
        <f t="shared" si="482"/>
        <v>0</v>
      </c>
      <c r="AZ472" s="1080">
        <f t="shared" si="483"/>
        <v>0</v>
      </c>
      <c r="BA472" s="1080">
        <f t="shared" si="484"/>
        <v>0</v>
      </c>
      <c r="BB472" s="1080">
        <f>IF(AND(RACE=1,'Main Creation Page'!$E$6="Well",OR(ISNUMBER(FIND(Experience!$G$11,BE472)),ISNUMBER(FIND(Experience!$G$11,BF472)),ISNUMBER(FIND(Experience!$I$11,BE472)),ISNUMBER(FIND(Experience!$I$11,BF472)))),1,0)</f>
        <v>1</v>
      </c>
      <c r="BC472" s="1080" t="str">
        <f t="shared" si="495"/>
        <v>Lore Historical Skills</v>
      </c>
      <c r="BE472" s="1080" t="str">
        <f t="shared" si="477"/>
        <v>Lore</v>
      </c>
      <c r="BF472" s="1080" t="str">
        <f t="shared" si="478"/>
        <v>Lore Historical Skills</v>
      </c>
    </row>
    <row r="473" spans="1:58" ht="11.1" customHeight="1" outlineLevel="1">
      <c r="A473" s="1123" t="s">
        <v>3506</v>
      </c>
      <c r="B473" s="1094"/>
      <c r="C473" s="1094"/>
      <c r="D473" s="1094"/>
      <c r="E473" s="1095" t="s">
        <v>5224</v>
      </c>
      <c r="F473" s="1095" t="s">
        <v>5224</v>
      </c>
      <c r="G473" s="1096">
        <v>0</v>
      </c>
      <c r="H473" s="1096" t="s">
        <v>5224</v>
      </c>
      <c r="I473" s="1096" t="s">
        <v>5224</v>
      </c>
      <c r="J473" s="1096" t="s">
        <v>5224</v>
      </c>
      <c r="K473" s="1096" t="s">
        <v>5224</v>
      </c>
      <c r="L473" s="1096">
        <v>0</v>
      </c>
      <c r="M473" s="1096" t="s">
        <v>5224</v>
      </c>
      <c r="N473" s="1096" t="s">
        <v>4631</v>
      </c>
      <c r="O473" s="1028"/>
      <c r="P473" s="1028" t="s">
        <v>780</v>
      </c>
      <c r="Q473" s="1097">
        <f ca="1">INDIRECT(P473)</f>
        <v>17</v>
      </c>
      <c r="R473" s="1034"/>
      <c r="S473" s="1028" t="s">
        <v>780</v>
      </c>
      <c r="T473" s="1097">
        <f ca="1">INDIRECT(S473)</f>
        <v>17</v>
      </c>
      <c r="U473" s="1027">
        <v>3</v>
      </c>
      <c r="V473" s="1027">
        <f>IF(AP473+U473&gt;10,10,IF(AP473+U473&lt;1,1,AP473+U473))</f>
        <v>4</v>
      </c>
      <c r="W473" s="1098" t="e">
        <f>IF(OR(I473&lt;&gt;"N",E473="C"),IF(AND(N473&lt;&gt;"T",ISNUMBER(FIND("V",I473))),1,0),NA())+IF(H473="Y",IF(AND(N473="P",ISNUMBER(FIND("Z",I473))),2,1),0)+IF(J473="Y",1,0)+IF(K473="Y",3,0)+IF(BE473="Lore",L473*2+Experience!$D$25,0)+IF(M473="Y",1,0)</f>
        <v>#N/A</v>
      </c>
      <c r="X473" s="1099"/>
      <c r="Y473" s="1100">
        <f ca="1">IF(P473="NS",IFERROR(INDIRECT(S473),NA()),VLOOKUP(INDIRECT(P473)+INDIRECT(S473),'System Lookups'!$A$3:$D$146,2))</f>
        <v>0.1</v>
      </c>
      <c r="Z473" s="1100">
        <f>IF(ISNA(W473),0,W473*0.03)+IF(X473&gt;0,X473*0.03,0)+IF(AND(ISNA(W473),X473&lt;=0),0,IF(G473&gt;0,G473*0.07,0))</f>
        <v>0</v>
      </c>
      <c r="AA473" s="1101">
        <f ca="1">IF(ISNA(Y473),0,Y473)+Z473+IF('Main Creation Page'!AB$2=37,'Main Creation Page'!E$14/100,0)</f>
        <v>0.1</v>
      </c>
      <c r="AB473" s="1102">
        <f>VLOOKUP(V473,'System Lookups'!$J$55:$P$64,3)</f>
        <v>0.2</v>
      </c>
      <c r="AC473" s="1103">
        <f>VLOOKUP(V473,'System Lookups'!$J$55:$P$64,4)</f>
        <v>0.3</v>
      </c>
      <c r="AD473" s="1104">
        <f ca="1">IF(AND(ISBLANK(X473),ISNA(W473)),IF(B473="~",0,AB473+AA473+IF(BB473&gt;0,0.05,0)),AA473+AC473+IF(BB473&gt;0,0.05,0))</f>
        <v>0.35000000000000003</v>
      </c>
      <c r="AE473" s="1094">
        <f ca="1">(IF(AD473&gt;VLOOKUP(V473,'System Lookups'!$J$55:$P$63,6),(((AD473-VLOOKUP(V473,'System Lookups'!$J$55:$P$63,6))*100)/20),0))+AF473</f>
        <v>0</v>
      </c>
      <c r="AF473" s="1121"/>
      <c r="AG473" s="1092">
        <f>IF(ISBLANK(X473),0,AQ473*X473+IF(ISNA(W473),1,0))</f>
        <v>0</v>
      </c>
      <c r="AH473" s="1092" t="str">
        <f>IF(X473&lt;=Experience!$R$15+1,"","*")</f>
        <v/>
      </c>
      <c r="AI473" s="1092"/>
      <c r="AJ473" s="1080">
        <f>IF(ISNUMBER(FIND("R",F473)),-1,0)</f>
        <v>0</v>
      </c>
      <c r="AK473" s="1080">
        <f>IF(F473="s",-2,0)</f>
        <v>0</v>
      </c>
      <c r="AL473" s="1080">
        <f>IF(AND(H473="Y",OR(N473="P",N473="S")),-1,0)</f>
        <v>0</v>
      </c>
      <c r="AM473" s="1092">
        <f>IF(J473="y",1,0)</f>
        <v>0</v>
      </c>
      <c r="AN473" s="1080">
        <f>IF(N473="P",-1,IF(N473="T",1,0))</f>
        <v>1</v>
      </c>
      <c r="AO473" s="1080">
        <f>IF(ISNUMBER(FIND("Z",I473)),1,0)</f>
        <v>0</v>
      </c>
      <c r="AP473" s="1080">
        <f>SUM(AJ473:AN473)-AM473</f>
        <v>1</v>
      </c>
      <c r="AQ473" s="1027">
        <f>VLOOKUP(V473,'System Lookups'!$J$55:$P$64,7)</f>
        <v>600</v>
      </c>
      <c r="AR473" s="1080" t="str">
        <f ca="1">IF(AND(NOT(ISBLANK(AJ473)),ISNA(MATCH(ROW(),'System Lookups'!$C$526:$C$539,0))),"Y","N")</f>
        <v>Y</v>
      </c>
      <c r="AS473" s="1080">
        <f>AG473-AI473</f>
        <v>0</v>
      </c>
      <c r="AU473" s="1080" t="e">
        <f t="shared" si="479"/>
        <v>#N/A</v>
      </c>
      <c r="AV473" s="1080" t="str">
        <f t="shared" si="476"/>
        <v>T</v>
      </c>
      <c r="AW473" s="1080">
        <f t="shared" si="480"/>
        <v>0</v>
      </c>
      <c r="AX473" s="1080">
        <f t="shared" si="481"/>
        <v>0</v>
      </c>
      <c r="AY473" s="1080">
        <f t="shared" si="482"/>
        <v>0</v>
      </c>
      <c r="AZ473" s="1080">
        <f t="shared" si="483"/>
        <v>0</v>
      </c>
      <c r="BA473" s="1080">
        <f t="shared" si="484"/>
        <v>0</v>
      </c>
      <c r="BB473" s="1080">
        <f>IF(AND(RACE=1,'Main Creation Page'!$E$6="Well",OR(ISNUMBER(FIND(Experience!$G$11,BE473)),ISNUMBER(FIND(Experience!$G$11,BF473)),ISNUMBER(FIND(Experience!$I$11,BE473)),ISNUMBER(FIND(Experience!$I$11,BF473)))),1,0)</f>
        <v>1</v>
      </c>
      <c r="BC473" s="1080" t="str">
        <f t="shared" si="495"/>
        <v>Genealogical Lore</v>
      </c>
      <c r="BE473" s="1080" t="str">
        <f t="shared" si="477"/>
        <v>Lore</v>
      </c>
      <c r="BF473" s="1080" t="str">
        <f t="shared" si="478"/>
        <v>Lore Historical Skills</v>
      </c>
    </row>
    <row r="474" spans="1:58" ht="11.1" customHeight="1" outlineLevel="1">
      <c r="A474" s="1115" t="s">
        <v>2200</v>
      </c>
      <c r="B474" s="1111"/>
      <c r="C474" s="1111"/>
      <c r="D474" s="1111"/>
      <c r="R474" s="1034"/>
      <c r="V474" s="1027"/>
      <c r="W474" s="1112"/>
      <c r="AE474" s="1034"/>
      <c r="AF474" s="1132"/>
      <c r="AG474" s="1092"/>
      <c r="AH474" s="1092"/>
      <c r="AI474" s="1092"/>
      <c r="AM474" s="1092"/>
      <c r="AR474" s="1080" t="str">
        <f ca="1">IF(AND(NOT(ISBLANK(AJ474)),ISNA(MATCH(ROW(),'System Lookups'!$C$526:$C$539,0))),"Y","N")</f>
        <v>N</v>
      </c>
      <c r="AU474" s="1080" t="e">
        <f t="shared" si="479"/>
        <v>#N/A</v>
      </c>
      <c r="AV474" s="1080" t="str">
        <f t="shared" si="476"/>
        <v/>
      </c>
      <c r="AW474" s="1080">
        <f t="shared" si="480"/>
        <v>0</v>
      </c>
      <c r="AX474" s="1080">
        <f t="shared" si="481"/>
        <v>0</v>
      </c>
      <c r="AY474" s="1080">
        <f t="shared" si="482"/>
        <v>0</v>
      </c>
      <c r="AZ474" s="1080">
        <f t="shared" si="483"/>
        <v>0</v>
      </c>
      <c r="BA474" s="1080">
        <f t="shared" si="484"/>
        <v>0</v>
      </c>
      <c r="BB474" s="1080">
        <f>IF(AND(RACE=1,'Main Creation Page'!$E$6="Well",OR(ISNUMBER(FIND(Experience!$G$11,BE474)),ISNUMBER(FIND(Experience!$G$11,BF474)),ISNUMBER(FIND(Experience!$I$11,BE474)),ISNUMBER(FIND(Experience!$I$11,BF474)))),1,0)</f>
        <v>1</v>
      </c>
      <c r="BC474" s="1080" t="e">
        <f t="shared" si="495"/>
        <v>#N/A</v>
      </c>
      <c r="BD474" s="1080" t="s">
        <v>5695</v>
      </c>
      <c r="BE474" s="1080" t="str">
        <f t="shared" si="477"/>
        <v>Lore</v>
      </c>
      <c r="BF474" s="1080" t="str">
        <f t="shared" si="478"/>
        <v>Lore Historical Skills</v>
      </c>
    </row>
    <row r="475" spans="1:58" ht="11.1" customHeight="1" outlineLevel="2">
      <c r="A475" s="1139" t="s">
        <v>765</v>
      </c>
      <c r="B475" s="1094"/>
      <c r="C475" s="1094"/>
      <c r="D475" s="1094"/>
      <c r="E475" s="1095" t="s">
        <v>178</v>
      </c>
      <c r="F475" s="1095" t="s">
        <v>5224</v>
      </c>
      <c r="G475" s="1096">
        <v>0</v>
      </c>
      <c r="H475" s="1096" t="s">
        <v>5224</v>
      </c>
      <c r="I475" s="1096" t="s">
        <v>5224</v>
      </c>
      <c r="J475" s="1096" t="s">
        <v>5224</v>
      </c>
      <c r="K475" s="1096" t="s">
        <v>5224</v>
      </c>
      <c r="L475" s="1096">
        <v>0</v>
      </c>
      <c r="M475" s="1096" t="s">
        <v>5224</v>
      </c>
      <c r="N475" s="1096" t="s">
        <v>4630</v>
      </c>
      <c r="O475" s="1028"/>
      <c r="P475" s="1028" t="s">
        <v>780</v>
      </c>
      <c r="Q475" s="1097">
        <f t="shared" ref="Q475:Q477" ca="1" si="499">INDIRECT(P475)</f>
        <v>17</v>
      </c>
      <c r="R475" s="1034"/>
      <c r="S475" s="1028" t="s">
        <v>780</v>
      </c>
      <c r="T475" s="1097">
        <f t="shared" ref="T475:T477" ca="1" si="500">INDIRECT(S475)</f>
        <v>17</v>
      </c>
      <c r="U475" s="1027">
        <v>1</v>
      </c>
      <c r="V475" s="1027">
        <f>IF(AP475+U475&gt;10,10,IF(AP475+U475&lt;1,1,AP475+U475))</f>
        <v>1</v>
      </c>
      <c r="W475" s="1098">
        <f>IF(OR(I475&lt;&gt;"N",E475="C"),IF(AND(N475&lt;&gt;"T",ISNUMBER(FIND("V",I475))),1,0),NA())+IF(H475="Y",IF(AND(N475="P",ISNUMBER(FIND("Z",I475))),2,1),0)+IF(J475="Y",1,0)+IF(K475="Y",3,0)+IF(BE475="Lore",L475*2+Experience!$D$25,0)+IF(M475="Y",1,0)</f>
        <v>4</v>
      </c>
      <c r="X475" s="1099"/>
      <c r="Y475" s="1100">
        <f ca="1">IF(P475="NS",IFERROR(INDIRECT(S475),NA()),VLOOKUP(INDIRECT(P475)+INDIRECT(S475),'System Lookups'!$A$3:$D$146,2))</f>
        <v>0.1</v>
      </c>
      <c r="Z475" s="1100">
        <f>IF(ISNA(W475),0,W475*0.03)+IF(X475&gt;0,X475*0.03,0)+IF(AND(ISNA(W475),X475&lt;=0),0,IF(G475&gt;0,G475*0.07,0))</f>
        <v>0.12</v>
      </c>
      <c r="AA475" s="1101">
        <f ca="1">IF(ISNA(Y475),0,Y475)+Z475+IF('Main Creation Page'!AB$2=37,'Main Creation Page'!E$14/100,0)</f>
        <v>0.22</v>
      </c>
      <c r="AB475" s="1102">
        <f>VLOOKUP(V475,'System Lookups'!$J$55:$P$64,3)</f>
        <v>0.5</v>
      </c>
      <c r="AC475" s="1103">
        <f>VLOOKUP(V475,'System Lookups'!$J$55:$P$64,4)</f>
        <v>0.6</v>
      </c>
      <c r="AD475" s="1104">
        <f ca="1">IF(AND(ISBLANK(X475),ISNA(W475)),IF(B475="~",0,AB475+AA475+IF(BB475&gt;0,0.05,0)),AA475+AC475+IF(BB475&gt;0,0.05,0))</f>
        <v>0.87</v>
      </c>
      <c r="AE475" s="1094">
        <f ca="1">(IF(AD475&gt;VLOOKUP(V475,'System Lookups'!$J$55:$P$63,6),(((AD475-VLOOKUP(V475,'System Lookups'!$J$55:$P$63,6))*100)/20),0))+AF475</f>
        <v>0</v>
      </c>
      <c r="AF475" s="1121"/>
      <c r="AG475" s="1092">
        <f>IF(ISBLANK(X475),0,AQ475*X475+IF(ISNA(W475),1,0))</f>
        <v>0</v>
      </c>
      <c r="AH475" s="1092" t="str">
        <f>IF(X475&lt;=Experience!$R$15+1,"","*")</f>
        <v/>
      </c>
      <c r="AI475" s="1092"/>
      <c r="AJ475" s="1080">
        <f t="shared" ref="AJ475:AJ477" si="501">IF(ISNUMBER(FIND("R",F475)),-1,0)</f>
        <v>0</v>
      </c>
      <c r="AK475" s="1080">
        <f>IF(F475="s",-2,0)</f>
        <v>0</v>
      </c>
      <c r="AL475" s="1080">
        <f t="shared" ref="AL475:AL477" si="502">IF(AND(H475="Y",OR(N475="P",N475="S")),-1,0)</f>
        <v>0</v>
      </c>
      <c r="AM475" s="1092">
        <f>IF(J475="y",1,0)</f>
        <v>0</v>
      </c>
      <c r="AN475" s="1080">
        <f>IF(N475="P",-1,IF(N475="T",1,0))</f>
        <v>0</v>
      </c>
      <c r="AO475" s="1080">
        <f t="shared" ref="AO475:AO477" si="503">IF(ISNUMBER(FIND("Z",I475)),1,0)</f>
        <v>0</v>
      </c>
      <c r="AP475" s="1080">
        <f>SUM(AJ475:AN475)-AM475</f>
        <v>0</v>
      </c>
      <c r="AQ475" s="1027">
        <f>VLOOKUP(V475,'System Lookups'!$J$55:$P$64,7)</f>
        <v>300</v>
      </c>
      <c r="AR475" s="1080" t="str">
        <f ca="1">IF(AND(NOT(ISBLANK(AJ475)),ISNA(MATCH(ROW(),'System Lookups'!$C$526:$C$539,0))),"Y","N")</f>
        <v>N</v>
      </c>
      <c r="AS475" s="1080">
        <f>AG475-AI475</f>
        <v>0</v>
      </c>
      <c r="AU475" s="1080">
        <f t="shared" si="479"/>
        <v>4</v>
      </c>
      <c r="AV475" s="1080" t="str">
        <f t="shared" si="476"/>
        <v>CS</v>
      </c>
      <c r="AW475" s="1080">
        <f t="shared" si="480"/>
        <v>0</v>
      </c>
      <c r="AX475" s="1080">
        <f t="shared" si="481"/>
        <v>0</v>
      </c>
      <c r="AY475" s="1080">
        <f t="shared" si="482"/>
        <v>0</v>
      </c>
      <c r="AZ475" s="1080">
        <f t="shared" si="483"/>
        <v>0</v>
      </c>
      <c r="BA475" s="1080">
        <f t="shared" si="484"/>
        <v>0</v>
      </c>
      <c r="BB475" s="1080">
        <f>IF(AND(RACE=1,'Main Creation Page'!$E$6="Well",OR(ISNUMBER(FIND(Experience!$G$11,BE475)),ISNUMBER(FIND(Experience!$G$11,BF475)),ISNUMBER(FIND(Experience!$I$11,BE475)),ISNUMBER(FIND(Experience!$I$11,BF475)))),1,0)</f>
        <v>1</v>
      </c>
      <c r="BC475" s="1080" t="str">
        <f t="shared" si="495"/>
        <v>Geographical Lore: LOCAL</v>
      </c>
      <c r="BD475" s="1080" t="s">
        <v>5696</v>
      </c>
      <c r="BE475" s="1080" t="str">
        <f t="shared" si="477"/>
        <v>Lore</v>
      </c>
      <c r="BF475" s="1080" t="str">
        <f t="shared" si="478"/>
        <v>Lore Historical Skills</v>
      </c>
    </row>
    <row r="476" spans="1:58" ht="11.1" customHeight="1" outlineLevel="2">
      <c r="A476" s="1028" t="s">
        <v>766</v>
      </c>
      <c r="B476" s="1094"/>
      <c r="C476" s="1094"/>
      <c r="D476" s="1094"/>
      <c r="E476" s="1095" t="s">
        <v>5224</v>
      </c>
      <c r="F476" s="1095" t="s">
        <v>5224</v>
      </c>
      <c r="G476" s="1096">
        <v>0</v>
      </c>
      <c r="H476" s="1096" t="s">
        <v>5224</v>
      </c>
      <c r="I476" s="1096" t="s">
        <v>5224</v>
      </c>
      <c r="J476" s="1096" t="s">
        <v>5224</v>
      </c>
      <c r="K476" s="1096" t="s">
        <v>5224</v>
      </c>
      <c r="L476" s="1096">
        <v>0</v>
      </c>
      <c r="M476" s="1096" t="s">
        <v>5224</v>
      </c>
      <c r="N476" s="1096" t="s">
        <v>4631</v>
      </c>
      <c r="O476" s="1028"/>
      <c r="P476" s="1028" t="s">
        <v>780</v>
      </c>
      <c r="Q476" s="1097">
        <f t="shared" ca="1" si="499"/>
        <v>17</v>
      </c>
      <c r="R476" s="1034"/>
      <c r="S476" s="1028" t="s">
        <v>780</v>
      </c>
      <c r="T476" s="1097">
        <f t="shared" ca="1" si="500"/>
        <v>17</v>
      </c>
      <c r="U476" s="1027">
        <v>2</v>
      </c>
      <c r="V476" s="1027">
        <f>IF(AP476+U476&gt;10,10,IF(AP476+U476&lt;1,1,AP476+U476))</f>
        <v>3</v>
      </c>
      <c r="W476" s="1098" t="e">
        <f>IF(OR(I476&lt;&gt;"N",E476="C"),IF(AND(N476&lt;&gt;"T",ISNUMBER(FIND("V",I476))),1,0),NA())+IF(H476="Y",IF(AND(N476="P",ISNUMBER(FIND("Z",I476))),2,1),0)+IF(J476="Y",1,0)+IF(K476="Y",3,0)+IF(BE476="Lore",L476*2+Experience!$D$25,0)+IF(M476="Y",1,0)</f>
        <v>#N/A</v>
      </c>
      <c r="X476" s="1099"/>
      <c r="Y476" s="1100">
        <f ca="1">IF(P476="NS",IFERROR(INDIRECT(S476),NA()),VLOOKUP(INDIRECT(P476)+INDIRECT(S476),'System Lookups'!$A$3:$D$146,2))</f>
        <v>0.1</v>
      </c>
      <c r="Z476" s="1100">
        <f>IF(ISNA(W476),0,W476*0.03)+IF(X476&gt;0,X476*0.03,0)+IF(AND(ISNA(W476),X476&lt;=0),0,IF(G476&gt;0,G476*0.07,0))</f>
        <v>0</v>
      </c>
      <c r="AA476" s="1101">
        <f ca="1">IF(ISNA(Y476),0,Y476)+Z476+IF('Main Creation Page'!AB$2=37,'Main Creation Page'!E$14/100,0)</f>
        <v>0.1</v>
      </c>
      <c r="AB476" s="1102">
        <f>VLOOKUP(V476,'System Lookups'!$J$55:$P$64,3)</f>
        <v>0.3</v>
      </c>
      <c r="AC476" s="1103">
        <f>VLOOKUP(V476,'System Lookups'!$J$55:$P$64,4)</f>
        <v>0.4</v>
      </c>
      <c r="AD476" s="1104">
        <f ca="1">IF(AND(ISBLANK(X476),ISNA(W476)),IF(B476="~",0,AB476+AA476+IF(BB476&gt;0,0.05,0)),AA476+AC476+IF(BB476&gt;0,0.05,0))</f>
        <v>0.45</v>
      </c>
      <c r="AE476" s="1094">
        <f ca="1">(IF(AD476&gt;VLOOKUP(V476,'System Lookups'!$J$55:$P$63,6),(((AD476-VLOOKUP(V476,'System Lookups'!$J$55:$P$63,6))*100)/20),0))+AF476</f>
        <v>0</v>
      </c>
      <c r="AF476" s="1121"/>
      <c r="AG476" s="1092">
        <f>IF(ISBLANK(X476),0,AQ476*X476+IF(ISNA(W476),1,0))</f>
        <v>0</v>
      </c>
      <c r="AH476" s="1092" t="str">
        <f>IF(X476&lt;=Experience!$R$15+1,"","*")</f>
        <v/>
      </c>
      <c r="AI476" s="1092"/>
      <c r="AJ476" s="1080">
        <f t="shared" si="501"/>
        <v>0</v>
      </c>
      <c r="AK476" s="1080">
        <f>IF(F476="s",-2,0)</f>
        <v>0</v>
      </c>
      <c r="AL476" s="1080">
        <f t="shared" si="502"/>
        <v>0</v>
      </c>
      <c r="AM476" s="1092">
        <f>IF(J476="y",1,0)</f>
        <v>0</v>
      </c>
      <c r="AN476" s="1080">
        <f>IF(N476="P",-1,IF(N476="T",1,0))</f>
        <v>1</v>
      </c>
      <c r="AO476" s="1080">
        <f t="shared" si="503"/>
        <v>0</v>
      </c>
      <c r="AP476" s="1080">
        <f>SUM(AJ476:AN476)-AM476</f>
        <v>1</v>
      </c>
      <c r="AQ476" s="1027">
        <f>VLOOKUP(V476,'System Lookups'!$J$55:$P$64,7)</f>
        <v>500</v>
      </c>
      <c r="AR476" s="1080" t="str">
        <f ca="1">IF(AND(NOT(ISBLANK(AJ476)),ISNA(MATCH(ROW(),'System Lookups'!$C$526:$C$539,0))),"Y","N")</f>
        <v>Y</v>
      </c>
      <c r="AS476" s="1080">
        <f>AG476-AI476</f>
        <v>0</v>
      </c>
      <c r="AU476" s="1080" t="e">
        <f t="shared" si="479"/>
        <v>#N/A</v>
      </c>
      <c r="AV476" s="1080" t="str">
        <f t="shared" si="476"/>
        <v>T</v>
      </c>
      <c r="AW476" s="1080">
        <f t="shared" si="480"/>
        <v>0</v>
      </c>
      <c r="AX476" s="1080">
        <f t="shared" si="481"/>
        <v>0</v>
      </c>
      <c r="AY476" s="1080">
        <f t="shared" si="482"/>
        <v>0</v>
      </c>
      <c r="AZ476" s="1080">
        <f t="shared" si="483"/>
        <v>0</v>
      </c>
      <c r="BA476" s="1080">
        <f t="shared" si="484"/>
        <v>0</v>
      </c>
      <c r="BB476" s="1080">
        <f>IF(AND(RACE=1,'Main Creation Page'!$E$6="Well",OR(ISNUMBER(FIND(Experience!$G$11,BE476)),ISNUMBER(FIND(Experience!$G$11,BF476)),ISNUMBER(FIND(Experience!$I$11,BE476)),ISNUMBER(FIND(Experience!$I$11,BF476)))),1,0)</f>
        <v>1</v>
      </c>
      <c r="BC476" s="1080" t="str">
        <f t="shared" si="495"/>
        <v>Geo.:Regional/National</v>
      </c>
      <c r="BD476" s="1080" t="s">
        <v>5695</v>
      </c>
      <c r="BE476" s="1080" t="str">
        <f t="shared" si="477"/>
        <v>Lore</v>
      </c>
      <c r="BF476" s="1080" t="str">
        <f t="shared" si="478"/>
        <v>Lore Historical Skills</v>
      </c>
    </row>
    <row r="477" spans="1:58" ht="11.1" customHeight="1" outlineLevel="2">
      <c r="A477" s="1028" t="s">
        <v>767</v>
      </c>
      <c r="B477" s="1094" t="s">
        <v>1942</v>
      </c>
      <c r="C477" s="1094"/>
      <c r="D477" s="1094"/>
      <c r="E477" s="1095" t="s">
        <v>5224</v>
      </c>
      <c r="F477" s="1095" t="s">
        <v>5224</v>
      </c>
      <c r="G477" s="1096">
        <v>0</v>
      </c>
      <c r="H477" s="1096" t="s">
        <v>5224</v>
      </c>
      <c r="I477" s="1096" t="s">
        <v>5224</v>
      </c>
      <c r="J477" s="1096" t="s">
        <v>5224</v>
      </c>
      <c r="K477" s="1096" t="s">
        <v>5224</v>
      </c>
      <c r="L477" s="1096">
        <v>0</v>
      </c>
      <c r="M477" s="1096" t="s">
        <v>5224</v>
      </c>
      <c r="N477" s="1096" t="s">
        <v>4631</v>
      </c>
      <c r="O477" s="1028"/>
      <c r="P477" s="1028" t="s">
        <v>780</v>
      </c>
      <c r="Q477" s="1097">
        <f t="shared" ca="1" si="499"/>
        <v>17</v>
      </c>
      <c r="R477" s="1034"/>
      <c r="S477" s="1028" t="s">
        <v>780</v>
      </c>
      <c r="T477" s="1097">
        <f t="shared" ca="1" si="500"/>
        <v>17</v>
      </c>
      <c r="U477" s="1027">
        <v>4</v>
      </c>
      <c r="V477" s="1027">
        <f>IF(AP477+U477&gt;10,10,IF(AP477+U477&lt;1,1,AP477+U477))</f>
        <v>5</v>
      </c>
      <c r="W477" s="1098" t="e">
        <f>IF(OR(I477&lt;&gt;"N",E477="C"),IF(AND(N477&lt;&gt;"T",ISNUMBER(FIND("V",I477))),1,0),NA())+IF(H477="Y",IF(AND(N477="P",ISNUMBER(FIND("Z",I477))),2,1),0)+IF(J477="Y",1,0)+IF(K477="Y",3,0)+IF(BE477="Lore",L477*2+Experience!$D$25,0)+IF(M477="Y",1,0)</f>
        <v>#N/A</v>
      </c>
      <c r="X477" s="1099"/>
      <c r="Y477" s="1100">
        <f ca="1">IF(P477="NS",IFERROR(INDIRECT(S477),NA()),VLOOKUP(INDIRECT(P477)+INDIRECT(S477),'System Lookups'!$A$3:$D$146,2))</f>
        <v>0.1</v>
      </c>
      <c r="Z477" s="1100">
        <f>IF(ISNA(W477),0,W477*0.03)+IF(X477&gt;0,X477*0.03,0)+IF(AND(ISNA(W477),X477&lt;=0),0,IF(G477&gt;0,G477*0.07,0))</f>
        <v>0</v>
      </c>
      <c r="AA477" s="1101">
        <f ca="1">IF(ISNA(Y477),0,Y477)+Z477+IF('Main Creation Page'!AB$2=37,'Main Creation Page'!E$14/100,0)</f>
        <v>0.1</v>
      </c>
      <c r="AB477" s="1102">
        <f>VLOOKUP(V477,'System Lookups'!$J$55:$P$64,3)</f>
        <v>0.1</v>
      </c>
      <c r="AC477" s="1103">
        <f>VLOOKUP(V477,'System Lookups'!$J$55:$P$64,4)</f>
        <v>0.2</v>
      </c>
      <c r="AD477" s="1104">
        <f>IF(AND(ISBLANK(X477),ISNA(W477)),IF(B477="~",0,AB477+AA477+IF(BB477&gt;0,0.05,0)),AA477+AC477+IF(BB477&gt;0,0.05,0))</f>
        <v>0</v>
      </c>
      <c r="AE477" s="1094">
        <f>(IF(AD477&gt;VLOOKUP(V477,'System Lookups'!$J$55:$P$63,6),(((AD477-VLOOKUP(V477,'System Lookups'!$J$55:$P$63,6))*100)/20),0))+AF477</f>
        <v>0</v>
      </c>
      <c r="AF477" s="1120">
        <f>IF(SUM($X$393:$X$440)&gt;3,1,0)</f>
        <v>0</v>
      </c>
      <c r="AG477" s="1092">
        <f>IF(ISBLANK(X477),0,AQ477*X477+IF(ISNA(W477),1,0))</f>
        <v>0</v>
      </c>
      <c r="AH477" s="1092" t="str">
        <f>IF(X477&lt;=Experience!$R$15+1,"","*")</f>
        <v/>
      </c>
      <c r="AI477" s="1092"/>
      <c r="AJ477" s="1080">
        <f t="shared" si="501"/>
        <v>0</v>
      </c>
      <c r="AK477" s="1080">
        <f>IF(F477="s",-2,0)</f>
        <v>0</v>
      </c>
      <c r="AL477" s="1080">
        <f t="shared" si="502"/>
        <v>0</v>
      </c>
      <c r="AM477" s="1092">
        <f>IF(J477="y",1,0)</f>
        <v>0</v>
      </c>
      <c r="AN477" s="1080">
        <f>IF(N477="P",-1,IF(N477="T",1,0))</f>
        <v>1</v>
      </c>
      <c r="AO477" s="1080">
        <f t="shared" si="503"/>
        <v>0</v>
      </c>
      <c r="AP477" s="1080">
        <f>SUM(AJ477:AN477)-AM477</f>
        <v>1</v>
      </c>
      <c r="AQ477" s="1027">
        <f>VLOOKUP(V477,'System Lookups'!$J$55:$P$64,7)</f>
        <v>700</v>
      </c>
      <c r="AR477" s="1080" t="str">
        <f ca="1">IF(AND(NOT(ISBLANK(AJ477)),ISNA(MATCH(ROW(),'System Lookups'!$C$526:$C$539,0))),"Y","N")</f>
        <v>Y</v>
      </c>
      <c r="AS477" s="1080">
        <f>AG477-AI477</f>
        <v>0</v>
      </c>
      <c r="AU477" s="1080" t="e">
        <f t="shared" si="479"/>
        <v>#N/A</v>
      </c>
      <c r="AV477" s="1080" t="str">
        <f t="shared" si="476"/>
        <v>T</v>
      </c>
      <c r="AW477" s="1080">
        <f t="shared" si="480"/>
        <v>0</v>
      </c>
      <c r="AX477" s="1080">
        <f t="shared" si="481"/>
        <v>0</v>
      </c>
      <c r="AY477" s="1080">
        <f t="shared" si="482"/>
        <v>0</v>
      </c>
      <c r="AZ477" s="1080">
        <f t="shared" si="483"/>
        <v>0</v>
      </c>
      <c r="BA477" s="1080">
        <f t="shared" si="484"/>
        <v>0</v>
      </c>
      <c r="BB477" s="1080">
        <f>IF(AND(RACE=1,'Main Creation Page'!$E$6="Well",OR(ISNUMBER(FIND(Experience!$G$11,BE477)),ISNUMBER(FIND(Experience!$G$11,BF477)),ISNUMBER(FIND(Experience!$I$11,BE477)),ISNUMBER(FIND(Experience!$I$11,BF477)))),1,0)</f>
        <v>1</v>
      </c>
      <c r="BC477" s="1080" t="str">
        <f t="shared" si="495"/>
        <v>Geo.:World</v>
      </c>
      <c r="BD477" s="1080" t="s">
        <v>5695</v>
      </c>
      <c r="BE477" s="1080" t="str">
        <f t="shared" si="477"/>
        <v>Lore</v>
      </c>
      <c r="BF477" s="1080" t="str">
        <f t="shared" si="478"/>
        <v>Lore Historical Skills</v>
      </c>
    </row>
    <row r="478" spans="1:58" ht="11.1" customHeight="1" outlineLevel="1">
      <c r="A478" s="1124" t="s">
        <v>2201</v>
      </c>
      <c r="B478" s="1094"/>
      <c r="C478" s="1094"/>
      <c r="D478" s="1094"/>
      <c r="F478" s="1027"/>
      <c r="G478" s="1027"/>
      <c r="H478" s="1027"/>
      <c r="I478" s="1027"/>
      <c r="J478" s="1027"/>
      <c r="K478" s="1027"/>
      <c r="L478" s="1027"/>
      <c r="M478" s="1027"/>
      <c r="N478" s="1027"/>
      <c r="O478" s="1027"/>
      <c r="P478" s="1027"/>
      <c r="Q478" s="1027"/>
      <c r="R478" s="1034"/>
      <c r="S478" s="1028"/>
      <c r="T478" s="1028"/>
      <c r="U478" s="1027"/>
      <c r="V478" s="1027"/>
      <c r="W478" s="1028"/>
      <c r="X478" s="1092"/>
      <c r="AE478" s="1034"/>
      <c r="AF478" s="1132"/>
      <c r="AG478" s="1092"/>
      <c r="AH478" s="1092"/>
      <c r="AI478" s="1092"/>
      <c r="AM478" s="1092"/>
      <c r="AR478" s="1080" t="str">
        <f ca="1">IF(AND(NOT(ISBLANK(AJ478)),ISNA(MATCH(ROW(),'System Lookups'!$C$526:$C$539,0))),"Y","N")</f>
        <v>N</v>
      </c>
      <c r="AU478" s="1080" t="e">
        <f t="shared" si="479"/>
        <v>#N/A</v>
      </c>
      <c r="AV478" s="1080" t="str">
        <f t="shared" si="476"/>
        <v/>
      </c>
      <c r="AW478" s="1080">
        <f t="shared" si="480"/>
        <v>0</v>
      </c>
      <c r="AX478" s="1080">
        <f t="shared" si="481"/>
        <v>0</v>
      </c>
      <c r="AY478" s="1080">
        <f t="shared" si="482"/>
        <v>0</v>
      </c>
      <c r="AZ478" s="1080">
        <f t="shared" si="483"/>
        <v>0</v>
      </c>
      <c r="BA478" s="1080">
        <f t="shared" si="484"/>
        <v>0</v>
      </c>
      <c r="BB478" s="1080">
        <f>IF(AND(RACE=1,'Main Creation Page'!$E$6="Well",OR(ISNUMBER(FIND(Experience!$G$11,BE478)),ISNUMBER(FIND(Experience!$G$11,BF478)),ISNUMBER(FIND(Experience!$I$11,BE478)),ISNUMBER(FIND(Experience!$I$11,BF478)))),1,0)</f>
        <v>1</v>
      </c>
      <c r="BC478" s="1080" t="e">
        <f t="shared" si="495"/>
        <v>#N/A</v>
      </c>
      <c r="BD478" s="1080" t="s">
        <v>5697</v>
      </c>
      <c r="BE478" s="1080" t="str">
        <f t="shared" si="477"/>
        <v>Lore</v>
      </c>
      <c r="BF478" s="1080" t="str">
        <f t="shared" si="478"/>
        <v>Lore Historical Skills</v>
      </c>
    </row>
    <row r="479" spans="1:58" ht="11.1" customHeight="1" outlineLevel="2">
      <c r="A479" s="1028" t="s">
        <v>768</v>
      </c>
      <c r="B479" s="1094"/>
      <c r="C479" s="1094"/>
      <c r="D479" s="1094"/>
      <c r="E479" s="1095" t="s">
        <v>5224</v>
      </c>
      <c r="F479" s="1095" t="s">
        <v>5224</v>
      </c>
      <c r="G479" s="1096">
        <v>0</v>
      </c>
      <c r="H479" s="1096" t="s">
        <v>5224</v>
      </c>
      <c r="I479" s="1096" t="s">
        <v>5224</v>
      </c>
      <c r="J479" s="1096" t="s">
        <v>5224</v>
      </c>
      <c r="K479" s="1096" t="s">
        <v>5224</v>
      </c>
      <c r="L479" s="1096">
        <v>0</v>
      </c>
      <c r="M479" s="1096" t="s">
        <v>5224</v>
      </c>
      <c r="N479" s="1096" t="s">
        <v>4631</v>
      </c>
      <c r="O479" s="1028"/>
      <c r="P479" s="1028" t="s">
        <v>780</v>
      </c>
      <c r="Q479" s="1097">
        <f t="shared" ref="Q479:Q481" ca="1" si="504">INDIRECT(P479)</f>
        <v>17</v>
      </c>
      <c r="R479" s="1034"/>
      <c r="S479" s="1028" t="s">
        <v>780</v>
      </c>
      <c r="T479" s="1097">
        <f t="shared" ref="T479:T481" ca="1" si="505">INDIRECT(S479)</f>
        <v>17</v>
      </c>
      <c r="U479" s="1027">
        <v>2</v>
      </c>
      <c r="V479" s="1027">
        <f>IF(AP479+U479&gt;10,10,IF(AP479+U479&lt;1,1,AP479+U479))</f>
        <v>3</v>
      </c>
      <c r="W479" s="1098" t="e">
        <f>IF(OR(I479&lt;&gt;"N",E479="C"),IF(AND(N479&lt;&gt;"T",ISNUMBER(FIND("V",I479))),1,0),NA())+IF(H479="Y",IF(AND(N479="P",ISNUMBER(FIND("Z",I479))),2,1),0)+IF(J479="Y",1,0)+IF(K479="Y",3,0)+IF(BE479="Lore",L479*2+Experience!$D$25,0)+IF(M479="Y",1,0)</f>
        <v>#N/A</v>
      </c>
      <c r="X479" s="1099"/>
      <c r="Y479" s="1100">
        <f ca="1">IF(P479="NS",IFERROR(INDIRECT(S479),NA()),VLOOKUP(INDIRECT(P479)+INDIRECT(S479),'System Lookups'!$A$3:$D$146,2))</f>
        <v>0.1</v>
      </c>
      <c r="Z479" s="1100">
        <f>IF(ISNA(W479),0,W479*0.03)+IF(X479&gt;0,X479*0.03,0)+IF(AND(ISNA(W479),X479&lt;=0),0,IF(G479&gt;0,G479*0.07,0))</f>
        <v>0</v>
      </c>
      <c r="AA479" s="1101">
        <f ca="1">IF(ISNA(Y479),0,Y479)+Z479+IF('Main Creation Page'!AB$2=37,'Main Creation Page'!E$14/100,0)</f>
        <v>0.1</v>
      </c>
      <c r="AB479" s="1102">
        <f>VLOOKUP(V479,'System Lookups'!$J$55:$P$64,3)</f>
        <v>0.3</v>
      </c>
      <c r="AC479" s="1103">
        <f>VLOOKUP(V479,'System Lookups'!$J$55:$P$64,4)</f>
        <v>0.4</v>
      </c>
      <c r="AD479" s="1104">
        <f ca="1">IF(AND(ISBLANK(X479),ISNA(W479)),IF(B479="~",0,AB479+AA479+IF(BB479&gt;0,0.05,0)),AA479+AC479+IF(BB479&gt;0,0.05,0))</f>
        <v>0.45</v>
      </c>
      <c r="AE479" s="1094">
        <f ca="1">(IF(AD479&gt;VLOOKUP(V479,'System Lookups'!$J$55:$P$63,6),(((AD479-VLOOKUP(V479,'System Lookups'!$J$55:$P$63,6))*100)/20),0))+AF479</f>
        <v>0</v>
      </c>
      <c r="AF479" s="1121"/>
      <c r="AG479" s="1092">
        <f>IF(ISBLANK(X479),0,AQ479*X479+IF(ISNA(W479),1,0))</f>
        <v>0</v>
      </c>
      <c r="AH479" s="1092" t="str">
        <f>IF(X479&lt;=Experience!$R$15+1,"","*")</f>
        <v/>
      </c>
      <c r="AI479" s="1092"/>
      <c r="AJ479" s="1080">
        <f t="shared" ref="AJ479:AJ481" si="506">IF(ISNUMBER(FIND("R",F479)),-1,0)</f>
        <v>0</v>
      </c>
      <c r="AK479" s="1080">
        <f>IF(F479="s",-2,0)</f>
        <v>0</v>
      </c>
      <c r="AL479" s="1080">
        <f t="shared" ref="AL479:AL481" si="507">IF(AND(H479="Y",OR(N479="P",N479="S")),-1,0)</f>
        <v>0</v>
      </c>
      <c r="AM479" s="1092">
        <f>IF(J479="y",1,0)</f>
        <v>0</v>
      </c>
      <c r="AN479" s="1080">
        <f>IF(N479="P",-1,IF(N479="T",1,0))</f>
        <v>1</v>
      </c>
      <c r="AO479" s="1080">
        <f t="shared" ref="AO479:AO481" si="508">IF(ISNUMBER(FIND("Z",I479)),1,0)</f>
        <v>0</v>
      </c>
      <c r="AP479" s="1080">
        <f>SUM(AJ479:AN479)-AM479</f>
        <v>1</v>
      </c>
      <c r="AQ479" s="1027">
        <f>VLOOKUP(V479,'System Lookups'!$J$55:$P$64,7)</f>
        <v>500</v>
      </c>
      <c r="AR479" s="1080" t="str">
        <f ca="1">IF(AND(NOT(ISBLANK(AJ479)),ISNA(MATCH(ROW(),'System Lookups'!$C$526:$C$539,0))),"Y","N")</f>
        <v>Y</v>
      </c>
      <c r="AS479" s="1080">
        <f>AG479-AI479</f>
        <v>0</v>
      </c>
      <c r="AU479" s="1080" t="e">
        <f t="shared" si="479"/>
        <v>#N/A</v>
      </c>
      <c r="AV479" s="1080" t="str">
        <f t="shared" si="476"/>
        <v>T</v>
      </c>
      <c r="AW479" s="1080">
        <f t="shared" si="480"/>
        <v>0</v>
      </c>
      <c r="AX479" s="1080">
        <f t="shared" si="481"/>
        <v>0</v>
      </c>
      <c r="AY479" s="1080">
        <f t="shared" si="482"/>
        <v>0</v>
      </c>
      <c r="AZ479" s="1080">
        <f t="shared" si="483"/>
        <v>0</v>
      </c>
      <c r="BA479" s="1080">
        <f t="shared" si="484"/>
        <v>0</v>
      </c>
      <c r="BB479" s="1080">
        <f>IF(AND(RACE=1,'Main Creation Page'!$E$6="Well",OR(ISNUMBER(FIND(Experience!$G$11,BE479)),ISNUMBER(FIND(Experience!$G$11,BF479)),ISNUMBER(FIND(Experience!$I$11,BE479)),ISNUMBER(FIND(Experience!$I$11,BF479)))),1,0)</f>
        <v>1</v>
      </c>
      <c r="BC479" s="1080" t="str">
        <f t="shared" si="495"/>
        <v>Anc. Geo.:Local</v>
      </c>
      <c r="BD479" s="1080" t="s">
        <v>5697</v>
      </c>
      <c r="BE479" s="1080" t="str">
        <f t="shared" si="477"/>
        <v>Lore</v>
      </c>
      <c r="BF479" s="1080" t="str">
        <f t="shared" si="478"/>
        <v>Lore Historical Skills</v>
      </c>
    </row>
    <row r="480" spans="1:58" ht="11.1" customHeight="1" outlineLevel="2">
      <c r="A480" s="1028" t="s">
        <v>766</v>
      </c>
      <c r="B480" s="1094" t="s">
        <v>1942</v>
      </c>
      <c r="C480" s="1094"/>
      <c r="D480" s="1094"/>
      <c r="E480" s="1095" t="s">
        <v>5224</v>
      </c>
      <c r="F480" s="1095" t="s">
        <v>5224</v>
      </c>
      <c r="G480" s="1096">
        <v>0</v>
      </c>
      <c r="H480" s="1096" t="s">
        <v>5224</v>
      </c>
      <c r="I480" s="1096" t="s">
        <v>5224</v>
      </c>
      <c r="J480" s="1096" t="s">
        <v>5224</v>
      </c>
      <c r="K480" s="1096" t="s">
        <v>5224</v>
      </c>
      <c r="L480" s="1096">
        <v>0</v>
      </c>
      <c r="M480" s="1096" t="s">
        <v>5224</v>
      </c>
      <c r="N480" s="1096" t="s">
        <v>4631</v>
      </c>
      <c r="O480" s="1028"/>
      <c r="P480" s="1028" t="s">
        <v>780</v>
      </c>
      <c r="Q480" s="1097">
        <f t="shared" ca="1" si="504"/>
        <v>17</v>
      </c>
      <c r="R480" s="1034"/>
      <c r="S480" s="1028" t="s">
        <v>780</v>
      </c>
      <c r="T480" s="1097">
        <f t="shared" ca="1" si="505"/>
        <v>17</v>
      </c>
      <c r="U480" s="1027">
        <v>3</v>
      </c>
      <c r="V480" s="1027">
        <f>IF(AP480+U480&gt;10,10,IF(AP480+U480&lt;1,1,AP480+U480))</f>
        <v>4</v>
      </c>
      <c r="W480" s="1098" t="e">
        <f>IF(OR(I480&lt;&gt;"N",E480="C"),IF(AND(N480&lt;&gt;"T",ISNUMBER(FIND("V",I480))),1,0),NA())+IF(H480="Y",IF(AND(N480="P",ISNUMBER(FIND("Z",I480))),2,1),0)+IF(J480="Y",1,0)+IF(K480="Y",3,0)+IF(BE480="Lore",L480*2+Experience!$D$25,0)+IF(M480="Y",1,0)</f>
        <v>#N/A</v>
      </c>
      <c r="X480" s="1099"/>
      <c r="Y480" s="1100">
        <f ca="1">IF(P480="NS",IFERROR(INDIRECT(S480),NA()),VLOOKUP(INDIRECT(P480)+INDIRECT(S480),'System Lookups'!$A$3:$D$146,2))</f>
        <v>0.1</v>
      </c>
      <c r="Z480" s="1100">
        <f>IF(ISNA(W480),0,W480*0.03)+IF(X480&gt;0,X480*0.03,0)+IF(AND(ISNA(W480),X480&lt;=0),0,IF(G480&gt;0,G480*0.07,0))</f>
        <v>0</v>
      </c>
      <c r="AA480" s="1101">
        <f ca="1">IF(ISNA(Y480),0,Y480)+Z480+IF('Main Creation Page'!AB$2=37,'Main Creation Page'!E$14/100,0)</f>
        <v>0.1</v>
      </c>
      <c r="AB480" s="1102">
        <f>VLOOKUP(V480,'System Lookups'!$J$55:$P$64,3)</f>
        <v>0.2</v>
      </c>
      <c r="AC480" s="1103">
        <f>VLOOKUP(V480,'System Lookups'!$J$55:$P$64,4)</f>
        <v>0.3</v>
      </c>
      <c r="AD480" s="1104">
        <f>IF(AND(ISBLANK(X480),ISNA(W480)),IF(B480="~",0,AB480+AA480+IF(BB480&gt;0,0.05,0)),AA480+AC480+IF(BB480&gt;0,0.05,0))</f>
        <v>0</v>
      </c>
      <c r="AE480" s="1094">
        <f>(IF(AD480&gt;VLOOKUP(V480,'System Lookups'!$J$55:$P$63,6),(((AD480-VLOOKUP(V480,'System Lookups'!$J$55:$P$63,6))*100)/20),0))+AF480</f>
        <v>0</v>
      </c>
      <c r="AF480" s="1121"/>
      <c r="AG480" s="1092">
        <f>IF(ISBLANK(X480),0,AQ480*X480+IF(ISNA(W480),1,0))</f>
        <v>0</v>
      </c>
      <c r="AH480" s="1092" t="str">
        <f>IF(X480&lt;=Experience!$R$15+1,"","*")</f>
        <v/>
      </c>
      <c r="AI480" s="1092"/>
      <c r="AJ480" s="1080">
        <f t="shared" si="506"/>
        <v>0</v>
      </c>
      <c r="AK480" s="1080">
        <f>IF(F480="s",-2,0)</f>
        <v>0</v>
      </c>
      <c r="AL480" s="1080">
        <f t="shared" si="507"/>
        <v>0</v>
      </c>
      <c r="AM480" s="1092">
        <f>IF(J480="y",1,0)</f>
        <v>0</v>
      </c>
      <c r="AN480" s="1080">
        <f>IF(N480="P",-1,IF(N480="T",1,0))</f>
        <v>1</v>
      </c>
      <c r="AO480" s="1080">
        <f t="shared" si="508"/>
        <v>0</v>
      </c>
      <c r="AP480" s="1080">
        <f>SUM(AJ480:AN480)-AM480</f>
        <v>1</v>
      </c>
      <c r="AQ480" s="1027">
        <f>VLOOKUP(V480,'System Lookups'!$J$55:$P$64,7)</f>
        <v>600</v>
      </c>
      <c r="AR480" s="1080" t="str">
        <f ca="1">IF(AND(NOT(ISBLANK(AJ480)),ISNA(MATCH(ROW(),'System Lookups'!$C$526:$C$539,0))),"Y","N")</f>
        <v>Y</v>
      </c>
      <c r="AS480" s="1080">
        <f>AG480-AI480</f>
        <v>0</v>
      </c>
      <c r="AU480" s="1080" t="e">
        <f t="shared" si="479"/>
        <v>#N/A</v>
      </c>
      <c r="AV480" s="1080" t="str">
        <f t="shared" si="476"/>
        <v>T</v>
      </c>
      <c r="AW480" s="1080">
        <f t="shared" si="480"/>
        <v>0</v>
      </c>
      <c r="AX480" s="1080">
        <f t="shared" si="481"/>
        <v>0</v>
      </c>
      <c r="AY480" s="1080">
        <f t="shared" si="482"/>
        <v>0</v>
      </c>
      <c r="AZ480" s="1080">
        <f t="shared" si="483"/>
        <v>0</v>
      </c>
      <c r="BA480" s="1080">
        <f t="shared" si="484"/>
        <v>0</v>
      </c>
      <c r="BB480" s="1080">
        <f>IF(AND(RACE=1,'Main Creation Page'!$E$6="Well",OR(ISNUMBER(FIND(Experience!$G$11,BE480)),ISNUMBER(FIND(Experience!$G$11,BF480)),ISNUMBER(FIND(Experience!$I$11,BE480)),ISNUMBER(FIND(Experience!$I$11,BF480)))),1,0)</f>
        <v>1</v>
      </c>
      <c r="BC480" s="1080" t="str">
        <f t="shared" si="495"/>
        <v>Anc. Geo.:Regional/National</v>
      </c>
      <c r="BD480" s="1080" t="s">
        <v>5697</v>
      </c>
      <c r="BE480" s="1080" t="str">
        <f t="shared" si="477"/>
        <v>Lore</v>
      </c>
      <c r="BF480" s="1080" t="str">
        <f t="shared" si="478"/>
        <v>Lore Historical Skills</v>
      </c>
    </row>
    <row r="481" spans="1:58" ht="11.1" customHeight="1" outlineLevel="2">
      <c r="A481" s="1028" t="s">
        <v>767</v>
      </c>
      <c r="B481" s="1094" t="s">
        <v>1942</v>
      </c>
      <c r="C481" s="1094"/>
      <c r="D481" s="1094"/>
      <c r="E481" s="1095" t="s">
        <v>5224</v>
      </c>
      <c r="F481" s="1095" t="s">
        <v>5224</v>
      </c>
      <c r="G481" s="1096">
        <v>0</v>
      </c>
      <c r="H481" s="1096" t="s">
        <v>5224</v>
      </c>
      <c r="I481" s="1096" t="s">
        <v>5224</v>
      </c>
      <c r="J481" s="1096" t="s">
        <v>5224</v>
      </c>
      <c r="K481" s="1096" t="s">
        <v>5224</v>
      </c>
      <c r="L481" s="1096">
        <v>0</v>
      </c>
      <c r="M481" s="1096" t="s">
        <v>5224</v>
      </c>
      <c r="N481" s="1096" t="s">
        <v>4631</v>
      </c>
      <c r="O481" s="1028"/>
      <c r="P481" s="1028" t="s">
        <v>780</v>
      </c>
      <c r="Q481" s="1097">
        <f t="shared" ca="1" si="504"/>
        <v>17</v>
      </c>
      <c r="R481" s="1034"/>
      <c r="S481" s="1028" t="s">
        <v>780</v>
      </c>
      <c r="T481" s="1097">
        <f t="shared" ca="1" si="505"/>
        <v>17</v>
      </c>
      <c r="U481" s="1027">
        <v>5</v>
      </c>
      <c r="V481" s="1027">
        <f>IF(AP481+U481&gt;10,10,IF(AP481+U481&lt;1,1,AP481+U481))</f>
        <v>6</v>
      </c>
      <c r="W481" s="1098" t="e">
        <f>IF(OR(I481&lt;&gt;"N",E481="C"),IF(AND(N481&lt;&gt;"T",ISNUMBER(FIND("V",I481))),1,0),NA())+IF(H481="Y",IF(AND(N481="P",ISNUMBER(FIND("Z",I481))),2,1),0)+IF(J481="Y",1,0)+IF(K481="Y",3,0)+IF(BE481="Lore",L481*2+Experience!$D$25,0)+IF(M481="Y",1,0)</f>
        <v>#N/A</v>
      </c>
      <c r="X481" s="1099"/>
      <c r="Y481" s="1100">
        <f ca="1">IF(P481="NS",IFERROR(INDIRECT(S481),NA()),VLOOKUP(INDIRECT(P481)+INDIRECT(S481),'System Lookups'!$A$3:$D$146,2))</f>
        <v>0.1</v>
      </c>
      <c r="Z481" s="1100">
        <f>IF(ISNA(W481),0,W481*0.03)+IF(X481&gt;0,X481*0.03,0)+IF(AND(ISNA(W481),X481&lt;=0),0,IF(G481&gt;0,G481*0.07,0))</f>
        <v>0</v>
      </c>
      <c r="AA481" s="1101">
        <f ca="1">IF(ISNA(Y481),0,Y481)+Z481+IF('Main Creation Page'!AB$2=37,'Main Creation Page'!E$14/100,0)</f>
        <v>0.1</v>
      </c>
      <c r="AB481" s="1102">
        <f>VLOOKUP(V481,'System Lookups'!$J$55:$P$64,3)</f>
        <v>0.05</v>
      </c>
      <c r="AC481" s="1103">
        <f>VLOOKUP(V481,'System Lookups'!$J$55:$P$64,4)</f>
        <v>0.1</v>
      </c>
      <c r="AD481" s="1104">
        <f>IF(AND(ISBLANK(X481),ISNA(W481)),IF(B481="~",0,AB481+AA481+IF(BB481&gt;0,0.05,0)),AA481+AC481+IF(BB481&gt;0,0.05,0))</f>
        <v>0</v>
      </c>
      <c r="AE481" s="1094">
        <f>(IF(AD481&gt;VLOOKUP(V481,'System Lookups'!$J$55:$P$63,6),(((AD481-VLOOKUP(V481,'System Lookups'!$J$55:$P$63,6))*100)/20),0))+AF481</f>
        <v>0</v>
      </c>
      <c r="AF481" s="1120">
        <f>IF(SUM($X$393:$X$440)&gt;3,1,0)</f>
        <v>0</v>
      </c>
      <c r="AG481" s="1092">
        <f>IF(ISBLANK(X481),0,AQ481*X481+IF(ISNA(W481),1,0))</f>
        <v>0</v>
      </c>
      <c r="AH481" s="1092" t="str">
        <f>IF(X481&lt;=Experience!$R$15+1,"","*")</f>
        <v/>
      </c>
      <c r="AI481" s="1092"/>
      <c r="AJ481" s="1080">
        <f t="shared" si="506"/>
        <v>0</v>
      </c>
      <c r="AK481" s="1080">
        <f>IF(F481="s",-2,0)</f>
        <v>0</v>
      </c>
      <c r="AL481" s="1080">
        <f t="shared" si="507"/>
        <v>0</v>
      </c>
      <c r="AM481" s="1092">
        <f>IF(J481="y",1,0)</f>
        <v>0</v>
      </c>
      <c r="AN481" s="1080">
        <f>IF(N481="P",-1,IF(N481="T",1,0))</f>
        <v>1</v>
      </c>
      <c r="AO481" s="1080">
        <f t="shared" si="508"/>
        <v>0</v>
      </c>
      <c r="AP481" s="1080">
        <f>SUM(AJ481:AN481)-AM481</f>
        <v>1</v>
      </c>
      <c r="AQ481" s="1027">
        <f>VLOOKUP(V481,'System Lookups'!$J$55:$P$64,7)</f>
        <v>800</v>
      </c>
      <c r="AR481" s="1080" t="str">
        <f ca="1">IF(AND(NOT(ISBLANK(AJ481)),ISNA(MATCH(ROW(),'System Lookups'!$C$526:$C$539,0))),"Y","N")</f>
        <v>Y</v>
      </c>
      <c r="AS481" s="1080">
        <f>AG481-AI481</f>
        <v>0</v>
      </c>
      <c r="AU481" s="1080" t="e">
        <f t="shared" si="479"/>
        <v>#N/A</v>
      </c>
      <c r="AV481" s="1080" t="str">
        <f t="shared" si="476"/>
        <v>T</v>
      </c>
      <c r="AW481" s="1080">
        <f t="shared" si="480"/>
        <v>0</v>
      </c>
      <c r="AX481" s="1080">
        <f t="shared" si="481"/>
        <v>0</v>
      </c>
      <c r="AY481" s="1080">
        <f t="shared" si="482"/>
        <v>0</v>
      </c>
      <c r="AZ481" s="1080">
        <f t="shared" si="483"/>
        <v>0</v>
      </c>
      <c r="BA481" s="1080">
        <f t="shared" si="484"/>
        <v>0</v>
      </c>
      <c r="BB481" s="1080">
        <f>IF(AND(RACE=1,'Main Creation Page'!$E$6="Well",OR(ISNUMBER(FIND(Experience!$G$11,BE481)),ISNUMBER(FIND(Experience!$G$11,BF481)),ISNUMBER(FIND(Experience!$I$11,BE481)),ISNUMBER(FIND(Experience!$I$11,BF481)))),1,0)</f>
        <v>1</v>
      </c>
      <c r="BC481" s="1080" t="str">
        <f t="shared" si="495"/>
        <v>Anc. Geo.:World</v>
      </c>
      <c r="BD481" s="1080" t="s">
        <v>5697</v>
      </c>
      <c r="BE481" s="1080" t="str">
        <f t="shared" si="477"/>
        <v>Lore</v>
      </c>
      <c r="BF481" s="1080" t="str">
        <f t="shared" si="478"/>
        <v>Lore Historical Skills</v>
      </c>
    </row>
    <row r="482" spans="1:58" ht="11.1" customHeight="1" outlineLevel="1">
      <c r="A482" s="1124" t="s">
        <v>2202</v>
      </c>
      <c r="B482" s="1094"/>
      <c r="C482" s="1094"/>
      <c r="D482" s="1094"/>
      <c r="F482" s="1027"/>
      <c r="G482" s="1027"/>
      <c r="H482" s="1027"/>
      <c r="I482" s="1027"/>
      <c r="J482" s="1027"/>
      <c r="K482" s="1027"/>
      <c r="L482" s="1027"/>
      <c r="M482" s="1027"/>
      <c r="N482" s="1027"/>
      <c r="O482" s="1027"/>
      <c r="P482" s="1027"/>
      <c r="Q482" s="1027"/>
      <c r="R482" s="1034"/>
      <c r="S482" s="1028"/>
      <c r="T482" s="1028"/>
      <c r="U482" s="1027"/>
      <c r="V482" s="1027"/>
      <c r="W482" s="1028"/>
      <c r="X482" s="1092"/>
      <c r="AE482" s="1094"/>
      <c r="AF482" s="1121"/>
      <c r="AG482" s="1092"/>
      <c r="AH482" s="1092"/>
      <c r="AI482" s="1092"/>
      <c r="AM482" s="1092"/>
      <c r="AR482" s="1080" t="str">
        <f ca="1">IF(AND(NOT(ISBLANK(AJ482)),ISNA(MATCH(ROW(),'System Lookups'!$C$526:$C$539,0))),"Y","N")</f>
        <v>N</v>
      </c>
      <c r="AU482" s="1080" t="e">
        <f t="shared" si="479"/>
        <v>#N/A</v>
      </c>
      <c r="AV482" s="1080" t="str">
        <f t="shared" si="476"/>
        <v/>
      </c>
      <c r="AW482" s="1080">
        <f t="shared" si="480"/>
        <v>0</v>
      </c>
      <c r="AX482" s="1080">
        <f t="shared" si="481"/>
        <v>0</v>
      </c>
      <c r="AY482" s="1080">
        <f t="shared" si="482"/>
        <v>0</v>
      </c>
      <c r="AZ482" s="1080">
        <f t="shared" si="483"/>
        <v>0</v>
      </c>
      <c r="BA482" s="1080">
        <f t="shared" si="484"/>
        <v>0</v>
      </c>
      <c r="BB482" s="1080">
        <f>IF(AND(RACE=1,'Main Creation Page'!$E$6="Well",OR(ISNUMBER(FIND(Experience!$G$11,BE482)),ISNUMBER(FIND(Experience!$G$11,BF482)),ISNUMBER(FIND(Experience!$I$11,BE482)),ISNUMBER(FIND(Experience!$I$11,BF482)))),1,0)</f>
        <v>1</v>
      </c>
      <c r="BC482" s="1080" t="e">
        <f t="shared" si="495"/>
        <v>#N/A</v>
      </c>
      <c r="BD482" s="1080" t="s">
        <v>5698</v>
      </c>
      <c r="BE482" s="1080" t="str">
        <f t="shared" si="477"/>
        <v>Lore</v>
      </c>
      <c r="BF482" s="1080" t="str">
        <f t="shared" si="478"/>
        <v>Lore Historical Skills</v>
      </c>
    </row>
    <row r="483" spans="1:58" ht="11.1" customHeight="1" outlineLevel="2">
      <c r="A483" s="1028" t="s">
        <v>768</v>
      </c>
      <c r="B483" s="1094"/>
      <c r="C483" s="1094"/>
      <c r="D483" s="1094"/>
      <c r="E483" s="1095" t="s">
        <v>5224</v>
      </c>
      <c r="F483" s="1095" t="s">
        <v>5224</v>
      </c>
      <c r="G483" s="1096">
        <v>0</v>
      </c>
      <c r="H483" s="1096" t="s">
        <v>5224</v>
      </c>
      <c r="I483" s="1096" t="s">
        <v>5224</v>
      </c>
      <c r="J483" s="1096" t="s">
        <v>5224</v>
      </c>
      <c r="K483" s="1096" t="s">
        <v>5224</v>
      </c>
      <c r="L483" s="1096">
        <v>0</v>
      </c>
      <c r="M483" s="1096" t="s">
        <v>5224</v>
      </c>
      <c r="N483" s="1096" t="s">
        <v>4631</v>
      </c>
      <c r="O483" s="1028"/>
      <c r="P483" s="1028" t="s">
        <v>780</v>
      </c>
      <c r="Q483" s="1097">
        <f t="shared" ref="Q483:Q485" ca="1" si="509">INDIRECT(P483)</f>
        <v>17</v>
      </c>
      <c r="R483" s="1034"/>
      <c r="S483" s="1028" t="s">
        <v>780</v>
      </c>
      <c r="T483" s="1097">
        <f t="shared" ref="T483:T485" ca="1" si="510">INDIRECT(S483)</f>
        <v>17</v>
      </c>
      <c r="U483" s="1027">
        <v>1</v>
      </c>
      <c r="V483" s="1027">
        <f>IF(AP483+U483&gt;10,10,IF(AP483+U483&lt;1,1,AP483+U483))</f>
        <v>2</v>
      </c>
      <c r="W483" s="1098" t="e">
        <f>IF(OR(I483&lt;&gt;"N",E483="C"),IF(AND(N483&lt;&gt;"T",ISNUMBER(FIND("V",I483))),1,0),NA())+IF(H483="Y",IF(AND(N483="P",ISNUMBER(FIND("Z",I483))),2,1),0)+IF(J483="Y",1,0)+IF(K483="Y",3,0)+IF(BE483="Lore",L483*2+Experience!$D$25,0)+IF(M483="Y",1,0)</f>
        <v>#N/A</v>
      </c>
      <c r="X483" s="1099"/>
      <c r="Y483" s="1100">
        <f ca="1">IF(P483="NS",IFERROR(INDIRECT(S483),NA()),VLOOKUP(INDIRECT(P483)+INDIRECT(S483),'System Lookups'!$A$3:$D$146,2))</f>
        <v>0.1</v>
      </c>
      <c r="Z483" s="1100">
        <f>IF(ISNA(W483),0,W483*0.03)+IF(X483&gt;0,X483*0.03,0)+IF(AND(ISNA(W483),X483&lt;=0),0,IF(G483&gt;0,G483*0.07,0))</f>
        <v>0</v>
      </c>
      <c r="AA483" s="1101">
        <f ca="1">IF(ISNA(Y483),0,Y483)+Z483+IF('Main Creation Page'!AB$2=37,'Main Creation Page'!E$14/100,0)</f>
        <v>0.1</v>
      </c>
      <c r="AB483" s="1102">
        <f>VLOOKUP(V483,'System Lookups'!$J$55:$P$64,3)</f>
        <v>0.4</v>
      </c>
      <c r="AC483" s="1103">
        <f>VLOOKUP(V483,'System Lookups'!$J$55:$P$64,4)</f>
        <v>0.5</v>
      </c>
      <c r="AD483" s="1104">
        <f ca="1">IF(AND(ISBLANK(X483),ISNA(W483)),IF(B483="~",0,AB483+AA483+IF(BB483&gt;0,0.05,0)),AA483+AC483+IF(BB483&gt;0,0.05,0))</f>
        <v>0.55000000000000004</v>
      </c>
      <c r="AE483" s="1094">
        <f ca="1">(IF(AD483&gt;VLOOKUP(V483,'System Lookups'!$J$55:$P$63,6),(((AD483-VLOOKUP(V483,'System Lookups'!$J$55:$P$63,6))*100)/20),0))+AF483</f>
        <v>0</v>
      </c>
      <c r="AF483" s="1121"/>
      <c r="AG483" s="1092">
        <f>IF(ISBLANK(X483),0,AQ483*X483+IF(ISNA(W483),1,0))</f>
        <v>0</v>
      </c>
      <c r="AH483" s="1092" t="str">
        <f>IF(X483&lt;=Experience!$R$15+1,"","*")</f>
        <v/>
      </c>
      <c r="AI483" s="1092"/>
      <c r="AJ483" s="1080">
        <f t="shared" ref="AJ483:AJ485" si="511">IF(ISNUMBER(FIND("R",F483)),-1,0)</f>
        <v>0</v>
      </c>
      <c r="AK483" s="1080">
        <f>IF(F483="s",-2,0)</f>
        <v>0</v>
      </c>
      <c r="AL483" s="1080">
        <f t="shared" ref="AL483:AL485" si="512">IF(AND(H483="Y",OR(N483="P",N483="S")),-1,0)</f>
        <v>0</v>
      </c>
      <c r="AM483" s="1092">
        <f>IF(J483="y",1,0)</f>
        <v>0</v>
      </c>
      <c r="AN483" s="1080">
        <f>IF(N483="P",-1,IF(N483="T",1,0))</f>
        <v>1</v>
      </c>
      <c r="AO483" s="1080">
        <f t="shared" ref="AO483:AO485" si="513">IF(ISNUMBER(FIND("Z",I483)),1,0)</f>
        <v>0</v>
      </c>
      <c r="AP483" s="1080">
        <f>SUM(AJ483:AN483)-AM483</f>
        <v>1</v>
      </c>
      <c r="AQ483" s="1027">
        <f>VLOOKUP(V483,'System Lookups'!$J$55:$P$64,7)</f>
        <v>400</v>
      </c>
      <c r="AR483" s="1080" t="str">
        <f ca="1">IF(AND(NOT(ISBLANK(AJ483)),ISNA(MATCH(ROW(),'System Lookups'!$C$526:$C$539,0))),"Y","N")</f>
        <v>Y</v>
      </c>
      <c r="AS483" s="1080">
        <f>AG483-AI483</f>
        <v>0</v>
      </c>
      <c r="AU483" s="1080" t="e">
        <f t="shared" si="479"/>
        <v>#N/A</v>
      </c>
      <c r="AV483" s="1080" t="str">
        <f t="shared" si="476"/>
        <v>T</v>
      </c>
      <c r="AW483" s="1080">
        <f t="shared" si="480"/>
        <v>0</v>
      </c>
      <c r="AX483" s="1080">
        <f t="shared" si="481"/>
        <v>0</v>
      </c>
      <c r="AY483" s="1080">
        <f t="shared" si="482"/>
        <v>0</v>
      </c>
      <c r="AZ483" s="1080">
        <f t="shared" si="483"/>
        <v>0</v>
      </c>
      <c r="BA483" s="1080">
        <f t="shared" si="484"/>
        <v>0</v>
      </c>
      <c r="BB483" s="1080">
        <f>IF(AND(RACE=1,'Main Creation Page'!$E$6="Well",OR(ISNUMBER(FIND(Experience!$G$11,BE483)),ISNUMBER(FIND(Experience!$G$11,BF483)),ISNUMBER(FIND(Experience!$I$11,BE483)),ISNUMBER(FIND(Experience!$I$11,BF483)))),1,0)</f>
        <v>1</v>
      </c>
      <c r="BC483" s="1080" t="str">
        <f t="shared" si="495"/>
        <v>Hist. &amp; Leg.:Local</v>
      </c>
      <c r="BD483" s="1080" t="s">
        <v>5698</v>
      </c>
      <c r="BE483" s="1080" t="str">
        <f t="shared" si="477"/>
        <v>Lore</v>
      </c>
      <c r="BF483" s="1080" t="str">
        <f t="shared" si="478"/>
        <v>Lore Historical Skills</v>
      </c>
    </row>
    <row r="484" spans="1:58" ht="11.1" customHeight="1" outlineLevel="2">
      <c r="A484" s="1028" t="s">
        <v>766</v>
      </c>
      <c r="B484" s="1094" t="s">
        <v>1942</v>
      </c>
      <c r="C484" s="1094"/>
      <c r="D484" s="1094"/>
      <c r="E484" s="1095" t="s">
        <v>5224</v>
      </c>
      <c r="F484" s="1095" t="s">
        <v>5224</v>
      </c>
      <c r="G484" s="1096">
        <v>0</v>
      </c>
      <c r="H484" s="1096" t="s">
        <v>5224</v>
      </c>
      <c r="I484" s="1096" t="s">
        <v>5224</v>
      </c>
      <c r="J484" s="1096" t="s">
        <v>5224</v>
      </c>
      <c r="K484" s="1096" t="s">
        <v>5224</v>
      </c>
      <c r="L484" s="1096">
        <v>0</v>
      </c>
      <c r="M484" s="1096" t="s">
        <v>5224</v>
      </c>
      <c r="N484" s="1096" t="s">
        <v>4631</v>
      </c>
      <c r="O484" s="1028"/>
      <c r="P484" s="1028" t="s">
        <v>780</v>
      </c>
      <c r="Q484" s="1097">
        <f t="shared" ca="1" si="509"/>
        <v>17</v>
      </c>
      <c r="R484" s="1034"/>
      <c r="S484" s="1028" t="s">
        <v>780</v>
      </c>
      <c r="T484" s="1097">
        <f t="shared" ca="1" si="510"/>
        <v>17</v>
      </c>
      <c r="U484" s="1027">
        <v>2</v>
      </c>
      <c r="V484" s="1027">
        <f>IF(AP484+U484&gt;10,10,IF(AP484+U484&lt;1,1,AP484+U484))</f>
        <v>3</v>
      </c>
      <c r="W484" s="1098" t="e">
        <f>IF(OR(I484&lt;&gt;"N",E484="C"),IF(AND(N484&lt;&gt;"T",ISNUMBER(FIND("V",I484))),1,0),NA())+IF(H484="Y",IF(AND(N484="P",ISNUMBER(FIND("Z",I484))),2,1),0)+IF(J484="Y",1,0)+IF(K484="Y",3,0)+IF(BE484="Lore",L484*2+Experience!$D$25,0)+IF(M484="Y",1,0)</f>
        <v>#N/A</v>
      </c>
      <c r="X484" s="1099"/>
      <c r="Y484" s="1100">
        <f ca="1">IF(P484="NS",IFERROR(INDIRECT(S484),NA()),VLOOKUP(INDIRECT(P484)+INDIRECT(S484),'System Lookups'!$A$3:$D$146,2))</f>
        <v>0.1</v>
      </c>
      <c r="Z484" s="1100">
        <f>IF(ISNA(W484),0,W484*0.03)+IF(X484&gt;0,X484*0.03,0)+IF(AND(ISNA(W484),X484&lt;=0),0,IF(G484&gt;0,G484*0.07,0))</f>
        <v>0</v>
      </c>
      <c r="AA484" s="1101">
        <f ca="1">IF(ISNA(Y484),0,Y484)+Z484+IF('Main Creation Page'!AB$2=37,'Main Creation Page'!E$14/100,0)</f>
        <v>0.1</v>
      </c>
      <c r="AB484" s="1102">
        <f>VLOOKUP(V484,'System Lookups'!$J$55:$P$64,3)</f>
        <v>0.3</v>
      </c>
      <c r="AC484" s="1103">
        <f>VLOOKUP(V484,'System Lookups'!$J$55:$P$64,4)</f>
        <v>0.4</v>
      </c>
      <c r="AD484" s="1104">
        <f>IF(AND(ISBLANK(X484),ISNA(W484)),IF(B484="~",0,AB484+AA484+IF(BB484&gt;0,0.05,0)),AA484+AC484+IF(BB484&gt;0,0.05,0))</f>
        <v>0</v>
      </c>
      <c r="AE484" s="1094">
        <f>(IF(AD484&gt;VLOOKUP(V484,'System Lookups'!$J$55:$P$63,6),(((AD484-VLOOKUP(V484,'System Lookups'!$J$55:$P$63,6))*100)/20),0))+AF484</f>
        <v>0</v>
      </c>
      <c r="AF484" s="1121"/>
      <c r="AG484" s="1092">
        <f>IF(ISBLANK(X484),0,AQ484*X484+IF(ISNA(W484),1,0))</f>
        <v>0</v>
      </c>
      <c r="AH484" s="1092" t="str">
        <f>IF(X484&lt;=Experience!$R$15+1,"","*")</f>
        <v/>
      </c>
      <c r="AI484" s="1092"/>
      <c r="AJ484" s="1080">
        <f t="shared" si="511"/>
        <v>0</v>
      </c>
      <c r="AK484" s="1080">
        <f>IF(F484="s",-2,0)</f>
        <v>0</v>
      </c>
      <c r="AL484" s="1080">
        <f t="shared" si="512"/>
        <v>0</v>
      </c>
      <c r="AM484" s="1092">
        <f>IF(J484="y",1,0)</f>
        <v>0</v>
      </c>
      <c r="AN484" s="1080">
        <f>IF(N484="P",-1,IF(N484="T",1,0))</f>
        <v>1</v>
      </c>
      <c r="AO484" s="1080">
        <f t="shared" si="513"/>
        <v>0</v>
      </c>
      <c r="AP484" s="1080">
        <f>SUM(AJ484:AN484)-AM484</f>
        <v>1</v>
      </c>
      <c r="AQ484" s="1027">
        <f>VLOOKUP(V484,'System Lookups'!$J$55:$P$64,7)</f>
        <v>500</v>
      </c>
      <c r="AR484" s="1080" t="str">
        <f ca="1">IF(AND(NOT(ISBLANK(AJ484)),ISNA(MATCH(ROW(),'System Lookups'!$C$526:$C$539,0))),"Y","N")</f>
        <v>Y</v>
      </c>
      <c r="AS484" s="1080">
        <f>AG484-AI484</f>
        <v>0</v>
      </c>
      <c r="AU484" s="1080" t="e">
        <f t="shared" si="479"/>
        <v>#N/A</v>
      </c>
      <c r="AV484" s="1080" t="str">
        <f t="shared" si="476"/>
        <v>T</v>
      </c>
      <c r="AW484" s="1080">
        <f t="shared" si="480"/>
        <v>0</v>
      </c>
      <c r="AX484" s="1080">
        <f t="shared" si="481"/>
        <v>0</v>
      </c>
      <c r="AY484" s="1080">
        <f t="shared" si="482"/>
        <v>0</v>
      </c>
      <c r="AZ484" s="1080">
        <f t="shared" si="483"/>
        <v>0</v>
      </c>
      <c r="BA484" s="1080">
        <f t="shared" si="484"/>
        <v>0</v>
      </c>
      <c r="BB484" s="1080">
        <f>IF(AND(RACE=1,'Main Creation Page'!$E$6="Well",OR(ISNUMBER(FIND(Experience!$G$11,BE484)),ISNUMBER(FIND(Experience!$G$11,BF484)),ISNUMBER(FIND(Experience!$I$11,BE484)),ISNUMBER(FIND(Experience!$I$11,BF484)))),1,0)</f>
        <v>1</v>
      </c>
      <c r="BC484" s="1080" t="str">
        <f t="shared" si="495"/>
        <v>Hist. &amp; Leg.:Regional/National</v>
      </c>
      <c r="BD484" s="1080" t="s">
        <v>5698</v>
      </c>
      <c r="BE484" s="1080" t="str">
        <f t="shared" si="477"/>
        <v>Lore</v>
      </c>
      <c r="BF484" s="1080" t="str">
        <f t="shared" si="478"/>
        <v>Lore Historical Skills</v>
      </c>
    </row>
    <row r="485" spans="1:58" ht="11.1" customHeight="1" outlineLevel="2">
      <c r="A485" s="1028" t="s">
        <v>767</v>
      </c>
      <c r="B485" s="1094" t="s">
        <v>1942</v>
      </c>
      <c r="C485" s="1094"/>
      <c r="D485" s="1094"/>
      <c r="E485" s="1095" t="s">
        <v>5224</v>
      </c>
      <c r="F485" s="1095" t="s">
        <v>5224</v>
      </c>
      <c r="G485" s="1096">
        <v>0</v>
      </c>
      <c r="H485" s="1096" t="s">
        <v>5224</v>
      </c>
      <c r="I485" s="1096" t="s">
        <v>5224</v>
      </c>
      <c r="J485" s="1096" t="s">
        <v>5224</v>
      </c>
      <c r="K485" s="1096" t="s">
        <v>5224</v>
      </c>
      <c r="L485" s="1096">
        <v>0</v>
      </c>
      <c r="M485" s="1096" t="s">
        <v>5224</v>
      </c>
      <c r="N485" s="1096" t="s">
        <v>4631</v>
      </c>
      <c r="O485" s="1028"/>
      <c r="P485" s="1028" t="s">
        <v>780</v>
      </c>
      <c r="Q485" s="1097">
        <f t="shared" ca="1" si="509"/>
        <v>17</v>
      </c>
      <c r="R485" s="1034"/>
      <c r="S485" s="1028" t="s">
        <v>780</v>
      </c>
      <c r="T485" s="1097">
        <f t="shared" ca="1" si="510"/>
        <v>17</v>
      </c>
      <c r="U485" s="1027">
        <v>4</v>
      </c>
      <c r="V485" s="1027">
        <f>IF(AP485+U485&gt;10,10,IF(AP485+U485&lt;1,1,AP485+U485))</f>
        <v>5</v>
      </c>
      <c r="W485" s="1098" t="e">
        <f>IF(OR(I485&lt;&gt;"N",E485="C"),IF(AND(N485&lt;&gt;"T",ISNUMBER(FIND("V",I485))),1,0),NA())+IF(H485="Y",IF(AND(N485="P",ISNUMBER(FIND("Z",I485))),2,1),0)+IF(J485="Y",1,0)+IF(K485="Y",3,0)+IF(BE485="Lore",L485*2+Experience!$D$25,0)+IF(M485="Y",1,0)</f>
        <v>#N/A</v>
      </c>
      <c r="X485" s="1099"/>
      <c r="Y485" s="1100">
        <f ca="1">IF(P485="NS",IFERROR(INDIRECT(S485),NA()),VLOOKUP(INDIRECT(P485)+INDIRECT(S485),'System Lookups'!$A$3:$D$146,2))</f>
        <v>0.1</v>
      </c>
      <c r="Z485" s="1100">
        <f>IF(ISNA(W485),0,W485*0.03)+IF(X485&gt;0,X485*0.03,0)+IF(AND(ISNA(W485),X485&lt;=0),0,IF(G485&gt;0,G485*0.07,0))</f>
        <v>0</v>
      </c>
      <c r="AA485" s="1101">
        <f ca="1">IF(ISNA(Y485),0,Y485)+Z485+IF('Main Creation Page'!AB$2=37,'Main Creation Page'!E$14/100,0)</f>
        <v>0.1</v>
      </c>
      <c r="AB485" s="1102">
        <f>VLOOKUP(V485,'System Lookups'!$J$55:$P$64,3)</f>
        <v>0.1</v>
      </c>
      <c r="AC485" s="1103">
        <f>VLOOKUP(V485,'System Lookups'!$J$55:$P$64,4)</f>
        <v>0.2</v>
      </c>
      <c r="AD485" s="1104">
        <f>IF(AND(ISBLANK(X485),ISNA(W485)),IF(B485="~",0,AB485+AA485+IF(BB485&gt;0,0.05,0)),AA485+AC485+IF(BB485&gt;0,0.05,0))</f>
        <v>0</v>
      </c>
      <c r="AE485" s="1094">
        <f>(IF(AD485&gt;VLOOKUP(V485,'System Lookups'!$J$55:$P$63,6),(((AD485-VLOOKUP(V485,'System Lookups'!$J$55:$P$63,6))*100)/20),0))+AF485</f>
        <v>0</v>
      </c>
      <c r="AF485" s="1120">
        <f>IF(SUM($X$393:$X$440)&gt;3,1,0)</f>
        <v>0</v>
      </c>
      <c r="AG485" s="1092">
        <f>IF(ISBLANK(X485),0,AQ485*X485+IF(ISNA(W485),1,0))</f>
        <v>0</v>
      </c>
      <c r="AH485" s="1092" t="str">
        <f>IF(X485&lt;=Experience!$R$15+1,"","*")</f>
        <v/>
      </c>
      <c r="AI485" s="1092"/>
      <c r="AJ485" s="1080">
        <f t="shared" si="511"/>
        <v>0</v>
      </c>
      <c r="AK485" s="1080">
        <f>IF(F485="s",-2,0)</f>
        <v>0</v>
      </c>
      <c r="AL485" s="1080">
        <f t="shared" si="512"/>
        <v>0</v>
      </c>
      <c r="AM485" s="1092">
        <f>IF(J485="y",1,0)</f>
        <v>0</v>
      </c>
      <c r="AN485" s="1080">
        <f>IF(N485="P",-1,IF(N485="T",1,0))</f>
        <v>1</v>
      </c>
      <c r="AO485" s="1080">
        <f t="shared" si="513"/>
        <v>0</v>
      </c>
      <c r="AP485" s="1080">
        <f>SUM(AJ485:AN485)-AM485</f>
        <v>1</v>
      </c>
      <c r="AQ485" s="1027">
        <f>VLOOKUP(V485,'System Lookups'!$J$55:$P$64,7)</f>
        <v>700</v>
      </c>
      <c r="AR485" s="1080" t="str">
        <f ca="1">IF(AND(NOT(ISBLANK(AJ485)),ISNA(MATCH(ROW(),'System Lookups'!$C$526:$C$539,0))),"Y","N")</f>
        <v>Y</v>
      </c>
      <c r="AS485" s="1080">
        <f>AG485-AI485</f>
        <v>0</v>
      </c>
      <c r="AU485" s="1080" t="e">
        <f t="shared" si="479"/>
        <v>#N/A</v>
      </c>
      <c r="AV485" s="1080" t="str">
        <f t="shared" si="476"/>
        <v>T</v>
      </c>
      <c r="AW485" s="1080">
        <f t="shared" si="480"/>
        <v>0</v>
      </c>
      <c r="AX485" s="1080">
        <f t="shared" si="481"/>
        <v>0</v>
      </c>
      <c r="AY485" s="1080">
        <f t="shared" si="482"/>
        <v>0</v>
      </c>
      <c r="AZ485" s="1080">
        <f t="shared" si="483"/>
        <v>0</v>
      </c>
      <c r="BA485" s="1080">
        <f t="shared" si="484"/>
        <v>0</v>
      </c>
      <c r="BB485" s="1080">
        <f>IF(AND(RACE=1,'Main Creation Page'!$E$6="Well",OR(ISNUMBER(FIND(Experience!$G$11,BE485)),ISNUMBER(FIND(Experience!$G$11,BF485)),ISNUMBER(FIND(Experience!$I$11,BE485)),ISNUMBER(FIND(Experience!$I$11,BF485)))),1,0)</f>
        <v>1</v>
      </c>
      <c r="BC485" s="1080" t="str">
        <f t="shared" si="495"/>
        <v>Hist. &amp; Leg.:World</v>
      </c>
      <c r="BD485" s="1080" t="s">
        <v>5698</v>
      </c>
      <c r="BE485" s="1080" t="str">
        <f t="shared" si="477"/>
        <v>Lore</v>
      </c>
      <c r="BF485" s="1080" t="str">
        <f t="shared" si="478"/>
        <v>Lore Historical Skills</v>
      </c>
    </row>
    <row r="486" spans="1:58" ht="11.1" customHeight="1" outlineLevel="1">
      <c r="A486" s="1143" t="s">
        <v>2637</v>
      </c>
      <c r="B486" s="1111"/>
      <c r="C486" s="1111"/>
      <c r="D486" s="1111"/>
      <c r="V486" s="1027"/>
      <c r="W486" s="1112"/>
      <c r="AE486" s="1094"/>
      <c r="AF486" s="1121"/>
      <c r="AG486" s="1092"/>
      <c r="AH486" s="1092"/>
      <c r="AI486" s="1092"/>
      <c r="AM486" s="1092"/>
      <c r="AR486" s="1080" t="str">
        <f ca="1">IF(AND(NOT(ISBLANK(AJ486)),ISNA(MATCH(ROW(),'System Lookups'!$C$526:$C$539,0))),"Y","N")</f>
        <v>N</v>
      </c>
      <c r="AU486" s="1080" t="e">
        <f t="shared" si="479"/>
        <v>#N/A</v>
      </c>
      <c r="AV486" s="1080" t="str">
        <f t="shared" si="476"/>
        <v/>
      </c>
      <c r="AW486" s="1080">
        <f t="shared" si="480"/>
        <v>0</v>
      </c>
      <c r="AX486" s="1080">
        <f t="shared" si="481"/>
        <v>0</v>
      </c>
      <c r="AY486" s="1080">
        <f t="shared" si="482"/>
        <v>0</v>
      </c>
      <c r="AZ486" s="1080">
        <f t="shared" si="483"/>
        <v>0</v>
      </c>
      <c r="BA486" s="1080">
        <f t="shared" si="484"/>
        <v>0</v>
      </c>
      <c r="BB486" s="1080">
        <f>IF(AND(RACE=1,'Main Creation Page'!$E$6="Well",OR(ISNUMBER(FIND(Experience!$G$11,BE486)),ISNUMBER(FIND(Experience!$G$11,BF486)),ISNUMBER(FIND(Experience!$I$11,BE486)),ISNUMBER(FIND(Experience!$I$11,BF486)))),1,0)</f>
        <v>1</v>
      </c>
      <c r="BC486" s="1080" t="e">
        <f t="shared" si="495"/>
        <v>#N/A</v>
      </c>
      <c r="BE486" s="1080" t="str">
        <f t="shared" si="477"/>
        <v>Lore</v>
      </c>
      <c r="BF486" s="1080" t="str">
        <f t="shared" si="478"/>
        <v>Lore Historical Skills</v>
      </c>
    </row>
    <row r="487" spans="1:58" ht="11.1" customHeight="1" outlineLevel="2">
      <c r="A487" s="1144" t="s">
        <v>769</v>
      </c>
      <c r="B487" s="1094"/>
      <c r="C487" s="1094"/>
      <c r="D487" s="1094"/>
      <c r="E487" s="1095" t="s">
        <v>178</v>
      </c>
      <c r="F487" s="1095" t="s">
        <v>5224</v>
      </c>
      <c r="G487" s="1096">
        <v>0</v>
      </c>
      <c r="H487" s="1096" t="s">
        <v>5224</v>
      </c>
      <c r="I487" s="1096" t="s">
        <v>5224</v>
      </c>
      <c r="J487" s="1096" t="s">
        <v>5224</v>
      </c>
      <c r="K487" s="1096" t="s">
        <v>5224</v>
      </c>
      <c r="L487" s="1096">
        <v>0</v>
      </c>
      <c r="M487" s="1096" t="s">
        <v>5224</v>
      </c>
      <c r="N487" s="1096" t="s">
        <v>4630</v>
      </c>
      <c r="O487" s="1028"/>
      <c r="P487" s="1028" t="s">
        <v>780</v>
      </c>
      <c r="Q487" s="1097">
        <f t="shared" ref="Q487:Q547" ca="1" si="514">INDIRECT(P487)</f>
        <v>17</v>
      </c>
      <c r="R487" s="1034"/>
      <c r="S487" s="1028" t="s">
        <v>780</v>
      </c>
      <c r="T487" s="1097">
        <f t="shared" ref="T487:T547" ca="1" si="515">INDIRECT(S487)</f>
        <v>17</v>
      </c>
      <c r="U487" s="1027">
        <v>1</v>
      </c>
      <c r="V487" s="1027">
        <f t="shared" ref="V487:V518" si="516">IF(AP487+U487&gt;10,10,IF(AP487+U487&lt;1,1,AP487+U487))</f>
        <v>1</v>
      </c>
      <c r="W487" s="1098">
        <f>IF(OR(I487&lt;&gt;"N",E487="C"),IF(AND(N487&lt;&gt;"T",ISNUMBER(FIND("V",I487))),1,0),NA())+IF(H487="Y",IF(AND(N487="P",ISNUMBER(FIND("Z",I487))),2,1),0)+IF(J487="Y",1,0)+IF(K487="Y",3,0)+IF(BE487="Lore",L487*2+Experience!$D$25,0)+IF(M487="Y",1,0)</f>
        <v>4</v>
      </c>
      <c r="X487" s="1099"/>
      <c r="Y487" s="1100">
        <f ca="1">IF(P487="NS",IFERROR(INDIRECT(S487),NA()),VLOOKUP(INDIRECT(P487)+INDIRECT(S487),'System Lookups'!$A$3:$D$146,2))</f>
        <v>0.1</v>
      </c>
      <c r="Z487" s="1100">
        <f t="shared" ref="Z487:Z518" si="517">IF(ISNA(W487),0,W487*0.03)+IF(X487&gt;0,X487*0.03,0)+IF(AND(ISNA(W487),X487&lt;=0),0,IF(G487&gt;0,G487*0.07,0))</f>
        <v>0.12</v>
      </c>
      <c r="AA487" s="1101">
        <f ca="1">IF(ISNA(Y487),0,Y487)+Z487+IF('Main Creation Page'!AB$2=37,'Main Creation Page'!E$14/100,0)</f>
        <v>0.22</v>
      </c>
      <c r="AB487" s="1102">
        <f>VLOOKUP(V487,'System Lookups'!$J$55:$P$64,3)</f>
        <v>0.5</v>
      </c>
      <c r="AC487" s="1103">
        <f>VLOOKUP(V487,'System Lookups'!$J$55:$P$64,4)</f>
        <v>0.6</v>
      </c>
      <c r="AD487" s="1104">
        <f t="shared" ref="AD487:AD518" ca="1" si="518">IF(AND(ISBLANK(X487),ISNA(W487)),IF(B487="~",0,AB487+AA487+IF(BB487&gt;0,0.05,0)),AA487+AC487+IF(BB487&gt;0,0.05,0))</f>
        <v>0.87</v>
      </c>
      <c r="AE487" s="1094">
        <f ca="1">(IF(AD487&gt;VLOOKUP(V487,'System Lookups'!$J$55:$P$63,6),(((AD487-VLOOKUP(V487,'System Lookups'!$J$55:$P$63,6))*100)/20),0))+AF487</f>
        <v>0</v>
      </c>
      <c r="AF487" s="1121"/>
      <c r="AG487" s="1092">
        <f t="shared" ref="AG487:AG518" si="519">IF(ISBLANK(X487),0,AQ487*X487+IF(ISNA(W487),1,0))</f>
        <v>0</v>
      </c>
      <c r="AH487" s="1092" t="str">
        <f>IF(X487&lt;=Experience!$R$15+1,"","*")</f>
        <v/>
      </c>
      <c r="AI487" s="1092"/>
      <c r="AJ487" s="1080">
        <f t="shared" ref="AJ487:AJ547" si="520">IF(ISNUMBER(FIND("R",F487)),-1,0)</f>
        <v>0</v>
      </c>
      <c r="AK487" s="1080">
        <f>IF(F487="s",-2,0)</f>
        <v>0</v>
      </c>
      <c r="AL487" s="1080">
        <f t="shared" ref="AL487:AL550" si="521">IF(AND(H487="Y",OR(N487="P",N487="S")),-1,0)</f>
        <v>0</v>
      </c>
      <c r="AM487" s="1092">
        <f>IF(J487="y",1,0)</f>
        <v>0</v>
      </c>
      <c r="AN487" s="1080">
        <f>IF(N487="P",-1,IF(N487="T",1,0))</f>
        <v>0</v>
      </c>
      <c r="AO487" s="1080">
        <f t="shared" ref="AO487:AO550" si="522">IF(ISNUMBER(FIND("Z",I487)),1,0)</f>
        <v>0</v>
      </c>
      <c r="AP487" s="1080">
        <f t="shared" ref="AP487:AP518" si="523">SUM(AJ487:AN487)-AM487</f>
        <v>0</v>
      </c>
      <c r="AQ487" s="1027">
        <f>VLOOKUP(V487,'System Lookups'!$J$55:$P$64,7)</f>
        <v>300</v>
      </c>
      <c r="AR487" s="1080" t="str">
        <f ca="1">IF(AND(NOT(ISBLANK(AJ487)),ISNA(MATCH(ROW(),'System Lookups'!$C$526:$C$539,0))),"Y","N")</f>
        <v>N</v>
      </c>
      <c r="AS487" s="1080">
        <f t="shared" ref="AS487:AS518" si="524">AG487-AI487</f>
        <v>0</v>
      </c>
      <c r="AU487" s="1080">
        <f t="shared" si="479"/>
        <v>4</v>
      </c>
      <c r="AV487" s="1080" t="str">
        <f t="shared" si="476"/>
        <v>CS</v>
      </c>
      <c r="AW487" s="1080">
        <f t="shared" si="480"/>
        <v>0</v>
      </c>
      <c r="AX487" s="1080">
        <f t="shared" si="481"/>
        <v>0</v>
      </c>
      <c r="AY487" s="1080">
        <f t="shared" si="482"/>
        <v>0</v>
      </c>
      <c r="AZ487" s="1080">
        <f t="shared" si="483"/>
        <v>0</v>
      </c>
      <c r="BA487" s="1080">
        <f t="shared" si="484"/>
        <v>0</v>
      </c>
      <c r="BB487" s="1080">
        <f>IF(AND(RACE=1,'Main Creation Page'!$E$6="Well",OR(ISNUMBER(FIND(Experience!$G$11,BE487)),ISNUMBER(FIND(Experience!$G$11,BF487)),ISNUMBER(FIND(Experience!$I$11,BE487)),ISNUMBER(FIND(Experience!$I$11,BF487)))),1,0)</f>
        <v>1</v>
      </c>
      <c r="BC487" s="1080" t="str">
        <f t="shared" si="495"/>
        <v>Cultural Lore: Own</v>
      </c>
      <c r="BD487" s="1080" t="s">
        <v>5699</v>
      </c>
      <c r="BE487" s="1080" t="str">
        <f t="shared" si="477"/>
        <v>Lore</v>
      </c>
      <c r="BF487" s="1080" t="str">
        <f t="shared" si="478"/>
        <v>Lore Historical Skills</v>
      </c>
    </row>
    <row r="488" spans="1:58" ht="11.1" customHeight="1" outlineLevel="2">
      <c r="A488" s="1145" t="s">
        <v>770</v>
      </c>
      <c r="B488" s="1094"/>
      <c r="C488" s="1094"/>
      <c r="D488" s="1094"/>
      <c r="E488" s="1095" t="s">
        <v>5224</v>
      </c>
      <c r="F488" s="1095" t="s">
        <v>5224</v>
      </c>
      <c r="G488" s="1096">
        <v>0</v>
      </c>
      <c r="H488" s="1096" t="s">
        <v>5224</v>
      </c>
      <c r="I488" s="1096" t="s">
        <v>5224</v>
      </c>
      <c r="J488" s="1096" t="s">
        <v>5224</v>
      </c>
      <c r="K488" s="1096" t="s">
        <v>5224</v>
      </c>
      <c r="L488" s="1096">
        <v>0</v>
      </c>
      <c r="M488" s="1096" t="s">
        <v>5224</v>
      </c>
      <c r="N488" s="1096" t="s">
        <v>4631</v>
      </c>
      <c r="O488" s="1028"/>
      <c r="P488" s="1028" t="s">
        <v>780</v>
      </c>
      <c r="Q488" s="1097">
        <f t="shared" ca="1" si="514"/>
        <v>17</v>
      </c>
      <c r="R488" s="1034"/>
      <c r="S488" s="1028" t="s">
        <v>3616</v>
      </c>
      <c r="T488" s="1097">
        <f t="shared" ca="1" si="515"/>
        <v>17</v>
      </c>
      <c r="U488" s="1027">
        <v>4</v>
      </c>
      <c r="V488" s="1027">
        <f t="shared" si="516"/>
        <v>5</v>
      </c>
      <c r="W488" s="1098" t="e">
        <f>IF(OR(I488&lt;&gt;"N",E488="C"),IF(AND(N488&lt;&gt;"T",ISNUMBER(FIND("V",I488))),1,0),NA())+IF(H488="Y",IF(AND(N488="P",ISNUMBER(FIND("Z",I488))),2,1),0)+IF(J488="Y",1,0)+IF(K488="Y",3,0)+IF(BE488="Lore",L488*2+Experience!$D$25,0)+IF(M488="Y",1,0)</f>
        <v>#N/A</v>
      </c>
      <c r="X488" s="1099"/>
      <c r="Y488" s="1100">
        <f ca="1">IF(P488="NS",IFERROR(INDIRECT(S488),NA()),VLOOKUP(INDIRECT(P488)+INDIRECT(S488),'System Lookups'!$A$3:$D$146,2))</f>
        <v>0.1</v>
      </c>
      <c r="Z488" s="1100">
        <f t="shared" si="517"/>
        <v>0</v>
      </c>
      <c r="AA488" s="1101">
        <f ca="1">IF(ISNA(Y488),0,Y488)+Z488+IF('Main Creation Page'!AB$2=37,'Main Creation Page'!E$14/100,0)</f>
        <v>0.1</v>
      </c>
      <c r="AB488" s="1102">
        <f>VLOOKUP(V488,'System Lookups'!$J$55:$P$64,3)</f>
        <v>0.1</v>
      </c>
      <c r="AC488" s="1103">
        <f>VLOOKUP(V488,'System Lookups'!$J$55:$P$64,4)</f>
        <v>0.2</v>
      </c>
      <c r="AD488" s="1104">
        <f t="shared" ca="1" si="518"/>
        <v>0.25</v>
      </c>
      <c r="AE488" s="1094">
        <f ca="1">(IF(AD488&gt;VLOOKUP(V488,'System Lookups'!$J$55:$P$63,6),(((AD488-VLOOKUP(V488,'System Lookups'!$J$55:$P$63,6))*100)/20),0))+AF488</f>
        <v>0</v>
      </c>
      <c r="AF488" s="1121"/>
      <c r="AG488" s="1092">
        <f t="shared" si="519"/>
        <v>0</v>
      </c>
      <c r="AH488" s="1092" t="str">
        <f>IF(X488&lt;=Experience!$R$15+1,"","*")</f>
        <v/>
      </c>
      <c r="AI488" s="1092"/>
      <c r="AJ488" s="1080">
        <f t="shared" si="520"/>
        <v>0</v>
      </c>
      <c r="AK488" s="1080">
        <f>IF(F488="s",-2,0)</f>
        <v>0</v>
      </c>
      <c r="AL488" s="1080">
        <f t="shared" si="521"/>
        <v>0</v>
      </c>
      <c r="AM488" s="1092">
        <f>IF(J488="y",1,0)</f>
        <v>0</v>
      </c>
      <c r="AN488" s="1080">
        <f>IF(N488="P",-1,IF(N488="T",1,0))</f>
        <v>1</v>
      </c>
      <c r="AO488" s="1080">
        <f t="shared" si="522"/>
        <v>0</v>
      </c>
      <c r="AP488" s="1080">
        <f t="shared" si="523"/>
        <v>1</v>
      </c>
      <c r="AQ488" s="1027">
        <f>VLOOKUP(V488,'System Lookups'!$J$55:$P$64,7)</f>
        <v>700</v>
      </c>
      <c r="AR488" s="1080" t="str">
        <f ca="1">IF(AND(NOT(ISBLANK(AJ488)),ISNA(MATCH(ROW(),'System Lookups'!$C$526:$C$539,0))),"Y","N")</f>
        <v>Y</v>
      </c>
      <c r="AS488" s="1080">
        <f t="shared" si="524"/>
        <v>0</v>
      </c>
      <c r="AU488" s="1080" t="e">
        <f t="shared" si="479"/>
        <v>#N/A</v>
      </c>
      <c r="AV488" s="1080" t="str">
        <f t="shared" si="476"/>
        <v>T</v>
      </c>
      <c r="AW488" s="1080">
        <f t="shared" si="480"/>
        <v>0</v>
      </c>
      <c r="AX488" s="1080">
        <f t="shared" si="481"/>
        <v>0</v>
      </c>
      <c r="AY488" s="1080">
        <f t="shared" si="482"/>
        <v>0</v>
      </c>
      <c r="AZ488" s="1080">
        <f t="shared" si="483"/>
        <v>0</v>
      </c>
      <c r="BA488" s="1080">
        <f t="shared" si="484"/>
        <v>0</v>
      </c>
      <c r="BB488" s="1080">
        <f>IF(AND(RACE=1,'Main Creation Page'!$E$6="Well",OR(ISNUMBER(FIND(Experience!$G$11,BE488)),ISNUMBER(FIND(Experience!$G$11,BF488)),ISNUMBER(FIND(Experience!$I$11,BE488)),ISNUMBER(FIND(Experience!$I$11,BF488)))),1,0)</f>
        <v>1</v>
      </c>
      <c r="BC488" s="1080" t="str">
        <f t="shared" si="495"/>
        <v>Cult. Lore:Ancient</v>
      </c>
      <c r="BD488" s="1080" t="s">
        <v>5700</v>
      </c>
      <c r="BE488" s="1080" t="str">
        <f t="shared" si="477"/>
        <v>Lore</v>
      </c>
      <c r="BF488" s="1080" t="str">
        <f t="shared" si="478"/>
        <v>Lore Historical Skills</v>
      </c>
    </row>
    <row r="489" spans="1:58" ht="11.1" customHeight="1" outlineLevel="3">
      <c r="A489" s="1093" t="str">
        <f>IF('Main Creation Page'!$K$5=3,"Kingdom","Aramaic")</f>
        <v>Kingdom</v>
      </c>
      <c r="B489" s="1094"/>
      <c r="C489" s="1094"/>
      <c r="D489" s="1094"/>
      <c r="E489" s="1095" t="s">
        <v>5224</v>
      </c>
      <c r="F489" s="1095" t="s">
        <v>5224</v>
      </c>
      <c r="G489" s="1096">
        <v>0</v>
      </c>
      <c r="H489" s="1096" t="s">
        <v>5224</v>
      </c>
      <c r="I489" s="1096" t="s">
        <v>5224</v>
      </c>
      <c r="J489" s="1096" t="s">
        <v>5224</v>
      </c>
      <c r="K489" s="1096" t="s">
        <v>5224</v>
      </c>
      <c r="L489" s="1096">
        <v>0</v>
      </c>
      <c r="M489" s="1096" t="s">
        <v>5224</v>
      </c>
      <c r="N489" s="1096" t="s">
        <v>4631</v>
      </c>
      <c r="O489" s="1028"/>
      <c r="P489" s="1028" t="s">
        <v>780</v>
      </c>
      <c r="Q489" s="1097">
        <f t="shared" ca="1" si="514"/>
        <v>17</v>
      </c>
      <c r="R489" s="1034"/>
      <c r="S489" s="1028" t="s">
        <v>3616</v>
      </c>
      <c r="T489" s="1097">
        <f t="shared" ca="1" si="515"/>
        <v>17</v>
      </c>
      <c r="U489" s="1027">
        <v>4</v>
      </c>
      <c r="V489" s="1027">
        <f t="shared" si="516"/>
        <v>5</v>
      </c>
      <c r="W489" s="1098" t="e">
        <f>IF(OR(I489&lt;&gt;"N",E489="C"),IF(AND(N489&lt;&gt;"T",ISNUMBER(FIND("V",I489))),1,0),NA())+IF(H489="Y",IF(AND(N489="P",ISNUMBER(FIND("Z",I489))),2,1),0)+IF(J489="Y",1,0)+IF(K489="Y",3,0)+IF(BE489="Lore",L489*2+Experience!$D$25,0)+IF(M489="Y",1,0)</f>
        <v>#N/A</v>
      </c>
      <c r="X489" s="1099"/>
      <c r="Y489" s="1100">
        <f ca="1">IF(P489="NS",IFERROR(INDIRECT(S489),NA()),VLOOKUP(INDIRECT(P489)+INDIRECT(S489),'System Lookups'!$A$3:$D$146,2))</f>
        <v>0.1</v>
      </c>
      <c r="Z489" s="1100">
        <f t="shared" si="517"/>
        <v>0</v>
      </c>
      <c r="AA489" s="1101">
        <f ca="1">IF(ISNA(Y489),0,Y489)+Z489+IF('Main Creation Page'!AB$2=37,'Main Creation Page'!E$14/100,0)</f>
        <v>0.1</v>
      </c>
      <c r="AB489" s="1102">
        <f>VLOOKUP(V489,'System Lookups'!$J$55:$P$64,3)</f>
        <v>0.1</v>
      </c>
      <c r="AC489" s="1103">
        <f>VLOOKUP(V489,'System Lookups'!$J$55:$P$64,4)</f>
        <v>0.2</v>
      </c>
      <c r="AD489" s="1104">
        <f t="shared" ca="1" si="518"/>
        <v>0.25</v>
      </c>
      <c r="AE489" s="1094">
        <f ca="1">(IF(AD489&gt;VLOOKUP(V489,'System Lookups'!$J$55:$P$63,6),(((AD489-VLOOKUP(V489,'System Lookups'!$J$55:$P$63,6))*100)/20),0))+AF489</f>
        <v>0</v>
      </c>
      <c r="AF489" s="1121"/>
      <c r="AG489" s="1092">
        <f t="shared" si="519"/>
        <v>0</v>
      </c>
      <c r="AH489" s="1092" t="str">
        <f>IF(X489&lt;=Experience!$R$15+1,"","*")</f>
        <v/>
      </c>
      <c r="AI489" s="1092"/>
      <c r="AJ489" s="1080">
        <f t="shared" si="520"/>
        <v>0</v>
      </c>
      <c r="AK489" s="1080">
        <f t="shared" ref="AK489:AK547" si="525">IF(F489="s",-2,0)</f>
        <v>0</v>
      </c>
      <c r="AL489" s="1080">
        <f t="shared" si="521"/>
        <v>0</v>
      </c>
      <c r="AM489" s="1092">
        <f t="shared" ref="AM489:AM547" si="526">IF(J489="y",1,0)</f>
        <v>0</v>
      </c>
      <c r="AN489" s="1080">
        <f t="shared" ref="AN489:AN547" si="527">IF(N489="P",-1,IF(N489="T",1,0))</f>
        <v>1</v>
      </c>
      <c r="AO489" s="1080">
        <f t="shared" si="522"/>
        <v>0</v>
      </c>
      <c r="AP489" s="1080">
        <f t="shared" si="523"/>
        <v>1</v>
      </c>
      <c r="AQ489" s="1027">
        <f>VLOOKUP(V489,'System Lookups'!$J$55:$P$64,7)</f>
        <v>700</v>
      </c>
      <c r="AR489" s="1080" t="str">
        <f ca="1">IF(AND(NOT(ISBLANK(AJ489)),ISNA(MATCH(ROW(),'System Lookups'!$C$526:$C$539,0))),"Y","N")</f>
        <v>Y</v>
      </c>
      <c r="AS489" s="1080">
        <f t="shared" si="524"/>
        <v>0</v>
      </c>
      <c r="AU489" s="1080" t="e">
        <f t="shared" si="479"/>
        <v>#N/A</v>
      </c>
      <c r="AV489" s="1080" t="str">
        <f t="shared" si="476"/>
        <v>T</v>
      </c>
      <c r="AW489" s="1080">
        <f t="shared" si="480"/>
        <v>0</v>
      </c>
      <c r="AX489" s="1080">
        <f t="shared" si="481"/>
        <v>0</v>
      </c>
      <c r="AY489" s="1080">
        <f t="shared" si="482"/>
        <v>0</v>
      </c>
      <c r="AZ489" s="1080">
        <f t="shared" si="483"/>
        <v>0</v>
      </c>
      <c r="BA489" s="1080">
        <f t="shared" si="484"/>
        <v>0</v>
      </c>
      <c r="BB489" s="1080">
        <f>IF(AND(RACE=1,'Main Creation Page'!$E$6="Well",OR(ISNUMBER(FIND(Experience!$G$11,BE489)),ISNUMBER(FIND(Experience!$G$11,BF489)),ISNUMBER(FIND(Experience!$I$11,BE489)),ISNUMBER(FIND(Experience!$I$11,BF489)))),1,0)</f>
        <v>1</v>
      </c>
      <c r="BC489" s="1080" t="str">
        <f t="shared" si="495"/>
        <v>Cult. Lore: Anc. Kingdom</v>
      </c>
      <c r="BD489" s="1080" t="s">
        <v>5701</v>
      </c>
      <c r="BE489" s="1080" t="str">
        <f t="shared" si="477"/>
        <v>Lore</v>
      </c>
      <c r="BF489" s="1080" t="str">
        <f t="shared" si="478"/>
        <v>Lore Historical Skills</v>
      </c>
    </row>
    <row r="490" spans="1:58" ht="11.1" customHeight="1" outlineLevel="3">
      <c r="A490" s="1093" t="str">
        <f>IF('Main Creation Page'!$K$5=3,"Rule","Assyrian")</f>
        <v>Rule</v>
      </c>
      <c r="B490" s="1094"/>
      <c r="C490" s="1094"/>
      <c r="D490" s="1094"/>
      <c r="E490" s="1095" t="s">
        <v>5224</v>
      </c>
      <c r="F490" s="1095" t="s">
        <v>5224</v>
      </c>
      <c r="G490" s="1096">
        <v>0</v>
      </c>
      <c r="H490" s="1096" t="s">
        <v>5224</v>
      </c>
      <c r="I490" s="1096" t="s">
        <v>5224</v>
      </c>
      <c r="J490" s="1096" t="s">
        <v>5224</v>
      </c>
      <c r="K490" s="1096" t="s">
        <v>5224</v>
      </c>
      <c r="L490" s="1096">
        <v>0</v>
      </c>
      <c r="M490" s="1096" t="s">
        <v>5224</v>
      </c>
      <c r="N490" s="1096" t="s">
        <v>4631</v>
      </c>
      <c r="O490" s="1028"/>
      <c r="P490" s="1028" t="s">
        <v>780</v>
      </c>
      <c r="Q490" s="1097">
        <f t="shared" ca="1" si="514"/>
        <v>17</v>
      </c>
      <c r="R490" s="1034"/>
      <c r="S490" s="1028" t="s">
        <v>3616</v>
      </c>
      <c r="T490" s="1097">
        <f t="shared" ca="1" si="515"/>
        <v>17</v>
      </c>
      <c r="U490" s="1027">
        <v>4</v>
      </c>
      <c r="V490" s="1027">
        <f t="shared" si="516"/>
        <v>5</v>
      </c>
      <c r="W490" s="1098" t="e">
        <f>IF(OR(I490&lt;&gt;"N",E490="C"),IF(AND(N490&lt;&gt;"T",ISNUMBER(FIND("V",I490))),1,0),NA())+IF(H490="Y",IF(AND(N490="P",ISNUMBER(FIND("Z",I490))),2,1),0)+IF(J490="Y",1,0)+IF(K490="Y",3,0)+IF(BE490="Lore",L490*2+Experience!$D$25,0)+IF(M490="Y",1,0)</f>
        <v>#N/A</v>
      </c>
      <c r="X490" s="1099"/>
      <c r="Y490" s="1100">
        <f ca="1">IF(P490="NS",IFERROR(INDIRECT(S490),NA()),VLOOKUP(INDIRECT(P490)+INDIRECT(S490),'System Lookups'!$A$3:$D$146,2))</f>
        <v>0.1</v>
      </c>
      <c r="Z490" s="1100">
        <f t="shared" si="517"/>
        <v>0</v>
      </c>
      <c r="AA490" s="1101">
        <f ca="1">IF(ISNA(Y490),0,Y490)+Z490+IF('Main Creation Page'!AB$2=37,'Main Creation Page'!E$14/100,0)</f>
        <v>0.1</v>
      </c>
      <c r="AB490" s="1102">
        <f>VLOOKUP(V490,'System Lookups'!$J$55:$P$64,3)</f>
        <v>0.1</v>
      </c>
      <c r="AC490" s="1103">
        <f>VLOOKUP(V490,'System Lookups'!$J$55:$P$64,4)</f>
        <v>0.2</v>
      </c>
      <c r="AD490" s="1104">
        <f t="shared" ca="1" si="518"/>
        <v>0.25</v>
      </c>
      <c r="AE490" s="1094">
        <f ca="1">(IF(AD490&gt;VLOOKUP(V490,'System Lookups'!$J$55:$P$63,6),(((AD490-VLOOKUP(V490,'System Lookups'!$J$55:$P$63,6))*100)/20),0))+AF490</f>
        <v>0</v>
      </c>
      <c r="AF490" s="1121"/>
      <c r="AG490" s="1092">
        <f t="shared" si="519"/>
        <v>0</v>
      </c>
      <c r="AH490" s="1092" t="str">
        <f>IF(X490&lt;=Experience!$R$15+1,"","*")</f>
        <v/>
      </c>
      <c r="AI490" s="1092"/>
      <c r="AJ490" s="1080">
        <f t="shared" si="520"/>
        <v>0</v>
      </c>
      <c r="AK490" s="1080">
        <f t="shared" si="525"/>
        <v>0</v>
      </c>
      <c r="AL490" s="1080">
        <f t="shared" si="521"/>
        <v>0</v>
      </c>
      <c r="AM490" s="1092">
        <f t="shared" si="526"/>
        <v>0</v>
      </c>
      <c r="AN490" s="1080">
        <f t="shared" si="527"/>
        <v>1</v>
      </c>
      <c r="AO490" s="1080">
        <f t="shared" si="522"/>
        <v>0</v>
      </c>
      <c r="AP490" s="1080">
        <f t="shared" si="523"/>
        <v>1</v>
      </c>
      <c r="AQ490" s="1027">
        <f>VLOOKUP(V490,'System Lookups'!$J$55:$P$64,7)</f>
        <v>700</v>
      </c>
      <c r="AR490" s="1080" t="str">
        <f ca="1">IF(AND(NOT(ISBLANK(AJ490)),ISNA(MATCH(ROW(),'System Lookups'!$C$526:$C$539,0))),"Y","N")</f>
        <v>Y</v>
      </c>
      <c r="AS490" s="1080">
        <f t="shared" si="524"/>
        <v>0</v>
      </c>
      <c r="AU490" s="1080" t="e">
        <f t="shared" si="479"/>
        <v>#N/A</v>
      </c>
      <c r="AV490" s="1080" t="str">
        <f t="shared" si="476"/>
        <v>T</v>
      </c>
      <c r="AW490" s="1080">
        <f t="shared" si="480"/>
        <v>0</v>
      </c>
      <c r="AX490" s="1080">
        <f t="shared" si="481"/>
        <v>0</v>
      </c>
      <c r="AY490" s="1080">
        <f t="shared" si="482"/>
        <v>0</v>
      </c>
      <c r="AZ490" s="1080">
        <f t="shared" si="483"/>
        <v>0</v>
      </c>
      <c r="BA490" s="1080">
        <f t="shared" si="484"/>
        <v>0</v>
      </c>
      <c r="BB490" s="1080">
        <f>IF(AND(RACE=1,'Main Creation Page'!$E$6="Well",OR(ISNUMBER(FIND(Experience!$G$11,BE490)),ISNUMBER(FIND(Experience!$G$11,BF490)),ISNUMBER(FIND(Experience!$I$11,BE490)),ISNUMBER(FIND(Experience!$I$11,BF490)))),1,0)</f>
        <v>1</v>
      </c>
      <c r="BC490" s="1080" t="str">
        <f t="shared" si="495"/>
        <v>Cult. Lore: Anc. Rule</v>
      </c>
      <c r="BD490" s="1080" t="s">
        <v>5701</v>
      </c>
      <c r="BE490" s="1080" t="str">
        <f t="shared" si="477"/>
        <v>Lore</v>
      </c>
      <c r="BF490" s="1080" t="str">
        <f t="shared" si="478"/>
        <v>Lore Historical Skills</v>
      </c>
    </row>
    <row r="491" spans="1:58" ht="11.1" customHeight="1" outlineLevel="3">
      <c r="A491" s="1093" t="str">
        <f>IF('Main Creation Page'!$K$5=3,"Bidden","Babylonian")</f>
        <v>Bidden</v>
      </c>
      <c r="B491" s="1094"/>
      <c r="C491" s="1094"/>
      <c r="D491" s="1094"/>
      <c r="E491" s="1095" t="s">
        <v>5224</v>
      </c>
      <c r="F491" s="1095" t="s">
        <v>5224</v>
      </c>
      <c r="G491" s="1096">
        <v>0</v>
      </c>
      <c r="H491" s="1096" t="s">
        <v>5224</v>
      </c>
      <c r="I491" s="1096" t="s">
        <v>5224</v>
      </c>
      <c r="J491" s="1096" t="s">
        <v>5224</v>
      </c>
      <c r="K491" s="1096" t="s">
        <v>5224</v>
      </c>
      <c r="L491" s="1096">
        <v>0</v>
      </c>
      <c r="M491" s="1096" t="s">
        <v>5224</v>
      </c>
      <c r="N491" s="1096" t="s">
        <v>4631</v>
      </c>
      <c r="O491" s="1028"/>
      <c r="P491" s="1028" t="s">
        <v>780</v>
      </c>
      <c r="Q491" s="1097">
        <f t="shared" ca="1" si="514"/>
        <v>17</v>
      </c>
      <c r="R491" s="1034"/>
      <c r="S491" s="1028" t="s">
        <v>3616</v>
      </c>
      <c r="T491" s="1097">
        <f t="shared" ca="1" si="515"/>
        <v>17</v>
      </c>
      <c r="U491" s="1027">
        <v>4</v>
      </c>
      <c r="V491" s="1027">
        <f t="shared" si="516"/>
        <v>5</v>
      </c>
      <c r="W491" s="1098" t="e">
        <f>IF(OR(I491&lt;&gt;"N",E491="C"),IF(AND(N491&lt;&gt;"T",ISNUMBER(FIND("V",I491))),1,0),NA())+IF(H491="Y",IF(AND(N491="P",ISNUMBER(FIND("Z",I491))),2,1),0)+IF(J491="Y",1,0)+IF(K491="Y",3,0)+IF(BE491="Lore",L491*2+Experience!$D$25,0)+IF(M491="Y",1,0)</f>
        <v>#N/A</v>
      </c>
      <c r="X491" s="1099"/>
      <c r="Y491" s="1100">
        <f ca="1">IF(P491="NS",IFERROR(INDIRECT(S491),NA()),VLOOKUP(INDIRECT(P491)+INDIRECT(S491),'System Lookups'!$A$3:$D$146,2))</f>
        <v>0.1</v>
      </c>
      <c r="Z491" s="1100">
        <f t="shared" si="517"/>
        <v>0</v>
      </c>
      <c r="AA491" s="1101">
        <f ca="1">IF(ISNA(Y491),0,Y491)+Z491+IF('Main Creation Page'!AB$2=37,'Main Creation Page'!E$14/100,0)</f>
        <v>0.1</v>
      </c>
      <c r="AB491" s="1102">
        <f>VLOOKUP(V491,'System Lookups'!$J$55:$P$64,3)</f>
        <v>0.1</v>
      </c>
      <c r="AC491" s="1103">
        <f>VLOOKUP(V491,'System Lookups'!$J$55:$P$64,4)</f>
        <v>0.2</v>
      </c>
      <c r="AD491" s="1104">
        <f t="shared" ca="1" si="518"/>
        <v>0.25</v>
      </c>
      <c r="AE491" s="1094">
        <f ca="1">(IF(AD491&gt;VLOOKUP(V491,'System Lookups'!$J$55:$P$63,6),(((AD491-VLOOKUP(V491,'System Lookups'!$J$55:$P$63,6))*100)/20),0))+AF491</f>
        <v>0</v>
      </c>
      <c r="AF491" s="1121"/>
      <c r="AG491" s="1092">
        <f t="shared" si="519"/>
        <v>0</v>
      </c>
      <c r="AH491" s="1092" t="str">
        <f>IF(X491&lt;=Experience!$R$15+1,"","*")</f>
        <v/>
      </c>
      <c r="AI491" s="1092"/>
      <c r="AJ491" s="1080">
        <f t="shared" si="520"/>
        <v>0</v>
      </c>
      <c r="AK491" s="1080">
        <f t="shared" si="525"/>
        <v>0</v>
      </c>
      <c r="AL491" s="1080">
        <f t="shared" si="521"/>
        <v>0</v>
      </c>
      <c r="AM491" s="1092">
        <f t="shared" si="526"/>
        <v>0</v>
      </c>
      <c r="AN491" s="1080">
        <f t="shared" si="527"/>
        <v>1</v>
      </c>
      <c r="AO491" s="1080">
        <f t="shared" si="522"/>
        <v>0</v>
      </c>
      <c r="AP491" s="1080">
        <f t="shared" si="523"/>
        <v>1</v>
      </c>
      <c r="AQ491" s="1027">
        <f>VLOOKUP(V491,'System Lookups'!$J$55:$P$64,7)</f>
        <v>700</v>
      </c>
      <c r="AR491" s="1080" t="str">
        <f ca="1">IF(AND(NOT(ISBLANK(AJ491)),ISNA(MATCH(ROW(),'System Lookups'!$C$526:$C$539,0))),"Y","N")</f>
        <v>Y</v>
      </c>
      <c r="AS491" s="1080">
        <f t="shared" si="524"/>
        <v>0</v>
      </c>
      <c r="AU491" s="1080" t="e">
        <f t="shared" si="479"/>
        <v>#N/A</v>
      </c>
      <c r="AV491" s="1080" t="str">
        <f t="shared" si="476"/>
        <v>T</v>
      </c>
      <c r="AW491" s="1080">
        <f t="shared" si="480"/>
        <v>0</v>
      </c>
      <c r="AX491" s="1080">
        <f t="shared" si="481"/>
        <v>0</v>
      </c>
      <c r="AY491" s="1080">
        <f t="shared" si="482"/>
        <v>0</v>
      </c>
      <c r="AZ491" s="1080">
        <f t="shared" si="483"/>
        <v>0</v>
      </c>
      <c r="BA491" s="1080">
        <f t="shared" si="484"/>
        <v>0</v>
      </c>
      <c r="BB491" s="1080">
        <f>IF(AND(RACE=1,'Main Creation Page'!$E$6="Well",OR(ISNUMBER(FIND(Experience!$G$11,BE491)),ISNUMBER(FIND(Experience!$G$11,BF491)),ISNUMBER(FIND(Experience!$I$11,BE491)),ISNUMBER(FIND(Experience!$I$11,BF491)))),1,0)</f>
        <v>1</v>
      </c>
      <c r="BC491" s="1080" t="str">
        <f t="shared" si="495"/>
        <v>Cult. Lore: Anc. Bidden</v>
      </c>
      <c r="BD491" s="1080" t="s">
        <v>5701</v>
      </c>
      <c r="BE491" s="1080" t="str">
        <f t="shared" si="477"/>
        <v>Lore</v>
      </c>
      <c r="BF491" s="1080" t="str">
        <f t="shared" si="478"/>
        <v>Lore Historical Skills</v>
      </c>
    </row>
    <row r="492" spans="1:58" ht="11.1" customHeight="1" outlineLevel="3">
      <c r="A492" s="1093" t="str">
        <f>IF('Main Creation Page'!$K$5=3,"Cobolan","Egyptian")</f>
        <v>Cobolan</v>
      </c>
      <c r="B492" s="1094"/>
      <c r="C492" s="1094"/>
      <c r="D492" s="1094"/>
      <c r="E492" s="1095" t="s">
        <v>5224</v>
      </c>
      <c r="F492" s="1095" t="s">
        <v>5224</v>
      </c>
      <c r="G492" s="1096">
        <v>0</v>
      </c>
      <c r="H492" s="1096" t="s">
        <v>5224</v>
      </c>
      <c r="I492" s="1096" t="s">
        <v>5224</v>
      </c>
      <c r="J492" s="1096" t="s">
        <v>5224</v>
      </c>
      <c r="K492" s="1096" t="s">
        <v>5224</v>
      </c>
      <c r="L492" s="1096">
        <v>0</v>
      </c>
      <c r="M492" s="1096" t="s">
        <v>5224</v>
      </c>
      <c r="N492" s="1096" t="s">
        <v>4631</v>
      </c>
      <c r="O492" s="1028"/>
      <c r="P492" s="1028" t="s">
        <v>780</v>
      </c>
      <c r="Q492" s="1097">
        <f t="shared" ca="1" si="514"/>
        <v>17</v>
      </c>
      <c r="R492" s="1034"/>
      <c r="S492" s="1028" t="s">
        <v>3616</v>
      </c>
      <c r="T492" s="1097">
        <f t="shared" ca="1" si="515"/>
        <v>17</v>
      </c>
      <c r="U492" s="1027">
        <v>4</v>
      </c>
      <c r="V492" s="1027">
        <f t="shared" si="516"/>
        <v>5</v>
      </c>
      <c r="W492" s="1098" t="e">
        <f>IF(OR(I492&lt;&gt;"N",E492="C"),IF(AND(N492&lt;&gt;"T",ISNUMBER(FIND("V",I492))),1,0),NA())+IF(H492="Y",IF(AND(N492="P",ISNUMBER(FIND("Z",I492))),2,1),0)+IF(J492="Y",1,0)+IF(K492="Y",3,0)+IF(BE492="Lore",L492*2+Experience!$D$25,0)+IF(M492="Y",1,0)</f>
        <v>#N/A</v>
      </c>
      <c r="X492" s="1099"/>
      <c r="Y492" s="1100">
        <f ca="1">IF(P492="NS",IFERROR(INDIRECT(S492),NA()),VLOOKUP(INDIRECT(P492)+INDIRECT(S492),'System Lookups'!$A$3:$D$146,2))</f>
        <v>0.1</v>
      </c>
      <c r="Z492" s="1100">
        <f t="shared" si="517"/>
        <v>0</v>
      </c>
      <c r="AA492" s="1101">
        <f ca="1">IF(ISNA(Y492),0,Y492)+Z492+IF('Main Creation Page'!AB$2=37,'Main Creation Page'!E$14/100,0)</f>
        <v>0.1</v>
      </c>
      <c r="AB492" s="1102">
        <f>VLOOKUP(V492,'System Lookups'!$J$55:$P$64,3)</f>
        <v>0.1</v>
      </c>
      <c r="AC492" s="1103">
        <f>VLOOKUP(V492,'System Lookups'!$J$55:$P$64,4)</f>
        <v>0.2</v>
      </c>
      <c r="AD492" s="1104">
        <f t="shared" ca="1" si="518"/>
        <v>0.25</v>
      </c>
      <c r="AE492" s="1094">
        <f ca="1">(IF(AD492&gt;VLOOKUP(V492,'System Lookups'!$J$55:$P$63,6),(((AD492-VLOOKUP(V492,'System Lookups'!$J$55:$P$63,6))*100)/20),0))+AF492</f>
        <v>0</v>
      </c>
      <c r="AF492" s="1121"/>
      <c r="AG492" s="1092">
        <f t="shared" si="519"/>
        <v>0</v>
      </c>
      <c r="AH492" s="1092" t="str">
        <f>IF(X492&lt;=Experience!$R$15+1,"","*")</f>
        <v/>
      </c>
      <c r="AI492" s="1092"/>
      <c r="AJ492" s="1080">
        <f t="shared" si="520"/>
        <v>0</v>
      </c>
      <c r="AK492" s="1080">
        <f t="shared" si="525"/>
        <v>0</v>
      </c>
      <c r="AL492" s="1080">
        <f t="shared" si="521"/>
        <v>0</v>
      </c>
      <c r="AM492" s="1092">
        <f t="shared" si="526"/>
        <v>0</v>
      </c>
      <c r="AN492" s="1080">
        <f t="shared" si="527"/>
        <v>1</v>
      </c>
      <c r="AO492" s="1080">
        <f t="shared" si="522"/>
        <v>0</v>
      </c>
      <c r="AP492" s="1080">
        <f t="shared" si="523"/>
        <v>1</v>
      </c>
      <c r="AQ492" s="1027">
        <f>VLOOKUP(V492,'System Lookups'!$J$55:$P$64,7)</f>
        <v>700</v>
      </c>
      <c r="AR492" s="1080" t="str">
        <f ca="1">IF(AND(NOT(ISBLANK(AJ492)),ISNA(MATCH(ROW(),'System Lookups'!$C$526:$C$539,0))),"Y","N")</f>
        <v>Y</v>
      </c>
      <c r="AS492" s="1080">
        <f t="shared" si="524"/>
        <v>0</v>
      </c>
      <c r="AU492" s="1080" t="e">
        <f t="shared" si="479"/>
        <v>#N/A</v>
      </c>
      <c r="AV492" s="1080" t="str">
        <f t="shared" si="476"/>
        <v>T</v>
      </c>
      <c r="AW492" s="1080">
        <f t="shared" si="480"/>
        <v>0</v>
      </c>
      <c r="AX492" s="1080">
        <f t="shared" si="481"/>
        <v>0</v>
      </c>
      <c r="AY492" s="1080">
        <f t="shared" si="482"/>
        <v>0</v>
      </c>
      <c r="AZ492" s="1080">
        <f t="shared" si="483"/>
        <v>0</v>
      </c>
      <c r="BA492" s="1080">
        <f t="shared" si="484"/>
        <v>0</v>
      </c>
      <c r="BB492" s="1080">
        <f>IF(AND(RACE=1,'Main Creation Page'!$E$6="Well",OR(ISNUMBER(FIND(Experience!$G$11,BE492)),ISNUMBER(FIND(Experience!$G$11,BF492)),ISNUMBER(FIND(Experience!$I$11,BE492)),ISNUMBER(FIND(Experience!$I$11,BF492)))),1,0)</f>
        <v>1</v>
      </c>
      <c r="BC492" s="1080" t="str">
        <f t="shared" si="495"/>
        <v>Cult. Lore: Anc. Cobolan</v>
      </c>
      <c r="BD492" s="1080" t="s">
        <v>5701</v>
      </c>
      <c r="BE492" s="1080" t="str">
        <f t="shared" si="477"/>
        <v>Lore</v>
      </c>
      <c r="BF492" s="1080" t="str">
        <f t="shared" si="478"/>
        <v>Lore Historical Skills</v>
      </c>
    </row>
    <row r="493" spans="1:58" ht="11.1" customHeight="1" outlineLevel="3">
      <c r="A493" s="1093" t="str">
        <f>IF('Main Creation Page'!$K$5=3, "Mednan","Greek (Ancient)")</f>
        <v>Mednan</v>
      </c>
      <c r="B493" s="1094"/>
      <c r="C493" s="1094"/>
      <c r="D493" s="1094"/>
      <c r="E493" s="1095" t="s">
        <v>5224</v>
      </c>
      <c r="F493" s="1095" t="s">
        <v>5224</v>
      </c>
      <c r="G493" s="1096">
        <v>0</v>
      </c>
      <c r="H493" s="1096" t="s">
        <v>5224</v>
      </c>
      <c r="I493" s="1096" t="s">
        <v>5224</v>
      </c>
      <c r="J493" s="1096" t="s">
        <v>5224</v>
      </c>
      <c r="K493" s="1096" t="s">
        <v>5224</v>
      </c>
      <c r="L493" s="1096">
        <v>0</v>
      </c>
      <c r="M493" s="1096" t="s">
        <v>5224</v>
      </c>
      <c r="N493" s="1096" t="s">
        <v>4631</v>
      </c>
      <c r="O493" s="1028"/>
      <c r="P493" s="1028" t="s">
        <v>780</v>
      </c>
      <c r="Q493" s="1097">
        <f t="shared" ca="1" si="514"/>
        <v>17</v>
      </c>
      <c r="R493" s="1034"/>
      <c r="S493" s="1028" t="s">
        <v>3616</v>
      </c>
      <c r="T493" s="1097">
        <f t="shared" ca="1" si="515"/>
        <v>17</v>
      </c>
      <c r="U493" s="1027">
        <v>4</v>
      </c>
      <c r="V493" s="1027">
        <f t="shared" si="516"/>
        <v>5</v>
      </c>
      <c r="W493" s="1098" t="e">
        <f>IF(OR(I493&lt;&gt;"N",E493="C"),IF(AND(N493&lt;&gt;"T",ISNUMBER(FIND("V",I493))),1,0),NA())+IF(H493="Y",IF(AND(N493="P",ISNUMBER(FIND("Z",I493))),2,1),0)+IF(J493="Y",1,0)+IF(K493="Y",3,0)+IF(BE493="Lore",L493*2+Experience!$D$25,0)+IF(M493="Y",1,0)</f>
        <v>#N/A</v>
      </c>
      <c r="X493" s="1099"/>
      <c r="Y493" s="1100">
        <f ca="1">IF(P493="NS",IFERROR(INDIRECT(S493),NA()),VLOOKUP(INDIRECT(P493)+INDIRECT(S493),'System Lookups'!$A$3:$D$146,2))</f>
        <v>0.1</v>
      </c>
      <c r="Z493" s="1100">
        <f t="shared" si="517"/>
        <v>0</v>
      </c>
      <c r="AA493" s="1101">
        <f ca="1">IF(ISNA(Y493),0,Y493)+Z493+IF('Main Creation Page'!AB$2=37,'Main Creation Page'!E$14/100,0)</f>
        <v>0.1</v>
      </c>
      <c r="AB493" s="1102">
        <f>VLOOKUP(V493,'System Lookups'!$J$55:$P$64,3)</f>
        <v>0.1</v>
      </c>
      <c r="AC493" s="1103">
        <f>VLOOKUP(V493,'System Lookups'!$J$55:$P$64,4)</f>
        <v>0.2</v>
      </c>
      <c r="AD493" s="1104">
        <f t="shared" ca="1" si="518"/>
        <v>0.25</v>
      </c>
      <c r="AE493" s="1094">
        <f ca="1">(IF(AD493&gt;VLOOKUP(V493,'System Lookups'!$J$55:$P$63,6),(((AD493-VLOOKUP(V493,'System Lookups'!$J$55:$P$63,6))*100)/20),0))+AF493</f>
        <v>0</v>
      </c>
      <c r="AF493" s="1121"/>
      <c r="AG493" s="1092">
        <f t="shared" si="519"/>
        <v>0</v>
      </c>
      <c r="AH493" s="1092" t="str">
        <f>IF(X493&lt;=Experience!$R$15+1,"","*")</f>
        <v/>
      </c>
      <c r="AI493" s="1092"/>
      <c r="AJ493" s="1080">
        <f t="shared" si="520"/>
        <v>0</v>
      </c>
      <c r="AK493" s="1080">
        <f t="shared" si="525"/>
        <v>0</v>
      </c>
      <c r="AL493" s="1080">
        <f t="shared" si="521"/>
        <v>0</v>
      </c>
      <c r="AM493" s="1092">
        <f t="shared" si="526"/>
        <v>0</v>
      </c>
      <c r="AN493" s="1080">
        <f t="shared" si="527"/>
        <v>1</v>
      </c>
      <c r="AO493" s="1080">
        <f t="shared" si="522"/>
        <v>0</v>
      </c>
      <c r="AP493" s="1080">
        <f t="shared" si="523"/>
        <v>1</v>
      </c>
      <c r="AQ493" s="1027">
        <f>VLOOKUP(V493,'System Lookups'!$J$55:$P$64,7)</f>
        <v>700</v>
      </c>
      <c r="AR493" s="1080" t="str">
        <f ca="1">IF(AND(NOT(ISBLANK(AJ493)),ISNA(MATCH(ROW(),'System Lookups'!$C$526:$C$539,0))),"Y","N")</f>
        <v>Y</v>
      </c>
      <c r="AS493" s="1080">
        <f t="shared" si="524"/>
        <v>0</v>
      </c>
      <c r="AU493" s="1080" t="e">
        <f t="shared" si="479"/>
        <v>#N/A</v>
      </c>
      <c r="AV493" s="1080" t="str">
        <f t="shared" si="476"/>
        <v>T</v>
      </c>
      <c r="AW493" s="1080">
        <f t="shared" si="480"/>
        <v>0</v>
      </c>
      <c r="AX493" s="1080">
        <f t="shared" si="481"/>
        <v>0</v>
      </c>
      <c r="AY493" s="1080">
        <f t="shared" si="482"/>
        <v>0</v>
      </c>
      <c r="AZ493" s="1080">
        <f t="shared" si="483"/>
        <v>0</v>
      </c>
      <c r="BA493" s="1080">
        <f t="shared" si="484"/>
        <v>0</v>
      </c>
      <c r="BB493" s="1080">
        <f>IF(AND(RACE=1,'Main Creation Page'!$E$6="Well",OR(ISNUMBER(FIND(Experience!$G$11,BE493)),ISNUMBER(FIND(Experience!$G$11,BF493)),ISNUMBER(FIND(Experience!$I$11,BE493)),ISNUMBER(FIND(Experience!$I$11,BF493)))),1,0)</f>
        <v>1</v>
      </c>
      <c r="BC493" s="1080" t="str">
        <f t="shared" si="495"/>
        <v>Cult. Lore: Anc. Mednan</v>
      </c>
      <c r="BD493" s="1080" t="s">
        <v>5701</v>
      </c>
      <c r="BE493" s="1080" t="str">
        <f t="shared" si="477"/>
        <v>Lore</v>
      </c>
      <c r="BF493" s="1080" t="str">
        <f t="shared" si="478"/>
        <v>Lore Historical Skills</v>
      </c>
    </row>
    <row r="494" spans="1:58" ht="11.1" customHeight="1" outlineLevel="3">
      <c r="A494" s="1093" t="str">
        <f>IF('Main Creation Page'!$K$5=3, "Slaven","Hebrew")</f>
        <v>Slaven</v>
      </c>
      <c r="B494" s="1094"/>
      <c r="C494" s="1094"/>
      <c r="D494" s="1094"/>
      <c r="E494" s="1095" t="s">
        <v>5224</v>
      </c>
      <c r="F494" s="1095" t="s">
        <v>5224</v>
      </c>
      <c r="G494" s="1096">
        <v>0</v>
      </c>
      <c r="H494" s="1096" t="s">
        <v>5224</v>
      </c>
      <c r="I494" s="1096" t="s">
        <v>5224</v>
      </c>
      <c r="J494" s="1096" t="s">
        <v>5224</v>
      </c>
      <c r="K494" s="1096" t="s">
        <v>5224</v>
      </c>
      <c r="L494" s="1096">
        <v>0</v>
      </c>
      <c r="M494" s="1096" t="s">
        <v>5224</v>
      </c>
      <c r="N494" s="1096" t="s">
        <v>4631</v>
      </c>
      <c r="O494" s="1028"/>
      <c r="P494" s="1028" t="s">
        <v>780</v>
      </c>
      <c r="Q494" s="1097">
        <f t="shared" ca="1" si="514"/>
        <v>17</v>
      </c>
      <c r="R494" s="1034"/>
      <c r="S494" s="1028" t="s">
        <v>3616</v>
      </c>
      <c r="T494" s="1097">
        <f t="shared" ca="1" si="515"/>
        <v>17</v>
      </c>
      <c r="U494" s="1027">
        <v>4</v>
      </c>
      <c r="V494" s="1027">
        <f t="shared" si="516"/>
        <v>5</v>
      </c>
      <c r="W494" s="1098" t="e">
        <f>IF(OR(I494&lt;&gt;"N",E494="C"),IF(AND(N494&lt;&gt;"T",ISNUMBER(FIND("V",I494))),1,0),NA())+IF(H494="Y",IF(AND(N494="P",ISNUMBER(FIND("Z",I494))),2,1),0)+IF(J494="Y",1,0)+IF(K494="Y",3,0)+IF(BE494="Lore",L494*2+Experience!$D$25,0)+IF(M494="Y",1,0)</f>
        <v>#N/A</v>
      </c>
      <c r="X494" s="1099"/>
      <c r="Y494" s="1100">
        <f ca="1">IF(P494="NS",IFERROR(INDIRECT(S494),NA()),VLOOKUP(INDIRECT(P494)+INDIRECT(S494),'System Lookups'!$A$3:$D$146,2))</f>
        <v>0.1</v>
      </c>
      <c r="Z494" s="1100">
        <f t="shared" si="517"/>
        <v>0</v>
      </c>
      <c r="AA494" s="1101">
        <f ca="1">IF(ISNA(Y494),0,Y494)+Z494+IF('Main Creation Page'!AB$2=37,'Main Creation Page'!E$14/100,0)</f>
        <v>0.1</v>
      </c>
      <c r="AB494" s="1102">
        <f>VLOOKUP(V494,'System Lookups'!$J$55:$P$64,3)</f>
        <v>0.1</v>
      </c>
      <c r="AC494" s="1103">
        <f>VLOOKUP(V494,'System Lookups'!$J$55:$P$64,4)</f>
        <v>0.2</v>
      </c>
      <c r="AD494" s="1104">
        <f t="shared" ca="1" si="518"/>
        <v>0.25</v>
      </c>
      <c r="AE494" s="1094">
        <f ca="1">(IF(AD494&gt;VLOOKUP(V494,'System Lookups'!$J$55:$P$63,6),(((AD494-VLOOKUP(V494,'System Lookups'!$J$55:$P$63,6))*100)/20),0))+AF494</f>
        <v>0</v>
      </c>
      <c r="AF494" s="1121"/>
      <c r="AG494" s="1092">
        <f t="shared" si="519"/>
        <v>0</v>
      </c>
      <c r="AH494" s="1092" t="str">
        <f>IF(X494&lt;=Experience!$R$15+1,"","*")</f>
        <v/>
      </c>
      <c r="AI494" s="1092"/>
      <c r="AJ494" s="1080">
        <f t="shared" si="520"/>
        <v>0</v>
      </c>
      <c r="AK494" s="1080">
        <f t="shared" si="525"/>
        <v>0</v>
      </c>
      <c r="AL494" s="1080">
        <f t="shared" si="521"/>
        <v>0</v>
      </c>
      <c r="AM494" s="1092">
        <f t="shared" si="526"/>
        <v>0</v>
      </c>
      <c r="AN494" s="1080">
        <f t="shared" si="527"/>
        <v>1</v>
      </c>
      <c r="AO494" s="1080">
        <f t="shared" si="522"/>
        <v>0</v>
      </c>
      <c r="AP494" s="1080">
        <f t="shared" si="523"/>
        <v>1</v>
      </c>
      <c r="AQ494" s="1027">
        <f>VLOOKUP(V494,'System Lookups'!$J$55:$P$64,7)</f>
        <v>700</v>
      </c>
      <c r="AR494" s="1080" t="str">
        <f ca="1">IF(AND(NOT(ISBLANK(AJ494)),ISNA(MATCH(ROW(),'System Lookups'!$C$526:$C$539,0))),"Y","N")</f>
        <v>Y</v>
      </c>
      <c r="AS494" s="1080">
        <f t="shared" si="524"/>
        <v>0</v>
      </c>
      <c r="AU494" s="1080" t="e">
        <f t="shared" si="479"/>
        <v>#N/A</v>
      </c>
      <c r="AV494" s="1080" t="str">
        <f t="shared" si="476"/>
        <v>T</v>
      </c>
      <c r="AW494" s="1080">
        <f t="shared" si="480"/>
        <v>0</v>
      </c>
      <c r="AX494" s="1080">
        <f t="shared" si="481"/>
        <v>0</v>
      </c>
      <c r="AY494" s="1080">
        <f t="shared" si="482"/>
        <v>0</v>
      </c>
      <c r="AZ494" s="1080">
        <f t="shared" si="483"/>
        <v>0</v>
      </c>
      <c r="BA494" s="1080">
        <f t="shared" si="484"/>
        <v>0</v>
      </c>
      <c r="BB494" s="1080">
        <f>IF(AND(RACE=1,'Main Creation Page'!$E$6="Well",OR(ISNUMBER(FIND(Experience!$G$11,BE494)),ISNUMBER(FIND(Experience!$G$11,BF494)),ISNUMBER(FIND(Experience!$I$11,BE494)),ISNUMBER(FIND(Experience!$I$11,BF494)))),1,0)</f>
        <v>1</v>
      </c>
      <c r="BC494" s="1080" t="str">
        <f t="shared" si="495"/>
        <v>Cult. Lore: Anc. Slaven</v>
      </c>
      <c r="BD494" s="1080" t="s">
        <v>5701</v>
      </c>
      <c r="BE494" s="1080" t="str">
        <f t="shared" si="477"/>
        <v>Lore</v>
      </c>
      <c r="BF494" s="1080" t="str">
        <f t="shared" si="478"/>
        <v>Lore Historical Skills</v>
      </c>
    </row>
    <row r="495" spans="1:58" ht="11.1" customHeight="1" outlineLevel="3">
      <c r="A495" s="1093" t="str">
        <f>IF('Main Creation Page'!$K$5=3,"Lorn","Latin")</f>
        <v>Lorn</v>
      </c>
      <c r="B495" s="1094"/>
      <c r="C495" s="1094"/>
      <c r="D495" s="1094"/>
      <c r="E495" s="1095" t="s">
        <v>5224</v>
      </c>
      <c r="F495" s="1095" t="s">
        <v>5224</v>
      </c>
      <c r="G495" s="1096">
        <v>0</v>
      </c>
      <c r="H495" s="1096" t="s">
        <v>5224</v>
      </c>
      <c r="I495" s="1096" t="s">
        <v>5224</v>
      </c>
      <c r="J495" s="1096" t="s">
        <v>5224</v>
      </c>
      <c r="K495" s="1096" t="s">
        <v>5224</v>
      </c>
      <c r="L495" s="1096">
        <v>0</v>
      </c>
      <c r="M495" s="1096" t="s">
        <v>5224</v>
      </c>
      <c r="N495" s="1096" t="s">
        <v>4631</v>
      </c>
      <c r="O495" s="1028"/>
      <c r="P495" s="1028" t="s">
        <v>780</v>
      </c>
      <c r="Q495" s="1097">
        <f t="shared" ca="1" si="514"/>
        <v>17</v>
      </c>
      <c r="R495" s="1034"/>
      <c r="S495" s="1028" t="s">
        <v>3616</v>
      </c>
      <c r="T495" s="1097">
        <f t="shared" ca="1" si="515"/>
        <v>17</v>
      </c>
      <c r="U495" s="1027">
        <v>4</v>
      </c>
      <c r="V495" s="1027">
        <f t="shared" si="516"/>
        <v>5</v>
      </c>
      <c r="W495" s="1098" t="e">
        <f>IF(OR(I495&lt;&gt;"N",E495="C"),IF(AND(N495&lt;&gt;"T",ISNUMBER(FIND("V",I495))),1,0),NA())+IF(H495="Y",IF(AND(N495="P",ISNUMBER(FIND("Z",I495))),2,1),0)+IF(J495="Y",1,0)+IF(K495="Y",3,0)+IF(BE495="Lore",L495*2+Experience!$D$25,0)+IF(M495="Y",1,0)</f>
        <v>#N/A</v>
      </c>
      <c r="X495" s="1099"/>
      <c r="Y495" s="1100">
        <f ca="1">IF(P495="NS",IFERROR(INDIRECT(S495),NA()),VLOOKUP(INDIRECT(P495)+INDIRECT(S495),'System Lookups'!$A$3:$D$146,2))</f>
        <v>0.1</v>
      </c>
      <c r="Z495" s="1100">
        <f t="shared" si="517"/>
        <v>0</v>
      </c>
      <c r="AA495" s="1101">
        <f ca="1">IF(ISNA(Y495),0,Y495)+Z495+IF('Main Creation Page'!AB$2=37,'Main Creation Page'!E$14/100,0)</f>
        <v>0.1</v>
      </c>
      <c r="AB495" s="1102">
        <f>VLOOKUP(V495,'System Lookups'!$J$55:$P$64,3)</f>
        <v>0.1</v>
      </c>
      <c r="AC495" s="1103">
        <f>VLOOKUP(V495,'System Lookups'!$J$55:$P$64,4)</f>
        <v>0.2</v>
      </c>
      <c r="AD495" s="1104">
        <f t="shared" ca="1" si="518"/>
        <v>0.25</v>
      </c>
      <c r="AE495" s="1094">
        <f ca="1">(IF(AD495&gt;VLOOKUP(V495,'System Lookups'!$J$55:$P$63,6),(((AD495-VLOOKUP(V495,'System Lookups'!$J$55:$P$63,6))*100)/20),0))+AF495</f>
        <v>0</v>
      </c>
      <c r="AF495" s="1121"/>
      <c r="AG495" s="1092">
        <f t="shared" si="519"/>
        <v>0</v>
      </c>
      <c r="AH495" s="1092" t="str">
        <f>IF(X495&lt;=Experience!$R$15+1,"","*")</f>
        <v/>
      </c>
      <c r="AI495" s="1092"/>
      <c r="AJ495" s="1080">
        <f t="shared" si="520"/>
        <v>0</v>
      </c>
      <c r="AK495" s="1080">
        <f t="shared" si="525"/>
        <v>0</v>
      </c>
      <c r="AL495" s="1080">
        <f t="shared" si="521"/>
        <v>0</v>
      </c>
      <c r="AM495" s="1092">
        <f t="shared" si="526"/>
        <v>0</v>
      </c>
      <c r="AN495" s="1080">
        <f t="shared" si="527"/>
        <v>1</v>
      </c>
      <c r="AO495" s="1080">
        <f t="shared" si="522"/>
        <v>0</v>
      </c>
      <c r="AP495" s="1080">
        <f t="shared" si="523"/>
        <v>1</v>
      </c>
      <c r="AQ495" s="1027">
        <f>VLOOKUP(V495,'System Lookups'!$J$55:$P$64,7)</f>
        <v>700</v>
      </c>
      <c r="AR495" s="1080" t="str">
        <f ca="1">IF(AND(NOT(ISBLANK(AJ495)),ISNA(MATCH(ROW(),'System Lookups'!$C$526:$C$539,0))),"Y","N")</f>
        <v>Y</v>
      </c>
      <c r="AS495" s="1080">
        <f t="shared" si="524"/>
        <v>0</v>
      </c>
      <c r="AU495" s="1080" t="e">
        <f t="shared" si="479"/>
        <v>#N/A</v>
      </c>
      <c r="AV495" s="1080" t="str">
        <f t="shared" si="476"/>
        <v>T</v>
      </c>
      <c r="AW495" s="1080">
        <f t="shared" si="480"/>
        <v>0</v>
      </c>
      <c r="AX495" s="1080">
        <f t="shared" si="481"/>
        <v>0</v>
      </c>
      <c r="AY495" s="1080">
        <f t="shared" si="482"/>
        <v>0</v>
      </c>
      <c r="AZ495" s="1080">
        <f t="shared" si="483"/>
        <v>0</v>
      </c>
      <c r="BA495" s="1080">
        <f t="shared" si="484"/>
        <v>0</v>
      </c>
      <c r="BB495" s="1080">
        <f>IF(AND(RACE=1,'Main Creation Page'!$E$6="Well",OR(ISNUMBER(FIND(Experience!$G$11,BE495)),ISNUMBER(FIND(Experience!$G$11,BF495)),ISNUMBER(FIND(Experience!$I$11,BE495)),ISNUMBER(FIND(Experience!$I$11,BF495)))),1,0)</f>
        <v>1</v>
      </c>
      <c r="BC495" s="1080" t="str">
        <f t="shared" si="495"/>
        <v>Cult. Lore: Anc. Lorn</v>
      </c>
      <c r="BD495" s="1080" t="s">
        <v>5701</v>
      </c>
      <c r="BE495" s="1080" t="str">
        <f t="shared" si="477"/>
        <v>Lore</v>
      </c>
      <c r="BF495" s="1080" t="str">
        <f t="shared" si="478"/>
        <v>Lore Historical Skills</v>
      </c>
    </row>
    <row r="496" spans="1:58" ht="11.1" customHeight="1" outlineLevel="3">
      <c r="A496" s="1093" t="str">
        <f>IF('Main Creation Page'!$K$5=3, "Ancient Lands","Phoenician")</f>
        <v>Ancient Lands</v>
      </c>
      <c r="B496" s="1094"/>
      <c r="C496" s="1094"/>
      <c r="D496" s="1094"/>
      <c r="E496" s="1095" t="s">
        <v>5224</v>
      </c>
      <c r="F496" s="1095" t="s">
        <v>5224</v>
      </c>
      <c r="G496" s="1096">
        <v>0</v>
      </c>
      <c r="H496" s="1096" t="s">
        <v>5224</v>
      </c>
      <c r="I496" s="1096" t="s">
        <v>5224</v>
      </c>
      <c r="J496" s="1096" t="s">
        <v>5224</v>
      </c>
      <c r="K496" s="1096" t="s">
        <v>5224</v>
      </c>
      <c r="L496" s="1096">
        <v>0</v>
      </c>
      <c r="M496" s="1096" t="s">
        <v>5224</v>
      </c>
      <c r="N496" s="1096" t="s">
        <v>4631</v>
      </c>
      <c r="O496" s="1028"/>
      <c r="P496" s="1028" t="s">
        <v>780</v>
      </c>
      <c r="Q496" s="1097">
        <f t="shared" ca="1" si="514"/>
        <v>17</v>
      </c>
      <c r="R496" s="1034"/>
      <c r="S496" s="1028" t="s">
        <v>3616</v>
      </c>
      <c r="T496" s="1097">
        <f t="shared" ca="1" si="515"/>
        <v>17</v>
      </c>
      <c r="U496" s="1027">
        <v>4</v>
      </c>
      <c r="V496" s="1027">
        <f t="shared" si="516"/>
        <v>5</v>
      </c>
      <c r="W496" s="1098" t="e">
        <f>IF(OR(I496&lt;&gt;"N",E496="C"),IF(AND(N496&lt;&gt;"T",ISNUMBER(FIND("V",I496))),1,0),NA())+IF(H496="Y",IF(AND(N496="P",ISNUMBER(FIND("Z",I496))),2,1),0)+IF(J496="Y",1,0)+IF(K496="Y",3,0)+IF(BE496="Lore",L496*2+Experience!$D$25,0)+IF(M496="Y",1,0)</f>
        <v>#N/A</v>
      </c>
      <c r="X496" s="1099"/>
      <c r="Y496" s="1100">
        <f ca="1">IF(P496="NS",IFERROR(INDIRECT(S496),NA()),VLOOKUP(INDIRECT(P496)+INDIRECT(S496),'System Lookups'!$A$3:$D$146,2))</f>
        <v>0.1</v>
      </c>
      <c r="Z496" s="1100">
        <f t="shared" si="517"/>
        <v>0</v>
      </c>
      <c r="AA496" s="1101">
        <f ca="1">IF(ISNA(Y496),0,Y496)+Z496+IF('Main Creation Page'!AB$2=37,'Main Creation Page'!E$14/100,0)</f>
        <v>0.1</v>
      </c>
      <c r="AB496" s="1102">
        <f>VLOOKUP(V496,'System Lookups'!$J$55:$P$64,3)</f>
        <v>0.1</v>
      </c>
      <c r="AC496" s="1103">
        <f>VLOOKUP(V496,'System Lookups'!$J$55:$P$64,4)</f>
        <v>0.2</v>
      </c>
      <c r="AD496" s="1104">
        <f t="shared" ca="1" si="518"/>
        <v>0.25</v>
      </c>
      <c r="AE496" s="1094">
        <f ca="1">(IF(AD496&gt;VLOOKUP(V496,'System Lookups'!$J$55:$P$63,6),(((AD496-VLOOKUP(V496,'System Lookups'!$J$55:$P$63,6))*100)/20),0))+AF496</f>
        <v>0</v>
      </c>
      <c r="AF496" s="1121"/>
      <c r="AG496" s="1092">
        <f t="shared" si="519"/>
        <v>0</v>
      </c>
      <c r="AH496" s="1092" t="str">
        <f>IF(X496&lt;=Experience!$R$15+1,"","*")</f>
        <v/>
      </c>
      <c r="AI496" s="1092"/>
      <c r="AJ496" s="1080">
        <f t="shared" si="520"/>
        <v>0</v>
      </c>
      <c r="AK496" s="1080">
        <f t="shared" si="525"/>
        <v>0</v>
      </c>
      <c r="AL496" s="1080">
        <f t="shared" si="521"/>
        <v>0</v>
      </c>
      <c r="AM496" s="1092">
        <f t="shared" si="526"/>
        <v>0</v>
      </c>
      <c r="AN496" s="1080">
        <f t="shared" si="527"/>
        <v>1</v>
      </c>
      <c r="AO496" s="1080">
        <f t="shared" si="522"/>
        <v>0</v>
      </c>
      <c r="AP496" s="1080">
        <f t="shared" si="523"/>
        <v>1</v>
      </c>
      <c r="AQ496" s="1027">
        <f>VLOOKUP(V496,'System Lookups'!$J$55:$P$64,7)</f>
        <v>700</v>
      </c>
      <c r="AR496" s="1080" t="str">
        <f ca="1">IF(AND(NOT(ISBLANK(AJ496)),ISNA(MATCH(ROW(),'System Lookups'!$C$526:$C$539,0))),"Y","N")</f>
        <v>Y</v>
      </c>
      <c r="AS496" s="1080">
        <f t="shared" si="524"/>
        <v>0</v>
      </c>
      <c r="AU496" s="1080" t="e">
        <f t="shared" si="479"/>
        <v>#N/A</v>
      </c>
      <c r="AV496" s="1080" t="str">
        <f t="shared" si="476"/>
        <v>T</v>
      </c>
      <c r="AW496" s="1080">
        <f t="shared" si="480"/>
        <v>0</v>
      </c>
      <c r="AX496" s="1080">
        <f t="shared" si="481"/>
        <v>0</v>
      </c>
      <c r="AY496" s="1080">
        <f t="shared" si="482"/>
        <v>0</v>
      </c>
      <c r="AZ496" s="1080">
        <f t="shared" si="483"/>
        <v>0</v>
      </c>
      <c r="BA496" s="1080">
        <f t="shared" si="484"/>
        <v>0</v>
      </c>
      <c r="BB496" s="1080">
        <f>IF(AND(RACE=1,'Main Creation Page'!$E$6="Well",OR(ISNUMBER(FIND(Experience!$G$11,BE496)),ISNUMBER(FIND(Experience!$G$11,BF496)),ISNUMBER(FIND(Experience!$I$11,BE496)),ISNUMBER(FIND(Experience!$I$11,BF496)))),1,0)</f>
        <v>1</v>
      </c>
      <c r="BC496" s="1080" t="str">
        <f t="shared" si="495"/>
        <v>Cult. Lore: Anc. Ancient Lands</v>
      </c>
      <c r="BD496" s="1080" t="s">
        <v>5701</v>
      </c>
      <c r="BE496" s="1080" t="str">
        <f t="shared" si="477"/>
        <v>Lore</v>
      </c>
      <c r="BF496" s="1080" t="str">
        <f t="shared" si="478"/>
        <v>Lore Historical Skills</v>
      </c>
    </row>
    <row r="497" spans="1:58" ht="11.1" customHeight="1" outlineLevel="3">
      <c r="A497" s="1093" t="str">
        <f>IF('Main Creation Page'!$K$5=3, "Telnar","Sumerian")</f>
        <v>Telnar</v>
      </c>
      <c r="B497" s="1094"/>
      <c r="C497" s="1094"/>
      <c r="D497" s="1094"/>
      <c r="E497" s="1095" t="s">
        <v>5224</v>
      </c>
      <c r="F497" s="1095" t="s">
        <v>5224</v>
      </c>
      <c r="G497" s="1096">
        <v>0</v>
      </c>
      <c r="H497" s="1096" t="s">
        <v>5224</v>
      </c>
      <c r="I497" s="1096" t="s">
        <v>5224</v>
      </c>
      <c r="J497" s="1096" t="s">
        <v>5224</v>
      </c>
      <c r="K497" s="1096" t="s">
        <v>5224</v>
      </c>
      <c r="L497" s="1096">
        <v>0</v>
      </c>
      <c r="M497" s="1096" t="s">
        <v>5224</v>
      </c>
      <c r="N497" s="1096" t="s">
        <v>4631</v>
      </c>
      <c r="O497" s="1028"/>
      <c r="P497" s="1028" t="s">
        <v>780</v>
      </c>
      <c r="Q497" s="1097">
        <f t="shared" ca="1" si="514"/>
        <v>17</v>
      </c>
      <c r="R497" s="1034"/>
      <c r="S497" s="1028" t="s">
        <v>3616</v>
      </c>
      <c r="T497" s="1097">
        <f t="shared" ca="1" si="515"/>
        <v>17</v>
      </c>
      <c r="U497" s="1027">
        <v>4</v>
      </c>
      <c r="V497" s="1027">
        <f t="shared" si="516"/>
        <v>5</v>
      </c>
      <c r="W497" s="1098" t="e">
        <f>IF(OR(I497&lt;&gt;"N",E497="C"),IF(AND(N497&lt;&gt;"T",ISNUMBER(FIND("V",I497))),1,0),NA())+IF(H497="Y",IF(AND(N497="P",ISNUMBER(FIND("Z",I497))),2,1),0)+IF(J497="Y",1,0)+IF(K497="Y",3,0)+IF(BE497="Lore",L497*2+Experience!$D$25,0)+IF(M497="Y",1,0)</f>
        <v>#N/A</v>
      </c>
      <c r="X497" s="1099"/>
      <c r="Y497" s="1100">
        <f ca="1">IF(P497="NS",IFERROR(INDIRECT(S497),NA()),VLOOKUP(INDIRECT(P497)+INDIRECT(S497),'System Lookups'!$A$3:$D$146,2))</f>
        <v>0.1</v>
      </c>
      <c r="Z497" s="1100">
        <f t="shared" si="517"/>
        <v>0</v>
      </c>
      <c r="AA497" s="1101">
        <f ca="1">IF(ISNA(Y497),0,Y497)+Z497+IF('Main Creation Page'!AB$2=37,'Main Creation Page'!E$14/100,0)</f>
        <v>0.1</v>
      </c>
      <c r="AB497" s="1102">
        <f>VLOOKUP(V497,'System Lookups'!$J$55:$P$64,3)</f>
        <v>0.1</v>
      </c>
      <c r="AC497" s="1103">
        <f>VLOOKUP(V497,'System Lookups'!$J$55:$P$64,4)</f>
        <v>0.2</v>
      </c>
      <c r="AD497" s="1104">
        <f t="shared" ca="1" si="518"/>
        <v>0.25</v>
      </c>
      <c r="AE497" s="1094">
        <f ca="1">(IF(AD497&gt;VLOOKUP(V497,'System Lookups'!$J$55:$P$63,6),(((AD497-VLOOKUP(V497,'System Lookups'!$J$55:$P$63,6))*100)/20),0))+AF497</f>
        <v>0</v>
      </c>
      <c r="AF497" s="1121"/>
      <c r="AG497" s="1092">
        <f t="shared" si="519"/>
        <v>0</v>
      </c>
      <c r="AH497" s="1092" t="str">
        <f>IF(X497&lt;=Experience!$R$15+1,"","*")</f>
        <v/>
      </c>
      <c r="AI497" s="1092"/>
      <c r="AJ497" s="1080">
        <f t="shared" si="520"/>
        <v>0</v>
      </c>
      <c r="AK497" s="1080">
        <f t="shared" si="525"/>
        <v>0</v>
      </c>
      <c r="AL497" s="1080">
        <f t="shared" si="521"/>
        <v>0</v>
      </c>
      <c r="AM497" s="1092">
        <f t="shared" si="526"/>
        <v>0</v>
      </c>
      <c r="AN497" s="1080">
        <f t="shared" si="527"/>
        <v>1</v>
      </c>
      <c r="AO497" s="1080">
        <f t="shared" si="522"/>
        <v>0</v>
      </c>
      <c r="AP497" s="1080">
        <f t="shared" si="523"/>
        <v>1</v>
      </c>
      <c r="AQ497" s="1027">
        <f>VLOOKUP(V497,'System Lookups'!$J$55:$P$64,7)</f>
        <v>700</v>
      </c>
      <c r="AR497" s="1080" t="str">
        <f ca="1">IF(AND(NOT(ISBLANK(AJ497)),ISNA(MATCH(ROW(),'System Lookups'!$C$526:$C$539,0))),"Y","N")</f>
        <v>Y</v>
      </c>
      <c r="AS497" s="1080">
        <f t="shared" si="524"/>
        <v>0</v>
      </c>
      <c r="AU497" s="1080" t="e">
        <f t="shared" si="479"/>
        <v>#N/A</v>
      </c>
      <c r="AV497" s="1080" t="str">
        <f t="shared" si="476"/>
        <v>T</v>
      </c>
      <c r="AW497" s="1080">
        <f t="shared" si="480"/>
        <v>0</v>
      </c>
      <c r="AX497" s="1080">
        <f t="shared" si="481"/>
        <v>0</v>
      </c>
      <c r="AY497" s="1080">
        <f t="shared" si="482"/>
        <v>0</v>
      </c>
      <c r="AZ497" s="1080">
        <f t="shared" si="483"/>
        <v>0</v>
      </c>
      <c r="BA497" s="1080">
        <f t="shared" si="484"/>
        <v>0</v>
      </c>
      <c r="BB497" s="1080">
        <f>IF(AND(RACE=1,'Main Creation Page'!$E$6="Well",OR(ISNUMBER(FIND(Experience!$G$11,BE497)),ISNUMBER(FIND(Experience!$G$11,BF497)),ISNUMBER(FIND(Experience!$I$11,BE497)),ISNUMBER(FIND(Experience!$I$11,BF497)))),1,0)</f>
        <v>1</v>
      </c>
      <c r="BC497" s="1080" t="str">
        <f t="shared" si="495"/>
        <v>Cult. Lore: Anc. Telnar</v>
      </c>
      <c r="BD497" s="1080" t="s">
        <v>5701</v>
      </c>
      <c r="BE497" s="1080" t="str">
        <f t="shared" si="477"/>
        <v>Lore</v>
      </c>
      <c r="BF497" s="1080" t="str">
        <f t="shared" si="478"/>
        <v>Lore Historical Skills</v>
      </c>
    </row>
    <row r="498" spans="1:58" ht="11.1" customHeight="1" outlineLevel="2">
      <c r="A498" s="1145" t="s">
        <v>771</v>
      </c>
      <c r="B498" s="1094"/>
      <c r="C498" s="1094"/>
      <c r="D498" s="1094"/>
      <c r="E498" s="1095" t="s">
        <v>5224</v>
      </c>
      <c r="F498" s="1095" t="s">
        <v>5224</v>
      </c>
      <c r="G498" s="1096">
        <v>0</v>
      </c>
      <c r="H498" s="1096" t="s">
        <v>5224</v>
      </c>
      <c r="I498" s="1096" t="s">
        <v>5224</v>
      </c>
      <c r="J498" s="1096" t="s">
        <v>5224</v>
      </c>
      <c r="K498" s="1096" t="s">
        <v>5224</v>
      </c>
      <c r="L498" s="1096">
        <v>0</v>
      </c>
      <c r="M498" s="1096" t="s">
        <v>5224</v>
      </c>
      <c r="N498" s="1096" t="s">
        <v>4631</v>
      </c>
      <c r="O498" s="1028"/>
      <c r="P498" s="1028" t="s">
        <v>780</v>
      </c>
      <c r="Q498" s="1097">
        <f t="shared" ca="1" si="514"/>
        <v>17</v>
      </c>
      <c r="R498" s="1034"/>
      <c r="S498" s="1028" t="s">
        <v>3616</v>
      </c>
      <c r="T498" s="1097">
        <f t="shared" ca="1" si="515"/>
        <v>17</v>
      </c>
      <c r="U498" s="1027">
        <v>7</v>
      </c>
      <c r="V498" s="1027">
        <f t="shared" si="516"/>
        <v>8</v>
      </c>
      <c r="W498" s="1098" t="e">
        <f>IF(OR(I498&lt;&gt;"N",E498="C"),IF(AND(N498&lt;&gt;"T",ISNUMBER(FIND("V",I498))),1,0),NA())+IF(H498="Y",IF(AND(N498="P",ISNUMBER(FIND("Z",I498))),2,1),0)+IF(J498="Y",1,0)+IF(K498="Y",3,0)+IF(BE498="Lore",L498*2+Experience!$D$25,0)+IF(M498="Y",1,0)</f>
        <v>#N/A</v>
      </c>
      <c r="X498" s="1099"/>
      <c r="Y498" s="1100">
        <f ca="1">IF(P498="NS",IFERROR(INDIRECT(S498),NA()),VLOOKUP(INDIRECT(P498)+INDIRECT(S498),'System Lookups'!$A$3:$D$146,2))</f>
        <v>0.1</v>
      </c>
      <c r="Z498" s="1100">
        <f t="shared" si="517"/>
        <v>0</v>
      </c>
      <c r="AA498" s="1101">
        <f ca="1">IF(ISNA(Y498),0,Y498)+Z498+IF('Main Creation Page'!AB$2=37,'Main Creation Page'!E$14/100,0)</f>
        <v>0.1</v>
      </c>
      <c r="AB498" s="1102">
        <f>VLOOKUP(V498,'System Lookups'!$J$55:$P$64,3)</f>
        <v>0.02</v>
      </c>
      <c r="AC498" s="1103">
        <f>VLOOKUP(V498,'System Lookups'!$J$55:$P$64,4)</f>
        <v>0.03</v>
      </c>
      <c r="AD498" s="1104">
        <f t="shared" ca="1" si="518"/>
        <v>0.17</v>
      </c>
      <c r="AE498" s="1094">
        <f ca="1">(IF(AD498&gt;VLOOKUP(V498,'System Lookups'!$J$55:$P$63,6),(((AD498-VLOOKUP(V498,'System Lookups'!$J$55:$P$63,6))*100)/20),0))+AF498</f>
        <v>0</v>
      </c>
      <c r="AF498" s="1121"/>
      <c r="AG498" s="1092">
        <f t="shared" si="519"/>
        <v>0</v>
      </c>
      <c r="AH498" s="1092" t="str">
        <f>IF(X498&lt;=Experience!$R$15+1,"","*")</f>
        <v/>
      </c>
      <c r="AI498" s="1092"/>
      <c r="AJ498" s="1080">
        <f t="shared" si="520"/>
        <v>0</v>
      </c>
      <c r="AK498" s="1080">
        <f t="shared" si="525"/>
        <v>0</v>
      </c>
      <c r="AL498" s="1080">
        <f t="shared" si="521"/>
        <v>0</v>
      </c>
      <c r="AM498" s="1092">
        <f t="shared" si="526"/>
        <v>0</v>
      </c>
      <c r="AN498" s="1080">
        <f t="shared" si="527"/>
        <v>1</v>
      </c>
      <c r="AO498" s="1080">
        <f t="shared" si="522"/>
        <v>0</v>
      </c>
      <c r="AP498" s="1080">
        <f t="shared" si="523"/>
        <v>1</v>
      </c>
      <c r="AQ498" s="1027">
        <f>VLOOKUP(V498,'System Lookups'!$J$55:$P$64,7)</f>
        <v>1200</v>
      </c>
      <c r="AR498" s="1080" t="str">
        <f ca="1">IF(AND(NOT(ISBLANK(AJ498)),ISNA(MATCH(ROW(),'System Lookups'!$C$526:$C$539,0))),"Y","N")</f>
        <v>Y</v>
      </c>
      <c r="AS498" s="1080">
        <f t="shared" si="524"/>
        <v>0</v>
      </c>
      <c r="AU498" s="1080" t="e">
        <f t="shared" si="479"/>
        <v>#N/A</v>
      </c>
      <c r="AV498" s="1080" t="str">
        <f t="shared" si="476"/>
        <v>T</v>
      </c>
      <c r="AW498" s="1080">
        <f t="shared" si="480"/>
        <v>0</v>
      </c>
      <c r="AX498" s="1080">
        <f t="shared" si="481"/>
        <v>0</v>
      </c>
      <c r="AY498" s="1080">
        <f t="shared" si="482"/>
        <v>0</v>
      </c>
      <c r="AZ498" s="1080">
        <f t="shared" si="483"/>
        <v>0</v>
      </c>
      <c r="BA498" s="1080">
        <f t="shared" si="484"/>
        <v>0</v>
      </c>
      <c r="BB498" s="1080">
        <f>IF(AND(RACE=1,'Main Creation Page'!$E$6="Well",OR(ISNUMBER(FIND(Experience!$G$11,BE498)),ISNUMBER(FIND(Experience!$G$11,BF498)),ISNUMBER(FIND(Experience!$I$11,BE498)),ISNUMBER(FIND(Experience!$I$11,BF498)))),1,0)</f>
        <v>1</v>
      </c>
      <c r="BC498" s="1080" t="str">
        <f t="shared" si="495"/>
        <v>Cult. Lore:Forgotten</v>
      </c>
      <c r="BD498" s="1080" t="s">
        <v>5700</v>
      </c>
      <c r="BE498" s="1080" t="str">
        <f t="shared" si="477"/>
        <v>Lore</v>
      </c>
      <c r="BF498" s="1080" t="str">
        <f t="shared" si="478"/>
        <v>Lore Historical Skills</v>
      </c>
    </row>
    <row r="499" spans="1:58" ht="11.1" customHeight="1" outlineLevel="2">
      <c r="A499" s="1145" t="s">
        <v>772</v>
      </c>
      <c r="B499" s="1094"/>
      <c r="C499" s="1094"/>
      <c r="D499" s="1094"/>
      <c r="E499" s="1095" t="s">
        <v>5224</v>
      </c>
      <c r="F499" s="1095" t="s">
        <v>5224</v>
      </c>
      <c r="G499" s="1096">
        <v>0</v>
      </c>
      <c r="H499" s="1096" t="s">
        <v>5224</v>
      </c>
      <c r="I499" s="1096" t="s">
        <v>5224</v>
      </c>
      <c r="J499" s="1096" t="s">
        <v>5224</v>
      </c>
      <c r="K499" s="1096" t="s">
        <v>5224</v>
      </c>
      <c r="L499" s="1096">
        <v>0</v>
      </c>
      <c r="M499" s="1096" t="s">
        <v>5224</v>
      </c>
      <c r="N499" s="1096" t="s">
        <v>4631</v>
      </c>
      <c r="O499" s="1028"/>
      <c r="P499" s="1028" t="s">
        <v>780</v>
      </c>
      <c r="Q499" s="1097">
        <f t="shared" ca="1" si="514"/>
        <v>17</v>
      </c>
      <c r="R499" s="1034"/>
      <c r="S499" s="1028" t="s">
        <v>3616</v>
      </c>
      <c r="T499" s="1097">
        <f t="shared" ca="1" si="515"/>
        <v>17</v>
      </c>
      <c r="U499" s="1027">
        <v>3</v>
      </c>
      <c r="V499" s="1027">
        <f t="shared" si="516"/>
        <v>4</v>
      </c>
      <c r="W499" s="1098" t="e">
        <f>IF(OR(I499&lt;&gt;"N",E499="C"),IF(AND(N499&lt;&gt;"T",ISNUMBER(FIND("V",I499))),1,0),NA())+IF(H499="Y",IF(AND(N499="P",ISNUMBER(FIND("Z",I499))),2,1),0)+IF(J499="Y",1,0)+IF(K499="Y",3,0)+IF(BE499="Lore",L499*2+Experience!$D$25,0)+IF(M499="Y",1,0)</f>
        <v>#N/A</v>
      </c>
      <c r="X499" s="1099"/>
      <c r="Y499" s="1100">
        <f ca="1">IF(P499="NS",IFERROR(INDIRECT(S499),NA()),VLOOKUP(INDIRECT(P499)+INDIRECT(S499),'System Lookups'!$A$3:$D$146,2))</f>
        <v>0.1</v>
      </c>
      <c r="Z499" s="1100">
        <f t="shared" si="517"/>
        <v>0</v>
      </c>
      <c r="AA499" s="1101">
        <f ca="1">IF(ISNA(Y499),0,Y499)+Z499+IF('Main Creation Page'!AB$2=37,'Main Creation Page'!E$14/100,0)</f>
        <v>0.1</v>
      </c>
      <c r="AB499" s="1102">
        <f>VLOOKUP(V499,'System Lookups'!$J$55:$P$64,3)</f>
        <v>0.2</v>
      </c>
      <c r="AC499" s="1103">
        <f>VLOOKUP(V499,'System Lookups'!$J$55:$P$64,4)</f>
        <v>0.3</v>
      </c>
      <c r="AD499" s="1104">
        <f t="shared" ca="1" si="518"/>
        <v>0.35000000000000003</v>
      </c>
      <c r="AE499" s="1094">
        <f ca="1">(IF(AD499&gt;VLOOKUP(V499,'System Lookups'!$J$55:$P$63,6),(((AD499-VLOOKUP(V499,'System Lookups'!$J$55:$P$63,6))*100)/20),0))+AF499</f>
        <v>0</v>
      </c>
      <c r="AF499" s="1121"/>
      <c r="AG499" s="1092">
        <f t="shared" si="519"/>
        <v>0</v>
      </c>
      <c r="AH499" s="1092" t="str">
        <f>IF(X499&lt;=Experience!$R$15+1,"","*")</f>
        <v/>
      </c>
      <c r="AI499" s="1092"/>
      <c r="AJ499" s="1080">
        <f t="shared" si="520"/>
        <v>0</v>
      </c>
      <c r="AK499" s="1080">
        <f t="shared" si="525"/>
        <v>0</v>
      </c>
      <c r="AL499" s="1080">
        <f t="shared" si="521"/>
        <v>0</v>
      </c>
      <c r="AM499" s="1092">
        <f t="shared" si="526"/>
        <v>0</v>
      </c>
      <c r="AN499" s="1080">
        <f t="shared" si="527"/>
        <v>1</v>
      </c>
      <c r="AO499" s="1080">
        <f t="shared" si="522"/>
        <v>0</v>
      </c>
      <c r="AP499" s="1080">
        <f t="shared" si="523"/>
        <v>1</v>
      </c>
      <c r="AQ499" s="1027">
        <f>VLOOKUP(V499,'System Lookups'!$J$55:$P$64,7)</f>
        <v>600</v>
      </c>
      <c r="AR499" s="1080" t="str">
        <f ca="1">IF(AND(NOT(ISBLANK(AJ499)),ISNA(MATCH(ROW(),'System Lookups'!$C$526:$C$539,0))),"Y","N")</f>
        <v>Y</v>
      </c>
      <c r="AS499" s="1080">
        <f t="shared" si="524"/>
        <v>0</v>
      </c>
      <c r="AU499" s="1080" t="e">
        <f t="shared" si="479"/>
        <v>#N/A</v>
      </c>
      <c r="AV499" s="1080" t="str">
        <f t="shared" si="476"/>
        <v>T</v>
      </c>
      <c r="AW499" s="1080">
        <f t="shared" si="480"/>
        <v>0</v>
      </c>
      <c r="AX499" s="1080">
        <f t="shared" si="481"/>
        <v>0</v>
      </c>
      <c r="AY499" s="1080">
        <f t="shared" si="482"/>
        <v>0</v>
      </c>
      <c r="AZ499" s="1080">
        <f t="shared" si="483"/>
        <v>0</v>
      </c>
      <c r="BA499" s="1080">
        <f t="shared" si="484"/>
        <v>0</v>
      </c>
      <c r="BB499" s="1080">
        <f>IF(AND(RACE=1,'Main Creation Page'!$E$6="Well",OR(ISNUMBER(FIND(Experience!$G$11,BE499)),ISNUMBER(FIND(Experience!$G$11,BF499)),ISNUMBER(FIND(Experience!$I$11,BE499)),ISNUMBER(FIND(Experience!$I$11,BF499)))),1,0)</f>
        <v>1</v>
      </c>
      <c r="BC499" s="1080" t="str">
        <f t="shared" si="495"/>
        <v>Cult. Lore:Other/Foreign</v>
      </c>
      <c r="BD499" s="1080" t="s">
        <v>5700</v>
      </c>
      <c r="BE499" s="1080" t="str">
        <f t="shared" si="477"/>
        <v>Lore</v>
      </c>
      <c r="BF499" s="1080" t="str">
        <f t="shared" si="478"/>
        <v>Lore Historical Skills</v>
      </c>
    </row>
    <row r="500" spans="1:58" ht="11.1" customHeight="1" outlineLevel="3">
      <c r="A500" s="1093" t="str">
        <f>IF('Main Creation Page'!$K$5=3,"Azarian","Arabic")</f>
        <v>Azarian</v>
      </c>
      <c r="B500" s="1094"/>
      <c r="C500" s="1094"/>
      <c r="D500" s="1094"/>
      <c r="E500" s="1095" t="s">
        <v>5224</v>
      </c>
      <c r="F500" s="1095" t="s">
        <v>5224</v>
      </c>
      <c r="G500" s="1096">
        <v>0</v>
      </c>
      <c r="H500" s="1096" t="s">
        <v>5224</v>
      </c>
      <c r="I500" s="1096" t="s">
        <v>5224</v>
      </c>
      <c r="J500" s="1096" t="s">
        <v>5224</v>
      </c>
      <c r="K500" s="1096" t="s">
        <v>5224</v>
      </c>
      <c r="L500" s="1096">
        <v>0</v>
      </c>
      <c r="M500" s="1096" t="s">
        <v>5224</v>
      </c>
      <c r="N500" s="1096" t="s">
        <v>4631</v>
      </c>
      <c r="O500" s="1028"/>
      <c r="P500" s="1028" t="s">
        <v>780</v>
      </c>
      <c r="Q500" s="1097">
        <f t="shared" ca="1" si="514"/>
        <v>17</v>
      </c>
      <c r="R500" s="1034"/>
      <c r="S500" s="1028" t="s">
        <v>3616</v>
      </c>
      <c r="T500" s="1097">
        <f t="shared" ca="1" si="515"/>
        <v>17</v>
      </c>
      <c r="U500" s="1027">
        <v>3</v>
      </c>
      <c r="V500" s="1027">
        <f t="shared" si="516"/>
        <v>4</v>
      </c>
      <c r="W500" s="1098" t="e">
        <f>IF(OR(I500&lt;&gt;"N",E500="C"),IF(AND(N500&lt;&gt;"T",ISNUMBER(FIND("V",I500))),1,0),NA())+IF(H500="Y",IF(AND(N500="P",ISNUMBER(FIND("Z",I500))),2,1),0)+IF(J500="Y",1,0)+IF(K500="Y",3,0)+IF(BE500="Lore",L500*2+Experience!$D$25,0)+IF(M500="Y",1,0)</f>
        <v>#N/A</v>
      </c>
      <c r="X500" s="1099"/>
      <c r="Y500" s="1100">
        <f ca="1">IF(P500="NS",IFERROR(INDIRECT(S500),NA()),VLOOKUP(INDIRECT(P500)+INDIRECT(S500),'System Lookups'!$A$3:$D$146,2))</f>
        <v>0.1</v>
      </c>
      <c r="Z500" s="1100">
        <f t="shared" si="517"/>
        <v>0</v>
      </c>
      <c r="AA500" s="1101">
        <f ca="1">IF(ISNA(Y500),0,Y500)+Z500+IF('Main Creation Page'!AB$2=37,'Main Creation Page'!E$14/100,0)</f>
        <v>0.1</v>
      </c>
      <c r="AB500" s="1102">
        <f>VLOOKUP(V500,'System Lookups'!$J$55:$P$64,3)</f>
        <v>0.2</v>
      </c>
      <c r="AC500" s="1103">
        <f>VLOOKUP(V500,'System Lookups'!$J$55:$P$64,4)</f>
        <v>0.3</v>
      </c>
      <c r="AD500" s="1104">
        <f t="shared" ca="1" si="518"/>
        <v>0.35000000000000003</v>
      </c>
      <c r="AE500" s="1094">
        <f ca="1">(IF(AD500&gt;VLOOKUP(V500,'System Lookups'!$J$55:$P$63,6),(((AD500-VLOOKUP(V500,'System Lookups'!$J$55:$P$63,6))*100)/20),0))+AF500</f>
        <v>0</v>
      </c>
      <c r="AF500" s="1121"/>
      <c r="AG500" s="1092">
        <f t="shared" si="519"/>
        <v>0</v>
      </c>
      <c r="AH500" s="1092" t="str">
        <f>IF(X500&lt;=Experience!$R$15+1,"","*")</f>
        <v/>
      </c>
      <c r="AI500" s="1092"/>
      <c r="AJ500" s="1080">
        <f t="shared" si="520"/>
        <v>0</v>
      </c>
      <c r="AK500" s="1080">
        <f t="shared" si="525"/>
        <v>0</v>
      </c>
      <c r="AL500" s="1080">
        <f t="shared" si="521"/>
        <v>0</v>
      </c>
      <c r="AM500" s="1092">
        <f t="shared" si="526"/>
        <v>0</v>
      </c>
      <c r="AN500" s="1080">
        <f t="shared" si="527"/>
        <v>1</v>
      </c>
      <c r="AO500" s="1080">
        <f t="shared" si="522"/>
        <v>0</v>
      </c>
      <c r="AP500" s="1080">
        <f t="shared" si="523"/>
        <v>1</v>
      </c>
      <c r="AQ500" s="1027">
        <f>VLOOKUP(V500,'System Lookups'!$J$55:$P$64,7)</f>
        <v>600</v>
      </c>
      <c r="AR500" s="1080" t="str">
        <f ca="1">IF(AND(NOT(ISBLANK(AJ500)),ISNA(MATCH(ROW(),'System Lookups'!$C$526:$C$539,0))),"Y","N")</f>
        <v>Y</v>
      </c>
      <c r="AS500" s="1080">
        <f t="shared" si="524"/>
        <v>0</v>
      </c>
      <c r="AU500" s="1080" t="e">
        <f t="shared" si="479"/>
        <v>#N/A</v>
      </c>
      <c r="AV500" s="1080" t="str">
        <f t="shared" si="476"/>
        <v>T</v>
      </c>
      <c r="AW500" s="1080">
        <f t="shared" si="480"/>
        <v>0</v>
      </c>
      <c r="AX500" s="1080">
        <f t="shared" si="481"/>
        <v>0</v>
      </c>
      <c r="AY500" s="1080">
        <f t="shared" si="482"/>
        <v>0</v>
      </c>
      <c r="AZ500" s="1080">
        <f t="shared" si="483"/>
        <v>0</v>
      </c>
      <c r="BA500" s="1080">
        <f t="shared" si="484"/>
        <v>0</v>
      </c>
      <c r="BB500" s="1080">
        <f>IF(AND(RACE=1,'Main Creation Page'!$E$6="Well",OR(ISNUMBER(FIND(Experience!$G$11,BE500)),ISNUMBER(FIND(Experience!$G$11,BF500)),ISNUMBER(FIND(Experience!$I$11,BE500)),ISNUMBER(FIND(Experience!$I$11,BF500)))),1,0)</f>
        <v>1</v>
      </c>
      <c r="BC500" s="1080" t="str">
        <f t="shared" si="495"/>
        <v>Cult. Lore: For: Azarian</v>
      </c>
      <c r="BD500" s="1080" t="s">
        <v>5702</v>
      </c>
      <c r="BE500" s="1080" t="str">
        <f t="shared" si="477"/>
        <v>Lore</v>
      </c>
      <c r="BF500" s="1080" t="str">
        <f t="shared" si="478"/>
        <v>Lore Historical Skills</v>
      </c>
    </row>
    <row r="501" spans="1:58" ht="11.1" customHeight="1" outlineLevel="3">
      <c r="A501" s="1093" t="str">
        <f>IF('Main Creation Page'!$K$5=3,"Pacfin","Chinese")</f>
        <v>Pacfin</v>
      </c>
      <c r="B501" s="1094"/>
      <c r="C501" s="1094"/>
      <c r="D501" s="1094"/>
      <c r="E501" s="1095" t="s">
        <v>5224</v>
      </c>
      <c r="F501" s="1095" t="s">
        <v>5224</v>
      </c>
      <c r="G501" s="1096">
        <v>0</v>
      </c>
      <c r="H501" s="1096" t="s">
        <v>5224</v>
      </c>
      <c r="I501" s="1096" t="s">
        <v>5224</v>
      </c>
      <c r="J501" s="1096" t="s">
        <v>5224</v>
      </c>
      <c r="K501" s="1096" t="s">
        <v>5224</v>
      </c>
      <c r="L501" s="1096">
        <v>0</v>
      </c>
      <c r="M501" s="1096" t="s">
        <v>5224</v>
      </c>
      <c r="N501" s="1096" t="s">
        <v>4631</v>
      </c>
      <c r="O501" s="1028"/>
      <c r="P501" s="1028" t="s">
        <v>780</v>
      </c>
      <c r="Q501" s="1097">
        <f t="shared" ca="1" si="514"/>
        <v>17</v>
      </c>
      <c r="R501" s="1034"/>
      <c r="S501" s="1028" t="s">
        <v>3616</v>
      </c>
      <c r="T501" s="1097">
        <f t="shared" ca="1" si="515"/>
        <v>17</v>
      </c>
      <c r="U501" s="1027">
        <v>3</v>
      </c>
      <c r="V501" s="1027">
        <f t="shared" si="516"/>
        <v>4</v>
      </c>
      <c r="W501" s="1098" t="e">
        <f>IF(OR(I501&lt;&gt;"N",E501="C"),IF(AND(N501&lt;&gt;"T",ISNUMBER(FIND("V",I501))),1,0),NA())+IF(H501="Y",IF(AND(N501="P",ISNUMBER(FIND("Z",I501))),2,1),0)+IF(J501="Y",1,0)+IF(K501="Y",3,0)+IF(BE501="Lore",L501*2+Experience!$D$25,0)+IF(M501="Y",1,0)</f>
        <v>#N/A</v>
      </c>
      <c r="X501" s="1099"/>
      <c r="Y501" s="1100">
        <f ca="1">IF(P501="NS",IFERROR(INDIRECT(S501),NA()),VLOOKUP(INDIRECT(P501)+INDIRECT(S501),'System Lookups'!$A$3:$D$146,2))</f>
        <v>0.1</v>
      </c>
      <c r="Z501" s="1100">
        <f t="shared" si="517"/>
        <v>0</v>
      </c>
      <c r="AA501" s="1101">
        <f ca="1">IF(ISNA(Y501),0,Y501)+Z501+IF('Main Creation Page'!AB$2=37,'Main Creation Page'!E$14/100,0)</f>
        <v>0.1</v>
      </c>
      <c r="AB501" s="1102">
        <f>VLOOKUP(V501,'System Lookups'!$J$55:$P$64,3)</f>
        <v>0.2</v>
      </c>
      <c r="AC501" s="1103">
        <f>VLOOKUP(V501,'System Lookups'!$J$55:$P$64,4)</f>
        <v>0.3</v>
      </c>
      <c r="AD501" s="1104">
        <f t="shared" ca="1" si="518"/>
        <v>0.35000000000000003</v>
      </c>
      <c r="AE501" s="1094">
        <f ca="1">(IF(AD501&gt;VLOOKUP(V501,'System Lookups'!$J$55:$P$63,6),(((AD501-VLOOKUP(V501,'System Lookups'!$J$55:$P$63,6))*100)/20),0))+AF501</f>
        <v>0</v>
      </c>
      <c r="AF501" s="1121"/>
      <c r="AG501" s="1092">
        <f t="shared" si="519"/>
        <v>0</v>
      </c>
      <c r="AH501" s="1092" t="str">
        <f>IF(X501&lt;=Experience!$R$15+1,"","*")</f>
        <v/>
      </c>
      <c r="AI501" s="1092"/>
      <c r="AJ501" s="1080">
        <f t="shared" si="520"/>
        <v>0</v>
      </c>
      <c r="AK501" s="1080">
        <f t="shared" si="525"/>
        <v>0</v>
      </c>
      <c r="AL501" s="1080">
        <f t="shared" si="521"/>
        <v>0</v>
      </c>
      <c r="AM501" s="1092">
        <f t="shared" si="526"/>
        <v>0</v>
      </c>
      <c r="AN501" s="1080">
        <f t="shared" si="527"/>
        <v>1</v>
      </c>
      <c r="AO501" s="1080">
        <f t="shared" si="522"/>
        <v>0</v>
      </c>
      <c r="AP501" s="1080">
        <f t="shared" si="523"/>
        <v>1</v>
      </c>
      <c r="AQ501" s="1027">
        <f>VLOOKUP(V501,'System Lookups'!$J$55:$P$64,7)</f>
        <v>600</v>
      </c>
      <c r="AR501" s="1080" t="str">
        <f ca="1">IF(AND(NOT(ISBLANK(AJ501)),ISNA(MATCH(ROW(),'System Lookups'!$C$526:$C$539,0))),"Y","N")</f>
        <v>Y</v>
      </c>
      <c r="AS501" s="1080">
        <f t="shared" si="524"/>
        <v>0</v>
      </c>
      <c r="AU501" s="1080" t="e">
        <f t="shared" si="479"/>
        <v>#N/A</v>
      </c>
      <c r="AV501" s="1080" t="str">
        <f t="shared" si="476"/>
        <v>T</v>
      </c>
      <c r="AW501" s="1080">
        <f t="shared" si="480"/>
        <v>0</v>
      </c>
      <c r="AX501" s="1080">
        <f t="shared" si="481"/>
        <v>0</v>
      </c>
      <c r="AY501" s="1080">
        <f t="shared" si="482"/>
        <v>0</v>
      </c>
      <c r="AZ501" s="1080">
        <f t="shared" si="483"/>
        <v>0</v>
      </c>
      <c r="BA501" s="1080">
        <f t="shared" si="484"/>
        <v>0</v>
      </c>
      <c r="BB501" s="1080">
        <f>IF(AND(RACE=1,'Main Creation Page'!$E$6="Well",OR(ISNUMBER(FIND(Experience!$G$11,BE501)),ISNUMBER(FIND(Experience!$G$11,BF501)),ISNUMBER(FIND(Experience!$I$11,BE501)),ISNUMBER(FIND(Experience!$I$11,BF501)))),1,0)</f>
        <v>1</v>
      </c>
      <c r="BC501" s="1080" t="str">
        <f t="shared" si="495"/>
        <v>Cult. Lore: For: Pacfin</v>
      </c>
      <c r="BD501" s="1080" t="s">
        <v>5702</v>
      </c>
      <c r="BE501" s="1080" t="str">
        <f t="shared" si="477"/>
        <v>Lore</v>
      </c>
      <c r="BF501" s="1080" t="str">
        <f t="shared" si="478"/>
        <v>Lore Historical Skills</v>
      </c>
    </row>
    <row r="502" spans="1:58" ht="11.1" customHeight="1" outlineLevel="3">
      <c r="A502" s="1093" t="str">
        <f>IF('Main Creation Page'!$K$5=3,"Utan","Coptic")</f>
        <v>Utan</v>
      </c>
      <c r="B502" s="1094"/>
      <c r="C502" s="1094"/>
      <c r="D502" s="1094"/>
      <c r="E502" s="1095" t="s">
        <v>5224</v>
      </c>
      <c r="F502" s="1095" t="s">
        <v>5224</v>
      </c>
      <c r="G502" s="1096">
        <v>0</v>
      </c>
      <c r="H502" s="1096" t="s">
        <v>5224</v>
      </c>
      <c r="I502" s="1096" t="s">
        <v>5224</v>
      </c>
      <c r="J502" s="1096" t="s">
        <v>5224</v>
      </c>
      <c r="K502" s="1096" t="s">
        <v>5224</v>
      </c>
      <c r="L502" s="1096">
        <v>0</v>
      </c>
      <c r="M502" s="1096" t="s">
        <v>5224</v>
      </c>
      <c r="N502" s="1096" t="s">
        <v>4631</v>
      </c>
      <c r="O502" s="1028"/>
      <c r="P502" s="1028" t="s">
        <v>780</v>
      </c>
      <c r="Q502" s="1097">
        <f t="shared" ca="1" si="514"/>
        <v>17</v>
      </c>
      <c r="R502" s="1034"/>
      <c r="S502" s="1028" t="s">
        <v>3616</v>
      </c>
      <c r="T502" s="1097">
        <f t="shared" ca="1" si="515"/>
        <v>17</v>
      </c>
      <c r="U502" s="1027">
        <v>3</v>
      </c>
      <c r="V502" s="1027">
        <f t="shared" si="516"/>
        <v>4</v>
      </c>
      <c r="W502" s="1098" t="e">
        <f>IF(OR(I502&lt;&gt;"N",E502="C"),IF(AND(N502&lt;&gt;"T",ISNUMBER(FIND("V",I502))),1,0),NA())+IF(H502="Y",IF(AND(N502="P",ISNUMBER(FIND("Z",I502))),2,1),0)+IF(J502="Y",1,0)+IF(K502="Y",3,0)+IF(BE502="Lore",L502*2+Experience!$D$25,0)+IF(M502="Y",1,0)</f>
        <v>#N/A</v>
      </c>
      <c r="X502" s="1099"/>
      <c r="Y502" s="1100">
        <f ca="1">IF(P502="NS",IFERROR(INDIRECT(S502),NA()),VLOOKUP(INDIRECT(P502)+INDIRECT(S502),'System Lookups'!$A$3:$D$146,2))</f>
        <v>0.1</v>
      </c>
      <c r="Z502" s="1100">
        <f t="shared" si="517"/>
        <v>0</v>
      </c>
      <c r="AA502" s="1101">
        <f ca="1">IF(ISNA(Y502),0,Y502)+Z502+IF('Main Creation Page'!AB$2=37,'Main Creation Page'!E$14/100,0)</f>
        <v>0.1</v>
      </c>
      <c r="AB502" s="1102">
        <f>VLOOKUP(V502,'System Lookups'!$J$55:$P$64,3)</f>
        <v>0.2</v>
      </c>
      <c r="AC502" s="1103">
        <f>VLOOKUP(V502,'System Lookups'!$J$55:$P$64,4)</f>
        <v>0.3</v>
      </c>
      <c r="AD502" s="1104">
        <f t="shared" ca="1" si="518"/>
        <v>0.35000000000000003</v>
      </c>
      <c r="AE502" s="1094">
        <f ca="1">(IF(AD502&gt;VLOOKUP(V502,'System Lookups'!$J$55:$P$63,6),(((AD502-VLOOKUP(V502,'System Lookups'!$J$55:$P$63,6))*100)/20),0))+AF502</f>
        <v>0</v>
      </c>
      <c r="AF502" s="1121"/>
      <c r="AG502" s="1092">
        <f t="shared" si="519"/>
        <v>0</v>
      </c>
      <c r="AH502" s="1092" t="str">
        <f>IF(X502&lt;=Experience!$R$15+1,"","*")</f>
        <v/>
      </c>
      <c r="AI502" s="1092"/>
      <c r="AJ502" s="1080">
        <f t="shared" si="520"/>
        <v>0</v>
      </c>
      <c r="AK502" s="1080">
        <f t="shared" si="525"/>
        <v>0</v>
      </c>
      <c r="AL502" s="1080">
        <f t="shared" si="521"/>
        <v>0</v>
      </c>
      <c r="AM502" s="1092">
        <f t="shared" si="526"/>
        <v>0</v>
      </c>
      <c r="AN502" s="1080">
        <f t="shared" si="527"/>
        <v>1</v>
      </c>
      <c r="AO502" s="1080">
        <f t="shared" si="522"/>
        <v>0</v>
      </c>
      <c r="AP502" s="1080">
        <f t="shared" si="523"/>
        <v>1</v>
      </c>
      <c r="AQ502" s="1027">
        <f>VLOOKUP(V502,'System Lookups'!$J$55:$P$64,7)</f>
        <v>600</v>
      </c>
      <c r="AR502" s="1080" t="str">
        <f ca="1">IF(AND(NOT(ISBLANK(AJ502)),ISNA(MATCH(ROW(),'System Lookups'!$C$526:$C$539,0))),"Y","N")</f>
        <v>Y</v>
      </c>
      <c r="AS502" s="1080">
        <f t="shared" si="524"/>
        <v>0</v>
      </c>
      <c r="AU502" s="1080" t="e">
        <f t="shared" si="479"/>
        <v>#N/A</v>
      </c>
      <c r="AV502" s="1080" t="str">
        <f t="shared" si="476"/>
        <v>T</v>
      </c>
      <c r="AW502" s="1080">
        <f t="shared" si="480"/>
        <v>0</v>
      </c>
      <c r="AX502" s="1080">
        <f t="shared" si="481"/>
        <v>0</v>
      </c>
      <c r="AY502" s="1080">
        <f t="shared" si="482"/>
        <v>0</v>
      </c>
      <c r="AZ502" s="1080">
        <f t="shared" si="483"/>
        <v>0</v>
      </c>
      <c r="BA502" s="1080">
        <f t="shared" si="484"/>
        <v>0</v>
      </c>
      <c r="BB502" s="1080">
        <f>IF(AND(RACE=1,'Main Creation Page'!$E$6="Well",OR(ISNUMBER(FIND(Experience!$G$11,BE502)),ISNUMBER(FIND(Experience!$G$11,BF502)),ISNUMBER(FIND(Experience!$I$11,BE502)),ISNUMBER(FIND(Experience!$I$11,BF502)))),1,0)</f>
        <v>1</v>
      </c>
      <c r="BC502" s="1080" t="str">
        <f t="shared" si="495"/>
        <v>Cult. Lore: For: Utan</v>
      </c>
      <c r="BD502" s="1080" t="s">
        <v>5702</v>
      </c>
      <c r="BE502" s="1080" t="str">
        <f t="shared" si="477"/>
        <v>Lore</v>
      </c>
      <c r="BF502" s="1080" t="str">
        <f t="shared" si="478"/>
        <v>Lore Historical Skills</v>
      </c>
    </row>
    <row r="503" spans="1:58" ht="11.1" customHeight="1" outlineLevel="3">
      <c r="A503" s="1093" t="str">
        <f>IF('Main Creation Page'!$K$5=3,"Kingdom","English")</f>
        <v>Kingdom</v>
      </c>
      <c r="B503" s="1094"/>
      <c r="C503" s="1094"/>
      <c r="D503" s="1094"/>
      <c r="E503" s="1095" t="s">
        <v>5224</v>
      </c>
      <c r="F503" s="1095" t="s">
        <v>5224</v>
      </c>
      <c r="G503" s="1096">
        <v>0</v>
      </c>
      <c r="H503" s="1096" t="s">
        <v>5224</v>
      </c>
      <c r="I503" s="1096" t="s">
        <v>5224</v>
      </c>
      <c r="J503" s="1096" t="s">
        <v>5224</v>
      </c>
      <c r="K503" s="1096" t="s">
        <v>5224</v>
      </c>
      <c r="L503" s="1096">
        <v>0</v>
      </c>
      <c r="M503" s="1096" t="s">
        <v>5224</v>
      </c>
      <c r="N503" s="1096" t="s">
        <v>4631</v>
      </c>
      <c r="O503" s="1028"/>
      <c r="P503" s="1028" t="s">
        <v>780</v>
      </c>
      <c r="Q503" s="1097">
        <f t="shared" ca="1" si="514"/>
        <v>17</v>
      </c>
      <c r="R503" s="1034"/>
      <c r="S503" s="1028" t="s">
        <v>3616</v>
      </c>
      <c r="T503" s="1097">
        <f t="shared" ca="1" si="515"/>
        <v>17</v>
      </c>
      <c r="U503" s="1027">
        <v>3</v>
      </c>
      <c r="V503" s="1027">
        <f t="shared" si="516"/>
        <v>4</v>
      </c>
      <c r="W503" s="1098" t="e">
        <f>IF(OR(I503&lt;&gt;"N",E503="C"),IF(AND(N503&lt;&gt;"T",ISNUMBER(FIND("V",I503))),1,0),NA())+IF(H503="Y",IF(AND(N503="P",ISNUMBER(FIND("Z",I503))),2,1),0)+IF(J503="Y",1,0)+IF(K503="Y",3,0)+IF(BE503="Lore",L503*2+Experience!$D$25,0)+IF(M503="Y",1,0)</f>
        <v>#N/A</v>
      </c>
      <c r="X503" s="1099"/>
      <c r="Y503" s="1100">
        <f ca="1">IF(P503="NS",IFERROR(INDIRECT(S503),NA()),VLOOKUP(INDIRECT(P503)+INDIRECT(S503),'System Lookups'!$A$3:$D$146,2))</f>
        <v>0.1</v>
      </c>
      <c r="Z503" s="1100">
        <f t="shared" si="517"/>
        <v>0</v>
      </c>
      <c r="AA503" s="1101">
        <f ca="1">IF(ISNA(Y503),0,Y503)+Z503+IF('Main Creation Page'!AB$2=37,'Main Creation Page'!E$14/100,0)</f>
        <v>0.1</v>
      </c>
      <c r="AB503" s="1102">
        <f>VLOOKUP(V503,'System Lookups'!$J$55:$P$64,3)</f>
        <v>0.2</v>
      </c>
      <c r="AC503" s="1103">
        <f>VLOOKUP(V503,'System Lookups'!$J$55:$P$64,4)</f>
        <v>0.3</v>
      </c>
      <c r="AD503" s="1104">
        <f t="shared" ca="1" si="518"/>
        <v>0.35000000000000003</v>
      </c>
      <c r="AE503" s="1094">
        <f ca="1">(IF(AD503&gt;VLOOKUP(V503,'System Lookups'!$J$55:$P$63,6),(((AD503-VLOOKUP(V503,'System Lookups'!$J$55:$P$63,6))*100)/20),0))+AF503</f>
        <v>0</v>
      </c>
      <c r="AF503" s="1121"/>
      <c r="AG503" s="1092">
        <f t="shared" si="519"/>
        <v>0</v>
      </c>
      <c r="AH503" s="1092" t="str">
        <f>IF(X503&lt;=Experience!$R$15+1,"","*")</f>
        <v/>
      </c>
      <c r="AI503" s="1092"/>
      <c r="AJ503" s="1080">
        <f t="shared" si="520"/>
        <v>0</v>
      </c>
      <c r="AK503" s="1080">
        <f t="shared" si="525"/>
        <v>0</v>
      </c>
      <c r="AL503" s="1080">
        <f t="shared" si="521"/>
        <v>0</v>
      </c>
      <c r="AM503" s="1092">
        <f t="shared" si="526"/>
        <v>0</v>
      </c>
      <c r="AN503" s="1080">
        <f t="shared" si="527"/>
        <v>1</v>
      </c>
      <c r="AO503" s="1080">
        <f t="shared" si="522"/>
        <v>0</v>
      </c>
      <c r="AP503" s="1080">
        <f t="shared" si="523"/>
        <v>1</v>
      </c>
      <c r="AQ503" s="1027">
        <f>VLOOKUP(V503,'System Lookups'!$J$55:$P$64,7)</f>
        <v>600</v>
      </c>
      <c r="AR503" s="1080" t="str">
        <f ca="1">IF(AND(NOT(ISBLANK(AJ503)),ISNA(MATCH(ROW(),'System Lookups'!$C$526:$C$539,0))),"Y","N")</f>
        <v>Y</v>
      </c>
      <c r="AS503" s="1080">
        <f t="shared" si="524"/>
        <v>0</v>
      </c>
      <c r="AU503" s="1080" t="e">
        <f t="shared" si="479"/>
        <v>#N/A</v>
      </c>
      <c r="AV503" s="1080" t="str">
        <f t="shared" ref="AV503:AV564" si="528">IF(ISNUMBER(U503),CONCATENATE(IF(E503="C","C",""),IF(H503="Y","M",""),N503,IF(ISNUMBER(FIND("F",I503)),"Bk",""),IF(ISNUMBER(FIND("Z",I503)),"Zm",""),IF(J503="Y","L",""),IF(OR(K503="Y",AND(ISNUMBER(L503),L503&gt;0),M503="Y"),"Sa","")),"")</f>
        <v>T</v>
      </c>
      <c r="AW503" s="1080">
        <f t="shared" si="480"/>
        <v>0</v>
      </c>
      <c r="AX503" s="1080">
        <f t="shared" si="481"/>
        <v>0</v>
      </c>
      <c r="AY503" s="1080">
        <f t="shared" si="482"/>
        <v>0</v>
      </c>
      <c r="AZ503" s="1080">
        <f t="shared" si="483"/>
        <v>0</v>
      </c>
      <c r="BA503" s="1080">
        <f t="shared" si="484"/>
        <v>0</v>
      </c>
      <c r="BB503" s="1080">
        <f>IF(AND(RACE=1,'Main Creation Page'!$E$6="Well",OR(ISNUMBER(FIND(Experience!$G$11,BE503)),ISNUMBER(FIND(Experience!$G$11,BF503)),ISNUMBER(FIND(Experience!$I$11,BE503)),ISNUMBER(FIND(Experience!$I$11,BF503)))),1,0)</f>
        <v>1</v>
      </c>
      <c r="BC503" s="1080" t="str">
        <f t="shared" si="495"/>
        <v>Cult. Lore: For: Kingdom</v>
      </c>
      <c r="BD503" s="1080" t="s">
        <v>5702</v>
      </c>
      <c r="BE503" s="1080" t="str">
        <f t="shared" ref="BE503:BE564" si="529">IF(OR(ISNUMBER(FIND("Lore",BF503)),ISNUMBER(FIND("Materia",BF503)),ISNUMBER(FIND("Lore",BD503))),"Lore","")</f>
        <v>Lore</v>
      </c>
      <c r="BF503" s="1080" t="str">
        <f t="shared" ref="BF503:BF562" si="530">IF(ISBLANK(AC503),IF(OR(ISNA(BC503),ISBLANK(BC503)),BF502,BC503),BF502)</f>
        <v>Lore Historical Skills</v>
      </c>
    </row>
    <row r="504" spans="1:58" ht="11.1" customHeight="1" outlineLevel="3">
      <c r="A504" s="1093" t="s">
        <v>1241</v>
      </c>
      <c r="B504" s="1094"/>
      <c r="C504" s="1094"/>
      <c r="D504" s="1094"/>
      <c r="E504" s="1095" t="s">
        <v>5224</v>
      </c>
      <c r="F504" s="1095" t="s">
        <v>5224</v>
      </c>
      <c r="G504" s="1096">
        <v>0</v>
      </c>
      <c r="H504" s="1096" t="s">
        <v>5224</v>
      </c>
      <c r="I504" s="1096" t="s">
        <v>5224</v>
      </c>
      <c r="J504" s="1096" t="s">
        <v>5224</v>
      </c>
      <c r="K504" s="1096" t="s">
        <v>5224</v>
      </c>
      <c r="L504" s="1096">
        <v>0</v>
      </c>
      <c r="M504" s="1096" t="s">
        <v>5224</v>
      </c>
      <c r="N504" s="1096" t="s">
        <v>4631</v>
      </c>
      <c r="O504" s="1028"/>
      <c r="P504" s="1028" t="s">
        <v>780</v>
      </c>
      <c r="Q504" s="1097">
        <f t="shared" ca="1" si="514"/>
        <v>17</v>
      </c>
      <c r="R504" s="1034"/>
      <c r="S504" s="1028" t="s">
        <v>3616</v>
      </c>
      <c r="T504" s="1097">
        <f t="shared" ca="1" si="515"/>
        <v>17</v>
      </c>
      <c r="U504" s="1027">
        <v>3</v>
      </c>
      <c r="V504" s="1027">
        <f t="shared" si="516"/>
        <v>4</v>
      </c>
      <c r="W504" s="1098" t="e">
        <f>IF(OR(I504&lt;&gt;"N",E504="C"),IF(AND(N504&lt;&gt;"T",ISNUMBER(FIND("V",I504))),1,0),NA())+IF(H504="Y",IF(AND(N504="P",ISNUMBER(FIND("Z",I504))),2,1),0)+IF(J504="Y",1,0)+IF(K504="Y",3,0)+IF(BE504="Lore",L504*2+Experience!$D$25,0)+IF(M504="Y",1,0)</f>
        <v>#N/A</v>
      </c>
      <c r="X504" s="1099"/>
      <c r="Y504" s="1100">
        <f ca="1">IF(P504="NS",IFERROR(INDIRECT(S504),NA()),VLOOKUP(INDIRECT(P504)+INDIRECT(S504),'System Lookups'!$A$3:$D$146,2))</f>
        <v>0.1</v>
      </c>
      <c r="Z504" s="1100">
        <f t="shared" si="517"/>
        <v>0</v>
      </c>
      <c r="AA504" s="1101">
        <f ca="1">IF(ISNA(Y504),0,Y504)+Z504+IF('Main Creation Page'!AB$2=37,'Main Creation Page'!E$14/100,0)</f>
        <v>0.1</v>
      </c>
      <c r="AB504" s="1102">
        <f>VLOOKUP(V504,'System Lookups'!$J$55:$P$64,3)</f>
        <v>0.2</v>
      </c>
      <c r="AC504" s="1103">
        <f>VLOOKUP(V504,'System Lookups'!$J$55:$P$64,4)</f>
        <v>0.3</v>
      </c>
      <c r="AD504" s="1104">
        <f t="shared" ca="1" si="518"/>
        <v>0.35000000000000003</v>
      </c>
      <c r="AE504" s="1094">
        <f ca="1">(IF(AD504&gt;VLOOKUP(V504,'System Lookups'!$J$55:$P$63,6),(((AD504-VLOOKUP(V504,'System Lookups'!$J$55:$P$63,6))*100)/20),0))+AF504</f>
        <v>0</v>
      </c>
      <c r="AF504" s="1121"/>
      <c r="AG504" s="1092">
        <f t="shared" si="519"/>
        <v>0</v>
      </c>
      <c r="AH504" s="1092" t="str">
        <f>IF(X504&lt;=Experience!$R$15+1,"","*")</f>
        <v/>
      </c>
      <c r="AI504" s="1092"/>
      <c r="AJ504" s="1080">
        <f t="shared" si="520"/>
        <v>0</v>
      </c>
      <c r="AK504" s="1080">
        <f t="shared" si="525"/>
        <v>0</v>
      </c>
      <c r="AL504" s="1080">
        <f t="shared" si="521"/>
        <v>0</v>
      </c>
      <c r="AM504" s="1092">
        <f t="shared" si="526"/>
        <v>0</v>
      </c>
      <c r="AN504" s="1080">
        <f t="shared" si="527"/>
        <v>1</v>
      </c>
      <c r="AO504" s="1080">
        <f t="shared" si="522"/>
        <v>0</v>
      </c>
      <c r="AP504" s="1080">
        <f t="shared" si="523"/>
        <v>1</v>
      </c>
      <c r="AQ504" s="1027">
        <f>VLOOKUP(V504,'System Lookups'!$J$55:$P$64,7)</f>
        <v>600</v>
      </c>
      <c r="AR504" s="1080" t="str">
        <f ca="1">IF(AND(NOT(ISBLANK(AJ504)),ISNA(MATCH(ROW(),'System Lookups'!$C$526:$C$539,0))),"Y","N")</f>
        <v>Y</v>
      </c>
      <c r="AS504" s="1080">
        <f t="shared" si="524"/>
        <v>0</v>
      </c>
      <c r="AU504" s="1080" t="e">
        <f t="shared" ref="AU504:AU565" si="531">IF(AND(NOT(ISNUMBER($W504)),ISBLANK($X504)),NA(),IFERROR($W504+$X504,$X504))</f>
        <v>#N/A</v>
      </c>
      <c r="AV504" s="1080" t="str">
        <f t="shared" si="528"/>
        <v>T</v>
      </c>
      <c r="AW504" s="1080">
        <f t="shared" ref="AW504:AW565" si="532">IF(OR(I504="N",ISBLANK(I504)),0,1)</f>
        <v>0</v>
      </c>
      <c r="AX504" s="1080">
        <f t="shared" ref="AX504:AX565" si="533">IF($N504="P",IF(ISNUMBER(FIND("V",$I504)),1,0),0)</f>
        <v>0</v>
      </c>
      <c r="AY504" s="1080">
        <f t="shared" ref="AY504:AY565" si="534">IF($N504="S",IF(ISNUMBER(FIND("V",$I504)),1,0),0)</f>
        <v>0</v>
      </c>
      <c r="AZ504" s="1080">
        <f t="shared" ref="AZ504:AZ565" si="535">IF($N504="T",IF(ISNUMBER(FIND("V",$I504)),1,0),0)</f>
        <v>0</v>
      </c>
      <c r="BA504" s="1080">
        <f t="shared" ref="BA504:BA565" si="536">IF($N504&lt;&gt;"T",IF(OR(ISNUMBER(FIND("C",$I504)),ISNUMBER(FIND("D",$I504)),ISNUMBER(FIND("E",$I504)),ISNUMBER(FIND("F",$I504)),ISNUMBER(FIND("L",$I504)),ISNUMBER(FIND("R",$I504)),ISNUMBER(FIND("S",$I504))),1,0),0)</f>
        <v>0</v>
      </c>
      <c r="BB504" s="1080">
        <f>IF(AND(RACE=1,'Main Creation Page'!$E$6="Well",OR(ISNUMBER(FIND(Experience!$G$11,BE504)),ISNUMBER(FIND(Experience!$G$11,BF504)),ISNUMBER(FIND(Experience!$I$11,BE504)),ISNUMBER(FIND(Experience!$I$11,BF504)))),1,0)</f>
        <v>1</v>
      </c>
      <c r="BC504" s="1080" t="str">
        <f t="shared" si="495"/>
        <v>Cult. Lore: For: Finnish</v>
      </c>
      <c r="BD504" s="1080" t="s">
        <v>5702</v>
      </c>
      <c r="BE504" s="1080" t="str">
        <f t="shared" si="529"/>
        <v>Lore</v>
      </c>
      <c r="BF504" s="1080" t="str">
        <f t="shared" si="530"/>
        <v>Lore Historical Skills</v>
      </c>
    </row>
    <row r="505" spans="1:58" ht="11.1" customHeight="1" outlineLevel="3">
      <c r="A505" s="1093" t="str">
        <f>IF('Main Creation Page'!$K$5=3, "Larton","French")</f>
        <v>Larton</v>
      </c>
      <c r="B505" s="1094"/>
      <c r="C505" s="1094"/>
      <c r="D505" s="1094"/>
      <c r="E505" s="1095" t="s">
        <v>5224</v>
      </c>
      <c r="F505" s="1095" t="s">
        <v>5224</v>
      </c>
      <c r="G505" s="1096">
        <v>0</v>
      </c>
      <c r="H505" s="1096" t="s">
        <v>5224</v>
      </c>
      <c r="I505" s="1096" t="s">
        <v>5224</v>
      </c>
      <c r="J505" s="1096" t="s">
        <v>5224</v>
      </c>
      <c r="K505" s="1096" t="s">
        <v>5224</v>
      </c>
      <c r="L505" s="1096">
        <v>0</v>
      </c>
      <c r="M505" s="1096" t="s">
        <v>5224</v>
      </c>
      <c r="N505" s="1096" t="s">
        <v>4631</v>
      </c>
      <c r="O505" s="1028"/>
      <c r="P505" s="1028" t="s">
        <v>780</v>
      </c>
      <c r="Q505" s="1097">
        <f t="shared" ca="1" si="514"/>
        <v>17</v>
      </c>
      <c r="R505" s="1034"/>
      <c r="S505" s="1028" t="s">
        <v>3616</v>
      </c>
      <c r="T505" s="1097">
        <f t="shared" ca="1" si="515"/>
        <v>17</v>
      </c>
      <c r="U505" s="1027">
        <v>3</v>
      </c>
      <c r="V505" s="1027">
        <f t="shared" si="516"/>
        <v>4</v>
      </c>
      <c r="W505" s="1098" t="e">
        <f>IF(OR(I505&lt;&gt;"N",E505="C"),IF(AND(N505&lt;&gt;"T",ISNUMBER(FIND("V",I505))),1,0),NA())+IF(H505="Y",IF(AND(N505="P",ISNUMBER(FIND("Z",I505))),2,1),0)+IF(J505="Y",1,0)+IF(K505="Y",3,0)+IF(BE505="Lore",L505*2+Experience!$D$25,0)+IF(M505="Y",1,0)</f>
        <v>#N/A</v>
      </c>
      <c r="X505" s="1099"/>
      <c r="Y505" s="1100">
        <f ca="1">IF(P505="NS",IFERROR(INDIRECT(S505),NA()),VLOOKUP(INDIRECT(P505)+INDIRECT(S505),'System Lookups'!$A$3:$D$146,2))</f>
        <v>0.1</v>
      </c>
      <c r="Z505" s="1100">
        <f t="shared" si="517"/>
        <v>0</v>
      </c>
      <c r="AA505" s="1101">
        <f ca="1">IF(ISNA(Y505),0,Y505)+Z505+IF('Main Creation Page'!AB$2=37,'Main Creation Page'!E$14/100,0)</f>
        <v>0.1</v>
      </c>
      <c r="AB505" s="1102">
        <f>VLOOKUP(V505,'System Lookups'!$J$55:$P$64,3)</f>
        <v>0.2</v>
      </c>
      <c r="AC505" s="1103">
        <f>VLOOKUP(V505,'System Lookups'!$J$55:$P$64,4)</f>
        <v>0.3</v>
      </c>
      <c r="AD505" s="1104">
        <f t="shared" ca="1" si="518"/>
        <v>0.35000000000000003</v>
      </c>
      <c r="AE505" s="1094">
        <f ca="1">(IF(AD505&gt;VLOOKUP(V505,'System Lookups'!$J$55:$P$63,6),(((AD505-VLOOKUP(V505,'System Lookups'!$J$55:$P$63,6))*100)/20),0))+AF505</f>
        <v>0</v>
      </c>
      <c r="AF505" s="1121"/>
      <c r="AG505" s="1092">
        <f t="shared" si="519"/>
        <v>0</v>
      </c>
      <c r="AH505" s="1092" t="str">
        <f>IF(X505&lt;=Experience!$R$15+1,"","*")</f>
        <v/>
      </c>
      <c r="AI505" s="1092"/>
      <c r="AJ505" s="1080">
        <f t="shared" si="520"/>
        <v>0</v>
      </c>
      <c r="AK505" s="1080">
        <f t="shared" si="525"/>
        <v>0</v>
      </c>
      <c r="AL505" s="1080">
        <f t="shared" si="521"/>
        <v>0</v>
      </c>
      <c r="AM505" s="1092">
        <f t="shared" si="526"/>
        <v>0</v>
      </c>
      <c r="AN505" s="1080">
        <f t="shared" si="527"/>
        <v>1</v>
      </c>
      <c r="AO505" s="1080">
        <f t="shared" si="522"/>
        <v>0</v>
      </c>
      <c r="AP505" s="1080">
        <f t="shared" si="523"/>
        <v>1</v>
      </c>
      <c r="AQ505" s="1027">
        <f>VLOOKUP(V505,'System Lookups'!$J$55:$P$64,7)</f>
        <v>600</v>
      </c>
      <c r="AR505" s="1080" t="str">
        <f ca="1">IF(AND(NOT(ISBLANK(AJ505)),ISNA(MATCH(ROW(),'System Lookups'!$C$526:$C$539,0))),"Y","N")</f>
        <v>Y</v>
      </c>
      <c r="AS505" s="1080">
        <f t="shared" si="524"/>
        <v>0</v>
      </c>
      <c r="AU505" s="1080" t="e">
        <f t="shared" si="531"/>
        <v>#N/A</v>
      </c>
      <c r="AV505" s="1080" t="str">
        <f t="shared" si="528"/>
        <v>T</v>
      </c>
      <c r="AW505" s="1080">
        <f t="shared" si="532"/>
        <v>0</v>
      </c>
      <c r="AX505" s="1080">
        <f t="shared" si="533"/>
        <v>0</v>
      </c>
      <c r="AY505" s="1080">
        <f t="shared" si="534"/>
        <v>0</v>
      </c>
      <c r="AZ505" s="1080">
        <f t="shared" si="535"/>
        <v>0</v>
      </c>
      <c r="BA505" s="1080">
        <f t="shared" si="536"/>
        <v>0</v>
      </c>
      <c r="BB505" s="1080">
        <f>IF(AND(RACE=1,'Main Creation Page'!$E$6="Well",OR(ISNUMBER(FIND(Experience!$G$11,BE505)),ISNUMBER(FIND(Experience!$G$11,BF505)),ISNUMBER(FIND(Experience!$I$11,BE505)),ISNUMBER(FIND(Experience!$I$11,BF505)))),1,0)</f>
        <v>1</v>
      </c>
      <c r="BC505" s="1080" t="str">
        <f t="shared" si="495"/>
        <v>Cult. Lore: For: Larton</v>
      </c>
      <c r="BD505" s="1080" t="s">
        <v>5702</v>
      </c>
      <c r="BE505" s="1080" t="str">
        <f t="shared" si="529"/>
        <v>Lore</v>
      </c>
      <c r="BF505" s="1080" t="str">
        <f t="shared" si="530"/>
        <v>Lore Historical Skills</v>
      </c>
    </row>
    <row r="506" spans="1:58" ht="11.1" customHeight="1" outlineLevel="3">
      <c r="A506" s="1093" t="s">
        <v>3247</v>
      </c>
      <c r="B506" s="1094"/>
      <c r="C506" s="1094"/>
      <c r="D506" s="1094"/>
      <c r="E506" s="1095" t="s">
        <v>5224</v>
      </c>
      <c r="F506" s="1095" t="s">
        <v>5224</v>
      </c>
      <c r="G506" s="1096">
        <v>0</v>
      </c>
      <c r="H506" s="1096" t="s">
        <v>5224</v>
      </c>
      <c r="I506" s="1096" t="s">
        <v>5224</v>
      </c>
      <c r="J506" s="1096" t="s">
        <v>5224</v>
      </c>
      <c r="K506" s="1096" t="s">
        <v>5224</v>
      </c>
      <c r="L506" s="1096">
        <v>0</v>
      </c>
      <c r="M506" s="1096" t="s">
        <v>5224</v>
      </c>
      <c r="N506" s="1096" t="s">
        <v>4631</v>
      </c>
      <c r="O506" s="1028"/>
      <c r="P506" s="1028" t="s">
        <v>780</v>
      </c>
      <c r="Q506" s="1097">
        <f t="shared" ca="1" si="514"/>
        <v>17</v>
      </c>
      <c r="R506" s="1034"/>
      <c r="S506" s="1028" t="s">
        <v>3616</v>
      </c>
      <c r="T506" s="1097">
        <f t="shared" ca="1" si="515"/>
        <v>17</v>
      </c>
      <c r="U506" s="1027">
        <v>3</v>
      </c>
      <c r="V506" s="1027">
        <f t="shared" si="516"/>
        <v>4</v>
      </c>
      <c r="W506" s="1098" t="e">
        <f>IF(OR(I506&lt;&gt;"N",E506="C"),IF(AND(N506&lt;&gt;"T",ISNUMBER(FIND("V",I506))),1,0),NA())+IF(H506="Y",IF(AND(N506="P",ISNUMBER(FIND("Z",I506))),2,1),0)+IF(J506="Y",1,0)+IF(K506="Y",3,0)+IF(BE506="Lore",L506*2+Experience!$D$25,0)+IF(M506="Y",1,0)</f>
        <v>#N/A</v>
      </c>
      <c r="X506" s="1099"/>
      <c r="Y506" s="1100">
        <f ca="1">IF(P506="NS",IFERROR(INDIRECT(S506),NA()),VLOOKUP(INDIRECT(P506)+INDIRECT(S506),'System Lookups'!$A$3:$D$146,2))</f>
        <v>0.1</v>
      </c>
      <c r="Z506" s="1100">
        <f t="shared" si="517"/>
        <v>0</v>
      </c>
      <c r="AA506" s="1101">
        <f ca="1">IF(ISNA(Y506),0,Y506)+Z506+IF('Main Creation Page'!AB$2=37,'Main Creation Page'!E$14/100,0)</f>
        <v>0.1</v>
      </c>
      <c r="AB506" s="1102">
        <f>VLOOKUP(V506,'System Lookups'!$J$55:$P$64,3)</f>
        <v>0.2</v>
      </c>
      <c r="AC506" s="1103">
        <f>VLOOKUP(V506,'System Lookups'!$J$55:$P$64,4)</f>
        <v>0.3</v>
      </c>
      <c r="AD506" s="1104">
        <f t="shared" ca="1" si="518"/>
        <v>0.35000000000000003</v>
      </c>
      <c r="AE506" s="1094">
        <f ca="1">(IF(AD506&gt;VLOOKUP(V506,'System Lookups'!$J$55:$P$63,6),(((AD506-VLOOKUP(V506,'System Lookups'!$J$55:$P$63,6))*100)/20),0))+AF506</f>
        <v>0</v>
      </c>
      <c r="AF506" s="1121"/>
      <c r="AG506" s="1092">
        <f t="shared" si="519"/>
        <v>0</v>
      </c>
      <c r="AH506" s="1092" t="str">
        <f>IF(X506&lt;=Experience!$R$15+1,"","*")</f>
        <v/>
      </c>
      <c r="AI506" s="1092"/>
      <c r="AJ506" s="1080">
        <f t="shared" si="520"/>
        <v>0</v>
      </c>
      <c r="AK506" s="1080">
        <f t="shared" si="525"/>
        <v>0</v>
      </c>
      <c r="AL506" s="1080">
        <f t="shared" si="521"/>
        <v>0</v>
      </c>
      <c r="AM506" s="1092">
        <f t="shared" si="526"/>
        <v>0</v>
      </c>
      <c r="AN506" s="1080">
        <f t="shared" si="527"/>
        <v>1</v>
      </c>
      <c r="AO506" s="1080">
        <f t="shared" si="522"/>
        <v>0</v>
      </c>
      <c r="AP506" s="1080">
        <f t="shared" si="523"/>
        <v>1</v>
      </c>
      <c r="AQ506" s="1027">
        <f>VLOOKUP(V506,'System Lookups'!$J$55:$P$64,7)</f>
        <v>600</v>
      </c>
      <c r="AR506" s="1080" t="str">
        <f ca="1">IF(AND(NOT(ISBLANK(AJ506)),ISNA(MATCH(ROW(),'System Lookups'!$C$526:$C$539,0))),"Y","N")</f>
        <v>Y</v>
      </c>
      <c r="AS506" s="1080">
        <f t="shared" si="524"/>
        <v>0</v>
      </c>
      <c r="AU506" s="1080" t="e">
        <f t="shared" si="531"/>
        <v>#N/A</v>
      </c>
      <c r="AV506" s="1080" t="str">
        <f t="shared" si="528"/>
        <v>T</v>
      </c>
      <c r="AW506" s="1080">
        <f t="shared" si="532"/>
        <v>0</v>
      </c>
      <c r="AX506" s="1080">
        <f t="shared" si="533"/>
        <v>0</v>
      </c>
      <c r="AY506" s="1080">
        <f t="shared" si="534"/>
        <v>0</v>
      </c>
      <c r="AZ506" s="1080">
        <f t="shared" si="535"/>
        <v>0</v>
      </c>
      <c r="BA506" s="1080">
        <f t="shared" si="536"/>
        <v>0</v>
      </c>
      <c r="BB506" s="1080">
        <f>IF(AND(RACE=1,'Main Creation Page'!$E$6="Well",OR(ISNUMBER(FIND(Experience!$G$11,BE506)),ISNUMBER(FIND(Experience!$G$11,BF506)),ISNUMBER(FIND(Experience!$I$11,BE506)),ISNUMBER(FIND(Experience!$I$11,BF506)))),1,0)</f>
        <v>1</v>
      </c>
      <c r="BC506" s="1080" t="str">
        <f t="shared" si="495"/>
        <v>Cult. Lore: For: Gaelic (Irish)</v>
      </c>
      <c r="BD506" s="1080" t="s">
        <v>5702</v>
      </c>
      <c r="BE506" s="1080" t="str">
        <f t="shared" si="529"/>
        <v>Lore</v>
      </c>
      <c r="BF506" s="1080" t="str">
        <f t="shared" si="530"/>
        <v>Lore Historical Skills</v>
      </c>
    </row>
    <row r="507" spans="1:58" ht="11.1" customHeight="1" outlineLevel="3">
      <c r="A507" s="1093" t="s">
        <v>390</v>
      </c>
      <c r="B507" s="1094"/>
      <c r="C507" s="1094"/>
      <c r="D507" s="1094"/>
      <c r="E507" s="1095" t="s">
        <v>5224</v>
      </c>
      <c r="F507" s="1095" t="s">
        <v>5224</v>
      </c>
      <c r="G507" s="1096">
        <v>0</v>
      </c>
      <c r="H507" s="1096" t="s">
        <v>5224</v>
      </c>
      <c r="I507" s="1096" t="s">
        <v>5224</v>
      </c>
      <c r="J507" s="1096" t="s">
        <v>5224</v>
      </c>
      <c r="K507" s="1096" t="s">
        <v>5224</v>
      </c>
      <c r="L507" s="1096">
        <v>0</v>
      </c>
      <c r="M507" s="1096" t="s">
        <v>5224</v>
      </c>
      <c r="N507" s="1096" t="s">
        <v>4631</v>
      </c>
      <c r="O507" s="1028"/>
      <c r="P507" s="1028" t="s">
        <v>780</v>
      </c>
      <c r="Q507" s="1097">
        <f t="shared" ca="1" si="514"/>
        <v>17</v>
      </c>
      <c r="R507" s="1034"/>
      <c r="S507" s="1028" t="s">
        <v>3616</v>
      </c>
      <c r="T507" s="1097">
        <f t="shared" ca="1" si="515"/>
        <v>17</v>
      </c>
      <c r="U507" s="1027">
        <v>3</v>
      </c>
      <c r="V507" s="1027">
        <f t="shared" si="516"/>
        <v>4</v>
      </c>
      <c r="W507" s="1098" t="e">
        <f>IF(OR(I507&lt;&gt;"N",E507="C"),IF(AND(N507&lt;&gt;"T",ISNUMBER(FIND("V",I507))),1,0),NA())+IF(H507="Y",IF(AND(N507="P",ISNUMBER(FIND("Z",I507))),2,1),0)+IF(J507="Y",1,0)+IF(K507="Y",3,0)+IF(BE507="Lore",L507*2+Experience!$D$25,0)+IF(M507="Y",1,0)</f>
        <v>#N/A</v>
      </c>
      <c r="X507" s="1099"/>
      <c r="Y507" s="1100">
        <f ca="1">IF(P507="NS",IFERROR(INDIRECT(S507),NA()),VLOOKUP(INDIRECT(P507)+INDIRECT(S507),'System Lookups'!$A$3:$D$146,2))</f>
        <v>0.1</v>
      </c>
      <c r="Z507" s="1100">
        <f t="shared" si="517"/>
        <v>0</v>
      </c>
      <c r="AA507" s="1101">
        <f ca="1">IF(ISNA(Y507),0,Y507)+Z507+IF('Main Creation Page'!AB$2=37,'Main Creation Page'!E$14/100,0)</f>
        <v>0.1</v>
      </c>
      <c r="AB507" s="1102">
        <f>VLOOKUP(V507,'System Lookups'!$J$55:$P$64,3)</f>
        <v>0.2</v>
      </c>
      <c r="AC507" s="1103">
        <f>VLOOKUP(V507,'System Lookups'!$J$55:$P$64,4)</f>
        <v>0.3</v>
      </c>
      <c r="AD507" s="1104">
        <f t="shared" ca="1" si="518"/>
        <v>0.35000000000000003</v>
      </c>
      <c r="AE507" s="1094">
        <f ca="1">(IF(AD507&gt;VLOOKUP(V507,'System Lookups'!$J$55:$P$63,6),(((AD507-VLOOKUP(V507,'System Lookups'!$J$55:$P$63,6))*100)/20),0))+AF507</f>
        <v>0</v>
      </c>
      <c r="AF507" s="1121"/>
      <c r="AG507" s="1092">
        <f t="shared" si="519"/>
        <v>0</v>
      </c>
      <c r="AH507" s="1092" t="str">
        <f>IF(X507&lt;=Experience!$R$15+1,"","*")</f>
        <v/>
      </c>
      <c r="AI507" s="1092"/>
      <c r="AJ507" s="1080">
        <f t="shared" si="520"/>
        <v>0</v>
      </c>
      <c r="AK507" s="1080">
        <f t="shared" si="525"/>
        <v>0</v>
      </c>
      <c r="AL507" s="1080">
        <f t="shared" si="521"/>
        <v>0</v>
      </c>
      <c r="AM507" s="1092">
        <f t="shared" si="526"/>
        <v>0</v>
      </c>
      <c r="AN507" s="1080">
        <f t="shared" si="527"/>
        <v>1</v>
      </c>
      <c r="AO507" s="1080">
        <f t="shared" si="522"/>
        <v>0</v>
      </c>
      <c r="AP507" s="1080">
        <f t="shared" si="523"/>
        <v>1</v>
      </c>
      <c r="AQ507" s="1027">
        <f>VLOOKUP(V507,'System Lookups'!$J$55:$P$64,7)</f>
        <v>600</v>
      </c>
      <c r="AR507" s="1080" t="str">
        <f ca="1">IF(AND(NOT(ISBLANK(AJ507)),ISNA(MATCH(ROW(),'System Lookups'!$C$526:$C$539,0))),"Y","N")</f>
        <v>Y</v>
      </c>
      <c r="AS507" s="1080">
        <f t="shared" si="524"/>
        <v>0</v>
      </c>
      <c r="AU507" s="1080" t="e">
        <f t="shared" si="531"/>
        <v>#N/A</v>
      </c>
      <c r="AV507" s="1080" t="str">
        <f t="shared" si="528"/>
        <v>T</v>
      </c>
      <c r="AW507" s="1080">
        <f t="shared" si="532"/>
        <v>0</v>
      </c>
      <c r="AX507" s="1080">
        <f t="shared" si="533"/>
        <v>0</v>
      </c>
      <c r="AY507" s="1080">
        <f t="shared" si="534"/>
        <v>0</v>
      </c>
      <c r="AZ507" s="1080">
        <f t="shared" si="535"/>
        <v>0</v>
      </c>
      <c r="BA507" s="1080">
        <f t="shared" si="536"/>
        <v>0</v>
      </c>
      <c r="BB507" s="1080">
        <f>IF(AND(RACE=1,'Main Creation Page'!$E$6="Well",OR(ISNUMBER(FIND(Experience!$G$11,BE507)),ISNUMBER(FIND(Experience!$G$11,BF507)),ISNUMBER(FIND(Experience!$I$11,BE507)),ISNUMBER(FIND(Experience!$I$11,BF507)))),1,0)</f>
        <v>1</v>
      </c>
      <c r="BC507" s="1080" t="str">
        <f t="shared" si="495"/>
        <v>Cult. Lore: For: Gaelic (Scots)</v>
      </c>
      <c r="BD507" s="1080" t="s">
        <v>5702</v>
      </c>
      <c r="BE507" s="1080" t="str">
        <f t="shared" si="529"/>
        <v>Lore</v>
      </c>
      <c r="BF507" s="1080" t="str">
        <f t="shared" si="530"/>
        <v>Lore Historical Skills</v>
      </c>
    </row>
    <row r="508" spans="1:58" ht="11.1" customHeight="1" outlineLevel="3">
      <c r="A508" s="1093" t="str">
        <f>IF('Main Creation Page'!$K$5=3,"Highlands", "German (High)")</f>
        <v>Highlands</v>
      </c>
      <c r="B508" s="1094"/>
      <c r="C508" s="1094"/>
      <c r="D508" s="1094"/>
      <c r="E508" s="1095" t="s">
        <v>5224</v>
      </c>
      <c r="F508" s="1095" t="s">
        <v>5224</v>
      </c>
      <c r="G508" s="1096">
        <v>0</v>
      </c>
      <c r="H508" s="1096" t="s">
        <v>5224</v>
      </c>
      <c r="I508" s="1096" t="s">
        <v>5224</v>
      </c>
      <c r="J508" s="1096" t="s">
        <v>5224</v>
      </c>
      <c r="K508" s="1096" t="s">
        <v>5224</v>
      </c>
      <c r="L508" s="1096">
        <v>0</v>
      </c>
      <c r="M508" s="1096" t="s">
        <v>5224</v>
      </c>
      <c r="N508" s="1096" t="s">
        <v>4631</v>
      </c>
      <c r="O508" s="1028"/>
      <c r="P508" s="1028" t="s">
        <v>780</v>
      </c>
      <c r="Q508" s="1097">
        <f t="shared" ca="1" si="514"/>
        <v>17</v>
      </c>
      <c r="R508" s="1034"/>
      <c r="S508" s="1028" t="s">
        <v>3616</v>
      </c>
      <c r="T508" s="1097">
        <f t="shared" ca="1" si="515"/>
        <v>17</v>
      </c>
      <c r="U508" s="1027">
        <v>3</v>
      </c>
      <c r="V508" s="1027">
        <f t="shared" si="516"/>
        <v>4</v>
      </c>
      <c r="W508" s="1098" t="e">
        <f>IF(OR(I508&lt;&gt;"N",E508="C"),IF(AND(N508&lt;&gt;"T",ISNUMBER(FIND("V",I508))),1,0),NA())+IF(H508="Y",IF(AND(N508="P",ISNUMBER(FIND("Z",I508))),2,1),0)+IF(J508="Y",1,0)+IF(K508="Y",3,0)+IF(BE508="Lore",L508*2+Experience!$D$25,0)+IF(M508="Y",1,0)</f>
        <v>#N/A</v>
      </c>
      <c r="X508" s="1099"/>
      <c r="Y508" s="1100">
        <f ca="1">IF(P508="NS",IFERROR(INDIRECT(S508),NA()),VLOOKUP(INDIRECT(P508)+INDIRECT(S508),'System Lookups'!$A$3:$D$146,2))</f>
        <v>0.1</v>
      </c>
      <c r="Z508" s="1100">
        <f t="shared" si="517"/>
        <v>0</v>
      </c>
      <c r="AA508" s="1101">
        <f ca="1">IF(ISNA(Y508),0,Y508)+Z508+IF('Main Creation Page'!AB$2=37,'Main Creation Page'!E$14/100,0)</f>
        <v>0.1</v>
      </c>
      <c r="AB508" s="1102">
        <f>VLOOKUP(V508,'System Lookups'!$J$55:$P$64,3)</f>
        <v>0.2</v>
      </c>
      <c r="AC508" s="1103">
        <f>VLOOKUP(V508,'System Lookups'!$J$55:$P$64,4)</f>
        <v>0.3</v>
      </c>
      <c r="AD508" s="1104">
        <f t="shared" ca="1" si="518"/>
        <v>0.35000000000000003</v>
      </c>
      <c r="AE508" s="1094">
        <f ca="1">(IF(AD508&gt;VLOOKUP(V508,'System Lookups'!$J$55:$P$63,6),(((AD508-VLOOKUP(V508,'System Lookups'!$J$55:$P$63,6))*100)/20),0))+AF508</f>
        <v>0</v>
      </c>
      <c r="AF508" s="1121"/>
      <c r="AG508" s="1092">
        <f t="shared" si="519"/>
        <v>0</v>
      </c>
      <c r="AH508" s="1092" t="str">
        <f>IF(X508&lt;=Experience!$R$15+1,"","*")</f>
        <v/>
      </c>
      <c r="AI508" s="1092"/>
      <c r="AJ508" s="1080">
        <f t="shared" si="520"/>
        <v>0</v>
      </c>
      <c r="AK508" s="1080">
        <f t="shared" si="525"/>
        <v>0</v>
      </c>
      <c r="AL508" s="1080">
        <f t="shared" si="521"/>
        <v>0</v>
      </c>
      <c r="AM508" s="1092">
        <f t="shared" si="526"/>
        <v>0</v>
      </c>
      <c r="AN508" s="1080">
        <f t="shared" si="527"/>
        <v>1</v>
      </c>
      <c r="AO508" s="1080">
        <f t="shared" si="522"/>
        <v>0</v>
      </c>
      <c r="AP508" s="1080">
        <f t="shared" si="523"/>
        <v>1</v>
      </c>
      <c r="AQ508" s="1027">
        <f>VLOOKUP(V508,'System Lookups'!$J$55:$P$64,7)</f>
        <v>600</v>
      </c>
      <c r="AR508" s="1080" t="str">
        <f ca="1">IF(AND(NOT(ISBLANK(AJ508)),ISNA(MATCH(ROW(),'System Lookups'!$C$526:$C$539,0))),"Y","N")</f>
        <v>Y</v>
      </c>
      <c r="AS508" s="1080">
        <f t="shared" si="524"/>
        <v>0</v>
      </c>
      <c r="AU508" s="1080" t="e">
        <f t="shared" si="531"/>
        <v>#N/A</v>
      </c>
      <c r="AV508" s="1080" t="str">
        <f t="shared" si="528"/>
        <v>T</v>
      </c>
      <c r="AW508" s="1080">
        <f t="shared" si="532"/>
        <v>0</v>
      </c>
      <c r="AX508" s="1080">
        <f t="shared" si="533"/>
        <v>0</v>
      </c>
      <c r="AY508" s="1080">
        <f t="shared" si="534"/>
        <v>0</v>
      </c>
      <c r="AZ508" s="1080">
        <f t="shared" si="535"/>
        <v>0</v>
      </c>
      <c r="BA508" s="1080">
        <f t="shared" si="536"/>
        <v>0</v>
      </c>
      <c r="BB508" s="1080">
        <f>IF(AND(RACE=1,'Main Creation Page'!$E$6="Well",OR(ISNUMBER(FIND(Experience!$G$11,BE508)),ISNUMBER(FIND(Experience!$G$11,BF508)),ISNUMBER(FIND(Experience!$I$11,BE508)),ISNUMBER(FIND(Experience!$I$11,BF508)))),1,0)</f>
        <v>1</v>
      </c>
      <c r="BC508" s="1080" t="str">
        <f t="shared" si="495"/>
        <v>Cult. Lore: For: Highlands</v>
      </c>
      <c r="BD508" s="1080" t="s">
        <v>5702</v>
      </c>
      <c r="BE508" s="1080" t="str">
        <f t="shared" si="529"/>
        <v>Lore</v>
      </c>
      <c r="BF508" s="1080" t="str">
        <f t="shared" si="530"/>
        <v>Lore Historical Skills</v>
      </c>
    </row>
    <row r="509" spans="1:58" ht="11.1" customHeight="1" outlineLevel="3">
      <c r="A509" s="1093" t="str">
        <f>IF('Main Creation Page'!$K$5=3, "Lowlands","German (Low)")</f>
        <v>Lowlands</v>
      </c>
      <c r="B509" s="1094"/>
      <c r="C509" s="1094"/>
      <c r="D509" s="1094"/>
      <c r="E509" s="1095" t="s">
        <v>5224</v>
      </c>
      <c r="F509" s="1095" t="s">
        <v>5224</v>
      </c>
      <c r="G509" s="1096">
        <v>0</v>
      </c>
      <c r="H509" s="1096" t="s">
        <v>5224</v>
      </c>
      <c r="I509" s="1096" t="s">
        <v>5224</v>
      </c>
      <c r="J509" s="1096" t="s">
        <v>5224</v>
      </c>
      <c r="K509" s="1096" t="s">
        <v>5224</v>
      </c>
      <c r="L509" s="1096">
        <v>0</v>
      </c>
      <c r="M509" s="1096" t="s">
        <v>5224</v>
      </c>
      <c r="N509" s="1096" t="s">
        <v>4631</v>
      </c>
      <c r="O509" s="1028"/>
      <c r="P509" s="1028" t="s">
        <v>780</v>
      </c>
      <c r="Q509" s="1097">
        <f t="shared" ca="1" si="514"/>
        <v>17</v>
      </c>
      <c r="R509" s="1034"/>
      <c r="S509" s="1028" t="s">
        <v>3616</v>
      </c>
      <c r="T509" s="1097">
        <f t="shared" ca="1" si="515"/>
        <v>17</v>
      </c>
      <c r="U509" s="1027">
        <v>3</v>
      </c>
      <c r="V509" s="1027">
        <f t="shared" si="516"/>
        <v>4</v>
      </c>
      <c r="W509" s="1098" t="e">
        <f>IF(OR(I509&lt;&gt;"N",E509="C"),IF(AND(N509&lt;&gt;"T",ISNUMBER(FIND("V",I509))),1,0),NA())+IF(H509="Y",IF(AND(N509="P",ISNUMBER(FIND("Z",I509))),2,1),0)+IF(J509="Y",1,0)+IF(K509="Y",3,0)+IF(BE509="Lore",L509*2+Experience!$D$25,0)+IF(M509="Y",1,0)</f>
        <v>#N/A</v>
      </c>
      <c r="X509" s="1099"/>
      <c r="Y509" s="1100">
        <f ca="1">IF(P509="NS",IFERROR(INDIRECT(S509),NA()),VLOOKUP(INDIRECT(P509)+INDIRECT(S509),'System Lookups'!$A$3:$D$146,2))</f>
        <v>0.1</v>
      </c>
      <c r="Z509" s="1100">
        <f t="shared" si="517"/>
        <v>0</v>
      </c>
      <c r="AA509" s="1101">
        <f ca="1">IF(ISNA(Y509),0,Y509)+Z509+IF('Main Creation Page'!AB$2=37,'Main Creation Page'!E$14/100,0)</f>
        <v>0.1</v>
      </c>
      <c r="AB509" s="1102">
        <f>VLOOKUP(V509,'System Lookups'!$J$55:$P$64,3)</f>
        <v>0.2</v>
      </c>
      <c r="AC509" s="1103">
        <f>VLOOKUP(V509,'System Lookups'!$J$55:$P$64,4)</f>
        <v>0.3</v>
      </c>
      <c r="AD509" s="1104">
        <f t="shared" ca="1" si="518"/>
        <v>0.35000000000000003</v>
      </c>
      <c r="AE509" s="1094">
        <f ca="1">(IF(AD509&gt;VLOOKUP(V509,'System Lookups'!$J$55:$P$63,6),(((AD509-VLOOKUP(V509,'System Lookups'!$J$55:$P$63,6))*100)/20),0))+AF509</f>
        <v>0</v>
      </c>
      <c r="AF509" s="1121"/>
      <c r="AG509" s="1092">
        <f t="shared" si="519"/>
        <v>0</v>
      </c>
      <c r="AH509" s="1092" t="str">
        <f>IF(X509&lt;=Experience!$R$15+1,"","*")</f>
        <v/>
      </c>
      <c r="AI509" s="1092"/>
      <c r="AJ509" s="1080">
        <f t="shared" si="520"/>
        <v>0</v>
      </c>
      <c r="AK509" s="1080">
        <f t="shared" si="525"/>
        <v>0</v>
      </c>
      <c r="AL509" s="1080">
        <f t="shared" si="521"/>
        <v>0</v>
      </c>
      <c r="AM509" s="1092">
        <f t="shared" si="526"/>
        <v>0</v>
      </c>
      <c r="AN509" s="1080">
        <f t="shared" si="527"/>
        <v>1</v>
      </c>
      <c r="AO509" s="1080">
        <f t="shared" si="522"/>
        <v>0</v>
      </c>
      <c r="AP509" s="1080">
        <f t="shared" si="523"/>
        <v>1</v>
      </c>
      <c r="AQ509" s="1027">
        <f>VLOOKUP(V509,'System Lookups'!$J$55:$P$64,7)</f>
        <v>600</v>
      </c>
      <c r="AR509" s="1080" t="str">
        <f ca="1">IF(AND(NOT(ISBLANK(AJ509)),ISNA(MATCH(ROW(),'System Lookups'!$C$526:$C$539,0))),"Y","N")</f>
        <v>Y</v>
      </c>
      <c r="AS509" s="1080">
        <f t="shared" si="524"/>
        <v>0</v>
      </c>
      <c r="AU509" s="1080" t="e">
        <f t="shared" si="531"/>
        <v>#N/A</v>
      </c>
      <c r="AV509" s="1080" t="str">
        <f t="shared" si="528"/>
        <v>T</v>
      </c>
      <c r="AW509" s="1080">
        <f t="shared" si="532"/>
        <v>0</v>
      </c>
      <c r="AX509" s="1080">
        <f t="shared" si="533"/>
        <v>0</v>
      </c>
      <c r="AY509" s="1080">
        <f t="shared" si="534"/>
        <v>0</v>
      </c>
      <c r="AZ509" s="1080">
        <f t="shared" si="535"/>
        <v>0</v>
      </c>
      <c r="BA509" s="1080">
        <f t="shared" si="536"/>
        <v>0</v>
      </c>
      <c r="BB509" s="1080">
        <f>IF(AND(RACE=1,'Main Creation Page'!$E$6="Well",OR(ISNUMBER(FIND(Experience!$G$11,BE509)),ISNUMBER(FIND(Experience!$G$11,BF509)),ISNUMBER(FIND(Experience!$I$11,BE509)),ISNUMBER(FIND(Experience!$I$11,BF509)))),1,0)</f>
        <v>1</v>
      </c>
      <c r="BC509" s="1080" t="str">
        <f t="shared" si="495"/>
        <v>Cult. Lore: For: Lowlands</v>
      </c>
      <c r="BD509" s="1080" t="s">
        <v>5702</v>
      </c>
      <c r="BE509" s="1080" t="str">
        <f t="shared" si="529"/>
        <v>Lore</v>
      </c>
      <c r="BF509" s="1080" t="str">
        <f t="shared" si="530"/>
        <v>Lore Historical Skills</v>
      </c>
    </row>
    <row r="510" spans="1:58" ht="11.1" customHeight="1" outlineLevel="3">
      <c r="A510" s="1093" t="s">
        <v>389</v>
      </c>
      <c r="B510" s="1094"/>
      <c r="C510" s="1094"/>
      <c r="D510" s="1094"/>
      <c r="E510" s="1095" t="s">
        <v>5224</v>
      </c>
      <c r="F510" s="1095" t="s">
        <v>5224</v>
      </c>
      <c r="G510" s="1096">
        <v>0</v>
      </c>
      <c r="H510" s="1096" t="s">
        <v>5224</v>
      </c>
      <c r="I510" s="1096" t="s">
        <v>5224</v>
      </c>
      <c r="J510" s="1096" t="s">
        <v>5224</v>
      </c>
      <c r="K510" s="1096" t="s">
        <v>5224</v>
      </c>
      <c r="L510" s="1096">
        <v>0</v>
      </c>
      <c r="M510" s="1096" t="s">
        <v>5224</v>
      </c>
      <c r="N510" s="1096" t="s">
        <v>4631</v>
      </c>
      <c r="O510" s="1028"/>
      <c r="P510" s="1028" t="s">
        <v>780</v>
      </c>
      <c r="Q510" s="1097">
        <f t="shared" ca="1" si="514"/>
        <v>17</v>
      </c>
      <c r="R510" s="1034"/>
      <c r="S510" s="1028" t="s">
        <v>3616</v>
      </c>
      <c r="T510" s="1097">
        <f t="shared" ca="1" si="515"/>
        <v>17</v>
      </c>
      <c r="U510" s="1027">
        <v>3</v>
      </c>
      <c r="V510" s="1027">
        <f t="shared" si="516"/>
        <v>4</v>
      </c>
      <c r="W510" s="1098" t="e">
        <f>IF(OR(I510&lt;&gt;"N",E510="C"),IF(AND(N510&lt;&gt;"T",ISNUMBER(FIND("V",I510))),1,0),NA())+IF(H510="Y",IF(AND(N510="P",ISNUMBER(FIND("Z",I510))),2,1),0)+IF(J510="Y",1,0)+IF(K510="Y",3,0)+IF(BE510="Lore",L510*2+Experience!$D$25,0)+IF(M510="Y",1,0)</f>
        <v>#N/A</v>
      </c>
      <c r="X510" s="1099"/>
      <c r="Y510" s="1100">
        <f ca="1">IF(P510="NS",IFERROR(INDIRECT(S510),NA()),VLOOKUP(INDIRECT(P510)+INDIRECT(S510),'System Lookups'!$A$3:$D$146,2))</f>
        <v>0.1</v>
      </c>
      <c r="Z510" s="1100">
        <f t="shared" si="517"/>
        <v>0</v>
      </c>
      <c r="AA510" s="1101">
        <f ca="1">IF(ISNA(Y510),0,Y510)+Z510+IF('Main Creation Page'!AB$2=37,'Main Creation Page'!E$14/100,0)</f>
        <v>0.1</v>
      </c>
      <c r="AB510" s="1102">
        <f>VLOOKUP(V510,'System Lookups'!$J$55:$P$64,3)</f>
        <v>0.2</v>
      </c>
      <c r="AC510" s="1103">
        <f>VLOOKUP(V510,'System Lookups'!$J$55:$P$64,4)</f>
        <v>0.3</v>
      </c>
      <c r="AD510" s="1104">
        <f t="shared" ca="1" si="518"/>
        <v>0.35000000000000003</v>
      </c>
      <c r="AE510" s="1094">
        <f ca="1">(IF(AD510&gt;VLOOKUP(V510,'System Lookups'!$J$55:$P$63,6),(((AD510-VLOOKUP(V510,'System Lookups'!$J$55:$P$63,6))*100)/20),0))+AF510</f>
        <v>0</v>
      </c>
      <c r="AF510" s="1121"/>
      <c r="AG510" s="1092">
        <f t="shared" si="519"/>
        <v>0</v>
      </c>
      <c r="AH510" s="1092" t="str">
        <f>IF(X510&lt;=Experience!$R$15+1,"","*")</f>
        <v/>
      </c>
      <c r="AI510" s="1092"/>
      <c r="AJ510" s="1080">
        <f t="shared" si="520"/>
        <v>0</v>
      </c>
      <c r="AK510" s="1080">
        <f t="shared" si="525"/>
        <v>0</v>
      </c>
      <c r="AL510" s="1080">
        <f t="shared" si="521"/>
        <v>0</v>
      </c>
      <c r="AM510" s="1092">
        <f t="shared" si="526"/>
        <v>0</v>
      </c>
      <c r="AN510" s="1080">
        <f t="shared" si="527"/>
        <v>1</v>
      </c>
      <c r="AO510" s="1080">
        <f t="shared" si="522"/>
        <v>0</v>
      </c>
      <c r="AP510" s="1080">
        <f t="shared" si="523"/>
        <v>1</v>
      </c>
      <c r="AQ510" s="1027">
        <f>VLOOKUP(V510,'System Lookups'!$J$55:$P$64,7)</f>
        <v>600</v>
      </c>
      <c r="AR510" s="1080" t="str">
        <f ca="1">IF(AND(NOT(ISBLANK(AJ510)),ISNA(MATCH(ROW(),'System Lookups'!$C$526:$C$539,0))),"Y","N")</f>
        <v>Y</v>
      </c>
      <c r="AS510" s="1080">
        <f t="shared" si="524"/>
        <v>0</v>
      </c>
      <c r="AU510" s="1080" t="e">
        <f t="shared" si="531"/>
        <v>#N/A</v>
      </c>
      <c r="AV510" s="1080" t="str">
        <f t="shared" si="528"/>
        <v>T</v>
      </c>
      <c r="AW510" s="1080">
        <f t="shared" si="532"/>
        <v>0</v>
      </c>
      <c r="AX510" s="1080">
        <f t="shared" si="533"/>
        <v>0</v>
      </c>
      <c r="AY510" s="1080">
        <f t="shared" si="534"/>
        <v>0</v>
      </c>
      <c r="AZ510" s="1080">
        <f t="shared" si="535"/>
        <v>0</v>
      </c>
      <c r="BA510" s="1080">
        <f t="shared" si="536"/>
        <v>0</v>
      </c>
      <c r="BB510" s="1080">
        <f>IF(AND(RACE=1,'Main Creation Page'!$E$6="Well",OR(ISNUMBER(FIND(Experience!$G$11,BE510)),ISNUMBER(FIND(Experience!$G$11,BF510)),ISNUMBER(FIND(Experience!$I$11,BE510)),ISNUMBER(FIND(Experience!$I$11,BF510)))),1,0)</f>
        <v>1</v>
      </c>
      <c r="BC510" s="1080" t="str">
        <f t="shared" si="495"/>
        <v>Cult. Lore: For: German (Middle)</v>
      </c>
      <c r="BD510" s="1080" t="s">
        <v>5702</v>
      </c>
      <c r="BE510" s="1080" t="str">
        <f t="shared" si="529"/>
        <v>Lore</v>
      </c>
      <c r="BF510" s="1080" t="str">
        <f t="shared" si="530"/>
        <v>Lore Historical Skills</v>
      </c>
    </row>
    <row r="511" spans="1:58" ht="11.1" customHeight="1" outlineLevel="3">
      <c r="A511" s="1093" t="str">
        <f>IF('Main Creation Page'!$K$5=3, "Mednan","Greek (Medieval)")</f>
        <v>Mednan</v>
      </c>
      <c r="B511" s="1094"/>
      <c r="C511" s="1094"/>
      <c r="D511" s="1094"/>
      <c r="E511" s="1095" t="s">
        <v>5224</v>
      </c>
      <c r="F511" s="1095" t="s">
        <v>5224</v>
      </c>
      <c r="G511" s="1096">
        <v>0</v>
      </c>
      <c r="H511" s="1096" t="s">
        <v>5224</v>
      </c>
      <c r="I511" s="1096" t="s">
        <v>5224</v>
      </c>
      <c r="J511" s="1096" t="s">
        <v>5224</v>
      </c>
      <c r="K511" s="1096" t="s">
        <v>5224</v>
      </c>
      <c r="L511" s="1096">
        <v>0</v>
      </c>
      <c r="M511" s="1096" t="s">
        <v>5224</v>
      </c>
      <c r="N511" s="1096" t="s">
        <v>4631</v>
      </c>
      <c r="O511" s="1028"/>
      <c r="P511" s="1028" t="s">
        <v>780</v>
      </c>
      <c r="Q511" s="1097">
        <f t="shared" ca="1" si="514"/>
        <v>17</v>
      </c>
      <c r="R511" s="1034"/>
      <c r="S511" s="1028" t="s">
        <v>3616</v>
      </c>
      <c r="T511" s="1097">
        <f t="shared" ca="1" si="515"/>
        <v>17</v>
      </c>
      <c r="U511" s="1027">
        <v>3</v>
      </c>
      <c r="V511" s="1027">
        <f t="shared" si="516"/>
        <v>4</v>
      </c>
      <c r="W511" s="1098" t="e">
        <f>IF(OR(I511&lt;&gt;"N",E511="C"),IF(AND(N511&lt;&gt;"T",ISNUMBER(FIND("V",I511))),1,0),NA())+IF(H511="Y",IF(AND(N511="P",ISNUMBER(FIND("Z",I511))),2,1),0)+IF(J511="Y",1,0)+IF(K511="Y",3,0)+IF(BE511="Lore",L511*2+Experience!$D$25,0)+IF(M511="Y",1,0)</f>
        <v>#N/A</v>
      </c>
      <c r="X511" s="1099"/>
      <c r="Y511" s="1100">
        <f ca="1">IF(P511="NS",IFERROR(INDIRECT(S511),NA()),VLOOKUP(INDIRECT(P511)+INDIRECT(S511),'System Lookups'!$A$3:$D$146,2))</f>
        <v>0.1</v>
      </c>
      <c r="Z511" s="1100">
        <f t="shared" si="517"/>
        <v>0</v>
      </c>
      <c r="AA511" s="1101">
        <f ca="1">IF(ISNA(Y511),0,Y511)+Z511+IF('Main Creation Page'!AB$2=37,'Main Creation Page'!E$14/100,0)</f>
        <v>0.1</v>
      </c>
      <c r="AB511" s="1102">
        <f>VLOOKUP(V511,'System Lookups'!$J$55:$P$64,3)</f>
        <v>0.2</v>
      </c>
      <c r="AC511" s="1103">
        <f>VLOOKUP(V511,'System Lookups'!$J$55:$P$64,4)</f>
        <v>0.3</v>
      </c>
      <c r="AD511" s="1104">
        <f t="shared" ca="1" si="518"/>
        <v>0.35000000000000003</v>
      </c>
      <c r="AE511" s="1094">
        <f ca="1">(IF(AD511&gt;VLOOKUP(V511,'System Lookups'!$J$55:$P$63,6),(((AD511-VLOOKUP(V511,'System Lookups'!$J$55:$P$63,6))*100)/20),0))+AF511</f>
        <v>0</v>
      </c>
      <c r="AF511" s="1121"/>
      <c r="AG511" s="1092">
        <f t="shared" si="519"/>
        <v>0</v>
      </c>
      <c r="AH511" s="1092" t="str">
        <f>IF(X511&lt;=Experience!$R$15+1,"","*")</f>
        <v/>
      </c>
      <c r="AI511" s="1092"/>
      <c r="AJ511" s="1080">
        <f t="shared" si="520"/>
        <v>0</v>
      </c>
      <c r="AK511" s="1080">
        <f t="shared" si="525"/>
        <v>0</v>
      </c>
      <c r="AL511" s="1080">
        <f t="shared" si="521"/>
        <v>0</v>
      </c>
      <c r="AM511" s="1092">
        <f t="shared" si="526"/>
        <v>0</v>
      </c>
      <c r="AN511" s="1080">
        <f t="shared" si="527"/>
        <v>1</v>
      </c>
      <c r="AO511" s="1080">
        <f t="shared" si="522"/>
        <v>0</v>
      </c>
      <c r="AP511" s="1080">
        <f t="shared" si="523"/>
        <v>1</v>
      </c>
      <c r="AQ511" s="1027">
        <f>VLOOKUP(V511,'System Lookups'!$J$55:$P$64,7)</f>
        <v>600</v>
      </c>
      <c r="AR511" s="1080" t="str">
        <f ca="1">IF(AND(NOT(ISBLANK(AJ511)),ISNA(MATCH(ROW(),'System Lookups'!$C$526:$C$539,0))),"Y","N")</f>
        <v>Y</v>
      </c>
      <c r="AS511" s="1080">
        <f t="shared" si="524"/>
        <v>0</v>
      </c>
      <c r="AU511" s="1080" t="e">
        <f t="shared" si="531"/>
        <v>#N/A</v>
      </c>
      <c r="AV511" s="1080" t="str">
        <f t="shared" si="528"/>
        <v>T</v>
      </c>
      <c r="AW511" s="1080">
        <f t="shared" si="532"/>
        <v>0</v>
      </c>
      <c r="AX511" s="1080">
        <f t="shared" si="533"/>
        <v>0</v>
      </c>
      <c r="AY511" s="1080">
        <f t="shared" si="534"/>
        <v>0</v>
      </c>
      <c r="AZ511" s="1080">
        <f t="shared" si="535"/>
        <v>0</v>
      </c>
      <c r="BA511" s="1080">
        <f t="shared" si="536"/>
        <v>0</v>
      </c>
      <c r="BB511" s="1080">
        <f>IF(AND(RACE=1,'Main Creation Page'!$E$6="Well",OR(ISNUMBER(FIND(Experience!$G$11,BE511)),ISNUMBER(FIND(Experience!$G$11,BF511)),ISNUMBER(FIND(Experience!$I$11,BE511)),ISNUMBER(FIND(Experience!$I$11,BF511)))),1,0)</f>
        <v>1</v>
      </c>
      <c r="BC511" s="1080" t="str">
        <f t="shared" si="495"/>
        <v>Cult. Lore: For: Mednan</v>
      </c>
      <c r="BD511" s="1080" t="s">
        <v>5702</v>
      </c>
      <c r="BE511" s="1080" t="str">
        <f t="shared" si="529"/>
        <v>Lore</v>
      </c>
      <c r="BF511" s="1080" t="str">
        <f t="shared" si="530"/>
        <v>Lore Historical Skills</v>
      </c>
    </row>
    <row r="512" spans="1:58" ht="11.1" customHeight="1" outlineLevel="3">
      <c r="A512" s="1093" t="str">
        <f>IF('Main Creation Page'!$K$5=3, "Hindran","Hindu")</f>
        <v>Hindran</v>
      </c>
      <c r="B512" s="1094"/>
      <c r="C512" s="1094"/>
      <c r="D512" s="1094"/>
      <c r="E512" s="1095" t="s">
        <v>5224</v>
      </c>
      <c r="F512" s="1095" t="s">
        <v>5224</v>
      </c>
      <c r="G512" s="1096">
        <v>0</v>
      </c>
      <c r="H512" s="1096" t="s">
        <v>5224</v>
      </c>
      <c r="I512" s="1096" t="s">
        <v>5224</v>
      </c>
      <c r="J512" s="1096" t="s">
        <v>5224</v>
      </c>
      <c r="K512" s="1096" t="s">
        <v>5224</v>
      </c>
      <c r="L512" s="1096">
        <v>0</v>
      </c>
      <c r="M512" s="1096" t="s">
        <v>5224</v>
      </c>
      <c r="N512" s="1096" t="s">
        <v>4631</v>
      </c>
      <c r="O512" s="1028"/>
      <c r="P512" s="1028" t="s">
        <v>780</v>
      </c>
      <c r="Q512" s="1097">
        <f t="shared" ca="1" si="514"/>
        <v>17</v>
      </c>
      <c r="R512" s="1034"/>
      <c r="S512" s="1028" t="s">
        <v>3616</v>
      </c>
      <c r="T512" s="1097">
        <f t="shared" ca="1" si="515"/>
        <v>17</v>
      </c>
      <c r="U512" s="1027">
        <v>3</v>
      </c>
      <c r="V512" s="1027">
        <f t="shared" si="516"/>
        <v>4</v>
      </c>
      <c r="W512" s="1098" t="e">
        <f>IF(OR(I512&lt;&gt;"N",E512="C"),IF(AND(N512&lt;&gt;"T",ISNUMBER(FIND("V",I512))),1,0),NA())+IF(H512="Y",IF(AND(N512="P",ISNUMBER(FIND("Z",I512))),2,1),0)+IF(J512="Y",1,0)+IF(K512="Y",3,0)+IF(BE512="Lore",L512*2+Experience!$D$25,0)+IF(M512="Y",1,0)</f>
        <v>#N/A</v>
      </c>
      <c r="X512" s="1099"/>
      <c r="Y512" s="1100">
        <f ca="1">IF(P512="NS",IFERROR(INDIRECT(S512),NA()),VLOOKUP(INDIRECT(P512)+INDIRECT(S512),'System Lookups'!$A$3:$D$146,2))</f>
        <v>0.1</v>
      </c>
      <c r="Z512" s="1100">
        <f t="shared" si="517"/>
        <v>0</v>
      </c>
      <c r="AA512" s="1101">
        <f ca="1">IF(ISNA(Y512),0,Y512)+Z512+IF('Main Creation Page'!AB$2=37,'Main Creation Page'!E$14/100,0)</f>
        <v>0.1</v>
      </c>
      <c r="AB512" s="1102">
        <f>VLOOKUP(V512,'System Lookups'!$J$55:$P$64,3)</f>
        <v>0.2</v>
      </c>
      <c r="AC512" s="1103">
        <f>VLOOKUP(V512,'System Lookups'!$J$55:$P$64,4)</f>
        <v>0.3</v>
      </c>
      <c r="AD512" s="1104">
        <f t="shared" ca="1" si="518"/>
        <v>0.35000000000000003</v>
      </c>
      <c r="AE512" s="1094">
        <f ca="1">(IF(AD512&gt;VLOOKUP(V512,'System Lookups'!$J$55:$P$63,6),(((AD512-VLOOKUP(V512,'System Lookups'!$J$55:$P$63,6))*100)/20),0))+AF512</f>
        <v>0</v>
      </c>
      <c r="AF512" s="1121"/>
      <c r="AG512" s="1092">
        <f t="shared" si="519"/>
        <v>0</v>
      </c>
      <c r="AH512" s="1092" t="str">
        <f>IF(X512&lt;=Experience!$R$15+1,"","*")</f>
        <v/>
      </c>
      <c r="AI512" s="1092"/>
      <c r="AJ512" s="1080">
        <f t="shared" si="520"/>
        <v>0</v>
      </c>
      <c r="AK512" s="1080">
        <f t="shared" si="525"/>
        <v>0</v>
      </c>
      <c r="AL512" s="1080">
        <f t="shared" si="521"/>
        <v>0</v>
      </c>
      <c r="AM512" s="1092">
        <f t="shared" si="526"/>
        <v>0</v>
      </c>
      <c r="AN512" s="1080">
        <f t="shared" si="527"/>
        <v>1</v>
      </c>
      <c r="AO512" s="1080">
        <f t="shared" si="522"/>
        <v>0</v>
      </c>
      <c r="AP512" s="1080">
        <f t="shared" si="523"/>
        <v>1</v>
      </c>
      <c r="AQ512" s="1027">
        <f>VLOOKUP(V512,'System Lookups'!$J$55:$P$64,7)</f>
        <v>600</v>
      </c>
      <c r="AR512" s="1080" t="str">
        <f ca="1">IF(AND(NOT(ISBLANK(AJ512)),ISNA(MATCH(ROW(),'System Lookups'!$C$526:$C$539,0))),"Y","N")</f>
        <v>Y</v>
      </c>
      <c r="AS512" s="1080">
        <f t="shared" si="524"/>
        <v>0</v>
      </c>
      <c r="AU512" s="1080" t="e">
        <f t="shared" si="531"/>
        <v>#N/A</v>
      </c>
      <c r="AV512" s="1080" t="str">
        <f t="shared" si="528"/>
        <v>T</v>
      </c>
      <c r="AW512" s="1080">
        <f t="shared" si="532"/>
        <v>0</v>
      </c>
      <c r="AX512" s="1080">
        <f t="shared" si="533"/>
        <v>0</v>
      </c>
      <c r="AY512" s="1080">
        <f t="shared" si="534"/>
        <v>0</v>
      </c>
      <c r="AZ512" s="1080">
        <f t="shared" si="535"/>
        <v>0</v>
      </c>
      <c r="BA512" s="1080">
        <f t="shared" si="536"/>
        <v>0</v>
      </c>
      <c r="BB512" s="1080">
        <f>IF(AND(RACE=1,'Main Creation Page'!$E$6="Well",OR(ISNUMBER(FIND(Experience!$G$11,BE512)),ISNUMBER(FIND(Experience!$G$11,BF512)),ISNUMBER(FIND(Experience!$I$11,BE512)),ISNUMBER(FIND(Experience!$I$11,BF512)))),1,0)</f>
        <v>1</v>
      </c>
      <c r="BC512" s="1080" t="str">
        <f t="shared" si="495"/>
        <v>Cult. Lore: For: Hindran</v>
      </c>
      <c r="BD512" s="1080" t="s">
        <v>5702</v>
      </c>
      <c r="BE512" s="1080" t="str">
        <f t="shared" si="529"/>
        <v>Lore</v>
      </c>
      <c r="BF512" s="1080" t="str">
        <f t="shared" si="530"/>
        <v>Lore Historical Skills</v>
      </c>
    </row>
    <row r="513" spans="1:58" ht="11.1" customHeight="1" outlineLevel="3">
      <c r="A513" s="1093" t="str">
        <f>IF('Main Creation Page'!$K$5=3,"Kindren","Italian")</f>
        <v>Kindren</v>
      </c>
      <c r="B513" s="1094"/>
      <c r="C513" s="1094"/>
      <c r="D513" s="1094"/>
      <c r="E513" s="1095" t="s">
        <v>5224</v>
      </c>
      <c r="F513" s="1095" t="s">
        <v>5224</v>
      </c>
      <c r="G513" s="1096">
        <v>0</v>
      </c>
      <c r="H513" s="1096" t="s">
        <v>5224</v>
      </c>
      <c r="I513" s="1096" t="s">
        <v>5224</v>
      </c>
      <c r="J513" s="1096" t="s">
        <v>5224</v>
      </c>
      <c r="K513" s="1096" t="s">
        <v>5224</v>
      </c>
      <c r="L513" s="1096">
        <v>0</v>
      </c>
      <c r="M513" s="1096" t="s">
        <v>5224</v>
      </c>
      <c r="N513" s="1096" t="s">
        <v>4631</v>
      </c>
      <c r="O513" s="1028"/>
      <c r="P513" s="1028" t="s">
        <v>780</v>
      </c>
      <c r="Q513" s="1097">
        <f t="shared" ca="1" si="514"/>
        <v>17</v>
      </c>
      <c r="R513" s="1034"/>
      <c r="S513" s="1028" t="s">
        <v>3616</v>
      </c>
      <c r="T513" s="1097">
        <f t="shared" ca="1" si="515"/>
        <v>17</v>
      </c>
      <c r="U513" s="1027">
        <v>3</v>
      </c>
      <c r="V513" s="1027">
        <f t="shared" si="516"/>
        <v>4</v>
      </c>
      <c r="W513" s="1098" t="e">
        <f>IF(OR(I513&lt;&gt;"N",E513="C"),IF(AND(N513&lt;&gt;"T",ISNUMBER(FIND("V",I513))),1,0),NA())+IF(H513="Y",IF(AND(N513="P",ISNUMBER(FIND("Z",I513))),2,1),0)+IF(J513="Y",1,0)+IF(K513="Y",3,0)+IF(BE513="Lore",L513*2+Experience!$D$25,0)+IF(M513="Y",1,0)</f>
        <v>#N/A</v>
      </c>
      <c r="X513" s="1099"/>
      <c r="Y513" s="1100">
        <f ca="1">IF(P513="NS",IFERROR(INDIRECT(S513),NA()),VLOOKUP(INDIRECT(P513)+INDIRECT(S513),'System Lookups'!$A$3:$D$146,2))</f>
        <v>0.1</v>
      </c>
      <c r="Z513" s="1100">
        <f t="shared" si="517"/>
        <v>0</v>
      </c>
      <c r="AA513" s="1101">
        <f ca="1">IF(ISNA(Y513),0,Y513)+Z513+IF('Main Creation Page'!AB$2=37,'Main Creation Page'!E$14/100,0)</f>
        <v>0.1</v>
      </c>
      <c r="AB513" s="1102">
        <f>VLOOKUP(V513,'System Lookups'!$J$55:$P$64,3)</f>
        <v>0.2</v>
      </c>
      <c r="AC513" s="1103">
        <f>VLOOKUP(V513,'System Lookups'!$J$55:$P$64,4)</f>
        <v>0.3</v>
      </c>
      <c r="AD513" s="1104">
        <f t="shared" ca="1" si="518"/>
        <v>0.35000000000000003</v>
      </c>
      <c r="AE513" s="1094">
        <f ca="1">(IF(AD513&gt;VLOOKUP(V513,'System Lookups'!$J$55:$P$63,6),(((AD513-VLOOKUP(V513,'System Lookups'!$J$55:$P$63,6))*100)/20),0))+AF513</f>
        <v>0</v>
      </c>
      <c r="AF513" s="1121"/>
      <c r="AG513" s="1092">
        <f t="shared" si="519"/>
        <v>0</v>
      </c>
      <c r="AH513" s="1092" t="str">
        <f>IF(X513&lt;=Experience!$R$15+1,"","*")</f>
        <v/>
      </c>
      <c r="AI513" s="1092"/>
      <c r="AJ513" s="1080">
        <f t="shared" si="520"/>
        <v>0</v>
      </c>
      <c r="AK513" s="1080">
        <f t="shared" si="525"/>
        <v>0</v>
      </c>
      <c r="AL513" s="1080">
        <f t="shared" si="521"/>
        <v>0</v>
      </c>
      <c r="AM513" s="1092">
        <f t="shared" si="526"/>
        <v>0</v>
      </c>
      <c r="AN513" s="1080">
        <f t="shared" si="527"/>
        <v>1</v>
      </c>
      <c r="AO513" s="1080">
        <f t="shared" si="522"/>
        <v>0</v>
      </c>
      <c r="AP513" s="1080">
        <f t="shared" si="523"/>
        <v>1</v>
      </c>
      <c r="AQ513" s="1027">
        <f>VLOOKUP(V513,'System Lookups'!$J$55:$P$64,7)</f>
        <v>600</v>
      </c>
      <c r="AR513" s="1080" t="str">
        <f ca="1">IF(AND(NOT(ISBLANK(AJ513)),ISNA(MATCH(ROW(),'System Lookups'!$C$526:$C$539,0))),"Y","N")</f>
        <v>Y</v>
      </c>
      <c r="AS513" s="1080">
        <f t="shared" si="524"/>
        <v>0</v>
      </c>
      <c r="AU513" s="1080" t="e">
        <f t="shared" si="531"/>
        <v>#N/A</v>
      </c>
      <c r="AV513" s="1080" t="str">
        <f t="shared" si="528"/>
        <v>T</v>
      </c>
      <c r="AW513" s="1080">
        <f t="shared" si="532"/>
        <v>0</v>
      </c>
      <c r="AX513" s="1080">
        <f t="shared" si="533"/>
        <v>0</v>
      </c>
      <c r="AY513" s="1080">
        <f t="shared" si="534"/>
        <v>0</v>
      </c>
      <c r="AZ513" s="1080">
        <f t="shared" si="535"/>
        <v>0</v>
      </c>
      <c r="BA513" s="1080">
        <f t="shared" si="536"/>
        <v>0</v>
      </c>
      <c r="BB513" s="1080">
        <f>IF(AND(RACE=1,'Main Creation Page'!$E$6="Well",OR(ISNUMBER(FIND(Experience!$G$11,BE513)),ISNUMBER(FIND(Experience!$G$11,BF513)),ISNUMBER(FIND(Experience!$I$11,BE513)),ISNUMBER(FIND(Experience!$I$11,BF513)))),1,0)</f>
        <v>1</v>
      </c>
      <c r="BC513" s="1080" t="str">
        <f t="shared" si="495"/>
        <v>Cult. Lore: For: Kindren</v>
      </c>
      <c r="BD513" s="1080" t="s">
        <v>5702</v>
      </c>
      <c r="BE513" s="1080" t="str">
        <f t="shared" si="529"/>
        <v>Lore</v>
      </c>
      <c r="BF513" s="1080" t="str">
        <f t="shared" si="530"/>
        <v>Lore Historical Skills</v>
      </c>
    </row>
    <row r="514" spans="1:58" ht="11.1" customHeight="1" outlineLevel="3">
      <c r="A514" s="1093" t="s">
        <v>2867</v>
      </c>
      <c r="B514" s="1094"/>
      <c r="C514" s="1094"/>
      <c r="D514" s="1094"/>
      <c r="E514" s="1095" t="s">
        <v>5224</v>
      </c>
      <c r="F514" s="1095" t="s">
        <v>5224</v>
      </c>
      <c r="G514" s="1096">
        <v>0</v>
      </c>
      <c r="H514" s="1096" t="s">
        <v>5224</v>
      </c>
      <c r="I514" s="1096" t="s">
        <v>5224</v>
      </c>
      <c r="J514" s="1096" t="s">
        <v>5224</v>
      </c>
      <c r="K514" s="1096" t="s">
        <v>5224</v>
      </c>
      <c r="L514" s="1096">
        <v>0</v>
      </c>
      <c r="M514" s="1096" t="s">
        <v>5224</v>
      </c>
      <c r="N514" s="1096" t="s">
        <v>4631</v>
      </c>
      <c r="O514" s="1028"/>
      <c r="P514" s="1028" t="s">
        <v>780</v>
      </c>
      <c r="Q514" s="1097">
        <f t="shared" ca="1" si="514"/>
        <v>17</v>
      </c>
      <c r="R514" s="1034"/>
      <c r="S514" s="1028" t="s">
        <v>3616</v>
      </c>
      <c r="T514" s="1097">
        <f t="shared" ca="1" si="515"/>
        <v>17</v>
      </c>
      <c r="U514" s="1027">
        <v>3</v>
      </c>
      <c r="V514" s="1027">
        <f t="shared" si="516"/>
        <v>4</v>
      </c>
      <c r="W514" s="1098" t="e">
        <f>IF(OR(I514&lt;&gt;"N",E514="C"),IF(AND(N514&lt;&gt;"T",ISNUMBER(FIND("V",I514))),1,0),NA())+IF(H514="Y",IF(AND(N514="P",ISNUMBER(FIND("Z",I514))),2,1),0)+IF(J514="Y",1,0)+IF(K514="Y",3,0)+IF(BE514="Lore",L514*2+Experience!$D$25,0)+IF(M514="Y",1,0)</f>
        <v>#N/A</v>
      </c>
      <c r="X514" s="1099"/>
      <c r="Y514" s="1100">
        <f ca="1">IF(P514="NS",IFERROR(INDIRECT(S514),NA()),VLOOKUP(INDIRECT(P514)+INDIRECT(S514),'System Lookups'!$A$3:$D$146,2))</f>
        <v>0.1</v>
      </c>
      <c r="Z514" s="1100">
        <f t="shared" si="517"/>
        <v>0</v>
      </c>
      <c r="AA514" s="1101">
        <f ca="1">IF(ISNA(Y514),0,Y514)+Z514+IF('Main Creation Page'!AB$2=37,'Main Creation Page'!E$14/100,0)</f>
        <v>0.1</v>
      </c>
      <c r="AB514" s="1102">
        <f>VLOOKUP(V514,'System Lookups'!$J$55:$P$64,3)</f>
        <v>0.2</v>
      </c>
      <c r="AC514" s="1103">
        <f>VLOOKUP(V514,'System Lookups'!$J$55:$P$64,4)</f>
        <v>0.3</v>
      </c>
      <c r="AD514" s="1104">
        <f t="shared" ca="1" si="518"/>
        <v>0.35000000000000003</v>
      </c>
      <c r="AE514" s="1094">
        <f ca="1">(IF(AD514&gt;VLOOKUP(V514,'System Lookups'!$J$55:$P$63,6),(((AD514-VLOOKUP(V514,'System Lookups'!$J$55:$P$63,6))*100)/20),0))+AF514</f>
        <v>0</v>
      </c>
      <c r="AF514" s="1121"/>
      <c r="AG514" s="1092">
        <f t="shared" si="519"/>
        <v>0</v>
      </c>
      <c r="AH514" s="1092" t="str">
        <f>IF(X514&lt;=Experience!$R$15+1,"","*")</f>
        <v/>
      </c>
      <c r="AI514" s="1092"/>
      <c r="AJ514" s="1080">
        <f t="shared" si="520"/>
        <v>0</v>
      </c>
      <c r="AK514" s="1080">
        <f t="shared" si="525"/>
        <v>0</v>
      </c>
      <c r="AL514" s="1080">
        <f t="shared" si="521"/>
        <v>0</v>
      </c>
      <c r="AM514" s="1092">
        <f t="shared" si="526"/>
        <v>0</v>
      </c>
      <c r="AN514" s="1080">
        <f t="shared" si="527"/>
        <v>1</v>
      </c>
      <c r="AO514" s="1080">
        <f t="shared" si="522"/>
        <v>0</v>
      </c>
      <c r="AP514" s="1080">
        <f t="shared" si="523"/>
        <v>1</v>
      </c>
      <c r="AQ514" s="1027">
        <f>VLOOKUP(V514,'System Lookups'!$J$55:$P$64,7)</f>
        <v>600</v>
      </c>
      <c r="AR514" s="1080" t="str">
        <f ca="1">IF(AND(NOT(ISBLANK(AJ514)),ISNA(MATCH(ROW(),'System Lookups'!$C$526:$C$539,0))),"Y","N")</f>
        <v>Y</v>
      </c>
      <c r="AS514" s="1080">
        <f t="shared" si="524"/>
        <v>0</v>
      </c>
      <c r="AU514" s="1080" t="e">
        <f t="shared" si="531"/>
        <v>#N/A</v>
      </c>
      <c r="AV514" s="1080" t="str">
        <f t="shared" si="528"/>
        <v>T</v>
      </c>
      <c r="AW514" s="1080">
        <f t="shared" si="532"/>
        <v>0</v>
      </c>
      <c r="AX514" s="1080">
        <f t="shared" si="533"/>
        <v>0</v>
      </c>
      <c r="AY514" s="1080">
        <f t="shared" si="534"/>
        <v>0</v>
      </c>
      <c r="AZ514" s="1080">
        <f t="shared" si="535"/>
        <v>0</v>
      </c>
      <c r="BA514" s="1080">
        <f t="shared" si="536"/>
        <v>0</v>
      </c>
      <c r="BB514" s="1080">
        <f>IF(AND(RACE=1,'Main Creation Page'!$E$6="Well",OR(ISNUMBER(FIND(Experience!$G$11,BE514)),ISNUMBER(FIND(Experience!$G$11,BF514)),ISNUMBER(FIND(Experience!$I$11,BE514)),ISNUMBER(FIND(Experience!$I$11,BF514)))),1,0)</f>
        <v>1</v>
      </c>
      <c r="BC514" s="1080" t="str">
        <f t="shared" si="495"/>
        <v>Cult. Lore: For: Japanese</v>
      </c>
      <c r="BD514" s="1080" t="s">
        <v>5702</v>
      </c>
      <c r="BE514" s="1080" t="str">
        <f t="shared" si="529"/>
        <v>Lore</v>
      </c>
      <c r="BF514" s="1080" t="str">
        <f t="shared" si="530"/>
        <v>Lore Historical Skills</v>
      </c>
    </row>
    <row r="515" spans="1:58" ht="11.1" customHeight="1" outlineLevel="3">
      <c r="A515" s="1093" t="str">
        <f>IF('Main Creation Page'!$K$5=3, "Caben","Nordic")</f>
        <v>Caben</v>
      </c>
      <c r="B515" s="1094"/>
      <c r="C515" s="1094"/>
      <c r="D515" s="1094"/>
      <c r="E515" s="1095" t="s">
        <v>5224</v>
      </c>
      <c r="F515" s="1095" t="s">
        <v>5224</v>
      </c>
      <c r="G515" s="1096">
        <v>0</v>
      </c>
      <c r="H515" s="1096" t="s">
        <v>5224</v>
      </c>
      <c r="I515" s="1096" t="s">
        <v>5224</v>
      </c>
      <c r="J515" s="1096" t="s">
        <v>5224</v>
      </c>
      <c r="K515" s="1096" t="s">
        <v>5224</v>
      </c>
      <c r="L515" s="1096">
        <v>0</v>
      </c>
      <c r="M515" s="1096" t="s">
        <v>5224</v>
      </c>
      <c r="N515" s="1096" t="s">
        <v>4631</v>
      </c>
      <c r="O515" s="1028"/>
      <c r="P515" s="1028" t="s">
        <v>780</v>
      </c>
      <c r="Q515" s="1097">
        <f t="shared" ca="1" si="514"/>
        <v>17</v>
      </c>
      <c r="R515" s="1034"/>
      <c r="S515" s="1028" t="s">
        <v>3616</v>
      </c>
      <c r="T515" s="1097">
        <f t="shared" ca="1" si="515"/>
        <v>17</v>
      </c>
      <c r="U515" s="1027">
        <v>3</v>
      </c>
      <c r="V515" s="1027">
        <f t="shared" si="516"/>
        <v>4</v>
      </c>
      <c r="W515" s="1098" t="e">
        <f>IF(OR(I515&lt;&gt;"N",E515="C"),IF(AND(N515&lt;&gt;"T",ISNUMBER(FIND("V",I515))),1,0),NA())+IF(H515="Y",IF(AND(N515="P",ISNUMBER(FIND("Z",I515))),2,1),0)+IF(J515="Y",1,0)+IF(K515="Y",3,0)+IF(BE515="Lore",L515*2+Experience!$D$25,0)+IF(M515="Y",1,0)</f>
        <v>#N/A</v>
      </c>
      <c r="X515" s="1099"/>
      <c r="Y515" s="1100">
        <f ca="1">IF(P515="NS",IFERROR(INDIRECT(S515),NA()),VLOOKUP(INDIRECT(P515)+INDIRECT(S515),'System Lookups'!$A$3:$D$146,2))</f>
        <v>0.1</v>
      </c>
      <c r="Z515" s="1100">
        <f t="shared" si="517"/>
        <v>0</v>
      </c>
      <c r="AA515" s="1101">
        <f ca="1">IF(ISNA(Y515),0,Y515)+Z515+IF('Main Creation Page'!AB$2=37,'Main Creation Page'!E$14/100,0)</f>
        <v>0.1</v>
      </c>
      <c r="AB515" s="1102">
        <f>VLOOKUP(V515,'System Lookups'!$J$55:$P$64,3)</f>
        <v>0.2</v>
      </c>
      <c r="AC515" s="1103">
        <f>VLOOKUP(V515,'System Lookups'!$J$55:$P$64,4)</f>
        <v>0.3</v>
      </c>
      <c r="AD515" s="1104">
        <f t="shared" ca="1" si="518"/>
        <v>0.35000000000000003</v>
      </c>
      <c r="AE515" s="1094">
        <f ca="1">(IF(AD515&gt;VLOOKUP(V515,'System Lookups'!$J$55:$P$63,6),(((AD515-VLOOKUP(V515,'System Lookups'!$J$55:$P$63,6))*100)/20),0))+AF515</f>
        <v>0</v>
      </c>
      <c r="AF515" s="1121"/>
      <c r="AG515" s="1092">
        <f t="shared" si="519"/>
        <v>0</v>
      </c>
      <c r="AH515" s="1092" t="str">
        <f>IF(X515&lt;=Experience!$R$15+1,"","*")</f>
        <v/>
      </c>
      <c r="AI515" s="1092"/>
      <c r="AJ515" s="1080">
        <f t="shared" si="520"/>
        <v>0</v>
      </c>
      <c r="AK515" s="1080">
        <f t="shared" si="525"/>
        <v>0</v>
      </c>
      <c r="AL515" s="1080">
        <f t="shared" si="521"/>
        <v>0</v>
      </c>
      <c r="AM515" s="1092">
        <f t="shared" si="526"/>
        <v>0</v>
      </c>
      <c r="AN515" s="1080">
        <f t="shared" si="527"/>
        <v>1</v>
      </c>
      <c r="AO515" s="1080">
        <f t="shared" si="522"/>
        <v>0</v>
      </c>
      <c r="AP515" s="1080">
        <f t="shared" si="523"/>
        <v>1</v>
      </c>
      <c r="AQ515" s="1027">
        <f>VLOOKUP(V515,'System Lookups'!$J$55:$P$64,7)</f>
        <v>600</v>
      </c>
      <c r="AR515" s="1080" t="str">
        <f ca="1">IF(AND(NOT(ISBLANK(AJ515)),ISNA(MATCH(ROW(),'System Lookups'!$C$526:$C$539,0))),"Y","N")</f>
        <v>Y</v>
      </c>
      <c r="AS515" s="1080">
        <f t="shared" si="524"/>
        <v>0</v>
      </c>
      <c r="AU515" s="1080" t="e">
        <f t="shared" si="531"/>
        <v>#N/A</v>
      </c>
      <c r="AV515" s="1080" t="str">
        <f t="shared" si="528"/>
        <v>T</v>
      </c>
      <c r="AW515" s="1080">
        <f t="shared" si="532"/>
        <v>0</v>
      </c>
      <c r="AX515" s="1080">
        <f t="shared" si="533"/>
        <v>0</v>
      </c>
      <c r="AY515" s="1080">
        <f t="shared" si="534"/>
        <v>0</v>
      </c>
      <c r="AZ515" s="1080">
        <f t="shared" si="535"/>
        <v>0</v>
      </c>
      <c r="BA515" s="1080">
        <f t="shared" si="536"/>
        <v>0</v>
      </c>
      <c r="BB515" s="1080">
        <f>IF(AND(RACE=1,'Main Creation Page'!$E$6="Well",OR(ISNUMBER(FIND(Experience!$G$11,BE515)),ISNUMBER(FIND(Experience!$G$11,BF515)),ISNUMBER(FIND(Experience!$I$11,BE515)),ISNUMBER(FIND(Experience!$I$11,BF515)))),1,0)</f>
        <v>1</v>
      </c>
      <c r="BC515" s="1080" t="str">
        <f t="shared" si="495"/>
        <v>Cult. Lore: For: Caben</v>
      </c>
      <c r="BD515" s="1080" t="s">
        <v>5702</v>
      </c>
      <c r="BE515" s="1080" t="str">
        <f t="shared" si="529"/>
        <v>Lore</v>
      </c>
      <c r="BF515" s="1080" t="str">
        <f t="shared" si="530"/>
        <v>Lore Historical Skills</v>
      </c>
    </row>
    <row r="516" spans="1:58" ht="11.1" customHeight="1" outlineLevel="3">
      <c r="A516" s="1093" t="s">
        <v>2366</v>
      </c>
      <c r="B516" s="1094"/>
      <c r="C516" s="1094"/>
      <c r="D516" s="1094"/>
      <c r="E516" s="1095" t="s">
        <v>5224</v>
      </c>
      <c r="F516" s="1095" t="s">
        <v>5224</v>
      </c>
      <c r="G516" s="1096">
        <v>0</v>
      </c>
      <c r="H516" s="1096" t="s">
        <v>5224</v>
      </c>
      <c r="I516" s="1096" t="s">
        <v>5224</v>
      </c>
      <c r="J516" s="1096" t="s">
        <v>5224</v>
      </c>
      <c r="K516" s="1096" t="s">
        <v>5224</v>
      </c>
      <c r="L516" s="1096">
        <v>0</v>
      </c>
      <c r="M516" s="1096" t="s">
        <v>5224</v>
      </c>
      <c r="N516" s="1096" t="s">
        <v>4631</v>
      </c>
      <c r="O516" s="1028"/>
      <c r="P516" s="1028" t="s">
        <v>780</v>
      </c>
      <c r="Q516" s="1097">
        <f t="shared" ca="1" si="514"/>
        <v>17</v>
      </c>
      <c r="R516" s="1034"/>
      <c r="S516" s="1028" t="s">
        <v>3616</v>
      </c>
      <c r="T516" s="1097">
        <f t="shared" ca="1" si="515"/>
        <v>17</v>
      </c>
      <c r="U516" s="1027">
        <v>3</v>
      </c>
      <c r="V516" s="1027">
        <f t="shared" si="516"/>
        <v>4</v>
      </c>
      <c r="W516" s="1098" t="e">
        <f>IF(OR(I516&lt;&gt;"N",E516="C"),IF(AND(N516&lt;&gt;"T",ISNUMBER(FIND("V",I516))),1,0),NA())+IF(H516="Y",IF(AND(N516="P",ISNUMBER(FIND("Z",I516))),2,1),0)+IF(J516="Y",1,0)+IF(K516="Y",3,0)+IF(BE516="Lore",L516*2+Experience!$D$25,0)+IF(M516="Y",1,0)</f>
        <v>#N/A</v>
      </c>
      <c r="X516" s="1099"/>
      <c r="Y516" s="1100">
        <f ca="1">IF(P516="NS",IFERROR(INDIRECT(S516),NA()),VLOOKUP(INDIRECT(P516)+INDIRECT(S516),'System Lookups'!$A$3:$D$146,2))</f>
        <v>0.1</v>
      </c>
      <c r="Z516" s="1100">
        <f t="shared" si="517"/>
        <v>0</v>
      </c>
      <c r="AA516" s="1101">
        <f ca="1">IF(ISNA(Y516),0,Y516)+Z516+IF('Main Creation Page'!AB$2=37,'Main Creation Page'!E$14/100,0)</f>
        <v>0.1</v>
      </c>
      <c r="AB516" s="1102">
        <f>VLOOKUP(V516,'System Lookups'!$J$55:$P$64,3)</f>
        <v>0.2</v>
      </c>
      <c r="AC516" s="1103">
        <f>VLOOKUP(V516,'System Lookups'!$J$55:$P$64,4)</f>
        <v>0.3</v>
      </c>
      <c r="AD516" s="1104">
        <f t="shared" ca="1" si="518"/>
        <v>0.35000000000000003</v>
      </c>
      <c r="AE516" s="1094">
        <f ca="1">(IF(AD516&gt;VLOOKUP(V516,'System Lookups'!$J$55:$P$63,6),(((AD516-VLOOKUP(V516,'System Lookups'!$J$55:$P$63,6))*100)/20),0))+AF516</f>
        <v>0</v>
      </c>
      <c r="AF516" s="1121"/>
      <c r="AG516" s="1092">
        <f t="shared" si="519"/>
        <v>0</v>
      </c>
      <c r="AH516" s="1092" t="str">
        <f>IF(X516&lt;=Experience!$R$15+1,"","*")</f>
        <v/>
      </c>
      <c r="AI516" s="1092"/>
      <c r="AJ516" s="1080">
        <f t="shared" si="520"/>
        <v>0</v>
      </c>
      <c r="AK516" s="1080">
        <f t="shared" si="525"/>
        <v>0</v>
      </c>
      <c r="AL516" s="1080">
        <f t="shared" si="521"/>
        <v>0</v>
      </c>
      <c r="AM516" s="1092">
        <f t="shared" si="526"/>
        <v>0</v>
      </c>
      <c r="AN516" s="1080">
        <f t="shared" si="527"/>
        <v>1</v>
      </c>
      <c r="AO516" s="1080">
        <f t="shared" si="522"/>
        <v>0</v>
      </c>
      <c r="AP516" s="1080">
        <f t="shared" si="523"/>
        <v>1</v>
      </c>
      <c r="AQ516" s="1027">
        <f>VLOOKUP(V516,'System Lookups'!$J$55:$P$64,7)</f>
        <v>600</v>
      </c>
      <c r="AR516" s="1080" t="str">
        <f ca="1">IF(AND(NOT(ISBLANK(AJ516)),ISNA(MATCH(ROW(),'System Lookups'!$C$526:$C$539,0))),"Y","N")</f>
        <v>Y</v>
      </c>
      <c r="AS516" s="1080">
        <f t="shared" si="524"/>
        <v>0</v>
      </c>
      <c r="AU516" s="1080" t="e">
        <f t="shared" si="531"/>
        <v>#N/A</v>
      </c>
      <c r="AV516" s="1080" t="str">
        <f t="shared" si="528"/>
        <v>T</v>
      </c>
      <c r="AW516" s="1080">
        <f t="shared" si="532"/>
        <v>0</v>
      </c>
      <c r="AX516" s="1080">
        <f t="shared" si="533"/>
        <v>0</v>
      </c>
      <c r="AY516" s="1080">
        <f t="shared" si="534"/>
        <v>0</v>
      </c>
      <c r="AZ516" s="1080">
        <f t="shared" si="535"/>
        <v>0</v>
      </c>
      <c r="BA516" s="1080">
        <f t="shared" si="536"/>
        <v>0</v>
      </c>
      <c r="BB516" s="1080">
        <f>IF(AND(RACE=1,'Main Creation Page'!$E$6="Well",OR(ISNUMBER(FIND(Experience!$G$11,BE516)),ISNUMBER(FIND(Experience!$G$11,BF516)),ISNUMBER(FIND(Experience!$I$11,BE516)),ISNUMBER(FIND(Experience!$I$11,BF516)))),1,0)</f>
        <v>1</v>
      </c>
      <c r="BC516" s="1080" t="str">
        <f t="shared" si="495"/>
        <v>Cult. Lore: For: Russian</v>
      </c>
      <c r="BD516" s="1080" t="s">
        <v>5702</v>
      </c>
      <c r="BE516" s="1080" t="str">
        <f t="shared" si="529"/>
        <v>Lore</v>
      </c>
      <c r="BF516" s="1080" t="str">
        <f t="shared" si="530"/>
        <v>Lore Historical Skills</v>
      </c>
    </row>
    <row r="517" spans="1:58" ht="11.1" customHeight="1" outlineLevel="3">
      <c r="A517" s="1093" t="str">
        <f>IF('Main Creation Page'!$K$5=3, "Slaven","Slavonic")</f>
        <v>Slaven</v>
      </c>
      <c r="B517" s="1094"/>
      <c r="C517" s="1094"/>
      <c r="D517" s="1094"/>
      <c r="E517" s="1095" t="s">
        <v>5224</v>
      </c>
      <c r="F517" s="1095" t="s">
        <v>5224</v>
      </c>
      <c r="G517" s="1096">
        <v>0</v>
      </c>
      <c r="H517" s="1096" t="s">
        <v>5224</v>
      </c>
      <c r="I517" s="1096" t="s">
        <v>5224</v>
      </c>
      <c r="J517" s="1096" t="s">
        <v>5224</v>
      </c>
      <c r="K517" s="1096" t="s">
        <v>5224</v>
      </c>
      <c r="L517" s="1096">
        <v>0</v>
      </c>
      <c r="M517" s="1096" t="s">
        <v>5224</v>
      </c>
      <c r="N517" s="1096" t="s">
        <v>4631</v>
      </c>
      <c r="O517" s="1028"/>
      <c r="P517" s="1028" t="s">
        <v>780</v>
      </c>
      <c r="Q517" s="1097">
        <f t="shared" ca="1" si="514"/>
        <v>17</v>
      </c>
      <c r="R517" s="1034"/>
      <c r="S517" s="1028" t="s">
        <v>3616</v>
      </c>
      <c r="T517" s="1097">
        <f t="shared" ca="1" si="515"/>
        <v>17</v>
      </c>
      <c r="U517" s="1027">
        <v>3</v>
      </c>
      <c r="V517" s="1027">
        <f t="shared" si="516"/>
        <v>4</v>
      </c>
      <c r="W517" s="1098" t="e">
        <f>IF(OR(I517&lt;&gt;"N",E517="C"),IF(AND(N517&lt;&gt;"T",ISNUMBER(FIND("V",I517))),1,0),NA())+IF(H517="Y",IF(AND(N517="P",ISNUMBER(FIND("Z",I517))),2,1),0)+IF(J517="Y",1,0)+IF(K517="Y",3,0)+IF(BE517="Lore",L517*2+Experience!$D$25,0)+IF(M517="Y",1,0)</f>
        <v>#N/A</v>
      </c>
      <c r="X517" s="1099"/>
      <c r="Y517" s="1100">
        <f ca="1">IF(P517="NS",IFERROR(INDIRECT(S517),NA()),VLOOKUP(INDIRECT(P517)+INDIRECT(S517),'System Lookups'!$A$3:$D$146,2))</f>
        <v>0.1</v>
      </c>
      <c r="Z517" s="1100">
        <f t="shared" si="517"/>
        <v>0</v>
      </c>
      <c r="AA517" s="1101">
        <f ca="1">IF(ISNA(Y517),0,Y517)+Z517+IF('Main Creation Page'!AB$2=37,'Main Creation Page'!E$14/100,0)</f>
        <v>0.1</v>
      </c>
      <c r="AB517" s="1102">
        <f>VLOOKUP(V517,'System Lookups'!$J$55:$P$64,3)</f>
        <v>0.2</v>
      </c>
      <c r="AC517" s="1103">
        <f>VLOOKUP(V517,'System Lookups'!$J$55:$P$64,4)</f>
        <v>0.3</v>
      </c>
      <c r="AD517" s="1104">
        <f t="shared" ca="1" si="518"/>
        <v>0.35000000000000003</v>
      </c>
      <c r="AE517" s="1094">
        <f ca="1">(IF(AD517&gt;VLOOKUP(V517,'System Lookups'!$J$55:$P$63,6),(((AD517-VLOOKUP(V517,'System Lookups'!$J$55:$P$63,6))*100)/20),0))+AF517</f>
        <v>0</v>
      </c>
      <c r="AF517" s="1121"/>
      <c r="AG517" s="1092">
        <f t="shared" si="519"/>
        <v>0</v>
      </c>
      <c r="AH517" s="1092" t="str">
        <f>IF(X517&lt;=Experience!$R$15+1,"","*")</f>
        <v/>
      </c>
      <c r="AI517" s="1092"/>
      <c r="AJ517" s="1080">
        <f t="shared" si="520"/>
        <v>0</v>
      </c>
      <c r="AK517" s="1080">
        <f t="shared" si="525"/>
        <v>0</v>
      </c>
      <c r="AL517" s="1080">
        <f t="shared" si="521"/>
        <v>0</v>
      </c>
      <c r="AM517" s="1092">
        <f t="shared" si="526"/>
        <v>0</v>
      </c>
      <c r="AN517" s="1080">
        <f t="shared" si="527"/>
        <v>1</v>
      </c>
      <c r="AO517" s="1080">
        <f t="shared" si="522"/>
        <v>0</v>
      </c>
      <c r="AP517" s="1080">
        <f t="shared" si="523"/>
        <v>1</v>
      </c>
      <c r="AQ517" s="1027">
        <f>VLOOKUP(V517,'System Lookups'!$J$55:$P$64,7)</f>
        <v>600</v>
      </c>
      <c r="AR517" s="1080" t="str">
        <f ca="1">IF(AND(NOT(ISBLANK(AJ517)),ISNA(MATCH(ROW(),'System Lookups'!$C$526:$C$539,0))),"Y","N")</f>
        <v>Y</v>
      </c>
      <c r="AS517" s="1080">
        <f t="shared" si="524"/>
        <v>0</v>
      </c>
      <c r="AU517" s="1080" t="e">
        <f t="shared" si="531"/>
        <v>#N/A</v>
      </c>
      <c r="AV517" s="1080" t="str">
        <f t="shared" si="528"/>
        <v>T</v>
      </c>
      <c r="AW517" s="1080">
        <f t="shared" si="532"/>
        <v>0</v>
      </c>
      <c r="AX517" s="1080">
        <f t="shared" si="533"/>
        <v>0</v>
      </c>
      <c r="AY517" s="1080">
        <f t="shared" si="534"/>
        <v>0</v>
      </c>
      <c r="AZ517" s="1080">
        <f t="shared" si="535"/>
        <v>0</v>
      </c>
      <c r="BA517" s="1080">
        <f t="shared" si="536"/>
        <v>0</v>
      </c>
      <c r="BB517" s="1080">
        <f>IF(AND(RACE=1,'Main Creation Page'!$E$6="Well",OR(ISNUMBER(FIND(Experience!$G$11,BE517)),ISNUMBER(FIND(Experience!$G$11,BF517)),ISNUMBER(FIND(Experience!$I$11,BE517)),ISNUMBER(FIND(Experience!$I$11,BF517)))),1,0)</f>
        <v>1</v>
      </c>
      <c r="BC517" s="1080" t="str">
        <f t="shared" si="495"/>
        <v>Cult. Lore: For: Slaven</v>
      </c>
      <c r="BD517" s="1080" t="s">
        <v>5702</v>
      </c>
      <c r="BE517" s="1080" t="str">
        <f t="shared" si="529"/>
        <v>Lore</v>
      </c>
      <c r="BF517" s="1080" t="str">
        <f t="shared" si="530"/>
        <v>Lore Historical Skills</v>
      </c>
    </row>
    <row r="518" spans="1:58" ht="11.1" customHeight="1" outlineLevel="3">
      <c r="A518" s="1093" t="s">
        <v>1094</v>
      </c>
      <c r="B518" s="1094"/>
      <c r="C518" s="1094"/>
      <c r="D518" s="1094"/>
      <c r="E518" s="1095" t="s">
        <v>5224</v>
      </c>
      <c r="F518" s="1095" t="s">
        <v>5224</v>
      </c>
      <c r="G518" s="1096">
        <v>0</v>
      </c>
      <c r="H518" s="1096" t="s">
        <v>5224</v>
      </c>
      <c r="I518" s="1096" t="s">
        <v>5224</v>
      </c>
      <c r="J518" s="1096" t="s">
        <v>5224</v>
      </c>
      <c r="K518" s="1096" t="s">
        <v>5224</v>
      </c>
      <c r="L518" s="1096">
        <v>0</v>
      </c>
      <c r="M518" s="1096" t="s">
        <v>5224</v>
      </c>
      <c r="N518" s="1096" t="s">
        <v>4631</v>
      </c>
      <c r="O518" s="1028"/>
      <c r="P518" s="1028" t="s">
        <v>780</v>
      </c>
      <c r="Q518" s="1097">
        <f t="shared" ca="1" si="514"/>
        <v>17</v>
      </c>
      <c r="R518" s="1034"/>
      <c r="S518" s="1028" t="s">
        <v>3616</v>
      </c>
      <c r="T518" s="1097">
        <f t="shared" ca="1" si="515"/>
        <v>17</v>
      </c>
      <c r="U518" s="1027">
        <v>3</v>
      </c>
      <c r="V518" s="1027">
        <f t="shared" si="516"/>
        <v>4</v>
      </c>
      <c r="W518" s="1098" t="e">
        <f>IF(OR(I518&lt;&gt;"N",E518="C"),IF(AND(N518&lt;&gt;"T",ISNUMBER(FIND("V",I518))),1,0),NA())+IF(H518="Y",IF(AND(N518="P",ISNUMBER(FIND("Z",I518))),2,1),0)+IF(J518="Y",1,0)+IF(K518="Y",3,0)+IF(BE518="Lore",L518*2+Experience!$D$25,0)+IF(M518="Y",1,0)</f>
        <v>#N/A</v>
      </c>
      <c r="X518" s="1099"/>
      <c r="Y518" s="1100">
        <f ca="1">IF(P518="NS",IFERROR(INDIRECT(S518),NA()),VLOOKUP(INDIRECT(P518)+INDIRECT(S518),'System Lookups'!$A$3:$D$146,2))</f>
        <v>0.1</v>
      </c>
      <c r="Z518" s="1100">
        <f t="shared" si="517"/>
        <v>0</v>
      </c>
      <c r="AA518" s="1101">
        <f ca="1">IF(ISNA(Y518),0,Y518)+Z518+IF('Main Creation Page'!AB$2=37,'Main Creation Page'!E$14/100,0)</f>
        <v>0.1</v>
      </c>
      <c r="AB518" s="1102">
        <f>VLOOKUP(V518,'System Lookups'!$J$55:$P$64,3)</f>
        <v>0.2</v>
      </c>
      <c r="AC518" s="1103">
        <f>VLOOKUP(V518,'System Lookups'!$J$55:$P$64,4)</f>
        <v>0.3</v>
      </c>
      <c r="AD518" s="1104">
        <f t="shared" ca="1" si="518"/>
        <v>0.35000000000000003</v>
      </c>
      <c r="AE518" s="1094">
        <f ca="1">(IF(AD518&gt;VLOOKUP(V518,'System Lookups'!$J$55:$P$63,6),(((AD518-VLOOKUP(V518,'System Lookups'!$J$55:$P$63,6))*100)/20),0))+AF518</f>
        <v>0</v>
      </c>
      <c r="AF518" s="1121"/>
      <c r="AG518" s="1092">
        <f t="shared" si="519"/>
        <v>0</v>
      </c>
      <c r="AH518" s="1092" t="str">
        <f>IF(X518&lt;=Experience!$R$15+1,"","*")</f>
        <v/>
      </c>
      <c r="AI518" s="1092"/>
      <c r="AJ518" s="1080">
        <f t="shared" si="520"/>
        <v>0</v>
      </c>
      <c r="AK518" s="1080">
        <f t="shared" si="525"/>
        <v>0</v>
      </c>
      <c r="AL518" s="1080">
        <f t="shared" si="521"/>
        <v>0</v>
      </c>
      <c r="AM518" s="1092">
        <f t="shared" si="526"/>
        <v>0</v>
      </c>
      <c r="AN518" s="1080">
        <f t="shared" si="527"/>
        <v>1</v>
      </c>
      <c r="AO518" s="1080">
        <f t="shared" si="522"/>
        <v>0</v>
      </c>
      <c r="AP518" s="1080">
        <f t="shared" si="523"/>
        <v>1</v>
      </c>
      <c r="AQ518" s="1027">
        <f>VLOOKUP(V518,'System Lookups'!$J$55:$P$64,7)</f>
        <v>600</v>
      </c>
      <c r="AR518" s="1080" t="str">
        <f ca="1">IF(AND(NOT(ISBLANK(AJ518)),ISNA(MATCH(ROW(),'System Lookups'!$C$526:$C$539,0))),"Y","N")</f>
        <v>Y</v>
      </c>
      <c r="AS518" s="1080">
        <f t="shared" si="524"/>
        <v>0</v>
      </c>
      <c r="AU518" s="1080" t="e">
        <f t="shared" si="531"/>
        <v>#N/A</v>
      </c>
      <c r="AV518" s="1080" t="str">
        <f t="shared" si="528"/>
        <v>T</v>
      </c>
      <c r="AW518" s="1080">
        <f t="shared" si="532"/>
        <v>0</v>
      </c>
      <c r="AX518" s="1080">
        <f t="shared" si="533"/>
        <v>0</v>
      </c>
      <c r="AY518" s="1080">
        <f t="shared" si="534"/>
        <v>0</v>
      </c>
      <c r="AZ518" s="1080">
        <f t="shared" si="535"/>
        <v>0</v>
      </c>
      <c r="BA518" s="1080">
        <f t="shared" si="536"/>
        <v>0</v>
      </c>
      <c r="BB518" s="1080">
        <f>IF(AND(RACE=1,'Main Creation Page'!$E$6="Well",OR(ISNUMBER(FIND(Experience!$G$11,BE518)),ISNUMBER(FIND(Experience!$G$11,BF518)),ISNUMBER(FIND(Experience!$I$11,BE518)),ISNUMBER(FIND(Experience!$I$11,BF518)))),1,0)</f>
        <v>1</v>
      </c>
      <c r="BC518" s="1080" t="str">
        <f t="shared" ref="BC518:BC581" si="537">IF(ISBLANK(AJ518),IF(ISBLANK(AI518),IF(RIGHT(A518,2)="en","Language Lore: "&amp;A518,IF(LEFT(A518,9)="Alquennas",A518,NA())),IF(RIGHT(A518,9)=" Medicina",A518&amp;": Healing Lore Skills",IF(OR(LEFT(A518,5)="Lore ",LEFT(A518,8)="Materia "),A518&amp;" Skills",IF(LEFT(A518,8)="Cooking ","Cooking &amp; Innkeeping Skills",A518)))),IF(LEFT(A518,9)="alertness","Alertness: "&amp;RIGHT(A518,5),IF(ISBLANK(BD518),A518,IF(RIGHT(BD518,2)=" (",BD518&amp;"Own)",BD518&amp;A518))))</f>
        <v>Cult. Lore: For: Spanish</v>
      </c>
      <c r="BD518" s="1080" t="s">
        <v>5702</v>
      </c>
      <c r="BE518" s="1080" t="str">
        <f t="shared" si="529"/>
        <v>Lore</v>
      </c>
      <c r="BF518" s="1080" t="str">
        <f t="shared" si="530"/>
        <v>Lore Historical Skills</v>
      </c>
    </row>
    <row r="519" spans="1:58" ht="11.1" customHeight="1" outlineLevel="3">
      <c r="A519" s="1093" t="str">
        <f>IF('Main Creation Page'!$K$5=3, "Telnar","Turkish")</f>
        <v>Telnar</v>
      </c>
      <c r="B519" s="1094"/>
      <c r="C519" s="1094"/>
      <c r="D519" s="1094"/>
      <c r="E519" s="1095" t="s">
        <v>5224</v>
      </c>
      <c r="F519" s="1095" t="s">
        <v>5224</v>
      </c>
      <c r="G519" s="1096">
        <v>0</v>
      </c>
      <c r="H519" s="1096" t="s">
        <v>5224</v>
      </c>
      <c r="I519" s="1096" t="s">
        <v>5224</v>
      </c>
      <c r="J519" s="1096" t="s">
        <v>5224</v>
      </c>
      <c r="K519" s="1096" t="s">
        <v>5224</v>
      </c>
      <c r="L519" s="1096">
        <v>0</v>
      </c>
      <c r="M519" s="1096" t="s">
        <v>5224</v>
      </c>
      <c r="N519" s="1096" t="s">
        <v>4631</v>
      </c>
      <c r="O519" s="1028"/>
      <c r="P519" s="1028" t="s">
        <v>780</v>
      </c>
      <c r="Q519" s="1097">
        <f t="shared" ca="1" si="514"/>
        <v>17</v>
      </c>
      <c r="R519" s="1034"/>
      <c r="S519" s="1028" t="s">
        <v>3616</v>
      </c>
      <c r="T519" s="1097">
        <f t="shared" ca="1" si="515"/>
        <v>17</v>
      </c>
      <c r="U519" s="1027">
        <v>3</v>
      </c>
      <c r="V519" s="1027">
        <f t="shared" ref="V519:V547" si="538">IF(AP519+U519&gt;10,10,IF(AP519+U519&lt;1,1,AP519+U519))</f>
        <v>4</v>
      </c>
      <c r="W519" s="1098" t="e">
        <f>IF(OR(I519&lt;&gt;"N",E519="C"),IF(AND(N519&lt;&gt;"T",ISNUMBER(FIND("V",I519))),1,0),NA())+IF(H519="Y",IF(AND(N519="P",ISNUMBER(FIND("Z",I519))),2,1),0)+IF(J519="Y",1,0)+IF(K519="Y",3,0)+IF(BE519="Lore",L519*2+Experience!$D$25,0)+IF(M519="Y",1,0)</f>
        <v>#N/A</v>
      </c>
      <c r="X519" s="1099"/>
      <c r="Y519" s="1100">
        <f ca="1">IF(P519="NS",IFERROR(INDIRECT(S519),NA()),VLOOKUP(INDIRECT(P519)+INDIRECT(S519),'System Lookups'!$A$3:$D$146,2))</f>
        <v>0.1</v>
      </c>
      <c r="Z519" s="1100">
        <f t="shared" ref="Z519:Z547" si="539">IF(ISNA(W519),0,W519*0.03)+IF(X519&gt;0,X519*0.03,0)+IF(AND(ISNA(W519),X519&lt;=0),0,IF(G519&gt;0,G519*0.07,0))</f>
        <v>0</v>
      </c>
      <c r="AA519" s="1101">
        <f ca="1">IF(ISNA(Y519),0,Y519)+Z519+IF('Main Creation Page'!AB$2=37,'Main Creation Page'!E$14/100,0)</f>
        <v>0.1</v>
      </c>
      <c r="AB519" s="1102">
        <f>VLOOKUP(V519,'System Lookups'!$J$55:$P$64,3)</f>
        <v>0.2</v>
      </c>
      <c r="AC519" s="1103">
        <f>VLOOKUP(V519,'System Lookups'!$J$55:$P$64,4)</f>
        <v>0.3</v>
      </c>
      <c r="AD519" s="1104">
        <f t="shared" ref="AD519:AD547" ca="1" si="540">IF(AND(ISBLANK(X519),ISNA(W519)),IF(B519="~",0,AB519+AA519+IF(BB519&gt;0,0.05,0)),AA519+AC519+IF(BB519&gt;0,0.05,0))</f>
        <v>0.35000000000000003</v>
      </c>
      <c r="AE519" s="1094">
        <f ca="1">(IF(AD519&gt;VLOOKUP(V519,'System Lookups'!$J$55:$P$63,6),(((AD519-VLOOKUP(V519,'System Lookups'!$J$55:$P$63,6))*100)/20),0))+AF519</f>
        <v>0</v>
      </c>
      <c r="AF519" s="1121"/>
      <c r="AG519" s="1092">
        <f t="shared" ref="AG519:AG547" si="541">IF(ISBLANK(X519),0,AQ519*X519+IF(ISNA(W519),1,0))</f>
        <v>0</v>
      </c>
      <c r="AH519" s="1092" t="str">
        <f>IF(X519&lt;=Experience!$R$15+1,"","*")</f>
        <v/>
      </c>
      <c r="AI519" s="1092"/>
      <c r="AJ519" s="1080">
        <f t="shared" si="520"/>
        <v>0</v>
      </c>
      <c r="AK519" s="1080">
        <f t="shared" si="525"/>
        <v>0</v>
      </c>
      <c r="AL519" s="1080">
        <f t="shared" si="521"/>
        <v>0</v>
      </c>
      <c r="AM519" s="1092">
        <f t="shared" si="526"/>
        <v>0</v>
      </c>
      <c r="AN519" s="1080">
        <f t="shared" si="527"/>
        <v>1</v>
      </c>
      <c r="AO519" s="1080">
        <f t="shared" si="522"/>
        <v>0</v>
      </c>
      <c r="AP519" s="1080">
        <f t="shared" ref="AP519:AP547" si="542">SUM(AJ519:AN519)-AM519</f>
        <v>1</v>
      </c>
      <c r="AQ519" s="1027">
        <f>VLOOKUP(V519,'System Lookups'!$J$55:$P$64,7)</f>
        <v>600</v>
      </c>
      <c r="AR519" s="1080" t="str">
        <f ca="1">IF(AND(NOT(ISBLANK(AJ519)),ISNA(MATCH(ROW(),'System Lookups'!$C$526:$C$539,0))),"Y","N")</f>
        <v>Y</v>
      </c>
      <c r="AS519" s="1080">
        <f t="shared" ref="AS519:AS551" si="543">AG519-AI519</f>
        <v>0</v>
      </c>
      <c r="AU519" s="1080" t="e">
        <f t="shared" si="531"/>
        <v>#N/A</v>
      </c>
      <c r="AV519" s="1080" t="str">
        <f t="shared" si="528"/>
        <v>T</v>
      </c>
      <c r="AW519" s="1080">
        <f t="shared" si="532"/>
        <v>0</v>
      </c>
      <c r="AX519" s="1080">
        <f t="shared" si="533"/>
        <v>0</v>
      </c>
      <c r="AY519" s="1080">
        <f t="shared" si="534"/>
        <v>0</v>
      </c>
      <c r="AZ519" s="1080">
        <f t="shared" si="535"/>
        <v>0</v>
      </c>
      <c r="BA519" s="1080">
        <f t="shared" si="536"/>
        <v>0</v>
      </c>
      <c r="BB519" s="1080">
        <f>IF(AND(RACE=1,'Main Creation Page'!$E$6="Well",OR(ISNUMBER(FIND(Experience!$G$11,BE519)),ISNUMBER(FIND(Experience!$G$11,BF519)),ISNUMBER(FIND(Experience!$I$11,BE519)),ISNUMBER(FIND(Experience!$I$11,BF519)))),1,0)</f>
        <v>1</v>
      </c>
      <c r="BC519" s="1080" t="str">
        <f t="shared" si="537"/>
        <v>Cult. Lore: For: Telnar</v>
      </c>
      <c r="BD519" s="1080" t="s">
        <v>5702</v>
      </c>
      <c r="BE519" s="1080" t="str">
        <f t="shared" si="529"/>
        <v>Lore</v>
      </c>
      <c r="BF519" s="1080" t="str">
        <f t="shared" si="530"/>
        <v>Lore Historical Skills</v>
      </c>
    </row>
    <row r="520" spans="1:58" ht="11.1" customHeight="1" outlineLevel="3">
      <c r="A520" s="1093" t="s">
        <v>1240</v>
      </c>
      <c r="B520" s="1094"/>
      <c r="C520" s="1094"/>
      <c r="D520" s="1094"/>
      <c r="E520" s="1095" t="s">
        <v>5224</v>
      </c>
      <c r="F520" s="1095" t="s">
        <v>5224</v>
      </c>
      <c r="G520" s="1096">
        <v>0</v>
      </c>
      <c r="H520" s="1096" t="s">
        <v>5224</v>
      </c>
      <c r="I520" s="1096" t="s">
        <v>5224</v>
      </c>
      <c r="J520" s="1096" t="s">
        <v>5224</v>
      </c>
      <c r="K520" s="1096" t="s">
        <v>5224</v>
      </c>
      <c r="L520" s="1096">
        <v>0</v>
      </c>
      <c r="M520" s="1096" t="s">
        <v>5224</v>
      </c>
      <c r="N520" s="1096" t="s">
        <v>4631</v>
      </c>
      <c r="O520" s="1028"/>
      <c r="P520" s="1028" t="s">
        <v>780</v>
      </c>
      <c r="Q520" s="1097">
        <f t="shared" ca="1" si="514"/>
        <v>17</v>
      </c>
      <c r="R520" s="1034"/>
      <c r="S520" s="1028" t="s">
        <v>3616</v>
      </c>
      <c r="T520" s="1097">
        <f t="shared" ca="1" si="515"/>
        <v>17</v>
      </c>
      <c r="U520" s="1027">
        <v>3</v>
      </c>
      <c r="V520" s="1027">
        <f t="shared" si="538"/>
        <v>4</v>
      </c>
      <c r="W520" s="1098" t="e">
        <f>IF(OR(I520&lt;&gt;"N",E520="C"),IF(AND(N520&lt;&gt;"T",ISNUMBER(FIND("V",I520))),1,0),NA())+IF(H520="Y",IF(AND(N520="P",ISNUMBER(FIND("Z",I520))),2,1),0)+IF(J520="Y",1,0)+IF(K520="Y",3,0)+IF(BE520="Lore",L520*2+Experience!$D$25,0)+IF(M520="Y",1,0)</f>
        <v>#N/A</v>
      </c>
      <c r="X520" s="1099"/>
      <c r="Y520" s="1100">
        <f ca="1">IF(P520="NS",IFERROR(INDIRECT(S520),NA()),VLOOKUP(INDIRECT(P520)+INDIRECT(S520),'System Lookups'!$A$3:$D$146,2))</f>
        <v>0.1</v>
      </c>
      <c r="Z520" s="1100">
        <f t="shared" si="539"/>
        <v>0</v>
      </c>
      <c r="AA520" s="1101">
        <f ca="1">IF(ISNA(Y520),0,Y520)+Z520+IF('Main Creation Page'!AB$2=37,'Main Creation Page'!E$14/100,0)</f>
        <v>0.1</v>
      </c>
      <c r="AB520" s="1102">
        <f>VLOOKUP(V520,'System Lookups'!$J$55:$P$64,3)</f>
        <v>0.2</v>
      </c>
      <c r="AC520" s="1103">
        <f>VLOOKUP(V520,'System Lookups'!$J$55:$P$64,4)</f>
        <v>0.3</v>
      </c>
      <c r="AD520" s="1104">
        <f t="shared" ca="1" si="540"/>
        <v>0.35000000000000003</v>
      </c>
      <c r="AE520" s="1094">
        <f ca="1">(IF(AD520&gt;VLOOKUP(V520,'System Lookups'!$J$55:$P$63,6),(((AD520-VLOOKUP(V520,'System Lookups'!$J$55:$P$63,6))*100)/20),0))+AF520</f>
        <v>0</v>
      </c>
      <c r="AF520" s="1121"/>
      <c r="AG520" s="1092">
        <f t="shared" si="541"/>
        <v>0</v>
      </c>
      <c r="AH520" s="1092" t="str">
        <f>IF(X520&lt;=Experience!$R$15+1,"","*")</f>
        <v/>
      </c>
      <c r="AI520" s="1092"/>
      <c r="AJ520" s="1080">
        <f t="shared" si="520"/>
        <v>0</v>
      </c>
      <c r="AK520" s="1080">
        <f t="shared" si="525"/>
        <v>0</v>
      </c>
      <c r="AL520" s="1080">
        <f t="shared" si="521"/>
        <v>0</v>
      </c>
      <c r="AM520" s="1092">
        <f t="shared" si="526"/>
        <v>0</v>
      </c>
      <c r="AN520" s="1080">
        <f t="shared" si="527"/>
        <v>1</v>
      </c>
      <c r="AO520" s="1080">
        <f t="shared" si="522"/>
        <v>0</v>
      </c>
      <c r="AP520" s="1080">
        <f t="shared" si="542"/>
        <v>1</v>
      </c>
      <c r="AQ520" s="1027">
        <f>VLOOKUP(V520,'System Lookups'!$J$55:$P$64,7)</f>
        <v>600</v>
      </c>
      <c r="AR520" s="1080" t="str">
        <f ca="1">IF(AND(NOT(ISBLANK(AJ520)),ISNA(MATCH(ROW(),'System Lookups'!$C$526:$C$539,0))),"Y","N")</f>
        <v>Y</v>
      </c>
      <c r="AS520" s="1080">
        <f t="shared" si="543"/>
        <v>0</v>
      </c>
      <c r="AU520" s="1080" t="e">
        <f t="shared" si="531"/>
        <v>#N/A</v>
      </c>
      <c r="AV520" s="1080" t="str">
        <f t="shared" si="528"/>
        <v>T</v>
      </c>
      <c r="AW520" s="1080">
        <f t="shared" si="532"/>
        <v>0</v>
      </c>
      <c r="AX520" s="1080">
        <f t="shared" si="533"/>
        <v>0</v>
      </c>
      <c r="AY520" s="1080">
        <f t="shared" si="534"/>
        <v>0</v>
      </c>
      <c r="AZ520" s="1080">
        <f t="shared" si="535"/>
        <v>0</v>
      </c>
      <c r="BA520" s="1080">
        <f t="shared" si="536"/>
        <v>0</v>
      </c>
      <c r="BB520" s="1080">
        <f>IF(AND(RACE=1,'Main Creation Page'!$E$6="Well",OR(ISNUMBER(FIND(Experience!$G$11,BE520)),ISNUMBER(FIND(Experience!$G$11,BF520)),ISNUMBER(FIND(Experience!$I$11,BE520)),ISNUMBER(FIND(Experience!$I$11,BF520)))),1,0)</f>
        <v>1</v>
      </c>
      <c r="BC520" s="1080" t="str">
        <f t="shared" si="537"/>
        <v>Cult. Lore: For: Welsh</v>
      </c>
      <c r="BD520" s="1080" t="s">
        <v>5702</v>
      </c>
      <c r="BE520" s="1080" t="str">
        <f t="shared" si="529"/>
        <v>Lore</v>
      </c>
      <c r="BF520" s="1080" t="str">
        <f t="shared" si="530"/>
        <v>Lore Historical Skills</v>
      </c>
    </row>
    <row r="521" spans="1:58" ht="11.1" customHeight="1" outlineLevel="2">
      <c r="A521" s="1145" t="s">
        <v>5558</v>
      </c>
      <c r="B521" s="1094"/>
      <c r="C521" s="1094"/>
      <c r="D521" s="1094"/>
      <c r="E521" s="1095" t="s">
        <v>5224</v>
      </c>
      <c r="F521" s="1095" t="str">
        <f>IF(('Main Creation Page'!C1=2),"R","N")</f>
        <v>N</v>
      </c>
      <c r="G521" s="1096">
        <v>0</v>
      </c>
      <c r="H521" s="1096" t="s">
        <v>5224</v>
      </c>
      <c r="I521" s="1096" t="s">
        <v>5224</v>
      </c>
      <c r="J521" s="1096" t="s">
        <v>5224</v>
      </c>
      <c r="K521" s="1096" t="s">
        <v>5224</v>
      </c>
      <c r="L521" s="1096">
        <v>0</v>
      </c>
      <c r="M521" s="1096" t="s">
        <v>5224</v>
      </c>
      <c r="N521" s="1096" t="s">
        <v>4631</v>
      </c>
      <c r="O521" s="1028"/>
      <c r="P521" s="1028" t="s">
        <v>780</v>
      </c>
      <c r="Q521" s="1097">
        <f t="shared" ca="1" si="514"/>
        <v>17</v>
      </c>
      <c r="R521" s="1034"/>
      <c r="S521" s="1028" t="s">
        <v>3616</v>
      </c>
      <c r="T521" s="1097">
        <f t="shared" ca="1" si="515"/>
        <v>17</v>
      </c>
      <c r="U521" s="1027">
        <v>3</v>
      </c>
      <c r="V521" s="1027">
        <f t="shared" si="538"/>
        <v>4</v>
      </c>
      <c r="W521" s="1098" t="e">
        <f>IF(OR(I521&lt;&gt;"N",E521="C"),IF(AND(N521&lt;&gt;"T",ISNUMBER(FIND("V",I521))),1,0),NA())+IF(H521="Y",IF(AND(N521="P",ISNUMBER(FIND("Z",I521))),2,1),0)+IF(J521="Y",1,0)+IF(K521="Y",3,0)+IF(BE521="Lore",L521*2+Experience!$D$25,0)+IF(M521="Y",1,0)</f>
        <v>#N/A</v>
      </c>
      <c r="X521" s="1099"/>
      <c r="Y521" s="1100">
        <f ca="1">IF(P521="NS",IFERROR(INDIRECT(S521),NA()),VLOOKUP(INDIRECT(P521)+INDIRECT(S521),'System Lookups'!$A$3:$D$146,2))</f>
        <v>0.1</v>
      </c>
      <c r="Z521" s="1100">
        <f t="shared" si="539"/>
        <v>0</v>
      </c>
      <c r="AA521" s="1101">
        <f ca="1">IF(ISNA(Y521),0,Y521)+Z521+IF('Main Creation Page'!AB$2=37,'Main Creation Page'!E$14/100,0)</f>
        <v>0.1</v>
      </c>
      <c r="AB521" s="1102">
        <f>VLOOKUP(V521,'System Lookups'!$J$55:$P$64,3)</f>
        <v>0.2</v>
      </c>
      <c r="AC521" s="1103">
        <f>VLOOKUP(V521,'System Lookups'!$J$55:$P$64,4)</f>
        <v>0.3</v>
      </c>
      <c r="AD521" s="1104">
        <f t="shared" ca="1" si="540"/>
        <v>0.35000000000000003</v>
      </c>
      <c r="AE521" s="1094">
        <f ca="1">(IF(AD521&gt;VLOOKUP(V521,'System Lookups'!$J$55:$P$63,6),(((AD521-VLOOKUP(V521,'System Lookups'!$J$55:$P$63,6))*100)/20),0))+AF521</f>
        <v>0</v>
      </c>
      <c r="AF521" s="1121"/>
      <c r="AG521" s="1092">
        <f t="shared" si="541"/>
        <v>0</v>
      </c>
      <c r="AH521" s="1092" t="str">
        <f>IF(X521&lt;=Experience!$R$15+1,"","*")</f>
        <v/>
      </c>
      <c r="AI521" s="1092"/>
      <c r="AJ521" s="1080">
        <f t="shared" si="520"/>
        <v>0</v>
      </c>
      <c r="AK521" s="1080">
        <f t="shared" si="525"/>
        <v>0</v>
      </c>
      <c r="AL521" s="1080">
        <f t="shared" si="521"/>
        <v>0</v>
      </c>
      <c r="AM521" s="1092">
        <f t="shared" si="526"/>
        <v>0</v>
      </c>
      <c r="AN521" s="1080">
        <f t="shared" si="527"/>
        <v>1</v>
      </c>
      <c r="AO521" s="1080">
        <f t="shared" si="522"/>
        <v>0</v>
      </c>
      <c r="AP521" s="1080">
        <f t="shared" si="542"/>
        <v>1</v>
      </c>
      <c r="AQ521" s="1027">
        <f>VLOOKUP(V521,'System Lookups'!$J$55:$P$64,7)</f>
        <v>600</v>
      </c>
      <c r="AR521" s="1080" t="str">
        <f ca="1">IF(AND(NOT(ISBLANK(AJ521)),ISNA(MATCH(ROW(),'System Lookups'!$C$526:$C$539,0))),"Y","N")</f>
        <v>Y</v>
      </c>
      <c r="AS521" s="1080">
        <f t="shared" si="543"/>
        <v>0</v>
      </c>
      <c r="AU521" s="1080" t="e">
        <f t="shared" si="531"/>
        <v>#N/A</v>
      </c>
      <c r="AV521" s="1080" t="str">
        <f t="shared" si="528"/>
        <v>T</v>
      </c>
      <c r="AW521" s="1080">
        <f t="shared" si="532"/>
        <v>0</v>
      </c>
      <c r="AX521" s="1080">
        <f t="shared" si="533"/>
        <v>0</v>
      </c>
      <c r="AY521" s="1080">
        <f t="shared" si="534"/>
        <v>0</v>
      </c>
      <c r="AZ521" s="1080">
        <f t="shared" si="535"/>
        <v>0</v>
      </c>
      <c r="BA521" s="1080">
        <f t="shared" si="536"/>
        <v>0</v>
      </c>
      <c r="BB521" s="1080">
        <f>IF(AND(RACE=1,'Main Creation Page'!$E$6="Well",OR(ISNUMBER(FIND(Experience!$G$11,BE521)),ISNUMBER(FIND(Experience!$G$11,BF521)),ISNUMBER(FIND(Experience!$I$11,BE521)),ISNUMBER(FIND(Experience!$I$11,BF521)))),1,0)</f>
        <v>1</v>
      </c>
      <c r="BC521" s="1080" t="str">
        <f t="shared" si="537"/>
        <v>Cult. Lore:Other Races</v>
      </c>
      <c r="BD521" s="1080" t="s">
        <v>5700</v>
      </c>
      <c r="BE521" s="1080" t="str">
        <f t="shared" si="529"/>
        <v>Lore</v>
      </c>
      <c r="BF521" s="1080" t="str">
        <f t="shared" si="530"/>
        <v>Lore Historical Skills</v>
      </c>
    </row>
    <row r="522" spans="1:58" ht="11.1" customHeight="1" outlineLevel="3">
      <c r="A522" s="1093" t="s">
        <v>4880</v>
      </c>
      <c r="B522" s="1094"/>
      <c r="C522" s="1094"/>
      <c r="D522" s="1094"/>
      <c r="E522" s="1095" t="s">
        <v>5224</v>
      </c>
      <c r="F522" s="1095" t="str">
        <f>IF(('Main Creation Page'!C2=2),"R","N")</f>
        <v>N</v>
      </c>
      <c r="G522" s="1096">
        <v>0</v>
      </c>
      <c r="H522" s="1096" t="s">
        <v>5224</v>
      </c>
      <c r="I522" s="1096" t="s">
        <v>5224</v>
      </c>
      <c r="J522" s="1096" t="s">
        <v>5224</v>
      </c>
      <c r="K522" s="1096" t="s">
        <v>5224</v>
      </c>
      <c r="L522" s="1096">
        <v>0</v>
      </c>
      <c r="M522" s="1096" t="s">
        <v>5224</v>
      </c>
      <c r="N522" s="1096" t="s">
        <v>4631</v>
      </c>
      <c r="O522" s="1028"/>
      <c r="P522" s="1028" t="s">
        <v>780</v>
      </c>
      <c r="Q522" s="1097">
        <f t="shared" ca="1" si="514"/>
        <v>17</v>
      </c>
      <c r="R522" s="1034"/>
      <c r="S522" s="1028" t="s">
        <v>3616</v>
      </c>
      <c r="T522" s="1097">
        <f t="shared" ca="1" si="515"/>
        <v>17</v>
      </c>
      <c r="U522" s="1027">
        <v>3</v>
      </c>
      <c r="V522" s="1027">
        <f t="shared" si="538"/>
        <v>4</v>
      </c>
      <c r="W522" s="1098" t="e">
        <f>IF(OR(I522&lt;&gt;"N",E522="C"),IF(AND(N522&lt;&gt;"T",ISNUMBER(FIND("V",I522))),1,0),NA())+IF(H522="Y",IF(AND(N522="P",ISNUMBER(FIND("Z",I522))),2,1),0)+IF(J522="Y",1,0)+IF(K522="Y",3,0)+IF(BE522="Lore",L522*2+Experience!$D$25,0)+IF(M522="Y",1,0)</f>
        <v>#N/A</v>
      </c>
      <c r="X522" s="1099"/>
      <c r="Y522" s="1100">
        <f ca="1">IF(P522="NS",IFERROR(INDIRECT(S522),NA()),VLOOKUP(INDIRECT(P522)+INDIRECT(S522),'System Lookups'!$A$3:$D$146,2))</f>
        <v>0.1</v>
      </c>
      <c r="Z522" s="1100">
        <f t="shared" si="539"/>
        <v>0</v>
      </c>
      <c r="AA522" s="1101">
        <f ca="1">IF(ISNA(Y522),0,Y522)+Z522+IF('Main Creation Page'!AB$2=37,'Main Creation Page'!E$14/100,0)</f>
        <v>0.1</v>
      </c>
      <c r="AB522" s="1102">
        <f>VLOOKUP(V522,'System Lookups'!$J$55:$P$64,3)</f>
        <v>0.2</v>
      </c>
      <c r="AC522" s="1103">
        <f>VLOOKUP(V522,'System Lookups'!$J$55:$P$64,4)</f>
        <v>0.3</v>
      </c>
      <c r="AD522" s="1104">
        <f t="shared" ca="1" si="540"/>
        <v>0.35000000000000003</v>
      </c>
      <c r="AE522" s="1094">
        <f ca="1">(IF(AD522&gt;VLOOKUP(V522,'System Lookups'!$J$55:$P$63,6),(((AD522-VLOOKUP(V522,'System Lookups'!$J$55:$P$63,6))*100)/20),0))+AF522</f>
        <v>0</v>
      </c>
      <c r="AF522" s="1121"/>
      <c r="AG522" s="1092">
        <f t="shared" si="541"/>
        <v>0</v>
      </c>
      <c r="AH522" s="1092" t="str">
        <f>IF(X522&lt;=Experience!$R$15+1,"","*")</f>
        <v/>
      </c>
      <c r="AI522" s="1092"/>
      <c r="AJ522" s="1080">
        <f t="shared" si="520"/>
        <v>0</v>
      </c>
      <c r="AK522" s="1080">
        <f t="shared" si="525"/>
        <v>0</v>
      </c>
      <c r="AL522" s="1080">
        <f t="shared" si="521"/>
        <v>0</v>
      </c>
      <c r="AM522" s="1092">
        <f t="shared" si="526"/>
        <v>0</v>
      </c>
      <c r="AN522" s="1080">
        <f t="shared" si="527"/>
        <v>1</v>
      </c>
      <c r="AO522" s="1080">
        <f t="shared" si="522"/>
        <v>0</v>
      </c>
      <c r="AP522" s="1080">
        <f t="shared" si="542"/>
        <v>1</v>
      </c>
      <c r="AQ522" s="1027">
        <f>VLOOKUP(V522,'System Lookups'!$J$55:$P$64,7)</f>
        <v>600</v>
      </c>
      <c r="AR522" s="1080" t="str">
        <f ca="1">IF(AND(NOT(ISBLANK(AJ522)),ISNA(MATCH(ROW(),'System Lookups'!$C$526:$C$539,0))),"Y","N")</f>
        <v>Y</v>
      </c>
      <c r="AS522" s="1080">
        <f t="shared" si="543"/>
        <v>0</v>
      </c>
      <c r="AU522" s="1080" t="e">
        <f t="shared" si="531"/>
        <v>#N/A</v>
      </c>
      <c r="AV522" s="1080" t="str">
        <f t="shared" si="528"/>
        <v>T</v>
      </c>
      <c r="AW522" s="1080">
        <f t="shared" si="532"/>
        <v>0</v>
      </c>
      <c r="AX522" s="1080">
        <f t="shared" si="533"/>
        <v>0</v>
      </c>
      <c r="AY522" s="1080">
        <f t="shared" si="534"/>
        <v>0</v>
      </c>
      <c r="AZ522" s="1080">
        <f t="shared" si="535"/>
        <v>0</v>
      </c>
      <c r="BA522" s="1080">
        <f t="shared" si="536"/>
        <v>0</v>
      </c>
      <c r="BB522" s="1080">
        <f>IF(AND(RACE=1,'Main Creation Page'!$E$6="Well",OR(ISNUMBER(FIND(Experience!$G$11,BE522)),ISNUMBER(FIND(Experience!$G$11,BF522)),ISNUMBER(FIND(Experience!$I$11,BE522)),ISNUMBER(FIND(Experience!$I$11,BF522)))),1,0)</f>
        <v>1</v>
      </c>
      <c r="BC522" s="1080" t="str">
        <f t="shared" si="537"/>
        <v>Cult. Lore:Arkon</v>
      </c>
      <c r="BD522" s="1080" t="s">
        <v>5700</v>
      </c>
      <c r="BE522" s="1080" t="str">
        <f t="shared" si="529"/>
        <v>Lore</v>
      </c>
      <c r="BF522" s="1080" t="str">
        <f t="shared" si="530"/>
        <v>Lore Historical Skills</v>
      </c>
    </row>
    <row r="523" spans="1:58" ht="11.1" customHeight="1" outlineLevel="3">
      <c r="A523" s="1093" t="s">
        <v>5292</v>
      </c>
      <c r="B523" s="1094"/>
      <c r="C523" s="1094"/>
      <c r="D523" s="1094"/>
      <c r="E523" s="1095" t="s">
        <v>5224</v>
      </c>
      <c r="F523" s="1095" t="str">
        <f>IF(('Main Creation Page'!C3=2),"R","N")</f>
        <v>N</v>
      </c>
      <c r="G523" s="1096">
        <v>0</v>
      </c>
      <c r="H523" s="1096" t="s">
        <v>5224</v>
      </c>
      <c r="I523" s="1096" t="s">
        <v>5224</v>
      </c>
      <c r="J523" s="1096" t="s">
        <v>5224</v>
      </c>
      <c r="K523" s="1096" t="s">
        <v>5224</v>
      </c>
      <c r="L523" s="1096">
        <v>0</v>
      </c>
      <c r="M523" s="1096" t="s">
        <v>5224</v>
      </c>
      <c r="N523" s="1096" t="s">
        <v>4631</v>
      </c>
      <c r="O523" s="1028"/>
      <c r="P523" s="1028" t="s">
        <v>780</v>
      </c>
      <c r="Q523" s="1097">
        <f t="shared" ca="1" si="514"/>
        <v>17</v>
      </c>
      <c r="R523" s="1034"/>
      <c r="S523" s="1028" t="s">
        <v>3616</v>
      </c>
      <c r="T523" s="1097">
        <f t="shared" ca="1" si="515"/>
        <v>17</v>
      </c>
      <c r="U523" s="1027">
        <v>3</v>
      </c>
      <c r="V523" s="1027">
        <f t="shared" si="538"/>
        <v>4</v>
      </c>
      <c r="W523" s="1098" t="e">
        <f>IF(OR(I523&lt;&gt;"N",E523="C"),IF(AND(N523&lt;&gt;"T",ISNUMBER(FIND("V",I523))),1,0),NA())+IF(H523="Y",IF(AND(N523="P",ISNUMBER(FIND("Z",I523))),2,1),0)+IF(J523="Y",1,0)+IF(K523="Y",3,0)+IF(BE523="Lore",L523*2+Experience!$D$25,0)+IF(M523="Y",1,0)</f>
        <v>#N/A</v>
      </c>
      <c r="X523" s="1099"/>
      <c r="Y523" s="1100">
        <f ca="1">IF(P523="NS",IFERROR(INDIRECT(S523),NA()),VLOOKUP(INDIRECT(P523)+INDIRECT(S523),'System Lookups'!$A$3:$D$146,2))</f>
        <v>0.1</v>
      </c>
      <c r="Z523" s="1100">
        <f t="shared" si="539"/>
        <v>0</v>
      </c>
      <c r="AA523" s="1101">
        <f ca="1">IF(ISNA(Y523),0,Y523)+Z523+IF('Main Creation Page'!AB$2=37,'Main Creation Page'!E$14/100,0)</f>
        <v>0.1</v>
      </c>
      <c r="AB523" s="1102">
        <f>VLOOKUP(V523,'System Lookups'!$J$55:$P$64,3)</f>
        <v>0.2</v>
      </c>
      <c r="AC523" s="1103">
        <f>VLOOKUP(V523,'System Lookups'!$J$55:$P$64,4)</f>
        <v>0.3</v>
      </c>
      <c r="AD523" s="1104">
        <f t="shared" ca="1" si="540"/>
        <v>0.35000000000000003</v>
      </c>
      <c r="AE523" s="1094">
        <f ca="1">(IF(AD523&gt;VLOOKUP(V523,'System Lookups'!$J$55:$P$63,6),(((AD523-VLOOKUP(V523,'System Lookups'!$J$55:$P$63,6))*100)/20),0))+AF523</f>
        <v>0</v>
      </c>
      <c r="AF523" s="1121"/>
      <c r="AG523" s="1092">
        <f t="shared" si="541"/>
        <v>0</v>
      </c>
      <c r="AH523" s="1092" t="str">
        <f>IF(X523&lt;=Experience!$R$15+1,"","*")</f>
        <v/>
      </c>
      <c r="AI523" s="1092"/>
      <c r="AJ523" s="1080">
        <f t="shared" si="520"/>
        <v>0</v>
      </c>
      <c r="AK523" s="1080">
        <f t="shared" ref="AK523:AK546" si="544">IF(F523="s",-2,0)</f>
        <v>0</v>
      </c>
      <c r="AL523" s="1080">
        <f t="shared" si="521"/>
        <v>0</v>
      </c>
      <c r="AM523" s="1092">
        <f t="shared" ref="AM523:AM546" si="545">IF(J523="y",1,0)</f>
        <v>0</v>
      </c>
      <c r="AN523" s="1080">
        <f t="shared" ref="AN523:AN546" si="546">IF(N523="P",-1,IF(N523="T",1,0))</f>
        <v>1</v>
      </c>
      <c r="AO523" s="1080">
        <f t="shared" si="522"/>
        <v>0</v>
      </c>
      <c r="AP523" s="1080">
        <f t="shared" si="542"/>
        <v>1</v>
      </c>
      <c r="AQ523" s="1027">
        <f>VLOOKUP(V523,'System Lookups'!$J$55:$P$64,7)</f>
        <v>600</v>
      </c>
      <c r="AR523" s="1080" t="str">
        <f ca="1">IF(AND(NOT(ISBLANK(AJ523)),ISNA(MATCH(ROW(),'System Lookups'!$C$526:$C$539,0))),"Y","N")</f>
        <v>Y</v>
      </c>
      <c r="AS523" s="1080">
        <f t="shared" si="543"/>
        <v>0</v>
      </c>
      <c r="AU523" s="1080" t="e">
        <f t="shared" si="531"/>
        <v>#N/A</v>
      </c>
      <c r="AV523" s="1080" t="str">
        <f t="shared" si="528"/>
        <v>T</v>
      </c>
      <c r="AW523" s="1080">
        <f t="shared" si="532"/>
        <v>0</v>
      </c>
      <c r="AX523" s="1080">
        <f t="shared" si="533"/>
        <v>0</v>
      </c>
      <c r="AY523" s="1080">
        <f t="shared" si="534"/>
        <v>0</v>
      </c>
      <c r="AZ523" s="1080">
        <f t="shared" si="535"/>
        <v>0</v>
      </c>
      <c r="BA523" s="1080">
        <f t="shared" si="536"/>
        <v>0</v>
      </c>
      <c r="BB523" s="1080">
        <f>IF(AND(RACE=1,'Main Creation Page'!$E$6="Well",OR(ISNUMBER(FIND(Experience!$G$11,BE523)),ISNUMBER(FIND(Experience!$G$11,BF523)),ISNUMBER(FIND(Experience!$I$11,BE523)),ISNUMBER(FIND(Experience!$I$11,BF523)))),1,0)</f>
        <v>1</v>
      </c>
      <c r="BC523" s="1080" t="str">
        <f t="shared" si="537"/>
        <v>Cult. Lore:Centaur</v>
      </c>
      <c r="BD523" s="1080" t="s">
        <v>5700</v>
      </c>
      <c r="BE523" s="1080" t="str">
        <f t="shared" si="529"/>
        <v>Lore</v>
      </c>
      <c r="BF523" s="1080" t="str">
        <f t="shared" si="530"/>
        <v>Lore Historical Skills</v>
      </c>
    </row>
    <row r="524" spans="1:58" ht="11.1" customHeight="1" outlineLevel="3">
      <c r="A524" s="1093" t="str">
        <f>CONCATENATE("Demonic",IF('Main Creation Page'!K196=3," (Common)", " "))</f>
        <v xml:space="preserve">Demonic </v>
      </c>
      <c r="B524" s="1094"/>
      <c r="C524" s="1094"/>
      <c r="D524" s="1094"/>
      <c r="E524" s="1095" t="s">
        <v>5224</v>
      </c>
      <c r="F524" s="1095" t="str">
        <f>IF(('Main Creation Page'!C4=2),"R","N")</f>
        <v>N</v>
      </c>
      <c r="G524" s="1096">
        <v>0</v>
      </c>
      <c r="H524" s="1096" t="s">
        <v>5224</v>
      </c>
      <c r="I524" s="1096" t="s">
        <v>5224</v>
      </c>
      <c r="J524" s="1096" t="s">
        <v>5224</v>
      </c>
      <c r="K524" s="1096" t="s">
        <v>5224</v>
      </c>
      <c r="L524" s="1096">
        <v>0</v>
      </c>
      <c r="M524" s="1096" t="s">
        <v>5224</v>
      </c>
      <c r="N524" s="1096" t="s">
        <v>4631</v>
      </c>
      <c r="O524" s="1028"/>
      <c r="P524" s="1028" t="s">
        <v>780</v>
      </c>
      <c r="Q524" s="1097">
        <f t="shared" ca="1" si="514"/>
        <v>17</v>
      </c>
      <c r="R524" s="1034"/>
      <c r="S524" s="1028" t="s">
        <v>3616</v>
      </c>
      <c r="T524" s="1097">
        <f t="shared" ca="1" si="515"/>
        <v>17</v>
      </c>
      <c r="U524" s="1027">
        <v>3</v>
      </c>
      <c r="V524" s="1027">
        <f t="shared" si="538"/>
        <v>4</v>
      </c>
      <c r="W524" s="1098" t="e">
        <f>IF(OR(I524&lt;&gt;"N",E524="C"),IF(AND(N524&lt;&gt;"T",ISNUMBER(FIND("V",I524))),1,0),NA())+IF(H524="Y",IF(AND(N524="P",ISNUMBER(FIND("Z",I524))),2,1),0)+IF(J524="Y",1,0)+IF(K524="Y",3,0)+IF(BE524="Lore",L524*2+Experience!$D$25,0)+IF(M524="Y",1,0)</f>
        <v>#N/A</v>
      </c>
      <c r="X524" s="1099"/>
      <c r="Y524" s="1100">
        <f ca="1">IF(P524="NS",IFERROR(INDIRECT(S524),NA()),VLOOKUP(INDIRECT(P524)+INDIRECT(S524),'System Lookups'!$A$3:$D$146,2))</f>
        <v>0.1</v>
      </c>
      <c r="Z524" s="1100">
        <f t="shared" si="539"/>
        <v>0</v>
      </c>
      <c r="AA524" s="1101">
        <f ca="1">IF(ISNA(Y524),0,Y524)+Z524+IF('Main Creation Page'!AB$2=37,'Main Creation Page'!E$14/100,0)</f>
        <v>0.1</v>
      </c>
      <c r="AB524" s="1102">
        <f>VLOOKUP(V524,'System Lookups'!$J$55:$P$64,3)</f>
        <v>0.2</v>
      </c>
      <c r="AC524" s="1103">
        <f>VLOOKUP(V524,'System Lookups'!$J$55:$P$64,4)</f>
        <v>0.3</v>
      </c>
      <c r="AD524" s="1104">
        <f t="shared" ca="1" si="540"/>
        <v>0.35000000000000003</v>
      </c>
      <c r="AE524" s="1094">
        <f ca="1">(IF(AD524&gt;VLOOKUP(V524,'System Lookups'!$J$55:$P$63,6),(((AD524-VLOOKUP(V524,'System Lookups'!$J$55:$P$63,6))*100)/20),0))+AF524</f>
        <v>0</v>
      </c>
      <c r="AF524" s="1121"/>
      <c r="AG524" s="1092">
        <f t="shared" si="541"/>
        <v>0</v>
      </c>
      <c r="AH524" s="1092" t="str">
        <f>IF(X524&lt;=Experience!$R$15+1,"","*")</f>
        <v/>
      </c>
      <c r="AI524" s="1092"/>
      <c r="AJ524" s="1080">
        <f t="shared" si="520"/>
        <v>0</v>
      </c>
      <c r="AK524" s="1080">
        <f t="shared" si="544"/>
        <v>0</v>
      </c>
      <c r="AL524" s="1080">
        <f t="shared" si="521"/>
        <v>0</v>
      </c>
      <c r="AM524" s="1092">
        <f t="shared" si="545"/>
        <v>0</v>
      </c>
      <c r="AN524" s="1080">
        <f t="shared" si="546"/>
        <v>1</v>
      </c>
      <c r="AO524" s="1080">
        <f t="shared" si="522"/>
        <v>0</v>
      </c>
      <c r="AP524" s="1080">
        <f t="shared" si="542"/>
        <v>1</v>
      </c>
      <c r="AQ524" s="1027">
        <f>VLOOKUP(V524,'System Lookups'!$J$55:$P$64,7)</f>
        <v>600</v>
      </c>
      <c r="AR524" s="1080" t="str">
        <f ca="1">IF(AND(NOT(ISBLANK(AJ524)),ISNA(MATCH(ROW(),'System Lookups'!$C$526:$C$539,0))),"Y","N")</f>
        <v>Y</v>
      </c>
      <c r="AS524" s="1080">
        <f t="shared" si="543"/>
        <v>0</v>
      </c>
      <c r="AU524" s="1080" t="e">
        <f t="shared" si="531"/>
        <v>#N/A</v>
      </c>
      <c r="AV524" s="1080" t="str">
        <f t="shared" si="528"/>
        <v>T</v>
      </c>
      <c r="AW524" s="1080">
        <f t="shared" si="532"/>
        <v>0</v>
      </c>
      <c r="AX524" s="1080">
        <f t="shared" si="533"/>
        <v>0</v>
      </c>
      <c r="AY524" s="1080">
        <f t="shared" si="534"/>
        <v>0</v>
      </c>
      <c r="AZ524" s="1080">
        <f t="shared" si="535"/>
        <v>0</v>
      </c>
      <c r="BA524" s="1080">
        <f t="shared" si="536"/>
        <v>0</v>
      </c>
      <c r="BB524" s="1080">
        <f>IF(AND(RACE=1,'Main Creation Page'!$E$6="Well",OR(ISNUMBER(FIND(Experience!$G$11,BE524)),ISNUMBER(FIND(Experience!$G$11,BF524)),ISNUMBER(FIND(Experience!$I$11,BE524)),ISNUMBER(FIND(Experience!$I$11,BF524)))),1,0)</f>
        <v>1</v>
      </c>
      <c r="BC524" s="1080" t="str">
        <f t="shared" si="537"/>
        <v xml:space="preserve">Cult. Lore:Demonic </v>
      </c>
      <c r="BD524" s="1080" t="s">
        <v>5700</v>
      </c>
      <c r="BE524" s="1080" t="str">
        <f t="shared" si="529"/>
        <v>Lore</v>
      </c>
      <c r="BF524" s="1080" t="str">
        <f t="shared" si="530"/>
        <v>Lore Historical Skills</v>
      </c>
    </row>
    <row r="525" spans="1:58" ht="11.1" customHeight="1" outlineLevel="3">
      <c r="A525" s="1093" t="s">
        <v>559</v>
      </c>
      <c r="B525" s="1094"/>
      <c r="C525" s="1094"/>
      <c r="D525" s="1094"/>
      <c r="E525" s="1095" t="s">
        <v>5224</v>
      </c>
      <c r="F525" s="1095" t="str">
        <f>IF(('Main Creation Page'!C5=2),"R","N")</f>
        <v>N</v>
      </c>
      <c r="G525" s="1096">
        <v>0</v>
      </c>
      <c r="H525" s="1096" t="s">
        <v>5224</v>
      </c>
      <c r="I525" s="1096" t="s">
        <v>5224</v>
      </c>
      <c r="J525" s="1096" t="s">
        <v>5224</v>
      </c>
      <c r="K525" s="1096" t="s">
        <v>5224</v>
      </c>
      <c r="L525" s="1096">
        <v>0</v>
      </c>
      <c r="M525" s="1096" t="s">
        <v>5224</v>
      </c>
      <c r="N525" s="1096" t="s">
        <v>4631</v>
      </c>
      <c r="O525" s="1028"/>
      <c r="P525" s="1028" t="s">
        <v>780</v>
      </c>
      <c r="Q525" s="1097">
        <f t="shared" ca="1" si="514"/>
        <v>17</v>
      </c>
      <c r="R525" s="1034"/>
      <c r="S525" s="1028" t="s">
        <v>3616</v>
      </c>
      <c r="T525" s="1097">
        <f t="shared" ca="1" si="515"/>
        <v>17</v>
      </c>
      <c r="U525" s="1027">
        <v>3</v>
      </c>
      <c r="V525" s="1027">
        <f t="shared" si="538"/>
        <v>4</v>
      </c>
      <c r="W525" s="1098" t="e">
        <f>IF(OR(I525&lt;&gt;"N",E525="C"),IF(AND(N525&lt;&gt;"T",ISNUMBER(FIND("V",I525))),1,0),NA())+IF(H525="Y",IF(AND(N525="P",ISNUMBER(FIND("Z",I525))),2,1),0)+IF(J525="Y",1,0)+IF(K525="Y",3,0)+IF(BE525="Lore",L525*2+Experience!$D$25,0)+IF(M525="Y",1,0)</f>
        <v>#N/A</v>
      </c>
      <c r="X525" s="1099"/>
      <c r="Y525" s="1100">
        <f ca="1">IF(P525="NS",IFERROR(INDIRECT(S525),NA()),VLOOKUP(INDIRECT(P525)+INDIRECT(S525),'System Lookups'!$A$3:$D$146,2))</f>
        <v>0.1</v>
      </c>
      <c r="Z525" s="1100">
        <f t="shared" si="539"/>
        <v>0</v>
      </c>
      <c r="AA525" s="1101">
        <f ca="1">IF(ISNA(Y525),0,Y525)+Z525+IF('Main Creation Page'!AB$2=37,'Main Creation Page'!E$14/100,0)</f>
        <v>0.1</v>
      </c>
      <c r="AB525" s="1102">
        <f>VLOOKUP(V525,'System Lookups'!$J$55:$P$64,3)</f>
        <v>0.2</v>
      </c>
      <c r="AC525" s="1103">
        <f>VLOOKUP(V525,'System Lookups'!$J$55:$P$64,4)</f>
        <v>0.3</v>
      </c>
      <c r="AD525" s="1104">
        <f t="shared" ca="1" si="540"/>
        <v>0.35000000000000003</v>
      </c>
      <c r="AE525" s="1094">
        <f ca="1">(IF(AD525&gt;VLOOKUP(V525,'System Lookups'!$J$55:$P$63,6),(((AD525-VLOOKUP(V525,'System Lookups'!$J$55:$P$63,6))*100)/20),0))+AF525</f>
        <v>0</v>
      </c>
      <c r="AF525" s="1121"/>
      <c r="AG525" s="1092">
        <f t="shared" si="541"/>
        <v>0</v>
      </c>
      <c r="AH525" s="1092" t="str">
        <f>IF(X525&lt;=Experience!$R$15+1,"","*")</f>
        <v/>
      </c>
      <c r="AI525" s="1092"/>
      <c r="AJ525" s="1080">
        <f t="shared" si="520"/>
        <v>0</v>
      </c>
      <c r="AK525" s="1080">
        <f t="shared" si="544"/>
        <v>0</v>
      </c>
      <c r="AL525" s="1080">
        <f t="shared" si="521"/>
        <v>0</v>
      </c>
      <c r="AM525" s="1092">
        <f t="shared" si="545"/>
        <v>0</v>
      </c>
      <c r="AN525" s="1080">
        <f t="shared" si="546"/>
        <v>1</v>
      </c>
      <c r="AO525" s="1080">
        <f t="shared" si="522"/>
        <v>0</v>
      </c>
      <c r="AP525" s="1080">
        <f t="shared" si="542"/>
        <v>1</v>
      </c>
      <c r="AQ525" s="1027">
        <f>VLOOKUP(V525,'System Lookups'!$J$55:$P$64,7)</f>
        <v>600</v>
      </c>
      <c r="AR525" s="1080" t="str">
        <f ca="1">IF(AND(NOT(ISBLANK(AJ525)),ISNA(MATCH(ROW(),'System Lookups'!$C$526:$C$539,0))),"Y","N")</f>
        <v>Y</v>
      </c>
      <c r="AS525" s="1080">
        <f t="shared" si="543"/>
        <v>0</v>
      </c>
      <c r="AU525" s="1080" t="e">
        <f t="shared" si="531"/>
        <v>#N/A</v>
      </c>
      <c r="AV525" s="1080" t="str">
        <f t="shared" si="528"/>
        <v>T</v>
      </c>
      <c r="AW525" s="1080">
        <f t="shared" si="532"/>
        <v>0</v>
      </c>
      <c r="AX525" s="1080">
        <f t="shared" si="533"/>
        <v>0</v>
      </c>
      <c r="AY525" s="1080">
        <f t="shared" si="534"/>
        <v>0</v>
      </c>
      <c r="AZ525" s="1080">
        <f t="shared" si="535"/>
        <v>0</v>
      </c>
      <c r="BA525" s="1080">
        <f t="shared" si="536"/>
        <v>0</v>
      </c>
      <c r="BB525" s="1080">
        <f>IF(AND(RACE=1,'Main Creation Page'!$E$6="Well",OR(ISNUMBER(FIND(Experience!$G$11,BE525)),ISNUMBER(FIND(Experience!$G$11,BF525)),ISNUMBER(FIND(Experience!$I$11,BE525)),ISNUMBER(FIND(Experience!$I$11,BF525)))),1,0)</f>
        <v>1</v>
      </c>
      <c r="BC525" s="1080" t="str">
        <f t="shared" si="537"/>
        <v>Cult. Lore:Draconic</v>
      </c>
      <c r="BD525" s="1080" t="s">
        <v>5700</v>
      </c>
      <c r="BE525" s="1080" t="str">
        <f t="shared" si="529"/>
        <v>Lore</v>
      </c>
      <c r="BF525" s="1080" t="str">
        <f t="shared" si="530"/>
        <v>Lore Historical Skills</v>
      </c>
    </row>
    <row r="526" spans="1:58" ht="11.1" customHeight="1" outlineLevel="3">
      <c r="A526" s="1093" t="s">
        <v>1418</v>
      </c>
      <c r="B526" s="1094"/>
      <c r="C526" s="1094"/>
      <c r="D526" s="1094"/>
      <c r="E526" s="1095" t="s">
        <v>5224</v>
      </c>
      <c r="F526" s="1095" t="str">
        <f>IF(('Main Creation Page'!C6=2),"R","N")</f>
        <v>N</v>
      </c>
      <c r="G526" s="1096">
        <v>0</v>
      </c>
      <c r="H526" s="1096" t="s">
        <v>5224</v>
      </c>
      <c r="I526" s="1096" t="s">
        <v>5224</v>
      </c>
      <c r="J526" s="1096" t="s">
        <v>5224</v>
      </c>
      <c r="K526" s="1096" t="s">
        <v>5224</v>
      </c>
      <c r="L526" s="1096">
        <v>0</v>
      </c>
      <c r="M526" s="1096" t="s">
        <v>5224</v>
      </c>
      <c r="N526" s="1096" t="s">
        <v>4631</v>
      </c>
      <c r="O526" s="1028"/>
      <c r="P526" s="1028" t="s">
        <v>780</v>
      </c>
      <c r="Q526" s="1097">
        <f t="shared" ca="1" si="514"/>
        <v>17</v>
      </c>
      <c r="R526" s="1034"/>
      <c r="S526" s="1028" t="s">
        <v>3616</v>
      </c>
      <c r="T526" s="1097">
        <f t="shared" ca="1" si="515"/>
        <v>17</v>
      </c>
      <c r="U526" s="1027">
        <v>3</v>
      </c>
      <c r="V526" s="1027">
        <f t="shared" si="538"/>
        <v>4</v>
      </c>
      <c r="W526" s="1098" t="e">
        <f>IF(OR(I526&lt;&gt;"N",E526="C"),IF(AND(N526&lt;&gt;"T",ISNUMBER(FIND("V",I526))),1,0),NA())+IF(H526="Y",IF(AND(N526="P",ISNUMBER(FIND("Z",I526))),2,1),0)+IF(J526="Y",1,0)+IF(K526="Y",3,0)+IF(BE526="Lore",L526*2+Experience!$D$25,0)+IF(M526="Y",1,0)</f>
        <v>#N/A</v>
      </c>
      <c r="X526" s="1099"/>
      <c r="Y526" s="1100">
        <f ca="1">IF(P526="NS",IFERROR(INDIRECT(S526),NA()),VLOOKUP(INDIRECT(P526)+INDIRECT(S526),'System Lookups'!$A$3:$D$146,2))</f>
        <v>0.1</v>
      </c>
      <c r="Z526" s="1100">
        <f t="shared" si="539"/>
        <v>0</v>
      </c>
      <c r="AA526" s="1101">
        <f ca="1">IF(ISNA(Y526),0,Y526)+Z526+IF('Main Creation Page'!AB$2=37,'Main Creation Page'!E$14/100,0)</f>
        <v>0.1</v>
      </c>
      <c r="AB526" s="1102">
        <f>VLOOKUP(V526,'System Lookups'!$J$55:$P$64,3)</f>
        <v>0.2</v>
      </c>
      <c r="AC526" s="1103">
        <f>VLOOKUP(V526,'System Lookups'!$J$55:$P$64,4)</f>
        <v>0.3</v>
      </c>
      <c r="AD526" s="1104">
        <f t="shared" ca="1" si="540"/>
        <v>0.35000000000000003</v>
      </c>
      <c r="AE526" s="1094">
        <f ca="1">(IF(AD526&gt;VLOOKUP(V526,'System Lookups'!$J$55:$P$63,6),(((AD526-VLOOKUP(V526,'System Lookups'!$J$55:$P$63,6))*100)/20),0))+AF526</f>
        <v>0</v>
      </c>
      <c r="AF526" s="1121"/>
      <c r="AG526" s="1092">
        <f t="shared" si="541"/>
        <v>0</v>
      </c>
      <c r="AH526" s="1092" t="str">
        <f>IF(X526&lt;=Experience!$R$15+1,"","*")</f>
        <v/>
      </c>
      <c r="AI526" s="1092"/>
      <c r="AJ526" s="1080">
        <f t="shared" si="520"/>
        <v>0</v>
      </c>
      <c r="AK526" s="1080">
        <f t="shared" si="544"/>
        <v>0</v>
      </c>
      <c r="AL526" s="1080">
        <f t="shared" si="521"/>
        <v>0</v>
      </c>
      <c r="AM526" s="1092">
        <f t="shared" si="545"/>
        <v>0</v>
      </c>
      <c r="AN526" s="1080">
        <f t="shared" si="546"/>
        <v>1</v>
      </c>
      <c r="AO526" s="1080">
        <f t="shared" si="522"/>
        <v>0</v>
      </c>
      <c r="AP526" s="1080">
        <f t="shared" si="542"/>
        <v>1</v>
      </c>
      <c r="AQ526" s="1027">
        <f>VLOOKUP(V526,'System Lookups'!$J$55:$P$64,7)</f>
        <v>600</v>
      </c>
      <c r="AR526" s="1080" t="str">
        <f ca="1">IF(AND(NOT(ISBLANK(AJ526)),ISNA(MATCH(ROW(),'System Lookups'!$C$526:$C$539,0))),"Y","N")</f>
        <v>Y</v>
      </c>
      <c r="AS526" s="1080">
        <f t="shared" si="543"/>
        <v>0</v>
      </c>
      <c r="AU526" s="1080" t="e">
        <f t="shared" si="531"/>
        <v>#N/A</v>
      </c>
      <c r="AV526" s="1080" t="str">
        <f t="shared" si="528"/>
        <v>T</v>
      </c>
      <c r="AW526" s="1080">
        <f t="shared" si="532"/>
        <v>0</v>
      </c>
      <c r="AX526" s="1080">
        <f t="shared" si="533"/>
        <v>0</v>
      </c>
      <c r="AY526" s="1080">
        <f t="shared" si="534"/>
        <v>0</v>
      </c>
      <c r="AZ526" s="1080">
        <f t="shared" si="535"/>
        <v>0</v>
      </c>
      <c r="BA526" s="1080">
        <f t="shared" si="536"/>
        <v>0</v>
      </c>
      <c r="BB526" s="1080">
        <f>IF(AND(RACE=1,'Main Creation Page'!$E$6="Well",OR(ISNUMBER(FIND(Experience!$G$11,BE526)),ISNUMBER(FIND(Experience!$G$11,BF526)),ISNUMBER(FIND(Experience!$I$11,BE526)),ISNUMBER(FIND(Experience!$I$11,BF526)))),1,0)</f>
        <v>1</v>
      </c>
      <c r="BC526" s="1080" t="str">
        <f t="shared" si="537"/>
        <v>Cult. Lore:Dwarven</v>
      </c>
      <c r="BD526" s="1080" t="s">
        <v>5700</v>
      </c>
      <c r="BE526" s="1080" t="str">
        <f t="shared" si="529"/>
        <v>Lore</v>
      </c>
      <c r="BF526" s="1080" t="str">
        <f t="shared" si="530"/>
        <v>Lore Historical Skills</v>
      </c>
    </row>
    <row r="527" spans="1:58" ht="11.1" customHeight="1" outlineLevel="3">
      <c r="A527" s="1093" t="s">
        <v>1417</v>
      </c>
      <c r="B527" s="1094"/>
      <c r="C527" s="1094"/>
      <c r="D527" s="1094"/>
      <c r="E527" s="1095" t="s">
        <v>5224</v>
      </c>
      <c r="F527" s="1095" t="str">
        <f>IF(('Main Creation Page'!C7=2),"R","N")</f>
        <v>N</v>
      </c>
      <c r="G527" s="1096">
        <v>0</v>
      </c>
      <c r="H527" s="1096" t="s">
        <v>5224</v>
      </c>
      <c r="I527" s="1096" t="s">
        <v>5224</v>
      </c>
      <c r="J527" s="1096" t="s">
        <v>5224</v>
      </c>
      <c r="K527" s="1096" t="s">
        <v>5224</v>
      </c>
      <c r="L527" s="1096">
        <v>0</v>
      </c>
      <c r="M527" s="1096" t="s">
        <v>5224</v>
      </c>
      <c r="N527" s="1096" t="s">
        <v>4631</v>
      </c>
      <c r="O527" s="1028"/>
      <c r="P527" s="1028" t="s">
        <v>780</v>
      </c>
      <c r="Q527" s="1097">
        <f t="shared" ca="1" si="514"/>
        <v>17</v>
      </c>
      <c r="R527" s="1034"/>
      <c r="S527" s="1028" t="s">
        <v>3616</v>
      </c>
      <c r="T527" s="1097">
        <f t="shared" ca="1" si="515"/>
        <v>17</v>
      </c>
      <c r="U527" s="1027">
        <v>3</v>
      </c>
      <c r="V527" s="1027">
        <f t="shared" si="538"/>
        <v>4</v>
      </c>
      <c r="W527" s="1098" t="e">
        <f>IF(OR(I527&lt;&gt;"N",E527="C"),IF(AND(N527&lt;&gt;"T",ISNUMBER(FIND("V",I527))),1,0),NA())+IF(H527="Y",IF(AND(N527="P",ISNUMBER(FIND("Z",I527))),2,1),0)+IF(J527="Y",1,0)+IF(K527="Y",3,0)+IF(BE527="Lore",L527*2+Experience!$D$25,0)+IF(M527="Y",1,0)</f>
        <v>#N/A</v>
      </c>
      <c r="X527" s="1099"/>
      <c r="Y527" s="1100">
        <f ca="1">IF(P527="NS",IFERROR(INDIRECT(S527),NA()),VLOOKUP(INDIRECT(P527)+INDIRECT(S527),'System Lookups'!$A$3:$D$146,2))</f>
        <v>0.1</v>
      </c>
      <c r="Z527" s="1100">
        <f t="shared" si="539"/>
        <v>0</v>
      </c>
      <c r="AA527" s="1101">
        <f ca="1">IF(ISNA(Y527),0,Y527)+Z527+IF('Main Creation Page'!AB$2=37,'Main Creation Page'!E$14/100,0)</f>
        <v>0.1</v>
      </c>
      <c r="AB527" s="1102">
        <f>VLOOKUP(V527,'System Lookups'!$J$55:$P$64,3)</f>
        <v>0.2</v>
      </c>
      <c r="AC527" s="1103">
        <f>VLOOKUP(V527,'System Lookups'!$J$55:$P$64,4)</f>
        <v>0.3</v>
      </c>
      <c r="AD527" s="1104">
        <f t="shared" ca="1" si="540"/>
        <v>0.35000000000000003</v>
      </c>
      <c r="AE527" s="1094">
        <f ca="1">(IF(AD527&gt;VLOOKUP(V527,'System Lookups'!$J$55:$P$63,6),(((AD527-VLOOKUP(V527,'System Lookups'!$J$55:$P$63,6))*100)/20),0))+AF527</f>
        <v>0</v>
      </c>
      <c r="AF527" s="1121"/>
      <c r="AG527" s="1092">
        <f t="shared" si="541"/>
        <v>0</v>
      </c>
      <c r="AH527" s="1092" t="str">
        <f>IF(X527&lt;=Experience!$R$15+1,"","*")</f>
        <v/>
      </c>
      <c r="AI527" s="1092"/>
      <c r="AJ527" s="1080">
        <f t="shared" si="520"/>
        <v>0</v>
      </c>
      <c r="AK527" s="1080">
        <f t="shared" si="544"/>
        <v>0</v>
      </c>
      <c r="AL527" s="1080">
        <f t="shared" si="521"/>
        <v>0</v>
      </c>
      <c r="AM527" s="1092">
        <f t="shared" si="545"/>
        <v>0</v>
      </c>
      <c r="AN527" s="1080">
        <f t="shared" si="546"/>
        <v>1</v>
      </c>
      <c r="AO527" s="1080">
        <f t="shared" si="522"/>
        <v>0</v>
      </c>
      <c r="AP527" s="1080">
        <f t="shared" si="542"/>
        <v>1</v>
      </c>
      <c r="AQ527" s="1027">
        <f>VLOOKUP(V527,'System Lookups'!$J$55:$P$64,7)</f>
        <v>600</v>
      </c>
      <c r="AR527" s="1080" t="str">
        <f ca="1">IF(AND(NOT(ISBLANK(AJ527)),ISNA(MATCH(ROW(),'System Lookups'!$C$526:$C$539,0))),"Y","N")</f>
        <v>Y</v>
      </c>
      <c r="AS527" s="1080">
        <f t="shared" si="543"/>
        <v>0</v>
      </c>
      <c r="AU527" s="1080" t="e">
        <f t="shared" si="531"/>
        <v>#N/A</v>
      </c>
      <c r="AV527" s="1080" t="str">
        <f t="shared" si="528"/>
        <v>T</v>
      </c>
      <c r="AW527" s="1080">
        <f t="shared" si="532"/>
        <v>0</v>
      </c>
      <c r="AX527" s="1080">
        <f t="shared" si="533"/>
        <v>0</v>
      </c>
      <c r="AY527" s="1080">
        <f t="shared" si="534"/>
        <v>0</v>
      </c>
      <c r="AZ527" s="1080">
        <f t="shared" si="535"/>
        <v>0</v>
      </c>
      <c r="BA527" s="1080">
        <f t="shared" si="536"/>
        <v>0</v>
      </c>
      <c r="BB527" s="1080">
        <f>IF(AND(RACE=1,'Main Creation Page'!$E$6="Well",OR(ISNUMBER(FIND(Experience!$G$11,BE527)),ISNUMBER(FIND(Experience!$G$11,BF527)),ISNUMBER(FIND(Experience!$I$11,BE527)),ISNUMBER(FIND(Experience!$I$11,BF527)))),1,0)</f>
        <v>1</v>
      </c>
      <c r="BC527" s="1080" t="str">
        <f t="shared" si="537"/>
        <v>Cult. Lore:Elven</v>
      </c>
      <c r="BD527" s="1080" t="s">
        <v>5700</v>
      </c>
      <c r="BE527" s="1080" t="str">
        <f t="shared" si="529"/>
        <v>Lore</v>
      </c>
      <c r="BF527" s="1080" t="str">
        <f t="shared" si="530"/>
        <v>Lore Historical Skills</v>
      </c>
    </row>
    <row r="528" spans="1:58" ht="11.1" customHeight="1" outlineLevel="3">
      <c r="A528" s="1093" t="s">
        <v>1524</v>
      </c>
      <c r="B528" s="1094"/>
      <c r="C528" s="1094"/>
      <c r="D528" s="1094"/>
      <c r="E528" s="1095" t="s">
        <v>5224</v>
      </c>
      <c r="F528" s="1095" t="str">
        <f>IF(('Main Creation Page'!C8=2),"R","N")</f>
        <v>N</v>
      </c>
      <c r="G528" s="1096">
        <v>0</v>
      </c>
      <c r="H528" s="1096" t="s">
        <v>5224</v>
      </c>
      <c r="I528" s="1096" t="s">
        <v>5224</v>
      </c>
      <c r="J528" s="1096" t="s">
        <v>5224</v>
      </c>
      <c r="K528" s="1096" t="s">
        <v>5224</v>
      </c>
      <c r="L528" s="1096">
        <v>0</v>
      </c>
      <c r="M528" s="1096" t="s">
        <v>5224</v>
      </c>
      <c r="N528" s="1096" t="s">
        <v>4631</v>
      </c>
      <c r="O528" s="1028"/>
      <c r="P528" s="1028" t="s">
        <v>780</v>
      </c>
      <c r="Q528" s="1097">
        <f t="shared" ca="1" si="514"/>
        <v>17</v>
      </c>
      <c r="R528" s="1034"/>
      <c r="S528" s="1028" t="s">
        <v>3616</v>
      </c>
      <c r="T528" s="1097">
        <f t="shared" ca="1" si="515"/>
        <v>17</v>
      </c>
      <c r="U528" s="1027">
        <v>3</v>
      </c>
      <c r="V528" s="1027">
        <f t="shared" si="538"/>
        <v>4</v>
      </c>
      <c r="W528" s="1098" t="e">
        <f>IF(OR(I528&lt;&gt;"N",E528="C"),IF(AND(N528&lt;&gt;"T",ISNUMBER(FIND("V",I528))),1,0),NA())+IF(H528="Y",IF(AND(N528="P",ISNUMBER(FIND("Z",I528))),2,1),0)+IF(J528="Y",1,0)+IF(K528="Y",3,0)+IF(BE528="Lore",L528*2+Experience!$D$25,0)+IF(M528="Y",1,0)</f>
        <v>#N/A</v>
      </c>
      <c r="X528" s="1099"/>
      <c r="Y528" s="1100">
        <f ca="1">IF(P528="NS",IFERROR(INDIRECT(S528),NA()),VLOOKUP(INDIRECT(P528)+INDIRECT(S528),'System Lookups'!$A$3:$D$146,2))</f>
        <v>0.1</v>
      </c>
      <c r="Z528" s="1100">
        <f t="shared" si="539"/>
        <v>0</v>
      </c>
      <c r="AA528" s="1101">
        <f ca="1">IF(ISNA(Y528),0,Y528)+Z528+IF('Main Creation Page'!AB$2=37,'Main Creation Page'!E$14/100,0)</f>
        <v>0.1</v>
      </c>
      <c r="AB528" s="1102">
        <f>VLOOKUP(V528,'System Lookups'!$J$55:$P$64,3)</f>
        <v>0.2</v>
      </c>
      <c r="AC528" s="1103">
        <f>VLOOKUP(V528,'System Lookups'!$J$55:$P$64,4)</f>
        <v>0.3</v>
      </c>
      <c r="AD528" s="1104">
        <f t="shared" ca="1" si="540"/>
        <v>0.35000000000000003</v>
      </c>
      <c r="AE528" s="1094">
        <f ca="1">(IF(AD528&gt;VLOOKUP(V528,'System Lookups'!$J$55:$P$63,6),(((AD528-VLOOKUP(V528,'System Lookups'!$J$55:$P$63,6))*100)/20),0))+AF528</f>
        <v>0</v>
      </c>
      <c r="AF528" s="1121"/>
      <c r="AG528" s="1092">
        <f t="shared" si="541"/>
        <v>0</v>
      </c>
      <c r="AH528" s="1092" t="str">
        <f>IF(X528&lt;=Experience!$R$15+1,"","*")</f>
        <v/>
      </c>
      <c r="AI528" s="1092"/>
      <c r="AJ528" s="1080">
        <f t="shared" si="520"/>
        <v>0</v>
      </c>
      <c r="AK528" s="1080">
        <f t="shared" si="544"/>
        <v>0</v>
      </c>
      <c r="AL528" s="1080">
        <f t="shared" si="521"/>
        <v>0</v>
      </c>
      <c r="AM528" s="1092">
        <f t="shared" si="545"/>
        <v>0</v>
      </c>
      <c r="AN528" s="1080">
        <f t="shared" si="546"/>
        <v>1</v>
      </c>
      <c r="AO528" s="1080">
        <f t="shared" si="522"/>
        <v>0</v>
      </c>
      <c r="AP528" s="1080">
        <f t="shared" si="542"/>
        <v>1</v>
      </c>
      <c r="AQ528" s="1027">
        <f>VLOOKUP(V528,'System Lookups'!$J$55:$P$64,7)</f>
        <v>600</v>
      </c>
      <c r="AR528" s="1080" t="str">
        <f ca="1">IF(AND(NOT(ISBLANK(AJ528)),ISNA(MATCH(ROW(),'System Lookups'!$C$526:$C$539,0))),"Y","N")</f>
        <v>Y</v>
      </c>
      <c r="AS528" s="1080">
        <f t="shared" si="543"/>
        <v>0</v>
      </c>
      <c r="AU528" s="1080" t="e">
        <f t="shared" si="531"/>
        <v>#N/A</v>
      </c>
      <c r="AV528" s="1080" t="str">
        <f t="shared" si="528"/>
        <v>T</v>
      </c>
      <c r="AW528" s="1080">
        <f t="shared" si="532"/>
        <v>0</v>
      </c>
      <c r="AX528" s="1080">
        <f t="shared" si="533"/>
        <v>0</v>
      </c>
      <c r="AY528" s="1080">
        <f t="shared" si="534"/>
        <v>0</v>
      </c>
      <c r="AZ528" s="1080">
        <f t="shared" si="535"/>
        <v>0</v>
      </c>
      <c r="BA528" s="1080">
        <f t="shared" si="536"/>
        <v>0</v>
      </c>
      <c r="BB528" s="1080">
        <f>IF(AND(RACE=1,'Main Creation Page'!$E$6="Well",OR(ISNUMBER(FIND(Experience!$G$11,BE528)),ISNUMBER(FIND(Experience!$G$11,BF528)),ISNUMBER(FIND(Experience!$I$11,BE528)),ISNUMBER(FIND(Experience!$I$11,BF528)))),1,0)</f>
        <v>1</v>
      </c>
      <c r="BC528" s="1080" t="str">
        <f t="shared" si="537"/>
        <v>Cult. Lore:Faery (Seelie)</v>
      </c>
      <c r="BD528" s="1080" t="s">
        <v>5700</v>
      </c>
      <c r="BE528" s="1080" t="str">
        <f t="shared" si="529"/>
        <v>Lore</v>
      </c>
      <c r="BF528" s="1080" t="str">
        <f t="shared" si="530"/>
        <v>Lore Historical Skills</v>
      </c>
    </row>
    <row r="529" spans="1:58" ht="11.1" customHeight="1" outlineLevel="3">
      <c r="A529" s="1093" t="s">
        <v>1493</v>
      </c>
      <c r="B529" s="1094"/>
      <c r="C529" s="1094"/>
      <c r="D529" s="1094"/>
      <c r="E529" s="1095" t="s">
        <v>5224</v>
      </c>
      <c r="F529" s="1095" t="str">
        <f>IF(('Main Creation Page'!C9=2),"R","N")</f>
        <v>N</v>
      </c>
      <c r="G529" s="1096">
        <v>0</v>
      </c>
      <c r="H529" s="1096" t="s">
        <v>5224</v>
      </c>
      <c r="I529" s="1096" t="s">
        <v>5224</v>
      </c>
      <c r="J529" s="1096" t="s">
        <v>5224</v>
      </c>
      <c r="K529" s="1096" t="s">
        <v>5224</v>
      </c>
      <c r="L529" s="1096">
        <v>0</v>
      </c>
      <c r="M529" s="1096" t="s">
        <v>5224</v>
      </c>
      <c r="N529" s="1096" t="s">
        <v>4631</v>
      </c>
      <c r="O529" s="1028"/>
      <c r="P529" s="1028" t="s">
        <v>780</v>
      </c>
      <c r="Q529" s="1097">
        <f t="shared" ca="1" si="514"/>
        <v>17</v>
      </c>
      <c r="R529" s="1034"/>
      <c r="S529" s="1028" t="s">
        <v>3616</v>
      </c>
      <c r="T529" s="1097">
        <f t="shared" ca="1" si="515"/>
        <v>17</v>
      </c>
      <c r="U529" s="1027">
        <v>3</v>
      </c>
      <c r="V529" s="1027">
        <f t="shared" si="538"/>
        <v>4</v>
      </c>
      <c r="W529" s="1098" t="e">
        <f>IF(OR(I529&lt;&gt;"N",E529="C"),IF(AND(N529&lt;&gt;"T",ISNUMBER(FIND("V",I529))),1,0),NA())+IF(H529="Y",IF(AND(N529="P",ISNUMBER(FIND("Z",I529))),2,1),0)+IF(J529="Y",1,0)+IF(K529="Y",3,0)+IF(BE529="Lore",L529*2+Experience!$D$25,0)+IF(M529="Y",1,0)</f>
        <v>#N/A</v>
      </c>
      <c r="X529" s="1099"/>
      <c r="Y529" s="1100">
        <f ca="1">IF(P529="NS",IFERROR(INDIRECT(S529),NA()),VLOOKUP(INDIRECT(P529)+INDIRECT(S529),'System Lookups'!$A$3:$D$146,2))</f>
        <v>0.1</v>
      </c>
      <c r="Z529" s="1100">
        <f t="shared" si="539"/>
        <v>0</v>
      </c>
      <c r="AA529" s="1101">
        <f ca="1">IF(ISNA(Y529),0,Y529)+Z529+IF('Main Creation Page'!AB$2=37,'Main Creation Page'!E$14/100,0)</f>
        <v>0.1</v>
      </c>
      <c r="AB529" s="1102">
        <f>VLOOKUP(V529,'System Lookups'!$J$55:$P$64,3)</f>
        <v>0.2</v>
      </c>
      <c r="AC529" s="1103">
        <f>VLOOKUP(V529,'System Lookups'!$J$55:$P$64,4)</f>
        <v>0.3</v>
      </c>
      <c r="AD529" s="1104">
        <f t="shared" ca="1" si="540"/>
        <v>0.35000000000000003</v>
      </c>
      <c r="AE529" s="1094">
        <f ca="1">(IF(AD529&gt;VLOOKUP(V529,'System Lookups'!$J$55:$P$63,6),(((AD529-VLOOKUP(V529,'System Lookups'!$J$55:$P$63,6))*100)/20),0))+AF529</f>
        <v>0</v>
      </c>
      <c r="AF529" s="1121"/>
      <c r="AG529" s="1092">
        <f t="shared" si="541"/>
        <v>0</v>
      </c>
      <c r="AH529" s="1092" t="str">
        <f>IF(X529&lt;=Experience!$R$15+1,"","*")</f>
        <v/>
      </c>
      <c r="AI529" s="1092"/>
      <c r="AJ529" s="1080">
        <f t="shared" si="520"/>
        <v>0</v>
      </c>
      <c r="AK529" s="1080">
        <f t="shared" si="544"/>
        <v>0</v>
      </c>
      <c r="AL529" s="1080">
        <f t="shared" si="521"/>
        <v>0</v>
      </c>
      <c r="AM529" s="1092">
        <f t="shared" si="545"/>
        <v>0</v>
      </c>
      <c r="AN529" s="1080">
        <f t="shared" si="546"/>
        <v>1</v>
      </c>
      <c r="AO529" s="1080">
        <f t="shared" si="522"/>
        <v>0</v>
      </c>
      <c r="AP529" s="1080">
        <f t="shared" si="542"/>
        <v>1</v>
      </c>
      <c r="AQ529" s="1027">
        <f>VLOOKUP(V529,'System Lookups'!$J$55:$P$64,7)</f>
        <v>600</v>
      </c>
      <c r="AR529" s="1080" t="str">
        <f ca="1">IF(AND(NOT(ISBLANK(AJ529)),ISNA(MATCH(ROW(),'System Lookups'!$C$526:$C$539,0))),"Y","N")</f>
        <v>Y</v>
      </c>
      <c r="AS529" s="1080">
        <f t="shared" si="543"/>
        <v>0</v>
      </c>
      <c r="AU529" s="1080" t="e">
        <f t="shared" si="531"/>
        <v>#N/A</v>
      </c>
      <c r="AV529" s="1080" t="str">
        <f t="shared" si="528"/>
        <v>T</v>
      </c>
      <c r="AW529" s="1080">
        <f t="shared" si="532"/>
        <v>0</v>
      </c>
      <c r="AX529" s="1080">
        <f t="shared" si="533"/>
        <v>0</v>
      </c>
      <c r="AY529" s="1080">
        <f t="shared" si="534"/>
        <v>0</v>
      </c>
      <c r="AZ529" s="1080">
        <f t="shared" si="535"/>
        <v>0</v>
      </c>
      <c r="BA529" s="1080">
        <f t="shared" si="536"/>
        <v>0</v>
      </c>
      <c r="BB529" s="1080">
        <f>IF(AND(RACE=1,'Main Creation Page'!$E$6="Well",OR(ISNUMBER(FIND(Experience!$G$11,BE529)),ISNUMBER(FIND(Experience!$G$11,BF529)),ISNUMBER(FIND(Experience!$I$11,BE529)),ISNUMBER(FIND(Experience!$I$11,BF529)))),1,0)</f>
        <v>1</v>
      </c>
      <c r="BC529" s="1080" t="str">
        <f t="shared" si="537"/>
        <v>Cult. Lore:Faery (Un-Seelie)</v>
      </c>
      <c r="BD529" s="1080" t="s">
        <v>5700</v>
      </c>
      <c r="BE529" s="1080" t="str">
        <f t="shared" si="529"/>
        <v>Lore</v>
      </c>
      <c r="BF529" s="1080" t="str">
        <f t="shared" si="530"/>
        <v>Lore Historical Skills</v>
      </c>
    </row>
    <row r="530" spans="1:58" ht="11.1" customHeight="1" outlineLevel="3">
      <c r="A530" s="1093" t="s">
        <v>1494</v>
      </c>
      <c r="B530" s="1094"/>
      <c r="C530" s="1094"/>
      <c r="D530" s="1094"/>
      <c r="E530" s="1095" t="s">
        <v>5224</v>
      </c>
      <c r="F530" s="1095" t="str">
        <f>IF(('Main Creation Page'!C10=2),"R","N")</f>
        <v>N</v>
      </c>
      <c r="G530" s="1096">
        <v>0</v>
      </c>
      <c r="H530" s="1096" t="s">
        <v>5224</v>
      </c>
      <c r="I530" s="1096" t="s">
        <v>5224</v>
      </c>
      <c r="J530" s="1096" t="s">
        <v>5224</v>
      </c>
      <c r="K530" s="1096" t="s">
        <v>5224</v>
      </c>
      <c r="L530" s="1096">
        <v>0</v>
      </c>
      <c r="M530" s="1096" t="s">
        <v>5224</v>
      </c>
      <c r="N530" s="1096" t="s">
        <v>4631</v>
      </c>
      <c r="O530" s="1028"/>
      <c r="P530" s="1028" t="s">
        <v>780</v>
      </c>
      <c r="Q530" s="1097">
        <f t="shared" ca="1" si="514"/>
        <v>17</v>
      </c>
      <c r="R530" s="1034"/>
      <c r="S530" s="1028" t="s">
        <v>3616</v>
      </c>
      <c r="T530" s="1097">
        <f t="shared" ca="1" si="515"/>
        <v>17</v>
      </c>
      <c r="U530" s="1027">
        <v>3</v>
      </c>
      <c r="V530" s="1027">
        <f t="shared" si="538"/>
        <v>4</v>
      </c>
      <c r="W530" s="1098" t="e">
        <f>IF(OR(I530&lt;&gt;"N",E530="C"),IF(AND(N530&lt;&gt;"T",ISNUMBER(FIND("V",I530))),1,0),NA())+IF(H530="Y",IF(AND(N530="P",ISNUMBER(FIND("Z",I530))),2,1),0)+IF(J530="Y",1,0)+IF(K530="Y",3,0)+IF(BE530="Lore",L530*2+Experience!$D$25,0)+IF(M530="Y",1,0)</f>
        <v>#N/A</v>
      </c>
      <c r="X530" s="1099"/>
      <c r="Y530" s="1100">
        <f ca="1">IF(P530="NS",IFERROR(INDIRECT(S530),NA()),VLOOKUP(INDIRECT(P530)+INDIRECT(S530),'System Lookups'!$A$3:$D$146,2))</f>
        <v>0.1</v>
      </c>
      <c r="Z530" s="1100">
        <f t="shared" si="539"/>
        <v>0</v>
      </c>
      <c r="AA530" s="1101">
        <f ca="1">IF(ISNA(Y530),0,Y530)+Z530+IF('Main Creation Page'!AB$2=37,'Main Creation Page'!E$14/100,0)</f>
        <v>0.1</v>
      </c>
      <c r="AB530" s="1102">
        <f>VLOOKUP(V530,'System Lookups'!$J$55:$P$64,3)</f>
        <v>0.2</v>
      </c>
      <c r="AC530" s="1103">
        <f>VLOOKUP(V530,'System Lookups'!$J$55:$P$64,4)</f>
        <v>0.3</v>
      </c>
      <c r="AD530" s="1104">
        <f t="shared" ca="1" si="540"/>
        <v>0.35000000000000003</v>
      </c>
      <c r="AE530" s="1094">
        <f ca="1">(IF(AD530&gt;VLOOKUP(V530,'System Lookups'!$J$55:$P$63,6),(((AD530-VLOOKUP(V530,'System Lookups'!$J$55:$P$63,6))*100)/20),0))+AF530</f>
        <v>0</v>
      </c>
      <c r="AF530" s="1121"/>
      <c r="AG530" s="1092">
        <f t="shared" si="541"/>
        <v>0</v>
      </c>
      <c r="AH530" s="1092" t="str">
        <f>IF(X530&lt;=Experience!$R$15+1,"","*")</f>
        <v/>
      </c>
      <c r="AI530" s="1092"/>
      <c r="AJ530" s="1080">
        <f t="shared" si="520"/>
        <v>0</v>
      </c>
      <c r="AK530" s="1080">
        <f t="shared" si="544"/>
        <v>0</v>
      </c>
      <c r="AL530" s="1080">
        <f t="shared" si="521"/>
        <v>0</v>
      </c>
      <c r="AM530" s="1092">
        <f t="shared" si="545"/>
        <v>0</v>
      </c>
      <c r="AN530" s="1080">
        <f t="shared" si="546"/>
        <v>1</v>
      </c>
      <c r="AO530" s="1080">
        <f t="shared" si="522"/>
        <v>0</v>
      </c>
      <c r="AP530" s="1080">
        <f t="shared" si="542"/>
        <v>1</v>
      </c>
      <c r="AQ530" s="1027">
        <f>VLOOKUP(V530,'System Lookups'!$J$55:$P$64,7)</f>
        <v>600</v>
      </c>
      <c r="AR530" s="1080" t="str">
        <f ca="1">IF(AND(NOT(ISBLANK(AJ530)),ISNA(MATCH(ROW(),'System Lookups'!$C$526:$C$539,0))),"Y","N")</f>
        <v>Y</v>
      </c>
      <c r="AS530" s="1080">
        <f t="shared" si="543"/>
        <v>0</v>
      </c>
      <c r="AU530" s="1080" t="e">
        <f t="shared" si="531"/>
        <v>#N/A</v>
      </c>
      <c r="AV530" s="1080" t="str">
        <f t="shared" si="528"/>
        <v>T</v>
      </c>
      <c r="AW530" s="1080">
        <f t="shared" si="532"/>
        <v>0</v>
      </c>
      <c r="AX530" s="1080">
        <f t="shared" si="533"/>
        <v>0</v>
      </c>
      <c r="AY530" s="1080">
        <f t="shared" si="534"/>
        <v>0</v>
      </c>
      <c r="AZ530" s="1080">
        <f t="shared" si="535"/>
        <v>0</v>
      </c>
      <c r="BA530" s="1080">
        <f t="shared" si="536"/>
        <v>0</v>
      </c>
      <c r="BB530" s="1080">
        <f>IF(AND(RACE=1,'Main Creation Page'!$E$6="Well",OR(ISNUMBER(FIND(Experience!$G$11,BE530)),ISNUMBER(FIND(Experience!$G$11,BF530)),ISNUMBER(FIND(Experience!$I$11,BE530)),ISNUMBER(FIND(Experience!$I$11,BF530)))),1,0)</f>
        <v>1</v>
      </c>
      <c r="BC530" s="1080" t="str">
        <f t="shared" si="537"/>
        <v>Cult. Lore:Giant</v>
      </c>
      <c r="BD530" s="1080" t="s">
        <v>5700</v>
      </c>
      <c r="BE530" s="1080" t="str">
        <f t="shared" si="529"/>
        <v>Lore</v>
      </c>
      <c r="BF530" s="1080" t="str">
        <f t="shared" si="530"/>
        <v>Lore Historical Skills</v>
      </c>
    </row>
    <row r="531" spans="1:58" ht="11.1" customHeight="1" outlineLevel="3">
      <c r="A531" s="1093" t="s">
        <v>1412</v>
      </c>
      <c r="B531" s="1094"/>
      <c r="C531" s="1094"/>
      <c r="D531" s="1094"/>
      <c r="E531" s="1095" t="s">
        <v>5224</v>
      </c>
      <c r="F531" s="1095" t="str">
        <f>IF(('Main Creation Page'!C11=2),"R","N")</f>
        <v>N</v>
      </c>
      <c r="G531" s="1096">
        <v>0</v>
      </c>
      <c r="H531" s="1096" t="s">
        <v>5224</v>
      </c>
      <c r="I531" s="1096" t="s">
        <v>5224</v>
      </c>
      <c r="J531" s="1096" t="s">
        <v>5224</v>
      </c>
      <c r="K531" s="1096" t="s">
        <v>5224</v>
      </c>
      <c r="L531" s="1096">
        <v>0</v>
      </c>
      <c r="M531" s="1096" t="s">
        <v>5224</v>
      </c>
      <c r="N531" s="1096" t="s">
        <v>4631</v>
      </c>
      <c r="O531" s="1028"/>
      <c r="P531" s="1028" t="s">
        <v>780</v>
      </c>
      <c r="Q531" s="1097">
        <f t="shared" ca="1" si="514"/>
        <v>17</v>
      </c>
      <c r="R531" s="1034"/>
      <c r="S531" s="1028" t="s">
        <v>3616</v>
      </c>
      <c r="T531" s="1097">
        <f t="shared" ca="1" si="515"/>
        <v>17</v>
      </c>
      <c r="U531" s="1027">
        <v>3</v>
      </c>
      <c r="V531" s="1027">
        <f t="shared" si="538"/>
        <v>4</v>
      </c>
      <c r="W531" s="1098" t="e">
        <f>IF(OR(I531&lt;&gt;"N",E531="C"),IF(AND(N531&lt;&gt;"T",ISNUMBER(FIND("V",I531))),1,0),NA())+IF(H531="Y",IF(AND(N531="P",ISNUMBER(FIND("Z",I531))),2,1),0)+IF(J531="Y",1,0)+IF(K531="Y",3,0)+IF(BE531="Lore",L531*2+Experience!$D$25,0)+IF(M531="Y",1,0)</f>
        <v>#N/A</v>
      </c>
      <c r="X531" s="1099"/>
      <c r="Y531" s="1100">
        <f ca="1">IF(P531="NS",IFERROR(INDIRECT(S531),NA()),VLOOKUP(INDIRECT(P531)+INDIRECT(S531),'System Lookups'!$A$3:$D$146,2))</f>
        <v>0.1</v>
      </c>
      <c r="Z531" s="1100">
        <f t="shared" si="539"/>
        <v>0</v>
      </c>
      <c r="AA531" s="1101">
        <f ca="1">IF(ISNA(Y531),0,Y531)+Z531+IF('Main Creation Page'!AB$2=37,'Main Creation Page'!E$14/100,0)</f>
        <v>0.1</v>
      </c>
      <c r="AB531" s="1102">
        <f>VLOOKUP(V531,'System Lookups'!$J$55:$P$64,3)</f>
        <v>0.2</v>
      </c>
      <c r="AC531" s="1103">
        <f>VLOOKUP(V531,'System Lookups'!$J$55:$P$64,4)</f>
        <v>0.3</v>
      </c>
      <c r="AD531" s="1104">
        <f t="shared" ca="1" si="540"/>
        <v>0.35000000000000003</v>
      </c>
      <c r="AE531" s="1094">
        <f ca="1">(IF(AD531&gt;VLOOKUP(V531,'System Lookups'!$J$55:$P$63,6),(((AD531-VLOOKUP(V531,'System Lookups'!$J$55:$P$63,6))*100)/20),0))+AF531</f>
        <v>0</v>
      </c>
      <c r="AF531" s="1121"/>
      <c r="AG531" s="1092">
        <f t="shared" si="541"/>
        <v>0</v>
      </c>
      <c r="AH531" s="1092" t="str">
        <f>IF(X531&lt;=Experience!$R$15+1,"","*")</f>
        <v/>
      </c>
      <c r="AI531" s="1092"/>
      <c r="AJ531" s="1080">
        <f t="shared" si="520"/>
        <v>0</v>
      </c>
      <c r="AK531" s="1080">
        <f t="shared" si="544"/>
        <v>0</v>
      </c>
      <c r="AL531" s="1080">
        <f t="shared" si="521"/>
        <v>0</v>
      </c>
      <c r="AM531" s="1092">
        <f t="shared" si="545"/>
        <v>0</v>
      </c>
      <c r="AN531" s="1080">
        <f t="shared" si="546"/>
        <v>1</v>
      </c>
      <c r="AO531" s="1080">
        <f t="shared" si="522"/>
        <v>0</v>
      </c>
      <c r="AP531" s="1080">
        <f t="shared" si="542"/>
        <v>1</v>
      </c>
      <c r="AQ531" s="1027">
        <f>VLOOKUP(V531,'System Lookups'!$J$55:$P$64,7)</f>
        <v>600</v>
      </c>
      <c r="AR531" s="1080" t="str">
        <f ca="1">IF(AND(NOT(ISBLANK(AJ531)),ISNA(MATCH(ROW(),'System Lookups'!$C$526:$C$539,0))),"Y","N")</f>
        <v>Y</v>
      </c>
      <c r="AS531" s="1080">
        <f t="shared" si="543"/>
        <v>0</v>
      </c>
      <c r="AU531" s="1080" t="e">
        <f t="shared" si="531"/>
        <v>#N/A</v>
      </c>
      <c r="AV531" s="1080" t="str">
        <f t="shared" si="528"/>
        <v>T</v>
      </c>
      <c r="AW531" s="1080">
        <f t="shared" si="532"/>
        <v>0</v>
      </c>
      <c r="AX531" s="1080">
        <f t="shared" si="533"/>
        <v>0</v>
      </c>
      <c r="AY531" s="1080">
        <f t="shared" si="534"/>
        <v>0</v>
      </c>
      <c r="AZ531" s="1080">
        <f t="shared" si="535"/>
        <v>0</v>
      </c>
      <c r="BA531" s="1080">
        <f t="shared" si="536"/>
        <v>0</v>
      </c>
      <c r="BB531" s="1080">
        <f>IF(AND(RACE=1,'Main Creation Page'!$E$6="Well",OR(ISNUMBER(FIND(Experience!$G$11,BE531)),ISNUMBER(FIND(Experience!$G$11,BF531)),ISNUMBER(FIND(Experience!$I$11,BE531)),ISNUMBER(FIND(Experience!$I$11,BF531)))),1,0)</f>
        <v>1</v>
      </c>
      <c r="BC531" s="1080" t="str">
        <f t="shared" si="537"/>
        <v>Cult. Lore:Goblin</v>
      </c>
      <c r="BD531" s="1080" t="s">
        <v>5700</v>
      </c>
      <c r="BE531" s="1080" t="str">
        <f t="shared" si="529"/>
        <v>Lore</v>
      </c>
      <c r="BF531" s="1080" t="str">
        <f t="shared" si="530"/>
        <v>Lore Historical Skills</v>
      </c>
    </row>
    <row r="532" spans="1:58" ht="11.1" customHeight="1" outlineLevel="3">
      <c r="A532" s="1093" t="s">
        <v>1346</v>
      </c>
      <c r="B532" s="1094"/>
      <c r="C532" s="1094"/>
      <c r="D532" s="1094"/>
      <c r="E532" s="1095" t="s">
        <v>5224</v>
      </c>
      <c r="F532" s="1095" t="str">
        <f>IF(('Main Creation Page'!C12=2),"R","N")</f>
        <v>N</v>
      </c>
      <c r="G532" s="1096">
        <v>0</v>
      </c>
      <c r="H532" s="1096" t="s">
        <v>5224</v>
      </c>
      <c r="I532" s="1096" t="s">
        <v>5224</v>
      </c>
      <c r="J532" s="1096" t="s">
        <v>5224</v>
      </c>
      <c r="K532" s="1096" t="s">
        <v>5224</v>
      </c>
      <c r="L532" s="1096">
        <v>0</v>
      </c>
      <c r="M532" s="1096" t="s">
        <v>5224</v>
      </c>
      <c r="N532" s="1096" t="s">
        <v>4631</v>
      </c>
      <c r="O532" s="1028"/>
      <c r="P532" s="1028" t="s">
        <v>780</v>
      </c>
      <c r="Q532" s="1097">
        <f t="shared" ca="1" si="514"/>
        <v>17</v>
      </c>
      <c r="R532" s="1034"/>
      <c r="S532" s="1028" t="s">
        <v>3616</v>
      </c>
      <c r="T532" s="1097">
        <f t="shared" ca="1" si="515"/>
        <v>17</v>
      </c>
      <c r="U532" s="1027">
        <v>3</v>
      </c>
      <c r="V532" s="1027">
        <f t="shared" si="538"/>
        <v>4</v>
      </c>
      <c r="W532" s="1098" t="e">
        <f>IF(OR(I532&lt;&gt;"N",E532="C"),IF(AND(N532&lt;&gt;"T",ISNUMBER(FIND("V",I532))),1,0),NA())+IF(H532="Y",IF(AND(N532="P",ISNUMBER(FIND("Z",I532))),2,1),0)+IF(J532="Y",1,0)+IF(K532="Y",3,0)+IF(BE532="Lore",L532*2+Experience!$D$25,0)+IF(M532="Y",1,0)</f>
        <v>#N/A</v>
      </c>
      <c r="X532" s="1099"/>
      <c r="Y532" s="1100">
        <f ca="1">IF(P532="NS",IFERROR(INDIRECT(S532),NA()),VLOOKUP(INDIRECT(P532)+INDIRECT(S532),'System Lookups'!$A$3:$D$146,2))</f>
        <v>0.1</v>
      </c>
      <c r="Z532" s="1100">
        <f t="shared" si="539"/>
        <v>0</v>
      </c>
      <c r="AA532" s="1101">
        <f ca="1">IF(ISNA(Y532),0,Y532)+Z532+IF('Main Creation Page'!AB$2=37,'Main Creation Page'!E$14/100,0)</f>
        <v>0.1</v>
      </c>
      <c r="AB532" s="1102">
        <f>VLOOKUP(V532,'System Lookups'!$J$55:$P$64,3)</f>
        <v>0.2</v>
      </c>
      <c r="AC532" s="1103">
        <f>VLOOKUP(V532,'System Lookups'!$J$55:$P$64,4)</f>
        <v>0.3</v>
      </c>
      <c r="AD532" s="1104">
        <f t="shared" ca="1" si="540"/>
        <v>0.35000000000000003</v>
      </c>
      <c r="AE532" s="1094">
        <f ca="1">(IF(AD532&gt;VLOOKUP(V532,'System Lookups'!$J$55:$P$63,6),(((AD532-VLOOKUP(V532,'System Lookups'!$J$55:$P$63,6))*100)/20),0))+AF532</f>
        <v>0</v>
      </c>
      <c r="AF532" s="1121"/>
      <c r="AG532" s="1092">
        <f t="shared" si="541"/>
        <v>0</v>
      </c>
      <c r="AH532" s="1092" t="str">
        <f>IF(X532&lt;=Experience!$R$15+1,"","*")</f>
        <v/>
      </c>
      <c r="AI532" s="1092"/>
      <c r="AJ532" s="1080">
        <f t="shared" si="520"/>
        <v>0</v>
      </c>
      <c r="AK532" s="1080">
        <f t="shared" si="544"/>
        <v>0</v>
      </c>
      <c r="AL532" s="1080">
        <f t="shared" si="521"/>
        <v>0</v>
      </c>
      <c r="AM532" s="1092">
        <f t="shared" si="545"/>
        <v>0</v>
      </c>
      <c r="AN532" s="1080">
        <f t="shared" si="546"/>
        <v>1</v>
      </c>
      <c r="AO532" s="1080">
        <f t="shared" si="522"/>
        <v>0</v>
      </c>
      <c r="AP532" s="1080">
        <f t="shared" si="542"/>
        <v>1</v>
      </c>
      <c r="AQ532" s="1027">
        <f>VLOOKUP(V532,'System Lookups'!$J$55:$P$64,7)</f>
        <v>600</v>
      </c>
      <c r="AR532" s="1080" t="str">
        <f ca="1">IF(AND(NOT(ISBLANK(AJ532)),ISNA(MATCH(ROW(),'System Lookups'!$C$526:$C$539,0))),"Y","N")</f>
        <v>Y</v>
      </c>
      <c r="AS532" s="1080">
        <f t="shared" si="543"/>
        <v>0</v>
      </c>
      <c r="AU532" s="1080" t="e">
        <f t="shared" si="531"/>
        <v>#N/A</v>
      </c>
      <c r="AV532" s="1080" t="str">
        <f t="shared" si="528"/>
        <v>T</v>
      </c>
      <c r="AW532" s="1080">
        <f t="shared" si="532"/>
        <v>0</v>
      </c>
      <c r="AX532" s="1080">
        <f t="shared" si="533"/>
        <v>0</v>
      </c>
      <c r="AY532" s="1080">
        <f t="shared" si="534"/>
        <v>0</v>
      </c>
      <c r="AZ532" s="1080">
        <f t="shared" si="535"/>
        <v>0</v>
      </c>
      <c r="BA532" s="1080">
        <f t="shared" si="536"/>
        <v>0</v>
      </c>
      <c r="BB532" s="1080">
        <f>IF(AND(RACE=1,'Main Creation Page'!$E$6="Well",OR(ISNUMBER(FIND(Experience!$G$11,BE532)),ISNUMBER(FIND(Experience!$G$11,BF532)),ISNUMBER(FIND(Experience!$I$11,BE532)),ISNUMBER(FIND(Experience!$I$11,BF532)))),1,0)</f>
        <v>1</v>
      </c>
      <c r="BC532" s="1080" t="str">
        <f t="shared" si="537"/>
        <v>Cult. Lore:Haeflin</v>
      </c>
      <c r="BD532" s="1080" t="s">
        <v>5700</v>
      </c>
      <c r="BE532" s="1080" t="str">
        <f t="shared" si="529"/>
        <v>Lore</v>
      </c>
      <c r="BF532" s="1080" t="str">
        <f t="shared" si="530"/>
        <v>Lore Historical Skills</v>
      </c>
    </row>
    <row r="533" spans="1:58" ht="11.1" customHeight="1" outlineLevel="3">
      <c r="A533" s="1093" t="s">
        <v>3260</v>
      </c>
      <c r="B533" s="1094"/>
      <c r="C533" s="1094"/>
      <c r="D533" s="1094"/>
      <c r="E533" s="1095" t="s">
        <v>5224</v>
      </c>
      <c r="F533" s="1095" t="str">
        <f>IF(('Main Creation Page'!C13=2),"R","N")</f>
        <v>N</v>
      </c>
      <c r="G533" s="1096">
        <v>0</v>
      </c>
      <c r="H533" s="1096" t="s">
        <v>5224</v>
      </c>
      <c r="I533" s="1096" t="s">
        <v>5224</v>
      </c>
      <c r="J533" s="1096" t="s">
        <v>5224</v>
      </c>
      <c r="K533" s="1096" t="s">
        <v>5224</v>
      </c>
      <c r="L533" s="1096">
        <v>0</v>
      </c>
      <c r="M533" s="1096" t="s">
        <v>5224</v>
      </c>
      <c r="N533" s="1096" t="s">
        <v>4631</v>
      </c>
      <c r="O533" s="1028"/>
      <c r="P533" s="1028" t="s">
        <v>780</v>
      </c>
      <c r="Q533" s="1097">
        <f t="shared" ca="1" si="514"/>
        <v>17</v>
      </c>
      <c r="R533" s="1034"/>
      <c r="S533" s="1028" t="s">
        <v>3616</v>
      </c>
      <c r="T533" s="1097">
        <f t="shared" ca="1" si="515"/>
        <v>17</v>
      </c>
      <c r="U533" s="1027">
        <v>3</v>
      </c>
      <c r="V533" s="1027">
        <f t="shared" si="538"/>
        <v>4</v>
      </c>
      <c r="W533" s="1098" t="e">
        <f>IF(OR(I533&lt;&gt;"N",E533="C"),IF(AND(N533&lt;&gt;"T",ISNUMBER(FIND("V",I533))),1,0),NA())+IF(H533="Y",IF(AND(N533="P",ISNUMBER(FIND("Z",I533))),2,1),0)+IF(J533="Y",1,0)+IF(K533="Y",3,0)+IF(BE533="Lore",L533*2+Experience!$D$25,0)+IF(M533="Y",1,0)</f>
        <v>#N/A</v>
      </c>
      <c r="X533" s="1099"/>
      <c r="Y533" s="1100">
        <f ca="1">IF(P533="NS",IFERROR(INDIRECT(S533),NA()),VLOOKUP(INDIRECT(P533)+INDIRECT(S533),'System Lookups'!$A$3:$D$146,2))</f>
        <v>0.1</v>
      </c>
      <c r="Z533" s="1100">
        <f t="shared" si="539"/>
        <v>0</v>
      </c>
      <c r="AA533" s="1101">
        <f ca="1">IF(ISNA(Y533),0,Y533)+Z533+IF('Main Creation Page'!AB$2=37,'Main Creation Page'!E$14/100,0)</f>
        <v>0.1</v>
      </c>
      <c r="AB533" s="1102">
        <f>VLOOKUP(V533,'System Lookups'!$J$55:$P$64,3)</f>
        <v>0.2</v>
      </c>
      <c r="AC533" s="1103">
        <f>VLOOKUP(V533,'System Lookups'!$J$55:$P$64,4)</f>
        <v>0.3</v>
      </c>
      <c r="AD533" s="1104">
        <f t="shared" ca="1" si="540"/>
        <v>0.35000000000000003</v>
      </c>
      <c r="AE533" s="1094">
        <f ca="1">(IF(AD533&gt;VLOOKUP(V533,'System Lookups'!$J$55:$P$63,6),(((AD533-VLOOKUP(V533,'System Lookups'!$J$55:$P$63,6))*100)/20),0))+AF533</f>
        <v>0</v>
      </c>
      <c r="AF533" s="1121"/>
      <c r="AG533" s="1092">
        <f t="shared" si="541"/>
        <v>0</v>
      </c>
      <c r="AH533" s="1092" t="str">
        <f>IF(X533&lt;=Experience!$R$15+1,"","*")</f>
        <v/>
      </c>
      <c r="AI533" s="1092"/>
      <c r="AJ533" s="1080">
        <f t="shared" si="520"/>
        <v>0</v>
      </c>
      <c r="AK533" s="1080">
        <f t="shared" si="544"/>
        <v>0</v>
      </c>
      <c r="AL533" s="1080">
        <f t="shared" si="521"/>
        <v>0</v>
      </c>
      <c r="AM533" s="1092">
        <f t="shared" si="545"/>
        <v>0</v>
      </c>
      <c r="AN533" s="1080">
        <f t="shared" si="546"/>
        <v>1</v>
      </c>
      <c r="AO533" s="1080">
        <f t="shared" si="522"/>
        <v>0</v>
      </c>
      <c r="AP533" s="1080">
        <f t="shared" si="542"/>
        <v>1</v>
      </c>
      <c r="AQ533" s="1027">
        <f>VLOOKUP(V533,'System Lookups'!$J$55:$P$64,7)</f>
        <v>600</v>
      </c>
      <c r="AR533" s="1080" t="str">
        <f ca="1">IF(AND(NOT(ISBLANK(AJ533)),ISNA(MATCH(ROW(),'System Lookups'!$C$526:$C$539,0))),"Y","N")</f>
        <v>Y</v>
      </c>
      <c r="AS533" s="1080">
        <f t="shared" si="543"/>
        <v>0</v>
      </c>
      <c r="AU533" s="1080" t="e">
        <f t="shared" si="531"/>
        <v>#N/A</v>
      </c>
      <c r="AV533" s="1080" t="str">
        <f t="shared" si="528"/>
        <v>T</v>
      </c>
      <c r="AW533" s="1080">
        <f t="shared" si="532"/>
        <v>0</v>
      </c>
      <c r="AX533" s="1080">
        <f t="shared" si="533"/>
        <v>0</v>
      </c>
      <c r="AY533" s="1080">
        <f t="shared" si="534"/>
        <v>0</v>
      </c>
      <c r="AZ533" s="1080">
        <f t="shared" si="535"/>
        <v>0</v>
      </c>
      <c r="BA533" s="1080">
        <f t="shared" si="536"/>
        <v>0</v>
      </c>
      <c r="BB533" s="1080">
        <f>IF(AND(RACE=1,'Main Creation Page'!$E$6="Well",OR(ISNUMBER(FIND(Experience!$G$11,BE533)),ISNUMBER(FIND(Experience!$G$11,BF533)),ISNUMBER(FIND(Experience!$I$11,BE533)),ISNUMBER(FIND(Experience!$I$11,BF533)))),1,0)</f>
        <v>1</v>
      </c>
      <c r="BC533" s="1080" t="str">
        <f t="shared" si="537"/>
        <v>Cult. Lore:Hobgoblin</v>
      </c>
      <c r="BD533" s="1080" t="s">
        <v>5700</v>
      </c>
      <c r="BE533" s="1080" t="str">
        <f t="shared" si="529"/>
        <v>Lore</v>
      </c>
      <c r="BF533" s="1080" t="str">
        <f t="shared" si="530"/>
        <v>Lore Historical Skills</v>
      </c>
    </row>
    <row r="534" spans="1:58" ht="11.1" customHeight="1" outlineLevel="3">
      <c r="A534" s="1093" t="str">
        <f>IF('Main Creation Page'!K5=3,"Horde", "Orc")</f>
        <v>Horde</v>
      </c>
      <c r="B534" s="1094"/>
      <c r="C534" s="1094"/>
      <c r="D534" s="1094"/>
      <c r="E534" s="1095" t="s">
        <v>5224</v>
      </c>
      <c r="F534" s="1095" t="str">
        <f>IF(('Main Creation Page'!C14=2),"R","N")</f>
        <v>N</v>
      </c>
      <c r="G534" s="1096">
        <v>0</v>
      </c>
      <c r="H534" s="1096" t="s">
        <v>5224</v>
      </c>
      <c r="I534" s="1096" t="s">
        <v>5224</v>
      </c>
      <c r="J534" s="1096" t="s">
        <v>5224</v>
      </c>
      <c r="K534" s="1096" t="s">
        <v>5224</v>
      </c>
      <c r="L534" s="1096">
        <v>0</v>
      </c>
      <c r="M534" s="1096" t="s">
        <v>5224</v>
      </c>
      <c r="N534" s="1096" t="s">
        <v>4631</v>
      </c>
      <c r="O534" s="1028"/>
      <c r="P534" s="1028" t="s">
        <v>780</v>
      </c>
      <c r="Q534" s="1097">
        <f t="shared" ca="1" si="514"/>
        <v>17</v>
      </c>
      <c r="R534" s="1034"/>
      <c r="S534" s="1028" t="s">
        <v>3616</v>
      </c>
      <c r="T534" s="1097">
        <f t="shared" ca="1" si="515"/>
        <v>17</v>
      </c>
      <c r="U534" s="1027">
        <v>3</v>
      </c>
      <c r="V534" s="1027">
        <f t="shared" si="538"/>
        <v>4</v>
      </c>
      <c r="W534" s="1098" t="e">
        <f>IF(OR(I534&lt;&gt;"N",E534="C"),IF(AND(N534&lt;&gt;"T",ISNUMBER(FIND("V",I534))),1,0),NA())+IF(H534="Y",IF(AND(N534="P",ISNUMBER(FIND("Z",I534))),2,1),0)+IF(J534="Y",1,0)+IF(K534="Y",3,0)+IF(BE534="Lore",L534*2+Experience!$D$25,0)+IF(M534="Y",1,0)</f>
        <v>#N/A</v>
      </c>
      <c r="X534" s="1099"/>
      <c r="Y534" s="1100">
        <f ca="1">IF(P534="NS",IFERROR(INDIRECT(S534),NA()),VLOOKUP(INDIRECT(P534)+INDIRECT(S534),'System Lookups'!$A$3:$D$146,2))</f>
        <v>0.1</v>
      </c>
      <c r="Z534" s="1100">
        <f t="shared" si="539"/>
        <v>0</v>
      </c>
      <c r="AA534" s="1101">
        <f ca="1">IF(ISNA(Y534),0,Y534)+Z534+IF('Main Creation Page'!AB$2=37,'Main Creation Page'!E$14/100,0)</f>
        <v>0.1</v>
      </c>
      <c r="AB534" s="1102">
        <f>VLOOKUP(V534,'System Lookups'!$J$55:$P$64,3)</f>
        <v>0.2</v>
      </c>
      <c r="AC534" s="1103">
        <f>VLOOKUP(V534,'System Lookups'!$J$55:$P$64,4)</f>
        <v>0.3</v>
      </c>
      <c r="AD534" s="1104">
        <f t="shared" ca="1" si="540"/>
        <v>0.35000000000000003</v>
      </c>
      <c r="AE534" s="1094">
        <f ca="1">(IF(AD534&gt;VLOOKUP(V534,'System Lookups'!$J$55:$P$63,6),(((AD534-VLOOKUP(V534,'System Lookups'!$J$55:$P$63,6))*100)/20),0))+AF534</f>
        <v>0</v>
      </c>
      <c r="AF534" s="1121"/>
      <c r="AG534" s="1092">
        <f t="shared" si="541"/>
        <v>0</v>
      </c>
      <c r="AH534" s="1092" t="str">
        <f>IF(X534&lt;=Experience!$R$15+1,"","*")</f>
        <v/>
      </c>
      <c r="AI534" s="1092"/>
      <c r="AJ534" s="1080">
        <f t="shared" si="520"/>
        <v>0</v>
      </c>
      <c r="AK534" s="1080">
        <f t="shared" si="544"/>
        <v>0</v>
      </c>
      <c r="AL534" s="1080">
        <f t="shared" si="521"/>
        <v>0</v>
      </c>
      <c r="AM534" s="1092">
        <f t="shared" si="545"/>
        <v>0</v>
      </c>
      <c r="AN534" s="1080">
        <f t="shared" si="546"/>
        <v>1</v>
      </c>
      <c r="AO534" s="1080">
        <f t="shared" si="522"/>
        <v>0</v>
      </c>
      <c r="AP534" s="1080">
        <f t="shared" si="542"/>
        <v>1</v>
      </c>
      <c r="AQ534" s="1027">
        <f>VLOOKUP(V534,'System Lookups'!$J$55:$P$64,7)</f>
        <v>600</v>
      </c>
      <c r="AR534" s="1080" t="str">
        <f ca="1">IF(AND(NOT(ISBLANK(AJ534)),ISNA(MATCH(ROW(),'System Lookups'!$C$526:$C$539,0))),"Y","N")</f>
        <v>Y</v>
      </c>
      <c r="AS534" s="1080">
        <f t="shared" si="543"/>
        <v>0</v>
      </c>
      <c r="AU534" s="1080" t="e">
        <f t="shared" si="531"/>
        <v>#N/A</v>
      </c>
      <c r="AV534" s="1080" t="str">
        <f t="shared" si="528"/>
        <v>T</v>
      </c>
      <c r="AW534" s="1080">
        <f t="shared" si="532"/>
        <v>0</v>
      </c>
      <c r="AX534" s="1080">
        <f t="shared" si="533"/>
        <v>0</v>
      </c>
      <c r="AY534" s="1080">
        <f t="shared" si="534"/>
        <v>0</v>
      </c>
      <c r="AZ534" s="1080">
        <f t="shared" si="535"/>
        <v>0</v>
      </c>
      <c r="BA534" s="1080">
        <f t="shared" si="536"/>
        <v>0</v>
      </c>
      <c r="BB534" s="1080">
        <f>IF(AND(RACE=1,'Main Creation Page'!$E$6="Well",OR(ISNUMBER(FIND(Experience!$G$11,BE534)),ISNUMBER(FIND(Experience!$G$11,BF534)),ISNUMBER(FIND(Experience!$I$11,BE534)),ISNUMBER(FIND(Experience!$I$11,BF534)))),1,0)</f>
        <v>1</v>
      </c>
      <c r="BC534" s="1080" t="str">
        <f t="shared" si="537"/>
        <v>Cult. Lore:Horde</v>
      </c>
      <c r="BD534" s="1080" t="s">
        <v>5700</v>
      </c>
      <c r="BE534" s="1080" t="str">
        <f t="shared" si="529"/>
        <v>Lore</v>
      </c>
      <c r="BF534" s="1080" t="str">
        <f t="shared" si="530"/>
        <v>Lore Historical Skills</v>
      </c>
    </row>
    <row r="535" spans="1:58" ht="11.1" customHeight="1" outlineLevel="3">
      <c r="A535" s="1093" t="s">
        <v>3261</v>
      </c>
      <c r="B535" s="1094"/>
      <c r="C535" s="1094"/>
      <c r="D535" s="1094"/>
      <c r="E535" s="1095" t="s">
        <v>5224</v>
      </c>
      <c r="F535" s="1095" t="str">
        <f>IF(('Main Creation Page'!C15=2),"R","N")</f>
        <v>N</v>
      </c>
      <c r="G535" s="1096">
        <v>0</v>
      </c>
      <c r="H535" s="1096" t="s">
        <v>5224</v>
      </c>
      <c r="I535" s="1096" t="s">
        <v>5224</v>
      </c>
      <c r="J535" s="1096" t="s">
        <v>5224</v>
      </c>
      <c r="K535" s="1096" t="s">
        <v>5224</v>
      </c>
      <c r="L535" s="1096">
        <v>0</v>
      </c>
      <c r="M535" s="1096" t="s">
        <v>5224</v>
      </c>
      <c r="N535" s="1096" t="s">
        <v>4631</v>
      </c>
      <c r="O535" s="1028"/>
      <c r="P535" s="1028" t="s">
        <v>780</v>
      </c>
      <c r="Q535" s="1097">
        <f t="shared" ca="1" si="514"/>
        <v>17</v>
      </c>
      <c r="R535" s="1034"/>
      <c r="S535" s="1028" t="s">
        <v>3616</v>
      </c>
      <c r="T535" s="1097">
        <f t="shared" ca="1" si="515"/>
        <v>17</v>
      </c>
      <c r="U535" s="1027">
        <v>3</v>
      </c>
      <c r="V535" s="1027">
        <f t="shared" si="538"/>
        <v>4</v>
      </c>
      <c r="W535" s="1098" t="e">
        <f>IF(OR(I535&lt;&gt;"N",E535="C"),IF(AND(N535&lt;&gt;"T",ISNUMBER(FIND("V",I535))),1,0),NA())+IF(H535="Y",IF(AND(N535="P",ISNUMBER(FIND("Z",I535))),2,1),0)+IF(J535="Y",1,0)+IF(K535="Y",3,0)+IF(BE535="Lore",L535*2+Experience!$D$25,0)+IF(M535="Y",1,0)</f>
        <v>#N/A</v>
      </c>
      <c r="X535" s="1099"/>
      <c r="Y535" s="1100">
        <f ca="1">IF(P535="NS",IFERROR(INDIRECT(S535),NA()),VLOOKUP(INDIRECT(P535)+INDIRECT(S535),'System Lookups'!$A$3:$D$146,2))</f>
        <v>0.1</v>
      </c>
      <c r="Z535" s="1100">
        <f t="shared" si="539"/>
        <v>0</v>
      </c>
      <c r="AA535" s="1101">
        <f ca="1">IF(ISNA(Y535),0,Y535)+Z535+IF('Main Creation Page'!AB$2=37,'Main Creation Page'!E$14/100,0)</f>
        <v>0.1</v>
      </c>
      <c r="AB535" s="1102">
        <f>VLOOKUP(V535,'System Lookups'!$J$55:$P$64,3)</f>
        <v>0.2</v>
      </c>
      <c r="AC535" s="1103">
        <f>VLOOKUP(V535,'System Lookups'!$J$55:$P$64,4)</f>
        <v>0.3</v>
      </c>
      <c r="AD535" s="1104">
        <f t="shared" ca="1" si="540"/>
        <v>0.35000000000000003</v>
      </c>
      <c r="AE535" s="1094">
        <f ca="1">(IF(AD535&gt;VLOOKUP(V535,'System Lookups'!$J$55:$P$63,6),(((AD535-VLOOKUP(V535,'System Lookups'!$J$55:$P$63,6))*100)/20),0))+AF535</f>
        <v>0</v>
      </c>
      <c r="AF535" s="1121"/>
      <c r="AG535" s="1092">
        <f t="shared" si="541"/>
        <v>0</v>
      </c>
      <c r="AH535" s="1092" t="str">
        <f>IF(X535&lt;=Experience!$R$15+1,"","*")</f>
        <v/>
      </c>
      <c r="AI535" s="1092"/>
      <c r="AJ535" s="1080">
        <f t="shared" si="520"/>
        <v>0</v>
      </c>
      <c r="AK535" s="1080">
        <f t="shared" si="544"/>
        <v>0</v>
      </c>
      <c r="AL535" s="1080">
        <f t="shared" si="521"/>
        <v>0</v>
      </c>
      <c r="AM535" s="1092">
        <f t="shared" si="545"/>
        <v>0</v>
      </c>
      <c r="AN535" s="1080">
        <f t="shared" si="546"/>
        <v>1</v>
      </c>
      <c r="AO535" s="1080">
        <f t="shared" si="522"/>
        <v>0</v>
      </c>
      <c r="AP535" s="1080">
        <f t="shared" si="542"/>
        <v>1</v>
      </c>
      <c r="AQ535" s="1027">
        <f>VLOOKUP(V535,'System Lookups'!$J$55:$P$64,7)</f>
        <v>600</v>
      </c>
      <c r="AR535" s="1080" t="str">
        <f ca="1">IF(AND(NOT(ISBLANK(AJ535)),ISNA(MATCH(ROW(),'System Lookups'!$C$526:$C$539,0))),"Y","N")</f>
        <v>Y</v>
      </c>
      <c r="AS535" s="1080">
        <f t="shared" si="543"/>
        <v>0</v>
      </c>
      <c r="AU535" s="1080" t="e">
        <f t="shared" si="531"/>
        <v>#N/A</v>
      </c>
      <c r="AV535" s="1080" t="str">
        <f t="shared" si="528"/>
        <v>T</v>
      </c>
      <c r="AW535" s="1080">
        <f t="shared" si="532"/>
        <v>0</v>
      </c>
      <c r="AX535" s="1080">
        <f t="shared" si="533"/>
        <v>0</v>
      </c>
      <c r="AY535" s="1080">
        <f t="shared" si="534"/>
        <v>0</v>
      </c>
      <c r="AZ535" s="1080">
        <f t="shared" si="535"/>
        <v>0</v>
      </c>
      <c r="BA535" s="1080">
        <f t="shared" si="536"/>
        <v>0</v>
      </c>
      <c r="BB535" s="1080">
        <f>IF(AND(RACE=1,'Main Creation Page'!$E$6="Well",OR(ISNUMBER(FIND(Experience!$G$11,BE535)),ISNUMBER(FIND(Experience!$G$11,BF535)),ISNUMBER(FIND(Experience!$I$11,BE535)),ISNUMBER(FIND(Experience!$I$11,BF535)))),1,0)</f>
        <v>1</v>
      </c>
      <c r="BC535" s="1080" t="str">
        <f t="shared" si="537"/>
        <v>Cult. Lore:Mere Folk</v>
      </c>
      <c r="BD535" s="1080" t="s">
        <v>5700</v>
      </c>
      <c r="BE535" s="1080" t="str">
        <f t="shared" si="529"/>
        <v>Lore</v>
      </c>
      <c r="BF535" s="1080" t="str">
        <f t="shared" si="530"/>
        <v>Lore Historical Skills</v>
      </c>
    </row>
    <row r="536" spans="1:58" ht="11.1" customHeight="1" outlineLevel="3">
      <c r="A536" s="1093" t="s">
        <v>3109</v>
      </c>
      <c r="B536" s="1094"/>
      <c r="C536" s="1094"/>
      <c r="D536" s="1094"/>
      <c r="E536" s="1095" t="s">
        <v>5224</v>
      </c>
      <c r="F536" s="1095" t="str">
        <f>IF(('Main Creation Page'!C16=2),"R","N")</f>
        <v>N</v>
      </c>
      <c r="G536" s="1096">
        <v>0</v>
      </c>
      <c r="H536" s="1096" t="s">
        <v>5224</v>
      </c>
      <c r="I536" s="1096" t="s">
        <v>5224</v>
      </c>
      <c r="J536" s="1096" t="s">
        <v>5224</v>
      </c>
      <c r="K536" s="1096" t="s">
        <v>5224</v>
      </c>
      <c r="L536" s="1096">
        <v>0</v>
      </c>
      <c r="M536" s="1096" t="s">
        <v>5224</v>
      </c>
      <c r="N536" s="1096" t="s">
        <v>4631</v>
      </c>
      <c r="O536" s="1028"/>
      <c r="P536" s="1028" t="s">
        <v>780</v>
      </c>
      <c r="Q536" s="1097">
        <f t="shared" ca="1" si="514"/>
        <v>17</v>
      </c>
      <c r="R536" s="1034"/>
      <c r="S536" s="1028" t="s">
        <v>3616</v>
      </c>
      <c r="T536" s="1097">
        <f t="shared" ca="1" si="515"/>
        <v>17</v>
      </c>
      <c r="U536" s="1027">
        <v>3</v>
      </c>
      <c r="V536" s="1027">
        <f t="shared" si="538"/>
        <v>4</v>
      </c>
      <c r="W536" s="1098" t="e">
        <f>IF(OR(I536&lt;&gt;"N",E536="C"),IF(AND(N536&lt;&gt;"T",ISNUMBER(FIND("V",I536))),1,0),NA())+IF(H536="Y",IF(AND(N536="P",ISNUMBER(FIND("Z",I536))),2,1),0)+IF(J536="Y",1,0)+IF(K536="Y",3,0)+IF(BE536="Lore",L536*2+Experience!$D$25,0)+IF(M536="Y",1,0)</f>
        <v>#N/A</v>
      </c>
      <c r="X536" s="1099"/>
      <c r="Y536" s="1100">
        <f ca="1">IF(P536="NS",IFERROR(INDIRECT(S536),NA()),VLOOKUP(INDIRECT(P536)+INDIRECT(S536),'System Lookups'!$A$3:$D$146,2))</f>
        <v>0.1</v>
      </c>
      <c r="Z536" s="1100">
        <f t="shared" si="539"/>
        <v>0</v>
      </c>
      <c r="AA536" s="1101">
        <f ca="1">IF(ISNA(Y536),0,Y536)+Z536+IF('Main Creation Page'!AB$2=37,'Main Creation Page'!E$14/100,0)</f>
        <v>0.1</v>
      </c>
      <c r="AB536" s="1102">
        <f>VLOOKUP(V536,'System Lookups'!$J$55:$P$64,3)</f>
        <v>0.2</v>
      </c>
      <c r="AC536" s="1103">
        <f>VLOOKUP(V536,'System Lookups'!$J$55:$P$64,4)</f>
        <v>0.3</v>
      </c>
      <c r="AD536" s="1104">
        <f t="shared" ca="1" si="540"/>
        <v>0.35000000000000003</v>
      </c>
      <c r="AE536" s="1094">
        <f ca="1">(IF(AD536&gt;VLOOKUP(V536,'System Lookups'!$J$55:$P$63,6),(((AD536-VLOOKUP(V536,'System Lookups'!$J$55:$P$63,6))*100)/20),0))+AF536</f>
        <v>0</v>
      </c>
      <c r="AF536" s="1121"/>
      <c r="AG536" s="1092">
        <f t="shared" si="541"/>
        <v>0</v>
      </c>
      <c r="AH536" s="1092" t="str">
        <f>IF(X536&lt;=Experience!$R$15+1,"","*")</f>
        <v/>
      </c>
      <c r="AI536" s="1092"/>
      <c r="AJ536" s="1080">
        <f t="shared" si="520"/>
        <v>0</v>
      </c>
      <c r="AK536" s="1080">
        <f t="shared" si="544"/>
        <v>0</v>
      </c>
      <c r="AL536" s="1080">
        <f t="shared" si="521"/>
        <v>0</v>
      </c>
      <c r="AM536" s="1092">
        <f t="shared" si="545"/>
        <v>0</v>
      </c>
      <c r="AN536" s="1080">
        <f t="shared" si="546"/>
        <v>1</v>
      </c>
      <c r="AO536" s="1080">
        <f t="shared" si="522"/>
        <v>0</v>
      </c>
      <c r="AP536" s="1080">
        <f t="shared" si="542"/>
        <v>1</v>
      </c>
      <c r="AQ536" s="1027">
        <f>VLOOKUP(V536,'System Lookups'!$J$55:$P$64,7)</f>
        <v>600</v>
      </c>
      <c r="AR536" s="1080" t="str">
        <f ca="1">IF(AND(NOT(ISBLANK(AJ536)),ISNA(MATCH(ROW(),'System Lookups'!$C$526:$C$539,0))),"Y","N")</f>
        <v>Y</v>
      </c>
      <c r="AS536" s="1080">
        <f t="shared" si="543"/>
        <v>0</v>
      </c>
      <c r="AU536" s="1080" t="e">
        <f t="shared" si="531"/>
        <v>#N/A</v>
      </c>
      <c r="AV536" s="1080" t="str">
        <f t="shared" si="528"/>
        <v>T</v>
      </c>
      <c r="AW536" s="1080">
        <f t="shared" si="532"/>
        <v>0</v>
      </c>
      <c r="AX536" s="1080">
        <f t="shared" si="533"/>
        <v>0</v>
      </c>
      <c r="AY536" s="1080">
        <f t="shared" si="534"/>
        <v>0</v>
      </c>
      <c r="AZ536" s="1080">
        <f t="shared" si="535"/>
        <v>0</v>
      </c>
      <c r="BA536" s="1080">
        <f t="shared" si="536"/>
        <v>0</v>
      </c>
      <c r="BB536" s="1080">
        <f>IF(AND(RACE=1,'Main Creation Page'!$E$6="Well",OR(ISNUMBER(FIND(Experience!$G$11,BE536)),ISNUMBER(FIND(Experience!$G$11,BF536)),ISNUMBER(FIND(Experience!$I$11,BE536)),ISNUMBER(FIND(Experience!$I$11,BF536)))),1,0)</f>
        <v>1</v>
      </c>
      <c r="BC536" s="1080" t="str">
        <f t="shared" si="537"/>
        <v>Cult. Lore:Minotaur</v>
      </c>
      <c r="BD536" s="1080" t="s">
        <v>5700</v>
      </c>
      <c r="BE536" s="1080" t="str">
        <f t="shared" si="529"/>
        <v>Lore</v>
      </c>
      <c r="BF536" s="1080" t="str">
        <f t="shared" si="530"/>
        <v>Lore Historical Skills</v>
      </c>
    </row>
    <row r="537" spans="1:58" ht="11.1" customHeight="1" outlineLevel="3">
      <c r="A537" s="1093" t="s">
        <v>4881</v>
      </c>
      <c r="B537" s="1094"/>
      <c r="C537" s="1094"/>
      <c r="D537" s="1094"/>
      <c r="E537" s="1095" t="s">
        <v>5224</v>
      </c>
      <c r="F537" s="1095" t="str">
        <f>IF(('Main Creation Page'!C17=2),"R","N")</f>
        <v>N</v>
      </c>
      <c r="G537" s="1096">
        <v>0</v>
      </c>
      <c r="H537" s="1096" t="s">
        <v>5224</v>
      </c>
      <c r="I537" s="1096" t="s">
        <v>5224</v>
      </c>
      <c r="J537" s="1096" t="s">
        <v>5224</v>
      </c>
      <c r="K537" s="1096" t="s">
        <v>5224</v>
      </c>
      <c r="L537" s="1096">
        <v>0</v>
      </c>
      <c r="M537" s="1096" t="s">
        <v>5224</v>
      </c>
      <c r="N537" s="1096" t="s">
        <v>4631</v>
      </c>
      <c r="O537" s="1028"/>
      <c r="P537" s="1028" t="s">
        <v>780</v>
      </c>
      <c r="Q537" s="1097">
        <f t="shared" ca="1" si="514"/>
        <v>17</v>
      </c>
      <c r="R537" s="1034"/>
      <c r="S537" s="1028" t="s">
        <v>3616</v>
      </c>
      <c r="T537" s="1097">
        <f t="shared" ca="1" si="515"/>
        <v>17</v>
      </c>
      <c r="U537" s="1027">
        <v>3</v>
      </c>
      <c r="V537" s="1027">
        <f t="shared" si="538"/>
        <v>4</v>
      </c>
      <c r="W537" s="1098" t="e">
        <f>IF(OR(I537&lt;&gt;"N",E537="C"),IF(AND(N537&lt;&gt;"T",ISNUMBER(FIND("V",I537))),1,0),NA())+IF(H537="Y",IF(AND(N537="P",ISNUMBER(FIND("Z",I537))),2,1),0)+IF(J537="Y",1,0)+IF(K537="Y",3,0)+IF(BE537="Lore",L537*2+Experience!$D$25,0)+IF(M537="Y",1,0)</f>
        <v>#N/A</v>
      </c>
      <c r="X537" s="1099"/>
      <c r="Y537" s="1100">
        <f ca="1">IF(P537="NS",IFERROR(INDIRECT(S537),NA()),VLOOKUP(INDIRECT(P537)+INDIRECT(S537),'System Lookups'!$A$3:$D$146,2))</f>
        <v>0.1</v>
      </c>
      <c r="Z537" s="1100">
        <f t="shared" si="539"/>
        <v>0</v>
      </c>
      <c r="AA537" s="1101">
        <f ca="1">IF(ISNA(Y537),0,Y537)+Z537+IF('Main Creation Page'!AB$2=37,'Main Creation Page'!E$14/100,0)</f>
        <v>0.1</v>
      </c>
      <c r="AB537" s="1102">
        <f>VLOOKUP(V537,'System Lookups'!$J$55:$P$64,3)</f>
        <v>0.2</v>
      </c>
      <c r="AC537" s="1103">
        <f>VLOOKUP(V537,'System Lookups'!$J$55:$P$64,4)</f>
        <v>0.3</v>
      </c>
      <c r="AD537" s="1104">
        <f t="shared" ca="1" si="540"/>
        <v>0.35000000000000003</v>
      </c>
      <c r="AE537" s="1094">
        <f ca="1">(IF(AD537&gt;VLOOKUP(V537,'System Lookups'!$J$55:$P$63,6),(((AD537-VLOOKUP(V537,'System Lookups'!$J$55:$P$63,6))*100)/20),0))+AF537</f>
        <v>0</v>
      </c>
      <c r="AF537" s="1121"/>
      <c r="AG537" s="1092">
        <f t="shared" si="541"/>
        <v>0</v>
      </c>
      <c r="AH537" s="1092" t="str">
        <f>IF(X537&lt;=Experience!$R$15+1,"","*")</f>
        <v/>
      </c>
      <c r="AI537" s="1092"/>
      <c r="AJ537" s="1080">
        <f t="shared" si="520"/>
        <v>0</v>
      </c>
      <c r="AK537" s="1080">
        <f t="shared" si="544"/>
        <v>0</v>
      </c>
      <c r="AL537" s="1080">
        <f t="shared" si="521"/>
        <v>0</v>
      </c>
      <c r="AM537" s="1092">
        <f t="shared" si="545"/>
        <v>0</v>
      </c>
      <c r="AN537" s="1080">
        <f t="shared" si="546"/>
        <v>1</v>
      </c>
      <c r="AO537" s="1080">
        <f t="shared" si="522"/>
        <v>0</v>
      </c>
      <c r="AP537" s="1080">
        <f t="shared" si="542"/>
        <v>1</v>
      </c>
      <c r="AQ537" s="1027">
        <f>VLOOKUP(V537,'System Lookups'!$J$55:$P$64,7)</f>
        <v>600</v>
      </c>
      <c r="AR537" s="1080" t="str">
        <f ca="1">IF(AND(NOT(ISBLANK(AJ537)),ISNA(MATCH(ROW(),'System Lookups'!$C$526:$C$539,0))),"Y","N")</f>
        <v>Y</v>
      </c>
      <c r="AS537" s="1080">
        <f t="shared" si="543"/>
        <v>0</v>
      </c>
      <c r="AU537" s="1080" t="e">
        <f t="shared" si="531"/>
        <v>#N/A</v>
      </c>
      <c r="AV537" s="1080" t="str">
        <f t="shared" si="528"/>
        <v>T</v>
      </c>
      <c r="AW537" s="1080">
        <f t="shared" si="532"/>
        <v>0</v>
      </c>
      <c r="AX537" s="1080">
        <f t="shared" si="533"/>
        <v>0</v>
      </c>
      <c r="AY537" s="1080">
        <f t="shared" si="534"/>
        <v>0</v>
      </c>
      <c r="AZ537" s="1080">
        <f t="shared" si="535"/>
        <v>0</v>
      </c>
      <c r="BA537" s="1080">
        <f t="shared" si="536"/>
        <v>0</v>
      </c>
      <c r="BB537" s="1080">
        <f>IF(AND(RACE=1,'Main Creation Page'!$E$6="Well",OR(ISNUMBER(FIND(Experience!$G$11,BE537)),ISNUMBER(FIND(Experience!$G$11,BF537)),ISNUMBER(FIND(Experience!$I$11,BE537)),ISNUMBER(FIND(Experience!$I$11,BF537)))),1,0)</f>
        <v>1</v>
      </c>
      <c r="BC537" s="1080" t="str">
        <f t="shared" si="537"/>
        <v>Cult. Lore:Nagas (Black)</v>
      </c>
      <c r="BD537" s="1080" t="s">
        <v>5700</v>
      </c>
      <c r="BE537" s="1080" t="str">
        <f t="shared" si="529"/>
        <v>Lore</v>
      </c>
      <c r="BF537" s="1080" t="str">
        <f t="shared" si="530"/>
        <v>Lore Historical Skills</v>
      </c>
    </row>
    <row r="538" spans="1:58" ht="11.1" customHeight="1" outlineLevel="3">
      <c r="A538" s="1093" t="s">
        <v>4882</v>
      </c>
      <c r="B538" s="1094"/>
      <c r="C538" s="1094"/>
      <c r="D538" s="1094"/>
      <c r="E538" s="1095" t="s">
        <v>5224</v>
      </c>
      <c r="F538" s="1095" t="str">
        <f>IF(('Main Creation Page'!C18=2),"R","N")</f>
        <v>N</v>
      </c>
      <c r="G538" s="1096">
        <v>0</v>
      </c>
      <c r="H538" s="1096" t="s">
        <v>5224</v>
      </c>
      <c r="I538" s="1096" t="s">
        <v>5224</v>
      </c>
      <c r="J538" s="1096" t="s">
        <v>5224</v>
      </c>
      <c r="K538" s="1096" t="s">
        <v>5224</v>
      </c>
      <c r="L538" s="1096">
        <v>0</v>
      </c>
      <c r="M538" s="1096" t="s">
        <v>5224</v>
      </c>
      <c r="N538" s="1096" t="s">
        <v>4631</v>
      </c>
      <c r="O538" s="1028"/>
      <c r="P538" s="1028" t="s">
        <v>780</v>
      </c>
      <c r="Q538" s="1097">
        <f t="shared" ca="1" si="514"/>
        <v>17</v>
      </c>
      <c r="R538" s="1034"/>
      <c r="S538" s="1028" t="s">
        <v>3616</v>
      </c>
      <c r="T538" s="1097">
        <f t="shared" ca="1" si="515"/>
        <v>17</v>
      </c>
      <c r="U538" s="1027">
        <v>3</v>
      </c>
      <c r="V538" s="1027">
        <f t="shared" si="538"/>
        <v>4</v>
      </c>
      <c r="W538" s="1098" t="e">
        <f>IF(OR(I538&lt;&gt;"N",E538="C"),IF(AND(N538&lt;&gt;"T",ISNUMBER(FIND("V",I538))),1,0),NA())+IF(H538="Y",IF(AND(N538="P",ISNUMBER(FIND("Z",I538))),2,1),0)+IF(J538="Y",1,0)+IF(K538="Y",3,0)+IF(BE538="Lore",L538*2+Experience!$D$25,0)+IF(M538="Y",1,0)</f>
        <v>#N/A</v>
      </c>
      <c r="X538" s="1099"/>
      <c r="Y538" s="1100">
        <f ca="1">IF(P538="NS",IFERROR(INDIRECT(S538),NA()),VLOOKUP(INDIRECT(P538)+INDIRECT(S538),'System Lookups'!$A$3:$D$146,2))</f>
        <v>0.1</v>
      </c>
      <c r="Z538" s="1100">
        <f t="shared" si="539"/>
        <v>0</v>
      </c>
      <c r="AA538" s="1101">
        <f ca="1">IF(ISNA(Y538),0,Y538)+Z538+IF('Main Creation Page'!AB$2=37,'Main Creation Page'!E$14/100,0)</f>
        <v>0.1</v>
      </c>
      <c r="AB538" s="1102">
        <f>VLOOKUP(V538,'System Lookups'!$J$55:$P$64,3)</f>
        <v>0.2</v>
      </c>
      <c r="AC538" s="1103">
        <f>VLOOKUP(V538,'System Lookups'!$J$55:$P$64,4)</f>
        <v>0.3</v>
      </c>
      <c r="AD538" s="1104">
        <f t="shared" ca="1" si="540"/>
        <v>0.35000000000000003</v>
      </c>
      <c r="AE538" s="1094">
        <f ca="1">(IF(AD538&gt;VLOOKUP(V538,'System Lookups'!$J$55:$P$63,6),(((AD538-VLOOKUP(V538,'System Lookups'!$J$55:$P$63,6))*100)/20),0))+AF538</f>
        <v>0</v>
      </c>
      <c r="AF538" s="1121"/>
      <c r="AG538" s="1092">
        <f t="shared" si="541"/>
        <v>0</v>
      </c>
      <c r="AH538" s="1092" t="str">
        <f>IF(X538&lt;=Experience!$R$15+1,"","*")</f>
        <v/>
      </c>
      <c r="AI538" s="1092"/>
      <c r="AJ538" s="1080">
        <f t="shared" si="520"/>
        <v>0</v>
      </c>
      <c r="AK538" s="1080">
        <f t="shared" si="544"/>
        <v>0</v>
      </c>
      <c r="AL538" s="1080">
        <f t="shared" si="521"/>
        <v>0</v>
      </c>
      <c r="AM538" s="1092">
        <f t="shared" si="545"/>
        <v>0</v>
      </c>
      <c r="AN538" s="1080">
        <f t="shared" si="546"/>
        <v>1</v>
      </c>
      <c r="AO538" s="1080">
        <f t="shared" si="522"/>
        <v>0</v>
      </c>
      <c r="AP538" s="1080">
        <f t="shared" si="542"/>
        <v>1</v>
      </c>
      <c r="AQ538" s="1027">
        <f>VLOOKUP(V538,'System Lookups'!$J$55:$P$64,7)</f>
        <v>600</v>
      </c>
      <c r="AR538" s="1080" t="str">
        <f ca="1">IF(AND(NOT(ISBLANK(AJ538)),ISNA(MATCH(ROW(),'System Lookups'!$C$526:$C$539,0))),"Y","N")</f>
        <v>Y</v>
      </c>
      <c r="AS538" s="1080">
        <f t="shared" si="543"/>
        <v>0</v>
      </c>
      <c r="AU538" s="1080" t="e">
        <f t="shared" si="531"/>
        <v>#N/A</v>
      </c>
      <c r="AV538" s="1080" t="str">
        <f t="shared" si="528"/>
        <v>T</v>
      </c>
      <c r="AW538" s="1080">
        <f t="shared" si="532"/>
        <v>0</v>
      </c>
      <c r="AX538" s="1080">
        <f t="shared" si="533"/>
        <v>0</v>
      </c>
      <c r="AY538" s="1080">
        <f t="shared" si="534"/>
        <v>0</v>
      </c>
      <c r="AZ538" s="1080">
        <f t="shared" si="535"/>
        <v>0</v>
      </c>
      <c r="BA538" s="1080">
        <f t="shared" si="536"/>
        <v>0</v>
      </c>
      <c r="BB538" s="1080">
        <f>IF(AND(RACE=1,'Main Creation Page'!$E$6="Well",OR(ISNUMBER(FIND(Experience!$G$11,BE538)),ISNUMBER(FIND(Experience!$G$11,BF538)),ISNUMBER(FIND(Experience!$I$11,BE538)),ISNUMBER(FIND(Experience!$I$11,BF538)))),1,0)</f>
        <v>1</v>
      </c>
      <c r="BC538" s="1080" t="str">
        <f t="shared" si="537"/>
        <v>Cult. Lore:Nagas (White)</v>
      </c>
      <c r="BD538" s="1080" t="s">
        <v>5700</v>
      </c>
      <c r="BE538" s="1080" t="str">
        <f t="shared" si="529"/>
        <v>Lore</v>
      </c>
      <c r="BF538" s="1080" t="str">
        <f t="shared" si="530"/>
        <v>Lore Historical Skills</v>
      </c>
    </row>
    <row r="539" spans="1:58" ht="11.1" customHeight="1" outlineLevel="3">
      <c r="A539" s="1093" t="s">
        <v>4756</v>
      </c>
      <c r="B539" s="1094"/>
      <c r="C539" s="1094"/>
      <c r="D539" s="1094"/>
      <c r="E539" s="1095" t="s">
        <v>5224</v>
      </c>
      <c r="F539" s="1095" t="str">
        <f>IF(('Main Creation Page'!C19=2),"R","N")</f>
        <v>N</v>
      </c>
      <c r="G539" s="1096">
        <v>0</v>
      </c>
      <c r="H539" s="1096" t="s">
        <v>5224</v>
      </c>
      <c r="I539" s="1096" t="s">
        <v>5224</v>
      </c>
      <c r="J539" s="1096" t="s">
        <v>5224</v>
      </c>
      <c r="K539" s="1096" t="s">
        <v>5224</v>
      </c>
      <c r="L539" s="1096">
        <v>0</v>
      </c>
      <c r="M539" s="1096" t="s">
        <v>5224</v>
      </c>
      <c r="N539" s="1096" t="s">
        <v>4631</v>
      </c>
      <c r="O539" s="1028"/>
      <c r="P539" s="1028" t="s">
        <v>780</v>
      </c>
      <c r="Q539" s="1097">
        <f t="shared" ca="1" si="514"/>
        <v>17</v>
      </c>
      <c r="R539" s="1034"/>
      <c r="S539" s="1028" t="s">
        <v>3616</v>
      </c>
      <c r="T539" s="1097">
        <f t="shared" ca="1" si="515"/>
        <v>17</v>
      </c>
      <c r="U539" s="1027">
        <v>3</v>
      </c>
      <c r="V539" s="1027">
        <f t="shared" si="538"/>
        <v>4</v>
      </c>
      <c r="W539" s="1098" t="e">
        <f>IF(OR(I539&lt;&gt;"N",E539="C"),IF(AND(N539&lt;&gt;"T",ISNUMBER(FIND("V",I539))),1,0),NA())+IF(H539="Y",IF(AND(N539="P",ISNUMBER(FIND("Z",I539))),2,1),0)+IF(J539="Y",1,0)+IF(K539="Y",3,0)+IF(BE539="Lore",L539*2+Experience!$D$25,0)+IF(M539="Y",1,0)</f>
        <v>#N/A</v>
      </c>
      <c r="X539" s="1099"/>
      <c r="Y539" s="1100">
        <f ca="1">IF(P539="NS",IFERROR(INDIRECT(S539),NA()),VLOOKUP(INDIRECT(P539)+INDIRECT(S539),'System Lookups'!$A$3:$D$146,2))</f>
        <v>0.1</v>
      </c>
      <c r="Z539" s="1100">
        <f t="shared" si="539"/>
        <v>0</v>
      </c>
      <c r="AA539" s="1101">
        <f ca="1">IF(ISNA(Y539),0,Y539)+Z539+IF('Main Creation Page'!AB$2=37,'Main Creation Page'!E$14/100,0)</f>
        <v>0.1</v>
      </c>
      <c r="AB539" s="1102">
        <f>VLOOKUP(V539,'System Lookups'!$J$55:$P$64,3)</f>
        <v>0.2</v>
      </c>
      <c r="AC539" s="1103">
        <f>VLOOKUP(V539,'System Lookups'!$J$55:$P$64,4)</f>
        <v>0.3</v>
      </c>
      <c r="AD539" s="1104">
        <f t="shared" ca="1" si="540"/>
        <v>0.35000000000000003</v>
      </c>
      <c r="AE539" s="1094">
        <f ca="1">(IF(AD539&gt;VLOOKUP(V539,'System Lookups'!$J$55:$P$63,6),(((AD539-VLOOKUP(V539,'System Lookups'!$J$55:$P$63,6))*100)/20),0))+AF539</f>
        <v>0</v>
      </c>
      <c r="AF539" s="1121"/>
      <c r="AG539" s="1092">
        <f t="shared" si="541"/>
        <v>0</v>
      </c>
      <c r="AH539" s="1092" t="str">
        <f>IF(X539&lt;=Experience!$R$15+1,"","*")</f>
        <v/>
      </c>
      <c r="AI539" s="1092"/>
      <c r="AJ539" s="1080">
        <f t="shared" si="520"/>
        <v>0</v>
      </c>
      <c r="AK539" s="1080">
        <f t="shared" si="544"/>
        <v>0</v>
      </c>
      <c r="AL539" s="1080">
        <f t="shared" si="521"/>
        <v>0</v>
      </c>
      <c r="AM539" s="1092">
        <f t="shared" si="545"/>
        <v>0</v>
      </c>
      <c r="AN539" s="1080">
        <f t="shared" si="546"/>
        <v>1</v>
      </c>
      <c r="AO539" s="1080">
        <f t="shared" si="522"/>
        <v>0</v>
      </c>
      <c r="AP539" s="1080">
        <f t="shared" si="542"/>
        <v>1</v>
      </c>
      <c r="AQ539" s="1027">
        <f>VLOOKUP(V539,'System Lookups'!$J$55:$P$64,7)</f>
        <v>600</v>
      </c>
      <c r="AR539" s="1080" t="str">
        <f ca="1">IF(AND(NOT(ISBLANK(AJ539)),ISNA(MATCH(ROW(),'System Lookups'!$C$526:$C$539,0))),"Y","N")</f>
        <v>Y</v>
      </c>
      <c r="AS539" s="1080">
        <f t="shared" si="543"/>
        <v>0</v>
      </c>
      <c r="AU539" s="1080" t="e">
        <f t="shared" si="531"/>
        <v>#N/A</v>
      </c>
      <c r="AV539" s="1080" t="str">
        <f t="shared" si="528"/>
        <v>T</v>
      </c>
      <c r="AW539" s="1080">
        <f t="shared" si="532"/>
        <v>0</v>
      </c>
      <c r="AX539" s="1080">
        <f t="shared" si="533"/>
        <v>0</v>
      </c>
      <c r="AY539" s="1080">
        <f t="shared" si="534"/>
        <v>0</v>
      </c>
      <c r="AZ539" s="1080">
        <f t="shared" si="535"/>
        <v>0</v>
      </c>
      <c r="BA539" s="1080">
        <f t="shared" si="536"/>
        <v>0</v>
      </c>
      <c r="BB539" s="1080">
        <f>IF(AND(RACE=1,'Main Creation Page'!$E$6="Well",OR(ISNUMBER(FIND(Experience!$G$11,BE539)),ISNUMBER(FIND(Experience!$G$11,BF539)),ISNUMBER(FIND(Experience!$I$11,BE539)),ISNUMBER(FIND(Experience!$I$11,BF539)))),1,0)</f>
        <v>1</v>
      </c>
      <c r="BC539" s="1080" t="str">
        <f t="shared" si="537"/>
        <v>Cult. Lore:Ogre</v>
      </c>
      <c r="BD539" s="1080" t="s">
        <v>5700</v>
      </c>
      <c r="BE539" s="1080" t="str">
        <f t="shared" si="529"/>
        <v>Lore</v>
      </c>
      <c r="BF539" s="1080" t="str">
        <f t="shared" si="530"/>
        <v>Lore Historical Skills</v>
      </c>
    </row>
    <row r="540" spans="1:58" ht="11.1" customHeight="1" outlineLevel="3">
      <c r="A540" s="1093" t="s">
        <v>5375</v>
      </c>
      <c r="B540" s="1094"/>
      <c r="C540" s="1094"/>
      <c r="D540" s="1094"/>
      <c r="E540" s="1095" t="s">
        <v>5224</v>
      </c>
      <c r="F540" s="1095" t="str">
        <f>IF(('Main Creation Page'!C20=2),"R","N")</f>
        <v>N</v>
      </c>
      <c r="G540" s="1096">
        <v>0</v>
      </c>
      <c r="H540" s="1096" t="s">
        <v>5224</v>
      </c>
      <c r="I540" s="1096" t="s">
        <v>5224</v>
      </c>
      <c r="J540" s="1096" t="s">
        <v>5224</v>
      </c>
      <c r="K540" s="1096" t="s">
        <v>5224</v>
      </c>
      <c r="L540" s="1096">
        <v>0</v>
      </c>
      <c r="M540" s="1096" t="s">
        <v>5224</v>
      </c>
      <c r="N540" s="1096" t="s">
        <v>4631</v>
      </c>
      <c r="O540" s="1028"/>
      <c r="P540" s="1028" t="s">
        <v>780</v>
      </c>
      <c r="Q540" s="1097">
        <f t="shared" ca="1" si="514"/>
        <v>17</v>
      </c>
      <c r="R540" s="1034"/>
      <c r="S540" s="1028" t="s">
        <v>3616</v>
      </c>
      <c r="T540" s="1097">
        <f t="shared" ca="1" si="515"/>
        <v>17</v>
      </c>
      <c r="U540" s="1027">
        <v>3</v>
      </c>
      <c r="V540" s="1027">
        <f t="shared" si="538"/>
        <v>4</v>
      </c>
      <c r="W540" s="1098" t="e">
        <f>IF(OR(I540&lt;&gt;"N",E540="C"),IF(AND(N540&lt;&gt;"T",ISNUMBER(FIND("V",I540))),1,0),NA())+IF(H540="Y",IF(AND(N540="P",ISNUMBER(FIND("Z",I540))),2,1),0)+IF(J540="Y",1,0)+IF(K540="Y",3,0)+IF(BE540="Lore",L540*2+Experience!$D$25,0)+IF(M540="Y",1,0)</f>
        <v>#N/A</v>
      </c>
      <c r="X540" s="1099"/>
      <c r="Y540" s="1100">
        <f ca="1">IF(P540="NS",IFERROR(INDIRECT(S540),NA()),VLOOKUP(INDIRECT(P540)+INDIRECT(S540),'System Lookups'!$A$3:$D$146,2))</f>
        <v>0.1</v>
      </c>
      <c r="Z540" s="1100">
        <f t="shared" si="539"/>
        <v>0</v>
      </c>
      <c r="AA540" s="1101">
        <f ca="1">IF(ISNA(Y540),0,Y540)+Z540+IF('Main Creation Page'!AB$2=37,'Main Creation Page'!E$14/100,0)</f>
        <v>0.1</v>
      </c>
      <c r="AB540" s="1102">
        <f>VLOOKUP(V540,'System Lookups'!$J$55:$P$64,3)</f>
        <v>0.2</v>
      </c>
      <c r="AC540" s="1103">
        <f>VLOOKUP(V540,'System Lookups'!$J$55:$P$64,4)</f>
        <v>0.3</v>
      </c>
      <c r="AD540" s="1104">
        <f t="shared" ca="1" si="540"/>
        <v>0.35000000000000003</v>
      </c>
      <c r="AE540" s="1094">
        <f ca="1">(IF(AD540&gt;VLOOKUP(V540,'System Lookups'!$J$55:$P$63,6),(((AD540-VLOOKUP(V540,'System Lookups'!$J$55:$P$63,6))*100)/20),0))+AF540</f>
        <v>0</v>
      </c>
      <c r="AF540" s="1121"/>
      <c r="AG540" s="1092">
        <f t="shared" si="541"/>
        <v>0</v>
      </c>
      <c r="AH540" s="1092" t="str">
        <f>IF(X540&lt;=Experience!$R$15+1,"","*")</f>
        <v/>
      </c>
      <c r="AI540" s="1092"/>
      <c r="AJ540" s="1080">
        <f t="shared" si="520"/>
        <v>0</v>
      </c>
      <c r="AK540" s="1080">
        <f t="shared" si="544"/>
        <v>0</v>
      </c>
      <c r="AL540" s="1080">
        <f t="shared" si="521"/>
        <v>0</v>
      </c>
      <c r="AM540" s="1092">
        <f t="shared" si="545"/>
        <v>0</v>
      </c>
      <c r="AN540" s="1080">
        <f t="shared" si="546"/>
        <v>1</v>
      </c>
      <c r="AO540" s="1080">
        <f t="shared" si="522"/>
        <v>0</v>
      </c>
      <c r="AP540" s="1080">
        <f t="shared" si="542"/>
        <v>1</v>
      </c>
      <c r="AQ540" s="1027">
        <f>VLOOKUP(V540,'System Lookups'!$J$55:$P$64,7)</f>
        <v>600</v>
      </c>
      <c r="AR540" s="1080" t="str">
        <f ca="1">IF(AND(NOT(ISBLANK(AJ540)),ISNA(MATCH(ROW(),'System Lookups'!$C$526:$C$539,0))),"Y","N")</f>
        <v>Y</v>
      </c>
      <c r="AS540" s="1080">
        <f t="shared" si="543"/>
        <v>0</v>
      </c>
      <c r="AU540" s="1080" t="e">
        <f t="shared" si="531"/>
        <v>#N/A</v>
      </c>
      <c r="AV540" s="1080" t="str">
        <f t="shared" si="528"/>
        <v>T</v>
      </c>
      <c r="AW540" s="1080">
        <f t="shared" si="532"/>
        <v>0</v>
      </c>
      <c r="AX540" s="1080">
        <f t="shared" si="533"/>
        <v>0</v>
      </c>
      <c r="AY540" s="1080">
        <f t="shared" si="534"/>
        <v>0</v>
      </c>
      <c r="AZ540" s="1080">
        <f t="shared" si="535"/>
        <v>0</v>
      </c>
      <c r="BA540" s="1080">
        <f t="shared" si="536"/>
        <v>0</v>
      </c>
      <c r="BB540" s="1080">
        <f>IF(AND(RACE=1,'Main Creation Page'!$E$6="Well",OR(ISNUMBER(FIND(Experience!$G$11,BE540)),ISNUMBER(FIND(Experience!$G$11,BF540)),ISNUMBER(FIND(Experience!$I$11,BE540)),ISNUMBER(FIND(Experience!$I$11,BF540)))),1,0)</f>
        <v>1</v>
      </c>
      <c r="BC540" s="1080" t="str">
        <f t="shared" si="537"/>
        <v>Cult. Lore:Orc</v>
      </c>
      <c r="BD540" s="1080" t="s">
        <v>5700</v>
      </c>
      <c r="BE540" s="1080" t="str">
        <f t="shared" si="529"/>
        <v>Lore</v>
      </c>
      <c r="BF540" s="1080" t="str">
        <f t="shared" si="530"/>
        <v>Lore Historical Skills</v>
      </c>
    </row>
    <row r="541" spans="1:58" ht="11.1" customHeight="1" outlineLevel="3">
      <c r="A541" s="1093" t="str">
        <f>CONCATENATE("Saurian",IF('Main Creation Page'!K$5=3,"  (Dragon Kin) (Common)", " "))</f>
        <v>Saurian  (Dragon Kin) (Common)</v>
      </c>
      <c r="B541" s="1094"/>
      <c r="C541" s="1094"/>
      <c r="D541" s="1094"/>
      <c r="E541" s="1095" t="s">
        <v>5224</v>
      </c>
      <c r="F541" s="1095" t="str">
        <f>IF(('Main Creation Page'!C21=2),"R","N")</f>
        <v>N</v>
      </c>
      <c r="G541" s="1096">
        <v>0</v>
      </c>
      <c r="H541" s="1096" t="s">
        <v>5224</v>
      </c>
      <c r="I541" s="1096" t="s">
        <v>5224</v>
      </c>
      <c r="J541" s="1096" t="s">
        <v>5224</v>
      </c>
      <c r="K541" s="1096" t="s">
        <v>5224</v>
      </c>
      <c r="L541" s="1096">
        <v>0</v>
      </c>
      <c r="M541" s="1096" t="s">
        <v>5224</v>
      </c>
      <c r="N541" s="1096" t="s">
        <v>4631</v>
      </c>
      <c r="O541" s="1028"/>
      <c r="P541" s="1028" t="s">
        <v>780</v>
      </c>
      <c r="Q541" s="1097">
        <f t="shared" ca="1" si="514"/>
        <v>17</v>
      </c>
      <c r="R541" s="1034"/>
      <c r="S541" s="1028" t="s">
        <v>3616</v>
      </c>
      <c r="T541" s="1097">
        <f t="shared" ca="1" si="515"/>
        <v>17</v>
      </c>
      <c r="U541" s="1027">
        <v>3</v>
      </c>
      <c r="V541" s="1027">
        <f t="shared" si="538"/>
        <v>4</v>
      </c>
      <c r="W541" s="1098" t="e">
        <f>IF(OR(I541&lt;&gt;"N",E541="C"),IF(AND(N541&lt;&gt;"T",ISNUMBER(FIND("V",I541))),1,0),NA())+IF(H541="Y",IF(AND(N541="P",ISNUMBER(FIND("Z",I541))),2,1),0)+IF(J541="Y",1,0)+IF(K541="Y",3,0)+IF(BE541="Lore",L541*2+Experience!$D$25,0)+IF(M541="Y",1,0)</f>
        <v>#N/A</v>
      </c>
      <c r="X541" s="1099"/>
      <c r="Y541" s="1100">
        <f ca="1">IF(P541="NS",IFERROR(INDIRECT(S541),NA()),VLOOKUP(INDIRECT(P541)+INDIRECT(S541),'System Lookups'!$A$3:$D$146,2))</f>
        <v>0.1</v>
      </c>
      <c r="Z541" s="1100">
        <f t="shared" si="539"/>
        <v>0</v>
      </c>
      <c r="AA541" s="1101">
        <f ca="1">IF(ISNA(Y541),0,Y541)+Z541+IF('Main Creation Page'!AB$2=37,'Main Creation Page'!E$14/100,0)</f>
        <v>0.1</v>
      </c>
      <c r="AB541" s="1102">
        <f>VLOOKUP(V541,'System Lookups'!$J$55:$P$64,3)</f>
        <v>0.2</v>
      </c>
      <c r="AC541" s="1103">
        <f>VLOOKUP(V541,'System Lookups'!$J$55:$P$64,4)</f>
        <v>0.3</v>
      </c>
      <c r="AD541" s="1104">
        <f t="shared" ca="1" si="540"/>
        <v>0.35000000000000003</v>
      </c>
      <c r="AE541" s="1094">
        <f ca="1">(IF(AD541&gt;VLOOKUP(V541,'System Lookups'!$J$55:$P$63,6),(((AD541-VLOOKUP(V541,'System Lookups'!$J$55:$P$63,6))*100)/20),0))+AF541</f>
        <v>0</v>
      </c>
      <c r="AF541" s="1121"/>
      <c r="AG541" s="1092">
        <f t="shared" si="541"/>
        <v>0</v>
      </c>
      <c r="AH541" s="1092" t="str">
        <f>IF(X541&lt;=Experience!$R$15+1,"","*")</f>
        <v/>
      </c>
      <c r="AI541" s="1092"/>
      <c r="AJ541" s="1080">
        <f t="shared" si="520"/>
        <v>0</v>
      </c>
      <c r="AK541" s="1080">
        <f t="shared" si="544"/>
        <v>0</v>
      </c>
      <c r="AL541" s="1080">
        <f t="shared" si="521"/>
        <v>0</v>
      </c>
      <c r="AM541" s="1092">
        <f t="shared" si="545"/>
        <v>0</v>
      </c>
      <c r="AN541" s="1080">
        <f t="shared" si="546"/>
        <v>1</v>
      </c>
      <c r="AO541" s="1080">
        <f t="shared" si="522"/>
        <v>0</v>
      </c>
      <c r="AP541" s="1080">
        <f t="shared" si="542"/>
        <v>1</v>
      </c>
      <c r="AQ541" s="1027">
        <f>VLOOKUP(V541,'System Lookups'!$J$55:$P$64,7)</f>
        <v>600</v>
      </c>
      <c r="AR541" s="1080" t="str">
        <f ca="1">IF(AND(NOT(ISBLANK(AJ541)),ISNA(MATCH(ROW(),'System Lookups'!$C$526:$C$539,0))),"Y","N")</f>
        <v>Y</v>
      </c>
      <c r="AS541" s="1080">
        <f t="shared" si="543"/>
        <v>0</v>
      </c>
      <c r="AU541" s="1080" t="e">
        <f t="shared" si="531"/>
        <v>#N/A</v>
      </c>
      <c r="AV541" s="1080" t="str">
        <f t="shared" si="528"/>
        <v>T</v>
      </c>
      <c r="AW541" s="1080">
        <f t="shared" si="532"/>
        <v>0</v>
      </c>
      <c r="AX541" s="1080">
        <f t="shared" si="533"/>
        <v>0</v>
      </c>
      <c r="AY541" s="1080">
        <f t="shared" si="534"/>
        <v>0</v>
      </c>
      <c r="AZ541" s="1080">
        <f t="shared" si="535"/>
        <v>0</v>
      </c>
      <c r="BA541" s="1080">
        <f t="shared" si="536"/>
        <v>0</v>
      </c>
      <c r="BB541" s="1080">
        <f>IF(AND(RACE=1,'Main Creation Page'!$E$6="Well",OR(ISNUMBER(FIND(Experience!$G$11,BE541)),ISNUMBER(FIND(Experience!$G$11,BF541)),ISNUMBER(FIND(Experience!$I$11,BE541)),ISNUMBER(FIND(Experience!$I$11,BF541)))),1,0)</f>
        <v>1</v>
      </c>
      <c r="BC541" s="1080" t="str">
        <f t="shared" si="537"/>
        <v>Cult. Lore:Saurian  (Dragon Kin) (Common)</v>
      </c>
      <c r="BD541" s="1080" t="s">
        <v>5700</v>
      </c>
      <c r="BE541" s="1080" t="str">
        <f t="shared" si="529"/>
        <v>Lore</v>
      </c>
      <c r="BF541" s="1080" t="str">
        <f t="shared" si="530"/>
        <v>Lore Historical Skills</v>
      </c>
    </row>
    <row r="542" spans="1:58" ht="11.1" customHeight="1" outlineLevel="3">
      <c r="A542" s="1093" t="s">
        <v>4883</v>
      </c>
      <c r="B542" s="1094"/>
      <c r="C542" s="1094"/>
      <c r="D542" s="1094"/>
      <c r="E542" s="1095" t="s">
        <v>5224</v>
      </c>
      <c r="F542" s="1095" t="str">
        <f>IF(('Main Creation Page'!C22=2),"R","N")</f>
        <v>N</v>
      </c>
      <c r="G542" s="1096">
        <v>0</v>
      </c>
      <c r="H542" s="1096" t="s">
        <v>5224</v>
      </c>
      <c r="I542" s="1096" t="s">
        <v>5224</v>
      </c>
      <c r="J542" s="1096" t="s">
        <v>5224</v>
      </c>
      <c r="K542" s="1096" t="s">
        <v>5224</v>
      </c>
      <c r="L542" s="1096">
        <v>0</v>
      </c>
      <c r="M542" s="1096" t="s">
        <v>5224</v>
      </c>
      <c r="N542" s="1096" t="s">
        <v>4631</v>
      </c>
      <c r="O542" s="1028"/>
      <c r="P542" s="1028" t="s">
        <v>780</v>
      </c>
      <c r="Q542" s="1097">
        <f t="shared" ca="1" si="514"/>
        <v>17</v>
      </c>
      <c r="R542" s="1034"/>
      <c r="S542" s="1028" t="s">
        <v>3616</v>
      </c>
      <c r="T542" s="1097">
        <f t="shared" ca="1" si="515"/>
        <v>17</v>
      </c>
      <c r="U542" s="1027">
        <v>3</v>
      </c>
      <c r="V542" s="1027">
        <f t="shared" si="538"/>
        <v>4</v>
      </c>
      <c r="W542" s="1098" t="e">
        <f>IF(OR(I542&lt;&gt;"N",E542="C"),IF(AND(N542&lt;&gt;"T",ISNUMBER(FIND("V",I542))),1,0),NA())+IF(H542="Y",IF(AND(N542="P",ISNUMBER(FIND("Z",I542))),2,1),0)+IF(J542="Y",1,0)+IF(K542="Y",3,0)+IF(BE542="Lore",L542*2+Experience!$D$25,0)+IF(M542="Y",1,0)</f>
        <v>#N/A</v>
      </c>
      <c r="X542" s="1099"/>
      <c r="Y542" s="1100">
        <f ca="1">IF(P542="NS",IFERROR(INDIRECT(S542),NA()),VLOOKUP(INDIRECT(P542)+INDIRECT(S542),'System Lookups'!$A$3:$D$146,2))</f>
        <v>0.1</v>
      </c>
      <c r="Z542" s="1100">
        <f t="shared" si="539"/>
        <v>0</v>
      </c>
      <c r="AA542" s="1101">
        <f ca="1">IF(ISNA(Y542),0,Y542)+Z542+IF('Main Creation Page'!AB$2=37,'Main Creation Page'!E$14/100,0)</f>
        <v>0.1</v>
      </c>
      <c r="AB542" s="1102">
        <f>VLOOKUP(V542,'System Lookups'!$J$55:$P$64,3)</f>
        <v>0.2</v>
      </c>
      <c r="AC542" s="1103">
        <f>VLOOKUP(V542,'System Lookups'!$J$55:$P$64,4)</f>
        <v>0.3</v>
      </c>
      <c r="AD542" s="1104">
        <f t="shared" ca="1" si="540"/>
        <v>0.35000000000000003</v>
      </c>
      <c r="AE542" s="1094">
        <f ca="1">(IF(AD542&gt;VLOOKUP(V542,'System Lookups'!$J$55:$P$63,6),(((AD542-VLOOKUP(V542,'System Lookups'!$J$55:$P$63,6))*100)/20),0))+AF542</f>
        <v>0</v>
      </c>
      <c r="AF542" s="1121"/>
      <c r="AG542" s="1092">
        <f t="shared" si="541"/>
        <v>0</v>
      </c>
      <c r="AH542" s="1092" t="str">
        <f>IF(X542&lt;=Experience!$R$15+1,"","*")</f>
        <v/>
      </c>
      <c r="AI542" s="1092"/>
      <c r="AJ542" s="1080">
        <f t="shared" si="520"/>
        <v>0</v>
      </c>
      <c r="AK542" s="1080">
        <f t="shared" si="544"/>
        <v>0</v>
      </c>
      <c r="AL542" s="1080">
        <f t="shared" si="521"/>
        <v>0</v>
      </c>
      <c r="AM542" s="1092">
        <f t="shared" si="545"/>
        <v>0</v>
      </c>
      <c r="AN542" s="1080">
        <f t="shared" si="546"/>
        <v>1</v>
      </c>
      <c r="AO542" s="1080">
        <f t="shared" si="522"/>
        <v>0</v>
      </c>
      <c r="AP542" s="1080">
        <f t="shared" si="542"/>
        <v>1</v>
      </c>
      <c r="AQ542" s="1027">
        <f>VLOOKUP(V542,'System Lookups'!$J$55:$P$64,7)</f>
        <v>600</v>
      </c>
      <c r="AR542" s="1080" t="str">
        <f ca="1">IF(AND(NOT(ISBLANK(AJ542)),ISNA(MATCH(ROW(),'System Lookups'!$C$526:$C$539,0))),"Y","N")</f>
        <v>Y</v>
      </c>
      <c r="AS542" s="1080">
        <f t="shared" si="543"/>
        <v>0</v>
      </c>
      <c r="AU542" s="1080" t="e">
        <f t="shared" si="531"/>
        <v>#N/A</v>
      </c>
      <c r="AV542" s="1080" t="str">
        <f t="shared" si="528"/>
        <v>T</v>
      </c>
      <c r="AW542" s="1080">
        <f t="shared" si="532"/>
        <v>0</v>
      </c>
      <c r="AX542" s="1080">
        <f t="shared" si="533"/>
        <v>0</v>
      </c>
      <c r="AY542" s="1080">
        <f t="shared" si="534"/>
        <v>0</v>
      </c>
      <c r="AZ542" s="1080">
        <f t="shared" si="535"/>
        <v>0</v>
      </c>
      <c r="BA542" s="1080">
        <f t="shared" si="536"/>
        <v>0</v>
      </c>
      <c r="BB542" s="1080">
        <f>IF(AND(RACE=1,'Main Creation Page'!$E$6="Well",OR(ISNUMBER(FIND(Experience!$G$11,BE542)),ISNUMBER(FIND(Experience!$G$11,BF542)),ISNUMBER(FIND(Experience!$I$11,BE542)),ISNUMBER(FIND(Experience!$I$11,BF542)))),1,0)</f>
        <v>1</v>
      </c>
      <c r="BC542" s="1080" t="str">
        <f t="shared" si="537"/>
        <v>Cult. Lore:Saurian (Lizardmen)</v>
      </c>
      <c r="BD542" s="1080" t="s">
        <v>5700</v>
      </c>
      <c r="BE542" s="1080" t="str">
        <f t="shared" si="529"/>
        <v>Lore</v>
      </c>
      <c r="BF542" s="1080" t="str">
        <f t="shared" si="530"/>
        <v>Lore Historical Skills</v>
      </c>
    </row>
    <row r="543" spans="1:58" ht="11.1" customHeight="1" outlineLevel="3">
      <c r="A543" s="1093" t="s">
        <v>4887</v>
      </c>
      <c r="B543" s="1094"/>
      <c r="C543" s="1094"/>
      <c r="D543" s="1094"/>
      <c r="E543" s="1095" t="s">
        <v>5224</v>
      </c>
      <c r="F543" s="1095" t="str">
        <f>IF(('Main Creation Page'!C23=2),"R","N")</f>
        <v>N</v>
      </c>
      <c r="G543" s="1096">
        <v>0</v>
      </c>
      <c r="H543" s="1096" t="s">
        <v>5224</v>
      </c>
      <c r="I543" s="1096" t="s">
        <v>5224</v>
      </c>
      <c r="J543" s="1096" t="s">
        <v>5224</v>
      </c>
      <c r="K543" s="1096" t="s">
        <v>5224</v>
      </c>
      <c r="L543" s="1096">
        <v>0</v>
      </c>
      <c r="M543" s="1096" t="s">
        <v>5224</v>
      </c>
      <c r="N543" s="1096" t="s">
        <v>4631</v>
      </c>
      <c r="O543" s="1028"/>
      <c r="P543" s="1028" t="s">
        <v>780</v>
      </c>
      <c r="Q543" s="1097">
        <f t="shared" ca="1" si="514"/>
        <v>17</v>
      </c>
      <c r="R543" s="1034"/>
      <c r="S543" s="1028" t="s">
        <v>3616</v>
      </c>
      <c r="T543" s="1097">
        <f t="shared" ca="1" si="515"/>
        <v>17</v>
      </c>
      <c r="U543" s="1027">
        <v>3</v>
      </c>
      <c r="V543" s="1027">
        <f t="shared" si="538"/>
        <v>4</v>
      </c>
      <c r="W543" s="1098" t="e">
        <f>IF(OR(I543&lt;&gt;"N",E543="C"),IF(AND(N543&lt;&gt;"T",ISNUMBER(FIND("V",I543))),1,0),NA())+IF(H543="Y",IF(AND(N543="P",ISNUMBER(FIND("Z",I543))),2,1),0)+IF(J543="Y",1,0)+IF(K543="Y",3,0)+IF(BE543="Lore",L543*2+Experience!$D$25,0)+IF(M543="Y",1,0)</f>
        <v>#N/A</v>
      </c>
      <c r="X543" s="1099"/>
      <c r="Y543" s="1100">
        <f ca="1">IF(P543="NS",IFERROR(INDIRECT(S543),NA()),VLOOKUP(INDIRECT(P543)+INDIRECT(S543),'System Lookups'!$A$3:$D$146,2))</f>
        <v>0.1</v>
      </c>
      <c r="Z543" s="1100">
        <f t="shared" si="539"/>
        <v>0</v>
      </c>
      <c r="AA543" s="1101">
        <f ca="1">IF(ISNA(Y543),0,Y543)+Z543+IF('Main Creation Page'!AB$2=37,'Main Creation Page'!E$14/100,0)</f>
        <v>0.1</v>
      </c>
      <c r="AB543" s="1102">
        <f>VLOOKUP(V543,'System Lookups'!$J$55:$P$64,3)</f>
        <v>0.2</v>
      </c>
      <c r="AC543" s="1103">
        <f>VLOOKUP(V543,'System Lookups'!$J$55:$P$64,4)</f>
        <v>0.3</v>
      </c>
      <c r="AD543" s="1104">
        <f t="shared" ca="1" si="540"/>
        <v>0.35000000000000003</v>
      </c>
      <c r="AE543" s="1094">
        <f ca="1">(IF(AD543&gt;VLOOKUP(V543,'System Lookups'!$J$55:$P$63,6),(((AD543-VLOOKUP(V543,'System Lookups'!$J$55:$P$63,6))*100)/20),0))+AF543</f>
        <v>0</v>
      </c>
      <c r="AF543" s="1121"/>
      <c r="AG543" s="1092">
        <f t="shared" si="541"/>
        <v>0</v>
      </c>
      <c r="AH543" s="1092" t="str">
        <f>IF(X543&lt;=Experience!$R$15+1,"","*")</f>
        <v/>
      </c>
      <c r="AI543" s="1092"/>
      <c r="AJ543" s="1080">
        <f t="shared" si="520"/>
        <v>0</v>
      </c>
      <c r="AK543" s="1080">
        <f t="shared" si="544"/>
        <v>0</v>
      </c>
      <c r="AL543" s="1080">
        <f t="shared" si="521"/>
        <v>0</v>
      </c>
      <c r="AM543" s="1092">
        <f t="shared" si="545"/>
        <v>0</v>
      </c>
      <c r="AN543" s="1080">
        <f t="shared" si="546"/>
        <v>1</v>
      </c>
      <c r="AO543" s="1080">
        <f t="shared" si="522"/>
        <v>0</v>
      </c>
      <c r="AP543" s="1080">
        <f t="shared" si="542"/>
        <v>1</v>
      </c>
      <c r="AQ543" s="1027">
        <f>VLOOKUP(V543,'System Lookups'!$J$55:$P$64,7)</f>
        <v>600</v>
      </c>
      <c r="AR543" s="1080" t="str">
        <f ca="1">IF(AND(NOT(ISBLANK(AJ543)),ISNA(MATCH(ROW(),'System Lookups'!$C$526:$C$539,0))),"Y","N")</f>
        <v>Y</v>
      </c>
      <c r="AS543" s="1080">
        <f t="shared" si="543"/>
        <v>0</v>
      </c>
      <c r="AU543" s="1080" t="e">
        <f t="shared" si="531"/>
        <v>#N/A</v>
      </c>
      <c r="AV543" s="1080" t="str">
        <f t="shared" si="528"/>
        <v>T</v>
      </c>
      <c r="AW543" s="1080">
        <f t="shared" si="532"/>
        <v>0</v>
      </c>
      <c r="AX543" s="1080">
        <f t="shared" si="533"/>
        <v>0</v>
      </c>
      <c r="AY543" s="1080">
        <f t="shared" si="534"/>
        <v>0</v>
      </c>
      <c r="AZ543" s="1080">
        <f t="shared" si="535"/>
        <v>0</v>
      </c>
      <c r="BA543" s="1080">
        <f t="shared" si="536"/>
        <v>0</v>
      </c>
      <c r="BB543" s="1080">
        <f>IF(AND(RACE=1,'Main Creation Page'!$E$6="Well",OR(ISNUMBER(FIND(Experience!$G$11,BE543)),ISNUMBER(FIND(Experience!$G$11,BF543)),ISNUMBER(FIND(Experience!$I$11,BE543)),ISNUMBER(FIND(Experience!$I$11,BF543)))),1,0)</f>
        <v>1</v>
      </c>
      <c r="BC543" s="1080" t="str">
        <f t="shared" si="537"/>
        <v>Cult. Lore:Saurian (Salamons) (Common)</v>
      </c>
      <c r="BD543" s="1080" t="s">
        <v>5700</v>
      </c>
      <c r="BE543" s="1080" t="str">
        <f t="shared" si="529"/>
        <v>Lore</v>
      </c>
      <c r="BF543" s="1080" t="str">
        <f t="shared" si="530"/>
        <v>Lore Historical Skills</v>
      </c>
    </row>
    <row r="544" spans="1:58" ht="11.1" customHeight="1" outlineLevel="3">
      <c r="A544" s="1093" t="s">
        <v>4884</v>
      </c>
      <c r="B544" s="1094"/>
      <c r="C544" s="1094"/>
      <c r="D544" s="1094"/>
      <c r="E544" s="1095" t="s">
        <v>5224</v>
      </c>
      <c r="F544" s="1095" t="str">
        <f>IF(('Main Creation Page'!C24=2),"R","N")</f>
        <v>N</v>
      </c>
      <c r="G544" s="1096">
        <v>0</v>
      </c>
      <c r="H544" s="1096" t="s">
        <v>5224</v>
      </c>
      <c r="I544" s="1096" t="s">
        <v>5224</v>
      </c>
      <c r="J544" s="1096" t="s">
        <v>5224</v>
      </c>
      <c r="K544" s="1096" t="s">
        <v>5224</v>
      </c>
      <c r="L544" s="1096">
        <v>0</v>
      </c>
      <c r="M544" s="1096" t="s">
        <v>5224</v>
      </c>
      <c r="N544" s="1096" t="s">
        <v>4631</v>
      </c>
      <c r="O544" s="1028"/>
      <c r="P544" s="1028" t="s">
        <v>780</v>
      </c>
      <c r="Q544" s="1097">
        <f t="shared" ca="1" si="514"/>
        <v>17</v>
      </c>
      <c r="R544" s="1034"/>
      <c r="S544" s="1028" t="s">
        <v>3616</v>
      </c>
      <c r="T544" s="1097">
        <f t="shared" ca="1" si="515"/>
        <v>17</v>
      </c>
      <c r="U544" s="1027">
        <v>3</v>
      </c>
      <c r="V544" s="1027">
        <f t="shared" si="538"/>
        <v>4</v>
      </c>
      <c r="W544" s="1098" t="e">
        <f>IF(OR(I544&lt;&gt;"N",E544="C"),IF(AND(N544&lt;&gt;"T",ISNUMBER(FIND("V",I544))),1,0),NA())+IF(H544="Y",IF(AND(N544="P",ISNUMBER(FIND("Z",I544))),2,1),0)+IF(J544="Y",1,0)+IF(K544="Y",3,0)+IF(BE544="Lore",L544*2+Experience!$D$25,0)+IF(M544="Y",1,0)</f>
        <v>#N/A</v>
      </c>
      <c r="X544" s="1099"/>
      <c r="Y544" s="1100">
        <f ca="1">IF(P544="NS",IFERROR(INDIRECT(S544),NA()),VLOOKUP(INDIRECT(P544)+INDIRECT(S544),'System Lookups'!$A$3:$D$146,2))</f>
        <v>0.1</v>
      </c>
      <c r="Z544" s="1100">
        <f t="shared" si="539"/>
        <v>0</v>
      </c>
      <c r="AA544" s="1101">
        <f ca="1">IF(ISNA(Y544),0,Y544)+Z544+IF('Main Creation Page'!AB$2=37,'Main Creation Page'!E$14/100,0)</f>
        <v>0.1</v>
      </c>
      <c r="AB544" s="1102">
        <f>VLOOKUP(V544,'System Lookups'!$J$55:$P$64,3)</f>
        <v>0.2</v>
      </c>
      <c r="AC544" s="1103">
        <f>VLOOKUP(V544,'System Lookups'!$J$55:$P$64,4)</f>
        <v>0.3</v>
      </c>
      <c r="AD544" s="1104">
        <f t="shared" ca="1" si="540"/>
        <v>0.35000000000000003</v>
      </c>
      <c r="AE544" s="1094">
        <f ca="1">(IF(AD544&gt;VLOOKUP(V544,'System Lookups'!$J$55:$P$63,6),(((AD544-VLOOKUP(V544,'System Lookups'!$J$55:$P$63,6))*100)/20),0))+AF544</f>
        <v>0</v>
      </c>
      <c r="AF544" s="1121"/>
      <c r="AG544" s="1092">
        <f t="shared" si="541"/>
        <v>0</v>
      </c>
      <c r="AH544" s="1092" t="str">
        <f>IF(X544&lt;=Experience!$R$15+1,"","*")</f>
        <v/>
      </c>
      <c r="AI544" s="1092"/>
      <c r="AJ544" s="1080">
        <f t="shared" si="520"/>
        <v>0</v>
      </c>
      <c r="AK544" s="1080">
        <f t="shared" si="544"/>
        <v>0</v>
      </c>
      <c r="AL544" s="1080">
        <f t="shared" si="521"/>
        <v>0</v>
      </c>
      <c r="AM544" s="1092">
        <f t="shared" si="545"/>
        <v>0</v>
      </c>
      <c r="AN544" s="1080">
        <f t="shared" si="546"/>
        <v>1</v>
      </c>
      <c r="AO544" s="1080">
        <f t="shared" si="522"/>
        <v>0</v>
      </c>
      <c r="AP544" s="1080">
        <f t="shared" si="542"/>
        <v>1</v>
      </c>
      <c r="AQ544" s="1027">
        <f>VLOOKUP(V544,'System Lookups'!$J$55:$P$64,7)</f>
        <v>600</v>
      </c>
      <c r="AR544" s="1080" t="str">
        <f ca="1">IF(AND(NOT(ISBLANK(AJ544)),ISNA(MATCH(ROW(),'System Lookups'!$C$526:$C$539,0))),"Y","N")</f>
        <v>Y</v>
      </c>
      <c r="AS544" s="1080">
        <f t="shared" si="543"/>
        <v>0</v>
      </c>
      <c r="AU544" s="1080" t="e">
        <f t="shared" si="531"/>
        <v>#N/A</v>
      </c>
      <c r="AV544" s="1080" t="str">
        <f t="shared" si="528"/>
        <v>T</v>
      </c>
      <c r="AW544" s="1080">
        <f t="shared" si="532"/>
        <v>0</v>
      </c>
      <c r="AX544" s="1080">
        <f t="shared" si="533"/>
        <v>0</v>
      </c>
      <c r="AY544" s="1080">
        <f t="shared" si="534"/>
        <v>0</v>
      </c>
      <c r="AZ544" s="1080">
        <f t="shared" si="535"/>
        <v>0</v>
      </c>
      <c r="BA544" s="1080">
        <f t="shared" si="536"/>
        <v>0</v>
      </c>
      <c r="BB544" s="1080">
        <f>IF(AND(RACE=1,'Main Creation Page'!$E$6="Well",OR(ISNUMBER(FIND(Experience!$G$11,BE544)),ISNUMBER(FIND(Experience!$G$11,BF544)),ISNUMBER(FIND(Experience!$I$11,BE544)),ISNUMBER(FIND(Experience!$I$11,BF544)))),1,0)</f>
        <v>1</v>
      </c>
      <c r="BC544" s="1080" t="str">
        <f t="shared" si="537"/>
        <v>Cult. Lore:Scorpion Men</v>
      </c>
      <c r="BD544" s="1080" t="s">
        <v>5700</v>
      </c>
      <c r="BE544" s="1080" t="str">
        <f t="shared" si="529"/>
        <v>Lore</v>
      </c>
      <c r="BF544" s="1080" t="str">
        <f t="shared" si="530"/>
        <v>Lore Historical Skills</v>
      </c>
    </row>
    <row r="545" spans="1:58" ht="11.1" customHeight="1" outlineLevel="3">
      <c r="A545" s="1093" t="s">
        <v>5291</v>
      </c>
      <c r="B545" s="1094"/>
      <c r="C545" s="1094"/>
      <c r="D545" s="1094"/>
      <c r="E545" s="1095" t="s">
        <v>5224</v>
      </c>
      <c r="F545" s="1095" t="str">
        <f>IF(('Main Creation Page'!C25=2),"R","N")</f>
        <v>N</v>
      </c>
      <c r="G545" s="1096">
        <v>0</v>
      </c>
      <c r="H545" s="1096" t="s">
        <v>5224</v>
      </c>
      <c r="I545" s="1096" t="s">
        <v>5224</v>
      </c>
      <c r="J545" s="1096" t="s">
        <v>5224</v>
      </c>
      <c r="K545" s="1096" t="s">
        <v>5224</v>
      </c>
      <c r="L545" s="1096">
        <v>0</v>
      </c>
      <c r="M545" s="1096" t="s">
        <v>5224</v>
      </c>
      <c r="N545" s="1096" t="s">
        <v>4631</v>
      </c>
      <c r="O545" s="1028"/>
      <c r="P545" s="1028" t="s">
        <v>780</v>
      </c>
      <c r="Q545" s="1097">
        <f t="shared" ca="1" si="514"/>
        <v>17</v>
      </c>
      <c r="R545" s="1034"/>
      <c r="S545" s="1028" t="s">
        <v>3616</v>
      </c>
      <c r="T545" s="1097">
        <f t="shared" ca="1" si="515"/>
        <v>17</v>
      </c>
      <c r="U545" s="1027">
        <v>3</v>
      </c>
      <c r="V545" s="1027">
        <f t="shared" si="538"/>
        <v>4</v>
      </c>
      <c r="W545" s="1098" t="e">
        <f>IF(OR(I545&lt;&gt;"N",E545="C"),IF(AND(N545&lt;&gt;"T",ISNUMBER(FIND("V",I545))),1,0),NA())+IF(H545="Y",IF(AND(N545="P",ISNUMBER(FIND("Z",I545))),2,1),0)+IF(J545="Y",1,0)+IF(K545="Y",3,0)+IF(BE545="Lore",L545*2+Experience!$D$25,0)+IF(M545="Y",1,0)</f>
        <v>#N/A</v>
      </c>
      <c r="X545" s="1099"/>
      <c r="Y545" s="1100">
        <f ca="1">IF(P545="NS",IFERROR(INDIRECT(S545),NA()),VLOOKUP(INDIRECT(P545)+INDIRECT(S545),'System Lookups'!$A$3:$D$146,2))</f>
        <v>0.1</v>
      </c>
      <c r="Z545" s="1100">
        <f t="shared" si="539"/>
        <v>0</v>
      </c>
      <c r="AA545" s="1101">
        <f ca="1">IF(ISNA(Y545),0,Y545)+Z545+IF('Main Creation Page'!AB$2=37,'Main Creation Page'!E$14/100,0)</f>
        <v>0.1</v>
      </c>
      <c r="AB545" s="1102">
        <f>VLOOKUP(V545,'System Lookups'!$J$55:$P$64,3)</f>
        <v>0.2</v>
      </c>
      <c r="AC545" s="1103">
        <f>VLOOKUP(V545,'System Lookups'!$J$55:$P$64,4)</f>
        <v>0.3</v>
      </c>
      <c r="AD545" s="1104">
        <f t="shared" ca="1" si="540"/>
        <v>0.35000000000000003</v>
      </c>
      <c r="AE545" s="1094">
        <f ca="1">(IF(AD545&gt;VLOOKUP(V545,'System Lookups'!$J$55:$P$63,6),(((AD545-VLOOKUP(V545,'System Lookups'!$J$55:$P$63,6))*100)/20),0))+AF545</f>
        <v>0</v>
      </c>
      <c r="AF545" s="1121"/>
      <c r="AG545" s="1092">
        <f t="shared" si="541"/>
        <v>0</v>
      </c>
      <c r="AH545" s="1092" t="str">
        <f>IF(X545&lt;=Experience!$R$15+1,"","*")</f>
        <v/>
      </c>
      <c r="AI545" s="1092"/>
      <c r="AJ545" s="1080">
        <f t="shared" si="520"/>
        <v>0</v>
      </c>
      <c r="AK545" s="1080">
        <f t="shared" si="544"/>
        <v>0</v>
      </c>
      <c r="AL545" s="1080">
        <f t="shared" si="521"/>
        <v>0</v>
      </c>
      <c r="AM545" s="1092">
        <f t="shared" si="545"/>
        <v>0</v>
      </c>
      <c r="AN545" s="1080">
        <f t="shared" si="546"/>
        <v>1</v>
      </c>
      <c r="AO545" s="1080">
        <f t="shared" si="522"/>
        <v>0</v>
      </c>
      <c r="AP545" s="1080">
        <f t="shared" si="542"/>
        <v>1</v>
      </c>
      <c r="AQ545" s="1027">
        <f>VLOOKUP(V545,'System Lookups'!$J$55:$P$64,7)</f>
        <v>600</v>
      </c>
      <c r="AR545" s="1080" t="str">
        <f ca="1">IF(AND(NOT(ISBLANK(AJ545)),ISNA(MATCH(ROW(),'System Lookups'!$C$526:$C$539,0))),"Y","N")</f>
        <v>Y</v>
      </c>
      <c r="AS545" s="1080">
        <f t="shared" si="543"/>
        <v>0</v>
      </c>
      <c r="AU545" s="1080" t="e">
        <f t="shared" si="531"/>
        <v>#N/A</v>
      </c>
      <c r="AV545" s="1080" t="str">
        <f t="shared" si="528"/>
        <v>T</v>
      </c>
      <c r="AW545" s="1080">
        <f t="shared" si="532"/>
        <v>0</v>
      </c>
      <c r="AX545" s="1080">
        <f t="shared" si="533"/>
        <v>0</v>
      </c>
      <c r="AY545" s="1080">
        <f t="shared" si="534"/>
        <v>0</v>
      </c>
      <c r="AZ545" s="1080">
        <f t="shared" si="535"/>
        <v>0</v>
      </c>
      <c r="BA545" s="1080">
        <f t="shared" si="536"/>
        <v>0</v>
      </c>
      <c r="BB545" s="1080">
        <f>IF(AND(RACE=1,'Main Creation Page'!$E$6="Well",OR(ISNUMBER(FIND(Experience!$G$11,BE545)),ISNUMBER(FIND(Experience!$G$11,BF545)),ISNUMBER(FIND(Experience!$I$11,BE545)),ISNUMBER(FIND(Experience!$I$11,BF545)))),1,0)</f>
        <v>1</v>
      </c>
      <c r="BC545" s="1080" t="str">
        <f t="shared" si="537"/>
        <v>Cult. Lore:Triton</v>
      </c>
      <c r="BD545" s="1080" t="s">
        <v>5700</v>
      </c>
      <c r="BE545" s="1080" t="str">
        <f t="shared" si="529"/>
        <v>Lore</v>
      </c>
      <c r="BF545" s="1080" t="str">
        <f t="shared" si="530"/>
        <v>Lore Historical Skills</v>
      </c>
    </row>
    <row r="546" spans="1:58" ht="11.1" customHeight="1" outlineLevel="3">
      <c r="A546" s="1093" t="s">
        <v>4755</v>
      </c>
      <c r="B546" s="1094"/>
      <c r="C546" s="1094"/>
      <c r="D546" s="1094"/>
      <c r="E546" s="1095" t="s">
        <v>5224</v>
      </c>
      <c r="F546" s="1095" t="str">
        <f>IF(('Main Creation Page'!C26=2),"R","N")</f>
        <v>N</v>
      </c>
      <c r="G546" s="1096">
        <v>0</v>
      </c>
      <c r="H546" s="1096" t="s">
        <v>5224</v>
      </c>
      <c r="I546" s="1096" t="s">
        <v>5224</v>
      </c>
      <c r="J546" s="1096" t="s">
        <v>5224</v>
      </c>
      <c r="K546" s="1096" t="s">
        <v>5224</v>
      </c>
      <c r="L546" s="1096">
        <v>0</v>
      </c>
      <c r="M546" s="1096" t="s">
        <v>5224</v>
      </c>
      <c r="N546" s="1096" t="s">
        <v>4631</v>
      </c>
      <c r="O546" s="1028"/>
      <c r="P546" s="1028" t="s">
        <v>780</v>
      </c>
      <c r="Q546" s="1097">
        <f t="shared" ca="1" si="514"/>
        <v>17</v>
      </c>
      <c r="R546" s="1034"/>
      <c r="S546" s="1028" t="s">
        <v>3616</v>
      </c>
      <c r="T546" s="1097">
        <f t="shared" ca="1" si="515"/>
        <v>17</v>
      </c>
      <c r="U546" s="1027">
        <v>3</v>
      </c>
      <c r="V546" s="1027">
        <f t="shared" si="538"/>
        <v>4</v>
      </c>
      <c r="W546" s="1098" t="e">
        <f>IF(OR(I546&lt;&gt;"N",E546="C"),IF(AND(N546&lt;&gt;"T",ISNUMBER(FIND("V",I546))),1,0),NA())+IF(H546="Y",IF(AND(N546="P",ISNUMBER(FIND("Z",I546))),2,1),0)+IF(J546="Y",1,0)+IF(K546="Y",3,0)+IF(BE546="Lore",L546*2+Experience!$D$25,0)+IF(M546="Y",1,0)</f>
        <v>#N/A</v>
      </c>
      <c r="X546" s="1099"/>
      <c r="Y546" s="1100">
        <f ca="1">IF(P546="NS",IFERROR(INDIRECT(S546),NA()),VLOOKUP(INDIRECT(P546)+INDIRECT(S546),'System Lookups'!$A$3:$D$146,2))</f>
        <v>0.1</v>
      </c>
      <c r="Z546" s="1100">
        <f t="shared" si="539"/>
        <v>0</v>
      </c>
      <c r="AA546" s="1101">
        <f ca="1">IF(ISNA(Y546),0,Y546)+Z546+IF('Main Creation Page'!AB$2=37,'Main Creation Page'!E$14/100,0)</f>
        <v>0.1</v>
      </c>
      <c r="AB546" s="1102">
        <f>VLOOKUP(V546,'System Lookups'!$J$55:$P$64,3)</f>
        <v>0.2</v>
      </c>
      <c r="AC546" s="1103">
        <f>VLOOKUP(V546,'System Lookups'!$J$55:$P$64,4)</f>
        <v>0.3</v>
      </c>
      <c r="AD546" s="1104">
        <f t="shared" ca="1" si="540"/>
        <v>0.35000000000000003</v>
      </c>
      <c r="AE546" s="1094">
        <f ca="1">(IF(AD546&gt;VLOOKUP(V546,'System Lookups'!$J$55:$P$63,6),(((AD546-VLOOKUP(V546,'System Lookups'!$J$55:$P$63,6))*100)/20),0))+AF546</f>
        <v>0</v>
      </c>
      <c r="AF546" s="1121"/>
      <c r="AG546" s="1092">
        <f t="shared" si="541"/>
        <v>0</v>
      </c>
      <c r="AH546" s="1092" t="str">
        <f>IF(X546&lt;=Experience!$R$15+1,"","*")</f>
        <v/>
      </c>
      <c r="AI546" s="1092"/>
      <c r="AJ546" s="1080">
        <f t="shared" si="520"/>
        <v>0</v>
      </c>
      <c r="AK546" s="1080">
        <f t="shared" si="544"/>
        <v>0</v>
      </c>
      <c r="AL546" s="1080">
        <f t="shared" si="521"/>
        <v>0</v>
      </c>
      <c r="AM546" s="1092">
        <f t="shared" si="545"/>
        <v>0</v>
      </c>
      <c r="AN546" s="1080">
        <f t="shared" si="546"/>
        <v>1</v>
      </c>
      <c r="AO546" s="1080">
        <f t="shared" si="522"/>
        <v>0</v>
      </c>
      <c r="AP546" s="1080">
        <f t="shared" si="542"/>
        <v>1</v>
      </c>
      <c r="AQ546" s="1027">
        <f>VLOOKUP(V546,'System Lookups'!$J$55:$P$64,7)</f>
        <v>600</v>
      </c>
      <c r="AR546" s="1080" t="str">
        <f ca="1">IF(AND(NOT(ISBLANK(AJ546)),ISNA(MATCH(ROW(),'System Lookups'!$C$526:$C$539,0))),"Y","N")</f>
        <v>Y</v>
      </c>
      <c r="AS546" s="1080">
        <f t="shared" si="543"/>
        <v>0</v>
      </c>
      <c r="AU546" s="1080" t="e">
        <f t="shared" si="531"/>
        <v>#N/A</v>
      </c>
      <c r="AV546" s="1080" t="str">
        <f t="shared" si="528"/>
        <v>T</v>
      </c>
      <c r="AW546" s="1080">
        <f t="shared" si="532"/>
        <v>0</v>
      </c>
      <c r="AX546" s="1080">
        <f t="shared" si="533"/>
        <v>0</v>
      </c>
      <c r="AY546" s="1080">
        <f t="shared" si="534"/>
        <v>0</v>
      </c>
      <c r="AZ546" s="1080">
        <f t="shared" si="535"/>
        <v>0</v>
      </c>
      <c r="BA546" s="1080">
        <f t="shared" si="536"/>
        <v>0</v>
      </c>
      <c r="BB546" s="1080">
        <f>IF(AND(RACE=1,'Main Creation Page'!$E$6="Well",OR(ISNUMBER(FIND(Experience!$G$11,BE546)),ISNUMBER(FIND(Experience!$G$11,BF546)),ISNUMBER(FIND(Experience!$I$11,BE546)),ISNUMBER(FIND(Experience!$I$11,BF546)))),1,0)</f>
        <v>1</v>
      </c>
      <c r="BC546" s="1080" t="str">
        <f t="shared" si="537"/>
        <v>Cult. Lore:Trollish</v>
      </c>
      <c r="BD546" s="1080" t="s">
        <v>5700</v>
      </c>
      <c r="BE546" s="1080" t="str">
        <f t="shared" si="529"/>
        <v>Lore</v>
      </c>
      <c r="BF546" s="1080" t="str">
        <f t="shared" si="530"/>
        <v>Lore Historical Skills</v>
      </c>
    </row>
    <row r="547" spans="1:58" ht="11.1" customHeight="1" outlineLevel="3">
      <c r="A547" s="1093" t="s">
        <v>67</v>
      </c>
      <c r="B547" s="1094"/>
      <c r="C547" s="1094"/>
      <c r="D547" s="1094"/>
      <c r="E547" s="1095" t="s">
        <v>5224</v>
      </c>
      <c r="F547" s="1095" t="s">
        <v>5224</v>
      </c>
      <c r="G547" s="1096">
        <v>0</v>
      </c>
      <c r="H547" s="1096" t="s">
        <v>5224</v>
      </c>
      <c r="I547" s="1096" t="s">
        <v>5224</v>
      </c>
      <c r="J547" s="1096" t="s">
        <v>5224</v>
      </c>
      <c r="K547" s="1096" t="s">
        <v>5224</v>
      </c>
      <c r="L547" s="1096">
        <v>0</v>
      </c>
      <c r="M547" s="1096" t="s">
        <v>5224</v>
      </c>
      <c r="N547" s="1096" t="s">
        <v>4631</v>
      </c>
      <c r="O547" s="1028"/>
      <c r="P547" s="1028" t="s">
        <v>780</v>
      </c>
      <c r="Q547" s="1097">
        <f t="shared" ca="1" si="514"/>
        <v>17</v>
      </c>
      <c r="R547" s="1034"/>
      <c r="S547" s="1028" t="s">
        <v>3616</v>
      </c>
      <c r="T547" s="1097">
        <f t="shared" ca="1" si="515"/>
        <v>17</v>
      </c>
      <c r="U547" s="1027">
        <v>3</v>
      </c>
      <c r="V547" s="1027">
        <f t="shared" si="538"/>
        <v>4</v>
      </c>
      <c r="W547" s="1098" t="e">
        <f>IF(OR(I547&lt;&gt;"N",E547="C"),IF(AND(N547&lt;&gt;"T",ISNUMBER(FIND("V",I547))),1,0),NA())+IF(H547="Y",IF(AND(N547="P",ISNUMBER(FIND("Z",I547))),2,1),0)+IF(J547="Y",1,0)+IF(K547="Y",3,0)+IF(BE547="Lore",L547*2+Experience!$D$25,0)+IF(M547="Y",1,0)</f>
        <v>#N/A</v>
      </c>
      <c r="X547" s="1099"/>
      <c r="Y547" s="1100">
        <f ca="1">IF(P547="NS",IFERROR(INDIRECT(S547),NA()),VLOOKUP(INDIRECT(P547)+INDIRECT(S547),'System Lookups'!$A$3:$D$146,2))</f>
        <v>0.1</v>
      </c>
      <c r="Z547" s="1100">
        <f t="shared" si="539"/>
        <v>0</v>
      </c>
      <c r="AA547" s="1101">
        <f ca="1">IF(ISNA(Y547),0,Y547)+Z547+IF('Main Creation Page'!AB$2=37,'Main Creation Page'!E$14/100,0)</f>
        <v>0.1</v>
      </c>
      <c r="AB547" s="1102">
        <f>VLOOKUP(V547,'System Lookups'!$J$55:$P$64,3)</f>
        <v>0.2</v>
      </c>
      <c r="AC547" s="1103">
        <f>VLOOKUP(V547,'System Lookups'!$J$55:$P$64,4)</f>
        <v>0.3</v>
      </c>
      <c r="AD547" s="1104">
        <f t="shared" ca="1" si="540"/>
        <v>0.35000000000000003</v>
      </c>
      <c r="AE547" s="1094">
        <f ca="1">(IF(AD547&gt;VLOOKUP(V547,'System Lookups'!$J$55:$P$63,6),(((AD547-VLOOKUP(V547,'System Lookups'!$J$55:$P$63,6))*100)/20),0))+AF547</f>
        <v>0</v>
      </c>
      <c r="AF547" s="1120">
        <f>IF(SUM($X$393:$X$440)&gt;3,1,0)</f>
        <v>0</v>
      </c>
      <c r="AG547" s="1092">
        <f t="shared" si="541"/>
        <v>0</v>
      </c>
      <c r="AH547" s="1092" t="str">
        <f>IF(X547&lt;=Experience!$R$15+1,"","*")</f>
        <v/>
      </c>
      <c r="AI547" s="1092"/>
      <c r="AJ547" s="1080">
        <f t="shared" si="520"/>
        <v>0</v>
      </c>
      <c r="AK547" s="1080">
        <f t="shared" si="525"/>
        <v>0</v>
      </c>
      <c r="AL547" s="1080">
        <f t="shared" si="521"/>
        <v>0</v>
      </c>
      <c r="AM547" s="1092">
        <f t="shared" si="526"/>
        <v>0</v>
      </c>
      <c r="AN547" s="1080">
        <f t="shared" si="527"/>
        <v>1</v>
      </c>
      <c r="AO547" s="1080">
        <f t="shared" si="522"/>
        <v>0</v>
      </c>
      <c r="AP547" s="1080">
        <f t="shared" si="542"/>
        <v>1</v>
      </c>
      <c r="AQ547" s="1027">
        <f>VLOOKUP(V547,'System Lookups'!$J$55:$P$64,7)</f>
        <v>600</v>
      </c>
      <c r="AR547" s="1080" t="str">
        <f ca="1">IF(AND(NOT(ISBLANK(AJ547)),ISNA(MATCH(ROW(),'System Lookups'!$C$526:$C$539,0))),"Y","N")</f>
        <v>Y</v>
      </c>
      <c r="AS547" s="1080">
        <f t="shared" si="543"/>
        <v>0</v>
      </c>
      <c r="AU547" s="1080" t="e">
        <f t="shared" si="531"/>
        <v>#N/A</v>
      </c>
      <c r="AV547" s="1080" t="str">
        <f t="shared" si="528"/>
        <v>T</v>
      </c>
      <c r="AW547" s="1080">
        <f t="shared" si="532"/>
        <v>0</v>
      </c>
      <c r="AX547" s="1080">
        <f t="shared" si="533"/>
        <v>0</v>
      </c>
      <c r="AY547" s="1080">
        <f t="shared" si="534"/>
        <v>0</v>
      </c>
      <c r="AZ547" s="1080">
        <f t="shared" si="535"/>
        <v>0</v>
      </c>
      <c r="BA547" s="1080">
        <f t="shared" si="536"/>
        <v>0</v>
      </c>
      <c r="BB547" s="1080">
        <f>IF(AND(RACE=1,'Main Creation Page'!$E$6="Well",OR(ISNUMBER(FIND(Experience!$G$11,BE547)),ISNUMBER(FIND(Experience!$G$11,BF547)),ISNUMBER(FIND(Experience!$I$11,BE547)),ISNUMBER(FIND(Experience!$I$11,BF547)))),1,0)</f>
        <v>1</v>
      </c>
      <c r="BC547" s="1080" t="str">
        <f t="shared" si="537"/>
        <v>Cult. Lore:Wyvern</v>
      </c>
      <c r="BD547" s="1080" t="s">
        <v>5700</v>
      </c>
      <c r="BE547" s="1080" t="str">
        <f t="shared" si="529"/>
        <v>Lore</v>
      </c>
      <c r="BF547" s="1080" t="str">
        <f t="shared" si="530"/>
        <v>Lore Historical Skills</v>
      </c>
    </row>
    <row r="548" spans="1:58" ht="11.1" customHeight="1" outlineLevel="1">
      <c r="A548" s="1123" t="s">
        <v>5654</v>
      </c>
      <c r="B548" s="1094" t="s">
        <v>1942</v>
      </c>
      <c r="C548" s="1094"/>
      <c r="D548" s="1094"/>
      <c r="E548" s="1095" t="s">
        <v>5224</v>
      </c>
      <c r="F548" s="1095" t="str">
        <f>IF('Main Creation Page'!K6=3,IF('Main Creation Page'!$C$3=2, "R", "N"),"N")</f>
        <v>N</v>
      </c>
      <c r="G548" s="1096">
        <v>0</v>
      </c>
      <c r="H548" s="1096" t="s">
        <v>5224</v>
      </c>
      <c r="I548" s="1096" t="s">
        <v>5224</v>
      </c>
      <c r="J548" s="1096" t="s">
        <v>5224</v>
      </c>
      <c r="K548" s="1096" t="s">
        <v>5224</v>
      </c>
      <c r="L548" s="1096">
        <v>0</v>
      </c>
      <c r="M548" s="1096" t="s">
        <v>5224</v>
      </c>
      <c r="N548" s="1096" t="s">
        <v>4631</v>
      </c>
      <c r="O548" s="1028"/>
      <c r="P548" s="1028" t="s">
        <v>780</v>
      </c>
      <c r="Q548" s="1097">
        <f t="shared" ref="Q548:Q551" ca="1" si="547">INDIRECT(P548)</f>
        <v>17</v>
      </c>
      <c r="R548" s="1034"/>
      <c r="S548" s="1028" t="s">
        <v>3616</v>
      </c>
      <c r="T548" s="1097">
        <f t="shared" ref="T548:T551" ca="1" si="548">INDIRECT(S548)</f>
        <v>17</v>
      </c>
      <c r="U548" s="1027">
        <v>3</v>
      </c>
      <c r="V548" s="1027">
        <f>IF((AP548+U548+VLOOKUP('Main Creation Page'!E$14,'System Lookups'!R$45:S$49,2))&gt;10,10,IF((AP548+U548+VLOOKUP('Main Creation Page'!E$14,'System Lookups'!R$45:S$49,2))&lt;1,1,(AP548+U548+VLOOKUP('Main Creation Page'!E$14,'System Lookups'!R$45:S$49,2))))</f>
        <v>4</v>
      </c>
      <c r="W548" s="1098" t="e">
        <f>IF(OR(I548&lt;&gt;"N",E548="C"),IF(AND(N548&lt;&gt;"T",ISNUMBER(FIND("V",I548))),1,0),NA())+IF(H548="Y",IF(AND(N548="P",ISNUMBER(FIND("Z",I548))),2,1),0)+IF(J548="Y",1,0)+IF(K548="Y",3,0)+IF(BE548="Lore",L548*2+Experience!$D$25,0)+IF(M548="Y",1,0)</f>
        <v>#N/A</v>
      </c>
      <c r="X548" s="1099"/>
      <c r="Y548" s="1100">
        <f ca="1">IF(P548="NS",IFERROR(INDIRECT(S548),NA()),VLOOKUP(INDIRECT(P548)+INDIRECT(S548),'System Lookups'!$A$3:$D$146,2))</f>
        <v>0.1</v>
      </c>
      <c r="Z548" s="1100">
        <f>IF(ISNA(W548),0,W548*0.03)+IF(X548&gt;0,X548*0.03,0)+IF(AND(ISNA(W548),X548&lt;=0),0,IF(G548&gt;0,G548*0.07,0))</f>
        <v>0</v>
      </c>
      <c r="AA548" s="1101">
        <f ca="1">IF(ISNA(Y548),0,Y548)+Z548+IF('Main Creation Page'!AB$2=37,'Main Creation Page'!E$14/100,0)</f>
        <v>0.1</v>
      </c>
      <c r="AB548" s="1102">
        <f>VLOOKUP(V548,'System Lookups'!$J$55:$P$64,3)</f>
        <v>0.2</v>
      </c>
      <c r="AC548" s="1103">
        <f>VLOOKUP(V548,'System Lookups'!$J$55:$P$64,4)</f>
        <v>0.3</v>
      </c>
      <c r="AD548" s="1104">
        <f>IF(AND(ISBLANK(X548),ISNA(W548)),IF(B548="~",0,AB548+AA548+IF(BB548&gt;0,0.05,0)),AA548+AC548+IF(BB548&gt;0,0.05,0))</f>
        <v>0</v>
      </c>
      <c r="AE548" s="1094">
        <f>(IF(AD548&gt;VLOOKUP(V548,'System Lookups'!$J$55:$P$63,6),(((AD548-VLOOKUP(V548,'System Lookups'!$J$55:$P$63,6))*100)/20),0))+AF548</f>
        <v>0</v>
      </c>
      <c r="AF548" s="1121"/>
      <c r="AG548" s="1092">
        <f>IF(ISBLANK(X548),0,AQ548*X548+IF(ISNA(W548),1,0))</f>
        <v>0</v>
      </c>
      <c r="AH548" s="1092" t="str">
        <f>IF(X548&lt;=Experience!$R$15+1,"","*")</f>
        <v/>
      </c>
      <c r="AI548" s="1092"/>
      <c r="AJ548" s="1080">
        <f t="shared" ref="AJ548:AJ551" si="549">IF(ISNUMBER(FIND("R",F548)),-1,0)</f>
        <v>0</v>
      </c>
      <c r="AK548" s="1080">
        <f>IF(F548="s",-2,0)</f>
        <v>0</v>
      </c>
      <c r="AL548" s="1080">
        <f t="shared" si="521"/>
        <v>0</v>
      </c>
      <c r="AM548" s="1092">
        <f>IF(J548="y",1,0)</f>
        <v>0</v>
      </c>
      <c r="AN548" s="1080">
        <f>IF(N548="P",-1,IF(N548="T",1,0))</f>
        <v>1</v>
      </c>
      <c r="AO548" s="1080">
        <f t="shared" si="522"/>
        <v>0</v>
      </c>
      <c r="AP548" s="1080">
        <f>SUM(AJ548:AN548)-AM548</f>
        <v>1</v>
      </c>
      <c r="AQ548" s="1027">
        <f>VLOOKUP(V548,'System Lookups'!$J$55:$P$64,7)</f>
        <v>600</v>
      </c>
      <c r="AR548" s="1080" t="str">
        <f ca="1">IF(AND(NOT(ISBLANK(AJ548)),ISNA(MATCH(ROW(),'System Lookups'!$C$526:$C$539,0))),"Y","N")</f>
        <v>Y</v>
      </c>
      <c r="AS548" s="1080">
        <f t="shared" si="543"/>
        <v>0</v>
      </c>
      <c r="AU548" s="1080" t="e">
        <f t="shared" si="531"/>
        <v>#N/A</v>
      </c>
      <c r="AV548" s="1080" t="str">
        <f t="shared" si="528"/>
        <v>T</v>
      </c>
      <c r="AW548" s="1080">
        <f t="shared" si="532"/>
        <v>0</v>
      </c>
      <c r="AX548" s="1080">
        <f t="shared" si="533"/>
        <v>0</v>
      </c>
      <c r="AY548" s="1080">
        <f t="shared" si="534"/>
        <v>0</v>
      </c>
      <c r="AZ548" s="1080">
        <f t="shared" si="535"/>
        <v>0</v>
      </c>
      <c r="BA548" s="1080">
        <f t="shared" si="536"/>
        <v>0</v>
      </c>
      <c r="BB548" s="1080">
        <f>IF(AND(RACE=1,'Main Creation Page'!$E$6="Well",OR(ISNUMBER(FIND(Experience!$G$11,BE548)),ISNUMBER(FIND(Experience!$G$11,BF548)),ISNUMBER(FIND(Experience!$I$11,BE548)),ISNUMBER(FIND(Experience!$I$11,BF548)))),1,0)</f>
        <v>1</v>
      </c>
      <c r="BC548" s="1080" t="str">
        <f t="shared" si="537"/>
        <v>Language of Fans</v>
      </c>
      <c r="BE548" s="1080" t="str">
        <f t="shared" si="529"/>
        <v>Lore</v>
      </c>
      <c r="BF548" s="1080" t="str">
        <f t="shared" si="530"/>
        <v>Lore Historical Skills</v>
      </c>
    </row>
    <row r="549" spans="1:58" ht="11.1" customHeight="1" outlineLevel="1">
      <c r="A549" s="1123" t="s">
        <v>1137</v>
      </c>
      <c r="B549" s="1094" t="s">
        <v>1942</v>
      </c>
      <c r="C549" s="1094"/>
      <c r="D549" s="1094"/>
      <c r="E549" s="1095" t="s">
        <v>5224</v>
      </c>
      <c r="F549" s="1095" t="str">
        <f>IF('Main Creation Page'!K5=3,IF('Main Creation Page'!$C$3=2, "R", "N"),"N")</f>
        <v>N</v>
      </c>
      <c r="G549" s="1096">
        <v>0</v>
      </c>
      <c r="H549" s="1096" t="s">
        <v>5224</v>
      </c>
      <c r="I549" s="1096" t="s">
        <v>5224</v>
      </c>
      <c r="J549" s="1096" t="s">
        <v>5224</v>
      </c>
      <c r="K549" s="1096" t="s">
        <v>5224</v>
      </c>
      <c r="L549" s="1096">
        <v>0</v>
      </c>
      <c r="M549" s="1096" t="s">
        <v>5224</v>
      </c>
      <c r="N549" s="1096" t="s">
        <v>4631</v>
      </c>
      <c r="O549" s="1028"/>
      <c r="P549" s="1028" t="s">
        <v>780</v>
      </c>
      <c r="Q549" s="1097">
        <f t="shared" ca="1" si="547"/>
        <v>17</v>
      </c>
      <c r="R549" s="1034"/>
      <c r="S549" s="1028" t="s">
        <v>3616</v>
      </c>
      <c r="T549" s="1097">
        <f t="shared" ca="1" si="548"/>
        <v>17</v>
      </c>
      <c r="U549" s="1027">
        <v>2</v>
      </c>
      <c r="V549" s="1027">
        <f>IF((AP549+U549+VLOOKUP('Main Creation Page'!E$14,'System Lookups'!R$45:S$49,2))&gt;10,10,IF((AP549+U549+VLOOKUP('Main Creation Page'!E$14,'System Lookups'!R$45:S$49,2))&lt;1,1,(AP549+U549+VLOOKUP('Main Creation Page'!E$14,'System Lookups'!R$45:S$49,2))))</f>
        <v>3</v>
      </c>
      <c r="W549" s="1098" t="e">
        <f>IF(OR(I549&lt;&gt;"N",E549="C"),IF(AND(N549&lt;&gt;"T",ISNUMBER(FIND("V",I549))),1,0),NA())+IF(H549="Y",IF(AND(N549="P",ISNUMBER(FIND("Z",I549))),2,1),0)+IF(J549="Y",1,0)+IF(K549="Y",3,0)+IF(BE549="Lore",L549*2+Experience!$D$25,0)+IF(M549="Y",1,0)</f>
        <v>#N/A</v>
      </c>
      <c r="X549" s="1099"/>
      <c r="Y549" s="1100">
        <f ca="1">IF(P549="NS",IFERROR(INDIRECT(S549),NA()),VLOOKUP(INDIRECT(P549)+INDIRECT(S549),'System Lookups'!$A$3:$D$146,2))</f>
        <v>0.1</v>
      </c>
      <c r="Z549" s="1100">
        <f>IF(ISNA(W549),0,W549*0.03)+IF(X549&gt;0,X549*0.03,0)+IF(AND(ISNA(W549),X549&lt;=0),0,IF(G549&gt;0,G549*0.07,0))</f>
        <v>0</v>
      </c>
      <c r="AA549" s="1101">
        <f ca="1">IF(ISNA(Y549),0,Y549)+Z549+IF('Main Creation Page'!AB$2=37,'Main Creation Page'!E$14/100,0)</f>
        <v>0.1</v>
      </c>
      <c r="AB549" s="1102">
        <f>VLOOKUP(V549,'System Lookups'!$J$55:$P$64,3)</f>
        <v>0.3</v>
      </c>
      <c r="AC549" s="1103">
        <f>VLOOKUP(V549,'System Lookups'!$J$55:$P$64,4)</f>
        <v>0.4</v>
      </c>
      <c r="AD549" s="1104">
        <f>IF(AND(ISBLANK(X549),ISNA(W549)),IF(B549="~",0,AB549+AA549+IF(BB549&gt;0,0.05,0)),AA549+AC549+IF(BB549&gt;0,0.05,0))</f>
        <v>0</v>
      </c>
      <c r="AE549" s="1094">
        <f>(IF(AD549&gt;VLOOKUP(V549,'System Lookups'!$J$55:$P$63,6),(((AD549-VLOOKUP(V549,'System Lookups'!$J$55:$P$63,6))*100)/20),0))+AF549</f>
        <v>0</v>
      </c>
      <c r="AF549" s="1121"/>
      <c r="AG549" s="1092">
        <f>IF(ISBLANK(X549),0,AQ549*X549+IF(ISNA(W549),1,0))</f>
        <v>0</v>
      </c>
      <c r="AH549" s="1092" t="str">
        <f>IF(X549&lt;=Experience!$R$15+1,"","*")</f>
        <v/>
      </c>
      <c r="AI549" s="1092"/>
      <c r="AJ549" s="1080">
        <f t="shared" si="549"/>
        <v>0</v>
      </c>
      <c r="AK549" s="1080">
        <f>IF(F549="s",-2,0)</f>
        <v>0</v>
      </c>
      <c r="AL549" s="1080">
        <f t="shared" si="521"/>
        <v>0</v>
      </c>
      <c r="AM549" s="1092">
        <f>IF(J549="y",1,0)</f>
        <v>0</v>
      </c>
      <c r="AN549" s="1080">
        <f>IF(N549="P",-1,IF(N549="T",1,0))</f>
        <v>1</v>
      </c>
      <c r="AO549" s="1080">
        <f t="shared" si="522"/>
        <v>0</v>
      </c>
      <c r="AP549" s="1080">
        <f>SUM(AJ549:AN549)-AM549</f>
        <v>1</v>
      </c>
      <c r="AQ549" s="1027">
        <f>VLOOKUP(V549,'System Lookups'!$J$55:$P$64,7)</f>
        <v>500</v>
      </c>
      <c r="AR549" s="1080" t="str">
        <f ca="1">IF(AND(NOT(ISBLANK(AJ549)),ISNA(MATCH(ROW(),'System Lookups'!$C$526:$C$539,0))),"Y","N")</f>
        <v>Y</v>
      </c>
      <c r="AS549" s="1080">
        <f t="shared" si="543"/>
        <v>0</v>
      </c>
      <c r="AU549" s="1080" t="e">
        <f t="shared" si="531"/>
        <v>#N/A</v>
      </c>
      <c r="AV549" s="1080" t="str">
        <f t="shared" si="528"/>
        <v>T</v>
      </c>
      <c r="AW549" s="1080">
        <f t="shared" si="532"/>
        <v>0</v>
      </c>
      <c r="AX549" s="1080">
        <f t="shared" si="533"/>
        <v>0</v>
      </c>
      <c r="AY549" s="1080">
        <f t="shared" si="534"/>
        <v>0</v>
      </c>
      <c r="AZ549" s="1080">
        <f t="shared" si="535"/>
        <v>0</v>
      </c>
      <c r="BA549" s="1080">
        <f t="shared" si="536"/>
        <v>0</v>
      </c>
      <c r="BB549" s="1080">
        <f>IF(AND(RACE=1,'Main Creation Page'!$E$6="Well",OR(ISNUMBER(FIND(Experience!$G$11,BE549)),ISNUMBER(FIND(Experience!$G$11,BF549)),ISNUMBER(FIND(Experience!$I$11,BE549)),ISNUMBER(FIND(Experience!$I$11,BF549)))),1,0)</f>
        <v>1</v>
      </c>
      <c r="BC549" s="1080" t="str">
        <f t="shared" si="537"/>
        <v>Language of Flowers (Selam)</v>
      </c>
      <c r="BE549" s="1080" t="str">
        <f t="shared" si="529"/>
        <v>Lore</v>
      </c>
      <c r="BF549" s="1080" t="str">
        <f t="shared" si="530"/>
        <v>Lore Historical Skills</v>
      </c>
    </row>
    <row r="550" spans="1:58" ht="11.1" customHeight="1" outlineLevel="1">
      <c r="A550" s="1123" t="s">
        <v>5655</v>
      </c>
      <c r="B550" s="1094" t="s">
        <v>1942</v>
      </c>
      <c r="C550" s="1094"/>
      <c r="D550" s="1094"/>
      <c r="E550" s="1095" t="s">
        <v>5224</v>
      </c>
      <c r="F550" s="1095" t="str">
        <f>IF('Main Creation Page'!K7=3,IF('Main Creation Page'!$C$3=2, "R", "N"),"N")</f>
        <v>N</v>
      </c>
      <c r="G550" s="1096">
        <v>0</v>
      </c>
      <c r="H550" s="1096" t="s">
        <v>5224</v>
      </c>
      <c r="I550" s="1096" t="s">
        <v>5224</v>
      </c>
      <c r="J550" s="1096" t="s">
        <v>5224</v>
      </c>
      <c r="K550" s="1096" t="s">
        <v>5224</v>
      </c>
      <c r="L550" s="1096">
        <v>0</v>
      </c>
      <c r="M550" s="1096" t="s">
        <v>5224</v>
      </c>
      <c r="N550" s="1096" t="s">
        <v>4631</v>
      </c>
      <c r="O550" s="1028"/>
      <c r="P550" s="1028" t="s">
        <v>780</v>
      </c>
      <c r="Q550" s="1097">
        <f t="shared" ca="1" si="547"/>
        <v>17</v>
      </c>
      <c r="R550" s="1034"/>
      <c r="S550" s="1028" t="s">
        <v>3616</v>
      </c>
      <c r="T550" s="1097">
        <f t="shared" ca="1" si="548"/>
        <v>17</v>
      </c>
      <c r="U550" s="1027">
        <v>3</v>
      </c>
      <c r="V550" s="1027">
        <f>IF((AP550+U550+VLOOKUP('Main Creation Page'!E$14,'System Lookups'!R$45:S$49,2))&gt;10,10,IF((AP550+U550+VLOOKUP('Main Creation Page'!E$14,'System Lookups'!R$45:S$49,2))&lt;1,1,(AP550+U550+VLOOKUP('Main Creation Page'!E$14,'System Lookups'!R$45:S$49,2))))</f>
        <v>4</v>
      </c>
      <c r="W550" s="1098" t="e">
        <f>IF(OR(I550&lt;&gt;"N",E550="C"),IF(AND(N550&lt;&gt;"T",ISNUMBER(FIND("V",I550))),1,0),NA())+IF(H550="Y",IF(AND(N550="P",ISNUMBER(FIND("Z",I550))),2,1),0)+IF(J550="Y",1,0)+IF(K550="Y",3,0)+IF(BE550="Lore",L550*2+Experience!$D$25,0)+IF(M550="Y",1,0)</f>
        <v>#N/A</v>
      </c>
      <c r="X550" s="1099"/>
      <c r="Y550" s="1100">
        <f ca="1">IF(P550="NS",IFERROR(INDIRECT(S550),NA()),VLOOKUP(INDIRECT(P550)+INDIRECT(S550),'System Lookups'!$A$3:$D$146,2))</f>
        <v>0.1</v>
      </c>
      <c r="Z550" s="1100">
        <f>IF(ISNA(W550),0,W550*0.03)+IF(X550&gt;0,X550*0.03,0)+IF(AND(ISNA(W550),X550&lt;=0),0,IF(G550&gt;0,G550*0.07,0))</f>
        <v>0</v>
      </c>
      <c r="AA550" s="1101">
        <f ca="1">IF(ISNA(Y550),0,Y550)+Z550+IF('Main Creation Page'!AB$2=37,'Main Creation Page'!E$14/100,0)</f>
        <v>0.1</v>
      </c>
      <c r="AB550" s="1102">
        <f>VLOOKUP(V550,'System Lookups'!$J$55:$P$64,3)</f>
        <v>0.2</v>
      </c>
      <c r="AC550" s="1103">
        <f>VLOOKUP(V550,'System Lookups'!$J$55:$P$64,4)</f>
        <v>0.3</v>
      </c>
      <c r="AD550" s="1104">
        <f>IF(AND(ISBLANK(X550),ISNA(W550)),IF(B550="~",0,AB550+AA550+IF(BB550&gt;0,0.05,0)),AA550+AC550+IF(BB550&gt;0,0.05,0))</f>
        <v>0</v>
      </c>
      <c r="AE550" s="1094">
        <f>(IF(AD550&gt;VLOOKUP(V550,'System Lookups'!$J$55:$P$63,6),(((AD550-VLOOKUP(V550,'System Lookups'!$J$55:$P$63,6))*100)/20),0))+AF550</f>
        <v>0</v>
      </c>
      <c r="AF550" s="1121"/>
      <c r="AG550" s="1092">
        <f>IF(ISBLANK(X550),0,AQ550*X550+IF(ISNA(W550),1,0))</f>
        <v>0</v>
      </c>
      <c r="AH550" s="1092" t="str">
        <f>IF(X550&lt;=Experience!$R$15+1,"","*")</f>
        <v/>
      </c>
      <c r="AI550" s="1092"/>
      <c r="AJ550" s="1080">
        <f t="shared" si="549"/>
        <v>0</v>
      </c>
      <c r="AK550" s="1080">
        <f>IF(F550="s",-2,0)</f>
        <v>0</v>
      </c>
      <c r="AL550" s="1080">
        <f t="shared" si="521"/>
        <v>0</v>
      </c>
      <c r="AM550" s="1092">
        <f>IF(J550="y",1,0)</f>
        <v>0</v>
      </c>
      <c r="AN550" s="1080">
        <f>IF(N550="P",-1,IF(N550="T",1,0))</f>
        <v>1</v>
      </c>
      <c r="AO550" s="1080">
        <f t="shared" si="522"/>
        <v>0</v>
      </c>
      <c r="AP550" s="1080">
        <f>SUM(AJ550:AN550)-AM550</f>
        <v>1</v>
      </c>
      <c r="AQ550" s="1027">
        <f>VLOOKUP(V550,'System Lookups'!$J$55:$P$64,7)</f>
        <v>600</v>
      </c>
      <c r="AR550" s="1080" t="str">
        <f ca="1">IF(AND(NOT(ISBLANK(AJ550)),ISNA(MATCH(ROW(),'System Lookups'!$C$526:$C$539,0))),"Y","N")</f>
        <v>Y</v>
      </c>
      <c r="AS550" s="1080">
        <f t="shared" si="543"/>
        <v>0</v>
      </c>
      <c r="AU550" s="1080" t="e">
        <f t="shared" si="531"/>
        <v>#N/A</v>
      </c>
      <c r="AV550" s="1080" t="str">
        <f t="shared" si="528"/>
        <v>T</v>
      </c>
      <c r="AW550" s="1080">
        <f t="shared" si="532"/>
        <v>0</v>
      </c>
      <c r="AX550" s="1080">
        <f t="shared" si="533"/>
        <v>0</v>
      </c>
      <c r="AY550" s="1080">
        <f t="shared" si="534"/>
        <v>0</v>
      </c>
      <c r="AZ550" s="1080">
        <f t="shared" si="535"/>
        <v>0</v>
      </c>
      <c r="BA550" s="1080">
        <f t="shared" si="536"/>
        <v>0</v>
      </c>
      <c r="BB550" s="1080">
        <f>IF(AND(RACE=1,'Main Creation Page'!$E$6="Well",OR(ISNUMBER(FIND(Experience!$G$11,BE550)),ISNUMBER(FIND(Experience!$G$11,BF550)),ISNUMBER(FIND(Experience!$I$11,BE550)),ISNUMBER(FIND(Experience!$I$11,BF550)))),1,0)</f>
        <v>1</v>
      </c>
      <c r="BC550" s="1080" t="str">
        <f t="shared" si="537"/>
        <v>Language of Lapidary (Stones)</v>
      </c>
      <c r="BE550" s="1080" t="str">
        <f t="shared" si="529"/>
        <v>Lore</v>
      </c>
      <c r="BF550" s="1080" t="str">
        <f t="shared" si="530"/>
        <v>Lore Historical Skills</v>
      </c>
    </row>
    <row r="551" spans="1:58" ht="11.1" customHeight="1" outlineLevel="1">
      <c r="A551" s="1123" t="s">
        <v>5591</v>
      </c>
      <c r="B551" s="1094"/>
      <c r="C551" s="1094"/>
      <c r="D551" s="1094"/>
      <c r="E551" s="1095" t="s">
        <v>5224</v>
      </c>
      <c r="F551" s="1095" t="str">
        <f>IF('Main Creation Page'!K6=3,IF('Main Creation Page'!$C$3=2, "R", "N"),"N")</f>
        <v>N</v>
      </c>
      <c r="G551" s="1096">
        <v>0</v>
      </c>
      <c r="H551" s="1096" t="s">
        <v>5224</v>
      </c>
      <c r="I551" s="1096" t="s">
        <v>5224</v>
      </c>
      <c r="J551" s="1096" t="s">
        <v>5224</v>
      </c>
      <c r="K551" s="1096" t="s">
        <v>5224</v>
      </c>
      <c r="L551" s="1096">
        <v>0</v>
      </c>
      <c r="M551" s="1096" t="s">
        <v>5224</v>
      </c>
      <c r="N551" s="1096" t="s">
        <v>4631</v>
      </c>
      <c r="O551" s="1028"/>
      <c r="P551" s="1028" t="s">
        <v>780</v>
      </c>
      <c r="Q551" s="1097">
        <f t="shared" ca="1" si="547"/>
        <v>17</v>
      </c>
      <c r="R551" s="1034"/>
      <c r="S551" s="1028" t="s">
        <v>3616</v>
      </c>
      <c r="T551" s="1097">
        <f t="shared" ca="1" si="548"/>
        <v>17</v>
      </c>
      <c r="U551" s="1027">
        <v>3</v>
      </c>
      <c r="V551" s="1027">
        <f>IF((AP551+U551+VLOOKUP('Main Creation Page'!E$14,'System Lookups'!R$45:S$49,2))&gt;10,10,IF((AP551+U551+VLOOKUP('Main Creation Page'!E$14,'System Lookups'!R$45:S$49,2))&lt;1,1,(AP551+U551+VLOOKUP('Main Creation Page'!E$14,'System Lookups'!R$45:S$49,2))))</f>
        <v>4</v>
      </c>
      <c r="W551" s="1098" t="e">
        <f>IF(OR(I551&lt;&gt;"N",E551="C"),IF(AND(N551&lt;&gt;"T",ISNUMBER(FIND("V",I551))),1,0),NA())+IF(H551="Y",IF(AND(N551="P",ISNUMBER(FIND("Z",I551))),2,1),0)+IF(J551="Y",1,0)+IF(K551="Y",3,0)+IF(BE551="Lore",L551*2+Experience!$D$25,0)+IF(M551="Y",1,0)</f>
        <v>#N/A</v>
      </c>
      <c r="X551" s="1099"/>
      <c r="Y551" s="1100">
        <f ca="1">IF(P551="NS",IFERROR(INDIRECT(S551),NA()),VLOOKUP(INDIRECT(P551)+INDIRECT(S551),'System Lookups'!$A$3:$D$146,2))</f>
        <v>0.1</v>
      </c>
      <c r="Z551" s="1100">
        <f>IF(ISNA(W551),0,W551*0.03)+IF(X551&gt;0,X551*0.03,0)+IF(AND(ISNA(W551),X551&lt;=0),0,IF(G551&gt;0,G551*0.07,0))</f>
        <v>0</v>
      </c>
      <c r="AA551" s="1101">
        <f ca="1">IF(ISNA(Y551),0,Y551)+Z551+IF('Main Creation Page'!AB$2=37,'Main Creation Page'!E$14/100,0)</f>
        <v>0.1</v>
      </c>
      <c r="AB551" s="1102">
        <f>VLOOKUP(V551,'System Lookups'!$J$55:$P$64,3)</f>
        <v>0.2</v>
      </c>
      <c r="AC551" s="1103">
        <f>VLOOKUP(V551,'System Lookups'!$J$55:$P$64,4)</f>
        <v>0.3</v>
      </c>
      <c r="AD551" s="1104">
        <f ca="1">IF(AND(ISBLANK(X551),ISNA(W551)),IF(B551="~",0,AB551+AA551+IF(BB551&gt;0,0.05,0)),AA551+AC551+IF(BB551&gt;0,0.05,0))</f>
        <v>0.35000000000000003</v>
      </c>
      <c r="AE551" s="1094">
        <f ca="1">(IF(AD551&gt;VLOOKUP(V551,'System Lookups'!$J$55:$P$63,6),(((AD551-VLOOKUP(V551,'System Lookups'!$J$55:$P$63,6))*100)/20),0))+AF551</f>
        <v>0</v>
      </c>
      <c r="AF551" s="1121"/>
      <c r="AG551" s="1092">
        <f>IF(ISBLANK(X551),0,AQ551*X551+IF(ISNA(W551),1,0))</f>
        <v>0</v>
      </c>
      <c r="AH551" s="1092" t="str">
        <f>IF(X551&lt;=Experience!$R$15+1,"","*")</f>
        <v/>
      </c>
      <c r="AI551" s="1092"/>
      <c r="AJ551" s="1080">
        <f t="shared" si="549"/>
        <v>0</v>
      </c>
      <c r="AK551" s="1080">
        <f>IF(F551="s",-2,0)</f>
        <v>0</v>
      </c>
      <c r="AL551" s="1080">
        <f t="shared" ref="AL551" si="550">IF(AND(H551="Y",OR(N551="P",N551="S")),-1,0)</f>
        <v>0</v>
      </c>
      <c r="AM551" s="1092">
        <f>IF(J551="y",1,0)</f>
        <v>0</v>
      </c>
      <c r="AN551" s="1080">
        <f>IF(N551="P",-1,IF(N551="T",1,0))</f>
        <v>1</v>
      </c>
      <c r="AO551" s="1080">
        <f t="shared" ref="AO551" si="551">IF(ISNUMBER(FIND("Z",I551)),1,0)</f>
        <v>0</v>
      </c>
      <c r="AP551" s="1080">
        <f>SUM(AJ551:AN551)-AM551</f>
        <v>1</v>
      </c>
      <c r="AQ551" s="1027">
        <f>VLOOKUP(V551,'System Lookups'!$J$55:$P$64,7)</f>
        <v>600</v>
      </c>
      <c r="AR551" s="1080" t="str">
        <f ca="1">IF(AND(NOT(ISBLANK(AJ551)),ISNA(MATCH(ROW(),'System Lookups'!$C$526:$C$539,0))),"Y","N")</f>
        <v>Y</v>
      </c>
      <c r="AS551" s="1080">
        <f t="shared" si="543"/>
        <v>0</v>
      </c>
      <c r="AU551" s="1080" t="e">
        <f t="shared" si="531"/>
        <v>#N/A</v>
      </c>
      <c r="AV551" s="1080" t="str">
        <f t="shared" si="528"/>
        <v>T</v>
      </c>
      <c r="AW551" s="1080">
        <f t="shared" si="532"/>
        <v>0</v>
      </c>
      <c r="AX551" s="1080">
        <f t="shared" si="533"/>
        <v>0</v>
      </c>
      <c r="AY551" s="1080">
        <f t="shared" si="534"/>
        <v>0</v>
      </c>
      <c r="AZ551" s="1080">
        <f t="shared" si="535"/>
        <v>0</v>
      </c>
      <c r="BA551" s="1080">
        <f t="shared" si="536"/>
        <v>0</v>
      </c>
      <c r="BB551" s="1080">
        <f>IF(AND(RACE=1,'Main Creation Page'!$E$6="Well",OR(ISNUMBER(FIND(Experience!$G$11,BE551)),ISNUMBER(FIND(Experience!$G$11,BF551)),ISNUMBER(FIND(Experience!$I$11,BE551)),ISNUMBER(FIND(Experience!$I$11,BF551)))),1,0)</f>
        <v>1</v>
      </c>
      <c r="BC551" s="1080" t="str">
        <f t="shared" si="537"/>
        <v>Military Historical Lore</v>
      </c>
      <c r="BE551" s="1080" t="str">
        <f t="shared" si="529"/>
        <v>Lore</v>
      </c>
      <c r="BF551" s="1080" t="str">
        <f t="shared" si="530"/>
        <v>Lore Historical Skills</v>
      </c>
    </row>
    <row r="552" spans="1:58" ht="11.1" customHeight="1" outlineLevel="1">
      <c r="B552" s="1111"/>
      <c r="C552" s="1111"/>
      <c r="D552" s="1111"/>
      <c r="V552" s="1027"/>
      <c r="W552" s="1112"/>
      <c r="AE552" s="1094"/>
      <c r="AF552" s="1121"/>
      <c r="AQ552" s="1027"/>
      <c r="AR552" s="1080" t="str">
        <f ca="1">IF(AND(NOT(ISBLANK(AJ552)),ISNA(MATCH(ROW(),'System Lookups'!$C$526:$C$539,0))),"Y","N")</f>
        <v>N</v>
      </c>
      <c r="AU552" s="1080" t="e">
        <f t="shared" si="531"/>
        <v>#N/A</v>
      </c>
      <c r="AV552" s="1080" t="str">
        <f t="shared" si="528"/>
        <v/>
      </c>
      <c r="AW552" s="1080">
        <f t="shared" si="532"/>
        <v>0</v>
      </c>
      <c r="AX552" s="1080">
        <f t="shared" si="533"/>
        <v>0</v>
      </c>
      <c r="AY552" s="1080">
        <f t="shared" si="534"/>
        <v>0</v>
      </c>
      <c r="AZ552" s="1080">
        <f t="shared" si="535"/>
        <v>0</v>
      </c>
      <c r="BA552" s="1080">
        <f t="shared" si="536"/>
        <v>0</v>
      </c>
      <c r="BB552" s="1080">
        <f>IF(AND(RACE=1,'Main Creation Page'!$E$6="Well",OR(ISNUMBER(FIND(Experience!$G$11,BE552)),ISNUMBER(FIND(Experience!$G$11,BF552)),ISNUMBER(FIND(Experience!$I$11,BE552)),ISNUMBER(FIND(Experience!$I$11,BF552)))),1,0)</f>
        <v>1</v>
      </c>
      <c r="BC552" s="1080" t="e">
        <f t="shared" si="537"/>
        <v>#N/A</v>
      </c>
      <c r="BE552" s="1080" t="str">
        <f t="shared" si="529"/>
        <v>Lore</v>
      </c>
      <c r="BF552" s="1080" t="str">
        <f t="shared" si="530"/>
        <v>Lore Historical Skills</v>
      </c>
    </row>
    <row r="553" spans="1:58" ht="10.5" customHeight="1">
      <c r="A553" s="1087" t="s">
        <v>55</v>
      </c>
      <c r="B553" s="1091"/>
      <c r="C553" s="1091"/>
      <c r="D553" s="1091"/>
      <c r="F553" s="1027"/>
      <c r="G553" s="1027"/>
      <c r="H553" s="1027"/>
      <c r="I553" s="1085"/>
      <c r="J553" s="1085"/>
      <c r="K553" s="1085"/>
      <c r="L553" s="1085"/>
      <c r="M553" s="1085"/>
      <c r="N553" s="1027"/>
      <c r="O553" s="1027"/>
      <c r="P553" s="1027"/>
      <c r="Q553" s="1027"/>
      <c r="R553" s="1027"/>
      <c r="S553" s="1113"/>
      <c r="T553" s="1113"/>
      <c r="U553" s="1085"/>
      <c r="V553" s="1027"/>
      <c r="W553" s="1028"/>
      <c r="X553" s="1114"/>
      <c r="AE553" s="1094"/>
      <c r="AF553" s="1121"/>
      <c r="AG553" s="1092">
        <f>SUM(AG554:AG586)</f>
        <v>0</v>
      </c>
      <c r="AH553" s="1092"/>
      <c r="AI553" s="1092">
        <f>SUM(AI554:AI586)</f>
        <v>0</v>
      </c>
      <c r="AM553" s="1092"/>
      <c r="AR553" s="1080" t="str">
        <f ca="1">IF(AND(NOT(ISBLANK(AJ553)),ISNA(MATCH(ROW(),'System Lookups'!$C$526:$C$539,0))),"Y","N")</f>
        <v>N</v>
      </c>
      <c r="AU553" s="1080" t="e">
        <f t="shared" si="531"/>
        <v>#N/A</v>
      </c>
      <c r="AV553" s="1080" t="str">
        <f t="shared" si="528"/>
        <v/>
      </c>
      <c r="AW553" s="1080">
        <f t="shared" si="532"/>
        <v>0</v>
      </c>
      <c r="AX553" s="1080">
        <f t="shared" si="533"/>
        <v>0</v>
      </c>
      <c r="AY553" s="1080">
        <f t="shared" si="534"/>
        <v>0</v>
      </c>
      <c r="AZ553" s="1080">
        <f t="shared" si="535"/>
        <v>0</v>
      </c>
      <c r="BA553" s="1080">
        <f t="shared" si="536"/>
        <v>0</v>
      </c>
      <c r="BB553" s="1080">
        <f>IF(AND(RACE=1,'Main Creation Page'!$E$6="Well",OR(ISNUMBER(FIND(Experience!$G$11,BE553)),ISNUMBER(FIND(Experience!$G$11,BF553)),ISNUMBER(FIND(Experience!$I$11,BE553)),ISNUMBER(FIND(Experience!$I$11,BF553)))),1,0)</f>
        <v>1</v>
      </c>
      <c r="BC553" s="1080" t="str">
        <f t="shared" si="537"/>
        <v>Lore Scientific Skills</v>
      </c>
      <c r="BE553" s="1080" t="str">
        <f t="shared" si="529"/>
        <v>Lore</v>
      </c>
      <c r="BF553" s="1080" t="str">
        <f t="shared" si="530"/>
        <v>Lore Scientific Skills</v>
      </c>
    </row>
    <row r="554" spans="1:58" ht="11.1" customHeight="1" outlineLevel="1">
      <c r="A554" s="1126" t="s">
        <v>687</v>
      </c>
      <c r="B554" s="1094"/>
      <c r="C554" s="1094"/>
      <c r="D554" s="1094"/>
      <c r="E554" s="1095" t="str">
        <f>IF('Main Creation Page'!$E$14&gt;=12,"C",IF(OR('Main Creation Page'!C3=3,AND('Main Creation Page'!C3=2,'Main Creation Page'!E26&lt;&gt;"Half Blood")),"C","N"))</f>
        <v>C</v>
      </c>
      <c r="F554" s="1095" t="s">
        <v>5224</v>
      </c>
      <c r="G554" s="1096">
        <v>0</v>
      </c>
      <c r="H554" s="1096" t="s">
        <v>5224</v>
      </c>
      <c r="I554" s="1096" t="s">
        <v>5224</v>
      </c>
      <c r="J554" s="1096" t="s">
        <v>5224</v>
      </c>
      <c r="K554" s="1096" t="s">
        <v>5224</v>
      </c>
      <c r="L554" s="1096">
        <v>0</v>
      </c>
      <c r="M554" s="1096" t="s">
        <v>5224</v>
      </c>
      <c r="N554" s="1096" t="s">
        <v>4630</v>
      </c>
      <c r="P554" s="1113" t="s">
        <v>13</v>
      </c>
      <c r="S554" s="1113" t="s">
        <v>13</v>
      </c>
      <c r="T554" s="1113"/>
      <c r="U554" s="1027">
        <v>1</v>
      </c>
      <c r="V554" s="1027">
        <f>IF(AP554+U554&gt;10,10,IF(AP554+U554&lt;1,1,AP554+U554))</f>
        <v>1</v>
      </c>
      <c r="W554" s="1098">
        <f>IF(OR(I554&lt;&gt;"N",E554="C"),IF(AND(N554&lt;&gt;"T",ISNUMBER(FIND("V",I554))),1,0),NA())+IF(H554="Y",IF(AND(N554="P",ISNUMBER(FIND("Z",I554))),2,1),0)+IF(J554="Y",1,0)+IF(K554="Y",3,0)+IF(BE554="Lore",L554*2+Experience!$D$25,0)+IF(M554="Y",1,0)</f>
        <v>4</v>
      </c>
      <c r="X554" s="1099"/>
      <c r="Y554" s="1100" t="e">
        <f ca="1">IF(P554="NS",IFERROR(INDIRECT(S554),NA()),VLOOKUP(INDIRECT(P554)+INDIRECT(S554),'System Lookups'!$A$3:$D$146,2))</f>
        <v>#N/A</v>
      </c>
      <c r="Z554" s="1100">
        <f>IF(ISNA(W554),0,W554*0.03)+IF(X554&gt;0,X554*0.03,0)+IF(AND(ISNA(W554),X554&lt;=0),0,IF(G554&gt;0,G554*0.07,0))</f>
        <v>0.12</v>
      </c>
      <c r="AA554" s="1101">
        <f ca="1">IF(ISNA(Y554),0,Y554)+Z554+IF('Main Creation Page'!AB$2=37,'Main Creation Page'!E$14/100,0)</f>
        <v>0.12</v>
      </c>
      <c r="AB554" s="1102">
        <f>VLOOKUP(V554,'System Lookups'!$J$55:$P$64,3)</f>
        <v>0.5</v>
      </c>
      <c r="AC554" s="1103">
        <f>VLOOKUP(V554,'System Lookups'!$J$55:$P$64,4)</f>
        <v>0.6</v>
      </c>
      <c r="AD554" s="1104">
        <f ca="1">IF(AND(ISBLANK(X554),ISNA(W554)),IF(B554="~",0,AB554+AA554+IF(BB554&gt;0,0.05,0)),AA554+AC554+IF(BB554&gt;0,0.05,0))</f>
        <v>0.77</v>
      </c>
      <c r="AE554" s="1094">
        <f ca="1">(IF(AD554&gt;VLOOKUP(V554,'System Lookups'!$J$55:$P$63,6),(((AD554-VLOOKUP(V554,'System Lookups'!$J$55:$P$63,6))*100)/20),0))+AF554</f>
        <v>0</v>
      </c>
      <c r="AF554" s="1121"/>
      <c r="AG554" s="1092">
        <f>IF(ISBLANK(X554),0,AQ554*X554+IF(ISNA(W554),1,0))</f>
        <v>0</v>
      </c>
      <c r="AH554" s="1092" t="str">
        <f>IF(X554&lt;=Experience!$R$15+1,"","*")</f>
        <v/>
      </c>
      <c r="AI554" s="1092"/>
      <c r="AJ554" s="1080">
        <f t="shared" ref="AJ554:AJ556" si="552">IF(ISNUMBER(FIND("R",F554)),-1,0)</f>
        <v>0</v>
      </c>
      <c r="AK554" s="1080">
        <f>IF(F554="s",-2,0)</f>
        <v>0</v>
      </c>
      <c r="AL554" s="1080">
        <f t="shared" ref="AL554:AL556" si="553">IF(AND(H554="Y",OR(N554="P",N554="S")),-1,0)</f>
        <v>0</v>
      </c>
      <c r="AM554" s="1092">
        <f>IF(J554="y",1,0)</f>
        <v>0</v>
      </c>
      <c r="AN554" s="1080">
        <f>IF(N554="P",-1,IF(N554="T",1,0))</f>
        <v>0</v>
      </c>
      <c r="AO554" s="1080">
        <f t="shared" ref="AO554:AO556" si="554">IF(ISNUMBER(FIND("Z",I554)),1,0)</f>
        <v>0</v>
      </c>
      <c r="AP554" s="1080">
        <f>SUM(AJ554:AN554)-AM554</f>
        <v>0</v>
      </c>
      <c r="AQ554" s="1027">
        <f>VLOOKUP(V554,'System Lookups'!$J$55:$P$64,7)</f>
        <v>300</v>
      </c>
      <c r="AR554" s="1080" t="str">
        <f ca="1">IF(AND(NOT(ISBLANK(AJ554)),ISNA(MATCH(ROW(),'System Lookups'!$C$526:$C$539,0))),"Y","N")</f>
        <v>Y</v>
      </c>
      <c r="AS554" s="1080">
        <f>AG554-AI554</f>
        <v>0</v>
      </c>
      <c r="AU554" s="1080">
        <f t="shared" si="531"/>
        <v>4</v>
      </c>
      <c r="AV554" s="1080" t="str">
        <f t="shared" si="528"/>
        <v>CS</v>
      </c>
      <c r="AW554" s="1080">
        <f t="shared" si="532"/>
        <v>0</v>
      </c>
      <c r="AX554" s="1080">
        <f t="shared" si="533"/>
        <v>0</v>
      </c>
      <c r="AY554" s="1080">
        <f t="shared" si="534"/>
        <v>0</v>
      </c>
      <c r="AZ554" s="1080">
        <f t="shared" si="535"/>
        <v>0</v>
      </c>
      <c r="BA554" s="1080">
        <f t="shared" si="536"/>
        <v>0</v>
      </c>
      <c r="BB554" s="1080">
        <f>IF(AND(RACE=1,'Main Creation Page'!$E$6="Well",OR(ISNUMBER(FIND(Experience!$G$11,BE554)),ISNUMBER(FIND(Experience!$G$11,BF554)),ISNUMBER(FIND(Experience!$I$11,BE554)),ISNUMBER(FIND(Experience!$I$11,BF554)))),1,0)</f>
        <v>1</v>
      </c>
      <c r="BC554" s="1080" t="str">
        <f t="shared" si="537"/>
        <v>Accurate Counting</v>
      </c>
      <c r="BE554" s="1080" t="str">
        <f t="shared" si="529"/>
        <v>Lore</v>
      </c>
      <c r="BF554" s="1080" t="str">
        <f t="shared" si="530"/>
        <v>Lore Scientific Skills</v>
      </c>
    </row>
    <row r="555" spans="1:58" ht="11.1" customHeight="1" outlineLevel="1">
      <c r="A555" s="1123" t="s">
        <v>5583</v>
      </c>
      <c r="B555" s="1094" t="s">
        <v>1942</v>
      </c>
      <c r="C555" s="1094"/>
      <c r="D555" s="1094"/>
      <c r="E555" s="1095" t="s">
        <v>5224</v>
      </c>
      <c r="F555" s="1095" t="s">
        <v>5224</v>
      </c>
      <c r="G555" s="1096">
        <v>0</v>
      </c>
      <c r="H555" s="1096" t="s">
        <v>5224</v>
      </c>
      <c r="I555" s="1096" t="s">
        <v>5224</v>
      </c>
      <c r="J555" s="1096" t="s">
        <v>5224</v>
      </c>
      <c r="K555" s="1096" t="s">
        <v>5224</v>
      </c>
      <c r="L555" s="1096">
        <v>0</v>
      </c>
      <c r="M555" s="1096" t="s">
        <v>5224</v>
      </c>
      <c r="N555" s="1096" t="s">
        <v>4631</v>
      </c>
      <c r="O555" s="1028"/>
      <c r="P555" s="1028" t="s">
        <v>780</v>
      </c>
      <c r="Q555" s="1097">
        <f t="shared" ref="Q555:Q556" ca="1" si="555">INDIRECT(P555)</f>
        <v>17</v>
      </c>
      <c r="R555" s="1034"/>
      <c r="S555" s="1028" t="s">
        <v>3616</v>
      </c>
      <c r="T555" s="1097">
        <f t="shared" ref="T555:T556" ca="1" si="556">INDIRECT(S555)</f>
        <v>17</v>
      </c>
      <c r="U555" s="1027">
        <v>6</v>
      </c>
      <c r="V555" s="1027">
        <f>IF(AP555+U555&gt;10,10,IF(AP555+U555&lt;1,1,AP555+U555))</f>
        <v>7</v>
      </c>
      <c r="W555" s="1098" t="e">
        <f>IF(OR(I555&lt;&gt;"N",E555="C"),IF(AND(N555&lt;&gt;"T",ISNUMBER(FIND("V",I555))),1,0),NA())+IF(H555="Y",IF(AND(N555="P",ISNUMBER(FIND("Z",I555))),2,1),0)+IF(J555="Y",1,0)+IF(K555="Y",3,0)+IF(BE555="Lore",L555*2+Experience!$D$25,0)+IF(M555="Y",1,0)</f>
        <v>#N/A</v>
      </c>
      <c r="X555" s="1099"/>
      <c r="Y555" s="1100">
        <f ca="1">IF(P555="NS",IFERROR(INDIRECT(S555),NA()),VLOOKUP(INDIRECT(P555)+INDIRECT(S555),'System Lookups'!$A$3:$D$146,2))</f>
        <v>0.1</v>
      </c>
      <c r="Z555" s="1100">
        <f>IF(ISNA(W555),0,W555*0.03)+IF(X555&gt;0,X555*0.03,0)+IF(AND(ISNA(W555),X555&lt;=0),0,IF(G555&gt;0,G555*0.07,0))</f>
        <v>0</v>
      </c>
      <c r="AA555" s="1101">
        <f ca="1">IF(ISNA(Y555),0,Y555)+Z555+IF('Main Creation Page'!AB$2=37,'Main Creation Page'!E$14/100,0)+IF(Z557&gt;0,(Z557+Y557)/5,0)</f>
        <v>0.1</v>
      </c>
      <c r="AB555" s="1102">
        <f>VLOOKUP(V555,'System Lookups'!$J$55:$P$64,3)</f>
        <v>0.03</v>
      </c>
      <c r="AC555" s="1103">
        <f>VLOOKUP(V555,'System Lookups'!$J$55:$P$64,4)</f>
        <v>7.0000000000000007E-2</v>
      </c>
      <c r="AD555" s="1104">
        <f>IF(AND(ISBLANK(X555),ISNA(W555)),IF(B555="~",0,AB555+AA555+IF(BB555&gt;0,0.05,0)),AA555+AC555+IF(BB555&gt;0,0.05,0))</f>
        <v>0</v>
      </c>
      <c r="AE555" s="1094">
        <f>(IF(AD555&gt;VLOOKUP(V555,'System Lookups'!$J$55:$P$63,6),(((AD555-VLOOKUP(V555,'System Lookups'!$J$55:$P$63,6))*100)/20),0))+AF555</f>
        <v>0</v>
      </c>
      <c r="AF555" s="1121"/>
      <c r="AG555" s="1092">
        <f>IF(ISBLANK(X555),0,AQ555*X555+IF(ISNA(W555),1,0))</f>
        <v>0</v>
      </c>
      <c r="AH555" s="1092" t="str">
        <f>IF(X555&lt;=Experience!$R$15+1,"","*")</f>
        <v/>
      </c>
      <c r="AI555" s="1092"/>
      <c r="AJ555" s="1080">
        <f t="shared" si="552"/>
        <v>0</v>
      </c>
      <c r="AK555" s="1080">
        <f>IF(F555="s",-2,0)</f>
        <v>0</v>
      </c>
      <c r="AL555" s="1080">
        <f t="shared" si="553"/>
        <v>0</v>
      </c>
      <c r="AM555" s="1092">
        <f>IF(J555="y",1,0)</f>
        <v>0</v>
      </c>
      <c r="AN555" s="1080">
        <f>IF(N555="P",-1,IF(N555="T",1,0))</f>
        <v>1</v>
      </c>
      <c r="AO555" s="1080">
        <f t="shared" si="554"/>
        <v>0</v>
      </c>
      <c r="AP555" s="1080">
        <f>SUM(AJ555:AN555)-AM555</f>
        <v>1</v>
      </c>
      <c r="AQ555" s="1027">
        <f>VLOOKUP(V555,'System Lookups'!$J$55:$P$64,7)</f>
        <v>1000</v>
      </c>
      <c r="AR555" s="1080" t="str">
        <f ca="1">IF(AND(NOT(ISBLANK(AJ555)),ISNA(MATCH(ROW(),'System Lookups'!$C$526:$C$539,0))),"Y","N")</f>
        <v>Y</v>
      </c>
      <c r="AS555" s="1080">
        <f>AG555-AI555</f>
        <v>0</v>
      </c>
      <c r="AU555" s="1080" t="e">
        <f t="shared" si="531"/>
        <v>#N/A</v>
      </c>
      <c r="AV555" s="1080" t="str">
        <f t="shared" si="528"/>
        <v>T</v>
      </c>
      <c r="AW555" s="1080">
        <f t="shared" si="532"/>
        <v>0</v>
      </c>
      <c r="AX555" s="1080">
        <f t="shared" si="533"/>
        <v>0</v>
      </c>
      <c r="AY555" s="1080">
        <f t="shared" si="534"/>
        <v>0</v>
      </c>
      <c r="AZ555" s="1080">
        <f t="shared" si="535"/>
        <v>0</v>
      </c>
      <c r="BA555" s="1080">
        <f t="shared" si="536"/>
        <v>0</v>
      </c>
      <c r="BB555" s="1080">
        <f>IF(AND(RACE=1,'Main Creation Page'!$E$6="Well",OR(ISNUMBER(FIND(Experience!$G$11,BE555)),ISNUMBER(FIND(Experience!$G$11,BF555)),ISNUMBER(FIND(Experience!$I$11,BE555)),ISNUMBER(FIND(Experience!$I$11,BF555)))),1,0)</f>
        <v>1</v>
      </c>
      <c r="BC555" s="1080" t="str">
        <f t="shared" si="537"/>
        <v>Archeology</v>
      </c>
      <c r="BE555" s="1080" t="str">
        <f t="shared" si="529"/>
        <v>Lore</v>
      </c>
      <c r="BF555" s="1080" t="str">
        <f t="shared" si="530"/>
        <v>Lore Scientific Skills</v>
      </c>
    </row>
    <row r="556" spans="1:58" ht="11.1" customHeight="1" outlineLevel="1">
      <c r="A556" s="1117" t="s">
        <v>319</v>
      </c>
      <c r="B556" s="1094" t="s">
        <v>1942</v>
      </c>
      <c r="C556" s="1094"/>
      <c r="D556" s="1094"/>
      <c r="E556" s="1095" t="s">
        <v>5224</v>
      </c>
      <c r="F556" s="1095" t="s">
        <v>5224</v>
      </c>
      <c r="G556" s="1096">
        <v>0</v>
      </c>
      <c r="H556" s="1096" t="s">
        <v>5224</v>
      </c>
      <c r="I556" s="1096" t="s">
        <v>5224</v>
      </c>
      <c r="J556" s="1096" t="s">
        <v>5224</v>
      </c>
      <c r="K556" s="1096" t="s">
        <v>5224</v>
      </c>
      <c r="L556" s="1096">
        <v>0</v>
      </c>
      <c r="M556" s="1096" t="s">
        <v>5224</v>
      </c>
      <c r="N556" s="1096" t="s">
        <v>4631</v>
      </c>
      <c r="O556" s="1028"/>
      <c r="P556" s="1028" t="s">
        <v>780</v>
      </c>
      <c r="Q556" s="1097">
        <f t="shared" ca="1" si="555"/>
        <v>17</v>
      </c>
      <c r="R556" s="1034"/>
      <c r="S556" s="1028" t="s">
        <v>3616</v>
      </c>
      <c r="T556" s="1097">
        <f t="shared" ca="1" si="556"/>
        <v>17</v>
      </c>
      <c r="U556" s="1027">
        <f>IF('Main Creation Page'!K4=3,3,4)</f>
        <v>4</v>
      </c>
      <c r="V556" s="1027">
        <f>IF(AP556+U556&gt;10,10,IF(AP556+U556&lt;1,1,AP556+U556))</f>
        <v>5</v>
      </c>
      <c r="W556" s="1098" t="e">
        <f>IF(OR(I556&lt;&gt;"N",E556="C"),IF(AND(N556&lt;&gt;"T",ISNUMBER(FIND("V",I556))),1,0),NA())+IF(H556="Y",IF(AND(N556="P",ISNUMBER(FIND("Z",I556))),2,1),0)+IF(J556="Y",1,0)+IF(K556="Y",3,0)+IF(BE556="Lore",L556*2+Experience!$D$25,0)+IF(M556="Y",1,0)</f>
        <v>#N/A</v>
      </c>
      <c r="X556" s="1099"/>
      <c r="Y556" s="1100">
        <f ca="1">IF(P556="NS",IFERROR(INDIRECT(S556),NA()),VLOOKUP(INDIRECT(P556)+INDIRECT(S556),'System Lookups'!$A$3:$D$146,2))</f>
        <v>0.1</v>
      </c>
      <c r="Z556" s="1100">
        <f>IF(ISNA(W556),0,W556*0.03)+IF(X556&gt;0,X556*0.03,0)+IF(AND(ISNA(W556),X556&lt;=0),0,IF(G556&gt;0,G556*0.07,0))</f>
        <v>0</v>
      </c>
      <c r="AA556" s="1101">
        <f ca="1">IF(ISNA(Y556),0,Y556)+Z556+IF('Main Creation Page'!AB$2=37,'Main Creation Page'!E$14/100,0)+IF(Z558&gt;0,(Z558+Y558)/5,0)</f>
        <v>0.1</v>
      </c>
      <c r="AB556" s="1102">
        <f>VLOOKUP(V556,'System Lookups'!$J$55:$P$64,3)</f>
        <v>0.1</v>
      </c>
      <c r="AC556" s="1103">
        <f>VLOOKUP(V556,'System Lookups'!$J$55:$P$64,4)</f>
        <v>0.2</v>
      </c>
      <c r="AD556" s="1104">
        <f>IF(AND(ISBLANK(X556),ISNA(W556)),IF(B556="~",0,AB556+AA556+IF(BB556&gt;0,0.05,0)),AA556+AC556+IF(BB556&gt;0,0.05,0))</f>
        <v>0</v>
      </c>
      <c r="AE556" s="1094">
        <f ca="1">(IF(AD556&gt;VLOOKUP(V556,'System Lookups'!$J$55:$P$63,6),(((AD556-VLOOKUP(V556,'System Lookups'!$J$55:$P$63,6))*100)/20),0))+AF556</f>
        <v>0</v>
      </c>
      <c r="AF556" s="1120">
        <f ca="1">IF($AA$558&gt;0.67,1,0)</f>
        <v>0</v>
      </c>
      <c r="AG556" s="1092">
        <f>IF(ISBLANK(X556),0,AQ556*X556+IF(ISNA(W556),1,0))</f>
        <v>0</v>
      </c>
      <c r="AH556" s="1092" t="str">
        <f>IF(X556&lt;=Experience!$R$15+1,"","*")</f>
        <v/>
      </c>
      <c r="AI556" s="1092"/>
      <c r="AJ556" s="1080">
        <f t="shared" si="552"/>
        <v>0</v>
      </c>
      <c r="AK556" s="1080">
        <f>IF(F556="s",-2,0)</f>
        <v>0</v>
      </c>
      <c r="AL556" s="1080">
        <f t="shared" si="553"/>
        <v>0</v>
      </c>
      <c r="AM556" s="1092">
        <f>IF(J556="y",1,0)</f>
        <v>0</v>
      </c>
      <c r="AN556" s="1080">
        <f>IF(N556="P",-1,IF(N556="T",1,0))</f>
        <v>1</v>
      </c>
      <c r="AO556" s="1080">
        <f t="shared" si="554"/>
        <v>0</v>
      </c>
      <c r="AP556" s="1080">
        <f>SUM(AJ556:AN556)-AM556</f>
        <v>1</v>
      </c>
      <c r="AQ556" s="1027">
        <f>VLOOKUP(V556,'System Lookups'!$J$55:$P$64,7)</f>
        <v>700</v>
      </c>
      <c r="AR556" s="1080" t="str">
        <f ca="1">IF(AND(NOT(ISBLANK(AJ556)),ISNA(MATCH(ROW(),'System Lookups'!$C$526:$C$539,0))),"Y","N")</f>
        <v>Y</v>
      </c>
      <c r="AS556" s="1080">
        <f>AG556-AI556</f>
        <v>0</v>
      </c>
      <c r="AU556" s="1080" t="e">
        <f t="shared" si="531"/>
        <v>#N/A</v>
      </c>
      <c r="AV556" s="1080" t="str">
        <f t="shared" si="528"/>
        <v>T</v>
      </c>
      <c r="AW556" s="1080">
        <f t="shared" si="532"/>
        <v>0</v>
      </c>
      <c r="AX556" s="1080">
        <f t="shared" si="533"/>
        <v>0</v>
      </c>
      <c r="AY556" s="1080">
        <f t="shared" si="534"/>
        <v>0</v>
      </c>
      <c r="AZ556" s="1080">
        <f t="shared" si="535"/>
        <v>0</v>
      </c>
      <c r="BA556" s="1080">
        <f t="shared" si="536"/>
        <v>0</v>
      </c>
      <c r="BB556" s="1080">
        <f>IF(AND(RACE=1,'Main Creation Page'!$E$6="Well",OR(ISNUMBER(FIND(Experience!$G$11,BE556)),ISNUMBER(FIND(Experience!$G$11,BF556)),ISNUMBER(FIND(Experience!$I$11,BE556)),ISNUMBER(FIND(Experience!$I$11,BF556)))),1,0)</f>
        <v>1</v>
      </c>
      <c r="BC556" s="1080" t="str">
        <f t="shared" si="537"/>
        <v>Architecture &amp; Engineering</v>
      </c>
      <c r="BE556" s="1080" t="str">
        <f t="shared" si="529"/>
        <v>Lore</v>
      </c>
      <c r="BF556" s="1080" t="str">
        <f t="shared" si="530"/>
        <v>Lore Scientific Skills</v>
      </c>
    </row>
    <row r="557" spans="1:58" ht="11.1" customHeight="1" outlineLevel="2">
      <c r="A557" s="1092" t="s">
        <v>3053</v>
      </c>
      <c r="B557" s="2593" t="str">
        <f>IF('Main Creation Page'!E14+'Main Creation Page'!E17&gt;29,"Y","N")</f>
        <v>Y</v>
      </c>
      <c r="C557" s="2646"/>
      <c r="D557" s="2594"/>
      <c r="F557" s="1034"/>
      <c r="G557" s="1081"/>
      <c r="W557" s="1112"/>
      <c r="AE557" s="1094"/>
      <c r="AF557" s="1121"/>
      <c r="AR557" s="1080" t="str">
        <f ca="1">IF(AND(NOT(ISBLANK(AJ557)),ISNA(MATCH(ROW(),'System Lookups'!$C$526:$C$539,0))),"Y","N")</f>
        <v>N</v>
      </c>
      <c r="AU557" s="1080" t="e">
        <f t="shared" si="531"/>
        <v>#N/A</v>
      </c>
      <c r="AV557" s="1080" t="str">
        <f t="shared" si="528"/>
        <v/>
      </c>
      <c r="AW557" s="1080">
        <f t="shared" si="532"/>
        <v>0</v>
      </c>
      <c r="AX557" s="1080">
        <f t="shared" si="533"/>
        <v>0</v>
      </c>
      <c r="AY557" s="1080">
        <f t="shared" si="534"/>
        <v>0</v>
      </c>
      <c r="AZ557" s="1080">
        <f t="shared" si="535"/>
        <v>0</v>
      </c>
      <c r="BA557" s="1080">
        <f t="shared" si="536"/>
        <v>0</v>
      </c>
      <c r="BB557" s="1080">
        <f>IF(AND(RACE=1,'Main Creation Page'!$E$6="Well",OR(ISNUMBER(FIND(Experience!$G$11,BE557)),ISNUMBER(FIND(Experience!$G$11,BF557)),ISNUMBER(FIND(Experience!$I$11,BE557)),ISNUMBER(FIND(Experience!$I$11,BF557)))),1,0)</f>
        <v>1</v>
      </c>
      <c r="BC557" s="1080" t="e">
        <f t="shared" si="537"/>
        <v>#N/A</v>
      </c>
      <c r="BE557" s="1080" t="str">
        <f t="shared" si="529"/>
        <v>Lore</v>
      </c>
      <c r="BF557" s="1080" t="str">
        <f t="shared" si="530"/>
        <v>Lore Scientific Skills</v>
      </c>
    </row>
    <row r="558" spans="1:58" ht="11.1" customHeight="1" outlineLevel="1">
      <c r="A558" s="1117" t="s">
        <v>391</v>
      </c>
      <c r="B558" s="1094" t="s">
        <v>1942</v>
      </c>
      <c r="C558" s="1094"/>
      <c r="D558" s="1094"/>
      <c r="E558" s="1095" t="s">
        <v>5224</v>
      </c>
      <c r="F558" s="1095" t="str">
        <f>IF(('Main Creation Page'!$C$3=3),"R","N")</f>
        <v>N</v>
      </c>
      <c r="G558" s="1096">
        <v>0</v>
      </c>
      <c r="H558" s="1096" t="s">
        <v>5224</v>
      </c>
      <c r="I558" s="1096" t="s">
        <v>5224</v>
      </c>
      <c r="J558" s="1096" t="s">
        <v>5224</v>
      </c>
      <c r="K558" s="1096" t="s">
        <v>5224</v>
      </c>
      <c r="L558" s="1096">
        <v>0</v>
      </c>
      <c r="M558" s="1096" t="s">
        <v>5224</v>
      </c>
      <c r="N558" s="1096" t="s">
        <v>4631</v>
      </c>
      <c r="O558" s="1028"/>
      <c r="P558" s="1028" t="s">
        <v>780</v>
      </c>
      <c r="Q558" s="1097">
        <f t="shared" ref="Q558:Q559" ca="1" si="557">INDIRECT(P558)</f>
        <v>17</v>
      </c>
      <c r="R558" s="1034"/>
      <c r="S558" s="1028" t="s">
        <v>3616</v>
      </c>
      <c r="T558" s="1097">
        <f t="shared" ref="T558:T559" ca="1" si="558">INDIRECT(S558)</f>
        <v>17</v>
      </c>
      <c r="U558" s="1027">
        <v>4</v>
      </c>
      <c r="V558" s="1027">
        <f>IF(AP558+U558&gt;10,10,IF(AP558+U558&lt;1,1,AP558+U558))</f>
        <v>5</v>
      </c>
      <c r="W558" s="1098" t="e">
        <f>IF(OR(I558&lt;&gt;"N",E558="C"),IF(AND(N558&lt;&gt;"T",ISNUMBER(FIND("V",I558))),1,0),NA())+IF(H558="Y",IF(AND(N558="P",ISNUMBER(FIND("Z",I558))),2,1),0)+IF(J558="Y",1,0)+IF(K558="Y",3,0)+IF(BE558="Lore",L558*2+Experience!$D$25,0)+IF(M558="Y",1,0)</f>
        <v>#N/A</v>
      </c>
      <c r="X558" s="1099"/>
      <c r="Y558" s="1100">
        <f ca="1">IF(P558="NS",IFERROR(INDIRECT(S558),NA()),VLOOKUP(INDIRECT(P558)+INDIRECT(S558),'System Lookups'!$A$3:$D$146,2))</f>
        <v>0.1</v>
      </c>
      <c r="Z558" s="1100">
        <f>IF(ISNA(W558),0,W558*0.03)+IF(X558&gt;0,X558*0.03,0)+IF(AND(ISNA(W558),X558&lt;=0),0,IF(G558&gt;0,G558*0.07,0))</f>
        <v>0</v>
      </c>
      <c r="AA558" s="1101">
        <f ca="1">IF(ISNA(Y558),0,Y558)+Z558+IF('Main Creation Page'!AB$2=37,'Main Creation Page'!E$14/100,0)</f>
        <v>0.1</v>
      </c>
      <c r="AB558" s="1102">
        <f>VLOOKUP(V558,'System Lookups'!$J$55:$P$64,3)</f>
        <v>0.1</v>
      </c>
      <c r="AC558" s="1103">
        <f>VLOOKUP(V558,'System Lookups'!$J$55:$P$64,4)</f>
        <v>0.2</v>
      </c>
      <c r="AD558" s="1104">
        <f>IF(AND(ISBLANK(X558),ISNA(W558)),IF(B558="~",0,AB558+AA558+IF(BB558&gt;0,0.05,0)),AA558+AC558+IF(BB558&gt;0,0.05,0))</f>
        <v>0</v>
      </c>
      <c r="AE558" s="1094">
        <f>(IF(AD558&gt;VLOOKUP(V558,'System Lookups'!$J$55:$P$63,6),(((AD558-VLOOKUP(V558,'System Lookups'!$J$55:$P$63,6))*100)/20),0))+AF558</f>
        <v>0</v>
      </c>
      <c r="AF558" s="1121"/>
      <c r="AG558" s="1092">
        <f>IF(ISBLANK(X558),0,AQ558*X558+IF(ISNA(W558),1,0))</f>
        <v>0</v>
      </c>
      <c r="AH558" s="1092" t="str">
        <f>IF(X558&lt;=Experience!$R$15+1,"","*")</f>
        <v/>
      </c>
      <c r="AI558" s="1092"/>
      <c r="AJ558" s="1080">
        <f t="shared" ref="AJ558:AJ559" si="559">IF(ISNUMBER(FIND("R",F558)),-1,0)</f>
        <v>0</v>
      </c>
      <c r="AK558" s="1080">
        <f>IF(F558="s",-2,0)</f>
        <v>0</v>
      </c>
      <c r="AL558" s="1080">
        <f t="shared" ref="AL558:AL585" si="560">IF(AND(H558="Y",OR(N558="P",N558="S")),-1,0)</f>
        <v>0</v>
      </c>
      <c r="AM558" s="1092">
        <f>IF(J558="y",1,0)</f>
        <v>0</v>
      </c>
      <c r="AN558" s="1080">
        <f>IF(N558="P",-1,IF(N558="T",1,0))</f>
        <v>1</v>
      </c>
      <c r="AO558" s="1080">
        <f t="shared" ref="AO558:AO585" si="561">IF(ISNUMBER(FIND("Z",I558)),1,0)</f>
        <v>0</v>
      </c>
      <c r="AP558" s="1080">
        <f>SUM(AJ558:AN558)-AM558</f>
        <v>1</v>
      </c>
      <c r="AQ558" s="1027">
        <f>VLOOKUP(V558,'System Lookups'!$J$55:$P$64,7)</f>
        <v>700</v>
      </c>
      <c r="AR558" s="1080" t="str">
        <f ca="1">IF(AND(NOT(ISBLANK(AJ558)),ISNA(MATCH(ROW(),'System Lookups'!$C$526:$C$539,0))),"Y","N")</f>
        <v>Y</v>
      </c>
      <c r="AS558" s="1080">
        <f t="shared" ref="AS558:AS585" si="562">AG558-AI558</f>
        <v>0</v>
      </c>
      <c r="AU558" s="1080" t="e">
        <f t="shared" si="531"/>
        <v>#N/A</v>
      </c>
      <c r="AV558" s="1080" t="str">
        <f t="shared" si="528"/>
        <v>T</v>
      </c>
      <c r="AW558" s="1080">
        <f t="shared" si="532"/>
        <v>0</v>
      </c>
      <c r="AX558" s="1080">
        <f t="shared" si="533"/>
        <v>0</v>
      </c>
      <c r="AY558" s="1080">
        <f t="shared" si="534"/>
        <v>0</v>
      </c>
      <c r="AZ558" s="1080">
        <f t="shared" si="535"/>
        <v>0</v>
      </c>
      <c r="BA558" s="1080">
        <f t="shared" si="536"/>
        <v>0</v>
      </c>
      <c r="BB558" s="1080">
        <f>IF(AND(RACE=1,'Main Creation Page'!$E$6="Well",OR(ISNUMBER(FIND(Experience!$G$11,BE558)),ISNUMBER(FIND(Experience!$G$11,BF558)),ISNUMBER(FIND(Experience!$I$11,BE558)),ISNUMBER(FIND(Experience!$I$11,BF558)))),1,0)</f>
        <v>1</v>
      </c>
      <c r="BC558" s="1080" t="str">
        <f t="shared" si="537"/>
        <v>Arithmetic &amp; Mathematical Lore</v>
      </c>
      <c r="BE558" s="1080" t="str">
        <f t="shared" si="529"/>
        <v>Lore</v>
      </c>
      <c r="BF558" s="1080" t="str">
        <f t="shared" si="530"/>
        <v>Lore Scientific Skills</v>
      </c>
    </row>
    <row r="559" spans="1:58" ht="11.1" customHeight="1" outlineLevel="1">
      <c r="A559" s="1117" t="s">
        <v>392</v>
      </c>
      <c r="B559" s="1094" t="s">
        <v>1942</v>
      </c>
      <c r="C559" s="1094"/>
      <c r="D559" s="1094"/>
      <c r="E559" s="1095" t="s">
        <v>5224</v>
      </c>
      <c r="F559" s="1095" t="s">
        <v>5224</v>
      </c>
      <c r="G559" s="1096">
        <v>0</v>
      </c>
      <c r="H559" s="1096" t="s">
        <v>5224</v>
      </c>
      <c r="I559" s="1096" t="s">
        <v>5224</v>
      </c>
      <c r="J559" s="1096" t="s">
        <v>5224</v>
      </c>
      <c r="K559" s="1096" t="s">
        <v>5224</v>
      </c>
      <c r="L559" s="1096">
        <v>0</v>
      </c>
      <c r="M559" s="1096" t="s">
        <v>5224</v>
      </c>
      <c r="N559" s="1096" t="s">
        <v>4631</v>
      </c>
      <c r="O559" s="1028"/>
      <c r="P559" s="1028" t="s">
        <v>780</v>
      </c>
      <c r="Q559" s="1097">
        <f t="shared" ca="1" si="557"/>
        <v>17</v>
      </c>
      <c r="R559" s="1034"/>
      <c r="S559" s="1028" t="s">
        <v>3616</v>
      </c>
      <c r="T559" s="1097">
        <f t="shared" ca="1" si="558"/>
        <v>17</v>
      </c>
      <c r="U559" s="1027">
        <v>4</v>
      </c>
      <c r="V559" s="1027">
        <f>IF(AP559+U559&gt;10,10,IF(AP559+U559&lt;1,1,AP559+U559))</f>
        <v>5</v>
      </c>
      <c r="W559" s="1098" t="e">
        <f>IF(OR(I559&lt;&gt;"N",E559="C"),IF(AND(N559&lt;&gt;"T",ISNUMBER(FIND("V",I559))),1,0),NA())+IF(H559="Y",IF(AND(N559="P",ISNUMBER(FIND("Z",I559))),2,1),0)+IF(J559="Y",1,0)+IF(K559="Y",3,0)+IF(BE559="Lore",L559*2+Experience!$D$25,0)+IF(M559="Y",1,0)</f>
        <v>#N/A</v>
      </c>
      <c r="X559" s="1099"/>
      <c r="Y559" s="1100">
        <f ca="1">IF(P559="NS",IFERROR(INDIRECT(S559),NA()),VLOOKUP(INDIRECT(P559)+INDIRECT(S559),'System Lookups'!$A$3:$D$146,2))</f>
        <v>0.1</v>
      </c>
      <c r="Z559" s="1100">
        <f>IF(ISNA(W559),0,W559*0.03)+IF(X559&gt;0,X559*0.03,0)+IF(AND(ISNA(W559),X559&lt;=0),0,IF(G559&gt;0,G559*0.07,0))</f>
        <v>0</v>
      </c>
      <c r="AA559" s="1101">
        <f ca="1">IF(ISNA(Y559),0,Y559)+Z559+IF('Main Creation Page'!AB$2=37,'Main Creation Page'!E$14/100,0)+IF(Z558&gt;0,(Z558+Y558)/5,0)</f>
        <v>0.1</v>
      </c>
      <c r="AB559" s="1102">
        <f>VLOOKUP(V559,'System Lookups'!$J$55:$P$64,3)</f>
        <v>0.1</v>
      </c>
      <c r="AC559" s="1103">
        <f>VLOOKUP(V559,'System Lookups'!$J$55:$P$64,4)</f>
        <v>0.2</v>
      </c>
      <c r="AD559" s="1104">
        <f>IF(AND(ISBLANK(X559),ISNA(W559)),IF(B559="~",0,AB559+AA559+IF(BB559&gt;0,0.05,0)),AA559+AC559+IF(BB559&gt;0,0.05,0))</f>
        <v>0</v>
      </c>
      <c r="AE559" s="1094">
        <f ca="1">(IF(AD559&gt;VLOOKUP(V559,'System Lookups'!$J$55:$P$63,6),(((AD559-VLOOKUP(V559,'System Lookups'!$J$55:$P$63,6))*100)/20),0))+AF559</f>
        <v>0</v>
      </c>
      <c r="AF559" s="1120">
        <f ca="1">IF($AA$558&gt;0.67,1,0)</f>
        <v>0</v>
      </c>
      <c r="AG559" s="1092">
        <f>IF(ISBLANK(X559),0,AQ559*X559+IF(ISNA(W559),1,0))</f>
        <v>0</v>
      </c>
      <c r="AH559" s="1092" t="str">
        <f>IF(X559&lt;=Experience!$R$15+1,"","*")</f>
        <v/>
      </c>
      <c r="AI559" s="1092"/>
      <c r="AJ559" s="1080">
        <f t="shared" si="559"/>
        <v>0</v>
      </c>
      <c r="AK559" s="1080">
        <f>IF(F559="s",-2,0)</f>
        <v>0</v>
      </c>
      <c r="AL559" s="1080">
        <f t="shared" si="560"/>
        <v>0</v>
      </c>
      <c r="AM559" s="1092">
        <f>IF(J559="y",1,0)</f>
        <v>0</v>
      </c>
      <c r="AN559" s="1080">
        <f>IF(N559="P",-1,IF(N559="T",1,0))</f>
        <v>1</v>
      </c>
      <c r="AO559" s="1080">
        <f t="shared" si="561"/>
        <v>0</v>
      </c>
      <c r="AP559" s="1080">
        <f>SUM(AJ559:AN559)-AM559</f>
        <v>1</v>
      </c>
      <c r="AQ559" s="1027">
        <f>VLOOKUP(V559,'System Lookups'!$J$55:$P$64,7)</f>
        <v>700</v>
      </c>
      <c r="AR559" s="1080" t="str">
        <f ca="1">IF(AND(NOT(ISBLANK(AJ559)),ISNA(MATCH(ROW(),'System Lookups'!$C$526:$C$539,0))),"Y","N")</f>
        <v>Y</v>
      </c>
      <c r="AS559" s="1080">
        <f t="shared" si="562"/>
        <v>0</v>
      </c>
      <c r="AU559" s="1080" t="e">
        <f t="shared" si="531"/>
        <v>#N/A</v>
      </c>
      <c r="AV559" s="1080" t="str">
        <f t="shared" si="528"/>
        <v>T</v>
      </c>
      <c r="AW559" s="1080">
        <f t="shared" si="532"/>
        <v>0</v>
      </c>
      <c r="AX559" s="1080">
        <f t="shared" si="533"/>
        <v>0</v>
      </c>
      <c r="AY559" s="1080">
        <f t="shared" si="534"/>
        <v>0</v>
      </c>
      <c r="AZ559" s="1080">
        <f t="shared" si="535"/>
        <v>0</v>
      </c>
      <c r="BA559" s="1080">
        <f t="shared" si="536"/>
        <v>0</v>
      </c>
      <c r="BB559" s="1080">
        <f>IF(AND(RACE=1,'Main Creation Page'!$E$6="Well",OR(ISNUMBER(FIND(Experience!$G$11,BE559)),ISNUMBER(FIND(Experience!$G$11,BF559)),ISNUMBER(FIND(Experience!$I$11,BE559)),ISNUMBER(FIND(Experience!$I$11,BF559)))),1,0)</f>
        <v>1</v>
      </c>
      <c r="BC559" s="1080" t="str">
        <f t="shared" si="537"/>
        <v>Astronomical Lore</v>
      </c>
      <c r="BE559" s="1080" t="str">
        <f t="shared" si="529"/>
        <v>Lore</v>
      </c>
      <c r="BF559" s="1080" t="str">
        <f t="shared" si="530"/>
        <v>Lore Scientific Skills</v>
      </c>
    </row>
    <row r="560" spans="1:58" ht="11.1" customHeight="1" outlineLevel="1">
      <c r="A560" s="1117" t="s">
        <v>3504</v>
      </c>
      <c r="B560" s="1094"/>
      <c r="C560" s="1094"/>
      <c r="D560" s="1094"/>
      <c r="E560" s="1095" t="s">
        <v>5224</v>
      </c>
      <c r="F560" s="1095" t="s">
        <v>5224</v>
      </c>
      <c r="G560" s="1096">
        <v>0</v>
      </c>
      <c r="H560" s="1096" t="s">
        <v>5224</v>
      </c>
      <c r="I560" s="1096" t="s">
        <v>5224</v>
      </c>
      <c r="J560" s="1096" t="s">
        <v>5224</v>
      </c>
      <c r="K560" s="1096" t="s">
        <v>5224</v>
      </c>
      <c r="L560" s="1096">
        <v>0</v>
      </c>
      <c r="M560" s="1096" t="s">
        <v>5224</v>
      </c>
      <c r="N560" s="1096" t="s">
        <v>4631</v>
      </c>
      <c r="O560" s="1028"/>
      <c r="P560" s="1028" t="s">
        <v>780</v>
      </c>
      <c r="Q560" s="1097">
        <f t="shared" ref="Q560:Q585" ca="1" si="563">INDIRECT(P560)</f>
        <v>17</v>
      </c>
      <c r="R560" s="1034"/>
      <c r="S560" s="1028" t="s">
        <v>3616</v>
      </c>
      <c r="T560" s="1097">
        <f t="shared" ref="T560:T585" ca="1" si="564">INDIRECT(S560)</f>
        <v>17</v>
      </c>
      <c r="U560" s="1027">
        <v>3</v>
      </c>
      <c r="V560" s="1027">
        <f t="shared" ref="V560:V583" si="565">IF(AP560+U560&gt;10,10,IF(AP560+U560&lt;1,1,AP560+U560))</f>
        <v>4</v>
      </c>
      <c r="W560" s="1098" t="e">
        <f>IF(OR(I560&lt;&gt;"N",E560="C"),IF(AND(N560&lt;&gt;"T",ISNUMBER(FIND("V",I560))),1,0),NA())+IF(H560="Y",IF(AND(N560="P",ISNUMBER(FIND("Z",I560))),2,1),0)+IF(J560="Y",1,0)+IF(K560="Y",3,0)+IF(BE560="Lore",L560*2+Experience!$D$25,0)+IF(M560="Y",1,0)</f>
        <v>#N/A</v>
      </c>
      <c r="X560" s="1099"/>
      <c r="Y560" s="1100">
        <f ca="1">IF(P560="NS",IFERROR(INDIRECT(S560),NA()),VLOOKUP(INDIRECT(P560)+INDIRECT(S560),'System Lookups'!$A$3:$D$146,2))</f>
        <v>0.1</v>
      </c>
      <c r="Z560" s="1100">
        <f t="shared" ref="Z560:Z571" si="566">IF(ISNA(W560),0,W560*0.03)+IF(X560&gt;0,X560*0.03,0)+IF(AND(ISNA(W560),X560&lt;=0),0,IF(G560&gt;0,G560*0.07,0))</f>
        <v>0</v>
      </c>
      <c r="AA560" s="1101">
        <f ca="1">IF(ISNA(Y560),0,Y560)+Z560+IF('Main Creation Page'!AB$2=37,'Main Creation Page'!E$14/100,0)</f>
        <v>0.1</v>
      </c>
      <c r="AB560" s="1102">
        <f>VLOOKUP(V560,'System Lookups'!$J$55:$P$64,3)</f>
        <v>0.2</v>
      </c>
      <c r="AC560" s="1103">
        <f>VLOOKUP(V560,'System Lookups'!$J$55:$P$64,4)</f>
        <v>0.3</v>
      </c>
      <c r="AD560" s="1104">
        <f t="shared" ref="AD560:AD585" ca="1" si="567">IF(AND(ISBLANK(X560),ISNA(W560)),IF(B560="~",0,AB560+AA560+IF(BB560&gt;0,0.05,0)),AA560+AC560+IF(BB560&gt;0,0.05,0))</f>
        <v>0.35000000000000003</v>
      </c>
      <c r="AE560" s="1094">
        <f ca="1">(IF(AD560&gt;VLOOKUP(V560,'System Lookups'!$J$55:$P$63,6),(((AD560-VLOOKUP(V560,'System Lookups'!$J$55:$P$63,6))*100)/20),0))+AF560</f>
        <v>0</v>
      </c>
      <c r="AF560" s="1121"/>
      <c r="AG560" s="1092">
        <f t="shared" ref="AG560:AG585" si="568">IF(ISBLANK(X560),0,AQ560*X560+IF(ISNA(W560),1,0))</f>
        <v>0</v>
      </c>
      <c r="AH560" s="1092" t="str">
        <f>IF(X560&lt;=Experience!$R$15+1,"","*")</f>
        <v/>
      </c>
      <c r="AI560" s="1092"/>
      <c r="AJ560" s="1080">
        <f t="shared" ref="AJ560:AJ585" si="569">IF(ISNUMBER(FIND("R",F560)),-1,0)</f>
        <v>0</v>
      </c>
      <c r="AK560" s="1080">
        <f t="shared" ref="AK560:AK566" si="570">IF(F560="s",-2,0)</f>
        <v>0</v>
      </c>
      <c r="AL560" s="1080">
        <f t="shared" si="560"/>
        <v>0</v>
      </c>
      <c r="AM560" s="1092">
        <f t="shared" ref="AM560:AM566" si="571">IF(J560="y",1,0)</f>
        <v>0</v>
      </c>
      <c r="AN560" s="1080">
        <f t="shared" ref="AN560:AN566" si="572">IF(N560="P",-1,IF(N560="T",1,0))</f>
        <v>1</v>
      </c>
      <c r="AO560" s="1080">
        <f t="shared" si="561"/>
        <v>0</v>
      </c>
      <c r="AP560" s="1080">
        <f t="shared" ref="AP560:AP585" si="573">SUM(AJ560:AN560)-AM560</f>
        <v>1</v>
      </c>
      <c r="AQ560" s="1027">
        <f>VLOOKUP(V560,'System Lookups'!$J$55:$P$64,7)</f>
        <v>600</v>
      </c>
      <c r="AR560" s="1080" t="str">
        <f ca="1">IF(AND(NOT(ISBLANK(AJ560)),ISNA(MATCH(ROW(),'System Lookups'!$C$526:$C$539,0))),"Y","N")</f>
        <v>Y</v>
      </c>
      <c r="AS560" s="1080">
        <f t="shared" si="562"/>
        <v>0</v>
      </c>
      <c r="AU560" s="1080" t="e">
        <f t="shared" si="531"/>
        <v>#N/A</v>
      </c>
      <c r="AV560" s="1080" t="str">
        <f t="shared" si="528"/>
        <v>T</v>
      </c>
      <c r="AW560" s="1080">
        <f t="shared" si="532"/>
        <v>0</v>
      </c>
      <c r="AX560" s="1080">
        <f t="shared" si="533"/>
        <v>0</v>
      </c>
      <c r="AY560" s="1080">
        <f t="shared" si="534"/>
        <v>0</v>
      </c>
      <c r="AZ560" s="1080">
        <f t="shared" si="535"/>
        <v>0</v>
      </c>
      <c r="BA560" s="1080">
        <f t="shared" si="536"/>
        <v>0</v>
      </c>
      <c r="BB560" s="1080">
        <f>IF(AND(RACE=1,'Main Creation Page'!$E$6="Well",OR(ISNUMBER(FIND(Experience!$G$11,BE560)),ISNUMBER(FIND(Experience!$G$11,BF560)),ISNUMBER(FIND(Experience!$I$11,BE560)),ISNUMBER(FIND(Experience!$I$11,BF560)))),1,0)</f>
        <v>1</v>
      </c>
      <c r="BC560" s="1080" t="str">
        <f t="shared" si="537"/>
        <v>Bestiary Lore</v>
      </c>
      <c r="BE560" s="1080" t="str">
        <f t="shared" si="529"/>
        <v>Lore</v>
      </c>
      <c r="BF560" s="1080" t="str">
        <f t="shared" si="530"/>
        <v>Lore Scientific Skills</v>
      </c>
    </row>
    <row r="561" spans="1:58" ht="11.1" customHeight="1" outlineLevel="1">
      <c r="A561" s="1117" t="s">
        <v>3505</v>
      </c>
      <c r="B561" s="1094"/>
      <c r="C561" s="1094"/>
      <c r="D561" s="1094"/>
      <c r="E561" s="1095" t="s">
        <v>5224</v>
      </c>
      <c r="F561" s="1095" t="s">
        <v>5224</v>
      </c>
      <c r="G561" s="1096">
        <v>0</v>
      </c>
      <c r="H561" s="1096" t="s">
        <v>5224</v>
      </c>
      <c r="I561" s="1096" t="s">
        <v>5224</v>
      </c>
      <c r="J561" s="1096" t="s">
        <v>5224</v>
      </c>
      <c r="K561" s="1096" t="s">
        <v>5224</v>
      </c>
      <c r="L561" s="1096">
        <v>0</v>
      </c>
      <c r="M561" s="1096" t="s">
        <v>5224</v>
      </c>
      <c r="N561" s="1096" t="s">
        <v>4631</v>
      </c>
      <c r="O561" s="1028"/>
      <c r="P561" s="1028" t="s">
        <v>780</v>
      </c>
      <c r="Q561" s="1097">
        <f t="shared" ca="1" si="563"/>
        <v>17</v>
      </c>
      <c r="R561" s="1034"/>
      <c r="S561" s="1028" t="s">
        <v>3616</v>
      </c>
      <c r="T561" s="1097">
        <f t="shared" ca="1" si="564"/>
        <v>17</v>
      </c>
      <c r="U561" s="1027">
        <v>3</v>
      </c>
      <c r="V561" s="1027">
        <f t="shared" si="565"/>
        <v>4</v>
      </c>
      <c r="W561" s="1098" t="e">
        <f>IF(OR(I561&lt;&gt;"N",E561="C"),IF(AND(N561&lt;&gt;"T",ISNUMBER(FIND("V",I561))),1,0),NA())+IF(H561="Y",IF(AND(N561="P",ISNUMBER(FIND("Z",I561))),2,1),0)+IF(J561="Y",1,0)+IF(K561="Y",3,0)+IF(BE561="Lore",L561*2+Experience!$D$25,0)+IF(M561="Y",1,0)</f>
        <v>#N/A</v>
      </c>
      <c r="X561" s="1099"/>
      <c r="Y561" s="1100">
        <f ca="1">IF(P561="NS",IFERROR(INDIRECT(S561),NA()),VLOOKUP(INDIRECT(P561)+INDIRECT(S561),'System Lookups'!$A$3:$D$146,2))</f>
        <v>0.1</v>
      </c>
      <c r="Z561" s="1100">
        <f t="shared" si="566"/>
        <v>0</v>
      </c>
      <c r="AA561" s="1101">
        <f ca="1">IF(ISNA(Y561),0,Y561)+Z561+IF('Main Creation Page'!AB$2=37,'Main Creation Page'!E$14/100,0)</f>
        <v>0.1</v>
      </c>
      <c r="AB561" s="1102">
        <f>VLOOKUP(V561,'System Lookups'!$J$55:$P$64,3)</f>
        <v>0.2</v>
      </c>
      <c r="AC561" s="1103">
        <f>VLOOKUP(V561,'System Lookups'!$J$55:$P$64,4)</f>
        <v>0.3</v>
      </c>
      <c r="AD561" s="1104">
        <f t="shared" ca="1" si="567"/>
        <v>0.35000000000000003</v>
      </c>
      <c r="AE561" s="1094">
        <f ca="1">(IF(AD561&gt;VLOOKUP(V561,'System Lookups'!$J$55:$P$63,6),(((AD561-VLOOKUP(V561,'System Lookups'!$J$55:$P$63,6))*100)/20),0))+AF561</f>
        <v>0</v>
      </c>
      <c r="AF561" s="1121"/>
      <c r="AG561" s="1092">
        <f t="shared" si="568"/>
        <v>0</v>
      </c>
      <c r="AH561" s="1092" t="str">
        <f>IF(X561&lt;=Experience!$R$15+1,"","*")</f>
        <v/>
      </c>
      <c r="AI561" s="1092"/>
      <c r="AJ561" s="1080">
        <f t="shared" si="569"/>
        <v>0</v>
      </c>
      <c r="AK561" s="1080">
        <f t="shared" si="570"/>
        <v>0</v>
      </c>
      <c r="AL561" s="1080">
        <f t="shared" si="560"/>
        <v>0</v>
      </c>
      <c r="AM561" s="1092">
        <f t="shared" si="571"/>
        <v>0</v>
      </c>
      <c r="AN561" s="1080">
        <f t="shared" si="572"/>
        <v>1</v>
      </c>
      <c r="AO561" s="1080">
        <f t="shared" si="561"/>
        <v>0</v>
      </c>
      <c r="AP561" s="1080">
        <f t="shared" si="573"/>
        <v>1</v>
      </c>
      <c r="AQ561" s="1027">
        <f>VLOOKUP(V561,'System Lookups'!$J$55:$P$64,7)</f>
        <v>600</v>
      </c>
      <c r="AR561" s="1080" t="str">
        <f ca="1">IF(AND(NOT(ISBLANK(AJ561)),ISNA(MATCH(ROW(),'System Lookups'!$C$526:$C$539,0))),"Y","N")</f>
        <v>Y</v>
      </c>
      <c r="AS561" s="1080">
        <f t="shared" si="562"/>
        <v>0</v>
      </c>
      <c r="AU561" s="1080" t="e">
        <f t="shared" si="531"/>
        <v>#N/A</v>
      </c>
      <c r="AV561" s="1080" t="str">
        <f t="shared" si="528"/>
        <v>T</v>
      </c>
      <c r="AW561" s="1080">
        <f t="shared" si="532"/>
        <v>0</v>
      </c>
      <c r="AX561" s="1080">
        <f t="shared" si="533"/>
        <v>0</v>
      </c>
      <c r="AY561" s="1080">
        <f t="shared" si="534"/>
        <v>0</v>
      </c>
      <c r="AZ561" s="1080">
        <f t="shared" si="535"/>
        <v>0</v>
      </c>
      <c r="BA561" s="1080">
        <f t="shared" si="536"/>
        <v>0</v>
      </c>
      <c r="BB561" s="1080">
        <f>IF(AND(RACE=1,'Main Creation Page'!$E$6="Well",OR(ISNUMBER(FIND(Experience!$G$11,BE561)),ISNUMBER(FIND(Experience!$G$11,BF561)),ISNUMBER(FIND(Experience!$I$11,BE561)),ISNUMBER(FIND(Experience!$I$11,BF561)))),1,0)</f>
        <v>1</v>
      </c>
      <c r="BC561" s="1080" t="str">
        <f t="shared" si="537"/>
        <v>Botany Lore</v>
      </c>
      <c r="BE561" s="1080" t="str">
        <f t="shared" si="529"/>
        <v>Lore</v>
      </c>
      <c r="BF561" s="1080" t="str">
        <f t="shared" si="530"/>
        <v>Lore Scientific Skills</v>
      </c>
    </row>
    <row r="562" spans="1:58" ht="11.1" customHeight="1" outlineLevel="1">
      <c r="A562" s="1117" t="s">
        <v>393</v>
      </c>
      <c r="B562" s="1094"/>
      <c r="C562" s="1094"/>
      <c r="D562" s="1094"/>
      <c r="E562" s="1095" t="s">
        <v>5224</v>
      </c>
      <c r="F562" s="1095" t="s">
        <v>5224</v>
      </c>
      <c r="G562" s="1096">
        <v>0</v>
      </c>
      <c r="H562" s="1096" t="s">
        <v>5224</v>
      </c>
      <c r="I562" s="1096" t="s">
        <v>5224</v>
      </c>
      <c r="J562" s="1096" t="s">
        <v>5224</v>
      </c>
      <c r="K562" s="1096" t="s">
        <v>5224</v>
      </c>
      <c r="L562" s="1096">
        <v>0</v>
      </c>
      <c r="M562" s="1096" t="s">
        <v>5224</v>
      </c>
      <c r="N562" s="1096" t="s">
        <v>4631</v>
      </c>
      <c r="O562" s="1028"/>
      <c r="P562" s="1028" t="s">
        <v>780</v>
      </c>
      <c r="Q562" s="1097">
        <f t="shared" ca="1" si="563"/>
        <v>17</v>
      </c>
      <c r="R562" s="1034"/>
      <c r="S562" s="1028" t="s">
        <v>3616</v>
      </c>
      <c r="T562" s="1097">
        <f t="shared" ca="1" si="564"/>
        <v>17</v>
      </c>
      <c r="U562" s="1027">
        <v>3</v>
      </c>
      <c r="V562" s="1027">
        <f t="shared" si="565"/>
        <v>4</v>
      </c>
      <c r="W562" s="1098" t="e">
        <f>IF(OR(I562&lt;&gt;"N",E562="C"),IF(AND(N562&lt;&gt;"T",ISNUMBER(FIND("V",I562))),1,0),NA())+IF(H562="Y",IF(AND(N562="P",ISNUMBER(FIND("Z",I562))),2,1),0)+IF(J562="Y",1,0)+IF(K562="Y",3,0)+IF(BE562="Lore",L562*2+Experience!$D$25,0)+IF(M562="Y",1,0)</f>
        <v>#N/A</v>
      </c>
      <c r="X562" s="1099"/>
      <c r="Y562" s="1100">
        <f ca="1">IF(P562="NS",IFERROR(INDIRECT(S562),NA()),VLOOKUP(INDIRECT(P562)+INDIRECT(S562),'System Lookups'!$A$3:$D$146,2))</f>
        <v>0.1</v>
      </c>
      <c r="Z562" s="1100">
        <f t="shared" si="566"/>
        <v>0</v>
      </c>
      <c r="AA562" s="1101">
        <f ca="1">IF(ISNA(Y562),0,Y562)+Z562+IF('Main Creation Page'!AB$2=37,'Main Creation Page'!E$14/100,0)</f>
        <v>0.1</v>
      </c>
      <c r="AB562" s="1102">
        <f>VLOOKUP(V562,'System Lookups'!$J$55:$P$64,3)</f>
        <v>0.2</v>
      </c>
      <c r="AC562" s="1103">
        <f>VLOOKUP(V562,'System Lookups'!$J$55:$P$64,4)</f>
        <v>0.3</v>
      </c>
      <c r="AD562" s="1104">
        <f t="shared" ca="1" si="567"/>
        <v>0.35000000000000003</v>
      </c>
      <c r="AE562" s="1094">
        <f ca="1">(IF(AD562&gt;VLOOKUP(V562,'System Lookups'!$J$55:$P$63,6),(((AD562-VLOOKUP(V562,'System Lookups'!$J$55:$P$63,6))*100)/20),0))+AF562</f>
        <v>0</v>
      </c>
      <c r="AF562" s="1121"/>
      <c r="AG562" s="1092">
        <f t="shared" si="568"/>
        <v>0</v>
      </c>
      <c r="AH562" s="1092" t="str">
        <f>IF(X562&lt;=Experience!$R$15+1,"","*")</f>
        <v/>
      </c>
      <c r="AI562" s="1092"/>
      <c r="AJ562" s="1080">
        <f t="shared" si="569"/>
        <v>0</v>
      </c>
      <c r="AK562" s="1080">
        <f t="shared" si="570"/>
        <v>0</v>
      </c>
      <c r="AL562" s="1080">
        <f t="shared" si="560"/>
        <v>0</v>
      </c>
      <c r="AM562" s="1092">
        <f t="shared" si="571"/>
        <v>0</v>
      </c>
      <c r="AN562" s="1080">
        <f t="shared" si="572"/>
        <v>1</v>
      </c>
      <c r="AO562" s="1080">
        <f t="shared" si="561"/>
        <v>0</v>
      </c>
      <c r="AP562" s="1080">
        <f t="shared" si="573"/>
        <v>1</v>
      </c>
      <c r="AQ562" s="1027">
        <f>VLOOKUP(V562,'System Lookups'!$J$55:$P$64,7)</f>
        <v>600</v>
      </c>
      <c r="AR562" s="1080" t="str">
        <f ca="1">IF(AND(NOT(ISBLANK(AJ562)),ISNA(MATCH(ROW(),'System Lookups'!$C$526:$C$539,0))),"Y","N")</f>
        <v>Y</v>
      </c>
      <c r="AS562" s="1080">
        <f t="shared" si="562"/>
        <v>0</v>
      </c>
      <c r="AU562" s="1080" t="e">
        <f t="shared" si="531"/>
        <v>#N/A</v>
      </c>
      <c r="AV562" s="1080" t="str">
        <f t="shared" si="528"/>
        <v>T</v>
      </c>
      <c r="AW562" s="1080">
        <f t="shared" si="532"/>
        <v>0</v>
      </c>
      <c r="AX562" s="1080">
        <f t="shared" si="533"/>
        <v>0</v>
      </c>
      <c r="AY562" s="1080">
        <f t="shared" si="534"/>
        <v>0</v>
      </c>
      <c r="AZ562" s="1080">
        <f t="shared" si="535"/>
        <v>0</v>
      </c>
      <c r="BA562" s="1080">
        <f t="shared" si="536"/>
        <v>0</v>
      </c>
      <c r="BB562" s="1080">
        <f>IF(AND(RACE=1,'Main Creation Page'!$E$6="Well",OR(ISNUMBER(FIND(Experience!$G$11,BE562)),ISNUMBER(FIND(Experience!$G$11,BF562)),ISNUMBER(FIND(Experience!$I$11,BE562)),ISNUMBER(FIND(Experience!$I$11,BF562)))),1,0)</f>
        <v>1</v>
      </c>
      <c r="BC562" s="1080" t="str">
        <f t="shared" si="537"/>
        <v>Cartography</v>
      </c>
      <c r="BE562" s="1080" t="str">
        <f t="shared" si="529"/>
        <v>Lore</v>
      </c>
      <c r="BF562" s="1080" t="str">
        <f t="shared" si="530"/>
        <v>Lore Scientific Skills</v>
      </c>
    </row>
    <row r="563" spans="1:58" ht="11.1" customHeight="1" outlineLevel="1">
      <c r="A563" s="1123" t="s">
        <v>4365</v>
      </c>
      <c r="B563" s="1094"/>
      <c r="C563" s="1094"/>
      <c r="D563" s="1094"/>
      <c r="E563" s="1095" t="s">
        <v>5224</v>
      </c>
      <c r="F563" s="1095" t="s">
        <v>5224</v>
      </c>
      <c r="G563" s="1096">
        <v>0</v>
      </c>
      <c r="H563" s="1096" t="s">
        <v>5224</v>
      </c>
      <c r="I563" s="1096" t="s">
        <v>5224</v>
      </c>
      <c r="J563" s="1096" t="s">
        <v>5224</v>
      </c>
      <c r="K563" s="1096" t="s">
        <v>5224</v>
      </c>
      <c r="L563" s="1096">
        <v>0</v>
      </c>
      <c r="M563" s="1096" t="s">
        <v>5224</v>
      </c>
      <c r="N563" s="1096" t="s">
        <v>4631</v>
      </c>
      <c r="O563" s="1028"/>
      <c r="P563" s="1028" t="s">
        <v>780</v>
      </c>
      <c r="Q563" s="1097">
        <f t="shared" ca="1" si="563"/>
        <v>17</v>
      </c>
      <c r="R563" s="1034"/>
      <c r="S563" s="1028" t="s">
        <v>3616</v>
      </c>
      <c r="T563" s="1097">
        <f t="shared" ca="1" si="564"/>
        <v>17</v>
      </c>
      <c r="U563" s="1027">
        <v>5</v>
      </c>
      <c r="V563" s="1027">
        <f t="shared" si="565"/>
        <v>6</v>
      </c>
      <c r="W563" s="1098" t="e">
        <f>IF(OR(I563&lt;&gt;"N",E563="C"),IF(AND(N563&lt;&gt;"T",ISNUMBER(FIND("V",I563))),1,0),NA())+IF(H563="Y",IF(AND(N563="P",ISNUMBER(FIND("Z",I563))),2,1),0)+IF(J563="Y",1,0)+IF(K563="Y",3,0)+IF(BE563="Lore",L563*2+Experience!$D$25,0)+IF(M563="Y",1,0)</f>
        <v>#N/A</v>
      </c>
      <c r="X563" s="1099"/>
      <c r="Y563" s="1100">
        <f ca="1">IF(P563="NS",IFERROR(INDIRECT(S563),NA()),VLOOKUP(INDIRECT(P563)+INDIRECT(S563),'System Lookups'!$A$3:$D$146,2))</f>
        <v>0.1</v>
      </c>
      <c r="Z563" s="1100">
        <f t="shared" si="566"/>
        <v>0</v>
      </c>
      <c r="AA563" s="1101">
        <f ca="1">IF(ISNA(Y563),0,Y563)+Z563+IF('Main Creation Page'!AB$2=37,'Main Creation Page'!E$14/100,0)</f>
        <v>0.1</v>
      </c>
      <c r="AB563" s="1102">
        <f>VLOOKUP(V563,'System Lookups'!$J$55:$P$64,3)</f>
        <v>0.05</v>
      </c>
      <c r="AC563" s="1103">
        <f>VLOOKUP(V563,'System Lookups'!$J$55:$P$64,4)</f>
        <v>0.1</v>
      </c>
      <c r="AD563" s="1104">
        <f t="shared" ca="1" si="567"/>
        <v>0.2</v>
      </c>
      <c r="AE563" s="1094">
        <f ca="1">(IF(AD563&gt;VLOOKUP(V563,'System Lookups'!$J$55:$P$63,6),(((AD563-VLOOKUP(V563,'System Lookups'!$J$55:$P$63,6))*100)/20),0))+AF563</f>
        <v>0</v>
      </c>
      <c r="AF563" s="1121"/>
      <c r="AG563" s="1092">
        <f t="shared" si="568"/>
        <v>0</v>
      </c>
      <c r="AH563" s="1092" t="str">
        <f>IF(X563&lt;=Experience!$R$15+1,"","*")</f>
        <v/>
      </c>
      <c r="AI563" s="1092"/>
      <c r="AJ563" s="1080">
        <f t="shared" si="569"/>
        <v>0</v>
      </c>
      <c r="AK563" s="1080">
        <f t="shared" si="570"/>
        <v>0</v>
      </c>
      <c r="AL563" s="1080">
        <f t="shared" si="560"/>
        <v>0</v>
      </c>
      <c r="AM563" s="1092">
        <f t="shared" si="571"/>
        <v>0</v>
      </c>
      <c r="AN563" s="1080">
        <f t="shared" si="572"/>
        <v>1</v>
      </c>
      <c r="AO563" s="1080">
        <f t="shared" si="561"/>
        <v>0</v>
      </c>
      <c r="AP563" s="1080">
        <f t="shared" si="573"/>
        <v>1</v>
      </c>
      <c r="AQ563" s="1027">
        <f>VLOOKUP(V563,'System Lookups'!$J$55:$P$64,7)</f>
        <v>800</v>
      </c>
      <c r="AR563" s="1080" t="str">
        <f ca="1">IF(AND(NOT(ISBLANK(AJ563)),ISNA(MATCH(ROW(),'System Lookups'!$C$526:$C$539,0))),"Y","N")</f>
        <v>Y</v>
      </c>
      <c r="AS563" s="1080">
        <f t="shared" si="562"/>
        <v>0</v>
      </c>
      <c r="AU563" s="1080" t="e">
        <f t="shared" si="531"/>
        <v>#N/A</v>
      </c>
      <c r="AV563" s="1080" t="str">
        <f t="shared" si="528"/>
        <v>T</v>
      </c>
      <c r="AW563" s="1080">
        <f t="shared" si="532"/>
        <v>0</v>
      </c>
      <c r="AX563" s="1080">
        <f t="shared" si="533"/>
        <v>0</v>
      </c>
      <c r="AY563" s="1080">
        <f t="shared" si="534"/>
        <v>0</v>
      </c>
      <c r="AZ563" s="1080">
        <f t="shared" si="535"/>
        <v>0</v>
      </c>
      <c r="BA563" s="1080">
        <f t="shared" si="536"/>
        <v>0</v>
      </c>
      <c r="BB563" s="1080">
        <f>IF(AND(RACE=1,'Main Creation Page'!$E$6="Well",OR(ISNUMBER(FIND(Experience!$G$11,BE563)),ISNUMBER(FIND(Experience!$G$11,BF563)),ISNUMBER(FIND(Experience!$I$11,BE563)),ISNUMBER(FIND(Experience!$I$11,BF563)))),1,0)</f>
        <v>1</v>
      </c>
      <c r="BC563" s="1080" t="str">
        <f t="shared" si="537"/>
        <v>Encoding and Decoding</v>
      </c>
      <c r="BE563" s="1080" t="str">
        <f t="shared" si="529"/>
        <v>Lore</v>
      </c>
      <c r="BF563" s="1080" t="str">
        <f>IF(ISBLANK(AC563),IF(OR(ISNA(BC563),ISBLANK(BC563)),BF879,BC563),BF879)</f>
        <v>Lore Scientific Skills</v>
      </c>
    </row>
    <row r="564" spans="1:58" ht="11.1" customHeight="1" outlineLevel="2">
      <c r="A564" s="1093" t="s">
        <v>4368</v>
      </c>
      <c r="B564" s="1094"/>
      <c r="C564" s="1094"/>
      <c r="D564" s="1094"/>
      <c r="E564" s="1095" t="s">
        <v>5224</v>
      </c>
      <c r="F564" s="1095" t="s">
        <v>5224</v>
      </c>
      <c r="G564" s="1096">
        <v>0</v>
      </c>
      <c r="H564" s="1096" t="s">
        <v>5224</v>
      </c>
      <c r="I564" s="1096" t="s">
        <v>5224</v>
      </c>
      <c r="J564" s="1096" t="s">
        <v>5224</v>
      </c>
      <c r="K564" s="1096" t="s">
        <v>5224</v>
      </c>
      <c r="L564" s="1096">
        <v>0</v>
      </c>
      <c r="M564" s="1096" t="s">
        <v>5224</v>
      </c>
      <c r="N564" s="1096" t="s">
        <v>4631</v>
      </c>
      <c r="O564" s="1028"/>
      <c r="P564" s="1028" t="s">
        <v>780</v>
      </c>
      <c r="Q564" s="1097">
        <f t="shared" ca="1" si="563"/>
        <v>17</v>
      </c>
      <c r="R564" s="1034"/>
      <c r="S564" s="1028" t="s">
        <v>3616</v>
      </c>
      <c r="T564" s="1097">
        <f t="shared" ca="1" si="564"/>
        <v>17</v>
      </c>
      <c r="U564" s="1027">
        <v>7</v>
      </c>
      <c r="V564" s="1027">
        <f t="shared" si="565"/>
        <v>8</v>
      </c>
      <c r="W564" s="1098" t="e">
        <f>IF(OR(I564&lt;&gt;"N",E564="C"),IF(AND(N564&lt;&gt;"T",ISNUMBER(FIND("V",I564))),1,0),NA())+IF(H564="Y",IF(AND(N564="P",ISNUMBER(FIND("Z",I564))),2,1),0)+IF(J564="Y",1,0)+IF(K564="Y",3,0)+IF(BE564="Lore",L564*2+Experience!$D$25,0)+IF(M564="Y",1,0)</f>
        <v>#N/A</v>
      </c>
      <c r="X564" s="1099"/>
      <c r="Y564" s="1100">
        <f ca="1">IF(P564="NS",IFERROR(INDIRECT(S564),NA()),VLOOKUP(INDIRECT(P564)+INDIRECT(S564),'System Lookups'!$A$3:$D$146,2))</f>
        <v>0.1</v>
      </c>
      <c r="Z564" s="1100">
        <f t="shared" si="566"/>
        <v>0</v>
      </c>
      <c r="AA564" s="1101">
        <f ca="1">IF(ISNA(Y564),0,Y564)+Z564+IF('Main Creation Page'!AB$2=37,'Main Creation Page'!E$14/100,0)</f>
        <v>0.1</v>
      </c>
      <c r="AB564" s="1102">
        <f>VLOOKUP(V564,'System Lookups'!$J$55:$P$64,3)</f>
        <v>0.02</v>
      </c>
      <c r="AC564" s="1103">
        <f>VLOOKUP(V564,'System Lookups'!$J$55:$P$64,4)</f>
        <v>0.03</v>
      </c>
      <c r="AD564" s="1104">
        <f t="shared" ca="1" si="567"/>
        <v>0.17</v>
      </c>
      <c r="AE564" s="1094">
        <f ca="1">(IF(AD564&gt;VLOOKUP(V564,'System Lookups'!$J$55:$P$63,6),(((AD564-VLOOKUP(V564,'System Lookups'!$J$55:$P$63,6))*100)/20),0))+AF564</f>
        <v>0</v>
      </c>
      <c r="AF564" s="1121"/>
      <c r="AG564" s="1092">
        <f t="shared" si="568"/>
        <v>0</v>
      </c>
      <c r="AH564" s="1092" t="str">
        <f>IF(X564&lt;=Experience!$R$15+1,"","*")</f>
        <v/>
      </c>
      <c r="AI564" s="1092"/>
      <c r="AJ564" s="1080">
        <f t="shared" si="569"/>
        <v>0</v>
      </c>
      <c r="AK564" s="1080">
        <f t="shared" si="570"/>
        <v>0</v>
      </c>
      <c r="AL564" s="1080">
        <f t="shared" si="560"/>
        <v>0</v>
      </c>
      <c r="AM564" s="1092">
        <f t="shared" si="571"/>
        <v>0</v>
      </c>
      <c r="AN564" s="1080">
        <f t="shared" si="572"/>
        <v>1</v>
      </c>
      <c r="AO564" s="1080">
        <f t="shared" si="561"/>
        <v>0</v>
      </c>
      <c r="AP564" s="1080">
        <f t="shared" si="573"/>
        <v>1</v>
      </c>
      <c r="AQ564" s="1027">
        <f>VLOOKUP(V564,'System Lookups'!$J$55:$P$64,7)</f>
        <v>1200</v>
      </c>
      <c r="AR564" s="1080" t="str">
        <f ca="1">IF(AND(NOT(ISBLANK(AJ564)),ISNA(MATCH(ROW(),'System Lookups'!$C$526:$C$539,0))),"Y","N")</f>
        <v>Y</v>
      </c>
      <c r="AS564" s="1080">
        <f t="shared" si="562"/>
        <v>0</v>
      </c>
      <c r="AU564" s="1080" t="e">
        <f t="shared" si="531"/>
        <v>#N/A</v>
      </c>
      <c r="AV564" s="1080" t="str">
        <f t="shared" si="528"/>
        <v>T</v>
      </c>
      <c r="AW564" s="1080">
        <f t="shared" si="532"/>
        <v>0</v>
      </c>
      <c r="AX564" s="1080">
        <f t="shared" si="533"/>
        <v>0</v>
      </c>
      <c r="AY564" s="1080">
        <f t="shared" si="534"/>
        <v>0</v>
      </c>
      <c r="AZ564" s="1080">
        <f t="shared" si="535"/>
        <v>0</v>
      </c>
      <c r="BA564" s="1080">
        <f t="shared" si="536"/>
        <v>0</v>
      </c>
      <c r="BB564" s="1080">
        <f>IF(AND(RACE=1,'Main Creation Page'!$E$6="Well",OR(ISNUMBER(FIND(Experience!$G$11,BE564)),ISNUMBER(FIND(Experience!$G$11,BF564)),ISNUMBER(FIND(Experience!$I$11,BE564)),ISNUMBER(FIND(Experience!$I$11,BF564)))),1,0)</f>
        <v>1</v>
      </c>
      <c r="BC564" s="1080" t="str">
        <f t="shared" si="537"/>
        <v>E&amp;D:Mechanical Cipher</v>
      </c>
      <c r="BD564" s="1080" t="s">
        <v>5703</v>
      </c>
      <c r="BE564" s="1080" t="str">
        <f t="shared" si="529"/>
        <v>Lore</v>
      </c>
      <c r="BF564" s="1080" t="str">
        <f>IF(ISBLANK(AC564),IF(OR(ISNA(BC564),ISBLANK(BC564)),BF563,BC564),BF563)</f>
        <v>Lore Scientific Skills</v>
      </c>
    </row>
    <row r="565" spans="1:58" ht="11.1" customHeight="1" outlineLevel="2">
      <c r="A565" s="1093" t="s">
        <v>4367</v>
      </c>
      <c r="B565" s="1094"/>
      <c r="C565" s="1094"/>
      <c r="D565" s="1094"/>
      <c r="E565" s="1095" t="s">
        <v>5224</v>
      </c>
      <c r="F565" s="1095" t="s">
        <v>5224</v>
      </c>
      <c r="G565" s="1096">
        <v>0</v>
      </c>
      <c r="H565" s="1096" t="s">
        <v>5224</v>
      </c>
      <c r="I565" s="1096" t="s">
        <v>5224</v>
      </c>
      <c r="J565" s="1096" t="s">
        <v>5224</v>
      </c>
      <c r="K565" s="1096" t="s">
        <v>5224</v>
      </c>
      <c r="L565" s="1096">
        <v>0</v>
      </c>
      <c r="M565" s="1096" t="s">
        <v>5224</v>
      </c>
      <c r="N565" s="1096" t="s">
        <v>4631</v>
      </c>
      <c r="O565" s="1028"/>
      <c r="P565" s="1028" t="s">
        <v>780</v>
      </c>
      <c r="Q565" s="1097">
        <f t="shared" ca="1" si="563"/>
        <v>17</v>
      </c>
      <c r="R565" s="1034"/>
      <c r="S565" s="1028" t="s">
        <v>3616</v>
      </c>
      <c r="T565" s="1097">
        <f t="shared" ca="1" si="564"/>
        <v>17</v>
      </c>
      <c r="U565" s="1027">
        <v>7</v>
      </c>
      <c r="V565" s="1027">
        <f t="shared" si="565"/>
        <v>8</v>
      </c>
      <c r="W565" s="1098" t="e">
        <f>IF(OR(I565&lt;&gt;"N",E565="C"),IF(AND(N565&lt;&gt;"T",ISNUMBER(FIND("V",I565))),1,0),NA())+IF(H565="Y",IF(AND(N565="P",ISNUMBER(FIND("Z",I565))),2,1),0)+IF(J565="Y",1,0)+IF(K565="Y",3,0)+IF(BE565="Lore",L565*2+Experience!$D$25,0)+IF(M565="Y",1,0)</f>
        <v>#N/A</v>
      </c>
      <c r="X565" s="1099"/>
      <c r="Y565" s="1100">
        <f ca="1">IF(P565="NS",IFERROR(INDIRECT(S565),NA()),VLOOKUP(INDIRECT(P565)+INDIRECT(S565),'System Lookups'!$A$3:$D$146,2))</f>
        <v>0.1</v>
      </c>
      <c r="Z565" s="1100">
        <f t="shared" si="566"/>
        <v>0</v>
      </c>
      <c r="AA565" s="1101">
        <f ca="1">IF(ISNA(Y565),0,Y565)+Z565+IF('Main Creation Page'!AB$2=37,'Main Creation Page'!E$14/100,0)</f>
        <v>0.1</v>
      </c>
      <c r="AB565" s="1102">
        <f>VLOOKUP(V565,'System Lookups'!$J$55:$P$64,3)</f>
        <v>0.02</v>
      </c>
      <c r="AC565" s="1103">
        <f>VLOOKUP(V565,'System Lookups'!$J$55:$P$64,4)</f>
        <v>0.03</v>
      </c>
      <c r="AD565" s="1104">
        <f t="shared" ca="1" si="567"/>
        <v>0.17</v>
      </c>
      <c r="AE565" s="1094">
        <f ca="1">(IF(AD565&gt;VLOOKUP(V565,'System Lookups'!$J$55:$P$63,6),(((AD565-VLOOKUP(V565,'System Lookups'!$J$55:$P$63,6))*100)/20),0))+AF565</f>
        <v>0</v>
      </c>
      <c r="AF565" s="1121"/>
      <c r="AG565" s="1092">
        <f t="shared" si="568"/>
        <v>0</v>
      </c>
      <c r="AH565" s="1092" t="str">
        <f>IF(X565&lt;=Experience!$R$15+1,"","*")</f>
        <v/>
      </c>
      <c r="AI565" s="1092"/>
      <c r="AJ565" s="1080">
        <f t="shared" si="569"/>
        <v>0</v>
      </c>
      <c r="AK565" s="1080">
        <f t="shared" si="570"/>
        <v>0</v>
      </c>
      <c r="AL565" s="1080">
        <f t="shared" si="560"/>
        <v>0</v>
      </c>
      <c r="AM565" s="1092">
        <f t="shared" si="571"/>
        <v>0</v>
      </c>
      <c r="AN565" s="1080">
        <f t="shared" si="572"/>
        <v>1</v>
      </c>
      <c r="AO565" s="1080">
        <f t="shared" si="561"/>
        <v>0</v>
      </c>
      <c r="AP565" s="1080">
        <f t="shared" si="573"/>
        <v>1</v>
      </c>
      <c r="AQ565" s="1027">
        <f>VLOOKUP(V565,'System Lookups'!$J$55:$P$64,7)</f>
        <v>1200</v>
      </c>
      <c r="AR565" s="1080" t="str">
        <f ca="1">IF(AND(NOT(ISBLANK(AJ565)),ISNA(MATCH(ROW(),'System Lookups'!$C$526:$C$539,0))),"Y","N")</f>
        <v>Y</v>
      </c>
      <c r="AS565" s="1080">
        <f t="shared" si="562"/>
        <v>0</v>
      </c>
      <c r="AU565" s="1080" t="e">
        <f t="shared" si="531"/>
        <v>#N/A</v>
      </c>
      <c r="AV565" s="1080" t="str">
        <f t="shared" ref="AV565:AV628" si="574">IF(ISNUMBER(U565),CONCATENATE(IF(E565="C","C",""),IF(H565="Y","M",""),N565,IF(ISNUMBER(FIND("F",I565)),"Bk",""),IF(ISNUMBER(FIND("Z",I565)),"Zm",""),IF(J565="Y","L",""),IF(OR(K565="Y",AND(ISNUMBER(L565),L565&gt;0),M565="Y"),"Sa","")),"")</f>
        <v>T</v>
      </c>
      <c r="AW565" s="1080">
        <f t="shared" si="532"/>
        <v>0</v>
      </c>
      <c r="AX565" s="1080">
        <f t="shared" si="533"/>
        <v>0</v>
      </c>
      <c r="AY565" s="1080">
        <f t="shared" si="534"/>
        <v>0</v>
      </c>
      <c r="AZ565" s="1080">
        <f t="shared" si="535"/>
        <v>0</v>
      </c>
      <c r="BA565" s="1080">
        <f t="shared" si="536"/>
        <v>0</v>
      </c>
      <c r="BB565" s="1080">
        <f>IF(AND(RACE=1,'Main Creation Page'!$E$6="Well",OR(ISNUMBER(FIND(Experience!$G$11,BE565)),ISNUMBER(FIND(Experience!$G$11,BF565)),ISNUMBER(FIND(Experience!$I$11,BE565)),ISNUMBER(FIND(Experience!$I$11,BF565)))),1,0)</f>
        <v>1</v>
      </c>
      <c r="BC565" s="1080" t="str">
        <f t="shared" si="537"/>
        <v>E&amp;D:Polyalphabetic Cipher</v>
      </c>
      <c r="BD565" s="1080" t="s">
        <v>5703</v>
      </c>
      <c r="BE565" s="1080" t="str">
        <f t="shared" ref="BE565:BE628" si="575">IF(OR(ISNUMBER(FIND("Lore",BF565)),ISNUMBER(FIND("Materia",BF565)),ISNUMBER(FIND("Lore",BD565))),"Lore","")</f>
        <v>Lore</v>
      </c>
      <c r="BF565" s="1080" t="str">
        <f>IF(ISBLANK(AC565),IF(OR(ISNA(BC565),ISBLANK(BC565)),BF564,BC565),BF564)</f>
        <v>Lore Scientific Skills</v>
      </c>
    </row>
    <row r="566" spans="1:58" ht="11.1" customHeight="1" outlineLevel="2">
      <c r="A566" s="1093" t="s">
        <v>4366</v>
      </c>
      <c r="B566" s="1094"/>
      <c r="C566" s="1094"/>
      <c r="D566" s="1094"/>
      <c r="E566" s="1095" t="s">
        <v>5224</v>
      </c>
      <c r="F566" s="1095" t="s">
        <v>5224</v>
      </c>
      <c r="G566" s="1096">
        <v>0</v>
      </c>
      <c r="H566" s="1096" t="s">
        <v>5224</v>
      </c>
      <c r="I566" s="1096" t="s">
        <v>5224</v>
      </c>
      <c r="J566" s="1096" t="s">
        <v>5224</v>
      </c>
      <c r="K566" s="1096" t="s">
        <v>5224</v>
      </c>
      <c r="L566" s="1096">
        <v>0</v>
      </c>
      <c r="M566" s="1096" t="s">
        <v>5224</v>
      </c>
      <c r="N566" s="1096" t="s">
        <v>4631</v>
      </c>
      <c r="O566" s="1028"/>
      <c r="P566" s="1028" t="s">
        <v>780</v>
      </c>
      <c r="Q566" s="1097">
        <f t="shared" ca="1" si="563"/>
        <v>17</v>
      </c>
      <c r="R566" s="1034"/>
      <c r="S566" s="1028" t="s">
        <v>3616</v>
      </c>
      <c r="T566" s="1097">
        <f t="shared" ca="1" si="564"/>
        <v>17</v>
      </c>
      <c r="U566" s="1027">
        <v>7</v>
      </c>
      <c r="V566" s="1027">
        <f t="shared" si="565"/>
        <v>8</v>
      </c>
      <c r="W566" s="1098" t="e">
        <f>IF(OR(I566&lt;&gt;"N",E566="C"),IF(AND(N566&lt;&gt;"T",ISNUMBER(FIND("V",I566))),1,0),NA())+IF(H566="Y",IF(AND(N566="P",ISNUMBER(FIND("Z",I566))),2,1),0)+IF(J566="Y",1,0)+IF(K566="Y",3,0)+IF(BE566="Lore",L566*2+Experience!$D$25,0)+IF(M566="Y",1,0)</f>
        <v>#N/A</v>
      </c>
      <c r="X566" s="1099"/>
      <c r="Y566" s="1100">
        <f ca="1">IF(P566="NS",IFERROR(INDIRECT(S566),NA()),VLOOKUP(INDIRECT(P566)+INDIRECT(S566),'System Lookups'!$A$3:$D$146,2))</f>
        <v>0.1</v>
      </c>
      <c r="Z566" s="1100">
        <f t="shared" si="566"/>
        <v>0</v>
      </c>
      <c r="AA566" s="1101">
        <f ca="1">IF(ISNA(Y566),0,Y566)+Z566+IF('Main Creation Page'!AB$2=37,'Main Creation Page'!E$14/100,0)</f>
        <v>0.1</v>
      </c>
      <c r="AB566" s="1102">
        <f>VLOOKUP(V566,'System Lookups'!$J$55:$P$64,3)</f>
        <v>0.02</v>
      </c>
      <c r="AC566" s="1103">
        <f>VLOOKUP(V566,'System Lookups'!$J$55:$P$64,4)</f>
        <v>0.03</v>
      </c>
      <c r="AD566" s="1104">
        <f t="shared" ca="1" si="567"/>
        <v>0.17</v>
      </c>
      <c r="AE566" s="1094">
        <f ca="1">(IF(AD566&gt;VLOOKUP(V566,'System Lookups'!$J$55:$P$63,6),(((AD566-VLOOKUP(V566,'System Lookups'!$J$55:$P$63,6))*100)/20),0))+AF566</f>
        <v>0</v>
      </c>
      <c r="AF566" s="1121"/>
      <c r="AG566" s="1092">
        <f t="shared" si="568"/>
        <v>0</v>
      </c>
      <c r="AH566" s="1092" t="str">
        <f>IF(X566&lt;=Experience!$R$15+1,"","*")</f>
        <v/>
      </c>
      <c r="AI566" s="1092"/>
      <c r="AJ566" s="1080">
        <f t="shared" si="569"/>
        <v>0</v>
      </c>
      <c r="AK566" s="1080">
        <f t="shared" si="570"/>
        <v>0</v>
      </c>
      <c r="AL566" s="1080">
        <f t="shared" si="560"/>
        <v>0</v>
      </c>
      <c r="AM566" s="1092">
        <f t="shared" si="571"/>
        <v>0</v>
      </c>
      <c r="AN566" s="1080">
        <f t="shared" si="572"/>
        <v>1</v>
      </c>
      <c r="AO566" s="1080">
        <f t="shared" si="561"/>
        <v>0</v>
      </c>
      <c r="AP566" s="1080">
        <f t="shared" si="573"/>
        <v>1</v>
      </c>
      <c r="AQ566" s="1027">
        <f>VLOOKUP(V566,'System Lookups'!$J$55:$P$64,7)</f>
        <v>1200</v>
      </c>
      <c r="AR566" s="1080" t="str">
        <f ca="1">IF(AND(NOT(ISBLANK(AJ566)),ISNA(MATCH(ROW(),'System Lookups'!$C$526:$C$539,0))),"Y","N")</f>
        <v>Y</v>
      </c>
      <c r="AS566" s="1080">
        <f t="shared" si="562"/>
        <v>0</v>
      </c>
      <c r="AU566" s="1080" t="e">
        <f t="shared" ref="AU566:AU629" si="576">IF(AND(NOT(ISNUMBER($W566)),ISBLANK($X566)),NA(),IFERROR($W566+$X566,$X566))</f>
        <v>#N/A</v>
      </c>
      <c r="AV566" s="1080" t="str">
        <f t="shared" si="574"/>
        <v>T</v>
      </c>
      <c r="AW566" s="1080">
        <f t="shared" ref="AW566:AW629" si="577">IF(OR(I566="N",ISBLANK(I566)),0,1)</f>
        <v>0</v>
      </c>
      <c r="AX566" s="1080">
        <f t="shared" ref="AX566:AX629" si="578">IF($N566="P",IF(ISNUMBER(FIND("V",$I566)),1,0),0)</f>
        <v>0</v>
      </c>
      <c r="AY566" s="1080">
        <f t="shared" ref="AY566:AY629" si="579">IF($N566="S",IF(ISNUMBER(FIND("V",$I566)),1,0),0)</f>
        <v>0</v>
      </c>
      <c r="AZ566" s="1080">
        <f t="shared" ref="AZ566:AZ629" si="580">IF($N566="T",IF(ISNUMBER(FIND("V",$I566)),1,0),0)</f>
        <v>0</v>
      </c>
      <c r="BA566" s="1080">
        <f t="shared" ref="BA566:BA629" si="581">IF($N566&lt;&gt;"T",IF(OR(ISNUMBER(FIND("C",$I566)),ISNUMBER(FIND("D",$I566)),ISNUMBER(FIND("E",$I566)),ISNUMBER(FIND("F",$I566)),ISNUMBER(FIND("L",$I566)),ISNUMBER(FIND("R",$I566)),ISNUMBER(FIND("S",$I566))),1,0),0)</f>
        <v>0</v>
      </c>
      <c r="BB566" s="1080">
        <f>IF(AND(RACE=1,'Main Creation Page'!$E$6="Well",OR(ISNUMBER(FIND(Experience!$G$11,BE566)),ISNUMBER(FIND(Experience!$G$11,BF566)),ISNUMBER(FIND(Experience!$I$11,BE566)),ISNUMBER(FIND(Experience!$I$11,BF566)))),1,0)</f>
        <v>1</v>
      </c>
      <c r="BC566" s="1080" t="str">
        <f t="shared" si="537"/>
        <v>E&amp;D:Substitution Cipher</v>
      </c>
      <c r="BD566" s="1080" t="s">
        <v>5703</v>
      </c>
      <c r="BE566" s="1080" t="str">
        <f t="shared" si="575"/>
        <v>Lore</v>
      </c>
      <c r="BF566" s="1080" t="str">
        <f>IF(ISBLANK(AC566),IF(OR(ISNA(BC566),ISBLANK(BC566)),BF565,BC566),BF565)</f>
        <v>Lore Scientific Skills</v>
      </c>
    </row>
    <row r="567" spans="1:58" ht="11.1" customHeight="1" outlineLevel="1">
      <c r="A567" s="1123" t="s">
        <v>5450</v>
      </c>
      <c r="B567" s="1094"/>
      <c r="C567" s="1094" t="s">
        <v>4629</v>
      </c>
      <c r="D567" s="1094"/>
      <c r="E567" s="1095" t="s">
        <v>5224</v>
      </c>
      <c r="F567" s="1095" t="s">
        <v>5224</v>
      </c>
      <c r="G567" s="1096">
        <v>0</v>
      </c>
      <c r="H567" s="1096" t="s">
        <v>5224</v>
      </c>
      <c r="I567" s="1096" t="s">
        <v>5224</v>
      </c>
      <c r="J567" s="1096" t="s">
        <v>5224</v>
      </c>
      <c r="K567" s="1096" t="s">
        <v>5224</v>
      </c>
      <c r="L567" s="1096">
        <v>0</v>
      </c>
      <c r="M567" s="1096" t="s">
        <v>5224</v>
      </c>
      <c r="N567" s="1096" t="s">
        <v>4631</v>
      </c>
      <c r="O567" s="1028"/>
      <c r="P567" s="1028" t="s">
        <v>780</v>
      </c>
      <c r="Q567" s="1097">
        <f t="shared" ca="1" si="563"/>
        <v>17</v>
      </c>
      <c r="R567" s="1034"/>
      <c r="S567" s="1028" t="s">
        <v>3616</v>
      </c>
      <c r="T567" s="1097">
        <f t="shared" ca="1" si="564"/>
        <v>17</v>
      </c>
      <c r="U567" s="1027">
        <f ca="1">IF('Main Creation Page'!K4=1,5,4)-IF(AD393&gt;0,IF('Main Creation Page'!E14+'Main Creation Page'!E17&gt;29,1,0),0)</f>
        <v>3</v>
      </c>
      <c r="V567" s="1027">
        <f t="shared" ca="1" si="565"/>
        <v>4</v>
      </c>
      <c r="W567" s="1098" t="e">
        <f ca="1">IF(OR(I567&lt;&gt;"N",E567="C"),IF(AND(N567&lt;&gt;"T",ISNUMBER(FIND("V",I567))),1,0),NA())+IF(H567="Y",IF(AND(N567="P",ISNUMBER(FIND("Z",I567))),2,1),0)+IF(J567="Y",1,0)+IF(K567="Y",3,0)+IF(BE567="Lore",L567*2+Experience!$D$25,0)+IF(M567="Y",1,0)</f>
        <v>#N/A</v>
      </c>
      <c r="X567" s="1099"/>
      <c r="Y567" s="1100">
        <f ca="1">IF(P567="NS",IFERROR(INDIRECT(S567),NA()),VLOOKUP(INDIRECT(P567)+INDIRECT(S567),'System Lookups'!$A$3:$D$146,2))</f>
        <v>0.1</v>
      </c>
      <c r="Z567" s="1100">
        <f t="shared" ca="1" si="566"/>
        <v>0</v>
      </c>
      <c r="AA567" s="1101">
        <f ca="1">IF(ISNA(Y567),0,Y567)+Z567</f>
        <v>0.1</v>
      </c>
      <c r="AB567" s="1102">
        <f ca="1">VLOOKUP(V567,'System Lookups'!$J$55:$P$64,3)</f>
        <v>0.2</v>
      </c>
      <c r="AC567" s="1103">
        <f ca="1">VLOOKUP(V567,'System Lookups'!$J$55:$P$64,4)</f>
        <v>0.3</v>
      </c>
      <c r="AD567" s="1104">
        <f t="shared" ca="1" si="567"/>
        <v>0.35000000000000003</v>
      </c>
      <c r="AE567" s="1094">
        <f ca="1">(IF(AD567&gt;VLOOKUP(V567,'System Lookups'!$J$55:$P$63,6),(((AD567-VLOOKUP(V567,'System Lookups'!$J$55:$P$63,6))*100)/20),0))+AF567</f>
        <v>0</v>
      </c>
      <c r="AF567" s="1121"/>
      <c r="AG567" s="1092">
        <f t="shared" si="568"/>
        <v>0</v>
      </c>
      <c r="AH567" s="1092" t="str">
        <f>IF(X567&lt;=Experience!$R$15+1,"","*")</f>
        <v/>
      </c>
      <c r="AI567" s="1092"/>
      <c r="AJ567" s="1080">
        <f t="shared" si="569"/>
        <v>0</v>
      </c>
      <c r="AK567" s="1080">
        <f t="shared" ref="AK567:AK571" si="582">IF(F567="s",-2,0)</f>
        <v>0</v>
      </c>
      <c r="AL567" s="1080">
        <f t="shared" si="560"/>
        <v>0</v>
      </c>
      <c r="AM567" s="1092">
        <f t="shared" ref="AM567:AM571" si="583">IF(J567="y",1,0)</f>
        <v>0</v>
      </c>
      <c r="AN567" s="1080">
        <f t="shared" ref="AN567:AN571" si="584">IF(N567="P",-1,IF(N567="T",1,0))</f>
        <v>1</v>
      </c>
      <c r="AO567" s="1080">
        <f t="shared" si="561"/>
        <v>0</v>
      </c>
      <c r="AP567" s="1080">
        <f t="shared" si="573"/>
        <v>1</v>
      </c>
      <c r="AQ567" s="1027">
        <f ca="1">VLOOKUP(V567,'System Lookups'!$J$55:$P$64,7)</f>
        <v>600</v>
      </c>
      <c r="AR567" s="1080" t="str">
        <f ca="1">IF(AND(NOT(ISBLANK(AJ567)),ISNA(MATCH(ROW(),'System Lookups'!$C$526:$C$539,0))),"Y","N")</f>
        <v>Y</v>
      </c>
      <c r="AS567" s="1080">
        <f t="shared" si="562"/>
        <v>0</v>
      </c>
      <c r="AU567" s="1080" t="e">
        <f t="shared" ca="1" si="576"/>
        <v>#N/A</v>
      </c>
      <c r="AV567" s="1080" t="str">
        <f t="shared" ca="1" si="574"/>
        <v>T</v>
      </c>
      <c r="AW567" s="1080">
        <f t="shared" si="577"/>
        <v>0</v>
      </c>
      <c r="AX567" s="1080">
        <f t="shared" si="578"/>
        <v>0</v>
      </c>
      <c r="AY567" s="1080">
        <f t="shared" si="579"/>
        <v>0</v>
      </c>
      <c r="AZ567" s="1080">
        <f t="shared" si="580"/>
        <v>0</v>
      </c>
      <c r="BA567" s="1080">
        <f t="shared" si="581"/>
        <v>0</v>
      </c>
      <c r="BB567" s="1080">
        <f ca="1">IF(AND(RACE=1,'Main Creation Page'!$E$6="Well",OR(ISNUMBER(FIND(Experience!$G$11,BE567)),ISNUMBER(FIND(Experience!$G$11,BF567)),ISNUMBER(FIND(Experience!$I$11,BE567)),ISNUMBER(FIND(Experience!$I$11,BF567)))),1,0)</f>
        <v>1</v>
      </c>
      <c r="BC567" s="1080" t="str">
        <f t="shared" si="537"/>
        <v>Fortifications: Advanced</v>
      </c>
      <c r="BE567" s="1080" t="str">
        <f t="shared" ca="1" si="575"/>
        <v>Lore</v>
      </c>
      <c r="BF567" s="1080" t="str">
        <f ca="1">IF(ISBLANK(AC567),IF(OR(ISNA(BC567),ISBLANK(BC567)),BF880,BC567),BF880)</f>
        <v>Lore Scientific Skills</v>
      </c>
    </row>
    <row r="568" spans="1:58" ht="11.1" customHeight="1" outlineLevel="1">
      <c r="A568" s="1123" t="s">
        <v>775</v>
      </c>
      <c r="B568" s="1094"/>
      <c r="C568" s="1094" t="s">
        <v>4629</v>
      </c>
      <c r="D568" s="1094"/>
      <c r="E568" s="1095" t="s">
        <v>5224</v>
      </c>
      <c r="F568" s="1095" t="s">
        <v>5224</v>
      </c>
      <c r="G568" s="1096">
        <v>0</v>
      </c>
      <c r="H568" s="1096" t="s">
        <v>5224</v>
      </c>
      <c r="I568" s="1096" t="s">
        <v>5224</v>
      </c>
      <c r="J568" s="1096" t="s">
        <v>5224</v>
      </c>
      <c r="K568" s="1096" t="s">
        <v>5224</v>
      </c>
      <c r="L568" s="1096">
        <v>0</v>
      </c>
      <c r="M568" s="1096" t="s">
        <v>5224</v>
      </c>
      <c r="N568" s="1096" t="s">
        <v>4631</v>
      </c>
      <c r="O568" s="1028"/>
      <c r="P568" s="1028" t="s">
        <v>780</v>
      </c>
      <c r="Q568" s="1097">
        <f t="shared" ca="1" si="563"/>
        <v>17</v>
      </c>
      <c r="R568" s="1034"/>
      <c r="S568" s="1028" t="s">
        <v>3616</v>
      </c>
      <c r="T568" s="1097">
        <f t="shared" ca="1" si="564"/>
        <v>17</v>
      </c>
      <c r="U568" s="1027">
        <f>IF('Main Creation Page'!K4=1,3,IF('Main Creation Page'!K4=3,1,2))</f>
        <v>2</v>
      </c>
      <c r="V568" s="1027">
        <f t="shared" si="565"/>
        <v>3</v>
      </c>
      <c r="W568" s="1098" t="e">
        <f ca="1">IF(OR(I568&lt;&gt;"N",E568="C"),IF(AND(N568&lt;&gt;"T",ISNUMBER(FIND("V",I568))),1,0),NA())+IF(H568="Y",IF(AND(N568="P",ISNUMBER(FIND("Z",I568))),2,1),0)+IF(J568="Y",1,0)+IF(K568="Y",3,0)+IF(BE568="Lore",L568*2+Experience!$D$25,0)+IF(M568="Y",1,0)</f>
        <v>#N/A</v>
      </c>
      <c r="X568" s="1099"/>
      <c r="Y568" s="1100">
        <f ca="1">IF(P568="NS",IFERROR(INDIRECT(S568),NA()),VLOOKUP(INDIRECT(P568)+INDIRECT(S568),'System Lookups'!$A$3:$D$146,2))</f>
        <v>0.1</v>
      </c>
      <c r="Z568" s="1100">
        <f t="shared" ca="1" si="566"/>
        <v>0</v>
      </c>
      <c r="AA568" s="1101">
        <f ca="1">IF(ISNA(Y568),0,Y568)+Z568</f>
        <v>0.1</v>
      </c>
      <c r="AB568" s="1102">
        <f>VLOOKUP(V568,'System Lookups'!$J$55:$P$64,3)</f>
        <v>0.3</v>
      </c>
      <c r="AC568" s="1103">
        <f>VLOOKUP(V568,'System Lookups'!$J$55:$P$64,4)</f>
        <v>0.4</v>
      </c>
      <c r="AD568" s="1104">
        <f t="shared" ca="1" si="567"/>
        <v>0.45</v>
      </c>
      <c r="AE568" s="1094">
        <f ca="1">(IF(AD568&gt;VLOOKUP(V568,'System Lookups'!$J$55:$P$63,6),(((AD568-VLOOKUP(V568,'System Lookups'!$J$55:$P$63,6))*100)/20),0))+AF568</f>
        <v>0</v>
      </c>
      <c r="AF568" s="1121"/>
      <c r="AG568" s="1092">
        <f t="shared" si="568"/>
        <v>0</v>
      </c>
      <c r="AH568" s="1092" t="str">
        <f>IF(X568&lt;=Experience!$R$15+1,"","*")</f>
        <v/>
      </c>
      <c r="AI568" s="1092"/>
      <c r="AJ568" s="1080">
        <f t="shared" si="569"/>
        <v>0</v>
      </c>
      <c r="AK568" s="1080">
        <f t="shared" si="582"/>
        <v>0</v>
      </c>
      <c r="AL568" s="1080">
        <f t="shared" si="560"/>
        <v>0</v>
      </c>
      <c r="AM568" s="1092">
        <f t="shared" si="583"/>
        <v>0</v>
      </c>
      <c r="AN568" s="1080">
        <f t="shared" si="584"/>
        <v>1</v>
      </c>
      <c r="AO568" s="1080">
        <f t="shared" si="561"/>
        <v>0</v>
      </c>
      <c r="AP568" s="1080">
        <f t="shared" si="573"/>
        <v>1</v>
      </c>
      <c r="AQ568" s="1027">
        <f>VLOOKUP(V568,'System Lookups'!$J$55:$P$64,7)</f>
        <v>500</v>
      </c>
      <c r="AR568" s="1080" t="str">
        <f ca="1">IF(AND(NOT(ISBLANK(AJ568)),ISNA(MATCH(ROW(),'System Lookups'!$C$526:$C$539,0))),"Y","N")</f>
        <v>Y</v>
      </c>
      <c r="AS568" s="1080">
        <f t="shared" si="562"/>
        <v>0</v>
      </c>
      <c r="AU568" s="1080" t="e">
        <f t="shared" ca="1" si="576"/>
        <v>#N/A</v>
      </c>
      <c r="AV568" s="1080" t="str">
        <f t="shared" si="574"/>
        <v>T</v>
      </c>
      <c r="AW568" s="1080">
        <f t="shared" si="577"/>
        <v>0</v>
      </c>
      <c r="AX568" s="1080">
        <f t="shared" si="578"/>
        <v>0</v>
      </c>
      <c r="AY568" s="1080">
        <f t="shared" si="579"/>
        <v>0</v>
      </c>
      <c r="AZ568" s="1080">
        <f t="shared" si="580"/>
        <v>0</v>
      </c>
      <c r="BA568" s="1080">
        <f t="shared" si="581"/>
        <v>0</v>
      </c>
      <c r="BB568" s="1080">
        <f ca="1">IF(AND(RACE=1,'Main Creation Page'!$E$6="Well",OR(ISNUMBER(FIND(Experience!$G$11,BE568)),ISNUMBER(FIND(Experience!$G$11,BF568)),ISNUMBER(FIND(Experience!$I$11,BE568)),ISNUMBER(FIND(Experience!$I$11,BF568)))),1,0)</f>
        <v>1</v>
      </c>
      <c r="BC568" s="1080" t="str">
        <f t="shared" si="537"/>
        <v>Fortifications: Basic</v>
      </c>
      <c r="BE568" s="1080" t="str">
        <f t="shared" ca="1" si="575"/>
        <v>Lore</v>
      </c>
      <c r="BF568" s="1080" t="str">
        <f t="shared" ref="BF568:BF580" ca="1" si="585">IF(ISBLANK(AC568),IF(OR(ISNA(BC568),ISBLANK(BC568)),BF567,BC568),BF567)</f>
        <v>Lore Scientific Skills</v>
      </c>
    </row>
    <row r="569" spans="1:58" ht="11.1" customHeight="1" outlineLevel="1">
      <c r="A569" s="1117" t="s">
        <v>394</v>
      </c>
      <c r="B569" s="1094" t="s">
        <v>1942</v>
      </c>
      <c r="C569" s="1094"/>
      <c r="D569" s="1094"/>
      <c r="E569" s="1095" t="s">
        <v>5224</v>
      </c>
      <c r="F569" s="1095" t="str">
        <f>IF(('Main Creation Page'!$C$3=3),"R","N")</f>
        <v>N</v>
      </c>
      <c r="G569" s="1096">
        <v>0</v>
      </c>
      <c r="H569" s="1096" t="s">
        <v>5224</v>
      </c>
      <c r="I569" s="1096" t="s">
        <v>5224</v>
      </c>
      <c r="J569" s="1096" t="s">
        <v>5224</v>
      </c>
      <c r="K569" s="1096" t="s">
        <v>5224</v>
      </c>
      <c r="L569" s="1096">
        <v>0</v>
      </c>
      <c r="M569" s="1096" t="s">
        <v>5224</v>
      </c>
      <c r="N569" s="1096" t="s">
        <v>4631</v>
      </c>
      <c r="O569" s="1028"/>
      <c r="P569" s="1028" t="s">
        <v>780</v>
      </c>
      <c r="Q569" s="1097">
        <f t="shared" ca="1" si="563"/>
        <v>17</v>
      </c>
      <c r="R569" s="1034"/>
      <c r="S569" s="1028" t="s">
        <v>3616</v>
      </c>
      <c r="T569" s="1097">
        <f t="shared" ca="1" si="564"/>
        <v>17</v>
      </c>
      <c r="U569" s="1027">
        <f>IF('Main Creation Page'!B3=3,2,3)</f>
        <v>3</v>
      </c>
      <c r="V569" s="1027">
        <f t="shared" si="565"/>
        <v>4</v>
      </c>
      <c r="W569" s="1098" t="e">
        <f ca="1">IF(OR(I569&lt;&gt;"N",E569="C"),IF(AND(N569&lt;&gt;"T",ISNUMBER(FIND("V",I569))),1,0),NA())+IF(H569="Y",IF(AND(N569="P",ISNUMBER(FIND("Z",I569))),2,1),0)+IF(J569="Y",1,0)+IF(K569="Y",3,0)+IF(BE569="Lore",L569*2+Experience!$D$25,0)+IF(M569="Y",1,0)</f>
        <v>#N/A</v>
      </c>
      <c r="X569" s="1099"/>
      <c r="Y569" s="1100">
        <f ca="1">IF(P569="NS",IFERROR(INDIRECT(S569),NA()),VLOOKUP(INDIRECT(P569)+INDIRECT(S569),'System Lookups'!$A$3:$D$146,2))</f>
        <v>0.1</v>
      </c>
      <c r="Z569" s="1100">
        <f t="shared" ca="1" si="566"/>
        <v>0</v>
      </c>
      <c r="AA569" s="1101">
        <f ca="1">IF(ISNA(Y569),0,Y569)+Z569+IF('Main Creation Page'!AB$2=37,'Main Creation Page'!E$14/100,0)</f>
        <v>0.1</v>
      </c>
      <c r="AB569" s="1102">
        <f>VLOOKUP(V569,'System Lookups'!$J$55:$P$64,3)</f>
        <v>0.2</v>
      </c>
      <c r="AC569" s="1103">
        <f>VLOOKUP(V569,'System Lookups'!$J$55:$P$64,4)</f>
        <v>0.3</v>
      </c>
      <c r="AD569" s="1104">
        <f t="shared" ca="1" si="567"/>
        <v>0</v>
      </c>
      <c r="AE569" s="1094">
        <f ca="1">(IF(AD569&gt;VLOOKUP(V569,'System Lookups'!$J$55:$P$63,6),(((AD569-VLOOKUP(V569,'System Lookups'!$J$55:$P$63,6))*100)/20),0))+AF569</f>
        <v>0</v>
      </c>
      <c r="AF569" s="1121"/>
      <c r="AG569" s="1092">
        <f t="shared" si="568"/>
        <v>0</v>
      </c>
      <c r="AH569" s="1092" t="str">
        <f>IF(X569&lt;=Experience!$R$15+1,"","*")</f>
        <v/>
      </c>
      <c r="AI569" s="1092"/>
      <c r="AJ569" s="1080">
        <f t="shared" si="569"/>
        <v>0</v>
      </c>
      <c r="AK569" s="1080">
        <f t="shared" si="582"/>
        <v>0</v>
      </c>
      <c r="AL569" s="1080">
        <f t="shared" si="560"/>
        <v>0</v>
      </c>
      <c r="AM569" s="1092">
        <f t="shared" si="583"/>
        <v>0</v>
      </c>
      <c r="AN569" s="1080">
        <f t="shared" si="584"/>
        <v>1</v>
      </c>
      <c r="AO569" s="1080">
        <f t="shared" si="561"/>
        <v>0</v>
      </c>
      <c r="AP569" s="1080">
        <f t="shared" si="573"/>
        <v>1</v>
      </c>
      <c r="AQ569" s="1027">
        <f>VLOOKUP(V569,'System Lookups'!$J$55:$P$64,7)</f>
        <v>600</v>
      </c>
      <c r="AR569" s="1080" t="str">
        <f ca="1">IF(AND(NOT(ISBLANK(AJ569)),ISNA(MATCH(ROW(),'System Lookups'!$C$526:$C$539,0))),"Y","N")</f>
        <v>Y</v>
      </c>
      <c r="AS569" s="1080">
        <f t="shared" si="562"/>
        <v>0</v>
      </c>
      <c r="AU569" s="1080" t="e">
        <f t="shared" ca="1" si="576"/>
        <v>#N/A</v>
      </c>
      <c r="AV569" s="1080" t="str">
        <f t="shared" si="574"/>
        <v>T</v>
      </c>
      <c r="AW569" s="1080">
        <f t="shared" si="577"/>
        <v>0</v>
      </c>
      <c r="AX569" s="1080">
        <f t="shared" si="578"/>
        <v>0</v>
      </c>
      <c r="AY569" s="1080">
        <f t="shared" si="579"/>
        <v>0</v>
      </c>
      <c r="AZ569" s="1080">
        <f t="shared" si="580"/>
        <v>0</v>
      </c>
      <c r="BA569" s="1080">
        <f t="shared" si="581"/>
        <v>0</v>
      </c>
      <c r="BB569" s="1080">
        <f ca="1">IF(AND(RACE=1,'Main Creation Page'!$E$6="Well",OR(ISNUMBER(FIND(Experience!$G$11,BE569)),ISNUMBER(FIND(Experience!$G$11,BF569)),ISNUMBER(FIND(Experience!$I$11,BE569)),ISNUMBER(FIND(Experience!$I$11,BF569)))),1,0)</f>
        <v>1</v>
      </c>
      <c r="BC569" s="1080" t="str">
        <f t="shared" si="537"/>
        <v>Geological Lore</v>
      </c>
      <c r="BE569" s="1080" t="str">
        <f t="shared" ca="1" si="575"/>
        <v>Lore</v>
      </c>
      <c r="BF569" s="1080" t="str">
        <f t="shared" ca="1" si="585"/>
        <v>Lore Scientific Skills</v>
      </c>
    </row>
    <row r="570" spans="1:58" ht="11.1" customHeight="1" outlineLevel="1">
      <c r="A570" s="1123" t="s">
        <v>5020</v>
      </c>
      <c r="B570" s="1094" t="s">
        <v>1942</v>
      </c>
      <c r="C570" s="1094"/>
      <c r="D570" s="1094"/>
      <c r="E570" s="1095" t="s">
        <v>5224</v>
      </c>
      <c r="F570" s="1095" t="str">
        <f>IF(('Main Creation Page'!$C$3=3),"R","N")</f>
        <v>N</v>
      </c>
      <c r="G570" s="1096">
        <v>0</v>
      </c>
      <c r="H570" s="1096" t="s">
        <v>5224</v>
      </c>
      <c r="I570" s="1096" t="s">
        <v>5224</v>
      </c>
      <c r="J570" s="1096" t="s">
        <v>5224</v>
      </c>
      <c r="K570" s="1096" t="s">
        <v>5224</v>
      </c>
      <c r="L570" s="1096">
        <v>0</v>
      </c>
      <c r="M570" s="1096" t="s">
        <v>5224</v>
      </c>
      <c r="N570" s="1096" t="s">
        <v>4631</v>
      </c>
      <c r="O570" s="1028"/>
      <c r="P570" s="1028" t="s">
        <v>780</v>
      </c>
      <c r="Q570" s="1097">
        <f t="shared" ca="1" si="563"/>
        <v>17</v>
      </c>
      <c r="R570" s="1034"/>
      <c r="S570" s="1028" t="s">
        <v>3616</v>
      </c>
      <c r="T570" s="1097">
        <f t="shared" ca="1" si="564"/>
        <v>17</v>
      </c>
      <c r="U570" s="1027">
        <v>4</v>
      </c>
      <c r="V570" s="1027">
        <f t="shared" si="565"/>
        <v>5</v>
      </c>
      <c r="W570" s="1098" t="e">
        <f ca="1">IF(OR(I570&lt;&gt;"N",E570="C"),IF(AND(N570&lt;&gt;"T",ISNUMBER(FIND("V",I570))),1,0),NA())+IF(H570="Y",IF(AND(N570="P",ISNUMBER(FIND("Z",I570))),2,1),0)+IF(J570="Y",1,0)+IF(K570="Y",3,0)+IF(BE570="Lore",L570*2+Experience!$D$25,0)+IF(M570="Y",1,0)</f>
        <v>#N/A</v>
      </c>
      <c r="X570" s="1099"/>
      <c r="Y570" s="1100">
        <f ca="1">IF(P570="NS",IFERROR(INDIRECT(S570),NA()),VLOOKUP(INDIRECT(P570)+INDIRECT(S570),'System Lookups'!$A$3:$D$146,2))</f>
        <v>0.1</v>
      </c>
      <c r="Z570" s="1100">
        <f t="shared" ca="1" si="566"/>
        <v>0</v>
      </c>
      <c r="AA570" s="1101">
        <f ca="1">IF(ISNA(Y570),0,Y570)+Z570+IF('Main Creation Page'!AB$2=37,'Main Creation Page'!E$14/100,0)</f>
        <v>0.1</v>
      </c>
      <c r="AB570" s="1102">
        <f>VLOOKUP(V570,'System Lookups'!$J$55:$P$64,3)</f>
        <v>0.1</v>
      </c>
      <c r="AC570" s="1103">
        <f>VLOOKUP(V570,'System Lookups'!$J$55:$P$64,4)</f>
        <v>0.2</v>
      </c>
      <c r="AD570" s="1104">
        <f t="shared" ca="1" si="567"/>
        <v>0</v>
      </c>
      <c r="AE570" s="1094">
        <f ca="1">(IF(AD570&gt;VLOOKUP(V570,'System Lookups'!$J$55:$P$63,6),(((AD570-VLOOKUP(V570,'System Lookups'!$J$55:$P$63,6))*100)/20),0))+AF570</f>
        <v>0</v>
      </c>
      <c r="AF570" s="1121"/>
      <c r="AG570" s="1092">
        <f t="shared" si="568"/>
        <v>0</v>
      </c>
      <c r="AH570" s="1092" t="str">
        <f>IF(X570&lt;=Experience!$R$15+1,"","*")</f>
        <v/>
      </c>
      <c r="AI570" s="1092"/>
      <c r="AJ570" s="1080">
        <f t="shared" si="569"/>
        <v>0</v>
      </c>
      <c r="AK570" s="1080">
        <f t="shared" si="582"/>
        <v>0</v>
      </c>
      <c r="AL570" s="1080">
        <f t="shared" si="560"/>
        <v>0</v>
      </c>
      <c r="AM570" s="1092">
        <f t="shared" si="583"/>
        <v>0</v>
      </c>
      <c r="AN570" s="1080">
        <f t="shared" si="584"/>
        <v>1</v>
      </c>
      <c r="AO570" s="1080">
        <f t="shared" si="561"/>
        <v>0</v>
      </c>
      <c r="AP570" s="1080">
        <f t="shared" si="573"/>
        <v>1</v>
      </c>
      <c r="AQ570" s="1027">
        <f>VLOOKUP(V570,'System Lookups'!$J$55:$P$64,7)</f>
        <v>700</v>
      </c>
      <c r="AR570" s="1080" t="str">
        <f ca="1">IF(AND(NOT(ISBLANK(AJ570)),ISNA(MATCH(ROW(),'System Lookups'!$C$526:$C$539,0))),"Y","N")</f>
        <v>Y</v>
      </c>
      <c r="AS570" s="1080">
        <f t="shared" si="562"/>
        <v>0</v>
      </c>
      <c r="AU570" s="1080" t="e">
        <f t="shared" ca="1" si="576"/>
        <v>#N/A</v>
      </c>
      <c r="AV570" s="1080" t="str">
        <f t="shared" si="574"/>
        <v>T</v>
      </c>
      <c r="AW570" s="1080">
        <f t="shared" si="577"/>
        <v>0</v>
      </c>
      <c r="AX570" s="1080">
        <f t="shared" si="578"/>
        <v>0</v>
      </c>
      <c r="AY570" s="1080">
        <f t="shared" si="579"/>
        <v>0</v>
      </c>
      <c r="AZ570" s="1080">
        <f t="shared" si="580"/>
        <v>0</v>
      </c>
      <c r="BA570" s="1080">
        <f t="shared" si="581"/>
        <v>0</v>
      </c>
      <c r="BB570" s="1080">
        <f ca="1">IF(AND(RACE=1,'Main Creation Page'!$E$6="Well",OR(ISNUMBER(FIND(Experience!$G$11,BE570)),ISNUMBER(FIND(Experience!$G$11,BF570)),ISNUMBER(FIND(Experience!$I$11,BE570)),ISNUMBER(FIND(Experience!$I$11,BF570)))),1,0)</f>
        <v>1</v>
      </c>
      <c r="BC570" s="1080" t="str">
        <f t="shared" si="537"/>
        <v>Handwriting Analysis</v>
      </c>
      <c r="BE570" s="1080" t="str">
        <f t="shared" ca="1" si="575"/>
        <v>Lore</v>
      </c>
      <c r="BF570" s="1080" t="str">
        <f t="shared" ca="1" si="585"/>
        <v>Lore Scientific Skills</v>
      </c>
    </row>
    <row r="571" spans="1:58" ht="11.1" customHeight="1" outlineLevel="1">
      <c r="A571" s="1123" t="s">
        <v>1136</v>
      </c>
      <c r="B571" s="1094" t="s">
        <v>1942</v>
      </c>
      <c r="C571" s="1094"/>
      <c r="D571" s="1094"/>
      <c r="E571" s="1095" t="s">
        <v>5224</v>
      </c>
      <c r="F571" s="1095" t="str">
        <f>IF(('Main Creation Page'!$C$3=3),"R","N")</f>
        <v>N</v>
      </c>
      <c r="G571" s="1096">
        <v>0</v>
      </c>
      <c r="H571" s="1096" t="s">
        <v>5224</v>
      </c>
      <c r="I571" s="1096" t="s">
        <v>5224</v>
      </c>
      <c r="J571" s="1096" t="s">
        <v>5224</v>
      </c>
      <c r="K571" s="1096" t="s">
        <v>5224</v>
      </c>
      <c r="L571" s="1096">
        <v>0</v>
      </c>
      <c r="M571" s="1096" t="s">
        <v>5224</v>
      </c>
      <c r="N571" s="1096" t="s">
        <v>4631</v>
      </c>
      <c r="O571" s="1028"/>
      <c r="P571" s="1028" t="s">
        <v>780</v>
      </c>
      <c r="Q571" s="1097">
        <f t="shared" ca="1" si="563"/>
        <v>17</v>
      </c>
      <c r="R571" s="1034"/>
      <c r="S571" s="1028" t="s">
        <v>3616</v>
      </c>
      <c r="T571" s="1097">
        <f t="shared" ca="1" si="564"/>
        <v>17</v>
      </c>
      <c r="U571" s="1027">
        <v>4</v>
      </c>
      <c r="V571" s="1027">
        <f t="shared" si="565"/>
        <v>5</v>
      </c>
      <c r="W571" s="1098" t="e">
        <f ca="1">IF(OR(I571&lt;&gt;"N",E571="C"),IF(AND(N571&lt;&gt;"T",ISNUMBER(FIND("V",I571))),1,0),NA())+IF(H571="Y",IF(AND(N571="P",ISNUMBER(FIND("Z",I571))),2,1),0)+IF(J571="Y",1,0)+IF(K571="Y",3,0)+IF(BE571="Lore",L571*2+Experience!$D$25,0)+IF(M571="Y",1,0)</f>
        <v>#N/A</v>
      </c>
      <c r="X571" s="1099"/>
      <c r="Y571" s="1100">
        <f ca="1">IF(P571="NS",IFERROR(INDIRECT(S571),NA()),VLOOKUP(INDIRECT(P571)+INDIRECT(S571),'System Lookups'!$A$3:$D$146,2))</f>
        <v>0.1</v>
      </c>
      <c r="Z571" s="1100">
        <f t="shared" ca="1" si="566"/>
        <v>0</v>
      </c>
      <c r="AA571" s="1101">
        <f ca="1">IF(ISNA(Y571),0,Y571)+Z571+IF('Main Creation Page'!AB$2=37,'Main Creation Page'!E$14/100,0)</f>
        <v>0.1</v>
      </c>
      <c r="AB571" s="1102">
        <f>VLOOKUP(V571,'System Lookups'!$J$55:$P$64,3)</f>
        <v>0.1</v>
      </c>
      <c r="AC571" s="1103">
        <f>VLOOKUP(V571,'System Lookups'!$J$55:$P$64,4)</f>
        <v>0.2</v>
      </c>
      <c r="AD571" s="1104">
        <f t="shared" ca="1" si="567"/>
        <v>0</v>
      </c>
      <c r="AE571" s="1094">
        <f ca="1">(IF(AD571&gt;VLOOKUP(V571,'System Lookups'!$J$55:$P$63,6),(((AD571-VLOOKUP(V571,'System Lookups'!$J$55:$P$63,6))*100)/20),0))+AF571</f>
        <v>0</v>
      </c>
      <c r="AF571" s="1121"/>
      <c r="AG571" s="1092">
        <f t="shared" si="568"/>
        <v>0</v>
      </c>
      <c r="AH571" s="1092" t="str">
        <f>IF(X571&lt;=Experience!$R$15+1,"","*")</f>
        <v/>
      </c>
      <c r="AI571" s="1092"/>
      <c r="AJ571" s="1080">
        <f t="shared" si="569"/>
        <v>0</v>
      </c>
      <c r="AK571" s="1080">
        <f t="shared" si="582"/>
        <v>0</v>
      </c>
      <c r="AL571" s="1080">
        <f t="shared" si="560"/>
        <v>0</v>
      </c>
      <c r="AM571" s="1092">
        <f t="shared" si="583"/>
        <v>0</v>
      </c>
      <c r="AN571" s="1080">
        <f t="shared" si="584"/>
        <v>1</v>
      </c>
      <c r="AO571" s="1080">
        <f t="shared" si="561"/>
        <v>0</v>
      </c>
      <c r="AP571" s="1080">
        <f t="shared" si="573"/>
        <v>1</v>
      </c>
      <c r="AQ571" s="1027">
        <f>VLOOKUP(V571,'System Lookups'!$J$55:$P$64,7)</f>
        <v>700</v>
      </c>
      <c r="AR571" s="1080" t="str">
        <f ca="1">IF(AND(NOT(ISBLANK(AJ571)),ISNA(MATCH(ROW(),'System Lookups'!$C$526:$C$539,0))),"Y","N")</f>
        <v>Y</v>
      </c>
      <c r="AS571" s="1080">
        <f t="shared" si="562"/>
        <v>0</v>
      </c>
      <c r="AU571" s="1080" t="e">
        <f t="shared" ca="1" si="576"/>
        <v>#N/A</v>
      </c>
      <c r="AV571" s="1080" t="str">
        <f t="shared" si="574"/>
        <v>T</v>
      </c>
      <c r="AW571" s="1080">
        <f t="shared" si="577"/>
        <v>0</v>
      </c>
      <c r="AX571" s="1080">
        <f t="shared" si="578"/>
        <v>0</v>
      </c>
      <c r="AY571" s="1080">
        <f t="shared" si="579"/>
        <v>0</v>
      </c>
      <c r="AZ571" s="1080">
        <f t="shared" si="580"/>
        <v>0</v>
      </c>
      <c r="BA571" s="1080">
        <f t="shared" si="581"/>
        <v>0</v>
      </c>
      <c r="BB571" s="1080">
        <f ca="1">IF(AND(RACE=1,'Main Creation Page'!$E$6="Well",OR(ISNUMBER(FIND(Experience!$G$11,BE571)),ISNUMBER(FIND(Experience!$G$11,BF571)),ISNUMBER(FIND(Experience!$I$11,BE571)),ISNUMBER(FIND(Experience!$I$11,BF571)))),1,0)</f>
        <v>1</v>
      </c>
      <c r="BC571" s="1080" t="str">
        <f t="shared" si="537"/>
        <v>Land Lore</v>
      </c>
      <c r="BE571" s="1080" t="str">
        <f t="shared" ca="1" si="575"/>
        <v>Lore</v>
      </c>
      <c r="BF571" s="1080" t="str">
        <f t="shared" ca="1" si="585"/>
        <v>Lore Scientific Skills</v>
      </c>
    </row>
    <row r="572" spans="1:58" ht="11.1" customHeight="1" outlineLevel="2">
      <c r="A572" s="1093" t="s">
        <v>5364</v>
      </c>
      <c r="B572" s="1094" t="s">
        <v>1942</v>
      </c>
      <c r="C572" s="1094"/>
      <c r="D572" s="1094"/>
      <c r="E572" s="1095" t="s">
        <v>5224</v>
      </c>
      <c r="F572" s="1095" t="str">
        <f>IF(('Main Creation Page'!$C$3=3),"R","N")</f>
        <v>N</v>
      </c>
      <c r="G572" s="1096">
        <v>0</v>
      </c>
      <c r="H572" s="1096" t="s">
        <v>5224</v>
      </c>
      <c r="I572" s="1096" t="s">
        <v>5224</v>
      </c>
      <c r="J572" s="1096" t="s">
        <v>5224</v>
      </c>
      <c r="K572" s="1096" t="s">
        <v>5224</v>
      </c>
      <c r="L572" s="1096">
        <v>0</v>
      </c>
      <c r="M572" s="1096" t="s">
        <v>5224</v>
      </c>
      <c r="N572" s="1096" t="s">
        <v>4631</v>
      </c>
      <c r="O572" s="1028"/>
      <c r="P572" s="1028" t="s">
        <v>780</v>
      </c>
      <c r="Q572" s="1097">
        <f t="shared" ca="1" si="563"/>
        <v>17</v>
      </c>
      <c r="R572" s="1034"/>
      <c r="S572" s="1028" t="s">
        <v>3616</v>
      </c>
      <c r="T572" s="1097">
        <f t="shared" ca="1" si="564"/>
        <v>17</v>
      </c>
      <c r="U572" s="1027">
        <v>4</v>
      </c>
      <c r="V572" s="1027">
        <f t="shared" si="565"/>
        <v>5</v>
      </c>
      <c r="W572" s="1098" t="e">
        <f ca="1">IF(OR(I572&lt;&gt;"N",E572="C"),IF(AND(N572&lt;&gt;"T",ISNUMBER(FIND("V",I572))),1,0),NA())+IF(H572="Y",IF(AND(N572="P",ISNUMBER(FIND("Z",I572))),2,1),0)+IF(J572="Y",1,0)+IF(K572="Y",3,0)+IF(BE572="Lore",L572*2+Experience!$D$25,0)+IF(M572="Y",1,0)</f>
        <v>#N/A</v>
      </c>
      <c r="X572" s="1099"/>
      <c r="Y572" s="1100">
        <f ca="1">IF(P572="NS",IFERROR(INDIRECT(S572),NA()),VLOOKUP(INDIRECT(P572)+INDIRECT(S572),'System Lookups'!$A$3:$D$146,2))</f>
        <v>0.1</v>
      </c>
      <c r="Z572" s="1100">
        <f t="shared" ref="Z572:Z580" ca="1" si="586">Z$571</f>
        <v>0</v>
      </c>
      <c r="AA572" s="1101">
        <f ca="1">IF(ISNA(Y572),0,Y572)+Z572+IF('Main Creation Page'!AB$2=37,'Main Creation Page'!E$14/100,0)</f>
        <v>0.1</v>
      </c>
      <c r="AB572" s="1102">
        <f>VLOOKUP(V572,'System Lookups'!$J$55:$P$64,3)</f>
        <v>0.1</v>
      </c>
      <c r="AC572" s="1103">
        <f>VLOOKUP(V572,'System Lookups'!$J$55:$P$64,4)</f>
        <v>0.2</v>
      </c>
      <c r="AD572" s="1104">
        <f t="shared" ca="1" si="567"/>
        <v>0</v>
      </c>
      <c r="AE572" s="1094">
        <f ca="1">(IF(AD572&gt;VLOOKUP(V572,'System Lookups'!$J$55:$P$63,6),(((AD572-VLOOKUP(V572,'System Lookups'!$J$55:$P$63,6))*100)/20),0))+AF572</f>
        <v>0</v>
      </c>
      <c r="AF572" s="1121"/>
      <c r="AG572" s="1092">
        <f t="shared" si="568"/>
        <v>0</v>
      </c>
      <c r="AH572" s="1092" t="str">
        <f>IF(X572&lt;=Experience!$R$15+1,"","*")</f>
        <v/>
      </c>
      <c r="AI572" s="1092"/>
      <c r="AJ572" s="1080">
        <f t="shared" si="569"/>
        <v>0</v>
      </c>
      <c r="AK572" s="1080">
        <f t="shared" ref="AK572:AK585" si="587">IF(F572="s",-2,0)</f>
        <v>0</v>
      </c>
      <c r="AL572" s="1080">
        <f t="shared" si="560"/>
        <v>0</v>
      </c>
      <c r="AM572" s="1092">
        <f t="shared" ref="AM572:AM585" si="588">IF(J572="y",1,0)</f>
        <v>0</v>
      </c>
      <c r="AN572" s="1080">
        <f t="shared" ref="AN572:AN585" si="589">IF(N572="P",-1,IF(N572="T",1,0))</f>
        <v>1</v>
      </c>
      <c r="AO572" s="1080">
        <f t="shared" si="561"/>
        <v>0</v>
      </c>
      <c r="AP572" s="1080">
        <f t="shared" si="573"/>
        <v>1</v>
      </c>
      <c r="AQ572" s="1027">
        <f>VLOOKUP(V572,'System Lookups'!$J$55:$P$64,7)</f>
        <v>700</v>
      </c>
      <c r="AR572" s="1080" t="str">
        <f ca="1">IF(AND(NOT(ISBLANK(AJ572)),ISNA(MATCH(ROW(),'System Lookups'!$C$526:$C$539,0))),"Y","N")</f>
        <v>Y</v>
      </c>
      <c r="AS572" s="1080">
        <f t="shared" si="562"/>
        <v>0</v>
      </c>
      <c r="AU572" s="1080" t="e">
        <f t="shared" ca="1" si="576"/>
        <v>#N/A</v>
      </c>
      <c r="AV572" s="1080" t="str">
        <f t="shared" si="574"/>
        <v>T</v>
      </c>
      <c r="AW572" s="1080">
        <f t="shared" si="577"/>
        <v>0</v>
      </c>
      <c r="AX572" s="1080">
        <f t="shared" si="578"/>
        <v>0</v>
      </c>
      <c r="AY572" s="1080">
        <f t="shared" si="579"/>
        <v>0</v>
      </c>
      <c r="AZ572" s="1080">
        <f t="shared" si="580"/>
        <v>0</v>
      </c>
      <c r="BA572" s="1080">
        <f t="shared" si="581"/>
        <v>0</v>
      </c>
      <c r="BB572" s="1080">
        <f ca="1">IF(AND(RACE=1,'Main Creation Page'!$E$6="Well",OR(ISNUMBER(FIND(Experience!$G$11,BE572)),ISNUMBER(FIND(Experience!$G$11,BF572)),ISNUMBER(FIND(Experience!$I$11,BE572)),ISNUMBER(FIND(Experience!$I$11,BF572)))),1,0)</f>
        <v>1</v>
      </c>
      <c r="BC572" s="1080" t="str">
        <f t="shared" si="537"/>
        <v>L L:Coastal Waters</v>
      </c>
      <c r="BD572" s="1080" t="s">
        <v>5704</v>
      </c>
      <c r="BE572" s="1080" t="str">
        <f t="shared" ca="1" si="575"/>
        <v>Lore</v>
      </c>
      <c r="BF572" s="1080" t="str">
        <f t="shared" ca="1" si="585"/>
        <v>Lore Scientific Skills</v>
      </c>
    </row>
    <row r="573" spans="1:58" ht="11.1" customHeight="1" outlineLevel="2">
      <c r="A573" s="1093" t="s">
        <v>1025</v>
      </c>
      <c r="B573" s="1094" t="s">
        <v>1942</v>
      </c>
      <c r="C573" s="1094"/>
      <c r="D573" s="1094"/>
      <c r="E573" s="1095" t="s">
        <v>5224</v>
      </c>
      <c r="F573" s="1095" t="str">
        <f>IF(('Main Creation Page'!$C$3=3),"R","N")</f>
        <v>N</v>
      </c>
      <c r="G573" s="1096">
        <v>0</v>
      </c>
      <c r="H573" s="1096" t="s">
        <v>5224</v>
      </c>
      <c r="I573" s="1096" t="s">
        <v>5224</v>
      </c>
      <c r="J573" s="1096" t="s">
        <v>5224</v>
      </c>
      <c r="K573" s="1096" t="s">
        <v>5224</v>
      </c>
      <c r="L573" s="1096">
        <v>0</v>
      </c>
      <c r="M573" s="1096" t="s">
        <v>5224</v>
      </c>
      <c r="N573" s="1096" t="s">
        <v>4631</v>
      </c>
      <c r="O573" s="1028"/>
      <c r="P573" s="1028" t="s">
        <v>780</v>
      </c>
      <c r="Q573" s="1097">
        <f t="shared" ca="1" si="563"/>
        <v>17</v>
      </c>
      <c r="R573" s="1034"/>
      <c r="S573" s="1028" t="s">
        <v>3616</v>
      </c>
      <c r="T573" s="1097">
        <f t="shared" ca="1" si="564"/>
        <v>17</v>
      </c>
      <c r="U573" s="1027">
        <v>4</v>
      </c>
      <c r="V573" s="1027">
        <f t="shared" si="565"/>
        <v>5</v>
      </c>
      <c r="W573" s="1098" t="e">
        <f ca="1">IF(OR(I573&lt;&gt;"N",E573="C"),IF(AND(N573&lt;&gt;"T",ISNUMBER(FIND("V",I573))),1,0),NA())+IF(H573="Y",IF(AND(N573="P",ISNUMBER(FIND("Z",I573))),2,1),0)+IF(J573="Y",1,0)+IF(K573="Y",3,0)+IF(BE573="Lore",L573*2+Experience!$D$25,0)+IF(M573="Y",1,0)</f>
        <v>#N/A</v>
      </c>
      <c r="X573" s="1099"/>
      <c r="Y573" s="1100">
        <f ca="1">IF(P573="NS",IFERROR(INDIRECT(S573),NA()),VLOOKUP(INDIRECT(P573)+INDIRECT(S573),'System Lookups'!$A$3:$D$146,2))</f>
        <v>0.1</v>
      </c>
      <c r="Z573" s="1100">
        <f t="shared" ca="1" si="586"/>
        <v>0</v>
      </c>
      <c r="AA573" s="1101">
        <f ca="1">IF(ISNA(Y573),0,Y573)+Z573+IF('Main Creation Page'!AB$2=37,'Main Creation Page'!E$14/100,0)</f>
        <v>0.1</v>
      </c>
      <c r="AB573" s="1102">
        <f>VLOOKUP(V573,'System Lookups'!$J$55:$P$64,3)</f>
        <v>0.1</v>
      </c>
      <c r="AC573" s="1103">
        <f>VLOOKUP(V573,'System Lookups'!$J$55:$P$64,4)</f>
        <v>0.2</v>
      </c>
      <c r="AD573" s="1104">
        <f t="shared" ca="1" si="567"/>
        <v>0</v>
      </c>
      <c r="AE573" s="1094">
        <f ca="1">(IF(AD573&gt;VLOOKUP(V573,'System Lookups'!$J$55:$P$63,6),(((AD573-VLOOKUP(V573,'System Lookups'!$J$55:$P$63,6))*100)/20),0))+AF573</f>
        <v>0</v>
      </c>
      <c r="AF573" s="1121"/>
      <c r="AG573" s="1092">
        <f t="shared" si="568"/>
        <v>0</v>
      </c>
      <c r="AH573" s="1092" t="str">
        <f>IF(X573&lt;=Experience!$R$15+1,"","*")</f>
        <v/>
      </c>
      <c r="AI573" s="1092"/>
      <c r="AJ573" s="1080">
        <f t="shared" si="569"/>
        <v>0</v>
      </c>
      <c r="AK573" s="1080">
        <f t="shared" si="587"/>
        <v>0</v>
      </c>
      <c r="AL573" s="1080">
        <f t="shared" si="560"/>
        <v>0</v>
      </c>
      <c r="AM573" s="1092">
        <f t="shared" si="588"/>
        <v>0</v>
      </c>
      <c r="AN573" s="1080">
        <f t="shared" si="589"/>
        <v>1</v>
      </c>
      <c r="AO573" s="1080">
        <f t="shared" si="561"/>
        <v>0</v>
      </c>
      <c r="AP573" s="1080">
        <f t="shared" si="573"/>
        <v>1</v>
      </c>
      <c r="AQ573" s="1027">
        <f>VLOOKUP(V573,'System Lookups'!$J$55:$P$64,7)</f>
        <v>700</v>
      </c>
      <c r="AR573" s="1080" t="str">
        <f ca="1">IF(AND(NOT(ISBLANK(AJ573)),ISNA(MATCH(ROW(),'System Lookups'!$C$526:$C$539,0))),"Y","N")</f>
        <v>Y</v>
      </c>
      <c r="AS573" s="1080">
        <f t="shared" si="562"/>
        <v>0</v>
      </c>
      <c r="AU573" s="1080" t="e">
        <f t="shared" ca="1" si="576"/>
        <v>#N/A</v>
      </c>
      <c r="AV573" s="1080" t="str">
        <f t="shared" si="574"/>
        <v>T</v>
      </c>
      <c r="AW573" s="1080">
        <f t="shared" si="577"/>
        <v>0</v>
      </c>
      <c r="AX573" s="1080">
        <f t="shared" si="578"/>
        <v>0</v>
      </c>
      <c r="AY573" s="1080">
        <f t="shared" si="579"/>
        <v>0</v>
      </c>
      <c r="AZ573" s="1080">
        <f t="shared" si="580"/>
        <v>0</v>
      </c>
      <c r="BA573" s="1080">
        <f t="shared" si="581"/>
        <v>0</v>
      </c>
      <c r="BB573" s="1080">
        <f ca="1">IF(AND(RACE=1,'Main Creation Page'!$E$6="Well",OR(ISNUMBER(FIND(Experience!$G$11,BE573)),ISNUMBER(FIND(Experience!$G$11,BF573)),ISNUMBER(FIND(Experience!$I$11,BE573)),ISNUMBER(FIND(Experience!$I$11,BF573)))),1,0)</f>
        <v>1</v>
      </c>
      <c r="BC573" s="1080" t="str">
        <f t="shared" si="537"/>
        <v>L L:Desert</v>
      </c>
      <c r="BD573" s="1080" t="s">
        <v>5704</v>
      </c>
      <c r="BE573" s="1080" t="str">
        <f t="shared" ca="1" si="575"/>
        <v>Lore</v>
      </c>
      <c r="BF573" s="1080" t="str">
        <f t="shared" ca="1" si="585"/>
        <v>Lore Scientific Skills</v>
      </c>
    </row>
    <row r="574" spans="1:58" ht="11.1" customHeight="1" outlineLevel="2">
      <c r="A574" s="1093" t="s">
        <v>5351</v>
      </c>
      <c r="B574" s="1094" t="s">
        <v>1942</v>
      </c>
      <c r="C574" s="1094"/>
      <c r="D574" s="1094"/>
      <c r="E574" s="1095" t="s">
        <v>5224</v>
      </c>
      <c r="F574" s="1095" t="str">
        <f>IF(('Main Creation Page'!$C$3=3),"R","N")</f>
        <v>N</v>
      </c>
      <c r="G574" s="1096">
        <v>0</v>
      </c>
      <c r="H574" s="1096" t="s">
        <v>5224</v>
      </c>
      <c r="I574" s="1096" t="s">
        <v>5224</v>
      </c>
      <c r="J574" s="1096" t="s">
        <v>5224</v>
      </c>
      <c r="K574" s="1096" t="s">
        <v>5224</v>
      </c>
      <c r="L574" s="1096">
        <v>0</v>
      </c>
      <c r="M574" s="1096" t="s">
        <v>5224</v>
      </c>
      <c r="N574" s="1096" t="s">
        <v>4631</v>
      </c>
      <c r="O574" s="1028"/>
      <c r="P574" s="1028" t="s">
        <v>780</v>
      </c>
      <c r="Q574" s="1097">
        <f t="shared" ca="1" si="563"/>
        <v>17</v>
      </c>
      <c r="R574" s="1034"/>
      <c r="S574" s="1028" t="s">
        <v>3616</v>
      </c>
      <c r="T574" s="1097">
        <f t="shared" ca="1" si="564"/>
        <v>17</v>
      </c>
      <c r="U574" s="1027">
        <v>4</v>
      </c>
      <c r="V574" s="1027">
        <f t="shared" si="565"/>
        <v>5</v>
      </c>
      <c r="W574" s="1098" t="e">
        <f ca="1">IF(OR(I574&lt;&gt;"N",E574="C"),IF(AND(N574&lt;&gt;"T",ISNUMBER(FIND("V",I574))),1,0),NA())+IF(H574="Y",IF(AND(N574="P",ISNUMBER(FIND("Z",I574))),2,1),0)+IF(J574="Y",1,0)+IF(K574="Y",3,0)+IF(BE574="Lore",L574*2+Experience!$D$25,0)+IF(M574="Y",1,0)</f>
        <v>#N/A</v>
      </c>
      <c r="X574" s="1099"/>
      <c r="Y574" s="1100">
        <f ca="1">IF(P574="NS",IFERROR(INDIRECT(S574),NA()),VLOOKUP(INDIRECT(P574)+INDIRECT(S574),'System Lookups'!$A$3:$D$146,2))</f>
        <v>0.1</v>
      </c>
      <c r="Z574" s="1100">
        <f t="shared" ca="1" si="586"/>
        <v>0</v>
      </c>
      <c r="AA574" s="1101">
        <f ca="1">IF(ISNA(Y574),0,Y574)+Z574+IF('Main Creation Page'!AB$2=37,'Main Creation Page'!E$14/100,0)</f>
        <v>0.1</v>
      </c>
      <c r="AB574" s="1102">
        <f>VLOOKUP(V574,'System Lookups'!$J$55:$P$64,3)</f>
        <v>0.1</v>
      </c>
      <c r="AC574" s="1103">
        <f>VLOOKUP(V574,'System Lookups'!$J$55:$P$64,4)</f>
        <v>0.2</v>
      </c>
      <c r="AD574" s="1104">
        <f t="shared" ca="1" si="567"/>
        <v>0</v>
      </c>
      <c r="AE574" s="1094">
        <f ca="1">(IF(AD574&gt;VLOOKUP(V574,'System Lookups'!$J$55:$P$63,6),(((AD574-VLOOKUP(V574,'System Lookups'!$J$55:$P$63,6))*100)/20),0))+AF574</f>
        <v>0</v>
      </c>
      <c r="AF574" s="1121"/>
      <c r="AG574" s="1092">
        <f t="shared" si="568"/>
        <v>0</v>
      </c>
      <c r="AH574" s="1092" t="str">
        <f>IF(X574&lt;=Experience!$R$15+1,"","*")</f>
        <v/>
      </c>
      <c r="AI574" s="1092"/>
      <c r="AJ574" s="1080">
        <f t="shared" si="569"/>
        <v>0</v>
      </c>
      <c r="AK574" s="1080">
        <f t="shared" si="587"/>
        <v>0</v>
      </c>
      <c r="AL574" s="1080">
        <f t="shared" si="560"/>
        <v>0</v>
      </c>
      <c r="AM574" s="1092">
        <f t="shared" si="588"/>
        <v>0</v>
      </c>
      <c r="AN574" s="1080">
        <f t="shared" si="589"/>
        <v>1</v>
      </c>
      <c r="AO574" s="1080">
        <f t="shared" si="561"/>
        <v>0</v>
      </c>
      <c r="AP574" s="1080">
        <f t="shared" si="573"/>
        <v>1</v>
      </c>
      <c r="AQ574" s="1027">
        <f>VLOOKUP(V574,'System Lookups'!$J$55:$P$64,7)</f>
        <v>700</v>
      </c>
      <c r="AR574" s="1080" t="str">
        <f ca="1">IF(AND(NOT(ISBLANK(AJ574)),ISNA(MATCH(ROW(),'System Lookups'!$C$526:$C$539,0))),"Y","N")</f>
        <v>Y</v>
      </c>
      <c r="AS574" s="1080">
        <f t="shared" si="562"/>
        <v>0</v>
      </c>
      <c r="AU574" s="1080" t="e">
        <f t="shared" ca="1" si="576"/>
        <v>#N/A</v>
      </c>
      <c r="AV574" s="1080" t="str">
        <f t="shared" si="574"/>
        <v>T</v>
      </c>
      <c r="AW574" s="1080">
        <f t="shared" si="577"/>
        <v>0</v>
      </c>
      <c r="AX574" s="1080">
        <f t="shared" si="578"/>
        <v>0</v>
      </c>
      <c r="AY574" s="1080">
        <f t="shared" si="579"/>
        <v>0</v>
      </c>
      <c r="AZ574" s="1080">
        <f t="shared" si="580"/>
        <v>0</v>
      </c>
      <c r="BA574" s="1080">
        <f t="shared" si="581"/>
        <v>0</v>
      </c>
      <c r="BB574" s="1080">
        <f ca="1">IF(AND(RACE=1,'Main Creation Page'!$E$6="Well",OR(ISNUMBER(FIND(Experience!$G$11,BE574)),ISNUMBER(FIND(Experience!$G$11,BF574)),ISNUMBER(FIND(Experience!$I$11,BE574)),ISNUMBER(FIND(Experience!$I$11,BF574)))),1,0)</f>
        <v>1</v>
      </c>
      <c r="BC574" s="1080" t="str">
        <f t="shared" si="537"/>
        <v>L L:Forest</v>
      </c>
      <c r="BD574" s="1080" t="s">
        <v>5704</v>
      </c>
      <c r="BE574" s="1080" t="str">
        <f t="shared" ca="1" si="575"/>
        <v>Lore</v>
      </c>
      <c r="BF574" s="1080" t="str">
        <f t="shared" ca="1" si="585"/>
        <v>Lore Scientific Skills</v>
      </c>
    </row>
    <row r="575" spans="1:58" ht="11.1" customHeight="1" outlineLevel="2">
      <c r="A575" s="1093" t="s">
        <v>4484</v>
      </c>
      <c r="B575" s="1094" t="s">
        <v>1942</v>
      </c>
      <c r="C575" s="1094"/>
      <c r="D575" s="1094"/>
      <c r="E575" s="1095" t="s">
        <v>5224</v>
      </c>
      <c r="F575" s="1095" t="str">
        <f>IF(('Main Creation Page'!$C$3=3),"R","N")</f>
        <v>N</v>
      </c>
      <c r="G575" s="1096">
        <v>0</v>
      </c>
      <c r="H575" s="1096" t="s">
        <v>5224</v>
      </c>
      <c r="I575" s="1096" t="s">
        <v>5224</v>
      </c>
      <c r="J575" s="1096" t="s">
        <v>5224</v>
      </c>
      <c r="K575" s="1096" t="s">
        <v>5224</v>
      </c>
      <c r="L575" s="1096">
        <v>0</v>
      </c>
      <c r="M575" s="1096" t="s">
        <v>5224</v>
      </c>
      <c r="N575" s="1096" t="s">
        <v>4631</v>
      </c>
      <c r="O575" s="1028"/>
      <c r="P575" s="1028" t="s">
        <v>780</v>
      </c>
      <c r="Q575" s="1097">
        <f t="shared" ca="1" si="563"/>
        <v>17</v>
      </c>
      <c r="R575" s="1034"/>
      <c r="S575" s="1028" t="s">
        <v>3616</v>
      </c>
      <c r="T575" s="1097">
        <f t="shared" ca="1" si="564"/>
        <v>17</v>
      </c>
      <c r="U575" s="1027">
        <v>4</v>
      </c>
      <c r="V575" s="1027">
        <f t="shared" si="565"/>
        <v>5</v>
      </c>
      <c r="W575" s="1098" t="e">
        <f ca="1">IF(OR(I575&lt;&gt;"N",E575="C"),IF(AND(N575&lt;&gt;"T",ISNUMBER(FIND("V",I575))),1,0),NA())+IF(H575="Y",IF(AND(N575="P",ISNUMBER(FIND("Z",I575))),2,1),0)+IF(J575="Y",1,0)+IF(K575="Y",3,0)+IF(BE575="Lore",L575*2+Experience!$D$25,0)+IF(M575="Y",1,0)</f>
        <v>#N/A</v>
      </c>
      <c r="X575" s="1099"/>
      <c r="Y575" s="1100">
        <f ca="1">IF(P575="NS",IFERROR(INDIRECT(S575),NA()),VLOOKUP(INDIRECT(P575)+INDIRECT(S575),'System Lookups'!$A$3:$D$146,2))</f>
        <v>0.1</v>
      </c>
      <c r="Z575" s="1100">
        <f t="shared" ca="1" si="586"/>
        <v>0</v>
      </c>
      <c r="AA575" s="1101">
        <f ca="1">IF(ISNA(Y575),0,Y575)+Z575+IF('Main Creation Page'!AB$2=37,'Main Creation Page'!E$14/100,0)</f>
        <v>0.1</v>
      </c>
      <c r="AB575" s="1102">
        <f>VLOOKUP(V575,'System Lookups'!$J$55:$P$64,3)</f>
        <v>0.1</v>
      </c>
      <c r="AC575" s="1103">
        <f>VLOOKUP(V575,'System Lookups'!$J$55:$P$64,4)</f>
        <v>0.2</v>
      </c>
      <c r="AD575" s="1104">
        <f t="shared" ca="1" si="567"/>
        <v>0</v>
      </c>
      <c r="AE575" s="1094">
        <f ca="1">(IF(AD575&gt;VLOOKUP(V575,'System Lookups'!$J$55:$P$63,6),(((AD575-VLOOKUP(V575,'System Lookups'!$J$55:$P$63,6))*100)/20),0))+AF575</f>
        <v>0</v>
      </c>
      <c r="AF575" s="1121"/>
      <c r="AG575" s="1092">
        <f t="shared" si="568"/>
        <v>0</v>
      </c>
      <c r="AH575" s="1092" t="str">
        <f>IF(X575&lt;=Experience!$R$15+1,"","*")</f>
        <v/>
      </c>
      <c r="AI575" s="1092"/>
      <c r="AJ575" s="1080">
        <f t="shared" si="569"/>
        <v>0</v>
      </c>
      <c r="AK575" s="1080">
        <f t="shared" si="587"/>
        <v>0</v>
      </c>
      <c r="AL575" s="1080">
        <f t="shared" si="560"/>
        <v>0</v>
      </c>
      <c r="AM575" s="1092">
        <f t="shared" si="588"/>
        <v>0</v>
      </c>
      <c r="AN575" s="1080">
        <f t="shared" si="589"/>
        <v>1</v>
      </c>
      <c r="AO575" s="1080">
        <f t="shared" si="561"/>
        <v>0</v>
      </c>
      <c r="AP575" s="1080">
        <f t="shared" si="573"/>
        <v>1</v>
      </c>
      <c r="AQ575" s="1027">
        <f>VLOOKUP(V575,'System Lookups'!$J$55:$P$64,7)</f>
        <v>700</v>
      </c>
      <c r="AR575" s="1080" t="str">
        <f ca="1">IF(AND(NOT(ISBLANK(AJ575)),ISNA(MATCH(ROW(),'System Lookups'!$C$526:$C$539,0))),"Y","N")</f>
        <v>Y</v>
      </c>
      <c r="AS575" s="1080">
        <f t="shared" si="562"/>
        <v>0</v>
      </c>
      <c r="AU575" s="1080" t="e">
        <f t="shared" ca="1" si="576"/>
        <v>#N/A</v>
      </c>
      <c r="AV575" s="1080" t="str">
        <f t="shared" si="574"/>
        <v>T</v>
      </c>
      <c r="AW575" s="1080">
        <f t="shared" si="577"/>
        <v>0</v>
      </c>
      <c r="AX575" s="1080">
        <f t="shared" si="578"/>
        <v>0</v>
      </c>
      <c r="AY575" s="1080">
        <f t="shared" si="579"/>
        <v>0</v>
      </c>
      <c r="AZ575" s="1080">
        <f t="shared" si="580"/>
        <v>0</v>
      </c>
      <c r="BA575" s="1080">
        <f t="shared" si="581"/>
        <v>0</v>
      </c>
      <c r="BB575" s="1080">
        <f ca="1">IF(AND(RACE=1,'Main Creation Page'!$E$6="Well",OR(ISNUMBER(FIND(Experience!$G$11,BE575)),ISNUMBER(FIND(Experience!$G$11,BF575)),ISNUMBER(FIND(Experience!$I$11,BE575)),ISNUMBER(FIND(Experience!$I$11,BF575)))),1,0)</f>
        <v>1</v>
      </c>
      <c r="BC575" s="1080" t="str">
        <f t="shared" si="537"/>
        <v>L L:Magical and Enchanted Realms</v>
      </c>
      <c r="BD575" s="1080" t="s">
        <v>5704</v>
      </c>
      <c r="BE575" s="1080" t="str">
        <f t="shared" ca="1" si="575"/>
        <v>Lore</v>
      </c>
      <c r="BF575" s="1080" t="str">
        <f t="shared" ca="1" si="585"/>
        <v>Lore Scientific Skills</v>
      </c>
    </row>
    <row r="576" spans="1:58" ht="11.1" customHeight="1" outlineLevel="2">
      <c r="A576" s="1093" t="s">
        <v>5365</v>
      </c>
      <c r="B576" s="1094" t="s">
        <v>1942</v>
      </c>
      <c r="C576" s="1094"/>
      <c r="D576" s="1094"/>
      <c r="E576" s="1095" t="s">
        <v>5224</v>
      </c>
      <c r="F576" s="1095" t="str">
        <f>IF(('Main Creation Page'!$C$3=3),"R","N")</f>
        <v>N</v>
      </c>
      <c r="G576" s="1096">
        <v>0</v>
      </c>
      <c r="H576" s="1096" t="s">
        <v>5224</v>
      </c>
      <c r="I576" s="1096" t="s">
        <v>5224</v>
      </c>
      <c r="J576" s="1096" t="s">
        <v>5224</v>
      </c>
      <c r="K576" s="1096" t="s">
        <v>5224</v>
      </c>
      <c r="L576" s="1096">
        <v>0</v>
      </c>
      <c r="M576" s="1096" t="s">
        <v>5224</v>
      </c>
      <c r="N576" s="1096" t="s">
        <v>4631</v>
      </c>
      <c r="O576" s="1028"/>
      <c r="P576" s="1028" t="s">
        <v>780</v>
      </c>
      <c r="Q576" s="1097">
        <f t="shared" ca="1" si="563"/>
        <v>17</v>
      </c>
      <c r="R576" s="1034"/>
      <c r="S576" s="1028" t="s">
        <v>3616</v>
      </c>
      <c r="T576" s="1097">
        <f t="shared" ca="1" si="564"/>
        <v>17</v>
      </c>
      <c r="U576" s="1027">
        <v>4</v>
      </c>
      <c r="V576" s="1027">
        <f t="shared" si="565"/>
        <v>5</v>
      </c>
      <c r="W576" s="1098" t="e">
        <f ca="1">IF(OR(I576&lt;&gt;"N",E576="C"),IF(AND(N576&lt;&gt;"T",ISNUMBER(FIND("V",I576))),1,0),NA())+IF(H576="Y",IF(AND(N576="P",ISNUMBER(FIND("Z",I576))),2,1),0)+IF(J576="Y",1,0)+IF(K576="Y",3,0)+IF(BE576="Lore",L576*2+Experience!$D$25,0)+IF(M576="Y",1,0)</f>
        <v>#N/A</v>
      </c>
      <c r="X576" s="1099"/>
      <c r="Y576" s="1100">
        <f ca="1">IF(P576="NS",IFERROR(INDIRECT(S576),NA()),VLOOKUP(INDIRECT(P576)+INDIRECT(S576),'System Lookups'!$A$3:$D$146,2))</f>
        <v>0.1</v>
      </c>
      <c r="Z576" s="1100">
        <f t="shared" ca="1" si="586"/>
        <v>0</v>
      </c>
      <c r="AA576" s="1101">
        <f ca="1">IF(ISNA(Y576),0,Y576)+Z576+IF('Main Creation Page'!AB$2=37,'Main Creation Page'!E$14/100,0)</f>
        <v>0.1</v>
      </c>
      <c r="AB576" s="1102">
        <f>VLOOKUP(V576,'System Lookups'!$J$55:$P$64,3)</f>
        <v>0.1</v>
      </c>
      <c r="AC576" s="1103">
        <f>VLOOKUP(V576,'System Lookups'!$J$55:$P$64,4)</f>
        <v>0.2</v>
      </c>
      <c r="AD576" s="1104">
        <f t="shared" ca="1" si="567"/>
        <v>0</v>
      </c>
      <c r="AE576" s="1094">
        <f ca="1">(IF(AD576&gt;VLOOKUP(V576,'System Lookups'!$J$55:$P$63,6),(((AD576-VLOOKUP(V576,'System Lookups'!$J$55:$P$63,6))*100)/20),0))+AF576</f>
        <v>0</v>
      </c>
      <c r="AF576" s="1121"/>
      <c r="AG576" s="1092">
        <f t="shared" si="568"/>
        <v>0</v>
      </c>
      <c r="AH576" s="1092" t="str">
        <f>IF(X576&lt;=Experience!$R$15+1,"","*")</f>
        <v/>
      </c>
      <c r="AI576" s="1092"/>
      <c r="AJ576" s="1080">
        <f t="shared" si="569"/>
        <v>0</v>
      </c>
      <c r="AK576" s="1080">
        <f t="shared" si="587"/>
        <v>0</v>
      </c>
      <c r="AL576" s="1080">
        <f t="shared" si="560"/>
        <v>0</v>
      </c>
      <c r="AM576" s="1092">
        <f t="shared" si="588"/>
        <v>0</v>
      </c>
      <c r="AN576" s="1080">
        <f t="shared" si="589"/>
        <v>1</v>
      </c>
      <c r="AO576" s="1080">
        <f t="shared" si="561"/>
        <v>0</v>
      </c>
      <c r="AP576" s="1080">
        <f t="shared" si="573"/>
        <v>1</v>
      </c>
      <c r="AQ576" s="1027">
        <f>VLOOKUP(V576,'System Lookups'!$J$55:$P$64,7)</f>
        <v>700</v>
      </c>
      <c r="AR576" s="1080" t="str">
        <f ca="1">IF(AND(NOT(ISBLANK(AJ576)),ISNA(MATCH(ROW(),'System Lookups'!$C$526:$C$539,0))),"Y","N")</f>
        <v>Y</v>
      </c>
      <c r="AS576" s="1080">
        <f t="shared" si="562"/>
        <v>0</v>
      </c>
      <c r="AU576" s="1080" t="e">
        <f t="shared" ca="1" si="576"/>
        <v>#N/A</v>
      </c>
      <c r="AV576" s="1080" t="str">
        <f t="shared" si="574"/>
        <v>T</v>
      </c>
      <c r="AW576" s="1080">
        <f t="shared" si="577"/>
        <v>0</v>
      </c>
      <c r="AX576" s="1080">
        <f t="shared" si="578"/>
        <v>0</v>
      </c>
      <c r="AY576" s="1080">
        <f t="shared" si="579"/>
        <v>0</v>
      </c>
      <c r="AZ576" s="1080">
        <f t="shared" si="580"/>
        <v>0</v>
      </c>
      <c r="BA576" s="1080">
        <f t="shared" si="581"/>
        <v>0</v>
      </c>
      <c r="BB576" s="1080">
        <f ca="1">IF(AND(RACE=1,'Main Creation Page'!$E$6="Well",OR(ISNUMBER(FIND(Experience!$G$11,BE576)),ISNUMBER(FIND(Experience!$G$11,BF576)),ISNUMBER(FIND(Experience!$I$11,BE576)),ISNUMBER(FIND(Experience!$I$11,BF576)))),1,0)</f>
        <v>1</v>
      </c>
      <c r="BC576" s="1080" t="str">
        <f t="shared" si="537"/>
        <v>L L:Mountains</v>
      </c>
      <c r="BD576" s="1080" t="s">
        <v>5704</v>
      </c>
      <c r="BE576" s="1080" t="str">
        <f t="shared" ca="1" si="575"/>
        <v>Lore</v>
      </c>
      <c r="BF576" s="1080" t="str">
        <f t="shared" ca="1" si="585"/>
        <v>Lore Scientific Skills</v>
      </c>
    </row>
    <row r="577" spans="1:58" ht="11.1" customHeight="1" outlineLevel="2">
      <c r="A577" s="1093" t="s">
        <v>4008</v>
      </c>
      <c r="B577" s="1094" t="s">
        <v>1942</v>
      </c>
      <c r="C577" s="1094"/>
      <c r="D577" s="1094"/>
      <c r="E577" s="1095" t="s">
        <v>5224</v>
      </c>
      <c r="F577" s="1095" t="str">
        <f>IF(('Main Creation Page'!$C$3=3),"R","N")</f>
        <v>N</v>
      </c>
      <c r="G577" s="1096">
        <v>0</v>
      </c>
      <c r="H577" s="1096" t="s">
        <v>5224</v>
      </c>
      <c r="I577" s="1096" t="s">
        <v>5224</v>
      </c>
      <c r="J577" s="1096" t="s">
        <v>5224</v>
      </c>
      <c r="K577" s="1096" t="s">
        <v>5224</v>
      </c>
      <c r="L577" s="1096">
        <v>0</v>
      </c>
      <c r="M577" s="1096" t="s">
        <v>5224</v>
      </c>
      <c r="N577" s="1096" t="s">
        <v>4631</v>
      </c>
      <c r="O577" s="1028"/>
      <c r="P577" s="1028" t="s">
        <v>780</v>
      </c>
      <c r="Q577" s="1097">
        <f t="shared" ca="1" si="563"/>
        <v>17</v>
      </c>
      <c r="R577" s="1034"/>
      <c r="S577" s="1028" t="s">
        <v>3616</v>
      </c>
      <c r="T577" s="1097">
        <f t="shared" ca="1" si="564"/>
        <v>17</v>
      </c>
      <c r="U577" s="1027">
        <v>4</v>
      </c>
      <c r="V577" s="1027">
        <f t="shared" si="565"/>
        <v>5</v>
      </c>
      <c r="W577" s="1098" t="e">
        <f ca="1">IF(OR(I577&lt;&gt;"N",E577="C"),IF(AND(N577&lt;&gt;"T",ISNUMBER(FIND("V",I577))),1,0),NA())+IF(H577="Y",IF(AND(N577="P",ISNUMBER(FIND("Z",I577))),2,1),0)+IF(J577="Y",1,0)+IF(K577="Y",3,0)+IF(BE577="Lore",L577*2+Experience!$D$25,0)+IF(M577="Y",1,0)</f>
        <v>#N/A</v>
      </c>
      <c r="X577" s="1099"/>
      <c r="Y577" s="1100">
        <f ca="1">IF(P577="NS",IFERROR(INDIRECT(S577),NA()),VLOOKUP(INDIRECT(P577)+INDIRECT(S577),'System Lookups'!$A$3:$D$146,2))</f>
        <v>0.1</v>
      </c>
      <c r="Z577" s="1100">
        <f t="shared" ca="1" si="586"/>
        <v>0</v>
      </c>
      <c r="AA577" s="1101">
        <f ca="1">IF(ISNA(Y577),0,Y577)+Z577+IF('Main Creation Page'!AB$2=37,'Main Creation Page'!E$14/100,0)</f>
        <v>0.1</v>
      </c>
      <c r="AB577" s="1102">
        <f>VLOOKUP(V577,'System Lookups'!$J$55:$P$64,3)</f>
        <v>0.1</v>
      </c>
      <c r="AC577" s="1103">
        <f>VLOOKUP(V577,'System Lookups'!$J$55:$P$64,4)</f>
        <v>0.2</v>
      </c>
      <c r="AD577" s="1104">
        <f t="shared" ca="1" si="567"/>
        <v>0</v>
      </c>
      <c r="AE577" s="1094">
        <f ca="1">(IF(AD577&gt;VLOOKUP(V577,'System Lookups'!$J$55:$P$63,6),(((AD577-VLOOKUP(V577,'System Lookups'!$J$55:$P$63,6))*100)/20),0))+AF577</f>
        <v>0</v>
      </c>
      <c r="AF577" s="1121"/>
      <c r="AG577" s="1092">
        <f t="shared" si="568"/>
        <v>0</v>
      </c>
      <c r="AH577" s="1092" t="str">
        <f>IF(X577&lt;=Experience!$R$15+1,"","*")</f>
        <v/>
      </c>
      <c r="AI577" s="1092"/>
      <c r="AJ577" s="1080">
        <f t="shared" si="569"/>
        <v>0</v>
      </c>
      <c r="AK577" s="1080">
        <f t="shared" si="587"/>
        <v>0</v>
      </c>
      <c r="AL577" s="1080">
        <f t="shared" si="560"/>
        <v>0</v>
      </c>
      <c r="AM577" s="1092">
        <f t="shared" si="588"/>
        <v>0</v>
      </c>
      <c r="AN577" s="1080">
        <f t="shared" si="589"/>
        <v>1</v>
      </c>
      <c r="AO577" s="1080">
        <f t="shared" si="561"/>
        <v>0</v>
      </c>
      <c r="AP577" s="1080">
        <f t="shared" si="573"/>
        <v>1</v>
      </c>
      <c r="AQ577" s="1027">
        <f>VLOOKUP(V577,'System Lookups'!$J$55:$P$64,7)</f>
        <v>700</v>
      </c>
      <c r="AR577" s="1080" t="str">
        <f ca="1">IF(AND(NOT(ISBLANK(AJ577)),ISNA(MATCH(ROW(),'System Lookups'!$C$526:$C$539,0))),"Y","N")</f>
        <v>Y</v>
      </c>
      <c r="AS577" s="1080">
        <f t="shared" si="562"/>
        <v>0</v>
      </c>
      <c r="AU577" s="1080" t="e">
        <f t="shared" ca="1" si="576"/>
        <v>#N/A</v>
      </c>
      <c r="AV577" s="1080" t="str">
        <f t="shared" si="574"/>
        <v>T</v>
      </c>
      <c r="AW577" s="1080">
        <f t="shared" si="577"/>
        <v>0</v>
      </c>
      <c r="AX577" s="1080">
        <f t="shared" si="578"/>
        <v>0</v>
      </c>
      <c r="AY577" s="1080">
        <f t="shared" si="579"/>
        <v>0</v>
      </c>
      <c r="AZ577" s="1080">
        <f t="shared" si="580"/>
        <v>0</v>
      </c>
      <c r="BA577" s="1080">
        <f t="shared" si="581"/>
        <v>0</v>
      </c>
      <c r="BB577" s="1080">
        <f ca="1">IF(AND(RACE=1,'Main Creation Page'!$E$6="Well",OR(ISNUMBER(FIND(Experience!$G$11,BE577)),ISNUMBER(FIND(Experience!$G$11,BF577)),ISNUMBER(FIND(Experience!$I$11,BE577)),ISNUMBER(FIND(Experience!$I$11,BF577)))),1,0)</f>
        <v>1</v>
      </c>
      <c r="BC577" s="1080" t="str">
        <f t="shared" si="537"/>
        <v>L L:River Valleys</v>
      </c>
      <c r="BD577" s="1080" t="s">
        <v>5704</v>
      </c>
      <c r="BE577" s="1080" t="str">
        <f t="shared" ca="1" si="575"/>
        <v>Lore</v>
      </c>
      <c r="BF577" s="1080" t="str">
        <f t="shared" ca="1" si="585"/>
        <v>Lore Scientific Skills</v>
      </c>
    </row>
    <row r="578" spans="1:58" ht="11.1" customHeight="1" outlineLevel="2">
      <c r="A578" s="1093" t="s">
        <v>1024</v>
      </c>
      <c r="B578" s="1094" t="s">
        <v>1942</v>
      </c>
      <c r="C578" s="1094"/>
      <c r="D578" s="1094"/>
      <c r="E578" s="1095" t="s">
        <v>5224</v>
      </c>
      <c r="F578" s="1095" t="str">
        <f>IF(('Main Creation Page'!$C$3=3),"R","N")</f>
        <v>N</v>
      </c>
      <c r="G578" s="1096">
        <v>0</v>
      </c>
      <c r="H578" s="1096" t="s">
        <v>5224</v>
      </c>
      <c r="I578" s="1096" t="s">
        <v>5224</v>
      </c>
      <c r="J578" s="1096" t="s">
        <v>5224</v>
      </c>
      <c r="K578" s="1096" t="s">
        <v>5224</v>
      </c>
      <c r="L578" s="1096">
        <v>0</v>
      </c>
      <c r="M578" s="1096" t="s">
        <v>5224</v>
      </c>
      <c r="N578" s="1096" t="s">
        <v>4631</v>
      </c>
      <c r="O578" s="1028"/>
      <c r="P578" s="1028" t="s">
        <v>780</v>
      </c>
      <c r="Q578" s="1097">
        <f t="shared" ca="1" si="563"/>
        <v>17</v>
      </c>
      <c r="R578" s="1034"/>
      <c r="S578" s="1028" t="s">
        <v>3616</v>
      </c>
      <c r="T578" s="1097">
        <f t="shared" ca="1" si="564"/>
        <v>17</v>
      </c>
      <c r="U578" s="1027">
        <v>4</v>
      </c>
      <c r="V578" s="1027">
        <f t="shared" si="565"/>
        <v>5</v>
      </c>
      <c r="W578" s="1098" t="e">
        <f ca="1">IF(OR(I578&lt;&gt;"N",E578="C"),IF(AND(N578&lt;&gt;"T",ISNUMBER(FIND("V",I578))),1,0),NA())+IF(H578="Y",IF(AND(N578="P",ISNUMBER(FIND("Z",I578))),2,1),0)+IF(J578="Y",1,0)+IF(K578="Y",3,0)+IF(BE578="Lore",L578*2+Experience!$D$25,0)+IF(M578="Y",1,0)</f>
        <v>#N/A</v>
      </c>
      <c r="X578" s="1099"/>
      <c r="Y578" s="1100">
        <f ca="1">IF(P578="NS",IFERROR(INDIRECT(S578),NA()),VLOOKUP(INDIRECT(P578)+INDIRECT(S578),'System Lookups'!$A$3:$D$146,2))</f>
        <v>0.1</v>
      </c>
      <c r="Z578" s="1100">
        <f t="shared" ca="1" si="586"/>
        <v>0</v>
      </c>
      <c r="AA578" s="1101">
        <f ca="1">IF(ISNA(Y578),0,Y578)+Z578+IF('Main Creation Page'!AB$2=37,'Main Creation Page'!E$14/100,0)</f>
        <v>0.1</v>
      </c>
      <c r="AB578" s="1102">
        <f>VLOOKUP(V578,'System Lookups'!$J$55:$P$64,3)</f>
        <v>0.1</v>
      </c>
      <c r="AC578" s="1103">
        <f>VLOOKUP(V578,'System Lookups'!$J$55:$P$64,4)</f>
        <v>0.2</v>
      </c>
      <c r="AD578" s="1104">
        <f t="shared" ca="1" si="567"/>
        <v>0</v>
      </c>
      <c r="AE578" s="1094">
        <f ca="1">(IF(AD578&gt;VLOOKUP(V578,'System Lookups'!$J$55:$P$63,6),(((AD578-VLOOKUP(V578,'System Lookups'!$J$55:$P$63,6))*100)/20),0))+AF578</f>
        <v>0</v>
      </c>
      <c r="AF578" s="1121"/>
      <c r="AG578" s="1092">
        <f t="shared" si="568"/>
        <v>0</v>
      </c>
      <c r="AH578" s="1092" t="str">
        <f>IF(X578&lt;=Experience!$R$15+1,"","*")</f>
        <v/>
      </c>
      <c r="AI578" s="1092"/>
      <c r="AJ578" s="1080">
        <f t="shared" si="569"/>
        <v>0</v>
      </c>
      <c r="AK578" s="1080">
        <f t="shared" si="587"/>
        <v>0</v>
      </c>
      <c r="AL578" s="1080">
        <f t="shared" si="560"/>
        <v>0</v>
      </c>
      <c r="AM578" s="1092">
        <f t="shared" si="588"/>
        <v>0</v>
      </c>
      <c r="AN578" s="1080">
        <f t="shared" si="589"/>
        <v>1</v>
      </c>
      <c r="AO578" s="1080">
        <f t="shared" si="561"/>
        <v>0</v>
      </c>
      <c r="AP578" s="1080">
        <f t="shared" si="573"/>
        <v>1</v>
      </c>
      <c r="AQ578" s="1027">
        <f>VLOOKUP(V578,'System Lookups'!$J$55:$P$64,7)</f>
        <v>700</v>
      </c>
      <c r="AR578" s="1080" t="str">
        <f ca="1">IF(AND(NOT(ISBLANK(AJ578)),ISNA(MATCH(ROW(),'System Lookups'!$C$526:$C$539,0))),"Y","N")</f>
        <v>Y</v>
      </c>
      <c r="AS578" s="1080">
        <f t="shared" si="562"/>
        <v>0</v>
      </c>
      <c r="AU578" s="1080" t="e">
        <f t="shared" ca="1" si="576"/>
        <v>#N/A</v>
      </c>
      <c r="AV578" s="1080" t="str">
        <f t="shared" si="574"/>
        <v>T</v>
      </c>
      <c r="AW578" s="1080">
        <f t="shared" si="577"/>
        <v>0</v>
      </c>
      <c r="AX578" s="1080">
        <f t="shared" si="578"/>
        <v>0</v>
      </c>
      <c r="AY578" s="1080">
        <f t="shared" si="579"/>
        <v>0</v>
      </c>
      <c r="AZ578" s="1080">
        <f t="shared" si="580"/>
        <v>0</v>
      </c>
      <c r="BA578" s="1080">
        <f t="shared" si="581"/>
        <v>0</v>
      </c>
      <c r="BB578" s="1080">
        <f ca="1">IF(AND(RACE=1,'Main Creation Page'!$E$6="Well",OR(ISNUMBER(FIND(Experience!$G$11,BE578)),ISNUMBER(FIND(Experience!$G$11,BF578)),ISNUMBER(FIND(Experience!$I$11,BE578)),ISNUMBER(FIND(Experience!$I$11,BF578)))),1,0)</f>
        <v>1</v>
      </c>
      <c r="BC578" s="1080" t="str">
        <f t="shared" si="537"/>
        <v>L L:Steppes</v>
      </c>
      <c r="BD578" s="1080" t="s">
        <v>5704</v>
      </c>
      <c r="BE578" s="1080" t="str">
        <f t="shared" ca="1" si="575"/>
        <v>Lore</v>
      </c>
      <c r="BF578" s="1080" t="str">
        <f t="shared" ca="1" si="585"/>
        <v>Lore Scientific Skills</v>
      </c>
    </row>
    <row r="579" spans="1:58" ht="11.1" customHeight="1" outlineLevel="2">
      <c r="A579" s="1093" t="s">
        <v>1027</v>
      </c>
      <c r="B579" s="1094" t="s">
        <v>1942</v>
      </c>
      <c r="C579" s="1094"/>
      <c r="D579" s="1094"/>
      <c r="E579" s="1095" t="s">
        <v>5224</v>
      </c>
      <c r="F579" s="1095" t="str">
        <f>IF(('Main Creation Page'!$C$3=3),"R","N")</f>
        <v>N</v>
      </c>
      <c r="G579" s="1096">
        <v>0</v>
      </c>
      <c r="H579" s="1096" t="s">
        <v>5224</v>
      </c>
      <c r="I579" s="1096" t="s">
        <v>5224</v>
      </c>
      <c r="J579" s="1096" t="s">
        <v>5224</v>
      </c>
      <c r="K579" s="1096" t="s">
        <v>5224</v>
      </c>
      <c r="L579" s="1096">
        <v>0</v>
      </c>
      <c r="M579" s="1096" t="s">
        <v>5224</v>
      </c>
      <c r="N579" s="1096" t="s">
        <v>4631</v>
      </c>
      <c r="O579" s="1028"/>
      <c r="P579" s="1028" t="s">
        <v>780</v>
      </c>
      <c r="Q579" s="1097">
        <f t="shared" ca="1" si="563"/>
        <v>17</v>
      </c>
      <c r="R579" s="1034"/>
      <c r="S579" s="1028" t="s">
        <v>3616</v>
      </c>
      <c r="T579" s="1097">
        <f t="shared" ca="1" si="564"/>
        <v>17</v>
      </c>
      <c r="U579" s="1027">
        <v>4</v>
      </c>
      <c r="V579" s="1027">
        <f t="shared" si="565"/>
        <v>5</v>
      </c>
      <c r="W579" s="1098" t="e">
        <f ca="1">IF(OR(I579&lt;&gt;"N",E579="C"),IF(AND(N579&lt;&gt;"T",ISNUMBER(FIND("V",I579))),1,0),NA())+IF(H579="Y",IF(AND(N579="P",ISNUMBER(FIND("Z",I579))),2,1),0)+IF(J579="Y",1,0)+IF(K579="Y",3,0)+IF(BE579="Lore",L579*2+Experience!$D$25,0)+IF(M579="Y",1,0)</f>
        <v>#N/A</v>
      </c>
      <c r="X579" s="1099"/>
      <c r="Y579" s="1100">
        <f ca="1">IF(P579="NS",IFERROR(INDIRECT(S579),NA()),VLOOKUP(INDIRECT(P579)+INDIRECT(S579),'System Lookups'!$A$3:$D$146,2))</f>
        <v>0.1</v>
      </c>
      <c r="Z579" s="1100">
        <f t="shared" ca="1" si="586"/>
        <v>0</v>
      </c>
      <c r="AA579" s="1101">
        <f ca="1">IF(ISNA(Y579),0,Y579)+Z579+IF('Main Creation Page'!AB$2=37,'Main Creation Page'!E$14/100,0)</f>
        <v>0.1</v>
      </c>
      <c r="AB579" s="1102">
        <f>VLOOKUP(V579,'System Lookups'!$J$55:$P$64,3)</f>
        <v>0.1</v>
      </c>
      <c r="AC579" s="1103">
        <f>VLOOKUP(V579,'System Lookups'!$J$55:$P$64,4)</f>
        <v>0.2</v>
      </c>
      <c r="AD579" s="1104">
        <f t="shared" ca="1" si="567"/>
        <v>0</v>
      </c>
      <c r="AE579" s="1094">
        <f ca="1">(IF(AD579&gt;VLOOKUP(V579,'System Lookups'!$J$55:$P$63,6),(((AD579-VLOOKUP(V579,'System Lookups'!$J$55:$P$63,6))*100)/20),0))+AF579</f>
        <v>0</v>
      </c>
      <c r="AF579" s="1121"/>
      <c r="AG579" s="1092">
        <f t="shared" si="568"/>
        <v>0</v>
      </c>
      <c r="AH579" s="1092" t="str">
        <f>IF(X579&lt;=Experience!$R$15+1,"","*")</f>
        <v/>
      </c>
      <c r="AI579" s="1092"/>
      <c r="AJ579" s="1080">
        <f t="shared" si="569"/>
        <v>0</v>
      </c>
      <c r="AK579" s="1080">
        <f t="shared" si="587"/>
        <v>0</v>
      </c>
      <c r="AL579" s="1080">
        <f t="shared" si="560"/>
        <v>0</v>
      </c>
      <c r="AM579" s="1092">
        <f t="shared" si="588"/>
        <v>0</v>
      </c>
      <c r="AN579" s="1080">
        <f t="shared" si="589"/>
        <v>1</v>
      </c>
      <c r="AO579" s="1080">
        <f t="shared" si="561"/>
        <v>0</v>
      </c>
      <c r="AP579" s="1080">
        <f t="shared" si="573"/>
        <v>1</v>
      </c>
      <c r="AQ579" s="1027">
        <f>VLOOKUP(V579,'System Lookups'!$J$55:$P$64,7)</f>
        <v>700</v>
      </c>
      <c r="AR579" s="1080" t="str">
        <f ca="1">IF(AND(NOT(ISBLANK(AJ579)),ISNA(MATCH(ROW(),'System Lookups'!$C$526:$C$539,0))),"Y","N")</f>
        <v>Y</v>
      </c>
      <c r="AS579" s="1080">
        <f t="shared" si="562"/>
        <v>0</v>
      </c>
      <c r="AU579" s="1080" t="e">
        <f t="shared" ca="1" si="576"/>
        <v>#N/A</v>
      </c>
      <c r="AV579" s="1080" t="str">
        <f t="shared" si="574"/>
        <v>T</v>
      </c>
      <c r="AW579" s="1080">
        <f t="shared" si="577"/>
        <v>0</v>
      </c>
      <c r="AX579" s="1080">
        <f t="shared" si="578"/>
        <v>0</v>
      </c>
      <c r="AY579" s="1080">
        <f t="shared" si="579"/>
        <v>0</v>
      </c>
      <c r="AZ579" s="1080">
        <f t="shared" si="580"/>
        <v>0</v>
      </c>
      <c r="BA579" s="1080">
        <f t="shared" si="581"/>
        <v>0</v>
      </c>
      <c r="BB579" s="1080">
        <f ca="1">IF(AND(RACE=1,'Main Creation Page'!$E$6="Well",OR(ISNUMBER(FIND(Experience!$G$11,BE579)),ISNUMBER(FIND(Experience!$G$11,BF579)),ISNUMBER(FIND(Experience!$I$11,BE579)),ISNUMBER(FIND(Experience!$I$11,BF579)))),1,0)</f>
        <v>1</v>
      </c>
      <c r="BC579" s="1080" t="str">
        <f t="shared" si="537"/>
        <v>L L:Swamps</v>
      </c>
      <c r="BD579" s="1080" t="s">
        <v>5704</v>
      </c>
      <c r="BE579" s="1080" t="str">
        <f t="shared" ca="1" si="575"/>
        <v>Lore</v>
      </c>
      <c r="BF579" s="1080" t="str">
        <f t="shared" ca="1" si="585"/>
        <v>Lore Scientific Skills</v>
      </c>
    </row>
    <row r="580" spans="1:58" ht="11.1" customHeight="1" outlineLevel="2">
      <c r="A580" s="1093" t="s">
        <v>1026</v>
      </c>
      <c r="B580" s="1094" t="s">
        <v>1942</v>
      </c>
      <c r="C580" s="1094"/>
      <c r="D580" s="1094"/>
      <c r="E580" s="1095" t="s">
        <v>5224</v>
      </c>
      <c r="F580" s="1095" t="str">
        <f>IF(('Main Creation Page'!$C$3=3),"R","N")</f>
        <v>N</v>
      </c>
      <c r="G580" s="1096">
        <v>0</v>
      </c>
      <c r="H580" s="1096" t="s">
        <v>5224</v>
      </c>
      <c r="I580" s="1096" t="s">
        <v>5224</v>
      </c>
      <c r="J580" s="1096" t="s">
        <v>5224</v>
      </c>
      <c r="K580" s="1096" t="s">
        <v>5224</v>
      </c>
      <c r="L580" s="1096">
        <v>0</v>
      </c>
      <c r="M580" s="1096" t="s">
        <v>5224</v>
      </c>
      <c r="N580" s="1096" t="s">
        <v>4631</v>
      </c>
      <c r="O580" s="1028"/>
      <c r="P580" s="1028" t="s">
        <v>780</v>
      </c>
      <c r="Q580" s="1097">
        <f t="shared" ca="1" si="563"/>
        <v>17</v>
      </c>
      <c r="R580" s="1034"/>
      <c r="S580" s="1028" t="s">
        <v>3616</v>
      </c>
      <c r="T580" s="1097">
        <f t="shared" ca="1" si="564"/>
        <v>17</v>
      </c>
      <c r="U580" s="1027">
        <v>4</v>
      </c>
      <c r="V580" s="1027">
        <f t="shared" si="565"/>
        <v>5</v>
      </c>
      <c r="W580" s="1098" t="e">
        <f ca="1">IF(OR(I580&lt;&gt;"N",E580="C"),IF(AND(N580&lt;&gt;"T",ISNUMBER(FIND("V",I580))),1,0),NA())+IF(H580="Y",IF(AND(N580="P",ISNUMBER(FIND("Z",I580))),2,1),0)+IF(J580="Y",1,0)+IF(K580="Y",3,0)+IF(BE580="Lore",L580*2+Experience!$D$25,0)+IF(M580="Y",1,0)</f>
        <v>#N/A</v>
      </c>
      <c r="X580" s="1099"/>
      <c r="Y580" s="1100">
        <f ca="1">IF(P580="NS",IFERROR(INDIRECT(S580),NA()),VLOOKUP(INDIRECT(P580)+INDIRECT(S580),'System Lookups'!$A$3:$D$146,2))</f>
        <v>0.1</v>
      </c>
      <c r="Z580" s="1100">
        <f t="shared" ca="1" si="586"/>
        <v>0</v>
      </c>
      <c r="AA580" s="1101">
        <f ca="1">IF(ISNA(Y580),0,Y580)+Z580+IF('Main Creation Page'!AB$2=37,'Main Creation Page'!E$14/100,0)</f>
        <v>0.1</v>
      </c>
      <c r="AB580" s="1102">
        <f>VLOOKUP(V580,'System Lookups'!$J$55:$P$64,3)</f>
        <v>0.1</v>
      </c>
      <c r="AC580" s="1103">
        <f>VLOOKUP(V580,'System Lookups'!$J$55:$P$64,4)</f>
        <v>0.2</v>
      </c>
      <c r="AD580" s="1104">
        <f t="shared" ca="1" si="567"/>
        <v>0</v>
      </c>
      <c r="AE580" s="1094">
        <f ca="1">(IF(AD580&gt;VLOOKUP(V580,'System Lookups'!$J$55:$P$63,6),(((AD580-VLOOKUP(V580,'System Lookups'!$J$55:$P$63,6))*100)/20),0))+AF580</f>
        <v>0</v>
      </c>
      <c r="AF580" s="1121"/>
      <c r="AG580" s="1092">
        <f t="shared" si="568"/>
        <v>0</v>
      </c>
      <c r="AH580" s="1092" t="str">
        <f>IF(X580&lt;=Experience!$R$15+1,"","*")</f>
        <v/>
      </c>
      <c r="AI580" s="1092"/>
      <c r="AJ580" s="1080">
        <f t="shared" si="569"/>
        <v>0</v>
      </c>
      <c r="AK580" s="1080">
        <f t="shared" si="587"/>
        <v>0</v>
      </c>
      <c r="AL580" s="1080">
        <f t="shared" si="560"/>
        <v>0</v>
      </c>
      <c r="AM580" s="1092">
        <f t="shared" si="588"/>
        <v>0</v>
      </c>
      <c r="AN580" s="1080">
        <f t="shared" si="589"/>
        <v>1</v>
      </c>
      <c r="AO580" s="1080">
        <f t="shared" si="561"/>
        <v>0</v>
      </c>
      <c r="AP580" s="1080">
        <f t="shared" si="573"/>
        <v>1</v>
      </c>
      <c r="AQ580" s="1027">
        <f>VLOOKUP(V580,'System Lookups'!$J$55:$P$64,7)</f>
        <v>700</v>
      </c>
      <c r="AR580" s="1080" t="str">
        <f ca="1">IF(AND(NOT(ISBLANK(AJ580)),ISNA(MATCH(ROW(),'System Lookups'!$C$526:$C$539,0))),"Y","N")</f>
        <v>Y</v>
      </c>
      <c r="AS580" s="1080">
        <f t="shared" si="562"/>
        <v>0</v>
      </c>
      <c r="AU580" s="1080" t="e">
        <f t="shared" ca="1" si="576"/>
        <v>#N/A</v>
      </c>
      <c r="AV580" s="1080" t="str">
        <f t="shared" si="574"/>
        <v>T</v>
      </c>
      <c r="AW580" s="1080">
        <f t="shared" si="577"/>
        <v>0</v>
      </c>
      <c r="AX580" s="1080">
        <f t="shared" si="578"/>
        <v>0</v>
      </c>
      <c r="AY580" s="1080">
        <f t="shared" si="579"/>
        <v>0</v>
      </c>
      <c r="AZ580" s="1080">
        <f t="shared" si="580"/>
        <v>0</v>
      </c>
      <c r="BA580" s="1080">
        <f t="shared" si="581"/>
        <v>0</v>
      </c>
      <c r="BB580" s="1080">
        <f ca="1">IF(AND(RACE=1,'Main Creation Page'!$E$6="Well",OR(ISNUMBER(FIND(Experience!$G$11,BE580)),ISNUMBER(FIND(Experience!$G$11,BF580)),ISNUMBER(FIND(Experience!$I$11,BE580)),ISNUMBER(FIND(Experience!$I$11,BF580)))),1,0)</f>
        <v>1</v>
      </c>
      <c r="BC580" s="1080" t="str">
        <f t="shared" si="537"/>
        <v>L L:Tundra</v>
      </c>
      <c r="BD580" s="1080" t="s">
        <v>5704</v>
      </c>
      <c r="BE580" s="1080" t="str">
        <f t="shared" ca="1" si="575"/>
        <v>Lore</v>
      </c>
      <c r="BF580" s="1080" t="str">
        <f t="shared" ca="1" si="585"/>
        <v>Lore Scientific Skills</v>
      </c>
    </row>
    <row r="581" spans="1:58" ht="11.1" customHeight="1" outlineLevel="1">
      <c r="A581" s="1123" t="s">
        <v>257</v>
      </c>
      <c r="B581" s="1094"/>
      <c r="C581" s="1094"/>
      <c r="D581" s="1094"/>
      <c r="E581" s="1095" t="s">
        <v>5224</v>
      </c>
      <c r="F581" s="1095" t="s">
        <v>5224</v>
      </c>
      <c r="G581" s="1096">
        <v>0</v>
      </c>
      <c r="H581" s="1096" t="s">
        <v>5224</v>
      </c>
      <c r="I581" s="1096" t="s">
        <v>5224</v>
      </c>
      <c r="J581" s="1096" t="s">
        <v>5224</v>
      </c>
      <c r="K581" s="1096" t="s">
        <v>5224</v>
      </c>
      <c r="L581" s="1096">
        <v>0</v>
      </c>
      <c r="M581" s="1096" t="s">
        <v>5224</v>
      </c>
      <c r="N581" s="1096" t="s">
        <v>4631</v>
      </c>
      <c r="O581" s="1028"/>
      <c r="P581" s="1028" t="s">
        <v>780</v>
      </c>
      <c r="Q581" s="1097">
        <f t="shared" ca="1" si="563"/>
        <v>17</v>
      </c>
      <c r="R581" s="1034"/>
      <c r="S581" s="1028" t="s">
        <v>3616</v>
      </c>
      <c r="T581" s="1097">
        <f t="shared" ca="1" si="564"/>
        <v>17</v>
      </c>
      <c r="U581" s="1027">
        <v>2</v>
      </c>
      <c r="V581" s="1027">
        <f t="shared" si="565"/>
        <v>3</v>
      </c>
      <c r="W581" s="1098" t="e">
        <f ca="1">IF(OR(I581&lt;&gt;"N",E581="C"),IF(AND(N581&lt;&gt;"T",ISNUMBER(FIND("V",I581))),1,0),NA())+IF(H581="Y",IF(AND(N581="P",ISNUMBER(FIND("Z",I581))),2,1),0)+IF(J581="Y",1,0)+IF(K581="Y",3,0)+IF(BE581="Lore",L581*2+Experience!$D$25,0)+IF(M581="Y",1,0)</f>
        <v>#N/A</v>
      </c>
      <c r="X581" s="1099"/>
      <c r="Y581" s="1100">
        <f ca="1">IF(P581="NS",IFERROR(INDIRECT(S581),NA()),VLOOKUP(INDIRECT(P581)+INDIRECT(S581),'System Lookups'!$A$3:$D$146,2))</f>
        <v>0.1</v>
      </c>
      <c r="Z581" s="1100">
        <f ca="1">IF(ISNA(W581),0,W581*0.03)+IF(X581&gt;0,X581*0.03,0)+IF(AND(ISNA(W581),X581&lt;=0),0,IF(G581&gt;0,G581*0.07,0))</f>
        <v>0</v>
      </c>
      <c r="AA581" s="1101">
        <f ca="1">IF(ISNA(Y581),0,Y581)+Z581+IF('Main Creation Page'!AB$2=37,'Main Creation Page'!E$14/100,0)</f>
        <v>0.1</v>
      </c>
      <c r="AB581" s="1102">
        <f>VLOOKUP(V581,'System Lookups'!$J$55:$P$64,3)</f>
        <v>0.3</v>
      </c>
      <c r="AC581" s="1103">
        <f>VLOOKUP(V581,'System Lookups'!$J$55:$P$64,4)</f>
        <v>0.4</v>
      </c>
      <c r="AD581" s="1104">
        <f t="shared" ca="1" si="567"/>
        <v>0.45</v>
      </c>
      <c r="AE581" s="1094">
        <f ca="1">(IF(AD581&gt;VLOOKUP(V581,'System Lookups'!$J$55:$P$63,6),(((AD581-VLOOKUP(V581,'System Lookups'!$J$55:$P$63,6))*100)/20),0))+AF581</f>
        <v>0</v>
      </c>
      <c r="AF581" s="1121"/>
      <c r="AG581" s="1092">
        <f t="shared" si="568"/>
        <v>0</v>
      </c>
      <c r="AH581" s="1092" t="str">
        <f>IF(X581&lt;=Experience!$R$15+1,"","*")</f>
        <v/>
      </c>
      <c r="AI581" s="1092"/>
      <c r="AJ581" s="1080">
        <f t="shared" si="569"/>
        <v>0</v>
      </c>
      <c r="AK581" s="1080">
        <f t="shared" si="587"/>
        <v>0</v>
      </c>
      <c r="AL581" s="1080">
        <f t="shared" si="560"/>
        <v>0</v>
      </c>
      <c r="AM581" s="1092">
        <f t="shared" si="588"/>
        <v>0</v>
      </c>
      <c r="AN581" s="1080">
        <f t="shared" si="589"/>
        <v>1</v>
      </c>
      <c r="AO581" s="1080">
        <f t="shared" si="561"/>
        <v>0</v>
      </c>
      <c r="AP581" s="1080">
        <f t="shared" si="573"/>
        <v>1</v>
      </c>
      <c r="AQ581" s="1027">
        <f>VLOOKUP(V581,'System Lookups'!$J$55:$P$64,7)</f>
        <v>500</v>
      </c>
      <c r="AR581" s="1080" t="str">
        <f ca="1">IF(AND(NOT(ISBLANK(AJ581)),ISNA(MATCH(ROW(),'System Lookups'!$C$526:$C$539,0))),"Y","N")</f>
        <v>Y</v>
      </c>
      <c r="AS581" s="1080">
        <f t="shared" si="562"/>
        <v>0</v>
      </c>
      <c r="AU581" s="1080" t="e">
        <f t="shared" ca="1" si="576"/>
        <v>#N/A</v>
      </c>
      <c r="AV581" s="1080" t="str">
        <f t="shared" si="574"/>
        <v>T</v>
      </c>
      <c r="AW581" s="1080">
        <f t="shared" si="577"/>
        <v>0</v>
      </c>
      <c r="AX581" s="1080">
        <f t="shared" si="578"/>
        <v>0</v>
      </c>
      <c r="AY581" s="1080">
        <f t="shared" si="579"/>
        <v>0</v>
      </c>
      <c r="AZ581" s="1080">
        <f t="shared" si="580"/>
        <v>0</v>
      </c>
      <c r="BA581" s="1080">
        <f t="shared" si="581"/>
        <v>0</v>
      </c>
      <c r="BB581" s="1080">
        <f ca="1">IF(AND(RACE=1,'Main Creation Page'!$E$6="Well",OR(ISNUMBER(FIND(Experience!$G$11,BE581)),ISNUMBER(FIND(Experience!$G$11,BF581)),ISNUMBER(FIND(Experience!$I$11,BE581)),ISNUMBER(FIND(Experience!$I$11,BF581)))),1,0)</f>
        <v>1</v>
      </c>
      <c r="BC581" s="1080" t="str">
        <f t="shared" si="537"/>
        <v>Map Reading</v>
      </c>
      <c r="BE581" s="1080" t="str">
        <f t="shared" ca="1" si="575"/>
        <v>Lore</v>
      </c>
      <c r="BF581" s="1080" t="str">
        <f ca="1">IF(ISBLANK(AC581),IF(OR(ISNA(BC581),ISBLANK(BC581)),BF881,BC581),BF881)</f>
        <v>Lore Scientific Skills</v>
      </c>
    </row>
    <row r="582" spans="1:58" ht="11.1" customHeight="1" outlineLevel="1">
      <c r="A582" s="1123" t="s">
        <v>5584</v>
      </c>
      <c r="B582" s="1094"/>
      <c r="C582" s="1094"/>
      <c r="D582" s="1094"/>
      <c r="E582" s="1095" t="s">
        <v>5224</v>
      </c>
      <c r="F582" s="1095" t="s">
        <v>5224</v>
      </c>
      <c r="G582" s="1096">
        <v>0</v>
      </c>
      <c r="H582" s="1096" t="s">
        <v>5224</v>
      </c>
      <c r="I582" s="1096" t="s">
        <v>5224</v>
      </c>
      <c r="J582" s="1096" t="s">
        <v>5224</v>
      </c>
      <c r="K582" s="1096" t="s">
        <v>5224</v>
      </c>
      <c r="L582" s="1096">
        <v>0</v>
      </c>
      <c r="M582" s="1096" t="s">
        <v>5224</v>
      </c>
      <c r="N582" s="1096" t="s">
        <v>4631</v>
      </c>
      <c r="O582" s="1028"/>
      <c r="P582" s="1028" t="s">
        <v>780</v>
      </c>
      <c r="Q582" s="1097">
        <f t="shared" ca="1" si="563"/>
        <v>17</v>
      </c>
      <c r="R582" s="1034"/>
      <c r="S582" s="1028" t="s">
        <v>3616</v>
      </c>
      <c r="T582" s="1097">
        <f t="shared" ca="1" si="564"/>
        <v>17</v>
      </c>
      <c r="U582" s="1027">
        <f ca="1">IF('Main Creation Page'!K4=1,5,4)-IF(AD393&gt;0,IF('Main Creation Page'!E14+'Main Creation Page'!E17&gt;29,1,0),0)</f>
        <v>3</v>
      </c>
      <c r="V582" s="1027">
        <f t="shared" ca="1" si="565"/>
        <v>4</v>
      </c>
      <c r="W582" s="1098" t="e">
        <f ca="1">IF(OR(I582&lt;&gt;"N",E582="C"),IF(AND(N582&lt;&gt;"T",ISNUMBER(FIND("V",I582))),1,0),NA())+IF(H582="Y",IF(AND(N582="P",ISNUMBER(FIND("Z",I582))),2,1),0)+IF(J582="Y",1,0)+IF(K582="Y",3,0)+IF(BE582="Lore",L582*2+Experience!$D$25,0)+IF(M582="Y",1,0)</f>
        <v>#N/A</v>
      </c>
      <c r="X582" s="1099"/>
      <c r="Y582" s="1100">
        <f ca="1">IF(P582="NS",IFERROR(INDIRECT(S582),NA()),VLOOKUP(INDIRECT(P582)+INDIRECT(S582),'System Lookups'!$A$3:$D$146,2))</f>
        <v>0.1</v>
      </c>
      <c r="Z582" s="1100">
        <f ca="1">IF(ISNA(W582),0,W582*0.03)+IF(X582&gt;0,X582*0.03,0)+IF(AND(ISNA(W582),X582&lt;=0),0,IF(G582&gt;0,G582*0.07,0))</f>
        <v>0</v>
      </c>
      <c r="AA582" s="1101">
        <f ca="1">IF(ISNA(Y582),0,Y582)+Z582+IF('Main Creation Page'!AB$2=37,'Main Creation Page'!E$14/100,0)</f>
        <v>0.1</v>
      </c>
      <c r="AB582" s="1102">
        <f ca="1">VLOOKUP(V582,'System Lookups'!$J$55:$P$64,3)</f>
        <v>0.2</v>
      </c>
      <c r="AC582" s="1103">
        <f ca="1">VLOOKUP(V582,'System Lookups'!$J$55:$P$64,4)</f>
        <v>0.3</v>
      </c>
      <c r="AD582" s="1104">
        <f t="shared" ca="1" si="567"/>
        <v>0.35000000000000003</v>
      </c>
      <c r="AE582" s="1094">
        <f ca="1">(IF(AD582&gt;VLOOKUP(V582,'System Lookups'!$J$55:$P$63,6),(((AD582-VLOOKUP(V582,'System Lookups'!$J$55:$P$63,6))*100)/20),0))+AF582</f>
        <v>0</v>
      </c>
      <c r="AF582" s="1121"/>
      <c r="AG582" s="1092">
        <f t="shared" si="568"/>
        <v>0</v>
      </c>
      <c r="AH582" s="1092" t="str">
        <f>IF(X582&lt;=Experience!$R$15+1,"","*")</f>
        <v/>
      </c>
      <c r="AI582" s="1092"/>
      <c r="AJ582" s="1080">
        <f t="shared" si="569"/>
        <v>0</v>
      </c>
      <c r="AK582" s="1080">
        <f t="shared" si="587"/>
        <v>0</v>
      </c>
      <c r="AL582" s="1080">
        <f t="shared" si="560"/>
        <v>0</v>
      </c>
      <c r="AM582" s="1092">
        <f t="shared" si="588"/>
        <v>0</v>
      </c>
      <c r="AN582" s="1080">
        <f t="shared" si="589"/>
        <v>1</v>
      </c>
      <c r="AO582" s="1080">
        <f t="shared" si="561"/>
        <v>0</v>
      </c>
      <c r="AP582" s="1080">
        <f t="shared" si="573"/>
        <v>1</v>
      </c>
      <c r="AQ582" s="1027">
        <f ca="1">VLOOKUP(V582,'System Lookups'!$J$55:$P$64,7)</f>
        <v>600</v>
      </c>
      <c r="AR582" s="1080" t="str">
        <f ca="1">IF(AND(NOT(ISBLANK(AJ582)),ISNA(MATCH(ROW(),'System Lookups'!$C$526:$C$539,0))),"Y","N")</f>
        <v>Y</v>
      </c>
      <c r="AS582" s="1080">
        <f t="shared" si="562"/>
        <v>0</v>
      </c>
      <c r="AU582" s="1080" t="e">
        <f t="shared" ca="1" si="576"/>
        <v>#N/A</v>
      </c>
      <c r="AV582" s="1080" t="str">
        <f t="shared" ca="1" si="574"/>
        <v>T</v>
      </c>
      <c r="AW582" s="1080">
        <f t="shared" si="577"/>
        <v>0</v>
      </c>
      <c r="AX582" s="1080">
        <f t="shared" si="578"/>
        <v>0</v>
      </c>
      <c r="AY582" s="1080">
        <f t="shared" si="579"/>
        <v>0</v>
      </c>
      <c r="AZ582" s="1080">
        <f t="shared" si="580"/>
        <v>0</v>
      </c>
      <c r="BA582" s="1080">
        <f t="shared" si="581"/>
        <v>0</v>
      </c>
      <c r="BB582" s="1080">
        <f ca="1">IF(AND(RACE=1,'Main Creation Page'!$E$6="Well",OR(ISNUMBER(FIND(Experience!$G$11,BE582)),ISNUMBER(FIND(Experience!$G$11,BF582)),ISNUMBER(FIND(Experience!$I$11,BE582)),ISNUMBER(FIND(Experience!$I$11,BF582)))),1,0)</f>
        <v>1</v>
      </c>
      <c r="BC582" s="1080" t="str">
        <f t="shared" ref="BC582:BC645" si="590">IF(ISBLANK(AJ582),IF(ISBLANK(AI582),IF(RIGHT(A582,2)="en","Language Lore: "&amp;A582,IF(LEFT(A582,9)="Alquennas",A582,NA())),IF(RIGHT(A582,9)=" Medicina",A582&amp;": Healing Lore Skills",IF(OR(LEFT(A582,5)="Lore ",LEFT(A582,8)="Materia "),A582&amp;" Skills",IF(LEFT(A582,8)="Cooking ","Cooking &amp; Innkeeping Skills",A582)))),IF(LEFT(A582,9)="alertness","Alertness: "&amp;RIGHT(A582,5),IF(ISBLANK(BD582),A582,IF(RIGHT(BD582,2)=" (",BD582&amp;"Own)",BD582&amp;A582))))</f>
        <v>Naturalism</v>
      </c>
      <c r="BE582" s="1080" t="str">
        <f t="shared" ca="1" si="575"/>
        <v>Lore</v>
      </c>
      <c r="BF582" s="1080" t="str">
        <f ca="1">IF(ISBLANK(AC582),IF(OR(ISNA(BC582),ISBLANK(BC582)),BF883,BC582),BF883)</f>
        <v>Lore Scientific Skills</v>
      </c>
    </row>
    <row r="583" spans="1:58" ht="11.1" customHeight="1" outlineLevel="1">
      <c r="A583" s="1123" t="s">
        <v>2511</v>
      </c>
      <c r="B583" s="1094"/>
      <c r="C583" s="1094"/>
      <c r="D583" s="1094"/>
      <c r="E583" s="1095" t="s">
        <v>5224</v>
      </c>
      <c r="F583" s="1095" t="s">
        <v>5224</v>
      </c>
      <c r="G583" s="1096">
        <v>0</v>
      </c>
      <c r="H583" s="1096" t="s">
        <v>5224</v>
      </c>
      <c r="I583" s="1096" t="s">
        <v>5224</v>
      </c>
      <c r="J583" s="1096" t="s">
        <v>5224</v>
      </c>
      <c r="K583" s="1096" t="s">
        <v>5224</v>
      </c>
      <c r="L583" s="1096">
        <v>0</v>
      </c>
      <c r="M583" s="1096" t="s">
        <v>5224</v>
      </c>
      <c r="N583" s="1096" t="s">
        <v>4631</v>
      </c>
      <c r="O583" s="1028"/>
      <c r="P583" s="1028" t="s">
        <v>780</v>
      </c>
      <c r="Q583" s="1097">
        <f t="shared" ca="1" si="563"/>
        <v>17</v>
      </c>
      <c r="R583" s="1034"/>
      <c r="S583" s="1028" t="s">
        <v>3616</v>
      </c>
      <c r="T583" s="1097">
        <f t="shared" ca="1" si="564"/>
        <v>17</v>
      </c>
      <c r="U583" s="1027">
        <f ca="1">IF('Main Creation Page'!K4=1,5,4)-IF(AD393&gt;0,IF('Main Creation Page'!E14+'Main Creation Page'!E17&gt;29,1,0),0)</f>
        <v>3</v>
      </c>
      <c r="V583" s="1027">
        <f t="shared" ca="1" si="565"/>
        <v>4</v>
      </c>
      <c r="W583" s="1098" t="e">
        <f ca="1">IF(OR(I583&lt;&gt;"N",E583="C"),IF(AND(N583&lt;&gt;"T",ISNUMBER(FIND("V",I583))),1,0),NA())+IF(H583="Y",IF(AND(N583="P",ISNUMBER(FIND("Z",I583))),2,1),0)+IF(J583="Y",1,0)+IF(K583="Y",3,0)+IF(BE583="Lore",L583*2+Experience!$D$25,0)+IF(M583="Y",1,0)</f>
        <v>#N/A</v>
      </c>
      <c r="X583" s="1099"/>
      <c r="Y583" s="1100">
        <f ca="1">IF(P583="NS",IFERROR(INDIRECT(S583),NA()),VLOOKUP(INDIRECT(P583)+INDIRECT(S583),'System Lookups'!$A$3:$D$146,2))</f>
        <v>0.1</v>
      </c>
      <c r="Z583" s="1100">
        <f ca="1">IF(ISNA(W583),0,W583*0.03)+IF(X583&gt;0,X583*0.03,0)+IF(AND(ISNA(W583),X583&lt;=0),0,IF(G583&gt;0,G583*0.07,0))</f>
        <v>0</v>
      </c>
      <c r="AA583" s="1101">
        <f ca="1">IF(ISNA(Y583),0,Y583)+Z583+IF('Main Creation Page'!AB$2=37,'Main Creation Page'!E$14/100,0)</f>
        <v>0.1</v>
      </c>
      <c r="AB583" s="1102">
        <f ca="1">VLOOKUP(V583,'System Lookups'!$J$55:$P$64,3)</f>
        <v>0.2</v>
      </c>
      <c r="AC583" s="1103">
        <f ca="1">VLOOKUP(V583,'System Lookups'!$J$55:$P$64,4)</f>
        <v>0.3</v>
      </c>
      <c r="AD583" s="1104">
        <f t="shared" ca="1" si="567"/>
        <v>0.35000000000000003</v>
      </c>
      <c r="AE583" s="1094">
        <f ca="1">(IF(AD583&gt;VLOOKUP(V583,'System Lookups'!$J$55:$P$63,6),(((AD583-VLOOKUP(V583,'System Lookups'!$J$55:$P$63,6))*100)/20),0))+AF583</f>
        <v>0</v>
      </c>
      <c r="AF583" s="1121"/>
      <c r="AG583" s="1092">
        <f t="shared" si="568"/>
        <v>0</v>
      </c>
      <c r="AH583" s="1092" t="str">
        <f>IF(X583&lt;=Experience!$R$15+1,"","*")</f>
        <v/>
      </c>
      <c r="AI583" s="1092"/>
      <c r="AJ583" s="1080">
        <f t="shared" si="569"/>
        <v>0</v>
      </c>
      <c r="AK583" s="1080">
        <f t="shared" si="587"/>
        <v>0</v>
      </c>
      <c r="AL583" s="1080">
        <f t="shared" si="560"/>
        <v>0</v>
      </c>
      <c r="AM583" s="1092">
        <f t="shared" si="588"/>
        <v>0</v>
      </c>
      <c r="AN583" s="1080">
        <f t="shared" si="589"/>
        <v>1</v>
      </c>
      <c r="AO583" s="1080">
        <f t="shared" si="561"/>
        <v>0</v>
      </c>
      <c r="AP583" s="1080">
        <f t="shared" si="573"/>
        <v>1</v>
      </c>
      <c r="AQ583" s="1027">
        <f ca="1">VLOOKUP(V583,'System Lookups'!$J$55:$P$64,7)</f>
        <v>600</v>
      </c>
      <c r="AR583" s="1080" t="str">
        <f ca="1">IF(AND(NOT(ISBLANK(AJ583)),ISNA(MATCH(ROW(),'System Lookups'!$C$526:$C$539,0))),"Y","N")</f>
        <v>Y</v>
      </c>
      <c r="AS583" s="1080">
        <f t="shared" si="562"/>
        <v>0</v>
      </c>
      <c r="AU583" s="1080" t="e">
        <f t="shared" ca="1" si="576"/>
        <v>#N/A</v>
      </c>
      <c r="AV583" s="1080" t="str">
        <f t="shared" ca="1" si="574"/>
        <v>T</v>
      </c>
      <c r="AW583" s="1080">
        <f t="shared" si="577"/>
        <v>0</v>
      </c>
      <c r="AX583" s="1080">
        <f t="shared" si="578"/>
        <v>0</v>
      </c>
      <c r="AY583" s="1080">
        <f t="shared" si="579"/>
        <v>0</v>
      </c>
      <c r="AZ583" s="1080">
        <f t="shared" si="580"/>
        <v>0</v>
      </c>
      <c r="BA583" s="1080">
        <f t="shared" si="581"/>
        <v>0</v>
      </c>
      <c r="BB583" s="1080">
        <f ca="1">IF(AND(RACE=1,'Main Creation Page'!$E$6="Well",OR(ISNUMBER(FIND(Experience!$G$11,BE583)),ISNUMBER(FIND(Experience!$G$11,BF583)),ISNUMBER(FIND(Experience!$I$11,BE583)),ISNUMBER(FIND(Experience!$I$11,BF583)))),1,0)</f>
        <v>1</v>
      </c>
      <c r="BC583" s="1080" t="str">
        <f t="shared" si="590"/>
        <v>Scientific Research (Research Methods of Understanding )</v>
      </c>
      <c r="BE583" s="1080" t="str">
        <f t="shared" ca="1" si="575"/>
        <v>Lore</v>
      </c>
      <c r="BF583" s="1080" t="str">
        <f ca="1">IF(ISBLANK(AC583),IF(OR(ISNA(BC583),ISBLANK(BC583)),BF582,BC583),BF582)</f>
        <v>Lore Scientific Skills</v>
      </c>
    </row>
    <row r="584" spans="1:58" ht="11.1" customHeight="1" outlineLevel="1">
      <c r="A584" s="1123" t="s">
        <v>5449</v>
      </c>
      <c r="B584" s="1094"/>
      <c r="C584" s="1094" t="s">
        <v>4629</v>
      </c>
      <c r="D584" s="1094"/>
      <c r="E584" s="1095" t="s">
        <v>5224</v>
      </c>
      <c r="F584" s="1095" t="s">
        <v>5224</v>
      </c>
      <c r="G584" s="1096">
        <v>0</v>
      </c>
      <c r="H584" s="1096" t="s">
        <v>5224</v>
      </c>
      <c r="I584" s="1096" t="s">
        <v>5224</v>
      </c>
      <c r="J584" s="1096" t="s">
        <v>5224</v>
      </c>
      <c r="K584" s="1096" t="s">
        <v>5224</v>
      </c>
      <c r="L584" s="1096">
        <v>0</v>
      </c>
      <c r="M584" s="1096" t="s">
        <v>5224</v>
      </c>
      <c r="N584" s="1096" t="s">
        <v>4631</v>
      </c>
      <c r="O584" s="1028"/>
      <c r="P584" s="1028" t="s">
        <v>780</v>
      </c>
      <c r="Q584" s="1097">
        <f t="shared" ca="1" si="563"/>
        <v>17</v>
      </c>
      <c r="R584" s="1034"/>
      <c r="S584" s="1028" t="s">
        <v>3616</v>
      </c>
      <c r="T584" s="1097">
        <f t="shared" ca="1" si="564"/>
        <v>17</v>
      </c>
      <c r="U584" s="1027">
        <f ca="1">IF('Main Creation Page'!K4=1,5,4)-IF(AD393&gt;0,IF('Main Creation Page'!E14+'Main Creation Page'!E17&gt;29,1,0),0)</f>
        <v>3</v>
      </c>
      <c r="V584" s="1027">
        <f ca="1">IF(AP192+U584&gt;10,10,IF(AP192+U584&lt;1,1,AP192+U584))</f>
        <v>3</v>
      </c>
      <c r="W584" s="1098" t="e">
        <f ca="1">IF(OR(I584&lt;&gt;"N",E584="C"),IF(AND(N584&lt;&gt;"T",ISNUMBER(FIND("V",I584))),1,0),NA())+IF(H584="Y",IF(AND(N584="P",ISNUMBER(FIND("Z",I584))),2,1),0)+IF(J584="Y",1,0)+IF(K584="Y",3,0)+IF(BE584="Lore",L584*2+Experience!$D$25,0)+IF(M584="Y",1,0)</f>
        <v>#N/A</v>
      </c>
      <c r="X584" s="1099"/>
      <c r="Y584" s="1100">
        <f ca="1">IF(P584="NS",IFERROR(INDIRECT(S584),NA()),VLOOKUP(INDIRECT(P584)+INDIRECT(S584),'System Lookups'!$A$3:$D$146,2))</f>
        <v>0.1</v>
      </c>
      <c r="Z584" s="1100">
        <f ca="1">IF(ISNA(W584),0,W584*0.03)+IF(X584&gt;0,X584*0.03,0)+IF(AND(ISNA(W584),X584&lt;=0),0,IF(G584&gt;0,G584*0.07,0))</f>
        <v>0</v>
      </c>
      <c r="AA584" s="1101">
        <f ca="1">IF(ISNA(Y584),0,Y584)+Z584+IF('Main Creation Page'!AB$2=37,'Main Creation Page'!E$14/100,0)</f>
        <v>0.1</v>
      </c>
      <c r="AB584" s="1102">
        <f ca="1">VLOOKUP(V584,'System Lookups'!$J$55:$P$64,3)</f>
        <v>0.3</v>
      </c>
      <c r="AC584" s="1103">
        <f ca="1">VLOOKUP(V584,'System Lookups'!$J$55:$P$64,4)</f>
        <v>0.4</v>
      </c>
      <c r="AD584" s="1104">
        <f t="shared" ca="1" si="567"/>
        <v>0.45</v>
      </c>
      <c r="AE584" s="1094">
        <f ca="1">(IF(AD584&gt;VLOOKUP(V584,'System Lookups'!$J$55:$P$63,6),(((AD584-VLOOKUP(V584,'System Lookups'!$J$55:$P$63,6))*100)/20),0))+AF584</f>
        <v>0</v>
      </c>
      <c r="AF584" s="1121"/>
      <c r="AG584" s="1092">
        <f t="shared" si="568"/>
        <v>0</v>
      </c>
      <c r="AH584" s="1092" t="str">
        <f>IF(X584&lt;=Experience!$R$15+1,"","*")</f>
        <v/>
      </c>
      <c r="AI584" s="1092"/>
      <c r="AJ584" s="1080">
        <f t="shared" si="569"/>
        <v>0</v>
      </c>
      <c r="AK584" s="1080">
        <f t="shared" si="587"/>
        <v>0</v>
      </c>
      <c r="AL584" s="1080">
        <f t="shared" si="560"/>
        <v>0</v>
      </c>
      <c r="AM584" s="1092">
        <f t="shared" si="588"/>
        <v>0</v>
      </c>
      <c r="AN584" s="1080">
        <f t="shared" si="589"/>
        <v>1</v>
      </c>
      <c r="AO584" s="1080">
        <f t="shared" si="561"/>
        <v>0</v>
      </c>
      <c r="AP584" s="1080">
        <f t="shared" si="573"/>
        <v>1</v>
      </c>
      <c r="AQ584" s="1027">
        <f ca="1">VLOOKUP(V584,'System Lookups'!$J$55:$P$64,7)</f>
        <v>500</v>
      </c>
      <c r="AR584" s="1080" t="str">
        <f ca="1">IF(AND(NOT(ISBLANK(AJ584)),ISNA(MATCH(ROW(),'System Lookups'!$C$526:$C$539,0))),"Y","N")</f>
        <v>Y</v>
      </c>
      <c r="AS584" s="1080">
        <f t="shared" si="562"/>
        <v>0</v>
      </c>
      <c r="AU584" s="1080" t="e">
        <f t="shared" ca="1" si="576"/>
        <v>#N/A</v>
      </c>
      <c r="AV584" s="1080" t="str">
        <f t="shared" ca="1" si="574"/>
        <v>T</v>
      </c>
      <c r="AW584" s="1080">
        <f t="shared" si="577"/>
        <v>0</v>
      </c>
      <c r="AX584" s="1080">
        <f t="shared" si="578"/>
        <v>0</v>
      </c>
      <c r="AY584" s="1080">
        <f t="shared" si="579"/>
        <v>0</v>
      </c>
      <c r="AZ584" s="1080">
        <f t="shared" si="580"/>
        <v>0</v>
      </c>
      <c r="BA584" s="1080">
        <f t="shared" si="581"/>
        <v>0</v>
      </c>
      <c r="BB584" s="1080">
        <f ca="1">IF(AND(RACE=1,'Main Creation Page'!$E$6="Well",OR(ISNUMBER(FIND(Experience!$G$11,BE584)),ISNUMBER(FIND(Experience!$G$11,BF584)),ISNUMBER(FIND(Experience!$I$11,BE584)),ISNUMBER(FIND(Experience!$I$11,BF584)))),1,0)</f>
        <v>1</v>
      </c>
      <c r="BC584" s="1080" t="str">
        <f t="shared" si="590"/>
        <v>Siege Engine Construction</v>
      </c>
      <c r="BE584" s="1080" t="str">
        <f t="shared" ca="1" si="575"/>
        <v>Lore</v>
      </c>
      <c r="BF584" s="1080" t="str">
        <f ca="1">IF(ISBLANK(AC584),IF(OR(ISNA(BC584),ISBLANK(BC584)),BF583,BC584),BF583)</f>
        <v>Lore Scientific Skills</v>
      </c>
    </row>
    <row r="585" spans="1:58" ht="11.1" customHeight="1" outlineLevel="1">
      <c r="A585" s="1123" t="s">
        <v>281</v>
      </c>
      <c r="B585" s="1094" t="s">
        <v>1942</v>
      </c>
      <c r="C585" s="1094"/>
      <c r="D585" s="1094"/>
      <c r="E585" s="1095" t="s">
        <v>5224</v>
      </c>
      <c r="F585" s="1095" t="str">
        <f>IF(('Main Creation Page'!$C$3=3),"R","N")</f>
        <v>N</v>
      </c>
      <c r="G585" s="1096">
        <v>0</v>
      </c>
      <c r="H585" s="1096" t="s">
        <v>5224</v>
      </c>
      <c r="I585" s="1096" t="s">
        <v>5224</v>
      </c>
      <c r="J585" s="1096" t="s">
        <v>5224</v>
      </c>
      <c r="K585" s="1096" t="s">
        <v>5224</v>
      </c>
      <c r="L585" s="1096">
        <v>0</v>
      </c>
      <c r="M585" s="1096" t="s">
        <v>5224</v>
      </c>
      <c r="N585" s="1096" t="s">
        <v>4631</v>
      </c>
      <c r="O585" s="1028"/>
      <c r="P585" s="1028" t="s">
        <v>780</v>
      </c>
      <c r="Q585" s="1097">
        <f t="shared" ca="1" si="563"/>
        <v>17</v>
      </c>
      <c r="R585" s="1034"/>
      <c r="S585" s="1028" t="s">
        <v>3616</v>
      </c>
      <c r="T585" s="1097">
        <f t="shared" ca="1" si="564"/>
        <v>17</v>
      </c>
      <c r="U585" s="1027">
        <f>IF('Main Creation Page'!C3=3,2,3)</f>
        <v>3</v>
      </c>
      <c r="V585" s="1027">
        <f>IF(AP585+U585&gt;10,10,IF(AP585+U585&lt;1,1,AP585+U585))</f>
        <v>4</v>
      </c>
      <c r="W585" s="1098" t="e">
        <f ca="1">IF(OR(I585&lt;&gt;"N",E585="C"),IF(AND(N585&lt;&gt;"T",ISNUMBER(FIND("V",I585))),1,0),NA())+IF(H585="Y",IF(AND(N585="P",ISNUMBER(FIND("Z",I585))),2,1),0)+IF(J585="Y",1,0)+IF(K585="Y",3,0)+IF(BE585="Lore",L585*2+Experience!$D$25,0)+IF(M585="Y",1,0)</f>
        <v>#N/A</v>
      </c>
      <c r="X585" s="1099"/>
      <c r="Y585" s="1100">
        <f ca="1">IF(P585="NS",IFERROR(INDIRECT(S585),NA()),VLOOKUP(INDIRECT(P585)+INDIRECT(S585),'System Lookups'!$A$3:$D$146,2))</f>
        <v>0.1</v>
      </c>
      <c r="Z585" s="1100">
        <f ca="1">IF(ISNA(W585),0,W585*0.03)+IF(X585&gt;0,X585*0.03,0)+IF(AND(ISNA(W585),X585&lt;=0),0,IF(G585&gt;0,G585*0.07,0))</f>
        <v>0</v>
      </c>
      <c r="AA585" s="1101">
        <f ca="1">IF(ISNA(Y585),0,Y585)+Z585+IF('Main Creation Page'!AB$2=37,'Main Creation Page'!E$14/100,0)</f>
        <v>0.1</v>
      </c>
      <c r="AB585" s="1102">
        <f>VLOOKUP(V585,'System Lookups'!$J$55:$P$64,3)</f>
        <v>0.2</v>
      </c>
      <c r="AC585" s="1103">
        <f>VLOOKUP(V585,'System Lookups'!$J$55:$P$64,4)</f>
        <v>0.3</v>
      </c>
      <c r="AD585" s="1104">
        <f t="shared" ca="1" si="567"/>
        <v>0</v>
      </c>
      <c r="AE585" s="1094">
        <f ca="1">(IF(AD585&gt;VLOOKUP(V585,'System Lookups'!$J$55:$P$63,6),(((AD585-VLOOKUP(V585,'System Lookups'!$J$55:$P$63,6))*100)/20),0))+AF585</f>
        <v>0</v>
      </c>
      <c r="AF585" s="1121"/>
      <c r="AG585" s="1092">
        <f t="shared" si="568"/>
        <v>0</v>
      </c>
      <c r="AH585" s="1092" t="str">
        <f>IF(X585&lt;=Experience!$R$15+1,"","*")</f>
        <v/>
      </c>
      <c r="AI585" s="1092"/>
      <c r="AJ585" s="1080">
        <f t="shared" si="569"/>
        <v>0</v>
      </c>
      <c r="AK585" s="1080">
        <f t="shared" si="587"/>
        <v>0</v>
      </c>
      <c r="AL585" s="1080">
        <f t="shared" si="560"/>
        <v>0</v>
      </c>
      <c r="AM585" s="1092">
        <f t="shared" si="588"/>
        <v>0</v>
      </c>
      <c r="AN585" s="1080">
        <f t="shared" si="589"/>
        <v>1</v>
      </c>
      <c r="AO585" s="1080">
        <f t="shared" si="561"/>
        <v>0</v>
      </c>
      <c r="AP585" s="1080">
        <f t="shared" si="573"/>
        <v>1</v>
      </c>
      <c r="AQ585" s="1027">
        <f>VLOOKUP(V585,'System Lookups'!$J$55:$P$64,7)</f>
        <v>600</v>
      </c>
      <c r="AR585" s="1080" t="str">
        <f ca="1">IF(AND(NOT(ISBLANK(AJ585)),ISNA(MATCH(ROW(),'System Lookups'!$C$526:$C$539,0))),"Y","N")</f>
        <v>Y</v>
      </c>
      <c r="AS585" s="1080">
        <f t="shared" si="562"/>
        <v>0</v>
      </c>
      <c r="AU585" s="1080" t="e">
        <f t="shared" ca="1" si="576"/>
        <v>#N/A</v>
      </c>
      <c r="AV585" s="1080" t="str">
        <f t="shared" si="574"/>
        <v>T</v>
      </c>
      <c r="AW585" s="1080">
        <f t="shared" si="577"/>
        <v>0</v>
      </c>
      <c r="AX585" s="1080">
        <f t="shared" si="578"/>
        <v>0</v>
      </c>
      <c r="AY585" s="1080">
        <f t="shared" si="579"/>
        <v>0</v>
      </c>
      <c r="AZ585" s="1080">
        <f t="shared" si="580"/>
        <v>0</v>
      </c>
      <c r="BA585" s="1080">
        <f t="shared" si="581"/>
        <v>0</v>
      </c>
      <c r="BB585" s="1080">
        <f ca="1">IF(AND(RACE=1,'Main Creation Page'!$E$6="Well",OR(ISNUMBER(FIND(Experience!$G$11,BE585)),ISNUMBER(FIND(Experience!$G$11,BF585)),ISNUMBER(FIND(Experience!$I$11,BE585)),ISNUMBER(FIND(Experience!$I$11,BF585)))),1,0)</f>
        <v>1</v>
      </c>
      <c r="BC585" s="1080" t="str">
        <f t="shared" si="590"/>
        <v>Weather Lore</v>
      </c>
      <c r="BE585" s="1080" t="str">
        <f t="shared" ca="1" si="575"/>
        <v>Lore</v>
      </c>
      <c r="BF585" s="1080" t="str">
        <f ca="1">IF(ISBLANK(AC585),IF(OR(ISNA(BC585),ISBLANK(BC585)),BF884,BC585),BF884)</f>
        <v>Lore Scientific Skills</v>
      </c>
    </row>
    <row r="586" spans="1:58" ht="11.1" customHeight="1" outlineLevel="1">
      <c r="B586" s="1111"/>
      <c r="C586" s="1111"/>
      <c r="D586" s="1111"/>
      <c r="V586" s="1027"/>
      <c r="W586" s="1112"/>
      <c r="AE586" s="1094"/>
      <c r="AF586" s="1121"/>
      <c r="AQ586" s="1027"/>
      <c r="AR586" s="1080" t="str">
        <f ca="1">IF(AND(NOT(ISBLANK(AJ586)),ISNA(MATCH(ROW(),'System Lookups'!$C$526:$C$539,0))),"Y","N")</f>
        <v>N</v>
      </c>
      <c r="AU586" s="1080" t="e">
        <f t="shared" si="576"/>
        <v>#N/A</v>
      </c>
      <c r="AV586" s="1080" t="str">
        <f t="shared" si="574"/>
        <v/>
      </c>
      <c r="AW586" s="1080">
        <f t="shared" si="577"/>
        <v>0</v>
      </c>
      <c r="AX586" s="1080">
        <f t="shared" si="578"/>
        <v>0</v>
      </c>
      <c r="AY586" s="1080">
        <f t="shared" si="579"/>
        <v>0</v>
      </c>
      <c r="AZ586" s="1080">
        <f t="shared" si="580"/>
        <v>0</v>
      </c>
      <c r="BA586" s="1080">
        <f t="shared" si="581"/>
        <v>0</v>
      </c>
      <c r="BB586" s="1080">
        <f ca="1">IF(AND(RACE=1,'Main Creation Page'!$E$6="Well",OR(ISNUMBER(FIND(Experience!$G$11,BE586)),ISNUMBER(FIND(Experience!$G$11,BF586)),ISNUMBER(FIND(Experience!$I$11,BE586)),ISNUMBER(FIND(Experience!$I$11,BF586)))),1,0)</f>
        <v>1</v>
      </c>
      <c r="BC586" s="1080" t="e">
        <f t="shared" si="590"/>
        <v>#N/A</v>
      </c>
      <c r="BE586" s="1080" t="str">
        <f t="shared" ca="1" si="575"/>
        <v>Lore</v>
      </c>
      <c r="BF586" s="1080" t="str">
        <f t="shared" ref="BF586:BF649" ca="1" si="591">IF(ISBLANK(AC586),IF(OR(ISNA(BC586),ISBLANK(BC586)),BF585,BC586),BF585)</f>
        <v>Lore Scientific Skills</v>
      </c>
    </row>
    <row r="587" spans="1:58" ht="11.1" customHeight="1">
      <c r="A587" s="1087" t="s">
        <v>395</v>
      </c>
      <c r="B587" s="1091"/>
      <c r="C587" s="1091"/>
      <c r="D587" s="1091"/>
      <c r="F587" s="1027"/>
      <c r="G587" s="1027"/>
      <c r="H587" s="1027"/>
      <c r="I587" s="1085"/>
      <c r="J587" s="1085"/>
      <c r="K587" s="1085"/>
      <c r="L587" s="1085"/>
      <c r="M587" s="1085"/>
      <c r="N587" s="1027"/>
      <c r="O587" s="1027"/>
      <c r="P587" s="1027"/>
      <c r="Q587" s="1027"/>
      <c r="R587" s="1027"/>
      <c r="S587" s="1113"/>
      <c r="T587" s="1113"/>
      <c r="U587" s="1085"/>
      <c r="V587" s="1027"/>
      <c r="W587" s="1028"/>
      <c r="X587" s="1114"/>
      <c r="AE587" s="1094"/>
      <c r="AF587" s="1121"/>
      <c r="AG587" s="1028">
        <f>SUM(AG588:AG742)</f>
        <v>0</v>
      </c>
      <c r="AH587" s="1092"/>
      <c r="AI587" s="1028">
        <f>SUM(AI588:AI742)</f>
        <v>0</v>
      </c>
      <c r="AM587" s="1028"/>
      <c r="AR587" s="1080" t="str">
        <f ca="1">IF(AND(NOT(ISBLANK(AJ587)),ISNA(MATCH(ROW(),'System Lookups'!$C$526:$C$539,0))),"Y","N")</f>
        <v>N</v>
      </c>
      <c r="AU587" s="1080" t="e">
        <f t="shared" si="576"/>
        <v>#N/A</v>
      </c>
      <c r="AV587" s="1080" t="str">
        <f t="shared" si="574"/>
        <v/>
      </c>
      <c r="AW587" s="1080">
        <f t="shared" si="577"/>
        <v>0</v>
      </c>
      <c r="AX587" s="1080">
        <f t="shared" si="578"/>
        <v>0</v>
      </c>
      <c r="AY587" s="1080">
        <f t="shared" si="579"/>
        <v>0</v>
      </c>
      <c r="AZ587" s="1080">
        <f t="shared" si="580"/>
        <v>0</v>
      </c>
      <c r="BA587" s="1080">
        <f t="shared" si="581"/>
        <v>0</v>
      </c>
      <c r="BB587" s="1080">
        <f>IF(AND(RACE=1,'Main Creation Page'!$E$6="Well",OR(ISNUMBER(FIND(Experience!$G$11,BE587)),ISNUMBER(FIND(Experience!$G$11,BF587)),ISNUMBER(FIND(Experience!$I$11,BE587)),ISNUMBER(FIND(Experience!$I$11,BF587)))),1,0)</f>
        <v>1</v>
      </c>
      <c r="BC587" s="1080" t="str">
        <f t="shared" si="590"/>
        <v>Materia Magica Skills</v>
      </c>
      <c r="BE587" s="1080" t="str">
        <f t="shared" si="575"/>
        <v>Lore</v>
      </c>
      <c r="BF587" s="1080" t="str">
        <f t="shared" si="591"/>
        <v>Materia Magica Skills</v>
      </c>
    </row>
    <row r="588" spans="1:58" ht="11.1" hidden="1" customHeight="1" outlineLevel="1">
      <c r="A588" s="1117" t="s">
        <v>3594</v>
      </c>
      <c r="B588" s="1094"/>
      <c r="C588" s="1094"/>
      <c r="D588" s="1094"/>
      <c r="E588" s="1095" t="s">
        <v>5224</v>
      </c>
      <c r="F588" s="1095" t="s">
        <v>5224</v>
      </c>
      <c r="G588" s="1096">
        <v>0</v>
      </c>
      <c r="H588" s="1096" t="s">
        <v>5224</v>
      </c>
      <c r="I588" s="1096" t="s">
        <v>5224</v>
      </c>
      <c r="J588" s="1096" t="s">
        <v>5224</v>
      </c>
      <c r="K588" s="1096" t="s">
        <v>5224</v>
      </c>
      <c r="L588" s="1096">
        <v>0</v>
      </c>
      <c r="M588" s="1096" t="s">
        <v>5224</v>
      </c>
      <c r="N588" s="1096" t="s">
        <v>4631</v>
      </c>
      <c r="O588" s="1028"/>
      <c r="P588" s="1028" t="s">
        <v>780</v>
      </c>
      <c r="Q588" s="1097">
        <f t="shared" ref="Q588:Q592" ca="1" si="592">INDIRECT(P588)</f>
        <v>17</v>
      </c>
      <c r="R588" s="1034"/>
      <c r="S588" s="1028" t="s">
        <v>780</v>
      </c>
      <c r="T588" s="1097">
        <f t="shared" ref="T588:T592" ca="1" si="593">INDIRECT(S588)</f>
        <v>17</v>
      </c>
      <c r="U588" s="1027">
        <v>6</v>
      </c>
      <c r="V588" s="1027">
        <f>IF(AP588+U588&gt;10,10,IF(AP588+U588&lt;1,1,AP588+U588))</f>
        <v>7</v>
      </c>
      <c r="W588" s="1098" t="e">
        <f>IF(OR(I588&lt;&gt;"N",E588="C"),IF(AND(N588&lt;&gt;"T",ISNUMBER(FIND("V",I588))),1,0),NA())+IF(H588="Y",IF(AND(N588="P",ISNUMBER(FIND("Z",I588))),2,1),0)+IF(J588="Y",1,0)+IF(K588="Y",3,0)+IF(BE588="Lore",L588*2+Experience!$D$25,0)+IF(M588="Y",1,0)</f>
        <v>#N/A</v>
      </c>
      <c r="X588" s="1099"/>
      <c r="Y588" s="1100">
        <f ca="1">IF(P588="NS",IFERROR(INDIRECT(S588),NA()),VLOOKUP(INDIRECT(P588)+INDIRECT(S588),'System Lookups'!$A$3:$D$146,2))</f>
        <v>0.1</v>
      </c>
      <c r="Z588" s="1100">
        <f>IF(ISNA(W588),0,W588*0.03)+IF(X588&gt;0,X588*0.03,0)+IF(AND(ISNA(W588),X588&lt;=0),0,IF(G588&gt;0,G588*0.07,0))</f>
        <v>0</v>
      </c>
      <c r="AA588" s="1101">
        <f t="shared" ref="AA588:AA600" ca="1" si="594">IF(ISNA(Y588),0,Y588)+Z588</f>
        <v>0.1</v>
      </c>
      <c r="AB588" s="1102">
        <f>VLOOKUP(V588,'System Lookups'!$J$55:$P$64,3)</f>
        <v>0.03</v>
      </c>
      <c r="AC588" s="1103">
        <f>VLOOKUP(V588,'System Lookups'!$J$55:$P$64,4)</f>
        <v>7.0000000000000007E-2</v>
      </c>
      <c r="AD588" s="1104">
        <f ca="1">IF(AND(ISBLANK(X588),ISNA(W588)),IF(B588="~",0,AB588+AA588+IF(BB588&gt;0,0.05,0)),AA588+AC588+IF(BB588&gt;0,0.05,0))</f>
        <v>0.18</v>
      </c>
      <c r="AE588" s="1094">
        <f ca="1">(IF(AD588&gt;VLOOKUP(V588,'System Lookups'!$J$55:$P$63,6),(((AD588-VLOOKUP(V588,'System Lookups'!$J$55:$P$63,6))*100)/20),0))+AF588</f>
        <v>0</v>
      </c>
      <c r="AF588" s="1121"/>
      <c r="AG588" s="1092">
        <f>IF(ISBLANK(X588),0,AQ588*X588+IF(ISNA(W588),1,0))</f>
        <v>0</v>
      </c>
      <c r="AH588" s="1092" t="str">
        <f>IF(X588&lt;=Experience!$R$15+1,"","*")</f>
        <v/>
      </c>
      <c r="AI588" s="1092"/>
      <c r="AJ588" s="1080">
        <f t="shared" ref="AJ588:AJ592" si="595">IF(ISNUMBER(FIND("R",F588)),-1,0)</f>
        <v>0</v>
      </c>
      <c r="AK588" s="1080">
        <f t="shared" ref="AK588:AK621" si="596">IF(F588="s",-2,0)</f>
        <v>0</v>
      </c>
      <c r="AL588" s="1080">
        <f t="shared" ref="AL588:AL592" si="597">IF(AND(H588="Y",OR(N588="P",N588="S")),-1,0)</f>
        <v>0</v>
      </c>
      <c r="AM588" s="1092">
        <f t="shared" ref="AM588:AM621" si="598">IF(J588="y",1,0)</f>
        <v>0</v>
      </c>
      <c r="AN588" s="1080">
        <f t="shared" ref="AN588:AN621" si="599">IF(N588="P",-1,IF(N588="T",1,0))</f>
        <v>1</v>
      </c>
      <c r="AO588" s="1080">
        <f t="shared" ref="AO588:AO592" si="600">IF(ISNUMBER(FIND("Z",I588)),1,0)</f>
        <v>0</v>
      </c>
      <c r="AP588" s="1080">
        <f>SUM(AJ588:AN588)-AM588</f>
        <v>1</v>
      </c>
      <c r="AQ588" s="1027">
        <f>VLOOKUP(V588,'System Lookups'!$J$55:$P$64,7)</f>
        <v>1000</v>
      </c>
      <c r="AR588" s="1080" t="str">
        <f ca="1">IF(AND(NOT(ISBLANK(AJ588)),ISNA(MATCH(ROW(),'System Lookups'!$C$526:$C$539,0))),"Y","N")</f>
        <v>Y</v>
      </c>
      <c r="AS588" s="1080">
        <f>AG588-AI588</f>
        <v>0</v>
      </c>
      <c r="AU588" s="1080" t="e">
        <f t="shared" si="576"/>
        <v>#N/A</v>
      </c>
      <c r="AV588" s="1080" t="str">
        <f t="shared" si="574"/>
        <v>T</v>
      </c>
      <c r="AW588" s="1080">
        <f t="shared" si="577"/>
        <v>0</v>
      </c>
      <c r="AX588" s="1080">
        <f t="shared" si="578"/>
        <v>0</v>
      </c>
      <c r="AY588" s="1080">
        <f t="shared" si="579"/>
        <v>0</v>
      </c>
      <c r="AZ588" s="1080">
        <f t="shared" si="580"/>
        <v>0</v>
      </c>
      <c r="BA588" s="1080">
        <f t="shared" si="581"/>
        <v>0</v>
      </c>
      <c r="BB588" s="1080">
        <f>IF(AND(RACE=1,'Main Creation Page'!$E$6="Well",OR(ISNUMBER(FIND(Experience!$G$11,BE588)),ISNUMBER(FIND(Experience!$G$11,BF588)),ISNUMBER(FIND(Experience!$I$11,BE588)),ISNUMBER(FIND(Experience!$I$11,BF588)))),1,0)</f>
        <v>1</v>
      </c>
      <c r="BC588" s="1080" t="str">
        <f t="shared" si="590"/>
        <v>Artefact Lore</v>
      </c>
      <c r="BE588" s="1080" t="str">
        <f t="shared" si="575"/>
        <v>Lore</v>
      </c>
      <c r="BF588" s="1080" t="str">
        <f t="shared" si="591"/>
        <v>Materia Magica Skills</v>
      </c>
    </row>
    <row r="589" spans="1:58" ht="11.1" hidden="1" customHeight="1" outlineLevel="1">
      <c r="A589" s="1123" t="s">
        <v>2638</v>
      </c>
      <c r="B589" s="1094"/>
      <c r="C589" s="1094"/>
      <c r="D589" s="1094"/>
      <c r="E589" s="1095" t="s">
        <v>5224</v>
      </c>
      <c r="F589" s="1095" t="s">
        <v>5224</v>
      </c>
      <c r="G589" s="1096">
        <v>0</v>
      </c>
      <c r="H589" s="1096" t="s">
        <v>5224</v>
      </c>
      <c r="I589" s="1096" t="s">
        <v>5224</v>
      </c>
      <c r="J589" s="1096" t="s">
        <v>5224</v>
      </c>
      <c r="K589" s="1096" t="s">
        <v>5224</v>
      </c>
      <c r="L589" s="1096">
        <v>0</v>
      </c>
      <c r="M589" s="1096" t="s">
        <v>5224</v>
      </c>
      <c r="N589" s="1096" t="s">
        <v>4631</v>
      </c>
      <c r="O589" s="1028"/>
      <c r="P589" s="1028" t="s">
        <v>780</v>
      </c>
      <c r="Q589" s="1097">
        <f t="shared" ca="1" si="592"/>
        <v>17</v>
      </c>
      <c r="R589" s="1034"/>
      <c r="S589" s="1028" t="s">
        <v>3616</v>
      </c>
      <c r="T589" s="1097">
        <f t="shared" ca="1" si="593"/>
        <v>17</v>
      </c>
      <c r="U589" s="1027">
        <v>2</v>
      </c>
      <c r="V589" s="1027">
        <f>IF(AP589+U589&gt;10,10,IF(AP589+U589&lt;1,1,AP589+U589))</f>
        <v>3</v>
      </c>
      <c r="W589" s="1098" t="e">
        <f>IF(OR(I589&lt;&gt;"N",E589="C"),IF(AND(N589&lt;&gt;"T",ISNUMBER(FIND("V",I589))),1,0),NA())+IF(H589="Y",IF(AND(N589="P",ISNUMBER(FIND("Z",I589))),2,1),0)+IF(J589="Y",1,0)+IF(K589="Y",3,0)+IF(BE589="Lore",L589*2+Experience!$D$25,0)+IF(M589="Y",1,0)</f>
        <v>#N/A</v>
      </c>
      <c r="X589" s="1099"/>
      <c r="Y589" s="1100">
        <f ca="1">IF(P589="NS",IFERROR(INDIRECT(S589),NA()),VLOOKUP(INDIRECT(P589)+INDIRECT(S589),'System Lookups'!$A$3:$D$146,2))</f>
        <v>0.1</v>
      </c>
      <c r="Z589" s="1100">
        <f>IF(ISNA(W589),0,W589*0.03)+IF(X589&gt;0,X589*0.03,0)+IF(AND(ISNA(W589),X589&lt;=0),0,IF(G589&gt;0,G589*0.07,0))</f>
        <v>0</v>
      </c>
      <c r="AA589" s="1101">
        <f t="shared" ca="1" si="594"/>
        <v>0.1</v>
      </c>
      <c r="AB589" s="1102">
        <f>VLOOKUP(V589,'System Lookups'!$J$55:$P$64,3)</f>
        <v>0.3</v>
      </c>
      <c r="AC589" s="1103">
        <f>VLOOKUP(V589,'System Lookups'!$J$55:$P$64,4)</f>
        <v>0.4</v>
      </c>
      <c r="AD589" s="1104">
        <f ca="1">IF(AND(ISBLANK(X589),ISNA(W589)),IF(B589="~",0,AB589+AA589+IF(BB589&gt;0,0.05,0)),AA589+AC589+IF(BB589&gt;0,0.05,0))</f>
        <v>0.45</v>
      </c>
      <c r="AE589" s="1094">
        <f ca="1">(IF(AD589&gt;VLOOKUP(V589,'System Lookups'!$J$55:$P$63,6),(((AD589-VLOOKUP(V589,'System Lookups'!$J$55:$P$63,6))*100)/20),0))+AF589</f>
        <v>0</v>
      </c>
      <c r="AF589" s="1121"/>
      <c r="AG589" s="1092">
        <f>IF(ISBLANK(X589),0,AQ589*X589+IF(ISNA(W589),1,0))</f>
        <v>0</v>
      </c>
      <c r="AH589" s="1092" t="str">
        <f>IF(X589&lt;=Experience!$R$15+1,"","*")</f>
        <v/>
      </c>
      <c r="AI589" s="1092"/>
      <c r="AJ589" s="1080">
        <f t="shared" si="595"/>
        <v>0</v>
      </c>
      <c r="AK589" s="1080">
        <f t="shared" si="596"/>
        <v>0</v>
      </c>
      <c r="AL589" s="1080">
        <f t="shared" si="597"/>
        <v>0</v>
      </c>
      <c r="AM589" s="1092">
        <f t="shared" si="598"/>
        <v>0</v>
      </c>
      <c r="AN589" s="1080">
        <f t="shared" si="599"/>
        <v>1</v>
      </c>
      <c r="AO589" s="1080">
        <f t="shared" si="600"/>
        <v>0</v>
      </c>
      <c r="AP589" s="1080">
        <f>SUM(AJ589:AN589)-AM589</f>
        <v>1</v>
      </c>
      <c r="AQ589" s="1027">
        <f>VLOOKUP(V589,'System Lookups'!$J$55:$P$64,7)</f>
        <v>500</v>
      </c>
      <c r="AR589" s="1080" t="str">
        <f ca="1">IF(AND(NOT(ISBLANK(AJ589)),ISNA(MATCH(ROW(),'System Lookups'!$C$526:$C$539,0))),"Y","N")</f>
        <v>Y</v>
      </c>
      <c r="AS589" s="1080">
        <f>AG589-AI589</f>
        <v>0</v>
      </c>
      <c r="AU589" s="1080" t="e">
        <f t="shared" si="576"/>
        <v>#N/A</v>
      </c>
      <c r="AV589" s="1080" t="str">
        <f t="shared" si="574"/>
        <v>T</v>
      </c>
      <c r="AW589" s="1080">
        <f t="shared" si="577"/>
        <v>0</v>
      </c>
      <c r="AX589" s="1080">
        <f t="shared" si="578"/>
        <v>0</v>
      </c>
      <c r="AY589" s="1080">
        <f t="shared" si="579"/>
        <v>0</v>
      </c>
      <c r="AZ589" s="1080">
        <f t="shared" si="580"/>
        <v>0</v>
      </c>
      <c r="BA589" s="1080">
        <f t="shared" si="581"/>
        <v>0</v>
      </c>
      <c r="BB589" s="1080">
        <f>IF(AND(RACE=1,'Main Creation Page'!$E$6="Well",OR(ISNUMBER(FIND(Experience!$G$11,BE589)),ISNUMBER(FIND(Experience!$G$11,BF589)),ISNUMBER(FIND(Experience!$I$11,BE589)),ISNUMBER(FIND(Experience!$I$11,BF589)))),1,0)</f>
        <v>1</v>
      </c>
      <c r="BC589" s="1080" t="str">
        <f t="shared" si="590"/>
        <v>Aura Lore</v>
      </c>
      <c r="BE589" s="1080" t="str">
        <f t="shared" si="575"/>
        <v>Lore</v>
      </c>
      <c r="BF589" s="1080" t="str">
        <f t="shared" si="591"/>
        <v>Materia Magica Skills</v>
      </c>
    </row>
    <row r="590" spans="1:58" ht="11.1" hidden="1" customHeight="1" outlineLevel="1">
      <c r="A590" s="1146" t="s">
        <v>2507</v>
      </c>
      <c r="B590" s="1094" t="s">
        <v>1942</v>
      </c>
      <c r="C590" s="1094"/>
      <c r="D590" s="1094"/>
      <c r="E590" s="1095" t="s">
        <v>5224</v>
      </c>
      <c r="F590" s="1095" t="s">
        <v>5224</v>
      </c>
      <c r="G590" s="1096">
        <v>0</v>
      </c>
      <c r="H590" s="1096" t="s">
        <v>5224</v>
      </c>
      <c r="I590" s="1096" t="s">
        <v>5224</v>
      </c>
      <c r="J590" s="1096" t="s">
        <v>5224</v>
      </c>
      <c r="K590" s="1096" t="s">
        <v>5224</v>
      </c>
      <c r="L590" s="1096">
        <v>0</v>
      </c>
      <c r="M590" s="1096" t="s">
        <v>5224</v>
      </c>
      <c r="N590" s="1096" t="s">
        <v>4631</v>
      </c>
      <c r="O590" s="1028"/>
      <c r="P590" s="1028" t="s">
        <v>3616</v>
      </c>
      <c r="Q590" s="1097">
        <f t="shared" ca="1" si="592"/>
        <v>17</v>
      </c>
      <c r="R590" s="1028"/>
      <c r="S590" s="1028" t="s">
        <v>3614</v>
      </c>
      <c r="T590" s="1097">
        <f t="shared" ca="1" si="593"/>
        <v>15</v>
      </c>
      <c r="U590" s="1027">
        <v>5</v>
      </c>
      <c r="V590" s="1027">
        <f>IF(AP590+U590&gt;10,10,IF(AP590+U590&lt;1,1,AP590+U590))</f>
        <v>6</v>
      </c>
      <c r="W590" s="1098" t="e">
        <f>IF(OR(I590&lt;&gt;"N",E590="C"),IF(AND(N590&lt;&gt;"T",ISNUMBER(FIND("V",I590))),1,0),NA())+IF(H590="Y",IF(AND(N590="P",ISNUMBER(FIND("Z",I590))),2,1),0)+IF(J590="Y",1,0)+IF(K590="Y",3,0)+IF(BE590="Lore",L590*2+Experience!$D$25,0)+IF(M590="Y",1,0)</f>
        <v>#N/A</v>
      </c>
      <c r="X590" s="1099"/>
      <c r="Y590" s="1100">
        <f ca="1">IF(P590="NS",IFERROR(INDIRECT(S590),NA()),VLOOKUP(INDIRECT(P590)+INDIRECT(S590),'System Lookups'!$A$3:$D$146,2))</f>
        <v>0.08</v>
      </c>
      <c r="Z590" s="1100">
        <f>IF(ISNA(W590),0,W590*0.03)+IF(X590&gt;0,X590*0.03,0)+IF(AND(ISNA(W590),X590&lt;=0),0,IF(G590&gt;0,G590*0.07,0))</f>
        <v>0</v>
      </c>
      <c r="AA590" s="1101">
        <f ca="1">IF(ISNA(Y590),0,Y590)+Z590</f>
        <v>0.08</v>
      </c>
      <c r="AB590" s="1102">
        <f>VLOOKUP(V590,'System Lookups'!$J$55:$P$64,3)</f>
        <v>0.05</v>
      </c>
      <c r="AC590" s="1103">
        <f>VLOOKUP(V590,'System Lookups'!$J$55:$P$64,4)</f>
        <v>0.1</v>
      </c>
      <c r="AD590" s="1104">
        <f>IF(AND(ISBLANK(X590),ISNA(W590)),IF(B590="~",0,AB590+AA590+IF(BB590&gt;0,0.05,0)),AA590+AC590+IF(BB590&gt;0,0.05,0))</f>
        <v>0</v>
      </c>
      <c r="AE590" s="1094">
        <f>(IF(AD590&gt;VLOOKUP(V590,'System Lookups'!$J$55:$P$63,6),(((AD590-VLOOKUP(V590,'System Lookups'!$J$55:$P$63,6))*100)/20),0))+AF590</f>
        <v>0</v>
      </c>
      <c r="AF590" s="1121"/>
      <c r="AG590" s="1092">
        <f>IF(ISBLANK(X590),0,AQ590*X590+IF(ISNA(W590),1,0))</f>
        <v>0</v>
      </c>
      <c r="AH590" s="1092" t="str">
        <f>IF(X590&lt;=Experience!$R$15+1,"","*")</f>
        <v/>
      </c>
      <c r="AI590" s="1092"/>
      <c r="AJ590" s="1080">
        <f t="shared" si="595"/>
        <v>0</v>
      </c>
      <c r="AK590" s="1080">
        <f>IF(F590="s",-2,0)</f>
        <v>0</v>
      </c>
      <c r="AL590" s="1080">
        <f t="shared" si="597"/>
        <v>0</v>
      </c>
      <c r="AM590" s="1092">
        <f>IF(J590="y",1,0)</f>
        <v>0</v>
      </c>
      <c r="AN590" s="1080">
        <f>IF(N590="P",-1,IF(N590="T",1,0))</f>
        <v>1</v>
      </c>
      <c r="AO590" s="1080">
        <f t="shared" si="600"/>
        <v>0</v>
      </c>
      <c r="AP590" s="1080">
        <f>SUM(AJ590:AN590)-AM590</f>
        <v>1</v>
      </c>
      <c r="AQ590" s="1027">
        <v>700</v>
      </c>
      <c r="AR590" s="1080" t="str">
        <f ca="1">IF(AND(NOT(ISBLANK(AJ590)),ISNA(MATCH(ROW(),'System Lookups'!$C$526:$C$539,0))),"Y","N")</f>
        <v>Y</v>
      </c>
      <c r="AS590" s="1080">
        <f>AG590-AI590</f>
        <v>0</v>
      </c>
      <c r="AU590" s="1080" t="e">
        <f t="shared" si="576"/>
        <v>#N/A</v>
      </c>
      <c r="AV590" s="1080" t="str">
        <f t="shared" si="574"/>
        <v>T</v>
      </c>
      <c r="AW590" s="1080">
        <f t="shared" si="577"/>
        <v>0</v>
      </c>
      <c r="AX590" s="1080">
        <f t="shared" si="578"/>
        <v>0</v>
      </c>
      <c r="AY590" s="1080">
        <f t="shared" si="579"/>
        <v>0</v>
      </c>
      <c r="AZ590" s="1080">
        <f t="shared" si="580"/>
        <v>0</v>
      </c>
      <c r="BA590" s="1080">
        <f t="shared" si="581"/>
        <v>0</v>
      </c>
      <c r="BB590" s="1080">
        <f>IF(AND(RACE=1,'Main Creation Page'!$E$6="Well",OR(ISNUMBER(FIND(Experience!$G$11,BE590)),ISNUMBER(FIND(Experience!$G$11,BF590)),ISNUMBER(FIND(Experience!$I$11,BE590)),ISNUMBER(FIND(Experience!$I$11,BF590)))),1,0)</f>
        <v>1</v>
      </c>
      <c r="BC590" s="1080" t="str">
        <f t="shared" si="590"/>
        <v>Concert</v>
      </c>
      <c r="BE590" s="1080" t="str">
        <f t="shared" si="575"/>
        <v>Lore</v>
      </c>
      <c r="BF590" s="1080" t="str">
        <f t="shared" si="591"/>
        <v>Materia Magica Skills</v>
      </c>
    </row>
    <row r="591" spans="1:58" ht="11.1" hidden="1" customHeight="1" outlineLevel="1">
      <c r="A591" s="1117" t="s">
        <v>396</v>
      </c>
      <c r="B591" s="1094"/>
      <c r="C591" s="1094"/>
      <c r="D591" s="1094"/>
      <c r="E591" s="1095" t="s">
        <v>5224</v>
      </c>
      <c r="F591" s="1095" t="s">
        <v>5224</v>
      </c>
      <c r="G591" s="1096">
        <v>0</v>
      </c>
      <c r="H591" s="1096" t="s">
        <v>5224</v>
      </c>
      <c r="I591" s="1096" t="s">
        <v>5224</v>
      </c>
      <c r="J591" s="1096" t="s">
        <v>5224</v>
      </c>
      <c r="K591" s="1096" t="s">
        <v>5224</v>
      </c>
      <c r="L591" s="1096">
        <v>0</v>
      </c>
      <c r="M591" s="1096" t="s">
        <v>5224</v>
      </c>
      <c r="N591" s="1096" t="s">
        <v>4631</v>
      </c>
      <c r="O591" s="1028"/>
      <c r="P591" s="1028" t="s">
        <v>780</v>
      </c>
      <c r="Q591" s="1097">
        <f t="shared" ca="1" si="592"/>
        <v>17</v>
      </c>
      <c r="R591" s="1034"/>
      <c r="S591" s="1028" t="s">
        <v>780</v>
      </c>
      <c r="T591" s="1097">
        <f t="shared" ca="1" si="593"/>
        <v>17</v>
      </c>
      <c r="U591" s="1027">
        <v>5</v>
      </c>
      <c r="V591" s="1027">
        <f>IF(AP591+U591&gt;10,10,IF(AP591+U591&lt;1,1,AP591+U591))</f>
        <v>6</v>
      </c>
      <c r="W591" s="1098" t="e">
        <f>IF(OR(I591&lt;&gt;"N",E591="C"),IF(AND(N591&lt;&gt;"T",ISNUMBER(FIND("V",I591))),1,0),NA())+IF(H591="Y",IF(AND(N591="P",ISNUMBER(FIND("Z",I591))),2,1),0)+IF(J591="Y",1,0)+IF(K591="Y",3,0)+IF(BE591="Lore",L591*2+Experience!$D$25,0)+IF(M591="Y",1,0)</f>
        <v>#N/A</v>
      </c>
      <c r="X591" s="1099"/>
      <c r="Y591" s="1100">
        <f ca="1">IF(P591="NS",IFERROR(INDIRECT(S591),NA()),VLOOKUP(INDIRECT(P591)+INDIRECT(S591),'System Lookups'!$A$3:$D$146,2))</f>
        <v>0.1</v>
      </c>
      <c r="Z591" s="1100">
        <f>IF(ISNA(W591),0,W591*0.03)+IF(X591&gt;0,X591*0.03,0)+IF(AND(ISNA(W591),X591&lt;=0),0,IF(G591&gt;0,G591*0.07,0))</f>
        <v>0</v>
      </c>
      <c r="AA591" s="1101">
        <f t="shared" ca="1" si="594"/>
        <v>0.1</v>
      </c>
      <c r="AB591" s="1102">
        <f>VLOOKUP(V591,'System Lookups'!$J$55:$P$64,3)</f>
        <v>0.05</v>
      </c>
      <c r="AC591" s="1103">
        <f>VLOOKUP(V591,'System Lookups'!$J$55:$P$64,4)</f>
        <v>0.1</v>
      </c>
      <c r="AD591" s="1104">
        <f ca="1">IF(AND(ISBLANK(X591),ISNA(W591)),IF(B591="~",0,AB591+AA591+IF(BB591&gt;0,0.05,0)),AA591+AC591+IF(BB591&gt;0,0.05,0))</f>
        <v>0.2</v>
      </c>
      <c r="AE591" s="1094">
        <f ca="1">(IF(AD591&gt;VLOOKUP(V591,'System Lookups'!$J$55:$P$63,6),(((AD591-VLOOKUP(V591,'System Lookups'!$J$55:$P$63,6))*100)/20),0))+AF591</f>
        <v>0</v>
      </c>
      <c r="AF591" s="1121"/>
      <c r="AG591" s="1092">
        <f>IF(ISBLANK(X591),0,AQ591*X591+IF(ISNA(W591),1,0))</f>
        <v>0</v>
      </c>
      <c r="AH591" s="1092" t="str">
        <f>IF(X591&lt;=Experience!$R$15+1,"","*")</f>
        <v/>
      </c>
      <c r="AI591" s="1092"/>
      <c r="AJ591" s="1080">
        <f t="shared" si="595"/>
        <v>0</v>
      </c>
      <c r="AK591" s="1080">
        <f t="shared" si="596"/>
        <v>0</v>
      </c>
      <c r="AL591" s="1080">
        <f t="shared" si="597"/>
        <v>0</v>
      </c>
      <c r="AM591" s="1092">
        <f t="shared" si="598"/>
        <v>0</v>
      </c>
      <c r="AN591" s="1080">
        <f t="shared" si="599"/>
        <v>1</v>
      </c>
      <c r="AO591" s="1080">
        <f t="shared" si="600"/>
        <v>0</v>
      </c>
      <c r="AP591" s="1080">
        <f>SUM(AJ591:AN591)-AM591</f>
        <v>1</v>
      </c>
      <c r="AQ591" s="1027">
        <f>VLOOKUP(V591,'System Lookups'!$J$55:$P$64,7)</f>
        <v>800</v>
      </c>
      <c r="AR591" s="1080" t="str">
        <f ca="1">IF(AND(NOT(ISBLANK(AJ591)),ISNA(MATCH(ROW(),'System Lookups'!$C$526:$C$539,0))),"Y","N")</f>
        <v>Y</v>
      </c>
      <c r="AS591" s="1080">
        <f>AG591-AI591</f>
        <v>0</v>
      </c>
      <c r="AU591" s="1080" t="e">
        <f t="shared" si="576"/>
        <v>#N/A</v>
      </c>
      <c r="AV591" s="1080" t="str">
        <f t="shared" si="574"/>
        <v>T</v>
      </c>
      <c r="AW591" s="1080">
        <f t="shared" si="577"/>
        <v>0</v>
      </c>
      <c r="AX591" s="1080">
        <f t="shared" si="578"/>
        <v>0</v>
      </c>
      <c r="AY591" s="1080">
        <f t="shared" si="579"/>
        <v>0</v>
      </c>
      <c r="AZ591" s="1080">
        <f t="shared" si="580"/>
        <v>0</v>
      </c>
      <c r="BA591" s="1080">
        <f t="shared" si="581"/>
        <v>0</v>
      </c>
      <c r="BB591" s="1080">
        <f>IF(AND(RACE=1,'Main Creation Page'!$E$6="Well",OR(ISNUMBER(FIND(Experience!$G$11,BE591)),ISNUMBER(FIND(Experience!$G$11,BF591)),ISNUMBER(FIND(Experience!$I$11,BE591)),ISNUMBER(FIND(Experience!$I$11,BF591)))),1,0)</f>
        <v>1</v>
      </c>
      <c r="BC591" s="1080" t="str">
        <f t="shared" si="590"/>
        <v>Demon Lore</v>
      </c>
      <c r="BE591" s="1080" t="str">
        <f t="shared" si="575"/>
        <v>Lore</v>
      </c>
      <c r="BF591" s="1080" t="str">
        <f t="shared" si="591"/>
        <v>Materia Magica Skills</v>
      </c>
    </row>
    <row r="592" spans="1:58" ht="11.1" hidden="1" customHeight="1" outlineLevel="1">
      <c r="A592" s="1123" t="s">
        <v>2536</v>
      </c>
      <c r="B592" s="1094"/>
      <c r="C592" s="1094"/>
      <c r="D592" s="1094"/>
      <c r="E592" s="1095" t="s">
        <v>5224</v>
      </c>
      <c r="F592" s="1095" t="s">
        <v>5224</v>
      </c>
      <c r="G592" s="1096">
        <v>0</v>
      </c>
      <c r="H592" s="1096" t="s">
        <v>5224</v>
      </c>
      <c r="I592" s="1096" t="s">
        <v>5224</v>
      </c>
      <c r="J592" s="1096" t="s">
        <v>5224</v>
      </c>
      <c r="K592" s="1096" t="s">
        <v>5224</v>
      </c>
      <c r="L592" s="1096">
        <v>0</v>
      </c>
      <c r="M592" s="1096" t="s">
        <v>5224</v>
      </c>
      <c r="N592" s="1096" t="s">
        <v>4631</v>
      </c>
      <c r="O592" s="1028"/>
      <c r="P592" s="1028" t="s">
        <v>3616</v>
      </c>
      <c r="Q592" s="1097">
        <f t="shared" ca="1" si="592"/>
        <v>17</v>
      </c>
      <c r="R592" s="1028"/>
      <c r="S592" s="1028" t="s">
        <v>3614</v>
      </c>
      <c r="T592" s="1097">
        <f t="shared" ca="1" si="593"/>
        <v>15</v>
      </c>
      <c r="U592" s="1027">
        <v>5</v>
      </c>
      <c r="V592" s="1027">
        <f>IF(AP592+U592&gt;10,10,IF(AP592+U592&lt;1,1,AP592+U592))</f>
        <v>6</v>
      </c>
      <c r="W592" s="1098" t="e">
        <f>IF(OR(I592&lt;&gt;"N",E592="C"),IF(AND(N592&lt;&gt;"T",ISNUMBER(FIND("V",I592))),1,0),NA())+IF(H592="Y",IF(AND(N592="P",ISNUMBER(FIND("Z",I592))),2,1),0)+IF(J592="Y",1,0)+IF(K592="Y",3,0)+IF(BE592="Lore",L592*2+Experience!$D$25,0)+IF(M592="Y",1,0)</f>
        <v>#N/A</v>
      </c>
      <c r="X592" s="1099"/>
      <c r="Y592" s="1100">
        <f ca="1">IF(P592="NS",IFERROR(INDIRECT(S592),NA()),VLOOKUP(INDIRECT(P592)+INDIRECT(S592),'System Lookups'!$A$3:$D$146,2))</f>
        <v>0.08</v>
      </c>
      <c r="Z592" s="1100">
        <f>IF(ISNA(W592),0,W592*0.03)+IF(X592&gt;0,X592*0.03,0)+IF(AND(ISNA(W592),X592&lt;=0),0,IF(G592&gt;0,G592*0.07,0))</f>
        <v>0</v>
      </c>
      <c r="AA592" s="1101">
        <f ca="1">IF(ISNA(Y592),0,Y592)+Z592</f>
        <v>0.08</v>
      </c>
      <c r="AB592" s="1102">
        <f>VLOOKUP(V592,'System Lookups'!$J$55:$P$64,3)</f>
        <v>0.05</v>
      </c>
      <c r="AC592" s="1103">
        <f>VLOOKUP(V592,'System Lookups'!$J$55:$P$64,4)</f>
        <v>0.1</v>
      </c>
      <c r="AD592" s="1104">
        <f ca="1">IF(AND(ISBLANK(X592),ISNA(W592)),IF(B592="~",0,AB592+AA592+IF(BB592&gt;0,0.05,0)),AA592+AC592+IF(BB592&gt;0,0.05,0))</f>
        <v>0.18</v>
      </c>
      <c r="AE592" s="1094">
        <f ca="1">(IF(AD592&gt;VLOOKUP(V592,'System Lookups'!$J$55:$P$63,6),(((AD592-VLOOKUP(V592,'System Lookups'!$J$55:$P$63,6))*100)/20),0))+AF592</f>
        <v>0</v>
      </c>
      <c r="AF592" s="1121"/>
      <c r="AG592" s="1092">
        <f>IF(ISBLANK(X592),0,AQ592*X592+IF(ISNA(W592),1,0))</f>
        <v>0</v>
      </c>
      <c r="AH592" s="1092" t="str">
        <f>IF(X592&lt;=Experience!$R$15+1,"","*")</f>
        <v/>
      </c>
      <c r="AI592" s="1092"/>
      <c r="AJ592" s="1080">
        <f t="shared" si="595"/>
        <v>0</v>
      </c>
      <c r="AK592" s="1080">
        <f>IF(F592="s",-2,0)</f>
        <v>0</v>
      </c>
      <c r="AL592" s="1080">
        <f t="shared" si="597"/>
        <v>0</v>
      </c>
      <c r="AM592" s="1092">
        <f>IF(J592="y",1,0)</f>
        <v>0</v>
      </c>
      <c r="AN592" s="1080">
        <f>IF(N592="P",-1,IF(N592="T",1,0))</f>
        <v>1</v>
      </c>
      <c r="AO592" s="1080">
        <f t="shared" si="600"/>
        <v>0</v>
      </c>
      <c r="AP592" s="1080">
        <f>SUM(AJ592:AN592)-AM592</f>
        <v>1</v>
      </c>
      <c r="AQ592" s="1027">
        <f>VLOOKUP(V592,'System Lookups'!$J$55:$P$64,7)</f>
        <v>800</v>
      </c>
      <c r="AR592" s="1080" t="str">
        <f ca="1">IF(AND(NOT(ISBLANK(AJ592)),ISNA(MATCH(ROW(),'System Lookups'!$C$526:$C$539,0))),"Y","N")</f>
        <v>Y</v>
      </c>
      <c r="AS592" s="1080">
        <f>AG592-AI592</f>
        <v>0</v>
      </c>
      <c r="AU592" s="1080" t="e">
        <f t="shared" si="576"/>
        <v>#N/A</v>
      </c>
      <c r="AV592" s="1080" t="str">
        <f t="shared" si="574"/>
        <v>T</v>
      </c>
      <c r="AW592" s="1080">
        <f t="shared" si="577"/>
        <v>0</v>
      </c>
      <c r="AX592" s="1080">
        <f t="shared" si="578"/>
        <v>0</v>
      </c>
      <c r="AY592" s="1080">
        <f t="shared" si="579"/>
        <v>0</v>
      </c>
      <c r="AZ592" s="1080">
        <f t="shared" si="580"/>
        <v>0</v>
      </c>
      <c r="BA592" s="1080">
        <f t="shared" si="581"/>
        <v>0</v>
      </c>
      <c r="BB592" s="1080">
        <f>IF(AND(RACE=1,'Main Creation Page'!$E$6="Well",OR(ISNUMBER(FIND(Experience!$G$11,BE592)),ISNUMBER(FIND(Experience!$G$11,BF592)),ISNUMBER(FIND(Experience!$I$11,BE592)),ISNUMBER(FIND(Experience!$I$11,BF592)))),1,0)</f>
        <v>1</v>
      </c>
      <c r="BC592" s="1080" t="str">
        <f t="shared" si="590"/>
        <v>Empower Objects</v>
      </c>
      <c r="BE592" s="1080" t="str">
        <f t="shared" si="575"/>
        <v>Lore</v>
      </c>
      <c r="BF592" s="1080" t="str">
        <f t="shared" si="591"/>
        <v>Materia Magica Skills</v>
      </c>
    </row>
    <row r="593" spans="1:58" ht="11.1" hidden="1" customHeight="1" outlineLevel="1">
      <c r="A593" s="1136" t="s">
        <v>5103</v>
      </c>
      <c r="B593" s="1034"/>
      <c r="C593" s="1034"/>
      <c r="D593" s="1034"/>
      <c r="AE593" s="1034"/>
      <c r="AF593" s="1132"/>
      <c r="AI593" s="1034"/>
      <c r="AR593" s="1080" t="str">
        <f ca="1">IF(AND(NOT(ISBLANK(AJ593)),ISNA(MATCH(ROW(),'System Lookups'!$C$526:$C$539,0))),"Y","N")</f>
        <v>N</v>
      </c>
      <c r="AU593" s="1080" t="e">
        <f t="shared" si="576"/>
        <v>#N/A</v>
      </c>
      <c r="AV593" s="1080" t="str">
        <f t="shared" si="574"/>
        <v/>
      </c>
      <c r="AW593" s="1080">
        <f t="shared" si="577"/>
        <v>0</v>
      </c>
      <c r="AX593" s="1080">
        <f t="shared" si="578"/>
        <v>0</v>
      </c>
      <c r="AY593" s="1080">
        <f t="shared" si="579"/>
        <v>0</v>
      </c>
      <c r="AZ593" s="1080">
        <f t="shared" si="580"/>
        <v>0</v>
      </c>
      <c r="BA593" s="1080">
        <f t="shared" si="581"/>
        <v>0</v>
      </c>
      <c r="BB593" s="1080">
        <f>IF(AND(RACE=1,'Main Creation Page'!$E$6="Well",OR(ISNUMBER(FIND(Experience!$G$11,BE593)),ISNUMBER(FIND(Experience!$G$11,BF593)),ISNUMBER(FIND(Experience!$I$11,BE593)),ISNUMBER(FIND(Experience!$I$11,BF593)))),1,0)</f>
        <v>1</v>
      </c>
      <c r="BC593" s="1080" t="e">
        <f t="shared" si="590"/>
        <v>#N/A</v>
      </c>
      <c r="BE593" s="1080" t="str">
        <f t="shared" si="575"/>
        <v>Lore</v>
      </c>
      <c r="BF593" s="1080" t="str">
        <f t="shared" si="591"/>
        <v>Materia Magica Skills</v>
      </c>
    </row>
    <row r="594" spans="1:58" ht="11.1" hidden="1" customHeight="1" outlineLevel="2">
      <c r="A594" s="1093" t="s">
        <v>2537</v>
      </c>
      <c r="B594" s="1094"/>
      <c r="C594" s="1094"/>
      <c r="D594" s="1094"/>
      <c r="E594" s="1095" t="s">
        <v>5224</v>
      </c>
      <c r="F594" s="1095" t="s">
        <v>5224</v>
      </c>
      <c r="G594" s="1096">
        <v>0</v>
      </c>
      <c r="H594" s="1096" t="s">
        <v>5224</v>
      </c>
      <c r="I594" s="1096" t="s">
        <v>5224</v>
      </c>
      <c r="J594" s="1096" t="s">
        <v>5224</v>
      </c>
      <c r="K594" s="1096" t="s">
        <v>5224</v>
      </c>
      <c r="L594" s="1096">
        <v>0</v>
      </c>
      <c r="M594" s="1096" t="s">
        <v>5224</v>
      </c>
      <c r="N594" s="1096" t="s">
        <v>4631</v>
      </c>
      <c r="O594" s="1028"/>
      <c r="P594" s="1028" t="s">
        <v>3615</v>
      </c>
      <c r="Q594" s="1097">
        <f t="shared" ref="Q594:Q599" ca="1" si="601">INDIRECT(P594)</f>
        <v>20</v>
      </c>
      <c r="R594" s="1028"/>
      <c r="S594" s="1028" t="s">
        <v>3613</v>
      </c>
      <c r="T594" s="1097">
        <f t="shared" ref="T594:T599" ca="1" si="602">INDIRECT(S594)</f>
        <v>15</v>
      </c>
      <c r="U594" s="1027">
        <v>4</v>
      </c>
      <c r="V594" s="1027">
        <f t="shared" ref="V594:V625" si="603">IF(AP594+U594&gt;10,10,IF(AP594+U594&lt;1,1,AP594+U594))</f>
        <v>5</v>
      </c>
      <c r="W594" s="1098" t="e">
        <f>IF(OR(I594&lt;&gt;"N",E594="C"),IF(AND(N594&lt;&gt;"T",ISNUMBER(FIND("V",I594))),1,0),NA())+IF(H594="Y",IF(AND(N594="P",ISNUMBER(FIND("Z",I594))),2,1),0)+IF(J594="Y",1,0)+IF(K594="Y",3,0)+IF(BE594="Lore",L594*2+Experience!$D$25,0)+IF(M594="Y",1,0)</f>
        <v>#N/A</v>
      </c>
      <c r="X594" s="1099"/>
      <c r="Y594" s="1100">
        <f ca="1">IF(P594="NS",IFERROR(INDIRECT(S594),NA()),VLOOKUP(INDIRECT(P594)+INDIRECT(S594),'System Lookups'!$A$3:$D$146,2))</f>
        <v>0.12</v>
      </c>
      <c r="Z594" s="1100">
        <f t="shared" ref="Z594:Z599" si="604">IF(ISNA(W594),0,W594*0.03)+IF(X594&gt;0,X594*0.03,0)+IF(AND(ISNA(W594),X594&lt;=0),0,IF(G594&gt;0,G594*0.07,0))</f>
        <v>0</v>
      </c>
      <c r="AA594" s="1101">
        <f ca="1">IF(ISNA(Y594),0,Y594)+Z594</f>
        <v>0.12</v>
      </c>
      <c r="AB594" s="1102">
        <f>VLOOKUP(V594,'System Lookups'!$J$55:$P$64,3)</f>
        <v>0.1</v>
      </c>
      <c r="AC594" s="1103">
        <f>VLOOKUP(V594,'System Lookups'!$J$55:$P$64,4)</f>
        <v>0.2</v>
      </c>
      <c r="AD594" s="1104">
        <f t="shared" ref="AD594:AD625" ca="1" si="605">IF(AND(ISBLANK(X594),ISNA(W594)),IF(B594="~",0,AB594+AA594+IF(BB594&gt;0,0.05,0)),AA594+AC594+IF(BB594&gt;0,0.05,0))</f>
        <v>0.27</v>
      </c>
      <c r="AE594" s="1094">
        <f ca="1">(IF(AD594&gt;VLOOKUP(V594,'System Lookups'!$J$55:$P$63,6),(((AD594-VLOOKUP(V594,'System Lookups'!$J$55:$P$63,6))*100)/20),0))+AF594</f>
        <v>0</v>
      </c>
      <c r="AF594" s="1121"/>
      <c r="AG594" s="1092">
        <f t="shared" ref="AG594:AG625" si="606">IF(ISBLANK(X594),0,AQ594*X594+IF(ISNA(W594),1,0))</f>
        <v>0</v>
      </c>
      <c r="AH594" s="1092" t="str">
        <f>IF(X594&lt;=Experience!$R$15+1,"","*")</f>
        <v/>
      </c>
      <c r="AI594" s="1092"/>
      <c r="AJ594" s="1080">
        <f t="shared" ref="AJ594:AJ657" si="607">IF(ISNUMBER(FIND("R",F594)),-1,0)</f>
        <v>0</v>
      </c>
      <c r="AK594" s="1080">
        <f>IF(F594="s",-2,0)</f>
        <v>0</v>
      </c>
      <c r="AL594" s="1080">
        <f t="shared" ref="AL594:AL657" si="608">IF(AND(H594="Y",OR(N594="P",N594="S")),-1,0)</f>
        <v>0</v>
      </c>
      <c r="AM594" s="1092">
        <f>IF(J594="y",1,0)</f>
        <v>0</v>
      </c>
      <c r="AN594" s="1080">
        <f>IF(N594="P",-1,IF(N594="T",1,0))</f>
        <v>1</v>
      </c>
      <c r="AO594" s="1080">
        <f t="shared" ref="AO594:AO657" si="609">IF(ISNUMBER(FIND("Z",I594)),1,0)</f>
        <v>0</v>
      </c>
      <c r="AP594" s="1080">
        <f t="shared" ref="AP594:AP625" si="610">SUM(AJ594:AN594)-AM594</f>
        <v>1</v>
      </c>
      <c r="AQ594" s="1027">
        <f>VLOOKUP(V594,'System Lookups'!$J$55:$P$64,7)</f>
        <v>700</v>
      </c>
      <c r="AR594" s="1080" t="str">
        <f ca="1">IF(AND(NOT(ISBLANK(AJ594)),ISNA(MATCH(ROW(),'System Lookups'!$C$526:$C$539,0))),"Y","N")</f>
        <v>Y</v>
      </c>
      <c r="AS594" s="1080">
        <f t="shared" ref="AS594:AS625" si="611">AG594-AI594</f>
        <v>0</v>
      </c>
      <c r="AU594" s="1080" t="e">
        <f t="shared" si="576"/>
        <v>#N/A</v>
      </c>
      <c r="AV594" s="1080" t="str">
        <f t="shared" si="574"/>
        <v>T</v>
      </c>
      <c r="AW594" s="1080">
        <f t="shared" si="577"/>
        <v>0</v>
      </c>
      <c r="AX594" s="1080">
        <f t="shared" si="578"/>
        <v>0</v>
      </c>
      <c r="AY594" s="1080">
        <f t="shared" si="579"/>
        <v>0</v>
      </c>
      <c r="AZ594" s="1080">
        <f t="shared" si="580"/>
        <v>0</v>
      </c>
      <c r="BA594" s="1080">
        <f t="shared" si="581"/>
        <v>0</v>
      </c>
      <c r="BB594" s="1080">
        <f>IF(AND(RACE=1,'Main Creation Page'!$E$6="Well",OR(ISNUMBER(FIND(Experience!$G$11,BE594)),ISNUMBER(FIND(Experience!$G$11,BF594)),ISNUMBER(FIND(Experience!$I$11,BE594)),ISNUMBER(FIND(Experience!$I$11,BF594)))),1,0)</f>
        <v>1</v>
      </c>
      <c r="BC594" s="1080" t="str">
        <f t="shared" si="590"/>
        <v>Enchant Metals</v>
      </c>
      <c r="BD594" s="1080" t="s">
        <v>6182</v>
      </c>
      <c r="BE594" s="1080" t="str">
        <f t="shared" si="575"/>
        <v>Lore</v>
      </c>
      <c r="BF594" s="1080" t="str">
        <f t="shared" si="591"/>
        <v>Materia Magica Skills</v>
      </c>
    </row>
    <row r="595" spans="1:58" ht="11.1" hidden="1" customHeight="1" outlineLevel="2">
      <c r="A595" s="1093" t="s">
        <v>2538</v>
      </c>
      <c r="B595" s="1094"/>
      <c r="C595" s="1094"/>
      <c r="D595" s="1094"/>
      <c r="E595" s="1095" t="s">
        <v>5224</v>
      </c>
      <c r="F595" s="1095" t="s">
        <v>5224</v>
      </c>
      <c r="G595" s="1096">
        <v>0</v>
      </c>
      <c r="H595" s="1096" t="s">
        <v>5224</v>
      </c>
      <c r="I595" s="1096" t="s">
        <v>5224</v>
      </c>
      <c r="J595" s="1096" t="s">
        <v>5224</v>
      </c>
      <c r="K595" s="1096" t="s">
        <v>5224</v>
      </c>
      <c r="L595" s="1096">
        <v>0</v>
      </c>
      <c r="M595" s="1096" t="s">
        <v>5224</v>
      </c>
      <c r="N595" s="1096" t="s">
        <v>4631</v>
      </c>
      <c r="O595" s="1028"/>
      <c r="P595" s="1028" t="s">
        <v>3615</v>
      </c>
      <c r="Q595" s="1097">
        <f t="shared" ca="1" si="601"/>
        <v>20</v>
      </c>
      <c r="R595" s="1028"/>
      <c r="S595" s="1028" t="s">
        <v>3613</v>
      </c>
      <c r="T595" s="1097">
        <f t="shared" ca="1" si="602"/>
        <v>15</v>
      </c>
      <c r="U595" s="1027">
        <v>4</v>
      </c>
      <c r="V595" s="1027">
        <f t="shared" si="603"/>
        <v>5</v>
      </c>
      <c r="W595" s="1098" t="e">
        <f>IF(OR(I595&lt;&gt;"N",E595="C"),IF(AND(N595&lt;&gt;"T",ISNUMBER(FIND("V",I595))),1,0),NA())+IF(H595="Y",IF(AND(N595="P",ISNUMBER(FIND("Z",I595))),2,1),0)+IF(J595="Y",1,0)+IF(K595="Y",3,0)+IF(BE595="Lore",L595*2+Experience!$D$25,0)+IF(M595="Y",1,0)</f>
        <v>#N/A</v>
      </c>
      <c r="X595" s="1099"/>
      <c r="Y595" s="1100">
        <f ca="1">IF(P595="NS",IFERROR(INDIRECT(S595),NA()),VLOOKUP(INDIRECT(P595)+INDIRECT(S595),'System Lookups'!$A$3:$D$146,2))</f>
        <v>0.12</v>
      </c>
      <c r="Z595" s="1100">
        <f t="shared" si="604"/>
        <v>0</v>
      </c>
      <c r="AA595" s="1101">
        <f ca="1">IF(ISNA(Y595),0,Y595)+Z595</f>
        <v>0.12</v>
      </c>
      <c r="AB595" s="1102">
        <f>VLOOKUP(V595,'System Lookups'!$J$55:$P$64,3)</f>
        <v>0.1</v>
      </c>
      <c r="AC595" s="1103">
        <f>VLOOKUP(V595,'System Lookups'!$J$55:$P$64,4)</f>
        <v>0.2</v>
      </c>
      <c r="AD595" s="1104">
        <f t="shared" ca="1" si="605"/>
        <v>0.27</v>
      </c>
      <c r="AE595" s="1094">
        <f ca="1">(IF(AD595&gt;VLOOKUP(V595,'System Lookups'!$J$55:$P$63,6),(((AD595-VLOOKUP(V595,'System Lookups'!$J$55:$P$63,6))*100)/20),0))+AF595</f>
        <v>0</v>
      </c>
      <c r="AF595" s="1121"/>
      <c r="AG595" s="1092">
        <f t="shared" si="606"/>
        <v>0</v>
      </c>
      <c r="AH595" s="1092" t="str">
        <f>IF(X595&lt;=Experience!$R$15+1,"","*")</f>
        <v/>
      </c>
      <c r="AI595" s="1092"/>
      <c r="AJ595" s="1080">
        <f t="shared" si="607"/>
        <v>0</v>
      </c>
      <c r="AK595" s="1080">
        <f>IF(F595="s",-2,0)</f>
        <v>0</v>
      </c>
      <c r="AL595" s="1080">
        <f t="shared" si="608"/>
        <v>0</v>
      </c>
      <c r="AM595" s="1092">
        <f>IF(J595="y",1,0)</f>
        <v>0</v>
      </c>
      <c r="AN595" s="1080">
        <f>IF(N595="P",-1,IF(N595="T",1,0))</f>
        <v>1</v>
      </c>
      <c r="AO595" s="1080">
        <f t="shared" si="609"/>
        <v>0</v>
      </c>
      <c r="AP595" s="1080">
        <f t="shared" si="610"/>
        <v>1</v>
      </c>
      <c r="AQ595" s="1027">
        <f>VLOOKUP(V595,'System Lookups'!$J$55:$P$64,7)</f>
        <v>700</v>
      </c>
      <c r="AR595" s="1080" t="str">
        <f ca="1">IF(AND(NOT(ISBLANK(AJ595)),ISNA(MATCH(ROW(),'System Lookups'!$C$526:$C$539,0))),"Y","N")</f>
        <v>Y</v>
      </c>
      <c r="AS595" s="1080">
        <f t="shared" si="611"/>
        <v>0</v>
      </c>
      <c r="AU595" s="1080" t="e">
        <f t="shared" si="576"/>
        <v>#N/A</v>
      </c>
      <c r="AV595" s="1080" t="str">
        <f t="shared" si="574"/>
        <v>T</v>
      </c>
      <c r="AW595" s="1080">
        <f t="shared" si="577"/>
        <v>0</v>
      </c>
      <c r="AX595" s="1080">
        <f t="shared" si="578"/>
        <v>0</v>
      </c>
      <c r="AY595" s="1080">
        <f t="shared" si="579"/>
        <v>0</v>
      </c>
      <c r="AZ595" s="1080">
        <f t="shared" si="580"/>
        <v>0</v>
      </c>
      <c r="BA595" s="1080">
        <f t="shared" si="581"/>
        <v>0</v>
      </c>
      <c r="BB595" s="1080">
        <f>IF(AND(RACE=1,'Main Creation Page'!$E$6="Well",OR(ISNUMBER(FIND(Experience!$G$11,BE595)),ISNUMBER(FIND(Experience!$G$11,BF595)),ISNUMBER(FIND(Experience!$I$11,BE595)),ISNUMBER(FIND(Experience!$I$11,BF595)))),1,0)</f>
        <v>1</v>
      </c>
      <c r="BC595" s="1080" t="str">
        <f t="shared" si="590"/>
        <v>Enchant Plants</v>
      </c>
      <c r="BD595" s="1080" t="s">
        <v>6182</v>
      </c>
      <c r="BE595" s="1080" t="str">
        <f t="shared" si="575"/>
        <v>Lore</v>
      </c>
      <c r="BF595" s="1080" t="str">
        <f t="shared" si="591"/>
        <v>Materia Magica Skills</v>
      </c>
    </row>
    <row r="596" spans="1:58" ht="11.1" hidden="1" customHeight="1" outlineLevel="2">
      <c r="A596" s="1093" t="s">
        <v>2539</v>
      </c>
      <c r="B596" s="1094"/>
      <c r="C596" s="1094"/>
      <c r="D596" s="1094"/>
      <c r="E596" s="1095" t="s">
        <v>5224</v>
      </c>
      <c r="F596" s="1095" t="s">
        <v>5224</v>
      </c>
      <c r="G596" s="1096">
        <v>0</v>
      </c>
      <c r="H596" s="1096" t="s">
        <v>5224</v>
      </c>
      <c r="I596" s="1096" t="s">
        <v>5224</v>
      </c>
      <c r="J596" s="1096" t="s">
        <v>5224</v>
      </c>
      <c r="K596" s="1096" t="s">
        <v>5224</v>
      </c>
      <c r="L596" s="1096">
        <v>0</v>
      </c>
      <c r="M596" s="1096" t="s">
        <v>5224</v>
      </c>
      <c r="N596" s="1096" t="s">
        <v>4631</v>
      </c>
      <c r="O596" s="1028"/>
      <c r="P596" s="1028" t="s">
        <v>3615</v>
      </c>
      <c r="Q596" s="1097">
        <f t="shared" ca="1" si="601"/>
        <v>20</v>
      </c>
      <c r="R596" s="1028"/>
      <c r="S596" s="1028" t="s">
        <v>3613</v>
      </c>
      <c r="T596" s="1097">
        <f t="shared" ca="1" si="602"/>
        <v>15</v>
      </c>
      <c r="U596" s="1027">
        <v>4</v>
      </c>
      <c r="V596" s="1027">
        <f t="shared" si="603"/>
        <v>5</v>
      </c>
      <c r="W596" s="1098" t="e">
        <f>IF(OR(I596&lt;&gt;"N",E596="C"),IF(AND(N596&lt;&gt;"T",ISNUMBER(FIND("V",I596))),1,0),NA())+IF(H596="Y",IF(AND(N596="P",ISNUMBER(FIND("Z",I596))),2,1),0)+IF(J596="Y",1,0)+IF(K596="Y",3,0)+IF(BE596="Lore",L596*2+Experience!$D$25,0)+IF(M596="Y",1,0)</f>
        <v>#N/A</v>
      </c>
      <c r="X596" s="1099"/>
      <c r="Y596" s="1100">
        <f ca="1">IF(P596="NS",IFERROR(INDIRECT(S596),NA()),VLOOKUP(INDIRECT(P596)+INDIRECT(S596),'System Lookups'!$A$3:$D$146,2))</f>
        <v>0.12</v>
      </c>
      <c r="Z596" s="1100">
        <f t="shared" si="604"/>
        <v>0</v>
      </c>
      <c r="AA596" s="1101">
        <f ca="1">IF(ISNA(Y596),0,Y596)+Z596</f>
        <v>0.12</v>
      </c>
      <c r="AB596" s="1102">
        <f>VLOOKUP(V596,'System Lookups'!$J$55:$P$64,3)</f>
        <v>0.1</v>
      </c>
      <c r="AC596" s="1103">
        <f>VLOOKUP(V596,'System Lookups'!$J$55:$P$64,4)</f>
        <v>0.2</v>
      </c>
      <c r="AD596" s="1104">
        <f t="shared" ca="1" si="605"/>
        <v>0.27</v>
      </c>
      <c r="AE596" s="1094">
        <f ca="1">(IF(AD596&gt;VLOOKUP(V596,'System Lookups'!$J$55:$P$63,6),(((AD596-VLOOKUP(V596,'System Lookups'!$J$55:$P$63,6))*100)/20),0))+AF596</f>
        <v>0</v>
      </c>
      <c r="AF596" s="1121"/>
      <c r="AG596" s="1092">
        <f t="shared" si="606"/>
        <v>0</v>
      </c>
      <c r="AH596" s="1092" t="str">
        <f>IF(X596&lt;=Experience!$R$15+1,"","*")</f>
        <v/>
      </c>
      <c r="AI596" s="1092"/>
      <c r="AJ596" s="1080">
        <f t="shared" si="607"/>
        <v>0</v>
      </c>
      <c r="AK596" s="1080">
        <f>IF(F596="s",-2,0)</f>
        <v>0</v>
      </c>
      <c r="AL596" s="1080">
        <f t="shared" si="608"/>
        <v>0</v>
      </c>
      <c r="AM596" s="1092">
        <f>IF(J596="y",1,0)</f>
        <v>0</v>
      </c>
      <c r="AN596" s="1080">
        <f>IF(N596="P",-1,IF(N596="T",1,0))</f>
        <v>1</v>
      </c>
      <c r="AO596" s="1080">
        <f t="shared" si="609"/>
        <v>0</v>
      </c>
      <c r="AP596" s="1080">
        <f t="shared" si="610"/>
        <v>1</v>
      </c>
      <c r="AQ596" s="1027">
        <f>VLOOKUP(V596,'System Lookups'!$J$55:$P$64,7)</f>
        <v>700</v>
      </c>
      <c r="AR596" s="1080" t="str">
        <f ca="1">IF(AND(NOT(ISBLANK(AJ596)),ISNA(MATCH(ROW(),'System Lookups'!$C$526:$C$539,0))),"Y","N")</f>
        <v>Y</v>
      </c>
      <c r="AS596" s="1080">
        <f t="shared" si="611"/>
        <v>0</v>
      </c>
      <c r="AU596" s="1080" t="e">
        <f t="shared" si="576"/>
        <v>#N/A</v>
      </c>
      <c r="AV596" s="1080" t="str">
        <f t="shared" si="574"/>
        <v>T</v>
      </c>
      <c r="AW596" s="1080">
        <f t="shared" si="577"/>
        <v>0</v>
      </c>
      <c r="AX596" s="1080">
        <f t="shared" si="578"/>
        <v>0</v>
      </c>
      <c r="AY596" s="1080">
        <f t="shared" si="579"/>
        <v>0</v>
      </c>
      <c r="AZ596" s="1080">
        <f t="shared" si="580"/>
        <v>0</v>
      </c>
      <c r="BA596" s="1080">
        <f t="shared" si="581"/>
        <v>0</v>
      </c>
      <c r="BB596" s="1080">
        <f>IF(AND(RACE=1,'Main Creation Page'!$E$6="Well",OR(ISNUMBER(FIND(Experience!$G$11,BE596)),ISNUMBER(FIND(Experience!$G$11,BF596)),ISNUMBER(FIND(Experience!$I$11,BE596)),ISNUMBER(FIND(Experience!$I$11,BF596)))),1,0)</f>
        <v>1</v>
      </c>
      <c r="BC596" s="1080" t="str">
        <f t="shared" si="590"/>
        <v>Enchant Stones</v>
      </c>
      <c r="BD596" s="1080" t="s">
        <v>6182</v>
      </c>
      <c r="BE596" s="1080" t="str">
        <f t="shared" si="575"/>
        <v>Lore</v>
      </c>
      <c r="BF596" s="1080" t="str">
        <f t="shared" si="591"/>
        <v>Materia Magica Skills</v>
      </c>
    </row>
    <row r="597" spans="1:58" ht="11.1" hidden="1" customHeight="1" outlineLevel="1">
      <c r="A597" s="1117" t="s">
        <v>397</v>
      </c>
      <c r="B597" s="1094" t="s">
        <v>1942</v>
      </c>
      <c r="C597" s="1094"/>
      <c r="D597" s="1094"/>
      <c r="E597" s="1095" t="s">
        <v>5224</v>
      </c>
      <c r="F597" s="1147" t="str">
        <f>IF('Main Creation Page'!$C$3=2,IF('Main Creation Page'!E26="True Elf","R","N"),"N")</f>
        <v>N</v>
      </c>
      <c r="G597" s="1096">
        <v>0</v>
      </c>
      <c r="H597" s="1096" t="s">
        <v>5224</v>
      </c>
      <c r="I597" s="1096" t="s">
        <v>5224</v>
      </c>
      <c r="J597" s="1096" t="s">
        <v>5224</v>
      </c>
      <c r="K597" s="1096" t="s">
        <v>5224</v>
      </c>
      <c r="L597" s="1096">
        <v>0</v>
      </c>
      <c r="M597" s="1096" t="s">
        <v>5224</v>
      </c>
      <c r="N597" s="1096" t="s">
        <v>4631</v>
      </c>
      <c r="O597" s="1028"/>
      <c r="P597" s="1028" t="s">
        <v>780</v>
      </c>
      <c r="Q597" s="1097">
        <f t="shared" ca="1" si="601"/>
        <v>17</v>
      </c>
      <c r="R597" s="1034"/>
      <c r="S597" s="1028" t="s">
        <v>780</v>
      </c>
      <c r="T597" s="1097">
        <f t="shared" ca="1" si="602"/>
        <v>17</v>
      </c>
      <c r="U597" s="1027">
        <v>3</v>
      </c>
      <c r="V597" s="1027">
        <f t="shared" si="603"/>
        <v>4</v>
      </c>
      <c r="W597" s="1098" t="e">
        <f>IF(OR(I597&lt;&gt;"N",E597="C"),IF(AND(N597&lt;&gt;"T",ISNUMBER(FIND("V",I597))),1,0),NA())+IF(H597="Y",IF(AND(N597="P",ISNUMBER(FIND("Z",I597))),2,1),0)+IF(J597="Y",1,0)+IF(K597="Y",3,0)+IF(BE597="Lore",L597*2+Experience!$D$25,0)+IF(M597="Y",1,0)</f>
        <v>#N/A</v>
      </c>
      <c r="X597" s="1099"/>
      <c r="Y597" s="1100">
        <f ca="1">IF(P597="NS",IFERROR(INDIRECT(S597),NA()),VLOOKUP(INDIRECT(P597)+INDIRECT(S597),'System Lookups'!$A$3:$D$146,2))</f>
        <v>0.1</v>
      </c>
      <c r="Z597" s="1100">
        <f t="shared" si="604"/>
        <v>0</v>
      </c>
      <c r="AA597" s="1101">
        <f t="shared" ca="1" si="594"/>
        <v>0.1</v>
      </c>
      <c r="AB597" s="1102">
        <f>VLOOKUP(V597,'System Lookups'!$J$55:$P$64,3)</f>
        <v>0.2</v>
      </c>
      <c r="AC597" s="1103">
        <f>VLOOKUP(V597,'System Lookups'!$J$55:$P$64,4)</f>
        <v>0.3</v>
      </c>
      <c r="AD597" s="1104">
        <f t="shared" si="605"/>
        <v>0</v>
      </c>
      <c r="AE597" s="1094">
        <f>(IF(AD597&gt;VLOOKUP(V597,'System Lookups'!$J$55:$P$63,6),(((AD597-VLOOKUP(V597,'System Lookups'!$J$55:$P$63,6))*100)/20),0))+AF597</f>
        <v>0</v>
      </c>
      <c r="AF597" s="1121"/>
      <c r="AG597" s="1092">
        <f t="shared" si="606"/>
        <v>0</v>
      </c>
      <c r="AH597" s="1092" t="str">
        <f>IF(X597&lt;=Experience!$R$15+1,"","*")</f>
        <v/>
      </c>
      <c r="AI597" s="1092"/>
      <c r="AJ597" s="1080">
        <f t="shared" si="607"/>
        <v>0</v>
      </c>
      <c r="AK597" s="1080">
        <f t="shared" si="596"/>
        <v>0</v>
      </c>
      <c r="AL597" s="1080">
        <f t="shared" si="608"/>
        <v>0</v>
      </c>
      <c r="AM597" s="1092">
        <f t="shared" si="598"/>
        <v>0</v>
      </c>
      <c r="AN597" s="1080">
        <f t="shared" si="599"/>
        <v>1</v>
      </c>
      <c r="AO597" s="1080">
        <f t="shared" si="609"/>
        <v>0</v>
      </c>
      <c r="AP597" s="1080">
        <f t="shared" si="610"/>
        <v>1</v>
      </c>
      <c r="AQ597" s="1027">
        <f>VLOOKUP(V597,'System Lookups'!$J$55:$P$64,7)</f>
        <v>600</v>
      </c>
      <c r="AR597" s="1080" t="str">
        <f ca="1">IF(AND(NOT(ISBLANK(AJ597)),ISNA(MATCH(ROW(),'System Lookups'!$C$526:$C$539,0))),"Y","N")</f>
        <v>Y</v>
      </c>
      <c r="AS597" s="1080">
        <f t="shared" si="611"/>
        <v>0</v>
      </c>
      <c r="AU597" s="1080" t="e">
        <f t="shared" si="576"/>
        <v>#N/A</v>
      </c>
      <c r="AV597" s="1080" t="str">
        <f t="shared" si="574"/>
        <v>T</v>
      </c>
      <c r="AW597" s="1080">
        <f t="shared" si="577"/>
        <v>0</v>
      </c>
      <c r="AX597" s="1080">
        <f t="shared" si="578"/>
        <v>0</v>
      </c>
      <c r="AY597" s="1080">
        <f t="shared" si="579"/>
        <v>0</v>
      </c>
      <c r="AZ597" s="1080">
        <f t="shared" si="580"/>
        <v>0</v>
      </c>
      <c r="BA597" s="1080">
        <f t="shared" si="581"/>
        <v>0</v>
      </c>
      <c r="BB597" s="1080">
        <f>IF(AND(RACE=1,'Main Creation Page'!$E$6="Well",OR(ISNUMBER(FIND(Experience!$G$11,BE597)),ISNUMBER(FIND(Experience!$G$11,BF597)),ISNUMBER(FIND(Experience!$I$11,BE597)),ISNUMBER(FIND(Experience!$I$11,BF597)))),1,0)</f>
        <v>1</v>
      </c>
      <c r="BC597" s="1080" t="str">
        <f t="shared" si="590"/>
        <v>Faerie Lore</v>
      </c>
      <c r="BE597" s="1080" t="str">
        <f t="shared" si="575"/>
        <v>Lore</v>
      </c>
      <c r="BF597" s="1080" t="str">
        <f t="shared" si="591"/>
        <v>Materia Magica Skills</v>
      </c>
    </row>
    <row r="598" spans="1:58" ht="11.1" hidden="1" customHeight="1" outlineLevel="1">
      <c r="A598" s="1123" t="s">
        <v>2540</v>
      </c>
      <c r="B598" s="1094" t="s">
        <v>1942</v>
      </c>
      <c r="C598" s="1094"/>
      <c r="D598" s="1094"/>
      <c r="E598" s="1095" t="s">
        <v>5224</v>
      </c>
      <c r="F598" s="1147" t="str">
        <f>IF('Main Creation Page'!$C$3=2,IF('Main Creation Page'!E27="True Elf","R","N"),"N")</f>
        <v>N</v>
      </c>
      <c r="G598" s="1096">
        <v>0</v>
      </c>
      <c r="H598" s="1096" t="s">
        <v>5224</v>
      </c>
      <c r="I598" s="1096" t="s">
        <v>5224</v>
      </c>
      <c r="J598" s="1096" t="s">
        <v>5224</v>
      </c>
      <c r="K598" s="1096" t="s">
        <v>5224</v>
      </c>
      <c r="L598" s="1096">
        <v>0</v>
      </c>
      <c r="M598" s="1096" t="s">
        <v>5224</v>
      </c>
      <c r="N598" s="1096" t="s">
        <v>4631</v>
      </c>
      <c r="O598" s="1028"/>
      <c r="P598" s="1028" t="s">
        <v>3616</v>
      </c>
      <c r="Q598" s="1097">
        <f t="shared" ca="1" si="601"/>
        <v>17</v>
      </c>
      <c r="R598" s="1028"/>
      <c r="S598" s="1028" t="s">
        <v>3614</v>
      </c>
      <c r="T598" s="1097">
        <f t="shared" ca="1" si="602"/>
        <v>15</v>
      </c>
      <c r="U598" s="1027">
        <v>5</v>
      </c>
      <c r="V598" s="1027">
        <f t="shared" si="603"/>
        <v>6</v>
      </c>
      <c r="W598" s="1098" t="e">
        <f>IF(OR(I598&lt;&gt;"N",E598="C"),IF(AND(N598&lt;&gt;"T",ISNUMBER(FIND("V",I598))),1,0),NA())+IF(H598="Y",IF(AND(N598="P",ISNUMBER(FIND("Z",I598))),2,1),0)+IF(J598="Y",1,0)+IF(K598="Y",3,0)+IF(BE598="Lore",L598*2+Experience!$D$25,0)+IF(M598="Y",1,0)</f>
        <v>#N/A</v>
      </c>
      <c r="X598" s="1099"/>
      <c r="Y598" s="1100">
        <f ca="1">IF(P598="NS",IFERROR(INDIRECT(S598),NA()),VLOOKUP(INDIRECT(P598)+INDIRECT(S598),'System Lookups'!$A$3:$D$146,2))</f>
        <v>0.08</v>
      </c>
      <c r="Z598" s="1100">
        <f t="shared" si="604"/>
        <v>0</v>
      </c>
      <c r="AA598" s="1101">
        <f ca="1">IF(ISNA(Y598),0,Y598)+Z598</f>
        <v>0.08</v>
      </c>
      <c r="AB598" s="1102">
        <f>VLOOKUP(V598,'System Lookups'!$J$55:$P$64,3)</f>
        <v>0.05</v>
      </c>
      <c r="AC598" s="1103">
        <f>VLOOKUP(V598,'System Lookups'!$J$55:$P$64,4)</f>
        <v>0.1</v>
      </c>
      <c r="AD598" s="1104">
        <f t="shared" si="605"/>
        <v>0</v>
      </c>
      <c r="AE598" s="1094">
        <f>(IF(AD598&gt;VLOOKUP(V598,'System Lookups'!$J$55:$P$63,6),(((AD598-VLOOKUP(V598,'System Lookups'!$J$55:$P$63,6))*100)/20),0))+AF598</f>
        <v>0</v>
      </c>
      <c r="AF598" s="1121"/>
      <c r="AG598" s="1092">
        <f t="shared" si="606"/>
        <v>0</v>
      </c>
      <c r="AH598" s="1092" t="str">
        <f>IF(X598&lt;=Experience!$R$15+1,"","*")</f>
        <v/>
      </c>
      <c r="AI598" s="1092"/>
      <c r="AJ598" s="1080">
        <f t="shared" si="607"/>
        <v>0</v>
      </c>
      <c r="AK598" s="1080">
        <f>IF(F598="s",-2,0)</f>
        <v>0</v>
      </c>
      <c r="AL598" s="1080">
        <f t="shared" si="608"/>
        <v>0</v>
      </c>
      <c r="AM598" s="1092">
        <f>IF(J598="y",1,0)</f>
        <v>0</v>
      </c>
      <c r="AN598" s="1080">
        <f>IF(N598="P",-1,IF(N598="T",1,0))</f>
        <v>1</v>
      </c>
      <c r="AO598" s="1080">
        <f t="shared" si="609"/>
        <v>0</v>
      </c>
      <c r="AP598" s="1080">
        <f t="shared" si="610"/>
        <v>1</v>
      </c>
      <c r="AQ598" s="1027">
        <f>VLOOKUP(V598,'System Lookups'!$J$55:$P$64,7)</f>
        <v>800</v>
      </c>
      <c r="AR598" s="1080" t="str">
        <f ca="1">IF(AND(NOT(ISBLANK(AJ598)),ISNA(MATCH(ROW(),'System Lookups'!$C$526:$C$539,0))),"Y","N")</f>
        <v>Y</v>
      </c>
      <c r="AS598" s="1080">
        <f t="shared" si="611"/>
        <v>0</v>
      </c>
      <c r="AU598" s="1080" t="e">
        <f t="shared" si="576"/>
        <v>#N/A</v>
      </c>
      <c r="AV598" s="1080" t="str">
        <f t="shared" si="574"/>
        <v>T</v>
      </c>
      <c r="AW598" s="1080">
        <f t="shared" si="577"/>
        <v>0</v>
      </c>
      <c r="AX598" s="1080">
        <f t="shared" si="578"/>
        <v>0</v>
      </c>
      <c r="AY598" s="1080">
        <f t="shared" si="579"/>
        <v>0</v>
      </c>
      <c r="AZ598" s="1080">
        <f t="shared" si="580"/>
        <v>0</v>
      </c>
      <c r="BA598" s="1080">
        <f t="shared" si="581"/>
        <v>0</v>
      </c>
      <c r="BB598" s="1080">
        <f>IF(AND(RACE=1,'Main Creation Page'!$E$6="Well",OR(ISNUMBER(FIND(Experience!$G$11,BE598)),ISNUMBER(FIND(Experience!$G$11,BF598)),ISNUMBER(FIND(Experience!$I$11,BE598)),ISNUMBER(FIND(Experience!$I$11,BF598)))),1,0)</f>
        <v>1</v>
      </c>
      <c r="BC598" s="1080" t="str">
        <f t="shared" si="590"/>
        <v>Greater Combination</v>
      </c>
      <c r="BE598" s="1080" t="str">
        <f t="shared" si="575"/>
        <v>Lore</v>
      </c>
      <c r="BF598" s="1080" t="str">
        <f t="shared" si="591"/>
        <v>Materia Magica Skills</v>
      </c>
    </row>
    <row r="599" spans="1:58" ht="11.1" hidden="1" customHeight="1" outlineLevel="1">
      <c r="A599" s="1117" t="s">
        <v>4813</v>
      </c>
      <c r="B599" s="1094" t="s">
        <v>1942</v>
      </c>
      <c r="C599" s="1094"/>
      <c r="D599" s="1094"/>
      <c r="E599" s="1095" t="s">
        <v>5224</v>
      </c>
      <c r="F599" s="1095" t="s">
        <v>5224</v>
      </c>
      <c r="G599" s="1096">
        <v>0</v>
      </c>
      <c r="H599" s="1096" t="s">
        <v>5224</v>
      </c>
      <c r="I599" s="1096" t="s">
        <v>5224</v>
      </c>
      <c r="J599" s="1096" t="s">
        <v>5224</v>
      </c>
      <c r="K599" s="1096" t="s">
        <v>5224</v>
      </c>
      <c r="L599" s="1096">
        <v>0</v>
      </c>
      <c r="M599" s="1096" t="s">
        <v>5224</v>
      </c>
      <c r="N599" s="1096" t="s">
        <v>4631</v>
      </c>
      <c r="O599" s="1028"/>
      <c r="P599" s="1028" t="s">
        <v>3616</v>
      </c>
      <c r="Q599" s="1097">
        <f t="shared" ca="1" si="601"/>
        <v>17</v>
      </c>
      <c r="R599" s="1028"/>
      <c r="S599" s="1028" t="s">
        <v>3613</v>
      </c>
      <c r="T599" s="1097">
        <f t="shared" ca="1" si="602"/>
        <v>15</v>
      </c>
      <c r="U599" s="1027">
        <v>5</v>
      </c>
      <c r="V599" s="1027">
        <f t="shared" si="603"/>
        <v>6</v>
      </c>
      <c r="W599" s="1098" t="e">
        <f>IF(OR(I599&lt;&gt;"N",E599="C"),IF(AND(N599&lt;&gt;"T",ISNUMBER(FIND("V",I599))),1,0),NA())+IF(H599="Y",IF(AND(N599="P",ISNUMBER(FIND("Z",I599))),2,1),0)+IF(J599="Y",1,0)+IF(K599="Y",3,0)+IF(BE599="Lore",L599*2+Experience!$D$25,0)+IF(M599="Y",1,0)</f>
        <v>#N/A</v>
      </c>
      <c r="X599" s="1099"/>
      <c r="Y599" s="1100">
        <f ca="1">IF(P599="NS",IFERROR(INDIRECT(S599),NA()),VLOOKUP(INDIRECT(P599)+INDIRECT(S599),'System Lookups'!$A$3:$D$146,2))</f>
        <v>0.08</v>
      </c>
      <c r="Z599" s="1100">
        <f t="shared" si="604"/>
        <v>0</v>
      </c>
      <c r="AA599" s="1101">
        <f t="shared" ca="1" si="594"/>
        <v>0.08</v>
      </c>
      <c r="AB599" s="1102">
        <f>VLOOKUP(V599,'System Lookups'!$J$55:$P$64,3)</f>
        <v>0.05</v>
      </c>
      <c r="AC599" s="1103">
        <f>VLOOKUP(V599,'System Lookups'!$J$55:$P$64,4)</f>
        <v>0.1</v>
      </c>
      <c r="AD599" s="1104">
        <f t="shared" si="605"/>
        <v>0</v>
      </c>
      <c r="AE599" s="1094">
        <f>(IF(AD599&gt;VLOOKUP(V599,'System Lookups'!$J$55:$P$63,6),(((AD599-VLOOKUP(V599,'System Lookups'!$J$55:$P$63,6))*100)/20),0))+AF599</f>
        <v>0</v>
      </c>
      <c r="AF599" s="1121"/>
      <c r="AG599" s="1092">
        <f t="shared" si="606"/>
        <v>0</v>
      </c>
      <c r="AH599" s="1092" t="str">
        <f>IF(X599&lt;=Experience!$R$15+1,"","*")</f>
        <v/>
      </c>
      <c r="AI599" s="1092"/>
      <c r="AJ599" s="1080">
        <f t="shared" si="607"/>
        <v>0</v>
      </c>
      <c r="AK599" s="1080">
        <f t="shared" si="596"/>
        <v>0</v>
      </c>
      <c r="AL599" s="1080">
        <f t="shared" si="608"/>
        <v>0</v>
      </c>
      <c r="AM599" s="1092">
        <f t="shared" si="598"/>
        <v>0</v>
      </c>
      <c r="AN599" s="1080">
        <f t="shared" si="599"/>
        <v>1</v>
      </c>
      <c r="AO599" s="1080">
        <f t="shared" si="609"/>
        <v>0</v>
      </c>
      <c r="AP599" s="1080">
        <f t="shared" si="610"/>
        <v>1</v>
      </c>
      <c r="AQ599" s="1027">
        <f>VLOOKUP(V599,'System Lookups'!$J$55:$P$64,7)</f>
        <v>800</v>
      </c>
      <c r="AR599" s="1080" t="str">
        <f ca="1">IF(AND(NOT(ISBLANK(AJ599)),ISNA(MATCH(ROW(),'System Lookups'!$C$526:$C$539,0))),"Y","N")</f>
        <v>Y</v>
      </c>
      <c r="AS599" s="1080">
        <f t="shared" si="611"/>
        <v>0</v>
      </c>
      <c r="AU599" s="1080" t="e">
        <f t="shared" si="576"/>
        <v>#N/A</v>
      </c>
      <c r="AV599" s="1080" t="str">
        <f t="shared" si="574"/>
        <v>T</v>
      </c>
      <c r="AW599" s="1080">
        <f t="shared" si="577"/>
        <v>0</v>
      </c>
      <c r="AX599" s="1080">
        <f t="shared" si="578"/>
        <v>0</v>
      </c>
      <c r="AY599" s="1080">
        <f t="shared" si="579"/>
        <v>0</v>
      </c>
      <c r="AZ599" s="1080">
        <f t="shared" si="580"/>
        <v>0</v>
      </c>
      <c r="BA599" s="1080">
        <f t="shared" si="581"/>
        <v>0</v>
      </c>
      <c r="BB599" s="1080">
        <f>IF(AND(RACE=1,'Main Creation Page'!$E$6="Well",OR(ISNUMBER(FIND(Experience!$G$11,BE599)),ISNUMBER(FIND(Experience!$G$11,BF599)),ISNUMBER(FIND(Experience!$I$11,BE599)),ISNUMBER(FIND(Experience!$I$11,BF599)))),1,0)</f>
        <v>1</v>
      </c>
      <c r="BC599" s="1080" t="str">
        <f t="shared" si="590"/>
        <v>Interpret the Omens</v>
      </c>
      <c r="BE599" s="1080" t="str">
        <f t="shared" si="575"/>
        <v>Lore</v>
      </c>
      <c r="BF599" s="1080" t="str">
        <f t="shared" si="591"/>
        <v>Materia Magica Skills</v>
      </c>
    </row>
    <row r="600" spans="1:58" ht="11.1" hidden="1" customHeight="1" outlineLevel="2">
      <c r="A600" s="1028" t="s">
        <v>3332</v>
      </c>
      <c r="B600" s="1094"/>
      <c r="C600" s="1094"/>
      <c r="D600" s="1094"/>
      <c r="E600" s="1095" t="s">
        <v>5224</v>
      </c>
      <c r="F600" s="1147" t="str">
        <f t="shared" ref="F600:F620" si="612">$F$599</f>
        <v>N</v>
      </c>
      <c r="G600" s="1096">
        <v>0</v>
      </c>
      <c r="H600" s="1096" t="s">
        <v>5224</v>
      </c>
      <c r="I600" s="1096" t="s">
        <v>5224</v>
      </c>
      <c r="J600" s="1096" t="s">
        <v>5224</v>
      </c>
      <c r="K600" s="1096" t="s">
        <v>5224</v>
      </c>
      <c r="L600" s="1096">
        <v>0</v>
      </c>
      <c r="M600" s="1096" t="s">
        <v>5224</v>
      </c>
      <c r="N600" s="1096" t="s">
        <v>4631</v>
      </c>
      <c r="O600" s="1034"/>
      <c r="P600" s="1113" t="s">
        <v>13</v>
      </c>
      <c r="Q600" s="1034"/>
      <c r="R600" s="1034"/>
      <c r="S600" s="1113" t="s">
        <v>13</v>
      </c>
      <c r="T600" s="1113"/>
      <c r="U600" s="1027">
        <v>0</v>
      </c>
      <c r="V600" s="1027">
        <f t="shared" si="603"/>
        <v>1</v>
      </c>
      <c r="W600" s="1098" t="e">
        <f>IF(OR(I600&lt;&gt;"N",E600="C"),IF(AND(N600&lt;&gt;"T",ISNUMBER(FIND("V",I600))),1,0),NA())+IF(H600="Y",IF(AND(N600="P",ISNUMBER(FIND("Z",I600))),2,1),0)+IF(J600="Y",1,0)+IF(K600="Y",3,0)+IF(BE600="Lore",L600*2+Experience!$D$25,0)+IF(M600="Y",1,0)</f>
        <v>#N/A</v>
      </c>
      <c r="X600" s="1099"/>
      <c r="Y600" s="1100" t="e">
        <f ca="1">IF(P600="NS",IFERROR(INDIRECT(S600),NA()),VLOOKUP(INDIRECT(P600)+INDIRECT(S600),'System Lookups'!$A$3:$D$146,2))</f>
        <v>#N/A</v>
      </c>
      <c r="Z600" s="1100">
        <f t="shared" ref="Z600:Z620" si="613">Z$599</f>
        <v>0</v>
      </c>
      <c r="AA600" s="1101">
        <f t="shared" ca="1" si="594"/>
        <v>0</v>
      </c>
      <c r="AB600" s="1102">
        <f>VLOOKUP(V$599,'System Lookups'!$J$55:$P$64,3)</f>
        <v>0.05</v>
      </c>
      <c r="AC600" s="1103">
        <f>VLOOKUP(V$599,'System Lookups'!$J$55:$P$64,4)</f>
        <v>0.1</v>
      </c>
      <c r="AD600" s="1104">
        <f t="shared" ca="1" si="605"/>
        <v>0.1</v>
      </c>
      <c r="AE600" s="1094">
        <f ca="1">(IF(AD600&gt;VLOOKUP(V600,'System Lookups'!$J$55:$P$63,6),(((AD600-VLOOKUP(V600,'System Lookups'!$J$55:$P$63,6))*100)/20),0))+AF600</f>
        <v>0</v>
      </c>
      <c r="AF600" s="1121"/>
      <c r="AG600" s="1092">
        <f t="shared" si="606"/>
        <v>0</v>
      </c>
      <c r="AH600" s="1092" t="str">
        <f>IF(X600&lt;=Experience!$R$15+1,"","*")</f>
        <v/>
      </c>
      <c r="AI600" s="1092"/>
      <c r="AJ600" s="1080">
        <f t="shared" si="607"/>
        <v>0</v>
      </c>
      <c r="AK600" s="1080">
        <f t="shared" si="596"/>
        <v>0</v>
      </c>
      <c r="AL600" s="1080">
        <f t="shared" si="608"/>
        <v>0</v>
      </c>
      <c r="AM600" s="1092">
        <f t="shared" si="598"/>
        <v>0</v>
      </c>
      <c r="AN600" s="1080">
        <f t="shared" si="599"/>
        <v>1</v>
      </c>
      <c r="AO600" s="1080">
        <f t="shared" si="609"/>
        <v>0</v>
      </c>
      <c r="AP600" s="1080">
        <f t="shared" si="610"/>
        <v>1</v>
      </c>
      <c r="AQ600" s="1027">
        <v>500</v>
      </c>
      <c r="AR600" s="1080" t="str">
        <f ca="1">IF(AND(NOT(ISBLANK(AJ600)),ISNA(MATCH(ROW(),'System Lookups'!$C$526:$C$539,0))),"Y","N")</f>
        <v>Y</v>
      </c>
      <c r="AS600" s="1080">
        <f t="shared" si="611"/>
        <v>0</v>
      </c>
      <c r="AU600" s="1080" t="e">
        <f t="shared" si="576"/>
        <v>#N/A</v>
      </c>
      <c r="AV600" s="1080" t="str">
        <f t="shared" si="574"/>
        <v>T</v>
      </c>
      <c r="AW600" s="1080">
        <f t="shared" si="577"/>
        <v>0</v>
      </c>
      <c r="AX600" s="1080">
        <f t="shared" si="578"/>
        <v>0</v>
      </c>
      <c r="AY600" s="1080">
        <f t="shared" si="579"/>
        <v>0</v>
      </c>
      <c r="AZ600" s="1080">
        <f t="shared" si="580"/>
        <v>0</v>
      </c>
      <c r="BA600" s="1080">
        <f t="shared" si="581"/>
        <v>0</v>
      </c>
      <c r="BB600" s="1080">
        <f>IF(AND(RACE=1,'Main Creation Page'!$E$6="Well",OR(ISNUMBER(FIND(Experience!$G$11,BE600)),ISNUMBER(FIND(Experience!$G$11,BF600)),ISNUMBER(FIND(Experience!$I$11,BE600)),ISNUMBER(FIND(Experience!$I$11,BF600)))),1,0)</f>
        <v>1</v>
      </c>
      <c r="BC600" s="1080" t="str">
        <f t="shared" si="590"/>
        <v>Aeromancy</v>
      </c>
      <c r="BE600" s="1080" t="str">
        <f t="shared" si="575"/>
        <v>Lore</v>
      </c>
      <c r="BF600" s="1080" t="str">
        <f t="shared" si="591"/>
        <v>Materia Magica Skills</v>
      </c>
    </row>
    <row r="601" spans="1:58" ht="11.1" hidden="1" customHeight="1" outlineLevel="2">
      <c r="A601" s="1028" t="s">
        <v>2361</v>
      </c>
      <c r="B601" s="1094"/>
      <c r="C601" s="1094"/>
      <c r="D601" s="1094"/>
      <c r="E601" s="1095" t="s">
        <v>5224</v>
      </c>
      <c r="F601" s="1147" t="str">
        <f t="shared" si="612"/>
        <v>N</v>
      </c>
      <c r="G601" s="1096">
        <v>0</v>
      </c>
      <c r="H601" s="1096" t="s">
        <v>5224</v>
      </c>
      <c r="I601" s="1096" t="s">
        <v>5224</v>
      </c>
      <c r="J601" s="1096" t="s">
        <v>5224</v>
      </c>
      <c r="K601" s="1096" t="s">
        <v>5224</v>
      </c>
      <c r="L601" s="1096">
        <v>0</v>
      </c>
      <c r="M601" s="1096" t="s">
        <v>5224</v>
      </c>
      <c r="N601" s="1096" t="s">
        <v>4631</v>
      </c>
      <c r="O601" s="1034"/>
      <c r="P601" s="1113" t="s">
        <v>13</v>
      </c>
      <c r="Q601" s="1034"/>
      <c r="R601" s="1034"/>
      <c r="S601" s="1113" t="s">
        <v>13</v>
      </c>
      <c r="T601" s="1113"/>
      <c r="U601" s="1027">
        <v>0</v>
      </c>
      <c r="V601" s="1027">
        <f t="shared" si="603"/>
        <v>1</v>
      </c>
      <c r="W601" s="1098" t="e">
        <f>IF(OR(I601&lt;&gt;"N",E601="C"),IF(AND(N601&lt;&gt;"T",ISNUMBER(FIND("V",I601))),1,0),NA())+IF(H601="Y",IF(AND(N601="P",ISNUMBER(FIND("Z",I601))),2,1),0)+IF(J601="Y",1,0)+IF(K601="Y",3,0)+IF(BE601="Lore",L601*2+Experience!$D$25,0)+IF(M601="Y",1,0)</f>
        <v>#N/A</v>
      </c>
      <c r="X601" s="1099"/>
      <c r="Y601" s="1100" t="e">
        <f ca="1">IF(P601="NS",IFERROR(INDIRECT(S601),NA()),VLOOKUP(INDIRECT(P601)+INDIRECT(S601),'System Lookups'!$A$3:$D$146,2))</f>
        <v>#N/A</v>
      </c>
      <c r="Z601" s="1100">
        <f t="shared" si="613"/>
        <v>0</v>
      </c>
      <c r="AA601" s="1101">
        <f t="shared" ref="AA601:AA620" ca="1" si="614">IF(ISNA(Y601),0,Y601)+Z601</f>
        <v>0</v>
      </c>
      <c r="AB601" s="1102">
        <f>VLOOKUP(V$599,'System Lookups'!$J$55:$P$64,3)</f>
        <v>0.05</v>
      </c>
      <c r="AC601" s="1103">
        <f>VLOOKUP(V$599,'System Lookups'!$J$55:$P$64,4)</f>
        <v>0.1</v>
      </c>
      <c r="AD601" s="1104">
        <f t="shared" ca="1" si="605"/>
        <v>0.1</v>
      </c>
      <c r="AE601" s="1094">
        <f ca="1">(IF(AD601&gt;VLOOKUP(V601,'System Lookups'!$J$55:$P$63,6),(((AD601-VLOOKUP(V601,'System Lookups'!$J$55:$P$63,6))*100)/20),0))+AF601</f>
        <v>0</v>
      </c>
      <c r="AF601" s="1121"/>
      <c r="AG601" s="1092">
        <f t="shared" si="606"/>
        <v>0</v>
      </c>
      <c r="AH601" s="1092" t="str">
        <f>IF(X601&lt;=Experience!$R$15+1,"","*")</f>
        <v/>
      </c>
      <c r="AI601" s="1092"/>
      <c r="AJ601" s="1080">
        <f t="shared" si="607"/>
        <v>0</v>
      </c>
      <c r="AK601" s="1080">
        <f t="shared" si="596"/>
        <v>0</v>
      </c>
      <c r="AL601" s="1080">
        <f t="shared" si="608"/>
        <v>0</v>
      </c>
      <c r="AM601" s="1092">
        <f t="shared" si="598"/>
        <v>0</v>
      </c>
      <c r="AN601" s="1080">
        <f t="shared" si="599"/>
        <v>1</v>
      </c>
      <c r="AO601" s="1080">
        <f t="shared" si="609"/>
        <v>0</v>
      </c>
      <c r="AP601" s="1080">
        <f t="shared" si="610"/>
        <v>1</v>
      </c>
      <c r="AQ601" s="1027">
        <v>500</v>
      </c>
      <c r="AR601" s="1080" t="str">
        <f ca="1">IF(AND(NOT(ISBLANK(AJ601)),ISNA(MATCH(ROW(),'System Lookups'!$C$526:$C$539,0))),"Y","N")</f>
        <v>Y</v>
      </c>
      <c r="AS601" s="1080">
        <f t="shared" si="611"/>
        <v>0</v>
      </c>
      <c r="AU601" s="1080" t="e">
        <f t="shared" si="576"/>
        <v>#N/A</v>
      </c>
      <c r="AV601" s="1080" t="str">
        <f t="shared" si="574"/>
        <v>T</v>
      </c>
      <c r="AW601" s="1080">
        <f t="shared" si="577"/>
        <v>0</v>
      </c>
      <c r="AX601" s="1080">
        <f t="shared" si="578"/>
        <v>0</v>
      </c>
      <c r="AY601" s="1080">
        <f t="shared" si="579"/>
        <v>0</v>
      </c>
      <c r="AZ601" s="1080">
        <f t="shared" si="580"/>
        <v>0</v>
      </c>
      <c r="BA601" s="1080">
        <f t="shared" si="581"/>
        <v>0</v>
      </c>
      <c r="BB601" s="1080">
        <f>IF(AND(RACE=1,'Main Creation Page'!$E$6="Well",OR(ISNUMBER(FIND(Experience!$G$11,BE601)),ISNUMBER(FIND(Experience!$G$11,BF601)),ISNUMBER(FIND(Experience!$I$11,BE601)),ISNUMBER(FIND(Experience!$I$11,BF601)))),1,0)</f>
        <v>1</v>
      </c>
      <c r="BC601" s="1080" t="str">
        <f t="shared" si="590"/>
        <v>Astrology</v>
      </c>
      <c r="BE601" s="1080" t="str">
        <f t="shared" si="575"/>
        <v>Lore</v>
      </c>
      <c r="BF601" s="1080" t="str">
        <f t="shared" si="591"/>
        <v>Materia Magica Skills</v>
      </c>
    </row>
    <row r="602" spans="1:58" ht="11.1" hidden="1" customHeight="1" outlineLevel="2">
      <c r="A602" s="1028" t="s">
        <v>3458</v>
      </c>
      <c r="B602" s="1094"/>
      <c r="C602" s="1094"/>
      <c r="D602" s="1094"/>
      <c r="E602" s="1095" t="s">
        <v>5224</v>
      </c>
      <c r="F602" s="1147" t="str">
        <f t="shared" si="612"/>
        <v>N</v>
      </c>
      <c r="G602" s="1096">
        <v>0</v>
      </c>
      <c r="H602" s="1096" t="s">
        <v>5224</v>
      </c>
      <c r="I602" s="1096" t="s">
        <v>5224</v>
      </c>
      <c r="J602" s="1096" t="s">
        <v>5224</v>
      </c>
      <c r="K602" s="1096" t="s">
        <v>5224</v>
      </c>
      <c r="L602" s="1096">
        <v>0</v>
      </c>
      <c r="M602" s="1096" t="s">
        <v>5224</v>
      </c>
      <c r="N602" s="1096" t="s">
        <v>4631</v>
      </c>
      <c r="O602" s="1034"/>
      <c r="P602" s="1113" t="s">
        <v>13</v>
      </c>
      <c r="Q602" s="1034"/>
      <c r="R602" s="1034"/>
      <c r="S602" s="1113" t="s">
        <v>13</v>
      </c>
      <c r="T602" s="1113"/>
      <c r="U602" s="1027">
        <v>0</v>
      </c>
      <c r="V602" s="1027">
        <f t="shared" si="603"/>
        <v>1</v>
      </c>
      <c r="W602" s="1098" t="e">
        <f>IF(OR(I602&lt;&gt;"N",E602="C"),IF(AND(N602&lt;&gt;"T",ISNUMBER(FIND("V",I602))),1,0),NA())+IF(H602="Y",IF(AND(N602="P",ISNUMBER(FIND("Z",I602))),2,1),0)+IF(J602="Y",1,0)+IF(K602="Y",3,0)+IF(BE602="Lore",L602*2+Experience!$D$25,0)+IF(M602="Y",1,0)</f>
        <v>#N/A</v>
      </c>
      <c r="X602" s="1099"/>
      <c r="Y602" s="1100" t="e">
        <f ca="1">IF(P602="NS",IFERROR(INDIRECT(S602),NA()),VLOOKUP(INDIRECT(P602)+INDIRECT(S602),'System Lookups'!$A$3:$D$146,2))</f>
        <v>#N/A</v>
      </c>
      <c r="Z602" s="1100">
        <f t="shared" si="613"/>
        <v>0</v>
      </c>
      <c r="AA602" s="1101">
        <f t="shared" ca="1" si="614"/>
        <v>0</v>
      </c>
      <c r="AB602" s="1102">
        <f>VLOOKUP(V$599,'System Lookups'!$J$55:$P$64,3)</f>
        <v>0.05</v>
      </c>
      <c r="AC602" s="1103">
        <f>VLOOKUP(V$599,'System Lookups'!$J$55:$P$64,4)</f>
        <v>0.1</v>
      </c>
      <c r="AD602" s="1104">
        <f t="shared" ca="1" si="605"/>
        <v>0.1</v>
      </c>
      <c r="AE602" s="1094">
        <f ca="1">(IF(AD602&gt;VLOOKUP(V602,'System Lookups'!$J$55:$P$63,6),(((AD602-VLOOKUP(V602,'System Lookups'!$J$55:$P$63,6))*100)/20),0))+AF602</f>
        <v>0</v>
      </c>
      <c r="AF602" s="1121"/>
      <c r="AG602" s="1092">
        <f t="shared" si="606"/>
        <v>0</v>
      </c>
      <c r="AH602" s="1092" t="str">
        <f>IF(X602&lt;=Experience!$R$15+1,"","*")</f>
        <v/>
      </c>
      <c r="AI602" s="1092"/>
      <c r="AJ602" s="1080">
        <f t="shared" si="607"/>
        <v>0</v>
      </c>
      <c r="AK602" s="1080">
        <f t="shared" si="596"/>
        <v>0</v>
      </c>
      <c r="AL602" s="1080">
        <f t="shared" si="608"/>
        <v>0</v>
      </c>
      <c r="AM602" s="1092">
        <f t="shared" si="598"/>
        <v>0</v>
      </c>
      <c r="AN602" s="1080">
        <f t="shared" si="599"/>
        <v>1</v>
      </c>
      <c r="AO602" s="1080">
        <f t="shared" si="609"/>
        <v>0</v>
      </c>
      <c r="AP602" s="1080">
        <f t="shared" si="610"/>
        <v>1</v>
      </c>
      <c r="AQ602" s="1027">
        <v>500</v>
      </c>
      <c r="AR602" s="1080" t="str">
        <f ca="1">IF(AND(NOT(ISBLANK(AJ602)),ISNA(MATCH(ROW(),'System Lookups'!$C$526:$C$539,0))),"Y","N")</f>
        <v>Y</v>
      </c>
      <c r="AS602" s="1080">
        <f t="shared" si="611"/>
        <v>0</v>
      </c>
      <c r="AU602" s="1080" t="e">
        <f t="shared" si="576"/>
        <v>#N/A</v>
      </c>
      <c r="AV602" s="1080" t="str">
        <f t="shared" si="574"/>
        <v>T</v>
      </c>
      <c r="AW602" s="1080">
        <f t="shared" si="577"/>
        <v>0</v>
      </c>
      <c r="AX602" s="1080">
        <f t="shared" si="578"/>
        <v>0</v>
      </c>
      <c r="AY602" s="1080">
        <f t="shared" si="579"/>
        <v>0</v>
      </c>
      <c r="AZ602" s="1080">
        <f t="shared" si="580"/>
        <v>0</v>
      </c>
      <c r="BA602" s="1080">
        <f t="shared" si="581"/>
        <v>0</v>
      </c>
      <c r="BB602" s="1080">
        <f>IF(AND(RACE=1,'Main Creation Page'!$E$6="Well",OR(ISNUMBER(FIND(Experience!$G$11,BE602)),ISNUMBER(FIND(Experience!$G$11,BF602)),ISNUMBER(FIND(Experience!$I$11,BE602)),ISNUMBER(FIND(Experience!$I$11,BF602)))),1,0)</f>
        <v>1</v>
      </c>
      <c r="BC602" s="1080" t="str">
        <f t="shared" si="590"/>
        <v>Bibliomancy</v>
      </c>
      <c r="BE602" s="1080" t="str">
        <f t="shared" si="575"/>
        <v>Lore</v>
      </c>
      <c r="BF602" s="1080" t="str">
        <f t="shared" si="591"/>
        <v>Materia Magica Skills</v>
      </c>
    </row>
    <row r="603" spans="1:58" ht="11.1" hidden="1" customHeight="1" outlineLevel="2">
      <c r="A603" s="1028" t="s">
        <v>3457</v>
      </c>
      <c r="B603" s="1094"/>
      <c r="C603" s="1094"/>
      <c r="D603" s="1094"/>
      <c r="E603" s="1095" t="s">
        <v>5224</v>
      </c>
      <c r="F603" s="1147" t="str">
        <f t="shared" si="612"/>
        <v>N</v>
      </c>
      <c r="G603" s="1096">
        <v>0</v>
      </c>
      <c r="H603" s="1096" t="s">
        <v>5224</v>
      </c>
      <c r="I603" s="1096" t="s">
        <v>5224</v>
      </c>
      <c r="J603" s="1096" t="s">
        <v>5224</v>
      </c>
      <c r="K603" s="1096" t="s">
        <v>5224</v>
      </c>
      <c r="L603" s="1096">
        <v>0</v>
      </c>
      <c r="M603" s="1096" t="s">
        <v>5224</v>
      </c>
      <c r="N603" s="1096" t="s">
        <v>4631</v>
      </c>
      <c r="O603" s="1034"/>
      <c r="P603" s="1113" t="s">
        <v>13</v>
      </c>
      <c r="Q603" s="1034"/>
      <c r="R603" s="1034"/>
      <c r="S603" s="1113" t="s">
        <v>13</v>
      </c>
      <c r="T603" s="1113"/>
      <c r="U603" s="1027">
        <v>0</v>
      </c>
      <c r="V603" s="1027">
        <f t="shared" si="603"/>
        <v>1</v>
      </c>
      <c r="W603" s="1098" t="e">
        <f>IF(OR(I603&lt;&gt;"N",E603="C"),IF(AND(N603&lt;&gt;"T",ISNUMBER(FIND("V",I603))),1,0),NA())+IF(H603="Y",IF(AND(N603="P",ISNUMBER(FIND("Z",I603))),2,1),0)+IF(J603="Y",1,0)+IF(K603="Y",3,0)+IF(BE603="Lore",L603*2+Experience!$D$25,0)+IF(M603="Y",1,0)</f>
        <v>#N/A</v>
      </c>
      <c r="X603" s="1099"/>
      <c r="Y603" s="1100" t="e">
        <f ca="1">IF(P603="NS",IFERROR(INDIRECT(S603),NA()),VLOOKUP(INDIRECT(P603)+INDIRECT(S603),'System Lookups'!$A$3:$D$146,2))</f>
        <v>#N/A</v>
      </c>
      <c r="Z603" s="1100">
        <f t="shared" si="613"/>
        <v>0</v>
      </c>
      <c r="AA603" s="1101">
        <f t="shared" ca="1" si="614"/>
        <v>0</v>
      </c>
      <c r="AB603" s="1102">
        <f>VLOOKUP(V$599,'System Lookups'!$J$55:$P$64,3)</f>
        <v>0.05</v>
      </c>
      <c r="AC603" s="1103">
        <f>VLOOKUP(V$599,'System Lookups'!$J$55:$P$64,4)</f>
        <v>0.1</v>
      </c>
      <c r="AD603" s="1104">
        <f t="shared" ca="1" si="605"/>
        <v>0.1</v>
      </c>
      <c r="AE603" s="1094">
        <f ca="1">(IF(AD603&gt;VLOOKUP(V603,'System Lookups'!$J$55:$P$63,6),(((AD603-VLOOKUP(V603,'System Lookups'!$J$55:$P$63,6))*100)/20),0))+AF603</f>
        <v>0</v>
      </c>
      <c r="AF603" s="1121"/>
      <c r="AG603" s="1092">
        <f t="shared" si="606"/>
        <v>0</v>
      </c>
      <c r="AH603" s="1092" t="str">
        <f>IF(X603&lt;=Experience!$R$15+1,"","*")</f>
        <v/>
      </c>
      <c r="AI603" s="1092"/>
      <c r="AJ603" s="1080">
        <f t="shared" si="607"/>
        <v>0</v>
      </c>
      <c r="AK603" s="1080">
        <f t="shared" si="596"/>
        <v>0</v>
      </c>
      <c r="AL603" s="1080">
        <f t="shared" si="608"/>
        <v>0</v>
      </c>
      <c r="AM603" s="1092">
        <f t="shared" si="598"/>
        <v>0</v>
      </c>
      <c r="AN603" s="1080">
        <f t="shared" si="599"/>
        <v>1</v>
      </c>
      <c r="AO603" s="1080">
        <f t="shared" si="609"/>
        <v>0</v>
      </c>
      <c r="AP603" s="1080">
        <f t="shared" si="610"/>
        <v>1</v>
      </c>
      <c r="AQ603" s="1027">
        <v>500</v>
      </c>
      <c r="AR603" s="1080" t="str">
        <f ca="1">IF(AND(NOT(ISBLANK(AJ603)),ISNA(MATCH(ROW(),'System Lookups'!$C$526:$C$539,0))),"Y","N")</f>
        <v>Y</v>
      </c>
      <c r="AS603" s="1080">
        <f t="shared" si="611"/>
        <v>0</v>
      </c>
      <c r="AU603" s="1080" t="e">
        <f t="shared" si="576"/>
        <v>#N/A</v>
      </c>
      <c r="AV603" s="1080" t="str">
        <f t="shared" si="574"/>
        <v>T</v>
      </c>
      <c r="AW603" s="1080">
        <f t="shared" si="577"/>
        <v>0</v>
      </c>
      <c r="AX603" s="1080">
        <f t="shared" si="578"/>
        <v>0</v>
      </c>
      <c r="AY603" s="1080">
        <f t="shared" si="579"/>
        <v>0</v>
      </c>
      <c r="AZ603" s="1080">
        <f t="shared" si="580"/>
        <v>0</v>
      </c>
      <c r="BA603" s="1080">
        <f t="shared" si="581"/>
        <v>0</v>
      </c>
      <c r="BB603" s="1080">
        <f>IF(AND(RACE=1,'Main Creation Page'!$E$6="Well",OR(ISNUMBER(FIND(Experience!$G$11,BE603)),ISNUMBER(FIND(Experience!$G$11,BF603)),ISNUMBER(FIND(Experience!$I$11,BE603)),ISNUMBER(FIND(Experience!$I$11,BF603)))),1,0)</f>
        <v>1</v>
      </c>
      <c r="BC603" s="1080" t="str">
        <f t="shared" si="590"/>
        <v>Cartomancy</v>
      </c>
      <c r="BE603" s="1080" t="str">
        <f t="shared" si="575"/>
        <v>Lore</v>
      </c>
      <c r="BF603" s="1080" t="str">
        <f t="shared" si="591"/>
        <v>Materia Magica Skills</v>
      </c>
    </row>
    <row r="604" spans="1:58" ht="11.1" hidden="1" customHeight="1" outlineLevel="2">
      <c r="A604" s="1028" t="s">
        <v>3333</v>
      </c>
      <c r="B604" s="1094"/>
      <c r="C604" s="1094"/>
      <c r="D604" s="1094"/>
      <c r="E604" s="1095" t="s">
        <v>5224</v>
      </c>
      <c r="F604" s="1147" t="str">
        <f t="shared" si="612"/>
        <v>N</v>
      </c>
      <c r="G604" s="1096">
        <v>0</v>
      </c>
      <c r="H604" s="1096" t="s">
        <v>5224</v>
      </c>
      <c r="I604" s="1096" t="s">
        <v>5224</v>
      </c>
      <c r="J604" s="1096" t="s">
        <v>5224</v>
      </c>
      <c r="K604" s="1096" t="s">
        <v>5224</v>
      </c>
      <c r="L604" s="1096">
        <v>0</v>
      </c>
      <c r="M604" s="1096" t="s">
        <v>5224</v>
      </c>
      <c r="N604" s="1096" t="s">
        <v>4631</v>
      </c>
      <c r="O604" s="1034"/>
      <c r="P604" s="1113" t="s">
        <v>13</v>
      </c>
      <c r="Q604" s="1034"/>
      <c r="R604" s="1034"/>
      <c r="S604" s="1113" t="s">
        <v>13</v>
      </c>
      <c r="T604" s="1113"/>
      <c r="U604" s="1027">
        <v>0</v>
      </c>
      <c r="V604" s="1027">
        <f t="shared" si="603"/>
        <v>1</v>
      </c>
      <c r="W604" s="1098" t="e">
        <f>IF(OR(I604&lt;&gt;"N",E604="C"),IF(AND(N604&lt;&gt;"T",ISNUMBER(FIND("V",I604))),1,0),NA())+IF(H604="Y",IF(AND(N604="P",ISNUMBER(FIND("Z",I604))),2,1),0)+IF(J604="Y",1,0)+IF(K604="Y",3,0)+IF(BE604="Lore",L604*2+Experience!$D$25,0)+IF(M604="Y",1,0)</f>
        <v>#N/A</v>
      </c>
      <c r="X604" s="1099"/>
      <c r="Y604" s="1100" t="e">
        <f ca="1">IF(P604="NS",IFERROR(INDIRECT(S604),NA()),VLOOKUP(INDIRECT(P604)+INDIRECT(S604),'System Lookups'!$A$3:$D$146,2))</f>
        <v>#N/A</v>
      </c>
      <c r="Z604" s="1100">
        <f t="shared" si="613"/>
        <v>0</v>
      </c>
      <c r="AA604" s="1101">
        <f t="shared" ca="1" si="614"/>
        <v>0</v>
      </c>
      <c r="AB604" s="1102">
        <f>VLOOKUP(V$599,'System Lookups'!$J$55:$P$64,3)</f>
        <v>0.05</v>
      </c>
      <c r="AC604" s="1103">
        <f>VLOOKUP(V$599,'System Lookups'!$J$55:$P$64,4)</f>
        <v>0.1</v>
      </c>
      <c r="AD604" s="1104">
        <f t="shared" ca="1" si="605"/>
        <v>0.1</v>
      </c>
      <c r="AE604" s="1094">
        <f ca="1">(IF(AD604&gt;VLOOKUP(V604,'System Lookups'!$J$55:$P$63,6),(((AD604-VLOOKUP(V604,'System Lookups'!$J$55:$P$63,6))*100)/20),0))+AF604</f>
        <v>0</v>
      </c>
      <c r="AF604" s="1121"/>
      <c r="AG604" s="1092">
        <f t="shared" si="606"/>
        <v>0</v>
      </c>
      <c r="AH604" s="1092" t="str">
        <f>IF(X604&lt;=Experience!$R$15+1,"","*")</f>
        <v/>
      </c>
      <c r="AI604" s="1092"/>
      <c r="AJ604" s="1080">
        <f t="shared" si="607"/>
        <v>0</v>
      </c>
      <c r="AK604" s="1080">
        <f t="shared" si="596"/>
        <v>0</v>
      </c>
      <c r="AL604" s="1080">
        <f t="shared" si="608"/>
        <v>0</v>
      </c>
      <c r="AM604" s="1092">
        <f t="shared" si="598"/>
        <v>0</v>
      </c>
      <c r="AN604" s="1080">
        <f t="shared" si="599"/>
        <v>1</v>
      </c>
      <c r="AO604" s="1080">
        <f t="shared" si="609"/>
        <v>0</v>
      </c>
      <c r="AP604" s="1080">
        <f t="shared" si="610"/>
        <v>1</v>
      </c>
      <c r="AQ604" s="1027">
        <v>500</v>
      </c>
      <c r="AR604" s="1080" t="str">
        <f ca="1">IF(AND(NOT(ISBLANK(AJ604)),ISNA(MATCH(ROW(),'System Lookups'!$C$526:$C$539,0))),"Y","N")</f>
        <v>Y</v>
      </c>
      <c r="AS604" s="1080">
        <f t="shared" si="611"/>
        <v>0</v>
      </c>
      <c r="AU604" s="1080" t="e">
        <f t="shared" si="576"/>
        <v>#N/A</v>
      </c>
      <c r="AV604" s="1080" t="str">
        <f t="shared" si="574"/>
        <v>T</v>
      </c>
      <c r="AW604" s="1080">
        <f t="shared" si="577"/>
        <v>0</v>
      </c>
      <c r="AX604" s="1080">
        <f t="shared" si="578"/>
        <v>0</v>
      </c>
      <c r="AY604" s="1080">
        <f t="shared" si="579"/>
        <v>0</v>
      </c>
      <c r="AZ604" s="1080">
        <f t="shared" si="580"/>
        <v>0</v>
      </c>
      <c r="BA604" s="1080">
        <f t="shared" si="581"/>
        <v>0</v>
      </c>
      <c r="BB604" s="1080">
        <f>IF(AND(RACE=1,'Main Creation Page'!$E$6="Well",OR(ISNUMBER(FIND(Experience!$G$11,BE604)),ISNUMBER(FIND(Experience!$G$11,BF604)),ISNUMBER(FIND(Experience!$I$11,BE604)),ISNUMBER(FIND(Experience!$I$11,BF604)))),1,0)</f>
        <v>1</v>
      </c>
      <c r="BC604" s="1080" t="str">
        <f t="shared" si="590"/>
        <v>Critomancy</v>
      </c>
      <c r="BE604" s="1080" t="str">
        <f t="shared" si="575"/>
        <v>Lore</v>
      </c>
      <c r="BF604" s="1080" t="str">
        <f t="shared" si="591"/>
        <v>Materia Magica Skills</v>
      </c>
    </row>
    <row r="605" spans="1:58" ht="11.1" hidden="1" customHeight="1" outlineLevel="2">
      <c r="A605" s="1028" t="s">
        <v>3334</v>
      </c>
      <c r="B605" s="1094"/>
      <c r="C605" s="1094"/>
      <c r="D605" s="1094"/>
      <c r="E605" s="1095" t="s">
        <v>5224</v>
      </c>
      <c r="F605" s="1147" t="str">
        <f t="shared" si="612"/>
        <v>N</v>
      </c>
      <c r="G605" s="1096">
        <v>0</v>
      </c>
      <c r="H605" s="1096" t="s">
        <v>5224</v>
      </c>
      <c r="I605" s="1096" t="s">
        <v>5224</v>
      </c>
      <c r="J605" s="1096" t="s">
        <v>5224</v>
      </c>
      <c r="K605" s="1096" t="s">
        <v>5224</v>
      </c>
      <c r="L605" s="1096">
        <v>0</v>
      </c>
      <c r="M605" s="1096" t="s">
        <v>5224</v>
      </c>
      <c r="N605" s="1096" t="s">
        <v>4631</v>
      </c>
      <c r="O605" s="1034"/>
      <c r="P605" s="1113" t="s">
        <v>13</v>
      </c>
      <c r="Q605" s="1034"/>
      <c r="R605" s="1034"/>
      <c r="S605" s="1113" t="s">
        <v>13</v>
      </c>
      <c r="T605" s="1113"/>
      <c r="U605" s="1027">
        <v>0</v>
      </c>
      <c r="V605" s="1027">
        <f t="shared" si="603"/>
        <v>1</v>
      </c>
      <c r="W605" s="1098" t="e">
        <f>IF(OR(I605&lt;&gt;"N",E605="C"),IF(AND(N605&lt;&gt;"T",ISNUMBER(FIND("V",I605))),1,0),NA())+IF(H605="Y",IF(AND(N605="P",ISNUMBER(FIND("Z",I605))),2,1),0)+IF(J605="Y",1,0)+IF(K605="Y",3,0)+IF(BE605="Lore",L605*2+Experience!$D$25,0)+IF(M605="Y",1,0)</f>
        <v>#N/A</v>
      </c>
      <c r="X605" s="1099"/>
      <c r="Y605" s="1100" t="e">
        <f ca="1">IF(P605="NS",IFERROR(INDIRECT(S605),NA()),VLOOKUP(INDIRECT(P605)+INDIRECT(S605),'System Lookups'!$A$3:$D$146,2))</f>
        <v>#N/A</v>
      </c>
      <c r="Z605" s="1100">
        <f t="shared" si="613"/>
        <v>0</v>
      </c>
      <c r="AA605" s="1101">
        <f t="shared" ca="1" si="614"/>
        <v>0</v>
      </c>
      <c r="AB605" s="1102">
        <f>VLOOKUP(V$599,'System Lookups'!$J$55:$P$64,3)</f>
        <v>0.05</v>
      </c>
      <c r="AC605" s="1103">
        <f>VLOOKUP(V$599,'System Lookups'!$J$55:$P$64,4)</f>
        <v>0.1</v>
      </c>
      <c r="AD605" s="1104">
        <f t="shared" ca="1" si="605"/>
        <v>0.1</v>
      </c>
      <c r="AE605" s="1094">
        <f ca="1">(IF(AD605&gt;VLOOKUP(V605,'System Lookups'!$J$55:$P$63,6),(((AD605-VLOOKUP(V605,'System Lookups'!$J$55:$P$63,6))*100)/20),0))+AF605</f>
        <v>0</v>
      </c>
      <c r="AF605" s="1121"/>
      <c r="AG605" s="1092">
        <f t="shared" si="606"/>
        <v>0</v>
      </c>
      <c r="AH605" s="1092" t="str">
        <f>IF(X605&lt;=Experience!$R$15+1,"","*")</f>
        <v/>
      </c>
      <c r="AI605" s="1092"/>
      <c r="AJ605" s="1080">
        <f t="shared" si="607"/>
        <v>0</v>
      </c>
      <c r="AK605" s="1080">
        <f t="shared" si="596"/>
        <v>0</v>
      </c>
      <c r="AL605" s="1080">
        <f t="shared" si="608"/>
        <v>0</v>
      </c>
      <c r="AM605" s="1092">
        <f t="shared" si="598"/>
        <v>0</v>
      </c>
      <c r="AN605" s="1080">
        <f t="shared" si="599"/>
        <v>1</v>
      </c>
      <c r="AO605" s="1080">
        <f t="shared" si="609"/>
        <v>0</v>
      </c>
      <c r="AP605" s="1080">
        <f t="shared" si="610"/>
        <v>1</v>
      </c>
      <c r="AQ605" s="1027">
        <v>500</v>
      </c>
      <c r="AR605" s="1080" t="str">
        <f ca="1">IF(AND(NOT(ISBLANK(AJ605)),ISNA(MATCH(ROW(),'System Lookups'!$C$526:$C$539,0))),"Y","N")</f>
        <v>Y</v>
      </c>
      <c r="AS605" s="1080">
        <f t="shared" si="611"/>
        <v>0</v>
      </c>
      <c r="AU605" s="1080" t="e">
        <f t="shared" si="576"/>
        <v>#N/A</v>
      </c>
      <c r="AV605" s="1080" t="str">
        <f t="shared" si="574"/>
        <v>T</v>
      </c>
      <c r="AW605" s="1080">
        <f t="shared" si="577"/>
        <v>0</v>
      </c>
      <c r="AX605" s="1080">
        <f t="shared" si="578"/>
        <v>0</v>
      </c>
      <c r="AY605" s="1080">
        <f t="shared" si="579"/>
        <v>0</v>
      </c>
      <c r="AZ605" s="1080">
        <f t="shared" si="580"/>
        <v>0</v>
      </c>
      <c r="BA605" s="1080">
        <f t="shared" si="581"/>
        <v>0</v>
      </c>
      <c r="BB605" s="1080">
        <f>IF(AND(RACE=1,'Main Creation Page'!$E$6="Well",OR(ISNUMBER(FIND(Experience!$G$11,BE605)),ISNUMBER(FIND(Experience!$G$11,BF605)),ISNUMBER(FIND(Experience!$I$11,BE605)),ISNUMBER(FIND(Experience!$I$11,BF605)))),1,0)</f>
        <v>1</v>
      </c>
      <c r="BC605" s="1080" t="str">
        <f t="shared" si="590"/>
        <v>Daphnomancy</v>
      </c>
      <c r="BE605" s="1080" t="str">
        <f t="shared" si="575"/>
        <v>Lore</v>
      </c>
      <c r="BF605" s="1080" t="str">
        <f t="shared" si="591"/>
        <v>Materia Magica Skills</v>
      </c>
    </row>
    <row r="606" spans="1:58" ht="11.1" hidden="1" customHeight="1" outlineLevel="2">
      <c r="A606" s="1028" t="s">
        <v>3459</v>
      </c>
      <c r="B606" s="1094"/>
      <c r="C606" s="1094"/>
      <c r="D606" s="1094"/>
      <c r="E606" s="1095" t="s">
        <v>5224</v>
      </c>
      <c r="F606" s="1147" t="str">
        <f t="shared" si="612"/>
        <v>N</v>
      </c>
      <c r="G606" s="1096">
        <v>0</v>
      </c>
      <c r="H606" s="1096" t="s">
        <v>5224</v>
      </c>
      <c r="I606" s="1096" t="s">
        <v>5224</v>
      </c>
      <c r="J606" s="1096" t="s">
        <v>5224</v>
      </c>
      <c r="K606" s="1096" t="s">
        <v>5224</v>
      </c>
      <c r="L606" s="1096">
        <v>0</v>
      </c>
      <c r="M606" s="1096" t="s">
        <v>5224</v>
      </c>
      <c r="N606" s="1096" t="s">
        <v>4631</v>
      </c>
      <c r="O606" s="1034"/>
      <c r="P606" s="1113" t="s">
        <v>13</v>
      </c>
      <c r="Q606" s="1034"/>
      <c r="R606" s="1034"/>
      <c r="S606" s="1113" t="s">
        <v>13</v>
      </c>
      <c r="T606" s="1113"/>
      <c r="U606" s="1027">
        <v>0</v>
      </c>
      <c r="V606" s="1027">
        <f t="shared" si="603"/>
        <v>1</v>
      </c>
      <c r="W606" s="1098" t="e">
        <f>IF(OR(I606&lt;&gt;"N",E606="C"),IF(AND(N606&lt;&gt;"T",ISNUMBER(FIND("V",I606))),1,0),NA())+IF(H606="Y",IF(AND(N606="P",ISNUMBER(FIND("Z",I606))),2,1),0)+IF(J606="Y",1,0)+IF(K606="Y",3,0)+IF(BE606="Lore",L606*2+Experience!$D$25,0)+IF(M606="Y",1,0)</f>
        <v>#N/A</v>
      </c>
      <c r="X606" s="1099"/>
      <c r="Y606" s="1100" t="e">
        <f ca="1">IF(P606="NS",IFERROR(INDIRECT(S606),NA()),VLOOKUP(INDIRECT(P606)+INDIRECT(S606),'System Lookups'!$A$3:$D$146,2))</f>
        <v>#N/A</v>
      </c>
      <c r="Z606" s="1100">
        <f t="shared" si="613"/>
        <v>0</v>
      </c>
      <c r="AA606" s="1101">
        <f t="shared" ca="1" si="614"/>
        <v>0</v>
      </c>
      <c r="AB606" s="1102">
        <f>VLOOKUP(V$599,'System Lookups'!$J$55:$P$64,3)</f>
        <v>0.05</v>
      </c>
      <c r="AC606" s="1103">
        <f>VLOOKUP(V$599,'System Lookups'!$J$55:$P$64,4)</f>
        <v>0.1</v>
      </c>
      <c r="AD606" s="1104">
        <f t="shared" ca="1" si="605"/>
        <v>0.1</v>
      </c>
      <c r="AE606" s="1094">
        <f ca="1">(IF(AD606&gt;VLOOKUP(V606,'System Lookups'!$J$55:$P$63,6),(((AD606-VLOOKUP(V606,'System Lookups'!$J$55:$P$63,6))*100)/20),0))+AF606</f>
        <v>0</v>
      </c>
      <c r="AF606" s="1121"/>
      <c r="AG606" s="1092">
        <f t="shared" si="606"/>
        <v>0</v>
      </c>
      <c r="AH606" s="1092" t="str">
        <f>IF(X606&lt;=Experience!$R$15+1,"","*")</f>
        <v/>
      </c>
      <c r="AI606" s="1092"/>
      <c r="AJ606" s="1080">
        <f t="shared" si="607"/>
        <v>0</v>
      </c>
      <c r="AK606" s="1080">
        <f t="shared" si="596"/>
        <v>0</v>
      </c>
      <c r="AL606" s="1080">
        <f t="shared" si="608"/>
        <v>0</v>
      </c>
      <c r="AM606" s="1092">
        <f t="shared" si="598"/>
        <v>0</v>
      </c>
      <c r="AN606" s="1080">
        <f t="shared" si="599"/>
        <v>1</v>
      </c>
      <c r="AO606" s="1080">
        <f t="shared" si="609"/>
        <v>0</v>
      </c>
      <c r="AP606" s="1080">
        <f t="shared" si="610"/>
        <v>1</v>
      </c>
      <c r="AQ606" s="1027">
        <v>500</v>
      </c>
      <c r="AR606" s="1080" t="str">
        <f ca="1">IF(AND(NOT(ISBLANK(AJ606)),ISNA(MATCH(ROW(),'System Lookups'!$C$526:$C$539,0))),"Y","N")</f>
        <v>Y</v>
      </c>
      <c r="AS606" s="1080">
        <f t="shared" si="611"/>
        <v>0</v>
      </c>
      <c r="AU606" s="1080" t="e">
        <f t="shared" si="576"/>
        <v>#N/A</v>
      </c>
      <c r="AV606" s="1080" t="str">
        <f t="shared" si="574"/>
        <v>T</v>
      </c>
      <c r="AW606" s="1080">
        <f t="shared" si="577"/>
        <v>0</v>
      </c>
      <c r="AX606" s="1080">
        <f t="shared" si="578"/>
        <v>0</v>
      </c>
      <c r="AY606" s="1080">
        <f t="shared" si="579"/>
        <v>0</v>
      </c>
      <c r="AZ606" s="1080">
        <f t="shared" si="580"/>
        <v>0</v>
      </c>
      <c r="BA606" s="1080">
        <f t="shared" si="581"/>
        <v>0</v>
      </c>
      <c r="BB606" s="1080">
        <f>IF(AND(RACE=1,'Main Creation Page'!$E$6="Well",OR(ISNUMBER(FIND(Experience!$G$11,BE606)),ISNUMBER(FIND(Experience!$G$11,BF606)),ISNUMBER(FIND(Experience!$I$11,BE606)),ISNUMBER(FIND(Experience!$I$11,BF606)))),1,0)</f>
        <v>1</v>
      </c>
      <c r="BC606" s="1080" t="str">
        <f t="shared" si="590"/>
        <v>Dowsing</v>
      </c>
      <c r="BE606" s="1080" t="str">
        <f t="shared" si="575"/>
        <v>Lore</v>
      </c>
      <c r="BF606" s="1080" t="str">
        <f t="shared" si="591"/>
        <v>Materia Magica Skills</v>
      </c>
    </row>
    <row r="607" spans="1:58" ht="11.1" hidden="1" customHeight="1" outlineLevel="2">
      <c r="A607" s="1028" t="s">
        <v>1661</v>
      </c>
      <c r="B607" s="1094"/>
      <c r="C607" s="1094"/>
      <c r="D607" s="1094"/>
      <c r="E607" s="1095" t="s">
        <v>5224</v>
      </c>
      <c r="F607" s="1147" t="str">
        <f t="shared" si="612"/>
        <v>N</v>
      </c>
      <c r="G607" s="1096">
        <v>0</v>
      </c>
      <c r="H607" s="1096" t="s">
        <v>5224</v>
      </c>
      <c r="I607" s="1096" t="s">
        <v>5224</v>
      </c>
      <c r="J607" s="1096" t="s">
        <v>5224</v>
      </c>
      <c r="K607" s="1096" t="s">
        <v>5224</v>
      </c>
      <c r="L607" s="1096">
        <v>0</v>
      </c>
      <c r="M607" s="1096" t="s">
        <v>5224</v>
      </c>
      <c r="N607" s="1096" t="s">
        <v>4631</v>
      </c>
      <c r="O607" s="1034"/>
      <c r="P607" s="1113" t="s">
        <v>13</v>
      </c>
      <c r="Q607" s="1034"/>
      <c r="R607" s="1034"/>
      <c r="S607" s="1113" t="s">
        <v>13</v>
      </c>
      <c r="T607" s="1113"/>
      <c r="U607" s="1027">
        <v>0</v>
      </c>
      <c r="V607" s="1027">
        <f t="shared" si="603"/>
        <v>1</v>
      </c>
      <c r="W607" s="1098" t="e">
        <f>IF(OR(I607&lt;&gt;"N",E607="C"),IF(AND(N607&lt;&gt;"T",ISNUMBER(FIND("V",I607))),1,0),NA())+IF(H607="Y",IF(AND(N607="P",ISNUMBER(FIND("Z",I607))),2,1),0)+IF(J607="Y",1,0)+IF(K607="Y",3,0)+IF(BE607="Lore",L607*2+Experience!$D$25,0)+IF(M607="Y",1,0)</f>
        <v>#N/A</v>
      </c>
      <c r="X607" s="1099"/>
      <c r="Y607" s="1100" t="e">
        <f ca="1">IF(P607="NS",IFERROR(INDIRECT(S607),NA()),VLOOKUP(INDIRECT(P607)+INDIRECT(S607),'System Lookups'!$A$3:$D$146,2))</f>
        <v>#N/A</v>
      </c>
      <c r="Z607" s="1100">
        <f t="shared" si="613"/>
        <v>0</v>
      </c>
      <c r="AA607" s="1101">
        <f t="shared" ca="1" si="614"/>
        <v>0</v>
      </c>
      <c r="AB607" s="1102">
        <f>VLOOKUP(V$599,'System Lookups'!$J$55:$P$64,3)</f>
        <v>0.05</v>
      </c>
      <c r="AC607" s="1103">
        <f>VLOOKUP(V$599,'System Lookups'!$J$55:$P$64,4)</f>
        <v>0.1</v>
      </c>
      <c r="AD607" s="1104">
        <f t="shared" ca="1" si="605"/>
        <v>0.1</v>
      </c>
      <c r="AE607" s="1094">
        <f ca="1">(IF(AD607&gt;VLOOKUP(V607,'System Lookups'!$J$55:$P$63,6),(((AD607-VLOOKUP(V607,'System Lookups'!$J$55:$P$63,6))*100)/20),0))+AF607</f>
        <v>0</v>
      </c>
      <c r="AF607" s="1121"/>
      <c r="AG607" s="1092">
        <f t="shared" si="606"/>
        <v>0</v>
      </c>
      <c r="AH607" s="1092" t="str">
        <f>IF(X607&lt;=Experience!$R$15+1,"","*")</f>
        <v/>
      </c>
      <c r="AI607" s="1092"/>
      <c r="AJ607" s="1080">
        <f t="shared" si="607"/>
        <v>0</v>
      </c>
      <c r="AK607" s="1080">
        <f t="shared" si="596"/>
        <v>0</v>
      </c>
      <c r="AL607" s="1080">
        <f t="shared" si="608"/>
        <v>0</v>
      </c>
      <c r="AM607" s="1092">
        <f t="shared" si="598"/>
        <v>0</v>
      </c>
      <c r="AN607" s="1080">
        <f t="shared" si="599"/>
        <v>1</v>
      </c>
      <c r="AO607" s="1080">
        <f t="shared" si="609"/>
        <v>0</v>
      </c>
      <c r="AP607" s="1080">
        <f t="shared" si="610"/>
        <v>1</v>
      </c>
      <c r="AQ607" s="1027">
        <v>500</v>
      </c>
      <c r="AR607" s="1080" t="str">
        <f ca="1">IF(AND(NOT(ISBLANK(AJ607)),ISNA(MATCH(ROW(),'System Lookups'!$C$526:$C$539,0))),"Y","N")</f>
        <v>Y</v>
      </c>
      <c r="AS607" s="1080">
        <f t="shared" si="611"/>
        <v>0</v>
      </c>
      <c r="AU607" s="1080" t="e">
        <f t="shared" si="576"/>
        <v>#N/A</v>
      </c>
      <c r="AV607" s="1080" t="str">
        <f t="shared" si="574"/>
        <v>T</v>
      </c>
      <c r="AW607" s="1080">
        <f t="shared" si="577"/>
        <v>0</v>
      </c>
      <c r="AX607" s="1080">
        <f t="shared" si="578"/>
        <v>0</v>
      </c>
      <c r="AY607" s="1080">
        <f t="shared" si="579"/>
        <v>0</v>
      </c>
      <c r="AZ607" s="1080">
        <f t="shared" si="580"/>
        <v>0</v>
      </c>
      <c r="BA607" s="1080">
        <f t="shared" si="581"/>
        <v>0</v>
      </c>
      <c r="BB607" s="1080">
        <f>IF(AND(RACE=1,'Main Creation Page'!$E$6="Well",OR(ISNUMBER(FIND(Experience!$G$11,BE607)),ISNUMBER(FIND(Experience!$G$11,BF607)),ISNUMBER(FIND(Experience!$I$11,BE607)),ISNUMBER(FIND(Experience!$I$11,BF607)))),1,0)</f>
        <v>1</v>
      </c>
      <c r="BC607" s="1080" t="str">
        <f t="shared" si="590"/>
        <v>Geomancy</v>
      </c>
      <c r="BE607" s="1080" t="str">
        <f t="shared" si="575"/>
        <v>Lore</v>
      </c>
      <c r="BF607" s="1080" t="str">
        <f t="shared" si="591"/>
        <v>Materia Magica Skills</v>
      </c>
    </row>
    <row r="608" spans="1:58" ht="11.1" hidden="1" customHeight="1" outlineLevel="2">
      <c r="A608" s="1028" t="s">
        <v>3335</v>
      </c>
      <c r="B608" s="1094"/>
      <c r="C608" s="1094"/>
      <c r="D608" s="1094"/>
      <c r="E608" s="1095" t="s">
        <v>5224</v>
      </c>
      <c r="F608" s="1147" t="str">
        <f t="shared" si="612"/>
        <v>N</v>
      </c>
      <c r="G608" s="1096">
        <v>0</v>
      </c>
      <c r="H608" s="1096" t="s">
        <v>5224</v>
      </c>
      <c r="I608" s="1096" t="s">
        <v>5224</v>
      </c>
      <c r="J608" s="1096" t="s">
        <v>5224</v>
      </c>
      <c r="K608" s="1096" t="s">
        <v>5224</v>
      </c>
      <c r="L608" s="1096">
        <v>0</v>
      </c>
      <c r="M608" s="1096" t="s">
        <v>5224</v>
      </c>
      <c r="N608" s="1096" t="s">
        <v>4631</v>
      </c>
      <c r="O608" s="1034"/>
      <c r="P608" s="1113" t="s">
        <v>13</v>
      </c>
      <c r="Q608" s="1034"/>
      <c r="R608" s="1034"/>
      <c r="S608" s="1113" t="s">
        <v>13</v>
      </c>
      <c r="T608" s="1113"/>
      <c r="U608" s="1027">
        <v>0</v>
      </c>
      <c r="V608" s="1027">
        <f t="shared" si="603"/>
        <v>1</v>
      </c>
      <c r="W608" s="1098" t="e">
        <f>IF(OR(I608&lt;&gt;"N",E608="C"),IF(AND(N608&lt;&gt;"T",ISNUMBER(FIND("V",I608))),1,0),NA())+IF(H608="Y",IF(AND(N608="P",ISNUMBER(FIND("Z",I608))),2,1),0)+IF(J608="Y",1,0)+IF(K608="Y",3,0)+IF(BE608="Lore",L608*2+Experience!$D$25,0)+IF(M608="Y",1,0)</f>
        <v>#N/A</v>
      </c>
      <c r="X608" s="1099"/>
      <c r="Y608" s="1100" t="e">
        <f ca="1">IF(P608="NS",IFERROR(INDIRECT(S608),NA()),VLOOKUP(INDIRECT(P608)+INDIRECT(S608),'System Lookups'!$A$3:$D$146,2))</f>
        <v>#N/A</v>
      </c>
      <c r="Z608" s="1100">
        <f t="shared" si="613"/>
        <v>0</v>
      </c>
      <c r="AA608" s="1101">
        <f t="shared" ca="1" si="614"/>
        <v>0</v>
      </c>
      <c r="AB608" s="1102">
        <f>VLOOKUP(V$599,'System Lookups'!$J$55:$P$64,3)</f>
        <v>0.05</v>
      </c>
      <c r="AC608" s="1103">
        <f>VLOOKUP(V$599,'System Lookups'!$J$55:$P$64,4)</f>
        <v>0.1</v>
      </c>
      <c r="AD608" s="1104">
        <f t="shared" ca="1" si="605"/>
        <v>0.1</v>
      </c>
      <c r="AE608" s="1094">
        <f ca="1">(IF(AD608&gt;VLOOKUP(V608,'System Lookups'!$J$55:$P$63,6),(((AD608-VLOOKUP(V608,'System Lookups'!$J$55:$P$63,6))*100)/20),0))+AF608</f>
        <v>0</v>
      </c>
      <c r="AF608" s="1121"/>
      <c r="AG608" s="1092">
        <f t="shared" si="606"/>
        <v>0</v>
      </c>
      <c r="AH608" s="1092" t="str">
        <f>IF(X608&lt;=Experience!$R$15+1,"","*")</f>
        <v/>
      </c>
      <c r="AI608" s="1092"/>
      <c r="AJ608" s="1080">
        <f t="shared" si="607"/>
        <v>0</v>
      </c>
      <c r="AK608" s="1080">
        <f t="shared" si="596"/>
        <v>0</v>
      </c>
      <c r="AL608" s="1080">
        <f t="shared" si="608"/>
        <v>0</v>
      </c>
      <c r="AM608" s="1092">
        <f t="shared" si="598"/>
        <v>0</v>
      </c>
      <c r="AN608" s="1080">
        <f t="shared" si="599"/>
        <v>1</v>
      </c>
      <c r="AO608" s="1080">
        <f t="shared" si="609"/>
        <v>0</v>
      </c>
      <c r="AP608" s="1080">
        <f t="shared" si="610"/>
        <v>1</v>
      </c>
      <c r="AQ608" s="1027">
        <v>500</v>
      </c>
      <c r="AR608" s="1080" t="str">
        <f ca="1">IF(AND(NOT(ISBLANK(AJ608)),ISNA(MATCH(ROW(),'System Lookups'!$C$526:$C$539,0))),"Y","N")</f>
        <v>Y</v>
      </c>
      <c r="AS608" s="1080">
        <f t="shared" si="611"/>
        <v>0</v>
      </c>
      <c r="AU608" s="1080" t="e">
        <f t="shared" si="576"/>
        <v>#N/A</v>
      </c>
      <c r="AV608" s="1080" t="str">
        <f t="shared" si="574"/>
        <v>T</v>
      </c>
      <c r="AW608" s="1080">
        <f t="shared" si="577"/>
        <v>0</v>
      </c>
      <c r="AX608" s="1080">
        <f t="shared" si="578"/>
        <v>0</v>
      </c>
      <c r="AY608" s="1080">
        <f t="shared" si="579"/>
        <v>0</v>
      </c>
      <c r="AZ608" s="1080">
        <f t="shared" si="580"/>
        <v>0</v>
      </c>
      <c r="BA608" s="1080">
        <f t="shared" si="581"/>
        <v>0</v>
      </c>
      <c r="BB608" s="1080">
        <f>IF(AND(RACE=1,'Main Creation Page'!$E$6="Well",OR(ISNUMBER(FIND(Experience!$G$11,BE608)),ISNUMBER(FIND(Experience!$G$11,BF608)),ISNUMBER(FIND(Experience!$I$11,BE608)),ISNUMBER(FIND(Experience!$I$11,BF608)))),1,0)</f>
        <v>1</v>
      </c>
      <c r="BC608" s="1080" t="str">
        <f t="shared" si="590"/>
        <v>Haruspication</v>
      </c>
      <c r="BE608" s="1080" t="str">
        <f t="shared" si="575"/>
        <v>Lore</v>
      </c>
      <c r="BF608" s="1080" t="str">
        <f t="shared" si="591"/>
        <v>Materia Magica Skills</v>
      </c>
    </row>
    <row r="609" spans="1:58" ht="11.1" hidden="1" customHeight="1" outlineLevel="2">
      <c r="A609" s="1028" t="s">
        <v>1425</v>
      </c>
      <c r="B609" s="1094"/>
      <c r="C609" s="1094"/>
      <c r="D609" s="1094"/>
      <c r="E609" s="1095" t="s">
        <v>5224</v>
      </c>
      <c r="F609" s="1147" t="str">
        <f t="shared" si="612"/>
        <v>N</v>
      </c>
      <c r="G609" s="1096">
        <v>0</v>
      </c>
      <c r="H609" s="1096" t="s">
        <v>5224</v>
      </c>
      <c r="I609" s="1096" t="s">
        <v>5224</v>
      </c>
      <c r="J609" s="1096" t="s">
        <v>5224</v>
      </c>
      <c r="K609" s="1096" t="s">
        <v>5224</v>
      </c>
      <c r="L609" s="1096">
        <v>0</v>
      </c>
      <c r="M609" s="1096" t="s">
        <v>5224</v>
      </c>
      <c r="N609" s="1096" t="s">
        <v>4631</v>
      </c>
      <c r="O609" s="1034"/>
      <c r="P609" s="1113" t="s">
        <v>13</v>
      </c>
      <c r="Q609" s="1034"/>
      <c r="R609" s="1034"/>
      <c r="S609" s="1113" t="s">
        <v>13</v>
      </c>
      <c r="T609" s="1113"/>
      <c r="U609" s="1027">
        <v>0</v>
      </c>
      <c r="V609" s="1027">
        <f t="shared" si="603"/>
        <v>1</v>
      </c>
      <c r="W609" s="1098" t="e">
        <f>IF(OR(I609&lt;&gt;"N",E609="C"),IF(AND(N609&lt;&gt;"T",ISNUMBER(FIND("V",I609))),1,0),NA())+IF(H609="Y",IF(AND(N609="P",ISNUMBER(FIND("Z",I609))),2,1),0)+IF(J609="Y",1,0)+IF(K609="Y",3,0)+IF(BE609="Lore",L609*2+Experience!$D$25,0)+IF(M609="Y",1,0)</f>
        <v>#N/A</v>
      </c>
      <c r="X609" s="1099"/>
      <c r="Y609" s="1100" t="e">
        <f ca="1">IF(P609="NS",IFERROR(INDIRECT(S609),NA()),VLOOKUP(INDIRECT(P609)+INDIRECT(S609),'System Lookups'!$A$3:$D$146,2))</f>
        <v>#N/A</v>
      </c>
      <c r="Z609" s="1100">
        <f t="shared" si="613"/>
        <v>0</v>
      </c>
      <c r="AA609" s="1101">
        <f t="shared" ca="1" si="614"/>
        <v>0</v>
      </c>
      <c r="AB609" s="1102">
        <f>VLOOKUP(V$599,'System Lookups'!$J$55:$P$64,3)</f>
        <v>0.05</v>
      </c>
      <c r="AC609" s="1103">
        <f>VLOOKUP(V$599,'System Lookups'!$J$55:$P$64,4)</f>
        <v>0.1</v>
      </c>
      <c r="AD609" s="1104">
        <f t="shared" ca="1" si="605"/>
        <v>0.1</v>
      </c>
      <c r="AE609" s="1094">
        <f ca="1">(IF(AD609&gt;VLOOKUP(V609,'System Lookups'!$J$55:$P$63,6),(((AD609-VLOOKUP(V609,'System Lookups'!$J$55:$P$63,6))*100)/20),0))+AF609</f>
        <v>0</v>
      </c>
      <c r="AF609" s="1121"/>
      <c r="AG609" s="1092">
        <f t="shared" si="606"/>
        <v>0</v>
      </c>
      <c r="AH609" s="1092" t="str">
        <f>IF(X609&lt;=Experience!$R$15+1,"","*")</f>
        <v/>
      </c>
      <c r="AI609" s="1092"/>
      <c r="AJ609" s="1080">
        <f t="shared" si="607"/>
        <v>0</v>
      </c>
      <c r="AK609" s="1080">
        <f t="shared" si="596"/>
        <v>0</v>
      </c>
      <c r="AL609" s="1080">
        <f t="shared" si="608"/>
        <v>0</v>
      </c>
      <c r="AM609" s="1092">
        <f t="shared" si="598"/>
        <v>0</v>
      </c>
      <c r="AN609" s="1080">
        <f t="shared" si="599"/>
        <v>1</v>
      </c>
      <c r="AO609" s="1080">
        <f t="shared" si="609"/>
        <v>0</v>
      </c>
      <c r="AP609" s="1080">
        <f t="shared" si="610"/>
        <v>1</v>
      </c>
      <c r="AQ609" s="1027">
        <v>500</v>
      </c>
      <c r="AR609" s="1080" t="str">
        <f ca="1">IF(AND(NOT(ISBLANK(AJ609)),ISNA(MATCH(ROW(),'System Lookups'!$C$526:$C$539,0))),"Y","N")</f>
        <v>Y</v>
      </c>
      <c r="AS609" s="1080">
        <f t="shared" si="611"/>
        <v>0</v>
      </c>
      <c r="AU609" s="1080" t="e">
        <f t="shared" si="576"/>
        <v>#N/A</v>
      </c>
      <c r="AV609" s="1080" t="str">
        <f t="shared" si="574"/>
        <v>T</v>
      </c>
      <c r="AW609" s="1080">
        <f t="shared" si="577"/>
        <v>0</v>
      </c>
      <c r="AX609" s="1080">
        <f t="shared" si="578"/>
        <v>0</v>
      </c>
      <c r="AY609" s="1080">
        <f t="shared" si="579"/>
        <v>0</v>
      </c>
      <c r="AZ609" s="1080">
        <f t="shared" si="580"/>
        <v>0</v>
      </c>
      <c r="BA609" s="1080">
        <f t="shared" si="581"/>
        <v>0</v>
      </c>
      <c r="BB609" s="1080">
        <f>IF(AND(RACE=1,'Main Creation Page'!$E$6="Well",OR(ISNUMBER(FIND(Experience!$G$11,BE609)),ISNUMBER(FIND(Experience!$G$11,BF609)),ISNUMBER(FIND(Experience!$I$11,BE609)),ISNUMBER(FIND(Experience!$I$11,BF609)))),1,0)</f>
        <v>1</v>
      </c>
      <c r="BC609" s="1080" t="str">
        <f t="shared" si="590"/>
        <v>Hippomancy</v>
      </c>
      <c r="BE609" s="1080" t="str">
        <f t="shared" si="575"/>
        <v>Lore</v>
      </c>
      <c r="BF609" s="1080" t="str">
        <f t="shared" si="591"/>
        <v>Materia Magica Skills</v>
      </c>
    </row>
    <row r="610" spans="1:58" ht="11.1" hidden="1" customHeight="1" outlineLevel="2">
      <c r="A610" s="1028" t="s">
        <v>3336</v>
      </c>
      <c r="B610" s="1094"/>
      <c r="C610" s="1094"/>
      <c r="D610" s="1094"/>
      <c r="E610" s="1095" t="s">
        <v>5224</v>
      </c>
      <c r="F610" s="1147" t="str">
        <f t="shared" si="612"/>
        <v>N</v>
      </c>
      <c r="G610" s="1096">
        <v>0</v>
      </c>
      <c r="H610" s="1096" t="s">
        <v>5224</v>
      </c>
      <c r="I610" s="1096" t="s">
        <v>5224</v>
      </c>
      <c r="J610" s="1096" t="s">
        <v>5224</v>
      </c>
      <c r="K610" s="1096" t="s">
        <v>5224</v>
      </c>
      <c r="L610" s="1096">
        <v>0</v>
      </c>
      <c r="M610" s="1096" t="s">
        <v>5224</v>
      </c>
      <c r="N610" s="1096" t="s">
        <v>4631</v>
      </c>
      <c r="O610" s="1034"/>
      <c r="P610" s="1113" t="s">
        <v>13</v>
      </c>
      <c r="Q610" s="1034"/>
      <c r="R610" s="1034"/>
      <c r="S610" s="1113" t="s">
        <v>13</v>
      </c>
      <c r="T610" s="1113"/>
      <c r="U610" s="1027">
        <v>0</v>
      </c>
      <c r="V610" s="1027">
        <f t="shared" si="603"/>
        <v>1</v>
      </c>
      <c r="W610" s="1098" t="e">
        <f>IF(OR(I610&lt;&gt;"N",E610="C"),IF(AND(N610&lt;&gt;"T",ISNUMBER(FIND("V",I610))),1,0),NA())+IF(H610="Y",IF(AND(N610="P",ISNUMBER(FIND("Z",I610))),2,1),0)+IF(J610="Y",1,0)+IF(K610="Y",3,0)+IF(BE610="Lore",L610*2+Experience!$D$25,0)+IF(M610="Y",1,0)</f>
        <v>#N/A</v>
      </c>
      <c r="X610" s="1099"/>
      <c r="Y610" s="1100" t="e">
        <f ca="1">IF(P610="NS",IFERROR(INDIRECT(S610),NA()),VLOOKUP(INDIRECT(P610)+INDIRECT(S610),'System Lookups'!$A$3:$D$146,2))</f>
        <v>#N/A</v>
      </c>
      <c r="Z610" s="1100">
        <f t="shared" si="613"/>
        <v>0</v>
      </c>
      <c r="AA610" s="1101">
        <f t="shared" ca="1" si="614"/>
        <v>0</v>
      </c>
      <c r="AB610" s="1102">
        <f>VLOOKUP(V$599,'System Lookups'!$J$55:$P$64,3)</f>
        <v>0.05</v>
      </c>
      <c r="AC610" s="1103">
        <f>VLOOKUP(V$599,'System Lookups'!$J$55:$P$64,4)</f>
        <v>0.1</v>
      </c>
      <c r="AD610" s="1104">
        <f t="shared" ca="1" si="605"/>
        <v>0.1</v>
      </c>
      <c r="AE610" s="1094">
        <f ca="1">(IF(AD610&gt;VLOOKUP(V610,'System Lookups'!$J$55:$P$63,6),(((AD610-VLOOKUP(V610,'System Lookups'!$J$55:$P$63,6))*100)/20),0))+AF610</f>
        <v>0</v>
      </c>
      <c r="AF610" s="1121"/>
      <c r="AG610" s="1092">
        <f t="shared" si="606"/>
        <v>0</v>
      </c>
      <c r="AH610" s="1092" t="str">
        <f>IF(X610&lt;=Experience!$R$15+1,"","*")</f>
        <v/>
      </c>
      <c r="AI610" s="1092"/>
      <c r="AJ610" s="1080">
        <f t="shared" si="607"/>
        <v>0</v>
      </c>
      <c r="AK610" s="1080">
        <f t="shared" si="596"/>
        <v>0</v>
      </c>
      <c r="AL610" s="1080">
        <f t="shared" si="608"/>
        <v>0</v>
      </c>
      <c r="AM610" s="1092">
        <f t="shared" si="598"/>
        <v>0</v>
      </c>
      <c r="AN610" s="1080">
        <f t="shared" si="599"/>
        <v>1</v>
      </c>
      <c r="AO610" s="1080">
        <f t="shared" si="609"/>
        <v>0</v>
      </c>
      <c r="AP610" s="1080">
        <f t="shared" si="610"/>
        <v>1</v>
      </c>
      <c r="AQ610" s="1027">
        <v>500</v>
      </c>
      <c r="AR610" s="1080" t="str">
        <f ca="1">IF(AND(NOT(ISBLANK(AJ610)),ISNA(MATCH(ROW(),'System Lookups'!$C$526:$C$539,0))),"Y","N")</f>
        <v>Y</v>
      </c>
      <c r="AS610" s="1080">
        <f t="shared" si="611"/>
        <v>0</v>
      </c>
      <c r="AU610" s="1080" t="e">
        <f t="shared" si="576"/>
        <v>#N/A</v>
      </c>
      <c r="AV610" s="1080" t="str">
        <f t="shared" si="574"/>
        <v>T</v>
      </c>
      <c r="AW610" s="1080">
        <f t="shared" si="577"/>
        <v>0</v>
      </c>
      <c r="AX610" s="1080">
        <f t="shared" si="578"/>
        <v>0</v>
      </c>
      <c r="AY610" s="1080">
        <f t="shared" si="579"/>
        <v>0</v>
      </c>
      <c r="AZ610" s="1080">
        <f t="shared" si="580"/>
        <v>0</v>
      </c>
      <c r="BA610" s="1080">
        <f t="shared" si="581"/>
        <v>0</v>
      </c>
      <c r="BB610" s="1080">
        <f>IF(AND(RACE=1,'Main Creation Page'!$E$6="Well",OR(ISNUMBER(FIND(Experience!$G$11,BE610)),ISNUMBER(FIND(Experience!$G$11,BF610)),ISNUMBER(FIND(Experience!$I$11,BE610)),ISNUMBER(FIND(Experience!$I$11,BF610)))),1,0)</f>
        <v>1</v>
      </c>
      <c r="BC610" s="1080" t="str">
        <f t="shared" si="590"/>
        <v>Hydromancy</v>
      </c>
      <c r="BE610" s="1080" t="str">
        <f t="shared" si="575"/>
        <v>Lore</v>
      </c>
      <c r="BF610" s="1080" t="str">
        <f t="shared" si="591"/>
        <v>Materia Magica Skills</v>
      </c>
    </row>
    <row r="611" spans="1:58" ht="11.1" hidden="1" customHeight="1" outlineLevel="2">
      <c r="A611" s="1028" t="s">
        <v>1662</v>
      </c>
      <c r="B611" s="1094"/>
      <c r="C611" s="1094"/>
      <c r="D611" s="1094"/>
      <c r="E611" s="1095" t="s">
        <v>5224</v>
      </c>
      <c r="F611" s="1147" t="str">
        <f t="shared" si="612"/>
        <v>N</v>
      </c>
      <c r="G611" s="1096">
        <v>0</v>
      </c>
      <c r="H611" s="1096" t="s">
        <v>5224</v>
      </c>
      <c r="I611" s="1096" t="s">
        <v>5224</v>
      </c>
      <c r="J611" s="1096" t="s">
        <v>5224</v>
      </c>
      <c r="K611" s="1096" t="s">
        <v>5224</v>
      </c>
      <c r="L611" s="1096">
        <v>0</v>
      </c>
      <c r="M611" s="1096" t="s">
        <v>5224</v>
      </c>
      <c r="N611" s="1096" t="s">
        <v>4631</v>
      </c>
      <c r="O611" s="1034"/>
      <c r="P611" s="1113" t="s">
        <v>13</v>
      </c>
      <c r="Q611" s="1034"/>
      <c r="R611" s="1034"/>
      <c r="S611" s="1113" t="s">
        <v>13</v>
      </c>
      <c r="T611" s="1113"/>
      <c r="U611" s="1027">
        <v>0</v>
      </c>
      <c r="V611" s="1027">
        <f t="shared" si="603"/>
        <v>1</v>
      </c>
      <c r="W611" s="1098" t="e">
        <f>IF(OR(I611&lt;&gt;"N",E611="C"),IF(AND(N611&lt;&gt;"T",ISNUMBER(FIND("V",I611))),1,0),NA())+IF(H611="Y",IF(AND(N611="P",ISNUMBER(FIND("Z",I611))),2,1),0)+IF(J611="Y",1,0)+IF(K611="Y",3,0)+IF(BE611="Lore",L611*2+Experience!$D$25,0)+IF(M611="Y",1,0)</f>
        <v>#N/A</v>
      </c>
      <c r="X611" s="1099"/>
      <c r="Y611" s="1100" t="e">
        <f ca="1">IF(P611="NS",IFERROR(INDIRECT(S611),NA()),VLOOKUP(INDIRECT(P611)+INDIRECT(S611),'System Lookups'!$A$3:$D$146,2))</f>
        <v>#N/A</v>
      </c>
      <c r="Z611" s="1100">
        <f t="shared" si="613"/>
        <v>0</v>
      </c>
      <c r="AA611" s="1101">
        <f t="shared" ca="1" si="614"/>
        <v>0</v>
      </c>
      <c r="AB611" s="1102">
        <f>VLOOKUP(V$599,'System Lookups'!$J$55:$P$64,3)</f>
        <v>0.05</v>
      </c>
      <c r="AC611" s="1103">
        <f>VLOOKUP(V$599,'System Lookups'!$J$55:$P$64,4)</f>
        <v>0.1</v>
      </c>
      <c r="AD611" s="1104">
        <f t="shared" ca="1" si="605"/>
        <v>0.1</v>
      </c>
      <c r="AE611" s="1094">
        <f ca="1">(IF(AD611&gt;VLOOKUP(V611,'System Lookups'!$J$55:$P$63,6),(((AD611-VLOOKUP(V611,'System Lookups'!$J$55:$P$63,6))*100)/20),0))+AF611</f>
        <v>0</v>
      </c>
      <c r="AF611" s="1121"/>
      <c r="AG611" s="1092">
        <f t="shared" si="606"/>
        <v>0</v>
      </c>
      <c r="AH611" s="1092" t="str">
        <f>IF(X611&lt;=Experience!$R$15+1,"","*")</f>
        <v/>
      </c>
      <c r="AI611" s="1092"/>
      <c r="AJ611" s="1080">
        <f t="shared" si="607"/>
        <v>0</v>
      </c>
      <c r="AK611" s="1080">
        <f t="shared" si="596"/>
        <v>0</v>
      </c>
      <c r="AL611" s="1080">
        <f t="shared" si="608"/>
        <v>0</v>
      </c>
      <c r="AM611" s="1092">
        <f t="shared" si="598"/>
        <v>0</v>
      </c>
      <c r="AN611" s="1080">
        <f t="shared" si="599"/>
        <v>1</v>
      </c>
      <c r="AO611" s="1080">
        <f t="shared" si="609"/>
        <v>0</v>
      </c>
      <c r="AP611" s="1080">
        <f t="shared" si="610"/>
        <v>1</v>
      </c>
      <c r="AQ611" s="1027">
        <v>500</v>
      </c>
      <c r="AR611" s="1080" t="str">
        <f ca="1">IF(AND(NOT(ISBLANK(AJ611)),ISNA(MATCH(ROW(),'System Lookups'!$C$526:$C$539,0))),"Y","N")</f>
        <v>Y</v>
      </c>
      <c r="AS611" s="1080">
        <f t="shared" si="611"/>
        <v>0</v>
      </c>
      <c r="AU611" s="1080" t="e">
        <f t="shared" si="576"/>
        <v>#N/A</v>
      </c>
      <c r="AV611" s="1080" t="str">
        <f t="shared" si="574"/>
        <v>T</v>
      </c>
      <c r="AW611" s="1080">
        <f t="shared" si="577"/>
        <v>0</v>
      </c>
      <c r="AX611" s="1080">
        <f t="shared" si="578"/>
        <v>0</v>
      </c>
      <c r="AY611" s="1080">
        <f t="shared" si="579"/>
        <v>0</v>
      </c>
      <c r="AZ611" s="1080">
        <f t="shared" si="580"/>
        <v>0</v>
      </c>
      <c r="BA611" s="1080">
        <f t="shared" si="581"/>
        <v>0</v>
      </c>
      <c r="BB611" s="1080">
        <f>IF(AND(RACE=1,'Main Creation Page'!$E$6="Well",OR(ISNUMBER(FIND(Experience!$G$11,BE611)),ISNUMBER(FIND(Experience!$G$11,BF611)),ISNUMBER(FIND(Experience!$I$11,BE611)),ISNUMBER(FIND(Experience!$I$11,BF611)))),1,0)</f>
        <v>1</v>
      </c>
      <c r="BC611" s="1080" t="str">
        <f t="shared" si="590"/>
        <v>Nature/Weather</v>
      </c>
      <c r="BE611" s="1080" t="str">
        <f t="shared" si="575"/>
        <v>Lore</v>
      </c>
      <c r="BF611" s="1080" t="str">
        <f t="shared" si="591"/>
        <v>Materia Magica Skills</v>
      </c>
    </row>
    <row r="612" spans="1:58" ht="11.1" hidden="1" customHeight="1" outlineLevel="2">
      <c r="A612" s="1028" t="s">
        <v>1660</v>
      </c>
      <c r="B612" s="1094"/>
      <c r="C612" s="1094"/>
      <c r="D612" s="1094"/>
      <c r="E612" s="1095" t="s">
        <v>5224</v>
      </c>
      <c r="F612" s="1147" t="str">
        <f t="shared" si="612"/>
        <v>N</v>
      </c>
      <c r="G612" s="1096">
        <v>0</v>
      </c>
      <c r="H612" s="1096" t="s">
        <v>5224</v>
      </c>
      <c r="I612" s="1096" t="s">
        <v>5224</v>
      </c>
      <c r="J612" s="1096" t="s">
        <v>5224</v>
      </c>
      <c r="K612" s="1096" t="s">
        <v>5224</v>
      </c>
      <c r="L612" s="1096">
        <v>0</v>
      </c>
      <c r="M612" s="1096" t="s">
        <v>5224</v>
      </c>
      <c r="N612" s="1096" t="s">
        <v>4631</v>
      </c>
      <c r="O612" s="1034"/>
      <c r="P612" s="1113" t="s">
        <v>13</v>
      </c>
      <c r="Q612" s="1034"/>
      <c r="R612" s="1034"/>
      <c r="S612" s="1113" t="s">
        <v>13</v>
      </c>
      <c r="T612" s="1113"/>
      <c r="U612" s="1027">
        <v>0</v>
      </c>
      <c r="V612" s="1027">
        <f t="shared" si="603"/>
        <v>1</v>
      </c>
      <c r="W612" s="1098" t="e">
        <f>IF(OR(I612&lt;&gt;"N",E612="C"),IF(AND(N612&lt;&gt;"T",ISNUMBER(FIND("V",I612))),1,0),NA())+IF(H612="Y",IF(AND(N612="P",ISNUMBER(FIND("Z",I612))),2,1),0)+IF(J612="Y",1,0)+IF(K612="Y",3,0)+IF(BE612="Lore",L612*2+Experience!$D$25,0)+IF(M612="Y",1,0)</f>
        <v>#N/A</v>
      </c>
      <c r="X612" s="1099"/>
      <c r="Y612" s="1100" t="e">
        <f ca="1">IF(P612="NS",IFERROR(INDIRECT(S612),NA()),VLOOKUP(INDIRECT(P612)+INDIRECT(S612),'System Lookups'!$A$3:$D$146,2))</f>
        <v>#N/A</v>
      </c>
      <c r="Z612" s="1100">
        <f t="shared" si="613"/>
        <v>0</v>
      </c>
      <c r="AA612" s="1101">
        <f t="shared" ca="1" si="614"/>
        <v>0</v>
      </c>
      <c r="AB612" s="1102">
        <f>VLOOKUP(V$599,'System Lookups'!$J$55:$P$64,3)</f>
        <v>0.05</v>
      </c>
      <c r="AC612" s="1103">
        <f>VLOOKUP(V$599,'System Lookups'!$J$55:$P$64,4)</f>
        <v>0.1</v>
      </c>
      <c r="AD612" s="1104">
        <f t="shared" ca="1" si="605"/>
        <v>0.1</v>
      </c>
      <c r="AE612" s="1094">
        <f ca="1">(IF(AD612&gt;VLOOKUP(V612,'System Lookups'!$J$55:$P$63,6),(((AD612-VLOOKUP(V612,'System Lookups'!$J$55:$P$63,6))*100)/20),0))+AF612</f>
        <v>0</v>
      </c>
      <c r="AF612" s="1121"/>
      <c r="AG612" s="1092">
        <f t="shared" si="606"/>
        <v>0</v>
      </c>
      <c r="AH612" s="1092" t="str">
        <f>IF(X612&lt;=Experience!$R$15+1,"","*")</f>
        <v/>
      </c>
      <c r="AI612" s="1092"/>
      <c r="AJ612" s="1080">
        <f t="shared" si="607"/>
        <v>0</v>
      </c>
      <c r="AK612" s="1080">
        <f t="shared" si="596"/>
        <v>0</v>
      </c>
      <c r="AL612" s="1080">
        <f t="shared" si="608"/>
        <v>0</v>
      </c>
      <c r="AM612" s="1092">
        <f t="shared" si="598"/>
        <v>0</v>
      </c>
      <c r="AN612" s="1080">
        <f t="shared" si="599"/>
        <v>1</v>
      </c>
      <c r="AO612" s="1080">
        <f t="shared" si="609"/>
        <v>0</v>
      </c>
      <c r="AP612" s="1080">
        <f t="shared" si="610"/>
        <v>1</v>
      </c>
      <c r="AQ612" s="1027">
        <v>500</v>
      </c>
      <c r="AR612" s="1080" t="str">
        <f ca="1">IF(AND(NOT(ISBLANK(AJ612)),ISNA(MATCH(ROW(),'System Lookups'!$C$526:$C$539,0))),"Y","N")</f>
        <v>Y</v>
      </c>
      <c r="AS612" s="1080">
        <f t="shared" si="611"/>
        <v>0</v>
      </c>
      <c r="AU612" s="1080" t="e">
        <f t="shared" si="576"/>
        <v>#N/A</v>
      </c>
      <c r="AV612" s="1080" t="str">
        <f t="shared" si="574"/>
        <v>T</v>
      </c>
      <c r="AW612" s="1080">
        <f t="shared" si="577"/>
        <v>0</v>
      </c>
      <c r="AX612" s="1080">
        <f t="shared" si="578"/>
        <v>0</v>
      </c>
      <c r="AY612" s="1080">
        <f t="shared" si="579"/>
        <v>0</v>
      </c>
      <c r="AZ612" s="1080">
        <f t="shared" si="580"/>
        <v>0</v>
      </c>
      <c r="BA612" s="1080">
        <f t="shared" si="581"/>
        <v>0</v>
      </c>
      <c r="BB612" s="1080">
        <f>IF(AND(RACE=1,'Main Creation Page'!$E$6="Well",OR(ISNUMBER(FIND(Experience!$G$11,BE612)),ISNUMBER(FIND(Experience!$G$11,BF612)),ISNUMBER(FIND(Experience!$I$11,BE612)),ISNUMBER(FIND(Experience!$I$11,BF612)))),1,0)</f>
        <v>1</v>
      </c>
      <c r="BC612" s="1080" t="str">
        <f t="shared" si="590"/>
        <v>Numerology</v>
      </c>
      <c r="BE612" s="1080" t="str">
        <f t="shared" si="575"/>
        <v>Lore</v>
      </c>
      <c r="BF612" s="1080" t="str">
        <f t="shared" si="591"/>
        <v>Materia Magica Skills</v>
      </c>
    </row>
    <row r="613" spans="1:58" ht="11.1" hidden="1" customHeight="1" outlineLevel="2">
      <c r="A613" s="1028" t="s">
        <v>1424</v>
      </c>
      <c r="B613" s="1094"/>
      <c r="C613" s="1094"/>
      <c r="D613" s="1094"/>
      <c r="E613" s="1095" t="s">
        <v>5224</v>
      </c>
      <c r="F613" s="1147" t="str">
        <f t="shared" si="612"/>
        <v>N</v>
      </c>
      <c r="G613" s="1096">
        <v>0</v>
      </c>
      <c r="H613" s="1096" t="s">
        <v>5224</v>
      </c>
      <c r="I613" s="1096" t="s">
        <v>5224</v>
      </c>
      <c r="J613" s="1096" t="s">
        <v>5224</v>
      </c>
      <c r="K613" s="1096" t="s">
        <v>5224</v>
      </c>
      <c r="L613" s="1096">
        <v>0</v>
      </c>
      <c r="M613" s="1096" t="s">
        <v>5224</v>
      </c>
      <c r="N613" s="1096" t="s">
        <v>4631</v>
      </c>
      <c r="O613" s="1034"/>
      <c r="P613" s="1113" t="s">
        <v>13</v>
      </c>
      <c r="Q613" s="1034"/>
      <c r="R613" s="1034"/>
      <c r="S613" s="1113" t="s">
        <v>13</v>
      </c>
      <c r="T613" s="1113"/>
      <c r="U613" s="1027">
        <v>0</v>
      </c>
      <c r="V613" s="1027">
        <f t="shared" si="603"/>
        <v>1</v>
      </c>
      <c r="W613" s="1098" t="e">
        <f>IF(OR(I613&lt;&gt;"N",E613="C"),IF(AND(N613&lt;&gt;"T",ISNUMBER(FIND("V",I613))),1,0),NA())+IF(H613="Y",IF(AND(N613="P",ISNUMBER(FIND("Z",I613))),2,1),0)+IF(J613="Y",1,0)+IF(K613="Y",3,0)+IF(BE613="Lore",L613*2+Experience!$D$25,0)+IF(M613="Y",1,0)</f>
        <v>#N/A</v>
      </c>
      <c r="X613" s="1099"/>
      <c r="Y613" s="1100" t="e">
        <f ca="1">IF(P613="NS",IFERROR(INDIRECT(S613),NA()),VLOOKUP(INDIRECT(P613)+INDIRECT(S613),'System Lookups'!$A$3:$D$146,2))</f>
        <v>#N/A</v>
      </c>
      <c r="Z613" s="1100">
        <f t="shared" si="613"/>
        <v>0</v>
      </c>
      <c r="AA613" s="1101">
        <f t="shared" ca="1" si="614"/>
        <v>0</v>
      </c>
      <c r="AB613" s="1102">
        <f>VLOOKUP(V$599,'System Lookups'!$J$55:$P$64,3)</f>
        <v>0.05</v>
      </c>
      <c r="AC613" s="1103">
        <f>VLOOKUP(V$599,'System Lookups'!$J$55:$P$64,4)</f>
        <v>0.1</v>
      </c>
      <c r="AD613" s="1104">
        <f t="shared" ca="1" si="605"/>
        <v>0.1</v>
      </c>
      <c r="AE613" s="1094">
        <f ca="1">(IF(AD613&gt;VLOOKUP(V613,'System Lookups'!$J$55:$P$63,6),(((AD613-VLOOKUP(V613,'System Lookups'!$J$55:$P$63,6))*100)/20),0))+AF613</f>
        <v>0</v>
      </c>
      <c r="AF613" s="1121"/>
      <c r="AG613" s="1092">
        <f t="shared" si="606"/>
        <v>0</v>
      </c>
      <c r="AH613" s="1092" t="str">
        <f>IF(X613&lt;=Experience!$R$15+1,"","*")</f>
        <v/>
      </c>
      <c r="AI613" s="1092"/>
      <c r="AJ613" s="1080">
        <f t="shared" si="607"/>
        <v>0</v>
      </c>
      <c r="AK613" s="1080">
        <f t="shared" si="596"/>
        <v>0</v>
      </c>
      <c r="AL613" s="1080">
        <f t="shared" si="608"/>
        <v>0</v>
      </c>
      <c r="AM613" s="1092">
        <f t="shared" si="598"/>
        <v>0</v>
      </c>
      <c r="AN613" s="1080">
        <f t="shared" si="599"/>
        <v>1</v>
      </c>
      <c r="AO613" s="1080">
        <f t="shared" si="609"/>
        <v>0</v>
      </c>
      <c r="AP613" s="1080">
        <f t="shared" si="610"/>
        <v>1</v>
      </c>
      <c r="AQ613" s="1027">
        <v>500</v>
      </c>
      <c r="AR613" s="1080" t="str">
        <f ca="1">IF(AND(NOT(ISBLANK(AJ613)),ISNA(MATCH(ROW(),'System Lookups'!$C$526:$C$539,0))),"Y","N")</f>
        <v>Y</v>
      </c>
      <c r="AS613" s="1080">
        <f t="shared" si="611"/>
        <v>0</v>
      </c>
      <c r="AU613" s="1080" t="e">
        <f t="shared" si="576"/>
        <v>#N/A</v>
      </c>
      <c r="AV613" s="1080" t="str">
        <f t="shared" si="574"/>
        <v>T</v>
      </c>
      <c r="AW613" s="1080">
        <f t="shared" si="577"/>
        <v>0</v>
      </c>
      <c r="AX613" s="1080">
        <f t="shared" si="578"/>
        <v>0</v>
      </c>
      <c r="AY613" s="1080">
        <f t="shared" si="579"/>
        <v>0</v>
      </c>
      <c r="AZ613" s="1080">
        <f t="shared" si="580"/>
        <v>0</v>
      </c>
      <c r="BA613" s="1080">
        <f t="shared" si="581"/>
        <v>0</v>
      </c>
      <c r="BB613" s="1080">
        <f>IF(AND(RACE=1,'Main Creation Page'!$E$6="Well",OR(ISNUMBER(FIND(Experience!$G$11,BE613)),ISNUMBER(FIND(Experience!$G$11,BF613)),ISNUMBER(FIND(Experience!$I$11,BE613)),ISNUMBER(FIND(Experience!$I$11,BF613)))),1,0)</f>
        <v>1</v>
      </c>
      <c r="BC613" s="1080" t="str">
        <f t="shared" si="590"/>
        <v>Oneiromancy</v>
      </c>
      <c r="BE613" s="1080" t="str">
        <f t="shared" si="575"/>
        <v>Lore</v>
      </c>
      <c r="BF613" s="1080" t="str">
        <f t="shared" si="591"/>
        <v>Materia Magica Skills</v>
      </c>
    </row>
    <row r="614" spans="1:58" ht="11.1" hidden="1" customHeight="1" outlineLevel="2">
      <c r="A614" s="1028" t="s">
        <v>1428</v>
      </c>
      <c r="B614" s="1094"/>
      <c r="C614" s="1094"/>
      <c r="D614" s="1094"/>
      <c r="E614" s="1095" t="s">
        <v>5224</v>
      </c>
      <c r="F614" s="1147" t="str">
        <f t="shared" si="612"/>
        <v>N</v>
      </c>
      <c r="G614" s="1096">
        <v>0</v>
      </c>
      <c r="H614" s="1096" t="s">
        <v>5224</v>
      </c>
      <c r="I614" s="1096" t="s">
        <v>5224</v>
      </c>
      <c r="J614" s="1096" t="s">
        <v>5224</v>
      </c>
      <c r="K614" s="1096" t="s">
        <v>5224</v>
      </c>
      <c r="L614" s="1096">
        <v>0</v>
      </c>
      <c r="M614" s="1096" t="s">
        <v>5224</v>
      </c>
      <c r="N614" s="1096" t="s">
        <v>4631</v>
      </c>
      <c r="O614" s="1034"/>
      <c r="P614" s="1113" t="s">
        <v>13</v>
      </c>
      <c r="Q614" s="1034"/>
      <c r="R614" s="1034"/>
      <c r="S614" s="1113" t="s">
        <v>13</v>
      </c>
      <c r="T614" s="1113"/>
      <c r="U614" s="1027">
        <v>0</v>
      </c>
      <c r="V614" s="1027">
        <f t="shared" si="603"/>
        <v>1</v>
      </c>
      <c r="W614" s="1098" t="e">
        <f>IF(OR(I614&lt;&gt;"N",E614="C"),IF(AND(N614&lt;&gt;"T",ISNUMBER(FIND("V",I614))),1,0),NA())+IF(H614="Y",IF(AND(N614="P",ISNUMBER(FIND("Z",I614))),2,1),0)+IF(J614="Y",1,0)+IF(K614="Y",3,0)+IF(BE614="Lore",L614*2+Experience!$D$25,0)+IF(M614="Y",1,0)</f>
        <v>#N/A</v>
      </c>
      <c r="X614" s="1099"/>
      <c r="Y614" s="1100" t="e">
        <f ca="1">IF(P614="NS",IFERROR(INDIRECT(S614),NA()),VLOOKUP(INDIRECT(P614)+INDIRECT(S614),'System Lookups'!$A$3:$D$146,2))</f>
        <v>#N/A</v>
      </c>
      <c r="Z614" s="1100">
        <f t="shared" si="613"/>
        <v>0</v>
      </c>
      <c r="AA614" s="1101">
        <f t="shared" ca="1" si="614"/>
        <v>0</v>
      </c>
      <c r="AB614" s="1102">
        <f>VLOOKUP(V$599,'System Lookups'!$J$55:$P$64,3)</f>
        <v>0.05</v>
      </c>
      <c r="AC614" s="1103">
        <f>VLOOKUP(V$599,'System Lookups'!$J$55:$P$64,4)</f>
        <v>0.1</v>
      </c>
      <c r="AD614" s="1104">
        <f t="shared" ca="1" si="605"/>
        <v>0.1</v>
      </c>
      <c r="AE614" s="1094">
        <f ca="1">(IF(AD614&gt;VLOOKUP(V614,'System Lookups'!$J$55:$P$63,6),(((AD614-VLOOKUP(V614,'System Lookups'!$J$55:$P$63,6))*100)/20),0))+AF614</f>
        <v>0</v>
      </c>
      <c r="AF614" s="1121"/>
      <c r="AG614" s="1092">
        <f t="shared" si="606"/>
        <v>0</v>
      </c>
      <c r="AH614" s="1092" t="str">
        <f>IF(X614&lt;=Experience!$R$15+1,"","*")</f>
        <v/>
      </c>
      <c r="AI614" s="1092"/>
      <c r="AJ614" s="1080">
        <f t="shared" si="607"/>
        <v>0</v>
      </c>
      <c r="AK614" s="1080">
        <f t="shared" si="596"/>
        <v>0</v>
      </c>
      <c r="AL614" s="1080">
        <f t="shared" si="608"/>
        <v>0</v>
      </c>
      <c r="AM614" s="1092">
        <f t="shared" si="598"/>
        <v>0</v>
      </c>
      <c r="AN614" s="1080">
        <f t="shared" si="599"/>
        <v>1</v>
      </c>
      <c r="AO614" s="1080">
        <f t="shared" si="609"/>
        <v>0</v>
      </c>
      <c r="AP614" s="1080">
        <f t="shared" si="610"/>
        <v>1</v>
      </c>
      <c r="AQ614" s="1027">
        <v>500</v>
      </c>
      <c r="AR614" s="1080" t="str">
        <f ca="1">IF(AND(NOT(ISBLANK(AJ614)),ISNA(MATCH(ROW(),'System Lookups'!$C$526:$C$539,0))),"Y","N")</f>
        <v>Y</v>
      </c>
      <c r="AS614" s="1080">
        <f t="shared" si="611"/>
        <v>0</v>
      </c>
      <c r="AU614" s="1080" t="e">
        <f t="shared" si="576"/>
        <v>#N/A</v>
      </c>
      <c r="AV614" s="1080" t="str">
        <f t="shared" si="574"/>
        <v>T</v>
      </c>
      <c r="AW614" s="1080">
        <f t="shared" si="577"/>
        <v>0</v>
      </c>
      <c r="AX614" s="1080">
        <f t="shared" si="578"/>
        <v>0</v>
      </c>
      <c r="AY614" s="1080">
        <f t="shared" si="579"/>
        <v>0</v>
      </c>
      <c r="AZ614" s="1080">
        <f t="shared" si="580"/>
        <v>0</v>
      </c>
      <c r="BA614" s="1080">
        <f t="shared" si="581"/>
        <v>0</v>
      </c>
      <c r="BB614" s="1080">
        <f>IF(AND(RACE=1,'Main Creation Page'!$E$6="Well",OR(ISNUMBER(FIND(Experience!$G$11,BE614)),ISNUMBER(FIND(Experience!$G$11,BF614)),ISNUMBER(FIND(Experience!$I$11,BE614)),ISNUMBER(FIND(Experience!$I$11,BF614)))),1,0)</f>
        <v>1</v>
      </c>
      <c r="BC614" s="1080" t="str">
        <f t="shared" si="590"/>
        <v>Ornithomancy</v>
      </c>
      <c r="BE614" s="1080" t="str">
        <f t="shared" si="575"/>
        <v>Lore</v>
      </c>
      <c r="BF614" s="1080" t="str">
        <f t="shared" si="591"/>
        <v>Materia Magica Skills</v>
      </c>
    </row>
    <row r="615" spans="1:58" ht="11.1" hidden="1" customHeight="1" outlineLevel="2">
      <c r="A615" s="1028" t="s">
        <v>1426</v>
      </c>
      <c r="B615" s="1094"/>
      <c r="C615" s="1094"/>
      <c r="D615" s="1094"/>
      <c r="E615" s="1095" t="s">
        <v>5224</v>
      </c>
      <c r="F615" s="1147" t="str">
        <f t="shared" si="612"/>
        <v>N</v>
      </c>
      <c r="G615" s="1096">
        <v>0</v>
      </c>
      <c r="H615" s="1096" t="s">
        <v>5224</v>
      </c>
      <c r="I615" s="1096" t="s">
        <v>5224</v>
      </c>
      <c r="J615" s="1096" t="s">
        <v>5224</v>
      </c>
      <c r="K615" s="1096" t="s">
        <v>5224</v>
      </c>
      <c r="L615" s="1096">
        <v>0</v>
      </c>
      <c r="M615" s="1096" t="s">
        <v>5224</v>
      </c>
      <c r="N615" s="1096" t="s">
        <v>4631</v>
      </c>
      <c r="O615" s="1034"/>
      <c r="P615" s="1113" t="s">
        <v>13</v>
      </c>
      <c r="Q615" s="1034"/>
      <c r="R615" s="1034"/>
      <c r="S615" s="1113" t="s">
        <v>13</v>
      </c>
      <c r="T615" s="1113"/>
      <c r="U615" s="1027">
        <v>0</v>
      </c>
      <c r="V615" s="1027">
        <f t="shared" si="603"/>
        <v>1</v>
      </c>
      <c r="W615" s="1098" t="e">
        <f>IF(OR(I615&lt;&gt;"N",E615="C"),IF(AND(N615&lt;&gt;"T",ISNUMBER(FIND("V",I615))),1,0),NA())+IF(H615="Y",IF(AND(N615="P",ISNUMBER(FIND("Z",I615))),2,1),0)+IF(J615="Y",1,0)+IF(K615="Y",3,0)+IF(BE615="Lore",L615*2+Experience!$D$25,0)+IF(M615="Y",1,0)</f>
        <v>#N/A</v>
      </c>
      <c r="X615" s="1099"/>
      <c r="Y615" s="1100" t="e">
        <f ca="1">IF(P615="NS",IFERROR(INDIRECT(S615),NA()),VLOOKUP(INDIRECT(P615)+INDIRECT(S615),'System Lookups'!$A$3:$D$146,2))</f>
        <v>#N/A</v>
      </c>
      <c r="Z615" s="1100">
        <f t="shared" si="613"/>
        <v>0</v>
      </c>
      <c r="AA615" s="1101">
        <f t="shared" ca="1" si="614"/>
        <v>0</v>
      </c>
      <c r="AB615" s="1102">
        <f>VLOOKUP(V$599,'System Lookups'!$J$55:$P$64,3)</f>
        <v>0.05</v>
      </c>
      <c r="AC615" s="1103">
        <f>VLOOKUP(V$599,'System Lookups'!$J$55:$P$64,4)</f>
        <v>0.1</v>
      </c>
      <c r="AD615" s="1104">
        <f t="shared" ca="1" si="605"/>
        <v>0.1</v>
      </c>
      <c r="AE615" s="1094">
        <f ca="1">(IF(AD615&gt;VLOOKUP(V615,'System Lookups'!$J$55:$P$63,6),(((AD615-VLOOKUP(V615,'System Lookups'!$J$55:$P$63,6))*100)/20),0))+AF615</f>
        <v>0</v>
      </c>
      <c r="AF615" s="1121"/>
      <c r="AG615" s="1092">
        <f t="shared" si="606"/>
        <v>0</v>
      </c>
      <c r="AH615" s="1092" t="str">
        <f>IF(X615&lt;=Experience!$R$15+1,"","*")</f>
        <v/>
      </c>
      <c r="AI615" s="1092"/>
      <c r="AJ615" s="1080">
        <f t="shared" si="607"/>
        <v>0</v>
      </c>
      <c r="AK615" s="1080">
        <f t="shared" si="596"/>
        <v>0</v>
      </c>
      <c r="AL615" s="1080">
        <f t="shared" si="608"/>
        <v>0</v>
      </c>
      <c r="AM615" s="1092">
        <f t="shared" si="598"/>
        <v>0</v>
      </c>
      <c r="AN615" s="1080">
        <f t="shared" si="599"/>
        <v>1</v>
      </c>
      <c r="AO615" s="1080">
        <f t="shared" si="609"/>
        <v>0</v>
      </c>
      <c r="AP615" s="1080">
        <f t="shared" si="610"/>
        <v>1</v>
      </c>
      <c r="AQ615" s="1027">
        <v>500</v>
      </c>
      <c r="AR615" s="1080" t="str">
        <f ca="1">IF(AND(NOT(ISBLANK(AJ615)),ISNA(MATCH(ROW(),'System Lookups'!$C$526:$C$539,0))),"Y","N")</f>
        <v>Y</v>
      </c>
      <c r="AS615" s="1080">
        <f t="shared" si="611"/>
        <v>0</v>
      </c>
      <c r="AU615" s="1080" t="e">
        <f t="shared" si="576"/>
        <v>#N/A</v>
      </c>
      <c r="AV615" s="1080" t="str">
        <f t="shared" si="574"/>
        <v>T</v>
      </c>
      <c r="AW615" s="1080">
        <f t="shared" si="577"/>
        <v>0</v>
      </c>
      <c r="AX615" s="1080">
        <f t="shared" si="578"/>
        <v>0</v>
      </c>
      <c r="AY615" s="1080">
        <f t="shared" si="579"/>
        <v>0</v>
      </c>
      <c r="AZ615" s="1080">
        <f t="shared" si="580"/>
        <v>0</v>
      </c>
      <c r="BA615" s="1080">
        <f t="shared" si="581"/>
        <v>0</v>
      </c>
      <c r="BB615" s="1080">
        <f>IF(AND(RACE=1,'Main Creation Page'!$E$6="Well",OR(ISNUMBER(FIND(Experience!$G$11,BE615)),ISNUMBER(FIND(Experience!$G$11,BF615)),ISNUMBER(FIND(Experience!$I$11,BE615)),ISNUMBER(FIND(Experience!$I$11,BF615)))),1,0)</f>
        <v>1</v>
      </c>
      <c r="BC615" s="1080" t="str">
        <f t="shared" si="590"/>
        <v>Pyromancy</v>
      </c>
      <c r="BE615" s="1080" t="str">
        <f t="shared" si="575"/>
        <v>Lore</v>
      </c>
      <c r="BF615" s="1080" t="str">
        <f t="shared" si="591"/>
        <v>Materia Magica Skills</v>
      </c>
    </row>
    <row r="616" spans="1:58" ht="11.1" hidden="1" customHeight="1" outlineLevel="2">
      <c r="A616" s="1028" t="s">
        <v>953</v>
      </c>
      <c r="B616" s="1094"/>
      <c r="C616" s="1094"/>
      <c r="D616" s="1094"/>
      <c r="E616" s="1095" t="s">
        <v>5224</v>
      </c>
      <c r="F616" s="1147" t="str">
        <f t="shared" si="612"/>
        <v>N</v>
      </c>
      <c r="G616" s="1096">
        <v>0</v>
      </c>
      <c r="H616" s="1096" t="s">
        <v>5224</v>
      </c>
      <c r="I616" s="1096" t="s">
        <v>5224</v>
      </c>
      <c r="J616" s="1096" t="s">
        <v>5224</v>
      </c>
      <c r="K616" s="1096" t="s">
        <v>5224</v>
      </c>
      <c r="L616" s="1096">
        <v>0</v>
      </c>
      <c r="M616" s="1096" t="s">
        <v>5224</v>
      </c>
      <c r="N616" s="1096" t="s">
        <v>4631</v>
      </c>
      <c r="O616" s="1034"/>
      <c r="P616" s="1113" t="s">
        <v>13</v>
      </c>
      <c r="Q616" s="1034"/>
      <c r="R616" s="1034"/>
      <c r="S616" s="1113" t="s">
        <v>13</v>
      </c>
      <c r="T616" s="1113"/>
      <c r="U616" s="1027">
        <v>0</v>
      </c>
      <c r="V616" s="1027">
        <f t="shared" si="603"/>
        <v>1</v>
      </c>
      <c r="W616" s="1098" t="e">
        <f>IF(OR(I616&lt;&gt;"N",E616="C"),IF(AND(N616&lt;&gt;"T",ISNUMBER(FIND("V",I616))),1,0),NA())+IF(H616="Y",IF(AND(N616="P",ISNUMBER(FIND("Z",I616))),2,1),0)+IF(J616="Y",1,0)+IF(K616="Y",3,0)+IF(BE616="Lore",L616*2+Experience!$D$25,0)+IF(M616="Y",1,0)</f>
        <v>#N/A</v>
      </c>
      <c r="X616" s="1099"/>
      <c r="Y616" s="1100" t="e">
        <f ca="1">IF(P616="NS",IFERROR(INDIRECT(S616),NA()),VLOOKUP(INDIRECT(P616)+INDIRECT(S616),'System Lookups'!$A$3:$D$146,2))</f>
        <v>#N/A</v>
      </c>
      <c r="Z616" s="1100">
        <f t="shared" si="613"/>
        <v>0</v>
      </c>
      <c r="AA616" s="1101">
        <f t="shared" ca="1" si="614"/>
        <v>0</v>
      </c>
      <c r="AB616" s="1102">
        <f>VLOOKUP(V$599,'System Lookups'!$J$55:$P$64,3)</f>
        <v>0.05</v>
      </c>
      <c r="AC616" s="1103">
        <f>VLOOKUP(V$599,'System Lookups'!$J$55:$P$64,4)</f>
        <v>0.1</v>
      </c>
      <c r="AD616" s="1104">
        <f t="shared" ca="1" si="605"/>
        <v>0.1</v>
      </c>
      <c r="AE616" s="1094">
        <f ca="1">(IF(AD616&gt;VLOOKUP(V616,'System Lookups'!$J$55:$P$63,6),(((AD616-VLOOKUP(V616,'System Lookups'!$J$55:$P$63,6))*100)/20),0))+AF616</f>
        <v>0</v>
      </c>
      <c r="AF616" s="1121"/>
      <c r="AG616" s="1092">
        <f t="shared" si="606"/>
        <v>0</v>
      </c>
      <c r="AH616" s="1092" t="str">
        <f>IF(X616&lt;=Experience!$R$15+1,"","*")</f>
        <v/>
      </c>
      <c r="AI616" s="1092"/>
      <c r="AJ616" s="1080">
        <f t="shared" si="607"/>
        <v>0</v>
      </c>
      <c r="AK616" s="1080">
        <f t="shared" si="596"/>
        <v>0</v>
      </c>
      <c r="AL616" s="1080">
        <f t="shared" si="608"/>
        <v>0</v>
      </c>
      <c r="AM616" s="1092">
        <f t="shared" si="598"/>
        <v>0</v>
      </c>
      <c r="AN616" s="1080">
        <f t="shared" si="599"/>
        <v>1</v>
      </c>
      <c r="AO616" s="1080">
        <f t="shared" si="609"/>
        <v>0</v>
      </c>
      <c r="AP616" s="1080">
        <f t="shared" si="610"/>
        <v>1</v>
      </c>
      <c r="AQ616" s="1027">
        <v>500</v>
      </c>
      <c r="AR616" s="1080" t="str">
        <f ca="1">IF(AND(NOT(ISBLANK(AJ616)),ISNA(MATCH(ROW(),'System Lookups'!$C$526:$C$539,0))),"Y","N")</f>
        <v>Y</v>
      </c>
      <c r="AS616" s="1080">
        <f t="shared" si="611"/>
        <v>0</v>
      </c>
      <c r="AU616" s="1080" t="e">
        <f t="shared" si="576"/>
        <v>#N/A</v>
      </c>
      <c r="AV616" s="1080" t="str">
        <f t="shared" si="574"/>
        <v>T</v>
      </c>
      <c r="AW616" s="1080">
        <f t="shared" si="577"/>
        <v>0</v>
      </c>
      <c r="AX616" s="1080">
        <f t="shared" si="578"/>
        <v>0</v>
      </c>
      <c r="AY616" s="1080">
        <f t="shared" si="579"/>
        <v>0</v>
      </c>
      <c r="AZ616" s="1080">
        <f t="shared" si="580"/>
        <v>0</v>
      </c>
      <c r="BA616" s="1080">
        <f t="shared" si="581"/>
        <v>0</v>
      </c>
      <c r="BB616" s="1080">
        <f>IF(AND(RACE=1,'Main Creation Page'!$E$6="Well",OR(ISNUMBER(FIND(Experience!$G$11,BE616)),ISNUMBER(FIND(Experience!$G$11,BF616)),ISNUMBER(FIND(Experience!$I$11,BE616)),ISNUMBER(FIND(Experience!$I$11,BF616)))),1,0)</f>
        <v>1</v>
      </c>
      <c r="BC616" s="1080" t="str">
        <f t="shared" si="590"/>
        <v>Radiesthesia</v>
      </c>
      <c r="BE616" s="1080" t="str">
        <f t="shared" si="575"/>
        <v>Lore</v>
      </c>
      <c r="BF616" s="1080" t="str">
        <f t="shared" si="591"/>
        <v>Materia Magica Skills</v>
      </c>
    </row>
    <row r="617" spans="1:58" ht="11.1" hidden="1" customHeight="1" outlineLevel="2">
      <c r="A617" s="1028" t="s">
        <v>954</v>
      </c>
      <c r="B617" s="1094"/>
      <c r="C617" s="1094"/>
      <c r="D617" s="1094"/>
      <c r="E617" s="1095" t="s">
        <v>5224</v>
      </c>
      <c r="F617" s="1147" t="str">
        <f t="shared" si="612"/>
        <v>N</v>
      </c>
      <c r="G617" s="1096">
        <v>0</v>
      </c>
      <c r="H617" s="1096" t="s">
        <v>5224</v>
      </c>
      <c r="I617" s="1096" t="s">
        <v>5224</v>
      </c>
      <c r="J617" s="1096" t="s">
        <v>5224</v>
      </c>
      <c r="K617" s="1096" t="s">
        <v>5224</v>
      </c>
      <c r="L617" s="1096">
        <v>0</v>
      </c>
      <c r="M617" s="1096" t="s">
        <v>5224</v>
      </c>
      <c r="N617" s="1096" t="s">
        <v>4631</v>
      </c>
      <c r="O617" s="1034"/>
      <c r="P617" s="1113" t="s">
        <v>13</v>
      </c>
      <c r="Q617" s="1034"/>
      <c r="R617" s="1034"/>
      <c r="S617" s="1113" t="s">
        <v>13</v>
      </c>
      <c r="T617" s="1113"/>
      <c r="U617" s="1027">
        <v>0</v>
      </c>
      <c r="V617" s="1027">
        <f t="shared" si="603"/>
        <v>1</v>
      </c>
      <c r="W617" s="1098" t="e">
        <f>IF(OR(I617&lt;&gt;"N",E617="C"),IF(AND(N617&lt;&gt;"T",ISNUMBER(FIND("V",I617))),1,0),NA())+IF(H617="Y",IF(AND(N617="P",ISNUMBER(FIND("Z",I617))),2,1),0)+IF(J617="Y",1,0)+IF(K617="Y",3,0)+IF(BE617="Lore",L617*2+Experience!$D$25,0)+IF(M617="Y",1,0)</f>
        <v>#N/A</v>
      </c>
      <c r="X617" s="1099"/>
      <c r="Y617" s="1100" t="e">
        <f ca="1">IF(P617="NS",IFERROR(INDIRECT(S617),NA()),VLOOKUP(INDIRECT(P617)+INDIRECT(S617),'System Lookups'!$A$3:$D$146,2))</f>
        <v>#N/A</v>
      </c>
      <c r="Z617" s="1100">
        <f t="shared" si="613"/>
        <v>0</v>
      </c>
      <c r="AA617" s="1101">
        <f t="shared" ca="1" si="614"/>
        <v>0</v>
      </c>
      <c r="AB617" s="1102">
        <f>VLOOKUP(V$599,'System Lookups'!$J$55:$P$64,3)</f>
        <v>0.05</v>
      </c>
      <c r="AC617" s="1103">
        <f>VLOOKUP(V$599,'System Lookups'!$J$55:$P$64,4)</f>
        <v>0.1</v>
      </c>
      <c r="AD617" s="1104">
        <f t="shared" ca="1" si="605"/>
        <v>0.1</v>
      </c>
      <c r="AE617" s="1094">
        <f ca="1">(IF(AD617&gt;VLOOKUP(V617,'System Lookups'!$J$55:$P$63,6),(((AD617-VLOOKUP(V617,'System Lookups'!$J$55:$P$63,6))*100)/20),0))+AF617</f>
        <v>0</v>
      </c>
      <c r="AF617" s="1121"/>
      <c r="AG617" s="1092">
        <f t="shared" si="606"/>
        <v>0</v>
      </c>
      <c r="AH617" s="1092" t="str">
        <f>IF(X617&lt;=Experience!$R$15+1,"","*")</f>
        <v/>
      </c>
      <c r="AI617" s="1092"/>
      <c r="AJ617" s="1080">
        <f t="shared" si="607"/>
        <v>0</v>
      </c>
      <c r="AK617" s="1080">
        <f t="shared" si="596"/>
        <v>0</v>
      </c>
      <c r="AL617" s="1080">
        <f t="shared" si="608"/>
        <v>0</v>
      </c>
      <c r="AM617" s="1092">
        <f t="shared" si="598"/>
        <v>0</v>
      </c>
      <c r="AN617" s="1080">
        <f t="shared" si="599"/>
        <v>1</v>
      </c>
      <c r="AO617" s="1080">
        <f t="shared" si="609"/>
        <v>0</v>
      </c>
      <c r="AP617" s="1080">
        <f t="shared" si="610"/>
        <v>1</v>
      </c>
      <c r="AQ617" s="1027">
        <v>500</v>
      </c>
      <c r="AR617" s="1080" t="str">
        <f ca="1">IF(AND(NOT(ISBLANK(AJ617)),ISNA(MATCH(ROW(),'System Lookups'!$C$526:$C$539,0))),"Y","N")</f>
        <v>Y</v>
      </c>
      <c r="AS617" s="1080">
        <f t="shared" si="611"/>
        <v>0</v>
      </c>
      <c r="AU617" s="1080" t="e">
        <f t="shared" si="576"/>
        <v>#N/A</v>
      </c>
      <c r="AV617" s="1080" t="str">
        <f t="shared" si="574"/>
        <v>T</v>
      </c>
      <c r="AW617" s="1080">
        <f t="shared" si="577"/>
        <v>0</v>
      </c>
      <c r="AX617" s="1080">
        <f t="shared" si="578"/>
        <v>0</v>
      </c>
      <c r="AY617" s="1080">
        <f t="shared" si="579"/>
        <v>0</v>
      </c>
      <c r="AZ617" s="1080">
        <f t="shared" si="580"/>
        <v>0</v>
      </c>
      <c r="BA617" s="1080">
        <f t="shared" si="581"/>
        <v>0</v>
      </c>
      <c r="BB617" s="1080">
        <f>IF(AND(RACE=1,'Main Creation Page'!$E$6="Well",OR(ISNUMBER(FIND(Experience!$G$11,BE617)),ISNUMBER(FIND(Experience!$G$11,BF617)),ISNUMBER(FIND(Experience!$I$11,BE617)),ISNUMBER(FIND(Experience!$I$11,BF617)))),1,0)</f>
        <v>1</v>
      </c>
      <c r="BC617" s="1080" t="str">
        <f t="shared" si="590"/>
        <v>Rhabdomancy (Runic / I-Ching)</v>
      </c>
      <c r="BE617" s="1080" t="str">
        <f t="shared" si="575"/>
        <v>Lore</v>
      </c>
      <c r="BF617" s="1080" t="str">
        <f t="shared" si="591"/>
        <v>Materia Magica Skills</v>
      </c>
    </row>
    <row r="618" spans="1:58" ht="11.1" hidden="1" customHeight="1" outlineLevel="2">
      <c r="A618" s="1028" t="s">
        <v>1427</v>
      </c>
      <c r="B618" s="1094"/>
      <c r="C618" s="1094"/>
      <c r="D618" s="1094"/>
      <c r="E618" s="1095" t="s">
        <v>5224</v>
      </c>
      <c r="F618" s="1147" t="str">
        <f t="shared" si="612"/>
        <v>N</v>
      </c>
      <c r="G618" s="1096">
        <v>0</v>
      </c>
      <c r="H618" s="1096" t="s">
        <v>5224</v>
      </c>
      <c r="I618" s="1096" t="s">
        <v>5224</v>
      </c>
      <c r="J618" s="1096" t="s">
        <v>5224</v>
      </c>
      <c r="K618" s="1096" t="s">
        <v>5224</v>
      </c>
      <c r="L618" s="1096">
        <v>0</v>
      </c>
      <c r="M618" s="1096" t="s">
        <v>5224</v>
      </c>
      <c r="N618" s="1096" t="s">
        <v>4631</v>
      </c>
      <c r="O618" s="1034"/>
      <c r="P618" s="1113" t="s">
        <v>13</v>
      </c>
      <c r="Q618" s="1034"/>
      <c r="R618" s="1034"/>
      <c r="S618" s="1113" t="s">
        <v>13</v>
      </c>
      <c r="T618" s="1113"/>
      <c r="U618" s="1027">
        <v>0</v>
      </c>
      <c r="V618" s="1027">
        <f t="shared" si="603"/>
        <v>1</v>
      </c>
      <c r="W618" s="1098" t="e">
        <f>IF(OR(I618&lt;&gt;"N",E618="C"),IF(AND(N618&lt;&gt;"T",ISNUMBER(FIND("V",I618))),1,0),NA())+IF(H618="Y",IF(AND(N618="P",ISNUMBER(FIND("Z",I618))),2,1),0)+IF(J618="Y",1,0)+IF(K618="Y",3,0)+IF(BE618="Lore",L618*2+Experience!$D$25,0)+IF(M618="Y",1,0)</f>
        <v>#N/A</v>
      </c>
      <c r="X618" s="1099"/>
      <c r="Y618" s="1100" t="e">
        <f ca="1">IF(P618="NS",IFERROR(INDIRECT(S618),NA()),VLOOKUP(INDIRECT(P618)+INDIRECT(S618),'System Lookups'!$A$3:$D$146,2))</f>
        <v>#N/A</v>
      </c>
      <c r="Z618" s="1100">
        <f t="shared" si="613"/>
        <v>0</v>
      </c>
      <c r="AA618" s="1101">
        <f t="shared" ca="1" si="614"/>
        <v>0</v>
      </c>
      <c r="AB618" s="1102">
        <f>VLOOKUP(V$599,'System Lookups'!$J$55:$P$64,3)</f>
        <v>0.05</v>
      </c>
      <c r="AC618" s="1103">
        <f>VLOOKUP(V$599,'System Lookups'!$J$55:$P$64,4)</f>
        <v>0.1</v>
      </c>
      <c r="AD618" s="1104">
        <f t="shared" ca="1" si="605"/>
        <v>0.1</v>
      </c>
      <c r="AE618" s="1094">
        <f ca="1">(IF(AD618&gt;VLOOKUP(V618,'System Lookups'!$J$55:$P$63,6),(((AD618-VLOOKUP(V618,'System Lookups'!$J$55:$P$63,6))*100)/20),0))+AF618</f>
        <v>0</v>
      </c>
      <c r="AF618" s="1121"/>
      <c r="AG618" s="1092">
        <f t="shared" si="606"/>
        <v>0</v>
      </c>
      <c r="AH618" s="1092" t="str">
        <f>IF(X618&lt;=Experience!$R$15+1,"","*")</f>
        <v/>
      </c>
      <c r="AI618" s="1092"/>
      <c r="AJ618" s="1080">
        <f t="shared" si="607"/>
        <v>0</v>
      </c>
      <c r="AK618" s="1080">
        <f t="shared" si="596"/>
        <v>0</v>
      </c>
      <c r="AL618" s="1080">
        <f t="shared" si="608"/>
        <v>0</v>
      </c>
      <c r="AM618" s="1092">
        <f t="shared" si="598"/>
        <v>0</v>
      </c>
      <c r="AN618" s="1080">
        <f t="shared" si="599"/>
        <v>1</v>
      </c>
      <c r="AO618" s="1080">
        <f t="shared" si="609"/>
        <v>0</v>
      </c>
      <c r="AP618" s="1080">
        <f t="shared" si="610"/>
        <v>1</v>
      </c>
      <c r="AQ618" s="1027">
        <v>500</v>
      </c>
      <c r="AR618" s="1080" t="str">
        <f ca="1">IF(AND(NOT(ISBLANK(AJ618)),ISNA(MATCH(ROW(),'System Lookups'!$C$526:$C$539,0))),"Y","N")</f>
        <v>Y</v>
      </c>
      <c r="AS618" s="1080">
        <f t="shared" si="611"/>
        <v>0</v>
      </c>
      <c r="AU618" s="1080" t="e">
        <f t="shared" si="576"/>
        <v>#N/A</v>
      </c>
      <c r="AV618" s="1080" t="str">
        <f t="shared" si="574"/>
        <v>T</v>
      </c>
      <c r="AW618" s="1080">
        <f t="shared" si="577"/>
        <v>0</v>
      </c>
      <c r="AX618" s="1080">
        <f t="shared" si="578"/>
        <v>0</v>
      </c>
      <c r="AY618" s="1080">
        <f t="shared" si="579"/>
        <v>0</v>
      </c>
      <c r="AZ618" s="1080">
        <f t="shared" si="580"/>
        <v>0</v>
      </c>
      <c r="BA618" s="1080">
        <f t="shared" si="581"/>
        <v>0</v>
      </c>
      <c r="BB618" s="1080">
        <f>IF(AND(RACE=1,'Main Creation Page'!$E$6="Well",OR(ISNUMBER(FIND(Experience!$G$11,BE618)),ISNUMBER(FIND(Experience!$G$11,BF618)),ISNUMBER(FIND(Experience!$I$11,BE618)),ISNUMBER(FIND(Experience!$I$11,BF618)))),1,0)</f>
        <v>1</v>
      </c>
      <c r="BC618" s="1080" t="str">
        <f t="shared" si="590"/>
        <v>Scapulomancy</v>
      </c>
      <c r="BE618" s="1080" t="str">
        <f t="shared" si="575"/>
        <v>Lore</v>
      </c>
      <c r="BF618" s="1080" t="str">
        <f t="shared" si="591"/>
        <v>Materia Magica Skills</v>
      </c>
    </row>
    <row r="619" spans="1:58" ht="11.1" hidden="1" customHeight="1" outlineLevel="2">
      <c r="A619" s="1028" t="s">
        <v>2362</v>
      </c>
      <c r="B619" s="1094"/>
      <c r="C619" s="1094"/>
      <c r="D619" s="1094"/>
      <c r="E619" s="1095" t="s">
        <v>5224</v>
      </c>
      <c r="F619" s="1147" t="str">
        <f t="shared" si="612"/>
        <v>N</v>
      </c>
      <c r="G619" s="1096">
        <v>0</v>
      </c>
      <c r="H619" s="1096" t="s">
        <v>5224</v>
      </c>
      <c r="I619" s="1096" t="s">
        <v>5224</v>
      </c>
      <c r="J619" s="1096" t="s">
        <v>5224</v>
      </c>
      <c r="K619" s="1096" t="s">
        <v>5224</v>
      </c>
      <c r="L619" s="1096">
        <v>0</v>
      </c>
      <c r="M619" s="1096" t="s">
        <v>5224</v>
      </c>
      <c r="N619" s="1096" t="s">
        <v>4631</v>
      </c>
      <c r="O619" s="1034"/>
      <c r="P619" s="1113" t="s">
        <v>13</v>
      </c>
      <c r="Q619" s="1034"/>
      <c r="R619" s="1034"/>
      <c r="S619" s="1113" t="s">
        <v>13</v>
      </c>
      <c r="T619" s="1113"/>
      <c r="U619" s="1027">
        <v>0</v>
      </c>
      <c r="V619" s="1027">
        <f t="shared" si="603"/>
        <v>1</v>
      </c>
      <c r="W619" s="1098" t="e">
        <f>IF(OR(I619&lt;&gt;"N",E619="C"),IF(AND(N619&lt;&gt;"T",ISNUMBER(FIND("V",I619))),1,0),NA())+IF(H619="Y",IF(AND(N619="P",ISNUMBER(FIND("Z",I619))),2,1),0)+IF(J619="Y",1,0)+IF(K619="Y",3,0)+IF(BE619="Lore",L619*2+Experience!$D$25,0)+IF(M619="Y",1,0)</f>
        <v>#N/A</v>
      </c>
      <c r="X619" s="1099"/>
      <c r="Y619" s="1100" t="e">
        <f ca="1">IF(P619="NS",IFERROR(INDIRECT(S619),NA()),VLOOKUP(INDIRECT(P619)+INDIRECT(S619),'System Lookups'!$A$3:$D$146,2))</f>
        <v>#N/A</v>
      </c>
      <c r="Z619" s="1100">
        <f t="shared" si="613"/>
        <v>0</v>
      </c>
      <c r="AA619" s="1101">
        <f t="shared" ca="1" si="614"/>
        <v>0</v>
      </c>
      <c r="AB619" s="1102">
        <f>VLOOKUP(V$599,'System Lookups'!$J$55:$P$64,3)</f>
        <v>0.05</v>
      </c>
      <c r="AC619" s="1103">
        <f>VLOOKUP(V$599,'System Lookups'!$J$55:$P$64,4)</f>
        <v>0.1</v>
      </c>
      <c r="AD619" s="1104">
        <f t="shared" ca="1" si="605"/>
        <v>0.1</v>
      </c>
      <c r="AE619" s="1094">
        <f ca="1">(IF(AD619&gt;VLOOKUP(V619,'System Lookups'!$J$55:$P$63,6),(((AD619-VLOOKUP(V619,'System Lookups'!$J$55:$P$63,6))*100)/20),0))+AF619</f>
        <v>0</v>
      </c>
      <c r="AF619" s="1121"/>
      <c r="AG619" s="1092">
        <f t="shared" si="606"/>
        <v>0</v>
      </c>
      <c r="AH619" s="1092" t="str">
        <f>IF(X619&lt;=Experience!$R$15+1,"","*")</f>
        <v/>
      </c>
      <c r="AI619" s="1092"/>
      <c r="AJ619" s="1080">
        <f t="shared" si="607"/>
        <v>0</v>
      </c>
      <c r="AK619" s="1080">
        <f t="shared" si="596"/>
        <v>0</v>
      </c>
      <c r="AL619" s="1080">
        <f t="shared" si="608"/>
        <v>0</v>
      </c>
      <c r="AM619" s="1092">
        <f t="shared" si="598"/>
        <v>0</v>
      </c>
      <c r="AN619" s="1080">
        <f t="shared" si="599"/>
        <v>1</v>
      </c>
      <c r="AO619" s="1080">
        <f t="shared" si="609"/>
        <v>0</v>
      </c>
      <c r="AP619" s="1080">
        <f t="shared" si="610"/>
        <v>1</v>
      </c>
      <c r="AQ619" s="1027">
        <v>500</v>
      </c>
      <c r="AR619" s="1080" t="str">
        <f ca="1">IF(AND(NOT(ISBLANK(AJ619)),ISNA(MATCH(ROW(),'System Lookups'!$C$526:$C$539,0))),"Y","N")</f>
        <v>Y</v>
      </c>
      <c r="AS619" s="1080">
        <f t="shared" si="611"/>
        <v>0</v>
      </c>
      <c r="AU619" s="1080" t="e">
        <f t="shared" si="576"/>
        <v>#N/A</v>
      </c>
      <c r="AV619" s="1080" t="str">
        <f t="shared" si="574"/>
        <v>T</v>
      </c>
      <c r="AW619" s="1080">
        <f t="shared" si="577"/>
        <v>0</v>
      </c>
      <c r="AX619" s="1080">
        <f t="shared" si="578"/>
        <v>0</v>
      </c>
      <c r="AY619" s="1080">
        <f t="shared" si="579"/>
        <v>0</v>
      </c>
      <c r="AZ619" s="1080">
        <f t="shared" si="580"/>
        <v>0</v>
      </c>
      <c r="BA619" s="1080">
        <f t="shared" si="581"/>
        <v>0</v>
      </c>
      <c r="BB619" s="1080">
        <f>IF(AND(RACE=1,'Main Creation Page'!$E$6="Well",OR(ISNUMBER(FIND(Experience!$G$11,BE619)),ISNUMBER(FIND(Experience!$G$11,BF619)),ISNUMBER(FIND(Experience!$I$11,BE619)),ISNUMBER(FIND(Experience!$I$11,BF619)))),1,0)</f>
        <v>1</v>
      </c>
      <c r="BC619" s="1080" t="str">
        <f t="shared" si="590"/>
        <v>Scrying</v>
      </c>
      <c r="BE619" s="1080" t="str">
        <f t="shared" si="575"/>
        <v>Lore</v>
      </c>
      <c r="BF619" s="1080" t="str">
        <f t="shared" si="591"/>
        <v>Materia Magica Skills</v>
      </c>
    </row>
    <row r="620" spans="1:58" ht="11.1" hidden="1" customHeight="1" outlineLevel="2">
      <c r="A620" s="1028" t="s">
        <v>1429</v>
      </c>
      <c r="B620" s="1094"/>
      <c r="C620" s="1094"/>
      <c r="D620" s="1094"/>
      <c r="E620" s="1095" t="s">
        <v>5224</v>
      </c>
      <c r="F620" s="1147" t="str">
        <f t="shared" si="612"/>
        <v>N</v>
      </c>
      <c r="G620" s="1096">
        <v>0</v>
      </c>
      <c r="H620" s="1096" t="s">
        <v>5224</v>
      </c>
      <c r="I620" s="1096" t="s">
        <v>5224</v>
      </c>
      <c r="J620" s="1096" t="s">
        <v>5224</v>
      </c>
      <c r="K620" s="1096" t="s">
        <v>5224</v>
      </c>
      <c r="L620" s="1096">
        <v>0</v>
      </c>
      <c r="M620" s="1096" t="s">
        <v>5224</v>
      </c>
      <c r="N620" s="1096" t="s">
        <v>4631</v>
      </c>
      <c r="O620" s="1034"/>
      <c r="P620" s="1113" t="s">
        <v>13</v>
      </c>
      <c r="Q620" s="1034"/>
      <c r="R620" s="1034"/>
      <c r="S620" s="1113" t="s">
        <v>13</v>
      </c>
      <c r="T620" s="1113"/>
      <c r="U620" s="1027">
        <v>0</v>
      </c>
      <c r="V620" s="1027">
        <f t="shared" si="603"/>
        <v>1</v>
      </c>
      <c r="W620" s="1098" t="e">
        <f>IF(OR(I620&lt;&gt;"N",E620="C"),IF(AND(N620&lt;&gt;"T",ISNUMBER(FIND("V",I620))),1,0),NA())+IF(H620="Y",IF(AND(N620="P",ISNUMBER(FIND("Z",I620))),2,1),0)+IF(J620="Y",1,0)+IF(K620="Y",3,0)+IF(BE620="Lore",L620*2+Experience!$D$25,0)+IF(M620="Y",1,0)</f>
        <v>#N/A</v>
      </c>
      <c r="X620" s="1099"/>
      <c r="Y620" s="1100" t="e">
        <f ca="1">IF(P620="NS",IFERROR(INDIRECT(S620),NA()),VLOOKUP(INDIRECT(P620)+INDIRECT(S620),'System Lookups'!$A$3:$D$146,2))</f>
        <v>#N/A</v>
      </c>
      <c r="Z620" s="1100">
        <f t="shared" si="613"/>
        <v>0</v>
      </c>
      <c r="AA620" s="1101">
        <f t="shared" ca="1" si="614"/>
        <v>0</v>
      </c>
      <c r="AB620" s="1102">
        <f>VLOOKUP(V$599,'System Lookups'!$J$55:$P$64,3)</f>
        <v>0.05</v>
      </c>
      <c r="AC620" s="1103">
        <f>VLOOKUP(V$599,'System Lookups'!$J$55:$P$64,4)</f>
        <v>0.1</v>
      </c>
      <c r="AD620" s="1104">
        <f t="shared" ca="1" si="605"/>
        <v>0.1</v>
      </c>
      <c r="AE620" s="1094">
        <f ca="1">(IF(AD620&gt;VLOOKUP(V620,'System Lookups'!$J$55:$P$63,6),(((AD620-VLOOKUP(V620,'System Lookups'!$J$55:$P$63,6))*100)/20),0))+AF620</f>
        <v>0</v>
      </c>
      <c r="AF620" s="1121"/>
      <c r="AG620" s="1092">
        <f t="shared" si="606"/>
        <v>0</v>
      </c>
      <c r="AH620" s="1092" t="str">
        <f>IF(X620&lt;=Experience!$R$15+1,"","*")</f>
        <v/>
      </c>
      <c r="AI620" s="1092"/>
      <c r="AJ620" s="1080">
        <f t="shared" si="607"/>
        <v>0</v>
      </c>
      <c r="AK620" s="1080">
        <f t="shared" si="596"/>
        <v>0</v>
      </c>
      <c r="AL620" s="1080">
        <f t="shared" si="608"/>
        <v>0</v>
      </c>
      <c r="AM620" s="1092">
        <f t="shared" si="598"/>
        <v>0</v>
      </c>
      <c r="AN620" s="1080">
        <f t="shared" si="599"/>
        <v>1</v>
      </c>
      <c r="AO620" s="1080">
        <f t="shared" si="609"/>
        <v>0</v>
      </c>
      <c r="AP620" s="1080">
        <f t="shared" si="610"/>
        <v>1</v>
      </c>
      <c r="AQ620" s="1027">
        <v>500</v>
      </c>
      <c r="AR620" s="1080" t="str">
        <f ca="1">IF(AND(NOT(ISBLANK(AJ620)),ISNA(MATCH(ROW(),'System Lookups'!$C$526:$C$539,0))),"Y","N")</f>
        <v>Y</v>
      </c>
      <c r="AS620" s="1080">
        <f t="shared" si="611"/>
        <v>0</v>
      </c>
      <c r="AU620" s="1080" t="e">
        <f t="shared" si="576"/>
        <v>#N/A</v>
      </c>
      <c r="AV620" s="1080" t="str">
        <f t="shared" si="574"/>
        <v>T</v>
      </c>
      <c r="AW620" s="1080">
        <f t="shared" si="577"/>
        <v>0</v>
      </c>
      <c r="AX620" s="1080">
        <f t="shared" si="578"/>
        <v>0</v>
      </c>
      <c r="AY620" s="1080">
        <f t="shared" si="579"/>
        <v>0</v>
      </c>
      <c r="AZ620" s="1080">
        <f t="shared" si="580"/>
        <v>0</v>
      </c>
      <c r="BA620" s="1080">
        <f t="shared" si="581"/>
        <v>0</v>
      </c>
      <c r="BB620" s="1080">
        <f>IF(AND(RACE=1,'Main Creation Page'!$E$6="Well",OR(ISNUMBER(FIND(Experience!$G$11,BE620)),ISNUMBER(FIND(Experience!$G$11,BF620)),ISNUMBER(FIND(Experience!$I$11,BE620)),ISNUMBER(FIND(Experience!$I$11,BF620)))),1,0)</f>
        <v>1</v>
      </c>
      <c r="BC620" s="1080" t="str">
        <f t="shared" si="590"/>
        <v>Sortilege</v>
      </c>
      <c r="BE620" s="1080" t="str">
        <f t="shared" si="575"/>
        <v>Lore</v>
      </c>
      <c r="BF620" s="1080" t="str">
        <f t="shared" si="591"/>
        <v>Materia Magica Skills</v>
      </c>
    </row>
    <row r="621" spans="1:58" ht="11.1" hidden="1" customHeight="1" outlineLevel="1">
      <c r="A621" s="1117" t="s">
        <v>5107</v>
      </c>
      <c r="B621" s="1094" t="s">
        <v>1942</v>
      </c>
      <c r="C621" s="1094"/>
      <c r="D621" s="1094"/>
      <c r="E621" s="1095" t="s">
        <v>5224</v>
      </c>
      <c r="F621" s="1095" t="s">
        <v>5224</v>
      </c>
      <c r="G621" s="1096">
        <v>0</v>
      </c>
      <c r="H621" s="1096" t="s">
        <v>5224</v>
      </c>
      <c r="I621" s="1096" t="s">
        <v>5224</v>
      </c>
      <c r="J621" s="1096" t="s">
        <v>5224</v>
      </c>
      <c r="K621" s="1096" t="s">
        <v>5224</v>
      </c>
      <c r="L621" s="1096">
        <v>0</v>
      </c>
      <c r="M621" s="1096" t="s">
        <v>5224</v>
      </c>
      <c r="N621" s="1096" t="s">
        <v>4631</v>
      </c>
      <c r="O621" s="1028"/>
      <c r="P621" s="1028" t="s">
        <v>780</v>
      </c>
      <c r="Q621" s="1097">
        <f ca="1">INDIRECT(P621)</f>
        <v>17</v>
      </c>
      <c r="R621" s="1034"/>
      <c r="S621" s="1028" t="s">
        <v>780</v>
      </c>
      <c r="T621" s="1097">
        <f ca="1">INDIRECT(S621)</f>
        <v>17</v>
      </c>
      <c r="U621" s="1027">
        <v>3</v>
      </c>
      <c r="V621" s="1027">
        <f t="shared" si="603"/>
        <v>4</v>
      </c>
      <c r="W621" s="1098" t="e">
        <f>IF(OR(I621&lt;&gt;"N",E621="C"),IF(AND(N621&lt;&gt;"T",ISNUMBER(FIND("V",I621))),1,0),NA())+IF(H621="Y",IF(AND(N621="P",ISNUMBER(FIND("Z",I621))),2,1),0)+IF(J621="Y",1,0)+IF(K621="Y",3,0)+IF(BE621="Lore",L621*2+Experience!$D$25,0)+IF(M621="Y",1,0)</f>
        <v>#N/A</v>
      </c>
      <c r="X621" s="1099"/>
      <c r="Y621" s="1100">
        <f ca="1">IF(P621="NS",IFERROR(INDIRECT(S621),NA()),VLOOKUP(INDIRECT(P621)+INDIRECT(S621),'System Lookups'!$A$3:$D$146,2))</f>
        <v>0.1</v>
      </c>
      <c r="Z621" s="1100">
        <f>IF(ISNA(W621),0,W621*0.03)+IF(X621&gt;0,X621*0.03,0)+IF(AND(ISNA(W621),X621&lt;=0),0,IF(G621&gt;0,G621*0.07,0))</f>
        <v>0</v>
      </c>
      <c r="AA621" s="1101">
        <f ca="1">IF(ISNA(Y621),0,Y621)+Z621</f>
        <v>0.1</v>
      </c>
      <c r="AB621" s="1102">
        <f>VLOOKUP(V621,'System Lookups'!$J$55:$P$64,3)</f>
        <v>0.2</v>
      </c>
      <c r="AC621" s="1103">
        <f>VLOOKUP(V621,'System Lookups'!$J$55:$P$64,4)</f>
        <v>0.3</v>
      </c>
      <c r="AD621" s="1104">
        <f t="shared" si="605"/>
        <v>0</v>
      </c>
      <c r="AE621" s="1094">
        <f>(IF(AD621&gt;VLOOKUP(V621,'System Lookups'!$J$55:$P$63,6),(((AD621-VLOOKUP(V621,'System Lookups'!$J$55:$P$63,6))*100)/20),0))+AF621</f>
        <v>0</v>
      </c>
      <c r="AF621" s="1121"/>
      <c r="AG621" s="1092">
        <f t="shared" si="606"/>
        <v>0</v>
      </c>
      <c r="AH621" s="1092" t="str">
        <f>IF(X621&lt;=Experience!$R$15+1,"","*")</f>
        <v/>
      </c>
      <c r="AI621" s="1092"/>
      <c r="AJ621" s="1080">
        <f t="shared" si="607"/>
        <v>0</v>
      </c>
      <c r="AK621" s="1080">
        <f t="shared" si="596"/>
        <v>0</v>
      </c>
      <c r="AL621" s="1080">
        <f t="shared" si="608"/>
        <v>0</v>
      </c>
      <c r="AM621" s="1092">
        <f t="shared" si="598"/>
        <v>0</v>
      </c>
      <c r="AN621" s="1080">
        <f t="shared" si="599"/>
        <v>1</v>
      </c>
      <c r="AO621" s="1080">
        <f t="shared" si="609"/>
        <v>0</v>
      </c>
      <c r="AP621" s="1080">
        <f t="shared" si="610"/>
        <v>1</v>
      </c>
      <c r="AQ621" s="1027">
        <f>VLOOKUP(V621,'System Lookups'!$J$55:$P$64,7)</f>
        <v>600</v>
      </c>
      <c r="AR621" s="1080" t="str">
        <f ca="1">IF(AND(NOT(ISBLANK(AJ621)),ISNA(MATCH(ROW(),'System Lookups'!$C$526:$C$539,0))),"Y","N")</f>
        <v>Y</v>
      </c>
      <c r="AS621" s="1080">
        <f t="shared" si="611"/>
        <v>0</v>
      </c>
      <c r="AU621" s="1080" t="e">
        <f t="shared" si="576"/>
        <v>#N/A</v>
      </c>
      <c r="AV621" s="1080" t="str">
        <f t="shared" si="574"/>
        <v>T</v>
      </c>
      <c r="AW621" s="1080">
        <f t="shared" si="577"/>
        <v>0</v>
      </c>
      <c r="AX621" s="1080">
        <f t="shared" si="578"/>
        <v>0</v>
      </c>
      <c r="AY621" s="1080">
        <f t="shared" si="579"/>
        <v>0</v>
      </c>
      <c r="AZ621" s="1080">
        <f t="shared" si="580"/>
        <v>0</v>
      </c>
      <c r="BA621" s="1080">
        <f t="shared" si="581"/>
        <v>0</v>
      </c>
      <c r="BB621" s="1080">
        <f>IF(AND(RACE=1,'Main Creation Page'!$E$6="Well",OR(ISNUMBER(FIND(Experience!$G$11,BE621)),ISNUMBER(FIND(Experience!$G$11,BF621)),ISNUMBER(FIND(Experience!$I$11,BE621)),ISNUMBER(FIND(Experience!$I$11,BF621)))),1,0)</f>
        <v>1</v>
      </c>
      <c r="BC621" s="1080" t="str">
        <f t="shared" si="590"/>
        <v>Laws of Magick</v>
      </c>
      <c r="BE621" s="1080" t="str">
        <f t="shared" si="575"/>
        <v>Lore</v>
      </c>
      <c r="BF621" s="1080" t="str">
        <f t="shared" si="591"/>
        <v>Materia Magica Skills</v>
      </c>
    </row>
    <row r="622" spans="1:58" ht="11.1" hidden="1" customHeight="1" outlineLevel="2">
      <c r="A622" s="1092" t="s">
        <v>116</v>
      </c>
      <c r="B622" s="1094" t="s">
        <v>1942</v>
      </c>
      <c r="C622" s="1094"/>
      <c r="D622" s="1094"/>
      <c r="E622" s="1095" t="s">
        <v>5224</v>
      </c>
      <c r="F622" s="1095" t="s">
        <v>5224</v>
      </c>
      <c r="G622" s="1096">
        <v>0</v>
      </c>
      <c r="H622" s="1096" t="s">
        <v>5224</v>
      </c>
      <c r="I622" s="1096" t="s">
        <v>5224</v>
      </c>
      <c r="J622" s="1096" t="s">
        <v>5224</v>
      </c>
      <c r="K622" s="1096" t="s">
        <v>5224</v>
      </c>
      <c r="L622" s="1096">
        <v>0</v>
      </c>
      <c r="M622" s="1096" t="s">
        <v>5224</v>
      </c>
      <c r="N622" s="1096" t="s">
        <v>4631</v>
      </c>
      <c r="O622" s="1034"/>
      <c r="P622" s="1113" t="s">
        <v>13</v>
      </c>
      <c r="Q622" s="1034"/>
      <c r="R622" s="1034"/>
      <c r="S622" s="1113" t="s">
        <v>13</v>
      </c>
      <c r="T622" s="1113"/>
      <c r="U622" s="1027">
        <v>0</v>
      </c>
      <c r="V622" s="1027">
        <f t="shared" si="603"/>
        <v>1</v>
      </c>
      <c r="W622" s="1098" t="e">
        <f>IF(OR(I622&lt;&gt;"N",E622="C"),IF(AND(N622&lt;&gt;"T",ISNUMBER(FIND("V",I622))),1,0),NA())+IF(H622="Y",IF(AND(N622="P",ISNUMBER(FIND("Z",I622))),2,1),0)+IF(J622="Y",1,0)+IF(K622="Y",3,0)+IF(BE622="Lore",L622*2+Experience!$D$25,0)+IF(M622="Y",1,0)</f>
        <v>#N/A</v>
      </c>
      <c r="X622" s="1099"/>
      <c r="Y622" s="1100" t="e">
        <f ca="1">IF(P622="NS",IFERROR(INDIRECT(S622),NA()),VLOOKUP(INDIRECT(P622)+INDIRECT(S622),'System Lookups'!$A$3:$D$146,2))</f>
        <v>#N/A</v>
      </c>
      <c r="Z622" s="1100">
        <f t="shared" ref="Z622:Z650" si="615">Z$621</f>
        <v>0</v>
      </c>
      <c r="AA622" s="1101">
        <f ca="1">IF(ISNA(Y622),0,Y622)+Z622</f>
        <v>0</v>
      </c>
      <c r="AB622" s="1102">
        <f>VLOOKUP(V$621,'System Lookups'!$J$55:$P$64,3)</f>
        <v>0.2</v>
      </c>
      <c r="AC622" s="1103">
        <f>VLOOKUP(V$621,'System Lookups'!$J$55:$P$64,4)</f>
        <v>0.3</v>
      </c>
      <c r="AD622" s="1104">
        <f t="shared" si="605"/>
        <v>0</v>
      </c>
      <c r="AE622" s="1094">
        <f>(IF(AD622&gt;VLOOKUP(V622,'System Lookups'!$J$55:$P$63,6),(((AD622-VLOOKUP(V622,'System Lookups'!$J$55:$P$63,6))*100)/20),0))+AF622</f>
        <v>0</v>
      </c>
      <c r="AF622" s="1121"/>
      <c r="AG622" s="1092">
        <f t="shared" si="606"/>
        <v>0</v>
      </c>
      <c r="AH622" s="1092" t="str">
        <f>IF(X622&lt;=Experience!$R$15+1,"","*")</f>
        <v/>
      </c>
      <c r="AI622" s="1092"/>
      <c r="AJ622" s="1080">
        <f t="shared" si="607"/>
        <v>0</v>
      </c>
      <c r="AK622" s="1080">
        <f t="shared" ref="AK622:AK644" si="616">IF(F622="s",-2,0)</f>
        <v>0</v>
      </c>
      <c r="AL622" s="1080">
        <f t="shared" si="608"/>
        <v>0</v>
      </c>
      <c r="AM622" s="1092">
        <f t="shared" ref="AM622:AM650" si="617">IF(J622="y",1,0)</f>
        <v>0</v>
      </c>
      <c r="AN622" s="1080">
        <f t="shared" ref="AN622:AN644" si="618">IF(N622="P",-1,IF(N622="T",1,0))</f>
        <v>1</v>
      </c>
      <c r="AO622" s="1080">
        <f t="shared" si="609"/>
        <v>0</v>
      </c>
      <c r="AP622" s="1080">
        <f t="shared" si="610"/>
        <v>1</v>
      </c>
      <c r="AQ622" s="1027">
        <v>250</v>
      </c>
      <c r="AR622" s="1080" t="str">
        <f ca="1">IF(AND(NOT(ISBLANK(AJ622)),ISNA(MATCH(ROW(),'System Lookups'!$C$526:$C$539,0))),"Y","N")</f>
        <v>Y</v>
      </c>
      <c r="AS622" s="1080">
        <f t="shared" si="611"/>
        <v>0</v>
      </c>
      <c r="AU622" s="1080" t="e">
        <f t="shared" si="576"/>
        <v>#N/A</v>
      </c>
      <c r="AV622" s="1080" t="str">
        <f t="shared" si="574"/>
        <v>T</v>
      </c>
      <c r="AW622" s="1080">
        <f t="shared" si="577"/>
        <v>0</v>
      </c>
      <c r="AX622" s="1080">
        <f t="shared" si="578"/>
        <v>0</v>
      </c>
      <c r="AY622" s="1080">
        <f t="shared" si="579"/>
        <v>0</v>
      </c>
      <c r="AZ622" s="1080">
        <f t="shared" si="580"/>
        <v>0</v>
      </c>
      <c r="BA622" s="1080">
        <f t="shared" si="581"/>
        <v>0</v>
      </c>
      <c r="BB622" s="1080">
        <f>IF(AND(RACE=1,'Main Creation Page'!$E$6="Well",OR(ISNUMBER(FIND(Experience!$G$11,BE622)),ISNUMBER(FIND(Experience!$G$11,BF622)),ISNUMBER(FIND(Experience!$I$11,BE622)),ISNUMBER(FIND(Experience!$I$11,BF622)))),1,0)</f>
        <v>1</v>
      </c>
      <c r="BC622" s="1080" t="str">
        <f t="shared" si="590"/>
        <v>Law of Association</v>
      </c>
      <c r="BD622" s="1080" t="s">
        <v>6181</v>
      </c>
      <c r="BE622" s="1080" t="str">
        <f t="shared" si="575"/>
        <v>Lore</v>
      </c>
      <c r="BF622" s="1080" t="str">
        <f t="shared" si="591"/>
        <v>Materia Magica Skills</v>
      </c>
    </row>
    <row r="623" spans="1:58" ht="11.1" hidden="1" customHeight="1" outlineLevel="2">
      <c r="A623" s="1148" t="s">
        <v>2247</v>
      </c>
      <c r="B623" s="1094" t="s">
        <v>1942</v>
      </c>
      <c r="C623" s="1094"/>
      <c r="D623" s="1094"/>
      <c r="E623" s="1095" t="s">
        <v>5224</v>
      </c>
      <c r="F623" s="1095" t="s">
        <v>5224</v>
      </c>
      <c r="G623" s="1096">
        <v>0</v>
      </c>
      <c r="H623" s="1096" t="s">
        <v>5224</v>
      </c>
      <c r="I623" s="1096" t="s">
        <v>5224</v>
      </c>
      <c r="J623" s="1096" t="s">
        <v>5224</v>
      </c>
      <c r="K623" s="1096" t="s">
        <v>5224</v>
      </c>
      <c r="L623" s="1096">
        <v>0</v>
      </c>
      <c r="M623" s="1096" t="s">
        <v>5224</v>
      </c>
      <c r="N623" s="1096" t="s">
        <v>4631</v>
      </c>
      <c r="O623" s="1034"/>
      <c r="P623" s="1113" t="s">
        <v>13</v>
      </c>
      <c r="Q623" s="1034"/>
      <c r="R623" s="1034"/>
      <c r="S623" s="1113" t="s">
        <v>13</v>
      </c>
      <c r="T623" s="1113"/>
      <c r="U623" s="1027">
        <v>0</v>
      </c>
      <c r="V623" s="1027">
        <f t="shared" si="603"/>
        <v>1</v>
      </c>
      <c r="W623" s="1098" t="e">
        <f>IF(OR(I623&lt;&gt;"N",E623="C"),IF(AND(N623&lt;&gt;"T",ISNUMBER(FIND("V",I623))),1,0),NA())+IF(H623="Y",IF(AND(N623="P",ISNUMBER(FIND("Z",I623))),2,1),0)+IF(J623="Y",1,0)+IF(K623="Y",3,0)+IF(BE623="Lore",L623*2+Experience!$D$25,0)+IF(M623="Y",1,0)</f>
        <v>#N/A</v>
      </c>
      <c r="X623" s="1099"/>
      <c r="Y623" s="1100" t="e">
        <f ca="1">IF(P623="NS",IFERROR(INDIRECT(S623),NA()),VLOOKUP(INDIRECT(P623)+INDIRECT(S623),'System Lookups'!$A$3:$D$146,2))</f>
        <v>#N/A</v>
      </c>
      <c r="Z623" s="1100">
        <f t="shared" si="615"/>
        <v>0</v>
      </c>
      <c r="AA623" s="1101">
        <f ca="1">IF(ISNA(Y623),0,Y623)+Z623</f>
        <v>0</v>
      </c>
      <c r="AB623" s="1102">
        <f>VLOOKUP(V$621,'System Lookups'!$J$55:$P$64,3)</f>
        <v>0.2</v>
      </c>
      <c r="AC623" s="1103">
        <f>VLOOKUP(V$621,'System Lookups'!$J$55:$P$64,4)</f>
        <v>0.3</v>
      </c>
      <c r="AD623" s="1104">
        <f t="shared" si="605"/>
        <v>0</v>
      </c>
      <c r="AE623" s="1094">
        <f>(IF(AD623&gt;VLOOKUP(V623,'System Lookups'!$J$55:$P$63,6),(((AD623-VLOOKUP(V623,'System Lookups'!$J$55:$P$63,6))*100)/20),0))+AF623</f>
        <v>0</v>
      </c>
      <c r="AF623" s="1121"/>
      <c r="AG623" s="1092">
        <f t="shared" si="606"/>
        <v>0</v>
      </c>
      <c r="AH623" s="1092" t="str">
        <f>IF(X623&lt;=Experience!$R$15+1,"","*")</f>
        <v/>
      </c>
      <c r="AI623" s="1092"/>
      <c r="AJ623" s="1080">
        <f t="shared" si="607"/>
        <v>0</v>
      </c>
      <c r="AK623" s="1080">
        <f>IF(F623="s",-2,0)</f>
        <v>0</v>
      </c>
      <c r="AL623" s="1080">
        <f t="shared" si="608"/>
        <v>0</v>
      </c>
      <c r="AM623" s="1092">
        <f>IF(J623="y",1,0)</f>
        <v>0</v>
      </c>
      <c r="AN623" s="1080">
        <f>IF(N623="P",-1,IF(N623="T",1,0))</f>
        <v>1</v>
      </c>
      <c r="AO623" s="1080">
        <f t="shared" si="609"/>
        <v>0</v>
      </c>
      <c r="AP623" s="1080">
        <f t="shared" si="610"/>
        <v>1</v>
      </c>
      <c r="AQ623" s="1027">
        <v>250</v>
      </c>
      <c r="AR623" s="1080" t="str">
        <f ca="1">IF(AND(NOT(ISBLANK(AJ623)),ISNA(MATCH(ROW(),'System Lookups'!$C$526:$C$539,0))),"Y","N")</f>
        <v>Y</v>
      </c>
      <c r="AS623" s="1080">
        <f t="shared" si="611"/>
        <v>0</v>
      </c>
      <c r="AU623" s="1080" t="e">
        <f t="shared" si="576"/>
        <v>#N/A</v>
      </c>
      <c r="AV623" s="1080" t="str">
        <f t="shared" si="574"/>
        <v>T</v>
      </c>
      <c r="AW623" s="1080">
        <f t="shared" si="577"/>
        <v>0</v>
      </c>
      <c r="AX623" s="1080">
        <f t="shared" si="578"/>
        <v>0</v>
      </c>
      <c r="AY623" s="1080">
        <f t="shared" si="579"/>
        <v>0</v>
      </c>
      <c r="AZ623" s="1080">
        <f t="shared" si="580"/>
        <v>0</v>
      </c>
      <c r="BA623" s="1080">
        <f t="shared" si="581"/>
        <v>0</v>
      </c>
      <c r="BB623" s="1080">
        <f>IF(AND(RACE=1,'Main Creation Page'!$E$6="Well",OR(ISNUMBER(FIND(Experience!$G$11,BE623)),ISNUMBER(FIND(Experience!$G$11,BF623)),ISNUMBER(FIND(Experience!$I$11,BE623)),ISNUMBER(FIND(Experience!$I$11,BF623)))),1,0)</f>
        <v>1</v>
      </c>
      <c r="BC623" s="1080" t="str">
        <f t="shared" si="590"/>
        <v>Law of Balance</v>
      </c>
      <c r="BD623" s="1080" t="s">
        <v>6181</v>
      </c>
      <c r="BE623" s="1080" t="str">
        <f t="shared" si="575"/>
        <v>Lore</v>
      </c>
      <c r="BF623" s="1080" t="str">
        <f t="shared" si="591"/>
        <v>Materia Magica Skills</v>
      </c>
    </row>
    <row r="624" spans="1:58" ht="11.1" hidden="1" customHeight="1" outlineLevel="2">
      <c r="A624" s="1092" t="s">
        <v>2955</v>
      </c>
      <c r="B624" s="1094" t="s">
        <v>1942</v>
      </c>
      <c r="C624" s="1094"/>
      <c r="D624" s="1094"/>
      <c r="E624" s="1095" t="s">
        <v>5224</v>
      </c>
      <c r="F624" s="1095" t="s">
        <v>5224</v>
      </c>
      <c r="G624" s="1096">
        <v>0</v>
      </c>
      <c r="H624" s="1096" t="s">
        <v>5224</v>
      </c>
      <c r="I624" s="1096" t="s">
        <v>5224</v>
      </c>
      <c r="J624" s="1096" t="s">
        <v>5224</v>
      </c>
      <c r="K624" s="1096" t="s">
        <v>5224</v>
      </c>
      <c r="L624" s="1096">
        <v>0</v>
      </c>
      <c r="M624" s="1096" t="s">
        <v>5224</v>
      </c>
      <c r="N624" s="1096" t="s">
        <v>4631</v>
      </c>
      <c r="O624" s="1034"/>
      <c r="P624" s="1113" t="s">
        <v>13</v>
      </c>
      <c r="Q624" s="1034"/>
      <c r="R624" s="1034"/>
      <c r="S624" s="1113" t="s">
        <v>13</v>
      </c>
      <c r="T624" s="1113"/>
      <c r="U624" s="1027">
        <v>0</v>
      </c>
      <c r="V624" s="1027">
        <f t="shared" si="603"/>
        <v>1</v>
      </c>
      <c r="W624" s="1098" t="e">
        <f>IF(OR(I624&lt;&gt;"N",E624="C"),IF(AND(N624&lt;&gt;"T",ISNUMBER(FIND("V",I624))),1,0),NA())+IF(H624="Y",IF(AND(N624="P",ISNUMBER(FIND("Z",I624))),2,1),0)+IF(J624="Y",1,0)+IF(K624="Y",3,0)+IF(BE624="Lore",L624*2+Experience!$D$25,0)+IF(M624="Y",1,0)</f>
        <v>#N/A</v>
      </c>
      <c r="X624" s="1099"/>
      <c r="Y624" s="1100" t="e">
        <f ca="1">IF(P624="NS",IFERROR(INDIRECT(S624),NA()),VLOOKUP(INDIRECT(P624)+INDIRECT(S624),'System Lookups'!$A$3:$D$146,2))</f>
        <v>#N/A</v>
      </c>
      <c r="Z624" s="1100">
        <f t="shared" si="615"/>
        <v>0</v>
      </c>
      <c r="AA624" s="1101">
        <f t="shared" ref="AA624:AA650" ca="1" si="619">IF(ISNA(Y624),0,Y624)+Z624</f>
        <v>0</v>
      </c>
      <c r="AB624" s="1102">
        <f>VLOOKUP(V$621,'System Lookups'!$J$55:$P$64,3)</f>
        <v>0.2</v>
      </c>
      <c r="AC624" s="1103">
        <f>VLOOKUP(V$621,'System Lookups'!$J$55:$P$64,4)</f>
        <v>0.3</v>
      </c>
      <c r="AD624" s="1104">
        <f t="shared" si="605"/>
        <v>0</v>
      </c>
      <c r="AE624" s="1094">
        <f>(IF(AD624&gt;VLOOKUP(V624,'System Lookups'!$J$55:$P$63,6),(((AD624-VLOOKUP(V624,'System Lookups'!$J$55:$P$63,6))*100)/20),0))+AF624</f>
        <v>0</v>
      </c>
      <c r="AF624" s="1121"/>
      <c r="AG624" s="1092">
        <f t="shared" si="606"/>
        <v>0</v>
      </c>
      <c r="AH624" s="1092" t="str">
        <f>IF(X624&lt;=Experience!$R$15+1,"","*")</f>
        <v/>
      </c>
      <c r="AI624" s="1092"/>
      <c r="AJ624" s="1080">
        <f t="shared" si="607"/>
        <v>0</v>
      </c>
      <c r="AK624" s="1080">
        <f t="shared" si="616"/>
        <v>0</v>
      </c>
      <c r="AL624" s="1080">
        <f t="shared" si="608"/>
        <v>0</v>
      </c>
      <c r="AM624" s="1092">
        <f t="shared" si="617"/>
        <v>0</v>
      </c>
      <c r="AN624" s="1080">
        <f t="shared" si="618"/>
        <v>1</v>
      </c>
      <c r="AO624" s="1080">
        <f t="shared" si="609"/>
        <v>0</v>
      </c>
      <c r="AP624" s="1080">
        <f t="shared" si="610"/>
        <v>1</v>
      </c>
      <c r="AQ624" s="1027">
        <v>250</v>
      </c>
      <c r="AR624" s="1080" t="str">
        <f ca="1">IF(AND(NOT(ISBLANK(AJ624)),ISNA(MATCH(ROW(),'System Lookups'!$C$526:$C$539,0))),"Y","N")</f>
        <v>Y</v>
      </c>
      <c r="AS624" s="1080">
        <f t="shared" si="611"/>
        <v>0</v>
      </c>
      <c r="AU624" s="1080" t="e">
        <f t="shared" si="576"/>
        <v>#N/A</v>
      </c>
      <c r="AV624" s="1080" t="str">
        <f t="shared" si="574"/>
        <v>T</v>
      </c>
      <c r="AW624" s="1080">
        <f t="shared" si="577"/>
        <v>0</v>
      </c>
      <c r="AX624" s="1080">
        <f t="shared" si="578"/>
        <v>0</v>
      </c>
      <c r="AY624" s="1080">
        <f t="shared" si="579"/>
        <v>0</v>
      </c>
      <c r="AZ624" s="1080">
        <f t="shared" si="580"/>
        <v>0</v>
      </c>
      <c r="BA624" s="1080">
        <f t="shared" si="581"/>
        <v>0</v>
      </c>
      <c r="BB624" s="1080">
        <f>IF(AND(RACE=1,'Main Creation Page'!$E$6="Well",OR(ISNUMBER(FIND(Experience!$G$11,BE624)),ISNUMBER(FIND(Experience!$G$11,BF624)),ISNUMBER(FIND(Experience!$I$11,BE624)),ISNUMBER(FIND(Experience!$I$11,BF624)))),1,0)</f>
        <v>1</v>
      </c>
      <c r="BC624" s="1080" t="str">
        <f t="shared" si="590"/>
        <v>Law of Causation</v>
      </c>
      <c r="BD624" s="1080" t="s">
        <v>6181</v>
      </c>
      <c r="BE624" s="1080" t="str">
        <f t="shared" si="575"/>
        <v>Lore</v>
      </c>
      <c r="BF624" s="1080" t="str">
        <f t="shared" si="591"/>
        <v>Materia Magica Skills</v>
      </c>
    </row>
    <row r="625" spans="1:58" ht="11.1" hidden="1" customHeight="1" outlineLevel="2">
      <c r="A625" s="1148" t="s">
        <v>3258</v>
      </c>
      <c r="B625" s="1094" t="s">
        <v>1942</v>
      </c>
      <c r="C625" s="1094"/>
      <c r="D625" s="1094"/>
      <c r="E625" s="1095" t="s">
        <v>5224</v>
      </c>
      <c r="F625" s="1095" t="s">
        <v>5224</v>
      </c>
      <c r="G625" s="1096">
        <v>0</v>
      </c>
      <c r="H625" s="1096" t="s">
        <v>5224</v>
      </c>
      <c r="I625" s="1096" t="s">
        <v>5224</v>
      </c>
      <c r="J625" s="1096" t="s">
        <v>5224</v>
      </c>
      <c r="K625" s="1096" t="s">
        <v>5224</v>
      </c>
      <c r="L625" s="1096">
        <v>0</v>
      </c>
      <c r="M625" s="1096" t="s">
        <v>5224</v>
      </c>
      <c r="N625" s="1096" t="s">
        <v>4631</v>
      </c>
      <c r="O625" s="1034"/>
      <c r="P625" s="1113" t="s">
        <v>13</v>
      </c>
      <c r="Q625" s="1034"/>
      <c r="R625" s="1034"/>
      <c r="S625" s="1113" t="s">
        <v>13</v>
      </c>
      <c r="T625" s="1113"/>
      <c r="U625" s="1027">
        <v>0</v>
      </c>
      <c r="V625" s="1027">
        <f t="shared" si="603"/>
        <v>1</v>
      </c>
      <c r="W625" s="1098" t="e">
        <f>IF(OR(I625&lt;&gt;"N",E625="C"),IF(AND(N625&lt;&gt;"T",ISNUMBER(FIND("V",I625))),1,0),NA())+IF(H625="Y",IF(AND(N625="P",ISNUMBER(FIND("Z",I625))),2,1),0)+IF(J625="Y",1,0)+IF(K625="Y",3,0)+IF(BE625="Lore",L625*2+Experience!$D$25,0)+IF(M625="Y",1,0)</f>
        <v>#N/A</v>
      </c>
      <c r="X625" s="1099"/>
      <c r="Y625" s="1100" t="e">
        <f ca="1">IF(P625="NS",IFERROR(INDIRECT(S625),NA()),VLOOKUP(INDIRECT(P625)+INDIRECT(S625),'System Lookups'!$A$3:$D$146,2))</f>
        <v>#N/A</v>
      </c>
      <c r="Z625" s="1100">
        <f t="shared" si="615"/>
        <v>0</v>
      </c>
      <c r="AA625" s="1101">
        <f ca="1">IF(ISNA(Y625),0,Y625)+Z625</f>
        <v>0</v>
      </c>
      <c r="AB625" s="1102">
        <f>VLOOKUP(V$621,'System Lookups'!$J$55:$P$64,3)</f>
        <v>0.2</v>
      </c>
      <c r="AC625" s="1103">
        <f>VLOOKUP(V$621,'System Lookups'!$J$55:$P$64,4)</f>
        <v>0.3</v>
      </c>
      <c r="AD625" s="1104">
        <f t="shared" si="605"/>
        <v>0</v>
      </c>
      <c r="AE625" s="1094">
        <f>(IF(AD625&gt;VLOOKUP(V625,'System Lookups'!$J$55:$P$63,6),(((AD625-VLOOKUP(V625,'System Lookups'!$J$55:$P$63,6))*100)/20),0))+AF625</f>
        <v>0</v>
      </c>
      <c r="AF625" s="1121"/>
      <c r="AG625" s="1092">
        <f t="shared" si="606"/>
        <v>0</v>
      </c>
      <c r="AH625" s="1092" t="str">
        <f>IF(X625&lt;=Experience!$R$15+1,"","*")</f>
        <v/>
      </c>
      <c r="AI625" s="1092"/>
      <c r="AJ625" s="1080">
        <f t="shared" si="607"/>
        <v>0</v>
      </c>
      <c r="AK625" s="1080">
        <f>IF(F625="s",-2,0)</f>
        <v>0</v>
      </c>
      <c r="AL625" s="1080">
        <f t="shared" si="608"/>
        <v>0</v>
      </c>
      <c r="AM625" s="1092">
        <f>IF(J625="y",1,0)</f>
        <v>0</v>
      </c>
      <c r="AN625" s="1080">
        <f>IF(N625="P",-1,IF(N625="T",1,0))</f>
        <v>1</v>
      </c>
      <c r="AO625" s="1080">
        <f t="shared" si="609"/>
        <v>0</v>
      </c>
      <c r="AP625" s="1080">
        <f t="shared" si="610"/>
        <v>1</v>
      </c>
      <c r="AQ625" s="1027">
        <v>250</v>
      </c>
      <c r="AR625" s="1080" t="str">
        <f ca="1">IF(AND(NOT(ISBLANK(AJ625)),ISNA(MATCH(ROW(),'System Lookups'!$C$526:$C$539,0))),"Y","N")</f>
        <v>Y</v>
      </c>
      <c r="AS625" s="1080">
        <f t="shared" si="611"/>
        <v>0</v>
      </c>
      <c r="AU625" s="1080" t="e">
        <f t="shared" si="576"/>
        <v>#N/A</v>
      </c>
      <c r="AV625" s="1080" t="str">
        <f t="shared" si="574"/>
        <v>T</v>
      </c>
      <c r="AW625" s="1080">
        <f t="shared" si="577"/>
        <v>0</v>
      </c>
      <c r="AX625" s="1080">
        <f t="shared" si="578"/>
        <v>0</v>
      </c>
      <c r="AY625" s="1080">
        <f t="shared" si="579"/>
        <v>0</v>
      </c>
      <c r="AZ625" s="1080">
        <f t="shared" si="580"/>
        <v>0</v>
      </c>
      <c r="BA625" s="1080">
        <f t="shared" si="581"/>
        <v>0</v>
      </c>
      <c r="BB625" s="1080">
        <f>IF(AND(RACE=1,'Main Creation Page'!$E$6="Well",OR(ISNUMBER(FIND(Experience!$G$11,BE625)),ISNUMBER(FIND(Experience!$G$11,BF625)),ISNUMBER(FIND(Experience!$I$11,BE625)),ISNUMBER(FIND(Experience!$I$11,BF625)))),1,0)</f>
        <v>1</v>
      </c>
      <c r="BC625" s="1080" t="str">
        <f t="shared" si="590"/>
        <v>Law of Components</v>
      </c>
      <c r="BD625" s="1080" t="s">
        <v>6181</v>
      </c>
      <c r="BE625" s="1080" t="str">
        <f t="shared" si="575"/>
        <v>Lore</v>
      </c>
      <c r="BF625" s="1080" t="str">
        <f t="shared" si="591"/>
        <v>Materia Magica Skills</v>
      </c>
    </row>
    <row r="626" spans="1:58" ht="11.1" hidden="1" customHeight="1" outlineLevel="2">
      <c r="A626" s="1092" t="s">
        <v>117</v>
      </c>
      <c r="B626" s="1094" t="s">
        <v>1942</v>
      </c>
      <c r="C626" s="1094"/>
      <c r="D626" s="1094"/>
      <c r="E626" s="1095" t="s">
        <v>5224</v>
      </c>
      <c r="F626" s="1095" t="s">
        <v>5224</v>
      </c>
      <c r="G626" s="1096">
        <v>0</v>
      </c>
      <c r="H626" s="1096" t="s">
        <v>5224</v>
      </c>
      <c r="I626" s="1096" t="s">
        <v>5224</v>
      </c>
      <c r="J626" s="1096" t="s">
        <v>5224</v>
      </c>
      <c r="K626" s="1096" t="s">
        <v>5224</v>
      </c>
      <c r="L626" s="1096">
        <v>0</v>
      </c>
      <c r="M626" s="1096" t="s">
        <v>5224</v>
      </c>
      <c r="N626" s="1096" t="s">
        <v>4631</v>
      </c>
      <c r="O626" s="1034"/>
      <c r="P626" s="1113" t="s">
        <v>13</v>
      </c>
      <c r="Q626" s="1034"/>
      <c r="R626" s="1034"/>
      <c r="S626" s="1113" t="s">
        <v>13</v>
      </c>
      <c r="T626" s="1113"/>
      <c r="U626" s="1027">
        <v>0</v>
      </c>
      <c r="V626" s="1027">
        <f t="shared" ref="V626:V657" si="620">IF(AP626+U626&gt;10,10,IF(AP626+U626&lt;1,1,AP626+U626))</f>
        <v>1</v>
      </c>
      <c r="W626" s="1098" t="e">
        <f>IF(OR(I626&lt;&gt;"N",E626="C"),IF(AND(N626&lt;&gt;"T",ISNUMBER(FIND("V",I626))),1,0),NA())+IF(H626="Y",IF(AND(N626="P",ISNUMBER(FIND("Z",I626))),2,1),0)+IF(J626="Y",1,0)+IF(K626="Y",3,0)+IF(BE626="Lore",L626*2+Experience!$D$25,0)+IF(M626="Y",1,0)</f>
        <v>#N/A</v>
      </c>
      <c r="X626" s="1099"/>
      <c r="Y626" s="1100" t="e">
        <f ca="1">IF(P626="NS",IFERROR(INDIRECT(S626),NA()),VLOOKUP(INDIRECT(P626)+INDIRECT(S626),'System Lookups'!$A$3:$D$146,2))</f>
        <v>#N/A</v>
      </c>
      <c r="Z626" s="1100">
        <f t="shared" si="615"/>
        <v>0</v>
      </c>
      <c r="AA626" s="1101">
        <f t="shared" ca="1" si="619"/>
        <v>0</v>
      </c>
      <c r="AB626" s="1102">
        <f>VLOOKUP(V$621,'System Lookups'!$J$55:$P$64,3)</f>
        <v>0.2</v>
      </c>
      <c r="AC626" s="1103">
        <f>VLOOKUP(V$621,'System Lookups'!$J$55:$P$64,4)</f>
        <v>0.3</v>
      </c>
      <c r="AD626" s="1104">
        <f t="shared" ref="AD626:AD657" si="621">IF(AND(ISBLANK(X626),ISNA(W626)),IF(B626="~",0,AB626+AA626+IF(BB626&gt;0,0.05,0)),AA626+AC626+IF(BB626&gt;0,0.05,0))</f>
        <v>0</v>
      </c>
      <c r="AE626" s="1094">
        <f>(IF(AD626&gt;VLOOKUP(V626,'System Lookups'!$J$55:$P$63,6),(((AD626-VLOOKUP(V626,'System Lookups'!$J$55:$P$63,6))*100)/20),0))+AF626</f>
        <v>0</v>
      </c>
      <c r="AF626" s="1121"/>
      <c r="AG626" s="1092">
        <f t="shared" ref="AG626:AG661" si="622">IF(ISBLANK(X626),0,AQ626*X626+IF(ISNA(W626),1,0))</f>
        <v>0</v>
      </c>
      <c r="AH626" s="1092" t="str">
        <f>IF(X626&lt;=Experience!$R$15+1,"","*")</f>
        <v/>
      </c>
      <c r="AI626" s="1092"/>
      <c r="AJ626" s="1080">
        <f t="shared" si="607"/>
        <v>0</v>
      </c>
      <c r="AK626" s="1080">
        <f t="shared" si="616"/>
        <v>0</v>
      </c>
      <c r="AL626" s="1080">
        <f t="shared" si="608"/>
        <v>0</v>
      </c>
      <c r="AM626" s="1092">
        <f t="shared" si="617"/>
        <v>0</v>
      </c>
      <c r="AN626" s="1080">
        <f t="shared" si="618"/>
        <v>1</v>
      </c>
      <c r="AO626" s="1080">
        <f t="shared" si="609"/>
        <v>0</v>
      </c>
      <c r="AP626" s="1080">
        <f t="shared" ref="AP626:AP657" si="623">SUM(AJ626:AN626)-AM626</f>
        <v>1</v>
      </c>
      <c r="AQ626" s="1027">
        <v>250</v>
      </c>
      <c r="AR626" s="1080" t="str">
        <f ca="1">IF(AND(NOT(ISBLANK(AJ626)),ISNA(MATCH(ROW(),'System Lookups'!$C$526:$C$539,0))),"Y","N")</f>
        <v>Y</v>
      </c>
      <c r="AS626" s="1080">
        <f t="shared" ref="AS626:AS661" si="624">AG626-AI626</f>
        <v>0</v>
      </c>
      <c r="AU626" s="1080" t="e">
        <f t="shared" si="576"/>
        <v>#N/A</v>
      </c>
      <c r="AV626" s="1080" t="str">
        <f t="shared" si="574"/>
        <v>T</v>
      </c>
      <c r="AW626" s="1080">
        <f t="shared" si="577"/>
        <v>0</v>
      </c>
      <c r="AX626" s="1080">
        <f t="shared" si="578"/>
        <v>0</v>
      </c>
      <c r="AY626" s="1080">
        <f t="shared" si="579"/>
        <v>0</v>
      </c>
      <c r="AZ626" s="1080">
        <f t="shared" si="580"/>
        <v>0</v>
      </c>
      <c r="BA626" s="1080">
        <f t="shared" si="581"/>
        <v>0</v>
      </c>
      <c r="BB626" s="1080">
        <f>IF(AND(RACE=1,'Main Creation Page'!$E$6="Well",OR(ISNUMBER(FIND(Experience!$G$11,BE626)),ISNUMBER(FIND(Experience!$G$11,BF626)),ISNUMBER(FIND(Experience!$I$11,BE626)),ISNUMBER(FIND(Experience!$I$11,BF626)))),1,0)</f>
        <v>1</v>
      </c>
      <c r="BC626" s="1080" t="str">
        <f t="shared" si="590"/>
        <v>Law of Contact</v>
      </c>
      <c r="BD626" s="1080" t="s">
        <v>6181</v>
      </c>
      <c r="BE626" s="1080" t="str">
        <f t="shared" si="575"/>
        <v>Lore</v>
      </c>
      <c r="BF626" s="1080" t="str">
        <f t="shared" si="591"/>
        <v>Materia Magica Skills</v>
      </c>
    </row>
    <row r="627" spans="1:58" ht="11.1" hidden="1" customHeight="1" outlineLevel="2">
      <c r="A627" s="1092" t="s">
        <v>1432</v>
      </c>
      <c r="B627" s="1094" t="s">
        <v>1942</v>
      </c>
      <c r="C627" s="1094"/>
      <c r="D627" s="1094"/>
      <c r="E627" s="1095" t="s">
        <v>5224</v>
      </c>
      <c r="F627" s="1095" t="s">
        <v>5224</v>
      </c>
      <c r="G627" s="1096">
        <v>0</v>
      </c>
      <c r="H627" s="1096" t="s">
        <v>5224</v>
      </c>
      <c r="I627" s="1096" t="s">
        <v>5224</v>
      </c>
      <c r="J627" s="1096" t="s">
        <v>5224</v>
      </c>
      <c r="K627" s="1096" t="s">
        <v>5224</v>
      </c>
      <c r="L627" s="1096">
        <v>0</v>
      </c>
      <c r="M627" s="1096" t="s">
        <v>5224</v>
      </c>
      <c r="N627" s="1096" t="s">
        <v>4631</v>
      </c>
      <c r="O627" s="1034"/>
      <c r="P627" s="1113" t="s">
        <v>13</v>
      </c>
      <c r="Q627" s="1034"/>
      <c r="R627" s="1034"/>
      <c r="S627" s="1113" t="s">
        <v>13</v>
      </c>
      <c r="T627" s="1113"/>
      <c r="U627" s="1027">
        <v>0</v>
      </c>
      <c r="V627" s="1027">
        <f t="shared" si="620"/>
        <v>1</v>
      </c>
      <c r="W627" s="1098" t="e">
        <f>IF(OR(I627&lt;&gt;"N",E627="C"),IF(AND(N627&lt;&gt;"T",ISNUMBER(FIND("V",I627))),1,0),NA())+IF(H627="Y",IF(AND(N627="P",ISNUMBER(FIND("Z",I627))),2,1),0)+IF(J627="Y",1,0)+IF(K627="Y",3,0)+IF(BE627="Lore",L627*2+Experience!$D$25,0)+IF(M627="Y",1,0)</f>
        <v>#N/A</v>
      </c>
      <c r="X627" s="1099"/>
      <c r="Y627" s="1100" t="e">
        <f ca="1">IF(P627="NS",IFERROR(INDIRECT(S627),NA()),VLOOKUP(INDIRECT(P627)+INDIRECT(S627),'System Lookups'!$A$3:$D$146,2))</f>
        <v>#N/A</v>
      </c>
      <c r="Z627" s="1100">
        <f t="shared" si="615"/>
        <v>0</v>
      </c>
      <c r="AA627" s="1101">
        <f t="shared" ca="1" si="619"/>
        <v>0</v>
      </c>
      <c r="AB627" s="1102">
        <f>VLOOKUP(V$621,'System Lookups'!$J$55:$P$64,3)</f>
        <v>0.2</v>
      </c>
      <c r="AC627" s="1103">
        <f>VLOOKUP(V$621,'System Lookups'!$J$55:$P$64,4)</f>
        <v>0.3</v>
      </c>
      <c r="AD627" s="1104">
        <f t="shared" si="621"/>
        <v>0</v>
      </c>
      <c r="AE627" s="1094">
        <f>(IF(AD627&gt;VLOOKUP(V627,'System Lookups'!$J$55:$P$63,6),(((AD627-VLOOKUP(V627,'System Lookups'!$J$55:$P$63,6))*100)/20),0))+AF627</f>
        <v>0</v>
      </c>
      <c r="AF627" s="1121"/>
      <c r="AG627" s="1092">
        <f t="shared" si="622"/>
        <v>0</v>
      </c>
      <c r="AH627" s="1092" t="str">
        <f>IF(X627&lt;=Experience!$R$15+1,"","*")</f>
        <v/>
      </c>
      <c r="AI627" s="1092"/>
      <c r="AJ627" s="1080">
        <f t="shared" si="607"/>
        <v>0</v>
      </c>
      <c r="AK627" s="1080">
        <f t="shared" si="616"/>
        <v>0</v>
      </c>
      <c r="AL627" s="1080">
        <f t="shared" si="608"/>
        <v>0</v>
      </c>
      <c r="AM627" s="1092">
        <f t="shared" si="617"/>
        <v>0</v>
      </c>
      <c r="AN627" s="1080">
        <f t="shared" si="618"/>
        <v>1</v>
      </c>
      <c r="AO627" s="1080">
        <f t="shared" si="609"/>
        <v>0</v>
      </c>
      <c r="AP627" s="1080">
        <f t="shared" si="623"/>
        <v>1</v>
      </c>
      <c r="AQ627" s="1027">
        <v>250</v>
      </c>
      <c r="AR627" s="1080" t="str">
        <f ca="1">IF(AND(NOT(ISBLANK(AJ627)),ISNA(MATCH(ROW(),'System Lookups'!$C$526:$C$539,0))),"Y","N")</f>
        <v>Y</v>
      </c>
      <c r="AS627" s="1080">
        <f t="shared" si="624"/>
        <v>0</v>
      </c>
      <c r="AU627" s="1080" t="e">
        <f t="shared" si="576"/>
        <v>#N/A</v>
      </c>
      <c r="AV627" s="1080" t="str">
        <f t="shared" si="574"/>
        <v>T</v>
      </c>
      <c r="AW627" s="1080">
        <f t="shared" si="577"/>
        <v>0</v>
      </c>
      <c r="AX627" s="1080">
        <f t="shared" si="578"/>
        <v>0</v>
      </c>
      <c r="AY627" s="1080">
        <f t="shared" si="579"/>
        <v>0</v>
      </c>
      <c r="AZ627" s="1080">
        <f t="shared" si="580"/>
        <v>0</v>
      </c>
      <c r="BA627" s="1080">
        <f t="shared" si="581"/>
        <v>0</v>
      </c>
      <c r="BB627" s="1080">
        <f>IF(AND(RACE=1,'Main Creation Page'!$E$6="Well",OR(ISNUMBER(FIND(Experience!$G$11,BE627)),ISNUMBER(FIND(Experience!$G$11,BF627)),ISNUMBER(FIND(Experience!$I$11,BE627)),ISNUMBER(FIND(Experience!$I$11,BF627)))),1,0)</f>
        <v>1</v>
      </c>
      <c r="BC627" s="1080" t="str">
        <f t="shared" si="590"/>
        <v>Law of Contrariness</v>
      </c>
      <c r="BD627" s="1080" t="s">
        <v>6181</v>
      </c>
      <c r="BE627" s="1080" t="str">
        <f t="shared" si="575"/>
        <v>Lore</v>
      </c>
      <c r="BF627" s="1080" t="str">
        <f t="shared" si="591"/>
        <v>Materia Magica Skills</v>
      </c>
    </row>
    <row r="628" spans="1:58" ht="11.1" hidden="1" customHeight="1" outlineLevel="2">
      <c r="A628" s="1092" t="s">
        <v>2957</v>
      </c>
      <c r="B628" s="1094" t="s">
        <v>1942</v>
      </c>
      <c r="C628" s="1094"/>
      <c r="D628" s="1094"/>
      <c r="E628" s="1095" t="s">
        <v>5224</v>
      </c>
      <c r="F628" s="1095" t="s">
        <v>5224</v>
      </c>
      <c r="G628" s="1096">
        <v>0</v>
      </c>
      <c r="H628" s="1096" t="s">
        <v>5224</v>
      </c>
      <c r="I628" s="1096" t="s">
        <v>5224</v>
      </c>
      <c r="J628" s="1096" t="s">
        <v>5224</v>
      </c>
      <c r="K628" s="1096" t="s">
        <v>5224</v>
      </c>
      <c r="L628" s="1096">
        <v>0</v>
      </c>
      <c r="M628" s="1096" t="s">
        <v>5224</v>
      </c>
      <c r="N628" s="1096" t="s">
        <v>4631</v>
      </c>
      <c r="O628" s="1034"/>
      <c r="P628" s="1113" t="s">
        <v>13</v>
      </c>
      <c r="Q628" s="1034"/>
      <c r="R628" s="1034"/>
      <c r="S628" s="1113" t="s">
        <v>13</v>
      </c>
      <c r="T628" s="1113"/>
      <c r="U628" s="1027">
        <v>0</v>
      </c>
      <c r="V628" s="1027">
        <f t="shared" si="620"/>
        <v>1</v>
      </c>
      <c r="W628" s="1098" t="e">
        <f>IF(OR(I628&lt;&gt;"N",E628="C"),IF(AND(N628&lt;&gt;"T",ISNUMBER(FIND("V",I628))),1,0),NA())+IF(H628="Y",IF(AND(N628="P",ISNUMBER(FIND("Z",I628))),2,1),0)+IF(J628="Y",1,0)+IF(K628="Y",3,0)+IF(BE628="Lore",L628*2+Experience!$D$25,0)+IF(M628="Y",1,0)</f>
        <v>#N/A</v>
      </c>
      <c r="X628" s="1099"/>
      <c r="Y628" s="1100" t="e">
        <f ca="1">IF(P628="NS",IFERROR(INDIRECT(S628),NA()),VLOOKUP(INDIRECT(P628)+INDIRECT(S628),'System Lookups'!$A$3:$D$146,2))</f>
        <v>#N/A</v>
      </c>
      <c r="Z628" s="1100">
        <f t="shared" si="615"/>
        <v>0</v>
      </c>
      <c r="AA628" s="1101">
        <f t="shared" ca="1" si="619"/>
        <v>0</v>
      </c>
      <c r="AB628" s="1102">
        <f>VLOOKUP(V$621,'System Lookups'!$J$55:$P$64,3)</f>
        <v>0.2</v>
      </c>
      <c r="AC628" s="1103">
        <f>VLOOKUP(V$621,'System Lookups'!$J$55:$P$64,4)</f>
        <v>0.3</v>
      </c>
      <c r="AD628" s="1104">
        <f t="shared" si="621"/>
        <v>0</v>
      </c>
      <c r="AE628" s="1094">
        <f>(IF(AD628&gt;VLOOKUP(V628,'System Lookups'!$J$55:$P$63,6),(((AD628-VLOOKUP(V628,'System Lookups'!$J$55:$P$63,6))*100)/20),0))+AF628</f>
        <v>0</v>
      </c>
      <c r="AF628" s="1121"/>
      <c r="AG628" s="1092">
        <f t="shared" si="622"/>
        <v>0</v>
      </c>
      <c r="AH628" s="1092" t="str">
        <f>IF(X628&lt;=Experience!$R$15+1,"","*")</f>
        <v/>
      </c>
      <c r="AI628" s="1092"/>
      <c r="AJ628" s="1080">
        <f t="shared" si="607"/>
        <v>0</v>
      </c>
      <c r="AK628" s="1080">
        <f t="shared" si="616"/>
        <v>0</v>
      </c>
      <c r="AL628" s="1080">
        <f t="shared" si="608"/>
        <v>0</v>
      </c>
      <c r="AM628" s="1092">
        <f t="shared" si="617"/>
        <v>0</v>
      </c>
      <c r="AN628" s="1080">
        <f t="shared" si="618"/>
        <v>1</v>
      </c>
      <c r="AO628" s="1080">
        <f t="shared" si="609"/>
        <v>0</v>
      </c>
      <c r="AP628" s="1080">
        <f t="shared" si="623"/>
        <v>1</v>
      </c>
      <c r="AQ628" s="1027">
        <v>250</v>
      </c>
      <c r="AR628" s="1080" t="str">
        <f ca="1">IF(AND(NOT(ISBLANK(AJ628)),ISNA(MATCH(ROW(),'System Lookups'!$C$526:$C$539,0))),"Y","N")</f>
        <v>Y</v>
      </c>
      <c r="AS628" s="1080">
        <f t="shared" si="624"/>
        <v>0</v>
      </c>
      <c r="AU628" s="1080" t="e">
        <f t="shared" si="576"/>
        <v>#N/A</v>
      </c>
      <c r="AV628" s="1080" t="str">
        <f t="shared" si="574"/>
        <v>T</v>
      </c>
      <c r="AW628" s="1080">
        <f t="shared" si="577"/>
        <v>0</v>
      </c>
      <c r="AX628" s="1080">
        <f t="shared" si="578"/>
        <v>0</v>
      </c>
      <c r="AY628" s="1080">
        <f t="shared" si="579"/>
        <v>0</v>
      </c>
      <c r="AZ628" s="1080">
        <f t="shared" si="580"/>
        <v>0</v>
      </c>
      <c r="BA628" s="1080">
        <f t="shared" si="581"/>
        <v>0</v>
      </c>
      <c r="BB628" s="1080">
        <f>IF(AND(RACE=1,'Main Creation Page'!$E$6="Well",OR(ISNUMBER(FIND(Experience!$G$11,BE628)),ISNUMBER(FIND(Experience!$G$11,BF628)),ISNUMBER(FIND(Experience!$I$11,BE628)),ISNUMBER(FIND(Experience!$I$11,BF628)))),1,0)</f>
        <v>1</v>
      </c>
      <c r="BC628" s="1080" t="str">
        <f t="shared" si="590"/>
        <v>Law of Discharge &amp; Recharge</v>
      </c>
      <c r="BD628" s="1080" t="s">
        <v>6181</v>
      </c>
      <c r="BE628" s="1080" t="str">
        <f t="shared" si="575"/>
        <v>Lore</v>
      </c>
      <c r="BF628" s="1080" t="str">
        <f t="shared" si="591"/>
        <v>Materia Magica Skills</v>
      </c>
    </row>
    <row r="629" spans="1:58" ht="11.1" hidden="1" customHeight="1" outlineLevel="2">
      <c r="A629" s="1092" t="s">
        <v>2952</v>
      </c>
      <c r="B629" s="1094" t="s">
        <v>1942</v>
      </c>
      <c r="C629" s="1094"/>
      <c r="D629" s="1094"/>
      <c r="E629" s="1095" t="s">
        <v>5224</v>
      </c>
      <c r="F629" s="1095" t="s">
        <v>5224</v>
      </c>
      <c r="G629" s="1096">
        <v>0</v>
      </c>
      <c r="H629" s="1096" t="s">
        <v>5224</v>
      </c>
      <c r="I629" s="1096" t="s">
        <v>5224</v>
      </c>
      <c r="J629" s="1096" t="s">
        <v>5224</v>
      </c>
      <c r="K629" s="1096" t="s">
        <v>5224</v>
      </c>
      <c r="L629" s="1096">
        <v>0</v>
      </c>
      <c r="M629" s="1096" t="s">
        <v>5224</v>
      </c>
      <c r="N629" s="1096" t="s">
        <v>4631</v>
      </c>
      <c r="O629" s="1034"/>
      <c r="P629" s="1113" t="s">
        <v>13</v>
      </c>
      <c r="Q629" s="1034"/>
      <c r="R629" s="1034"/>
      <c r="S629" s="1113" t="s">
        <v>13</v>
      </c>
      <c r="T629" s="1113"/>
      <c r="U629" s="1027">
        <v>0</v>
      </c>
      <c r="V629" s="1027">
        <f t="shared" si="620"/>
        <v>1</v>
      </c>
      <c r="W629" s="1098" t="e">
        <f>IF(OR(I629&lt;&gt;"N",E629="C"),IF(AND(N629&lt;&gt;"T",ISNUMBER(FIND("V",I629))),1,0),NA())+IF(H629="Y",IF(AND(N629="P",ISNUMBER(FIND("Z",I629))),2,1),0)+IF(J629="Y",1,0)+IF(K629="Y",3,0)+IF(BE629="Lore",L629*2+Experience!$D$25,0)+IF(M629="Y",1,0)</f>
        <v>#N/A</v>
      </c>
      <c r="X629" s="1099"/>
      <c r="Y629" s="1100" t="e">
        <f ca="1">IF(P629="NS",IFERROR(INDIRECT(S629),NA()),VLOOKUP(INDIRECT(P629)+INDIRECT(S629),'System Lookups'!$A$3:$D$146,2))</f>
        <v>#N/A</v>
      </c>
      <c r="Z629" s="1100">
        <f t="shared" si="615"/>
        <v>0</v>
      </c>
      <c r="AA629" s="1101">
        <f t="shared" ca="1" si="619"/>
        <v>0</v>
      </c>
      <c r="AB629" s="1102">
        <f>VLOOKUP(V$621,'System Lookups'!$J$55:$P$64,3)</f>
        <v>0.2</v>
      </c>
      <c r="AC629" s="1103">
        <f>VLOOKUP(V$621,'System Lookups'!$J$55:$P$64,4)</f>
        <v>0.3</v>
      </c>
      <c r="AD629" s="1104">
        <f t="shared" si="621"/>
        <v>0</v>
      </c>
      <c r="AE629" s="1094">
        <f>(IF(AD629&gt;VLOOKUP(V629,'System Lookups'!$J$55:$P$63,6),(((AD629-VLOOKUP(V629,'System Lookups'!$J$55:$P$63,6))*100)/20),0))+AF629</f>
        <v>0</v>
      </c>
      <c r="AF629" s="1121"/>
      <c r="AG629" s="1092">
        <f t="shared" si="622"/>
        <v>0</v>
      </c>
      <c r="AH629" s="1092" t="str">
        <f>IF(X629&lt;=Experience!$R$15+1,"","*")</f>
        <v/>
      </c>
      <c r="AI629" s="1092"/>
      <c r="AJ629" s="1080">
        <f t="shared" si="607"/>
        <v>0</v>
      </c>
      <c r="AK629" s="1080">
        <f t="shared" si="616"/>
        <v>0</v>
      </c>
      <c r="AL629" s="1080">
        <f t="shared" si="608"/>
        <v>0</v>
      </c>
      <c r="AM629" s="1092">
        <f t="shared" si="617"/>
        <v>0</v>
      </c>
      <c r="AN629" s="1080">
        <f t="shared" si="618"/>
        <v>1</v>
      </c>
      <c r="AO629" s="1080">
        <f t="shared" si="609"/>
        <v>0</v>
      </c>
      <c r="AP629" s="1080">
        <f t="shared" si="623"/>
        <v>1</v>
      </c>
      <c r="AQ629" s="1027">
        <v>250</v>
      </c>
      <c r="AR629" s="1080" t="str">
        <f ca="1">IF(AND(NOT(ISBLANK(AJ629)),ISNA(MATCH(ROW(),'System Lookups'!$C$526:$C$539,0))),"Y","N")</f>
        <v>Y</v>
      </c>
      <c r="AS629" s="1080">
        <f t="shared" si="624"/>
        <v>0</v>
      </c>
      <c r="AU629" s="1080" t="e">
        <f t="shared" si="576"/>
        <v>#N/A</v>
      </c>
      <c r="AV629" s="1080" t="str">
        <f t="shared" ref="AV629:AV692" si="625">IF(ISNUMBER(U629),CONCATENATE(IF(E629="C","C",""),IF(H629="Y","M",""),N629,IF(ISNUMBER(FIND("F",I629)),"Bk",""),IF(ISNUMBER(FIND("Z",I629)),"Zm",""),IF(J629="Y","L",""),IF(OR(K629="Y",AND(ISNUMBER(L629),L629&gt;0),M629="Y"),"Sa","")),"")</f>
        <v>T</v>
      </c>
      <c r="AW629" s="1080">
        <f t="shared" si="577"/>
        <v>0</v>
      </c>
      <c r="AX629" s="1080">
        <f t="shared" si="578"/>
        <v>0</v>
      </c>
      <c r="AY629" s="1080">
        <f t="shared" si="579"/>
        <v>0</v>
      </c>
      <c r="AZ629" s="1080">
        <f t="shared" si="580"/>
        <v>0</v>
      </c>
      <c r="BA629" s="1080">
        <f t="shared" si="581"/>
        <v>0</v>
      </c>
      <c r="BB629" s="1080">
        <f>IF(AND(RACE=1,'Main Creation Page'!$E$6="Well",OR(ISNUMBER(FIND(Experience!$G$11,BE629)),ISNUMBER(FIND(Experience!$G$11,BF629)),ISNUMBER(FIND(Experience!$I$11,BE629)),ISNUMBER(FIND(Experience!$I$11,BF629)))),1,0)</f>
        <v>1</v>
      </c>
      <c r="BC629" s="1080" t="str">
        <f t="shared" si="590"/>
        <v>Law of Enchanted Objects</v>
      </c>
      <c r="BD629" s="1080" t="s">
        <v>6181</v>
      </c>
      <c r="BE629" s="1080" t="str">
        <f t="shared" ref="BE629:BE692" si="626">IF(OR(ISNUMBER(FIND("Lore",BF629)),ISNUMBER(FIND("Materia",BF629)),ISNUMBER(FIND("Lore",BD629))),"Lore","")</f>
        <v>Lore</v>
      </c>
      <c r="BF629" s="1080" t="str">
        <f t="shared" si="591"/>
        <v>Materia Magica Skills</v>
      </c>
    </row>
    <row r="630" spans="1:58" ht="11.1" hidden="1" customHeight="1" outlineLevel="2">
      <c r="A630" s="1092" t="s">
        <v>4191</v>
      </c>
      <c r="B630" s="1094" t="s">
        <v>1942</v>
      </c>
      <c r="C630" s="1094"/>
      <c r="D630" s="1094"/>
      <c r="E630" s="1095" t="s">
        <v>5224</v>
      </c>
      <c r="F630" s="1095" t="s">
        <v>5224</v>
      </c>
      <c r="G630" s="1096">
        <v>0</v>
      </c>
      <c r="H630" s="1096" t="s">
        <v>5224</v>
      </c>
      <c r="I630" s="1096" t="s">
        <v>5224</v>
      </c>
      <c r="J630" s="1096" t="s">
        <v>5224</v>
      </c>
      <c r="K630" s="1096" t="s">
        <v>5224</v>
      </c>
      <c r="L630" s="1096">
        <v>0</v>
      </c>
      <c r="M630" s="1096" t="s">
        <v>5224</v>
      </c>
      <c r="N630" s="1096" t="s">
        <v>4631</v>
      </c>
      <c r="O630" s="1034"/>
      <c r="P630" s="1113" t="s">
        <v>13</v>
      </c>
      <c r="Q630" s="1034"/>
      <c r="R630" s="1034"/>
      <c r="S630" s="1113" t="s">
        <v>13</v>
      </c>
      <c r="T630" s="1113"/>
      <c r="U630" s="1027">
        <v>0</v>
      </c>
      <c r="V630" s="1027">
        <f t="shared" si="620"/>
        <v>1</v>
      </c>
      <c r="W630" s="1098" t="e">
        <f>IF(OR(I630&lt;&gt;"N",E630="C"),IF(AND(N630&lt;&gt;"T",ISNUMBER(FIND("V",I630))),1,0),NA())+IF(H630="Y",IF(AND(N630="P",ISNUMBER(FIND("Z",I630))),2,1),0)+IF(J630="Y",1,0)+IF(K630="Y",3,0)+IF(BE630="Lore",L630*2+Experience!$D$25,0)+IF(M630="Y",1,0)</f>
        <v>#N/A</v>
      </c>
      <c r="X630" s="1099"/>
      <c r="Y630" s="1100" t="e">
        <f ca="1">IF(P630="NS",IFERROR(INDIRECT(S630),NA()),VLOOKUP(INDIRECT(P630)+INDIRECT(S630),'System Lookups'!$A$3:$D$146,2))</f>
        <v>#N/A</v>
      </c>
      <c r="Z630" s="1100">
        <f t="shared" si="615"/>
        <v>0</v>
      </c>
      <c r="AA630" s="1101">
        <f t="shared" ca="1" si="619"/>
        <v>0</v>
      </c>
      <c r="AB630" s="1102">
        <f>VLOOKUP(V$621,'System Lookups'!$J$55:$P$64,3)</f>
        <v>0.2</v>
      </c>
      <c r="AC630" s="1103">
        <f>VLOOKUP(V$621,'System Lookups'!$J$55:$P$64,4)</f>
        <v>0.3</v>
      </c>
      <c r="AD630" s="1104">
        <f t="shared" si="621"/>
        <v>0</v>
      </c>
      <c r="AE630" s="1094">
        <f>(IF(AD630&gt;VLOOKUP(V630,'System Lookups'!$J$55:$P$63,6),(((AD630-VLOOKUP(V630,'System Lookups'!$J$55:$P$63,6))*100)/20),0))+AF630</f>
        <v>0</v>
      </c>
      <c r="AF630" s="1121"/>
      <c r="AG630" s="1092">
        <f t="shared" si="622"/>
        <v>0</v>
      </c>
      <c r="AH630" s="1092" t="str">
        <f>IF(X630&lt;=Experience!$R$15+1,"","*")</f>
        <v/>
      </c>
      <c r="AI630" s="1092"/>
      <c r="AJ630" s="1080">
        <f t="shared" si="607"/>
        <v>0</v>
      </c>
      <c r="AK630" s="1080">
        <f t="shared" si="616"/>
        <v>0</v>
      </c>
      <c r="AL630" s="1080">
        <f t="shared" si="608"/>
        <v>0</v>
      </c>
      <c r="AM630" s="1092">
        <f t="shared" si="617"/>
        <v>0</v>
      </c>
      <c r="AN630" s="1080">
        <f t="shared" si="618"/>
        <v>1</v>
      </c>
      <c r="AO630" s="1080">
        <f t="shared" si="609"/>
        <v>0</v>
      </c>
      <c r="AP630" s="1080">
        <f t="shared" si="623"/>
        <v>1</v>
      </c>
      <c r="AQ630" s="1027">
        <v>250</v>
      </c>
      <c r="AR630" s="1080" t="str">
        <f ca="1">IF(AND(NOT(ISBLANK(AJ630)),ISNA(MATCH(ROW(),'System Lookups'!$C$526:$C$539,0))),"Y","N")</f>
        <v>Y</v>
      </c>
      <c r="AS630" s="1080">
        <f t="shared" si="624"/>
        <v>0</v>
      </c>
      <c r="AU630" s="1080" t="e">
        <f t="shared" ref="AU630:AU693" si="627">IF(AND(NOT(ISNUMBER($W630)),ISBLANK($X630)),NA(),IFERROR($W630+$X630,$X630))</f>
        <v>#N/A</v>
      </c>
      <c r="AV630" s="1080" t="str">
        <f t="shared" si="625"/>
        <v>T</v>
      </c>
      <c r="AW630" s="1080">
        <f t="shared" ref="AW630:AW693" si="628">IF(OR(I630="N",ISBLANK(I630)),0,1)</f>
        <v>0</v>
      </c>
      <c r="AX630" s="1080">
        <f t="shared" ref="AX630:AX693" si="629">IF($N630="P",IF(ISNUMBER(FIND("V",$I630)),1,0),0)</f>
        <v>0</v>
      </c>
      <c r="AY630" s="1080">
        <f t="shared" ref="AY630:AY693" si="630">IF($N630="S",IF(ISNUMBER(FIND("V",$I630)),1,0),0)</f>
        <v>0</v>
      </c>
      <c r="AZ630" s="1080">
        <f t="shared" ref="AZ630:AZ693" si="631">IF($N630="T",IF(ISNUMBER(FIND("V",$I630)),1,0),0)</f>
        <v>0</v>
      </c>
      <c r="BA630" s="1080">
        <f t="shared" ref="BA630:BA693" si="632">IF($N630&lt;&gt;"T",IF(OR(ISNUMBER(FIND("C",$I630)),ISNUMBER(FIND("D",$I630)),ISNUMBER(FIND("E",$I630)),ISNUMBER(FIND("F",$I630)),ISNUMBER(FIND("L",$I630)),ISNUMBER(FIND("R",$I630)),ISNUMBER(FIND("S",$I630))),1,0),0)</f>
        <v>0</v>
      </c>
      <c r="BB630" s="1080">
        <f>IF(AND(RACE=1,'Main Creation Page'!$E$6="Well",OR(ISNUMBER(FIND(Experience!$G$11,BE630)),ISNUMBER(FIND(Experience!$G$11,BF630)),ISNUMBER(FIND(Experience!$I$11,BE630)),ISNUMBER(FIND(Experience!$I$11,BF630)))),1,0)</f>
        <v>1</v>
      </c>
      <c r="BC630" s="1080" t="str">
        <f t="shared" si="590"/>
        <v>Law of Energy Control</v>
      </c>
      <c r="BD630" s="1080" t="s">
        <v>6181</v>
      </c>
      <c r="BE630" s="1080" t="str">
        <f t="shared" si="626"/>
        <v>Lore</v>
      </c>
      <c r="BF630" s="1080" t="str">
        <f t="shared" si="591"/>
        <v>Materia Magica Skills</v>
      </c>
    </row>
    <row r="631" spans="1:58" ht="11.1" hidden="1" customHeight="1" outlineLevel="2">
      <c r="A631" s="1092" t="s">
        <v>4189</v>
      </c>
      <c r="B631" s="1094" t="s">
        <v>1942</v>
      </c>
      <c r="C631" s="1094"/>
      <c r="D631" s="1094"/>
      <c r="E631" s="1095" t="s">
        <v>5224</v>
      </c>
      <c r="F631" s="1095" t="s">
        <v>5224</v>
      </c>
      <c r="G631" s="1096">
        <v>0</v>
      </c>
      <c r="H631" s="1096" t="s">
        <v>5224</v>
      </c>
      <c r="I631" s="1096" t="s">
        <v>5224</v>
      </c>
      <c r="J631" s="1096" t="s">
        <v>5224</v>
      </c>
      <c r="K631" s="1096" t="s">
        <v>5224</v>
      </c>
      <c r="L631" s="1096">
        <v>0</v>
      </c>
      <c r="M631" s="1096" t="s">
        <v>5224</v>
      </c>
      <c r="N631" s="1096" t="s">
        <v>4631</v>
      </c>
      <c r="O631" s="1034"/>
      <c r="P631" s="1113" t="s">
        <v>13</v>
      </c>
      <c r="Q631" s="1034"/>
      <c r="R631" s="1034"/>
      <c r="S631" s="1113" t="s">
        <v>13</v>
      </c>
      <c r="T631" s="1113"/>
      <c r="U631" s="1027">
        <v>0</v>
      </c>
      <c r="V631" s="1027">
        <f t="shared" si="620"/>
        <v>1</v>
      </c>
      <c r="W631" s="1098" t="e">
        <f>IF(OR(I631&lt;&gt;"N",E631="C"),IF(AND(N631&lt;&gt;"T",ISNUMBER(FIND("V",I631))),1,0),NA())+IF(H631="Y",IF(AND(N631="P",ISNUMBER(FIND("Z",I631))),2,1),0)+IF(J631="Y",1,0)+IF(K631="Y",3,0)+IF(BE631="Lore",L631*2+Experience!$D$25,0)+IF(M631="Y",1,0)</f>
        <v>#N/A</v>
      </c>
      <c r="X631" s="1099"/>
      <c r="Y631" s="1100" t="e">
        <f ca="1">IF(P631="NS",IFERROR(INDIRECT(S631),NA()),VLOOKUP(INDIRECT(P631)+INDIRECT(S631),'System Lookups'!$A$3:$D$146,2))</f>
        <v>#N/A</v>
      </c>
      <c r="Z631" s="1100">
        <f t="shared" si="615"/>
        <v>0</v>
      </c>
      <c r="AA631" s="1101">
        <f t="shared" ca="1" si="619"/>
        <v>0</v>
      </c>
      <c r="AB631" s="1102">
        <f>VLOOKUP(V$621,'System Lookups'!$J$55:$P$64,3)</f>
        <v>0.2</v>
      </c>
      <c r="AC631" s="1103">
        <f>VLOOKUP(V$621,'System Lookups'!$J$55:$P$64,4)</f>
        <v>0.3</v>
      </c>
      <c r="AD631" s="1104">
        <f t="shared" si="621"/>
        <v>0</v>
      </c>
      <c r="AE631" s="1094">
        <f>(IF(AD631&gt;VLOOKUP(V631,'System Lookups'!$J$55:$P$63,6),(((AD631-VLOOKUP(V631,'System Lookups'!$J$55:$P$63,6))*100)/20),0))+AF631</f>
        <v>0</v>
      </c>
      <c r="AF631" s="1121"/>
      <c r="AG631" s="1092">
        <f t="shared" si="622"/>
        <v>0</v>
      </c>
      <c r="AH631" s="1092" t="str">
        <f>IF(X631&lt;=Experience!$R$15+1,"","*")</f>
        <v/>
      </c>
      <c r="AI631" s="1092"/>
      <c r="AJ631" s="1080">
        <f t="shared" si="607"/>
        <v>0</v>
      </c>
      <c r="AK631" s="1080">
        <f t="shared" si="616"/>
        <v>0</v>
      </c>
      <c r="AL631" s="1080">
        <f t="shared" si="608"/>
        <v>0</v>
      </c>
      <c r="AM631" s="1092">
        <f t="shared" si="617"/>
        <v>0</v>
      </c>
      <c r="AN631" s="1080">
        <f t="shared" si="618"/>
        <v>1</v>
      </c>
      <c r="AO631" s="1080">
        <f t="shared" si="609"/>
        <v>0</v>
      </c>
      <c r="AP631" s="1080">
        <f t="shared" si="623"/>
        <v>1</v>
      </c>
      <c r="AQ631" s="1027">
        <v>250</v>
      </c>
      <c r="AR631" s="1080" t="str">
        <f ca="1">IF(AND(NOT(ISBLANK(AJ631)),ISNA(MATCH(ROW(),'System Lookups'!$C$526:$C$539,0))),"Y","N")</f>
        <v>Y</v>
      </c>
      <c r="AS631" s="1080">
        <f t="shared" si="624"/>
        <v>0</v>
      </c>
      <c r="AU631" s="1080" t="e">
        <f t="shared" si="627"/>
        <v>#N/A</v>
      </c>
      <c r="AV631" s="1080" t="str">
        <f t="shared" si="625"/>
        <v>T</v>
      </c>
      <c r="AW631" s="1080">
        <f t="shared" si="628"/>
        <v>0</v>
      </c>
      <c r="AX631" s="1080">
        <f t="shared" si="629"/>
        <v>0</v>
      </c>
      <c r="AY631" s="1080">
        <f t="shared" si="630"/>
        <v>0</v>
      </c>
      <c r="AZ631" s="1080">
        <f t="shared" si="631"/>
        <v>0</v>
      </c>
      <c r="BA631" s="1080">
        <f t="shared" si="632"/>
        <v>0</v>
      </c>
      <c r="BB631" s="1080">
        <f>IF(AND(RACE=1,'Main Creation Page'!$E$6="Well",OR(ISNUMBER(FIND(Experience!$G$11,BE631)),ISNUMBER(FIND(Experience!$G$11,BF631)),ISNUMBER(FIND(Experience!$I$11,BE631)),ISNUMBER(FIND(Experience!$I$11,BF631)))),1,0)</f>
        <v>1</v>
      </c>
      <c r="BC631" s="1080" t="str">
        <f t="shared" si="590"/>
        <v>Law of Evocation</v>
      </c>
      <c r="BD631" s="1080" t="s">
        <v>6181</v>
      </c>
      <c r="BE631" s="1080" t="str">
        <f t="shared" si="626"/>
        <v>Lore</v>
      </c>
      <c r="BF631" s="1080" t="str">
        <f t="shared" si="591"/>
        <v>Materia Magica Skills</v>
      </c>
    </row>
    <row r="632" spans="1:58" ht="11.1" hidden="1" customHeight="1" outlineLevel="2">
      <c r="A632" s="1092" t="s">
        <v>2956</v>
      </c>
      <c r="B632" s="1094" t="s">
        <v>1942</v>
      </c>
      <c r="C632" s="1094"/>
      <c r="D632" s="1094"/>
      <c r="E632" s="1095" t="s">
        <v>5224</v>
      </c>
      <c r="F632" s="1095" t="s">
        <v>5224</v>
      </c>
      <c r="G632" s="1096">
        <v>0</v>
      </c>
      <c r="H632" s="1096" t="s">
        <v>5224</v>
      </c>
      <c r="I632" s="1096" t="s">
        <v>5224</v>
      </c>
      <c r="J632" s="1096" t="s">
        <v>5224</v>
      </c>
      <c r="K632" s="1096" t="s">
        <v>5224</v>
      </c>
      <c r="L632" s="1096">
        <v>0</v>
      </c>
      <c r="M632" s="1096" t="s">
        <v>5224</v>
      </c>
      <c r="N632" s="1096" t="s">
        <v>4631</v>
      </c>
      <c r="O632" s="1034"/>
      <c r="P632" s="1113" t="s">
        <v>13</v>
      </c>
      <c r="Q632" s="1034"/>
      <c r="R632" s="1034"/>
      <c r="S632" s="1113" t="s">
        <v>13</v>
      </c>
      <c r="T632" s="1113"/>
      <c r="U632" s="1027">
        <v>0</v>
      </c>
      <c r="V632" s="1027">
        <f t="shared" si="620"/>
        <v>1</v>
      </c>
      <c r="W632" s="1098" t="e">
        <f>IF(OR(I632&lt;&gt;"N",E632="C"),IF(AND(N632&lt;&gt;"T",ISNUMBER(FIND("V",I632))),1,0),NA())+IF(H632="Y",IF(AND(N632="P",ISNUMBER(FIND("Z",I632))),2,1),0)+IF(J632="Y",1,0)+IF(K632="Y",3,0)+IF(BE632="Lore",L632*2+Experience!$D$25,0)+IF(M632="Y",1,0)</f>
        <v>#N/A</v>
      </c>
      <c r="X632" s="1099"/>
      <c r="Y632" s="1100" t="e">
        <f ca="1">IF(P632="NS",IFERROR(INDIRECT(S632),NA()),VLOOKUP(INDIRECT(P632)+INDIRECT(S632),'System Lookups'!$A$3:$D$146,2))</f>
        <v>#N/A</v>
      </c>
      <c r="Z632" s="1100">
        <f t="shared" si="615"/>
        <v>0</v>
      </c>
      <c r="AA632" s="1101">
        <f t="shared" ca="1" si="619"/>
        <v>0</v>
      </c>
      <c r="AB632" s="1102">
        <f>VLOOKUP(V$621,'System Lookups'!$J$55:$P$64,3)</f>
        <v>0.2</v>
      </c>
      <c r="AC632" s="1103">
        <f>VLOOKUP(V$621,'System Lookups'!$J$55:$P$64,4)</f>
        <v>0.3</v>
      </c>
      <c r="AD632" s="1104">
        <f t="shared" si="621"/>
        <v>0</v>
      </c>
      <c r="AE632" s="1094">
        <f>(IF(AD632&gt;VLOOKUP(V632,'System Lookups'!$J$55:$P$63,6),(((AD632-VLOOKUP(V632,'System Lookups'!$J$55:$P$63,6))*100)/20),0))+AF632</f>
        <v>0</v>
      </c>
      <c r="AF632" s="1121"/>
      <c r="AG632" s="1092">
        <f t="shared" si="622"/>
        <v>0</v>
      </c>
      <c r="AH632" s="1092" t="str">
        <f>IF(X632&lt;=Experience!$R$15+1,"","*")</f>
        <v/>
      </c>
      <c r="AI632" s="1092"/>
      <c r="AJ632" s="1080">
        <f t="shared" si="607"/>
        <v>0</v>
      </c>
      <c r="AK632" s="1080">
        <f t="shared" si="616"/>
        <v>0</v>
      </c>
      <c r="AL632" s="1080">
        <f t="shared" si="608"/>
        <v>0</v>
      </c>
      <c r="AM632" s="1092">
        <f t="shared" si="617"/>
        <v>0</v>
      </c>
      <c r="AN632" s="1080">
        <f t="shared" si="618"/>
        <v>1</v>
      </c>
      <c r="AO632" s="1080">
        <f t="shared" si="609"/>
        <v>0</v>
      </c>
      <c r="AP632" s="1080">
        <f t="shared" si="623"/>
        <v>1</v>
      </c>
      <c r="AQ632" s="1027">
        <v>250</v>
      </c>
      <c r="AR632" s="1080" t="str">
        <f ca="1">IF(AND(NOT(ISBLANK(AJ632)),ISNA(MATCH(ROW(),'System Lookups'!$C$526:$C$539,0))),"Y","N")</f>
        <v>Y</v>
      </c>
      <c r="AS632" s="1080">
        <f t="shared" si="624"/>
        <v>0</v>
      </c>
      <c r="AU632" s="1080" t="e">
        <f t="shared" si="627"/>
        <v>#N/A</v>
      </c>
      <c r="AV632" s="1080" t="str">
        <f t="shared" si="625"/>
        <v>T</v>
      </c>
      <c r="AW632" s="1080">
        <f t="shared" si="628"/>
        <v>0</v>
      </c>
      <c r="AX632" s="1080">
        <f t="shared" si="629"/>
        <v>0</v>
      </c>
      <c r="AY632" s="1080">
        <f t="shared" si="630"/>
        <v>0</v>
      </c>
      <c r="AZ632" s="1080">
        <f t="shared" si="631"/>
        <v>0</v>
      </c>
      <c r="BA632" s="1080">
        <f t="shared" si="632"/>
        <v>0</v>
      </c>
      <c r="BB632" s="1080">
        <f>IF(AND(RACE=1,'Main Creation Page'!$E$6="Well",OR(ISNUMBER(FIND(Experience!$G$11,BE632)),ISNUMBER(FIND(Experience!$G$11,BF632)),ISNUMBER(FIND(Experience!$I$11,BE632)),ISNUMBER(FIND(Experience!$I$11,BF632)))),1,0)</f>
        <v>1</v>
      </c>
      <c r="BC632" s="1080" t="str">
        <f t="shared" si="590"/>
        <v>Law of Focus</v>
      </c>
      <c r="BD632" s="1080" t="s">
        <v>6181</v>
      </c>
      <c r="BE632" s="1080" t="str">
        <f t="shared" si="626"/>
        <v>Lore</v>
      </c>
      <c r="BF632" s="1080" t="str">
        <f t="shared" si="591"/>
        <v>Materia Magica Skills</v>
      </c>
    </row>
    <row r="633" spans="1:58" ht="11.1" hidden="1" customHeight="1" outlineLevel="2">
      <c r="A633" s="1092" t="s">
        <v>2961</v>
      </c>
      <c r="B633" s="1094" t="s">
        <v>1942</v>
      </c>
      <c r="C633" s="1094"/>
      <c r="D633" s="1094"/>
      <c r="E633" s="1095" t="s">
        <v>5224</v>
      </c>
      <c r="F633" s="1095" t="s">
        <v>5224</v>
      </c>
      <c r="G633" s="1096">
        <v>0</v>
      </c>
      <c r="H633" s="1096" t="s">
        <v>5224</v>
      </c>
      <c r="I633" s="1096" t="s">
        <v>5224</v>
      </c>
      <c r="J633" s="1096" t="s">
        <v>5224</v>
      </c>
      <c r="K633" s="1096" t="s">
        <v>5224</v>
      </c>
      <c r="L633" s="1096">
        <v>0</v>
      </c>
      <c r="M633" s="1096" t="s">
        <v>5224</v>
      </c>
      <c r="N633" s="1096" t="s">
        <v>4631</v>
      </c>
      <c r="O633" s="1034"/>
      <c r="P633" s="1113" t="s">
        <v>13</v>
      </c>
      <c r="Q633" s="1034"/>
      <c r="R633" s="1034"/>
      <c r="S633" s="1113" t="s">
        <v>13</v>
      </c>
      <c r="T633" s="1113"/>
      <c r="U633" s="1027">
        <v>0</v>
      </c>
      <c r="V633" s="1027">
        <f t="shared" si="620"/>
        <v>1</v>
      </c>
      <c r="W633" s="1098" t="e">
        <f>IF(OR(I633&lt;&gt;"N",E633="C"),IF(AND(N633&lt;&gt;"T",ISNUMBER(FIND("V",I633))),1,0),NA())+IF(H633="Y",IF(AND(N633="P",ISNUMBER(FIND("Z",I633))),2,1),0)+IF(J633="Y",1,0)+IF(K633="Y",3,0)+IF(BE633="Lore",L633*2+Experience!$D$25,0)+IF(M633="Y",1,0)</f>
        <v>#N/A</v>
      </c>
      <c r="X633" s="1099"/>
      <c r="Y633" s="1100" t="e">
        <f ca="1">IF(P633="NS",IFERROR(INDIRECT(S633),NA()),VLOOKUP(INDIRECT(P633)+INDIRECT(S633),'System Lookups'!$A$3:$D$146,2))</f>
        <v>#N/A</v>
      </c>
      <c r="Z633" s="1100">
        <f t="shared" si="615"/>
        <v>0</v>
      </c>
      <c r="AA633" s="1101">
        <f t="shared" ca="1" si="619"/>
        <v>0</v>
      </c>
      <c r="AB633" s="1102">
        <f>VLOOKUP(V$621,'System Lookups'!$J$55:$P$64,3)</f>
        <v>0.2</v>
      </c>
      <c r="AC633" s="1103">
        <f>VLOOKUP(V$621,'System Lookups'!$J$55:$P$64,4)</f>
        <v>0.3</v>
      </c>
      <c r="AD633" s="1104">
        <f t="shared" si="621"/>
        <v>0</v>
      </c>
      <c r="AE633" s="1094">
        <f>(IF(AD633&gt;VLOOKUP(V633,'System Lookups'!$J$55:$P$63,6),(((AD633-VLOOKUP(V633,'System Lookups'!$J$55:$P$63,6))*100)/20),0))+AF633</f>
        <v>0</v>
      </c>
      <c r="AF633" s="1121"/>
      <c r="AG633" s="1092">
        <f t="shared" si="622"/>
        <v>0</v>
      </c>
      <c r="AH633" s="1092" t="str">
        <f>IF(X633&lt;=Experience!$R$15+1,"","*")</f>
        <v/>
      </c>
      <c r="AI633" s="1092"/>
      <c r="AJ633" s="1080">
        <f t="shared" si="607"/>
        <v>0</v>
      </c>
      <c r="AK633" s="1080">
        <f t="shared" si="616"/>
        <v>0</v>
      </c>
      <c r="AL633" s="1080">
        <f t="shared" si="608"/>
        <v>0</v>
      </c>
      <c r="AM633" s="1092">
        <f t="shared" si="617"/>
        <v>0</v>
      </c>
      <c r="AN633" s="1080">
        <f t="shared" si="618"/>
        <v>1</v>
      </c>
      <c r="AO633" s="1080">
        <f t="shared" si="609"/>
        <v>0</v>
      </c>
      <c r="AP633" s="1080">
        <f t="shared" si="623"/>
        <v>1</v>
      </c>
      <c r="AQ633" s="1027">
        <v>250</v>
      </c>
      <c r="AR633" s="1080" t="str">
        <f ca="1">IF(AND(NOT(ISBLANK(AJ633)),ISNA(MATCH(ROW(),'System Lookups'!$C$526:$C$539,0))),"Y","N")</f>
        <v>Y</v>
      </c>
      <c r="AS633" s="1080">
        <f t="shared" si="624"/>
        <v>0</v>
      </c>
      <c r="AU633" s="1080" t="e">
        <f t="shared" si="627"/>
        <v>#N/A</v>
      </c>
      <c r="AV633" s="1080" t="str">
        <f t="shared" si="625"/>
        <v>T</v>
      </c>
      <c r="AW633" s="1080">
        <f t="shared" si="628"/>
        <v>0</v>
      </c>
      <c r="AX633" s="1080">
        <f t="shared" si="629"/>
        <v>0</v>
      </c>
      <c r="AY633" s="1080">
        <f t="shared" si="630"/>
        <v>0</v>
      </c>
      <c r="AZ633" s="1080">
        <f t="shared" si="631"/>
        <v>0</v>
      </c>
      <c r="BA633" s="1080">
        <f t="shared" si="632"/>
        <v>0</v>
      </c>
      <c r="BB633" s="1080">
        <f>IF(AND(RACE=1,'Main Creation Page'!$E$6="Well",OR(ISNUMBER(FIND(Experience!$G$11,BE633)),ISNUMBER(FIND(Experience!$G$11,BF633)),ISNUMBER(FIND(Experience!$I$11,BE633)),ISNUMBER(FIND(Experience!$I$11,BF633)))),1,0)</f>
        <v>1</v>
      </c>
      <c r="BC633" s="1080" t="str">
        <f t="shared" si="590"/>
        <v>Law of Harmony</v>
      </c>
      <c r="BD633" s="1080" t="s">
        <v>6181</v>
      </c>
      <c r="BE633" s="1080" t="str">
        <f t="shared" si="626"/>
        <v>Lore</v>
      </c>
      <c r="BF633" s="1080" t="str">
        <f t="shared" si="591"/>
        <v>Materia Magica Skills</v>
      </c>
    </row>
    <row r="634" spans="1:58" ht="11.1" hidden="1" customHeight="1" outlineLevel="2">
      <c r="A634" s="1092" t="s">
        <v>121</v>
      </c>
      <c r="B634" s="1094" t="s">
        <v>1942</v>
      </c>
      <c r="C634" s="1094"/>
      <c r="D634" s="1094"/>
      <c r="E634" s="1095" t="s">
        <v>5224</v>
      </c>
      <c r="F634" s="1095" t="s">
        <v>5224</v>
      </c>
      <c r="G634" s="1096">
        <v>0</v>
      </c>
      <c r="H634" s="1096" t="s">
        <v>5224</v>
      </c>
      <c r="I634" s="1096" t="s">
        <v>5224</v>
      </c>
      <c r="J634" s="1096" t="s">
        <v>5224</v>
      </c>
      <c r="K634" s="1096" t="s">
        <v>5224</v>
      </c>
      <c r="L634" s="1096">
        <v>0</v>
      </c>
      <c r="M634" s="1096" t="s">
        <v>5224</v>
      </c>
      <c r="N634" s="1096" t="s">
        <v>4631</v>
      </c>
      <c r="O634" s="1034"/>
      <c r="P634" s="1113" t="s">
        <v>13</v>
      </c>
      <c r="Q634" s="1034"/>
      <c r="R634" s="1034"/>
      <c r="S634" s="1113" t="s">
        <v>13</v>
      </c>
      <c r="T634" s="1113"/>
      <c r="U634" s="1027">
        <v>0</v>
      </c>
      <c r="V634" s="1027">
        <f t="shared" si="620"/>
        <v>1</v>
      </c>
      <c r="W634" s="1098" t="e">
        <f>IF(OR(I634&lt;&gt;"N",E634="C"),IF(AND(N634&lt;&gt;"T",ISNUMBER(FIND("V",I634))),1,0),NA())+IF(H634="Y",IF(AND(N634="P",ISNUMBER(FIND("Z",I634))),2,1),0)+IF(J634="Y",1,0)+IF(K634="Y",3,0)+IF(BE634="Lore",L634*2+Experience!$D$25,0)+IF(M634="Y",1,0)</f>
        <v>#N/A</v>
      </c>
      <c r="X634" s="1099"/>
      <c r="Y634" s="1100" t="e">
        <f ca="1">IF(P634="NS",IFERROR(INDIRECT(S634),NA()),VLOOKUP(INDIRECT(P634)+INDIRECT(S634),'System Lookups'!$A$3:$D$146,2))</f>
        <v>#N/A</v>
      </c>
      <c r="Z634" s="1100">
        <f t="shared" si="615"/>
        <v>0</v>
      </c>
      <c r="AA634" s="1101">
        <f t="shared" ca="1" si="619"/>
        <v>0</v>
      </c>
      <c r="AB634" s="1102">
        <f>VLOOKUP(V$621,'System Lookups'!$J$55:$P$64,3)</f>
        <v>0.2</v>
      </c>
      <c r="AC634" s="1103">
        <f>VLOOKUP(V$621,'System Lookups'!$J$55:$P$64,4)</f>
        <v>0.3</v>
      </c>
      <c r="AD634" s="1104">
        <f t="shared" si="621"/>
        <v>0</v>
      </c>
      <c r="AE634" s="1094">
        <f>(IF(AD634&gt;VLOOKUP(V634,'System Lookups'!$J$55:$P$63,6),(((AD634-VLOOKUP(V634,'System Lookups'!$J$55:$P$63,6))*100)/20),0))+AF634</f>
        <v>0</v>
      </c>
      <c r="AF634" s="1121"/>
      <c r="AG634" s="1092">
        <f t="shared" si="622"/>
        <v>0</v>
      </c>
      <c r="AH634" s="1092" t="str">
        <f>IF(X634&lt;=Experience!$R$15+1,"","*")</f>
        <v/>
      </c>
      <c r="AI634" s="1092"/>
      <c r="AJ634" s="1080">
        <f t="shared" si="607"/>
        <v>0</v>
      </c>
      <c r="AK634" s="1080">
        <f t="shared" si="616"/>
        <v>0</v>
      </c>
      <c r="AL634" s="1080">
        <f t="shared" si="608"/>
        <v>0</v>
      </c>
      <c r="AM634" s="1092">
        <f t="shared" si="617"/>
        <v>0</v>
      </c>
      <c r="AN634" s="1080">
        <f t="shared" si="618"/>
        <v>1</v>
      </c>
      <c r="AO634" s="1080">
        <f t="shared" si="609"/>
        <v>0</v>
      </c>
      <c r="AP634" s="1080">
        <f t="shared" si="623"/>
        <v>1</v>
      </c>
      <c r="AQ634" s="1027">
        <v>250</v>
      </c>
      <c r="AR634" s="1080" t="str">
        <f ca="1">IF(AND(NOT(ISBLANK(AJ634)),ISNA(MATCH(ROW(),'System Lookups'!$C$526:$C$539,0))),"Y","N")</f>
        <v>Y</v>
      </c>
      <c r="AS634" s="1080">
        <f t="shared" si="624"/>
        <v>0</v>
      </c>
      <c r="AU634" s="1080" t="e">
        <f t="shared" si="627"/>
        <v>#N/A</v>
      </c>
      <c r="AV634" s="1080" t="str">
        <f t="shared" si="625"/>
        <v>T</v>
      </c>
      <c r="AW634" s="1080">
        <f t="shared" si="628"/>
        <v>0</v>
      </c>
      <c r="AX634" s="1080">
        <f t="shared" si="629"/>
        <v>0</v>
      </c>
      <c r="AY634" s="1080">
        <f t="shared" si="630"/>
        <v>0</v>
      </c>
      <c r="AZ634" s="1080">
        <f t="shared" si="631"/>
        <v>0</v>
      </c>
      <c r="BA634" s="1080">
        <f t="shared" si="632"/>
        <v>0</v>
      </c>
      <c r="BB634" s="1080">
        <f>IF(AND(RACE=1,'Main Creation Page'!$E$6="Well",OR(ISNUMBER(FIND(Experience!$G$11,BE634)),ISNUMBER(FIND(Experience!$G$11,BF634)),ISNUMBER(FIND(Experience!$I$11,BE634)),ISNUMBER(FIND(Experience!$I$11,BF634)))),1,0)</f>
        <v>1</v>
      </c>
      <c r="BC634" s="1080" t="str">
        <f t="shared" si="590"/>
        <v>Law of Invocation</v>
      </c>
      <c r="BD634" s="1080" t="s">
        <v>6181</v>
      </c>
      <c r="BE634" s="1080" t="str">
        <f t="shared" si="626"/>
        <v>Lore</v>
      </c>
      <c r="BF634" s="1080" t="str">
        <f t="shared" si="591"/>
        <v>Materia Magica Skills</v>
      </c>
    </row>
    <row r="635" spans="1:58" ht="11.1" hidden="1" customHeight="1" outlineLevel="2">
      <c r="A635" s="1092" t="s">
        <v>120</v>
      </c>
      <c r="B635" s="1094" t="s">
        <v>1942</v>
      </c>
      <c r="C635" s="1094"/>
      <c r="D635" s="1094"/>
      <c r="E635" s="1095" t="s">
        <v>5224</v>
      </c>
      <c r="F635" s="1095" t="s">
        <v>5224</v>
      </c>
      <c r="G635" s="1096">
        <v>0</v>
      </c>
      <c r="H635" s="1096" t="s">
        <v>5224</v>
      </c>
      <c r="I635" s="1096" t="s">
        <v>5224</v>
      </c>
      <c r="J635" s="1096" t="s">
        <v>5224</v>
      </c>
      <c r="K635" s="1096" t="s">
        <v>5224</v>
      </c>
      <c r="L635" s="1096">
        <v>0</v>
      </c>
      <c r="M635" s="1096" t="s">
        <v>5224</v>
      </c>
      <c r="N635" s="1096" t="s">
        <v>4631</v>
      </c>
      <c r="O635" s="1034"/>
      <c r="P635" s="1113" t="s">
        <v>13</v>
      </c>
      <c r="Q635" s="1034"/>
      <c r="R635" s="1034"/>
      <c r="S635" s="1113" t="s">
        <v>13</v>
      </c>
      <c r="T635" s="1113"/>
      <c r="U635" s="1027">
        <v>0</v>
      </c>
      <c r="V635" s="1027">
        <f t="shared" si="620"/>
        <v>1</v>
      </c>
      <c r="W635" s="1098" t="e">
        <f>IF(OR(I635&lt;&gt;"N",E635="C"),IF(AND(N635&lt;&gt;"T",ISNUMBER(FIND("V",I635))),1,0),NA())+IF(H635="Y",IF(AND(N635="P",ISNUMBER(FIND("Z",I635))),2,1),0)+IF(J635="Y",1,0)+IF(K635="Y",3,0)+IF(BE635="Lore",L635*2+Experience!$D$25,0)+IF(M635="Y",1,0)</f>
        <v>#N/A</v>
      </c>
      <c r="X635" s="1099"/>
      <c r="Y635" s="1100" t="e">
        <f ca="1">IF(P635="NS",IFERROR(INDIRECT(S635),NA()),VLOOKUP(INDIRECT(P635)+INDIRECT(S635),'System Lookups'!$A$3:$D$146,2))</f>
        <v>#N/A</v>
      </c>
      <c r="Z635" s="1100">
        <f t="shared" si="615"/>
        <v>0</v>
      </c>
      <c r="AA635" s="1101">
        <f t="shared" ca="1" si="619"/>
        <v>0</v>
      </c>
      <c r="AB635" s="1102">
        <f>VLOOKUP(V$621,'System Lookups'!$J$55:$P$64,3)</f>
        <v>0.2</v>
      </c>
      <c r="AC635" s="1103">
        <f>VLOOKUP(V$621,'System Lookups'!$J$55:$P$64,4)</f>
        <v>0.3</v>
      </c>
      <c r="AD635" s="1104">
        <f t="shared" si="621"/>
        <v>0</v>
      </c>
      <c r="AE635" s="1094">
        <f>(IF(AD635&gt;VLOOKUP(V635,'System Lookups'!$J$55:$P$63,6),(((AD635-VLOOKUP(V635,'System Lookups'!$J$55:$P$63,6))*100)/20),0))+AF635</f>
        <v>0</v>
      </c>
      <c r="AF635" s="1121"/>
      <c r="AG635" s="1092">
        <f t="shared" si="622"/>
        <v>0</v>
      </c>
      <c r="AH635" s="1092" t="str">
        <f>IF(X635&lt;=Experience!$R$15+1,"","*")</f>
        <v/>
      </c>
      <c r="AI635" s="1092"/>
      <c r="AJ635" s="1080">
        <f t="shared" si="607"/>
        <v>0</v>
      </c>
      <c r="AK635" s="1080">
        <f t="shared" si="616"/>
        <v>0</v>
      </c>
      <c r="AL635" s="1080">
        <f t="shared" si="608"/>
        <v>0</v>
      </c>
      <c r="AM635" s="1092">
        <f t="shared" si="617"/>
        <v>0</v>
      </c>
      <c r="AN635" s="1080">
        <f t="shared" si="618"/>
        <v>1</v>
      </c>
      <c r="AO635" s="1080">
        <f t="shared" si="609"/>
        <v>0</v>
      </c>
      <c r="AP635" s="1080">
        <f t="shared" si="623"/>
        <v>1</v>
      </c>
      <c r="AQ635" s="1027">
        <v>250</v>
      </c>
      <c r="AR635" s="1080" t="str">
        <f ca="1">IF(AND(NOT(ISBLANK(AJ635)),ISNA(MATCH(ROW(),'System Lookups'!$C$526:$C$539,0))),"Y","N")</f>
        <v>Y</v>
      </c>
      <c r="AS635" s="1080">
        <f t="shared" si="624"/>
        <v>0</v>
      </c>
      <c r="AU635" s="1080" t="e">
        <f t="shared" si="627"/>
        <v>#N/A</v>
      </c>
      <c r="AV635" s="1080" t="str">
        <f t="shared" si="625"/>
        <v>T</v>
      </c>
      <c r="AW635" s="1080">
        <f t="shared" si="628"/>
        <v>0</v>
      </c>
      <c r="AX635" s="1080">
        <f t="shared" si="629"/>
        <v>0</v>
      </c>
      <c r="AY635" s="1080">
        <f t="shared" si="630"/>
        <v>0</v>
      </c>
      <c r="AZ635" s="1080">
        <f t="shared" si="631"/>
        <v>0</v>
      </c>
      <c r="BA635" s="1080">
        <f t="shared" si="632"/>
        <v>0</v>
      </c>
      <c r="BB635" s="1080">
        <f>IF(AND(RACE=1,'Main Creation Page'!$E$6="Well",OR(ISNUMBER(FIND(Experience!$G$11,BE635)),ISNUMBER(FIND(Experience!$G$11,BF635)),ISNUMBER(FIND(Experience!$I$11,BE635)),ISNUMBER(FIND(Experience!$I$11,BF635)))),1,0)</f>
        <v>1</v>
      </c>
      <c r="BC635" s="1080" t="str">
        <f t="shared" si="590"/>
        <v>Law of Names</v>
      </c>
      <c r="BD635" s="1080" t="s">
        <v>6181</v>
      </c>
      <c r="BE635" s="1080" t="str">
        <f t="shared" si="626"/>
        <v>Lore</v>
      </c>
      <c r="BF635" s="1080" t="str">
        <f t="shared" si="591"/>
        <v>Materia Magica Skills</v>
      </c>
    </row>
    <row r="636" spans="1:58" ht="11.1" hidden="1" customHeight="1" outlineLevel="2">
      <c r="A636" s="1092" t="s">
        <v>115</v>
      </c>
      <c r="B636" s="1094" t="s">
        <v>1942</v>
      </c>
      <c r="C636" s="1094"/>
      <c r="D636" s="1094"/>
      <c r="E636" s="1095" t="s">
        <v>5224</v>
      </c>
      <c r="F636" s="1095" t="s">
        <v>5224</v>
      </c>
      <c r="G636" s="1096">
        <v>0</v>
      </c>
      <c r="H636" s="1096" t="s">
        <v>5224</v>
      </c>
      <c r="I636" s="1096" t="s">
        <v>5224</v>
      </c>
      <c r="J636" s="1096" t="s">
        <v>5224</v>
      </c>
      <c r="K636" s="1096" t="s">
        <v>5224</v>
      </c>
      <c r="L636" s="1096">
        <v>0</v>
      </c>
      <c r="M636" s="1096" t="s">
        <v>5224</v>
      </c>
      <c r="N636" s="1096" t="s">
        <v>4631</v>
      </c>
      <c r="O636" s="1034"/>
      <c r="P636" s="1113" t="s">
        <v>13</v>
      </c>
      <c r="Q636" s="1034"/>
      <c r="R636" s="1034"/>
      <c r="S636" s="1113" t="s">
        <v>13</v>
      </c>
      <c r="T636" s="1113"/>
      <c r="U636" s="1027">
        <v>0</v>
      </c>
      <c r="V636" s="1027">
        <f t="shared" si="620"/>
        <v>1</v>
      </c>
      <c r="W636" s="1098" t="e">
        <f>IF(OR(I636&lt;&gt;"N",E636="C"),IF(AND(N636&lt;&gt;"T",ISNUMBER(FIND("V",I636))),1,0),NA())+IF(H636="Y",IF(AND(N636="P",ISNUMBER(FIND("Z",I636))),2,1),0)+IF(J636="Y",1,0)+IF(K636="Y",3,0)+IF(BE636="Lore",L636*2+Experience!$D$25,0)+IF(M636="Y",1,0)</f>
        <v>#N/A</v>
      </c>
      <c r="X636" s="1099"/>
      <c r="Y636" s="1100" t="e">
        <f ca="1">IF(P636="NS",IFERROR(INDIRECT(S636),NA()),VLOOKUP(INDIRECT(P636)+INDIRECT(S636),'System Lookups'!$A$3:$D$146,2))</f>
        <v>#N/A</v>
      </c>
      <c r="Z636" s="1100">
        <f t="shared" si="615"/>
        <v>0</v>
      </c>
      <c r="AA636" s="1101">
        <f t="shared" ca="1" si="619"/>
        <v>0</v>
      </c>
      <c r="AB636" s="1102">
        <f>VLOOKUP(V$621,'System Lookups'!$J$55:$P$64,3)</f>
        <v>0.2</v>
      </c>
      <c r="AC636" s="1103">
        <f>VLOOKUP(V$621,'System Lookups'!$J$55:$P$64,4)</f>
        <v>0.3</v>
      </c>
      <c r="AD636" s="1104">
        <f t="shared" si="621"/>
        <v>0</v>
      </c>
      <c r="AE636" s="1094">
        <f>(IF(AD636&gt;VLOOKUP(V636,'System Lookups'!$J$55:$P$63,6),(((AD636-VLOOKUP(V636,'System Lookups'!$J$55:$P$63,6))*100)/20),0))+AF636</f>
        <v>0</v>
      </c>
      <c r="AF636" s="1121"/>
      <c r="AG636" s="1092">
        <f t="shared" si="622"/>
        <v>0</v>
      </c>
      <c r="AH636" s="1092" t="str">
        <f>IF(X636&lt;=Experience!$R$15+1,"","*")</f>
        <v/>
      </c>
      <c r="AI636" s="1092"/>
      <c r="AJ636" s="1080">
        <f t="shared" si="607"/>
        <v>0</v>
      </c>
      <c r="AK636" s="1080">
        <f t="shared" si="616"/>
        <v>0</v>
      </c>
      <c r="AL636" s="1080">
        <f t="shared" si="608"/>
        <v>0</v>
      </c>
      <c r="AM636" s="1092">
        <f t="shared" si="617"/>
        <v>0</v>
      </c>
      <c r="AN636" s="1080">
        <f t="shared" si="618"/>
        <v>1</v>
      </c>
      <c r="AO636" s="1080">
        <f t="shared" si="609"/>
        <v>0</v>
      </c>
      <c r="AP636" s="1080">
        <f t="shared" si="623"/>
        <v>1</v>
      </c>
      <c r="AQ636" s="1027">
        <v>250</v>
      </c>
      <c r="AR636" s="1080" t="str">
        <f ca="1">IF(AND(NOT(ISBLANK(AJ636)),ISNA(MATCH(ROW(),'System Lookups'!$C$526:$C$539,0))),"Y","N")</f>
        <v>Y</v>
      </c>
      <c r="AS636" s="1080">
        <f t="shared" si="624"/>
        <v>0</v>
      </c>
      <c r="AU636" s="1080" t="e">
        <f t="shared" si="627"/>
        <v>#N/A</v>
      </c>
      <c r="AV636" s="1080" t="str">
        <f t="shared" si="625"/>
        <v>T</v>
      </c>
      <c r="AW636" s="1080">
        <f t="shared" si="628"/>
        <v>0</v>
      </c>
      <c r="AX636" s="1080">
        <f t="shared" si="629"/>
        <v>0</v>
      </c>
      <c r="AY636" s="1080">
        <f t="shared" si="630"/>
        <v>0</v>
      </c>
      <c r="AZ636" s="1080">
        <f t="shared" si="631"/>
        <v>0</v>
      </c>
      <c r="BA636" s="1080">
        <f t="shared" si="632"/>
        <v>0</v>
      </c>
      <c r="BB636" s="1080">
        <f>IF(AND(RACE=1,'Main Creation Page'!$E$6="Well",OR(ISNUMBER(FIND(Experience!$G$11,BE636)),ISNUMBER(FIND(Experience!$G$11,BF636)),ISNUMBER(FIND(Experience!$I$11,BE636)),ISNUMBER(FIND(Experience!$I$11,BF636)))),1,0)</f>
        <v>1</v>
      </c>
      <c r="BC636" s="1080" t="str">
        <f t="shared" si="590"/>
        <v>Law of Objects</v>
      </c>
      <c r="BD636" s="1080" t="s">
        <v>6181</v>
      </c>
      <c r="BE636" s="1080" t="str">
        <f t="shared" si="626"/>
        <v>Lore</v>
      </c>
      <c r="BF636" s="1080" t="str">
        <f t="shared" si="591"/>
        <v>Materia Magica Skills</v>
      </c>
    </row>
    <row r="637" spans="1:58" ht="11.1" hidden="1" customHeight="1" outlineLevel="2">
      <c r="A637" s="1092" t="s">
        <v>1431</v>
      </c>
      <c r="B637" s="1094" t="s">
        <v>1942</v>
      </c>
      <c r="C637" s="1094"/>
      <c r="D637" s="1094"/>
      <c r="E637" s="1095" t="s">
        <v>5224</v>
      </c>
      <c r="F637" s="1095" t="s">
        <v>5224</v>
      </c>
      <c r="G637" s="1096">
        <v>0</v>
      </c>
      <c r="H637" s="1096" t="s">
        <v>5224</v>
      </c>
      <c r="I637" s="1096" t="s">
        <v>5224</v>
      </c>
      <c r="J637" s="1096" t="s">
        <v>5224</v>
      </c>
      <c r="K637" s="1096" t="s">
        <v>5224</v>
      </c>
      <c r="L637" s="1096">
        <v>0</v>
      </c>
      <c r="M637" s="1096" t="s">
        <v>5224</v>
      </c>
      <c r="N637" s="1096" t="s">
        <v>4631</v>
      </c>
      <c r="O637" s="1034"/>
      <c r="P637" s="1113" t="s">
        <v>13</v>
      </c>
      <c r="Q637" s="1034"/>
      <c r="R637" s="1034"/>
      <c r="S637" s="1113" t="s">
        <v>13</v>
      </c>
      <c r="T637" s="1113"/>
      <c r="U637" s="1027">
        <v>0</v>
      </c>
      <c r="V637" s="1027">
        <f t="shared" si="620"/>
        <v>1</v>
      </c>
      <c r="W637" s="1098" t="e">
        <f>IF(OR(I637&lt;&gt;"N",E637="C"),IF(AND(N637&lt;&gt;"T",ISNUMBER(FIND("V",I637))),1,0),NA())+IF(H637="Y",IF(AND(N637="P",ISNUMBER(FIND("Z",I637))),2,1),0)+IF(J637="Y",1,0)+IF(K637="Y",3,0)+IF(BE637="Lore",L637*2+Experience!$D$25,0)+IF(M637="Y",1,0)</f>
        <v>#N/A</v>
      </c>
      <c r="X637" s="1099"/>
      <c r="Y637" s="1100" t="e">
        <f ca="1">IF(P637="NS",IFERROR(INDIRECT(S637),NA()),VLOOKUP(INDIRECT(P637)+INDIRECT(S637),'System Lookups'!$A$3:$D$146,2))</f>
        <v>#N/A</v>
      </c>
      <c r="Z637" s="1100">
        <f t="shared" si="615"/>
        <v>0</v>
      </c>
      <c r="AA637" s="1101">
        <f t="shared" ca="1" si="619"/>
        <v>0</v>
      </c>
      <c r="AB637" s="1102">
        <f>VLOOKUP(V$621,'System Lookups'!$J$55:$P$64,3)</f>
        <v>0.2</v>
      </c>
      <c r="AC637" s="1103">
        <f>VLOOKUP(V$621,'System Lookups'!$J$55:$P$64,4)</f>
        <v>0.3</v>
      </c>
      <c r="AD637" s="1104">
        <f t="shared" si="621"/>
        <v>0</v>
      </c>
      <c r="AE637" s="1094">
        <f>(IF(AD637&gt;VLOOKUP(V637,'System Lookups'!$J$55:$P$63,6),(((AD637-VLOOKUP(V637,'System Lookups'!$J$55:$P$63,6))*100)/20),0))+AF637</f>
        <v>0</v>
      </c>
      <c r="AF637" s="1121"/>
      <c r="AG637" s="1092">
        <f t="shared" si="622"/>
        <v>0</v>
      </c>
      <c r="AH637" s="1092" t="str">
        <f>IF(X637&lt;=Experience!$R$15+1,"","*")</f>
        <v/>
      </c>
      <c r="AI637" s="1092"/>
      <c r="AJ637" s="1080">
        <f t="shared" si="607"/>
        <v>0</v>
      </c>
      <c r="AK637" s="1080">
        <f t="shared" si="616"/>
        <v>0</v>
      </c>
      <c r="AL637" s="1080">
        <f t="shared" si="608"/>
        <v>0</v>
      </c>
      <c r="AM637" s="1092">
        <f t="shared" si="617"/>
        <v>0</v>
      </c>
      <c r="AN637" s="1080">
        <f t="shared" si="618"/>
        <v>1</v>
      </c>
      <c r="AO637" s="1080">
        <f t="shared" si="609"/>
        <v>0</v>
      </c>
      <c r="AP637" s="1080">
        <f t="shared" si="623"/>
        <v>1</v>
      </c>
      <c r="AQ637" s="1027">
        <v>250</v>
      </c>
      <c r="AR637" s="1080" t="str">
        <f ca="1">IF(AND(NOT(ISBLANK(AJ637)),ISNA(MATCH(ROW(),'System Lookups'!$C$526:$C$539,0))),"Y","N")</f>
        <v>Y</v>
      </c>
      <c r="AS637" s="1080">
        <f t="shared" si="624"/>
        <v>0</v>
      </c>
      <c r="AU637" s="1080" t="e">
        <f t="shared" si="627"/>
        <v>#N/A</v>
      </c>
      <c r="AV637" s="1080" t="str">
        <f t="shared" si="625"/>
        <v>T</v>
      </c>
      <c r="AW637" s="1080">
        <f t="shared" si="628"/>
        <v>0</v>
      </c>
      <c r="AX637" s="1080">
        <f t="shared" si="629"/>
        <v>0</v>
      </c>
      <c r="AY637" s="1080">
        <f t="shared" si="630"/>
        <v>0</v>
      </c>
      <c r="AZ637" s="1080">
        <f t="shared" si="631"/>
        <v>0</v>
      </c>
      <c r="BA637" s="1080">
        <f t="shared" si="632"/>
        <v>0</v>
      </c>
      <c r="BB637" s="1080">
        <f>IF(AND(RACE=1,'Main Creation Page'!$E$6="Well",OR(ISNUMBER(FIND(Experience!$G$11,BE637)),ISNUMBER(FIND(Experience!$G$11,BF637)),ISNUMBER(FIND(Experience!$I$11,BE637)),ISNUMBER(FIND(Experience!$I$11,BF637)))),1,0)</f>
        <v>1</v>
      </c>
      <c r="BC637" s="1080" t="str">
        <f t="shared" si="590"/>
        <v>Law of Paradoxes</v>
      </c>
      <c r="BD637" s="1080" t="s">
        <v>6181</v>
      </c>
      <c r="BE637" s="1080" t="str">
        <f t="shared" si="626"/>
        <v>Lore</v>
      </c>
      <c r="BF637" s="1080" t="str">
        <f t="shared" si="591"/>
        <v>Materia Magica Skills</v>
      </c>
    </row>
    <row r="638" spans="1:58" ht="11.1" hidden="1" customHeight="1" outlineLevel="2">
      <c r="A638" s="1092" t="s">
        <v>2954</v>
      </c>
      <c r="B638" s="1094" t="s">
        <v>1942</v>
      </c>
      <c r="C638" s="1094"/>
      <c r="D638" s="1094"/>
      <c r="E638" s="1095" t="s">
        <v>5224</v>
      </c>
      <c r="F638" s="1095" t="s">
        <v>5224</v>
      </c>
      <c r="G638" s="1096">
        <v>0</v>
      </c>
      <c r="H638" s="1096" t="s">
        <v>5224</v>
      </c>
      <c r="I638" s="1096" t="s">
        <v>5224</v>
      </c>
      <c r="J638" s="1096" t="s">
        <v>5224</v>
      </c>
      <c r="K638" s="1096" t="s">
        <v>5224</v>
      </c>
      <c r="L638" s="1096">
        <v>0</v>
      </c>
      <c r="M638" s="1096" t="s">
        <v>5224</v>
      </c>
      <c r="N638" s="1096" t="s">
        <v>4631</v>
      </c>
      <c r="O638" s="1034"/>
      <c r="P638" s="1113" t="s">
        <v>13</v>
      </c>
      <c r="Q638" s="1034"/>
      <c r="R638" s="1034"/>
      <c r="S638" s="1113" t="s">
        <v>13</v>
      </c>
      <c r="T638" s="1113"/>
      <c r="U638" s="1027">
        <v>0</v>
      </c>
      <c r="V638" s="1027">
        <f t="shared" si="620"/>
        <v>1</v>
      </c>
      <c r="W638" s="1098" t="e">
        <f>IF(OR(I638&lt;&gt;"N",E638="C"),IF(AND(N638&lt;&gt;"T",ISNUMBER(FIND("V",I638))),1,0),NA())+IF(H638="Y",IF(AND(N638="P",ISNUMBER(FIND("Z",I638))),2,1),0)+IF(J638="Y",1,0)+IF(K638="Y",3,0)+IF(BE638="Lore",L638*2+Experience!$D$25,0)+IF(M638="Y",1,0)</f>
        <v>#N/A</v>
      </c>
      <c r="X638" s="1099"/>
      <c r="Y638" s="1100" t="e">
        <f ca="1">IF(P638="NS",IFERROR(INDIRECT(S638),NA()),VLOOKUP(INDIRECT(P638)+INDIRECT(S638),'System Lookups'!$A$3:$D$146,2))</f>
        <v>#N/A</v>
      </c>
      <c r="Z638" s="1100">
        <f t="shared" si="615"/>
        <v>0</v>
      </c>
      <c r="AA638" s="1101">
        <f t="shared" ca="1" si="619"/>
        <v>0</v>
      </c>
      <c r="AB638" s="1102">
        <f>VLOOKUP(V$621,'System Lookups'!$J$55:$P$64,3)</f>
        <v>0.2</v>
      </c>
      <c r="AC638" s="1103">
        <f>VLOOKUP(V$621,'System Lookups'!$J$55:$P$64,4)</f>
        <v>0.3</v>
      </c>
      <c r="AD638" s="1104">
        <f t="shared" si="621"/>
        <v>0</v>
      </c>
      <c r="AE638" s="1094">
        <f>(IF(AD638&gt;VLOOKUP(V638,'System Lookups'!$J$55:$P$63,6),(((AD638-VLOOKUP(V638,'System Lookups'!$J$55:$P$63,6))*100)/20),0))+AF638</f>
        <v>0</v>
      </c>
      <c r="AF638" s="1121"/>
      <c r="AG638" s="1092">
        <f t="shared" si="622"/>
        <v>0</v>
      </c>
      <c r="AH638" s="1092" t="str">
        <f>IF(X638&lt;=Experience!$R$15+1,"","*")</f>
        <v/>
      </c>
      <c r="AI638" s="1092"/>
      <c r="AJ638" s="1080">
        <f t="shared" si="607"/>
        <v>0</v>
      </c>
      <c r="AK638" s="1080">
        <f t="shared" si="616"/>
        <v>0</v>
      </c>
      <c r="AL638" s="1080">
        <f t="shared" si="608"/>
        <v>0</v>
      </c>
      <c r="AM638" s="1092">
        <f t="shared" si="617"/>
        <v>0</v>
      </c>
      <c r="AN638" s="1080">
        <f t="shared" si="618"/>
        <v>1</v>
      </c>
      <c r="AO638" s="1080">
        <f t="shared" si="609"/>
        <v>0</v>
      </c>
      <c r="AP638" s="1080">
        <f t="shared" si="623"/>
        <v>1</v>
      </c>
      <c r="AQ638" s="1027">
        <v>250</v>
      </c>
      <c r="AR638" s="1080" t="str">
        <f ca="1">IF(AND(NOT(ISBLANK(AJ638)),ISNA(MATCH(ROW(),'System Lookups'!$C$526:$C$539,0))),"Y","N")</f>
        <v>Y</v>
      </c>
      <c r="AS638" s="1080">
        <f t="shared" si="624"/>
        <v>0</v>
      </c>
      <c r="AU638" s="1080" t="e">
        <f t="shared" si="627"/>
        <v>#N/A</v>
      </c>
      <c r="AV638" s="1080" t="str">
        <f t="shared" si="625"/>
        <v>T</v>
      </c>
      <c r="AW638" s="1080">
        <f t="shared" si="628"/>
        <v>0</v>
      </c>
      <c r="AX638" s="1080">
        <f t="shared" si="629"/>
        <v>0</v>
      </c>
      <c r="AY638" s="1080">
        <f t="shared" si="630"/>
        <v>0</v>
      </c>
      <c r="AZ638" s="1080">
        <f t="shared" si="631"/>
        <v>0</v>
      </c>
      <c r="BA638" s="1080">
        <f t="shared" si="632"/>
        <v>0</v>
      </c>
      <c r="BB638" s="1080">
        <f>IF(AND(RACE=1,'Main Creation Page'!$E$6="Well",OR(ISNUMBER(FIND(Experience!$G$11,BE638)),ISNUMBER(FIND(Experience!$G$11,BF638)),ISNUMBER(FIND(Experience!$I$11,BE638)),ISNUMBER(FIND(Experience!$I$11,BF638)))),1,0)</f>
        <v>1</v>
      </c>
      <c r="BC638" s="1080" t="str">
        <f t="shared" si="590"/>
        <v>Law of Personal Attunement</v>
      </c>
      <c r="BD638" s="1080" t="s">
        <v>6181</v>
      </c>
      <c r="BE638" s="1080" t="str">
        <f t="shared" si="626"/>
        <v>Lore</v>
      </c>
      <c r="BF638" s="1080" t="str">
        <f t="shared" si="591"/>
        <v>Materia Magica Skills</v>
      </c>
    </row>
    <row r="639" spans="1:58" ht="11.1" hidden="1" customHeight="1" outlineLevel="2">
      <c r="A639" s="1092" t="s">
        <v>1430</v>
      </c>
      <c r="B639" s="1094" t="s">
        <v>1942</v>
      </c>
      <c r="C639" s="1094"/>
      <c r="D639" s="1094"/>
      <c r="E639" s="1095" t="s">
        <v>5224</v>
      </c>
      <c r="F639" s="1095" t="s">
        <v>5224</v>
      </c>
      <c r="G639" s="1096">
        <v>0</v>
      </c>
      <c r="H639" s="1096" t="s">
        <v>5224</v>
      </c>
      <c r="I639" s="1096" t="s">
        <v>5224</v>
      </c>
      <c r="J639" s="1096" t="s">
        <v>5224</v>
      </c>
      <c r="K639" s="1096" t="s">
        <v>5224</v>
      </c>
      <c r="L639" s="1096">
        <v>0</v>
      </c>
      <c r="M639" s="1096" t="s">
        <v>5224</v>
      </c>
      <c r="N639" s="1096" t="s">
        <v>4631</v>
      </c>
      <c r="O639" s="1034"/>
      <c r="P639" s="1113" t="s">
        <v>13</v>
      </c>
      <c r="Q639" s="1034"/>
      <c r="R639" s="1034"/>
      <c r="S639" s="1113" t="s">
        <v>13</v>
      </c>
      <c r="T639" s="1113"/>
      <c r="U639" s="1027">
        <v>0</v>
      </c>
      <c r="V639" s="1027">
        <f t="shared" si="620"/>
        <v>1</v>
      </c>
      <c r="W639" s="1098" t="e">
        <f>IF(OR(I639&lt;&gt;"N",E639="C"),IF(AND(N639&lt;&gt;"T",ISNUMBER(FIND("V",I639))),1,0),NA())+IF(H639="Y",IF(AND(N639="P",ISNUMBER(FIND("Z",I639))),2,1),0)+IF(J639="Y",1,0)+IF(K639="Y",3,0)+IF(BE639="Lore",L639*2+Experience!$D$25,0)+IF(M639="Y",1,0)</f>
        <v>#N/A</v>
      </c>
      <c r="X639" s="1099"/>
      <c r="Y639" s="1100" t="e">
        <f ca="1">IF(P639="NS",IFERROR(INDIRECT(S639),NA()),VLOOKUP(INDIRECT(P639)+INDIRECT(S639),'System Lookups'!$A$3:$D$146,2))</f>
        <v>#N/A</v>
      </c>
      <c r="Z639" s="1100">
        <f t="shared" si="615"/>
        <v>0</v>
      </c>
      <c r="AA639" s="1101">
        <f t="shared" ca="1" si="619"/>
        <v>0</v>
      </c>
      <c r="AB639" s="1102">
        <f>VLOOKUP(V$621,'System Lookups'!$J$55:$P$64,3)</f>
        <v>0.2</v>
      </c>
      <c r="AC639" s="1103">
        <f>VLOOKUP(V$621,'System Lookups'!$J$55:$P$64,4)</f>
        <v>0.3</v>
      </c>
      <c r="AD639" s="1104">
        <f t="shared" si="621"/>
        <v>0</v>
      </c>
      <c r="AE639" s="1094">
        <f>(IF(AD639&gt;VLOOKUP(V639,'System Lookups'!$J$55:$P$63,6),(((AD639-VLOOKUP(V639,'System Lookups'!$J$55:$P$63,6))*100)/20),0))+AF639</f>
        <v>0</v>
      </c>
      <c r="AF639" s="1121"/>
      <c r="AG639" s="1092">
        <f t="shared" si="622"/>
        <v>0</v>
      </c>
      <c r="AH639" s="1092" t="str">
        <f>IF(X639&lt;=Experience!$R$15+1,"","*")</f>
        <v/>
      </c>
      <c r="AI639" s="1092"/>
      <c r="AJ639" s="1080">
        <f t="shared" si="607"/>
        <v>0</v>
      </c>
      <c r="AK639" s="1080">
        <f t="shared" si="616"/>
        <v>0</v>
      </c>
      <c r="AL639" s="1080">
        <f t="shared" si="608"/>
        <v>0</v>
      </c>
      <c r="AM639" s="1092">
        <f t="shared" si="617"/>
        <v>0</v>
      </c>
      <c r="AN639" s="1080">
        <f t="shared" si="618"/>
        <v>1</v>
      </c>
      <c r="AO639" s="1080">
        <f t="shared" si="609"/>
        <v>0</v>
      </c>
      <c r="AP639" s="1080">
        <f t="shared" si="623"/>
        <v>1</v>
      </c>
      <c r="AQ639" s="1027">
        <v>250</v>
      </c>
      <c r="AR639" s="1080" t="str">
        <f ca="1">IF(AND(NOT(ISBLANK(AJ639)),ISNA(MATCH(ROW(),'System Lookups'!$C$526:$C$539,0))),"Y","N")</f>
        <v>Y</v>
      </c>
      <c r="AS639" s="1080">
        <f t="shared" si="624"/>
        <v>0</v>
      </c>
      <c r="AU639" s="1080" t="e">
        <f t="shared" si="627"/>
        <v>#N/A</v>
      </c>
      <c r="AV639" s="1080" t="str">
        <f t="shared" si="625"/>
        <v>T</v>
      </c>
      <c r="AW639" s="1080">
        <f t="shared" si="628"/>
        <v>0</v>
      </c>
      <c r="AX639" s="1080">
        <f t="shared" si="629"/>
        <v>0</v>
      </c>
      <c r="AY639" s="1080">
        <f t="shared" si="630"/>
        <v>0</v>
      </c>
      <c r="AZ639" s="1080">
        <f t="shared" si="631"/>
        <v>0</v>
      </c>
      <c r="BA639" s="1080">
        <f t="shared" si="632"/>
        <v>0</v>
      </c>
      <c r="BB639" s="1080">
        <f>IF(AND(RACE=1,'Main Creation Page'!$E$6="Well",OR(ISNUMBER(FIND(Experience!$G$11,BE639)),ISNUMBER(FIND(Experience!$G$11,BF639)),ISNUMBER(FIND(Experience!$I$11,BE639)),ISNUMBER(FIND(Experience!$I$11,BF639)))),1,0)</f>
        <v>1</v>
      </c>
      <c r="BC639" s="1080" t="str">
        <f t="shared" si="590"/>
        <v>Law of Personal Reality</v>
      </c>
      <c r="BD639" s="1080" t="s">
        <v>6181</v>
      </c>
      <c r="BE639" s="1080" t="str">
        <f t="shared" si="626"/>
        <v>Lore</v>
      </c>
      <c r="BF639" s="1080" t="str">
        <f t="shared" si="591"/>
        <v>Materia Magica Skills</v>
      </c>
    </row>
    <row r="640" spans="1:58" ht="11.1" hidden="1" customHeight="1" outlineLevel="2">
      <c r="A640" s="1092" t="s">
        <v>2959</v>
      </c>
      <c r="B640" s="1094" t="s">
        <v>1942</v>
      </c>
      <c r="C640" s="1094"/>
      <c r="D640" s="1094"/>
      <c r="E640" s="1095" t="s">
        <v>5224</v>
      </c>
      <c r="F640" s="1095" t="s">
        <v>5224</v>
      </c>
      <c r="G640" s="1096">
        <v>0</v>
      </c>
      <c r="H640" s="1096" t="s">
        <v>5224</v>
      </c>
      <c r="I640" s="1096" t="s">
        <v>5224</v>
      </c>
      <c r="J640" s="1096" t="s">
        <v>5224</v>
      </c>
      <c r="K640" s="1096" t="s">
        <v>5224</v>
      </c>
      <c r="L640" s="1096">
        <v>0</v>
      </c>
      <c r="M640" s="1096" t="s">
        <v>5224</v>
      </c>
      <c r="N640" s="1096" t="s">
        <v>4631</v>
      </c>
      <c r="O640" s="1034"/>
      <c r="P640" s="1113" t="s">
        <v>13</v>
      </c>
      <c r="Q640" s="1034"/>
      <c r="R640" s="1034"/>
      <c r="S640" s="1113" t="s">
        <v>13</v>
      </c>
      <c r="T640" s="1113"/>
      <c r="U640" s="1027">
        <v>0</v>
      </c>
      <c r="V640" s="1027">
        <f t="shared" si="620"/>
        <v>1</v>
      </c>
      <c r="W640" s="1098" t="e">
        <f>IF(OR(I640&lt;&gt;"N",E640="C"),IF(AND(N640&lt;&gt;"T",ISNUMBER(FIND("V",I640))),1,0),NA())+IF(H640="Y",IF(AND(N640="P",ISNUMBER(FIND("Z",I640))),2,1),0)+IF(J640="Y",1,0)+IF(K640="Y",3,0)+IF(BE640="Lore",L640*2+Experience!$D$25,0)+IF(M640="Y",1,0)</f>
        <v>#N/A</v>
      </c>
      <c r="X640" s="1099"/>
      <c r="Y640" s="1100" t="e">
        <f ca="1">IF(P640="NS",IFERROR(INDIRECT(S640),NA()),VLOOKUP(INDIRECT(P640)+INDIRECT(S640),'System Lookups'!$A$3:$D$146,2))</f>
        <v>#N/A</v>
      </c>
      <c r="Z640" s="1100">
        <f t="shared" si="615"/>
        <v>0</v>
      </c>
      <c r="AA640" s="1101">
        <f t="shared" ca="1" si="619"/>
        <v>0</v>
      </c>
      <c r="AB640" s="1102">
        <f>VLOOKUP(V$621,'System Lookups'!$J$55:$P$64,3)</f>
        <v>0.2</v>
      </c>
      <c r="AC640" s="1103">
        <f>VLOOKUP(V$621,'System Lookups'!$J$55:$P$64,4)</f>
        <v>0.3</v>
      </c>
      <c r="AD640" s="1104">
        <f t="shared" si="621"/>
        <v>0</v>
      </c>
      <c r="AE640" s="1094">
        <f>(IF(AD640&gt;VLOOKUP(V640,'System Lookups'!$J$55:$P$63,6),(((AD640-VLOOKUP(V640,'System Lookups'!$J$55:$P$63,6))*100)/20),0))+AF640</f>
        <v>0</v>
      </c>
      <c r="AF640" s="1121"/>
      <c r="AG640" s="1092">
        <f t="shared" si="622"/>
        <v>0</v>
      </c>
      <c r="AH640" s="1092" t="str">
        <f>IF(X640&lt;=Experience!$R$15+1,"","*")</f>
        <v/>
      </c>
      <c r="AI640" s="1092"/>
      <c r="AJ640" s="1080">
        <f t="shared" si="607"/>
        <v>0</v>
      </c>
      <c r="AK640" s="1080">
        <f t="shared" si="616"/>
        <v>0</v>
      </c>
      <c r="AL640" s="1080">
        <f t="shared" si="608"/>
        <v>0</v>
      </c>
      <c r="AM640" s="1092">
        <f t="shared" si="617"/>
        <v>0</v>
      </c>
      <c r="AN640" s="1080">
        <f t="shared" si="618"/>
        <v>1</v>
      </c>
      <c r="AO640" s="1080">
        <f t="shared" si="609"/>
        <v>0</v>
      </c>
      <c r="AP640" s="1080">
        <f t="shared" si="623"/>
        <v>1</v>
      </c>
      <c r="AQ640" s="1027">
        <v>250</v>
      </c>
      <c r="AR640" s="1080" t="str">
        <f ca="1">IF(AND(NOT(ISBLANK(AJ640)),ISNA(MATCH(ROW(),'System Lookups'!$C$526:$C$539,0))),"Y","N")</f>
        <v>Y</v>
      </c>
      <c r="AS640" s="1080">
        <f t="shared" si="624"/>
        <v>0</v>
      </c>
      <c r="AU640" s="1080" t="e">
        <f t="shared" si="627"/>
        <v>#N/A</v>
      </c>
      <c r="AV640" s="1080" t="str">
        <f t="shared" si="625"/>
        <v>T</v>
      </c>
      <c r="AW640" s="1080">
        <f t="shared" si="628"/>
        <v>0</v>
      </c>
      <c r="AX640" s="1080">
        <f t="shared" si="629"/>
        <v>0</v>
      </c>
      <c r="AY640" s="1080">
        <f t="shared" si="630"/>
        <v>0</v>
      </c>
      <c r="AZ640" s="1080">
        <f t="shared" si="631"/>
        <v>0</v>
      </c>
      <c r="BA640" s="1080">
        <f t="shared" si="632"/>
        <v>0</v>
      </c>
      <c r="BB640" s="1080">
        <f>IF(AND(RACE=1,'Main Creation Page'!$E$6="Well",OR(ISNUMBER(FIND(Experience!$G$11,BE640)),ISNUMBER(FIND(Experience!$G$11,BF640)),ISNUMBER(FIND(Experience!$I$11,BE640)),ISNUMBER(FIND(Experience!$I$11,BF640)))),1,0)</f>
        <v>1</v>
      </c>
      <c r="BC640" s="1080" t="str">
        <f t="shared" si="590"/>
        <v>Law of Personalities</v>
      </c>
      <c r="BD640" s="1080" t="s">
        <v>6181</v>
      </c>
      <c r="BE640" s="1080" t="str">
        <f t="shared" si="626"/>
        <v>Lore</v>
      </c>
      <c r="BF640" s="1080" t="str">
        <f t="shared" si="591"/>
        <v>Materia Magica Skills</v>
      </c>
    </row>
    <row r="641" spans="1:58" ht="11.1" hidden="1" customHeight="1" outlineLevel="2">
      <c r="A641" s="1092" t="s">
        <v>1400</v>
      </c>
      <c r="B641" s="1094" t="s">
        <v>1942</v>
      </c>
      <c r="C641" s="1094"/>
      <c r="D641" s="1094"/>
      <c r="E641" s="1095" t="s">
        <v>5224</v>
      </c>
      <c r="F641" s="1095" t="s">
        <v>5224</v>
      </c>
      <c r="G641" s="1096">
        <v>0</v>
      </c>
      <c r="H641" s="1096" t="s">
        <v>5224</v>
      </c>
      <c r="I641" s="1096" t="s">
        <v>5224</v>
      </c>
      <c r="J641" s="1096" t="s">
        <v>5224</v>
      </c>
      <c r="K641" s="1096" t="s">
        <v>5224</v>
      </c>
      <c r="L641" s="1096">
        <v>0</v>
      </c>
      <c r="M641" s="1096" t="s">
        <v>5224</v>
      </c>
      <c r="N641" s="1096" t="s">
        <v>4631</v>
      </c>
      <c r="O641" s="1034"/>
      <c r="P641" s="1113" t="s">
        <v>13</v>
      </c>
      <c r="Q641" s="1034"/>
      <c r="R641" s="1034"/>
      <c r="S641" s="1113" t="s">
        <v>13</v>
      </c>
      <c r="T641" s="1113"/>
      <c r="U641" s="1027">
        <v>0</v>
      </c>
      <c r="V641" s="1027">
        <f t="shared" si="620"/>
        <v>1</v>
      </c>
      <c r="W641" s="1098" t="e">
        <f>IF(OR(I641&lt;&gt;"N",E641="C"),IF(AND(N641&lt;&gt;"T",ISNUMBER(FIND("V",I641))),1,0),NA())+IF(H641="Y",IF(AND(N641="P",ISNUMBER(FIND("Z",I641))),2,1),0)+IF(J641="Y",1,0)+IF(K641="Y",3,0)+IF(BE641="Lore",L641*2+Experience!$D$25,0)+IF(M641="Y",1,0)</f>
        <v>#N/A</v>
      </c>
      <c r="X641" s="1099"/>
      <c r="Y641" s="1100" t="e">
        <f ca="1">IF(P641="NS",IFERROR(INDIRECT(S641),NA()),VLOOKUP(INDIRECT(P641)+INDIRECT(S641),'System Lookups'!$A$3:$D$146,2))</f>
        <v>#N/A</v>
      </c>
      <c r="Z641" s="1100">
        <f t="shared" si="615"/>
        <v>0</v>
      </c>
      <c r="AA641" s="1101">
        <f t="shared" ca="1" si="619"/>
        <v>0</v>
      </c>
      <c r="AB641" s="1102">
        <f>VLOOKUP(V$621,'System Lookups'!$J$55:$P$64,3)</f>
        <v>0.2</v>
      </c>
      <c r="AC641" s="1103">
        <f>VLOOKUP(V$621,'System Lookups'!$J$55:$P$64,4)</f>
        <v>0.3</v>
      </c>
      <c r="AD641" s="1104">
        <f t="shared" si="621"/>
        <v>0</v>
      </c>
      <c r="AE641" s="1094">
        <f>(IF(AD641&gt;VLOOKUP(V641,'System Lookups'!$J$55:$P$63,6),(((AD641-VLOOKUP(V641,'System Lookups'!$J$55:$P$63,6))*100)/20),0))+AF641</f>
        <v>0</v>
      </c>
      <c r="AF641" s="1121"/>
      <c r="AG641" s="1092">
        <f t="shared" si="622"/>
        <v>0</v>
      </c>
      <c r="AH641" s="1092" t="str">
        <f>IF(X641&lt;=Experience!$R$15+1,"","*")</f>
        <v/>
      </c>
      <c r="AI641" s="1092"/>
      <c r="AJ641" s="1080">
        <f t="shared" si="607"/>
        <v>0</v>
      </c>
      <c r="AK641" s="1080">
        <f t="shared" si="616"/>
        <v>0</v>
      </c>
      <c r="AL641" s="1080">
        <f t="shared" si="608"/>
        <v>0</v>
      </c>
      <c r="AM641" s="1092">
        <f t="shared" si="617"/>
        <v>0</v>
      </c>
      <c r="AN641" s="1080">
        <f t="shared" si="618"/>
        <v>1</v>
      </c>
      <c r="AO641" s="1080">
        <f t="shared" si="609"/>
        <v>0</v>
      </c>
      <c r="AP641" s="1080">
        <f t="shared" si="623"/>
        <v>1</v>
      </c>
      <c r="AQ641" s="1027">
        <v>250</v>
      </c>
      <c r="AR641" s="1080" t="str">
        <f ca="1">IF(AND(NOT(ISBLANK(AJ641)),ISNA(MATCH(ROW(),'System Lookups'!$C$526:$C$539,0))),"Y","N")</f>
        <v>Y</v>
      </c>
      <c r="AS641" s="1080">
        <f t="shared" si="624"/>
        <v>0</v>
      </c>
      <c r="AU641" s="1080" t="e">
        <f t="shared" si="627"/>
        <v>#N/A</v>
      </c>
      <c r="AV641" s="1080" t="str">
        <f t="shared" si="625"/>
        <v>T</v>
      </c>
      <c r="AW641" s="1080">
        <f t="shared" si="628"/>
        <v>0</v>
      </c>
      <c r="AX641" s="1080">
        <f t="shared" si="629"/>
        <v>0</v>
      </c>
      <c r="AY641" s="1080">
        <f t="shared" si="630"/>
        <v>0</v>
      </c>
      <c r="AZ641" s="1080">
        <f t="shared" si="631"/>
        <v>0</v>
      </c>
      <c r="BA641" s="1080">
        <f t="shared" si="632"/>
        <v>0</v>
      </c>
      <c r="BB641" s="1080">
        <f>IF(AND(RACE=1,'Main Creation Page'!$E$6="Well",OR(ISNUMBER(FIND(Experience!$G$11,BE641)),ISNUMBER(FIND(Experience!$G$11,BF641)),ISNUMBER(FIND(Experience!$I$11,BE641)),ISNUMBER(FIND(Experience!$I$11,BF641)))),1,0)</f>
        <v>1</v>
      </c>
      <c r="BC641" s="1080" t="str">
        <f t="shared" si="590"/>
        <v>Law of Polarity</v>
      </c>
      <c r="BD641" s="1080" t="s">
        <v>6181</v>
      </c>
      <c r="BE641" s="1080" t="str">
        <f t="shared" si="626"/>
        <v>Lore</v>
      </c>
      <c r="BF641" s="1080" t="str">
        <f t="shared" si="591"/>
        <v>Materia Magica Skills</v>
      </c>
    </row>
    <row r="642" spans="1:58" ht="11.1" hidden="1" customHeight="1" outlineLevel="2">
      <c r="A642" s="1092" t="s">
        <v>118</v>
      </c>
      <c r="B642" s="1094" t="s">
        <v>1942</v>
      </c>
      <c r="C642" s="1094"/>
      <c r="D642" s="1094"/>
      <c r="E642" s="1095" t="s">
        <v>5224</v>
      </c>
      <c r="F642" s="1095" t="s">
        <v>5224</v>
      </c>
      <c r="G642" s="1096">
        <v>0</v>
      </c>
      <c r="H642" s="1096" t="s">
        <v>5224</v>
      </c>
      <c r="I642" s="1096" t="s">
        <v>5224</v>
      </c>
      <c r="J642" s="1096" t="s">
        <v>5224</v>
      </c>
      <c r="K642" s="1096" t="s">
        <v>5224</v>
      </c>
      <c r="L642" s="1096">
        <v>0</v>
      </c>
      <c r="M642" s="1096" t="s">
        <v>5224</v>
      </c>
      <c r="N642" s="1096" t="s">
        <v>4631</v>
      </c>
      <c r="O642" s="1034"/>
      <c r="P642" s="1113" t="s">
        <v>13</v>
      </c>
      <c r="Q642" s="1034"/>
      <c r="R642" s="1034"/>
      <c r="S642" s="1113" t="s">
        <v>13</v>
      </c>
      <c r="T642" s="1113"/>
      <c r="U642" s="1027">
        <v>0</v>
      </c>
      <c r="V642" s="1027">
        <f t="shared" si="620"/>
        <v>1</v>
      </c>
      <c r="W642" s="1098" t="e">
        <f>IF(OR(I642&lt;&gt;"N",E642="C"),IF(AND(N642&lt;&gt;"T",ISNUMBER(FIND("V",I642))),1,0),NA())+IF(H642="Y",IF(AND(N642="P",ISNUMBER(FIND("Z",I642))),2,1),0)+IF(J642="Y",1,0)+IF(K642="Y",3,0)+IF(BE642="Lore",L642*2+Experience!$D$25,0)+IF(M642="Y",1,0)</f>
        <v>#N/A</v>
      </c>
      <c r="X642" s="1099"/>
      <c r="Y642" s="1100" t="e">
        <f ca="1">IF(P642="NS",IFERROR(INDIRECT(S642),NA()),VLOOKUP(INDIRECT(P642)+INDIRECT(S642),'System Lookups'!$A$3:$D$146,2))</f>
        <v>#N/A</v>
      </c>
      <c r="Z642" s="1100">
        <f t="shared" si="615"/>
        <v>0</v>
      </c>
      <c r="AA642" s="1101">
        <f t="shared" ca="1" si="619"/>
        <v>0</v>
      </c>
      <c r="AB642" s="1102">
        <f>VLOOKUP(V$621,'System Lookups'!$J$55:$P$64,3)</f>
        <v>0.2</v>
      </c>
      <c r="AC642" s="1103">
        <f>VLOOKUP(V$621,'System Lookups'!$J$55:$P$64,4)</f>
        <v>0.3</v>
      </c>
      <c r="AD642" s="1104">
        <f t="shared" si="621"/>
        <v>0</v>
      </c>
      <c r="AE642" s="1094">
        <f>(IF(AD642&gt;VLOOKUP(V642,'System Lookups'!$J$55:$P$63,6),(((AD642-VLOOKUP(V642,'System Lookups'!$J$55:$P$63,6))*100)/20),0))+AF642</f>
        <v>0</v>
      </c>
      <c r="AF642" s="1121"/>
      <c r="AG642" s="1092">
        <f t="shared" si="622"/>
        <v>0</v>
      </c>
      <c r="AH642" s="1092" t="str">
        <f>IF(X642&lt;=Experience!$R$15+1,"","*")</f>
        <v/>
      </c>
      <c r="AI642" s="1092"/>
      <c r="AJ642" s="1080">
        <f t="shared" si="607"/>
        <v>0</v>
      </c>
      <c r="AK642" s="1080">
        <f t="shared" si="616"/>
        <v>0</v>
      </c>
      <c r="AL642" s="1080">
        <f t="shared" si="608"/>
        <v>0</v>
      </c>
      <c r="AM642" s="1092">
        <f t="shared" si="617"/>
        <v>0</v>
      </c>
      <c r="AN642" s="1080">
        <f t="shared" si="618"/>
        <v>1</v>
      </c>
      <c r="AO642" s="1080">
        <f t="shared" si="609"/>
        <v>0</v>
      </c>
      <c r="AP642" s="1080">
        <f t="shared" si="623"/>
        <v>1</v>
      </c>
      <c r="AQ642" s="1027">
        <v>250</v>
      </c>
      <c r="AR642" s="1080" t="str">
        <f ca="1">IF(AND(NOT(ISBLANK(AJ642)),ISNA(MATCH(ROW(),'System Lookups'!$C$526:$C$539,0))),"Y","N")</f>
        <v>Y</v>
      </c>
      <c r="AS642" s="1080">
        <f t="shared" si="624"/>
        <v>0</v>
      </c>
      <c r="AU642" s="1080" t="e">
        <f t="shared" si="627"/>
        <v>#N/A</v>
      </c>
      <c r="AV642" s="1080" t="str">
        <f t="shared" si="625"/>
        <v>T</v>
      </c>
      <c r="AW642" s="1080">
        <f t="shared" si="628"/>
        <v>0</v>
      </c>
      <c r="AX642" s="1080">
        <f t="shared" si="629"/>
        <v>0</v>
      </c>
      <c r="AY642" s="1080">
        <f t="shared" si="630"/>
        <v>0</v>
      </c>
      <c r="AZ642" s="1080">
        <f t="shared" si="631"/>
        <v>0</v>
      </c>
      <c r="BA642" s="1080">
        <f t="shared" si="632"/>
        <v>0</v>
      </c>
      <c r="BB642" s="1080">
        <f>IF(AND(RACE=1,'Main Creation Page'!$E$6="Well",OR(ISNUMBER(FIND(Experience!$G$11,BE642)),ISNUMBER(FIND(Experience!$G$11,BF642)),ISNUMBER(FIND(Experience!$I$11,BE642)),ISNUMBER(FIND(Experience!$I$11,BF642)))),1,0)</f>
        <v>1</v>
      </c>
      <c r="BC642" s="1080" t="str">
        <f t="shared" si="590"/>
        <v>Law of Possession</v>
      </c>
      <c r="BD642" s="1080" t="s">
        <v>6181</v>
      </c>
      <c r="BE642" s="1080" t="str">
        <f t="shared" si="626"/>
        <v>Lore</v>
      </c>
      <c r="BF642" s="1080" t="str">
        <f t="shared" si="591"/>
        <v>Materia Magica Skills</v>
      </c>
    </row>
    <row r="643" spans="1:58" ht="11.1" hidden="1" customHeight="1" outlineLevel="2">
      <c r="A643" s="1092" t="s">
        <v>2953</v>
      </c>
      <c r="B643" s="1094" t="s">
        <v>1942</v>
      </c>
      <c r="C643" s="1094"/>
      <c r="D643" s="1094"/>
      <c r="E643" s="1095" t="s">
        <v>5224</v>
      </c>
      <c r="F643" s="1095" t="s">
        <v>5224</v>
      </c>
      <c r="G643" s="1096">
        <v>0</v>
      </c>
      <c r="H643" s="1096" t="s">
        <v>5224</v>
      </c>
      <c r="I643" s="1096" t="s">
        <v>5224</v>
      </c>
      <c r="J643" s="1096" t="s">
        <v>5224</v>
      </c>
      <c r="K643" s="1096" t="s">
        <v>5224</v>
      </c>
      <c r="L643" s="1096">
        <v>0</v>
      </c>
      <c r="M643" s="1096" t="s">
        <v>5224</v>
      </c>
      <c r="N643" s="1096" t="s">
        <v>4631</v>
      </c>
      <c r="O643" s="1034"/>
      <c r="P643" s="1113" t="s">
        <v>13</v>
      </c>
      <c r="Q643" s="1034"/>
      <c r="R643" s="1034"/>
      <c r="S643" s="1113" t="s">
        <v>13</v>
      </c>
      <c r="T643" s="1113"/>
      <c r="U643" s="1027">
        <v>0</v>
      </c>
      <c r="V643" s="1027">
        <f t="shared" si="620"/>
        <v>1</v>
      </c>
      <c r="W643" s="1098" t="e">
        <f>IF(OR(I643&lt;&gt;"N",E643="C"),IF(AND(N643&lt;&gt;"T",ISNUMBER(FIND("V",I643))),1,0),NA())+IF(H643="Y",IF(AND(N643="P",ISNUMBER(FIND("Z",I643))),2,1),0)+IF(J643="Y",1,0)+IF(K643="Y",3,0)+IF(BE643="Lore",L643*2+Experience!$D$25,0)+IF(M643="Y",1,0)</f>
        <v>#N/A</v>
      </c>
      <c r="X643" s="1099"/>
      <c r="Y643" s="1100" t="e">
        <f ca="1">IF(P643="NS",IFERROR(INDIRECT(S643),NA()),VLOOKUP(INDIRECT(P643)+INDIRECT(S643),'System Lookups'!$A$3:$D$146,2))</f>
        <v>#N/A</v>
      </c>
      <c r="Z643" s="1100">
        <f t="shared" si="615"/>
        <v>0</v>
      </c>
      <c r="AA643" s="1101">
        <f t="shared" ca="1" si="619"/>
        <v>0</v>
      </c>
      <c r="AB643" s="1102">
        <f>VLOOKUP(V$621,'System Lookups'!$J$55:$P$64,3)</f>
        <v>0.2</v>
      </c>
      <c r="AC643" s="1103">
        <f>VLOOKUP(V$621,'System Lookups'!$J$55:$P$64,4)</f>
        <v>0.3</v>
      </c>
      <c r="AD643" s="1104">
        <f t="shared" si="621"/>
        <v>0</v>
      </c>
      <c r="AE643" s="1094">
        <f>(IF(AD643&gt;VLOOKUP(V643,'System Lookups'!$J$55:$P$63,6),(((AD643-VLOOKUP(V643,'System Lookups'!$J$55:$P$63,6))*100)/20),0))+AF643</f>
        <v>0</v>
      </c>
      <c r="AF643" s="1121"/>
      <c r="AG643" s="1092">
        <f t="shared" si="622"/>
        <v>0</v>
      </c>
      <c r="AH643" s="1092" t="str">
        <f>IF(X643&lt;=Experience!$R$15+1,"","*")</f>
        <v/>
      </c>
      <c r="AI643" s="1092"/>
      <c r="AJ643" s="1080">
        <f t="shared" si="607"/>
        <v>0</v>
      </c>
      <c r="AK643" s="1080">
        <f t="shared" si="616"/>
        <v>0</v>
      </c>
      <c r="AL643" s="1080">
        <f t="shared" si="608"/>
        <v>0</v>
      </c>
      <c r="AM643" s="1092">
        <f t="shared" si="617"/>
        <v>0</v>
      </c>
      <c r="AN643" s="1080">
        <f t="shared" si="618"/>
        <v>1</v>
      </c>
      <c r="AO643" s="1080">
        <f t="shared" si="609"/>
        <v>0</v>
      </c>
      <c r="AP643" s="1080">
        <f t="shared" si="623"/>
        <v>1</v>
      </c>
      <c r="AQ643" s="1027">
        <v>250</v>
      </c>
      <c r="AR643" s="1080" t="str">
        <f ca="1">IF(AND(NOT(ISBLANK(AJ643)),ISNA(MATCH(ROW(),'System Lookups'!$C$526:$C$539,0))),"Y","N")</f>
        <v>Y</v>
      </c>
      <c r="AS643" s="1080">
        <f t="shared" si="624"/>
        <v>0</v>
      </c>
      <c r="AU643" s="1080" t="e">
        <f t="shared" si="627"/>
        <v>#N/A</v>
      </c>
      <c r="AV643" s="1080" t="str">
        <f t="shared" si="625"/>
        <v>T</v>
      </c>
      <c r="AW643" s="1080">
        <f t="shared" si="628"/>
        <v>0</v>
      </c>
      <c r="AX643" s="1080">
        <f t="shared" si="629"/>
        <v>0</v>
      </c>
      <c r="AY643" s="1080">
        <f t="shared" si="630"/>
        <v>0</v>
      </c>
      <c r="AZ643" s="1080">
        <f t="shared" si="631"/>
        <v>0</v>
      </c>
      <c r="BA643" s="1080">
        <f t="shared" si="632"/>
        <v>0</v>
      </c>
      <c r="BB643" s="1080">
        <f>IF(AND(RACE=1,'Main Creation Page'!$E$6="Well",OR(ISNUMBER(FIND(Experience!$G$11,BE643)),ISNUMBER(FIND(Experience!$G$11,BF643)),ISNUMBER(FIND(Experience!$I$11,BE643)),ISNUMBER(FIND(Experience!$I$11,BF643)))),1,0)</f>
        <v>1</v>
      </c>
      <c r="BC643" s="1080" t="str">
        <f t="shared" si="590"/>
        <v>Law of Quantity</v>
      </c>
      <c r="BD643" s="1080" t="s">
        <v>6181</v>
      </c>
      <c r="BE643" s="1080" t="str">
        <f t="shared" si="626"/>
        <v>Lore</v>
      </c>
      <c r="BF643" s="1080" t="str">
        <f t="shared" si="591"/>
        <v>Materia Magica Skills</v>
      </c>
    </row>
    <row r="644" spans="1:58" ht="11.1" hidden="1" customHeight="1" outlineLevel="2">
      <c r="A644" s="1092" t="s">
        <v>2960</v>
      </c>
      <c r="B644" s="1094" t="s">
        <v>1942</v>
      </c>
      <c r="C644" s="1094"/>
      <c r="D644" s="1094"/>
      <c r="E644" s="1095" t="s">
        <v>5224</v>
      </c>
      <c r="F644" s="1095" t="s">
        <v>5224</v>
      </c>
      <c r="G644" s="1096">
        <v>0</v>
      </c>
      <c r="H644" s="1096" t="s">
        <v>5224</v>
      </c>
      <c r="I644" s="1096" t="s">
        <v>5224</v>
      </c>
      <c r="J644" s="1096" t="s">
        <v>5224</v>
      </c>
      <c r="K644" s="1096" t="s">
        <v>5224</v>
      </c>
      <c r="L644" s="1096">
        <v>0</v>
      </c>
      <c r="M644" s="1096" t="s">
        <v>5224</v>
      </c>
      <c r="N644" s="1096" t="s">
        <v>4631</v>
      </c>
      <c r="O644" s="1034"/>
      <c r="P644" s="1113" t="s">
        <v>13</v>
      </c>
      <c r="Q644" s="1034"/>
      <c r="R644" s="1034"/>
      <c r="S644" s="1113" t="s">
        <v>13</v>
      </c>
      <c r="T644" s="1113"/>
      <c r="U644" s="1027">
        <v>0</v>
      </c>
      <c r="V644" s="1027">
        <f t="shared" si="620"/>
        <v>1</v>
      </c>
      <c r="W644" s="1098" t="e">
        <f>IF(OR(I644&lt;&gt;"N",E644="C"),IF(AND(N644&lt;&gt;"T",ISNUMBER(FIND("V",I644))),1,0),NA())+IF(H644="Y",IF(AND(N644="P",ISNUMBER(FIND("Z",I644))),2,1),0)+IF(J644="Y",1,0)+IF(K644="Y",3,0)+IF(BE644="Lore",L644*2+Experience!$D$25,0)+IF(M644="Y",1,0)</f>
        <v>#N/A</v>
      </c>
      <c r="X644" s="1099"/>
      <c r="Y644" s="1100" t="e">
        <f ca="1">IF(P644="NS",IFERROR(INDIRECT(S644),NA()),VLOOKUP(INDIRECT(P644)+INDIRECT(S644),'System Lookups'!$A$3:$D$146,2))</f>
        <v>#N/A</v>
      </c>
      <c r="Z644" s="1100">
        <f t="shared" si="615"/>
        <v>0</v>
      </c>
      <c r="AA644" s="1101">
        <f t="shared" ca="1" si="619"/>
        <v>0</v>
      </c>
      <c r="AB644" s="1102">
        <f>VLOOKUP(V$621,'System Lookups'!$J$55:$P$64,3)</f>
        <v>0.2</v>
      </c>
      <c r="AC644" s="1103">
        <f>VLOOKUP(V$621,'System Lookups'!$J$55:$P$64,4)</f>
        <v>0.3</v>
      </c>
      <c r="AD644" s="1104">
        <f t="shared" si="621"/>
        <v>0</v>
      </c>
      <c r="AE644" s="1094">
        <f>(IF(AD644&gt;VLOOKUP(V644,'System Lookups'!$J$55:$P$63,6),(((AD644-VLOOKUP(V644,'System Lookups'!$J$55:$P$63,6))*100)/20),0))+AF644</f>
        <v>0</v>
      </c>
      <c r="AF644" s="1121"/>
      <c r="AG644" s="1092">
        <f t="shared" si="622"/>
        <v>0</v>
      </c>
      <c r="AH644" s="1092" t="str">
        <f>IF(X644&lt;=Experience!$R$15+1,"","*")</f>
        <v/>
      </c>
      <c r="AI644" s="1092"/>
      <c r="AJ644" s="1080">
        <f t="shared" si="607"/>
        <v>0</v>
      </c>
      <c r="AK644" s="1080">
        <f t="shared" si="616"/>
        <v>0</v>
      </c>
      <c r="AL644" s="1080">
        <f t="shared" si="608"/>
        <v>0</v>
      </c>
      <c r="AM644" s="1092">
        <f t="shared" si="617"/>
        <v>0</v>
      </c>
      <c r="AN644" s="1080">
        <f t="shared" si="618"/>
        <v>1</v>
      </c>
      <c r="AO644" s="1080">
        <f t="shared" si="609"/>
        <v>0</v>
      </c>
      <c r="AP644" s="1080">
        <f t="shared" si="623"/>
        <v>1</v>
      </c>
      <c r="AQ644" s="1027">
        <v>250</v>
      </c>
      <c r="AR644" s="1080" t="str">
        <f ca="1">IF(AND(NOT(ISBLANK(AJ644)),ISNA(MATCH(ROW(),'System Lookups'!$C$526:$C$539,0))),"Y","N")</f>
        <v>Y</v>
      </c>
      <c r="AS644" s="1080">
        <f t="shared" si="624"/>
        <v>0</v>
      </c>
      <c r="AU644" s="1080" t="e">
        <f t="shared" si="627"/>
        <v>#N/A</v>
      </c>
      <c r="AV644" s="1080" t="str">
        <f t="shared" si="625"/>
        <v>T</v>
      </c>
      <c r="AW644" s="1080">
        <f t="shared" si="628"/>
        <v>0</v>
      </c>
      <c r="AX644" s="1080">
        <f t="shared" si="629"/>
        <v>0</v>
      </c>
      <c r="AY644" s="1080">
        <f t="shared" si="630"/>
        <v>0</v>
      </c>
      <c r="AZ644" s="1080">
        <f t="shared" si="631"/>
        <v>0</v>
      </c>
      <c r="BA644" s="1080">
        <f t="shared" si="632"/>
        <v>0</v>
      </c>
      <c r="BB644" s="1080">
        <f>IF(AND(RACE=1,'Main Creation Page'!$E$6="Well",OR(ISNUMBER(FIND(Experience!$G$11,BE644)),ISNUMBER(FIND(Experience!$G$11,BF644)),ISNUMBER(FIND(Experience!$I$11,BE644)),ISNUMBER(FIND(Experience!$I$11,BF644)))),1,0)</f>
        <v>1</v>
      </c>
      <c r="BC644" s="1080" t="str">
        <f t="shared" si="590"/>
        <v>Law of Reciprocity</v>
      </c>
      <c r="BD644" s="1080" t="s">
        <v>6181</v>
      </c>
      <c r="BE644" s="1080" t="str">
        <f t="shared" si="626"/>
        <v>Lore</v>
      </c>
      <c r="BF644" s="1080" t="str">
        <f t="shared" si="591"/>
        <v>Materia Magica Skills</v>
      </c>
    </row>
    <row r="645" spans="1:58" ht="11.1" hidden="1" customHeight="1" outlineLevel="2">
      <c r="A645" s="1092" t="s">
        <v>2958</v>
      </c>
      <c r="B645" s="1094" t="s">
        <v>1942</v>
      </c>
      <c r="C645" s="1094"/>
      <c r="D645" s="1094"/>
      <c r="E645" s="1095" t="s">
        <v>5224</v>
      </c>
      <c r="F645" s="1095" t="s">
        <v>5224</v>
      </c>
      <c r="G645" s="1096">
        <v>0</v>
      </c>
      <c r="H645" s="1096" t="s">
        <v>5224</v>
      </c>
      <c r="I645" s="1096" t="s">
        <v>5224</v>
      </c>
      <c r="J645" s="1096" t="s">
        <v>5224</v>
      </c>
      <c r="K645" s="1096" t="s">
        <v>5224</v>
      </c>
      <c r="L645" s="1096">
        <v>0</v>
      </c>
      <c r="M645" s="1096" t="s">
        <v>5224</v>
      </c>
      <c r="N645" s="1096" t="s">
        <v>4631</v>
      </c>
      <c r="O645" s="1034"/>
      <c r="P645" s="1113" t="s">
        <v>13</v>
      </c>
      <c r="Q645" s="1034"/>
      <c r="R645" s="1034"/>
      <c r="S645" s="1113" t="s">
        <v>13</v>
      </c>
      <c r="T645" s="1113"/>
      <c r="U645" s="1027">
        <v>0</v>
      </c>
      <c r="V645" s="1027">
        <f t="shared" si="620"/>
        <v>1</v>
      </c>
      <c r="W645" s="1098" t="e">
        <f>IF(OR(I645&lt;&gt;"N",E645="C"),IF(AND(N645&lt;&gt;"T",ISNUMBER(FIND("V",I645))),1,0),NA())+IF(H645="Y",IF(AND(N645="P",ISNUMBER(FIND("Z",I645))),2,1),0)+IF(J645="Y",1,0)+IF(K645="Y",3,0)+IF(BE645="Lore",L645*2+Experience!$D$25,0)+IF(M645="Y",1,0)</f>
        <v>#N/A</v>
      </c>
      <c r="X645" s="1099"/>
      <c r="Y645" s="1100" t="e">
        <f ca="1">IF(P645="NS",IFERROR(INDIRECT(S645),NA()),VLOOKUP(INDIRECT(P645)+INDIRECT(S645),'System Lookups'!$A$3:$D$146,2))</f>
        <v>#N/A</v>
      </c>
      <c r="Z645" s="1100">
        <f t="shared" si="615"/>
        <v>0</v>
      </c>
      <c r="AA645" s="1101">
        <f t="shared" ca="1" si="619"/>
        <v>0</v>
      </c>
      <c r="AB645" s="1102">
        <f>VLOOKUP(V$621,'System Lookups'!$J$55:$P$64,3)</f>
        <v>0.2</v>
      </c>
      <c r="AC645" s="1103">
        <f>VLOOKUP(V$621,'System Lookups'!$J$55:$P$64,4)</f>
        <v>0.3</v>
      </c>
      <c r="AD645" s="1104">
        <f t="shared" si="621"/>
        <v>0</v>
      </c>
      <c r="AE645" s="1094">
        <f>(IF(AD645&gt;VLOOKUP(V645,'System Lookups'!$J$55:$P$63,6),(((AD645-VLOOKUP(V645,'System Lookups'!$J$55:$P$63,6))*100)/20),0))+AF645</f>
        <v>0</v>
      </c>
      <c r="AF645" s="1121"/>
      <c r="AG645" s="1092">
        <f t="shared" si="622"/>
        <v>0</v>
      </c>
      <c r="AH645" s="1092" t="str">
        <f>IF(X645&lt;=Experience!$R$15+1,"","*")</f>
        <v/>
      </c>
      <c r="AI645" s="1092"/>
      <c r="AJ645" s="1080">
        <f t="shared" si="607"/>
        <v>0</v>
      </c>
      <c r="AK645" s="1080">
        <f t="shared" ref="AK645:AK654" si="633">IF(F645="s",-2,0)</f>
        <v>0</v>
      </c>
      <c r="AL645" s="1080">
        <f t="shared" si="608"/>
        <v>0</v>
      </c>
      <c r="AM645" s="1092">
        <f t="shared" si="617"/>
        <v>0</v>
      </c>
      <c r="AN645" s="1080">
        <f t="shared" ref="AN645:AN654" si="634">IF(N645="P",-1,IF(N645="T",1,0))</f>
        <v>1</v>
      </c>
      <c r="AO645" s="1080">
        <f t="shared" si="609"/>
        <v>0</v>
      </c>
      <c r="AP645" s="1080">
        <f t="shared" si="623"/>
        <v>1</v>
      </c>
      <c r="AQ645" s="1027">
        <v>250</v>
      </c>
      <c r="AR645" s="1080" t="str">
        <f ca="1">IF(AND(NOT(ISBLANK(AJ645)),ISNA(MATCH(ROW(),'System Lookups'!$C$526:$C$539,0))),"Y","N")</f>
        <v>Y</v>
      </c>
      <c r="AS645" s="1080">
        <f t="shared" si="624"/>
        <v>0</v>
      </c>
      <c r="AU645" s="1080" t="e">
        <f t="shared" si="627"/>
        <v>#N/A</v>
      </c>
      <c r="AV645" s="1080" t="str">
        <f t="shared" si="625"/>
        <v>T</v>
      </c>
      <c r="AW645" s="1080">
        <f t="shared" si="628"/>
        <v>0</v>
      </c>
      <c r="AX645" s="1080">
        <f t="shared" si="629"/>
        <v>0</v>
      </c>
      <c r="AY645" s="1080">
        <f t="shared" si="630"/>
        <v>0</v>
      </c>
      <c r="AZ645" s="1080">
        <f t="shared" si="631"/>
        <v>0</v>
      </c>
      <c r="BA645" s="1080">
        <f t="shared" si="632"/>
        <v>0</v>
      </c>
      <c r="BB645" s="1080">
        <f>IF(AND(RACE=1,'Main Creation Page'!$E$6="Well",OR(ISNUMBER(FIND(Experience!$G$11,BE645)),ISNUMBER(FIND(Experience!$G$11,BF645)),ISNUMBER(FIND(Experience!$I$11,BE645)),ISNUMBER(FIND(Experience!$I$11,BF645)))),1,0)</f>
        <v>1</v>
      </c>
      <c r="BC645" s="1080" t="str">
        <f t="shared" si="590"/>
        <v>Law of Resistance</v>
      </c>
      <c r="BD645" s="1080" t="s">
        <v>6181</v>
      </c>
      <c r="BE645" s="1080" t="str">
        <f t="shared" si="626"/>
        <v>Lore</v>
      </c>
      <c r="BF645" s="1080" t="str">
        <f t="shared" si="591"/>
        <v>Materia Magica Skills</v>
      </c>
    </row>
    <row r="646" spans="1:58" ht="11.1" hidden="1" customHeight="1" outlineLevel="2">
      <c r="A646" s="1148" t="s">
        <v>2248</v>
      </c>
      <c r="B646" s="1094" t="s">
        <v>1942</v>
      </c>
      <c r="C646" s="1094"/>
      <c r="D646" s="1094"/>
      <c r="E646" s="1095" t="s">
        <v>5224</v>
      </c>
      <c r="F646" s="1095" t="s">
        <v>5224</v>
      </c>
      <c r="G646" s="1096">
        <v>0</v>
      </c>
      <c r="H646" s="1096" t="s">
        <v>5224</v>
      </c>
      <c r="I646" s="1096" t="s">
        <v>5224</v>
      </c>
      <c r="J646" s="1096" t="s">
        <v>5224</v>
      </c>
      <c r="K646" s="1096" t="s">
        <v>5224</v>
      </c>
      <c r="L646" s="1096">
        <v>0</v>
      </c>
      <c r="M646" s="1096" t="s">
        <v>5224</v>
      </c>
      <c r="N646" s="1096" t="s">
        <v>4631</v>
      </c>
      <c r="O646" s="1034"/>
      <c r="P646" s="1113" t="s">
        <v>13</v>
      </c>
      <c r="Q646" s="1034"/>
      <c r="R646" s="1034"/>
      <c r="S646" s="1113" t="s">
        <v>13</v>
      </c>
      <c r="T646" s="1113"/>
      <c r="U646" s="1027">
        <v>0</v>
      </c>
      <c r="V646" s="1027">
        <f t="shared" si="620"/>
        <v>1</v>
      </c>
      <c r="W646" s="1098" t="e">
        <f>IF(OR(I646&lt;&gt;"N",E646="C"),IF(AND(N646&lt;&gt;"T",ISNUMBER(FIND("V",I646))),1,0),NA())+IF(H646="Y",IF(AND(N646="P",ISNUMBER(FIND("Z",I646))),2,1),0)+IF(J646="Y",1,0)+IF(K646="Y",3,0)+IF(BE646="Lore",L646*2+Experience!$D$25,0)+IF(M646="Y",1,0)</f>
        <v>#N/A</v>
      </c>
      <c r="X646" s="1099"/>
      <c r="Y646" s="1100" t="e">
        <f ca="1">IF(P646="NS",IFERROR(INDIRECT(S646),NA()),VLOOKUP(INDIRECT(P646)+INDIRECT(S646),'System Lookups'!$A$3:$D$146,2))</f>
        <v>#N/A</v>
      </c>
      <c r="Z646" s="1100">
        <f t="shared" si="615"/>
        <v>0</v>
      </c>
      <c r="AA646" s="1101">
        <f ca="1">IF(ISNA(Y646),0,Y646)+Z646</f>
        <v>0</v>
      </c>
      <c r="AB646" s="1102">
        <f>VLOOKUP(V$621,'System Lookups'!$J$55:$P$64,3)</f>
        <v>0.2</v>
      </c>
      <c r="AC646" s="1103">
        <f>VLOOKUP(V$621,'System Lookups'!$J$55:$P$64,4)</f>
        <v>0.3</v>
      </c>
      <c r="AD646" s="1104">
        <f t="shared" si="621"/>
        <v>0</v>
      </c>
      <c r="AE646" s="1094">
        <f>(IF(AD646&gt;VLOOKUP(V646,'System Lookups'!$J$55:$P$63,6),(((AD646-VLOOKUP(V646,'System Lookups'!$J$55:$P$63,6))*100)/20),0))+AF646</f>
        <v>0</v>
      </c>
      <c r="AF646" s="1121"/>
      <c r="AG646" s="1092">
        <f t="shared" si="622"/>
        <v>0</v>
      </c>
      <c r="AH646" s="1092" t="str">
        <f>IF(X646&lt;=Experience!$R$15+1,"","*")</f>
        <v/>
      </c>
      <c r="AI646" s="1092"/>
      <c r="AJ646" s="1080">
        <f t="shared" si="607"/>
        <v>0</v>
      </c>
      <c r="AK646" s="1080">
        <f>IF(F646="s",-2,0)</f>
        <v>0</v>
      </c>
      <c r="AL646" s="1080">
        <f t="shared" si="608"/>
        <v>0</v>
      </c>
      <c r="AM646" s="1092">
        <f>IF(J646="y",1,0)</f>
        <v>0</v>
      </c>
      <c r="AN646" s="1080">
        <f>IF(N646="P",-1,IF(N646="T",1,0))</f>
        <v>1</v>
      </c>
      <c r="AO646" s="1080">
        <f t="shared" si="609"/>
        <v>0</v>
      </c>
      <c r="AP646" s="1080">
        <f t="shared" si="623"/>
        <v>1</v>
      </c>
      <c r="AQ646" s="1027">
        <v>250</v>
      </c>
      <c r="AR646" s="1080" t="str">
        <f ca="1">IF(AND(NOT(ISBLANK(AJ646)),ISNA(MATCH(ROW(),'System Lookups'!$C$526:$C$539,0))),"Y","N")</f>
        <v>Y</v>
      </c>
      <c r="AS646" s="1080">
        <f t="shared" si="624"/>
        <v>0</v>
      </c>
      <c r="AU646" s="1080" t="e">
        <f t="shared" si="627"/>
        <v>#N/A</v>
      </c>
      <c r="AV646" s="1080" t="str">
        <f t="shared" si="625"/>
        <v>T</v>
      </c>
      <c r="AW646" s="1080">
        <f t="shared" si="628"/>
        <v>0</v>
      </c>
      <c r="AX646" s="1080">
        <f t="shared" si="629"/>
        <v>0</v>
      </c>
      <c r="AY646" s="1080">
        <f t="shared" si="630"/>
        <v>0</v>
      </c>
      <c r="AZ646" s="1080">
        <f t="shared" si="631"/>
        <v>0</v>
      </c>
      <c r="BA646" s="1080">
        <f t="shared" si="632"/>
        <v>0</v>
      </c>
      <c r="BB646" s="1080">
        <f>IF(AND(RACE=1,'Main Creation Page'!$E$6="Well",OR(ISNUMBER(FIND(Experience!$G$11,BE646)),ISNUMBER(FIND(Experience!$G$11,BF646)),ISNUMBER(FIND(Experience!$I$11,BE646)),ISNUMBER(FIND(Experience!$I$11,BF646)))),1,0)</f>
        <v>1</v>
      </c>
      <c r="BC646" s="1080" t="str">
        <f t="shared" ref="BC646:BC709" si="635">IF(ISBLANK(AJ646),IF(ISBLANK(AI646),IF(RIGHT(A646,2)="en","Language Lore: "&amp;A646,IF(LEFT(A646,9)="Alquennas",A646,NA())),IF(RIGHT(A646,9)=" Medicina",A646&amp;": Healing Lore Skills",IF(OR(LEFT(A646,5)="Lore ",LEFT(A646,8)="Materia "),A646&amp;" Skills",IF(LEFT(A646,8)="Cooking ","Cooking &amp; Innkeeping Skills",A646)))),IF(LEFT(A646,9)="alertness","Alertness: "&amp;RIGHT(A646,5),IF(ISBLANK(BD646),A646,IF(RIGHT(BD646,2)=" (",BD646&amp;"Own)",BD646&amp;A646))))</f>
        <v>Law of Senses</v>
      </c>
      <c r="BD646" s="1080" t="s">
        <v>6181</v>
      </c>
      <c r="BE646" s="1080" t="str">
        <f t="shared" si="626"/>
        <v>Lore</v>
      </c>
      <c r="BF646" s="1080" t="str">
        <f t="shared" si="591"/>
        <v>Materia Magica Skills</v>
      </c>
    </row>
    <row r="647" spans="1:58" ht="11.1" hidden="1" customHeight="1" outlineLevel="2">
      <c r="A647" s="1092" t="s">
        <v>1433</v>
      </c>
      <c r="B647" s="1094" t="s">
        <v>1942</v>
      </c>
      <c r="C647" s="1094"/>
      <c r="D647" s="1094"/>
      <c r="E647" s="1095" t="s">
        <v>5224</v>
      </c>
      <c r="F647" s="1095" t="s">
        <v>5224</v>
      </c>
      <c r="G647" s="1096">
        <v>0</v>
      </c>
      <c r="H647" s="1096" t="s">
        <v>5224</v>
      </c>
      <c r="I647" s="1096" t="s">
        <v>5224</v>
      </c>
      <c r="J647" s="1096" t="s">
        <v>5224</v>
      </c>
      <c r="K647" s="1096" t="s">
        <v>5224</v>
      </c>
      <c r="L647" s="1096">
        <v>0</v>
      </c>
      <c r="M647" s="1096" t="s">
        <v>5224</v>
      </c>
      <c r="N647" s="1096" t="s">
        <v>4631</v>
      </c>
      <c r="O647" s="1034"/>
      <c r="P647" s="1113" t="s">
        <v>13</v>
      </c>
      <c r="Q647" s="1034"/>
      <c r="R647" s="1034"/>
      <c r="S647" s="1113" t="s">
        <v>13</v>
      </c>
      <c r="T647" s="1113"/>
      <c r="U647" s="1027">
        <v>0</v>
      </c>
      <c r="V647" s="1027">
        <f t="shared" si="620"/>
        <v>1</v>
      </c>
      <c r="W647" s="1098" t="e">
        <f>IF(OR(I647&lt;&gt;"N",E647="C"),IF(AND(N647&lt;&gt;"T",ISNUMBER(FIND("V",I647))),1,0),NA())+IF(H647="Y",IF(AND(N647="P",ISNUMBER(FIND("Z",I647))),2,1),0)+IF(J647="Y",1,0)+IF(K647="Y",3,0)+IF(BE647="Lore",L647*2+Experience!$D$25,0)+IF(M647="Y",1,0)</f>
        <v>#N/A</v>
      </c>
      <c r="X647" s="1099"/>
      <c r="Y647" s="1100" t="e">
        <f ca="1">IF(P647="NS",IFERROR(INDIRECT(S647),NA()),VLOOKUP(INDIRECT(P647)+INDIRECT(S647),'System Lookups'!$A$3:$D$146,2))</f>
        <v>#N/A</v>
      </c>
      <c r="Z647" s="1100">
        <f t="shared" si="615"/>
        <v>0</v>
      </c>
      <c r="AA647" s="1101">
        <f t="shared" ca="1" si="619"/>
        <v>0</v>
      </c>
      <c r="AB647" s="1102">
        <f>VLOOKUP(V$621,'System Lookups'!$J$55:$P$64,3)</f>
        <v>0.2</v>
      </c>
      <c r="AC647" s="1103">
        <f>VLOOKUP(V$621,'System Lookups'!$J$55:$P$64,4)</f>
        <v>0.3</v>
      </c>
      <c r="AD647" s="1104">
        <f t="shared" si="621"/>
        <v>0</v>
      </c>
      <c r="AE647" s="1094">
        <f>(IF(AD647&gt;VLOOKUP(V647,'System Lookups'!$J$55:$P$63,6),(((AD647-VLOOKUP(V647,'System Lookups'!$J$55:$P$63,6))*100)/20),0))+AF647</f>
        <v>0</v>
      </c>
      <c r="AF647" s="1121"/>
      <c r="AG647" s="1092">
        <f t="shared" si="622"/>
        <v>0</v>
      </c>
      <c r="AH647" s="1092" t="str">
        <f>IF(X647&lt;=Experience!$R$15+1,"","*")</f>
        <v/>
      </c>
      <c r="AI647" s="1092"/>
      <c r="AJ647" s="1080">
        <f t="shared" si="607"/>
        <v>0</v>
      </c>
      <c r="AK647" s="1080">
        <f t="shared" si="633"/>
        <v>0</v>
      </c>
      <c r="AL647" s="1080">
        <f t="shared" si="608"/>
        <v>0</v>
      </c>
      <c r="AM647" s="1092">
        <f t="shared" si="617"/>
        <v>0</v>
      </c>
      <c r="AN647" s="1080">
        <f t="shared" si="634"/>
        <v>1</v>
      </c>
      <c r="AO647" s="1080">
        <f t="shared" si="609"/>
        <v>0</v>
      </c>
      <c r="AP647" s="1080">
        <f t="shared" si="623"/>
        <v>1</v>
      </c>
      <c r="AQ647" s="1027">
        <v>250</v>
      </c>
      <c r="AR647" s="1080" t="str">
        <f ca="1">IF(AND(NOT(ISBLANK(AJ647)),ISNA(MATCH(ROW(),'System Lookups'!$C$526:$C$539,0))),"Y","N")</f>
        <v>Y</v>
      </c>
      <c r="AS647" s="1080">
        <f t="shared" si="624"/>
        <v>0</v>
      </c>
      <c r="AU647" s="1080" t="e">
        <f t="shared" si="627"/>
        <v>#N/A</v>
      </c>
      <c r="AV647" s="1080" t="str">
        <f t="shared" si="625"/>
        <v>T</v>
      </c>
      <c r="AW647" s="1080">
        <f t="shared" si="628"/>
        <v>0</v>
      </c>
      <c r="AX647" s="1080">
        <f t="shared" si="629"/>
        <v>0</v>
      </c>
      <c r="AY647" s="1080">
        <f t="shared" si="630"/>
        <v>0</v>
      </c>
      <c r="AZ647" s="1080">
        <f t="shared" si="631"/>
        <v>0</v>
      </c>
      <c r="BA647" s="1080">
        <f t="shared" si="632"/>
        <v>0</v>
      </c>
      <c r="BB647" s="1080">
        <f>IF(AND(RACE=1,'Main Creation Page'!$E$6="Well",OR(ISNUMBER(FIND(Experience!$G$11,BE647)),ISNUMBER(FIND(Experience!$G$11,BF647)),ISNUMBER(FIND(Experience!$I$11,BE647)),ISNUMBER(FIND(Experience!$I$11,BF647)))),1,0)</f>
        <v>1</v>
      </c>
      <c r="BC647" s="1080" t="str">
        <f t="shared" si="635"/>
        <v>Law of Spells</v>
      </c>
      <c r="BD647" s="1080" t="s">
        <v>6181</v>
      </c>
      <c r="BE647" s="1080" t="str">
        <f t="shared" si="626"/>
        <v>Lore</v>
      </c>
      <c r="BF647" s="1080" t="str">
        <f t="shared" si="591"/>
        <v>Materia Magica Skills</v>
      </c>
    </row>
    <row r="648" spans="1:58" ht="11.1" hidden="1" customHeight="1" outlineLevel="2">
      <c r="A648" s="1092" t="s">
        <v>119</v>
      </c>
      <c r="B648" s="1094" t="s">
        <v>1942</v>
      </c>
      <c r="C648" s="1094"/>
      <c r="D648" s="1094"/>
      <c r="E648" s="1095" t="s">
        <v>5224</v>
      </c>
      <c r="F648" s="1095" t="s">
        <v>5224</v>
      </c>
      <c r="G648" s="1096">
        <v>0</v>
      </c>
      <c r="H648" s="1096" t="s">
        <v>5224</v>
      </c>
      <c r="I648" s="1096" t="s">
        <v>5224</v>
      </c>
      <c r="J648" s="1096" t="s">
        <v>5224</v>
      </c>
      <c r="K648" s="1096" t="s">
        <v>5224</v>
      </c>
      <c r="L648" s="1096">
        <v>0</v>
      </c>
      <c r="M648" s="1096" t="s">
        <v>5224</v>
      </c>
      <c r="N648" s="1096" t="s">
        <v>4631</v>
      </c>
      <c r="O648" s="1034"/>
      <c r="P648" s="1113" t="s">
        <v>13</v>
      </c>
      <c r="Q648" s="1034"/>
      <c r="R648" s="1034"/>
      <c r="S648" s="1113" t="s">
        <v>13</v>
      </c>
      <c r="T648" s="1113"/>
      <c r="U648" s="1027">
        <v>0</v>
      </c>
      <c r="V648" s="1027">
        <f t="shared" si="620"/>
        <v>1</v>
      </c>
      <c r="W648" s="1098" t="e">
        <f>IF(OR(I648&lt;&gt;"N",E648="C"),IF(AND(N648&lt;&gt;"T",ISNUMBER(FIND("V",I648))),1,0),NA())+IF(H648="Y",IF(AND(N648="P",ISNUMBER(FIND("Z",I648))),2,1),0)+IF(J648="Y",1,0)+IF(K648="Y",3,0)+IF(BE648="Lore",L648*2+Experience!$D$25,0)+IF(M648="Y",1,0)</f>
        <v>#N/A</v>
      </c>
      <c r="X648" s="1099"/>
      <c r="Y648" s="1100" t="e">
        <f ca="1">IF(P648="NS",IFERROR(INDIRECT(S648),NA()),VLOOKUP(INDIRECT(P648)+INDIRECT(S648),'System Lookups'!$A$3:$D$146,2))</f>
        <v>#N/A</v>
      </c>
      <c r="Z648" s="1100">
        <f t="shared" si="615"/>
        <v>0</v>
      </c>
      <c r="AA648" s="1101">
        <f t="shared" ca="1" si="619"/>
        <v>0</v>
      </c>
      <c r="AB648" s="1102">
        <f>VLOOKUP(V$621,'System Lookups'!$J$55:$P$64,3)</f>
        <v>0.2</v>
      </c>
      <c r="AC648" s="1103">
        <f>VLOOKUP(V$621,'System Lookups'!$J$55:$P$64,4)</f>
        <v>0.3</v>
      </c>
      <c r="AD648" s="1104">
        <f t="shared" si="621"/>
        <v>0</v>
      </c>
      <c r="AE648" s="1094">
        <f>(IF(AD648&gt;VLOOKUP(V648,'System Lookups'!$J$55:$P$63,6),(((AD648-VLOOKUP(V648,'System Lookups'!$J$55:$P$63,6))*100)/20),0))+AF648</f>
        <v>0</v>
      </c>
      <c r="AF648" s="1121"/>
      <c r="AG648" s="1092">
        <f t="shared" si="622"/>
        <v>0</v>
      </c>
      <c r="AH648" s="1092" t="str">
        <f>IF(X648&lt;=Experience!$R$15+1,"","*")</f>
        <v/>
      </c>
      <c r="AI648" s="1092"/>
      <c r="AJ648" s="1080">
        <f t="shared" si="607"/>
        <v>0</v>
      </c>
      <c r="AK648" s="1080">
        <f t="shared" si="633"/>
        <v>0</v>
      </c>
      <c r="AL648" s="1080">
        <f t="shared" si="608"/>
        <v>0</v>
      </c>
      <c r="AM648" s="1092">
        <f t="shared" si="617"/>
        <v>0</v>
      </c>
      <c r="AN648" s="1080">
        <f t="shared" si="634"/>
        <v>1</v>
      </c>
      <c r="AO648" s="1080">
        <f t="shared" si="609"/>
        <v>0</v>
      </c>
      <c r="AP648" s="1080">
        <f t="shared" si="623"/>
        <v>1</v>
      </c>
      <c r="AQ648" s="1027">
        <v>250</v>
      </c>
      <c r="AR648" s="1080" t="str">
        <f ca="1">IF(AND(NOT(ISBLANK(AJ648)),ISNA(MATCH(ROW(),'System Lookups'!$C$526:$C$539,0))),"Y","N")</f>
        <v>Y</v>
      </c>
      <c r="AS648" s="1080">
        <f t="shared" si="624"/>
        <v>0</v>
      </c>
      <c r="AU648" s="1080" t="e">
        <f t="shared" si="627"/>
        <v>#N/A</v>
      </c>
      <c r="AV648" s="1080" t="str">
        <f t="shared" si="625"/>
        <v>T</v>
      </c>
      <c r="AW648" s="1080">
        <f t="shared" si="628"/>
        <v>0</v>
      </c>
      <c r="AX648" s="1080">
        <f t="shared" si="629"/>
        <v>0</v>
      </c>
      <c r="AY648" s="1080">
        <f t="shared" si="630"/>
        <v>0</v>
      </c>
      <c r="AZ648" s="1080">
        <f t="shared" si="631"/>
        <v>0</v>
      </c>
      <c r="BA648" s="1080">
        <f t="shared" si="632"/>
        <v>0</v>
      </c>
      <c r="BB648" s="1080">
        <f>IF(AND(RACE=1,'Main Creation Page'!$E$6="Well",OR(ISNUMBER(FIND(Experience!$G$11,BE648)),ISNUMBER(FIND(Experience!$G$11,BF648)),ISNUMBER(FIND(Experience!$I$11,BE648)),ISNUMBER(FIND(Experience!$I$11,BF648)))),1,0)</f>
        <v>1</v>
      </c>
      <c r="BC648" s="1080" t="str">
        <f t="shared" si="635"/>
        <v>Law of Sympathetic Magick</v>
      </c>
      <c r="BD648" s="1080" t="s">
        <v>6181</v>
      </c>
      <c r="BE648" s="1080" t="str">
        <f t="shared" si="626"/>
        <v>Lore</v>
      </c>
      <c r="BF648" s="1080" t="str">
        <f t="shared" si="591"/>
        <v>Materia Magica Skills</v>
      </c>
    </row>
    <row r="649" spans="1:58" ht="11.1" hidden="1" customHeight="1" outlineLevel="2">
      <c r="A649" s="1148" t="s">
        <v>2249</v>
      </c>
      <c r="B649" s="1094" t="s">
        <v>1942</v>
      </c>
      <c r="C649" s="1094"/>
      <c r="D649" s="1094"/>
      <c r="E649" s="1095" t="s">
        <v>5224</v>
      </c>
      <c r="F649" s="1095" t="s">
        <v>5224</v>
      </c>
      <c r="G649" s="1096">
        <v>0</v>
      </c>
      <c r="H649" s="1096" t="s">
        <v>5224</v>
      </c>
      <c r="I649" s="1096" t="s">
        <v>5224</v>
      </c>
      <c r="J649" s="1096" t="s">
        <v>5224</v>
      </c>
      <c r="K649" s="1096" t="s">
        <v>5224</v>
      </c>
      <c r="L649" s="1096">
        <v>0</v>
      </c>
      <c r="M649" s="1096" t="s">
        <v>5224</v>
      </c>
      <c r="N649" s="1096" t="s">
        <v>4631</v>
      </c>
      <c r="O649" s="1034"/>
      <c r="P649" s="1113" t="s">
        <v>13</v>
      </c>
      <c r="Q649" s="1034"/>
      <c r="R649" s="1034"/>
      <c r="S649" s="1113" t="s">
        <v>13</v>
      </c>
      <c r="T649" s="1113"/>
      <c r="U649" s="1027">
        <v>0</v>
      </c>
      <c r="V649" s="1027">
        <f t="shared" si="620"/>
        <v>1</v>
      </c>
      <c r="W649" s="1098" t="e">
        <f>IF(OR(I649&lt;&gt;"N",E649="C"),IF(AND(N649&lt;&gt;"T",ISNUMBER(FIND("V",I649))),1,0),NA())+IF(H649="Y",IF(AND(N649="P",ISNUMBER(FIND("Z",I649))),2,1),0)+IF(J649="Y",1,0)+IF(K649="Y",3,0)+IF(BE649="Lore",L649*2+Experience!$D$25,0)+IF(M649="Y",1,0)</f>
        <v>#N/A</v>
      </c>
      <c r="X649" s="1099"/>
      <c r="Y649" s="1100" t="e">
        <f ca="1">IF(P649="NS",IFERROR(INDIRECT(S649),NA()),VLOOKUP(INDIRECT(P649)+INDIRECT(S649),'System Lookups'!$A$3:$D$146,2))</f>
        <v>#N/A</v>
      </c>
      <c r="Z649" s="1100">
        <f t="shared" si="615"/>
        <v>0</v>
      </c>
      <c r="AA649" s="1101">
        <f ca="1">IF(ISNA(Y649),0,Y649)+Z649</f>
        <v>0</v>
      </c>
      <c r="AB649" s="1102">
        <f>VLOOKUP(V$621,'System Lookups'!$J$55:$P$64,3)</f>
        <v>0.2</v>
      </c>
      <c r="AC649" s="1103">
        <f>VLOOKUP(V$621,'System Lookups'!$J$55:$P$64,4)</f>
        <v>0.3</v>
      </c>
      <c r="AD649" s="1104">
        <f t="shared" si="621"/>
        <v>0</v>
      </c>
      <c r="AE649" s="1094">
        <f>(IF(AD649&gt;VLOOKUP(V649,'System Lookups'!$J$55:$P$63,6),(((AD649-VLOOKUP(V649,'System Lookups'!$J$55:$P$63,6))*100)/20),0))+AF649</f>
        <v>0</v>
      </c>
      <c r="AF649" s="1121"/>
      <c r="AG649" s="1092">
        <f t="shared" si="622"/>
        <v>0</v>
      </c>
      <c r="AH649" s="1092" t="str">
        <f>IF(X649&lt;=Experience!$R$15+1,"","*")</f>
        <v/>
      </c>
      <c r="AI649" s="1092"/>
      <c r="AJ649" s="1080">
        <f t="shared" si="607"/>
        <v>0</v>
      </c>
      <c r="AK649" s="1080">
        <f>IF(F649="s",-2,0)</f>
        <v>0</v>
      </c>
      <c r="AL649" s="1080">
        <f t="shared" si="608"/>
        <v>0</v>
      </c>
      <c r="AM649" s="1092">
        <f>IF(J649="y",1,0)</f>
        <v>0</v>
      </c>
      <c r="AN649" s="1080">
        <f>IF(N649="P",-1,IF(N649="T",1,0))</f>
        <v>1</v>
      </c>
      <c r="AO649" s="1080">
        <f t="shared" si="609"/>
        <v>0</v>
      </c>
      <c r="AP649" s="1080">
        <f t="shared" si="623"/>
        <v>1</v>
      </c>
      <c r="AQ649" s="1027">
        <v>250</v>
      </c>
      <c r="AR649" s="1080" t="str">
        <f ca="1">IF(AND(NOT(ISBLANK(AJ649)),ISNA(MATCH(ROW(),'System Lookups'!$C$526:$C$539,0))),"Y","N")</f>
        <v>Y</v>
      </c>
      <c r="AS649" s="1080">
        <f t="shared" si="624"/>
        <v>0</v>
      </c>
      <c r="AU649" s="1080" t="e">
        <f t="shared" si="627"/>
        <v>#N/A</v>
      </c>
      <c r="AV649" s="1080" t="str">
        <f t="shared" si="625"/>
        <v>T</v>
      </c>
      <c r="AW649" s="1080">
        <f t="shared" si="628"/>
        <v>0</v>
      </c>
      <c r="AX649" s="1080">
        <f t="shared" si="629"/>
        <v>0</v>
      </c>
      <c r="AY649" s="1080">
        <f t="shared" si="630"/>
        <v>0</v>
      </c>
      <c r="AZ649" s="1080">
        <f t="shared" si="631"/>
        <v>0</v>
      </c>
      <c r="BA649" s="1080">
        <f t="shared" si="632"/>
        <v>0</v>
      </c>
      <c r="BB649" s="1080">
        <f>IF(AND(RACE=1,'Main Creation Page'!$E$6="Well",OR(ISNUMBER(FIND(Experience!$G$11,BE649)),ISNUMBER(FIND(Experience!$G$11,BF649)),ISNUMBER(FIND(Experience!$I$11,BE649)),ISNUMBER(FIND(Experience!$I$11,BF649)))),1,0)</f>
        <v>1</v>
      </c>
      <c r="BC649" s="1080" t="str">
        <f t="shared" si="635"/>
        <v>Law of Words of Guard</v>
      </c>
      <c r="BD649" s="1080" t="s">
        <v>6181</v>
      </c>
      <c r="BE649" s="1080" t="str">
        <f t="shared" si="626"/>
        <v>Lore</v>
      </c>
      <c r="BF649" s="1080" t="str">
        <f t="shared" si="591"/>
        <v>Materia Magica Skills</v>
      </c>
    </row>
    <row r="650" spans="1:58" ht="11.1" hidden="1" customHeight="1" outlineLevel="2">
      <c r="A650" s="1092" t="s">
        <v>4190</v>
      </c>
      <c r="B650" s="1094" t="s">
        <v>1942</v>
      </c>
      <c r="C650" s="1094"/>
      <c r="D650" s="1094"/>
      <c r="E650" s="1095" t="s">
        <v>5224</v>
      </c>
      <c r="F650" s="1095" t="s">
        <v>5224</v>
      </c>
      <c r="G650" s="1096">
        <v>0</v>
      </c>
      <c r="H650" s="1096" t="s">
        <v>5224</v>
      </c>
      <c r="I650" s="1096" t="s">
        <v>5224</v>
      </c>
      <c r="J650" s="1096" t="s">
        <v>5224</v>
      </c>
      <c r="K650" s="1096" t="s">
        <v>5224</v>
      </c>
      <c r="L650" s="1096">
        <v>0</v>
      </c>
      <c r="M650" s="1096" t="s">
        <v>5224</v>
      </c>
      <c r="N650" s="1096" t="s">
        <v>4631</v>
      </c>
      <c r="O650" s="1034"/>
      <c r="P650" s="1113" t="s">
        <v>13</v>
      </c>
      <c r="Q650" s="1034"/>
      <c r="R650" s="1034"/>
      <c r="S650" s="1113" t="s">
        <v>13</v>
      </c>
      <c r="T650" s="1113"/>
      <c r="U650" s="1027">
        <v>0</v>
      </c>
      <c r="V650" s="1027">
        <f t="shared" si="620"/>
        <v>1</v>
      </c>
      <c r="W650" s="1098" t="e">
        <f>IF(OR(I650&lt;&gt;"N",E650="C"),IF(AND(N650&lt;&gt;"T",ISNUMBER(FIND("V",I650))),1,0),NA())+IF(H650="Y",IF(AND(N650="P",ISNUMBER(FIND("Z",I650))),2,1),0)+IF(J650="Y",1,0)+IF(K650="Y",3,0)+IF(BE650="Lore",L650*2+Experience!$D$25,0)+IF(M650="Y",1,0)</f>
        <v>#N/A</v>
      </c>
      <c r="X650" s="1099"/>
      <c r="Y650" s="1100" t="e">
        <f ca="1">IF(P650="NS",IFERROR(INDIRECT(S650),NA()),VLOOKUP(INDIRECT(P650)+INDIRECT(S650),'System Lookups'!$A$3:$D$146,2))</f>
        <v>#N/A</v>
      </c>
      <c r="Z650" s="1100">
        <f t="shared" si="615"/>
        <v>0</v>
      </c>
      <c r="AA650" s="1101">
        <f t="shared" ca="1" si="619"/>
        <v>0</v>
      </c>
      <c r="AB650" s="1102">
        <f>VLOOKUP(V$621,'System Lookups'!$J$55:$P$64,3)</f>
        <v>0.2</v>
      </c>
      <c r="AC650" s="1103">
        <f>VLOOKUP(V$621,'System Lookups'!$J$55:$P$64,4)</f>
        <v>0.3</v>
      </c>
      <c r="AD650" s="1104">
        <f t="shared" si="621"/>
        <v>0</v>
      </c>
      <c r="AE650" s="1094">
        <f>(IF(AD650&gt;VLOOKUP(V650,'System Lookups'!$J$55:$P$63,6),(((AD650-VLOOKUP(V650,'System Lookups'!$J$55:$P$63,6))*100)/20),0))+AF650</f>
        <v>0</v>
      </c>
      <c r="AF650" s="1121"/>
      <c r="AG650" s="1092">
        <f t="shared" si="622"/>
        <v>0</v>
      </c>
      <c r="AH650" s="1092" t="str">
        <f>IF(X650&lt;=Experience!$R$15+1,"","*")</f>
        <v/>
      </c>
      <c r="AI650" s="1092"/>
      <c r="AJ650" s="1080">
        <f t="shared" si="607"/>
        <v>0</v>
      </c>
      <c r="AK650" s="1080">
        <f t="shared" si="633"/>
        <v>0</v>
      </c>
      <c r="AL650" s="1080">
        <f t="shared" si="608"/>
        <v>0</v>
      </c>
      <c r="AM650" s="1092">
        <f t="shared" si="617"/>
        <v>0</v>
      </c>
      <c r="AN650" s="1080">
        <f t="shared" si="634"/>
        <v>1</v>
      </c>
      <c r="AO650" s="1080">
        <f t="shared" si="609"/>
        <v>0</v>
      </c>
      <c r="AP650" s="1080">
        <f t="shared" si="623"/>
        <v>1</v>
      </c>
      <c r="AQ650" s="1027">
        <v>250</v>
      </c>
      <c r="AR650" s="1080" t="str">
        <f ca="1">IF(AND(NOT(ISBLANK(AJ650)),ISNA(MATCH(ROW(),'System Lookups'!$C$526:$C$539,0))),"Y","N")</f>
        <v>Y</v>
      </c>
      <c r="AS650" s="1080">
        <f t="shared" si="624"/>
        <v>0</v>
      </c>
      <c r="AU650" s="1080" t="e">
        <f t="shared" si="627"/>
        <v>#N/A</v>
      </c>
      <c r="AV650" s="1080" t="str">
        <f t="shared" si="625"/>
        <v>T</v>
      </c>
      <c r="AW650" s="1080">
        <f t="shared" si="628"/>
        <v>0</v>
      </c>
      <c r="AX650" s="1080">
        <f t="shared" si="629"/>
        <v>0</v>
      </c>
      <c r="AY650" s="1080">
        <f t="shared" si="630"/>
        <v>0</v>
      </c>
      <c r="AZ650" s="1080">
        <f t="shared" si="631"/>
        <v>0</v>
      </c>
      <c r="BA650" s="1080">
        <f t="shared" si="632"/>
        <v>0</v>
      </c>
      <c r="BB650" s="1080">
        <f>IF(AND(RACE=1,'Main Creation Page'!$E$6="Well",OR(ISNUMBER(FIND(Experience!$G$11,BE650)),ISNUMBER(FIND(Experience!$G$11,BF650)),ISNUMBER(FIND(Experience!$I$11,BE650)),ISNUMBER(FIND(Experience!$I$11,BF650)))),1,0)</f>
        <v>1</v>
      </c>
      <c r="BC650" s="1080" t="str">
        <f t="shared" si="635"/>
        <v>Law of Words of Power</v>
      </c>
      <c r="BD650" s="1080" t="s">
        <v>6181</v>
      </c>
      <c r="BE650" s="1080" t="str">
        <f t="shared" si="626"/>
        <v>Lore</v>
      </c>
      <c r="BF650" s="1080" t="str">
        <f t="shared" ref="BF650:BF713" si="636">IF(ISBLANK(AC650),IF(OR(ISNA(BC650),ISBLANK(BC650)),BF649,BC650),BF649)</f>
        <v>Materia Magica Skills</v>
      </c>
    </row>
    <row r="651" spans="1:58" ht="11.1" hidden="1" customHeight="1" outlineLevel="1">
      <c r="A651" s="1117" t="s">
        <v>4685</v>
      </c>
      <c r="B651" s="1094" t="s">
        <v>1942</v>
      </c>
      <c r="C651" s="1094"/>
      <c r="D651" s="1094"/>
      <c r="E651" s="1095" t="s">
        <v>5224</v>
      </c>
      <c r="F651" s="1095" t="s">
        <v>5224</v>
      </c>
      <c r="G651" s="1096">
        <v>0</v>
      </c>
      <c r="H651" s="1096" t="s">
        <v>5224</v>
      </c>
      <c r="I651" s="1096" t="s">
        <v>5224</v>
      </c>
      <c r="J651" s="1096" t="s">
        <v>5224</v>
      </c>
      <c r="K651" s="1096" t="s">
        <v>5224</v>
      </c>
      <c r="L651" s="1096">
        <v>0</v>
      </c>
      <c r="M651" s="1096" t="s">
        <v>5224</v>
      </c>
      <c r="N651" s="1096" t="s">
        <v>4631</v>
      </c>
      <c r="O651" s="1028"/>
      <c r="P651" s="1028" t="s">
        <v>780</v>
      </c>
      <c r="Q651" s="1097">
        <f t="shared" ref="Q651:Q661" ca="1" si="637">INDIRECT(P651)</f>
        <v>17</v>
      </c>
      <c r="R651" s="1034"/>
      <c r="S651" s="1028" t="s">
        <v>780</v>
      </c>
      <c r="T651" s="1097">
        <f t="shared" ref="T651:T661" ca="1" si="638">INDIRECT(S651)</f>
        <v>17</v>
      </c>
      <c r="U651" s="1027">
        <v>5</v>
      </c>
      <c r="V651" s="1027">
        <f t="shared" si="620"/>
        <v>6</v>
      </c>
      <c r="W651" s="1098" t="e">
        <f>IF(OR(I651&lt;&gt;"N",E651="C"),IF(AND(N651&lt;&gt;"T",ISNUMBER(FIND("V",I651))),1,0),NA())+IF(H651="Y",IF(AND(N651="P",ISNUMBER(FIND("Z",I651))),2,1),0)+IF(J651="Y",1,0)+IF(K651="Y",3,0)+IF(BE651="Lore",L651*2+Experience!$D$25,0)+IF(M651="Y",1,0)</f>
        <v>#N/A</v>
      </c>
      <c r="X651" s="1099"/>
      <c r="Y651" s="1100">
        <f ca="1">IF(P651="NS",IFERROR(INDIRECT(S651),NA()),VLOOKUP(INDIRECT(P651)+INDIRECT(S651),'System Lookups'!$A$3:$D$146,2))</f>
        <v>0.1</v>
      </c>
      <c r="Z651" s="1100">
        <f t="shared" ref="Z651:Z661" si="639">IF(ISNA(W651),0,W651*0.03)+IF(X651&gt;0,X651*0.03,0)+IF(AND(ISNA(W651),X651&lt;=0),0,IF(G651&gt;0,G651*0.07,0))</f>
        <v>0</v>
      </c>
      <c r="AA651" s="1101">
        <f ca="1">IF(ISNA(Y651),0,Y651)+Z651</f>
        <v>0.1</v>
      </c>
      <c r="AB651" s="1102">
        <f>VLOOKUP(V651,'System Lookups'!$J$55:$P$64,3)</f>
        <v>0.05</v>
      </c>
      <c r="AC651" s="1103">
        <f>VLOOKUP(V651,'System Lookups'!$J$55:$P$64,4)</f>
        <v>0.1</v>
      </c>
      <c r="AD651" s="1104">
        <f t="shared" si="621"/>
        <v>0</v>
      </c>
      <c r="AE651" s="1094">
        <f>(IF(AD651&gt;VLOOKUP(V651,'System Lookups'!$J$55:$P$63,6),(((AD651-VLOOKUP(V651,'System Lookups'!$J$55:$P$63,6))*100)/20),0))+AF651</f>
        <v>0</v>
      </c>
      <c r="AF651" s="1121"/>
      <c r="AG651" s="1092">
        <f t="shared" si="622"/>
        <v>0</v>
      </c>
      <c r="AH651" s="1092" t="str">
        <f>IF(X651&lt;=Experience!$R$15+1,"","*")</f>
        <v/>
      </c>
      <c r="AI651" s="1092"/>
      <c r="AJ651" s="1080">
        <f t="shared" si="607"/>
        <v>0</v>
      </c>
      <c r="AK651" s="1080">
        <f t="shared" si="633"/>
        <v>0</v>
      </c>
      <c r="AL651" s="1080">
        <f t="shared" si="608"/>
        <v>0</v>
      </c>
      <c r="AM651" s="1092">
        <f>IF(J651="y",1,0)</f>
        <v>0</v>
      </c>
      <c r="AN651" s="1080">
        <f t="shared" si="634"/>
        <v>1</v>
      </c>
      <c r="AO651" s="1080">
        <f t="shared" si="609"/>
        <v>0</v>
      </c>
      <c r="AP651" s="1080">
        <f t="shared" si="623"/>
        <v>1</v>
      </c>
      <c r="AQ651" s="1027">
        <f>VLOOKUP(V651,'System Lookups'!$J$55:$P$64,7)</f>
        <v>800</v>
      </c>
      <c r="AR651" s="1080" t="str">
        <f ca="1">IF(AND(NOT(ISBLANK(AJ651)),ISNA(MATCH(ROW(),'System Lookups'!$C$526:$C$539,0))),"Y","N")</f>
        <v>Y</v>
      </c>
      <c r="AS651" s="1080">
        <f t="shared" si="624"/>
        <v>0</v>
      </c>
      <c r="AU651" s="1080" t="e">
        <f t="shared" si="627"/>
        <v>#N/A</v>
      </c>
      <c r="AV651" s="1080" t="str">
        <f t="shared" si="625"/>
        <v>T</v>
      </c>
      <c r="AW651" s="1080">
        <f t="shared" si="628"/>
        <v>0</v>
      </c>
      <c r="AX651" s="1080">
        <f t="shared" si="629"/>
        <v>0</v>
      </c>
      <c r="AY651" s="1080">
        <f t="shared" si="630"/>
        <v>0</v>
      </c>
      <c r="AZ651" s="1080">
        <f t="shared" si="631"/>
        <v>0</v>
      </c>
      <c r="BA651" s="1080">
        <f t="shared" si="632"/>
        <v>0</v>
      </c>
      <c r="BB651" s="1080">
        <f>IF(AND(RACE=1,'Main Creation Page'!$E$6="Well",OR(ISNUMBER(FIND(Experience!$G$11,BE651)),ISNUMBER(FIND(Experience!$G$11,BF651)),ISNUMBER(FIND(Experience!$I$11,BE651)),ISNUMBER(FIND(Experience!$I$11,BF651)))),1,0)</f>
        <v>1</v>
      </c>
      <c r="BC651" s="1080" t="str">
        <f t="shared" si="635"/>
        <v>Lore of Correspondences</v>
      </c>
      <c r="BE651" s="1080" t="str">
        <f t="shared" si="626"/>
        <v>Lore</v>
      </c>
      <c r="BF651" s="1080" t="str">
        <f t="shared" si="636"/>
        <v>Materia Magica Skills</v>
      </c>
    </row>
    <row r="652" spans="1:58" ht="11.1" hidden="1" customHeight="1" outlineLevel="1">
      <c r="A652" s="1117" t="s">
        <v>398</v>
      </c>
      <c r="B652" s="1094" t="s">
        <v>1942</v>
      </c>
      <c r="C652" s="1094"/>
      <c r="D652" s="1094"/>
      <c r="E652" s="1095" t="s">
        <v>5224</v>
      </c>
      <c r="F652" s="1095" t="s">
        <v>5224</v>
      </c>
      <c r="G652" s="1096">
        <v>0</v>
      </c>
      <c r="H652" s="1096" t="s">
        <v>5224</v>
      </c>
      <c r="I652" s="1096" t="s">
        <v>5224</v>
      </c>
      <c r="J652" s="1096" t="s">
        <v>5224</v>
      </c>
      <c r="K652" s="1096" t="s">
        <v>5224</v>
      </c>
      <c r="L652" s="1096">
        <v>0</v>
      </c>
      <c r="M652" s="1096" t="s">
        <v>5224</v>
      </c>
      <c r="N652" s="1096" t="s">
        <v>4631</v>
      </c>
      <c r="O652" s="1028"/>
      <c r="P652" s="1028" t="s">
        <v>780</v>
      </c>
      <c r="Q652" s="1097">
        <f t="shared" ca="1" si="637"/>
        <v>17</v>
      </c>
      <c r="R652" s="1034"/>
      <c r="S652" s="1028" t="s">
        <v>780</v>
      </c>
      <c r="T652" s="1097">
        <f t="shared" ca="1" si="638"/>
        <v>17</v>
      </c>
      <c r="U652" s="1027">
        <v>3</v>
      </c>
      <c r="V652" s="1027">
        <f t="shared" si="620"/>
        <v>4</v>
      </c>
      <c r="W652" s="1098" t="e">
        <f>IF(OR(I652&lt;&gt;"N",E652="C"),IF(AND(N652&lt;&gt;"T",ISNUMBER(FIND("V",I652))),1,0),NA())+IF(H652="Y",IF(AND(N652="P",ISNUMBER(FIND("Z",I652))),2,1),0)+IF(J652="Y",1,0)+IF(K652="Y",3,0)+IF(BE652="Lore",L652*2+Experience!$D$25,0)+IF(M652="Y",1,0)</f>
        <v>#N/A</v>
      </c>
      <c r="X652" s="1099"/>
      <c r="Y652" s="1100">
        <f ca="1">IF(P652="NS",IFERROR(INDIRECT(S652),NA()),VLOOKUP(INDIRECT(P652)+INDIRECT(S652),'System Lookups'!$A$3:$D$146,2))</f>
        <v>0.1</v>
      </c>
      <c r="Z652" s="1100">
        <f t="shared" si="639"/>
        <v>0</v>
      </c>
      <c r="AA652" s="1101">
        <f ca="1">IF(ISNA(Y652),0,Y652)+Z652</f>
        <v>0.1</v>
      </c>
      <c r="AB652" s="1102">
        <f>VLOOKUP(V652,'System Lookups'!$J$55:$P$64,3)</f>
        <v>0.2</v>
      </c>
      <c r="AC652" s="1103">
        <f>VLOOKUP(V652,'System Lookups'!$J$55:$P$64,4)</f>
        <v>0.3</v>
      </c>
      <c r="AD652" s="1104">
        <f t="shared" si="621"/>
        <v>0</v>
      </c>
      <c r="AE652" s="1094">
        <f>(IF(AD652&gt;VLOOKUP(V652,'System Lookups'!$J$55:$P$63,6),(((AD652-VLOOKUP(V652,'System Lookups'!$J$55:$P$63,6))*100)/20),0))+AF652</f>
        <v>0</v>
      </c>
      <c r="AF652" s="1121"/>
      <c r="AG652" s="1092">
        <f t="shared" si="622"/>
        <v>0</v>
      </c>
      <c r="AH652" s="1092" t="str">
        <f>IF(X652&lt;=Experience!$R$15+1,"","*")</f>
        <v/>
      </c>
      <c r="AI652" s="1092"/>
      <c r="AJ652" s="1080">
        <f t="shared" si="607"/>
        <v>0</v>
      </c>
      <c r="AK652" s="1080">
        <f t="shared" si="633"/>
        <v>0</v>
      </c>
      <c r="AL652" s="1080">
        <f t="shared" si="608"/>
        <v>0</v>
      </c>
      <c r="AM652" s="1092">
        <f>IF(J652="y",1,0)</f>
        <v>0</v>
      </c>
      <c r="AN652" s="1080">
        <f t="shared" si="634"/>
        <v>1</v>
      </c>
      <c r="AO652" s="1080">
        <f t="shared" si="609"/>
        <v>0</v>
      </c>
      <c r="AP652" s="1080">
        <f t="shared" si="623"/>
        <v>1</v>
      </c>
      <c r="AQ652" s="1027">
        <f>VLOOKUP(V652,'System Lookups'!$J$55:$P$64,7)</f>
        <v>600</v>
      </c>
      <c r="AR652" s="1080" t="str">
        <f ca="1">IF(AND(NOT(ISBLANK(AJ652)),ISNA(MATCH(ROW(),'System Lookups'!$C$526:$C$539,0))),"Y","N")</f>
        <v>Y</v>
      </c>
      <c r="AS652" s="1080">
        <f t="shared" si="624"/>
        <v>0</v>
      </c>
      <c r="AU652" s="1080" t="e">
        <f t="shared" si="627"/>
        <v>#N/A</v>
      </c>
      <c r="AV652" s="1080" t="str">
        <f t="shared" si="625"/>
        <v>T</v>
      </c>
      <c r="AW652" s="1080">
        <f t="shared" si="628"/>
        <v>0</v>
      </c>
      <c r="AX652" s="1080">
        <f t="shared" si="629"/>
        <v>0</v>
      </c>
      <c r="AY652" s="1080">
        <f t="shared" si="630"/>
        <v>0</v>
      </c>
      <c r="AZ652" s="1080">
        <f t="shared" si="631"/>
        <v>0</v>
      </c>
      <c r="BA652" s="1080">
        <f t="shared" si="632"/>
        <v>0</v>
      </c>
      <c r="BB652" s="1080">
        <f>IF(AND(RACE=1,'Main Creation Page'!$E$6="Well",OR(ISNUMBER(FIND(Experience!$G$11,BE652)),ISNUMBER(FIND(Experience!$G$11,BF652)),ISNUMBER(FIND(Experience!$I$11,BE652)),ISNUMBER(FIND(Experience!$I$11,BF652)))),1,0)</f>
        <v>1</v>
      </c>
      <c r="BC652" s="1080" t="str">
        <f t="shared" si="635"/>
        <v>Lore of the Dead</v>
      </c>
      <c r="BE652" s="1080" t="str">
        <f t="shared" si="626"/>
        <v>Lore</v>
      </c>
      <c r="BF652" s="1080" t="str">
        <f t="shared" si="636"/>
        <v>Materia Magica Skills</v>
      </c>
    </row>
    <row r="653" spans="1:58" ht="11.1" hidden="1" customHeight="1" outlineLevel="1">
      <c r="A653" s="1117" t="s">
        <v>399</v>
      </c>
      <c r="B653" s="1094" t="s">
        <v>1942</v>
      </c>
      <c r="C653" s="1094"/>
      <c r="D653" s="1094"/>
      <c r="E653" s="1095" t="s">
        <v>5224</v>
      </c>
      <c r="F653" s="1095" t="s">
        <v>5224</v>
      </c>
      <c r="G653" s="1096">
        <v>0</v>
      </c>
      <c r="H653" s="1096" t="s">
        <v>5224</v>
      </c>
      <c r="I653" s="1096" t="s">
        <v>5224</v>
      </c>
      <c r="J653" s="1096" t="s">
        <v>5224</v>
      </c>
      <c r="K653" s="1096" t="s">
        <v>5224</v>
      </c>
      <c r="L653" s="1096">
        <v>0</v>
      </c>
      <c r="M653" s="1096" t="s">
        <v>5224</v>
      </c>
      <c r="N653" s="1096" t="s">
        <v>4631</v>
      </c>
      <c r="O653" s="1028"/>
      <c r="P653" s="1028" t="s">
        <v>780</v>
      </c>
      <c r="Q653" s="1097">
        <f t="shared" ca="1" si="637"/>
        <v>17</v>
      </c>
      <c r="R653" s="1034"/>
      <c r="S653" s="1028" t="s">
        <v>780</v>
      </c>
      <c r="T653" s="1097">
        <f t="shared" ca="1" si="638"/>
        <v>17</v>
      </c>
      <c r="U653" s="1027">
        <v>4</v>
      </c>
      <c r="V653" s="1027">
        <f t="shared" si="620"/>
        <v>5</v>
      </c>
      <c r="W653" s="1098" t="e">
        <f>IF(OR(I653&lt;&gt;"N",E653="C"),IF(AND(N653&lt;&gt;"T",ISNUMBER(FIND("V",I653))),1,0),NA())+IF(H653="Y",IF(AND(N653="P",ISNUMBER(FIND("Z",I653))),2,1),0)+IF(J653="Y",1,0)+IF(K653="Y",3,0)+IF(BE653="Lore",L653*2+Experience!$D$25,0)+IF(M653="Y",1,0)</f>
        <v>#N/A</v>
      </c>
      <c r="X653" s="1099"/>
      <c r="Y653" s="1100">
        <f ca="1">IF(P653="NS",IFERROR(INDIRECT(S653),NA()),VLOOKUP(INDIRECT(P653)+INDIRECT(S653),'System Lookups'!$A$3:$D$146,2))</f>
        <v>0.1</v>
      </c>
      <c r="Z653" s="1100">
        <f t="shared" si="639"/>
        <v>0</v>
      </c>
      <c r="AA653" s="1101">
        <f ca="1">IF(ISNA(Y653),0,Y653)+Z653</f>
        <v>0.1</v>
      </c>
      <c r="AB653" s="1102">
        <f>VLOOKUP(V653,'System Lookups'!$J$55:$P$64,3)</f>
        <v>0.1</v>
      </c>
      <c r="AC653" s="1103">
        <f>VLOOKUP(V653,'System Lookups'!$J$55:$P$64,4)</f>
        <v>0.2</v>
      </c>
      <c r="AD653" s="1104">
        <f t="shared" si="621"/>
        <v>0</v>
      </c>
      <c r="AE653" s="1094">
        <f>(IF(AD653&gt;VLOOKUP(V653,'System Lookups'!$J$55:$P$63,6),(((AD653-VLOOKUP(V653,'System Lookups'!$J$55:$P$63,6))*100)/20),0))+AF653</f>
        <v>0</v>
      </c>
      <c r="AF653" s="1121"/>
      <c r="AG653" s="1092">
        <f t="shared" si="622"/>
        <v>0</v>
      </c>
      <c r="AH653" s="1092" t="str">
        <f>IF(X653&lt;=Experience!$R$15+1,"","*")</f>
        <v/>
      </c>
      <c r="AI653" s="1092"/>
      <c r="AJ653" s="1080">
        <f t="shared" si="607"/>
        <v>0</v>
      </c>
      <c r="AK653" s="1080">
        <f t="shared" si="633"/>
        <v>0</v>
      </c>
      <c r="AL653" s="1080">
        <f t="shared" si="608"/>
        <v>0</v>
      </c>
      <c r="AM653" s="1092">
        <f>IF(J653="y",1,0)</f>
        <v>0</v>
      </c>
      <c r="AN653" s="1080">
        <f t="shared" si="634"/>
        <v>1</v>
      </c>
      <c r="AO653" s="1080">
        <f t="shared" si="609"/>
        <v>0</v>
      </c>
      <c r="AP653" s="1080">
        <f t="shared" si="623"/>
        <v>1</v>
      </c>
      <c r="AQ653" s="1027">
        <f>VLOOKUP(V653,'System Lookups'!$J$55:$P$64,7)</f>
        <v>700</v>
      </c>
      <c r="AR653" s="1080" t="str">
        <f ca="1">IF(AND(NOT(ISBLANK(AJ653)),ISNA(MATCH(ROW(),'System Lookups'!$C$526:$C$539,0))),"Y","N")</f>
        <v>Y</v>
      </c>
      <c r="AS653" s="1080">
        <f t="shared" si="624"/>
        <v>0</v>
      </c>
      <c r="AU653" s="1080" t="e">
        <f t="shared" si="627"/>
        <v>#N/A</v>
      </c>
      <c r="AV653" s="1080" t="str">
        <f t="shared" si="625"/>
        <v>T</v>
      </c>
      <c r="AW653" s="1080">
        <f t="shared" si="628"/>
        <v>0</v>
      </c>
      <c r="AX653" s="1080">
        <f t="shared" si="629"/>
        <v>0</v>
      </c>
      <c r="AY653" s="1080">
        <f t="shared" si="630"/>
        <v>0</v>
      </c>
      <c r="AZ653" s="1080">
        <f t="shared" si="631"/>
        <v>0</v>
      </c>
      <c r="BA653" s="1080">
        <f t="shared" si="632"/>
        <v>0</v>
      </c>
      <c r="BB653" s="1080">
        <f>IF(AND(RACE=1,'Main Creation Page'!$E$6="Well",OR(ISNUMBER(FIND(Experience!$G$11,BE653)),ISNUMBER(FIND(Experience!$G$11,BF653)),ISNUMBER(FIND(Experience!$I$11,BE653)),ISNUMBER(FIND(Experience!$I$11,BF653)))),1,0)</f>
        <v>1</v>
      </c>
      <c r="BC653" s="1080" t="str">
        <f t="shared" si="635"/>
        <v>Magical Beast Lore</v>
      </c>
      <c r="BE653" s="1080" t="str">
        <f t="shared" si="626"/>
        <v>Lore</v>
      </c>
      <c r="BF653" s="1080" t="str">
        <f t="shared" si="636"/>
        <v>Materia Magica Skills</v>
      </c>
    </row>
    <row r="654" spans="1:58" ht="11.1" hidden="1" customHeight="1" outlineLevel="1">
      <c r="A654" s="1117" t="s">
        <v>3518</v>
      </c>
      <c r="B654" s="1094" t="s">
        <v>1942</v>
      </c>
      <c r="C654" s="1094"/>
      <c r="D654" s="1094"/>
      <c r="E654" s="1095" t="s">
        <v>5224</v>
      </c>
      <c r="F654" s="1095" t="s">
        <v>5224</v>
      </c>
      <c r="G654" s="1096">
        <v>0</v>
      </c>
      <c r="H654" s="1096" t="s">
        <v>5224</v>
      </c>
      <c r="I654" s="1096" t="s">
        <v>5224</v>
      </c>
      <c r="J654" s="1096" t="s">
        <v>5224</v>
      </c>
      <c r="K654" s="1096" t="s">
        <v>5224</v>
      </c>
      <c r="L654" s="1096">
        <v>0</v>
      </c>
      <c r="M654" s="1096" t="s">
        <v>5224</v>
      </c>
      <c r="N654" s="1096" t="s">
        <v>4631</v>
      </c>
      <c r="O654" s="1028"/>
      <c r="P654" s="1028" t="s">
        <v>780</v>
      </c>
      <c r="Q654" s="1097">
        <f t="shared" ca="1" si="637"/>
        <v>17</v>
      </c>
      <c r="R654" s="1034"/>
      <c r="S654" s="1028" t="s">
        <v>780</v>
      </c>
      <c r="T654" s="1097">
        <f t="shared" ca="1" si="638"/>
        <v>17</v>
      </c>
      <c r="U654" s="1027">
        <v>3</v>
      </c>
      <c r="V654" s="1027">
        <f t="shared" si="620"/>
        <v>4</v>
      </c>
      <c r="W654" s="1098" t="e">
        <f>IF(OR(I654&lt;&gt;"N",E654="C"),IF(AND(N654&lt;&gt;"T",ISNUMBER(FIND("V",I654))),1,0),NA())+IF(H654="Y",IF(AND(N654="P",ISNUMBER(FIND("Z",I654))),2,1),0)+IF(J654="Y",1,0)+IF(K654="Y",3,0)+IF(BE654="Lore",L654*2+Experience!$D$25,0)+IF(M654="Y",1,0)</f>
        <v>#N/A</v>
      </c>
      <c r="X654" s="1099"/>
      <c r="Y654" s="1100">
        <f ca="1">IF(P654="NS",IFERROR(INDIRECT(S654),NA()),VLOOKUP(INDIRECT(P654)+INDIRECT(S654),'System Lookups'!$A$3:$D$146,2))</f>
        <v>0.1</v>
      </c>
      <c r="Z654" s="1100">
        <f t="shared" si="639"/>
        <v>0</v>
      </c>
      <c r="AA654" s="1101">
        <f ca="1">IF(ISNA(Y654),0,Y654)+Z654</f>
        <v>0.1</v>
      </c>
      <c r="AB654" s="1102">
        <f>VLOOKUP(V654,'System Lookups'!$J$55:$P$64,3)</f>
        <v>0.2</v>
      </c>
      <c r="AC654" s="1103">
        <f>VLOOKUP(V654,'System Lookups'!$J$55:$P$64,4)</f>
        <v>0.3</v>
      </c>
      <c r="AD654" s="1104">
        <f t="shared" si="621"/>
        <v>0</v>
      </c>
      <c r="AE654" s="1094">
        <f>(IF(AD654&gt;VLOOKUP(V654,'System Lookups'!$J$55:$P$63,6),(((AD654-VLOOKUP(V654,'System Lookups'!$J$55:$P$63,6))*100)/20),0))+AF654</f>
        <v>0</v>
      </c>
      <c r="AF654" s="1121"/>
      <c r="AG654" s="1092">
        <f t="shared" si="622"/>
        <v>0</v>
      </c>
      <c r="AH654" s="1092" t="str">
        <f>IF(X654&lt;=Experience!$R$15+1,"","*")</f>
        <v/>
      </c>
      <c r="AI654" s="1092"/>
      <c r="AJ654" s="1080">
        <f t="shared" si="607"/>
        <v>0</v>
      </c>
      <c r="AK654" s="1080">
        <f t="shared" si="633"/>
        <v>0</v>
      </c>
      <c r="AL654" s="1080">
        <f t="shared" si="608"/>
        <v>0</v>
      </c>
      <c r="AM654" s="1092">
        <f>IF(J654="y",1,0)</f>
        <v>0</v>
      </c>
      <c r="AN654" s="1080">
        <f t="shared" si="634"/>
        <v>1</v>
      </c>
      <c r="AO654" s="1080">
        <f t="shared" si="609"/>
        <v>0</v>
      </c>
      <c r="AP654" s="1080">
        <f t="shared" si="623"/>
        <v>1</v>
      </c>
      <c r="AQ654" s="1027">
        <f>VLOOKUP(V654,'System Lookups'!$J$55:$P$64,7)</f>
        <v>600</v>
      </c>
      <c r="AR654" s="1080" t="str">
        <f ca="1">IF(AND(NOT(ISBLANK(AJ654)),ISNA(MATCH(ROW(),'System Lookups'!$C$526:$C$539,0))),"Y","N")</f>
        <v>Y</v>
      </c>
      <c r="AS654" s="1080">
        <f t="shared" si="624"/>
        <v>0</v>
      </c>
      <c r="AU654" s="1080" t="e">
        <f t="shared" si="627"/>
        <v>#N/A</v>
      </c>
      <c r="AV654" s="1080" t="str">
        <f t="shared" si="625"/>
        <v>T</v>
      </c>
      <c r="AW654" s="1080">
        <f t="shared" si="628"/>
        <v>0</v>
      </c>
      <c r="AX654" s="1080">
        <f t="shared" si="629"/>
        <v>0</v>
      </c>
      <c r="AY654" s="1080">
        <f t="shared" si="630"/>
        <v>0</v>
      </c>
      <c r="AZ654" s="1080">
        <f t="shared" si="631"/>
        <v>0</v>
      </c>
      <c r="BA654" s="1080">
        <f t="shared" si="632"/>
        <v>0</v>
      </c>
      <c r="BB654" s="1080">
        <f>IF(AND(RACE=1,'Main Creation Page'!$E$6="Well",OR(ISNUMBER(FIND(Experience!$G$11,BE654)),ISNUMBER(FIND(Experience!$G$11,BF654)),ISNUMBER(FIND(Experience!$I$11,BE654)),ISNUMBER(FIND(Experience!$I$11,BF654)))),1,0)</f>
        <v>1</v>
      </c>
      <c r="BC654" s="1080" t="str">
        <f t="shared" si="635"/>
        <v>Magical/Enchanted Races Lore</v>
      </c>
      <c r="BE654" s="1080" t="str">
        <f t="shared" si="626"/>
        <v>Lore</v>
      </c>
      <c r="BF654" s="1080" t="str">
        <f t="shared" si="636"/>
        <v>Materia Magica Skills</v>
      </c>
    </row>
    <row r="655" spans="1:58" ht="11.1" hidden="1" customHeight="1" outlineLevel="1">
      <c r="A655" s="1123" t="s">
        <v>3538</v>
      </c>
      <c r="B655" s="1094" t="s">
        <v>1942</v>
      </c>
      <c r="C655" s="1094"/>
      <c r="D655" s="1094"/>
      <c r="E655" s="1095" t="s">
        <v>5224</v>
      </c>
      <c r="F655" s="1095" t="s">
        <v>5224</v>
      </c>
      <c r="G655" s="1096">
        <v>0</v>
      </c>
      <c r="H655" s="1096" t="s">
        <v>5224</v>
      </c>
      <c r="I655" s="1096" t="s">
        <v>5224</v>
      </c>
      <c r="J655" s="1096" t="s">
        <v>5224</v>
      </c>
      <c r="K655" s="1096" t="s">
        <v>5224</v>
      </c>
      <c r="L655" s="1096">
        <v>0</v>
      </c>
      <c r="M655" s="1096" t="s">
        <v>5224</v>
      </c>
      <c r="N655" s="1096" t="s">
        <v>4631</v>
      </c>
      <c r="O655" s="1028"/>
      <c r="P655" s="1028" t="s">
        <v>780</v>
      </c>
      <c r="Q655" s="1097">
        <f t="shared" ca="1" si="637"/>
        <v>17</v>
      </c>
      <c r="R655" s="1034"/>
      <c r="S655" s="1028" t="s">
        <v>3616</v>
      </c>
      <c r="T655" s="1097">
        <f t="shared" ca="1" si="638"/>
        <v>17</v>
      </c>
      <c r="U655" s="1027">
        <v>8</v>
      </c>
      <c r="V655" s="1027">
        <f t="shared" si="620"/>
        <v>9</v>
      </c>
      <c r="W655" s="1098" t="e">
        <f>IF(OR(I655&lt;&gt;"N",E655="C"),IF(AND(N655&lt;&gt;"T",ISNUMBER(FIND("V",I655))),1,0),NA())+IF(H655="Y",IF(AND(N655="P",ISNUMBER(FIND("Z",I655))),2,1),0)+IF(J655="Y",1,0)+IF(K655="Y",3,0)+IF(BE655="Lore",L655*2+Experience!$D$25,0)+IF(M655="Y",1,0)</f>
        <v>#N/A</v>
      </c>
      <c r="X655" s="1099"/>
      <c r="Y655" s="1100">
        <f ca="1">IF(P655="NS",IFERROR(INDIRECT(S655),NA()),VLOOKUP(INDIRECT(P655)+INDIRECT(S655),'System Lookups'!$A$3:$D$146,2))</f>
        <v>0.1</v>
      </c>
      <c r="Z655" s="1100">
        <f t="shared" si="639"/>
        <v>0</v>
      </c>
      <c r="AA655" s="1101">
        <f t="shared" ref="AA655:AA660" ca="1" si="640">IF(ISNA(Y655),0,Y655)+Z655</f>
        <v>0.1</v>
      </c>
      <c r="AB655" s="1102">
        <f>VLOOKUP(V655,'System Lookups'!$J$55:$P$64,3)</f>
        <v>0.01</v>
      </c>
      <c r="AC655" s="1103">
        <f>VLOOKUP(V655,'System Lookups'!$J$55:$P$64,4)</f>
        <v>0.02</v>
      </c>
      <c r="AD655" s="1104">
        <f t="shared" si="621"/>
        <v>0</v>
      </c>
      <c r="AE655" s="1094">
        <f>(IF(AD655&gt;VLOOKUP(V655,'System Lookups'!$J$55:$P$63,6),(((AD655-VLOOKUP(V655,'System Lookups'!$J$55:$P$63,6))*100)/20),0))+AF655</f>
        <v>0</v>
      </c>
      <c r="AF655" s="1121"/>
      <c r="AG655" s="1092">
        <f t="shared" si="622"/>
        <v>0</v>
      </c>
      <c r="AH655" s="1092" t="str">
        <f>IF(X655&lt;=Experience!$R$15+1,"","*")</f>
        <v/>
      </c>
      <c r="AI655" s="1092"/>
      <c r="AJ655" s="1080">
        <f t="shared" si="607"/>
        <v>0</v>
      </c>
      <c r="AK655" s="1080">
        <f t="shared" ref="AK655:AK660" si="641">IF(F655="s",-2,0)</f>
        <v>0</v>
      </c>
      <c r="AL655" s="1080">
        <f t="shared" si="608"/>
        <v>0</v>
      </c>
      <c r="AM655" s="1092">
        <f t="shared" ref="AM655:AM660" si="642">IF(J655="y",1,0)</f>
        <v>0</v>
      </c>
      <c r="AN655" s="1080">
        <f t="shared" ref="AN655:AN660" si="643">IF(N655="P",-1,IF(N655="T",1,0))</f>
        <v>1</v>
      </c>
      <c r="AO655" s="1080">
        <f t="shared" si="609"/>
        <v>0</v>
      </c>
      <c r="AP655" s="1080">
        <f t="shared" si="623"/>
        <v>1</v>
      </c>
      <c r="AQ655" s="1027">
        <f>VLOOKUP(V655,'System Lookups'!$J$55:$P$64,7)</f>
        <v>1500</v>
      </c>
      <c r="AR655" s="1080" t="str">
        <f ca="1">IF(AND(NOT(ISBLANK(AJ655)),ISNA(MATCH(ROW(),'System Lookups'!$C$526:$C$539,0))),"Y","N")</f>
        <v>Y</v>
      </c>
      <c r="AS655" s="1080">
        <f t="shared" si="624"/>
        <v>0</v>
      </c>
      <c r="AU655" s="1080" t="e">
        <f t="shared" si="627"/>
        <v>#N/A</v>
      </c>
      <c r="AV655" s="1080" t="str">
        <f t="shared" si="625"/>
        <v>T</v>
      </c>
      <c r="AW655" s="1080">
        <f t="shared" si="628"/>
        <v>0</v>
      </c>
      <c r="AX655" s="1080">
        <f t="shared" si="629"/>
        <v>0</v>
      </c>
      <c r="AY655" s="1080">
        <f t="shared" si="630"/>
        <v>0</v>
      </c>
      <c r="AZ655" s="1080">
        <f t="shared" si="631"/>
        <v>0</v>
      </c>
      <c r="BA655" s="1080">
        <f t="shared" si="632"/>
        <v>0</v>
      </c>
      <c r="BB655" s="1080">
        <f>IF(AND(RACE=1,'Main Creation Page'!$E$6="Well",OR(ISNUMBER(FIND(Experience!$G$11,BE655)),ISNUMBER(FIND(Experience!$G$11,BF655)),ISNUMBER(FIND(Experience!$I$11,BE655)),ISNUMBER(FIND(Experience!$I$11,BF655)))),1,0)</f>
        <v>1</v>
      </c>
      <c r="BC655" s="1080" t="str">
        <f t="shared" si="635"/>
        <v>Magical Research</v>
      </c>
      <c r="BE655" s="1080" t="str">
        <f t="shared" si="626"/>
        <v>Lore</v>
      </c>
      <c r="BF655" s="1080" t="str">
        <f t="shared" si="636"/>
        <v>Materia Magica Skills</v>
      </c>
    </row>
    <row r="656" spans="1:58" ht="11.1" hidden="1" customHeight="1" outlineLevel="2">
      <c r="A656" s="1148" t="s">
        <v>4116</v>
      </c>
      <c r="B656" s="1094" t="s">
        <v>1942</v>
      </c>
      <c r="C656" s="1094"/>
      <c r="D656" s="1094"/>
      <c r="E656" s="1095" t="s">
        <v>5224</v>
      </c>
      <c r="F656" s="1095" t="s">
        <v>5224</v>
      </c>
      <c r="G656" s="1096">
        <v>0</v>
      </c>
      <c r="H656" s="1096" t="s">
        <v>5224</v>
      </c>
      <c r="I656" s="1096" t="s">
        <v>5224</v>
      </c>
      <c r="J656" s="1096" t="s">
        <v>5224</v>
      </c>
      <c r="K656" s="1096" t="s">
        <v>5224</v>
      </c>
      <c r="L656" s="1096">
        <v>0</v>
      </c>
      <c r="M656" s="1096" t="s">
        <v>5224</v>
      </c>
      <c r="N656" s="1096" t="s">
        <v>4631</v>
      </c>
      <c r="O656" s="1028"/>
      <c r="P656" s="1028" t="s">
        <v>780</v>
      </c>
      <c r="Q656" s="1097">
        <f t="shared" ca="1" si="637"/>
        <v>17</v>
      </c>
      <c r="R656" s="1034"/>
      <c r="S656" s="1028" t="s">
        <v>3616</v>
      </c>
      <c r="T656" s="1097">
        <f t="shared" ca="1" si="638"/>
        <v>17</v>
      </c>
      <c r="U656" s="1027">
        <v>8</v>
      </c>
      <c r="V656" s="1027">
        <f t="shared" si="620"/>
        <v>9</v>
      </c>
      <c r="W656" s="1098" t="e">
        <f>IF(OR(I656&lt;&gt;"N",E656="C"),IF(AND(N656&lt;&gt;"T",ISNUMBER(FIND("V",I656))),1,0),NA())+IF(H656="Y",IF(AND(N656="P",ISNUMBER(FIND("Z",I656))),2,1),0)+IF(J656="Y",1,0)+IF(K656="Y",3,0)+IF(BE656="Lore",L656*2+Experience!$D$25,0)+IF(M656="Y",1,0)</f>
        <v>#N/A</v>
      </c>
      <c r="X656" s="1099"/>
      <c r="Y656" s="1100">
        <f ca="1">IF(P656="NS",IFERROR(INDIRECT(S656),NA()),VLOOKUP(INDIRECT(P656)+INDIRECT(S656),'System Lookups'!$A$3:$D$146,2))</f>
        <v>0.1</v>
      </c>
      <c r="Z656" s="1100">
        <f t="shared" si="639"/>
        <v>0</v>
      </c>
      <c r="AA656" s="1101">
        <f ca="1">IF(ISNA(Y656),0,Y656)+Z656</f>
        <v>0.1</v>
      </c>
      <c r="AB656" s="1102">
        <f>VLOOKUP(V656,'System Lookups'!$J$55:$P$64,3)</f>
        <v>0.01</v>
      </c>
      <c r="AC656" s="1103">
        <f>VLOOKUP(V656,'System Lookups'!$J$55:$P$64,4)</f>
        <v>0.02</v>
      </c>
      <c r="AD656" s="1104">
        <f t="shared" si="621"/>
        <v>0</v>
      </c>
      <c r="AE656" s="1094">
        <f>(IF(AD656&gt;VLOOKUP(V656,'System Lookups'!$J$55:$P$63,6),(((AD656-VLOOKUP(V656,'System Lookups'!$J$55:$P$63,6))*100)/20),0))+AF656</f>
        <v>0</v>
      </c>
      <c r="AF656" s="1121"/>
      <c r="AG656" s="1092">
        <f t="shared" si="622"/>
        <v>0</v>
      </c>
      <c r="AH656" s="1092" t="str">
        <f>IF(X656&lt;=Experience!$R$15+1,"","*")</f>
        <v/>
      </c>
      <c r="AI656" s="1092"/>
      <c r="AJ656" s="1080">
        <f t="shared" si="607"/>
        <v>0</v>
      </c>
      <c r="AK656" s="1080">
        <f>IF(F656="s",-2,0)</f>
        <v>0</v>
      </c>
      <c r="AL656" s="1080">
        <f t="shared" si="608"/>
        <v>0</v>
      </c>
      <c r="AM656" s="1092">
        <f>IF(J656="y",1,0)</f>
        <v>0</v>
      </c>
      <c r="AN656" s="1080">
        <f>IF(N656="P",-1,IF(N656="T",1,0))</f>
        <v>1</v>
      </c>
      <c r="AO656" s="1080">
        <f t="shared" si="609"/>
        <v>0</v>
      </c>
      <c r="AP656" s="1080">
        <f t="shared" si="623"/>
        <v>1</v>
      </c>
      <c r="AQ656" s="1027">
        <v>700</v>
      </c>
      <c r="AR656" s="1080" t="str">
        <f ca="1">IF(AND(NOT(ISBLANK(AJ656)),ISNA(MATCH(ROW(),'System Lookups'!$C$526:$C$539,0))),"Y","N")</f>
        <v>Y</v>
      </c>
      <c r="AS656" s="1080">
        <f t="shared" si="624"/>
        <v>0</v>
      </c>
      <c r="AU656" s="1080" t="e">
        <f t="shared" si="627"/>
        <v>#N/A</v>
      </c>
      <c r="AV656" s="1080" t="str">
        <f t="shared" si="625"/>
        <v>T</v>
      </c>
      <c r="AW656" s="1080">
        <f t="shared" si="628"/>
        <v>0</v>
      </c>
      <c r="AX656" s="1080">
        <f t="shared" si="629"/>
        <v>0</v>
      </c>
      <c r="AY656" s="1080">
        <f t="shared" si="630"/>
        <v>0</v>
      </c>
      <c r="AZ656" s="1080">
        <f t="shared" si="631"/>
        <v>0</v>
      </c>
      <c r="BA656" s="1080">
        <f t="shared" si="632"/>
        <v>0</v>
      </c>
      <c r="BB656" s="1080">
        <f>IF(AND(RACE=1,'Main Creation Page'!$E$6="Well",OR(ISNUMBER(FIND(Experience!$G$11,BE656)),ISNUMBER(FIND(Experience!$G$11,BF656)),ISNUMBER(FIND(Experience!$I$11,BE656)),ISNUMBER(FIND(Experience!$I$11,BF656)))),1,0)</f>
        <v>1</v>
      </c>
      <c r="BC656" s="1080" t="str">
        <f t="shared" si="635"/>
        <v>Magical Ethics</v>
      </c>
      <c r="BE656" s="1080" t="str">
        <f t="shared" si="626"/>
        <v>Lore</v>
      </c>
      <c r="BF656" s="1080" t="str">
        <f t="shared" si="636"/>
        <v>Materia Magica Skills</v>
      </c>
    </row>
    <row r="657" spans="1:58" ht="11.1" hidden="1" customHeight="1" outlineLevel="2">
      <c r="A657" s="1148" t="s">
        <v>4117</v>
      </c>
      <c r="B657" s="1094" t="s">
        <v>1942</v>
      </c>
      <c r="C657" s="1094"/>
      <c r="D657" s="1094"/>
      <c r="E657" s="1095" t="s">
        <v>5224</v>
      </c>
      <c r="F657" s="1095" t="s">
        <v>5224</v>
      </c>
      <c r="G657" s="1096">
        <v>0</v>
      </c>
      <c r="H657" s="1096" t="s">
        <v>5224</v>
      </c>
      <c r="I657" s="1096" t="s">
        <v>5224</v>
      </c>
      <c r="J657" s="1096" t="s">
        <v>5224</v>
      </c>
      <c r="K657" s="1096" t="s">
        <v>5224</v>
      </c>
      <c r="L657" s="1096">
        <v>0</v>
      </c>
      <c r="M657" s="1096" t="s">
        <v>5224</v>
      </c>
      <c r="N657" s="1096" t="s">
        <v>4631</v>
      </c>
      <c r="O657" s="1028"/>
      <c r="P657" s="1028" t="s">
        <v>780</v>
      </c>
      <c r="Q657" s="1097">
        <f t="shared" ca="1" si="637"/>
        <v>17</v>
      </c>
      <c r="R657" s="1034"/>
      <c r="S657" s="1028" t="s">
        <v>3616</v>
      </c>
      <c r="T657" s="1097">
        <f t="shared" ca="1" si="638"/>
        <v>17</v>
      </c>
      <c r="U657" s="1027">
        <v>8</v>
      </c>
      <c r="V657" s="1027">
        <f t="shared" si="620"/>
        <v>9</v>
      </c>
      <c r="W657" s="1098" t="e">
        <f>IF(OR(I657&lt;&gt;"N",E657="C"),IF(AND(N657&lt;&gt;"T",ISNUMBER(FIND("V",I657))),1,0),NA())+IF(H657="Y",IF(AND(N657="P",ISNUMBER(FIND("Z",I657))),2,1),0)+IF(J657="Y",1,0)+IF(K657="Y",3,0)+IF(BE657="Lore",L657*2+Experience!$D$25,0)+IF(M657="Y",1,0)</f>
        <v>#N/A</v>
      </c>
      <c r="X657" s="1099"/>
      <c r="Y657" s="1100">
        <f ca="1">IF(P657="NS",IFERROR(INDIRECT(S657),NA()),VLOOKUP(INDIRECT(P657)+INDIRECT(S657),'System Lookups'!$A$3:$D$146,2))</f>
        <v>0.1</v>
      </c>
      <c r="Z657" s="1100">
        <f t="shared" si="639"/>
        <v>0</v>
      </c>
      <c r="AA657" s="1101">
        <f t="shared" ca="1" si="640"/>
        <v>0.1</v>
      </c>
      <c r="AB657" s="1102">
        <f>VLOOKUP(V657,'System Lookups'!$J$55:$P$64,3)</f>
        <v>0.01</v>
      </c>
      <c r="AC657" s="1103">
        <f>VLOOKUP(V657,'System Lookups'!$J$55:$P$64,4)</f>
        <v>0.02</v>
      </c>
      <c r="AD657" s="1104">
        <f t="shared" si="621"/>
        <v>0</v>
      </c>
      <c r="AE657" s="1094">
        <f>(IF(AD657&gt;VLOOKUP(V657,'System Lookups'!$J$55:$P$63,6),(((AD657-VLOOKUP(V657,'System Lookups'!$J$55:$P$63,6))*100)/20),0))+AF657</f>
        <v>0</v>
      </c>
      <c r="AF657" s="1121"/>
      <c r="AG657" s="1092">
        <f t="shared" si="622"/>
        <v>0</v>
      </c>
      <c r="AH657" s="1092" t="str">
        <f>IF(X657&lt;=Experience!$R$15+1,"","*")</f>
        <v/>
      </c>
      <c r="AI657" s="1092"/>
      <c r="AJ657" s="1080">
        <f t="shared" si="607"/>
        <v>0</v>
      </c>
      <c r="AK657" s="1080">
        <f t="shared" si="641"/>
        <v>0</v>
      </c>
      <c r="AL657" s="1080">
        <f t="shared" si="608"/>
        <v>0</v>
      </c>
      <c r="AM657" s="1092">
        <f t="shared" si="642"/>
        <v>0</v>
      </c>
      <c r="AN657" s="1080">
        <f t="shared" si="643"/>
        <v>1</v>
      </c>
      <c r="AO657" s="1080">
        <f t="shared" si="609"/>
        <v>0</v>
      </c>
      <c r="AP657" s="1080">
        <f t="shared" si="623"/>
        <v>1</v>
      </c>
      <c r="AQ657" s="1027">
        <v>700</v>
      </c>
      <c r="AR657" s="1080" t="str">
        <f ca="1">IF(AND(NOT(ISBLANK(AJ657)),ISNA(MATCH(ROW(),'System Lookups'!$C$526:$C$539,0))),"Y","N")</f>
        <v>Y</v>
      </c>
      <c r="AS657" s="1080">
        <f t="shared" si="624"/>
        <v>0</v>
      </c>
      <c r="AU657" s="1080" t="e">
        <f t="shared" si="627"/>
        <v>#N/A</v>
      </c>
      <c r="AV657" s="1080" t="str">
        <f t="shared" si="625"/>
        <v>T</v>
      </c>
      <c r="AW657" s="1080">
        <f t="shared" si="628"/>
        <v>0</v>
      </c>
      <c r="AX657" s="1080">
        <f t="shared" si="629"/>
        <v>0</v>
      </c>
      <c r="AY657" s="1080">
        <f t="shared" si="630"/>
        <v>0</v>
      </c>
      <c r="AZ657" s="1080">
        <f t="shared" si="631"/>
        <v>0</v>
      </c>
      <c r="BA657" s="1080">
        <f t="shared" si="632"/>
        <v>0</v>
      </c>
      <c r="BB657" s="1080">
        <f>IF(AND(RACE=1,'Main Creation Page'!$E$6="Well",OR(ISNUMBER(FIND(Experience!$G$11,BE657)),ISNUMBER(FIND(Experience!$G$11,BF657)),ISNUMBER(FIND(Experience!$I$11,BE657)),ISNUMBER(FIND(Experience!$I$11,BF657)))),1,0)</f>
        <v>1</v>
      </c>
      <c r="BC657" s="1080" t="str">
        <f t="shared" si="635"/>
        <v xml:space="preserve">Magical Philosophy </v>
      </c>
      <c r="BE657" s="1080" t="str">
        <f t="shared" si="626"/>
        <v>Lore</v>
      </c>
      <c r="BF657" s="1080" t="str">
        <f t="shared" si="636"/>
        <v>Materia Magica Skills</v>
      </c>
    </row>
    <row r="658" spans="1:58" ht="11.1" hidden="1" customHeight="1" outlineLevel="2">
      <c r="A658" s="1148" t="s">
        <v>4118</v>
      </c>
      <c r="B658" s="1094" t="s">
        <v>1942</v>
      </c>
      <c r="C658" s="1094"/>
      <c r="D658" s="1094"/>
      <c r="E658" s="1095" t="s">
        <v>5224</v>
      </c>
      <c r="F658" s="1095" t="s">
        <v>5224</v>
      </c>
      <c r="G658" s="1096">
        <v>0</v>
      </c>
      <c r="H658" s="1096" t="s">
        <v>5224</v>
      </c>
      <c r="I658" s="1096" t="s">
        <v>5224</v>
      </c>
      <c r="J658" s="1096" t="s">
        <v>5224</v>
      </c>
      <c r="K658" s="1096" t="s">
        <v>5224</v>
      </c>
      <c r="L658" s="1096">
        <v>0</v>
      </c>
      <c r="M658" s="1096" t="s">
        <v>5224</v>
      </c>
      <c r="N658" s="1096" t="s">
        <v>4631</v>
      </c>
      <c r="O658" s="1028"/>
      <c r="P658" s="1028" t="s">
        <v>780</v>
      </c>
      <c r="Q658" s="1097">
        <f t="shared" ca="1" si="637"/>
        <v>17</v>
      </c>
      <c r="R658" s="1034"/>
      <c r="S658" s="1028" t="s">
        <v>3616</v>
      </c>
      <c r="T658" s="1097">
        <f t="shared" ca="1" si="638"/>
        <v>17</v>
      </c>
      <c r="U658" s="1027">
        <v>8</v>
      </c>
      <c r="V658" s="1027">
        <f t="shared" ref="V658:V661" si="644">IF(AP658+U658&gt;10,10,IF(AP658+U658&lt;1,1,AP658+U658))</f>
        <v>9</v>
      </c>
      <c r="W658" s="1098" t="e">
        <f>IF(OR(I658&lt;&gt;"N",E658="C"),IF(AND(N658&lt;&gt;"T",ISNUMBER(FIND("V",I658))),1,0),NA())+IF(H658="Y",IF(AND(N658="P",ISNUMBER(FIND("Z",I658))),2,1),0)+IF(J658="Y",1,0)+IF(K658="Y",3,0)+IF(BE658="Lore",L658*2+Experience!$D$25,0)+IF(M658="Y",1,0)</f>
        <v>#N/A</v>
      </c>
      <c r="X658" s="1099"/>
      <c r="Y658" s="1100">
        <f ca="1">IF(P658="NS",IFERROR(INDIRECT(S658),NA()),VLOOKUP(INDIRECT(P658)+INDIRECT(S658),'System Lookups'!$A$3:$D$146,2))</f>
        <v>0.1</v>
      </c>
      <c r="Z658" s="1100">
        <f t="shared" si="639"/>
        <v>0</v>
      </c>
      <c r="AA658" s="1101">
        <f t="shared" ca="1" si="640"/>
        <v>0.1</v>
      </c>
      <c r="AB658" s="1102">
        <f>VLOOKUP(V658,'System Lookups'!$J$55:$P$64,3)</f>
        <v>0.01</v>
      </c>
      <c r="AC658" s="1103">
        <f>VLOOKUP(V658,'System Lookups'!$J$55:$P$64,4)</f>
        <v>0.02</v>
      </c>
      <c r="AD658" s="1104">
        <f t="shared" ref="AD658:AD661" si="645">IF(AND(ISBLANK(X658),ISNA(W658)),IF(B658="~",0,AB658+AA658+IF(BB658&gt;0,0.05,0)),AA658+AC658+IF(BB658&gt;0,0.05,0))</f>
        <v>0</v>
      </c>
      <c r="AE658" s="1094">
        <f>(IF(AD658&gt;VLOOKUP(V658,'System Lookups'!$J$55:$P$63,6),(((AD658-VLOOKUP(V658,'System Lookups'!$J$55:$P$63,6))*100)/20),0))+AF658</f>
        <v>0</v>
      </c>
      <c r="AF658" s="1121"/>
      <c r="AG658" s="1092">
        <f t="shared" si="622"/>
        <v>0</v>
      </c>
      <c r="AH658" s="1092" t="str">
        <f>IF(X658&lt;=Experience!$R$15+1,"","*")</f>
        <v/>
      </c>
      <c r="AI658" s="1092"/>
      <c r="AJ658" s="1080">
        <f t="shared" ref="AJ658:AJ661" si="646">IF(ISNUMBER(FIND("R",F658)),-1,0)</f>
        <v>0</v>
      </c>
      <c r="AK658" s="1080">
        <f t="shared" si="641"/>
        <v>0</v>
      </c>
      <c r="AL658" s="1080">
        <f t="shared" ref="AL658:AL661" si="647">IF(AND(H658="Y",OR(N658="P",N658="S")),-1,0)</f>
        <v>0</v>
      </c>
      <c r="AM658" s="1092">
        <f t="shared" si="642"/>
        <v>0</v>
      </c>
      <c r="AN658" s="1080">
        <f t="shared" si="643"/>
        <v>1</v>
      </c>
      <c r="AO658" s="1080">
        <f t="shared" ref="AO658:AO661" si="648">IF(ISNUMBER(FIND("Z",I658)),1,0)</f>
        <v>0</v>
      </c>
      <c r="AP658" s="1080">
        <f t="shared" ref="AP658:AP661" si="649">SUM(AJ658:AN658)-AM658</f>
        <v>1</v>
      </c>
      <c r="AQ658" s="1027">
        <v>700</v>
      </c>
      <c r="AR658" s="1080" t="str">
        <f ca="1">IF(AND(NOT(ISBLANK(AJ658)),ISNA(MATCH(ROW(),'System Lookups'!$C$526:$C$539,0))),"Y","N")</f>
        <v>Y</v>
      </c>
      <c r="AS658" s="1080">
        <f t="shared" si="624"/>
        <v>0</v>
      </c>
      <c r="AU658" s="1080" t="e">
        <f t="shared" si="627"/>
        <v>#N/A</v>
      </c>
      <c r="AV658" s="1080" t="str">
        <f t="shared" si="625"/>
        <v>T</v>
      </c>
      <c r="AW658" s="1080">
        <f t="shared" si="628"/>
        <v>0</v>
      </c>
      <c r="AX658" s="1080">
        <f t="shared" si="629"/>
        <v>0</v>
      </c>
      <c r="AY658" s="1080">
        <f t="shared" si="630"/>
        <v>0</v>
      </c>
      <c r="AZ658" s="1080">
        <f t="shared" si="631"/>
        <v>0</v>
      </c>
      <c r="BA658" s="1080">
        <f t="shared" si="632"/>
        <v>0</v>
      </c>
      <c r="BB658" s="1080">
        <f>IF(AND(RACE=1,'Main Creation Page'!$E$6="Well",OR(ISNUMBER(FIND(Experience!$G$11,BE658)),ISNUMBER(FIND(Experience!$G$11,BF658)),ISNUMBER(FIND(Experience!$I$11,BE658)),ISNUMBER(FIND(Experience!$I$11,BF658)))),1,0)</f>
        <v>1</v>
      </c>
      <c r="BC658" s="1080" t="str">
        <f t="shared" si="635"/>
        <v>Magical Theory</v>
      </c>
      <c r="BE658" s="1080" t="str">
        <f t="shared" si="626"/>
        <v>Lore</v>
      </c>
      <c r="BF658" s="1080" t="str">
        <f t="shared" si="636"/>
        <v>Materia Magica Skills</v>
      </c>
    </row>
    <row r="659" spans="1:58" ht="11.1" hidden="1" customHeight="1" outlineLevel="2">
      <c r="A659" s="1148" t="s">
        <v>4119</v>
      </c>
      <c r="B659" s="1094" t="s">
        <v>1942</v>
      </c>
      <c r="C659" s="1094"/>
      <c r="D659" s="1094"/>
      <c r="E659" s="1095" t="s">
        <v>5224</v>
      </c>
      <c r="F659" s="1095" t="s">
        <v>5224</v>
      </c>
      <c r="G659" s="1096">
        <v>0</v>
      </c>
      <c r="H659" s="1096" t="s">
        <v>5224</v>
      </c>
      <c r="I659" s="1096" t="s">
        <v>5224</v>
      </c>
      <c r="J659" s="1096" t="s">
        <v>5224</v>
      </c>
      <c r="K659" s="1096" t="s">
        <v>5224</v>
      </c>
      <c r="L659" s="1096">
        <v>0</v>
      </c>
      <c r="M659" s="1096" t="s">
        <v>5224</v>
      </c>
      <c r="N659" s="1096" t="s">
        <v>4631</v>
      </c>
      <c r="O659" s="1028"/>
      <c r="P659" s="1028" t="s">
        <v>780</v>
      </c>
      <c r="Q659" s="1097">
        <f t="shared" ca="1" si="637"/>
        <v>17</v>
      </c>
      <c r="R659" s="1034"/>
      <c r="S659" s="1028" t="s">
        <v>3616</v>
      </c>
      <c r="T659" s="1097">
        <f t="shared" ca="1" si="638"/>
        <v>17</v>
      </c>
      <c r="U659" s="1027">
        <v>8</v>
      </c>
      <c r="V659" s="1027">
        <f t="shared" si="644"/>
        <v>9</v>
      </c>
      <c r="W659" s="1098" t="e">
        <f>IF(OR(I659&lt;&gt;"N",E659="C"),IF(AND(N659&lt;&gt;"T",ISNUMBER(FIND("V",I659))),1,0),NA())+IF(H659="Y",IF(AND(N659="P",ISNUMBER(FIND("Z",I659))),2,1),0)+IF(J659="Y",1,0)+IF(K659="Y",3,0)+IF(BE659="Lore",L659*2+Experience!$D$25,0)+IF(M659="Y",1,0)</f>
        <v>#N/A</v>
      </c>
      <c r="X659" s="1099"/>
      <c r="Y659" s="1100">
        <f ca="1">IF(P659="NS",IFERROR(INDIRECT(S659),NA()),VLOOKUP(INDIRECT(P659)+INDIRECT(S659),'System Lookups'!$A$3:$D$146,2))</f>
        <v>0.1</v>
      </c>
      <c r="Z659" s="1100">
        <f t="shared" si="639"/>
        <v>0</v>
      </c>
      <c r="AA659" s="1101">
        <f t="shared" ca="1" si="640"/>
        <v>0.1</v>
      </c>
      <c r="AB659" s="1102">
        <f>VLOOKUP(V659,'System Lookups'!$J$55:$P$64,3)</f>
        <v>0.01</v>
      </c>
      <c r="AC659" s="1103">
        <f>VLOOKUP(V659,'System Lookups'!$J$55:$P$64,4)</f>
        <v>0.02</v>
      </c>
      <c r="AD659" s="1104">
        <f t="shared" si="645"/>
        <v>0</v>
      </c>
      <c r="AE659" s="1094">
        <f>(IF(AD659&gt;VLOOKUP(V659,'System Lookups'!$J$55:$P$63,6),(((AD659-VLOOKUP(V659,'System Lookups'!$J$55:$P$63,6))*100)/20),0))+AF659</f>
        <v>0</v>
      </c>
      <c r="AF659" s="1121"/>
      <c r="AG659" s="1092">
        <f t="shared" si="622"/>
        <v>0</v>
      </c>
      <c r="AH659" s="1092" t="str">
        <f>IF(X659&lt;=Experience!$R$15+1,"","*")</f>
        <v/>
      </c>
      <c r="AI659" s="1092"/>
      <c r="AJ659" s="1080">
        <f t="shared" si="646"/>
        <v>0</v>
      </c>
      <c r="AK659" s="1080">
        <f t="shared" si="641"/>
        <v>0</v>
      </c>
      <c r="AL659" s="1080">
        <f t="shared" si="647"/>
        <v>0</v>
      </c>
      <c r="AM659" s="1092">
        <f t="shared" si="642"/>
        <v>0</v>
      </c>
      <c r="AN659" s="1080">
        <f t="shared" si="643"/>
        <v>1</v>
      </c>
      <c r="AO659" s="1080">
        <f t="shared" si="648"/>
        <v>0</v>
      </c>
      <c r="AP659" s="1080">
        <f t="shared" si="649"/>
        <v>1</v>
      </c>
      <c r="AQ659" s="1027">
        <v>700</v>
      </c>
      <c r="AR659" s="1080" t="str">
        <f ca="1">IF(AND(NOT(ISBLANK(AJ659)),ISNA(MATCH(ROW(),'System Lookups'!$C$526:$C$539,0))),"Y","N")</f>
        <v>Y</v>
      </c>
      <c r="AS659" s="1080">
        <f t="shared" si="624"/>
        <v>0</v>
      </c>
      <c r="AU659" s="1080" t="e">
        <f t="shared" si="627"/>
        <v>#N/A</v>
      </c>
      <c r="AV659" s="1080" t="str">
        <f t="shared" si="625"/>
        <v>T</v>
      </c>
      <c r="AW659" s="1080">
        <f t="shared" si="628"/>
        <v>0</v>
      </c>
      <c r="AX659" s="1080">
        <f t="shared" si="629"/>
        <v>0</v>
      </c>
      <c r="AY659" s="1080">
        <f t="shared" si="630"/>
        <v>0</v>
      </c>
      <c r="AZ659" s="1080">
        <f t="shared" si="631"/>
        <v>0</v>
      </c>
      <c r="BA659" s="1080">
        <f t="shared" si="632"/>
        <v>0</v>
      </c>
      <c r="BB659" s="1080">
        <f>IF(AND(RACE=1,'Main Creation Page'!$E$6="Well",OR(ISNUMBER(FIND(Experience!$G$11,BE659)),ISNUMBER(FIND(Experience!$G$11,BF659)),ISNUMBER(FIND(Experience!$I$11,BE659)),ISNUMBER(FIND(Experience!$I$11,BF659)))),1,0)</f>
        <v>1</v>
      </c>
      <c r="BC659" s="1080" t="str">
        <f t="shared" si="635"/>
        <v>History of Magick</v>
      </c>
      <c r="BE659" s="1080" t="str">
        <f t="shared" si="626"/>
        <v>Lore</v>
      </c>
      <c r="BF659" s="1080" t="str">
        <f t="shared" si="636"/>
        <v>Materia Magica Skills</v>
      </c>
    </row>
    <row r="660" spans="1:58" ht="11.1" hidden="1" customHeight="1" outlineLevel="2">
      <c r="A660" s="1093" t="s">
        <v>1944</v>
      </c>
      <c r="B660" s="1094" t="s">
        <v>1942</v>
      </c>
      <c r="C660" s="1094"/>
      <c r="D660" s="1094"/>
      <c r="E660" s="1095" t="s">
        <v>5224</v>
      </c>
      <c r="F660" s="1095" t="s">
        <v>5224</v>
      </c>
      <c r="G660" s="1096">
        <v>0</v>
      </c>
      <c r="H660" s="1096" t="s">
        <v>5224</v>
      </c>
      <c r="I660" s="1096" t="s">
        <v>5224</v>
      </c>
      <c r="J660" s="1096" t="s">
        <v>5224</v>
      </c>
      <c r="K660" s="1096" t="s">
        <v>5224</v>
      </c>
      <c r="L660" s="1096">
        <v>0</v>
      </c>
      <c r="M660" s="1096" t="s">
        <v>5224</v>
      </c>
      <c r="N660" s="1096" t="s">
        <v>4631</v>
      </c>
      <c r="O660" s="1028"/>
      <c r="P660" s="1028" t="s">
        <v>780</v>
      </c>
      <c r="Q660" s="1097">
        <f t="shared" ca="1" si="637"/>
        <v>17</v>
      </c>
      <c r="R660" s="1034"/>
      <c r="S660" s="1028" t="s">
        <v>3616</v>
      </c>
      <c r="T660" s="1097">
        <f t="shared" ca="1" si="638"/>
        <v>17</v>
      </c>
      <c r="U660" s="1027">
        <v>8</v>
      </c>
      <c r="V660" s="1027">
        <f t="shared" si="644"/>
        <v>9</v>
      </c>
      <c r="W660" s="1098" t="e">
        <f>IF(OR(I660&lt;&gt;"N",E660="C"),IF(AND(N660&lt;&gt;"T",ISNUMBER(FIND("V",I660))),1,0),NA())+IF(H660="Y",IF(AND(N660="P",ISNUMBER(FIND("Z",I660))),2,1),0)+IF(J660="Y",1,0)+IF(K660="Y",3,0)+IF(BE660="Lore",L660*2+Experience!$D$25,0)+IF(M660="Y",1,0)</f>
        <v>#N/A</v>
      </c>
      <c r="X660" s="1099"/>
      <c r="Y660" s="1100">
        <f ca="1">IF(P660="NS",IFERROR(INDIRECT(S660),NA()),VLOOKUP(INDIRECT(P660)+INDIRECT(S660),'System Lookups'!$A$3:$D$146,2))</f>
        <v>0.1</v>
      </c>
      <c r="Z660" s="1100">
        <f t="shared" si="639"/>
        <v>0</v>
      </c>
      <c r="AA660" s="1101">
        <f t="shared" ca="1" si="640"/>
        <v>0.1</v>
      </c>
      <c r="AB660" s="1102">
        <f>VLOOKUP(V660,'System Lookups'!$J$55:$P$64,3)</f>
        <v>0.01</v>
      </c>
      <c r="AC660" s="1103">
        <f>VLOOKUP(V660,'System Lookups'!$J$55:$P$64,4)</f>
        <v>0.02</v>
      </c>
      <c r="AD660" s="1104">
        <f t="shared" si="645"/>
        <v>0</v>
      </c>
      <c r="AE660" s="1094">
        <f>(IF(AD660&gt;VLOOKUP(V660,'System Lookups'!$J$55:$P$63,6),(((AD660-VLOOKUP(V660,'System Lookups'!$J$55:$P$63,6))*100)/20),0))+AF660</f>
        <v>0</v>
      </c>
      <c r="AF660" s="1121"/>
      <c r="AG660" s="1092">
        <f t="shared" si="622"/>
        <v>0</v>
      </c>
      <c r="AH660" s="1092" t="str">
        <f>IF(X660&lt;=Experience!$R$15+1,"","*")</f>
        <v/>
      </c>
      <c r="AI660" s="1092"/>
      <c r="AJ660" s="1080">
        <f t="shared" si="646"/>
        <v>0</v>
      </c>
      <c r="AK660" s="1080">
        <f t="shared" si="641"/>
        <v>0</v>
      </c>
      <c r="AL660" s="1080">
        <f t="shared" si="647"/>
        <v>0</v>
      </c>
      <c r="AM660" s="1092">
        <f t="shared" si="642"/>
        <v>0</v>
      </c>
      <c r="AN660" s="1080">
        <f t="shared" si="643"/>
        <v>1</v>
      </c>
      <c r="AO660" s="1080">
        <f t="shared" si="648"/>
        <v>0</v>
      </c>
      <c r="AP660" s="1080">
        <f t="shared" si="649"/>
        <v>1</v>
      </c>
      <c r="AQ660" s="1027">
        <v>700</v>
      </c>
      <c r="AR660" s="1080" t="str">
        <f ca="1">IF(AND(NOT(ISBLANK(AJ660)),ISNA(MATCH(ROW(),'System Lookups'!$C$526:$C$539,0))),"Y","N")</f>
        <v>Y</v>
      </c>
      <c r="AS660" s="1080">
        <f t="shared" si="624"/>
        <v>0</v>
      </c>
      <c r="AU660" s="1080" t="e">
        <f t="shared" si="627"/>
        <v>#N/A</v>
      </c>
      <c r="AV660" s="1080" t="str">
        <f t="shared" si="625"/>
        <v>T</v>
      </c>
      <c r="AW660" s="1080">
        <f t="shared" si="628"/>
        <v>0</v>
      </c>
      <c r="AX660" s="1080">
        <f t="shared" si="629"/>
        <v>0</v>
      </c>
      <c r="AY660" s="1080">
        <f t="shared" si="630"/>
        <v>0</v>
      </c>
      <c r="AZ660" s="1080">
        <f t="shared" si="631"/>
        <v>0</v>
      </c>
      <c r="BA660" s="1080">
        <f t="shared" si="632"/>
        <v>0</v>
      </c>
      <c r="BB660" s="1080">
        <f>IF(AND(RACE=1,'Main Creation Page'!$E$6="Well",OR(ISNUMBER(FIND(Experience!$G$11,BE660)),ISNUMBER(FIND(Experience!$G$11,BF660)),ISNUMBER(FIND(Experience!$I$11,BE660)),ISNUMBER(FIND(Experience!$I$11,BF660)))),1,0)</f>
        <v>1</v>
      </c>
      <c r="BC660" s="1080" t="str">
        <f t="shared" si="635"/>
        <v xml:space="preserve">Relationship Between Magick &amp; the World </v>
      </c>
      <c r="BE660" s="1080" t="str">
        <f t="shared" si="626"/>
        <v>Lore</v>
      </c>
      <c r="BF660" s="1080" t="str">
        <f t="shared" si="636"/>
        <v>Materia Magica Skills</v>
      </c>
    </row>
    <row r="661" spans="1:58" ht="11.1" hidden="1" customHeight="1" outlineLevel="2">
      <c r="A661" s="1148" t="s">
        <v>4120</v>
      </c>
      <c r="B661" s="1094" t="s">
        <v>1942</v>
      </c>
      <c r="C661" s="1094"/>
      <c r="D661" s="1094"/>
      <c r="E661" s="1095" t="s">
        <v>5224</v>
      </c>
      <c r="F661" s="1095" t="s">
        <v>5224</v>
      </c>
      <c r="G661" s="1096">
        <v>0</v>
      </c>
      <c r="H661" s="1096" t="s">
        <v>5224</v>
      </c>
      <c r="I661" s="1096" t="s">
        <v>5224</v>
      </c>
      <c r="J661" s="1096" t="s">
        <v>5224</v>
      </c>
      <c r="K661" s="1096" t="s">
        <v>5224</v>
      </c>
      <c r="L661" s="1096">
        <v>0</v>
      </c>
      <c r="M661" s="1096" t="s">
        <v>5224</v>
      </c>
      <c r="N661" s="1096" t="s">
        <v>4631</v>
      </c>
      <c r="O661" s="1028"/>
      <c r="P661" s="1028" t="s">
        <v>780</v>
      </c>
      <c r="Q661" s="1097">
        <f t="shared" ca="1" si="637"/>
        <v>17</v>
      </c>
      <c r="R661" s="1034"/>
      <c r="S661" s="1028" t="s">
        <v>3616</v>
      </c>
      <c r="T661" s="1097">
        <f t="shared" ca="1" si="638"/>
        <v>17</v>
      </c>
      <c r="U661" s="1027">
        <v>8</v>
      </c>
      <c r="V661" s="1027">
        <f t="shared" si="644"/>
        <v>9</v>
      </c>
      <c r="W661" s="1098" t="e">
        <f>IF(OR(I661&lt;&gt;"N",E661="C"),IF(AND(N661&lt;&gt;"T",ISNUMBER(FIND("V",I661))),1,0),NA())+IF(H661="Y",IF(AND(N661="P",ISNUMBER(FIND("Z",I661))),2,1),0)+IF(J661="Y",1,0)+IF(K661="Y",3,0)+IF(BE661="Lore",L661*2+Experience!$D$25,0)+IF(M661="Y",1,0)</f>
        <v>#N/A</v>
      </c>
      <c r="X661" s="1099"/>
      <c r="Y661" s="1100">
        <f ca="1">IF(P661="NS",IFERROR(INDIRECT(S661),NA()),VLOOKUP(INDIRECT(P661)+INDIRECT(S661),'System Lookups'!$A$3:$D$146,2))</f>
        <v>0.1</v>
      </c>
      <c r="Z661" s="1100">
        <f t="shared" si="639"/>
        <v>0</v>
      </c>
      <c r="AA661" s="1101">
        <f ca="1">IF(ISNA(Y661),0,Y661)+Z661</f>
        <v>0.1</v>
      </c>
      <c r="AB661" s="1102">
        <f>VLOOKUP(V661,'System Lookups'!$J$55:$P$64,3)</f>
        <v>0.01</v>
      </c>
      <c r="AC661" s="1103">
        <f>VLOOKUP(V661,'System Lookups'!$J$55:$P$64,4)</f>
        <v>0.02</v>
      </c>
      <c r="AD661" s="1104">
        <f t="shared" si="645"/>
        <v>0</v>
      </c>
      <c r="AE661" s="1094">
        <f>(IF(AD661&gt;VLOOKUP(V661,'System Lookups'!$J$55:$P$63,6),(((AD661-VLOOKUP(V661,'System Lookups'!$J$55:$P$63,6))*100)/20),0))+AF661</f>
        <v>0</v>
      </c>
      <c r="AF661" s="1121"/>
      <c r="AG661" s="1092">
        <f t="shared" si="622"/>
        <v>0</v>
      </c>
      <c r="AH661" s="1092" t="str">
        <f>IF(X661&lt;=Experience!$R$15+1,"","*")</f>
        <v/>
      </c>
      <c r="AI661" s="1092"/>
      <c r="AJ661" s="1080">
        <f t="shared" si="646"/>
        <v>0</v>
      </c>
      <c r="AK661" s="1080">
        <f>IF(F661="s",-2,0)</f>
        <v>0</v>
      </c>
      <c r="AL661" s="1080">
        <f t="shared" si="647"/>
        <v>0</v>
      </c>
      <c r="AM661" s="1092">
        <f>IF(J661="y",1,0)</f>
        <v>0</v>
      </c>
      <c r="AN661" s="1080">
        <f>IF(N661="P",-1,IF(N661="T",1,0))</f>
        <v>1</v>
      </c>
      <c r="AO661" s="1080">
        <f t="shared" si="648"/>
        <v>0</v>
      </c>
      <c r="AP661" s="1080">
        <f t="shared" si="649"/>
        <v>1</v>
      </c>
      <c r="AQ661" s="1027">
        <v>700</v>
      </c>
      <c r="AR661" s="1080" t="str">
        <f ca="1">IF(AND(NOT(ISBLANK(AJ661)),ISNA(MATCH(ROW(),'System Lookups'!$C$526:$C$539,0))),"Y","N")</f>
        <v>Y</v>
      </c>
      <c r="AS661" s="1080">
        <f t="shared" si="624"/>
        <v>0</v>
      </c>
      <c r="AU661" s="1080" t="e">
        <f t="shared" si="627"/>
        <v>#N/A</v>
      </c>
      <c r="AV661" s="1080" t="str">
        <f t="shared" si="625"/>
        <v>T</v>
      </c>
      <c r="AW661" s="1080">
        <f t="shared" si="628"/>
        <v>0</v>
      </c>
      <c r="AX661" s="1080">
        <f t="shared" si="629"/>
        <v>0</v>
      </c>
      <c r="AY661" s="1080">
        <f t="shared" si="630"/>
        <v>0</v>
      </c>
      <c r="AZ661" s="1080">
        <f t="shared" si="631"/>
        <v>0</v>
      </c>
      <c r="BA661" s="1080">
        <f t="shared" si="632"/>
        <v>0</v>
      </c>
      <c r="BB661" s="1080">
        <f>IF(AND(RACE=1,'Main Creation Page'!$E$6="Well",OR(ISNUMBER(FIND(Experience!$G$11,BE661)),ISNUMBER(FIND(Experience!$G$11,BF661)),ISNUMBER(FIND(Experience!$I$11,BE661)),ISNUMBER(FIND(Experience!$I$11,BF661)))),1,0)</f>
        <v>1</v>
      </c>
      <c r="BC661" s="1080" t="str">
        <f t="shared" si="635"/>
        <v xml:space="preserve">Advanced Magick </v>
      </c>
      <c r="BE661" s="1080" t="str">
        <f t="shared" si="626"/>
        <v>Lore</v>
      </c>
      <c r="BF661" s="1080" t="str">
        <f t="shared" si="636"/>
        <v>Materia Magica Skills</v>
      </c>
    </row>
    <row r="662" spans="1:58" ht="11.1" hidden="1" customHeight="1" outlineLevel="3">
      <c r="A662" s="1028" t="s">
        <v>1918</v>
      </c>
      <c r="B662" s="2641" t="str">
        <f>IF(SUM(AD656:AD660)=0,"N",IF(COUNTIF(AD656:AD660,"&gt;.02")&lt;5,"N","Y"))</f>
        <v>N</v>
      </c>
      <c r="C662" s="2647"/>
      <c r="AE662" s="1034"/>
      <c r="AF662" s="1132"/>
      <c r="AI662" s="1034"/>
      <c r="AR662" s="1080" t="str">
        <f ca="1">IF(AND(NOT(ISBLANK(AJ662)),ISNA(MATCH(ROW(),'System Lookups'!$C$526:$C$539,0))),"Y","N")</f>
        <v>N</v>
      </c>
      <c r="AU662" s="1080" t="e">
        <f t="shared" si="627"/>
        <v>#N/A</v>
      </c>
      <c r="AV662" s="1080" t="str">
        <f t="shared" si="625"/>
        <v/>
      </c>
      <c r="AW662" s="1080">
        <f t="shared" si="628"/>
        <v>0</v>
      </c>
      <c r="AX662" s="1080">
        <f t="shared" si="629"/>
        <v>0</v>
      </c>
      <c r="AY662" s="1080">
        <f t="shared" si="630"/>
        <v>0</v>
      </c>
      <c r="AZ662" s="1080">
        <f t="shared" si="631"/>
        <v>0</v>
      </c>
      <c r="BA662" s="1080">
        <f t="shared" si="632"/>
        <v>0</v>
      </c>
      <c r="BB662" s="1080">
        <f>IF(AND(RACE=1,'Main Creation Page'!$E$6="Well",OR(ISNUMBER(FIND(Experience!$G$11,BE662)),ISNUMBER(FIND(Experience!$G$11,BF662)),ISNUMBER(FIND(Experience!$I$11,BE662)),ISNUMBER(FIND(Experience!$I$11,BF662)))),1,0)</f>
        <v>1</v>
      </c>
      <c r="BC662" s="1080" t="e">
        <f t="shared" si="635"/>
        <v>#N/A</v>
      </c>
      <c r="BE662" s="1080" t="str">
        <f t="shared" si="626"/>
        <v>Lore</v>
      </c>
      <c r="BF662" s="1080" t="str">
        <f t="shared" si="636"/>
        <v>Materia Magica Skills</v>
      </c>
    </row>
    <row r="663" spans="1:58" ht="11.1" hidden="1" customHeight="1" outlineLevel="3">
      <c r="A663" s="1028" t="s">
        <v>1917</v>
      </c>
      <c r="B663" s="2641" t="str">
        <f ca="1">IF(AA655&lt;0.6,"N",IF(AD661=0,"N",IF(B662="N","N","Y")))</f>
        <v>N</v>
      </c>
      <c r="C663" s="2647"/>
      <c r="AE663" s="1034"/>
      <c r="AF663" s="1132"/>
      <c r="AI663" s="1034"/>
      <c r="AR663" s="1080" t="str">
        <f ca="1">IF(AND(NOT(ISBLANK(AJ663)),ISNA(MATCH(ROW(),'System Lookups'!$C$526:$C$539,0))),"Y","N")</f>
        <v>N</v>
      </c>
      <c r="AU663" s="1080" t="e">
        <f t="shared" si="627"/>
        <v>#N/A</v>
      </c>
      <c r="AV663" s="1080" t="str">
        <f t="shared" si="625"/>
        <v/>
      </c>
      <c r="AW663" s="1080">
        <f t="shared" si="628"/>
        <v>0</v>
      </c>
      <c r="AX663" s="1080">
        <f t="shared" si="629"/>
        <v>0</v>
      </c>
      <c r="AY663" s="1080">
        <f t="shared" si="630"/>
        <v>0</v>
      </c>
      <c r="AZ663" s="1080">
        <f t="shared" si="631"/>
        <v>0</v>
      </c>
      <c r="BA663" s="1080">
        <f t="shared" si="632"/>
        <v>0</v>
      </c>
      <c r="BB663" s="1080">
        <f>IF(AND(RACE=1,'Main Creation Page'!$E$6="Well",OR(ISNUMBER(FIND(Experience!$G$11,BE663)),ISNUMBER(FIND(Experience!$G$11,BF663)),ISNUMBER(FIND(Experience!$I$11,BE663)),ISNUMBER(FIND(Experience!$I$11,BF663)))),1,0)</f>
        <v>1</v>
      </c>
      <c r="BC663" s="1080" t="e">
        <f t="shared" si="635"/>
        <v>#N/A</v>
      </c>
      <c r="BE663" s="1080" t="str">
        <f t="shared" si="626"/>
        <v>Lore</v>
      </c>
      <c r="BF663" s="1080" t="str">
        <f t="shared" si="636"/>
        <v>Materia Magica Skills</v>
      </c>
    </row>
    <row r="664" spans="1:58" ht="11.1" hidden="1" customHeight="1" outlineLevel="2">
      <c r="A664" s="1028"/>
      <c r="AE664" s="1034"/>
      <c r="AF664" s="1132"/>
      <c r="AI664" s="1034"/>
      <c r="AR664" s="1080" t="str">
        <f ca="1">IF(AND(NOT(ISBLANK(AJ664)),ISNA(MATCH(ROW(),'System Lookups'!$C$526:$C$539,0))),"Y","N")</f>
        <v>N</v>
      </c>
      <c r="AU664" s="1080" t="e">
        <f t="shared" si="627"/>
        <v>#N/A</v>
      </c>
      <c r="AV664" s="1080" t="str">
        <f t="shared" si="625"/>
        <v/>
      </c>
      <c r="AW664" s="1080">
        <f t="shared" si="628"/>
        <v>0</v>
      </c>
      <c r="AX664" s="1080">
        <f t="shared" si="629"/>
        <v>0</v>
      </c>
      <c r="AY664" s="1080">
        <f t="shared" si="630"/>
        <v>0</v>
      </c>
      <c r="AZ664" s="1080">
        <f t="shared" si="631"/>
        <v>0</v>
      </c>
      <c r="BA664" s="1080">
        <f t="shared" si="632"/>
        <v>0</v>
      </c>
      <c r="BB664" s="1080">
        <f>IF(AND(RACE=1,'Main Creation Page'!$E$6="Well",OR(ISNUMBER(FIND(Experience!$G$11,BE664)),ISNUMBER(FIND(Experience!$G$11,BF664)),ISNUMBER(FIND(Experience!$I$11,BE664)),ISNUMBER(FIND(Experience!$I$11,BF664)))),1,0)</f>
        <v>1</v>
      </c>
      <c r="BC664" s="1080" t="e">
        <f t="shared" si="635"/>
        <v>#N/A</v>
      </c>
      <c r="BE664" s="1080" t="str">
        <f t="shared" si="626"/>
        <v>Lore</v>
      </c>
      <c r="BF664" s="1080" t="str">
        <f t="shared" si="636"/>
        <v>Materia Magica Skills</v>
      </c>
    </row>
    <row r="665" spans="1:58" ht="11.1" hidden="1" customHeight="1" outlineLevel="1">
      <c r="A665" s="1117" t="s">
        <v>1637</v>
      </c>
      <c r="B665" s="1094" t="s">
        <v>1942</v>
      </c>
      <c r="C665" s="1094"/>
      <c r="D665" s="1094"/>
      <c r="E665" s="1095" t="s">
        <v>5224</v>
      </c>
      <c r="F665" s="1095" t="s">
        <v>5224</v>
      </c>
      <c r="G665" s="1096">
        <v>0</v>
      </c>
      <c r="H665" s="1096" t="s">
        <v>5224</v>
      </c>
      <c r="I665" s="1096" t="s">
        <v>5224</v>
      </c>
      <c r="J665" s="1096" t="s">
        <v>5224</v>
      </c>
      <c r="K665" s="1096" t="s">
        <v>5224</v>
      </c>
      <c r="L665" s="1096">
        <v>0</v>
      </c>
      <c r="M665" s="1096" t="s">
        <v>5224</v>
      </c>
      <c r="N665" s="1096" t="s">
        <v>4631</v>
      </c>
      <c r="O665" s="1028"/>
      <c r="P665" s="1028" t="s">
        <v>3613</v>
      </c>
      <c r="Q665" s="1097">
        <f t="shared" ref="Q665:Q667" ca="1" si="650">INDIRECT(P665)</f>
        <v>15</v>
      </c>
      <c r="R665" s="1028"/>
      <c r="S665" s="1028" t="s">
        <v>3613</v>
      </c>
      <c r="T665" s="1097">
        <f t="shared" ref="T665:T667" ca="1" si="651">INDIRECT(S665)</f>
        <v>15</v>
      </c>
      <c r="U665" s="1027">
        <v>4</v>
      </c>
      <c r="V665" s="1027">
        <f>IF(AP665+U665&gt;10,10,IF(AP665+U665&lt;1,1,AP665+U665))</f>
        <v>5</v>
      </c>
      <c r="W665" s="1098" t="e">
        <f>IF(OR(I665&lt;&gt;"N",E665="C"),IF(AND(N665&lt;&gt;"T",ISNUMBER(FIND("V",I665))),1,0),NA())+IF(H665="Y",IF(AND(N665="P",ISNUMBER(FIND("Z",I665))),2,1),0)+IF(J665="Y",1,0)+IF(K665="Y",3,0)+IF(BE665="Lore",L665*2+Experience!$D$25,0)+IF(M665="Y",1,0)</f>
        <v>#N/A</v>
      </c>
      <c r="X665" s="1099"/>
      <c r="Y665" s="1100">
        <f ca="1">IF(P665="NS",IFERROR(INDIRECT(S665),NA()),VLOOKUP(INDIRECT(P665)+INDIRECT(S665),'System Lookups'!$A$3:$D$146,2))</f>
        <v>0.06</v>
      </c>
      <c r="Z665" s="1100">
        <f>IF(ISNA(W665),0,W665*0.03)+IF(X665&gt;0,X665*0.03,0)+IF(AND(ISNA(W665),X665&lt;=0),0,IF(G665&gt;0,G665*0.07,0))</f>
        <v>0</v>
      </c>
      <c r="AA665" s="1101">
        <f ca="1">IF(ISNA(Y665),0,Y665)+Z665</f>
        <v>0.06</v>
      </c>
      <c r="AB665" s="1102">
        <f>VLOOKUP(V665,'System Lookups'!$J$55:$P$64,3)</f>
        <v>0.1</v>
      </c>
      <c r="AC665" s="1103">
        <f>VLOOKUP(V665,'System Lookups'!$J$55:$P$64,4)</f>
        <v>0.2</v>
      </c>
      <c r="AD665" s="1104">
        <f>IF(AND(ISBLANK(X665),ISNA(W665)),IF(B665="~",0,AB665+AA665+IF(BB665&gt;0,0.05,0)),AA665+AC665+IF(BB665&gt;0,0.05,0))</f>
        <v>0</v>
      </c>
      <c r="AE665" s="1094">
        <f>(IF(AD665&gt;VLOOKUP(V665,'System Lookups'!$J$55:$P$63,6),(((AD665-VLOOKUP(V665,'System Lookups'!$J$55:$P$63,6))*100)/20),0))+AF665</f>
        <v>0</v>
      </c>
      <c r="AF665" s="1121"/>
      <c r="AG665" s="1092">
        <f>IF(ISBLANK(X665),0,AQ665*X665+IF(ISNA(W665),1,0))</f>
        <v>0</v>
      </c>
      <c r="AH665" s="1092" t="str">
        <f>IF(X665&lt;=Experience!$R$15+1,"","*")</f>
        <v/>
      </c>
      <c r="AI665" s="1092"/>
      <c r="AJ665" s="1080">
        <f t="shared" ref="AJ665:AJ667" si="652">IF(ISNUMBER(FIND("R",F665)),-1,0)</f>
        <v>0</v>
      </c>
      <c r="AK665" s="1080">
        <f>IF(F665="s",-2,0)</f>
        <v>0</v>
      </c>
      <c r="AL665" s="1080">
        <f t="shared" ref="AL665:AL667" si="653">IF(AND(H665="Y",OR(N665="P",N665="S")),-1,0)</f>
        <v>0</v>
      </c>
      <c r="AM665" s="1092">
        <f>IF(J665="y",1,0)</f>
        <v>0</v>
      </c>
      <c r="AN665" s="1080">
        <f>IF(N665="P",-1,IF(N665="T",1,0))</f>
        <v>1</v>
      </c>
      <c r="AO665" s="1080">
        <f t="shared" ref="AO665:AO667" si="654">IF(ISNUMBER(FIND("Z",I665)),1,0)</f>
        <v>0</v>
      </c>
      <c r="AP665" s="1080">
        <f>SUM(AJ665:AN665)-AM665</f>
        <v>1</v>
      </c>
      <c r="AQ665" s="1027">
        <f>VLOOKUP(V665,'System Lookups'!$J$55:$P$64,7)</f>
        <v>700</v>
      </c>
      <c r="AR665" s="1080" t="str">
        <f ca="1">IF(AND(NOT(ISBLANK(AJ665)),ISNA(MATCH(ROW(),'System Lookups'!$C$526:$C$539,0))),"Y","N")</f>
        <v>Y</v>
      </c>
      <c r="AS665" s="1080">
        <f>AG665-AI665</f>
        <v>0</v>
      </c>
      <c r="AU665" s="1080" t="e">
        <f t="shared" si="627"/>
        <v>#N/A</v>
      </c>
      <c r="AV665" s="1080" t="str">
        <f t="shared" si="625"/>
        <v>T</v>
      </c>
      <c r="AW665" s="1080">
        <f t="shared" si="628"/>
        <v>0</v>
      </c>
      <c r="AX665" s="1080">
        <f t="shared" si="629"/>
        <v>0</v>
      </c>
      <c r="AY665" s="1080">
        <f t="shared" si="630"/>
        <v>0</v>
      </c>
      <c r="AZ665" s="1080">
        <f t="shared" si="631"/>
        <v>0</v>
      </c>
      <c r="BA665" s="1080">
        <f t="shared" si="632"/>
        <v>0</v>
      </c>
      <c r="BB665" s="1080">
        <f>IF(AND(RACE=1,'Main Creation Page'!$E$6="Well",OR(ISNUMBER(FIND(Experience!$G$11,BE665)),ISNUMBER(FIND(Experience!$G$11,BF665)),ISNUMBER(FIND(Experience!$I$11,BE665)),ISNUMBER(FIND(Experience!$I$11,BF665)))),1,0)</f>
        <v>1</v>
      </c>
      <c r="BC665" s="1080" t="str">
        <f t="shared" si="635"/>
        <v>Spell Enhancement</v>
      </c>
      <c r="BE665" s="1080" t="str">
        <f t="shared" si="626"/>
        <v>Lore</v>
      </c>
      <c r="BF665" s="1080" t="str">
        <f t="shared" si="636"/>
        <v>Materia Magica Skills</v>
      </c>
    </row>
    <row r="666" spans="1:58" ht="11.1" hidden="1" customHeight="1" outlineLevel="1">
      <c r="A666" s="1117" t="s">
        <v>1638</v>
      </c>
      <c r="B666" s="1094" t="s">
        <v>1942</v>
      </c>
      <c r="C666" s="1094"/>
      <c r="D666" s="1094"/>
      <c r="E666" s="1095" t="s">
        <v>5224</v>
      </c>
      <c r="F666" s="1095" t="s">
        <v>5224</v>
      </c>
      <c r="G666" s="1096">
        <v>0</v>
      </c>
      <c r="H666" s="1096" t="s">
        <v>5224</v>
      </c>
      <c r="I666" s="1096" t="s">
        <v>5224</v>
      </c>
      <c r="J666" s="1096" t="s">
        <v>5224</v>
      </c>
      <c r="K666" s="1096" t="s">
        <v>5224</v>
      </c>
      <c r="L666" s="1096">
        <v>0</v>
      </c>
      <c r="M666" s="1096" t="s">
        <v>5224</v>
      </c>
      <c r="N666" s="1096" t="s">
        <v>4631</v>
      </c>
      <c r="O666" s="1028"/>
      <c r="P666" s="1028" t="s">
        <v>780</v>
      </c>
      <c r="Q666" s="1097">
        <f t="shared" ca="1" si="650"/>
        <v>17</v>
      </c>
      <c r="R666" s="1034"/>
      <c r="S666" s="1028" t="s">
        <v>780</v>
      </c>
      <c r="T666" s="1097">
        <f t="shared" ca="1" si="651"/>
        <v>17</v>
      </c>
      <c r="U666" s="1027">
        <v>4</v>
      </c>
      <c r="V666" s="1027">
        <f>IF(AP666+U666&gt;10,10,IF(AP666+U666&lt;1,1,AP666+U666))</f>
        <v>5</v>
      </c>
      <c r="W666" s="1098" t="e">
        <f>IF(OR(I666&lt;&gt;"N",E666="C"),IF(AND(N666&lt;&gt;"T",ISNUMBER(FIND("V",I666))),1,0),NA())+IF(H666="Y",IF(AND(N666="P",ISNUMBER(FIND("Z",I666))),2,1),0)+IF(J666="Y",1,0)+IF(K666="Y",3,0)+IF(BE666="Lore",L666*2+Experience!$D$25,0)+IF(M666="Y",1,0)</f>
        <v>#N/A</v>
      </c>
      <c r="X666" s="1099"/>
      <c r="Y666" s="1100">
        <f ca="1">IF(P666="NS",IFERROR(INDIRECT(S666),NA()),VLOOKUP(INDIRECT(P666)+INDIRECT(S666),'System Lookups'!$A$3:$D$146,2))</f>
        <v>0.1</v>
      </c>
      <c r="Z666" s="1100">
        <f>IF(ISNA(W666),0,W666*0.03)+IF(X666&gt;0,X666*0.03,0)+IF(AND(ISNA(W666),X666&lt;=0),0,IF(G666&gt;0,G666*0.07,0))</f>
        <v>0</v>
      </c>
      <c r="AA666" s="1101">
        <f ca="1">IF(ISNA(Y666),0,Y666)+Z666</f>
        <v>0.1</v>
      </c>
      <c r="AB666" s="1102">
        <f>VLOOKUP(V666,'System Lookups'!$J$55:$P$64,3)</f>
        <v>0.1</v>
      </c>
      <c r="AC666" s="1103">
        <f>VLOOKUP(V666,'System Lookups'!$J$55:$P$64,4)</f>
        <v>0.2</v>
      </c>
      <c r="AD666" s="1104">
        <f>IF(AND(ISBLANK(X666),ISNA(W666)),IF(B666="~",0,AB666+AA666+IF(BB666&gt;0,0.05,0)),AA666+AC666+IF(BB666&gt;0,0.05,0))</f>
        <v>0</v>
      </c>
      <c r="AE666" s="1094">
        <f>(IF(AD666&gt;VLOOKUP(V666,'System Lookups'!$J$55:$P$63,6),(((AD666-VLOOKUP(V666,'System Lookups'!$J$55:$P$63,6))*100)/20),0))+AF666</f>
        <v>0</v>
      </c>
      <c r="AF666" s="1121"/>
      <c r="AG666" s="1092">
        <f>IF(ISBLANK(X666),0,AQ666*X666+IF(ISNA(W666),1,0))</f>
        <v>0</v>
      </c>
      <c r="AH666" s="1092" t="str">
        <f>IF(X666&lt;=Experience!$R$15+1,"","*")</f>
        <v/>
      </c>
      <c r="AI666" s="1092"/>
      <c r="AJ666" s="1080">
        <f t="shared" si="652"/>
        <v>0</v>
      </c>
      <c r="AK666" s="1080">
        <f>IF(F666="s",-2,0)</f>
        <v>0</v>
      </c>
      <c r="AL666" s="1080">
        <f t="shared" si="653"/>
        <v>0</v>
      </c>
      <c r="AM666" s="1092">
        <f>IF(J666="y",1,0)</f>
        <v>0</v>
      </c>
      <c r="AN666" s="1080">
        <f>IF(N666="P",-1,IF(N666="T",1,0))</f>
        <v>1</v>
      </c>
      <c r="AO666" s="1080">
        <f t="shared" si="654"/>
        <v>0</v>
      </c>
      <c r="AP666" s="1080">
        <f>SUM(AJ666:AN666)-AM666</f>
        <v>1</v>
      </c>
      <c r="AQ666" s="1027">
        <f>VLOOKUP(V666,'System Lookups'!$J$55:$P$64,7)</f>
        <v>700</v>
      </c>
      <c r="AR666" s="1080" t="str">
        <f ca="1">IF(AND(NOT(ISBLANK(AJ666)),ISNA(MATCH(ROW(),'System Lookups'!$C$526:$C$539,0))),"Y","N")</f>
        <v>Y</v>
      </c>
      <c r="AS666" s="1080">
        <f>AG666-AI666</f>
        <v>0</v>
      </c>
      <c r="AU666" s="1080" t="e">
        <f t="shared" si="627"/>
        <v>#N/A</v>
      </c>
      <c r="AV666" s="1080" t="str">
        <f t="shared" si="625"/>
        <v>T</v>
      </c>
      <c r="AW666" s="1080">
        <f t="shared" si="628"/>
        <v>0</v>
      </c>
      <c r="AX666" s="1080">
        <f t="shared" si="629"/>
        <v>0</v>
      </c>
      <c r="AY666" s="1080">
        <f t="shared" si="630"/>
        <v>0</v>
      </c>
      <c r="AZ666" s="1080">
        <f t="shared" si="631"/>
        <v>0</v>
      </c>
      <c r="BA666" s="1080">
        <f t="shared" si="632"/>
        <v>0</v>
      </c>
      <c r="BB666" s="1080">
        <f>IF(AND(RACE=1,'Main Creation Page'!$E$6="Well",OR(ISNUMBER(FIND(Experience!$G$11,BE666)),ISNUMBER(FIND(Experience!$G$11,BF666)),ISNUMBER(FIND(Experience!$I$11,BE666)),ISNUMBER(FIND(Experience!$I$11,BF666)))),1,0)</f>
        <v>1</v>
      </c>
      <c r="BC666" s="1080" t="str">
        <f t="shared" si="635"/>
        <v>Spell Research</v>
      </c>
      <c r="BE666" s="1080" t="str">
        <f t="shared" si="626"/>
        <v>Lore</v>
      </c>
      <c r="BF666" s="1080" t="str">
        <f t="shared" si="636"/>
        <v>Materia Magica Skills</v>
      </c>
    </row>
    <row r="667" spans="1:58" ht="11.1" hidden="1" customHeight="1" outlineLevel="1">
      <c r="A667" s="1117" t="s">
        <v>1639</v>
      </c>
      <c r="B667" s="1094" t="s">
        <v>1942</v>
      </c>
      <c r="C667" s="1094"/>
      <c r="D667" s="1094"/>
      <c r="E667" s="1095" t="s">
        <v>5224</v>
      </c>
      <c r="F667" s="1095" t="s">
        <v>5224</v>
      </c>
      <c r="G667" s="1096">
        <v>0</v>
      </c>
      <c r="H667" s="1096" t="s">
        <v>5224</v>
      </c>
      <c r="I667" s="1096" t="s">
        <v>5224</v>
      </c>
      <c r="J667" s="1096" t="s">
        <v>5224</v>
      </c>
      <c r="K667" s="1096" t="s">
        <v>5224</v>
      </c>
      <c r="L667" s="1096">
        <v>0</v>
      </c>
      <c r="M667" s="1096" t="s">
        <v>5224</v>
      </c>
      <c r="N667" s="1096" t="s">
        <v>4631</v>
      </c>
      <c r="O667" s="1028"/>
      <c r="P667" s="1028" t="s">
        <v>780</v>
      </c>
      <c r="Q667" s="1097">
        <f t="shared" ca="1" si="650"/>
        <v>17</v>
      </c>
      <c r="R667" s="1028"/>
      <c r="S667" s="1028" t="s">
        <v>3612</v>
      </c>
      <c r="T667" s="1097">
        <f t="shared" ca="1" si="651"/>
        <v>10</v>
      </c>
      <c r="U667" s="1027">
        <v>4</v>
      </c>
      <c r="V667" s="1027">
        <f>IF(AP667+U667&gt;10,10,IF(AP667+U667&lt;1,1,AP667+U667))</f>
        <v>5</v>
      </c>
      <c r="W667" s="1098" t="e">
        <f>IF(OR(I667&lt;&gt;"N",E667="C"),IF(AND(N667&lt;&gt;"T",ISNUMBER(FIND("V",I667))),1,0),NA())+IF(H667="Y",IF(AND(N667="P",ISNUMBER(FIND("Z",I667))),2,1),0)+IF(J667="Y",1,0)+IF(K667="Y",3,0)+IF(BE667="Lore",L667*2+Experience!$D$25,0)+IF(M667="Y",1,0)</f>
        <v>#N/A</v>
      </c>
      <c r="X667" s="1099"/>
      <c r="Y667" s="1100">
        <f ca="1">IF(P667="NS",IFERROR(INDIRECT(S667),NA()),VLOOKUP(INDIRECT(P667)+INDIRECT(S667),'System Lookups'!$A$3:$D$146,2))</f>
        <v>0.04</v>
      </c>
      <c r="Z667" s="1100">
        <f>IF(ISNA(W667),0,W667*0.03)+IF(X667&gt;0,X667*0.03,0)+IF(AND(ISNA(W667),X667&lt;=0),0,IF(G667&gt;0,G667*0.07,0))</f>
        <v>0</v>
      </c>
      <c r="AA667" s="1101">
        <f ca="1">IF(ISNA(Y667),0,Y667)+Z667</f>
        <v>0.04</v>
      </c>
      <c r="AB667" s="1102">
        <f>VLOOKUP(V667,'System Lookups'!$J$55:$P$64,3)</f>
        <v>0.1</v>
      </c>
      <c r="AC667" s="1103">
        <f>VLOOKUP(V667,'System Lookups'!$J$55:$P$64,4)</f>
        <v>0.2</v>
      </c>
      <c r="AD667" s="1104">
        <f>IF(AND(ISBLANK(X667),ISNA(W667)),IF(B667="~",0,AB667+AA667+IF(BB667&gt;0,0.05,0)),AA667+AC667+IF(BB667&gt;0,0.05,0))</f>
        <v>0</v>
      </c>
      <c r="AE667" s="1094">
        <f>(IF(AD667&gt;VLOOKUP(V667,'System Lookups'!$J$55:$P$63,6),(((AD667-VLOOKUP(V667,'System Lookups'!$J$55:$P$63,6))*100)/20),0))+AF667</f>
        <v>0</v>
      </c>
      <c r="AF667" s="1121"/>
      <c r="AG667" s="1092">
        <f>IF(ISBLANK(X667),0,AQ667*X667+IF(ISNA(W667),1,0))</f>
        <v>0</v>
      </c>
      <c r="AH667" s="1092" t="str">
        <f>IF(X667&lt;=Experience!$R$15+1,"","*")</f>
        <v/>
      </c>
      <c r="AI667" s="1092"/>
      <c r="AJ667" s="1080">
        <f t="shared" si="652"/>
        <v>0</v>
      </c>
      <c r="AK667" s="1080">
        <f>IF(F667="s",-2,0)</f>
        <v>0</v>
      </c>
      <c r="AL667" s="1080">
        <f t="shared" si="653"/>
        <v>0</v>
      </c>
      <c r="AM667" s="1092">
        <f>IF(J667="y",1,0)</f>
        <v>0</v>
      </c>
      <c r="AN667" s="1080">
        <f>IF(N667="P",-1,IF(N667="T",1,0))</f>
        <v>1</v>
      </c>
      <c r="AO667" s="1080">
        <f t="shared" si="654"/>
        <v>0</v>
      </c>
      <c r="AP667" s="1080">
        <f>SUM(AJ667:AN667)-AM667</f>
        <v>1</v>
      </c>
      <c r="AQ667" s="1027">
        <f>VLOOKUP(V667,'System Lookups'!$J$55:$P$64,7)</f>
        <v>700</v>
      </c>
      <c r="AR667" s="1080" t="str">
        <f ca="1">IF(AND(NOT(ISBLANK(AJ667)),ISNA(MATCH(ROW(),'System Lookups'!$C$526:$C$539,0))),"Y","N")</f>
        <v>Y</v>
      </c>
      <c r="AS667" s="1080">
        <f>AG667-AI667</f>
        <v>0</v>
      </c>
      <c r="AU667" s="1080" t="e">
        <f t="shared" si="627"/>
        <v>#N/A</v>
      </c>
      <c r="AV667" s="1080" t="str">
        <f t="shared" si="625"/>
        <v>T</v>
      </c>
      <c r="AW667" s="1080">
        <f t="shared" si="628"/>
        <v>0</v>
      </c>
      <c r="AX667" s="1080">
        <f t="shared" si="629"/>
        <v>0</v>
      </c>
      <c r="AY667" s="1080">
        <f t="shared" si="630"/>
        <v>0</v>
      </c>
      <c r="AZ667" s="1080">
        <f t="shared" si="631"/>
        <v>0</v>
      </c>
      <c r="BA667" s="1080">
        <f t="shared" si="632"/>
        <v>0</v>
      </c>
      <c r="BB667" s="1080">
        <f>IF(AND(RACE=1,'Main Creation Page'!$E$6="Well",OR(ISNUMBER(FIND(Experience!$G$11,BE667)),ISNUMBER(FIND(Experience!$G$11,BF667)),ISNUMBER(FIND(Experience!$I$11,BE667)),ISNUMBER(FIND(Experience!$I$11,BF667)))),1,0)</f>
        <v>1</v>
      </c>
      <c r="BC667" s="1080" t="str">
        <f t="shared" si="635"/>
        <v>Word of Guard</v>
      </c>
      <c r="BE667" s="1080" t="str">
        <f t="shared" si="626"/>
        <v>Lore</v>
      </c>
      <c r="BF667" s="1080" t="str">
        <f t="shared" si="636"/>
        <v>Materia Magica Skills</v>
      </c>
    </row>
    <row r="668" spans="1:58" ht="11.1" hidden="1" customHeight="1" outlineLevel="1">
      <c r="A668" s="1115" t="s">
        <v>1098</v>
      </c>
      <c r="B668" s="1111"/>
      <c r="C668" s="1111"/>
      <c r="D668" s="1111"/>
      <c r="V668" s="1027"/>
      <c r="W668" s="1112"/>
      <c r="AE668" s="1094"/>
      <c r="AF668" s="1121"/>
      <c r="AR668" s="1080" t="str">
        <f ca="1">IF(AND(NOT(ISBLANK(AJ668)),ISNA(MATCH(ROW(),'System Lookups'!$C$526:$C$539,0))),"Y","N")</f>
        <v>N</v>
      </c>
      <c r="AU668" s="1080" t="e">
        <f t="shared" si="627"/>
        <v>#N/A</v>
      </c>
      <c r="AV668" s="1080" t="str">
        <f t="shared" si="625"/>
        <v/>
      </c>
      <c r="AW668" s="1080">
        <f t="shared" si="628"/>
        <v>0</v>
      </c>
      <c r="AX668" s="1080">
        <f t="shared" si="629"/>
        <v>0</v>
      </c>
      <c r="AY668" s="1080">
        <f t="shared" si="630"/>
        <v>0</v>
      </c>
      <c r="AZ668" s="1080">
        <f t="shared" si="631"/>
        <v>0</v>
      </c>
      <c r="BA668" s="1080">
        <f t="shared" si="632"/>
        <v>0</v>
      </c>
      <c r="BB668" s="1080">
        <f>IF(AND(RACE=1,'Main Creation Page'!$E$6="Well",OR(ISNUMBER(FIND(Experience!$G$11,BE668)),ISNUMBER(FIND(Experience!$G$11,BF668)),ISNUMBER(FIND(Experience!$I$11,BE668)),ISNUMBER(FIND(Experience!$I$11,BF668)))),1,0)</f>
        <v>1</v>
      </c>
      <c r="BC668" s="1080" t="e">
        <f t="shared" si="635"/>
        <v>#N/A</v>
      </c>
      <c r="BE668" s="1080" t="str">
        <f t="shared" si="626"/>
        <v>Lore</v>
      </c>
      <c r="BF668" s="1080" t="str">
        <f t="shared" si="636"/>
        <v>Materia Magica Skills</v>
      </c>
    </row>
    <row r="669" spans="1:58" ht="11.1" hidden="1" customHeight="1" outlineLevel="1">
      <c r="A669" s="1115" t="s">
        <v>4748</v>
      </c>
      <c r="B669" s="1111"/>
      <c r="C669" s="1111"/>
      <c r="D669" s="1111"/>
      <c r="V669" s="1027"/>
      <c r="W669" s="1112"/>
      <c r="AE669" s="1094"/>
      <c r="AF669" s="1121"/>
      <c r="AR669" s="1080" t="str">
        <f ca="1">IF(AND(NOT(ISBLANK(AJ669)),ISNA(MATCH(ROW(),'System Lookups'!$C$526:$C$539,0))),"Y","N")</f>
        <v>N</v>
      </c>
      <c r="AU669" s="1080" t="e">
        <f t="shared" si="627"/>
        <v>#N/A</v>
      </c>
      <c r="AV669" s="1080" t="str">
        <f t="shared" si="625"/>
        <v/>
      </c>
      <c r="AW669" s="1080">
        <f t="shared" si="628"/>
        <v>0</v>
      </c>
      <c r="AX669" s="1080">
        <f t="shared" si="629"/>
        <v>0</v>
      </c>
      <c r="AY669" s="1080">
        <f t="shared" si="630"/>
        <v>0</v>
      </c>
      <c r="AZ669" s="1080">
        <f t="shared" si="631"/>
        <v>0</v>
      </c>
      <c r="BA669" s="1080">
        <f t="shared" si="632"/>
        <v>0</v>
      </c>
      <c r="BB669" s="1080">
        <f>IF(AND(RACE=1,'Main Creation Page'!$E$6="Well",OR(ISNUMBER(FIND(Experience!$G$11,BE669)),ISNUMBER(FIND(Experience!$G$11,BF669)),ISNUMBER(FIND(Experience!$I$11,BE669)),ISNUMBER(FIND(Experience!$I$11,BF669)))),1,0)</f>
        <v>1</v>
      </c>
      <c r="BC669" s="1080" t="e">
        <f t="shared" si="635"/>
        <v>#N/A</v>
      </c>
      <c r="BE669" s="1080" t="str">
        <f t="shared" si="626"/>
        <v>Lore</v>
      </c>
      <c r="BF669" s="1080" t="str">
        <f t="shared" si="636"/>
        <v>Materia Magica Skills</v>
      </c>
    </row>
    <row r="670" spans="1:58" ht="11.1" hidden="1" customHeight="1" outlineLevel="2">
      <c r="A670" s="1093" t="s">
        <v>2434</v>
      </c>
      <c r="B670" s="1094" t="s">
        <v>1942</v>
      </c>
      <c r="C670" s="1094"/>
      <c r="D670" s="1094"/>
      <c r="E670" s="1095" t="s">
        <v>5224</v>
      </c>
      <c r="F670" s="1147" t="str">
        <f>IF(ISNA(VLOOKUP('Main Creation Page'!$AC$2,Mage_Specialization,2,0)),"N",IF(VLOOKUP('Main Creation Page'!$AC$2,Mage_Specialization,2,0)=$A670,"S","N"))</f>
        <v>N</v>
      </c>
      <c r="G670" s="1096">
        <v>0</v>
      </c>
      <c r="H670" s="1096" t="s">
        <v>5224</v>
      </c>
      <c r="I670" s="1096" t="s">
        <v>5224</v>
      </c>
      <c r="J670" s="1096" t="s">
        <v>5224</v>
      </c>
      <c r="K670" s="1096" t="s">
        <v>5224</v>
      </c>
      <c r="L670" s="1096">
        <v>0</v>
      </c>
      <c r="M670" s="1096" t="s">
        <v>5224</v>
      </c>
      <c r="N670" s="1096" t="s">
        <v>4631</v>
      </c>
      <c r="O670" s="1028"/>
      <c r="P670" s="1028" t="s">
        <v>3613</v>
      </c>
      <c r="Q670" s="1097">
        <f ca="1">INDIRECT(P670)</f>
        <v>15</v>
      </c>
      <c r="R670" s="1028"/>
      <c r="S670" s="1028" t="s">
        <v>3616</v>
      </c>
      <c r="T670" s="1097">
        <f ca="1">INDIRECT(S670)</f>
        <v>17</v>
      </c>
      <c r="U670" s="1027">
        <v>6</v>
      </c>
      <c r="V670" s="1027">
        <f>IF(AP670+U670&gt;10,10,IF(AP670+U670&lt;1,1,AP670+U670))</f>
        <v>7</v>
      </c>
      <c r="W670" s="1098" t="e">
        <f>IF(OR(I670&lt;&gt;"N",E670="C"),IF(AND(N670&lt;&gt;"T",ISNUMBER(FIND("V",I670))),1,0),NA())+IF(H670="Y",IF(AND(N670="P",ISNUMBER(FIND("Z",I670))),2,1),0)+IF(J670="Y",1,0)+IF(K670="Y",3,0)+IF(BE670="Lore",L670*2+Experience!$D$25,0)+IF(M670="Y",1,0)</f>
        <v>#N/A</v>
      </c>
      <c r="X670" s="1099"/>
      <c r="Y670" s="1100">
        <f ca="1">IF(P670="NS",IFERROR(INDIRECT(S670),NA()),VLOOKUP(INDIRECT(P670)+INDIRECT(S670),'System Lookups'!$A$3:$D$146,2))</f>
        <v>0.08</v>
      </c>
      <c r="Z670" s="1100">
        <f>IF(ISNA(W670),0,W670*0.03)+IF(X670&gt;0,X670*0.03,0)+IF(AND(ISNA(W670),X670&lt;=0),0,IF(G670&gt;0,G670*0.07,0))</f>
        <v>0</v>
      </c>
      <c r="AA670" s="1101">
        <f ca="1">IF(ISNA(Y670),0,Y670)+Z670</f>
        <v>0.08</v>
      </c>
      <c r="AB670" s="1102">
        <f>VLOOKUP(V670,'System Lookups'!$J$55:$P$64,3)</f>
        <v>0.03</v>
      </c>
      <c r="AC670" s="1103">
        <f>VLOOKUP(V670,'System Lookups'!$J$55:$P$64,4)</f>
        <v>7.0000000000000007E-2</v>
      </c>
      <c r="AD670" s="1104">
        <f>IF(AND(ISBLANK(X670),ISNA(W670)),IF(B670="~",0,AB670+AA670+IF(BB670&gt;0,0.05,0)),AA670+AC670+IF(BB670&gt;0,0.05,0))</f>
        <v>0</v>
      </c>
      <c r="AE670" s="1094">
        <f>(IF(AD670&gt;VLOOKUP(V670,'System Lookups'!$J$55:$P$63,6),(((AD670-VLOOKUP(V670,'System Lookups'!$J$55:$P$63,6))*100)/20),0))+AF670</f>
        <v>0</v>
      </c>
      <c r="AF670" s="1121"/>
      <c r="AG670" s="1092">
        <f>IF(ISBLANK(X670),0,AQ670*X670+IF(ISNA(W670),1,0))</f>
        <v>0</v>
      </c>
      <c r="AH670" s="1092" t="str">
        <f>IF(X670&lt;=Experience!$R$15+1,"","*")</f>
        <v/>
      </c>
      <c r="AI670" s="1092"/>
      <c r="AJ670" s="1080">
        <f>IF(ISNUMBER(FIND("R",F670)),-1,0)</f>
        <v>0</v>
      </c>
      <c r="AK670" s="1080">
        <f>IF(F670="s",-3,0)</f>
        <v>0</v>
      </c>
      <c r="AL670" s="1080">
        <f>IF(AND(H670="Y",OR(N670="P",N670="S")),-1,0)</f>
        <v>0</v>
      </c>
      <c r="AM670" s="1092">
        <f>IF(J670="y",1,0)</f>
        <v>0</v>
      </c>
      <c r="AN670" s="1080">
        <f>IF(N670="T",1,0)</f>
        <v>1</v>
      </c>
      <c r="AO670" s="1080">
        <f>IF(ISNUMBER(FIND("Z",I670)),1,0)</f>
        <v>0</v>
      </c>
      <c r="AP670" s="1080">
        <f>SUM(AJ670:AN670)-AM670</f>
        <v>1</v>
      </c>
      <c r="AQ670" s="1027">
        <f>VLOOKUP(V670,'System Lookups'!$J$55:$P$64,7)</f>
        <v>1000</v>
      </c>
      <c r="AR670" s="1080" t="str">
        <f ca="1">IF(AND(NOT(ISBLANK(AJ670)),ISNA(MATCH(ROW(),'System Lookups'!$C$526:$C$539,0))),"Y","N")</f>
        <v>Y</v>
      </c>
      <c r="AS670" s="1080">
        <f>AG670-AI670</f>
        <v>0</v>
      </c>
      <c r="AU670" s="1080" t="e">
        <f t="shared" si="627"/>
        <v>#N/A</v>
      </c>
      <c r="AV670" s="1080" t="str">
        <f t="shared" si="625"/>
        <v>T</v>
      </c>
      <c r="AW670" s="1080">
        <f t="shared" si="628"/>
        <v>0</v>
      </c>
      <c r="AX670" s="1080">
        <f t="shared" si="629"/>
        <v>0</v>
      </c>
      <c r="AY670" s="1080">
        <f t="shared" si="630"/>
        <v>0</v>
      </c>
      <c r="AZ670" s="1080">
        <f t="shared" si="631"/>
        <v>0</v>
      </c>
      <c r="BA670" s="1080">
        <f t="shared" si="632"/>
        <v>0</v>
      </c>
      <c r="BB670" s="1080">
        <f>IF(AND(RACE=1,'Main Creation Page'!$E$6="Well",OR(ISNUMBER(FIND(Experience!$G$11,BE670)),ISNUMBER(FIND(Experience!$G$11,BF670)),ISNUMBER(FIND(Experience!$I$11,BE670)),ISNUMBER(FIND(Experience!$I$11,BF670)))),1,0)</f>
        <v>1</v>
      </c>
      <c r="BC670" s="1080" t="str">
        <f t="shared" si="635"/>
        <v>Astrologer</v>
      </c>
      <c r="BE670" s="1080" t="str">
        <f t="shared" si="626"/>
        <v>Lore</v>
      </c>
      <c r="BF670" s="1080" t="str">
        <f t="shared" si="636"/>
        <v>Materia Magica Skills</v>
      </c>
    </row>
    <row r="671" spans="1:58" ht="11.1" hidden="1" customHeight="1" outlineLevel="2">
      <c r="A671" s="1149" t="s">
        <v>5130</v>
      </c>
      <c r="B671" s="1034"/>
      <c r="C671" s="1034"/>
      <c r="D671" s="1034"/>
      <c r="F671" s="1150"/>
      <c r="AE671" s="1034"/>
      <c r="AF671" s="1132"/>
      <c r="AI671" s="1034"/>
      <c r="AR671" s="1080" t="str">
        <f ca="1">IF(AND(NOT(ISBLANK(AJ671)),ISNA(MATCH(ROW(),'System Lookups'!$C$526:$C$539,0))),"Y","N")</f>
        <v>N</v>
      </c>
      <c r="AU671" s="1080" t="e">
        <f t="shared" si="627"/>
        <v>#N/A</v>
      </c>
      <c r="AV671" s="1080" t="str">
        <f t="shared" si="625"/>
        <v/>
      </c>
      <c r="AW671" s="1080">
        <f t="shared" si="628"/>
        <v>0</v>
      </c>
      <c r="AX671" s="1080">
        <f t="shared" si="629"/>
        <v>0</v>
      </c>
      <c r="AY671" s="1080">
        <f t="shared" si="630"/>
        <v>0</v>
      </c>
      <c r="AZ671" s="1080">
        <f t="shared" si="631"/>
        <v>0</v>
      </c>
      <c r="BA671" s="1080">
        <f t="shared" si="632"/>
        <v>0</v>
      </c>
      <c r="BB671" s="1080">
        <f>IF(AND(RACE=1,'Main Creation Page'!$E$6="Well",OR(ISNUMBER(FIND(Experience!$G$11,BE671)),ISNUMBER(FIND(Experience!$G$11,BF671)),ISNUMBER(FIND(Experience!$I$11,BE671)),ISNUMBER(FIND(Experience!$I$11,BF671)))),1,0)</f>
        <v>1</v>
      </c>
      <c r="BC671" s="1080" t="e">
        <f t="shared" si="635"/>
        <v>#N/A</v>
      </c>
      <c r="BE671" s="1080" t="str">
        <f t="shared" si="626"/>
        <v>Lore</v>
      </c>
      <c r="BF671" s="1080" t="str">
        <f t="shared" si="636"/>
        <v>Materia Magica Skills</v>
      </c>
    </row>
    <row r="672" spans="1:58" ht="11.1" hidden="1" customHeight="1" outlineLevel="3">
      <c r="A672" s="1093" t="s">
        <v>999</v>
      </c>
      <c r="B672" s="1094" t="s">
        <v>1942</v>
      </c>
      <c r="C672" s="1094"/>
      <c r="D672" s="1094"/>
      <c r="E672" s="1095" t="s">
        <v>5224</v>
      </c>
      <c r="F672" s="1147" t="str">
        <f>IF(ISNA(VLOOKUP('Main Creation Page'!$AC$2,Mage_Specialization,2,0)),"N",IF(VLOOKUP('Main Creation Page'!$AC$2,Mage_Specialization,2,0)=$A672,"S","N"))</f>
        <v>N</v>
      </c>
      <c r="G672" s="1096">
        <v>0</v>
      </c>
      <c r="H672" s="1096" t="s">
        <v>5224</v>
      </c>
      <c r="I672" s="1096" t="s">
        <v>5224</v>
      </c>
      <c r="J672" s="1096" t="s">
        <v>5224</v>
      </c>
      <c r="K672" s="1096" t="s">
        <v>5224</v>
      </c>
      <c r="L672" s="1096">
        <v>0</v>
      </c>
      <c r="M672" s="1096" t="s">
        <v>5224</v>
      </c>
      <c r="N672" s="1096" t="s">
        <v>4631</v>
      </c>
      <c r="O672" s="1028"/>
      <c r="P672" s="1028" t="s">
        <v>780</v>
      </c>
      <c r="Q672" s="1097">
        <f t="shared" ref="Q672:Q680" ca="1" si="655">INDIRECT(P672)</f>
        <v>17</v>
      </c>
      <c r="R672" s="1028"/>
      <c r="S672" s="1028" t="s">
        <v>3611</v>
      </c>
      <c r="T672" s="1097">
        <f t="shared" ref="T672:T680" ca="1" si="656">INDIRECT(S672)</f>
        <v>15</v>
      </c>
      <c r="U672" s="1027">
        <v>6</v>
      </c>
      <c r="V672" s="1027">
        <f t="shared" ref="V672:V680" si="657">IF(AP672+U672&gt;10,10,IF(AP672+U672&lt;1,1,AP672+U672))</f>
        <v>7</v>
      </c>
      <c r="W672" s="1098" t="e">
        <f>IF(OR(I672&lt;&gt;"N",E672="C"),IF(AND(N672&lt;&gt;"T",ISNUMBER(FIND("V",I672))),1,0),NA())+IF(H672="Y",IF(AND(N672="P",ISNUMBER(FIND("Z",I672))),2,1),0)+IF(J672="Y",1,0)+IF(K672="Y",3,0)+IF(BE672="Lore",L672*2+Experience!$D$25,0)+IF(M672="Y",1,0)</f>
        <v>#N/A</v>
      </c>
      <c r="X672" s="1099"/>
      <c r="Y672" s="1100">
        <f ca="1">IF(P672="NS",IFERROR(INDIRECT(S672),NA()),VLOOKUP(INDIRECT(P672)+INDIRECT(S672),'System Lookups'!$A$3:$D$146,2))</f>
        <v>0.08</v>
      </c>
      <c r="Z672" s="1100">
        <f t="shared" ref="Z672:Z680" si="658">IF(ISNA(W672),0,W672*0.03)+IF(X672&gt;0,X672*0.03,0)+IF(AND(ISNA(W672),X672&lt;=0),0,IF(G672&gt;0,G672*0.07,0))</f>
        <v>0</v>
      </c>
      <c r="AA672" s="1101">
        <f t="shared" ref="AA672:AA677" ca="1" si="659">IF(ISNA(Y672),0,Y672)+Z672</f>
        <v>0.08</v>
      </c>
      <c r="AB672" s="1102">
        <f>VLOOKUP(V672,'System Lookups'!$J$55:$P$64,3)</f>
        <v>0.03</v>
      </c>
      <c r="AC672" s="1103">
        <f>VLOOKUP(V672,'System Lookups'!$J$55:$P$64,4)</f>
        <v>7.0000000000000007E-2</v>
      </c>
      <c r="AD672" s="1104">
        <f t="shared" ref="AD672:AD680" si="660">IF(AND(ISBLANK(X672),ISNA(W672)),IF(B672="~",0,AB672+AA672+IF(BB672&gt;0,0.05,0)),AA672+AC672+IF(BB672&gt;0,0.05,0))</f>
        <v>0</v>
      </c>
      <c r="AE672" s="1094">
        <f>(IF(AD672&gt;VLOOKUP(V672,'System Lookups'!$J$55:$P$63,6),(((AD672-VLOOKUP(V672,'System Lookups'!$J$55:$P$63,6))*100)/20),0))+AF672</f>
        <v>0</v>
      </c>
      <c r="AF672" s="1121"/>
      <c r="AG672" s="1092">
        <f t="shared" ref="AG672:AG680" si="661">IF(ISBLANK(X672),0,AQ672*X672+IF(ISNA(W672),1,0))</f>
        <v>0</v>
      </c>
      <c r="AH672" s="1092" t="str">
        <f>IF(X672&lt;=Experience!$R$15+1,"","*")</f>
        <v/>
      </c>
      <c r="AI672" s="1092"/>
      <c r="AJ672" s="1080">
        <f t="shared" ref="AJ672:AJ680" si="662">IF(ISNUMBER(FIND("R",F672)),-1,0)</f>
        <v>0</v>
      </c>
      <c r="AK672" s="1080">
        <f t="shared" ref="AK672:AK720" si="663">IF(F672="s",-3,0)</f>
        <v>0</v>
      </c>
      <c r="AL672" s="1080">
        <f t="shared" ref="AL672:AL680" si="664">IF(AND(H672="Y",OR(N672="P",N672="S")),-1,0)</f>
        <v>0</v>
      </c>
      <c r="AM672" s="1092">
        <f t="shared" ref="AM672:AM677" si="665">IF(J672="y",1,0)</f>
        <v>0</v>
      </c>
      <c r="AN672" s="1080">
        <f t="shared" ref="AN672:AN677" si="666">IF(N672="T",1,0)</f>
        <v>1</v>
      </c>
      <c r="AO672" s="1080">
        <f t="shared" ref="AO672:AO680" si="667">IF(ISNUMBER(FIND("Z",I672)),1,0)</f>
        <v>0</v>
      </c>
      <c r="AP672" s="1080">
        <f t="shared" ref="AP672:AP680" si="668">SUM(AJ672:AN672)-AM672</f>
        <v>1</v>
      </c>
      <c r="AQ672" s="1027">
        <f>VLOOKUP(V672,'System Lookups'!$J$55:$P$64,7)</f>
        <v>1000</v>
      </c>
      <c r="AR672" s="1080" t="str">
        <f ca="1">IF(AND(NOT(ISBLANK(AJ672)),ISNA(MATCH(ROW(),'System Lookups'!$C$526:$C$539,0))),"Y","N")</f>
        <v>Y</v>
      </c>
      <c r="AS672" s="1080">
        <f t="shared" ref="AS672:AS680" si="669">AG672-AI672</f>
        <v>0</v>
      </c>
      <c r="AU672" s="1080" t="e">
        <f t="shared" si="627"/>
        <v>#N/A</v>
      </c>
      <c r="AV672" s="1080" t="str">
        <f t="shared" si="625"/>
        <v>T</v>
      </c>
      <c r="AW672" s="1080">
        <f t="shared" si="628"/>
        <v>0</v>
      </c>
      <c r="AX672" s="1080">
        <f t="shared" si="629"/>
        <v>0</v>
      </c>
      <c r="AY672" s="1080">
        <f t="shared" si="630"/>
        <v>0</v>
      </c>
      <c r="AZ672" s="1080">
        <f t="shared" si="631"/>
        <v>0</v>
      </c>
      <c r="BA672" s="1080">
        <f t="shared" si="632"/>
        <v>0</v>
      </c>
      <c r="BB672" s="1080">
        <f>IF(AND(RACE=1,'Main Creation Page'!$E$6="Well",OR(ISNUMBER(FIND(Experience!$G$11,BE672)),ISNUMBER(FIND(Experience!$G$11,BF672)),ISNUMBER(FIND(Experience!$I$11,BE672)),ISNUMBER(FIND(Experience!$I$11,BF672)))),1,0)</f>
        <v>1</v>
      </c>
      <c r="BC672" s="1080" t="str">
        <f t="shared" si="635"/>
        <v>Jewelsmith</v>
      </c>
      <c r="BE672" s="1080" t="str">
        <f t="shared" si="626"/>
        <v>Lore</v>
      </c>
      <c r="BF672" s="1080" t="str">
        <f t="shared" si="636"/>
        <v>Materia Magica Skills</v>
      </c>
    </row>
    <row r="673" spans="1:58" ht="11.1" hidden="1" customHeight="1" outlineLevel="3">
      <c r="A673" s="1093" t="s">
        <v>2541</v>
      </c>
      <c r="B673" s="1094" t="s">
        <v>1942</v>
      </c>
      <c r="C673" s="1094"/>
      <c r="D673" s="1094"/>
      <c r="E673" s="1095" t="s">
        <v>5224</v>
      </c>
      <c r="F673" s="1147" t="str">
        <f>IF(ISNA(VLOOKUP('Main Creation Page'!$AC$2,Mage_Specialization,2,0)),"N",IF(VLOOKUP('Main Creation Page'!$AC$2,Mage_Specialization,2,0)=$A673,"S","N"))</f>
        <v>N</v>
      </c>
      <c r="G673" s="1096">
        <v>0</v>
      </c>
      <c r="H673" s="1096" t="s">
        <v>5224</v>
      </c>
      <c r="I673" s="1096" t="s">
        <v>5224</v>
      </c>
      <c r="J673" s="1096" t="s">
        <v>5224</v>
      </c>
      <c r="K673" s="1096" t="s">
        <v>5224</v>
      </c>
      <c r="L673" s="1096">
        <v>0</v>
      </c>
      <c r="M673" s="1096" t="s">
        <v>5224</v>
      </c>
      <c r="N673" s="1096" t="s">
        <v>4631</v>
      </c>
      <c r="O673" s="1028"/>
      <c r="P673" s="1028" t="s">
        <v>780</v>
      </c>
      <c r="Q673" s="1097">
        <f t="shared" ca="1" si="655"/>
        <v>17</v>
      </c>
      <c r="R673" s="1028"/>
      <c r="S673" s="1028" t="s">
        <v>3611</v>
      </c>
      <c r="T673" s="1097">
        <f t="shared" ca="1" si="656"/>
        <v>15</v>
      </c>
      <c r="U673" s="1027">
        <v>6</v>
      </c>
      <c r="V673" s="1027">
        <f t="shared" si="657"/>
        <v>7</v>
      </c>
      <c r="W673" s="1098" t="e">
        <f>IF(OR(I673&lt;&gt;"N",E673="C"),IF(AND(N673&lt;&gt;"T",ISNUMBER(FIND("V",I673))),1,0),NA())+IF(H673="Y",IF(AND(N673="P",ISNUMBER(FIND("Z",I673))),2,1),0)+IF(J673="Y",1,0)+IF(K673="Y",3,0)+IF(BE673="Lore",L673*2+Experience!$D$25,0)+IF(M673="Y",1,0)</f>
        <v>#N/A</v>
      </c>
      <c r="X673" s="1099"/>
      <c r="Y673" s="1100">
        <f ca="1">IF(P673="NS",IFERROR(INDIRECT(S673),NA()),VLOOKUP(INDIRECT(P673)+INDIRECT(S673),'System Lookups'!$A$3:$D$146,2))</f>
        <v>0.08</v>
      </c>
      <c r="Z673" s="1100">
        <f t="shared" si="658"/>
        <v>0</v>
      </c>
      <c r="AA673" s="1101">
        <f t="shared" ca="1" si="659"/>
        <v>0.08</v>
      </c>
      <c r="AB673" s="1102">
        <f>VLOOKUP(V673,'System Lookups'!$J$55:$P$64,3)</f>
        <v>0.03</v>
      </c>
      <c r="AC673" s="1103">
        <f>VLOOKUP(V673,'System Lookups'!$J$55:$P$64,4)</f>
        <v>7.0000000000000007E-2</v>
      </c>
      <c r="AD673" s="1104">
        <f t="shared" si="660"/>
        <v>0</v>
      </c>
      <c r="AE673" s="1094">
        <f>(IF(AD673&gt;VLOOKUP(V673,'System Lookups'!$J$55:$P$63,6),(((AD673-VLOOKUP(V673,'System Lookups'!$J$55:$P$63,6))*100)/20),0))+AF673</f>
        <v>0</v>
      </c>
      <c r="AF673" s="1121"/>
      <c r="AG673" s="1092">
        <f t="shared" si="661"/>
        <v>0</v>
      </c>
      <c r="AH673" s="1092" t="str">
        <f>IF(X673&lt;=Experience!$R$15+1,"","*")</f>
        <v/>
      </c>
      <c r="AI673" s="1092"/>
      <c r="AJ673" s="1080">
        <f t="shared" si="662"/>
        <v>0</v>
      </c>
      <c r="AK673" s="1080">
        <f>IF(F673="s",-3,0)</f>
        <v>0</v>
      </c>
      <c r="AL673" s="1080">
        <f t="shared" si="664"/>
        <v>0</v>
      </c>
      <c r="AM673" s="1092">
        <f t="shared" si="665"/>
        <v>0</v>
      </c>
      <c r="AN673" s="1080">
        <f t="shared" si="666"/>
        <v>1</v>
      </c>
      <c r="AO673" s="1080">
        <f t="shared" si="667"/>
        <v>0</v>
      </c>
      <c r="AP673" s="1080">
        <f t="shared" si="668"/>
        <v>1</v>
      </c>
      <c r="AQ673" s="1027">
        <f>VLOOKUP(V673,'System Lookups'!$J$55:$P$64,7)</f>
        <v>1000</v>
      </c>
      <c r="AR673" s="1080" t="str">
        <f ca="1">IF(AND(NOT(ISBLANK(AJ673)),ISNA(MATCH(ROW(),'System Lookups'!$C$526:$C$539,0))),"Y","N")</f>
        <v>Y</v>
      </c>
      <c r="AS673" s="1080">
        <f t="shared" si="669"/>
        <v>0</v>
      </c>
      <c r="AU673" s="1080" t="e">
        <f t="shared" si="627"/>
        <v>#N/A</v>
      </c>
      <c r="AV673" s="1080" t="str">
        <f t="shared" si="625"/>
        <v>T</v>
      </c>
      <c r="AW673" s="1080">
        <f t="shared" si="628"/>
        <v>0</v>
      </c>
      <c r="AX673" s="1080">
        <f t="shared" si="629"/>
        <v>0</v>
      </c>
      <c r="AY673" s="1080">
        <f t="shared" si="630"/>
        <v>0</v>
      </c>
      <c r="AZ673" s="1080">
        <f t="shared" si="631"/>
        <v>0</v>
      </c>
      <c r="BA673" s="1080">
        <f t="shared" si="632"/>
        <v>0</v>
      </c>
      <c r="BB673" s="1080">
        <f>IF(AND(RACE=1,'Main Creation Page'!$E$6="Well",OR(ISNUMBER(FIND(Experience!$G$11,BE673)),ISNUMBER(FIND(Experience!$G$11,BF673)),ISNUMBER(FIND(Experience!$I$11,BE673)),ISNUMBER(FIND(Experience!$I$11,BF673)))),1,0)</f>
        <v>1</v>
      </c>
      <c r="BC673" s="1080" t="str">
        <f t="shared" si="635"/>
        <v>Joiner</v>
      </c>
      <c r="BE673" s="1080" t="str">
        <f t="shared" si="626"/>
        <v>Lore</v>
      </c>
      <c r="BF673" s="1080" t="str">
        <f t="shared" si="636"/>
        <v>Materia Magica Skills</v>
      </c>
    </row>
    <row r="674" spans="1:58" ht="11.1" hidden="1" customHeight="1" outlineLevel="3">
      <c r="A674" s="1093" t="s">
        <v>1068</v>
      </c>
      <c r="B674" s="1094" t="s">
        <v>1942</v>
      </c>
      <c r="C674" s="1094"/>
      <c r="D674" s="1094"/>
      <c r="E674" s="1095" t="s">
        <v>5224</v>
      </c>
      <c r="F674" s="1147" t="str">
        <f>IF(ISNA(VLOOKUP('Main Creation Page'!$AC$2,Mage_Specialization,2,0)),"N",IF(VLOOKUP('Main Creation Page'!$AC$2,Mage_Specialization,2,0)=$A674,"S","N"))</f>
        <v>N</v>
      </c>
      <c r="G674" s="1096">
        <v>0</v>
      </c>
      <c r="H674" s="1096" t="s">
        <v>5224</v>
      </c>
      <c r="I674" s="1096" t="s">
        <v>5224</v>
      </c>
      <c r="J674" s="1096" t="s">
        <v>5224</v>
      </c>
      <c r="K674" s="1096" t="s">
        <v>5224</v>
      </c>
      <c r="L674" s="1096">
        <v>0</v>
      </c>
      <c r="M674" s="1096" t="s">
        <v>5224</v>
      </c>
      <c r="N674" s="1096" t="s">
        <v>4631</v>
      </c>
      <c r="O674" s="1028"/>
      <c r="P674" s="1028" t="s">
        <v>3615</v>
      </c>
      <c r="Q674" s="1097">
        <f t="shared" ca="1" si="655"/>
        <v>20</v>
      </c>
      <c r="R674" s="1028"/>
      <c r="S674" s="1028" t="s">
        <v>3614</v>
      </c>
      <c r="T674" s="1097">
        <f t="shared" ca="1" si="656"/>
        <v>15</v>
      </c>
      <c r="U674" s="1027">
        <v>6</v>
      </c>
      <c r="V674" s="1027">
        <f t="shared" si="657"/>
        <v>7</v>
      </c>
      <c r="W674" s="1098" t="e">
        <f>IF(OR(I674&lt;&gt;"N",E674="C"),IF(AND(N674&lt;&gt;"T",ISNUMBER(FIND("V",I674))),1,0),NA())+IF(H674="Y",IF(AND(N674="P",ISNUMBER(FIND("Z",I674))),2,1),0)+IF(J674="Y",1,0)+IF(K674="Y",3,0)+IF(BE674="Lore",L674*2+Experience!$D$25,0)+IF(M674="Y",1,0)</f>
        <v>#N/A</v>
      </c>
      <c r="X674" s="1099"/>
      <c r="Y674" s="1100">
        <f ca="1">IF(P674="NS",IFERROR(INDIRECT(S674),NA()),VLOOKUP(INDIRECT(P674)+INDIRECT(S674),'System Lookups'!$A$3:$D$146,2))</f>
        <v>0.12</v>
      </c>
      <c r="Z674" s="1100">
        <f t="shared" si="658"/>
        <v>0</v>
      </c>
      <c r="AA674" s="1101">
        <f t="shared" ca="1" si="659"/>
        <v>0.12</v>
      </c>
      <c r="AB674" s="1102">
        <f>VLOOKUP(V674,'System Lookups'!$J$55:$P$64,3)</f>
        <v>0.03</v>
      </c>
      <c r="AC674" s="1103">
        <f>VLOOKUP(V674,'System Lookups'!$J$55:$P$64,4)</f>
        <v>7.0000000000000007E-2</v>
      </c>
      <c r="AD674" s="1104">
        <f t="shared" si="660"/>
        <v>0</v>
      </c>
      <c r="AE674" s="1094">
        <f>(IF(AD674&gt;VLOOKUP(V674,'System Lookups'!$J$55:$P$63,6),(((AD674-VLOOKUP(V674,'System Lookups'!$J$55:$P$63,6))*100)/20),0))+AF674</f>
        <v>0</v>
      </c>
      <c r="AF674" s="1121"/>
      <c r="AG674" s="1092">
        <f t="shared" si="661"/>
        <v>0</v>
      </c>
      <c r="AH674" s="1092" t="str">
        <f>IF(X674&lt;=Experience!$R$15+1,"","*")</f>
        <v/>
      </c>
      <c r="AI674" s="1092"/>
      <c r="AJ674" s="1080">
        <f t="shared" si="662"/>
        <v>0</v>
      </c>
      <c r="AK674" s="1080">
        <f>IF(F674="s",-3,0)</f>
        <v>0</v>
      </c>
      <c r="AL674" s="1080">
        <f t="shared" si="664"/>
        <v>0</v>
      </c>
      <c r="AM674" s="1092">
        <f t="shared" si="665"/>
        <v>0</v>
      </c>
      <c r="AN674" s="1080">
        <f t="shared" si="666"/>
        <v>1</v>
      </c>
      <c r="AO674" s="1080">
        <f t="shared" si="667"/>
        <v>0</v>
      </c>
      <c r="AP674" s="1080">
        <f t="shared" si="668"/>
        <v>1</v>
      </c>
      <c r="AQ674" s="1027">
        <f>VLOOKUP(V674,'System Lookups'!$J$55:$P$64,7)</f>
        <v>1000</v>
      </c>
      <c r="AR674" s="1080" t="str">
        <f ca="1">IF(AND(NOT(ISBLANK(AJ674)),ISNA(MATCH(ROW(),'System Lookups'!$C$526:$C$539,0))),"Y","N")</f>
        <v>Y</v>
      </c>
      <c r="AS674" s="1080">
        <f t="shared" si="669"/>
        <v>0</v>
      </c>
      <c r="AU674" s="1080" t="e">
        <f t="shared" si="627"/>
        <v>#N/A</v>
      </c>
      <c r="AV674" s="1080" t="str">
        <f t="shared" si="625"/>
        <v>T</v>
      </c>
      <c r="AW674" s="1080">
        <f t="shared" si="628"/>
        <v>0</v>
      </c>
      <c r="AX674" s="1080">
        <f t="shared" si="629"/>
        <v>0</v>
      </c>
      <c r="AY674" s="1080">
        <f t="shared" si="630"/>
        <v>0</v>
      </c>
      <c r="AZ674" s="1080">
        <f t="shared" si="631"/>
        <v>0</v>
      </c>
      <c r="BA674" s="1080">
        <f t="shared" si="632"/>
        <v>0</v>
      </c>
      <c r="BB674" s="1080">
        <f>IF(AND(RACE=1,'Main Creation Page'!$E$6="Well",OR(ISNUMBER(FIND(Experience!$G$11,BE674)),ISNUMBER(FIND(Experience!$G$11,BF674)),ISNUMBER(FIND(Experience!$I$11,BE674)),ISNUMBER(FIND(Experience!$I$11,BF674)))),1,0)</f>
        <v>1</v>
      </c>
      <c r="BC674" s="1080" t="str">
        <f t="shared" si="635"/>
        <v>Mason</v>
      </c>
      <c r="BE674" s="1080" t="str">
        <f t="shared" si="626"/>
        <v>Lore</v>
      </c>
      <c r="BF674" s="1080" t="str">
        <f t="shared" si="636"/>
        <v>Materia Magica Skills</v>
      </c>
    </row>
    <row r="675" spans="1:58" ht="11.1" hidden="1" customHeight="1" outlineLevel="3">
      <c r="A675" s="1093" t="s">
        <v>610</v>
      </c>
      <c r="B675" s="1094" t="s">
        <v>1942</v>
      </c>
      <c r="C675" s="1094"/>
      <c r="D675" s="1094"/>
      <c r="E675" s="1095" t="s">
        <v>5224</v>
      </c>
      <c r="F675" s="1147" t="str">
        <f>IF(ISNA(VLOOKUP('Main Creation Page'!$AC$2,Mage_Specialization,2,0)),"N",IF(VLOOKUP('Main Creation Page'!$AC$2,Mage_Specialization,2,0)=$A675,"S","N"))</f>
        <v>N</v>
      </c>
      <c r="G675" s="1096">
        <v>0</v>
      </c>
      <c r="H675" s="1096" t="s">
        <v>5224</v>
      </c>
      <c r="I675" s="1096" t="s">
        <v>5224</v>
      </c>
      <c r="J675" s="1096" t="s">
        <v>5224</v>
      </c>
      <c r="K675" s="1096" t="s">
        <v>5224</v>
      </c>
      <c r="L675" s="1096">
        <v>0</v>
      </c>
      <c r="M675" s="1096" t="s">
        <v>5224</v>
      </c>
      <c r="N675" s="1096" t="s">
        <v>4631</v>
      </c>
      <c r="O675" s="1028"/>
      <c r="P675" s="1028" t="s">
        <v>3615</v>
      </c>
      <c r="Q675" s="1097">
        <f t="shared" ca="1" si="655"/>
        <v>20</v>
      </c>
      <c r="R675" s="1028"/>
      <c r="S675" s="1028" t="s">
        <v>3614</v>
      </c>
      <c r="T675" s="1097">
        <f t="shared" ca="1" si="656"/>
        <v>15</v>
      </c>
      <c r="U675" s="1027">
        <v>6</v>
      </c>
      <c r="V675" s="1027">
        <f t="shared" si="657"/>
        <v>7</v>
      </c>
      <c r="W675" s="1098" t="e">
        <f>IF(OR(I675&lt;&gt;"N",E675="C"),IF(AND(N675&lt;&gt;"T",ISNUMBER(FIND("V",I675))),1,0),NA())+IF(H675="Y",IF(AND(N675="P",ISNUMBER(FIND("Z",I675))),2,1),0)+IF(J675="Y",1,0)+IF(K675="Y",3,0)+IF(BE675="Lore",L675*2+Experience!$D$25,0)+IF(M675="Y",1,0)</f>
        <v>#N/A</v>
      </c>
      <c r="X675" s="1099"/>
      <c r="Y675" s="1100">
        <f ca="1">IF(P675="NS",IFERROR(INDIRECT(S675),NA()),VLOOKUP(INDIRECT(P675)+INDIRECT(S675),'System Lookups'!$A$3:$D$146,2))</f>
        <v>0.12</v>
      </c>
      <c r="Z675" s="1100">
        <f t="shared" si="658"/>
        <v>0</v>
      </c>
      <c r="AA675" s="1101">
        <f t="shared" ca="1" si="659"/>
        <v>0.12</v>
      </c>
      <c r="AB675" s="1102">
        <f>VLOOKUP(V675,'System Lookups'!$J$55:$P$64,3)</f>
        <v>0.03</v>
      </c>
      <c r="AC675" s="1103">
        <f>VLOOKUP(V675,'System Lookups'!$J$55:$P$64,4)</f>
        <v>7.0000000000000007E-2</v>
      </c>
      <c r="AD675" s="1104">
        <f t="shared" si="660"/>
        <v>0</v>
      </c>
      <c r="AE675" s="1094">
        <f>(IF(AD675&gt;VLOOKUP(V675,'System Lookups'!$J$55:$P$63,6),(((AD675-VLOOKUP(V675,'System Lookups'!$J$55:$P$63,6))*100)/20),0))+AF675</f>
        <v>0</v>
      </c>
      <c r="AF675" s="1121"/>
      <c r="AG675" s="1092">
        <f t="shared" si="661"/>
        <v>0</v>
      </c>
      <c r="AH675" s="1092" t="str">
        <f>IF(X675&lt;=Experience!$R$15+1,"","*")</f>
        <v/>
      </c>
      <c r="AI675" s="1092"/>
      <c r="AJ675" s="1080">
        <f t="shared" si="662"/>
        <v>0</v>
      </c>
      <c r="AK675" s="1080">
        <f t="shared" si="663"/>
        <v>0</v>
      </c>
      <c r="AL675" s="1080">
        <f t="shared" si="664"/>
        <v>0</v>
      </c>
      <c r="AM675" s="1092">
        <f t="shared" si="665"/>
        <v>0</v>
      </c>
      <c r="AN675" s="1080">
        <f t="shared" si="666"/>
        <v>1</v>
      </c>
      <c r="AO675" s="1080">
        <f t="shared" si="667"/>
        <v>0</v>
      </c>
      <c r="AP675" s="1080">
        <f t="shared" si="668"/>
        <v>1</v>
      </c>
      <c r="AQ675" s="1027">
        <f>VLOOKUP(V675,'System Lookups'!$J$55:$P$64,7)</f>
        <v>1000</v>
      </c>
      <c r="AR675" s="1080" t="str">
        <f ca="1">IF(AND(NOT(ISBLANK(AJ675)),ISNA(MATCH(ROW(),'System Lookups'!$C$526:$C$539,0))),"Y","N")</f>
        <v>Y</v>
      </c>
      <c r="AS675" s="1080">
        <f t="shared" si="669"/>
        <v>0</v>
      </c>
      <c r="AU675" s="1080" t="e">
        <f t="shared" si="627"/>
        <v>#N/A</v>
      </c>
      <c r="AV675" s="1080" t="str">
        <f t="shared" si="625"/>
        <v>T</v>
      </c>
      <c r="AW675" s="1080">
        <f t="shared" si="628"/>
        <v>0</v>
      </c>
      <c r="AX675" s="1080">
        <f t="shared" si="629"/>
        <v>0</v>
      </c>
      <c r="AY675" s="1080">
        <f t="shared" si="630"/>
        <v>0</v>
      </c>
      <c r="AZ675" s="1080">
        <f t="shared" si="631"/>
        <v>0</v>
      </c>
      <c r="BA675" s="1080">
        <f t="shared" si="632"/>
        <v>0</v>
      </c>
      <c r="BB675" s="1080">
        <f>IF(AND(RACE=1,'Main Creation Page'!$E$6="Well",OR(ISNUMBER(FIND(Experience!$G$11,BE675)),ISNUMBER(FIND(Experience!$G$11,BF675)),ISNUMBER(FIND(Experience!$I$11,BE675)),ISNUMBER(FIND(Experience!$I$11,BF675)))),1,0)</f>
        <v>1</v>
      </c>
      <c r="BC675" s="1080" t="str">
        <f t="shared" si="635"/>
        <v>Metalsmith</v>
      </c>
      <c r="BE675" s="1080" t="str">
        <f t="shared" si="626"/>
        <v>Lore</v>
      </c>
      <c r="BF675" s="1080" t="str">
        <f t="shared" si="636"/>
        <v>Materia Magica Skills</v>
      </c>
    </row>
    <row r="676" spans="1:58" ht="11.1" hidden="1" customHeight="1" outlineLevel="3">
      <c r="A676" s="1093" t="s">
        <v>609</v>
      </c>
      <c r="B676" s="1094" t="s">
        <v>1942</v>
      </c>
      <c r="C676" s="1094"/>
      <c r="D676" s="1094"/>
      <c r="E676" s="1095" t="s">
        <v>5224</v>
      </c>
      <c r="F676" s="1147" t="str">
        <f>IF(ISNA(VLOOKUP('Main Creation Page'!$AC$2,Mage_Specialization,2,0)),"N",IF(VLOOKUP('Main Creation Page'!$AC$2,Mage_Specialization,2,0)=$A676,"S","N"))</f>
        <v>N</v>
      </c>
      <c r="G676" s="1096">
        <v>0</v>
      </c>
      <c r="H676" s="1096" t="s">
        <v>5224</v>
      </c>
      <c r="I676" s="1096" t="s">
        <v>5224</v>
      </c>
      <c r="J676" s="1096" t="s">
        <v>5224</v>
      </c>
      <c r="K676" s="1096" t="s">
        <v>5224</v>
      </c>
      <c r="L676" s="1096">
        <v>0</v>
      </c>
      <c r="M676" s="1096" t="s">
        <v>5224</v>
      </c>
      <c r="N676" s="1096" t="s">
        <v>4631</v>
      </c>
      <c r="O676" s="1028"/>
      <c r="P676" s="1028" t="s">
        <v>780</v>
      </c>
      <c r="Q676" s="1097">
        <f t="shared" ca="1" si="655"/>
        <v>17</v>
      </c>
      <c r="R676" s="1034"/>
      <c r="S676" s="1028" t="s">
        <v>3616</v>
      </c>
      <c r="T676" s="1097">
        <f t="shared" ca="1" si="656"/>
        <v>17</v>
      </c>
      <c r="U676" s="1027">
        <v>6</v>
      </c>
      <c r="V676" s="1027">
        <f t="shared" si="657"/>
        <v>7</v>
      </c>
      <c r="W676" s="1098" t="e">
        <f>IF(OR(I676&lt;&gt;"N",E676="C"),IF(AND(N676&lt;&gt;"T",ISNUMBER(FIND("V",I676))),1,0),NA())+IF(H676="Y",IF(AND(N676="P",ISNUMBER(FIND("Z",I676))),2,1),0)+IF(J676="Y",1,0)+IF(K676="Y",3,0)+IF(BE676="Lore",L676*2+Experience!$D$25,0)+IF(M676="Y",1,0)</f>
        <v>#N/A</v>
      </c>
      <c r="X676" s="1099"/>
      <c r="Y676" s="1100">
        <f ca="1">IF(P676="NS",IFERROR(INDIRECT(S676),NA()),VLOOKUP(INDIRECT(P676)+INDIRECT(S676),'System Lookups'!$A$3:$D$146,2))</f>
        <v>0.1</v>
      </c>
      <c r="Z676" s="1100">
        <f t="shared" si="658"/>
        <v>0</v>
      </c>
      <c r="AA676" s="1101">
        <f t="shared" ca="1" si="659"/>
        <v>0.1</v>
      </c>
      <c r="AB676" s="1102">
        <f>VLOOKUP(V676,'System Lookups'!$J$55:$P$64,3)</f>
        <v>0.03</v>
      </c>
      <c r="AC676" s="1103">
        <f>VLOOKUP(V676,'System Lookups'!$J$55:$P$64,4)</f>
        <v>7.0000000000000007E-2</v>
      </c>
      <c r="AD676" s="1104">
        <f t="shared" si="660"/>
        <v>0</v>
      </c>
      <c r="AE676" s="1094">
        <f>(IF(AD676&gt;VLOOKUP(V676,'System Lookups'!$J$55:$P$63,6),(((AD676-VLOOKUP(V676,'System Lookups'!$J$55:$P$63,6))*100)/20),0))+AF676</f>
        <v>0</v>
      </c>
      <c r="AF676" s="1121"/>
      <c r="AG676" s="1092">
        <f t="shared" si="661"/>
        <v>0</v>
      </c>
      <c r="AH676" s="1092" t="str">
        <f>IF(X676&lt;=Experience!$R$15+1,"","*")</f>
        <v/>
      </c>
      <c r="AI676" s="1092"/>
      <c r="AJ676" s="1080">
        <f t="shared" si="662"/>
        <v>0</v>
      </c>
      <c r="AK676" s="1080">
        <f t="shared" si="663"/>
        <v>0</v>
      </c>
      <c r="AL676" s="1080">
        <f t="shared" si="664"/>
        <v>0</v>
      </c>
      <c r="AM676" s="1092">
        <f t="shared" si="665"/>
        <v>0</v>
      </c>
      <c r="AN676" s="1080">
        <f t="shared" si="666"/>
        <v>1</v>
      </c>
      <c r="AO676" s="1080">
        <f t="shared" si="667"/>
        <v>0</v>
      </c>
      <c r="AP676" s="1080">
        <f t="shared" si="668"/>
        <v>1</v>
      </c>
      <c r="AQ676" s="1027">
        <f>VLOOKUP(V676,'System Lookups'!$J$55:$P$64,7)</f>
        <v>1000</v>
      </c>
      <c r="AR676" s="1080" t="str">
        <f ca="1">IF(AND(NOT(ISBLANK(AJ676)),ISNA(MATCH(ROW(),'System Lookups'!$C$526:$C$539,0))),"Y","N")</f>
        <v>Y</v>
      </c>
      <c r="AS676" s="1080">
        <f t="shared" si="669"/>
        <v>0</v>
      </c>
      <c r="AU676" s="1080" t="e">
        <f t="shared" si="627"/>
        <v>#N/A</v>
      </c>
      <c r="AV676" s="1080" t="str">
        <f t="shared" si="625"/>
        <v>T</v>
      </c>
      <c r="AW676" s="1080">
        <f t="shared" si="628"/>
        <v>0</v>
      </c>
      <c r="AX676" s="1080">
        <f t="shared" si="629"/>
        <v>0</v>
      </c>
      <c r="AY676" s="1080">
        <f t="shared" si="630"/>
        <v>0</v>
      </c>
      <c r="AZ676" s="1080">
        <f t="shared" si="631"/>
        <v>0</v>
      </c>
      <c r="BA676" s="1080">
        <f t="shared" si="632"/>
        <v>0</v>
      </c>
      <c r="BB676" s="1080">
        <f>IF(AND(RACE=1,'Main Creation Page'!$E$6="Well",OR(ISNUMBER(FIND(Experience!$G$11,BE676)),ISNUMBER(FIND(Experience!$G$11,BF676)),ISNUMBER(FIND(Experience!$I$11,BE676)),ISNUMBER(FIND(Experience!$I$11,BF676)))),1,0)</f>
        <v>1</v>
      </c>
      <c r="BC676" s="1080" t="str">
        <f t="shared" si="635"/>
        <v>Mechanical</v>
      </c>
      <c r="BE676" s="1080" t="str">
        <f t="shared" si="626"/>
        <v>Lore</v>
      </c>
      <c r="BF676" s="1080" t="str">
        <f t="shared" si="636"/>
        <v>Materia Magica Skills</v>
      </c>
    </row>
    <row r="677" spans="1:58" ht="11.1" hidden="1" customHeight="1" outlineLevel="2">
      <c r="A677" s="1093" t="s">
        <v>2703</v>
      </c>
      <c r="B677" s="1094" t="s">
        <v>1942</v>
      </c>
      <c r="C677" s="1094"/>
      <c r="D677" s="1094"/>
      <c r="E677" s="1095" t="s">
        <v>5224</v>
      </c>
      <c r="F677" s="1147" t="str">
        <f>IF(ISNA(VLOOKUP('Main Creation Page'!$AC$2,Mage_Specialization,2,0)),"N",IF(VLOOKUP('Main Creation Page'!$AC$2,Mage_Specialization,2,0)=$A677,"S","N"))</f>
        <v>N</v>
      </c>
      <c r="G677" s="1096">
        <v>0</v>
      </c>
      <c r="H677" s="1096" t="s">
        <v>5224</v>
      </c>
      <c r="I677" s="1096" t="s">
        <v>5224</v>
      </c>
      <c r="J677" s="1096" t="s">
        <v>5224</v>
      </c>
      <c r="K677" s="1096" t="s">
        <v>5224</v>
      </c>
      <c r="L677" s="1096">
        <v>0</v>
      </c>
      <c r="M677" s="1096" t="s">
        <v>5224</v>
      </c>
      <c r="N677" s="1096" t="s">
        <v>4631</v>
      </c>
      <c r="O677" s="1028"/>
      <c r="P677" s="1028" t="s">
        <v>780</v>
      </c>
      <c r="Q677" s="1097">
        <f t="shared" ca="1" si="655"/>
        <v>17</v>
      </c>
      <c r="R677" s="1028"/>
      <c r="S677" s="1028" t="s">
        <v>3611</v>
      </c>
      <c r="T677" s="1097">
        <f t="shared" ca="1" si="656"/>
        <v>15</v>
      </c>
      <c r="U677" s="1027">
        <v>6</v>
      </c>
      <c r="V677" s="1027">
        <f t="shared" si="657"/>
        <v>7</v>
      </c>
      <c r="W677" s="1098" t="e">
        <f>IF(OR(I677&lt;&gt;"N",E677="C"),IF(AND(N677&lt;&gt;"T",ISNUMBER(FIND("V",I677))),1,0),NA())+IF(H677="Y",IF(AND(N677="P",ISNUMBER(FIND("Z",I677))),2,1),0)+IF(J677="Y",1,0)+IF(K677="Y",3,0)+IF(BE677="Lore",L677*2+Experience!$D$25,0)+IF(M677="Y",1,0)</f>
        <v>#N/A</v>
      </c>
      <c r="X677" s="1099"/>
      <c r="Y677" s="1100">
        <f ca="1">IF(P677="NS",IFERROR(INDIRECT(S677),NA()),VLOOKUP(INDIRECT(P677)+INDIRECT(S677),'System Lookups'!$A$3:$D$146,2))</f>
        <v>0.08</v>
      </c>
      <c r="Z677" s="1100">
        <f t="shared" si="658"/>
        <v>0</v>
      </c>
      <c r="AA677" s="1101">
        <f t="shared" ca="1" si="659"/>
        <v>0.08</v>
      </c>
      <c r="AB677" s="1102">
        <f>VLOOKUP(V677,'System Lookups'!$J$55:$P$64,3)</f>
        <v>0.03</v>
      </c>
      <c r="AC677" s="1103">
        <f>VLOOKUP(V677,'System Lookups'!$J$55:$P$64,4)</f>
        <v>7.0000000000000007E-2</v>
      </c>
      <c r="AD677" s="1104">
        <f t="shared" si="660"/>
        <v>0</v>
      </c>
      <c r="AE677" s="1094">
        <f>(IF(AD677&gt;VLOOKUP(V677,'System Lookups'!$J$55:$P$63,6),(((AD677-VLOOKUP(V677,'System Lookups'!$J$55:$P$63,6))*100)/20),0))+AF677</f>
        <v>0</v>
      </c>
      <c r="AF677" s="1121"/>
      <c r="AG677" s="1092">
        <f t="shared" si="661"/>
        <v>0</v>
      </c>
      <c r="AH677" s="1092" t="str">
        <f>IF(X677&lt;=Experience!$R$15+1,"","*")</f>
        <v/>
      </c>
      <c r="AI677" s="1092"/>
      <c r="AJ677" s="1080">
        <f t="shared" si="662"/>
        <v>0</v>
      </c>
      <c r="AK677" s="1080">
        <f t="shared" si="663"/>
        <v>0</v>
      </c>
      <c r="AL677" s="1080">
        <f t="shared" si="664"/>
        <v>0</v>
      </c>
      <c r="AM677" s="1092">
        <f t="shared" si="665"/>
        <v>0</v>
      </c>
      <c r="AN677" s="1080">
        <f t="shared" si="666"/>
        <v>1</v>
      </c>
      <c r="AO677" s="1080">
        <f t="shared" si="667"/>
        <v>0</v>
      </c>
      <c r="AP677" s="1080">
        <f t="shared" si="668"/>
        <v>1</v>
      </c>
      <c r="AQ677" s="1027">
        <f>VLOOKUP(V677,'System Lookups'!$J$55:$P$64,7)</f>
        <v>1000</v>
      </c>
      <c r="AR677" s="1080" t="str">
        <f ca="1">IF(AND(NOT(ISBLANK(AJ677)),ISNA(MATCH(ROW(),'System Lookups'!$C$526:$C$539,0))),"Y","N")</f>
        <v>Y</v>
      </c>
      <c r="AS677" s="1080">
        <f t="shared" si="669"/>
        <v>0</v>
      </c>
      <c r="AU677" s="1080" t="e">
        <f t="shared" si="627"/>
        <v>#N/A</v>
      </c>
      <c r="AV677" s="1080" t="str">
        <f t="shared" si="625"/>
        <v>T</v>
      </c>
      <c r="AW677" s="1080">
        <f t="shared" si="628"/>
        <v>0</v>
      </c>
      <c r="AX677" s="1080">
        <f t="shared" si="629"/>
        <v>0</v>
      </c>
      <c r="AY677" s="1080">
        <f t="shared" si="630"/>
        <v>0</v>
      </c>
      <c r="AZ677" s="1080">
        <f t="shared" si="631"/>
        <v>0</v>
      </c>
      <c r="BA677" s="1080">
        <f t="shared" si="632"/>
        <v>0</v>
      </c>
      <c r="BB677" s="1080">
        <f>IF(AND(RACE=1,'Main Creation Page'!$E$6="Well",OR(ISNUMBER(FIND(Experience!$G$11,BE677)),ISNUMBER(FIND(Experience!$G$11,BF677)),ISNUMBER(FIND(Experience!$I$11,BE677)),ISNUMBER(FIND(Experience!$I$11,BF677)))),1,0)</f>
        <v>1</v>
      </c>
      <c r="BC677" s="1080" t="str">
        <f t="shared" si="635"/>
        <v>Blade Dancer</v>
      </c>
      <c r="BE677" s="1080" t="str">
        <f t="shared" si="626"/>
        <v>Lore</v>
      </c>
      <c r="BF677" s="1080" t="str">
        <f t="shared" si="636"/>
        <v>Materia Magica Skills</v>
      </c>
    </row>
    <row r="678" spans="1:58" ht="11.1" hidden="1" customHeight="1" outlineLevel="2">
      <c r="A678" s="1028" t="s">
        <v>75</v>
      </c>
      <c r="B678" s="1094" t="s">
        <v>1942</v>
      </c>
      <c r="C678" s="1094"/>
      <c r="D678" s="1094"/>
      <c r="E678" s="1095" t="s">
        <v>5224</v>
      </c>
      <c r="F678" s="1147" t="str">
        <f>IF(ISNA(VLOOKUP('Main Creation Page'!$AC$2,Mage_Specialization,2,0)),"N",IF(VLOOKUP('Main Creation Page'!$AC$2,Mage_Specialization,2,0)=$A678,"S","N"))</f>
        <v>N</v>
      </c>
      <c r="G678" s="1096">
        <v>0</v>
      </c>
      <c r="H678" s="1096" t="s">
        <v>5224</v>
      </c>
      <c r="I678" s="1096" t="s">
        <v>5224</v>
      </c>
      <c r="J678" s="1096" t="s">
        <v>5224</v>
      </c>
      <c r="K678" s="1096" t="s">
        <v>5224</v>
      </c>
      <c r="L678" s="1096">
        <v>0</v>
      </c>
      <c r="M678" s="1096" t="s">
        <v>5224</v>
      </c>
      <c r="N678" s="1096" t="s">
        <v>4631</v>
      </c>
      <c r="O678" s="1028"/>
      <c r="P678" s="1028" t="s">
        <v>780</v>
      </c>
      <c r="Q678" s="1097">
        <f t="shared" ca="1" si="655"/>
        <v>17</v>
      </c>
      <c r="R678" s="1028"/>
      <c r="S678" s="1028" t="s">
        <v>3614</v>
      </c>
      <c r="T678" s="1097">
        <f t="shared" ca="1" si="656"/>
        <v>15</v>
      </c>
      <c r="U678" s="1027">
        <v>6</v>
      </c>
      <c r="V678" s="1027">
        <f t="shared" si="657"/>
        <v>7</v>
      </c>
      <c r="W678" s="1098" t="e">
        <f>IF(OR(I678&lt;&gt;"N",E678="C"),IF(AND(N678&lt;&gt;"T",ISNUMBER(FIND("V",I678))),1,0),NA())+IF(H678="Y",IF(AND(N678="P",ISNUMBER(FIND("Z",I678))),2,1),0)+IF(J678="Y",1,0)+IF(K678="Y",3,0)+IF(BE678="Lore",L678*2+Experience!$D$25,0)+IF(M678="Y",1,0)</f>
        <v>#N/A</v>
      </c>
      <c r="X678" s="1099"/>
      <c r="Y678" s="1100">
        <f ca="1">IF(P678="NS",IFERROR(INDIRECT(S678),NA()),VLOOKUP(INDIRECT(P678)+INDIRECT(S678),'System Lookups'!$A$3:$D$146,2))</f>
        <v>0.08</v>
      </c>
      <c r="Z678" s="1100">
        <f t="shared" si="658"/>
        <v>0</v>
      </c>
      <c r="AA678" s="1101">
        <f t="shared" ref="AA678:AA709" ca="1" si="670">IF(ISNA(Y678),0,Y678)+Z678</f>
        <v>0.08</v>
      </c>
      <c r="AB678" s="1102">
        <f>VLOOKUP(V678,'System Lookups'!$J$55:$P$64,3)</f>
        <v>0.03</v>
      </c>
      <c r="AC678" s="1103">
        <f>VLOOKUP(V678,'System Lookups'!$J$55:$P$64,4)</f>
        <v>7.0000000000000007E-2</v>
      </c>
      <c r="AD678" s="1104">
        <f t="shared" si="660"/>
        <v>0</v>
      </c>
      <c r="AE678" s="1094">
        <f>(IF(AD678&gt;VLOOKUP(V678,'System Lookups'!$J$55:$P$63,6),(((AD678-VLOOKUP(V678,'System Lookups'!$J$55:$P$63,6))*100)/20),0))+AF678</f>
        <v>0</v>
      </c>
      <c r="AF678" s="1121"/>
      <c r="AG678" s="1092">
        <f t="shared" si="661"/>
        <v>0</v>
      </c>
      <c r="AH678" s="1092" t="str">
        <f>IF(X678&lt;=Experience!$R$15+1,"","*")</f>
        <v/>
      </c>
      <c r="AI678" s="1092"/>
      <c r="AJ678" s="1080">
        <f t="shared" si="662"/>
        <v>0</v>
      </c>
      <c r="AK678" s="1080">
        <f t="shared" si="663"/>
        <v>0</v>
      </c>
      <c r="AL678" s="1080">
        <f t="shared" si="664"/>
        <v>0</v>
      </c>
      <c r="AM678" s="1092">
        <f t="shared" ref="AM678:AM709" si="671">IF(J678="y",1,0)</f>
        <v>0</v>
      </c>
      <c r="AN678" s="1080">
        <f t="shared" ref="AN678:AN702" si="672">IF(N678="T",1,0)</f>
        <v>1</v>
      </c>
      <c r="AO678" s="1080">
        <f t="shared" si="667"/>
        <v>0</v>
      </c>
      <c r="AP678" s="1080">
        <f t="shared" si="668"/>
        <v>1</v>
      </c>
      <c r="AQ678" s="1027">
        <f>VLOOKUP(V678,'System Lookups'!$J$55:$P$64,7)</f>
        <v>1000</v>
      </c>
      <c r="AR678" s="1080" t="str">
        <f ca="1">IF(AND(NOT(ISBLANK(AJ678)),ISNA(MATCH(ROW(),'System Lookups'!$C$526:$C$539,0))),"Y","N")</f>
        <v>Y</v>
      </c>
      <c r="AS678" s="1080">
        <f t="shared" si="669"/>
        <v>0</v>
      </c>
      <c r="AU678" s="1080" t="e">
        <f t="shared" si="627"/>
        <v>#N/A</v>
      </c>
      <c r="AV678" s="1080" t="str">
        <f t="shared" si="625"/>
        <v>T</v>
      </c>
      <c r="AW678" s="1080">
        <f t="shared" si="628"/>
        <v>0</v>
      </c>
      <c r="AX678" s="1080">
        <f t="shared" si="629"/>
        <v>0</v>
      </c>
      <c r="AY678" s="1080">
        <f t="shared" si="630"/>
        <v>0</v>
      </c>
      <c r="AZ678" s="1080">
        <f t="shared" si="631"/>
        <v>0</v>
      </c>
      <c r="BA678" s="1080">
        <f t="shared" si="632"/>
        <v>0</v>
      </c>
      <c r="BB678" s="1080">
        <f>IF(AND(RACE=1,'Main Creation Page'!$E$6="Well",OR(ISNUMBER(FIND(Experience!$G$11,BE678)),ISNUMBER(FIND(Experience!$G$11,BF678)),ISNUMBER(FIND(Experience!$I$11,BE678)),ISNUMBER(FIND(Experience!$I$11,BF678)))),1,0)</f>
        <v>1</v>
      </c>
      <c r="BC678" s="1080" t="str">
        <f t="shared" si="635"/>
        <v>Conjuration</v>
      </c>
      <c r="BE678" s="1080" t="str">
        <f t="shared" si="626"/>
        <v>Lore</v>
      </c>
      <c r="BF678" s="1080" t="str">
        <f t="shared" si="636"/>
        <v>Materia Magica Skills</v>
      </c>
    </row>
    <row r="679" spans="1:58" ht="11.1" hidden="1" customHeight="1" outlineLevel="2">
      <c r="A679" s="1093" t="s">
        <v>1557</v>
      </c>
      <c r="B679" s="1094" t="s">
        <v>1942</v>
      </c>
      <c r="C679" s="1094"/>
      <c r="D679" s="1094"/>
      <c r="E679" s="1095" t="s">
        <v>5224</v>
      </c>
      <c r="F679" s="1147" t="str">
        <f>IF(ISNA(VLOOKUP('Main Creation Page'!$AC$2,Mage_Specialization,2,0)),"N",IF(VLOOKUP('Main Creation Page'!$AC$2,Mage_Specialization,2,0)=$A679,"S","N"))</f>
        <v>N</v>
      </c>
      <c r="G679" s="1096">
        <v>0</v>
      </c>
      <c r="H679" s="1096" t="s">
        <v>5224</v>
      </c>
      <c r="I679" s="1096" t="s">
        <v>5224</v>
      </c>
      <c r="J679" s="1096" t="s">
        <v>5224</v>
      </c>
      <c r="K679" s="1096" t="s">
        <v>5224</v>
      </c>
      <c r="L679" s="1096">
        <v>0</v>
      </c>
      <c r="M679" s="1096" t="s">
        <v>5224</v>
      </c>
      <c r="N679" s="1096" t="s">
        <v>4631</v>
      </c>
      <c r="O679" s="1028"/>
      <c r="P679" s="1028" t="s">
        <v>3614</v>
      </c>
      <c r="Q679" s="1097">
        <f t="shared" ca="1" si="655"/>
        <v>15</v>
      </c>
      <c r="R679" s="1028"/>
      <c r="S679" s="1028" t="s">
        <v>3611</v>
      </c>
      <c r="T679" s="1097">
        <f t="shared" ca="1" si="656"/>
        <v>15</v>
      </c>
      <c r="U679" s="1027">
        <v>6</v>
      </c>
      <c r="V679" s="1027">
        <f t="shared" si="657"/>
        <v>7</v>
      </c>
      <c r="W679" s="1098" t="e">
        <f>IF(OR(I679&lt;&gt;"N",E679="C"),IF(AND(N679&lt;&gt;"T",ISNUMBER(FIND("V",I679))),1,0),NA())+IF(H679="Y",IF(AND(N679="P",ISNUMBER(FIND("Z",I679))),2,1),0)+IF(J679="Y",1,0)+IF(K679="Y",3,0)+IF(BE679="Lore",L679*2+Experience!$D$25,0)+IF(M679="Y",1,0)</f>
        <v>#N/A</v>
      </c>
      <c r="X679" s="1099"/>
      <c r="Y679" s="1100">
        <f ca="1">IF(P679="NS",IFERROR(INDIRECT(S679),NA()),VLOOKUP(INDIRECT(P679)+INDIRECT(S679),'System Lookups'!$A$3:$D$146,2))</f>
        <v>0.06</v>
      </c>
      <c r="Z679" s="1100">
        <f t="shared" si="658"/>
        <v>0</v>
      </c>
      <c r="AA679" s="1101">
        <f ca="1">IF(ISNA(Y679),0,Y679)+Z679</f>
        <v>0.06</v>
      </c>
      <c r="AB679" s="1102">
        <f>VLOOKUP(V679,'System Lookups'!$J$55:$P$64,3)</f>
        <v>0.03</v>
      </c>
      <c r="AC679" s="1103">
        <f>VLOOKUP(V679,'System Lookups'!$J$55:$P$64,4)</f>
        <v>7.0000000000000007E-2</v>
      </c>
      <c r="AD679" s="1104">
        <f t="shared" si="660"/>
        <v>0</v>
      </c>
      <c r="AE679" s="1094">
        <f>(IF(AD679&gt;VLOOKUP(V679,'System Lookups'!$J$55:$P$63,6),(((AD679-VLOOKUP(V679,'System Lookups'!$J$55:$P$63,6))*100)/20),0))+AF679</f>
        <v>0</v>
      </c>
      <c r="AF679" s="1121"/>
      <c r="AG679" s="1092">
        <f t="shared" si="661"/>
        <v>0</v>
      </c>
      <c r="AH679" s="1092" t="str">
        <f>IF(X679&lt;=Experience!$R$15+1,"","*")</f>
        <v/>
      </c>
      <c r="AI679" s="1092"/>
      <c r="AJ679" s="1080">
        <f t="shared" si="662"/>
        <v>0</v>
      </c>
      <c r="AK679" s="1080">
        <f>IF(F679="s",-3,0)</f>
        <v>0</v>
      </c>
      <c r="AL679" s="1080">
        <f t="shared" si="664"/>
        <v>0</v>
      </c>
      <c r="AM679" s="1092">
        <f>IF(J679="y",1,0)</f>
        <v>0</v>
      </c>
      <c r="AN679" s="1080">
        <f>IF(N679="T",1,0)</f>
        <v>1</v>
      </c>
      <c r="AO679" s="1080">
        <f t="shared" si="667"/>
        <v>0</v>
      </c>
      <c r="AP679" s="1080">
        <f t="shared" si="668"/>
        <v>1</v>
      </c>
      <c r="AQ679" s="1027">
        <f>VLOOKUP(V679,'System Lookups'!$J$55:$P$64,7)</f>
        <v>1000</v>
      </c>
      <c r="AR679" s="1080" t="str">
        <f ca="1">IF(AND(NOT(ISBLANK(AJ679)),ISNA(MATCH(ROW(),'System Lookups'!$C$526:$C$539,0))),"Y","N")</f>
        <v>Y</v>
      </c>
      <c r="AS679" s="1080">
        <f t="shared" si="669"/>
        <v>0</v>
      </c>
      <c r="AU679" s="1080" t="e">
        <f t="shared" si="627"/>
        <v>#N/A</v>
      </c>
      <c r="AV679" s="1080" t="str">
        <f t="shared" si="625"/>
        <v>T</v>
      </c>
      <c r="AW679" s="1080">
        <f t="shared" si="628"/>
        <v>0</v>
      </c>
      <c r="AX679" s="1080">
        <f t="shared" si="629"/>
        <v>0</v>
      </c>
      <c r="AY679" s="1080">
        <f t="shared" si="630"/>
        <v>0</v>
      </c>
      <c r="AZ679" s="1080">
        <f t="shared" si="631"/>
        <v>0</v>
      </c>
      <c r="BA679" s="1080">
        <f t="shared" si="632"/>
        <v>0</v>
      </c>
      <c r="BB679" s="1080">
        <f>IF(AND(RACE=1,'Main Creation Page'!$E$6="Well",OR(ISNUMBER(FIND(Experience!$G$11,BE679)),ISNUMBER(FIND(Experience!$G$11,BF679)),ISNUMBER(FIND(Experience!$I$11,BE679)),ISNUMBER(FIND(Experience!$I$11,BF679)))),1,0)</f>
        <v>1</v>
      </c>
      <c r="BC679" s="1080" t="str">
        <f t="shared" si="635"/>
        <v>Dance</v>
      </c>
      <c r="BE679" s="1080" t="str">
        <f t="shared" si="626"/>
        <v>Lore</v>
      </c>
      <c r="BF679" s="1080" t="str">
        <f t="shared" si="636"/>
        <v>Materia Magica Skills</v>
      </c>
    </row>
    <row r="680" spans="1:58" ht="11.1" hidden="1" customHeight="1" outlineLevel="2">
      <c r="A680" s="1028" t="s">
        <v>3657</v>
      </c>
      <c r="B680" s="1094" t="s">
        <v>1942</v>
      </c>
      <c r="C680" s="1094"/>
      <c r="D680" s="1094"/>
      <c r="E680" s="1095" t="s">
        <v>5224</v>
      </c>
      <c r="F680" s="1147" t="str">
        <f>IF(ISNA(VLOOKUP('Main Creation Page'!$AC$2,Mage_Specialization,2,0)),"N",IF(VLOOKUP('Main Creation Page'!$AC$2,Mage_Specialization,2,0)=$A680,"S","N"))</f>
        <v>N</v>
      </c>
      <c r="G680" s="1096">
        <v>0</v>
      </c>
      <c r="H680" s="1096" t="s">
        <v>5224</v>
      </c>
      <c r="I680" s="1096" t="s">
        <v>5224</v>
      </c>
      <c r="J680" s="1096" t="s">
        <v>5224</v>
      </c>
      <c r="K680" s="1096" t="s">
        <v>5224</v>
      </c>
      <c r="L680" s="1096">
        <v>0</v>
      </c>
      <c r="M680" s="1096" t="s">
        <v>5224</v>
      </c>
      <c r="N680" s="1096" t="s">
        <v>4631</v>
      </c>
      <c r="O680" s="1028"/>
      <c r="P680" s="1028" t="s">
        <v>780</v>
      </c>
      <c r="Q680" s="1097">
        <f t="shared" ca="1" si="655"/>
        <v>17</v>
      </c>
      <c r="R680" s="1034"/>
      <c r="S680" s="1028" t="s">
        <v>3616</v>
      </c>
      <c r="T680" s="1097">
        <f t="shared" ca="1" si="656"/>
        <v>17</v>
      </c>
      <c r="U680" s="1027">
        <v>5</v>
      </c>
      <c r="V680" s="1027">
        <f t="shared" si="657"/>
        <v>6</v>
      </c>
      <c r="W680" s="1098" t="e">
        <f>IF(OR(I680&lt;&gt;"N",E680="C"),IF(AND(N680&lt;&gt;"T",ISNUMBER(FIND("V",I680))),1,0),NA())+IF(H680="Y",IF(AND(N680="P",ISNUMBER(FIND("Z",I680))),2,1),0)+IF(J680="Y",1,0)+IF(K680="Y",3,0)+IF(BE680="Lore",L680*2+Experience!$D$25,0)+IF(M680="Y",1,0)</f>
        <v>#N/A</v>
      </c>
      <c r="X680" s="1099"/>
      <c r="Y680" s="1100">
        <f ca="1">IF(P680="NS",IFERROR(INDIRECT(S680),NA()),VLOOKUP(INDIRECT(P680)+INDIRECT(S680),'System Lookups'!$A$3:$D$146,2))</f>
        <v>0.1</v>
      </c>
      <c r="Z680" s="1100">
        <f t="shared" si="658"/>
        <v>0</v>
      </c>
      <c r="AA680" s="1101">
        <f t="shared" ca="1" si="670"/>
        <v>0.1</v>
      </c>
      <c r="AB680" s="1102">
        <f>VLOOKUP(V680,'System Lookups'!$J$55:$P$64,3)</f>
        <v>0.05</v>
      </c>
      <c r="AC680" s="1103">
        <f>VLOOKUP(V680,'System Lookups'!$J$55:$P$64,4)</f>
        <v>0.1</v>
      </c>
      <c r="AD680" s="1104">
        <f t="shared" si="660"/>
        <v>0</v>
      </c>
      <c r="AE680" s="1094">
        <f>(IF(AD680&gt;VLOOKUP(V680,'System Lookups'!$J$55:$P$63,6),(((AD680-VLOOKUP(V680,'System Lookups'!$J$55:$P$63,6))*100)/20),0))+AF680</f>
        <v>0</v>
      </c>
      <c r="AF680" s="1121"/>
      <c r="AG680" s="1092">
        <f t="shared" si="661"/>
        <v>0</v>
      </c>
      <c r="AH680" s="1092" t="str">
        <f>IF(X680&lt;=Experience!$R$15+1,"","*")</f>
        <v/>
      </c>
      <c r="AI680" s="1092"/>
      <c r="AJ680" s="1080">
        <f t="shared" si="662"/>
        <v>0</v>
      </c>
      <c r="AK680" s="1080">
        <f t="shared" si="663"/>
        <v>0</v>
      </c>
      <c r="AL680" s="1080">
        <f t="shared" si="664"/>
        <v>0</v>
      </c>
      <c r="AM680" s="1092">
        <f t="shared" si="671"/>
        <v>0</v>
      </c>
      <c r="AN680" s="1080">
        <f t="shared" si="672"/>
        <v>1</v>
      </c>
      <c r="AO680" s="1080">
        <f t="shared" si="667"/>
        <v>0</v>
      </c>
      <c r="AP680" s="1080">
        <f t="shared" si="668"/>
        <v>1</v>
      </c>
      <c r="AQ680" s="1027">
        <f>VLOOKUP(V680,'System Lookups'!$J$55:$P$64,7)</f>
        <v>800</v>
      </c>
      <c r="AR680" s="1080" t="str">
        <f ca="1">IF(AND(NOT(ISBLANK(AJ680)),ISNA(MATCH(ROW(),'System Lookups'!$C$526:$C$539,0))),"Y","N")</f>
        <v>Y</v>
      </c>
      <c r="AS680" s="1080">
        <f t="shared" si="669"/>
        <v>0</v>
      </c>
      <c r="AU680" s="1080" t="e">
        <f t="shared" si="627"/>
        <v>#N/A</v>
      </c>
      <c r="AV680" s="1080" t="str">
        <f t="shared" si="625"/>
        <v>T</v>
      </c>
      <c r="AW680" s="1080">
        <f t="shared" si="628"/>
        <v>0</v>
      </c>
      <c r="AX680" s="1080">
        <f t="shared" si="629"/>
        <v>0</v>
      </c>
      <c r="AY680" s="1080">
        <f t="shared" si="630"/>
        <v>0</v>
      </c>
      <c r="AZ680" s="1080">
        <f t="shared" si="631"/>
        <v>0</v>
      </c>
      <c r="BA680" s="1080">
        <f t="shared" si="632"/>
        <v>0</v>
      </c>
      <c r="BB680" s="1080">
        <f>IF(AND(RACE=1,'Main Creation Page'!$E$6="Well",OR(ISNUMBER(FIND(Experience!$G$11,BE680)),ISNUMBER(FIND(Experience!$G$11,BF680)),ISNUMBER(FIND(Experience!$I$11,BE680)),ISNUMBER(FIND(Experience!$I$11,BF680)))),1,0)</f>
        <v>1</v>
      </c>
      <c r="BC680" s="1080" t="str">
        <f t="shared" si="635"/>
        <v>Divination</v>
      </c>
      <c r="BE680" s="1080" t="str">
        <f t="shared" si="626"/>
        <v>Lore</v>
      </c>
      <c r="BF680" s="1080" t="str">
        <f t="shared" si="636"/>
        <v>Materia Magica Skills</v>
      </c>
    </row>
    <row r="681" spans="1:58" ht="11.1" hidden="1" customHeight="1" outlineLevel="2">
      <c r="A681" s="1149" t="s">
        <v>2544</v>
      </c>
      <c r="B681" s="1034"/>
      <c r="C681" s="1034"/>
      <c r="D681" s="1034"/>
      <c r="F681" s="1150"/>
      <c r="AE681" s="1034"/>
      <c r="AF681" s="1132"/>
      <c r="AI681" s="1034"/>
      <c r="AR681" s="1080" t="str">
        <f ca="1">IF(AND(NOT(ISBLANK(AJ681)),ISNA(MATCH(ROW(),'System Lookups'!$C$526:$C$539,0))),"Y","N")</f>
        <v>N</v>
      </c>
      <c r="AU681" s="1080" t="e">
        <f t="shared" si="627"/>
        <v>#N/A</v>
      </c>
      <c r="AV681" s="1080" t="str">
        <f t="shared" si="625"/>
        <v/>
      </c>
      <c r="AW681" s="1080">
        <f t="shared" si="628"/>
        <v>0</v>
      </c>
      <c r="AX681" s="1080">
        <f t="shared" si="629"/>
        <v>0</v>
      </c>
      <c r="AY681" s="1080">
        <f t="shared" si="630"/>
        <v>0</v>
      </c>
      <c r="AZ681" s="1080">
        <f t="shared" si="631"/>
        <v>0</v>
      </c>
      <c r="BA681" s="1080">
        <f t="shared" si="632"/>
        <v>0</v>
      </c>
      <c r="BB681" s="1080">
        <f>IF(AND(RACE=1,'Main Creation Page'!$E$6="Well",OR(ISNUMBER(FIND(Experience!$G$11,BE681)),ISNUMBER(FIND(Experience!$G$11,BF681)),ISNUMBER(FIND(Experience!$I$11,BE681)),ISNUMBER(FIND(Experience!$I$11,BF681)))),1,0)</f>
        <v>1</v>
      </c>
      <c r="BC681" s="1080" t="e">
        <f t="shared" si="635"/>
        <v>#N/A</v>
      </c>
      <c r="BE681" s="1080" t="str">
        <f t="shared" si="626"/>
        <v>Lore</v>
      </c>
      <c r="BF681" s="1080" t="str">
        <f t="shared" si="636"/>
        <v>Materia Magica Skills</v>
      </c>
    </row>
    <row r="682" spans="1:58" ht="11.1" hidden="1" customHeight="1" outlineLevel="3">
      <c r="A682" s="1093" t="s">
        <v>4792</v>
      </c>
      <c r="B682" s="1094" t="s">
        <v>1942</v>
      </c>
      <c r="C682" s="1094"/>
      <c r="D682" s="1094"/>
      <c r="E682" s="1095" t="s">
        <v>5224</v>
      </c>
      <c r="F682" s="1147" t="str">
        <f>IF(ISNA(VLOOKUP('Main Creation Page'!$AC$2,Mage_Specialization,2,0)),"N",IF(VLOOKUP('Main Creation Page'!$AC$2,Mage_Specialization,2,0)=$A682,"S","N"))</f>
        <v>N</v>
      </c>
      <c r="G682" s="1096">
        <v>0</v>
      </c>
      <c r="H682" s="1096" t="s">
        <v>5224</v>
      </c>
      <c r="I682" s="1096" t="s">
        <v>5224</v>
      </c>
      <c r="J682" s="1096" t="s">
        <v>5224</v>
      </c>
      <c r="K682" s="1096" t="s">
        <v>5224</v>
      </c>
      <c r="L682" s="1096">
        <v>0</v>
      </c>
      <c r="M682" s="1096" t="s">
        <v>5224</v>
      </c>
      <c r="N682" s="1096" t="s">
        <v>4631</v>
      </c>
      <c r="O682" s="1028"/>
      <c r="P682" s="1028" t="s">
        <v>780</v>
      </c>
      <c r="Q682" s="1097">
        <f t="shared" ref="Q682:Q685" ca="1" si="673">INDIRECT(P682)</f>
        <v>17</v>
      </c>
      <c r="R682" s="1028"/>
      <c r="S682" s="1028" t="s">
        <v>3613</v>
      </c>
      <c r="T682" s="1097">
        <f t="shared" ref="T682:T685" ca="1" si="674">INDIRECT(S682)</f>
        <v>15</v>
      </c>
      <c r="U682" s="1027">
        <v>6</v>
      </c>
      <c r="V682" s="1027">
        <f>IF(AP682+U682&gt;10,10,IF(AP682+U682&lt;1,1,AP682+U682))</f>
        <v>7</v>
      </c>
      <c r="W682" s="1098" t="e">
        <f>IF(OR(I682&lt;&gt;"N",E682="C"),IF(AND(N682&lt;&gt;"T",ISNUMBER(FIND("V",I682))),1,0),NA())+IF(H682="Y",IF(AND(N682="P",ISNUMBER(FIND("Z",I682))),2,1),0)+IF(J682="Y",1,0)+IF(K682="Y",3,0)+IF(BE682="Lore",L682*2+Experience!$D$25,0)+IF(M682="Y",1,0)</f>
        <v>#N/A</v>
      </c>
      <c r="X682" s="1099"/>
      <c r="Y682" s="1100">
        <f ca="1">IF(P682="NS",IFERROR(INDIRECT(S682),NA()),VLOOKUP(INDIRECT(P682)+INDIRECT(S682),'System Lookups'!$A$3:$D$146,2))</f>
        <v>0.08</v>
      </c>
      <c r="Z682" s="1100">
        <f>IF(ISNA(W682),0,W682*0.03)+IF(X682&gt;0,X682*0.03,0)+IF(AND(ISNA(W682),X682&lt;=0),0,IF(G682&gt;0,G682*0.07,0))</f>
        <v>0</v>
      </c>
      <c r="AA682" s="1101">
        <f t="shared" ca="1" si="670"/>
        <v>0.08</v>
      </c>
      <c r="AB682" s="1102">
        <f>VLOOKUP(V682,'System Lookups'!$J$55:$P$64,3)</f>
        <v>0.03</v>
      </c>
      <c r="AC682" s="1103">
        <f>VLOOKUP(V682,'System Lookups'!$J$55:$P$64,4)</f>
        <v>7.0000000000000007E-2</v>
      </c>
      <c r="AD682" s="1104">
        <f>IF(AND(ISBLANK(X682),ISNA(W682)),IF(B682="~",0,AB682+AA682+IF(BB682&gt;0,0.05,0)),AA682+AC682+IF(BB682&gt;0,0.05,0))</f>
        <v>0</v>
      </c>
      <c r="AE682" s="1094">
        <f>(IF(AD682&gt;VLOOKUP(V682,'System Lookups'!$J$55:$P$63,6),(((AD682-VLOOKUP(V682,'System Lookups'!$J$55:$P$63,6))*100)/20),0))+AF682</f>
        <v>0</v>
      </c>
      <c r="AF682" s="1121"/>
      <c r="AG682" s="1092">
        <f>IF(ISBLANK(X682),0,AQ682*X682+IF(ISNA(W682),1,0))</f>
        <v>0</v>
      </c>
      <c r="AH682" s="1092" t="str">
        <f>IF(X682&lt;=Experience!$R$15+1,"","*")</f>
        <v/>
      </c>
      <c r="AI682" s="1092"/>
      <c r="AJ682" s="1080">
        <f t="shared" ref="AJ682:AJ685" si="675">IF(ISNUMBER(FIND("R",F682)),-1,0)</f>
        <v>0</v>
      </c>
      <c r="AK682" s="1080">
        <f t="shared" si="663"/>
        <v>0</v>
      </c>
      <c r="AL682" s="1080">
        <f t="shared" ref="AL682:AL685" si="676">IF(AND(H682="Y",OR(N682="P",N682="S")),-1,0)</f>
        <v>0</v>
      </c>
      <c r="AM682" s="1092">
        <f t="shared" si="671"/>
        <v>0</v>
      </c>
      <c r="AN682" s="1080">
        <f t="shared" si="672"/>
        <v>1</v>
      </c>
      <c r="AO682" s="1080">
        <f t="shared" ref="AO682:AO685" si="677">IF(ISNUMBER(FIND("Z",I682)),1,0)</f>
        <v>0</v>
      </c>
      <c r="AP682" s="1080">
        <f>SUM(AJ682:AN682)-AM682</f>
        <v>1</v>
      </c>
      <c r="AQ682" s="1027">
        <f>VLOOKUP(V682,'System Lookups'!$J$55:$P$64,7)</f>
        <v>1000</v>
      </c>
      <c r="AR682" s="1080" t="str">
        <f ca="1">IF(AND(NOT(ISBLANK(AJ682)),ISNA(MATCH(ROW(),'System Lookups'!$C$526:$C$539,0))),"Y","N")</f>
        <v>Y</v>
      </c>
      <c r="AS682" s="1080">
        <f>AG682-AI682</f>
        <v>0</v>
      </c>
      <c r="AU682" s="1080" t="e">
        <f t="shared" si="627"/>
        <v>#N/A</v>
      </c>
      <c r="AV682" s="1080" t="str">
        <f t="shared" si="625"/>
        <v>T</v>
      </c>
      <c r="AW682" s="1080">
        <f t="shared" si="628"/>
        <v>0</v>
      </c>
      <c r="AX682" s="1080">
        <f t="shared" si="629"/>
        <v>0</v>
      </c>
      <c r="AY682" s="1080">
        <f t="shared" si="630"/>
        <v>0</v>
      </c>
      <c r="AZ682" s="1080">
        <f t="shared" si="631"/>
        <v>0</v>
      </c>
      <c r="BA682" s="1080">
        <f t="shared" si="632"/>
        <v>0</v>
      </c>
      <c r="BB682" s="1080">
        <f>IF(AND(RACE=1,'Main Creation Page'!$E$6="Well",OR(ISNUMBER(FIND(Experience!$G$11,BE682)),ISNUMBER(FIND(Experience!$G$11,BF682)),ISNUMBER(FIND(Experience!$I$11,BE682)),ISNUMBER(FIND(Experience!$I$11,BF682)))),1,0)</f>
        <v>1</v>
      </c>
      <c r="BC682" s="1080" t="str">
        <f t="shared" si="635"/>
        <v>Hexmaster</v>
      </c>
      <c r="BE682" s="1080" t="str">
        <f t="shared" si="626"/>
        <v>Lore</v>
      </c>
      <c r="BF682" s="1080" t="str">
        <f t="shared" si="636"/>
        <v>Materia Magica Skills</v>
      </c>
    </row>
    <row r="683" spans="1:58" ht="11.1" hidden="1" customHeight="1" outlineLevel="3">
      <c r="A683" s="1093" t="s">
        <v>2545</v>
      </c>
      <c r="B683" s="1094" t="s">
        <v>1942</v>
      </c>
      <c r="C683" s="1094"/>
      <c r="D683" s="1094"/>
      <c r="E683" s="1095" t="s">
        <v>5224</v>
      </c>
      <c r="F683" s="1147" t="str">
        <f>IF(ISNA(VLOOKUP('Main Creation Page'!$AC$2,Mage_Specialization,2,0)),"N",IF(VLOOKUP('Main Creation Page'!$AC$2,Mage_Specialization,2,0)=$A683,"S","N"))</f>
        <v>N</v>
      </c>
      <c r="G683" s="1096">
        <v>0</v>
      </c>
      <c r="H683" s="1096" t="s">
        <v>5224</v>
      </c>
      <c r="I683" s="1096" t="s">
        <v>5224</v>
      </c>
      <c r="J683" s="1096" t="s">
        <v>5224</v>
      </c>
      <c r="K683" s="1096" t="s">
        <v>5224</v>
      </c>
      <c r="L683" s="1096">
        <v>0</v>
      </c>
      <c r="M683" s="1096" t="s">
        <v>5224</v>
      </c>
      <c r="N683" s="1096" t="s">
        <v>4631</v>
      </c>
      <c r="O683" s="1028"/>
      <c r="P683" s="1028" t="s">
        <v>3615</v>
      </c>
      <c r="Q683" s="1097">
        <f t="shared" ca="1" si="673"/>
        <v>20</v>
      </c>
      <c r="R683" s="1028"/>
      <c r="S683" s="1028" t="s">
        <v>3614</v>
      </c>
      <c r="T683" s="1097">
        <f t="shared" ca="1" si="674"/>
        <v>15</v>
      </c>
      <c r="U683" s="1027">
        <v>6</v>
      </c>
      <c r="V683" s="1027">
        <f>IF(AP683+U683&gt;10,10,IF(AP683+U683&lt;1,1,AP683+U683))</f>
        <v>7</v>
      </c>
      <c r="W683" s="1098" t="e">
        <f>IF(OR(I683&lt;&gt;"N",E683="C"),IF(AND(N683&lt;&gt;"T",ISNUMBER(FIND("V",I683))),1,0),NA())+IF(H683="Y",IF(AND(N683="P",ISNUMBER(FIND("Z",I683))),2,1),0)+IF(J683="Y",1,0)+IF(K683="Y",3,0)+IF(BE683="Lore",L683*2+Experience!$D$25,0)+IF(M683="Y",1,0)</f>
        <v>#N/A</v>
      </c>
      <c r="X683" s="1099"/>
      <c r="Y683" s="1100">
        <f ca="1">IF(P683="NS",IFERROR(INDIRECT(S683),NA()),VLOOKUP(INDIRECT(P683)+INDIRECT(S683),'System Lookups'!$A$3:$D$146,2))</f>
        <v>0.12</v>
      </c>
      <c r="Z683" s="1100">
        <f>IF(ISNA(W683),0,W683*0.03)+IF(X683&gt;0,X683*0.03,0)+IF(AND(ISNA(W683),X683&lt;=0),0,IF(G683&gt;0,G683*0.07,0))</f>
        <v>0</v>
      </c>
      <c r="AA683" s="1101">
        <f t="shared" ca="1" si="670"/>
        <v>0.12</v>
      </c>
      <c r="AB683" s="1102">
        <f>VLOOKUP(V683,'System Lookups'!$J$55:$P$64,3)</f>
        <v>0.03</v>
      </c>
      <c r="AC683" s="1103">
        <f>VLOOKUP(V683,'System Lookups'!$J$55:$P$64,4)</f>
        <v>7.0000000000000007E-2</v>
      </c>
      <c r="AD683" s="1104">
        <f>IF(AND(ISBLANK(X683),ISNA(W683)),IF(B683="~",0,AB683+AA683+IF(BB683&gt;0,0.05,0)),AA683+AC683+IF(BB683&gt;0,0.05,0))</f>
        <v>0</v>
      </c>
      <c r="AE683" s="1094">
        <f>(IF(AD683&gt;VLOOKUP(V683,'System Lookups'!$J$55:$P$63,6),(((AD683-VLOOKUP(V683,'System Lookups'!$J$55:$P$63,6))*100)/20),0))+AF683</f>
        <v>0</v>
      </c>
      <c r="AF683" s="1121"/>
      <c r="AG683" s="1092">
        <f>IF(ISBLANK(X683),0,AQ683*X683+IF(ISNA(W683),1,0))</f>
        <v>0</v>
      </c>
      <c r="AH683" s="1092" t="str">
        <f>IF(X683&lt;=Experience!$R$15+1,"","*")</f>
        <v/>
      </c>
      <c r="AI683" s="1092"/>
      <c r="AJ683" s="1080">
        <f t="shared" si="675"/>
        <v>0</v>
      </c>
      <c r="AK683" s="1080">
        <f t="shared" si="663"/>
        <v>0</v>
      </c>
      <c r="AL683" s="1080">
        <f t="shared" si="676"/>
        <v>0</v>
      </c>
      <c r="AM683" s="1092">
        <f t="shared" si="671"/>
        <v>0</v>
      </c>
      <c r="AN683" s="1080">
        <f t="shared" si="672"/>
        <v>1</v>
      </c>
      <c r="AO683" s="1080">
        <f t="shared" si="677"/>
        <v>0</v>
      </c>
      <c r="AP683" s="1080">
        <f>SUM(AJ683:AN683)-AM683</f>
        <v>1</v>
      </c>
      <c r="AQ683" s="1027">
        <f>VLOOKUP(V683,'System Lookups'!$J$55:$P$64,7)</f>
        <v>1000</v>
      </c>
      <c r="AR683" s="1080" t="str">
        <f ca="1">IF(AND(NOT(ISBLANK(AJ683)),ISNA(MATCH(ROW(),'System Lookups'!$C$526:$C$539,0))),"Y","N")</f>
        <v>Y</v>
      </c>
      <c r="AS683" s="1080">
        <f>AG683-AI683</f>
        <v>0</v>
      </c>
      <c r="AU683" s="1080" t="e">
        <f t="shared" si="627"/>
        <v>#N/A</v>
      </c>
      <c r="AV683" s="1080" t="str">
        <f t="shared" si="625"/>
        <v>T</v>
      </c>
      <c r="AW683" s="1080">
        <f t="shared" si="628"/>
        <v>0</v>
      </c>
      <c r="AX683" s="1080">
        <f t="shared" si="629"/>
        <v>0</v>
      </c>
      <c r="AY683" s="1080">
        <f t="shared" si="630"/>
        <v>0</v>
      </c>
      <c r="AZ683" s="1080">
        <f t="shared" si="631"/>
        <v>0</v>
      </c>
      <c r="BA683" s="1080">
        <f t="shared" si="632"/>
        <v>0</v>
      </c>
      <c r="BB683" s="1080">
        <f>IF(AND(RACE=1,'Main Creation Page'!$E$6="Well",OR(ISNUMBER(FIND(Experience!$G$11,BE683)),ISNUMBER(FIND(Experience!$G$11,BF683)),ISNUMBER(FIND(Experience!$I$11,BE683)),ISNUMBER(FIND(Experience!$I$11,BF683)))),1,0)</f>
        <v>1</v>
      </c>
      <c r="BC683" s="1080" t="str">
        <f t="shared" si="635"/>
        <v>Armourer Magus</v>
      </c>
      <c r="BE683" s="1080" t="str">
        <f t="shared" si="626"/>
        <v>Lore</v>
      </c>
      <c r="BF683" s="1080" t="str">
        <f t="shared" si="636"/>
        <v>Materia Magica Skills</v>
      </c>
    </row>
    <row r="684" spans="1:58" ht="11.1" hidden="1" customHeight="1" outlineLevel="3">
      <c r="A684" s="1093" t="s">
        <v>4281</v>
      </c>
      <c r="B684" s="1094" t="s">
        <v>1942</v>
      </c>
      <c r="C684" s="1094"/>
      <c r="D684" s="1094"/>
      <c r="E684" s="1095" t="s">
        <v>5224</v>
      </c>
      <c r="F684" s="1147" t="str">
        <f>IF(ISNA(VLOOKUP('Main Creation Page'!$AC$2,Mage_Specialization,2,0)),"N",IF(VLOOKUP('Main Creation Page'!$AC$2,Mage_Specialization,2,0)=$A684,"S","N"))</f>
        <v>N</v>
      </c>
      <c r="G684" s="1096">
        <v>0</v>
      </c>
      <c r="H684" s="1096" t="s">
        <v>5224</v>
      </c>
      <c r="I684" s="1096" t="s">
        <v>5224</v>
      </c>
      <c r="J684" s="1096" t="s">
        <v>5224</v>
      </c>
      <c r="K684" s="1096" t="s">
        <v>5224</v>
      </c>
      <c r="L684" s="1096">
        <v>0</v>
      </c>
      <c r="M684" s="1096" t="s">
        <v>5224</v>
      </c>
      <c r="N684" s="1096" t="s">
        <v>4631</v>
      </c>
      <c r="O684" s="1028"/>
      <c r="P684" s="1028" t="s">
        <v>3615</v>
      </c>
      <c r="Q684" s="1097">
        <f t="shared" ca="1" si="673"/>
        <v>20</v>
      </c>
      <c r="R684" s="1028"/>
      <c r="S684" s="1028" t="s">
        <v>3614</v>
      </c>
      <c r="T684" s="1097">
        <f t="shared" ca="1" si="674"/>
        <v>15</v>
      </c>
      <c r="U684" s="1027">
        <v>6</v>
      </c>
      <c r="V684" s="1027">
        <f>IF(AP684+U684&gt;10,10,IF(AP684+U684&lt;1,1,AP684+U684))</f>
        <v>7</v>
      </c>
      <c r="W684" s="1098" t="e">
        <f>IF(OR(I684&lt;&gt;"N",E684="C"),IF(AND(N684&lt;&gt;"T",ISNUMBER(FIND("V",I684))),1,0),NA())+IF(H684="Y",IF(AND(N684="P",ISNUMBER(FIND("Z",I684))),2,1),0)+IF(J684="Y",1,0)+IF(K684="Y",3,0)+IF(BE684="Lore",L684*2+Experience!$D$25,0)+IF(M684="Y",1,0)</f>
        <v>#N/A</v>
      </c>
      <c r="X684" s="1099"/>
      <c r="Y684" s="1100">
        <f ca="1">IF(P684="NS",IFERROR(INDIRECT(S684),NA()),VLOOKUP(INDIRECT(P684)+INDIRECT(S684),'System Lookups'!$A$3:$D$146,2))</f>
        <v>0.12</v>
      </c>
      <c r="Z684" s="1100">
        <f>IF(ISNA(W684),0,W684*0.03)+IF(X684&gt;0,X684*0.03,0)+IF(AND(ISNA(W684),X684&lt;=0),0,IF(G684&gt;0,G684*0.07,0))</f>
        <v>0</v>
      </c>
      <c r="AA684" s="1101">
        <f t="shared" ca="1" si="670"/>
        <v>0.12</v>
      </c>
      <c r="AB684" s="1102">
        <f>VLOOKUP(V684,'System Lookups'!$J$55:$P$64,3)</f>
        <v>0.03</v>
      </c>
      <c r="AC684" s="1103">
        <f>VLOOKUP(V684,'System Lookups'!$J$55:$P$64,4)</f>
        <v>7.0000000000000007E-2</v>
      </c>
      <c r="AD684" s="1104">
        <f>IF(AND(ISBLANK(X684),ISNA(W684)),IF(B684="~",0,AB684+AA684+IF(BB684&gt;0,0.05,0)),AA684+AC684+IF(BB684&gt;0,0.05,0))</f>
        <v>0</v>
      </c>
      <c r="AE684" s="1094">
        <f>(IF(AD684&gt;VLOOKUP(V684,'System Lookups'!$J$55:$P$63,6),(((AD684-VLOOKUP(V684,'System Lookups'!$J$55:$P$63,6))*100)/20),0))+AF684</f>
        <v>0</v>
      </c>
      <c r="AF684" s="1121"/>
      <c r="AG684" s="1092">
        <f>IF(ISBLANK(X684),0,AQ684*X684+IF(ISNA(W684),1,0))</f>
        <v>0</v>
      </c>
      <c r="AH684" s="1092" t="str">
        <f>IF(X684&lt;=Experience!$R$15+1,"","*")</f>
        <v/>
      </c>
      <c r="AI684" s="1092"/>
      <c r="AJ684" s="1080">
        <f t="shared" si="675"/>
        <v>0</v>
      </c>
      <c r="AK684" s="1080">
        <f t="shared" si="663"/>
        <v>0</v>
      </c>
      <c r="AL684" s="1080">
        <f t="shared" si="676"/>
        <v>0</v>
      </c>
      <c r="AM684" s="1092">
        <f t="shared" si="671"/>
        <v>0</v>
      </c>
      <c r="AN684" s="1080">
        <f t="shared" si="672"/>
        <v>1</v>
      </c>
      <c r="AO684" s="1080">
        <f t="shared" si="677"/>
        <v>0</v>
      </c>
      <c r="AP684" s="1080">
        <f>SUM(AJ684:AN684)-AM684</f>
        <v>1</v>
      </c>
      <c r="AQ684" s="1027">
        <f>VLOOKUP(V684,'System Lookups'!$J$55:$P$64,7)</f>
        <v>1000</v>
      </c>
      <c r="AR684" s="1080" t="str">
        <f ca="1">IF(AND(NOT(ISBLANK(AJ684)),ISNA(MATCH(ROW(),'System Lookups'!$C$526:$C$539,0))),"Y","N")</f>
        <v>Y</v>
      </c>
      <c r="AS684" s="1080">
        <f>AG684-AI684</f>
        <v>0</v>
      </c>
      <c r="AU684" s="1080" t="e">
        <f t="shared" si="627"/>
        <v>#N/A</v>
      </c>
      <c r="AV684" s="1080" t="str">
        <f t="shared" si="625"/>
        <v>T</v>
      </c>
      <c r="AW684" s="1080">
        <f t="shared" si="628"/>
        <v>0</v>
      </c>
      <c r="AX684" s="1080">
        <f t="shared" si="629"/>
        <v>0</v>
      </c>
      <c r="AY684" s="1080">
        <f t="shared" si="630"/>
        <v>0</v>
      </c>
      <c r="AZ684" s="1080">
        <f t="shared" si="631"/>
        <v>0</v>
      </c>
      <c r="BA684" s="1080">
        <f t="shared" si="632"/>
        <v>0</v>
      </c>
      <c r="BB684" s="1080">
        <f>IF(AND(RACE=1,'Main Creation Page'!$E$6="Well",OR(ISNUMBER(FIND(Experience!$G$11,BE684)),ISNUMBER(FIND(Experience!$G$11,BF684)),ISNUMBER(FIND(Experience!$I$11,BE684)),ISNUMBER(FIND(Experience!$I$11,BF684)))),1,0)</f>
        <v>1</v>
      </c>
      <c r="BC684" s="1080" t="str">
        <f t="shared" si="635"/>
        <v>Weaponsmith Magus</v>
      </c>
      <c r="BE684" s="1080" t="str">
        <f t="shared" si="626"/>
        <v>Lore</v>
      </c>
      <c r="BF684" s="1080" t="str">
        <f t="shared" si="636"/>
        <v>Materia Magica Skills</v>
      </c>
    </row>
    <row r="685" spans="1:58" ht="11.1" hidden="1" customHeight="1" outlineLevel="2">
      <c r="A685" s="1028" t="s">
        <v>1627</v>
      </c>
      <c r="B685" s="1094" t="s">
        <v>1942</v>
      </c>
      <c r="C685" s="1094"/>
      <c r="D685" s="1094"/>
      <c r="E685" s="1095" t="s">
        <v>5224</v>
      </c>
      <c r="F685" s="1147" t="str">
        <f>IF(ISNA(VLOOKUP('Main Creation Page'!$AC$2,Mage_Specialization,2,0)),"N",IF(VLOOKUP('Main Creation Page'!$AC$2,Mage_Specialization,2,0)=$A685,"S","N"))</f>
        <v>N</v>
      </c>
      <c r="G685" s="1096">
        <v>0</v>
      </c>
      <c r="H685" s="1096" t="s">
        <v>5224</v>
      </c>
      <c r="I685" s="1096" t="s">
        <v>5224</v>
      </c>
      <c r="J685" s="1096" t="s">
        <v>5224</v>
      </c>
      <c r="K685" s="1096" t="s">
        <v>5224</v>
      </c>
      <c r="L685" s="1096">
        <v>0</v>
      </c>
      <c r="M685" s="1096" t="s">
        <v>5224</v>
      </c>
      <c r="N685" s="1096" t="s">
        <v>4631</v>
      </c>
      <c r="O685" s="1028"/>
      <c r="P685" s="1028" t="s">
        <v>780</v>
      </c>
      <c r="Q685" s="1097">
        <f t="shared" ca="1" si="673"/>
        <v>17</v>
      </c>
      <c r="R685" s="1028"/>
      <c r="S685" s="1028" t="s">
        <v>3612</v>
      </c>
      <c r="T685" s="1097">
        <f t="shared" ca="1" si="674"/>
        <v>10</v>
      </c>
      <c r="U685" s="1027">
        <v>6</v>
      </c>
      <c r="V685" s="1027">
        <f>IF(AP685+U685&gt;10,10,IF(AP685+U685&lt;1,1,AP685+U685))</f>
        <v>7</v>
      </c>
      <c r="W685" s="1098" t="e">
        <f>IF(OR(I685&lt;&gt;"N",E685="C"),IF(AND(N685&lt;&gt;"T",ISNUMBER(FIND("V",I685))),1,0),NA())+IF(H685="Y",IF(AND(N685="P",ISNUMBER(FIND("Z",I685))),2,1),0)+IF(J685="Y",1,0)+IF(K685="Y",3,0)+IF(BE685="Lore",L685*2+Experience!$D$25,0)+IF(M685="Y",1,0)</f>
        <v>#N/A</v>
      </c>
      <c r="X685" s="1099"/>
      <c r="Y685" s="1100">
        <f ca="1">IF(P685="NS",IFERROR(INDIRECT(S685),NA()),VLOOKUP(INDIRECT(P685)+INDIRECT(S685),'System Lookups'!$A$3:$D$146,2))</f>
        <v>0.04</v>
      </c>
      <c r="Z685" s="1100">
        <f>IF(ISNA(W685),0,W685*0.03)+IF(X685&gt;0,X685*0.03,0)+IF(AND(ISNA(W685),X685&lt;=0),0,IF(G685&gt;0,G685*0.07,0))</f>
        <v>0</v>
      </c>
      <c r="AA685" s="1101">
        <f t="shared" ca="1" si="670"/>
        <v>0.04</v>
      </c>
      <c r="AB685" s="1102">
        <f>VLOOKUP(V685,'System Lookups'!$J$55:$P$64,3)</f>
        <v>0.03</v>
      </c>
      <c r="AC685" s="1103">
        <f>VLOOKUP(V685,'System Lookups'!$J$55:$P$64,4)</f>
        <v>7.0000000000000007E-2</v>
      </c>
      <c r="AD685" s="1104">
        <f>IF(AND(ISBLANK(X685),ISNA(W685)),IF(B685="~",0,AB685+AA685+IF(BB685&gt;0,0.05,0)),AA685+AC685+IF(BB685&gt;0,0.05,0))</f>
        <v>0</v>
      </c>
      <c r="AE685" s="1094">
        <f>(IF(AD685&gt;VLOOKUP(V685,'System Lookups'!$J$55:$P$63,6),(((AD685-VLOOKUP(V685,'System Lookups'!$J$55:$P$63,6))*100)/20),0))+AF685</f>
        <v>0</v>
      </c>
      <c r="AF685" s="1121"/>
      <c r="AG685" s="1092">
        <f>IF(ISBLANK(X685),0,AQ685*X685+IF(ISNA(W685),1,0))</f>
        <v>0</v>
      </c>
      <c r="AH685" s="1092" t="str">
        <f>IF(X685&lt;=Experience!$R$15+1,"","*")</f>
        <v/>
      </c>
      <c r="AI685" s="1092"/>
      <c r="AJ685" s="1080">
        <f t="shared" si="675"/>
        <v>0</v>
      </c>
      <c r="AK685" s="1080">
        <f t="shared" si="663"/>
        <v>0</v>
      </c>
      <c r="AL685" s="1080">
        <f t="shared" si="676"/>
        <v>0</v>
      </c>
      <c r="AM685" s="1092">
        <f t="shared" si="671"/>
        <v>0</v>
      </c>
      <c r="AN685" s="1080">
        <f t="shared" si="672"/>
        <v>1</v>
      </c>
      <c r="AO685" s="1080">
        <f t="shared" si="677"/>
        <v>0</v>
      </c>
      <c r="AP685" s="1080">
        <f>SUM(AJ685:AN685)-AM685</f>
        <v>1</v>
      </c>
      <c r="AQ685" s="1027">
        <f>VLOOKUP(V685,'System Lookups'!$J$55:$P$64,7)</f>
        <v>1000</v>
      </c>
      <c r="AR685" s="1080" t="str">
        <f ca="1">IF(AND(NOT(ISBLANK(AJ685)),ISNA(MATCH(ROW(),'System Lookups'!$C$526:$C$539,0))),"Y","N")</f>
        <v>Y</v>
      </c>
      <c r="AS685" s="1080">
        <f>AG685-AI685</f>
        <v>0</v>
      </c>
      <c r="AU685" s="1080" t="e">
        <f t="shared" si="627"/>
        <v>#N/A</v>
      </c>
      <c r="AV685" s="1080" t="str">
        <f t="shared" si="625"/>
        <v>T</v>
      </c>
      <c r="AW685" s="1080">
        <f t="shared" si="628"/>
        <v>0</v>
      </c>
      <c r="AX685" s="1080">
        <f t="shared" si="629"/>
        <v>0</v>
      </c>
      <c r="AY685" s="1080">
        <f t="shared" si="630"/>
        <v>0</v>
      </c>
      <c r="AZ685" s="1080">
        <f t="shared" si="631"/>
        <v>0</v>
      </c>
      <c r="BA685" s="1080">
        <f t="shared" si="632"/>
        <v>0</v>
      </c>
      <c r="BB685" s="1080">
        <f>IF(AND(RACE=1,'Main Creation Page'!$E$6="Well",OR(ISNUMBER(FIND(Experience!$G$11,BE685)),ISNUMBER(FIND(Experience!$G$11,BF685)),ISNUMBER(FIND(Experience!$I$11,BE685)),ISNUMBER(FIND(Experience!$I$11,BF685)))),1,0)</f>
        <v>1</v>
      </c>
      <c r="BC685" s="1080" t="str">
        <f t="shared" si="635"/>
        <v>Enchantment</v>
      </c>
      <c r="BE685" s="1080" t="str">
        <f t="shared" si="626"/>
        <v>Lore</v>
      </c>
      <c r="BF685" s="1080" t="str">
        <f t="shared" si="636"/>
        <v>Materia Magica Skills</v>
      </c>
    </row>
    <row r="686" spans="1:58" ht="11.1" hidden="1" customHeight="1" outlineLevel="2">
      <c r="A686" s="1149" t="s">
        <v>2542</v>
      </c>
      <c r="B686" s="1034"/>
      <c r="C686" s="1034"/>
      <c r="D686" s="1034"/>
      <c r="F686" s="1150"/>
      <c r="AE686" s="1034"/>
      <c r="AF686" s="1132"/>
      <c r="AI686" s="1034"/>
      <c r="AR686" s="1080" t="str">
        <f ca="1">IF(AND(NOT(ISBLANK(AJ686)),ISNA(MATCH(ROW(),'System Lookups'!$C$526:$C$539,0))),"Y","N")</f>
        <v>N</v>
      </c>
      <c r="AU686" s="1080" t="e">
        <f t="shared" si="627"/>
        <v>#N/A</v>
      </c>
      <c r="AV686" s="1080" t="str">
        <f t="shared" si="625"/>
        <v/>
      </c>
      <c r="AW686" s="1080">
        <f t="shared" si="628"/>
        <v>0</v>
      </c>
      <c r="AX686" s="1080">
        <f t="shared" si="629"/>
        <v>0</v>
      </c>
      <c r="AY686" s="1080">
        <f t="shared" si="630"/>
        <v>0</v>
      </c>
      <c r="AZ686" s="1080">
        <f t="shared" si="631"/>
        <v>0</v>
      </c>
      <c r="BA686" s="1080">
        <f t="shared" si="632"/>
        <v>0</v>
      </c>
      <c r="BB686" s="1080">
        <f>IF(AND(RACE=1,'Main Creation Page'!$E$6="Well",OR(ISNUMBER(FIND(Experience!$G$11,BE686)),ISNUMBER(FIND(Experience!$G$11,BF686)),ISNUMBER(FIND(Experience!$I$11,BE686)),ISNUMBER(FIND(Experience!$I$11,BF686)))),1,0)</f>
        <v>1</v>
      </c>
      <c r="BC686" s="1080" t="e">
        <f t="shared" si="635"/>
        <v>#N/A</v>
      </c>
      <c r="BE686" s="1080" t="str">
        <f t="shared" si="626"/>
        <v>Lore</v>
      </c>
      <c r="BF686" s="1080" t="str">
        <f t="shared" si="636"/>
        <v>Materia Magica Skills</v>
      </c>
    </row>
    <row r="687" spans="1:58" ht="11.1" hidden="1" customHeight="1" outlineLevel="3">
      <c r="A687" s="1028" t="s">
        <v>1159</v>
      </c>
      <c r="B687" s="1094" t="s">
        <v>1942</v>
      </c>
      <c r="C687" s="1094"/>
      <c r="D687" s="1094"/>
      <c r="E687" s="1095" t="s">
        <v>5224</v>
      </c>
      <c r="F687" s="1147" t="str">
        <f>IF(ISNA(VLOOKUP('Main Creation Page'!$AC$2,Mage_Specialization,2,0)),"N",IF(VLOOKUP('Main Creation Page'!$AC$2,Mage_Specialization,2,0)=$A687,"S","N"))</f>
        <v>N</v>
      </c>
      <c r="G687" s="1096">
        <v>0</v>
      </c>
      <c r="H687" s="1096" t="s">
        <v>5224</v>
      </c>
      <c r="I687" s="1096" t="s">
        <v>5224</v>
      </c>
      <c r="J687" s="1096" t="s">
        <v>5224</v>
      </c>
      <c r="K687" s="1096" t="s">
        <v>5224</v>
      </c>
      <c r="L687" s="1096">
        <v>0</v>
      </c>
      <c r="M687" s="1096" t="s">
        <v>5224</v>
      </c>
      <c r="N687" s="1096" t="s">
        <v>4631</v>
      </c>
      <c r="O687" s="1028"/>
      <c r="P687" s="1028" t="s">
        <v>780</v>
      </c>
      <c r="Q687" s="1097">
        <f t="shared" ref="Q687:Q691" ca="1" si="678">INDIRECT(P687)</f>
        <v>17</v>
      </c>
      <c r="R687" s="1028"/>
      <c r="S687" s="1028" t="s">
        <v>3614</v>
      </c>
      <c r="T687" s="1097">
        <f t="shared" ref="T687:T691" ca="1" si="679">INDIRECT(S687)</f>
        <v>15</v>
      </c>
      <c r="U687" s="1027">
        <v>7</v>
      </c>
      <c r="V687" s="1027">
        <f>IF(AP687+U687&gt;10,10,IF(AP687+U687&lt;1,1,AP687+U687))</f>
        <v>8</v>
      </c>
      <c r="W687" s="1098" t="e">
        <f>IF(OR(I687&lt;&gt;"N",E687="C"),IF(AND(N687&lt;&gt;"T",ISNUMBER(FIND("V",I687))),1,0),NA())+IF(H687="Y",IF(AND(N687="P",ISNUMBER(FIND("Z",I687))),2,1),0)+IF(J687="Y",1,0)+IF(K687="Y",3,0)+IF(BE687="Lore",L687*2+Experience!$D$25,0)+IF(M687="Y",1,0)</f>
        <v>#N/A</v>
      </c>
      <c r="X687" s="1099"/>
      <c r="Y687" s="1100">
        <f ca="1">IF(P687="NS",IFERROR(INDIRECT(S687),NA()),VLOOKUP(INDIRECT(P687)+INDIRECT(S687),'System Lookups'!$A$3:$D$146,2))</f>
        <v>0.08</v>
      </c>
      <c r="Z687" s="1100">
        <f>IF(ISNA(W687),0,W687*0.03)+IF(X687&gt;0,X687*0.03,0)+IF(AND(ISNA(W687),X687&lt;=0),0,IF(G687&gt;0,G687*0.07,0))</f>
        <v>0</v>
      </c>
      <c r="AA687" s="1101">
        <f t="shared" ca="1" si="670"/>
        <v>0.08</v>
      </c>
      <c r="AB687" s="1102">
        <f>VLOOKUP(V687,'System Lookups'!$J$55:$P$64,3)</f>
        <v>0.02</v>
      </c>
      <c r="AC687" s="1103">
        <f>VLOOKUP(V687,'System Lookups'!$J$55:$P$64,4)</f>
        <v>0.03</v>
      </c>
      <c r="AD687" s="1104">
        <f>IF(AND(ISBLANK(X687),ISNA(W687)),IF(B687="~",0,AB687+AA687+IF(BB687&gt;0,0.05,0)),AA687+AC687+IF(BB687&gt;0,0.05,0))</f>
        <v>0</v>
      </c>
      <c r="AE687" s="1094">
        <f>(IF(AD687&gt;VLOOKUP(V687,'System Lookups'!$J$55:$P$63,6),(((AD687-VLOOKUP(V687,'System Lookups'!$J$55:$P$63,6))*100)/20),0))+AF687</f>
        <v>0</v>
      </c>
      <c r="AF687" s="1121"/>
      <c r="AG687" s="1092">
        <f>IF(ISBLANK(X687),0,AQ687*X687+IF(ISNA(W687),1,0))</f>
        <v>0</v>
      </c>
      <c r="AH687" s="1092" t="str">
        <f>IF(X687&lt;=Experience!$R$15+1,"","*")</f>
        <v/>
      </c>
      <c r="AI687" s="1092"/>
      <c r="AJ687" s="1080">
        <f t="shared" ref="AJ687:AJ691" si="680">IF(ISNUMBER(FIND("R",F687)),-1,0)</f>
        <v>0</v>
      </c>
      <c r="AK687" s="1080">
        <f t="shared" si="663"/>
        <v>0</v>
      </c>
      <c r="AL687" s="1080">
        <f t="shared" ref="AL687:AL691" si="681">IF(AND(H687="Y",OR(N687="P",N687="S")),-1,0)</f>
        <v>0</v>
      </c>
      <c r="AM687" s="1092">
        <f t="shared" si="671"/>
        <v>0</v>
      </c>
      <c r="AN687" s="1080">
        <f t="shared" si="672"/>
        <v>1</v>
      </c>
      <c r="AO687" s="1080">
        <f t="shared" ref="AO687:AO691" si="682">IF(ISNUMBER(FIND("Z",I687)),1,0)</f>
        <v>0</v>
      </c>
      <c r="AP687" s="1080">
        <f>SUM(AJ687:AN687)-AM687</f>
        <v>1</v>
      </c>
      <c r="AQ687" s="1027">
        <f>VLOOKUP(V687,'System Lookups'!$J$55:$P$64,7)</f>
        <v>1200</v>
      </c>
      <c r="AR687" s="1080" t="str">
        <f ca="1">IF(AND(NOT(ISBLANK(AJ687)),ISNA(MATCH(ROW(),'System Lookups'!$C$526:$C$539,0))),"Y","N")</f>
        <v>Y</v>
      </c>
      <c r="AS687" s="1080">
        <f>AG687-AI687</f>
        <v>0</v>
      </c>
      <c r="AU687" s="1080" t="e">
        <f t="shared" si="627"/>
        <v>#N/A</v>
      </c>
      <c r="AV687" s="1080" t="str">
        <f t="shared" si="625"/>
        <v>T</v>
      </c>
      <c r="AW687" s="1080">
        <f t="shared" si="628"/>
        <v>0</v>
      </c>
      <c r="AX687" s="1080">
        <f t="shared" si="629"/>
        <v>0</v>
      </c>
      <c r="AY687" s="1080">
        <f t="shared" si="630"/>
        <v>0</v>
      </c>
      <c r="AZ687" s="1080">
        <f t="shared" si="631"/>
        <v>0</v>
      </c>
      <c r="BA687" s="1080">
        <f t="shared" si="632"/>
        <v>0</v>
      </c>
      <c r="BB687" s="1080">
        <f>IF(AND(RACE=1,'Main Creation Page'!$E$6="Well",OR(ISNUMBER(FIND(Experience!$G$11,BE687)),ISNUMBER(FIND(Experience!$G$11,BF687)),ISNUMBER(FIND(Experience!$I$11,BE687)),ISNUMBER(FIND(Experience!$I$11,BF687)))),1,0)</f>
        <v>1</v>
      </c>
      <c r="BC687" s="1080" t="str">
        <f t="shared" si="635"/>
        <v>Elementalist:Air</v>
      </c>
      <c r="BD687" s="1080" t="s">
        <v>6179</v>
      </c>
      <c r="BE687" s="1080" t="str">
        <f t="shared" si="626"/>
        <v>Lore</v>
      </c>
      <c r="BF687" s="1080" t="str">
        <f t="shared" si="636"/>
        <v>Materia Magica Skills</v>
      </c>
    </row>
    <row r="688" spans="1:58" ht="11.1" hidden="1" customHeight="1" outlineLevel="3">
      <c r="A688" s="1028" t="s">
        <v>3268</v>
      </c>
      <c r="B688" s="1094" t="s">
        <v>1942</v>
      </c>
      <c r="C688" s="1094"/>
      <c r="D688" s="1094"/>
      <c r="E688" s="1095" t="s">
        <v>5224</v>
      </c>
      <c r="F688" s="1147" t="str">
        <f>IF(ISNA(VLOOKUP('Main Creation Page'!$AC$2,Mage_Specialization,2,0)),"N",IF(VLOOKUP('Main Creation Page'!$AC$2,Mage_Specialization,2,0)=$A688,"S","N"))</f>
        <v>N</v>
      </c>
      <c r="G688" s="1096">
        <v>0</v>
      </c>
      <c r="H688" s="1096" t="s">
        <v>5224</v>
      </c>
      <c r="I688" s="1096" t="s">
        <v>5224</v>
      </c>
      <c r="J688" s="1096" t="s">
        <v>5224</v>
      </c>
      <c r="K688" s="1096" t="s">
        <v>5224</v>
      </c>
      <c r="L688" s="1096">
        <v>0</v>
      </c>
      <c r="M688" s="1096" t="s">
        <v>5224</v>
      </c>
      <c r="N688" s="1096" t="s">
        <v>4631</v>
      </c>
      <c r="O688" s="1028"/>
      <c r="P688" s="1028" t="s">
        <v>780</v>
      </c>
      <c r="Q688" s="1097">
        <f t="shared" ca="1" si="678"/>
        <v>17</v>
      </c>
      <c r="R688" s="1028"/>
      <c r="S688" s="1028" t="s">
        <v>3614</v>
      </c>
      <c r="T688" s="1097">
        <f t="shared" ca="1" si="679"/>
        <v>15</v>
      </c>
      <c r="U688" s="1027">
        <v>7</v>
      </c>
      <c r="V688" s="1027">
        <f>IF(AP688+U688&gt;10,10,IF(AP688+U688&lt;1,1,AP688+U688))</f>
        <v>8</v>
      </c>
      <c r="W688" s="1098" t="e">
        <f>IF(OR(I688&lt;&gt;"N",E688="C"),IF(AND(N688&lt;&gt;"T",ISNUMBER(FIND("V",I688))),1,0),NA())+IF(H688="Y",IF(AND(N688="P",ISNUMBER(FIND("Z",I688))),2,1),0)+IF(J688="Y",1,0)+IF(K688="Y",3,0)+IF(BE688="Lore",L688*2+Experience!$D$25,0)+IF(M688="Y",1,0)</f>
        <v>#N/A</v>
      </c>
      <c r="X688" s="1099"/>
      <c r="Y688" s="1100">
        <f ca="1">IF(P688="NS",IFERROR(INDIRECT(S688),NA()),VLOOKUP(INDIRECT(P688)+INDIRECT(S688),'System Lookups'!$A$3:$D$146,2))</f>
        <v>0.08</v>
      </c>
      <c r="Z688" s="1100">
        <f>IF(ISNA(W688),0,W688*0.03)+IF(X688&gt;0,X688*0.03,0)+IF(AND(ISNA(W688),X688&lt;=0),0,IF(G688&gt;0,G688*0.07,0))</f>
        <v>0</v>
      </c>
      <c r="AA688" s="1101">
        <f t="shared" ca="1" si="670"/>
        <v>0.08</v>
      </c>
      <c r="AB688" s="1102">
        <f>VLOOKUP(V688,'System Lookups'!$J$55:$P$64,3)</f>
        <v>0.02</v>
      </c>
      <c r="AC688" s="1103">
        <f>VLOOKUP(V688,'System Lookups'!$J$55:$P$64,4)</f>
        <v>0.03</v>
      </c>
      <c r="AD688" s="1104">
        <f>IF(AND(ISBLANK(X688),ISNA(W688)),IF(B688="~",0,AB688+AA688+IF(BB688&gt;0,0.05,0)),AA688+AC688+IF(BB688&gt;0,0.05,0))</f>
        <v>0</v>
      </c>
      <c r="AE688" s="1094">
        <f>(IF(AD688&gt;VLOOKUP(V688,'System Lookups'!$J$55:$P$63,6),(((AD688-VLOOKUP(V688,'System Lookups'!$J$55:$P$63,6))*100)/20),0))+AF688</f>
        <v>0</v>
      </c>
      <c r="AF688" s="1121"/>
      <c r="AG688" s="1092">
        <f>IF(ISBLANK(X688),0,AQ688*X688+IF(ISNA(W688),1,0))</f>
        <v>0</v>
      </c>
      <c r="AH688" s="1092" t="str">
        <f>IF(X688&lt;=Experience!$R$15+1,"","*")</f>
        <v/>
      </c>
      <c r="AI688" s="1092"/>
      <c r="AJ688" s="1080">
        <f t="shared" si="680"/>
        <v>0</v>
      </c>
      <c r="AK688" s="1080">
        <f t="shared" si="663"/>
        <v>0</v>
      </c>
      <c r="AL688" s="1080">
        <f t="shared" si="681"/>
        <v>0</v>
      </c>
      <c r="AM688" s="1092">
        <f t="shared" si="671"/>
        <v>0</v>
      </c>
      <c r="AN688" s="1080">
        <f t="shared" si="672"/>
        <v>1</v>
      </c>
      <c r="AO688" s="1080">
        <f t="shared" si="682"/>
        <v>0</v>
      </c>
      <c r="AP688" s="1080">
        <f>SUM(AJ688:AN688)-AM688</f>
        <v>1</v>
      </c>
      <c r="AQ688" s="1027">
        <f>VLOOKUP(V688,'System Lookups'!$J$55:$P$64,7)</f>
        <v>1200</v>
      </c>
      <c r="AR688" s="1080" t="str">
        <f ca="1">IF(AND(NOT(ISBLANK(AJ688)),ISNA(MATCH(ROW(),'System Lookups'!$C$526:$C$539,0))),"Y","N")</f>
        <v>Y</v>
      </c>
      <c r="AS688" s="1080">
        <f>AG688-AI688</f>
        <v>0</v>
      </c>
      <c r="AU688" s="1080" t="e">
        <f t="shared" si="627"/>
        <v>#N/A</v>
      </c>
      <c r="AV688" s="1080" t="str">
        <f t="shared" si="625"/>
        <v>T</v>
      </c>
      <c r="AW688" s="1080">
        <f t="shared" si="628"/>
        <v>0</v>
      </c>
      <c r="AX688" s="1080">
        <f t="shared" si="629"/>
        <v>0</v>
      </c>
      <c r="AY688" s="1080">
        <f t="shared" si="630"/>
        <v>0</v>
      </c>
      <c r="AZ688" s="1080">
        <f t="shared" si="631"/>
        <v>0</v>
      </c>
      <c r="BA688" s="1080">
        <f t="shared" si="632"/>
        <v>0</v>
      </c>
      <c r="BB688" s="1080">
        <f>IF(AND(RACE=1,'Main Creation Page'!$E$6="Well",OR(ISNUMBER(FIND(Experience!$G$11,BE688)),ISNUMBER(FIND(Experience!$G$11,BF688)),ISNUMBER(FIND(Experience!$I$11,BE688)),ISNUMBER(FIND(Experience!$I$11,BF688)))),1,0)</f>
        <v>1</v>
      </c>
      <c r="BC688" s="1080" t="str">
        <f t="shared" si="635"/>
        <v>Elementalist:Earth</v>
      </c>
      <c r="BD688" s="1080" t="s">
        <v>6179</v>
      </c>
      <c r="BE688" s="1080" t="str">
        <f t="shared" si="626"/>
        <v>Lore</v>
      </c>
      <c r="BF688" s="1080" t="str">
        <f t="shared" si="636"/>
        <v>Materia Magica Skills</v>
      </c>
    </row>
    <row r="689" spans="1:58" ht="11.1" hidden="1" customHeight="1" outlineLevel="3">
      <c r="A689" s="1028" t="s">
        <v>4814</v>
      </c>
      <c r="B689" s="1094" t="s">
        <v>1942</v>
      </c>
      <c r="C689" s="1094"/>
      <c r="D689" s="1094"/>
      <c r="E689" s="1095" t="s">
        <v>5224</v>
      </c>
      <c r="F689" s="1147" t="str">
        <f>IF(ISNA(VLOOKUP('Main Creation Page'!$AC$2,Mage_Specialization,2,0)),"N",IF(VLOOKUP('Main Creation Page'!$AC$2,Mage_Specialization,2,0)=$A689,"S","N"))</f>
        <v>N</v>
      </c>
      <c r="G689" s="1096">
        <v>0</v>
      </c>
      <c r="H689" s="1096" t="s">
        <v>5224</v>
      </c>
      <c r="I689" s="1096" t="s">
        <v>5224</v>
      </c>
      <c r="J689" s="1096" t="s">
        <v>5224</v>
      </c>
      <c r="K689" s="1096" t="s">
        <v>5224</v>
      </c>
      <c r="L689" s="1096">
        <v>0</v>
      </c>
      <c r="M689" s="1096" t="s">
        <v>5224</v>
      </c>
      <c r="N689" s="1096" t="s">
        <v>4631</v>
      </c>
      <c r="O689" s="1028"/>
      <c r="P689" s="1028" t="s">
        <v>780</v>
      </c>
      <c r="Q689" s="1097">
        <f t="shared" ca="1" si="678"/>
        <v>17</v>
      </c>
      <c r="R689" s="1028"/>
      <c r="S689" s="1028" t="s">
        <v>3614</v>
      </c>
      <c r="T689" s="1097">
        <f t="shared" ca="1" si="679"/>
        <v>15</v>
      </c>
      <c r="U689" s="1027">
        <v>7</v>
      </c>
      <c r="V689" s="1027">
        <f>IF(AP689+U689&gt;10,10,IF(AP689+U689&lt;1,1,AP689+U689))</f>
        <v>8</v>
      </c>
      <c r="W689" s="1098" t="e">
        <f>IF(OR(I689&lt;&gt;"N",E689="C"),IF(AND(N689&lt;&gt;"T",ISNUMBER(FIND("V",I689))),1,0),NA())+IF(H689="Y",IF(AND(N689="P",ISNUMBER(FIND("Z",I689))),2,1),0)+IF(J689="Y",1,0)+IF(K689="Y",3,0)+IF(BE689="Lore",L689*2+Experience!$D$25,0)+IF(M689="Y",1,0)</f>
        <v>#N/A</v>
      </c>
      <c r="X689" s="1099"/>
      <c r="Y689" s="1100">
        <f ca="1">IF(P689="NS",IFERROR(INDIRECT(S689),NA()),VLOOKUP(INDIRECT(P689)+INDIRECT(S689),'System Lookups'!$A$3:$D$146,2))</f>
        <v>0.08</v>
      </c>
      <c r="Z689" s="1100">
        <f>IF(ISNA(W689),0,W689*0.03)+IF(X689&gt;0,X689*0.03,0)+IF(AND(ISNA(W689),X689&lt;=0),0,IF(G689&gt;0,G689*0.07,0))</f>
        <v>0</v>
      </c>
      <c r="AA689" s="1101">
        <f t="shared" ca="1" si="670"/>
        <v>0.08</v>
      </c>
      <c r="AB689" s="1102">
        <f>VLOOKUP(V689,'System Lookups'!$J$55:$P$64,3)</f>
        <v>0.02</v>
      </c>
      <c r="AC689" s="1103">
        <f>VLOOKUP(V689,'System Lookups'!$J$55:$P$64,4)</f>
        <v>0.03</v>
      </c>
      <c r="AD689" s="1104">
        <f>IF(AND(ISBLANK(X689),ISNA(W689)),IF(B689="~",0,AB689+AA689+IF(BB689&gt;0,0.05,0)),AA689+AC689+IF(BB689&gt;0,0.05,0))</f>
        <v>0</v>
      </c>
      <c r="AE689" s="1094">
        <f>(IF(AD689&gt;VLOOKUP(V689,'System Lookups'!$J$55:$P$63,6),(((AD689-VLOOKUP(V689,'System Lookups'!$J$55:$P$63,6))*100)/20),0))+AF689</f>
        <v>0</v>
      </c>
      <c r="AF689" s="1121"/>
      <c r="AG689" s="1092">
        <f>IF(ISBLANK(X689),0,AQ689*X689+IF(ISNA(W689),1,0))</f>
        <v>0</v>
      </c>
      <c r="AH689" s="1092" t="str">
        <f>IF(X689&lt;=Experience!$R$15+1,"","*")</f>
        <v/>
      </c>
      <c r="AI689" s="1092"/>
      <c r="AJ689" s="1080">
        <f t="shared" si="680"/>
        <v>0</v>
      </c>
      <c r="AK689" s="1080">
        <f t="shared" si="663"/>
        <v>0</v>
      </c>
      <c r="AL689" s="1080">
        <f t="shared" si="681"/>
        <v>0</v>
      </c>
      <c r="AM689" s="1092">
        <f t="shared" si="671"/>
        <v>0</v>
      </c>
      <c r="AN689" s="1080">
        <f t="shared" si="672"/>
        <v>1</v>
      </c>
      <c r="AO689" s="1080">
        <f t="shared" si="682"/>
        <v>0</v>
      </c>
      <c r="AP689" s="1080">
        <f>SUM(AJ689:AN689)-AM689</f>
        <v>1</v>
      </c>
      <c r="AQ689" s="1027">
        <f>VLOOKUP(V689,'System Lookups'!$J$55:$P$64,7)</f>
        <v>1200</v>
      </c>
      <c r="AR689" s="1080" t="str">
        <f ca="1">IF(AND(NOT(ISBLANK(AJ689)),ISNA(MATCH(ROW(),'System Lookups'!$C$526:$C$539,0))),"Y","N")</f>
        <v>Y</v>
      </c>
      <c r="AS689" s="1080">
        <f>AG689-AI689</f>
        <v>0</v>
      </c>
      <c r="AU689" s="1080" t="e">
        <f t="shared" si="627"/>
        <v>#N/A</v>
      </c>
      <c r="AV689" s="1080" t="str">
        <f t="shared" si="625"/>
        <v>T</v>
      </c>
      <c r="AW689" s="1080">
        <f t="shared" si="628"/>
        <v>0</v>
      </c>
      <c r="AX689" s="1080">
        <f t="shared" si="629"/>
        <v>0</v>
      </c>
      <c r="AY689" s="1080">
        <f t="shared" si="630"/>
        <v>0</v>
      </c>
      <c r="AZ689" s="1080">
        <f t="shared" si="631"/>
        <v>0</v>
      </c>
      <c r="BA689" s="1080">
        <f t="shared" si="632"/>
        <v>0</v>
      </c>
      <c r="BB689" s="1080">
        <f>IF(AND(RACE=1,'Main Creation Page'!$E$6="Well",OR(ISNUMBER(FIND(Experience!$G$11,BE689)),ISNUMBER(FIND(Experience!$G$11,BF689)),ISNUMBER(FIND(Experience!$I$11,BE689)),ISNUMBER(FIND(Experience!$I$11,BF689)))),1,0)</f>
        <v>1</v>
      </c>
      <c r="BC689" s="1080" t="str">
        <f t="shared" si="635"/>
        <v>Elementalist:Fire</v>
      </c>
      <c r="BD689" s="1080" t="s">
        <v>6179</v>
      </c>
      <c r="BE689" s="1080" t="str">
        <f t="shared" si="626"/>
        <v>Lore</v>
      </c>
      <c r="BF689" s="1080" t="str">
        <f t="shared" si="636"/>
        <v>Materia Magica Skills</v>
      </c>
    </row>
    <row r="690" spans="1:58" ht="11.1" hidden="1" customHeight="1" outlineLevel="3">
      <c r="A690" s="1028" t="s">
        <v>4816</v>
      </c>
      <c r="B690" s="1094" t="s">
        <v>1942</v>
      </c>
      <c r="C690" s="1094"/>
      <c r="D690" s="1094"/>
      <c r="E690" s="1095" t="s">
        <v>5224</v>
      </c>
      <c r="F690" s="1147" t="str">
        <f>IF(ISNA(VLOOKUP('Main Creation Page'!$AC$2,Mage_Specialization,2,0)),"N",IF(VLOOKUP('Main Creation Page'!$AC$2,Mage_Specialization,2,0)=$A690,"S","N"))</f>
        <v>N</v>
      </c>
      <c r="G690" s="1096">
        <v>0</v>
      </c>
      <c r="H690" s="1096" t="s">
        <v>5224</v>
      </c>
      <c r="I690" s="1096" t="s">
        <v>5224</v>
      </c>
      <c r="J690" s="1096" t="s">
        <v>5224</v>
      </c>
      <c r="K690" s="1096" t="s">
        <v>5224</v>
      </c>
      <c r="L690" s="1096">
        <v>0</v>
      </c>
      <c r="M690" s="1096" t="s">
        <v>5224</v>
      </c>
      <c r="N690" s="1096" t="s">
        <v>4631</v>
      </c>
      <c r="O690" s="1028"/>
      <c r="P690" s="1028" t="s">
        <v>780</v>
      </c>
      <c r="Q690" s="1097">
        <f t="shared" ca="1" si="678"/>
        <v>17</v>
      </c>
      <c r="R690" s="1028"/>
      <c r="S690" s="1028" t="s">
        <v>3614</v>
      </c>
      <c r="T690" s="1097">
        <f t="shared" ca="1" si="679"/>
        <v>15</v>
      </c>
      <c r="U690" s="1027">
        <v>7</v>
      </c>
      <c r="V690" s="1027">
        <f>IF(AP690+U690&gt;10,10,IF(AP690+U690&lt;1,1,AP690+U690))</f>
        <v>8</v>
      </c>
      <c r="W690" s="1098" t="e">
        <f>IF(OR(I690&lt;&gt;"N",E690="C"),IF(AND(N690&lt;&gt;"T",ISNUMBER(FIND("V",I690))),1,0),NA())+IF(H690="Y",IF(AND(N690="P",ISNUMBER(FIND("Z",I690))),2,1),0)+IF(J690="Y",1,0)+IF(K690="Y",3,0)+IF(BE690="Lore",L690*2+Experience!$D$25,0)+IF(M690="Y",1,0)</f>
        <v>#N/A</v>
      </c>
      <c r="X690" s="1099"/>
      <c r="Y690" s="1100">
        <f ca="1">IF(P690="NS",IFERROR(INDIRECT(S690),NA()),VLOOKUP(INDIRECT(P690)+INDIRECT(S690),'System Lookups'!$A$3:$D$146,2))</f>
        <v>0.08</v>
      </c>
      <c r="Z690" s="1100">
        <f>IF(ISNA(W690),0,W690*0.03)+IF(X690&gt;0,X690*0.03,0)+IF(AND(ISNA(W690),X690&lt;=0),0,IF(G690&gt;0,G690*0.07,0))</f>
        <v>0</v>
      </c>
      <c r="AA690" s="1101">
        <f t="shared" ca="1" si="670"/>
        <v>0.08</v>
      </c>
      <c r="AB690" s="1102">
        <f>VLOOKUP(V690,'System Lookups'!$J$55:$P$64,3)</f>
        <v>0.02</v>
      </c>
      <c r="AC690" s="1103">
        <f>VLOOKUP(V690,'System Lookups'!$J$55:$P$64,4)</f>
        <v>0.03</v>
      </c>
      <c r="AD690" s="1104">
        <f>IF(AND(ISBLANK(X690),ISNA(W690)),IF(B690="~",0,AB690+AA690+IF(BB690&gt;0,0.05,0)),AA690+AC690+IF(BB690&gt;0,0.05,0))</f>
        <v>0</v>
      </c>
      <c r="AE690" s="1094">
        <f>(IF(AD690&gt;VLOOKUP(V690,'System Lookups'!$J$55:$P$63,6),(((AD690-VLOOKUP(V690,'System Lookups'!$J$55:$P$63,6))*100)/20),0))+AF690</f>
        <v>0</v>
      </c>
      <c r="AF690" s="1121"/>
      <c r="AG690" s="1092">
        <f>IF(ISBLANK(X690),0,AQ690*X690+IF(ISNA(W690),1,0))</f>
        <v>0</v>
      </c>
      <c r="AH690" s="1092" t="str">
        <f>IF(X690&lt;=Experience!$R$15+1,"","*")</f>
        <v/>
      </c>
      <c r="AI690" s="1092"/>
      <c r="AJ690" s="1080">
        <f t="shared" si="680"/>
        <v>0</v>
      </c>
      <c r="AK690" s="1080">
        <f t="shared" si="663"/>
        <v>0</v>
      </c>
      <c r="AL690" s="1080">
        <f t="shared" si="681"/>
        <v>0</v>
      </c>
      <c r="AM690" s="1092">
        <f t="shared" si="671"/>
        <v>0</v>
      </c>
      <c r="AN690" s="1080">
        <f t="shared" si="672"/>
        <v>1</v>
      </c>
      <c r="AO690" s="1080">
        <f t="shared" si="682"/>
        <v>0</v>
      </c>
      <c r="AP690" s="1080">
        <f>SUM(AJ690:AN690)-AM690</f>
        <v>1</v>
      </c>
      <c r="AQ690" s="1027">
        <f>VLOOKUP(V690,'System Lookups'!$J$55:$P$64,7)</f>
        <v>1200</v>
      </c>
      <c r="AR690" s="1080" t="str">
        <f ca="1">IF(AND(NOT(ISBLANK(AJ690)),ISNA(MATCH(ROW(),'System Lookups'!$C$526:$C$539,0))),"Y","N")</f>
        <v>Y</v>
      </c>
      <c r="AS690" s="1080">
        <f>AG690-AI690</f>
        <v>0</v>
      </c>
      <c r="AU690" s="1080" t="e">
        <f t="shared" si="627"/>
        <v>#N/A</v>
      </c>
      <c r="AV690" s="1080" t="str">
        <f t="shared" si="625"/>
        <v>T</v>
      </c>
      <c r="AW690" s="1080">
        <f t="shared" si="628"/>
        <v>0</v>
      </c>
      <c r="AX690" s="1080">
        <f t="shared" si="629"/>
        <v>0</v>
      </c>
      <c r="AY690" s="1080">
        <f t="shared" si="630"/>
        <v>0</v>
      </c>
      <c r="AZ690" s="1080">
        <f t="shared" si="631"/>
        <v>0</v>
      </c>
      <c r="BA690" s="1080">
        <f t="shared" si="632"/>
        <v>0</v>
      </c>
      <c r="BB690" s="1080">
        <f>IF(AND(RACE=1,'Main Creation Page'!$E$6="Well",OR(ISNUMBER(FIND(Experience!$G$11,BE690)),ISNUMBER(FIND(Experience!$G$11,BF690)),ISNUMBER(FIND(Experience!$I$11,BE690)),ISNUMBER(FIND(Experience!$I$11,BF690)))),1,0)</f>
        <v>1</v>
      </c>
      <c r="BC690" s="1080" t="str">
        <f t="shared" si="635"/>
        <v>Elementalist:Water</v>
      </c>
      <c r="BD690" s="1080" t="s">
        <v>6179</v>
      </c>
      <c r="BE690" s="1080" t="str">
        <f t="shared" si="626"/>
        <v>Lore</v>
      </c>
      <c r="BF690" s="1080" t="str">
        <f t="shared" si="636"/>
        <v>Materia Magica Skills</v>
      </c>
    </row>
    <row r="691" spans="1:58" ht="11.1" hidden="1" customHeight="1" outlineLevel="3">
      <c r="A691" s="1093" t="s">
        <v>2543</v>
      </c>
      <c r="B691" s="1094" t="s">
        <v>1942</v>
      </c>
      <c r="C691" s="1094"/>
      <c r="D691" s="1094"/>
      <c r="E691" s="1095" t="s">
        <v>5224</v>
      </c>
      <c r="F691" s="1147" t="str">
        <f>IF(ISNA(VLOOKUP('Main Creation Page'!$AC$2,Mage_Specialization,2,0)),"N",IF(VLOOKUP('Main Creation Page'!$AC$2,Mage_Specialization,2,0)=$A691,"S","N"))</f>
        <v>N</v>
      </c>
      <c r="G691" s="1096">
        <v>0</v>
      </c>
      <c r="H691" s="1096" t="s">
        <v>5224</v>
      </c>
      <c r="I691" s="1096" t="s">
        <v>5224</v>
      </c>
      <c r="J691" s="1096" t="s">
        <v>5224</v>
      </c>
      <c r="K691" s="1096" t="s">
        <v>5224</v>
      </c>
      <c r="L691" s="1096">
        <v>0</v>
      </c>
      <c r="M691" s="1096" t="s">
        <v>5224</v>
      </c>
      <c r="N691" s="1096" t="s">
        <v>4631</v>
      </c>
      <c r="O691" s="1028"/>
      <c r="P691" s="1028" t="s">
        <v>780</v>
      </c>
      <c r="Q691" s="1097">
        <f t="shared" ca="1" si="678"/>
        <v>17</v>
      </c>
      <c r="R691" s="1028"/>
      <c r="S691" s="1028" t="s">
        <v>3614</v>
      </c>
      <c r="T691" s="1097">
        <f t="shared" ca="1" si="679"/>
        <v>15</v>
      </c>
      <c r="U691" s="1027">
        <v>6</v>
      </c>
      <c r="V691" s="1027">
        <f>IF(AP691+U691&gt;10,10,IF(AP691+U691&lt;1,1,AP691+U691))</f>
        <v>7</v>
      </c>
      <c r="W691" s="1098" t="e">
        <f>IF(OR(I691&lt;&gt;"N",E691="C"),IF(AND(N691&lt;&gt;"T",ISNUMBER(FIND("V",I691))),1,0),NA())+IF(H691="Y",IF(AND(N691="P",ISNUMBER(FIND("Z",I691))),2,1),0)+IF(J691="Y",1,0)+IF(K691="Y",3,0)+IF(BE691="Lore",L691*2+Experience!$D$25,0)+IF(M691="Y",1,0)</f>
        <v>#N/A</v>
      </c>
      <c r="X691" s="1099"/>
      <c r="Y691" s="1100">
        <f ca="1">IF(P691="NS",IFERROR(INDIRECT(S691),NA()),VLOOKUP(INDIRECT(P691)+INDIRECT(S691),'System Lookups'!$A$3:$D$146,2))</f>
        <v>0.08</v>
      </c>
      <c r="Z691" s="1100">
        <f>IF(ISNA(W691),0,W691*0.03)+IF(X691&gt;0,X691*0.03,0)+IF(AND(ISNA(W691),X691&lt;=0),0,IF(G691&gt;0,G691*0.07,0))</f>
        <v>0</v>
      </c>
      <c r="AA691" s="1101">
        <f ca="1">IF(ISNA(Y691),0,Y691)+Z691</f>
        <v>0.08</v>
      </c>
      <c r="AB691" s="1102">
        <f>VLOOKUP(V691,'System Lookups'!$J$55:$P$64,3)</f>
        <v>0.03</v>
      </c>
      <c r="AC691" s="1103">
        <f>VLOOKUP(V691,'System Lookups'!$J$55:$P$64,4)</f>
        <v>7.0000000000000007E-2</v>
      </c>
      <c r="AD691" s="1104">
        <f>IF(AND(ISBLANK(X691),ISNA(W691)),IF(B691="~",0,AB691+AA691+IF(BB691&gt;0,0.05,0)),AA691+AC691+IF(BB691&gt;0,0.05,0))</f>
        <v>0</v>
      </c>
      <c r="AE691" s="1094">
        <f>(IF(AD691&gt;VLOOKUP(V691,'System Lookups'!$J$55:$P$63,6),(((AD691-VLOOKUP(V691,'System Lookups'!$J$55:$P$63,6))*100)/20),0))+AF691</f>
        <v>0</v>
      </c>
      <c r="AF691" s="1121"/>
      <c r="AG691" s="1092">
        <f>IF(ISBLANK(X691),0,AQ691*X691+IF(ISNA(W691),1,0))</f>
        <v>0</v>
      </c>
      <c r="AH691" s="1092" t="str">
        <f>IF(X691&lt;=Experience!$R$15+1,"","*")</f>
        <v/>
      </c>
      <c r="AI691" s="1092"/>
      <c r="AJ691" s="1080">
        <f t="shared" si="680"/>
        <v>0</v>
      </c>
      <c r="AK691" s="1080">
        <f>IF(F691="s",-3,0)</f>
        <v>0</v>
      </c>
      <c r="AL691" s="1080">
        <f t="shared" si="681"/>
        <v>0</v>
      </c>
      <c r="AM691" s="1092">
        <f>IF(J691="y",1,0)</f>
        <v>0</v>
      </c>
      <c r="AN691" s="1080">
        <f>IF(N691="T",1,0)</f>
        <v>1</v>
      </c>
      <c r="AO691" s="1080">
        <f t="shared" si="682"/>
        <v>0</v>
      </c>
      <c r="AP691" s="1080">
        <f>SUM(AJ691:AN691)-AM691</f>
        <v>1</v>
      </c>
      <c r="AQ691" s="1027">
        <f>VLOOKUP(V691,'System Lookups'!$J$55:$P$64,7)</f>
        <v>1000</v>
      </c>
      <c r="AR691" s="1080" t="str">
        <f ca="1">IF(AND(NOT(ISBLANK(AJ691)),ISNA(MATCH(ROW(),'System Lookups'!$C$526:$C$539,0))),"Y","N")</f>
        <v>Y</v>
      </c>
      <c r="AS691" s="1080">
        <f>AG691-AI691</f>
        <v>0</v>
      </c>
      <c r="AU691" s="1080" t="e">
        <f t="shared" si="627"/>
        <v>#N/A</v>
      </c>
      <c r="AV691" s="1080" t="str">
        <f t="shared" si="625"/>
        <v>T</v>
      </c>
      <c r="AW691" s="1080">
        <f t="shared" si="628"/>
        <v>0</v>
      </c>
      <c r="AX691" s="1080">
        <f t="shared" si="629"/>
        <v>0</v>
      </c>
      <c r="AY691" s="1080">
        <f t="shared" si="630"/>
        <v>0</v>
      </c>
      <c r="AZ691" s="1080">
        <f t="shared" si="631"/>
        <v>0</v>
      </c>
      <c r="BA691" s="1080">
        <f t="shared" si="632"/>
        <v>0</v>
      </c>
      <c r="BB691" s="1080">
        <f>IF(AND(RACE=1,'Main Creation Page'!$E$6="Well",OR(ISNUMBER(FIND(Experience!$G$11,BE691)),ISNUMBER(FIND(Experience!$G$11,BF691)),ISNUMBER(FIND(Experience!$I$11,BE691)),ISNUMBER(FIND(Experience!$I$11,BF691)))),1,0)</f>
        <v>1</v>
      </c>
      <c r="BC691" s="1080" t="str">
        <f t="shared" si="635"/>
        <v>Master of All Elements</v>
      </c>
      <c r="BE691" s="1080" t="str">
        <f t="shared" si="626"/>
        <v>Lore</v>
      </c>
      <c r="BF691" s="1080" t="str">
        <f t="shared" si="636"/>
        <v>Materia Magica Skills</v>
      </c>
    </row>
    <row r="692" spans="1:58" ht="11.1" hidden="1" customHeight="1" outlineLevel="2">
      <c r="A692" s="1149" t="s">
        <v>2546</v>
      </c>
      <c r="F692" s="1150"/>
      <c r="AE692" s="1034"/>
      <c r="AF692" s="1132"/>
      <c r="AR692" s="1080" t="str">
        <f ca="1">IF(AND(NOT(ISBLANK(AJ692)),ISNA(MATCH(ROW(),'System Lookups'!$C$526:$C$539,0))),"Y","N")</f>
        <v>N</v>
      </c>
      <c r="AU692" s="1080" t="e">
        <f t="shared" si="627"/>
        <v>#N/A</v>
      </c>
      <c r="AV692" s="1080" t="str">
        <f t="shared" si="625"/>
        <v/>
      </c>
      <c r="AW692" s="1080">
        <f t="shared" si="628"/>
        <v>0</v>
      </c>
      <c r="AX692" s="1080">
        <f t="shared" si="629"/>
        <v>0</v>
      </c>
      <c r="AY692" s="1080">
        <f t="shared" si="630"/>
        <v>0</v>
      </c>
      <c r="AZ692" s="1080">
        <f t="shared" si="631"/>
        <v>0</v>
      </c>
      <c r="BA692" s="1080">
        <f t="shared" si="632"/>
        <v>0</v>
      </c>
      <c r="BB692" s="1080">
        <f>IF(AND(RACE=1,'Main Creation Page'!$E$6="Well",OR(ISNUMBER(FIND(Experience!$G$11,BE692)),ISNUMBER(FIND(Experience!$G$11,BF692)),ISNUMBER(FIND(Experience!$I$11,BE692)),ISNUMBER(FIND(Experience!$I$11,BF692)))),1,0)</f>
        <v>1</v>
      </c>
      <c r="BC692" s="1080" t="e">
        <f t="shared" si="635"/>
        <v>#N/A</v>
      </c>
      <c r="BE692" s="1080" t="str">
        <f t="shared" si="626"/>
        <v>Lore</v>
      </c>
      <c r="BF692" s="1080" t="str">
        <f t="shared" si="636"/>
        <v>Materia Magica Skills</v>
      </c>
    </row>
    <row r="693" spans="1:58" ht="11.1" hidden="1" customHeight="1" outlineLevel="3">
      <c r="A693" s="1028" t="s">
        <v>5585</v>
      </c>
      <c r="B693" s="1094" t="s">
        <v>1942</v>
      </c>
      <c r="C693" s="1094"/>
      <c r="D693" s="1094"/>
      <c r="E693" s="1095" t="s">
        <v>5224</v>
      </c>
      <c r="F693" s="1147" t="str">
        <f>IF(ISNA(VLOOKUP('Main Creation Page'!$AC$2,Mage_Specialization,2,0)),"N",IF(VLOOKUP('Main Creation Page'!$AC$2,Mage_Specialization,2,0)=$A693,"S","N"))</f>
        <v>N</v>
      </c>
      <c r="G693" s="1096">
        <v>0</v>
      </c>
      <c r="H693" s="1096" t="s">
        <v>5224</v>
      </c>
      <c r="I693" s="1096" t="s">
        <v>5224</v>
      </c>
      <c r="J693" s="1096" t="s">
        <v>5224</v>
      </c>
      <c r="K693" s="1096" t="s">
        <v>5224</v>
      </c>
      <c r="L693" s="1096">
        <v>0</v>
      </c>
      <c r="M693" s="1096" t="s">
        <v>5224</v>
      </c>
      <c r="N693" s="1096" t="s">
        <v>4631</v>
      </c>
      <c r="O693" s="1028"/>
      <c r="P693" s="1028" t="s">
        <v>780</v>
      </c>
      <c r="Q693" s="1097">
        <f t="shared" ref="Q693:Q711" ca="1" si="683">INDIRECT(P693)</f>
        <v>17</v>
      </c>
      <c r="R693" s="1028"/>
      <c r="S693" s="1028" t="s">
        <v>3612</v>
      </c>
      <c r="T693" s="1097">
        <f t="shared" ref="T693:T711" ca="1" si="684">INDIRECT(S693)</f>
        <v>10</v>
      </c>
      <c r="U693" s="1027">
        <v>6</v>
      </c>
      <c r="V693" s="1027">
        <f t="shared" ref="V693:V711" si="685">IF(AP693+U693&gt;10,10,IF(AP693+U693&lt;1,1,AP693+U693))</f>
        <v>7</v>
      </c>
      <c r="W693" s="1098" t="e">
        <f>IF(OR(I693&lt;&gt;"N",E693="C"),IF(AND(N693&lt;&gt;"T",ISNUMBER(FIND("V",I693))),1,0),NA())+IF(H693="Y",IF(AND(N693="P",ISNUMBER(FIND("Z",I693))),2,1),0)+IF(J693="Y",1,0)+IF(K693="Y",3,0)+IF(BE693="Lore",L693*2+Experience!$D$25,0)+IF(M693="Y",1,0)</f>
        <v>#N/A</v>
      </c>
      <c r="X693" s="1099"/>
      <c r="Y693" s="1100">
        <f ca="1">IF(P693="NS",IFERROR(INDIRECT(S693),NA()),VLOOKUP(INDIRECT(P693)+INDIRECT(S693),'System Lookups'!$A$3:$D$146,2))</f>
        <v>0.04</v>
      </c>
      <c r="Z693" s="1100">
        <f t="shared" ref="Z693:Z711" si="686">IF(ISNA(W693),0,W693*0.03)+IF(X693&gt;0,X693*0.03,0)+IF(AND(ISNA(W693),X693&lt;=0),0,IF(G693&gt;0,G693*0.07,0))</f>
        <v>0</v>
      </c>
      <c r="AA693" s="1101">
        <f ca="1">IF(ISNA(Y693),0,Y693)+Z693</f>
        <v>0.04</v>
      </c>
      <c r="AB693" s="1102">
        <f>VLOOKUP(V693,'System Lookups'!$J$55:$P$64,3)</f>
        <v>0.03</v>
      </c>
      <c r="AC693" s="1103">
        <f>VLOOKUP(V693,'System Lookups'!$J$55:$P$64,4)</f>
        <v>7.0000000000000007E-2</v>
      </c>
      <c r="AD693" s="1104">
        <f t="shared" ref="AD693:AD711" si="687">IF(AND(ISBLANK(X693),ISNA(W693)),IF(B693="~",0,AB693+AA693+IF(BB693&gt;0,0.05,0)),AA693+AC693+IF(BB693&gt;0,0.05,0))</f>
        <v>0</v>
      </c>
      <c r="AE693" s="1094">
        <f>(IF(AD693&gt;VLOOKUP(V693,'System Lookups'!$J$55:$P$63,6),(((AD693-VLOOKUP(V693,'System Lookups'!$J$55:$P$63,6))*100)/20),0))+AF693</f>
        <v>0</v>
      </c>
      <c r="AF693" s="1121"/>
      <c r="AG693" s="1092">
        <f t="shared" ref="AG693:AG711" si="688">IF(ISBLANK(X693),0,AQ693*X693+IF(ISNA(W693),1,0))</f>
        <v>0</v>
      </c>
      <c r="AH693" s="1092" t="str">
        <f>IF(X693&lt;=Experience!$R$15+1,"","*")</f>
        <v/>
      </c>
      <c r="AI693" s="1092"/>
      <c r="AJ693" s="1080">
        <f t="shared" ref="AJ693:AJ711" si="689">IF(ISNUMBER(FIND("R",F693)),-1,0)</f>
        <v>0</v>
      </c>
      <c r="AK693" s="1080">
        <f>IF(F693="s",-3,0)</f>
        <v>0</v>
      </c>
      <c r="AL693" s="1080">
        <f t="shared" ref="AL693:AL711" si="690">IF(AND(H693="Y",OR(N693="P",N693="S")),-1,0)</f>
        <v>0</v>
      </c>
      <c r="AM693" s="1092">
        <f>IF(J693="y",1,0)</f>
        <v>0</v>
      </c>
      <c r="AN693" s="1080">
        <f>IF(N693="T",1,0)</f>
        <v>1</v>
      </c>
      <c r="AO693" s="1080">
        <f t="shared" ref="AO693:AO711" si="691">IF(ISNUMBER(FIND("Z",I693)),1,0)</f>
        <v>0</v>
      </c>
      <c r="AP693" s="1080">
        <f t="shared" ref="AP693:AP711" si="692">SUM(AJ693:AN693)-AM693</f>
        <v>1</v>
      </c>
      <c r="AQ693" s="1027">
        <f>VLOOKUP(V693,'System Lookups'!$J$55:$P$64,7)</f>
        <v>1000</v>
      </c>
      <c r="AR693" s="1080" t="str">
        <f ca="1">IF(AND(NOT(ISBLANK(AJ693)),ISNA(MATCH(ROW(),'System Lookups'!$C$526:$C$539,0))),"Y","N")</f>
        <v>Y</v>
      </c>
      <c r="AS693" s="1080">
        <f t="shared" ref="AS693:AS711" si="693">AG693-AI693</f>
        <v>0</v>
      </c>
      <c r="AU693" s="1080" t="e">
        <f t="shared" si="627"/>
        <v>#N/A</v>
      </c>
      <c r="AV693" s="1080" t="str">
        <f t="shared" ref="AV693:AV756" si="694">IF(ISNUMBER(U693),CONCATENATE(IF(E693="C","C",""),IF(H693="Y","M",""),N693,IF(ISNUMBER(FIND("F",I693)),"Bk",""),IF(ISNUMBER(FIND("Z",I693)),"Zm",""),IF(J693="Y","L",""),IF(OR(K693="Y",AND(ISNUMBER(L693),L693&gt;0),M693="Y"),"Sa","")),"")</f>
        <v>T</v>
      </c>
      <c r="AW693" s="1080">
        <f t="shared" si="628"/>
        <v>0</v>
      </c>
      <c r="AX693" s="1080">
        <f t="shared" si="629"/>
        <v>0</v>
      </c>
      <c r="AY693" s="1080">
        <f t="shared" si="630"/>
        <v>0</v>
      </c>
      <c r="AZ693" s="1080">
        <f t="shared" si="631"/>
        <v>0</v>
      </c>
      <c r="BA693" s="1080">
        <f t="shared" si="632"/>
        <v>0</v>
      </c>
      <c r="BB693" s="1080">
        <f>IF(AND(RACE=1,'Main Creation Page'!$E$6="Well",OR(ISNUMBER(FIND(Experience!$G$11,BE693)),ISNUMBER(FIND(Experience!$G$11,BF693)),ISNUMBER(FIND(Experience!$I$11,BE693)),ISNUMBER(FIND(Experience!$I$11,BF693)))),1,0)</f>
        <v>1</v>
      </c>
      <c r="BC693" s="1080" t="str">
        <f t="shared" si="635"/>
        <v>Elven Magus</v>
      </c>
      <c r="BE693" s="1080" t="str">
        <f t="shared" ref="BE693:BE756" si="695">IF(OR(ISNUMBER(FIND("Lore",BF693)),ISNUMBER(FIND("Materia",BF693)),ISNUMBER(FIND("Lore",BD693))),"Lore","")</f>
        <v>Lore</v>
      </c>
      <c r="BF693" s="1080" t="str">
        <f t="shared" si="636"/>
        <v>Materia Magica Skills</v>
      </c>
    </row>
    <row r="694" spans="1:58" ht="11.1" hidden="1" customHeight="1" outlineLevel="3">
      <c r="A694" s="1028" t="s">
        <v>2547</v>
      </c>
      <c r="B694" s="1094" t="s">
        <v>1942</v>
      </c>
      <c r="C694" s="1094"/>
      <c r="D694" s="1094"/>
      <c r="E694" s="1095" t="s">
        <v>5224</v>
      </c>
      <c r="F694" s="1147" t="str">
        <f>IF(ISNA(VLOOKUP('Main Creation Page'!$AC$2,Mage_Specialization,2,0)),"N",IF(VLOOKUP('Main Creation Page'!$AC$2,Mage_Specialization,2,0)=$A694,"S","N"))</f>
        <v>N</v>
      </c>
      <c r="G694" s="1096">
        <v>0</v>
      </c>
      <c r="H694" s="1096" t="s">
        <v>5224</v>
      </c>
      <c r="I694" s="1096" t="s">
        <v>5224</v>
      </c>
      <c r="J694" s="1096" t="s">
        <v>5224</v>
      </c>
      <c r="K694" s="1096" t="s">
        <v>5224</v>
      </c>
      <c r="L694" s="1096">
        <v>0</v>
      </c>
      <c r="M694" s="1096" t="s">
        <v>5224</v>
      </c>
      <c r="N694" s="1096" t="s">
        <v>4631</v>
      </c>
      <c r="O694" s="1028"/>
      <c r="P694" s="1028" t="s">
        <v>3615</v>
      </c>
      <c r="Q694" s="1097">
        <f t="shared" ca="1" si="683"/>
        <v>20</v>
      </c>
      <c r="R694" s="1028"/>
      <c r="S694" s="1028" t="s">
        <v>3614</v>
      </c>
      <c r="T694" s="1097">
        <f t="shared" ca="1" si="684"/>
        <v>15</v>
      </c>
      <c r="U694" s="1027">
        <v>6</v>
      </c>
      <c r="V694" s="1027">
        <f t="shared" si="685"/>
        <v>7</v>
      </c>
      <c r="W694" s="1098" t="e">
        <f>IF(OR(I694&lt;&gt;"N",E694="C"),IF(AND(N694&lt;&gt;"T",ISNUMBER(FIND("V",I694))),1,0),NA())+IF(H694="Y",IF(AND(N694="P",ISNUMBER(FIND("Z",I694))),2,1),0)+IF(J694="Y",1,0)+IF(K694="Y",3,0)+IF(BE694="Lore",L694*2+Experience!$D$25,0)+IF(M694="Y",1,0)</f>
        <v>#N/A</v>
      </c>
      <c r="X694" s="1099"/>
      <c r="Y694" s="1100">
        <f ca="1">IF(P694="NS",IFERROR(INDIRECT(S694),NA()),VLOOKUP(INDIRECT(P694)+INDIRECT(S694),'System Lookups'!$A$3:$D$146,2))</f>
        <v>0.12</v>
      </c>
      <c r="Z694" s="1100">
        <f t="shared" si="686"/>
        <v>0</v>
      </c>
      <c r="AA694" s="1101">
        <f t="shared" ca="1" si="670"/>
        <v>0.12</v>
      </c>
      <c r="AB694" s="1102">
        <f>VLOOKUP(V694,'System Lookups'!$J$55:$P$64,3)</f>
        <v>0.03</v>
      </c>
      <c r="AC694" s="1103">
        <f>VLOOKUP(V694,'System Lookups'!$J$55:$P$64,4)</f>
        <v>7.0000000000000007E-2</v>
      </c>
      <c r="AD694" s="1104">
        <f t="shared" si="687"/>
        <v>0</v>
      </c>
      <c r="AE694" s="1094">
        <f>(IF(AD694&gt;VLOOKUP(V694,'System Lookups'!$J$55:$P$63,6),(((AD694-VLOOKUP(V694,'System Lookups'!$J$55:$P$63,6))*100)/20),0))+AF694</f>
        <v>0</v>
      </c>
      <c r="AF694" s="1121"/>
      <c r="AG694" s="1092">
        <f t="shared" si="688"/>
        <v>0</v>
      </c>
      <c r="AH694" s="1092" t="str">
        <f>IF(X694&lt;=Experience!$R$15+1,"","*")</f>
        <v/>
      </c>
      <c r="AI694" s="1092"/>
      <c r="AJ694" s="1080">
        <f t="shared" si="689"/>
        <v>0</v>
      </c>
      <c r="AK694" s="1080">
        <f t="shared" si="663"/>
        <v>0</v>
      </c>
      <c r="AL694" s="1080">
        <f t="shared" si="690"/>
        <v>0</v>
      </c>
      <c r="AM694" s="1092">
        <f t="shared" si="671"/>
        <v>0</v>
      </c>
      <c r="AN694" s="1080">
        <f t="shared" si="672"/>
        <v>1</v>
      </c>
      <c r="AO694" s="1080">
        <f t="shared" si="691"/>
        <v>0</v>
      </c>
      <c r="AP694" s="1080">
        <f t="shared" si="692"/>
        <v>1</v>
      </c>
      <c r="AQ694" s="1027">
        <f>VLOOKUP(V694,'System Lookups'!$J$55:$P$64,7)</f>
        <v>1000</v>
      </c>
      <c r="AR694" s="1080" t="str">
        <f ca="1">IF(AND(NOT(ISBLANK(AJ694)),ISNA(MATCH(ROW(),'System Lookups'!$C$526:$C$539,0))),"Y","N")</f>
        <v>Y</v>
      </c>
      <c r="AS694" s="1080">
        <f t="shared" si="693"/>
        <v>0</v>
      </c>
      <c r="AU694" s="1080" t="e">
        <f t="shared" ref="AU694:AU757" si="696">IF(AND(NOT(ISNUMBER($W694)),ISBLANK($X694)),NA(),IFERROR($W694+$X694,$X694))</f>
        <v>#N/A</v>
      </c>
      <c r="AV694" s="1080" t="str">
        <f t="shared" si="694"/>
        <v>T</v>
      </c>
      <c r="AW694" s="1080">
        <f t="shared" ref="AW694:AW757" si="697">IF(OR(I694="N",ISBLANK(I694)),0,1)</f>
        <v>0</v>
      </c>
      <c r="AX694" s="1080">
        <f t="shared" ref="AX694:AX757" si="698">IF($N694="P",IF(ISNUMBER(FIND("V",$I694)),1,0),0)</f>
        <v>0</v>
      </c>
      <c r="AY694" s="1080">
        <f t="shared" ref="AY694:AY757" si="699">IF($N694="S",IF(ISNUMBER(FIND("V",$I694)),1,0),0)</f>
        <v>0</v>
      </c>
      <c r="AZ694" s="1080">
        <f t="shared" ref="AZ694:AZ757" si="700">IF($N694="T",IF(ISNUMBER(FIND("V",$I694)),1,0),0)</f>
        <v>0</v>
      </c>
      <c r="BA694" s="1080">
        <f t="shared" ref="BA694:BA757" si="701">IF($N694&lt;&gt;"T",IF(OR(ISNUMBER(FIND("C",$I694)),ISNUMBER(FIND("D",$I694)),ISNUMBER(FIND("E",$I694)),ISNUMBER(FIND("F",$I694)),ISNUMBER(FIND("L",$I694)),ISNUMBER(FIND("R",$I694)),ISNUMBER(FIND("S",$I694))),1,0),0)</f>
        <v>0</v>
      </c>
      <c r="BB694" s="1080">
        <f>IF(AND(RACE=1,'Main Creation Page'!$E$6="Well",OR(ISNUMBER(FIND(Experience!$G$11,BE694)),ISNUMBER(FIND(Experience!$G$11,BF694)),ISNUMBER(FIND(Experience!$I$11,BE694)),ISNUMBER(FIND(Experience!$I$11,BF694)))),1,0)</f>
        <v>1</v>
      </c>
      <c r="BC694" s="1080" t="str">
        <f t="shared" si="635"/>
        <v>Bowyer Magus</v>
      </c>
      <c r="BE694" s="1080" t="str">
        <f t="shared" si="695"/>
        <v>Lore</v>
      </c>
      <c r="BF694" s="1080" t="str">
        <f t="shared" si="636"/>
        <v>Materia Magica Skills</v>
      </c>
    </row>
    <row r="695" spans="1:58" ht="11.1" hidden="1" customHeight="1" outlineLevel="3">
      <c r="A695" s="1028" t="s">
        <v>2548</v>
      </c>
      <c r="B695" s="1094" t="s">
        <v>1942</v>
      </c>
      <c r="C695" s="1094"/>
      <c r="D695" s="1094"/>
      <c r="E695" s="1095" t="s">
        <v>5224</v>
      </c>
      <c r="F695" s="1147" t="str">
        <f>IF(ISNA(VLOOKUP('Main Creation Page'!$AC$2,Mage_Specialization,2,0)),"N",IF(VLOOKUP('Main Creation Page'!$AC$2,Mage_Specialization,2,0)=$A695,"S","N"))</f>
        <v>N</v>
      </c>
      <c r="G695" s="1096">
        <v>0</v>
      </c>
      <c r="H695" s="1096" t="s">
        <v>5224</v>
      </c>
      <c r="I695" s="1096" t="s">
        <v>5224</v>
      </c>
      <c r="J695" s="1096" t="s">
        <v>5224</v>
      </c>
      <c r="K695" s="1096" t="s">
        <v>5224</v>
      </c>
      <c r="L695" s="1096">
        <v>0</v>
      </c>
      <c r="M695" s="1096" t="s">
        <v>5224</v>
      </c>
      <c r="N695" s="1096" t="s">
        <v>4631</v>
      </c>
      <c r="O695" s="1028"/>
      <c r="P695" s="1028" t="s">
        <v>780</v>
      </c>
      <c r="Q695" s="1097">
        <f t="shared" ca="1" si="683"/>
        <v>17</v>
      </c>
      <c r="R695" s="1028"/>
      <c r="S695" s="1028" t="s">
        <v>3611</v>
      </c>
      <c r="T695" s="1097">
        <f t="shared" ca="1" si="684"/>
        <v>15</v>
      </c>
      <c r="U695" s="1027">
        <v>5</v>
      </c>
      <c r="V695" s="1027">
        <f t="shared" si="685"/>
        <v>6</v>
      </c>
      <c r="W695" s="1098" t="e">
        <f>IF(OR(I695&lt;&gt;"N",E695="C"),IF(AND(N695&lt;&gt;"T",ISNUMBER(FIND("V",I695))),1,0),NA())+IF(H695="Y",IF(AND(N695="P",ISNUMBER(FIND("Z",I695))),2,1),0)+IF(J695="Y",1,0)+IF(K695="Y",3,0)+IF(BE695="Lore",L695*2+Experience!$D$25,0)+IF(M695="Y",1,0)</f>
        <v>#N/A</v>
      </c>
      <c r="X695" s="1099"/>
      <c r="Y695" s="1100">
        <f ca="1">IF(P695="NS",IFERROR(INDIRECT(S695),NA()),VLOOKUP(INDIRECT(P695)+INDIRECT(S695),'System Lookups'!$A$3:$D$146,2))</f>
        <v>0.08</v>
      </c>
      <c r="Z695" s="1100">
        <f t="shared" si="686"/>
        <v>0</v>
      </c>
      <c r="AA695" s="1101">
        <f t="shared" ca="1" si="670"/>
        <v>0.08</v>
      </c>
      <c r="AB695" s="1102">
        <f>VLOOKUP(V695,'System Lookups'!$J$55:$P$64,3)</f>
        <v>0.05</v>
      </c>
      <c r="AC695" s="1103">
        <f>VLOOKUP(V695,'System Lookups'!$J$55:$P$64,4)</f>
        <v>0.1</v>
      </c>
      <c r="AD695" s="1104">
        <f t="shared" si="687"/>
        <v>0</v>
      </c>
      <c r="AE695" s="1094">
        <f>(IF(AD695&gt;VLOOKUP(V695,'System Lookups'!$J$55:$P$63,6),(((AD695-VLOOKUP(V695,'System Lookups'!$J$55:$P$63,6))*100)/20),0))+AF695</f>
        <v>0</v>
      </c>
      <c r="AF695" s="1121"/>
      <c r="AG695" s="1092">
        <f t="shared" si="688"/>
        <v>0</v>
      </c>
      <c r="AH695" s="1092" t="str">
        <f>IF(X695&lt;=Experience!$R$15+1,"","*")</f>
        <v/>
      </c>
      <c r="AI695" s="1092"/>
      <c r="AJ695" s="1080">
        <f t="shared" si="689"/>
        <v>0</v>
      </c>
      <c r="AK695" s="1080">
        <f t="shared" si="663"/>
        <v>0</v>
      </c>
      <c r="AL695" s="1080">
        <f t="shared" si="690"/>
        <v>0</v>
      </c>
      <c r="AM695" s="1092">
        <f t="shared" si="671"/>
        <v>0</v>
      </c>
      <c r="AN695" s="1080">
        <f t="shared" si="672"/>
        <v>1</v>
      </c>
      <c r="AO695" s="1080">
        <f t="shared" si="691"/>
        <v>0</v>
      </c>
      <c r="AP695" s="1080">
        <f t="shared" si="692"/>
        <v>1</v>
      </c>
      <c r="AQ695" s="1027">
        <f>VLOOKUP(V695,'System Lookups'!$J$55:$P$64,7)</f>
        <v>800</v>
      </c>
      <c r="AR695" s="1080" t="str">
        <f ca="1">IF(AND(NOT(ISBLANK(AJ695)),ISNA(MATCH(ROW(),'System Lookups'!$C$526:$C$539,0))),"Y","N")</f>
        <v>Y</v>
      </c>
      <c r="AS695" s="1080">
        <f t="shared" si="693"/>
        <v>0</v>
      </c>
      <c r="AU695" s="1080" t="e">
        <f t="shared" si="696"/>
        <v>#N/A</v>
      </c>
      <c r="AV695" s="1080" t="str">
        <f t="shared" si="694"/>
        <v>T</v>
      </c>
      <c r="AW695" s="1080">
        <f t="shared" si="697"/>
        <v>0</v>
      </c>
      <c r="AX695" s="1080">
        <f t="shared" si="698"/>
        <v>0</v>
      </c>
      <c r="AY695" s="1080">
        <f t="shared" si="699"/>
        <v>0</v>
      </c>
      <c r="AZ695" s="1080">
        <f t="shared" si="700"/>
        <v>0</v>
      </c>
      <c r="BA695" s="1080">
        <f t="shared" si="701"/>
        <v>0</v>
      </c>
      <c r="BB695" s="1080">
        <f>IF(AND(RACE=1,'Main Creation Page'!$E$6="Well",OR(ISNUMBER(FIND(Experience!$G$11,BE695)),ISNUMBER(FIND(Experience!$G$11,BF695)),ISNUMBER(FIND(Experience!$I$11,BE695)),ISNUMBER(FIND(Experience!$I$11,BF695)))),1,0)</f>
        <v>1</v>
      </c>
      <c r="BC695" s="1080" t="str">
        <f t="shared" si="635"/>
        <v>Warden Mage</v>
      </c>
      <c r="BE695" s="1080" t="str">
        <f t="shared" si="695"/>
        <v>Lore</v>
      </c>
      <c r="BF695" s="1080" t="str">
        <f t="shared" si="636"/>
        <v>Materia Magica Skills</v>
      </c>
    </row>
    <row r="696" spans="1:58" ht="11.1" hidden="1" customHeight="1" outlineLevel="2">
      <c r="A696" s="1093" t="s">
        <v>1139</v>
      </c>
      <c r="B696" s="1094" t="s">
        <v>1942</v>
      </c>
      <c r="C696" s="1094"/>
      <c r="D696" s="1094"/>
      <c r="E696" s="1095" t="s">
        <v>5224</v>
      </c>
      <c r="F696" s="1147" t="str">
        <f>IF(ISNA(VLOOKUP('Main Creation Page'!$AC$2,Mage_Specialization,2,0)),"N",IF(VLOOKUP('Main Creation Page'!$AC$2,Mage_Specialization,2,0)=$A696,"S","N"))</f>
        <v>N</v>
      </c>
      <c r="G696" s="1096">
        <v>0</v>
      </c>
      <c r="H696" s="1096" t="s">
        <v>5224</v>
      </c>
      <c r="I696" s="1096" t="s">
        <v>5224</v>
      </c>
      <c r="J696" s="1096" t="s">
        <v>5224</v>
      </c>
      <c r="K696" s="1096" t="s">
        <v>5224</v>
      </c>
      <c r="L696" s="1096">
        <v>0</v>
      </c>
      <c r="M696" s="1096" t="s">
        <v>5224</v>
      </c>
      <c r="N696" s="1096" t="s">
        <v>4631</v>
      </c>
      <c r="O696" s="1028"/>
      <c r="P696" s="1028" t="s">
        <v>780</v>
      </c>
      <c r="Q696" s="1097">
        <f t="shared" ca="1" si="683"/>
        <v>17</v>
      </c>
      <c r="R696" s="1028"/>
      <c r="S696" s="1028" t="s">
        <v>3611</v>
      </c>
      <c r="T696" s="1097">
        <f t="shared" ca="1" si="684"/>
        <v>15</v>
      </c>
      <c r="U696" s="1027">
        <v>4</v>
      </c>
      <c r="V696" s="1027">
        <f t="shared" si="685"/>
        <v>5</v>
      </c>
      <c r="W696" s="1098" t="e">
        <f>IF(OR(I696&lt;&gt;"N",E696="C"),IF(AND(N696&lt;&gt;"T",ISNUMBER(FIND("V",I696))),1,0),NA())+IF(H696="Y",IF(AND(N696="P",ISNUMBER(FIND("Z",I696))),2,1),0)+IF(J696="Y",1,0)+IF(K696="Y",3,0)+IF(BE696="Lore",L696*2+Experience!$D$25,0)+IF(M696="Y",1,0)</f>
        <v>#N/A</v>
      </c>
      <c r="X696" s="1099"/>
      <c r="Y696" s="1100">
        <f ca="1">IF(P696="NS",IFERROR(INDIRECT(S696),NA()),VLOOKUP(INDIRECT(P696)+INDIRECT(S696),'System Lookups'!$A$3:$D$146,2))</f>
        <v>0.08</v>
      </c>
      <c r="Z696" s="1100">
        <f t="shared" si="686"/>
        <v>0</v>
      </c>
      <c r="AA696" s="1101">
        <f ca="1">IF(ISNA(Y696),0,Y696)+Z696</f>
        <v>0.08</v>
      </c>
      <c r="AB696" s="1102">
        <f>VLOOKUP(V696,'System Lookups'!$J$55:$P$64,3)</f>
        <v>0.1</v>
      </c>
      <c r="AC696" s="1103">
        <f>VLOOKUP(V696,'System Lookups'!$J$55:$P$64,4)</f>
        <v>0.2</v>
      </c>
      <c r="AD696" s="1104">
        <f t="shared" si="687"/>
        <v>0</v>
      </c>
      <c r="AE696" s="1094">
        <f>(IF(AD696&gt;VLOOKUP(V696,'System Lookups'!$J$55:$P$63,6),(((AD696-VLOOKUP(V696,'System Lookups'!$J$55:$P$63,6))*100)/20),0))+AF696</f>
        <v>0</v>
      </c>
      <c r="AF696" s="1121"/>
      <c r="AG696" s="1092">
        <f t="shared" si="688"/>
        <v>0</v>
      </c>
      <c r="AH696" s="1092" t="str">
        <f>IF(X696&lt;=Experience!$R$15+1,"","*")</f>
        <v/>
      </c>
      <c r="AI696" s="1092"/>
      <c r="AJ696" s="1080">
        <f t="shared" si="689"/>
        <v>0</v>
      </c>
      <c r="AK696" s="1080">
        <f t="shared" si="663"/>
        <v>0</v>
      </c>
      <c r="AL696" s="1080">
        <f t="shared" si="690"/>
        <v>0</v>
      </c>
      <c r="AM696" s="1092">
        <f>IF(J696="y",1,0)</f>
        <v>0</v>
      </c>
      <c r="AN696" s="1080">
        <f>IF(N696="T",1,0)</f>
        <v>1</v>
      </c>
      <c r="AO696" s="1080">
        <f t="shared" si="691"/>
        <v>0</v>
      </c>
      <c r="AP696" s="1080">
        <f t="shared" si="692"/>
        <v>1</v>
      </c>
      <c r="AQ696" s="1027">
        <f>VLOOKUP(V696,'System Lookups'!$J$55:$P$64,7)</f>
        <v>700</v>
      </c>
      <c r="AR696" s="1080" t="str">
        <f ca="1">IF(AND(NOT(ISBLANK(AJ696)),ISNA(MATCH(ROW(),'System Lookups'!$C$526:$C$539,0))),"Y","N")</f>
        <v>Y</v>
      </c>
      <c r="AS696" s="1080">
        <f t="shared" si="693"/>
        <v>0</v>
      </c>
      <c r="AU696" s="1080" t="e">
        <f t="shared" si="696"/>
        <v>#N/A</v>
      </c>
      <c r="AV696" s="1080" t="str">
        <f t="shared" si="694"/>
        <v>T</v>
      </c>
      <c r="AW696" s="1080">
        <f t="shared" si="697"/>
        <v>0</v>
      </c>
      <c r="AX696" s="1080">
        <f t="shared" si="698"/>
        <v>0</v>
      </c>
      <c r="AY696" s="1080">
        <f t="shared" si="699"/>
        <v>0</v>
      </c>
      <c r="AZ696" s="1080">
        <f t="shared" si="700"/>
        <v>0</v>
      </c>
      <c r="BA696" s="1080">
        <f t="shared" si="701"/>
        <v>0</v>
      </c>
      <c r="BB696" s="1080">
        <f>IF(AND(RACE=1,'Main Creation Page'!$E$6="Well",OR(ISNUMBER(FIND(Experience!$G$11,BE696)),ISNUMBER(FIND(Experience!$G$11,BF696)),ISNUMBER(FIND(Experience!$I$11,BE696)),ISNUMBER(FIND(Experience!$I$11,BF696)))),1,0)</f>
        <v>1</v>
      </c>
      <c r="BC696" s="1080" t="str">
        <f t="shared" si="635"/>
        <v>Gardener Mage</v>
      </c>
      <c r="BE696" s="1080" t="str">
        <f t="shared" si="695"/>
        <v>Lore</v>
      </c>
      <c r="BF696" s="1080" t="str">
        <f t="shared" si="636"/>
        <v>Materia Magica Skills</v>
      </c>
    </row>
    <row r="697" spans="1:58" ht="11.1" hidden="1" customHeight="1" outlineLevel="2">
      <c r="A697" s="1093" t="s">
        <v>449</v>
      </c>
      <c r="B697" s="1094" t="s">
        <v>1942</v>
      </c>
      <c r="C697" s="1094"/>
      <c r="D697" s="1094"/>
      <c r="E697" s="1095" t="s">
        <v>5224</v>
      </c>
      <c r="F697" s="1147" t="str">
        <f>IF(ISNA(VLOOKUP('Main Creation Page'!$AC$2,Mage_Specialization,2,0)),"N",IF(VLOOKUP('Main Creation Page'!$AC$2,Mage_Specialization,2,0)=$A697,"S","N"))</f>
        <v>N</v>
      </c>
      <c r="G697" s="1096">
        <v>0</v>
      </c>
      <c r="H697" s="1096" t="s">
        <v>5224</v>
      </c>
      <c r="I697" s="1096" t="s">
        <v>5224</v>
      </c>
      <c r="J697" s="1096" t="s">
        <v>5224</v>
      </c>
      <c r="K697" s="1096" t="s">
        <v>5224</v>
      </c>
      <c r="L697" s="1096">
        <v>0</v>
      </c>
      <c r="M697" s="1096" t="s">
        <v>5224</v>
      </c>
      <c r="N697" s="1096" t="s">
        <v>4631</v>
      </c>
      <c r="O697" s="1028"/>
      <c r="P697" s="1028" t="s">
        <v>780</v>
      </c>
      <c r="Q697" s="1097">
        <f t="shared" ca="1" si="683"/>
        <v>17</v>
      </c>
      <c r="R697" s="1028"/>
      <c r="S697" s="1028" t="s">
        <v>3613</v>
      </c>
      <c r="T697" s="1097">
        <f t="shared" ca="1" si="684"/>
        <v>15</v>
      </c>
      <c r="U697" s="1027">
        <v>7</v>
      </c>
      <c r="V697" s="1027">
        <f t="shared" si="685"/>
        <v>8</v>
      </c>
      <c r="W697" s="1098" t="e">
        <f>IF(OR(I697&lt;&gt;"N",E697="C"),IF(AND(N697&lt;&gt;"T",ISNUMBER(FIND("V",I697))),1,0),NA())+IF(H697="Y",IF(AND(N697="P",ISNUMBER(FIND("Z",I697))),2,1),0)+IF(J697="Y",1,0)+IF(K697="Y",3,0)+IF(BE697="Lore",L697*2+Experience!$D$25,0)+IF(M697="Y",1,0)</f>
        <v>#N/A</v>
      </c>
      <c r="X697" s="1099"/>
      <c r="Y697" s="1100">
        <f ca="1">IF(P697="NS",IFERROR(INDIRECT(S697),NA()),VLOOKUP(INDIRECT(P697)+INDIRECT(S697),'System Lookups'!$A$3:$D$146,2))</f>
        <v>0.08</v>
      </c>
      <c r="Z697" s="1100">
        <f t="shared" si="686"/>
        <v>0</v>
      </c>
      <c r="AA697" s="1101">
        <f ca="1">IF(ISNA(Y697),0,Y697)+Z697</f>
        <v>0.08</v>
      </c>
      <c r="AB697" s="1102">
        <f>VLOOKUP(V697,'System Lookups'!$J$55:$P$64,3)</f>
        <v>0.02</v>
      </c>
      <c r="AC697" s="1103">
        <f>VLOOKUP(V697,'System Lookups'!$J$55:$P$64,4)</f>
        <v>0.03</v>
      </c>
      <c r="AD697" s="1104">
        <f t="shared" si="687"/>
        <v>0</v>
      </c>
      <c r="AE697" s="1094">
        <f>(IF(AD697&gt;VLOOKUP(V697,'System Lookups'!$J$55:$P$63,6),(((AD697-VLOOKUP(V697,'System Lookups'!$J$55:$P$63,6))*100)/20),0))+AF697</f>
        <v>0</v>
      </c>
      <c r="AF697" s="1121"/>
      <c r="AG697" s="1092">
        <f t="shared" si="688"/>
        <v>0</v>
      </c>
      <c r="AH697" s="1092" t="str">
        <f>IF(X697&lt;=Experience!$R$15+1,"","*")</f>
        <v/>
      </c>
      <c r="AI697" s="1092"/>
      <c r="AJ697" s="1080">
        <f t="shared" si="689"/>
        <v>0</v>
      </c>
      <c r="AK697" s="1080">
        <f>IF(F697="s",-3,0)</f>
        <v>0</v>
      </c>
      <c r="AL697" s="1080">
        <f t="shared" si="690"/>
        <v>0</v>
      </c>
      <c r="AM697" s="1092">
        <f>IF(J697="y",1,0)</f>
        <v>0</v>
      </c>
      <c r="AN697" s="1080">
        <f>IF(N697="T",1,0)</f>
        <v>1</v>
      </c>
      <c r="AO697" s="1080">
        <f t="shared" si="691"/>
        <v>0</v>
      </c>
      <c r="AP697" s="1080">
        <f t="shared" si="692"/>
        <v>1</v>
      </c>
      <c r="AQ697" s="1027">
        <f>VLOOKUP(V697,'System Lookups'!$J$55:$P$64,7)</f>
        <v>1200</v>
      </c>
      <c r="AR697" s="1080" t="str">
        <f ca="1">IF(AND(NOT(ISBLANK(AJ697)),ISNA(MATCH(ROW(),'System Lookups'!$C$526:$C$539,0))),"Y","N")</f>
        <v>Y</v>
      </c>
      <c r="AS697" s="1080">
        <f t="shared" si="693"/>
        <v>0</v>
      </c>
      <c r="AU697" s="1080" t="e">
        <f t="shared" si="696"/>
        <v>#N/A</v>
      </c>
      <c r="AV697" s="1080" t="str">
        <f t="shared" si="694"/>
        <v>T</v>
      </c>
      <c r="AW697" s="1080">
        <f t="shared" si="697"/>
        <v>0</v>
      </c>
      <c r="AX697" s="1080">
        <f t="shared" si="698"/>
        <v>0</v>
      </c>
      <c r="AY697" s="1080">
        <f t="shared" si="699"/>
        <v>0</v>
      </c>
      <c r="AZ697" s="1080">
        <f t="shared" si="700"/>
        <v>0</v>
      </c>
      <c r="BA697" s="1080">
        <f t="shared" si="701"/>
        <v>0</v>
      </c>
      <c r="BB697" s="1080">
        <f>IF(AND(RACE=1,'Main Creation Page'!$E$6="Well",OR(ISNUMBER(FIND(Experience!$G$11,BE697)),ISNUMBER(FIND(Experience!$G$11,BF697)),ISNUMBER(FIND(Experience!$I$11,BE697)),ISNUMBER(FIND(Experience!$I$11,BF697)))),1,0)</f>
        <v>1</v>
      </c>
      <c r="BC697" s="1080" t="str">
        <f t="shared" si="635"/>
        <v>Haeflin Master Magus</v>
      </c>
      <c r="BE697" s="1080" t="str">
        <f t="shared" si="695"/>
        <v>Lore</v>
      </c>
      <c r="BF697" s="1080" t="str">
        <f t="shared" si="636"/>
        <v>Materia Magica Skills</v>
      </c>
    </row>
    <row r="698" spans="1:58" ht="11.1" hidden="1" customHeight="1" outlineLevel="2">
      <c r="A698" s="1028" t="s">
        <v>4792</v>
      </c>
      <c r="B698" s="1094" t="s">
        <v>1942</v>
      </c>
      <c r="C698" s="1094"/>
      <c r="D698" s="1094"/>
      <c r="E698" s="1095" t="s">
        <v>5224</v>
      </c>
      <c r="F698" s="1147" t="str">
        <f>IF(ISNA(VLOOKUP('Main Creation Page'!$AC$2,Mage_Specialization,2,0)),"N",IF(VLOOKUP('Main Creation Page'!$AC$2,Mage_Specialization,2,0)=$A698,"S","N"))</f>
        <v>N</v>
      </c>
      <c r="G698" s="1096">
        <v>0</v>
      </c>
      <c r="H698" s="1096" t="s">
        <v>5224</v>
      </c>
      <c r="I698" s="1096" t="s">
        <v>5224</v>
      </c>
      <c r="J698" s="1096" t="s">
        <v>5224</v>
      </c>
      <c r="K698" s="1096" t="s">
        <v>5224</v>
      </c>
      <c r="L698" s="1096">
        <v>0</v>
      </c>
      <c r="M698" s="1096" t="s">
        <v>5224</v>
      </c>
      <c r="N698" s="1096" t="s">
        <v>4631</v>
      </c>
      <c r="O698" s="1028"/>
      <c r="P698" s="1028" t="s">
        <v>780</v>
      </c>
      <c r="Q698" s="1097">
        <f t="shared" ca="1" si="683"/>
        <v>17</v>
      </c>
      <c r="R698" s="1028"/>
      <c r="S698" s="1028" t="s">
        <v>3613</v>
      </c>
      <c r="T698" s="1097">
        <f t="shared" ca="1" si="684"/>
        <v>15</v>
      </c>
      <c r="U698" s="1027">
        <v>6</v>
      </c>
      <c r="V698" s="1027">
        <f t="shared" si="685"/>
        <v>7</v>
      </c>
      <c r="W698" s="1098" t="e">
        <f>IF(OR(I698&lt;&gt;"N",E698="C"),IF(AND(N698&lt;&gt;"T",ISNUMBER(FIND("V",I698))),1,0),NA())+IF(H698="Y",IF(AND(N698="P",ISNUMBER(FIND("Z",I698))),2,1),0)+IF(J698="Y",1,0)+IF(K698="Y",3,0)+IF(BE698="Lore",L698*2+Experience!$D$25,0)+IF(M698="Y",1,0)</f>
        <v>#N/A</v>
      </c>
      <c r="X698" s="1099"/>
      <c r="Y698" s="1100">
        <f ca="1">IF(P698="NS",IFERROR(INDIRECT(S698),NA()),VLOOKUP(INDIRECT(P698)+INDIRECT(S698),'System Lookups'!$A$3:$D$146,2))</f>
        <v>0.08</v>
      </c>
      <c r="Z698" s="1100">
        <f t="shared" si="686"/>
        <v>0</v>
      </c>
      <c r="AA698" s="1101">
        <f t="shared" ca="1" si="670"/>
        <v>0.08</v>
      </c>
      <c r="AB698" s="1102">
        <f>VLOOKUP(V698,'System Lookups'!$J$55:$P$64,3)</f>
        <v>0.03</v>
      </c>
      <c r="AC698" s="1103">
        <f>VLOOKUP(V698,'System Lookups'!$J$55:$P$64,4)</f>
        <v>7.0000000000000007E-2</v>
      </c>
      <c r="AD698" s="1104">
        <f t="shared" si="687"/>
        <v>0</v>
      </c>
      <c r="AE698" s="1094">
        <f>(IF(AD698&gt;VLOOKUP(V698,'System Lookups'!$J$55:$P$63,6),(((AD698-VLOOKUP(V698,'System Lookups'!$J$55:$P$63,6))*100)/20),0))+AF698</f>
        <v>0</v>
      </c>
      <c r="AF698" s="1121"/>
      <c r="AG698" s="1092">
        <f t="shared" si="688"/>
        <v>0</v>
      </c>
      <c r="AH698" s="1092" t="str">
        <f>IF(X698&lt;=Experience!$R$15+1,"","*")</f>
        <v/>
      </c>
      <c r="AI698" s="1092"/>
      <c r="AJ698" s="1080">
        <f t="shared" si="689"/>
        <v>0</v>
      </c>
      <c r="AK698" s="1080">
        <f t="shared" si="663"/>
        <v>0</v>
      </c>
      <c r="AL698" s="1080">
        <f t="shared" si="690"/>
        <v>0</v>
      </c>
      <c r="AM698" s="1092">
        <f t="shared" si="671"/>
        <v>0</v>
      </c>
      <c r="AN698" s="1080">
        <f t="shared" si="672"/>
        <v>1</v>
      </c>
      <c r="AO698" s="1080">
        <f t="shared" si="691"/>
        <v>0</v>
      </c>
      <c r="AP698" s="1080">
        <f t="shared" si="692"/>
        <v>1</v>
      </c>
      <c r="AQ698" s="1027">
        <f>VLOOKUP(V698,'System Lookups'!$J$55:$P$64,7)</f>
        <v>1000</v>
      </c>
      <c r="AR698" s="1080" t="str">
        <f ca="1">IF(AND(NOT(ISBLANK(AJ698)),ISNA(MATCH(ROW(),'System Lookups'!$C$526:$C$539,0))),"Y","N")</f>
        <v>Y</v>
      </c>
      <c r="AS698" s="1080">
        <f t="shared" si="693"/>
        <v>0</v>
      </c>
      <c r="AU698" s="1080" t="e">
        <f t="shared" si="696"/>
        <v>#N/A</v>
      </c>
      <c r="AV698" s="1080" t="str">
        <f t="shared" si="694"/>
        <v>T</v>
      </c>
      <c r="AW698" s="1080">
        <f t="shared" si="697"/>
        <v>0</v>
      </c>
      <c r="AX698" s="1080">
        <f t="shared" si="698"/>
        <v>0</v>
      </c>
      <c r="AY698" s="1080">
        <f t="shared" si="699"/>
        <v>0</v>
      </c>
      <c r="AZ698" s="1080">
        <f t="shared" si="700"/>
        <v>0</v>
      </c>
      <c r="BA698" s="1080">
        <f t="shared" si="701"/>
        <v>0</v>
      </c>
      <c r="BB698" s="1080">
        <f>IF(AND(RACE=1,'Main Creation Page'!$E$6="Well",OR(ISNUMBER(FIND(Experience!$G$11,BE698)),ISNUMBER(FIND(Experience!$G$11,BF698)),ISNUMBER(FIND(Experience!$I$11,BE698)),ISNUMBER(FIND(Experience!$I$11,BF698)))),1,0)</f>
        <v>1</v>
      </c>
      <c r="BC698" s="1080" t="str">
        <f t="shared" si="635"/>
        <v>Hexmaster</v>
      </c>
      <c r="BE698" s="1080" t="str">
        <f t="shared" si="695"/>
        <v>Lore</v>
      </c>
      <c r="BF698" s="1080" t="str">
        <f t="shared" si="636"/>
        <v>Materia Magica Skills</v>
      </c>
    </row>
    <row r="699" spans="1:58" ht="11.1" hidden="1" customHeight="1" outlineLevel="2">
      <c r="A699" s="1093" t="s">
        <v>4937</v>
      </c>
      <c r="B699" s="1094" t="s">
        <v>1942</v>
      </c>
      <c r="C699" s="1094"/>
      <c r="D699" s="1094"/>
      <c r="E699" s="1095" t="s">
        <v>5224</v>
      </c>
      <c r="F699" s="1147" t="str">
        <f>IF(ISNA(VLOOKUP('Main Creation Page'!$AC$2,Mage_Specialization,2,0)),"N",IF(VLOOKUP('Main Creation Page'!$AC$2,Mage_Specialization,2,0)=$A699,"S","N"))</f>
        <v>N</v>
      </c>
      <c r="G699" s="1096">
        <v>0</v>
      </c>
      <c r="H699" s="1096" t="s">
        <v>5224</v>
      </c>
      <c r="I699" s="1096" t="s">
        <v>5224</v>
      </c>
      <c r="J699" s="1096" t="s">
        <v>5224</v>
      </c>
      <c r="K699" s="1096" t="s">
        <v>5224</v>
      </c>
      <c r="L699" s="1096">
        <v>0</v>
      </c>
      <c r="M699" s="1096" t="s">
        <v>5224</v>
      </c>
      <c r="N699" s="1096" t="s">
        <v>4631</v>
      </c>
      <c r="O699" s="1028"/>
      <c r="P699" s="1028" t="s">
        <v>3615</v>
      </c>
      <c r="Q699" s="1097">
        <f t="shared" ca="1" si="683"/>
        <v>20</v>
      </c>
      <c r="R699" s="1028"/>
      <c r="S699" s="1028" t="s">
        <v>3614</v>
      </c>
      <c r="T699" s="1097">
        <f t="shared" ca="1" si="684"/>
        <v>15</v>
      </c>
      <c r="U699" s="1027">
        <v>6</v>
      </c>
      <c r="V699" s="1027">
        <f t="shared" si="685"/>
        <v>7</v>
      </c>
      <c r="W699" s="1098" t="e">
        <f>IF(OR(I699&lt;&gt;"N",E699="C"),IF(AND(N699&lt;&gt;"T",ISNUMBER(FIND("V",I699))),1,0),NA())+IF(H699="Y",IF(AND(N699="P",ISNUMBER(FIND("Z",I699))),2,1),0)+IF(J699="Y",1,0)+IF(K699="Y",3,0)+IF(BE699="Lore",L699*2+Experience!$D$25,0)+IF(M699="Y",1,0)</f>
        <v>#N/A</v>
      </c>
      <c r="X699" s="1099"/>
      <c r="Y699" s="1100">
        <f ca="1">IF(P699="NS",IFERROR(INDIRECT(S699),NA()),VLOOKUP(INDIRECT(P699)+INDIRECT(S699),'System Lookups'!$A$3:$D$146,2))</f>
        <v>0.12</v>
      </c>
      <c r="Z699" s="1100">
        <f t="shared" si="686"/>
        <v>0</v>
      </c>
      <c r="AA699" s="1101">
        <f t="shared" ca="1" si="670"/>
        <v>0.12</v>
      </c>
      <c r="AB699" s="1102">
        <f>VLOOKUP(V699,'System Lookups'!$J$55:$P$64,3)</f>
        <v>0.03</v>
      </c>
      <c r="AC699" s="1103">
        <f>VLOOKUP(V699,'System Lookups'!$J$55:$P$64,4)</f>
        <v>7.0000000000000007E-2</v>
      </c>
      <c r="AD699" s="1104">
        <f t="shared" si="687"/>
        <v>0</v>
      </c>
      <c r="AE699" s="1094">
        <f>(IF(AD699&gt;VLOOKUP(V699,'System Lookups'!$J$55:$P$63,6),(((AD699-VLOOKUP(V699,'System Lookups'!$J$55:$P$63,6))*100)/20),0))+AF699</f>
        <v>0</v>
      </c>
      <c r="AF699" s="1121"/>
      <c r="AG699" s="1092">
        <f t="shared" si="688"/>
        <v>0</v>
      </c>
      <c r="AH699" s="1092" t="str">
        <f>IF(X699&lt;=Experience!$R$15+1,"","*")</f>
        <v/>
      </c>
      <c r="AI699" s="1092"/>
      <c r="AJ699" s="1080">
        <f t="shared" si="689"/>
        <v>0</v>
      </c>
      <c r="AK699" s="1080">
        <f t="shared" si="663"/>
        <v>0</v>
      </c>
      <c r="AL699" s="1080">
        <f t="shared" si="690"/>
        <v>0</v>
      </c>
      <c r="AM699" s="1092">
        <f t="shared" si="671"/>
        <v>0</v>
      </c>
      <c r="AN699" s="1080">
        <f t="shared" si="672"/>
        <v>1</v>
      </c>
      <c r="AO699" s="1080">
        <f t="shared" si="691"/>
        <v>0</v>
      </c>
      <c r="AP699" s="1080">
        <f t="shared" si="692"/>
        <v>1</v>
      </c>
      <c r="AQ699" s="1027">
        <f>VLOOKUP(V699,'System Lookups'!$J$55:$P$64,7)</f>
        <v>1000</v>
      </c>
      <c r="AR699" s="1080" t="str">
        <f ca="1">IF(AND(NOT(ISBLANK(AJ699)),ISNA(MATCH(ROW(),'System Lookups'!$C$526:$C$539,0))),"Y","N")</f>
        <v>Y</v>
      </c>
      <c r="AS699" s="1080">
        <f t="shared" si="693"/>
        <v>0</v>
      </c>
      <c r="AU699" s="1080" t="e">
        <f t="shared" si="696"/>
        <v>#N/A</v>
      </c>
      <c r="AV699" s="1080" t="str">
        <f t="shared" si="694"/>
        <v>T</v>
      </c>
      <c r="AW699" s="1080">
        <f t="shared" si="697"/>
        <v>0</v>
      </c>
      <c r="AX699" s="1080">
        <f t="shared" si="698"/>
        <v>0</v>
      </c>
      <c r="AY699" s="1080">
        <f t="shared" si="699"/>
        <v>0</v>
      </c>
      <c r="AZ699" s="1080">
        <f t="shared" si="700"/>
        <v>0</v>
      </c>
      <c r="BA699" s="1080">
        <f t="shared" si="701"/>
        <v>0</v>
      </c>
      <c r="BB699" s="1080">
        <f>IF(AND(RACE=1,'Main Creation Page'!$E$6="Well",OR(ISNUMBER(FIND(Experience!$G$11,BE699)),ISNUMBER(FIND(Experience!$G$11,BF699)),ISNUMBER(FIND(Experience!$I$11,BE699)),ISNUMBER(FIND(Experience!$I$11,BF699)))),1,0)</f>
        <v>1</v>
      </c>
      <c r="BC699" s="1080" t="str">
        <f t="shared" si="635"/>
        <v>Master Armourer Magus</v>
      </c>
      <c r="BE699" s="1080" t="str">
        <f t="shared" si="695"/>
        <v>Lore</v>
      </c>
      <c r="BF699" s="1080" t="str">
        <f t="shared" si="636"/>
        <v>Materia Magica Skills</v>
      </c>
    </row>
    <row r="700" spans="1:58" ht="11.1" hidden="1" customHeight="1" outlineLevel="2">
      <c r="A700" s="1093" t="s">
        <v>2026</v>
      </c>
      <c r="B700" s="1094" t="s">
        <v>1942</v>
      </c>
      <c r="C700" s="1094"/>
      <c r="D700" s="1094"/>
      <c r="E700" s="1095" t="s">
        <v>5224</v>
      </c>
      <c r="F700" s="1147" t="str">
        <f>IF(ISNA(VLOOKUP('Main Creation Page'!$AC$2,Mage_Specialization,2,0)),"N",IF(VLOOKUP('Main Creation Page'!$AC$2,Mage_Specialization,2,0)=$A700,"S","N"))</f>
        <v>N</v>
      </c>
      <c r="G700" s="1096">
        <v>0</v>
      </c>
      <c r="H700" s="1096" t="s">
        <v>5224</v>
      </c>
      <c r="I700" s="1096" t="s">
        <v>5224</v>
      </c>
      <c r="J700" s="1096" t="s">
        <v>5224</v>
      </c>
      <c r="K700" s="1096" t="s">
        <v>5224</v>
      </c>
      <c r="L700" s="1096">
        <v>0</v>
      </c>
      <c r="M700" s="1096" t="s">
        <v>5224</v>
      </c>
      <c r="N700" s="1096" t="s">
        <v>4631</v>
      </c>
      <c r="O700" s="1028"/>
      <c r="P700" s="1028" t="s">
        <v>780</v>
      </c>
      <c r="Q700" s="1097">
        <f t="shared" ca="1" si="683"/>
        <v>17</v>
      </c>
      <c r="R700" s="1034"/>
      <c r="S700" s="1028" t="s">
        <v>3616</v>
      </c>
      <c r="T700" s="1097">
        <f t="shared" ca="1" si="684"/>
        <v>17</v>
      </c>
      <c r="U700" s="1027">
        <v>6</v>
      </c>
      <c r="V700" s="1027">
        <f t="shared" si="685"/>
        <v>7</v>
      </c>
      <c r="W700" s="1098" t="e">
        <f>IF(OR(I700&lt;&gt;"N",E700="C"),IF(AND(N700&lt;&gt;"T",ISNUMBER(FIND("V",I700))),1,0),NA())+IF(H700="Y",IF(AND(N700="P",ISNUMBER(FIND("Z",I700))),2,1),0)+IF(J700="Y",1,0)+IF(K700="Y",3,0)+IF(BE700="Lore",L700*2+Experience!$D$25,0)+IF(M700="Y",1,0)</f>
        <v>#N/A</v>
      </c>
      <c r="X700" s="1099"/>
      <c r="Y700" s="1100">
        <f ca="1">IF(P700="NS",IFERROR(INDIRECT(S700),NA()),VLOOKUP(INDIRECT(P700)+INDIRECT(S700),'System Lookups'!$A$3:$D$146,2))</f>
        <v>0.1</v>
      </c>
      <c r="Z700" s="1100">
        <f t="shared" si="686"/>
        <v>0</v>
      </c>
      <c r="AA700" s="1101">
        <f ca="1">IF(ISNA(Y700),0,Y700)+Z700</f>
        <v>0.1</v>
      </c>
      <c r="AB700" s="1102">
        <f>VLOOKUP(V700,'System Lookups'!$J$55:$P$64,3)</f>
        <v>0.03</v>
      </c>
      <c r="AC700" s="1103">
        <f>VLOOKUP(V700,'System Lookups'!$J$55:$P$64,4)</f>
        <v>7.0000000000000007E-2</v>
      </c>
      <c r="AD700" s="1104">
        <f t="shared" si="687"/>
        <v>0</v>
      </c>
      <c r="AE700" s="1094">
        <f>(IF(AD700&gt;VLOOKUP(V700,'System Lookups'!$J$55:$P$63,6),(((AD700-VLOOKUP(V700,'System Lookups'!$J$55:$P$63,6))*100)/20),0))+AF700</f>
        <v>0</v>
      </c>
      <c r="AF700" s="1121"/>
      <c r="AG700" s="1092">
        <f t="shared" si="688"/>
        <v>0</v>
      </c>
      <c r="AH700" s="1092" t="str">
        <f>IF(X700&lt;=Experience!$R$15+1,"","*")</f>
        <v/>
      </c>
      <c r="AI700" s="1092"/>
      <c r="AJ700" s="1080">
        <f t="shared" si="689"/>
        <v>0</v>
      </c>
      <c r="AK700" s="1080">
        <f t="shared" si="663"/>
        <v>0</v>
      </c>
      <c r="AL700" s="1080">
        <f t="shared" si="690"/>
        <v>0</v>
      </c>
      <c r="AM700" s="1092">
        <f>IF(J700="y",1,0)</f>
        <v>0</v>
      </c>
      <c r="AN700" s="1080">
        <f t="shared" si="672"/>
        <v>1</v>
      </c>
      <c r="AO700" s="1080">
        <f t="shared" si="691"/>
        <v>0</v>
      </c>
      <c r="AP700" s="1080">
        <f t="shared" si="692"/>
        <v>1</v>
      </c>
      <c r="AQ700" s="1027">
        <f>VLOOKUP(V700,'System Lookups'!$J$55:$P$64,7)</f>
        <v>1000</v>
      </c>
      <c r="AR700" s="1080" t="str">
        <f ca="1">IF(AND(NOT(ISBLANK(AJ700)),ISNA(MATCH(ROW(),'System Lookups'!$C$526:$C$539,0))),"Y","N")</f>
        <v>Y</v>
      </c>
      <c r="AS700" s="1080">
        <f t="shared" si="693"/>
        <v>0</v>
      </c>
      <c r="AU700" s="1080" t="e">
        <f t="shared" si="696"/>
        <v>#N/A</v>
      </c>
      <c r="AV700" s="1080" t="str">
        <f t="shared" si="694"/>
        <v>T</v>
      </c>
      <c r="AW700" s="1080">
        <f t="shared" si="697"/>
        <v>0</v>
      </c>
      <c r="AX700" s="1080">
        <f t="shared" si="698"/>
        <v>0</v>
      </c>
      <c r="AY700" s="1080">
        <f t="shared" si="699"/>
        <v>0</v>
      </c>
      <c r="AZ700" s="1080">
        <f t="shared" si="700"/>
        <v>0</v>
      </c>
      <c r="BA700" s="1080">
        <f t="shared" si="701"/>
        <v>0</v>
      </c>
      <c r="BB700" s="1080">
        <f>IF(AND(RACE=1,'Main Creation Page'!$E$6="Well",OR(ISNUMBER(FIND(Experience!$G$11,BE700)),ISNUMBER(FIND(Experience!$G$11,BF700)),ISNUMBER(FIND(Experience!$I$11,BE700)),ISNUMBER(FIND(Experience!$I$11,BF700)))),1,0)</f>
        <v>1</v>
      </c>
      <c r="BC700" s="1080" t="str">
        <f t="shared" si="635"/>
        <v>Mathematics</v>
      </c>
      <c r="BE700" s="1080" t="str">
        <f t="shared" si="695"/>
        <v>Lore</v>
      </c>
      <c r="BF700" s="1080" t="str">
        <f t="shared" si="636"/>
        <v>Materia Magica Skills</v>
      </c>
    </row>
    <row r="701" spans="1:58" ht="11.1" hidden="1" customHeight="1" outlineLevel="2">
      <c r="A701" s="1093" t="s">
        <v>3476</v>
      </c>
      <c r="B701" s="1094" t="s">
        <v>1942</v>
      </c>
      <c r="C701" s="1094"/>
      <c r="D701" s="1094"/>
      <c r="E701" s="1095" t="s">
        <v>5224</v>
      </c>
      <c r="F701" s="1147" t="str">
        <f>IF(ISNA(VLOOKUP('Main Creation Page'!$AC$2,Mage_Specialization,2,0)),"N",IF(VLOOKUP('Main Creation Page'!$AC$2,Mage_Specialization,2,0)=$A701,"S","N"))</f>
        <v>N</v>
      </c>
      <c r="G701" s="1096">
        <v>0</v>
      </c>
      <c r="H701" s="1096" t="s">
        <v>5224</v>
      </c>
      <c r="I701" s="1096" t="s">
        <v>5224</v>
      </c>
      <c r="J701" s="1096" t="s">
        <v>5224</v>
      </c>
      <c r="K701" s="1096" t="s">
        <v>5224</v>
      </c>
      <c r="L701" s="1096">
        <v>0</v>
      </c>
      <c r="M701" s="1096" t="s">
        <v>5224</v>
      </c>
      <c r="N701" s="1096" t="s">
        <v>4631</v>
      </c>
      <c r="O701" s="1028"/>
      <c r="P701" s="1028" t="s">
        <v>3613</v>
      </c>
      <c r="Q701" s="1097">
        <f t="shared" ca="1" si="683"/>
        <v>15</v>
      </c>
      <c r="R701" s="1028"/>
      <c r="S701" s="1028" t="s">
        <v>3616</v>
      </c>
      <c r="T701" s="1097">
        <f t="shared" ca="1" si="684"/>
        <v>17</v>
      </c>
      <c r="U701" s="1027">
        <v>6</v>
      </c>
      <c r="V701" s="1027">
        <f t="shared" si="685"/>
        <v>7</v>
      </c>
      <c r="W701" s="1098" t="e">
        <f>IF(OR(I701&lt;&gt;"N",E701="C"),IF(AND(N701&lt;&gt;"T",ISNUMBER(FIND("V",I701))),1,0),NA())+IF(H701="Y",IF(AND(N701="P",ISNUMBER(FIND("Z",I701))),2,1),0)+IF(J701="Y",1,0)+IF(K701="Y",3,0)+IF(BE701="Lore",L701*2+Experience!$D$25,0)+IF(M701="Y",1,0)</f>
        <v>#N/A</v>
      </c>
      <c r="X701" s="1099"/>
      <c r="Y701" s="1100">
        <f ca="1">IF(P701="NS",IFERROR(INDIRECT(S701),NA()),VLOOKUP(INDIRECT(P701)+INDIRECT(S701),'System Lookups'!$A$3:$D$146,2))</f>
        <v>0.08</v>
      </c>
      <c r="Z701" s="1100">
        <f t="shared" si="686"/>
        <v>0</v>
      </c>
      <c r="AA701" s="1101">
        <f ca="1">IF(ISNA(Y701),0,Y701)+Z701</f>
        <v>0.08</v>
      </c>
      <c r="AB701" s="1102">
        <f>VLOOKUP(V701,'System Lookups'!$J$55:$P$64,3)</f>
        <v>0.03</v>
      </c>
      <c r="AC701" s="1103">
        <f>VLOOKUP(V701,'System Lookups'!$J$55:$P$64,4)</f>
        <v>7.0000000000000007E-2</v>
      </c>
      <c r="AD701" s="1104">
        <f t="shared" si="687"/>
        <v>0</v>
      </c>
      <c r="AE701" s="1094">
        <f>(IF(AD701&gt;VLOOKUP(V701,'System Lookups'!$J$55:$P$63,6),(((AD701-VLOOKUP(V701,'System Lookups'!$J$55:$P$63,6))*100)/20),0))+AF701</f>
        <v>0</v>
      </c>
      <c r="AF701" s="1121"/>
      <c r="AG701" s="1092">
        <f t="shared" si="688"/>
        <v>0</v>
      </c>
      <c r="AH701" s="1092" t="str">
        <f>IF(X701&lt;=Experience!$R$15+1,"","*")</f>
        <v/>
      </c>
      <c r="AI701" s="1092"/>
      <c r="AJ701" s="1080">
        <f t="shared" si="689"/>
        <v>0</v>
      </c>
      <c r="AK701" s="1080">
        <f t="shared" si="663"/>
        <v>0</v>
      </c>
      <c r="AL701" s="1080">
        <f t="shared" si="690"/>
        <v>0</v>
      </c>
      <c r="AM701" s="1092">
        <f>IF(J701="y",1,0)</f>
        <v>0</v>
      </c>
      <c r="AN701" s="1080">
        <f>IF(N701="T",1,0)</f>
        <v>1</v>
      </c>
      <c r="AO701" s="1080">
        <f t="shared" si="691"/>
        <v>0</v>
      </c>
      <c r="AP701" s="1080">
        <f t="shared" si="692"/>
        <v>1</v>
      </c>
      <c r="AQ701" s="1027">
        <f>VLOOKUP(V701,'System Lookups'!$J$55:$P$64,7)</f>
        <v>1000</v>
      </c>
      <c r="AR701" s="1080" t="str">
        <f ca="1">IF(AND(NOT(ISBLANK(AJ701)),ISNA(MATCH(ROW(),'System Lookups'!$C$526:$C$539,0))),"Y","N")</f>
        <v>Y</v>
      </c>
      <c r="AS701" s="1080">
        <f t="shared" si="693"/>
        <v>0</v>
      </c>
      <c r="AU701" s="1080" t="e">
        <f t="shared" si="696"/>
        <v>#N/A</v>
      </c>
      <c r="AV701" s="1080" t="str">
        <f t="shared" si="694"/>
        <v>T</v>
      </c>
      <c r="AW701" s="1080">
        <f t="shared" si="697"/>
        <v>0</v>
      </c>
      <c r="AX701" s="1080">
        <f t="shared" si="698"/>
        <v>0</v>
      </c>
      <c r="AY701" s="1080">
        <f t="shared" si="699"/>
        <v>0</v>
      </c>
      <c r="AZ701" s="1080">
        <f t="shared" si="700"/>
        <v>0</v>
      </c>
      <c r="BA701" s="1080">
        <f t="shared" si="701"/>
        <v>0</v>
      </c>
      <c r="BB701" s="1080">
        <f>IF(AND(RACE=1,'Main Creation Page'!$E$6="Well",OR(ISNUMBER(FIND(Experience!$G$11,BE701)),ISNUMBER(FIND(Experience!$G$11,BF701)),ISNUMBER(FIND(Experience!$I$11,BE701)),ISNUMBER(FIND(Experience!$I$11,BF701)))),1,0)</f>
        <v>1</v>
      </c>
      <c r="BC701" s="1080" t="str">
        <f t="shared" si="635"/>
        <v>Medium</v>
      </c>
      <c r="BE701" s="1080" t="str">
        <f t="shared" si="695"/>
        <v>Lore</v>
      </c>
      <c r="BF701" s="1080" t="str">
        <f t="shared" si="636"/>
        <v>Materia Magica Skills</v>
      </c>
    </row>
    <row r="702" spans="1:58" ht="11.1" hidden="1" customHeight="1" outlineLevel="2">
      <c r="A702" s="1028" t="s">
        <v>1628</v>
      </c>
      <c r="B702" s="1094" t="s">
        <v>1942</v>
      </c>
      <c r="C702" s="1094"/>
      <c r="D702" s="1094"/>
      <c r="E702" s="1095" t="s">
        <v>5224</v>
      </c>
      <c r="F702" s="1147" t="str">
        <f>IF(ISNA(VLOOKUP('Main Creation Page'!$AC$2,Mage_Specialization,2,0)),"N",IF(VLOOKUP('Main Creation Page'!$AC$2,Mage_Specialization,2,0)=$A702,"S","N"))</f>
        <v>N</v>
      </c>
      <c r="G702" s="1096">
        <v>0</v>
      </c>
      <c r="H702" s="1096" t="s">
        <v>5224</v>
      </c>
      <c r="I702" s="1096" t="s">
        <v>5224</v>
      </c>
      <c r="J702" s="1096" t="s">
        <v>5224</v>
      </c>
      <c r="K702" s="1096" t="s">
        <v>5224</v>
      </c>
      <c r="L702" s="1096">
        <v>0</v>
      </c>
      <c r="M702" s="1096" t="s">
        <v>5224</v>
      </c>
      <c r="N702" s="1096" t="s">
        <v>4631</v>
      </c>
      <c r="O702" s="1028"/>
      <c r="P702" s="1028" t="s">
        <v>780</v>
      </c>
      <c r="Q702" s="1097">
        <f t="shared" ca="1" si="683"/>
        <v>17</v>
      </c>
      <c r="R702" s="1028"/>
      <c r="S702" s="1028" t="s">
        <v>3613</v>
      </c>
      <c r="T702" s="1097">
        <f t="shared" ca="1" si="684"/>
        <v>15</v>
      </c>
      <c r="U702" s="1027">
        <v>6</v>
      </c>
      <c r="V702" s="1027">
        <f t="shared" si="685"/>
        <v>7</v>
      </c>
      <c r="W702" s="1098" t="e">
        <f>IF(OR(I702&lt;&gt;"N",E702="C"),IF(AND(N702&lt;&gt;"T",ISNUMBER(FIND("V",I702))),1,0),NA())+IF(H702="Y",IF(AND(N702="P",ISNUMBER(FIND("Z",I702))),2,1),0)+IF(J702="Y",1,0)+IF(K702="Y",3,0)+IF(BE702="Lore",L702*2+Experience!$D$25,0)+IF(M702="Y",1,0)</f>
        <v>#N/A</v>
      </c>
      <c r="X702" s="1099"/>
      <c r="Y702" s="1100">
        <f ca="1">IF(P702="NS",IFERROR(INDIRECT(S702),NA()),VLOOKUP(INDIRECT(P702)+INDIRECT(S702),'System Lookups'!$A$3:$D$146,2))</f>
        <v>0.08</v>
      </c>
      <c r="Z702" s="1100">
        <f t="shared" si="686"/>
        <v>0</v>
      </c>
      <c r="AA702" s="1101">
        <f t="shared" ca="1" si="670"/>
        <v>0.08</v>
      </c>
      <c r="AB702" s="1102">
        <f>VLOOKUP(V702,'System Lookups'!$J$55:$P$64,3)</f>
        <v>0.03</v>
      </c>
      <c r="AC702" s="1103">
        <f>VLOOKUP(V702,'System Lookups'!$J$55:$P$64,4)</f>
        <v>7.0000000000000007E-2</v>
      </c>
      <c r="AD702" s="1104">
        <f t="shared" si="687"/>
        <v>0</v>
      </c>
      <c r="AE702" s="1094">
        <f>(IF(AD702&gt;VLOOKUP(V702,'System Lookups'!$J$55:$P$63,6),(((AD702-VLOOKUP(V702,'System Lookups'!$J$55:$P$63,6))*100)/20),0))+AF702</f>
        <v>0</v>
      </c>
      <c r="AF702" s="1121"/>
      <c r="AG702" s="1092">
        <f t="shared" si="688"/>
        <v>0</v>
      </c>
      <c r="AH702" s="1092" t="str">
        <f>IF(X702&lt;=Experience!$R$15+1,"","*")</f>
        <v/>
      </c>
      <c r="AI702" s="1092"/>
      <c r="AJ702" s="1080">
        <f t="shared" si="689"/>
        <v>0</v>
      </c>
      <c r="AK702" s="1080">
        <f t="shared" si="663"/>
        <v>0</v>
      </c>
      <c r="AL702" s="1080">
        <f t="shared" si="690"/>
        <v>0</v>
      </c>
      <c r="AM702" s="1092">
        <f t="shared" si="671"/>
        <v>0</v>
      </c>
      <c r="AN702" s="1080">
        <f t="shared" si="672"/>
        <v>1</v>
      </c>
      <c r="AO702" s="1080">
        <f t="shared" si="691"/>
        <v>0</v>
      </c>
      <c r="AP702" s="1080">
        <f t="shared" si="692"/>
        <v>1</v>
      </c>
      <c r="AQ702" s="1027">
        <f>VLOOKUP(V702,'System Lookups'!$J$55:$P$64,7)</f>
        <v>1000</v>
      </c>
      <c r="AR702" s="1080" t="str">
        <f ca="1">IF(AND(NOT(ISBLANK(AJ702)),ISNA(MATCH(ROW(),'System Lookups'!$C$526:$C$539,0))),"Y","N")</f>
        <v>Y</v>
      </c>
      <c r="AS702" s="1080">
        <f t="shared" si="693"/>
        <v>0</v>
      </c>
      <c r="AU702" s="1080" t="e">
        <f t="shared" si="696"/>
        <v>#N/A</v>
      </c>
      <c r="AV702" s="1080" t="str">
        <f t="shared" si="694"/>
        <v>T</v>
      </c>
      <c r="AW702" s="1080">
        <f t="shared" si="697"/>
        <v>0</v>
      </c>
      <c r="AX702" s="1080">
        <f t="shared" si="698"/>
        <v>0</v>
      </c>
      <c r="AY702" s="1080">
        <f t="shared" si="699"/>
        <v>0</v>
      </c>
      <c r="AZ702" s="1080">
        <f t="shared" si="700"/>
        <v>0</v>
      </c>
      <c r="BA702" s="1080">
        <f t="shared" si="701"/>
        <v>0</v>
      </c>
      <c r="BB702" s="1080">
        <f>IF(AND(RACE=1,'Main Creation Page'!$E$6="Well",OR(ISNUMBER(FIND(Experience!$G$11,BE702)),ISNUMBER(FIND(Experience!$G$11,BF702)),ISNUMBER(FIND(Experience!$I$11,BE702)),ISNUMBER(FIND(Experience!$I$11,BF702)))),1,0)</f>
        <v>1</v>
      </c>
      <c r="BC702" s="1080" t="str">
        <f t="shared" si="635"/>
        <v>Necromancy</v>
      </c>
      <c r="BE702" s="1080" t="str">
        <f t="shared" si="695"/>
        <v>Lore</v>
      </c>
      <c r="BF702" s="1080" t="str">
        <f t="shared" si="636"/>
        <v>Materia Magica Skills</v>
      </c>
    </row>
    <row r="703" spans="1:58" ht="11.1" hidden="1" customHeight="1" outlineLevel="2">
      <c r="A703" s="1028" t="s">
        <v>3041</v>
      </c>
      <c r="B703" s="1094" t="s">
        <v>1942</v>
      </c>
      <c r="C703" s="1094"/>
      <c r="D703" s="1094"/>
      <c r="E703" s="1095" t="s">
        <v>5224</v>
      </c>
      <c r="F703" s="1147" t="str">
        <f>IF(ISNA(VLOOKUP('Main Creation Page'!$AC$2,Mage_Specialization,2,0)),"N",IF(VLOOKUP('Main Creation Page'!$AC$2,Mage_Specialization,2,0)=$A703,"S","N"))</f>
        <v>N</v>
      </c>
      <c r="G703" s="1096">
        <v>0</v>
      </c>
      <c r="H703" s="1096" t="s">
        <v>5224</v>
      </c>
      <c r="I703" s="1096" t="s">
        <v>5224</v>
      </c>
      <c r="J703" s="1096" t="s">
        <v>5224</v>
      </c>
      <c r="K703" s="1096" t="s">
        <v>5224</v>
      </c>
      <c r="L703" s="1096">
        <v>0</v>
      </c>
      <c r="M703" s="1096" t="s">
        <v>5224</v>
      </c>
      <c r="N703" s="1096" t="s">
        <v>4631</v>
      </c>
      <c r="O703" s="1028"/>
      <c r="P703" s="1028" t="s">
        <v>780</v>
      </c>
      <c r="Q703" s="1097">
        <f t="shared" ca="1" si="683"/>
        <v>17</v>
      </c>
      <c r="R703" s="1028"/>
      <c r="S703" s="1028" t="s">
        <v>3612</v>
      </c>
      <c r="T703" s="1097">
        <f t="shared" ca="1" si="684"/>
        <v>10</v>
      </c>
      <c r="U703" s="1027">
        <v>6</v>
      </c>
      <c r="V703" s="1027">
        <f t="shared" si="685"/>
        <v>7</v>
      </c>
      <c r="W703" s="1098" t="e">
        <f>IF(OR(I703&lt;&gt;"N",E703="C"),IF(AND(N703&lt;&gt;"T",ISNUMBER(FIND("V",I703))),1,0),NA())+IF(H703="Y",IF(AND(N703="P",ISNUMBER(FIND("Z",I703))),2,1),0)+IF(J703="Y",1,0)+IF(K703="Y",3,0)+IF(BE703="Lore",L703*2+Experience!$D$25,0)+IF(M703="Y",1,0)</f>
        <v>#N/A</v>
      </c>
      <c r="X703" s="1099"/>
      <c r="Y703" s="1100">
        <f ca="1">IF(P703="NS",IFERROR(INDIRECT(S703),NA()),VLOOKUP(INDIRECT(P703)+INDIRECT(S703),'System Lookups'!$A$3:$D$146,2))</f>
        <v>0.04</v>
      </c>
      <c r="Z703" s="1100">
        <f t="shared" si="686"/>
        <v>0</v>
      </c>
      <c r="AA703" s="1101">
        <f t="shared" ca="1" si="670"/>
        <v>0.04</v>
      </c>
      <c r="AB703" s="1102">
        <f>VLOOKUP(V703,'System Lookups'!$J$55:$P$64,3)</f>
        <v>0.03</v>
      </c>
      <c r="AC703" s="1103">
        <f>VLOOKUP(V703,'System Lookups'!$J$55:$P$64,4)</f>
        <v>7.0000000000000007E-2</v>
      </c>
      <c r="AD703" s="1104">
        <f t="shared" si="687"/>
        <v>0</v>
      </c>
      <c r="AE703" s="1094">
        <f>(IF(AD703&gt;VLOOKUP(V703,'System Lookups'!$J$55:$P$63,6),(((AD703-VLOOKUP(V703,'System Lookups'!$J$55:$P$63,6))*100)/20),0))+AF703</f>
        <v>0</v>
      </c>
      <c r="AF703" s="1121"/>
      <c r="AG703" s="1092">
        <f t="shared" si="688"/>
        <v>0</v>
      </c>
      <c r="AH703" s="1092" t="str">
        <f>IF(X703&lt;=Experience!$R$15+1,"","*")</f>
        <v/>
      </c>
      <c r="AI703" s="1092"/>
      <c r="AJ703" s="1080">
        <f t="shared" si="689"/>
        <v>0</v>
      </c>
      <c r="AK703" s="1080">
        <f t="shared" si="663"/>
        <v>0</v>
      </c>
      <c r="AL703" s="1080">
        <f t="shared" si="690"/>
        <v>0</v>
      </c>
      <c r="AM703" s="1092">
        <f t="shared" si="671"/>
        <v>0</v>
      </c>
      <c r="AN703" s="1080">
        <f t="shared" ref="AN703:AN710" si="702">IF(N703="T",1,0)</f>
        <v>1</v>
      </c>
      <c r="AO703" s="1080">
        <f t="shared" si="691"/>
        <v>0</v>
      </c>
      <c r="AP703" s="1080">
        <f t="shared" si="692"/>
        <v>1</v>
      </c>
      <c r="AQ703" s="1027">
        <f>VLOOKUP(V703,'System Lookups'!$J$55:$P$64,7)</f>
        <v>1000</v>
      </c>
      <c r="AR703" s="1080" t="str">
        <f ca="1">IF(AND(NOT(ISBLANK(AJ703)),ISNA(MATCH(ROW(),'System Lookups'!$C$526:$C$539,0))),"Y","N")</f>
        <v>Y</v>
      </c>
      <c r="AS703" s="1080">
        <f t="shared" si="693"/>
        <v>0</v>
      </c>
      <c r="AU703" s="1080" t="e">
        <f t="shared" si="696"/>
        <v>#N/A</v>
      </c>
      <c r="AV703" s="1080" t="str">
        <f t="shared" si="694"/>
        <v>T</v>
      </c>
      <c r="AW703" s="1080">
        <f t="shared" si="697"/>
        <v>0</v>
      </c>
      <c r="AX703" s="1080">
        <f t="shared" si="698"/>
        <v>0</v>
      </c>
      <c r="AY703" s="1080">
        <f t="shared" si="699"/>
        <v>0</v>
      </c>
      <c r="AZ703" s="1080">
        <f t="shared" si="700"/>
        <v>0</v>
      </c>
      <c r="BA703" s="1080">
        <f t="shared" si="701"/>
        <v>0</v>
      </c>
      <c r="BB703" s="1080">
        <f>IF(AND(RACE=1,'Main Creation Page'!$E$6="Well",OR(ISNUMBER(FIND(Experience!$G$11,BE703)),ISNUMBER(FIND(Experience!$G$11,BF703)),ISNUMBER(FIND(Experience!$I$11,BE703)),ISNUMBER(FIND(Experience!$I$11,BF703)))),1,0)</f>
        <v>1</v>
      </c>
      <c r="BC703" s="1080" t="str">
        <f t="shared" si="635"/>
        <v>Power Word</v>
      </c>
      <c r="BE703" s="1080" t="str">
        <f t="shared" si="695"/>
        <v>Lore</v>
      </c>
      <c r="BF703" s="1080" t="str">
        <f t="shared" si="636"/>
        <v>Materia Magica Skills</v>
      </c>
    </row>
    <row r="704" spans="1:58" ht="11.1" hidden="1" customHeight="1" outlineLevel="2">
      <c r="A704" s="1093" t="s">
        <v>354</v>
      </c>
      <c r="B704" s="1094" t="s">
        <v>1942</v>
      </c>
      <c r="C704" s="1094"/>
      <c r="D704" s="1094"/>
      <c r="E704" s="1095" t="s">
        <v>5224</v>
      </c>
      <c r="F704" s="1147" t="str">
        <f>IF(ISNA(VLOOKUP('Main Creation Page'!$AC$2,Mage_Specialization,2,0)),"N",IF(VLOOKUP('Main Creation Page'!$AC$2,Mage_Specialization,2,0)=$A704,"S","N"))</f>
        <v>N</v>
      </c>
      <c r="G704" s="1096">
        <v>0</v>
      </c>
      <c r="H704" s="1096" t="s">
        <v>5224</v>
      </c>
      <c r="I704" s="1096" t="s">
        <v>5224</v>
      </c>
      <c r="J704" s="1096" t="s">
        <v>5224</v>
      </c>
      <c r="K704" s="1096" t="s">
        <v>5224</v>
      </c>
      <c r="L704" s="1096">
        <v>0</v>
      </c>
      <c r="M704" s="1096" t="s">
        <v>5224</v>
      </c>
      <c r="N704" s="1096" t="s">
        <v>4631</v>
      </c>
      <c r="O704" s="1028"/>
      <c r="P704" s="1028" t="s">
        <v>780</v>
      </c>
      <c r="Q704" s="1097">
        <f t="shared" ca="1" si="683"/>
        <v>17</v>
      </c>
      <c r="R704" s="1028"/>
      <c r="S704" s="1028" t="s">
        <v>3613</v>
      </c>
      <c r="T704" s="1097">
        <f t="shared" ca="1" si="684"/>
        <v>15</v>
      </c>
      <c r="U704" s="1027">
        <v>6</v>
      </c>
      <c r="V704" s="1027">
        <f t="shared" si="685"/>
        <v>7</v>
      </c>
      <c r="W704" s="1098" t="e">
        <f>IF(OR(I704&lt;&gt;"N",E704="C"),IF(AND(N704&lt;&gt;"T",ISNUMBER(FIND("V",I704))),1,0),NA())+IF(H704="Y",IF(AND(N704="P",ISNUMBER(FIND("Z",I704))),2,1),0)+IF(J704="Y",1,0)+IF(K704="Y",3,0)+IF(BE704="Lore",L704*2+Experience!$D$25,0)+IF(M704="Y",1,0)</f>
        <v>#N/A</v>
      </c>
      <c r="X704" s="1099"/>
      <c r="Y704" s="1100">
        <f ca="1">IF(P704="NS",IFERROR(INDIRECT(S704),NA()),VLOOKUP(INDIRECT(P704)+INDIRECT(S704),'System Lookups'!$A$3:$D$146,2))</f>
        <v>0.08</v>
      </c>
      <c r="Z704" s="1100">
        <f t="shared" si="686"/>
        <v>0</v>
      </c>
      <c r="AA704" s="1101">
        <f t="shared" ca="1" si="670"/>
        <v>0.08</v>
      </c>
      <c r="AB704" s="1102">
        <f>VLOOKUP(V704,'System Lookups'!$J$55:$P$64,3)</f>
        <v>0.03</v>
      </c>
      <c r="AC704" s="1103">
        <f>VLOOKUP(V704,'System Lookups'!$J$55:$P$64,4)</f>
        <v>7.0000000000000007E-2</v>
      </c>
      <c r="AD704" s="1104">
        <f t="shared" si="687"/>
        <v>0</v>
      </c>
      <c r="AE704" s="1094">
        <f>(IF(AD704&gt;VLOOKUP(V704,'System Lookups'!$J$55:$P$63,6),(((AD704-VLOOKUP(V704,'System Lookups'!$J$55:$P$63,6))*100)/20),0))+AF704</f>
        <v>0</v>
      </c>
      <c r="AF704" s="1121"/>
      <c r="AG704" s="1092">
        <f t="shared" si="688"/>
        <v>0</v>
      </c>
      <c r="AH704" s="1092" t="str">
        <f>IF(X704&lt;=Experience!$R$15+1,"","*")</f>
        <v/>
      </c>
      <c r="AI704" s="1092"/>
      <c r="AJ704" s="1080">
        <f t="shared" si="689"/>
        <v>0</v>
      </c>
      <c r="AK704" s="1080">
        <f t="shared" si="663"/>
        <v>0</v>
      </c>
      <c r="AL704" s="1080">
        <f t="shared" si="690"/>
        <v>0</v>
      </c>
      <c r="AM704" s="1092">
        <f t="shared" si="671"/>
        <v>0</v>
      </c>
      <c r="AN704" s="1080">
        <f t="shared" si="702"/>
        <v>1</v>
      </c>
      <c r="AO704" s="1080">
        <f t="shared" si="691"/>
        <v>0</v>
      </c>
      <c r="AP704" s="1080">
        <f t="shared" si="692"/>
        <v>1</v>
      </c>
      <c r="AQ704" s="1027">
        <f>VLOOKUP(V704,'System Lookups'!$J$55:$P$64,7)</f>
        <v>1000</v>
      </c>
      <c r="AR704" s="1080" t="str">
        <f ca="1">IF(AND(NOT(ISBLANK(AJ704)),ISNA(MATCH(ROW(),'System Lookups'!$C$526:$C$539,0))),"Y","N")</f>
        <v>Y</v>
      </c>
      <c r="AS704" s="1080">
        <f t="shared" si="693"/>
        <v>0</v>
      </c>
      <c r="AU704" s="1080" t="e">
        <f t="shared" si="696"/>
        <v>#N/A</v>
      </c>
      <c r="AV704" s="1080" t="str">
        <f t="shared" si="694"/>
        <v>T</v>
      </c>
      <c r="AW704" s="1080">
        <f t="shared" si="697"/>
        <v>0</v>
      </c>
      <c r="AX704" s="1080">
        <f t="shared" si="698"/>
        <v>0</v>
      </c>
      <c r="AY704" s="1080">
        <f t="shared" si="699"/>
        <v>0</v>
      </c>
      <c r="AZ704" s="1080">
        <f t="shared" si="700"/>
        <v>0</v>
      </c>
      <c r="BA704" s="1080">
        <f t="shared" si="701"/>
        <v>0</v>
      </c>
      <c r="BB704" s="1080">
        <f>IF(AND(RACE=1,'Main Creation Page'!$E$6="Well",OR(ISNUMBER(FIND(Experience!$G$11,BE704)),ISNUMBER(FIND(Experience!$G$11,BF704)),ISNUMBER(FIND(Experience!$I$11,BE704)),ISNUMBER(FIND(Experience!$I$11,BF704)))),1,0)</f>
        <v>1</v>
      </c>
      <c r="BC704" s="1080" t="str">
        <f t="shared" si="635"/>
        <v>Rune Mage (Vitkir)</v>
      </c>
      <c r="BE704" s="1080" t="str">
        <f t="shared" si="695"/>
        <v>Lore</v>
      </c>
      <c r="BF704" s="1080" t="str">
        <f t="shared" si="636"/>
        <v>Materia Magica Skills</v>
      </c>
    </row>
    <row r="705" spans="1:58" ht="11.1" hidden="1" customHeight="1" outlineLevel="2">
      <c r="A705" s="1093" t="s">
        <v>2549</v>
      </c>
      <c r="B705" s="1094" t="s">
        <v>1942</v>
      </c>
      <c r="C705" s="1094"/>
      <c r="D705" s="1094"/>
      <c r="E705" s="1095" t="s">
        <v>5224</v>
      </c>
      <c r="F705" s="1147" t="str">
        <f>IF(ISNA(VLOOKUP('Main Creation Page'!$AC$2,Mage_Specialization,2,0)),"N",IF(VLOOKUP('Main Creation Page'!$AC$2,Mage_Specialization,2,0)=$A705,"S","N"))</f>
        <v>N</v>
      </c>
      <c r="G705" s="1096">
        <v>0</v>
      </c>
      <c r="H705" s="1096" t="s">
        <v>5224</v>
      </c>
      <c r="I705" s="1096" t="s">
        <v>5224</v>
      </c>
      <c r="J705" s="1096" t="s">
        <v>5224</v>
      </c>
      <c r="K705" s="1096" t="s">
        <v>5224</v>
      </c>
      <c r="L705" s="1096">
        <v>0</v>
      </c>
      <c r="M705" s="1096" t="s">
        <v>5224</v>
      </c>
      <c r="N705" s="1096" t="s">
        <v>4631</v>
      </c>
      <c r="O705" s="1028"/>
      <c r="P705" s="1028" t="s">
        <v>780</v>
      </c>
      <c r="Q705" s="1097">
        <f t="shared" ca="1" si="683"/>
        <v>17</v>
      </c>
      <c r="R705" s="1028"/>
      <c r="S705" s="1028" t="s">
        <v>3611</v>
      </c>
      <c r="T705" s="1097">
        <f t="shared" ca="1" si="684"/>
        <v>15</v>
      </c>
      <c r="U705" s="1027">
        <v>6</v>
      </c>
      <c r="V705" s="1027">
        <f t="shared" si="685"/>
        <v>7</v>
      </c>
      <c r="W705" s="1098" t="e">
        <f>IF(OR(I705&lt;&gt;"N",E705="C"),IF(AND(N705&lt;&gt;"T",ISNUMBER(FIND("V",I705))),1,0),NA())+IF(H705="Y",IF(AND(N705="P",ISNUMBER(FIND("Z",I705))),2,1),0)+IF(J705="Y",1,0)+IF(K705="Y",3,0)+IF(BE705="Lore",L705*2+Experience!$D$25,0)+IF(M705="Y",1,0)</f>
        <v>#N/A</v>
      </c>
      <c r="X705" s="1099"/>
      <c r="Y705" s="1100">
        <f ca="1">IF(P705="NS",IFERROR(INDIRECT(S705),NA()),VLOOKUP(INDIRECT(P705)+INDIRECT(S705),'System Lookups'!$A$3:$D$146,2))</f>
        <v>0.08</v>
      </c>
      <c r="Z705" s="1100">
        <f t="shared" si="686"/>
        <v>0</v>
      </c>
      <c r="AA705" s="1101">
        <f ca="1">IF(ISNA(Y705),0,Y705)+Z705</f>
        <v>0.08</v>
      </c>
      <c r="AB705" s="1102">
        <f>VLOOKUP(V705,'System Lookups'!$J$55:$P$64,3)</f>
        <v>0.03</v>
      </c>
      <c r="AC705" s="1103">
        <f>VLOOKUP(V705,'System Lookups'!$J$55:$P$64,4)</f>
        <v>7.0000000000000007E-2</v>
      </c>
      <c r="AD705" s="1104">
        <f t="shared" si="687"/>
        <v>0</v>
      </c>
      <c r="AE705" s="1094">
        <f>(IF(AD705&gt;VLOOKUP(V705,'System Lookups'!$J$55:$P$63,6),(((AD705-VLOOKUP(V705,'System Lookups'!$J$55:$P$63,6))*100)/20),0))+AF705</f>
        <v>0</v>
      </c>
      <c r="AF705" s="1121"/>
      <c r="AG705" s="1092">
        <f t="shared" si="688"/>
        <v>0</v>
      </c>
      <c r="AH705" s="1092" t="str">
        <f>IF(X705&lt;=Experience!$R$15+1,"","*")</f>
        <v/>
      </c>
      <c r="AI705" s="1092"/>
      <c r="AJ705" s="1080">
        <f t="shared" si="689"/>
        <v>0</v>
      </c>
      <c r="AK705" s="1080">
        <f>IF(F705="s",-3,0)</f>
        <v>0</v>
      </c>
      <c r="AL705" s="1080">
        <f t="shared" si="690"/>
        <v>0</v>
      </c>
      <c r="AM705" s="1092">
        <f>IF(J705="y",1,0)</f>
        <v>0</v>
      </c>
      <c r="AN705" s="1080">
        <f t="shared" si="702"/>
        <v>1</v>
      </c>
      <c r="AO705" s="1080">
        <f t="shared" si="691"/>
        <v>0</v>
      </c>
      <c r="AP705" s="1080">
        <f t="shared" si="692"/>
        <v>1</v>
      </c>
      <c r="AQ705" s="1027">
        <f>VLOOKUP(V705,'System Lookups'!$J$55:$P$64,7)</f>
        <v>1000</v>
      </c>
      <c r="AR705" s="1080" t="str">
        <f ca="1">IF(AND(NOT(ISBLANK(AJ705)),ISNA(MATCH(ROW(),'System Lookups'!$C$526:$C$539,0))),"Y","N")</f>
        <v>Y</v>
      </c>
      <c r="AS705" s="1080">
        <f t="shared" si="693"/>
        <v>0</v>
      </c>
      <c r="AU705" s="1080" t="e">
        <f t="shared" si="696"/>
        <v>#N/A</v>
      </c>
      <c r="AV705" s="1080" t="str">
        <f t="shared" si="694"/>
        <v>T</v>
      </c>
      <c r="AW705" s="1080">
        <f t="shared" si="697"/>
        <v>0</v>
      </c>
      <c r="AX705" s="1080">
        <f t="shared" si="698"/>
        <v>0</v>
      </c>
      <c r="AY705" s="1080">
        <f t="shared" si="699"/>
        <v>0</v>
      </c>
      <c r="AZ705" s="1080">
        <f t="shared" si="700"/>
        <v>0</v>
      </c>
      <c r="BA705" s="1080">
        <f t="shared" si="701"/>
        <v>0</v>
      </c>
      <c r="BB705" s="1080">
        <f>IF(AND(RACE=1,'Main Creation Page'!$E$6="Well",OR(ISNUMBER(FIND(Experience!$G$11,BE705)),ISNUMBER(FIND(Experience!$G$11,BF705)),ISNUMBER(FIND(Experience!$I$11,BE705)),ISNUMBER(FIND(Experience!$I$11,BF705)))),1,0)</f>
        <v>1</v>
      </c>
      <c r="BC705" s="1080" t="str">
        <f t="shared" si="635"/>
        <v>Spinner</v>
      </c>
      <c r="BE705" s="1080" t="str">
        <f t="shared" si="695"/>
        <v>Lore</v>
      </c>
      <c r="BF705" s="1080" t="str">
        <f t="shared" si="636"/>
        <v>Materia Magica Skills</v>
      </c>
    </row>
    <row r="706" spans="1:58" ht="11.1" hidden="1" customHeight="1" outlineLevel="2">
      <c r="A706" s="1093" t="s">
        <v>4799</v>
      </c>
      <c r="B706" s="1094" t="s">
        <v>1942</v>
      </c>
      <c r="C706" s="1094"/>
      <c r="D706" s="1094"/>
      <c r="E706" s="1095" t="s">
        <v>5224</v>
      </c>
      <c r="F706" s="1147" t="str">
        <f>IF(ISNA(VLOOKUP('Main Creation Page'!$AC$2,Mage_Specialization,2,0)),"N",IF(VLOOKUP('Main Creation Page'!$AC$2,Mage_Specialization,2,0)=$A706,"S","N"))</f>
        <v>N</v>
      </c>
      <c r="G706" s="1096">
        <v>0</v>
      </c>
      <c r="H706" s="1096" t="s">
        <v>5224</v>
      </c>
      <c r="I706" s="1096" t="s">
        <v>5224</v>
      </c>
      <c r="J706" s="1096" t="s">
        <v>5224</v>
      </c>
      <c r="K706" s="1096" t="s">
        <v>5224</v>
      </c>
      <c r="L706" s="1096">
        <v>0</v>
      </c>
      <c r="M706" s="1096" t="s">
        <v>5224</v>
      </c>
      <c r="N706" s="1096" t="s">
        <v>4631</v>
      </c>
      <c r="O706" s="1028"/>
      <c r="P706" s="1028" t="s">
        <v>780</v>
      </c>
      <c r="Q706" s="1097">
        <f t="shared" ca="1" si="683"/>
        <v>17</v>
      </c>
      <c r="R706" s="1028"/>
      <c r="S706" s="1028" t="s">
        <v>3611</v>
      </c>
      <c r="T706" s="1097">
        <f t="shared" ca="1" si="684"/>
        <v>15</v>
      </c>
      <c r="U706" s="1027">
        <v>6</v>
      </c>
      <c r="V706" s="1027">
        <f t="shared" si="685"/>
        <v>7</v>
      </c>
      <c r="W706" s="1098" t="e">
        <f>IF(OR(I706&lt;&gt;"N",E706="C"),IF(AND(N706&lt;&gt;"T",ISNUMBER(FIND("V",I706))),1,0),NA())+IF(H706="Y",IF(AND(N706="P",ISNUMBER(FIND("Z",I706))),2,1),0)+IF(J706="Y",1,0)+IF(K706="Y",3,0)+IF(BE706="Lore",L706*2+Experience!$D$25,0)+IF(M706="Y",1,0)</f>
        <v>#N/A</v>
      </c>
      <c r="X706" s="1099"/>
      <c r="Y706" s="1100">
        <f ca="1">IF(P706="NS",IFERROR(INDIRECT(S706),NA()),VLOOKUP(INDIRECT(P706)+INDIRECT(S706),'System Lookups'!$A$3:$D$146,2))</f>
        <v>0.08</v>
      </c>
      <c r="Z706" s="1100">
        <f t="shared" si="686"/>
        <v>0</v>
      </c>
      <c r="AA706" s="1101">
        <f ca="1">IF(ISNA(Y706),0,Y706)+Z706</f>
        <v>0.08</v>
      </c>
      <c r="AB706" s="1102">
        <f>VLOOKUP(V706,'System Lookups'!$J$55:$P$64,3)</f>
        <v>0.03</v>
      </c>
      <c r="AC706" s="1103">
        <f>VLOOKUP(V706,'System Lookups'!$J$55:$P$64,4)</f>
        <v>7.0000000000000007E-2</v>
      </c>
      <c r="AD706" s="1104">
        <f t="shared" si="687"/>
        <v>0</v>
      </c>
      <c r="AE706" s="1094">
        <f>(IF(AD706&gt;VLOOKUP(V706,'System Lookups'!$J$55:$P$63,6),(((AD706-VLOOKUP(V706,'System Lookups'!$J$55:$P$63,6))*100)/20),0))+AF706</f>
        <v>0</v>
      </c>
      <c r="AF706" s="1121"/>
      <c r="AG706" s="1092">
        <f t="shared" si="688"/>
        <v>0</v>
      </c>
      <c r="AH706" s="1092" t="str">
        <f>IF(X706&lt;=Experience!$R$15+1,"","*")</f>
        <v/>
      </c>
      <c r="AI706" s="1092"/>
      <c r="AJ706" s="1080">
        <f t="shared" si="689"/>
        <v>0</v>
      </c>
      <c r="AK706" s="1080">
        <f t="shared" si="663"/>
        <v>0</v>
      </c>
      <c r="AL706" s="1080">
        <f t="shared" si="690"/>
        <v>0</v>
      </c>
      <c r="AM706" s="1092">
        <f>IF(J706="y",1,0)</f>
        <v>0</v>
      </c>
      <c r="AN706" s="1080">
        <f t="shared" si="702"/>
        <v>1</v>
      </c>
      <c r="AO706" s="1080">
        <f t="shared" si="691"/>
        <v>0</v>
      </c>
      <c r="AP706" s="1080">
        <f t="shared" si="692"/>
        <v>1</v>
      </c>
      <c r="AQ706" s="1027">
        <f>VLOOKUP(V706,'System Lookups'!$J$55:$P$64,7)</f>
        <v>1000</v>
      </c>
      <c r="AR706" s="1080" t="str">
        <f ca="1">IF(AND(NOT(ISBLANK(AJ706)),ISNA(MATCH(ROW(),'System Lookups'!$C$526:$C$539,0))),"Y","N")</f>
        <v>Y</v>
      </c>
      <c r="AS706" s="1080">
        <f t="shared" si="693"/>
        <v>0</v>
      </c>
      <c r="AU706" s="1080" t="e">
        <f t="shared" si="696"/>
        <v>#N/A</v>
      </c>
      <c r="AV706" s="1080" t="str">
        <f t="shared" si="694"/>
        <v>T</v>
      </c>
      <c r="AW706" s="1080">
        <f t="shared" si="697"/>
        <v>0</v>
      </c>
      <c r="AX706" s="1080">
        <f t="shared" si="698"/>
        <v>0</v>
      </c>
      <c r="AY706" s="1080">
        <f t="shared" si="699"/>
        <v>0</v>
      </c>
      <c r="AZ706" s="1080">
        <f t="shared" si="700"/>
        <v>0</v>
      </c>
      <c r="BA706" s="1080">
        <f t="shared" si="701"/>
        <v>0</v>
      </c>
      <c r="BB706" s="1080">
        <f>IF(AND(RACE=1,'Main Creation Page'!$E$6="Well",OR(ISNUMBER(FIND(Experience!$G$11,BE706)),ISNUMBER(FIND(Experience!$G$11,BF706)),ISNUMBER(FIND(Experience!$I$11,BE706)),ISNUMBER(FIND(Experience!$I$11,BF706)))),1,0)</f>
        <v>1</v>
      </c>
      <c r="BC706" s="1080" t="str">
        <f t="shared" si="635"/>
        <v>Symbolist</v>
      </c>
      <c r="BE706" s="1080" t="str">
        <f t="shared" si="695"/>
        <v>Lore</v>
      </c>
      <c r="BF706" s="1080" t="str">
        <f t="shared" si="636"/>
        <v>Materia Magica Skills</v>
      </c>
    </row>
    <row r="707" spans="1:58" ht="11.1" hidden="1" customHeight="1" outlineLevel="2">
      <c r="A707" s="1093" t="s">
        <v>5132</v>
      </c>
      <c r="B707" s="1094" t="s">
        <v>1942</v>
      </c>
      <c r="C707" s="1094"/>
      <c r="D707" s="1094"/>
      <c r="E707" s="1095" t="s">
        <v>5224</v>
      </c>
      <c r="F707" s="1147" t="str">
        <f>IF(ISNA(VLOOKUP('Main Creation Page'!$AC$2,Mage_Specialization,2,0)),"N",IF(VLOOKUP('Main Creation Page'!$AC$2,Mage_Specialization,2,0)=$A707,"S","N"))</f>
        <v>N</v>
      </c>
      <c r="G707" s="1096">
        <v>0</v>
      </c>
      <c r="H707" s="1096" t="s">
        <v>5224</v>
      </c>
      <c r="I707" s="1096" t="s">
        <v>5224</v>
      </c>
      <c r="J707" s="1096" t="s">
        <v>5224</v>
      </c>
      <c r="K707" s="1096" t="s">
        <v>5224</v>
      </c>
      <c r="L707" s="1096">
        <v>0</v>
      </c>
      <c r="M707" s="1096" t="s">
        <v>5224</v>
      </c>
      <c r="N707" s="1096" t="s">
        <v>4631</v>
      </c>
      <c r="O707" s="1028"/>
      <c r="P707" s="1028" t="s">
        <v>780</v>
      </c>
      <c r="Q707" s="1097">
        <f t="shared" ca="1" si="683"/>
        <v>17</v>
      </c>
      <c r="R707" s="1028"/>
      <c r="S707" s="1028" t="s">
        <v>3611</v>
      </c>
      <c r="T707" s="1097">
        <f t="shared" ca="1" si="684"/>
        <v>15</v>
      </c>
      <c r="U707" s="1027">
        <v>6</v>
      </c>
      <c r="V707" s="1027">
        <f t="shared" si="685"/>
        <v>7</v>
      </c>
      <c r="W707" s="1098" t="e">
        <f>IF(OR(I707&lt;&gt;"N",E707="C"),IF(AND(N707&lt;&gt;"T",ISNUMBER(FIND("V",I707))),1,0),NA())+IF(H707="Y",IF(AND(N707="P",ISNUMBER(FIND("Z",I707))),2,1),0)+IF(J707="Y",1,0)+IF(K707="Y",3,0)+IF(BE707="Lore",L707*2+Experience!$D$25,0)+IF(M707="Y",1,0)</f>
        <v>#N/A</v>
      </c>
      <c r="X707" s="1099"/>
      <c r="Y707" s="1100">
        <f ca="1">IF(P707="NS",IFERROR(INDIRECT(S707),NA()),VLOOKUP(INDIRECT(P707)+INDIRECT(S707),'System Lookups'!$A$3:$D$146,2))</f>
        <v>0.08</v>
      </c>
      <c r="Z707" s="1100">
        <f t="shared" si="686"/>
        <v>0</v>
      </c>
      <c r="AA707" s="1101">
        <f ca="1">IF(ISNA(Y707),0,Y707)+Z707</f>
        <v>0.08</v>
      </c>
      <c r="AB707" s="1102">
        <f>VLOOKUP(V707,'System Lookups'!$J$55:$P$64,3)</f>
        <v>0.03</v>
      </c>
      <c r="AC707" s="1103">
        <f>VLOOKUP(V707,'System Lookups'!$J$55:$P$64,4)</f>
        <v>7.0000000000000007E-2</v>
      </c>
      <c r="AD707" s="1104">
        <f t="shared" si="687"/>
        <v>0</v>
      </c>
      <c r="AE707" s="1094">
        <f>(IF(AD707&gt;VLOOKUP(V707,'System Lookups'!$J$55:$P$63,6),(((AD707-VLOOKUP(V707,'System Lookups'!$J$55:$P$63,6))*100)/20),0))+AF707</f>
        <v>0</v>
      </c>
      <c r="AF707" s="1121"/>
      <c r="AG707" s="1092">
        <f t="shared" si="688"/>
        <v>0</v>
      </c>
      <c r="AH707" s="1092" t="str">
        <f>IF(X707&lt;=Experience!$R$15+1,"","*")</f>
        <v/>
      </c>
      <c r="AI707" s="1092"/>
      <c r="AJ707" s="1080">
        <f t="shared" si="689"/>
        <v>0</v>
      </c>
      <c r="AK707" s="1080">
        <f>IF(F707="s",-3,0)</f>
        <v>0</v>
      </c>
      <c r="AL707" s="1080">
        <f t="shared" si="690"/>
        <v>0</v>
      </c>
      <c r="AM707" s="1092">
        <f>IF(J707="y",1,0)</f>
        <v>0</v>
      </c>
      <c r="AN707" s="1080">
        <f t="shared" si="702"/>
        <v>1</v>
      </c>
      <c r="AO707" s="1080">
        <f t="shared" si="691"/>
        <v>0</v>
      </c>
      <c r="AP707" s="1080">
        <f t="shared" si="692"/>
        <v>1</v>
      </c>
      <c r="AQ707" s="1027">
        <f>VLOOKUP(V707,'System Lookups'!$J$55:$P$64,7)</f>
        <v>1000</v>
      </c>
      <c r="AR707" s="1080" t="str">
        <f ca="1">IF(AND(NOT(ISBLANK(AJ707)),ISNA(MATCH(ROW(),'System Lookups'!$C$526:$C$539,0))),"Y","N")</f>
        <v>Y</v>
      </c>
      <c r="AS707" s="1080">
        <f t="shared" si="693"/>
        <v>0</v>
      </c>
      <c r="AU707" s="1080" t="e">
        <f t="shared" si="696"/>
        <v>#N/A</v>
      </c>
      <c r="AV707" s="1080" t="str">
        <f t="shared" si="694"/>
        <v>T</v>
      </c>
      <c r="AW707" s="1080">
        <f t="shared" si="697"/>
        <v>0</v>
      </c>
      <c r="AX707" s="1080">
        <f t="shared" si="698"/>
        <v>0</v>
      </c>
      <c r="AY707" s="1080">
        <f t="shared" si="699"/>
        <v>0</v>
      </c>
      <c r="AZ707" s="1080">
        <f t="shared" si="700"/>
        <v>0</v>
      </c>
      <c r="BA707" s="1080">
        <f t="shared" si="701"/>
        <v>0</v>
      </c>
      <c r="BB707" s="1080">
        <f>IF(AND(RACE=1,'Main Creation Page'!$E$6="Well",OR(ISNUMBER(FIND(Experience!$G$11,BE707)),ISNUMBER(FIND(Experience!$G$11,BF707)),ISNUMBER(FIND(Experience!$I$11,BE707)),ISNUMBER(FIND(Experience!$I$11,BF707)))),1,0)</f>
        <v>1</v>
      </c>
      <c r="BC707" s="1080" t="str">
        <f t="shared" si="635"/>
        <v>Tarocchi (Tarock)</v>
      </c>
      <c r="BE707" s="1080" t="str">
        <f t="shared" si="695"/>
        <v>Lore</v>
      </c>
      <c r="BF707" s="1080" t="str">
        <f t="shared" si="636"/>
        <v>Materia Magica Skills</v>
      </c>
    </row>
    <row r="708" spans="1:58" ht="11.1" hidden="1" customHeight="1" outlineLevel="2">
      <c r="A708" s="1093" t="s">
        <v>450</v>
      </c>
      <c r="B708" s="1094" t="s">
        <v>1942</v>
      </c>
      <c r="C708" s="1094"/>
      <c r="D708" s="1094"/>
      <c r="E708" s="1095" t="s">
        <v>5224</v>
      </c>
      <c r="F708" s="1147" t="str">
        <f>IF(ISNA(VLOOKUP('Main Creation Page'!$AC$2,Mage_Specialization,2,0)),"N",IF(VLOOKUP('Main Creation Page'!$AC$2,Mage_Specialization,2,0)=$A708,"S","N"))</f>
        <v>N</v>
      </c>
      <c r="G708" s="1096">
        <v>0</v>
      </c>
      <c r="H708" s="1096" t="s">
        <v>5224</v>
      </c>
      <c r="I708" s="1096" t="s">
        <v>5224</v>
      </c>
      <c r="J708" s="1096" t="s">
        <v>5224</v>
      </c>
      <c r="K708" s="1096" t="s">
        <v>5224</v>
      </c>
      <c r="L708" s="1096">
        <v>0</v>
      </c>
      <c r="M708" s="1096" t="s">
        <v>5224</v>
      </c>
      <c r="N708" s="1096" t="s">
        <v>4631</v>
      </c>
      <c r="O708" s="1028"/>
      <c r="P708" s="1028" t="s">
        <v>3613</v>
      </c>
      <c r="Q708" s="1097">
        <f t="shared" ca="1" si="683"/>
        <v>15</v>
      </c>
      <c r="R708" s="1028"/>
      <c r="S708" s="1028" t="s">
        <v>3614</v>
      </c>
      <c r="T708" s="1097">
        <f t="shared" ca="1" si="684"/>
        <v>15</v>
      </c>
      <c r="U708" s="1027">
        <v>6</v>
      </c>
      <c r="V708" s="1027">
        <f t="shared" si="685"/>
        <v>7</v>
      </c>
      <c r="W708" s="1098" t="e">
        <f>IF(OR(I708&lt;&gt;"N",E708="C"),IF(AND(N708&lt;&gt;"T",ISNUMBER(FIND("V",I708))),1,0),NA())+IF(H708="Y",IF(AND(N708="P",ISNUMBER(FIND("Z",I708))),2,1),0)+IF(J708="Y",1,0)+IF(K708="Y",3,0)+IF(BE708="Lore",L708*2+Experience!$D$25,0)+IF(M708="Y",1,0)</f>
        <v>#N/A</v>
      </c>
      <c r="X708" s="1099"/>
      <c r="Y708" s="1100">
        <f ca="1">IF(P708="NS",IFERROR(INDIRECT(S708),NA()),VLOOKUP(INDIRECT(P708)+INDIRECT(S708),'System Lookups'!$A$3:$D$146,2))</f>
        <v>0.06</v>
      </c>
      <c r="Z708" s="1100">
        <f t="shared" si="686"/>
        <v>0</v>
      </c>
      <c r="AA708" s="1101">
        <f ca="1">IF(ISNA(Y708),0,Y708)+Z708</f>
        <v>0.06</v>
      </c>
      <c r="AB708" s="1102">
        <f>VLOOKUP(V708,'System Lookups'!$J$55:$P$64,3)</f>
        <v>0.03</v>
      </c>
      <c r="AC708" s="1103">
        <f>VLOOKUP(V708,'System Lookups'!$J$55:$P$64,4)</f>
        <v>7.0000000000000007E-2</v>
      </c>
      <c r="AD708" s="1104">
        <f t="shared" si="687"/>
        <v>0</v>
      </c>
      <c r="AE708" s="1094">
        <f>(IF(AD708&gt;VLOOKUP(V708,'System Lookups'!$J$55:$P$63,6),(((AD708-VLOOKUP(V708,'System Lookups'!$J$55:$P$63,6))*100)/20),0))+AF708</f>
        <v>0</v>
      </c>
      <c r="AF708" s="1121"/>
      <c r="AG708" s="1092">
        <f t="shared" si="688"/>
        <v>0</v>
      </c>
      <c r="AH708" s="1092" t="str">
        <f>IF(X708&lt;=Experience!$R$15+1,"","*")</f>
        <v/>
      </c>
      <c r="AI708" s="1092"/>
      <c r="AJ708" s="1080">
        <f t="shared" si="689"/>
        <v>0</v>
      </c>
      <c r="AK708" s="1080">
        <f>IF(F708="s",-3,0)</f>
        <v>0</v>
      </c>
      <c r="AL708" s="1080">
        <f t="shared" si="690"/>
        <v>0</v>
      </c>
      <c r="AM708" s="1092">
        <f>IF(J708="y",1,0)</f>
        <v>0</v>
      </c>
      <c r="AN708" s="1080">
        <f>IF(N708="T",1,0)</f>
        <v>1</v>
      </c>
      <c r="AO708" s="1080">
        <f t="shared" si="691"/>
        <v>0</v>
      </c>
      <c r="AP708" s="1080">
        <f t="shared" si="692"/>
        <v>1</v>
      </c>
      <c r="AQ708" s="1027">
        <f>VLOOKUP(V708,'System Lookups'!$J$55:$P$64,7)</f>
        <v>1000</v>
      </c>
      <c r="AR708" s="1080" t="str">
        <f ca="1">IF(AND(NOT(ISBLANK(AJ708)),ISNA(MATCH(ROW(),'System Lookups'!$C$526:$C$539,0))),"Y","N")</f>
        <v>Y</v>
      </c>
      <c r="AS708" s="1080">
        <f t="shared" si="693"/>
        <v>0</v>
      </c>
      <c r="AU708" s="1080" t="e">
        <f t="shared" si="696"/>
        <v>#N/A</v>
      </c>
      <c r="AV708" s="1080" t="str">
        <f t="shared" si="694"/>
        <v>T</v>
      </c>
      <c r="AW708" s="1080">
        <f t="shared" si="697"/>
        <v>0</v>
      </c>
      <c r="AX708" s="1080">
        <f t="shared" si="698"/>
        <v>0</v>
      </c>
      <c r="AY708" s="1080">
        <f t="shared" si="699"/>
        <v>0</v>
      </c>
      <c r="AZ708" s="1080">
        <f t="shared" si="700"/>
        <v>0</v>
      </c>
      <c r="BA708" s="1080">
        <f t="shared" si="701"/>
        <v>0</v>
      </c>
      <c r="BB708" s="1080">
        <f>IF(AND(RACE=1,'Main Creation Page'!$E$6="Well",OR(ISNUMBER(FIND(Experience!$G$11,BE708)),ISNUMBER(FIND(Experience!$G$11,BF708)),ISNUMBER(FIND(Experience!$I$11,BE708)),ISNUMBER(FIND(Experience!$I$11,BF708)))),1,0)</f>
        <v>1</v>
      </c>
      <c r="BC708" s="1080" t="str">
        <f t="shared" si="635"/>
        <v>Tatoo/Painted</v>
      </c>
      <c r="BE708" s="1080" t="str">
        <f t="shared" si="695"/>
        <v>Lore</v>
      </c>
      <c r="BF708" s="1080" t="str">
        <f t="shared" si="636"/>
        <v>Materia Magica Skills</v>
      </c>
    </row>
    <row r="709" spans="1:58" ht="11.1" hidden="1" customHeight="1" outlineLevel="2">
      <c r="A709" s="1028" t="s">
        <v>1629</v>
      </c>
      <c r="B709" s="1094" t="s">
        <v>1942</v>
      </c>
      <c r="C709" s="1094"/>
      <c r="D709" s="1094"/>
      <c r="E709" s="1095" t="s">
        <v>5224</v>
      </c>
      <c r="F709" s="1147" t="str">
        <f>IF(ISNA(VLOOKUP('Main Creation Page'!$AC$2,Mage_Specialization,2,0)),"N",IF(VLOOKUP('Main Creation Page'!$AC$2,Mage_Specialization,2,0)=$A709,"S","N"))</f>
        <v>N</v>
      </c>
      <c r="G709" s="1096">
        <v>0</v>
      </c>
      <c r="H709" s="1096" t="s">
        <v>5224</v>
      </c>
      <c r="I709" s="1096" t="s">
        <v>5224</v>
      </c>
      <c r="J709" s="1096" t="s">
        <v>5224</v>
      </c>
      <c r="K709" s="1096" t="s">
        <v>5224</v>
      </c>
      <c r="L709" s="1096">
        <v>0</v>
      </c>
      <c r="M709" s="1096" t="s">
        <v>5224</v>
      </c>
      <c r="N709" s="1096" t="s">
        <v>4631</v>
      </c>
      <c r="O709" s="1028"/>
      <c r="P709" s="1028" t="s">
        <v>780</v>
      </c>
      <c r="Q709" s="1097">
        <f t="shared" ca="1" si="683"/>
        <v>17</v>
      </c>
      <c r="R709" s="1034"/>
      <c r="S709" s="1028" t="s">
        <v>3616</v>
      </c>
      <c r="T709" s="1097">
        <f t="shared" ca="1" si="684"/>
        <v>17</v>
      </c>
      <c r="U709" s="1027">
        <v>6</v>
      </c>
      <c r="V709" s="1027">
        <f t="shared" si="685"/>
        <v>7</v>
      </c>
      <c r="W709" s="1098" t="e">
        <f>IF(OR(I709&lt;&gt;"N",E709="C"),IF(AND(N709&lt;&gt;"T",ISNUMBER(FIND("V",I709))),1,0),NA())+IF(H709="Y",IF(AND(N709="P",ISNUMBER(FIND("Z",I709))),2,1),0)+IF(J709="Y",1,0)+IF(K709="Y",3,0)+IF(BE709="Lore",L709*2+Experience!$D$25,0)+IF(M709="Y",1,0)</f>
        <v>#N/A</v>
      </c>
      <c r="X709" s="1099"/>
      <c r="Y709" s="1100">
        <f ca="1">IF(P709="NS",IFERROR(INDIRECT(S709),NA()),VLOOKUP(INDIRECT(P709)+INDIRECT(S709),'System Lookups'!$A$3:$D$146,2))</f>
        <v>0.1</v>
      </c>
      <c r="Z709" s="1100">
        <f t="shared" si="686"/>
        <v>0</v>
      </c>
      <c r="AA709" s="1101">
        <f t="shared" ca="1" si="670"/>
        <v>0.1</v>
      </c>
      <c r="AB709" s="1102">
        <f>VLOOKUP(V709,'System Lookups'!$J$55:$P$64,3)</f>
        <v>0.03</v>
      </c>
      <c r="AC709" s="1103">
        <f>VLOOKUP(V709,'System Lookups'!$J$55:$P$64,4)</f>
        <v>7.0000000000000007E-2</v>
      </c>
      <c r="AD709" s="1104">
        <f t="shared" si="687"/>
        <v>0</v>
      </c>
      <c r="AE709" s="1094">
        <f>(IF(AD709&gt;VLOOKUP(V709,'System Lookups'!$J$55:$P$63,6),(((AD709-VLOOKUP(V709,'System Lookups'!$J$55:$P$63,6))*100)/20),0))+AF709</f>
        <v>0</v>
      </c>
      <c r="AF709" s="1121"/>
      <c r="AG709" s="1092">
        <f t="shared" si="688"/>
        <v>0</v>
      </c>
      <c r="AH709" s="1092" t="str">
        <f>IF(X709&lt;=Experience!$R$15+1,"","*")</f>
        <v/>
      </c>
      <c r="AI709" s="1092"/>
      <c r="AJ709" s="1080">
        <f t="shared" si="689"/>
        <v>0</v>
      </c>
      <c r="AK709" s="1080">
        <f t="shared" si="663"/>
        <v>0</v>
      </c>
      <c r="AL709" s="1080">
        <f t="shared" si="690"/>
        <v>0</v>
      </c>
      <c r="AM709" s="1092">
        <f t="shared" si="671"/>
        <v>0</v>
      </c>
      <c r="AN709" s="1080">
        <f t="shared" si="702"/>
        <v>1</v>
      </c>
      <c r="AO709" s="1080">
        <f t="shared" si="691"/>
        <v>0</v>
      </c>
      <c r="AP709" s="1080">
        <f t="shared" si="692"/>
        <v>1</v>
      </c>
      <c r="AQ709" s="1027">
        <f>VLOOKUP(V709,'System Lookups'!$J$55:$P$64,7)</f>
        <v>1000</v>
      </c>
      <c r="AR709" s="1080" t="str">
        <f ca="1">IF(AND(NOT(ISBLANK(AJ709)),ISNA(MATCH(ROW(),'System Lookups'!$C$526:$C$539,0))),"Y","N")</f>
        <v>Y</v>
      </c>
      <c r="AS709" s="1080">
        <f t="shared" si="693"/>
        <v>0</v>
      </c>
      <c r="AU709" s="1080" t="e">
        <f t="shared" si="696"/>
        <v>#N/A</v>
      </c>
      <c r="AV709" s="1080" t="str">
        <f t="shared" si="694"/>
        <v>T</v>
      </c>
      <c r="AW709" s="1080">
        <f t="shared" si="697"/>
        <v>0</v>
      </c>
      <c r="AX709" s="1080">
        <f t="shared" si="698"/>
        <v>0</v>
      </c>
      <c r="AY709" s="1080">
        <f t="shared" si="699"/>
        <v>0</v>
      </c>
      <c r="AZ709" s="1080">
        <f t="shared" si="700"/>
        <v>0</v>
      </c>
      <c r="BA709" s="1080">
        <f t="shared" si="701"/>
        <v>0</v>
      </c>
      <c r="BB709" s="1080">
        <f>IF(AND(RACE=1,'Main Creation Page'!$E$6="Well",OR(ISNUMBER(FIND(Experience!$G$11,BE709)),ISNUMBER(FIND(Experience!$G$11,BF709)),ISNUMBER(FIND(Experience!$I$11,BE709)),ISNUMBER(FIND(Experience!$I$11,BF709)))),1,0)</f>
        <v>1</v>
      </c>
      <c r="BC709" s="1080" t="str">
        <f t="shared" si="635"/>
        <v>Thaumaturgy</v>
      </c>
      <c r="BE709" s="1080" t="str">
        <f t="shared" si="695"/>
        <v>Lore</v>
      </c>
      <c r="BF709" s="1080" t="str">
        <f t="shared" si="636"/>
        <v>Materia Magica Skills</v>
      </c>
    </row>
    <row r="710" spans="1:58" ht="11.1" hidden="1" customHeight="1" outlineLevel="2">
      <c r="A710" s="1093" t="s">
        <v>4281</v>
      </c>
      <c r="B710" s="1094" t="s">
        <v>1942</v>
      </c>
      <c r="C710" s="1094"/>
      <c r="D710" s="1094"/>
      <c r="E710" s="1095" t="s">
        <v>5224</v>
      </c>
      <c r="F710" s="1147" t="str">
        <f>IF(ISNA(VLOOKUP('Main Creation Page'!$AC$2,Mage_Specialization,2,0)),"N",IF(VLOOKUP('Main Creation Page'!$AC$2,Mage_Specialization,2,0)=$A710,"S","N"))</f>
        <v>N</v>
      </c>
      <c r="G710" s="1096">
        <v>0</v>
      </c>
      <c r="H710" s="1096" t="s">
        <v>5224</v>
      </c>
      <c r="I710" s="1096" t="s">
        <v>5224</v>
      </c>
      <c r="J710" s="1096" t="s">
        <v>5224</v>
      </c>
      <c r="K710" s="1096" t="s">
        <v>5224</v>
      </c>
      <c r="L710" s="1096">
        <v>0</v>
      </c>
      <c r="M710" s="1096" t="s">
        <v>5224</v>
      </c>
      <c r="N710" s="1096" t="s">
        <v>4631</v>
      </c>
      <c r="O710" s="1028"/>
      <c r="P710" s="1028" t="s">
        <v>3615</v>
      </c>
      <c r="Q710" s="1097">
        <f t="shared" ca="1" si="683"/>
        <v>20</v>
      </c>
      <c r="R710" s="1028"/>
      <c r="S710" s="1028" t="s">
        <v>3614</v>
      </c>
      <c r="T710" s="1097">
        <f t="shared" ca="1" si="684"/>
        <v>15</v>
      </c>
      <c r="U710" s="1027">
        <v>6</v>
      </c>
      <c r="V710" s="1027">
        <f t="shared" si="685"/>
        <v>7</v>
      </c>
      <c r="W710" s="1098" t="e">
        <f>IF(OR(I710&lt;&gt;"N",E710="C"),IF(AND(N710&lt;&gt;"T",ISNUMBER(FIND("V",I710))),1,0),NA())+IF(H710="Y",IF(AND(N710="P",ISNUMBER(FIND("Z",I710))),2,1),0)+IF(J710="Y",1,0)+IF(K710="Y",3,0)+IF(BE710="Lore",L710*2+Experience!$D$25,0)+IF(M710="Y",1,0)</f>
        <v>#N/A</v>
      </c>
      <c r="X710" s="1099"/>
      <c r="Y710" s="1100">
        <f ca="1">IF(P710="NS",IFERROR(INDIRECT(S710),NA()),VLOOKUP(INDIRECT(P710)+INDIRECT(S710),'System Lookups'!$A$3:$D$146,2))</f>
        <v>0.12</v>
      </c>
      <c r="Z710" s="1100">
        <f t="shared" si="686"/>
        <v>0</v>
      </c>
      <c r="AA710" s="1101">
        <f ca="1">IF(ISNA(Y710),0,Y710)+Z710</f>
        <v>0.12</v>
      </c>
      <c r="AB710" s="1102">
        <f>VLOOKUP(V710,'System Lookups'!$J$55:$P$64,3)</f>
        <v>0.03</v>
      </c>
      <c r="AC710" s="1103">
        <f>VLOOKUP(V710,'System Lookups'!$J$55:$P$64,4)</f>
        <v>7.0000000000000007E-2</v>
      </c>
      <c r="AD710" s="1104">
        <f t="shared" si="687"/>
        <v>0</v>
      </c>
      <c r="AE710" s="1094">
        <f>(IF(AD710&gt;VLOOKUP(V710,'System Lookups'!$J$55:$P$63,6),(((AD710-VLOOKUP(V710,'System Lookups'!$J$55:$P$63,6))*100)/20),0))+AF710</f>
        <v>0</v>
      </c>
      <c r="AF710" s="1121"/>
      <c r="AG710" s="1092">
        <f t="shared" si="688"/>
        <v>0</v>
      </c>
      <c r="AH710" s="1092" t="str">
        <f>IF(X710&lt;=Experience!$R$15+1,"","*")</f>
        <v/>
      </c>
      <c r="AI710" s="1092"/>
      <c r="AJ710" s="1080">
        <f t="shared" si="689"/>
        <v>0</v>
      </c>
      <c r="AK710" s="1080">
        <f>IF(F710="s",-3,0)</f>
        <v>0</v>
      </c>
      <c r="AL710" s="1080">
        <f t="shared" si="690"/>
        <v>0</v>
      </c>
      <c r="AM710" s="1092">
        <f>IF(J710="y",1,0)</f>
        <v>0</v>
      </c>
      <c r="AN710" s="1080">
        <f t="shared" si="702"/>
        <v>1</v>
      </c>
      <c r="AO710" s="1080">
        <f t="shared" si="691"/>
        <v>0</v>
      </c>
      <c r="AP710" s="1080">
        <f t="shared" si="692"/>
        <v>1</v>
      </c>
      <c r="AQ710" s="1027">
        <f>VLOOKUP(V710,'System Lookups'!$J$55:$P$64,7)</f>
        <v>1000</v>
      </c>
      <c r="AR710" s="1080" t="str">
        <f ca="1">IF(AND(NOT(ISBLANK(AJ710)),ISNA(MATCH(ROW(),'System Lookups'!$C$526:$C$539,0))),"Y","N")</f>
        <v>Y</v>
      </c>
      <c r="AS710" s="1080">
        <f t="shared" si="693"/>
        <v>0</v>
      </c>
      <c r="AU710" s="1080" t="e">
        <f t="shared" si="696"/>
        <v>#N/A</v>
      </c>
      <c r="AV710" s="1080" t="str">
        <f t="shared" si="694"/>
        <v>T</v>
      </c>
      <c r="AW710" s="1080">
        <f t="shared" si="697"/>
        <v>0</v>
      </c>
      <c r="AX710" s="1080">
        <f t="shared" si="698"/>
        <v>0</v>
      </c>
      <c r="AY710" s="1080">
        <f t="shared" si="699"/>
        <v>0</v>
      </c>
      <c r="AZ710" s="1080">
        <f t="shared" si="700"/>
        <v>0</v>
      </c>
      <c r="BA710" s="1080">
        <f t="shared" si="701"/>
        <v>0</v>
      </c>
      <c r="BB710" s="1080">
        <f>IF(AND(RACE=1,'Main Creation Page'!$E$6="Well",OR(ISNUMBER(FIND(Experience!$G$11,BE710)),ISNUMBER(FIND(Experience!$G$11,BF710)),ISNUMBER(FIND(Experience!$I$11,BE710)),ISNUMBER(FIND(Experience!$I$11,BF710)))),1,0)</f>
        <v>1</v>
      </c>
      <c r="BC710" s="1080" t="str">
        <f t="shared" ref="BC710:BC773" si="703">IF(ISBLANK(AJ710),IF(ISBLANK(AI710),IF(RIGHT(A710,2)="en","Language Lore: "&amp;A710,IF(LEFT(A710,9)="Alquennas",A710,NA())),IF(RIGHT(A710,9)=" Medicina",A710&amp;": Healing Lore Skills",IF(OR(LEFT(A710,5)="Lore ",LEFT(A710,8)="Materia "),A710&amp;" Skills",IF(LEFT(A710,8)="Cooking ","Cooking &amp; Innkeeping Skills",A710)))),IF(LEFT(A710,9)="alertness","Alertness: "&amp;RIGHT(A710,5),IF(ISBLANK(BD710),A710,IF(RIGHT(BD710,2)=" (",BD710&amp;"Own)",BD710&amp;A710))))</f>
        <v>Weaponsmith Magus</v>
      </c>
      <c r="BE710" s="1080" t="str">
        <f t="shared" si="695"/>
        <v>Lore</v>
      </c>
      <c r="BF710" s="1080" t="str">
        <f t="shared" si="636"/>
        <v>Materia Magica Skills</v>
      </c>
    </row>
    <row r="711" spans="1:58" ht="11.1" hidden="1" customHeight="1" outlineLevel="2">
      <c r="A711" s="1093" t="s">
        <v>1531</v>
      </c>
      <c r="B711" s="1094" t="s">
        <v>1942</v>
      </c>
      <c r="C711" s="1094"/>
      <c r="D711" s="1094"/>
      <c r="E711" s="1095" t="s">
        <v>5224</v>
      </c>
      <c r="F711" s="1147" t="str">
        <f>IF(ISNA(VLOOKUP('Main Creation Page'!$AC$2,Mage_Specialization,2,0)),"N",IF(VLOOKUP('Main Creation Page'!$AC$2,Mage_Specialization,2,0)=$A711,"S","N"))</f>
        <v>N</v>
      </c>
      <c r="G711" s="1096">
        <v>0</v>
      </c>
      <c r="H711" s="1096" t="s">
        <v>5224</v>
      </c>
      <c r="I711" s="1096" t="s">
        <v>5224</v>
      </c>
      <c r="J711" s="1096" t="s">
        <v>5224</v>
      </c>
      <c r="K711" s="1096" t="s">
        <v>5224</v>
      </c>
      <c r="L711" s="1096">
        <v>0</v>
      </c>
      <c r="M711" s="1096" t="s">
        <v>5224</v>
      </c>
      <c r="N711" s="1096" t="s">
        <v>4631</v>
      </c>
      <c r="O711" s="1028"/>
      <c r="P711" s="1028" t="s">
        <v>780</v>
      </c>
      <c r="Q711" s="1097">
        <f t="shared" ca="1" si="683"/>
        <v>17</v>
      </c>
      <c r="R711" s="1028"/>
      <c r="S711" s="1028" t="s">
        <v>3611</v>
      </c>
      <c r="T711" s="1097">
        <f t="shared" ca="1" si="684"/>
        <v>15</v>
      </c>
      <c r="U711" s="1027">
        <v>6</v>
      </c>
      <c r="V711" s="1027">
        <f t="shared" si="685"/>
        <v>7</v>
      </c>
      <c r="W711" s="1098" t="e">
        <f>IF(OR(I711&lt;&gt;"N",E711="C"),IF(AND(N711&lt;&gt;"T",ISNUMBER(FIND("V",I711))),1,0),NA())+IF(H711="Y",IF(AND(N711="P",ISNUMBER(FIND("Z",I711))),2,1),0)+IF(J711="Y",1,0)+IF(K711="Y",3,0)+IF(BE711="Lore",L711*2+Experience!$D$25,0)+IF(M711="Y",1,0)</f>
        <v>#N/A</v>
      </c>
      <c r="X711" s="1099"/>
      <c r="Y711" s="1100">
        <f ca="1">IF(P711="NS",IFERROR(INDIRECT(S711),NA()),VLOOKUP(INDIRECT(P711)+INDIRECT(S711),'System Lookups'!$A$3:$D$146,2))</f>
        <v>0.08</v>
      </c>
      <c r="Z711" s="1100">
        <f t="shared" si="686"/>
        <v>0</v>
      </c>
      <c r="AA711" s="1101">
        <f ca="1">IF(ISNA(Y711),0,Y711)+Z711</f>
        <v>0.08</v>
      </c>
      <c r="AB711" s="1102">
        <f>VLOOKUP(V711,'System Lookups'!$J$55:$P$64,3)</f>
        <v>0.03</v>
      </c>
      <c r="AC711" s="1103">
        <f>VLOOKUP(V711,'System Lookups'!$J$55:$P$64,4)</f>
        <v>7.0000000000000007E-2</v>
      </c>
      <c r="AD711" s="1104">
        <f t="shared" si="687"/>
        <v>0</v>
      </c>
      <c r="AE711" s="1094">
        <f>(IF(AD711&gt;VLOOKUP(V711,'System Lookups'!$J$55:$P$63,6),(((AD711-VLOOKUP(V711,'System Lookups'!$J$55:$P$63,6))*100)/20),0))+AF711</f>
        <v>0</v>
      </c>
      <c r="AF711" s="1121"/>
      <c r="AG711" s="1092">
        <f t="shared" si="688"/>
        <v>0</v>
      </c>
      <c r="AH711" s="1092" t="str">
        <f>IF(X711&lt;=Experience!$R$15+1,"","*")</f>
        <v/>
      </c>
      <c r="AI711" s="1092"/>
      <c r="AJ711" s="1080">
        <f t="shared" si="689"/>
        <v>0</v>
      </c>
      <c r="AK711" s="1080">
        <f>IF(F711="s",-3,0)</f>
        <v>0</v>
      </c>
      <c r="AL711" s="1080">
        <f t="shared" si="690"/>
        <v>0</v>
      </c>
      <c r="AM711" s="1092">
        <f>IF(J711="y",1,0)</f>
        <v>0</v>
      </c>
      <c r="AN711" s="1080">
        <f>IF(N711="T",1,0)</f>
        <v>1</v>
      </c>
      <c r="AO711" s="1080">
        <f t="shared" si="691"/>
        <v>0</v>
      </c>
      <c r="AP711" s="1080">
        <f t="shared" si="692"/>
        <v>1</v>
      </c>
      <c r="AQ711" s="1027">
        <f>VLOOKUP(V711,'System Lookups'!$J$55:$P$64,7)</f>
        <v>1000</v>
      </c>
      <c r="AR711" s="1080" t="str">
        <f ca="1">IF(AND(NOT(ISBLANK(AJ711)),ISNA(MATCH(ROW(),'System Lookups'!$C$526:$C$539,0))),"Y","N")</f>
        <v>Y</v>
      </c>
      <c r="AS711" s="1080">
        <f t="shared" si="693"/>
        <v>0</v>
      </c>
      <c r="AU711" s="1080" t="e">
        <f t="shared" si="696"/>
        <v>#N/A</v>
      </c>
      <c r="AV711" s="1080" t="str">
        <f t="shared" si="694"/>
        <v>T</v>
      </c>
      <c r="AW711" s="1080">
        <f t="shared" si="697"/>
        <v>0</v>
      </c>
      <c r="AX711" s="1080">
        <f t="shared" si="698"/>
        <v>0</v>
      </c>
      <c r="AY711" s="1080">
        <f t="shared" si="699"/>
        <v>0</v>
      </c>
      <c r="AZ711" s="1080">
        <f t="shared" si="700"/>
        <v>0</v>
      </c>
      <c r="BA711" s="1080">
        <f t="shared" si="701"/>
        <v>0</v>
      </c>
      <c r="BB711" s="1080">
        <f>IF(AND(RACE=1,'Main Creation Page'!$E$6="Well",OR(ISNUMBER(FIND(Experience!$G$11,BE711)),ISNUMBER(FIND(Experience!$G$11,BF711)),ISNUMBER(FIND(Experience!$I$11,BE711)),ISNUMBER(FIND(Experience!$I$11,BF711)))),1,0)</f>
        <v>1</v>
      </c>
      <c r="BC711" s="1080" t="str">
        <f t="shared" si="703"/>
        <v>Weaver</v>
      </c>
      <c r="BE711" s="1080" t="str">
        <f t="shared" si="695"/>
        <v>Lore</v>
      </c>
      <c r="BF711" s="1080" t="str">
        <f t="shared" si="636"/>
        <v>Materia Magica Skills</v>
      </c>
    </row>
    <row r="712" spans="1:58" ht="11.1" hidden="1" customHeight="1" outlineLevel="1">
      <c r="A712" s="1115" t="s">
        <v>4749</v>
      </c>
      <c r="B712" s="1111"/>
      <c r="C712" s="1111"/>
      <c r="D712" s="1111"/>
      <c r="F712" s="1150"/>
      <c r="V712" s="1027"/>
      <c r="W712" s="1112"/>
      <c r="AE712" s="1094"/>
      <c r="AF712" s="1121"/>
      <c r="AR712" s="1080" t="str">
        <f ca="1">IF(AND(NOT(ISBLANK(AJ712)),ISNA(MATCH(ROW(),'System Lookups'!$C$526:$C$539,0))),"Y","N")</f>
        <v>N</v>
      </c>
      <c r="AU712" s="1080" t="e">
        <f t="shared" si="696"/>
        <v>#N/A</v>
      </c>
      <c r="AV712" s="1080" t="str">
        <f t="shared" si="694"/>
        <v/>
      </c>
      <c r="AW712" s="1080">
        <f t="shared" si="697"/>
        <v>0</v>
      </c>
      <c r="AX712" s="1080">
        <f t="shared" si="698"/>
        <v>0</v>
      </c>
      <c r="AY712" s="1080">
        <f t="shared" si="699"/>
        <v>0</v>
      </c>
      <c r="AZ712" s="1080">
        <f t="shared" si="700"/>
        <v>0</v>
      </c>
      <c r="BA712" s="1080">
        <f t="shared" si="701"/>
        <v>0</v>
      </c>
      <c r="BB712" s="1080">
        <f>IF(AND(RACE=1,'Main Creation Page'!$E$6="Well",OR(ISNUMBER(FIND(Experience!$G$11,BE712)),ISNUMBER(FIND(Experience!$G$11,BF712)),ISNUMBER(FIND(Experience!$I$11,BE712)),ISNUMBER(FIND(Experience!$I$11,BF712)))),1,0)</f>
        <v>1</v>
      </c>
      <c r="BC712" s="1080" t="e">
        <f t="shared" si="703"/>
        <v>#N/A</v>
      </c>
      <c r="BE712" s="1080" t="str">
        <f t="shared" si="695"/>
        <v>Lore</v>
      </c>
      <c r="BF712" s="1080" t="str">
        <f t="shared" si="636"/>
        <v>Materia Magica Skills</v>
      </c>
    </row>
    <row r="713" spans="1:58" ht="11.1" hidden="1" customHeight="1" outlineLevel="2">
      <c r="A713" s="1093" t="s">
        <v>2480</v>
      </c>
      <c r="B713" s="1094" t="s">
        <v>1942</v>
      </c>
      <c r="C713" s="1094"/>
      <c r="D713" s="1094"/>
      <c r="E713" s="1095" t="s">
        <v>5224</v>
      </c>
      <c r="F713" s="1147" t="str">
        <f>IF(ISNA(VLOOKUP('Main Creation Page'!$AC$2,Mage_Specialization,2,0)),"N",IF(VLOOKUP('Main Creation Page'!$AC$2,Mage_Specialization,2,0)=$A713,"S","N"))</f>
        <v>N</v>
      </c>
      <c r="G713" s="1096">
        <v>0</v>
      </c>
      <c r="H713" s="1096" t="s">
        <v>5224</v>
      </c>
      <c r="I713" s="1096" t="s">
        <v>5224</v>
      </c>
      <c r="J713" s="1096" t="s">
        <v>5224</v>
      </c>
      <c r="K713" s="1096" t="s">
        <v>5224</v>
      </c>
      <c r="L713" s="1096">
        <v>0</v>
      </c>
      <c r="M713" s="1096" t="s">
        <v>5224</v>
      </c>
      <c r="N713" s="1096" t="s">
        <v>4631</v>
      </c>
      <c r="O713" s="1028"/>
      <c r="P713" s="1028" t="s">
        <v>3614</v>
      </c>
      <c r="Q713" s="1097">
        <f t="shared" ref="Q713:Q720" ca="1" si="704">INDIRECT(P713)</f>
        <v>15</v>
      </c>
      <c r="R713" s="1028"/>
      <c r="S713" s="1028" t="s">
        <v>779</v>
      </c>
      <c r="T713" s="1097">
        <f t="shared" ref="T713:T720" ca="1" si="705">INDIRECT(S713)</f>
        <v>20</v>
      </c>
      <c r="U713" s="1027">
        <v>6</v>
      </c>
      <c r="V713" s="1027">
        <f t="shared" ref="V713:V720" si="706">IF(AP713+U713&gt;10,10,IF(AP713+U713&lt;1,1,AP713+U713))</f>
        <v>7</v>
      </c>
      <c r="W713" s="1098" t="e">
        <f>IF(OR(I713&lt;&gt;"N",E713="C"),IF(AND(N713&lt;&gt;"T",ISNUMBER(FIND("V",I713))),1,0),NA())+IF(H713="Y",IF(AND(N713="P",ISNUMBER(FIND("Z",I713))),2,1),0)+IF(J713="Y",1,0)+IF(K713="Y",3,0)+IF(BE713="Lore",L713*2+Experience!$D$25,0)+IF(M713="Y",1,0)</f>
        <v>#N/A</v>
      </c>
      <c r="X713" s="1099"/>
      <c r="Y713" s="1100">
        <f ca="1">IF(P713="NS",IFERROR(INDIRECT(S713),NA()),VLOOKUP(INDIRECT(P713)+INDIRECT(S713),'System Lookups'!$A$3:$D$146,2))</f>
        <v>0.12</v>
      </c>
      <c r="Z713" s="1100">
        <f t="shared" ref="Z713:Z720" si="707">IF(ISNA(W713),0,W713*0.03)+IF(X713&gt;0,X713*0.03,0)+IF(AND(ISNA(W713),X713&lt;=0),0,IF(G713&gt;0,G713*0.07,0))</f>
        <v>0</v>
      </c>
      <c r="AA713" s="1101">
        <f t="shared" ref="AA713:AA720" ca="1" si="708">IF(ISNA(Y713),0,Y713)+Z713</f>
        <v>0.12</v>
      </c>
      <c r="AB713" s="1102">
        <f>VLOOKUP(V713,'System Lookups'!$J$55:$P$64,3)</f>
        <v>0.03</v>
      </c>
      <c r="AC713" s="1103">
        <f>VLOOKUP(V713,'System Lookups'!$J$55:$P$64,4)</f>
        <v>7.0000000000000007E-2</v>
      </c>
      <c r="AD713" s="1104">
        <f t="shared" ref="AD713:AD720" si="709">IF(AND(ISBLANK(X713),ISNA(W713)),IF(B713="~",0,AB713+AA713+IF(BB713&gt;0,0.05,0)),AA713+AC713+IF(BB713&gt;0,0.05,0))</f>
        <v>0</v>
      </c>
      <c r="AE713" s="1094">
        <f>(IF(AD713&gt;VLOOKUP(V713,'System Lookups'!$J$55:$P$63,6),(((AD713-VLOOKUP(V713,'System Lookups'!$J$55:$P$63,6))*100)/20),0))+AF713</f>
        <v>0</v>
      </c>
      <c r="AF713" s="1121"/>
      <c r="AG713" s="1092">
        <f t="shared" ref="AG713:AG720" si="710">IF(ISBLANK(X713),0,AQ713*X713+IF(ISNA(W713),1,0))</f>
        <v>0</v>
      </c>
      <c r="AH713" s="1092" t="str">
        <f>IF(X713&lt;=Experience!$R$15+1,"","*")</f>
        <v/>
      </c>
      <c r="AI713" s="1092"/>
      <c r="AJ713" s="1080">
        <f t="shared" ref="AJ713:AJ720" si="711">IF(ISNUMBER(FIND("R",F713)),-1,0)</f>
        <v>0</v>
      </c>
      <c r="AK713" s="1080">
        <f>IF(F713="s",-3,0)</f>
        <v>0</v>
      </c>
      <c r="AL713" s="1080">
        <f t="shared" ref="AL713:AL720" si="712">IF(AND(H713="Y",OR(N713="P",N713="S")),-1,0)</f>
        <v>0</v>
      </c>
      <c r="AM713" s="1092">
        <f t="shared" ref="AM713:AM720" si="713">IF(J713="y",1,0)</f>
        <v>0</v>
      </c>
      <c r="AN713" s="1080">
        <f t="shared" ref="AN713:AN720" si="714">IF(N713="T",1,0)</f>
        <v>1</v>
      </c>
      <c r="AO713" s="1080">
        <f t="shared" ref="AO713:AO720" si="715">IF(ISNUMBER(FIND("Z",I713)),1,0)</f>
        <v>0</v>
      </c>
      <c r="AP713" s="1080">
        <f t="shared" ref="AP713:AP720" si="716">SUM(AJ713:AN713)-AM713</f>
        <v>1</v>
      </c>
      <c r="AQ713" s="1027">
        <f>VLOOKUP(V713,'System Lookups'!$J$55:$P$64,7)</f>
        <v>1000</v>
      </c>
      <c r="AR713" s="1080" t="str">
        <f ca="1">IF(AND(NOT(ISBLANK(AJ713)),ISNA(MATCH(ROW(),'System Lookups'!$C$526:$C$539,0))),"Y","N")</f>
        <v>Y</v>
      </c>
      <c r="AS713" s="1080">
        <f t="shared" ref="AS713:AS720" si="717">AG713-AI713</f>
        <v>0</v>
      </c>
      <c r="AU713" s="1080" t="e">
        <f t="shared" si="696"/>
        <v>#N/A</v>
      </c>
      <c r="AV713" s="1080" t="str">
        <f t="shared" si="694"/>
        <v>T</v>
      </c>
      <c r="AW713" s="1080">
        <f t="shared" si="697"/>
        <v>0</v>
      </c>
      <c r="AX713" s="1080">
        <f t="shared" si="698"/>
        <v>0</v>
      </c>
      <c r="AY713" s="1080">
        <f t="shared" si="699"/>
        <v>0</v>
      </c>
      <c r="AZ713" s="1080">
        <f t="shared" si="700"/>
        <v>0</v>
      </c>
      <c r="BA713" s="1080">
        <f t="shared" si="701"/>
        <v>0</v>
      </c>
      <c r="BB713" s="1080">
        <f>IF(AND(RACE=1,'Main Creation Page'!$E$6="Well",OR(ISNUMBER(FIND(Experience!$G$11,BE713)),ISNUMBER(FIND(Experience!$G$11,BF713)),ISNUMBER(FIND(Experience!$I$11,BE713)),ISNUMBER(FIND(Experience!$I$11,BF713)))),1,0)</f>
        <v>1</v>
      </c>
      <c r="BC713" s="1080" t="str">
        <f t="shared" si="703"/>
        <v>Artificer</v>
      </c>
      <c r="BE713" s="1080" t="str">
        <f t="shared" si="695"/>
        <v>Lore</v>
      </c>
      <c r="BF713" s="1080" t="str">
        <f t="shared" si="636"/>
        <v>Materia Magica Skills</v>
      </c>
    </row>
    <row r="714" spans="1:58" ht="11.1" hidden="1" customHeight="1" outlineLevel="2">
      <c r="A714" s="1093" t="s">
        <v>5131</v>
      </c>
      <c r="B714" s="1094" t="s">
        <v>1942</v>
      </c>
      <c r="C714" s="1094"/>
      <c r="D714" s="1094"/>
      <c r="E714" s="1095" t="s">
        <v>5224</v>
      </c>
      <c r="F714" s="1147" t="str">
        <f>IF(ISNA(VLOOKUP('Main Creation Page'!$AC$2,Mage_Specialization,2,0)),"N",IF(VLOOKUP('Main Creation Page'!$AC$2,Mage_Specialization,2,0)=$A714,"S","N"))</f>
        <v>N</v>
      </c>
      <c r="G714" s="1096">
        <v>0</v>
      </c>
      <c r="H714" s="1096" t="s">
        <v>5224</v>
      </c>
      <c r="I714" s="1096" t="s">
        <v>5224</v>
      </c>
      <c r="J714" s="1096" t="s">
        <v>5224</v>
      </c>
      <c r="K714" s="1096" t="s">
        <v>5224</v>
      </c>
      <c r="L714" s="1096">
        <v>0</v>
      </c>
      <c r="M714" s="1096" t="s">
        <v>5224</v>
      </c>
      <c r="N714" s="1096" t="s">
        <v>4631</v>
      </c>
      <c r="O714" s="1028"/>
      <c r="P714" s="1028" t="s">
        <v>3612</v>
      </c>
      <c r="Q714" s="1097">
        <f t="shared" ca="1" si="704"/>
        <v>10</v>
      </c>
      <c r="R714" s="1028"/>
      <c r="S714" s="1028" t="s">
        <v>779</v>
      </c>
      <c r="T714" s="1097">
        <f t="shared" ca="1" si="705"/>
        <v>20</v>
      </c>
      <c r="U714" s="1027">
        <v>6</v>
      </c>
      <c r="V714" s="1027">
        <f t="shared" si="706"/>
        <v>7</v>
      </c>
      <c r="W714" s="1098" t="e">
        <f>IF(OR(I714&lt;&gt;"N",E714="C"),IF(AND(N714&lt;&gt;"T",ISNUMBER(FIND("V",I714))),1,0),NA())+IF(H714="Y",IF(AND(N714="P",ISNUMBER(FIND("Z",I714))),2,1),0)+IF(J714="Y",1,0)+IF(K714="Y",3,0)+IF(BE714="Lore",L714*2+Experience!$D$25,0)+IF(M714="Y",1,0)</f>
        <v>#N/A</v>
      </c>
      <c r="X714" s="1099"/>
      <c r="Y714" s="1100">
        <f ca="1">IF(P714="NS",IFERROR(INDIRECT(S714),NA()),VLOOKUP(INDIRECT(P714)+INDIRECT(S714),'System Lookups'!$A$3:$D$146,2))</f>
        <v>0.06</v>
      </c>
      <c r="Z714" s="1100">
        <f t="shared" si="707"/>
        <v>0</v>
      </c>
      <c r="AA714" s="1101">
        <f t="shared" ca="1" si="708"/>
        <v>0.06</v>
      </c>
      <c r="AB714" s="1102">
        <f>VLOOKUP(V714,'System Lookups'!$J$55:$P$64,3)</f>
        <v>0.03</v>
      </c>
      <c r="AC714" s="1103">
        <f>VLOOKUP(V714,'System Lookups'!$J$55:$P$64,4)</f>
        <v>7.0000000000000007E-2</v>
      </c>
      <c r="AD714" s="1104">
        <f t="shared" si="709"/>
        <v>0</v>
      </c>
      <c r="AE714" s="1094">
        <f>(IF(AD714&gt;VLOOKUP(V714,'System Lookups'!$J$55:$P$63,6),(((AD714-VLOOKUP(V714,'System Lookups'!$J$55:$P$63,6))*100)/20),0))+AF714</f>
        <v>0</v>
      </c>
      <c r="AF714" s="1121"/>
      <c r="AG714" s="1092">
        <f t="shared" si="710"/>
        <v>0</v>
      </c>
      <c r="AH714" s="1092" t="str">
        <f>IF(X714&lt;=Experience!$R$15+1,"","*")</f>
        <v/>
      </c>
      <c r="AI714" s="1092"/>
      <c r="AJ714" s="1080">
        <f t="shared" si="711"/>
        <v>0</v>
      </c>
      <c r="AK714" s="1080">
        <f>IF(F714="s",-3,0)</f>
        <v>0</v>
      </c>
      <c r="AL714" s="1080">
        <f t="shared" si="712"/>
        <v>0</v>
      </c>
      <c r="AM714" s="1092">
        <f t="shared" si="713"/>
        <v>0</v>
      </c>
      <c r="AN714" s="1080">
        <f>IF(N714="T",1,0)</f>
        <v>1</v>
      </c>
      <c r="AO714" s="1080">
        <f t="shared" si="715"/>
        <v>0</v>
      </c>
      <c r="AP714" s="1080">
        <f t="shared" si="716"/>
        <v>1</v>
      </c>
      <c r="AQ714" s="1027">
        <f>VLOOKUP(V714,'System Lookups'!$J$55:$P$64,7)</f>
        <v>1000</v>
      </c>
      <c r="AR714" s="1080" t="str">
        <f ca="1">IF(AND(NOT(ISBLANK(AJ714)),ISNA(MATCH(ROW(),'System Lookups'!$C$526:$C$539,0))),"Y","N")</f>
        <v>Y</v>
      </c>
      <c r="AS714" s="1080">
        <f t="shared" si="717"/>
        <v>0</v>
      </c>
      <c r="AU714" s="1080" t="e">
        <f t="shared" si="696"/>
        <v>#N/A</v>
      </c>
      <c r="AV714" s="1080" t="str">
        <f t="shared" si="694"/>
        <v>T</v>
      </c>
      <c r="AW714" s="1080">
        <f t="shared" si="697"/>
        <v>0</v>
      </c>
      <c r="AX714" s="1080">
        <f t="shared" si="698"/>
        <v>0</v>
      </c>
      <c r="AY714" s="1080">
        <f t="shared" si="699"/>
        <v>0</v>
      </c>
      <c r="AZ714" s="1080">
        <f t="shared" si="700"/>
        <v>0</v>
      </c>
      <c r="BA714" s="1080">
        <f t="shared" si="701"/>
        <v>0</v>
      </c>
      <c r="BB714" s="1080">
        <f>IF(AND(RACE=1,'Main Creation Page'!$E$6="Well",OR(ISNUMBER(FIND(Experience!$G$11,BE714)),ISNUMBER(FIND(Experience!$G$11,BF714)),ISNUMBER(FIND(Experience!$I$11,BE714)),ISNUMBER(FIND(Experience!$I$11,BF714)))),1,0)</f>
        <v>1</v>
      </c>
      <c r="BC714" s="1080" t="str">
        <f t="shared" si="703"/>
        <v>Cantor</v>
      </c>
      <c r="BE714" s="1080" t="str">
        <f t="shared" si="695"/>
        <v>Lore</v>
      </c>
      <c r="BF714" s="1080" t="str">
        <f t="shared" ref="BF714:BF776" si="718">IF(ISBLANK(AC714),IF(OR(ISNA(BC714),ISBLANK(BC714)),BF713,BC714),BF713)</f>
        <v>Materia Magica Skills</v>
      </c>
    </row>
    <row r="715" spans="1:58" ht="11.1" hidden="1" customHeight="1" outlineLevel="2">
      <c r="A715" s="1093" t="s">
        <v>1557</v>
      </c>
      <c r="B715" s="1094" t="s">
        <v>1942</v>
      </c>
      <c r="C715" s="1094"/>
      <c r="D715" s="1094"/>
      <c r="E715" s="1095" t="s">
        <v>5224</v>
      </c>
      <c r="F715" s="1147" t="str">
        <f>IF(ISNA(VLOOKUP('Main Creation Page'!$AC$2,Mage_Specialization,2,0)),"N",IF(VLOOKUP('Main Creation Page'!$AC$2,Mage_Specialization,2,0)=$A715,"S","N"))</f>
        <v>N</v>
      </c>
      <c r="G715" s="1096">
        <v>0</v>
      </c>
      <c r="H715" s="1096" t="s">
        <v>5224</v>
      </c>
      <c r="I715" s="1096" t="s">
        <v>5224</v>
      </c>
      <c r="J715" s="1096" t="s">
        <v>5224</v>
      </c>
      <c r="K715" s="1096" t="s">
        <v>5224</v>
      </c>
      <c r="L715" s="1096">
        <v>0</v>
      </c>
      <c r="M715" s="1096" t="s">
        <v>5224</v>
      </c>
      <c r="N715" s="1096" t="s">
        <v>4631</v>
      </c>
      <c r="O715" s="1028"/>
      <c r="P715" s="1028" t="s">
        <v>3614</v>
      </c>
      <c r="Q715" s="1097">
        <f t="shared" ca="1" si="704"/>
        <v>15</v>
      </c>
      <c r="R715" s="1028"/>
      <c r="S715" s="1028" t="s">
        <v>779</v>
      </c>
      <c r="T715" s="1097">
        <f t="shared" ca="1" si="705"/>
        <v>20</v>
      </c>
      <c r="U715" s="1027">
        <v>6</v>
      </c>
      <c r="V715" s="1027">
        <f t="shared" si="706"/>
        <v>7</v>
      </c>
      <c r="W715" s="1098" t="e">
        <f>IF(OR(I715&lt;&gt;"N",E715="C"),IF(AND(N715&lt;&gt;"T",ISNUMBER(FIND("V",I715))),1,0),NA())+IF(H715="Y",IF(AND(N715="P",ISNUMBER(FIND("Z",I715))),2,1),0)+IF(J715="Y",1,0)+IF(K715="Y",3,0)+IF(BE715="Lore",L715*2+Experience!$D$25,0)+IF(M715="Y",1,0)</f>
        <v>#N/A</v>
      </c>
      <c r="X715" s="1099"/>
      <c r="Y715" s="1100">
        <f ca="1">IF(P715="NS",IFERROR(INDIRECT(S715),NA()),VLOOKUP(INDIRECT(P715)+INDIRECT(S715),'System Lookups'!$A$3:$D$146,2))</f>
        <v>0.12</v>
      </c>
      <c r="Z715" s="1100">
        <f t="shared" si="707"/>
        <v>0</v>
      </c>
      <c r="AA715" s="1101">
        <f t="shared" ca="1" si="708"/>
        <v>0.12</v>
      </c>
      <c r="AB715" s="1102">
        <f>VLOOKUP(V715,'System Lookups'!$J$55:$P$64,3)</f>
        <v>0.03</v>
      </c>
      <c r="AC715" s="1103">
        <f>VLOOKUP(V715,'System Lookups'!$J$55:$P$64,4)</f>
        <v>7.0000000000000007E-2</v>
      </c>
      <c r="AD715" s="1104">
        <f t="shared" si="709"/>
        <v>0</v>
      </c>
      <c r="AE715" s="1094">
        <f>(IF(AD715&gt;VLOOKUP(V715,'System Lookups'!$J$55:$P$63,6),(((AD715-VLOOKUP(V715,'System Lookups'!$J$55:$P$63,6))*100)/20),0))+AF715</f>
        <v>0</v>
      </c>
      <c r="AF715" s="1121"/>
      <c r="AG715" s="1092">
        <f t="shared" si="710"/>
        <v>0</v>
      </c>
      <c r="AH715" s="1092" t="str">
        <f>IF(X715&lt;=Experience!$R$15+1,"","*")</f>
        <v/>
      </c>
      <c r="AI715" s="1092"/>
      <c r="AJ715" s="1080">
        <f t="shared" si="711"/>
        <v>0</v>
      </c>
      <c r="AK715" s="1080">
        <f>IF(F715="s",-3,0)</f>
        <v>0</v>
      </c>
      <c r="AL715" s="1080">
        <f t="shared" si="712"/>
        <v>0</v>
      </c>
      <c r="AM715" s="1092">
        <f t="shared" si="713"/>
        <v>0</v>
      </c>
      <c r="AN715" s="1080">
        <f t="shared" si="714"/>
        <v>1</v>
      </c>
      <c r="AO715" s="1080">
        <f t="shared" si="715"/>
        <v>0</v>
      </c>
      <c r="AP715" s="1080">
        <f t="shared" si="716"/>
        <v>1</v>
      </c>
      <c r="AQ715" s="1027">
        <f>VLOOKUP(V715,'System Lookups'!$J$55:$P$64,7)</f>
        <v>1000</v>
      </c>
      <c r="AR715" s="1080" t="str">
        <f ca="1">IF(AND(NOT(ISBLANK(AJ715)),ISNA(MATCH(ROW(),'System Lookups'!$C$526:$C$539,0))),"Y","N")</f>
        <v>Y</v>
      </c>
      <c r="AS715" s="1080">
        <f t="shared" si="717"/>
        <v>0</v>
      </c>
      <c r="AU715" s="1080" t="e">
        <f t="shared" si="696"/>
        <v>#N/A</v>
      </c>
      <c r="AV715" s="1080" t="str">
        <f t="shared" si="694"/>
        <v>T</v>
      </c>
      <c r="AW715" s="1080">
        <f t="shared" si="697"/>
        <v>0</v>
      </c>
      <c r="AX715" s="1080">
        <f t="shared" si="698"/>
        <v>0</v>
      </c>
      <c r="AY715" s="1080">
        <f t="shared" si="699"/>
        <v>0</v>
      </c>
      <c r="AZ715" s="1080">
        <f t="shared" si="700"/>
        <v>0</v>
      </c>
      <c r="BA715" s="1080">
        <f t="shared" si="701"/>
        <v>0</v>
      </c>
      <c r="BB715" s="1080">
        <f>IF(AND(RACE=1,'Main Creation Page'!$E$6="Well",OR(ISNUMBER(FIND(Experience!$G$11,BE715)),ISNUMBER(FIND(Experience!$G$11,BF715)),ISNUMBER(FIND(Experience!$I$11,BE715)),ISNUMBER(FIND(Experience!$I$11,BF715)))),1,0)</f>
        <v>1</v>
      </c>
      <c r="BC715" s="1080" t="str">
        <f t="shared" si="703"/>
        <v>Dance</v>
      </c>
      <c r="BE715" s="1080" t="str">
        <f t="shared" si="695"/>
        <v>Lore</v>
      </c>
      <c r="BF715" s="1080" t="str">
        <f t="shared" si="718"/>
        <v>Materia Magica Skills</v>
      </c>
    </row>
    <row r="716" spans="1:58" ht="11.1" hidden="1" customHeight="1" outlineLevel="2">
      <c r="A716" s="1028" t="s">
        <v>1499</v>
      </c>
      <c r="B716" s="1094" t="s">
        <v>1942</v>
      </c>
      <c r="C716" s="1094"/>
      <c r="D716" s="1094"/>
      <c r="E716" s="1095" t="s">
        <v>5224</v>
      </c>
      <c r="F716" s="1147" t="str">
        <f>IF(ISNA(VLOOKUP('Main Creation Page'!$AC$2,Mage_Specialization,2,0)),"N",IF(VLOOKUP('Main Creation Page'!$AC$2,Mage_Specialization,2,0)=$A716,"S","N"))</f>
        <v>N</v>
      </c>
      <c r="G716" s="1096">
        <v>0</v>
      </c>
      <c r="H716" s="1096" t="s">
        <v>5224</v>
      </c>
      <c r="I716" s="1096" t="s">
        <v>5224</v>
      </c>
      <c r="J716" s="1096" t="s">
        <v>5224</v>
      </c>
      <c r="K716" s="1096" t="s">
        <v>5224</v>
      </c>
      <c r="L716" s="1096">
        <v>0</v>
      </c>
      <c r="M716" s="1096" t="s">
        <v>5224</v>
      </c>
      <c r="N716" s="1096" t="s">
        <v>4631</v>
      </c>
      <c r="O716" s="1028"/>
      <c r="P716" s="1028" t="s">
        <v>3616</v>
      </c>
      <c r="Q716" s="1097">
        <f t="shared" ca="1" si="704"/>
        <v>17</v>
      </c>
      <c r="R716" s="1028"/>
      <c r="S716" s="1028" t="s">
        <v>779</v>
      </c>
      <c r="T716" s="1097">
        <f t="shared" ca="1" si="705"/>
        <v>20</v>
      </c>
      <c r="U716" s="1027">
        <v>7</v>
      </c>
      <c r="V716" s="1027">
        <f t="shared" si="706"/>
        <v>8</v>
      </c>
      <c r="W716" s="1098" t="e">
        <f>IF(OR(I716&lt;&gt;"N",E716="C"),IF(AND(N716&lt;&gt;"T",ISNUMBER(FIND("V",I716))),1,0),NA())+IF(H716="Y",IF(AND(N716="P",ISNUMBER(FIND("Z",I716))),2,1),0)+IF(J716="Y",1,0)+IF(K716="Y",3,0)+IF(BE716="Lore",L716*2+Experience!$D$25,0)+IF(M716="Y",1,0)</f>
        <v>#N/A</v>
      </c>
      <c r="X716" s="1099"/>
      <c r="Y716" s="1100">
        <f ca="1">IF(P716="NS",IFERROR(INDIRECT(S716),NA()),VLOOKUP(INDIRECT(P716)+INDIRECT(S716),'System Lookups'!$A$3:$D$146,2))</f>
        <v>0.14000000000000001</v>
      </c>
      <c r="Z716" s="1100">
        <f t="shared" si="707"/>
        <v>0</v>
      </c>
      <c r="AA716" s="1101">
        <f t="shared" ca="1" si="708"/>
        <v>0.14000000000000001</v>
      </c>
      <c r="AB716" s="1102">
        <f>VLOOKUP(V716,'System Lookups'!$J$55:$P$64,3)</f>
        <v>0.02</v>
      </c>
      <c r="AC716" s="1103">
        <f>VLOOKUP(V716,'System Lookups'!$J$55:$P$64,4)</f>
        <v>0.03</v>
      </c>
      <c r="AD716" s="1104">
        <f t="shared" si="709"/>
        <v>0</v>
      </c>
      <c r="AE716" s="1094">
        <f>(IF(AD716&gt;VLOOKUP(V716,'System Lookups'!$J$55:$P$63,6),(((AD716-VLOOKUP(V716,'System Lookups'!$J$55:$P$63,6))*100)/20),0))+AF716</f>
        <v>0</v>
      </c>
      <c r="AF716" s="1121"/>
      <c r="AG716" s="1092">
        <f t="shared" si="710"/>
        <v>0</v>
      </c>
      <c r="AH716" s="1092" t="str">
        <f>IF(X716&lt;=Experience!$R$15+1,"","*")</f>
        <v/>
      </c>
      <c r="AI716" s="1092"/>
      <c r="AJ716" s="1080">
        <f t="shared" si="711"/>
        <v>0</v>
      </c>
      <c r="AK716" s="1080">
        <f t="shared" si="663"/>
        <v>0</v>
      </c>
      <c r="AL716" s="1080">
        <f t="shared" si="712"/>
        <v>0</v>
      </c>
      <c r="AM716" s="1092">
        <f t="shared" si="713"/>
        <v>0</v>
      </c>
      <c r="AN716" s="1080">
        <f t="shared" si="714"/>
        <v>1</v>
      </c>
      <c r="AO716" s="1080">
        <f t="shared" si="715"/>
        <v>0</v>
      </c>
      <c r="AP716" s="1080">
        <f t="shared" si="716"/>
        <v>1</v>
      </c>
      <c r="AQ716" s="1027">
        <f>VLOOKUP(V716,'System Lookups'!$J$55:$P$64,7)</f>
        <v>1200</v>
      </c>
      <c r="AR716" s="1080" t="str">
        <f ca="1">IF(AND(NOT(ISBLANK(AJ716)),ISNA(MATCH(ROW(),'System Lookups'!$C$526:$C$539,0))),"Y","N")</f>
        <v>Y</v>
      </c>
      <c r="AS716" s="1080">
        <f t="shared" si="717"/>
        <v>0</v>
      </c>
      <c r="AU716" s="1080" t="e">
        <f t="shared" si="696"/>
        <v>#N/A</v>
      </c>
      <c r="AV716" s="1080" t="str">
        <f t="shared" si="694"/>
        <v>T</v>
      </c>
      <c r="AW716" s="1080">
        <f t="shared" si="697"/>
        <v>0</v>
      </c>
      <c r="AX716" s="1080">
        <f t="shared" si="698"/>
        <v>0</v>
      </c>
      <c r="AY716" s="1080">
        <f t="shared" si="699"/>
        <v>0</v>
      </c>
      <c r="AZ716" s="1080">
        <f t="shared" si="700"/>
        <v>0</v>
      </c>
      <c r="BA716" s="1080">
        <f t="shared" si="701"/>
        <v>0</v>
      </c>
      <c r="BB716" s="1080">
        <f>IF(AND(RACE=1,'Main Creation Page'!$E$6="Well",OR(ISNUMBER(FIND(Experience!$G$11,BE716)),ISNUMBER(FIND(Experience!$G$11,BF716)),ISNUMBER(FIND(Experience!$I$11,BE716)),ISNUMBER(FIND(Experience!$I$11,BF716)))),1,0)</f>
        <v>1</v>
      </c>
      <c r="BC716" s="1080" t="str">
        <f t="shared" si="703"/>
        <v>Druid</v>
      </c>
      <c r="BE716" s="1080" t="str">
        <f t="shared" si="695"/>
        <v>Lore</v>
      </c>
      <c r="BF716" s="1080" t="str">
        <f t="shared" si="718"/>
        <v>Materia Magica Skills</v>
      </c>
    </row>
    <row r="717" spans="1:58" ht="11.1" hidden="1" customHeight="1" outlineLevel="2">
      <c r="A717" s="1093" t="s">
        <v>1140</v>
      </c>
      <c r="B717" s="1094" t="s">
        <v>1942</v>
      </c>
      <c r="C717" s="1094"/>
      <c r="D717" s="1094"/>
      <c r="E717" s="1095" t="s">
        <v>5224</v>
      </c>
      <c r="F717" s="1147" t="str">
        <f>IF(ISNA(VLOOKUP('Main Creation Page'!$AC$2,Mage_Specialization,2,0)),"N",IF(VLOOKUP('Main Creation Page'!$AC$2,Mage_Specialization,2,0)=$A717,"S","N"))</f>
        <v>N</v>
      </c>
      <c r="G717" s="1096">
        <v>0</v>
      </c>
      <c r="H717" s="1096" t="s">
        <v>5224</v>
      </c>
      <c r="I717" s="1096" t="s">
        <v>5224</v>
      </c>
      <c r="J717" s="1096" t="s">
        <v>5224</v>
      </c>
      <c r="K717" s="1096" t="s">
        <v>5224</v>
      </c>
      <c r="L717" s="1096">
        <v>0</v>
      </c>
      <c r="M717" s="1096" t="s">
        <v>5224</v>
      </c>
      <c r="N717" s="1096" t="s">
        <v>4631</v>
      </c>
      <c r="O717" s="1028"/>
      <c r="P717" s="1028" t="s">
        <v>780</v>
      </c>
      <c r="Q717" s="1097">
        <f t="shared" ca="1" si="704"/>
        <v>17</v>
      </c>
      <c r="R717" s="1034"/>
      <c r="S717" s="1028" t="s">
        <v>3613</v>
      </c>
      <c r="T717" s="1097">
        <f t="shared" ca="1" si="705"/>
        <v>15</v>
      </c>
      <c r="U717" s="1027">
        <v>7</v>
      </c>
      <c r="V717" s="1027">
        <f t="shared" si="706"/>
        <v>8</v>
      </c>
      <c r="W717" s="1098" t="e">
        <f>IF(OR(I717&lt;&gt;"N",E717="C"),IF(AND(N717&lt;&gt;"T",ISNUMBER(FIND("V",I717))),1,0),NA())+IF(H717="Y",IF(AND(N717="P",ISNUMBER(FIND("Z",I717))),2,1),0)+IF(J717="Y",1,0)+IF(K717="Y",3,0)+IF(BE717="Lore",L717*2+Experience!$D$25,0)+IF(M717="Y",1,0)</f>
        <v>#N/A</v>
      </c>
      <c r="X717" s="1099"/>
      <c r="Y717" s="1100">
        <f ca="1">IF(P717="NS",IFERROR(INDIRECT(S717),NA()),VLOOKUP(INDIRECT(P717)+INDIRECT(S717),'System Lookups'!$A$3:$D$146,2))</f>
        <v>0.08</v>
      </c>
      <c r="Z717" s="1100">
        <f t="shared" si="707"/>
        <v>0</v>
      </c>
      <c r="AA717" s="1101">
        <f t="shared" ca="1" si="708"/>
        <v>0.08</v>
      </c>
      <c r="AB717" s="1102">
        <f>VLOOKUP(V717,'System Lookups'!$J$55:$P$64,3)</f>
        <v>0.02</v>
      </c>
      <c r="AC717" s="1103">
        <f>VLOOKUP(V717,'System Lookups'!$J$55:$P$64,4)</f>
        <v>0.03</v>
      </c>
      <c r="AD717" s="1104">
        <f t="shared" si="709"/>
        <v>0</v>
      </c>
      <c r="AE717" s="1094">
        <f>(IF(AD717&gt;VLOOKUP(V717,'System Lookups'!$J$55:$P$63,6),(((AD717-VLOOKUP(V717,'System Lookups'!$J$55:$P$63,6))*100)/20),0))+AF717</f>
        <v>0</v>
      </c>
      <c r="AF717" s="1121"/>
      <c r="AG717" s="1092">
        <f t="shared" si="710"/>
        <v>0</v>
      </c>
      <c r="AH717" s="1092" t="str">
        <f>IF(X717&lt;=Experience!$R$15+1,"","*")</f>
        <v/>
      </c>
      <c r="AI717" s="1092"/>
      <c r="AJ717" s="1080">
        <f t="shared" si="711"/>
        <v>0</v>
      </c>
      <c r="AK717" s="1080">
        <f t="shared" si="663"/>
        <v>0</v>
      </c>
      <c r="AL717" s="1080">
        <f t="shared" si="712"/>
        <v>0</v>
      </c>
      <c r="AM717" s="1092">
        <f t="shared" si="713"/>
        <v>0</v>
      </c>
      <c r="AN717" s="1080">
        <f t="shared" si="714"/>
        <v>1</v>
      </c>
      <c r="AO717" s="1080">
        <f t="shared" si="715"/>
        <v>0</v>
      </c>
      <c r="AP717" s="1080">
        <f t="shared" si="716"/>
        <v>1</v>
      </c>
      <c r="AQ717" s="1027">
        <f>VLOOKUP(V717,'System Lookups'!$J$55:$P$64,7)</f>
        <v>1200</v>
      </c>
      <c r="AR717" s="1080" t="str">
        <f ca="1">IF(AND(NOT(ISBLANK(AJ717)),ISNA(MATCH(ROW(),'System Lookups'!$C$526:$C$539,0))),"Y","N")</f>
        <v>Y</v>
      </c>
      <c r="AS717" s="1080">
        <f t="shared" si="717"/>
        <v>0</v>
      </c>
      <c r="AU717" s="1080" t="e">
        <f t="shared" si="696"/>
        <v>#N/A</v>
      </c>
      <c r="AV717" s="1080" t="str">
        <f t="shared" si="694"/>
        <v>T</v>
      </c>
      <c r="AW717" s="1080">
        <f t="shared" si="697"/>
        <v>0</v>
      </c>
      <c r="AX717" s="1080">
        <f t="shared" si="698"/>
        <v>0</v>
      </c>
      <c r="AY717" s="1080">
        <f t="shared" si="699"/>
        <v>0</v>
      </c>
      <c r="AZ717" s="1080">
        <f t="shared" si="700"/>
        <v>0</v>
      </c>
      <c r="BA717" s="1080">
        <f t="shared" si="701"/>
        <v>0</v>
      </c>
      <c r="BB717" s="1080">
        <f>IF(AND(RACE=1,'Main Creation Page'!$E$6="Well",OR(ISNUMBER(FIND(Experience!$G$11,BE717)),ISNUMBER(FIND(Experience!$G$11,BF717)),ISNUMBER(FIND(Experience!$I$11,BE717)),ISNUMBER(FIND(Experience!$I$11,BF717)))),1,0)</f>
        <v>1</v>
      </c>
      <c r="BC717" s="1080" t="str">
        <f t="shared" si="703"/>
        <v>Hermit</v>
      </c>
      <c r="BE717" s="1080" t="str">
        <f t="shared" si="695"/>
        <v>Lore</v>
      </c>
      <c r="BF717" s="1080" t="str">
        <f t="shared" si="718"/>
        <v>Materia Magica Skills</v>
      </c>
    </row>
    <row r="718" spans="1:58" ht="11.1" hidden="1" customHeight="1" outlineLevel="2">
      <c r="A718" s="1093" t="s">
        <v>4965</v>
      </c>
      <c r="B718" s="1094" t="s">
        <v>1942</v>
      </c>
      <c r="C718" s="1094"/>
      <c r="D718" s="1094"/>
      <c r="E718" s="1095" t="s">
        <v>5224</v>
      </c>
      <c r="F718" s="1147" t="str">
        <f>IF(ISNA(VLOOKUP('Main Creation Page'!$AC$2,Mage_Specialization,2,0)),"N",IF(VLOOKUP('Main Creation Page'!$AC$2,Mage_Specialization,2,0)=$A718,"S","N"))</f>
        <v>N</v>
      </c>
      <c r="G718" s="1096">
        <v>0</v>
      </c>
      <c r="H718" s="1096" t="s">
        <v>5224</v>
      </c>
      <c r="I718" s="1096" t="s">
        <v>5224</v>
      </c>
      <c r="J718" s="1096" t="s">
        <v>5224</v>
      </c>
      <c r="K718" s="1096" t="s">
        <v>5224</v>
      </c>
      <c r="L718" s="1096">
        <v>0</v>
      </c>
      <c r="M718" s="1096" t="s">
        <v>5224</v>
      </c>
      <c r="N718" s="1096" t="s">
        <v>4631</v>
      </c>
      <c r="O718" s="1028"/>
      <c r="P718" s="1028" t="s">
        <v>3612</v>
      </c>
      <c r="Q718" s="1097">
        <f t="shared" ca="1" si="704"/>
        <v>10</v>
      </c>
      <c r="R718" s="1028"/>
      <c r="S718" s="1028" t="s">
        <v>779</v>
      </c>
      <c r="T718" s="1097">
        <f t="shared" ca="1" si="705"/>
        <v>20</v>
      </c>
      <c r="U718" s="1027">
        <v>6</v>
      </c>
      <c r="V718" s="1027">
        <f t="shared" si="706"/>
        <v>7</v>
      </c>
      <c r="W718" s="1098" t="e">
        <f>IF(OR(I718&lt;&gt;"N",E718="C"),IF(AND(N718&lt;&gt;"T",ISNUMBER(FIND("V",I718))),1,0),NA())+IF(H718="Y",IF(AND(N718="P",ISNUMBER(FIND("Z",I718))),2,1),0)+IF(J718="Y",1,0)+IF(K718="Y",3,0)+IF(BE718="Lore",L718*2+Experience!$D$25,0)+IF(M718="Y",1,0)</f>
        <v>#N/A</v>
      </c>
      <c r="X718" s="1099"/>
      <c r="Y718" s="1100">
        <f ca="1">IF(P718="NS",IFERROR(INDIRECT(S718),NA()),VLOOKUP(INDIRECT(P718)+INDIRECT(S718),'System Lookups'!$A$3:$D$146,2))</f>
        <v>0.06</v>
      </c>
      <c r="Z718" s="1100">
        <f t="shared" si="707"/>
        <v>0</v>
      </c>
      <c r="AA718" s="1101">
        <f t="shared" ca="1" si="708"/>
        <v>0.06</v>
      </c>
      <c r="AB718" s="1102">
        <f>VLOOKUP(V718,'System Lookups'!$J$55:$P$64,3)</f>
        <v>0.03</v>
      </c>
      <c r="AC718" s="1103">
        <f>VLOOKUP(V718,'System Lookups'!$J$55:$P$64,4)</f>
        <v>7.0000000000000007E-2</v>
      </c>
      <c r="AD718" s="1104">
        <f t="shared" si="709"/>
        <v>0</v>
      </c>
      <c r="AE718" s="1094">
        <f>(IF(AD718&gt;VLOOKUP(V718,'System Lookups'!$J$55:$P$63,6),(((AD718-VLOOKUP(V718,'System Lookups'!$J$55:$P$63,6))*100)/20),0))+AF718</f>
        <v>0</v>
      </c>
      <c r="AF718" s="1121"/>
      <c r="AG718" s="1092">
        <f t="shared" si="710"/>
        <v>0</v>
      </c>
      <c r="AH718" s="1092" t="str">
        <f>IF(X718&lt;=Experience!$R$15+1,"","*")</f>
        <v/>
      </c>
      <c r="AI718" s="1092"/>
      <c r="AJ718" s="1080">
        <f t="shared" si="711"/>
        <v>0</v>
      </c>
      <c r="AK718" s="1080">
        <f t="shared" si="663"/>
        <v>0</v>
      </c>
      <c r="AL718" s="1080">
        <f t="shared" si="712"/>
        <v>0</v>
      </c>
      <c r="AM718" s="1092">
        <f t="shared" si="713"/>
        <v>0</v>
      </c>
      <c r="AN718" s="1080">
        <f t="shared" si="714"/>
        <v>1</v>
      </c>
      <c r="AO718" s="1080">
        <f t="shared" si="715"/>
        <v>0</v>
      </c>
      <c r="AP718" s="1080">
        <f t="shared" si="716"/>
        <v>1</v>
      </c>
      <c r="AQ718" s="1027">
        <f>VLOOKUP(V718,'System Lookups'!$J$55:$P$64,7)</f>
        <v>1000</v>
      </c>
      <c r="AR718" s="1080" t="str">
        <f ca="1">IF(AND(NOT(ISBLANK(AJ718)),ISNA(MATCH(ROW(),'System Lookups'!$C$526:$C$539,0))),"Y","N")</f>
        <v>Y</v>
      </c>
      <c r="AS718" s="1080">
        <f t="shared" si="717"/>
        <v>0</v>
      </c>
      <c r="AU718" s="1080" t="e">
        <f t="shared" si="696"/>
        <v>#N/A</v>
      </c>
      <c r="AV718" s="1080" t="str">
        <f t="shared" si="694"/>
        <v>T</v>
      </c>
      <c r="AW718" s="1080">
        <f t="shared" si="697"/>
        <v>0</v>
      </c>
      <c r="AX718" s="1080">
        <f t="shared" si="698"/>
        <v>0</v>
      </c>
      <c r="AY718" s="1080">
        <f t="shared" si="699"/>
        <v>0</v>
      </c>
      <c r="AZ718" s="1080">
        <f t="shared" si="700"/>
        <v>0</v>
      </c>
      <c r="BA718" s="1080">
        <f t="shared" si="701"/>
        <v>0</v>
      </c>
      <c r="BB718" s="1080">
        <f>IF(AND(RACE=1,'Main Creation Page'!$E$6="Well",OR(ISNUMBER(FIND(Experience!$G$11,BE718)),ISNUMBER(FIND(Experience!$G$11,BF718)),ISNUMBER(FIND(Experience!$I$11,BE718)),ISNUMBER(FIND(Experience!$I$11,BF718)))),1,0)</f>
        <v>1</v>
      </c>
      <c r="BC718" s="1080" t="str">
        <f t="shared" si="703"/>
        <v>Orphic</v>
      </c>
      <c r="BE718" s="1080" t="str">
        <f t="shared" si="695"/>
        <v>Lore</v>
      </c>
      <c r="BF718" s="1080" t="str">
        <f t="shared" si="718"/>
        <v>Materia Magica Skills</v>
      </c>
    </row>
    <row r="719" spans="1:58" ht="11.1" hidden="1" customHeight="1" outlineLevel="2">
      <c r="A719" s="1028" t="s">
        <v>2740</v>
      </c>
      <c r="B719" s="1094" t="s">
        <v>1942</v>
      </c>
      <c r="C719" s="1094"/>
      <c r="D719" s="1094"/>
      <c r="E719" s="1095" t="s">
        <v>5224</v>
      </c>
      <c r="F719" s="1147" t="str">
        <f>IF(ISNA(VLOOKUP('Main Creation Page'!$AC$2,Mage_Specialization,2,0)),"N",IF(VLOOKUP('Main Creation Page'!$AC$2,Mage_Specialization,2,0)=$A719,"S","N"))</f>
        <v>N</v>
      </c>
      <c r="G719" s="1096">
        <v>0</v>
      </c>
      <c r="H719" s="1096" t="s">
        <v>5224</v>
      </c>
      <c r="I719" s="1096" t="s">
        <v>5224</v>
      </c>
      <c r="J719" s="1096" t="s">
        <v>5224</v>
      </c>
      <c r="K719" s="1096" t="s">
        <v>5224</v>
      </c>
      <c r="L719" s="1096">
        <v>0</v>
      </c>
      <c r="M719" s="1096" t="s">
        <v>5224</v>
      </c>
      <c r="N719" s="1096" t="s">
        <v>4631</v>
      </c>
      <c r="O719" s="1028"/>
      <c r="P719" s="1028" t="s">
        <v>3614</v>
      </c>
      <c r="Q719" s="1097">
        <f t="shared" ca="1" si="704"/>
        <v>15</v>
      </c>
      <c r="R719" s="1028"/>
      <c r="S719" s="1028" t="s">
        <v>779</v>
      </c>
      <c r="T719" s="1097">
        <f t="shared" ca="1" si="705"/>
        <v>20</v>
      </c>
      <c r="U719" s="1027">
        <v>6</v>
      </c>
      <c r="V719" s="1027">
        <f t="shared" si="706"/>
        <v>7</v>
      </c>
      <c r="W719" s="1098" t="e">
        <f>IF(OR(I719&lt;&gt;"N",E719="C"),IF(AND(N719&lt;&gt;"T",ISNUMBER(FIND("V",I719))),1,0),NA())+IF(H719="Y",IF(AND(N719="P",ISNUMBER(FIND("Z",I719))),2,1),0)+IF(J719="Y",1,0)+IF(K719="Y",3,0)+IF(BE719="Lore",L719*2+Experience!$D$25,0)+IF(M719="Y",1,0)</f>
        <v>#N/A</v>
      </c>
      <c r="X719" s="1099"/>
      <c r="Y719" s="1100">
        <f ca="1">IF(P719="NS",IFERROR(INDIRECT(S719),NA()),VLOOKUP(INDIRECT(P719)+INDIRECT(S719),'System Lookups'!$A$3:$D$146,2))</f>
        <v>0.12</v>
      </c>
      <c r="Z719" s="1100">
        <f t="shared" si="707"/>
        <v>0</v>
      </c>
      <c r="AA719" s="1101">
        <f t="shared" ca="1" si="708"/>
        <v>0.12</v>
      </c>
      <c r="AB719" s="1102">
        <f>VLOOKUP(V719,'System Lookups'!$J$55:$P$64,3)</f>
        <v>0.03</v>
      </c>
      <c r="AC719" s="1103">
        <f>VLOOKUP(V719,'System Lookups'!$J$55:$P$64,4)</f>
        <v>7.0000000000000007E-2</v>
      </c>
      <c r="AD719" s="1104">
        <f t="shared" si="709"/>
        <v>0</v>
      </c>
      <c r="AE719" s="1094">
        <f>(IF(AD719&gt;VLOOKUP(V719,'System Lookups'!$J$55:$P$63,6),(((AD719-VLOOKUP(V719,'System Lookups'!$J$55:$P$63,6))*100)/20),0))+AF719</f>
        <v>0</v>
      </c>
      <c r="AF719" s="1121"/>
      <c r="AG719" s="1092">
        <f t="shared" si="710"/>
        <v>0</v>
      </c>
      <c r="AH719" s="1092" t="str">
        <f>IF(X719&lt;=Experience!$R$15+1,"","*")</f>
        <v/>
      </c>
      <c r="AI719" s="1092"/>
      <c r="AJ719" s="1080">
        <f t="shared" si="711"/>
        <v>0</v>
      </c>
      <c r="AK719" s="1080">
        <f t="shared" si="663"/>
        <v>0</v>
      </c>
      <c r="AL719" s="1080">
        <f t="shared" si="712"/>
        <v>0</v>
      </c>
      <c r="AM719" s="1092">
        <f t="shared" si="713"/>
        <v>0</v>
      </c>
      <c r="AN719" s="1080">
        <f t="shared" si="714"/>
        <v>1</v>
      </c>
      <c r="AO719" s="1080">
        <f t="shared" si="715"/>
        <v>0</v>
      </c>
      <c r="AP719" s="1080">
        <f t="shared" si="716"/>
        <v>1</v>
      </c>
      <c r="AQ719" s="1027">
        <f>VLOOKUP(V719,'System Lookups'!$J$55:$P$64,7)</f>
        <v>1000</v>
      </c>
      <c r="AR719" s="1080" t="str">
        <f ca="1">IF(AND(NOT(ISBLANK(AJ719)),ISNA(MATCH(ROW(),'System Lookups'!$C$526:$C$539,0))),"Y","N")</f>
        <v>Y</v>
      </c>
      <c r="AS719" s="1080">
        <f t="shared" si="717"/>
        <v>0</v>
      </c>
      <c r="AU719" s="1080" t="e">
        <f t="shared" si="696"/>
        <v>#N/A</v>
      </c>
      <c r="AV719" s="1080" t="str">
        <f t="shared" si="694"/>
        <v>T</v>
      </c>
      <c r="AW719" s="1080">
        <f t="shared" si="697"/>
        <v>0</v>
      </c>
      <c r="AX719" s="1080">
        <f t="shared" si="698"/>
        <v>0</v>
      </c>
      <c r="AY719" s="1080">
        <f t="shared" si="699"/>
        <v>0</v>
      </c>
      <c r="AZ719" s="1080">
        <f t="shared" si="700"/>
        <v>0</v>
      </c>
      <c r="BA719" s="1080">
        <f t="shared" si="701"/>
        <v>0</v>
      </c>
      <c r="BB719" s="1080">
        <f>IF(AND(RACE=1,'Main Creation Page'!$E$6="Well",OR(ISNUMBER(FIND(Experience!$G$11,BE719)),ISNUMBER(FIND(Experience!$G$11,BF719)),ISNUMBER(FIND(Experience!$I$11,BE719)),ISNUMBER(FIND(Experience!$I$11,BF719)))),1,0)</f>
        <v>1</v>
      </c>
      <c r="BC719" s="1080" t="str">
        <f t="shared" si="703"/>
        <v>Shaman</v>
      </c>
      <c r="BE719" s="1080" t="str">
        <f t="shared" si="695"/>
        <v>Lore</v>
      </c>
      <c r="BF719" s="1080" t="str">
        <f t="shared" si="718"/>
        <v>Materia Magica Skills</v>
      </c>
    </row>
    <row r="720" spans="1:58" ht="11.1" hidden="1" customHeight="1" outlineLevel="2">
      <c r="A720" s="1028" t="s">
        <v>1626</v>
      </c>
      <c r="B720" s="1094" t="s">
        <v>1942</v>
      </c>
      <c r="C720" s="1094"/>
      <c r="D720" s="1094"/>
      <c r="E720" s="1095" t="s">
        <v>5224</v>
      </c>
      <c r="F720" s="1147" t="str">
        <f>IF(ISNA(VLOOKUP('Main Creation Page'!$AC$2,Mage_Specialization,2,0)),"N",IF(VLOOKUP('Main Creation Page'!$AC$2,Mage_Specialization,2,0)=$A720,"S","N"))</f>
        <v>N</v>
      </c>
      <c r="G720" s="1096">
        <v>0</v>
      </c>
      <c r="H720" s="1096" t="s">
        <v>5224</v>
      </c>
      <c r="I720" s="1096" t="s">
        <v>5224</v>
      </c>
      <c r="J720" s="1096" t="s">
        <v>5224</v>
      </c>
      <c r="K720" s="1096" t="s">
        <v>5224</v>
      </c>
      <c r="L720" s="1096">
        <v>0</v>
      </c>
      <c r="M720" s="1096" t="s">
        <v>5224</v>
      </c>
      <c r="N720" s="1096" t="s">
        <v>4631</v>
      </c>
      <c r="O720" s="1028"/>
      <c r="P720" s="1028" t="s">
        <v>780</v>
      </c>
      <c r="Q720" s="1097">
        <f t="shared" ca="1" si="704"/>
        <v>17</v>
      </c>
      <c r="R720" s="1034"/>
      <c r="S720" s="1028" t="s">
        <v>779</v>
      </c>
      <c r="T720" s="1097">
        <f t="shared" ca="1" si="705"/>
        <v>20</v>
      </c>
      <c r="U720" s="1027">
        <v>6</v>
      </c>
      <c r="V720" s="1027">
        <f t="shared" si="706"/>
        <v>7</v>
      </c>
      <c r="W720" s="1098" t="e">
        <f>IF(OR(I720&lt;&gt;"N",E720="C"),IF(AND(N720&lt;&gt;"T",ISNUMBER(FIND("V",I720))),1,0),NA())+IF(H720="Y",IF(AND(N720="P",ISNUMBER(FIND("Z",I720))),2,1),0)+IF(J720="Y",1,0)+IF(K720="Y",3,0)+IF(BE720="Lore",L720*2+Experience!$D$25,0)+IF(M720="Y",1,0)</f>
        <v>#N/A</v>
      </c>
      <c r="X720" s="1099"/>
      <c r="Y720" s="1100">
        <f ca="1">IF(P720="NS",IFERROR(INDIRECT(S720),NA()),VLOOKUP(INDIRECT(P720)+INDIRECT(S720),'System Lookups'!$A$3:$D$146,2))</f>
        <v>0.14000000000000001</v>
      </c>
      <c r="Z720" s="1100">
        <f t="shared" si="707"/>
        <v>0</v>
      </c>
      <c r="AA720" s="1101">
        <f t="shared" ca="1" si="708"/>
        <v>0.14000000000000001</v>
      </c>
      <c r="AB720" s="1102">
        <f>VLOOKUP(V720,'System Lookups'!$J$55:$P$64,3)</f>
        <v>0.03</v>
      </c>
      <c r="AC720" s="1103">
        <f>VLOOKUP(V720,'System Lookups'!$J$55:$P$64,4)</f>
        <v>7.0000000000000007E-2</v>
      </c>
      <c r="AD720" s="1104">
        <f t="shared" si="709"/>
        <v>0</v>
      </c>
      <c r="AE720" s="1094">
        <f>(IF(AD720&gt;VLOOKUP(V720,'System Lookups'!$J$55:$P$63,6),(((AD720-VLOOKUP(V720,'System Lookups'!$J$55:$P$63,6))*100)/20),0))+AF720</f>
        <v>0</v>
      </c>
      <c r="AF720" s="1121"/>
      <c r="AG720" s="1092">
        <f t="shared" si="710"/>
        <v>0</v>
      </c>
      <c r="AH720" s="1092" t="str">
        <f>IF(X720&lt;=Experience!$R$15+1,"","*")</f>
        <v/>
      </c>
      <c r="AI720" s="1092"/>
      <c r="AJ720" s="1080">
        <f t="shared" si="711"/>
        <v>0</v>
      </c>
      <c r="AK720" s="1080">
        <f t="shared" si="663"/>
        <v>0</v>
      </c>
      <c r="AL720" s="1080">
        <f t="shared" si="712"/>
        <v>0</v>
      </c>
      <c r="AM720" s="1092">
        <f t="shared" si="713"/>
        <v>0</v>
      </c>
      <c r="AN720" s="1080">
        <f t="shared" si="714"/>
        <v>1</v>
      </c>
      <c r="AO720" s="1080">
        <f t="shared" si="715"/>
        <v>0</v>
      </c>
      <c r="AP720" s="1080">
        <f t="shared" si="716"/>
        <v>1</v>
      </c>
      <c r="AQ720" s="1027">
        <f>VLOOKUP(V720,'System Lookups'!$J$55:$P$64,7)</f>
        <v>1000</v>
      </c>
      <c r="AR720" s="1080" t="str">
        <f ca="1">IF(AND(NOT(ISBLANK(AJ720)),ISNA(MATCH(ROW(),'System Lookups'!$C$526:$C$539,0))),"Y","N")</f>
        <v>Y</v>
      </c>
      <c r="AS720" s="1080">
        <f t="shared" si="717"/>
        <v>0</v>
      </c>
      <c r="AU720" s="1080" t="e">
        <f t="shared" si="696"/>
        <v>#N/A</v>
      </c>
      <c r="AV720" s="1080" t="str">
        <f t="shared" si="694"/>
        <v>T</v>
      </c>
      <c r="AW720" s="1080">
        <f t="shared" si="697"/>
        <v>0</v>
      </c>
      <c r="AX720" s="1080">
        <f t="shared" si="698"/>
        <v>0</v>
      </c>
      <c r="AY720" s="1080">
        <f t="shared" si="699"/>
        <v>0</v>
      </c>
      <c r="AZ720" s="1080">
        <f t="shared" si="700"/>
        <v>0</v>
      </c>
      <c r="BA720" s="1080">
        <f t="shared" si="701"/>
        <v>0</v>
      </c>
      <c r="BB720" s="1080">
        <f>IF(AND(RACE=1,'Main Creation Page'!$E$6="Well",OR(ISNUMBER(FIND(Experience!$G$11,BE720)),ISNUMBER(FIND(Experience!$G$11,BF720)),ISNUMBER(FIND(Experience!$I$11,BE720)),ISNUMBER(FIND(Experience!$I$11,BF720)))),1,0)</f>
        <v>1</v>
      </c>
      <c r="BC720" s="1080" t="str">
        <f t="shared" si="703"/>
        <v>Witchcraft</v>
      </c>
      <c r="BE720" s="1080" t="str">
        <f t="shared" si="695"/>
        <v>Lore</v>
      </c>
      <c r="BF720" s="1080" t="str">
        <f t="shared" si="718"/>
        <v>Materia Magica Skills</v>
      </c>
    </row>
    <row r="721" spans="1:58" ht="11.1" hidden="1" customHeight="1" outlineLevel="1">
      <c r="A721" s="1115" t="s">
        <v>1097</v>
      </c>
      <c r="B721" s="1094"/>
      <c r="C721" s="1094"/>
      <c r="D721" s="1094"/>
      <c r="F721" s="1027"/>
      <c r="G721" s="1027"/>
      <c r="H721" s="1027"/>
      <c r="I721" s="1027"/>
      <c r="J721" s="1027"/>
      <c r="K721" s="1027"/>
      <c r="L721" s="1027"/>
      <c r="M721" s="1027"/>
      <c r="N721" s="1027"/>
      <c r="O721" s="1027"/>
      <c r="P721" s="1027"/>
      <c r="Q721" s="1027"/>
      <c r="R721" s="1027"/>
      <c r="S721" s="1028"/>
      <c r="T721" s="1028"/>
      <c r="U721" s="1027"/>
      <c r="V721" s="1027"/>
      <c r="W721" s="1028"/>
      <c r="X721" s="1114"/>
      <c r="AE721" s="1094"/>
      <c r="AF721" s="1121"/>
      <c r="AG721" s="1092"/>
      <c r="AH721" s="1092"/>
      <c r="AI721" s="1092"/>
      <c r="AM721" s="1092"/>
      <c r="AR721" s="1080" t="str">
        <f ca="1">IF(AND(NOT(ISBLANK(AJ721)),ISNA(MATCH(ROW(),'System Lookups'!$C$526:$C$539,0))),"Y","N")</f>
        <v>N</v>
      </c>
      <c r="AU721" s="1080" t="e">
        <f t="shared" si="696"/>
        <v>#N/A</v>
      </c>
      <c r="AV721" s="1080" t="str">
        <f t="shared" si="694"/>
        <v/>
      </c>
      <c r="AW721" s="1080">
        <f t="shared" si="697"/>
        <v>0</v>
      </c>
      <c r="AX721" s="1080">
        <f t="shared" si="698"/>
        <v>0</v>
      </c>
      <c r="AY721" s="1080">
        <f t="shared" si="699"/>
        <v>0</v>
      </c>
      <c r="AZ721" s="1080">
        <f t="shared" si="700"/>
        <v>0</v>
      </c>
      <c r="BA721" s="1080">
        <f t="shared" si="701"/>
        <v>0</v>
      </c>
      <c r="BB721" s="1080">
        <f>IF(AND(RACE=1,'Main Creation Page'!$E$6="Well",OR(ISNUMBER(FIND(Experience!$G$11,BE721)),ISNUMBER(FIND(Experience!$G$11,BF721)),ISNUMBER(FIND(Experience!$I$11,BE721)),ISNUMBER(FIND(Experience!$I$11,BF721)))),1,0)</f>
        <v>1</v>
      </c>
      <c r="BC721" s="1080" t="e">
        <f t="shared" si="703"/>
        <v>#N/A</v>
      </c>
      <c r="BE721" s="1080" t="str">
        <f t="shared" si="695"/>
        <v>Lore</v>
      </c>
      <c r="BF721" s="1080" t="str">
        <f t="shared" si="718"/>
        <v>Materia Magica Skills</v>
      </c>
    </row>
    <row r="722" spans="1:58" ht="11.1" hidden="1" customHeight="1" outlineLevel="2">
      <c r="A722" s="1028" t="s">
        <v>1630</v>
      </c>
      <c r="B722" s="1094" t="s">
        <v>1942</v>
      </c>
      <c r="C722" s="1094"/>
      <c r="D722" s="1094"/>
      <c r="E722" s="1095" t="s">
        <v>5224</v>
      </c>
      <c r="F722" s="1095" t="s">
        <v>5224</v>
      </c>
      <c r="G722" s="1096">
        <v>0</v>
      </c>
      <c r="H722" s="1096" t="s">
        <v>5224</v>
      </c>
      <c r="I722" s="1096" t="s">
        <v>5224</v>
      </c>
      <c r="J722" s="1096" t="s">
        <v>5224</v>
      </c>
      <c r="K722" s="1096" t="s">
        <v>5224</v>
      </c>
      <c r="L722" s="1096">
        <v>0</v>
      </c>
      <c r="M722" s="1096" t="s">
        <v>5224</v>
      </c>
      <c r="N722" s="1096" t="s">
        <v>4631</v>
      </c>
      <c r="O722" s="1028"/>
      <c r="P722" s="1028" t="s">
        <v>780</v>
      </c>
      <c r="Q722" s="1097">
        <f t="shared" ref="Q722:Q740" ca="1" si="719">INDIRECT(P722)</f>
        <v>17</v>
      </c>
      <c r="R722" s="1034"/>
      <c r="S722" s="1028" t="s">
        <v>3614</v>
      </c>
      <c r="T722" s="1097">
        <f t="shared" ref="T722:T740" ca="1" si="720">INDIRECT(S722)</f>
        <v>15</v>
      </c>
      <c r="U722" s="1027">
        <v>6</v>
      </c>
      <c r="V722" s="1027">
        <f t="shared" ref="V722:V740" si="721">IF(AP722+U722&gt;10,10,IF(AP722+U722&lt;1,1,AP722+U722))</f>
        <v>7</v>
      </c>
      <c r="W722" s="1098" t="e">
        <f>IF(OR(I722&lt;&gt;"N",E722="C"),IF(AND(N722&lt;&gt;"T",ISNUMBER(FIND("V",I722))),1,0),NA())+IF(H722="Y",IF(AND(N722="P",ISNUMBER(FIND("Z",I722))),2,1),0)+IF(J722="Y",1,0)+IF(K722="Y",3,0)+IF(BE722="Lore",L722*2+Experience!$D$25,0)+IF(M722="Y",1,0)</f>
        <v>#N/A</v>
      </c>
      <c r="X722" s="1099"/>
      <c r="Y722" s="1100">
        <f ca="1">IF(P722="NS",IFERROR(INDIRECT(S722),NA()),VLOOKUP(INDIRECT(P722)+INDIRECT(S722),'System Lookups'!$A$3:$D$146,2))</f>
        <v>0.08</v>
      </c>
      <c r="Z722" s="1100">
        <f t="shared" ref="Z722:Z740" si="722">IF(ISNA(W722),0,W722*0.03)+IF(X722&gt;0,X722*0.03,0)+IF(AND(ISNA(W722),X722&lt;=0),0,IF(G722&gt;0,G722*0.07,0))</f>
        <v>0</v>
      </c>
      <c r="AA722" s="1101">
        <f t="shared" ref="AA722:AA740" ca="1" si="723">IF(ISNA(Y722),0,Y722)+Z722</f>
        <v>0.08</v>
      </c>
      <c r="AB722" s="1102">
        <f>VLOOKUP(V722,'System Lookups'!$J$55:$P$64,3)</f>
        <v>0.03</v>
      </c>
      <c r="AC722" s="1103">
        <f>VLOOKUP(V722,'System Lookups'!$J$55:$P$64,4)</f>
        <v>7.0000000000000007E-2</v>
      </c>
      <c r="AD722" s="1104">
        <f t="shared" ref="AD722:AD740" si="724">IF(AND(ISBLANK(X722),ISNA(W722)),IF(B722="~",0,AB722+AA722+IF(BB722&gt;0,0.05,0)),AA722+AC722+IF(BB722&gt;0,0.05,0))</f>
        <v>0</v>
      </c>
      <c r="AE722" s="1094">
        <f>(IF(AD722&gt;VLOOKUP(V722,'System Lookups'!$J$55:$P$63,6),(((AD722-VLOOKUP(V722,'System Lookups'!$J$55:$P$63,6))*100)/20),0))+AF722</f>
        <v>0</v>
      </c>
      <c r="AF722" s="1121"/>
      <c r="AG722" s="1092">
        <f t="shared" ref="AG722:AG740" si="725">IF(ISBLANK(X722),0,AQ722*X722+IF(ISNA(W722),1,0))</f>
        <v>0</v>
      </c>
      <c r="AH722" s="1092" t="str">
        <f>IF(X722&lt;=Experience!$R$15+1,"","*")</f>
        <v/>
      </c>
      <c r="AI722" s="1092"/>
      <c r="AJ722" s="1080">
        <f t="shared" ref="AJ722:AJ740" si="726">IF(ISNUMBER(FIND("R",F722)),-1,0)</f>
        <v>0</v>
      </c>
      <c r="AK722" s="1080">
        <f t="shared" ref="AK722:AK740" si="727">IF(F722="s",-2,0)</f>
        <v>0</v>
      </c>
      <c r="AL722" s="1080">
        <f t="shared" ref="AL722:AL740" si="728">IF(AND(H722="Y",OR(N722="P",N722="S")),-1,0)</f>
        <v>0</v>
      </c>
      <c r="AM722" s="1092">
        <f>IF(J722="y",1,0)</f>
        <v>0</v>
      </c>
      <c r="AN722" s="1080">
        <f t="shared" ref="AN722:AN740" si="729">IF(N722="P",-1,IF(N722="T",1,0))</f>
        <v>1</v>
      </c>
      <c r="AO722" s="1080">
        <f t="shared" ref="AO722:AO740" si="730">IF(ISNUMBER(FIND("Z",I722)),1,0)</f>
        <v>0</v>
      </c>
      <c r="AP722" s="1080">
        <f t="shared" ref="AP722:AP740" si="731">SUM(AJ722:AN722)-AM722</f>
        <v>1</v>
      </c>
      <c r="AQ722" s="1027">
        <f>VLOOKUP(V722,'System Lookups'!$J$55:$P$64,7)</f>
        <v>1000</v>
      </c>
      <c r="AR722" s="1080" t="str">
        <f ca="1">IF(AND(NOT(ISBLANK(AJ722)),ISNA(MATCH(ROW(),'System Lookups'!$C$526:$C$539,0))),"Y","N")</f>
        <v>Y</v>
      </c>
      <c r="AS722" s="1080">
        <f t="shared" ref="AS722:AS740" si="732">AG722-AI722</f>
        <v>0</v>
      </c>
      <c r="AU722" s="1080" t="e">
        <f t="shared" si="696"/>
        <v>#N/A</v>
      </c>
      <c r="AV722" s="1080" t="str">
        <f t="shared" si="694"/>
        <v>T</v>
      </c>
      <c r="AW722" s="1080">
        <f t="shared" si="697"/>
        <v>0</v>
      </c>
      <c r="AX722" s="1080">
        <f t="shared" si="698"/>
        <v>0</v>
      </c>
      <c r="AY722" s="1080">
        <f t="shared" si="699"/>
        <v>0</v>
      </c>
      <c r="AZ722" s="1080">
        <f t="shared" si="700"/>
        <v>0</v>
      </c>
      <c r="BA722" s="1080">
        <f t="shared" si="701"/>
        <v>0</v>
      </c>
      <c r="BB722" s="1080">
        <f>IF(AND(RACE=1,'Main Creation Page'!$E$6="Well",OR(ISNUMBER(FIND(Experience!$G$11,BE722)),ISNUMBER(FIND(Experience!$G$11,BF722)),ISNUMBER(FIND(Experience!$I$11,BE722)),ISNUMBER(FIND(Experience!$I$11,BF722)))),1,0)</f>
        <v>1</v>
      </c>
      <c r="BC722" s="1080" t="str">
        <f t="shared" si="703"/>
        <v>Method:Arcane</v>
      </c>
      <c r="BD722" s="1080" t="s">
        <v>6180</v>
      </c>
      <c r="BE722" s="1080" t="str">
        <f t="shared" si="695"/>
        <v>Lore</v>
      </c>
      <c r="BF722" s="1080" t="str">
        <f t="shared" si="718"/>
        <v>Materia Magica Skills</v>
      </c>
    </row>
    <row r="723" spans="1:58" ht="11.1" hidden="1" customHeight="1" outlineLevel="2">
      <c r="A723" s="1028" t="s">
        <v>3171</v>
      </c>
      <c r="B723" s="1094" t="s">
        <v>1942</v>
      </c>
      <c r="C723" s="1094"/>
      <c r="D723" s="1094"/>
      <c r="E723" s="1095" t="s">
        <v>5224</v>
      </c>
      <c r="F723" s="1095" t="s">
        <v>5224</v>
      </c>
      <c r="G723" s="1096">
        <v>0</v>
      </c>
      <c r="H723" s="1096" t="s">
        <v>5224</v>
      </c>
      <c r="I723" s="1096" t="s">
        <v>5224</v>
      </c>
      <c r="J723" s="1096" t="s">
        <v>5224</v>
      </c>
      <c r="K723" s="1096" t="s">
        <v>5224</v>
      </c>
      <c r="L723" s="1096">
        <v>0</v>
      </c>
      <c r="M723" s="1096" t="s">
        <v>5224</v>
      </c>
      <c r="N723" s="1096" t="s">
        <v>4631</v>
      </c>
      <c r="O723" s="1028"/>
      <c r="P723" s="1028" t="s">
        <v>780</v>
      </c>
      <c r="Q723" s="1097">
        <f t="shared" ca="1" si="719"/>
        <v>17</v>
      </c>
      <c r="R723" s="1034"/>
      <c r="S723" s="1028" t="s">
        <v>3611</v>
      </c>
      <c r="T723" s="1097">
        <f t="shared" ca="1" si="720"/>
        <v>15</v>
      </c>
      <c r="U723" s="1027">
        <v>5</v>
      </c>
      <c r="V723" s="1027">
        <f t="shared" si="721"/>
        <v>6</v>
      </c>
      <c r="W723" s="1098" t="e">
        <f>IF(OR(I723&lt;&gt;"N",E723="C"),IF(AND(N723&lt;&gt;"T",ISNUMBER(FIND("V",I723))),1,0),NA())+IF(H723="Y",IF(AND(N723="P",ISNUMBER(FIND("Z",I723))),2,1),0)+IF(J723="Y",1,0)+IF(K723="Y",3,0)+IF(BE723="Lore",L723*2+Experience!$D$25,0)+IF(M723="Y",1,0)</f>
        <v>#N/A</v>
      </c>
      <c r="X723" s="1099"/>
      <c r="Y723" s="1100">
        <f ca="1">IF(P723="NS",IFERROR(INDIRECT(S723),NA()),VLOOKUP(INDIRECT(P723)+INDIRECT(S723),'System Lookups'!$A$3:$D$146,2))</f>
        <v>0.08</v>
      </c>
      <c r="Z723" s="1100">
        <f t="shared" si="722"/>
        <v>0</v>
      </c>
      <c r="AA723" s="1101">
        <f t="shared" ca="1" si="723"/>
        <v>0.08</v>
      </c>
      <c r="AB723" s="1102">
        <f>VLOOKUP(V723,'System Lookups'!$J$55:$P$64,3)</f>
        <v>0.05</v>
      </c>
      <c r="AC723" s="1103">
        <f>VLOOKUP(V723,'System Lookups'!$J$55:$P$64,4)</f>
        <v>0.1</v>
      </c>
      <c r="AD723" s="1104">
        <f t="shared" si="724"/>
        <v>0</v>
      </c>
      <c r="AE723" s="1094">
        <f>(IF(AD723&gt;VLOOKUP(V723,'System Lookups'!$J$55:$P$63,6),(((AD723-VLOOKUP(V723,'System Lookups'!$J$55:$P$63,6))*100)/20),0))+AF723</f>
        <v>0</v>
      </c>
      <c r="AF723" s="1121"/>
      <c r="AG723" s="1092">
        <f t="shared" si="725"/>
        <v>0</v>
      </c>
      <c r="AH723" s="1092" t="str">
        <f>IF(X723&lt;=Experience!$R$15+1,"","*")</f>
        <v/>
      </c>
      <c r="AI723" s="1092"/>
      <c r="AJ723" s="1080">
        <f t="shared" si="726"/>
        <v>0</v>
      </c>
      <c r="AK723" s="1080">
        <f t="shared" si="727"/>
        <v>0</v>
      </c>
      <c r="AL723" s="1080">
        <f t="shared" si="728"/>
        <v>0</v>
      </c>
      <c r="AM723" s="1092">
        <f t="shared" ref="AM723:AM740" si="733">IF(J723="y",1,0)</f>
        <v>0</v>
      </c>
      <c r="AN723" s="1080">
        <f t="shared" si="729"/>
        <v>1</v>
      </c>
      <c r="AO723" s="1080">
        <f t="shared" si="730"/>
        <v>0</v>
      </c>
      <c r="AP723" s="1080">
        <f t="shared" si="731"/>
        <v>1</v>
      </c>
      <c r="AQ723" s="1027">
        <f>VLOOKUP(V723,'System Lookups'!$J$55:$P$64,7)</f>
        <v>800</v>
      </c>
      <c r="AR723" s="1080" t="str">
        <f ca="1">IF(AND(NOT(ISBLANK(AJ723)),ISNA(MATCH(ROW(),'System Lookups'!$C$526:$C$539,0))),"Y","N")</f>
        <v>Y</v>
      </c>
      <c r="AS723" s="1080">
        <f t="shared" si="732"/>
        <v>0</v>
      </c>
      <c r="AU723" s="1080" t="e">
        <f t="shared" si="696"/>
        <v>#N/A</v>
      </c>
      <c r="AV723" s="1080" t="str">
        <f t="shared" si="694"/>
        <v>T</v>
      </c>
      <c r="AW723" s="1080">
        <f t="shared" si="697"/>
        <v>0</v>
      </c>
      <c r="AX723" s="1080">
        <f t="shared" si="698"/>
        <v>0</v>
      </c>
      <c r="AY723" s="1080">
        <f t="shared" si="699"/>
        <v>0</v>
      </c>
      <c r="AZ723" s="1080">
        <f t="shared" si="700"/>
        <v>0</v>
      </c>
      <c r="BA723" s="1080">
        <f t="shared" si="701"/>
        <v>0</v>
      </c>
      <c r="BB723" s="1080">
        <f>IF(AND(RACE=1,'Main Creation Page'!$E$6="Well",OR(ISNUMBER(FIND(Experience!$G$11,BE723)),ISNUMBER(FIND(Experience!$G$11,BF723)),ISNUMBER(FIND(Experience!$I$11,BE723)),ISNUMBER(FIND(Experience!$I$11,BF723)))),1,0)</f>
        <v>1</v>
      </c>
      <c r="BC723" s="1080" t="str">
        <f t="shared" si="703"/>
        <v>Basic Magick: Air</v>
      </c>
      <c r="BE723" s="1080" t="str">
        <f t="shared" si="695"/>
        <v>Lore</v>
      </c>
      <c r="BF723" s="1080" t="str">
        <f t="shared" si="718"/>
        <v>Materia Magica Skills</v>
      </c>
    </row>
    <row r="724" spans="1:58" ht="11.1" hidden="1" customHeight="1" outlineLevel="2">
      <c r="A724" s="1028" t="s">
        <v>3172</v>
      </c>
      <c r="B724" s="1094" t="s">
        <v>1942</v>
      </c>
      <c r="C724" s="1094"/>
      <c r="D724" s="1094"/>
      <c r="E724" s="1095" t="s">
        <v>5224</v>
      </c>
      <c r="F724" s="1095" t="s">
        <v>5224</v>
      </c>
      <c r="G724" s="1096">
        <v>0</v>
      </c>
      <c r="H724" s="1096" t="s">
        <v>5224</v>
      </c>
      <c r="I724" s="1096" t="s">
        <v>5224</v>
      </c>
      <c r="J724" s="1096" t="s">
        <v>5224</v>
      </c>
      <c r="K724" s="1096" t="s">
        <v>5224</v>
      </c>
      <c r="L724" s="1096">
        <v>0</v>
      </c>
      <c r="M724" s="1096" t="s">
        <v>5224</v>
      </c>
      <c r="N724" s="1096" t="s">
        <v>4631</v>
      </c>
      <c r="O724" s="1028"/>
      <c r="P724" s="1028" t="s">
        <v>780</v>
      </c>
      <c r="Q724" s="1097">
        <f t="shared" ca="1" si="719"/>
        <v>17</v>
      </c>
      <c r="R724" s="1034"/>
      <c r="S724" s="1028" t="s">
        <v>3614</v>
      </c>
      <c r="T724" s="1097">
        <f t="shared" ca="1" si="720"/>
        <v>15</v>
      </c>
      <c r="U724" s="1027">
        <v>5</v>
      </c>
      <c r="V724" s="1027">
        <f t="shared" si="721"/>
        <v>6</v>
      </c>
      <c r="W724" s="1098" t="e">
        <f>IF(OR(I724&lt;&gt;"N",E724="C"),IF(AND(N724&lt;&gt;"T",ISNUMBER(FIND("V",I724))),1,0),NA())+IF(H724="Y",IF(AND(N724="P",ISNUMBER(FIND("Z",I724))),2,1),0)+IF(J724="Y",1,0)+IF(K724="Y",3,0)+IF(BE724="Lore",L724*2+Experience!$D$25,0)+IF(M724="Y",1,0)</f>
        <v>#N/A</v>
      </c>
      <c r="X724" s="1099"/>
      <c r="Y724" s="1100">
        <f ca="1">IF(P724="NS",IFERROR(INDIRECT(S724),NA()),VLOOKUP(INDIRECT(P724)+INDIRECT(S724),'System Lookups'!$A$3:$D$146,2))</f>
        <v>0.08</v>
      </c>
      <c r="Z724" s="1100">
        <f t="shared" si="722"/>
        <v>0</v>
      </c>
      <c r="AA724" s="1101">
        <f t="shared" ca="1" si="723"/>
        <v>0.08</v>
      </c>
      <c r="AB724" s="1102">
        <f>VLOOKUP(V724,'System Lookups'!$J$55:$P$64,3)</f>
        <v>0.05</v>
      </c>
      <c r="AC724" s="1103">
        <f>VLOOKUP(V724,'System Lookups'!$J$55:$P$64,4)</f>
        <v>0.1</v>
      </c>
      <c r="AD724" s="1104">
        <f t="shared" si="724"/>
        <v>0</v>
      </c>
      <c r="AE724" s="1094">
        <f>(IF(AD724&gt;VLOOKUP(V724,'System Lookups'!$J$55:$P$63,6),(((AD724-VLOOKUP(V724,'System Lookups'!$J$55:$P$63,6))*100)/20),0))+AF724</f>
        <v>0</v>
      </c>
      <c r="AF724" s="1121"/>
      <c r="AG724" s="1092">
        <f t="shared" si="725"/>
        <v>0</v>
      </c>
      <c r="AH724" s="1092" t="str">
        <f>IF(X724&lt;=Experience!$R$15+1,"","*")</f>
        <v/>
      </c>
      <c r="AI724" s="1092"/>
      <c r="AJ724" s="1080">
        <f t="shared" si="726"/>
        <v>0</v>
      </c>
      <c r="AK724" s="1080">
        <f t="shared" si="727"/>
        <v>0</v>
      </c>
      <c r="AL724" s="1080">
        <f t="shared" si="728"/>
        <v>0</v>
      </c>
      <c r="AM724" s="1092">
        <f t="shared" si="733"/>
        <v>0</v>
      </c>
      <c r="AN724" s="1080">
        <f t="shared" si="729"/>
        <v>1</v>
      </c>
      <c r="AO724" s="1080">
        <f t="shared" si="730"/>
        <v>0</v>
      </c>
      <c r="AP724" s="1080">
        <f t="shared" si="731"/>
        <v>1</v>
      </c>
      <c r="AQ724" s="1027">
        <f>VLOOKUP(V724,'System Lookups'!$J$55:$P$64,7)</f>
        <v>800</v>
      </c>
      <c r="AR724" s="1080" t="str">
        <f ca="1">IF(AND(NOT(ISBLANK(AJ724)),ISNA(MATCH(ROW(),'System Lookups'!$C$526:$C$539,0))),"Y","N")</f>
        <v>Y</v>
      </c>
      <c r="AS724" s="1080">
        <f t="shared" si="732"/>
        <v>0</v>
      </c>
      <c r="AU724" s="1080" t="e">
        <f t="shared" si="696"/>
        <v>#N/A</v>
      </c>
      <c r="AV724" s="1080" t="str">
        <f t="shared" si="694"/>
        <v>T</v>
      </c>
      <c r="AW724" s="1080">
        <f t="shared" si="697"/>
        <v>0</v>
      </c>
      <c r="AX724" s="1080">
        <f t="shared" si="698"/>
        <v>0</v>
      </c>
      <c r="AY724" s="1080">
        <f t="shared" si="699"/>
        <v>0</v>
      </c>
      <c r="AZ724" s="1080">
        <f t="shared" si="700"/>
        <v>0</v>
      </c>
      <c r="BA724" s="1080">
        <f t="shared" si="701"/>
        <v>0</v>
      </c>
      <c r="BB724" s="1080">
        <f>IF(AND(RACE=1,'Main Creation Page'!$E$6="Well",OR(ISNUMBER(FIND(Experience!$G$11,BE724)),ISNUMBER(FIND(Experience!$G$11,BF724)),ISNUMBER(FIND(Experience!$I$11,BE724)),ISNUMBER(FIND(Experience!$I$11,BF724)))),1,0)</f>
        <v>1</v>
      </c>
      <c r="BC724" s="1080" t="str">
        <f t="shared" si="703"/>
        <v>Basic Magick: Earth</v>
      </c>
      <c r="BE724" s="1080" t="str">
        <f t="shared" si="695"/>
        <v>Lore</v>
      </c>
      <c r="BF724" s="1080" t="str">
        <f t="shared" si="718"/>
        <v>Materia Magica Skills</v>
      </c>
    </row>
    <row r="725" spans="1:58" ht="11.1" hidden="1" customHeight="1" outlineLevel="2">
      <c r="A725" s="1028" t="s">
        <v>1095</v>
      </c>
      <c r="B725" s="1094" t="s">
        <v>1942</v>
      </c>
      <c r="C725" s="1094"/>
      <c r="D725" s="1094"/>
      <c r="E725" s="1095" t="s">
        <v>5224</v>
      </c>
      <c r="F725" s="1095" t="s">
        <v>5224</v>
      </c>
      <c r="G725" s="1096">
        <v>0</v>
      </c>
      <c r="H725" s="1096" t="s">
        <v>5224</v>
      </c>
      <c r="I725" s="1096" t="s">
        <v>5224</v>
      </c>
      <c r="J725" s="1096" t="s">
        <v>5224</v>
      </c>
      <c r="K725" s="1096" t="s">
        <v>5224</v>
      </c>
      <c r="L725" s="1096">
        <v>0</v>
      </c>
      <c r="M725" s="1096" t="s">
        <v>5224</v>
      </c>
      <c r="N725" s="1096" t="s">
        <v>4631</v>
      </c>
      <c r="O725" s="1028"/>
      <c r="P725" s="1028" t="s">
        <v>780</v>
      </c>
      <c r="Q725" s="1097">
        <f t="shared" ca="1" si="719"/>
        <v>17</v>
      </c>
      <c r="R725" s="1034"/>
      <c r="S725" s="1028" t="s">
        <v>3614</v>
      </c>
      <c r="T725" s="1097">
        <f t="shared" ca="1" si="720"/>
        <v>15</v>
      </c>
      <c r="U725" s="1027">
        <v>5</v>
      </c>
      <c r="V725" s="1027">
        <f t="shared" si="721"/>
        <v>6</v>
      </c>
      <c r="W725" s="1098" t="e">
        <f>IF(OR(I725&lt;&gt;"N",E725="C"),IF(AND(N725&lt;&gt;"T",ISNUMBER(FIND("V",I725))),1,0),NA())+IF(H725="Y",IF(AND(N725="P",ISNUMBER(FIND("Z",I725))),2,1),0)+IF(J725="Y",1,0)+IF(K725="Y",3,0)+IF(BE725="Lore",L725*2+Experience!$D$25,0)+IF(M725="Y",1,0)</f>
        <v>#N/A</v>
      </c>
      <c r="X725" s="1099"/>
      <c r="Y725" s="1100">
        <f ca="1">IF(P725="NS",IFERROR(INDIRECT(S725),NA()),VLOOKUP(INDIRECT(P725)+INDIRECT(S725),'System Lookups'!$A$3:$D$146,2))</f>
        <v>0.08</v>
      </c>
      <c r="Z725" s="1100">
        <f t="shared" si="722"/>
        <v>0</v>
      </c>
      <c r="AA725" s="1101">
        <f t="shared" ca="1" si="723"/>
        <v>0.08</v>
      </c>
      <c r="AB725" s="1102">
        <f>VLOOKUP(V725,'System Lookups'!$J$55:$P$64,3)</f>
        <v>0.05</v>
      </c>
      <c r="AC725" s="1103">
        <f>VLOOKUP(V725,'System Lookups'!$J$55:$P$64,4)</f>
        <v>0.1</v>
      </c>
      <c r="AD725" s="1104">
        <f t="shared" si="724"/>
        <v>0</v>
      </c>
      <c r="AE725" s="1094">
        <f>(IF(AD725&gt;VLOOKUP(V725,'System Lookups'!$J$55:$P$63,6),(((AD725-VLOOKUP(V725,'System Lookups'!$J$55:$P$63,6))*100)/20),0))+AF725</f>
        <v>0</v>
      </c>
      <c r="AF725" s="1121"/>
      <c r="AG725" s="1092">
        <f t="shared" si="725"/>
        <v>0</v>
      </c>
      <c r="AH725" s="1092" t="str">
        <f>IF(X725&lt;=Experience!$R$15+1,"","*")</f>
        <v/>
      </c>
      <c r="AI725" s="1092"/>
      <c r="AJ725" s="1080">
        <f t="shared" si="726"/>
        <v>0</v>
      </c>
      <c r="AK725" s="1080">
        <f t="shared" si="727"/>
        <v>0</v>
      </c>
      <c r="AL725" s="1080">
        <f t="shared" si="728"/>
        <v>0</v>
      </c>
      <c r="AM725" s="1092">
        <f t="shared" si="733"/>
        <v>0</v>
      </c>
      <c r="AN725" s="1080">
        <f t="shared" si="729"/>
        <v>1</v>
      </c>
      <c r="AO725" s="1080">
        <f t="shared" si="730"/>
        <v>0</v>
      </c>
      <c r="AP725" s="1080">
        <f t="shared" si="731"/>
        <v>1</v>
      </c>
      <c r="AQ725" s="1027">
        <f>VLOOKUP(V725,'System Lookups'!$J$55:$P$64,7)</f>
        <v>800</v>
      </c>
      <c r="AR725" s="1080" t="str">
        <f ca="1">IF(AND(NOT(ISBLANK(AJ725)),ISNA(MATCH(ROW(),'System Lookups'!$C$526:$C$539,0))),"Y","N")</f>
        <v>Y</v>
      </c>
      <c r="AS725" s="1080">
        <f t="shared" si="732"/>
        <v>0</v>
      </c>
      <c r="AU725" s="1080" t="e">
        <f t="shared" si="696"/>
        <v>#N/A</v>
      </c>
      <c r="AV725" s="1080" t="str">
        <f t="shared" si="694"/>
        <v>T</v>
      </c>
      <c r="AW725" s="1080">
        <f t="shared" si="697"/>
        <v>0</v>
      </c>
      <c r="AX725" s="1080">
        <f t="shared" si="698"/>
        <v>0</v>
      </c>
      <c r="AY725" s="1080">
        <f t="shared" si="699"/>
        <v>0</v>
      </c>
      <c r="AZ725" s="1080">
        <f t="shared" si="700"/>
        <v>0</v>
      </c>
      <c r="BA725" s="1080">
        <f t="shared" si="701"/>
        <v>0</v>
      </c>
      <c r="BB725" s="1080">
        <f>IF(AND(RACE=1,'Main Creation Page'!$E$6="Well",OR(ISNUMBER(FIND(Experience!$G$11,BE725)),ISNUMBER(FIND(Experience!$G$11,BF725)),ISNUMBER(FIND(Experience!$I$11,BE725)),ISNUMBER(FIND(Experience!$I$11,BF725)))),1,0)</f>
        <v>1</v>
      </c>
      <c r="BC725" s="1080" t="str">
        <f t="shared" si="703"/>
        <v>Basic Magick: Fire</v>
      </c>
      <c r="BE725" s="1080" t="str">
        <f t="shared" si="695"/>
        <v>Lore</v>
      </c>
      <c r="BF725" s="1080" t="str">
        <f t="shared" si="718"/>
        <v>Materia Magica Skills</v>
      </c>
    </row>
    <row r="726" spans="1:58" ht="11.1" hidden="1" customHeight="1" outlineLevel="2">
      <c r="A726" s="1028" t="s">
        <v>1096</v>
      </c>
      <c r="B726" s="1094" t="s">
        <v>1942</v>
      </c>
      <c r="C726" s="1094"/>
      <c r="D726" s="1094"/>
      <c r="E726" s="1095" t="s">
        <v>5224</v>
      </c>
      <c r="F726" s="1095" t="s">
        <v>5224</v>
      </c>
      <c r="G726" s="1096">
        <v>0</v>
      </c>
      <c r="H726" s="1096" t="s">
        <v>5224</v>
      </c>
      <c r="I726" s="1096" t="s">
        <v>5224</v>
      </c>
      <c r="J726" s="1096" t="s">
        <v>5224</v>
      </c>
      <c r="K726" s="1096" t="s">
        <v>5224</v>
      </c>
      <c r="L726" s="1096">
        <v>0</v>
      </c>
      <c r="M726" s="1096" t="s">
        <v>5224</v>
      </c>
      <c r="N726" s="1096" t="s">
        <v>4631</v>
      </c>
      <c r="O726" s="1028"/>
      <c r="P726" s="1028" t="s">
        <v>780</v>
      </c>
      <c r="Q726" s="1097">
        <f t="shared" ca="1" si="719"/>
        <v>17</v>
      </c>
      <c r="R726" s="1034"/>
      <c r="S726" s="1028" t="s">
        <v>3611</v>
      </c>
      <c r="T726" s="1097">
        <f t="shared" ca="1" si="720"/>
        <v>15</v>
      </c>
      <c r="U726" s="1027">
        <v>5</v>
      </c>
      <c r="V726" s="1027">
        <f t="shared" si="721"/>
        <v>6</v>
      </c>
      <c r="W726" s="1098" t="e">
        <f>IF(OR(I726&lt;&gt;"N",E726="C"),IF(AND(N726&lt;&gt;"T",ISNUMBER(FIND("V",I726))),1,0),NA())+IF(H726="Y",IF(AND(N726="P",ISNUMBER(FIND("Z",I726))),2,1),0)+IF(J726="Y",1,0)+IF(K726="Y",3,0)+IF(BE726="Lore",L726*2+Experience!$D$25,0)+IF(M726="Y",1,0)</f>
        <v>#N/A</v>
      </c>
      <c r="X726" s="1099"/>
      <c r="Y726" s="1100">
        <f ca="1">IF(P726="NS",IFERROR(INDIRECT(S726),NA()),VLOOKUP(INDIRECT(P726)+INDIRECT(S726),'System Lookups'!$A$3:$D$146,2))</f>
        <v>0.08</v>
      </c>
      <c r="Z726" s="1100">
        <f t="shared" si="722"/>
        <v>0</v>
      </c>
      <c r="AA726" s="1101">
        <f t="shared" ca="1" si="723"/>
        <v>0.08</v>
      </c>
      <c r="AB726" s="1102">
        <f>VLOOKUP(V726,'System Lookups'!$J$55:$P$64,3)</f>
        <v>0.05</v>
      </c>
      <c r="AC726" s="1103">
        <f>VLOOKUP(V726,'System Lookups'!$J$55:$P$64,4)</f>
        <v>0.1</v>
      </c>
      <c r="AD726" s="1104">
        <f t="shared" si="724"/>
        <v>0</v>
      </c>
      <c r="AE726" s="1094">
        <f>(IF(AD726&gt;VLOOKUP(V726,'System Lookups'!$J$55:$P$63,6),(((AD726-VLOOKUP(V726,'System Lookups'!$J$55:$P$63,6))*100)/20),0))+AF726</f>
        <v>0</v>
      </c>
      <c r="AF726" s="1121"/>
      <c r="AG726" s="1092">
        <f t="shared" si="725"/>
        <v>0</v>
      </c>
      <c r="AH726" s="1092" t="str">
        <f>IF(X726&lt;=Experience!$R$15+1,"","*")</f>
        <v/>
      </c>
      <c r="AI726" s="1092"/>
      <c r="AJ726" s="1080">
        <f t="shared" si="726"/>
        <v>0</v>
      </c>
      <c r="AK726" s="1080">
        <f t="shared" si="727"/>
        <v>0</v>
      </c>
      <c r="AL726" s="1080">
        <f t="shared" si="728"/>
        <v>0</v>
      </c>
      <c r="AM726" s="1092">
        <f t="shared" si="733"/>
        <v>0</v>
      </c>
      <c r="AN726" s="1080">
        <f t="shared" si="729"/>
        <v>1</v>
      </c>
      <c r="AO726" s="1080">
        <f t="shared" si="730"/>
        <v>0</v>
      </c>
      <c r="AP726" s="1080">
        <f t="shared" si="731"/>
        <v>1</v>
      </c>
      <c r="AQ726" s="1027">
        <f>VLOOKUP(V726,'System Lookups'!$J$55:$P$64,7)</f>
        <v>800</v>
      </c>
      <c r="AR726" s="1080" t="str">
        <f ca="1">IF(AND(NOT(ISBLANK(AJ726)),ISNA(MATCH(ROW(),'System Lookups'!$C$526:$C$539,0))),"Y","N")</f>
        <v>Y</v>
      </c>
      <c r="AS726" s="1080">
        <f t="shared" si="732"/>
        <v>0</v>
      </c>
      <c r="AU726" s="1080" t="e">
        <f t="shared" si="696"/>
        <v>#N/A</v>
      </c>
      <c r="AV726" s="1080" t="str">
        <f t="shared" si="694"/>
        <v>T</v>
      </c>
      <c r="AW726" s="1080">
        <f t="shared" si="697"/>
        <v>0</v>
      </c>
      <c r="AX726" s="1080">
        <f t="shared" si="698"/>
        <v>0</v>
      </c>
      <c r="AY726" s="1080">
        <f t="shared" si="699"/>
        <v>0</v>
      </c>
      <c r="AZ726" s="1080">
        <f t="shared" si="700"/>
        <v>0</v>
      </c>
      <c r="BA726" s="1080">
        <f t="shared" si="701"/>
        <v>0</v>
      </c>
      <c r="BB726" s="1080">
        <f>IF(AND(RACE=1,'Main Creation Page'!$E$6="Well",OR(ISNUMBER(FIND(Experience!$G$11,BE726)),ISNUMBER(FIND(Experience!$G$11,BF726)),ISNUMBER(FIND(Experience!$I$11,BE726)),ISNUMBER(FIND(Experience!$I$11,BF726)))),1,0)</f>
        <v>1</v>
      </c>
      <c r="BC726" s="1080" t="str">
        <f t="shared" si="703"/>
        <v>Basic Magick: Water</v>
      </c>
      <c r="BE726" s="1080" t="str">
        <f t="shared" si="695"/>
        <v>Lore</v>
      </c>
      <c r="BF726" s="1080" t="str">
        <f t="shared" si="718"/>
        <v>Materia Magica Skills</v>
      </c>
    </row>
    <row r="727" spans="1:58" ht="11.1" hidden="1" customHeight="1" outlineLevel="3">
      <c r="A727" s="1028" t="s">
        <v>2345</v>
      </c>
      <c r="B727" s="1094" t="s">
        <v>1942</v>
      </c>
      <c r="C727" s="1094"/>
      <c r="D727" s="1094"/>
      <c r="E727" s="1095" t="s">
        <v>5224</v>
      </c>
      <c r="F727" s="1095" t="s">
        <v>5224</v>
      </c>
      <c r="G727" s="1096">
        <v>0</v>
      </c>
      <c r="H727" s="1096" t="s">
        <v>5224</v>
      </c>
      <c r="I727" s="1096" t="s">
        <v>5224</v>
      </c>
      <c r="J727" s="1096" t="s">
        <v>5224</v>
      </c>
      <c r="K727" s="1096" t="s">
        <v>5224</v>
      </c>
      <c r="L727" s="1096">
        <v>0</v>
      </c>
      <c r="M727" s="1096" t="s">
        <v>5224</v>
      </c>
      <c r="N727" s="1096" t="s">
        <v>4631</v>
      </c>
      <c r="O727" s="1028"/>
      <c r="P727" s="1028" t="s">
        <v>3611</v>
      </c>
      <c r="Q727" s="1097">
        <f t="shared" ca="1" si="719"/>
        <v>15</v>
      </c>
      <c r="R727" s="1028"/>
      <c r="S727" s="1028" t="s">
        <v>780</v>
      </c>
      <c r="T727" s="1097">
        <f t="shared" ca="1" si="720"/>
        <v>17</v>
      </c>
      <c r="U727" s="1027">
        <v>7</v>
      </c>
      <c r="V727" s="1027">
        <f t="shared" si="721"/>
        <v>8</v>
      </c>
      <c r="W727" s="1098" t="e">
        <f>IF(OR(I727&lt;&gt;"N",E727="C"),IF(AND(N727&lt;&gt;"T",ISNUMBER(FIND("V",I727))),1,0),NA())+IF(H727="Y",IF(AND(N727="P",ISNUMBER(FIND("Z",I727))),2,1),0)+IF(J727="Y",1,0)+IF(K727="Y",3,0)+IF(BE727="Lore",L727*2+Experience!$D$25,0)+IF(M727="Y",1,0)</f>
        <v>#N/A</v>
      </c>
      <c r="X727" s="1099"/>
      <c r="Y727" s="1100">
        <f ca="1">IF(P727="NS",IFERROR(INDIRECT(S727),NA()),VLOOKUP(INDIRECT(P727)+INDIRECT(S727),'System Lookups'!$A$3:$D$146,2))</f>
        <v>0.08</v>
      </c>
      <c r="Z727" s="1100">
        <f t="shared" si="722"/>
        <v>0</v>
      </c>
      <c r="AA727" s="1101">
        <f t="shared" ca="1" si="723"/>
        <v>0.08</v>
      </c>
      <c r="AB727" s="1102">
        <f>VLOOKUP(V727,'System Lookups'!$J$55:$P$64,3)</f>
        <v>0.02</v>
      </c>
      <c r="AC727" s="1103">
        <f>VLOOKUP(V727,'System Lookups'!$J$55:$P$64,4)</f>
        <v>0.03</v>
      </c>
      <c r="AD727" s="1104">
        <f t="shared" si="724"/>
        <v>0</v>
      </c>
      <c r="AE727" s="1094">
        <f>(IF(AD727&gt;VLOOKUP(V727,'System Lookups'!$J$55:$P$63,6),(((AD727-VLOOKUP(V727,'System Lookups'!$J$55:$P$63,6))*100)/20),0))+AF727</f>
        <v>0</v>
      </c>
      <c r="AF727" s="1121"/>
      <c r="AG727" s="1092">
        <f t="shared" si="725"/>
        <v>0</v>
      </c>
      <c r="AH727" s="1092" t="str">
        <f>IF(X727&lt;=Experience!$R$15+1,"","*")</f>
        <v/>
      </c>
      <c r="AI727" s="1092"/>
      <c r="AJ727" s="1080">
        <f t="shared" si="726"/>
        <v>0</v>
      </c>
      <c r="AK727" s="1080">
        <f t="shared" si="727"/>
        <v>0</v>
      </c>
      <c r="AL727" s="1080">
        <f t="shared" si="728"/>
        <v>0</v>
      </c>
      <c r="AM727" s="1092">
        <f t="shared" si="733"/>
        <v>0</v>
      </c>
      <c r="AN727" s="1080">
        <f t="shared" si="729"/>
        <v>1</v>
      </c>
      <c r="AO727" s="1080">
        <f t="shared" si="730"/>
        <v>0</v>
      </c>
      <c r="AP727" s="1080">
        <f t="shared" si="731"/>
        <v>1</v>
      </c>
      <c r="AQ727" s="1027">
        <f>VLOOKUP(V727,'System Lookups'!$J$55:$P$64,7)</f>
        <v>1200</v>
      </c>
      <c r="AR727" s="1080" t="str">
        <f ca="1">IF(AND(NOT(ISBLANK(AJ727)),ISNA(MATCH(ROW(),'System Lookups'!$C$526:$C$539,0))),"Y","N")</f>
        <v>Y</v>
      </c>
      <c r="AS727" s="1080">
        <f t="shared" si="732"/>
        <v>0</v>
      </c>
      <c r="AU727" s="1080" t="e">
        <f t="shared" si="696"/>
        <v>#N/A</v>
      </c>
      <c r="AV727" s="1080" t="str">
        <f t="shared" si="694"/>
        <v>T</v>
      </c>
      <c r="AW727" s="1080">
        <f t="shared" si="697"/>
        <v>0</v>
      </c>
      <c r="AX727" s="1080">
        <f t="shared" si="698"/>
        <v>0</v>
      </c>
      <c r="AY727" s="1080">
        <f t="shared" si="699"/>
        <v>0</v>
      </c>
      <c r="AZ727" s="1080">
        <f t="shared" si="700"/>
        <v>0</v>
      </c>
      <c r="BA727" s="1080">
        <f t="shared" si="701"/>
        <v>0</v>
      </c>
      <c r="BB727" s="1080">
        <f>IF(AND(RACE=1,'Main Creation Page'!$E$6="Well",OR(ISNUMBER(FIND(Experience!$G$11,BE727)),ISNUMBER(FIND(Experience!$G$11,BF727)),ISNUMBER(FIND(Experience!$I$11,BE727)),ISNUMBER(FIND(Experience!$I$11,BF727)))),1,0)</f>
        <v>1</v>
      </c>
      <c r="BC727" s="1080" t="str">
        <f t="shared" si="703"/>
        <v>Method:Bow</v>
      </c>
      <c r="BD727" s="1080" t="s">
        <v>6180</v>
      </c>
      <c r="BE727" s="1080" t="str">
        <f t="shared" si="695"/>
        <v>Lore</v>
      </c>
      <c r="BF727" s="1080" t="str">
        <f t="shared" si="718"/>
        <v>Materia Magica Skills</v>
      </c>
    </row>
    <row r="728" spans="1:58" ht="11.1" hidden="1" customHeight="1" outlineLevel="2">
      <c r="A728" s="1028" t="s">
        <v>1631</v>
      </c>
      <c r="B728" s="1094" t="s">
        <v>1942</v>
      </c>
      <c r="C728" s="1094"/>
      <c r="D728" s="1094"/>
      <c r="E728" s="1095" t="s">
        <v>5224</v>
      </c>
      <c r="F728" s="1095" t="s">
        <v>5224</v>
      </c>
      <c r="G728" s="1096">
        <v>0</v>
      </c>
      <c r="H728" s="1096" t="s">
        <v>5224</v>
      </c>
      <c r="I728" s="1096" t="s">
        <v>5224</v>
      </c>
      <c r="J728" s="1096" t="s">
        <v>5224</v>
      </c>
      <c r="K728" s="1096" t="s">
        <v>5224</v>
      </c>
      <c r="L728" s="1096">
        <v>0</v>
      </c>
      <c r="M728" s="1096" t="s">
        <v>5224</v>
      </c>
      <c r="N728" s="1096" t="s">
        <v>4631</v>
      </c>
      <c r="O728" s="1028"/>
      <c r="P728" s="1028" t="s">
        <v>780</v>
      </c>
      <c r="Q728" s="1097">
        <f t="shared" ca="1" si="719"/>
        <v>17</v>
      </c>
      <c r="R728" s="1034"/>
      <c r="S728" s="1028" t="s">
        <v>3612</v>
      </c>
      <c r="T728" s="1097">
        <f t="shared" ca="1" si="720"/>
        <v>10</v>
      </c>
      <c r="U728" s="1027">
        <v>5</v>
      </c>
      <c r="V728" s="1027">
        <f t="shared" si="721"/>
        <v>6</v>
      </c>
      <c r="W728" s="1098" t="e">
        <f>IF(OR(I728&lt;&gt;"N",E728="C"),IF(AND(N728&lt;&gt;"T",ISNUMBER(FIND("V",I728))),1,0),NA())+IF(H728="Y",IF(AND(N728="P",ISNUMBER(FIND("Z",I728))),2,1),0)+IF(J728="Y",1,0)+IF(K728="Y",3,0)+IF(BE728="Lore",L728*2+Experience!$D$25,0)+IF(M728="Y",1,0)</f>
        <v>#N/A</v>
      </c>
      <c r="X728" s="1099"/>
      <c r="Y728" s="1100">
        <f ca="1">IF(P728="NS",IFERROR(INDIRECT(S728),NA()),VLOOKUP(INDIRECT(P728)+INDIRECT(S728),'System Lookups'!$A$3:$D$146,2))</f>
        <v>0.04</v>
      </c>
      <c r="Z728" s="1100">
        <f t="shared" si="722"/>
        <v>0</v>
      </c>
      <c r="AA728" s="1101">
        <f t="shared" ca="1" si="723"/>
        <v>0.04</v>
      </c>
      <c r="AB728" s="1102">
        <f>VLOOKUP(V728,'System Lookups'!$J$55:$P$64,3)</f>
        <v>0.05</v>
      </c>
      <c r="AC728" s="1103">
        <f>VLOOKUP(V728,'System Lookups'!$J$55:$P$64,4)</f>
        <v>0.1</v>
      </c>
      <c r="AD728" s="1104">
        <f t="shared" si="724"/>
        <v>0</v>
      </c>
      <c r="AE728" s="1094">
        <f>(IF(AD728&gt;VLOOKUP(V728,'System Lookups'!$J$55:$P$63,6),(((AD728-VLOOKUP(V728,'System Lookups'!$J$55:$P$63,6))*100)/20),0))+AF728</f>
        <v>0</v>
      </c>
      <c r="AF728" s="1121"/>
      <c r="AG728" s="1092">
        <f t="shared" si="725"/>
        <v>0</v>
      </c>
      <c r="AH728" s="1092" t="str">
        <f>IF(X728&lt;=Experience!$R$15+1,"","*")</f>
        <v/>
      </c>
      <c r="AI728" s="1092"/>
      <c r="AJ728" s="1080">
        <f t="shared" si="726"/>
        <v>0</v>
      </c>
      <c r="AK728" s="1080">
        <f t="shared" si="727"/>
        <v>0</v>
      </c>
      <c r="AL728" s="1080">
        <f t="shared" si="728"/>
        <v>0</v>
      </c>
      <c r="AM728" s="1092">
        <f t="shared" si="733"/>
        <v>0</v>
      </c>
      <c r="AN728" s="1080">
        <f t="shared" si="729"/>
        <v>1</v>
      </c>
      <c r="AO728" s="1080">
        <f t="shared" si="730"/>
        <v>0</v>
      </c>
      <c r="AP728" s="1080">
        <f t="shared" si="731"/>
        <v>1</v>
      </c>
      <c r="AQ728" s="1027">
        <f>VLOOKUP(V728,'System Lookups'!$J$55:$P$64,7)</f>
        <v>800</v>
      </c>
      <c r="AR728" s="1080" t="str">
        <f ca="1">IF(AND(NOT(ISBLANK(AJ728)),ISNA(MATCH(ROW(),'System Lookups'!$C$526:$C$539,0))),"Y","N")</f>
        <v>Y</v>
      </c>
      <c r="AS728" s="1080">
        <f t="shared" si="732"/>
        <v>0</v>
      </c>
      <c r="AU728" s="1080" t="e">
        <f t="shared" si="696"/>
        <v>#N/A</v>
      </c>
      <c r="AV728" s="1080" t="str">
        <f t="shared" si="694"/>
        <v>T</v>
      </c>
      <c r="AW728" s="1080">
        <f t="shared" si="697"/>
        <v>0</v>
      </c>
      <c r="AX728" s="1080">
        <f t="shared" si="698"/>
        <v>0</v>
      </c>
      <c r="AY728" s="1080">
        <f t="shared" si="699"/>
        <v>0</v>
      </c>
      <c r="AZ728" s="1080">
        <f t="shared" si="700"/>
        <v>0</v>
      </c>
      <c r="BA728" s="1080">
        <f t="shared" si="701"/>
        <v>0</v>
      </c>
      <c r="BB728" s="1080">
        <f>IF(AND(RACE=1,'Main Creation Page'!$E$6="Well",OR(ISNUMBER(FIND(Experience!$G$11,BE728)),ISNUMBER(FIND(Experience!$G$11,BF728)),ISNUMBER(FIND(Experience!$I$11,BE728)),ISNUMBER(FIND(Experience!$I$11,BF728)))),1,0)</f>
        <v>1</v>
      </c>
      <c r="BC728" s="1080" t="str">
        <f t="shared" si="703"/>
        <v>Method:Command</v>
      </c>
      <c r="BD728" s="1080" t="s">
        <v>6180</v>
      </c>
      <c r="BE728" s="1080" t="str">
        <f t="shared" si="695"/>
        <v>Lore</v>
      </c>
      <c r="BF728" s="1080" t="str">
        <f t="shared" si="718"/>
        <v>Materia Magica Skills</v>
      </c>
    </row>
    <row r="729" spans="1:58" ht="11.1" hidden="1" customHeight="1" outlineLevel="2">
      <c r="A729" s="1107" t="s">
        <v>3657</v>
      </c>
      <c r="B729" s="1094" t="s">
        <v>1942</v>
      </c>
      <c r="C729" s="1094"/>
      <c r="D729" s="1094"/>
      <c r="E729" s="1095" t="s">
        <v>5224</v>
      </c>
      <c r="F729" s="1095" t="s">
        <v>5224</v>
      </c>
      <c r="G729" s="1096">
        <v>0</v>
      </c>
      <c r="H729" s="1096" t="s">
        <v>5224</v>
      </c>
      <c r="I729" s="1096" t="s">
        <v>5224</v>
      </c>
      <c r="J729" s="1096" t="s">
        <v>5224</v>
      </c>
      <c r="K729" s="1096" t="s">
        <v>5224</v>
      </c>
      <c r="L729" s="1096">
        <v>0</v>
      </c>
      <c r="M729" s="1096" t="s">
        <v>5224</v>
      </c>
      <c r="N729" s="1096" t="s">
        <v>4631</v>
      </c>
      <c r="O729" s="1028"/>
      <c r="P729" s="1028" t="s">
        <v>780</v>
      </c>
      <c r="Q729" s="1097">
        <f t="shared" ca="1" si="719"/>
        <v>17</v>
      </c>
      <c r="R729" s="1034"/>
      <c r="S729" s="1028" t="s">
        <v>3616</v>
      </c>
      <c r="T729" s="1097">
        <f t="shared" ca="1" si="720"/>
        <v>17</v>
      </c>
      <c r="U729" s="1027">
        <v>5</v>
      </c>
      <c r="V729" s="1027">
        <f t="shared" si="721"/>
        <v>6</v>
      </c>
      <c r="W729" s="1098" t="e">
        <f>IF(OR(I729&lt;&gt;"N",E729="C"),IF(AND(N729&lt;&gt;"T",ISNUMBER(FIND("V",I729))),1,0),NA())+IF(H729="Y",IF(AND(N729="P",ISNUMBER(FIND("Z",I729))),2,1),0)+IF(J729="Y",1,0)+IF(K729="Y",3,0)+IF(BE729="Lore",L729*2+Experience!$D$25,0)+IF(M729="Y",1,0)</f>
        <v>#N/A</v>
      </c>
      <c r="X729" s="1099"/>
      <c r="Y729" s="1100">
        <f ca="1">IF(P729="NS",IFERROR(INDIRECT(S729),NA()),VLOOKUP(INDIRECT(P729)+INDIRECT(S729),'System Lookups'!$A$3:$D$146,2))</f>
        <v>0.1</v>
      </c>
      <c r="Z729" s="1100">
        <f t="shared" si="722"/>
        <v>0</v>
      </c>
      <c r="AA729" s="1101">
        <f t="shared" ca="1" si="723"/>
        <v>0.1</v>
      </c>
      <c r="AB729" s="1102">
        <f>VLOOKUP(V729,'System Lookups'!$J$55:$P$64,3)</f>
        <v>0.05</v>
      </c>
      <c r="AC729" s="1103">
        <f>VLOOKUP(V729,'System Lookups'!$J$55:$P$64,4)</f>
        <v>0.1</v>
      </c>
      <c r="AD729" s="1104">
        <f t="shared" si="724"/>
        <v>0</v>
      </c>
      <c r="AE729" s="1094">
        <f>(IF(AD729&gt;VLOOKUP(V729,'System Lookups'!$J$55:$P$63,6),(((AD729-VLOOKUP(V729,'System Lookups'!$J$55:$P$63,6))*100)/20),0))+AF729</f>
        <v>0</v>
      </c>
      <c r="AF729" s="1121"/>
      <c r="AG729" s="1092">
        <f t="shared" si="725"/>
        <v>0</v>
      </c>
      <c r="AH729" s="1092" t="str">
        <f>IF(X729&lt;=Experience!$R$15+1,"","*")</f>
        <v/>
      </c>
      <c r="AI729" s="1092"/>
      <c r="AJ729" s="1080">
        <f t="shared" si="726"/>
        <v>0</v>
      </c>
      <c r="AK729" s="1080">
        <f t="shared" si="727"/>
        <v>0</v>
      </c>
      <c r="AL729" s="1080">
        <f t="shared" si="728"/>
        <v>0</v>
      </c>
      <c r="AM729" s="1092">
        <f t="shared" si="733"/>
        <v>0</v>
      </c>
      <c r="AN729" s="1080">
        <f t="shared" si="729"/>
        <v>1</v>
      </c>
      <c r="AO729" s="1080">
        <f t="shared" si="730"/>
        <v>0</v>
      </c>
      <c r="AP729" s="1080">
        <f t="shared" si="731"/>
        <v>1</v>
      </c>
      <c r="AQ729" s="1027">
        <f>VLOOKUP(V729,'System Lookups'!$J$55:$P$64,7)</f>
        <v>800</v>
      </c>
      <c r="AR729" s="1080" t="str">
        <f ca="1">IF(AND(NOT(ISBLANK(AJ729)),ISNA(MATCH(ROW(),'System Lookups'!$C$526:$C$539,0))),"Y","N")</f>
        <v>Y</v>
      </c>
      <c r="AS729" s="1080">
        <f t="shared" si="732"/>
        <v>0</v>
      </c>
      <c r="AU729" s="1080" t="e">
        <f t="shared" si="696"/>
        <v>#N/A</v>
      </c>
      <c r="AV729" s="1080" t="str">
        <f t="shared" si="694"/>
        <v>T</v>
      </c>
      <c r="AW729" s="1080">
        <f t="shared" si="697"/>
        <v>0</v>
      </c>
      <c r="AX729" s="1080">
        <f t="shared" si="698"/>
        <v>0</v>
      </c>
      <c r="AY729" s="1080">
        <f t="shared" si="699"/>
        <v>0</v>
      </c>
      <c r="AZ729" s="1080">
        <f t="shared" si="700"/>
        <v>0</v>
      </c>
      <c r="BA729" s="1080">
        <f t="shared" si="701"/>
        <v>0</v>
      </c>
      <c r="BB729" s="1080">
        <f>IF(AND(RACE=1,'Main Creation Page'!$E$6="Well",OR(ISNUMBER(FIND(Experience!$G$11,BE729)),ISNUMBER(FIND(Experience!$G$11,BF729)),ISNUMBER(FIND(Experience!$I$11,BE729)),ISNUMBER(FIND(Experience!$I$11,BF729)))),1,0)</f>
        <v>1</v>
      </c>
      <c r="BC729" s="1080" t="str">
        <f t="shared" si="703"/>
        <v>Method:Divination</v>
      </c>
      <c r="BD729" s="1080" t="s">
        <v>6180</v>
      </c>
      <c r="BE729" s="1080" t="str">
        <f t="shared" si="695"/>
        <v>Lore</v>
      </c>
      <c r="BF729" s="1080" t="str">
        <f t="shared" si="718"/>
        <v>Materia Magica Skills</v>
      </c>
    </row>
    <row r="730" spans="1:58" ht="11.1" hidden="1" customHeight="1" outlineLevel="3">
      <c r="A730" s="1028" t="s">
        <v>2346</v>
      </c>
      <c r="B730" s="1094" t="s">
        <v>1942</v>
      </c>
      <c r="C730" s="1094"/>
      <c r="D730" s="1094"/>
      <c r="E730" s="1095" t="s">
        <v>5224</v>
      </c>
      <c r="F730" s="1095" t="s">
        <v>5224</v>
      </c>
      <c r="G730" s="1096">
        <v>0</v>
      </c>
      <c r="H730" s="1096" t="s">
        <v>5224</v>
      </c>
      <c r="I730" s="1096" t="s">
        <v>5224</v>
      </c>
      <c r="J730" s="1096" t="s">
        <v>5224</v>
      </c>
      <c r="K730" s="1096" t="s">
        <v>5224</v>
      </c>
      <c r="L730" s="1096">
        <v>0</v>
      </c>
      <c r="M730" s="1096" t="s">
        <v>5224</v>
      </c>
      <c r="N730" s="1096" t="s">
        <v>4631</v>
      </c>
      <c r="O730" s="1028"/>
      <c r="P730" s="1028" t="s">
        <v>3615</v>
      </c>
      <c r="Q730" s="1097">
        <f t="shared" ca="1" si="719"/>
        <v>20</v>
      </c>
      <c r="R730" s="1028"/>
      <c r="S730" s="1028" t="s">
        <v>780</v>
      </c>
      <c r="T730" s="1097">
        <f t="shared" ca="1" si="720"/>
        <v>17</v>
      </c>
      <c r="U730" s="1027">
        <v>7</v>
      </c>
      <c r="V730" s="1027">
        <f t="shared" si="721"/>
        <v>8</v>
      </c>
      <c r="W730" s="1098" t="e">
        <f>IF(OR(I730&lt;&gt;"N",E730="C"),IF(AND(N730&lt;&gt;"T",ISNUMBER(FIND("V",I730))),1,0),NA())+IF(H730="Y",IF(AND(N730="P",ISNUMBER(FIND("Z",I730))),2,1),0)+IF(J730="Y",1,0)+IF(K730="Y",3,0)+IF(BE730="Lore",L730*2+Experience!$D$25,0)+IF(M730="Y",1,0)</f>
        <v>#N/A</v>
      </c>
      <c r="X730" s="1099"/>
      <c r="Y730" s="1100">
        <f ca="1">IF(P730="NS",IFERROR(INDIRECT(S730),NA()),VLOOKUP(INDIRECT(P730)+INDIRECT(S730),'System Lookups'!$A$3:$D$146,2))</f>
        <v>0.14000000000000001</v>
      </c>
      <c r="Z730" s="1100">
        <f t="shared" si="722"/>
        <v>0</v>
      </c>
      <c r="AA730" s="1101">
        <f t="shared" ca="1" si="723"/>
        <v>0.14000000000000001</v>
      </c>
      <c r="AB730" s="1102">
        <f>VLOOKUP(V730,'System Lookups'!$J$55:$P$64,3)</f>
        <v>0.02</v>
      </c>
      <c r="AC730" s="1103">
        <f>VLOOKUP(V730,'System Lookups'!$J$55:$P$64,4)</f>
        <v>0.03</v>
      </c>
      <c r="AD730" s="1104">
        <f t="shared" si="724"/>
        <v>0</v>
      </c>
      <c r="AE730" s="1094">
        <f>(IF(AD730&gt;VLOOKUP(V730,'System Lookups'!$J$55:$P$63,6),(((AD730-VLOOKUP(V730,'System Lookups'!$J$55:$P$63,6))*100)/20),0))+AF730</f>
        <v>0</v>
      </c>
      <c r="AF730" s="1121"/>
      <c r="AG730" s="1092">
        <f t="shared" si="725"/>
        <v>0</v>
      </c>
      <c r="AH730" s="1092" t="str">
        <f>IF(X730&lt;=Experience!$R$15+1,"","*")</f>
        <v/>
      </c>
      <c r="AI730" s="1092"/>
      <c r="AJ730" s="1080">
        <f t="shared" si="726"/>
        <v>0</v>
      </c>
      <c r="AK730" s="1080">
        <f t="shared" si="727"/>
        <v>0</v>
      </c>
      <c r="AL730" s="1080">
        <f t="shared" si="728"/>
        <v>0</v>
      </c>
      <c r="AM730" s="1092">
        <f t="shared" si="733"/>
        <v>0</v>
      </c>
      <c r="AN730" s="1080">
        <f t="shared" si="729"/>
        <v>1</v>
      </c>
      <c r="AO730" s="1080">
        <f t="shared" si="730"/>
        <v>0</v>
      </c>
      <c r="AP730" s="1080">
        <f t="shared" si="731"/>
        <v>1</v>
      </c>
      <c r="AQ730" s="1027">
        <f>VLOOKUP(V730,'System Lookups'!$J$55:$P$64,7)</f>
        <v>1200</v>
      </c>
      <c r="AR730" s="1080" t="str">
        <f ca="1">IF(AND(NOT(ISBLANK(AJ730)),ISNA(MATCH(ROW(),'System Lookups'!$C$526:$C$539,0))),"Y","N")</f>
        <v>Y</v>
      </c>
      <c r="AS730" s="1080">
        <f t="shared" si="732"/>
        <v>0</v>
      </c>
      <c r="AU730" s="1080" t="e">
        <f t="shared" si="696"/>
        <v>#N/A</v>
      </c>
      <c r="AV730" s="1080" t="str">
        <f t="shared" si="694"/>
        <v>T</v>
      </c>
      <c r="AW730" s="1080">
        <f t="shared" si="697"/>
        <v>0</v>
      </c>
      <c r="AX730" s="1080">
        <f t="shared" si="698"/>
        <v>0</v>
      </c>
      <c r="AY730" s="1080">
        <f t="shared" si="699"/>
        <v>0</v>
      </c>
      <c r="AZ730" s="1080">
        <f t="shared" si="700"/>
        <v>0</v>
      </c>
      <c r="BA730" s="1080">
        <f t="shared" si="701"/>
        <v>0</v>
      </c>
      <c r="BB730" s="1080">
        <f>IF(AND(RACE=1,'Main Creation Page'!$E$6="Well",OR(ISNUMBER(FIND(Experience!$G$11,BE730)),ISNUMBER(FIND(Experience!$G$11,BF730)),ISNUMBER(FIND(Experience!$I$11,BE730)),ISNUMBER(FIND(Experience!$I$11,BF730)))),1,0)</f>
        <v>1</v>
      </c>
      <c r="BC730" s="1080" t="str">
        <f t="shared" si="703"/>
        <v>Method:Forge</v>
      </c>
      <c r="BD730" s="1080" t="s">
        <v>6180</v>
      </c>
      <c r="BE730" s="1080" t="str">
        <f t="shared" si="695"/>
        <v>Lore</v>
      </c>
      <c r="BF730" s="1080" t="str">
        <f t="shared" si="718"/>
        <v>Materia Magica Skills</v>
      </c>
    </row>
    <row r="731" spans="1:58" ht="11.1" hidden="1" customHeight="1" outlineLevel="2">
      <c r="A731" s="1028" t="s">
        <v>1632</v>
      </c>
      <c r="B731" s="1094" t="s">
        <v>1942</v>
      </c>
      <c r="C731" s="1094"/>
      <c r="D731" s="1094"/>
      <c r="E731" s="1095" t="s">
        <v>5224</v>
      </c>
      <c r="F731" s="1095" t="s">
        <v>5224</v>
      </c>
      <c r="G731" s="1096">
        <v>0</v>
      </c>
      <c r="H731" s="1096" t="s">
        <v>5224</v>
      </c>
      <c r="I731" s="1096" t="s">
        <v>5224</v>
      </c>
      <c r="J731" s="1096" t="s">
        <v>5224</v>
      </c>
      <c r="K731" s="1096" t="s">
        <v>5224</v>
      </c>
      <c r="L731" s="1096">
        <v>0</v>
      </c>
      <c r="M731" s="1096" t="s">
        <v>5224</v>
      </c>
      <c r="N731" s="1096" t="s">
        <v>4631</v>
      </c>
      <c r="O731" s="1028"/>
      <c r="P731" s="1028" t="s">
        <v>780</v>
      </c>
      <c r="Q731" s="1097">
        <f t="shared" ca="1" si="719"/>
        <v>17</v>
      </c>
      <c r="R731" s="1034"/>
      <c r="S731" s="1028" t="s">
        <v>3616</v>
      </c>
      <c r="T731" s="1097">
        <f t="shared" ca="1" si="720"/>
        <v>17</v>
      </c>
      <c r="U731" s="1027">
        <v>4</v>
      </c>
      <c r="V731" s="1027">
        <f t="shared" si="721"/>
        <v>5</v>
      </c>
      <c r="W731" s="1098" t="e">
        <f>IF(OR(I731&lt;&gt;"N",E731="C"),IF(AND(N731&lt;&gt;"T",ISNUMBER(FIND("V",I731))),1,0),NA())+IF(H731="Y",IF(AND(N731="P",ISNUMBER(FIND("Z",I731))),2,1),0)+IF(J731="Y",1,0)+IF(K731="Y",3,0)+IF(BE731="Lore",L731*2+Experience!$D$25,0)+IF(M731="Y",1,0)</f>
        <v>#N/A</v>
      </c>
      <c r="X731" s="1099"/>
      <c r="Y731" s="1100">
        <f ca="1">IF(P731="NS",IFERROR(INDIRECT(S731),NA()),VLOOKUP(INDIRECT(P731)+INDIRECT(S731),'System Lookups'!$A$3:$D$146,2))</f>
        <v>0.1</v>
      </c>
      <c r="Z731" s="1100">
        <f t="shared" si="722"/>
        <v>0</v>
      </c>
      <c r="AA731" s="1101">
        <f t="shared" ca="1" si="723"/>
        <v>0.1</v>
      </c>
      <c r="AB731" s="1102">
        <f>VLOOKUP(V731,'System Lookups'!$J$55:$P$64,3)</f>
        <v>0.1</v>
      </c>
      <c r="AC731" s="1103">
        <f>VLOOKUP(V731,'System Lookups'!$J$55:$P$64,4)</f>
        <v>0.2</v>
      </c>
      <c r="AD731" s="1104">
        <f t="shared" si="724"/>
        <v>0</v>
      </c>
      <c r="AE731" s="1094">
        <f>(IF(AD731&gt;VLOOKUP(V731,'System Lookups'!$J$55:$P$63,6),(((AD731-VLOOKUP(V731,'System Lookups'!$J$55:$P$63,6))*100)/20),0))+AF731</f>
        <v>0</v>
      </c>
      <c r="AF731" s="1121"/>
      <c r="AG731" s="1092">
        <f t="shared" si="725"/>
        <v>0</v>
      </c>
      <c r="AH731" s="1092" t="str">
        <f>IF(X731&lt;=Experience!$R$15+1,"","*")</f>
        <v/>
      </c>
      <c r="AI731" s="1092"/>
      <c r="AJ731" s="1080">
        <f t="shared" si="726"/>
        <v>0</v>
      </c>
      <c r="AK731" s="1080">
        <f t="shared" si="727"/>
        <v>0</v>
      </c>
      <c r="AL731" s="1080">
        <f t="shared" si="728"/>
        <v>0</v>
      </c>
      <c r="AM731" s="1092">
        <f t="shared" si="733"/>
        <v>0</v>
      </c>
      <c r="AN731" s="1080">
        <f t="shared" si="729"/>
        <v>1</v>
      </c>
      <c r="AO731" s="1080">
        <f t="shared" si="730"/>
        <v>0</v>
      </c>
      <c r="AP731" s="1080">
        <f t="shared" si="731"/>
        <v>1</v>
      </c>
      <c r="AQ731" s="1027">
        <f>VLOOKUP(V731,'System Lookups'!$J$55:$P$64,7)</f>
        <v>700</v>
      </c>
      <c r="AR731" s="1080" t="str">
        <f ca="1">IF(AND(NOT(ISBLANK(AJ731)),ISNA(MATCH(ROW(),'System Lookups'!$C$526:$C$539,0))),"Y","N")</f>
        <v>Y</v>
      </c>
      <c r="AS731" s="1080">
        <f t="shared" si="732"/>
        <v>0</v>
      </c>
      <c r="AU731" s="1080" t="e">
        <f t="shared" si="696"/>
        <v>#N/A</v>
      </c>
      <c r="AV731" s="1080" t="str">
        <f t="shared" si="694"/>
        <v>T</v>
      </c>
      <c r="AW731" s="1080">
        <f t="shared" si="697"/>
        <v>0</v>
      </c>
      <c r="AX731" s="1080">
        <f t="shared" si="698"/>
        <v>0</v>
      </c>
      <c r="AY731" s="1080">
        <f t="shared" si="699"/>
        <v>0</v>
      </c>
      <c r="AZ731" s="1080">
        <f t="shared" si="700"/>
        <v>0</v>
      </c>
      <c r="BA731" s="1080">
        <f t="shared" si="701"/>
        <v>0</v>
      </c>
      <c r="BB731" s="1080">
        <f>IF(AND(RACE=1,'Main Creation Page'!$E$6="Well",OR(ISNUMBER(FIND(Experience!$G$11,BE731)),ISNUMBER(FIND(Experience!$G$11,BF731)),ISNUMBER(FIND(Experience!$I$11,BE731)),ISNUMBER(FIND(Experience!$I$11,BF731)))),1,0)</f>
        <v>1</v>
      </c>
      <c r="BC731" s="1080" t="str">
        <f t="shared" si="703"/>
        <v>Method:Illusion</v>
      </c>
      <c r="BD731" s="1080" t="s">
        <v>6180</v>
      </c>
      <c r="BE731" s="1080" t="str">
        <f t="shared" si="695"/>
        <v>Lore</v>
      </c>
      <c r="BF731" s="1080" t="str">
        <f t="shared" si="718"/>
        <v>Materia Magica Skills</v>
      </c>
    </row>
    <row r="732" spans="1:58" ht="11.1" hidden="1" customHeight="1" outlineLevel="2">
      <c r="A732" s="1107" t="s">
        <v>3466</v>
      </c>
      <c r="B732" s="1094" t="s">
        <v>1942</v>
      </c>
      <c r="C732" s="1094"/>
      <c r="D732" s="1094"/>
      <c r="E732" s="1095" t="s">
        <v>5224</v>
      </c>
      <c r="F732" s="1095" t="s">
        <v>5224</v>
      </c>
      <c r="G732" s="1096">
        <v>0</v>
      </c>
      <c r="H732" s="1096" t="s">
        <v>5224</v>
      </c>
      <c r="I732" s="1096" t="s">
        <v>5224</v>
      </c>
      <c r="J732" s="1096" t="s">
        <v>5224</v>
      </c>
      <c r="K732" s="1096" t="s">
        <v>5224</v>
      </c>
      <c r="L732" s="1096">
        <v>0</v>
      </c>
      <c r="M732" s="1096" t="s">
        <v>5224</v>
      </c>
      <c r="N732" s="1096" t="s">
        <v>4631</v>
      </c>
      <c r="O732" s="1028"/>
      <c r="P732" s="1028" t="s">
        <v>780</v>
      </c>
      <c r="Q732" s="1097">
        <f t="shared" ca="1" si="719"/>
        <v>17</v>
      </c>
      <c r="R732" s="1034"/>
      <c r="S732" s="1028" t="s">
        <v>3613</v>
      </c>
      <c r="T732" s="1097">
        <f t="shared" ca="1" si="720"/>
        <v>15</v>
      </c>
      <c r="U732" s="1027">
        <v>5</v>
      </c>
      <c r="V732" s="1027">
        <f t="shared" si="721"/>
        <v>6</v>
      </c>
      <c r="W732" s="1098" t="e">
        <f>IF(OR(I732&lt;&gt;"N",E732="C"),IF(AND(N732&lt;&gt;"T",ISNUMBER(FIND("V",I732))),1,0),NA())+IF(H732="Y",IF(AND(N732="P",ISNUMBER(FIND("Z",I732))),2,1),0)+IF(J732="Y",1,0)+IF(K732="Y",3,0)+IF(BE732="Lore",L732*2+Experience!$D$25,0)+IF(M732="Y",1,0)</f>
        <v>#N/A</v>
      </c>
      <c r="X732" s="1099"/>
      <c r="Y732" s="1100">
        <f ca="1">IF(P732="NS",IFERROR(INDIRECT(S732),NA()),VLOOKUP(INDIRECT(P732)+INDIRECT(S732),'System Lookups'!$A$3:$D$146,2))</f>
        <v>0.08</v>
      </c>
      <c r="Z732" s="1100">
        <f t="shared" si="722"/>
        <v>0</v>
      </c>
      <c r="AA732" s="1101">
        <f t="shared" ca="1" si="723"/>
        <v>0.08</v>
      </c>
      <c r="AB732" s="1102">
        <f>VLOOKUP(V732,'System Lookups'!$J$55:$P$64,3)</f>
        <v>0.05</v>
      </c>
      <c r="AC732" s="1103">
        <f>VLOOKUP(V732,'System Lookups'!$J$55:$P$64,4)</f>
        <v>0.1</v>
      </c>
      <c r="AD732" s="1104">
        <f t="shared" si="724"/>
        <v>0</v>
      </c>
      <c r="AE732" s="1094">
        <f>(IF(AD732&gt;VLOOKUP(V732,'System Lookups'!$J$55:$P$63,6),(((AD732-VLOOKUP(V732,'System Lookups'!$J$55:$P$63,6))*100)/20),0))+AF732</f>
        <v>0</v>
      </c>
      <c r="AF732" s="1121"/>
      <c r="AG732" s="1092">
        <f t="shared" si="725"/>
        <v>0</v>
      </c>
      <c r="AH732" s="1092" t="str">
        <f>IF(X732&lt;=Experience!$R$15+1,"","*")</f>
        <v/>
      </c>
      <c r="AI732" s="1092"/>
      <c r="AJ732" s="1080">
        <f t="shared" si="726"/>
        <v>0</v>
      </c>
      <c r="AK732" s="1080">
        <f t="shared" si="727"/>
        <v>0</v>
      </c>
      <c r="AL732" s="1080">
        <f t="shared" si="728"/>
        <v>0</v>
      </c>
      <c r="AM732" s="1092">
        <f t="shared" si="733"/>
        <v>0</v>
      </c>
      <c r="AN732" s="1080">
        <f t="shared" si="729"/>
        <v>1</v>
      </c>
      <c r="AO732" s="1080">
        <f t="shared" si="730"/>
        <v>0</v>
      </c>
      <c r="AP732" s="1080">
        <f t="shared" si="731"/>
        <v>1</v>
      </c>
      <c r="AQ732" s="1027">
        <f>VLOOKUP(V732,'System Lookups'!$J$55:$P$64,7)</f>
        <v>800</v>
      </c>
      <c r="AR732" s="1080" t="str">
        <f ca="1">IF(AND(NOT(ISBLANK(AJ732)),ISNA(MATCH(ROW(),'System Lookups'!$C$526:$C$539,0))),"Y","N")</f>
        <v>Y</v>
      </c>
      <c r="AS732" s="1080">
        <f t="shared" si="732"/>
        <v>0</v>
      </c>
      <c r="AU732" s="1080" t="e">
        <f t="shared" si="696"/>
        <v>#N/A</v>
      </c>
      <c r="AV732" s="1080" t="str">
        <f t="shared" si="694"/>
        <v>T</v>
      </c>
      <c r="AW732" s="1080">
        <f t="shared" si="697"/>
        <v>0</v>
      </c>
      <c r="AX732" s="1080">
        <f t="shared" si="698"/>
        <v>0</v>
      </c>
      <c r="AY732" s="1080">
        <f t="shared" si="699"/>
        <v>0</v>
      </c>
      <c r="AZ732" s="1080">
        <f t="shared" si="700"/>
        <v>0</v>
      </c>
      <c r="BA732" s="1080">
        <f t="shared" si="701"/>
        <v>0</v>
      </c>
      <c r="BB732" s="1080">
        <f>IF(AND(RACE=1,'Main Creation Page'!$E$6="Well",OR(ISNUMBER(FIND(Experience!$G$11,BE732)),ISNUMBER(FIND(Experience!$G$11,BF732)),ISNUMBER(FIND(Experience!$I$11,BE732)),ISNUMBER(FIND(Experience!$I$11,BF732)))),1,0)</f>
        <v>1</v>
      </c>
      <c r="BC732" s="1080" t="str">
        <f t="shared" si="703"/>
        <v>Method:Plant</v>
      </c>
      <c r="BD732" s="1080" t="s">
        <v>6180</v>
      </c>
      <c r="BE732" s="1080" t="str">
        <f t="shared" si="695"/>
        <v>Lore</v>
      </c>
      <c r="BF732" s="1080" t="str">
        <f t="shared" si="718"/>
        <v>Materia Magica Skills</v>
      </c>
    </row>
    <row r="733" spans="1:58" ht="11.1" hidden="1" customHeight="1" outlineLevel="3">
      <c r="A733" s="1093" t="s">
        <v>1945</v>
      </c>
      <c r="B733" s="1094" t="s">
        <v>1942</v>
      </c>
      <c r="C733" s="1094"/>
      <c r="D733" s="1094"/>
      <c r="E733" s="1095" t="s">
        <v>5224</v>
      </c>
      <c r="F733" s="1095" t="s">
        <v>5224</v>
      </c>
      <c r="G733" s="1096">
        <v>0</v>
      </c>
      <c r="H733" s="1096" t="s">
        <v>5224</v>
      </c>
      <c r="I733" s="1096" t="s">
        <v>5224</v>
      </c>
      <c r="J733" s="1096" t="s">
        <v>5224</v>
      </c>
      <c r="K733" s="1096" t="s">
        <v>5224</v>
      </c>
      <c r="L733" s="1096">
        <v>0</v>
      </c>
      <c r="M733" s="1096" t="s">
        <v>5224</v>
      </c>
      <c r="N733" s="1096" t="s">
        <v>4631</v>
      </c>
      <c r="O733" s="1028"/>
      <c r="P733" s="1028" t="s">
        <v>3615</v>
      </c>
      <c r="Q733" s="1097">
        <f t="shared" ca="1" si="719"/>
        <v>20</v>
      </c>
      <c r="R733" s="1028"/>
      <c r="S733" s="1028" t="s">
        <v>3613</v>
      </c>
      <c r="T733" s="1097">
        <f t="shared" ca="1" si="720"/>
        <v>15</v>
      </c>
      <c r="U733" s="1027">
        <v>6</v>
      </c>
      <c r="V733" s="1027">
        <f t="shared" si="721"/>
        <v>7</v>
      </c>
      <c r="W733" s="1098" t="e">
        <f>IF(OR(I733&lt;&gt;"N",E733="C"),IF(AND(N733&lt;&gt;"T",ISNUMBER(FIND("V",I733))),1,0),NA())+IF(H733="Y",IF(AND(N733="P",ISNUMBER(FIND("Z",I733))),2,1),0)+IF(J733="Y",1,0)+IF(K733="Y",3,0)+IF(BE733="Lore",L733*2+Experience!$D$25,0)+IF(M733="Y",1,0)</f>
        <v>#N/A</v>
      </c>
      <c r="X733" s="1099"/>
      <c r="Y733" s="1100">
        <f ca="1">IF(P733="NS",IFERROR(INDIRECT(S733),NA()),VLOOKUP(INDIRECT(P733)+INDIRECT(S733),'System Lookups'!$A$3:$D$146,2))</f>
        <v>0.12</v>
      </c>
      <c r="Z733" s="1100">
        <f t="shared" si="722"/>
        <v>0</v>
      </c>
      <c r="AA733" s="1101">
        <f t="shared" ca="1" si="723"/>
        <v>0.12</v>
      </c>
      <c r="AB733" s="1102">
        <f>VLOOKUP(V733,'System Lookups'!$J$55:$P$64,3)</f>
        <v>0.03</v>
      </c>
      <c r="AC733" s="1103">
        <f>VLOOKUP(V733,'System Lookups'!$J$55:$P$64,4)</f>
        <v>7.0000000000000007E-2</v>
      </c>
      <c r="AD733" s="1104">
        <f t="shared" si="724"/>
        <v>0</v>
      </c>
      <c r="AE733" s="1094">
        <f>(IF(AD733&gt;VLOOKUP(V733,'System Lookups'!$J$55:$P$63,6),(((AD733-VLOOKUP(V733,'System Lookups'!$J$55:$P$63,6))*100)/20),0))+AF733</f>
        <v>0</v>
      </c>
      <c r="AF733" s="1121"/>
      <c r="AG733" s="1092">
        <f t="shared" si="725"/>
        <v>0</v>
      </c>
      <c r="AH733" s="1092" t="str">
        <f>IF(X733&lt;=Experience!$R$15+1,"","*")</f>
        <v/>
      </c>
      <c r="AI733" s="1092"/>
      <c r="AJ733" s="1080">
        <f t="shared" si="726"/>
        <v>0</v>
      </c>
      <c r="AK733" s="1080">
        <f t="shared" si="727"/>
        <v>0</v>
      </c>
      <c r="AL733" s="1080">
        <f t="shared" si="728"/>
        <v>0</v>
      </c>
      <c r="AM733" s="1092">
        <f t="shared" si="733"/>
        <v>0</v>
      </c>
      <c r="AN733" s="1080">
        <f t="shared" si="729"/>
        <v>1</v>
      </c>
      <c r="AO733" s="1080">
        <f t="shared" si="730"/>
        <v>0</v>
      </c>
      <c r="AP733" s="1080">
        <f t="shared" si="731"/>
        <v>1</v>
      </c>
      <c r="AQ733" s="1027">
        <f>VLOOKUP(V733,'System Lookups'!$J$55:$P$64,7)</f>
        <v>1000</v>
      </c>
      <c r="AR733" s="1080" t="str">
        <f ca="1">IF(AND(NOT(ISBLANK(AJ733)),ISNA(MATCH(ROW(),'System Lookups'!$C$526:$C$539,0))),"Y","N")</f>
        <v>Y</v>
      </c>
      <c r="AS733" s="1080">
        <f t="shared" si="732"/>
        <v>0</v>
      </c>
      <c r="AU733" s="1080" t="e">
        <f t="shared" si="696"/>
        <v>#N/A</v>
      </c>
      <c r="AV733" s="1080" t="str">
        <f t="shared" si="694"/>
        <v>T</v>
      </c>
      <c r="AW733" s="1080">
        <f t="shared" si="697"/>
        <v>0</v>
      </c>
      <c r="AX733" s="1080">
        <f t="shared" si="698"/>
        <v>0</v>
      </c>
      <c r="AY733" s="1080">
        <f t="shared" si="699"/>
        <v>0</v>
      </c>
      <c r="AZ733" s="1080">
        <f t="shared" si="700"/>
        <v>0</v>
      </c>
      <c r="BA733" s="1080">
        <f t="shared" si="701"/>
        <v>0</v>
      </c>
      <c r="BB733" s="1080">
        <f>IF(AND(RACE=1,'Main Creation Page'!$E$6="Well",OR(ISNUMBER(FIND(Experience!$G$11,BE733)),ISNUMBER(FIND(Experience!$G$11,BF733)),ISNUMBER(FIND(Experience!$I$11,BE733)),ISNUMBER(FIND(Experience!$I$11,BF733)))),1,0)</f>
        <v>1</v>
      </c>
      <c r="BC733" s="1080" t="str">
        <f t="shared" si="703"/>
        <v>Rune Carving in Stone</v>
      </c>
      <c r="BE733" s="1080" t="str">
        <f t="shared" si="695"/>
        <v>Lore</v>
      </c>
      <c r="BF733" s="1080" t="str">
        <f t="shared" si="718"/>
        <v>Materia Magica Skills</v>
      </c>
    </row>
    <row r="734" spans="1:58" ht="11.1" hidden="1" customHeight="1" outlineLevel="3">
      <c r="A734" s="1093" t="s">
        <v>1946</v>
      </c>
      <c r="B734" s="1094" t="s">
        <v>1942</v>
      </c>
      <c r="C734" s="1094"/>
      <c r="D734" s="1094"/>
      <c r="E734" s="1095" t="s">
        <v>5224</v>
      </c>
      <c r="F734" s="1095" t="s">
        <v>5224</v>
      </c>
      <c r="G734" s="1096">
        <v>0</v>
      </c>
      <c r="H734" s="1096" t="s">
        <v>5224</v>
      </c>
      <c r="I734" s="1096" t="s">
        <v>5224</v>
      </c>
      <c r="J734" s="1096" t="s">
        <v>5224</v>
      </c>
      <c r="K734" s="1096" t="s">
        <v>5224</v>
      </c>
      <c r="L734" s="1096">
        <v>0</v>
      </c>
      <c r="M734" s="1096" t="s">
        <v>5224</v>
      </c>
      <c r="N734" s="1096" t="s">
        <v>4631</v>
      </c>
      <c r="O734" s="1028"/>
      <c r="P734" s="1028" t="s">
        <v>3611</v>
      </c>
      <c r="Q734" s="1097">
        <f t="shared" ca="1" si="719"/>
        <v>15</v>
      </c>
      <c r="R734" s="1028"/>
      <c r="S734" s="1028" t="s">
        <v>3613</v>
      </c>
      <c r="T734" s="1097">
        <f t="shared" ca="1" si="720"/>
        <v>15</v>
      </c>
      <c r="U734" s="1027">
        <v>6</v>
      </c>
      <c r="V734" s="1027">
        <f t="shared" si="721"/>
        <v>7</v>
      </c>
      <c r="W734" s="1098" t="e">
        <f>IF(OR(I734&lt;&gt;"N",E734="C"),IF(AND(N734&lt;&gt;"T",ISNUMBER(FIND("V",I734))),1,0),NA())+IF(H734="Y",IF(AND(N734="P",ISNUMBER(FIND("Z",I734))),2,1),0)+IF(J734="Y",1,0)+IF(K734="Y",3,0)+IF(BE734="Lore",L734*2+Experience!$D$25,0)+IF(M734="Y",1,0)</f>
        <v>#N/A</v>
      </c>
      <c r="X734" s="1099"/>
      <c r="Y734" s="1100">
        <f ca="1">IF(P734="NS",IFERROR(INDIRECT(S734),NA()),VLOOKUP(INDIRECT(P734)+INDIRECT(S734),'System Lookups'!$A$3:$D$146,2))</f>
        <v>0.06</v>
      </c>
      <c r="Z734" s="1100">
        <f t="shared" si="722"/>
        <v>0</v>
      </c>
      <c r="AA734" s="1101">
        <f t="shared" ca="1" si="723"/>
        <v>0.06</v>
      </c>
      <c r="AB734" s="1102">
        <f>VLOOKUP(V734,'System Lookups'!$J$55:$P$64,3)</f>
        <v>0.03</v>
      </c>
      <c r="AC734" s="1103">
        <f>VLOOKUP(V734,'System Lookups'!$J$55:$P$64,4)</f>
        <v>7.0000000000000007E-2</v>
      </c>
      <c r="AD734" s="1104">
        <f t="shared" si="724"/>
        <v>0</v>
      </c>
      <c r="AE734" s="1094">
        <f>(IF(AD734&gt;VLOOKUP(V734,'System Lookups'!$J$55:$P$63,6),(((AD734-VLOOKUP(V734,'System Lookups'!$J$55:$P$63,6))*100)/20),0))+AF734</f>
        <v>0</v>
      </c>
      <c r="AF734" s="1121"/>
      <c r="AG734" s="1092">
        <f t="shared" si="725"/>
        <v>0</v>
      </c>
      <c r="AH734" s="1092" t="str">
        <f>IF(X734&lt;=Experience!$R$15+1,"","*")</f>
        <v/>
      </c>
      <c r="AI734" s="1092"/>
      <c r="AJ734" s="1080">
        <f t="shared" si="726"/>
        <v>0</v>
      </c>
      <c r="AK734" s="1080">
        <f t="shared" si="727"/>
        <v>0</v>
      </c>
      <c r="AL734" s="1080">
        <f t="shared" si="728"/>
        <v>0</v>
      </c>
      <c r="AM734" s="1092">
        <f t="shared" si="733"/>
        <v>0</v>
      </c>
      <c r="AN734" s="1080">
        <f t="shared" si="729"/>
        <v>1</v>
      </c>
      <c r="AO734" s="1080">
        <f t="shared" si="730"/>
        <v>0</v>
      </c>
      <c r="AP734" s="1080">
        <f t="shared" si="731"/>
        <v>1</v>
      </c>
      <c r="AQ734" s="1027">
        <f>VLOOKUP(V734,'System Lookups'!$J$55:$P$64,7)</f>
        <v>1000</v>
      </c>
      <c r="AR734" s="1080" t="str">
        <f ca="1">IF(AND(NOT(ISBLANK(AJ734)),ISNA(MATCH(ROW(),'System Lookups'!$C$526:$C$539,0))),"Y","N")</f>
        <v>Y</v>
      </c>
      <c r="AS734" s="1080">
        <f t="shared" si="732"/>
        <v>0</v>
      </c>
      <c r="AU734" s="1080" t="e">
        <f t="shared" si="696"/>
        <v>#N/A</v>
      </c>
      <c r="AV734" s="1080" t="str">
        <f t="shared" si="694"/>
        <v>T</v>
      </c>
      <c r="AW734" s="1080">
        <f t="shared" si="697"/>
        <v>0</v>
      </c>
      <c r="AX734" s="1080">
        <f t="shared" si="698"/>
        <v>0</v>
      </c>
      <c r="AY734" s="1080">
        <f t="shared" si="699"/>
        <v>0</v>
      </c>
      <c r="AZ734" s="1080">
        <f t="shared" si="700"/>
        <v>0</v>
      </c>
      <c r="BA734" s="1080">
        <f t="shared" si="701"/>
        <v>0</v>
      </c>
      <c r="BB734" s="1080">
        <f>IF(AND(RACE=1,'Main Creation Page'!$E$6="Well",OR(ISNUMBER(FIND(Experience!$G$11,BE734)),ISNUMBER(FIND(Experience!$G$11,BF734)),ISNUMBER(FIND(Experience!$I$11,BE734)),ISNUMBER(FIND(Experience!$I$11,BF734)))),1,0)</f>
        <v>1</v>
      </c>
      <c r="BC734" s="1080" t="str">
        <f t="shared" si="703"/>
        <v>Rune Carving in Wood</v>
      </c>
      <c r="BE734" s="1080" t="str">
        <f t="shared" si="695"/>
        <v>Lore</v>
      </c>
      <c r="BF734" s="1080" t="str">
        <f t="shared" si="718"/>
        <v>Materia Magica Skills</v>
      </c>
    </row>
    <row r="735" spans="1:58" ht="11.1" hidden="1" customHeight="1" outlineLevel="3">
      <c r="A735" s="1093" t="s">
        <v>355</v>
      </c>
      <c r="B735" s="1094" t="s">
        <v>1942</v>
      </c>
      <c r="C735" s="1094"/>
      <c r="D735" s="1094"/>
      <c r="E735" s="1095" t="s">
        <v>5224</v>
      </c>
      <c r="F735" s="1095" t="s">
        <v>5224</v>
      </c>
      <c r="G735" s="1096">
        <v>0</v>
      </c>
      <c r="H735" s="1096" t="s">
        <v>5224</v>
      </c>
      <c r="I735" s="1096" t="s">
        <v>5224</v>
      </c>
      <c r="J735" s="1096" t="s">
        <v>5224</v>
      </c>
      <c r="K735" s="1096" t="s">
        <v>5224</v>
      </c>
      <c r="L735" s="1096">
        <v>0</v>
      </c>
      <c r="M735" s="1096" t="s">
        <v>5224</v>
      </c>
      <c r="N735" s="1096" t="s">
        <v>4631</v>
      </c>
      <c r="O735" s="1028"/>
      <c r="P735" s="1028" t="s">
        <v>3612</v>
      </c>
      <c r="Q735" s="1097">
        <f t="shared" ca="1" si="719"/>
        <v>10</v>
      </c>
      <c r="R735" s="1028"/>
      <c r="S735" s="1028" t="s">
        <v>3613</v>
      </c>
      <c r="T735" s="1097">
        <f t="shared" ca="1" si="720"/>
        <v>15</v>
      </c>
      <c r="U735" s="1027">
        <v>6</v>
      </c>
      <c r="V735" s="1027">
        <f t="shared" si="721"/>
        <v>7</v>
      </c>
      <c r="W735" s="1098" t="e">
        <f>IF(OR(I735&lt;&gt;"N",E735="C"),IF(AND(N735&lt;&gt;"T",ISNUMBER(FIND("V",I735))),1,0),NA())+IF(H735="Y",IF(AND(N735="P",ISNUMBER(FIND("Z",I735))),2,1),0)+IF(J735="Y",1,0)+IF(K735="Y",3,0)+IF(BE735="Lore",L735*2+Experience!$D$25,0)+IF(M735="Y",1,0)</f>
        <v>#N/A</v>
      </c>
      <c r="X735" s="1099"/>
      <c r="Y735" s="1100">
        <f ca="1">IF(P735="NS",IFERROR(INDIRECT(S735),NA()),VLOOKUP(INDIRECT(P735)+INDIRECT(S735),'System Lookups'!$A$3:$D$146,2))</f>
        <v>0.02</v>
      </c>
      <c r="Z735" s="1100">
        <f t="shared" si="722"/>
        <v>0</v>
      </c>
      <c r="AA735" s="1101">
        <f t="shared" ca="1" si="723"/>
        <v>0.02</v>
      </c>
      <c r="AB735" s="1102">
        <f>VLOOKUP(V735,'System Lookups'!$J$55:$P$64,3)</f>
        <v>0.03</v>
      </c>
      <c r="AC735" s="1103">
        <f>VLOOKUP(V735,'System Lookups'!$J$55:$P$64,4)</f>
        <v>7.0000000000000007E-2</v>
      </c>
      <c r="AD735" s="1104">
        <f t="shared" si="724"/>
        <v>0</v>
      </c>
      <c r="AE735" s="1094">
        <f>(IF(AD735&gt;VLOOKUP(V735,'System Lookups'!$J$55:$P$63,6),(((AD735-VLOOKUP(V735,'System Lookups'!$J$55:$P$63,6))*100)/20),0))+AF735</f>
        <v>0</v>
      </c>
      <c r="AF735" s="1121"/>
      <c r="AG735" s="1092">
        <f t="shared" si="725"/>
        <v>0</v>
      </c>
      <c r="AH735" s="1092" t="str">
        <f>IF(X735&lt;=Experience!$R$15+1,"","*")</f>
        <v/>
      </c>
      <c r="AI735" s="1092"/>
      <c r="AJ735" s="1080">
        <f t="shared" si="726"/>
        <v>0</v>
      </c>
      <c r="AK735" s="1080">
        <f t="shared" si="727"/>
        <v>0</v>
      </c>
      <c r="AL735" s="1080">
        <f t="shared" si="728"/>
        <v>0</v>
      </c>
      <c r="AM735" s="1092">
        <f t="shared" si="733"/>
        <v>0</v>
      </c>
      <c r="AN735" s="1080">
        <f t="shared" si="729"/>
        <v>1</v>
      </c>
      <c r="AO735" s="1080">
        <f t="shared" si="730"/>
        <v>0</v>
      </c>
      <c r="AP735" s="1080">
        <f t="shared" si="731"/>
        <v>1</v>
      </c>
      <c r="AQ735" s="1027">
        <f>VLOOKUP(V735,'System Lookups'!$J$55:$P$64,7)</f>
        <v>1000</v>
      </c>
      <c r="AR735" s="1080" t="str">
        <f ca="1">IF(AND(NOT(ISBLANK(AJ735)),ISNA(MATCH(ROW(),'System Lookups'!$C$526:$C$539,0))),"Y","N")</f>
        <v>Y</v>
      </c>
      <c r="AS735" s="1080">
        <f t="shared" si="732"/>
        <v>0</v>
      </c>
      <c r="AU735" s="1080" t="e">
        <f t="shared" si="696"/>
        <v>#N/A</v>
      </c>
      <c r="AV735" s="1080" t="str">
        <f t="shared" si="694"/>
        <v>T</v>
      </c>
      <c r="AW735" s="1080">
        <f t="shared" si="697"/>
        <v>0</v>
      </c>
      <c r="AX735" s="1080">
        <f t="shared" si="698"/>
        <v>0</v>
      </c>
      <c r="AY735" s="1080">
        <f t="shared" si="699"/>
        <v>0</v>
      </c>
      <c r="AZ735" s="1080">
        <f t="shared" si="700"/>
        <v>0</v>
      </c>
      <c r="BA735" s="1080">
        <f t="shared" si="701"/>
        <v>0</v>
      </c>
      <c r="BB735" s="1080">
        <f>IF(AND(RACE=1,'Main Creation Page'!$E$6="Well",OR(ISNUMBER(FIND(Experience!$G$11,BE735)),ISNUMBER(FIND(Experience!$G$11,BF735)),ISNUMBER(FIND(Experience!$I$11,BE735)),ISNUMBER(FIND(Experience!$I$11,BF735)))),1,0)</f>
        <v>1</v>
      </c>
      <c r="BC735" s="1080" t="str">
        <f t="shared" si="703"/>
        <v>Rune Chants</v>
      </c>
      <c r="BE735" s="1080" t="str">
        <f t="shared" si="695"/>
        <v>Lore</v>
      </c>
      <c r="BF735" s="1080" t="str">
        <f t="shared" si="718"/>
        <v>Materia Magica Skills</v>
      </c>
    </row>
    <row r="736" spans="1:58" ht="11.1" hidden="1" customHeight="1" outlineLevel="2">
      <c r="A736" s="1107" t="s">
        <v>1633</v>
      </c>
      <c r="B736" s="1094" t="s">
        <v>1942</v>
      </c>
      <c r="C736" s="1094"/>
      <c r="D736" s="1094"/>
      <c r="E736" s="1095" t="s">
        <v>5224</v>
      </c>
      <c r="F736" s="1095" t="s">
        <v>5224</v>
      </c>
      <c r="G736" s="1096">
        <v>0</v>
      </c>
      <c r="H736" s="1096" t="s">
        <v>5224</v>
      </c>
      <c r="I736" s="1096" t="s">
        <v>5224</v>
      </c>
      <c r="J736" s="1096" t="s">
        <v>5224</v>
      </c>
      <c r="K736" s="1096" t="s">
        <v>5224</v>
      </c>
      <c r="L736" s="1096">
        <v>0</v>
      </c>
      <c r="M736" s="1096" t="s">
        <v>5224</v>
      </c>
      <c r="N736" s="1096" t="s">
        <v>4631</v>
      </c>
      <c r="O736" s="1028"/>
      <c r="P736" s="1028" t="s">
        <v>780</v>
      </c>
      <c r="Q736" s="1097">
        <f t="shared" ca="1" si="719"/>
        <v>17</v>
      </c>
      <c r="R736" s="1034"/>
      <c r="S736" s="1028" t="s">
        <v>3614</v>
      </c>
      <c r="T736" s="1097">
        <f t="shared" ca="1" si="720"/>
        <v>15</v>
      </c>
      <c r="U736" s="1027">
        <v>5</v>
      </c>
      <c r="V736" s="1027">
        <f t="shared" si="721"/>
        <v>6</v>
      </c>
      <c r="W736" s="1098" t="e">
        <f>IF(OR(I736&lt;&gt;"N",E736="C"),IF(AND(N736&lt;&gt;"T",ISNUMBER(FIND("V",I736))),1,0),NA())+IF(H736="Y",IF(AND(N736="P",ISNUMBER(FIND("Z",I736))),2,1),0)+IF(J736="Y",1,0)+IF(K736="Y",3,0)+IF(BE736="Lore",L736*2+Experience!$D$25,0)+IF(M736="Y",1,0)</f>
        <v>#N/A</v>
      </c>
      <c r="X736" s="1099"/>
      <c r="Y736" s="1100">
        <f ca="1">IF(P736="NS",IFERROR(INDIRECT(S736),NA()),VLOOKUP(INDIRECT(P736)+INDIRECT(S736),'System Lookups'!$A$3:$D$146,2))</f>
        <v>0.08</v>
      </c>
      <c r="Z736" s="1100">
        <f t="shared" si="722"/>
        <v>0</v>
      </c>
      <c r="AA736" s="1101">
        <f t="shared" ca="1" si="723"/>
        <v>0.08</v>
      </c>
      <c r="AB736" s="1102">
        <f>VLOOKUP(V736,'System Lookups'!$J$55:$P$64,3)</f>
        <v>0.05</v>
      </c>
      <c r="AC736" s="1103">
        <f>VLOOKUP(V736,'System Lookups'!$J$55:$P$64,4)</f>
        <v>0.1</v>
      </c>
      <c r="AD736" s="1104">
        <f t="shared" si="724"/>
        <v>0</v>
      </c>
      <c r="AE736" s="1094">
        <f>(IF(AD736&gt;VLOOKUP(V736,'System Lookups'!$J$55:$P$63,6),(((AD736-VLOOKUP(V736,'System Lookups'!$J$55:$P$63,6))*100)/20),0))+AF736</f>
        <v>0</v>
      </c>
      <c r="AF736" s="1121"/>
      <c r="AG736" s="1092">
        <f t="shared" si="725"/>
        <v>0</v>
      </c>
      <c r="AH736" s="1092" t="str">
        <f>IF(X736&lt;=Experience!$R$15+1,"","*")</f>
        <v/>
      </c>
      <c r="AI736" s="1092"/>
      <c r="AJ736" s="1080">
        <f t="shared" si="726"/>
        <v>0</v>
      </c>
      <c r="AK736" s="1080">
        <f t="shared" si="727"/>
        <v>0</v>
      </c>
      <c r="AL736" s="1080">
        <f t="shared" si="728"/>
        <v>0</v>
      </c>
      <c r="AM736" s="1092">
        <f t="shared" si="733"/>
        <v>0</v>
      </c>
      <c r="AN736" s="1080">
        <f t="shared" si="729"/>
        <v>1</v>
      </c>
      <c r="AO736" s="1080">
        <f t="shared" si="730"/>
        <v>0</v>
      </c>
      <c r="AP736" s="1080">
        <f t="shared" si="731"/>
        <v>1</v>
      </c>
      <c r="AQ736" s="1027">
        <f>VLOOKUP(V736,'System Lookups'!$J$55:$P$64,7)</f>
        <v>800</v>
      </c>
      <c r="AR736" s="1080" t="str">
        <f ca="1">IF(AND(NOT(ISBLANK(AJ736)),ISNA(MATCH(ROW(),'System Lookups'!$C$526:$C$539,0))),"Y","N")</f>
        <v>Y</v>
      </c>
      <c r="AS736" s="1080">
        <f t="shared" si="732"/>
        <v>0</v>
      </c>
      <c r="AU736" s="1080" t="e">
        <f t="shared" si="696"/>
        <v>#N/A</v>
      </c>
      <c r="AV736" s="1080" t="str">
        <f t="shared" si="694"/>
        <v>T</v>
      </c>
      <c r="AW736" s="1080">
        <f t="shared" si="697"/>
        <v>0</v>
      </c>
      <c r="AX736" s="1080">
        <f t="shared" si="698"/>
        <v>0</v>
      </c>
      <c r="AY736" s="1080">
        <f t="shared" si="699"/>
        <v>0</v>
      </c>
      <c r="AZ736" s="1080">
        <f t="shared" si="700"/>
        <v>0</v>
      </c>
      <c r="BA736" s="1080">
        <f t="shared" si="701"/>
        <v>0</v>
      </c>
      <c r="BB736" s="1080">
        <f>IF(AND(RACE=1,'Main Creation Page'!$E$6="Well",OR(ISNUMBER(FIND(Experience!$G$11,BE736)),ISNUMBER(FIND(Experience!$G$11,BF736)),ISNUMBER(FIND(Experience!$I$11,BE736)),ISNUMBER(FIND(Experience!$I$11,BF736)))),1,0)</f>
        <v>1</v>
      </c>
      <c r="BC736" s="1080" t="str">
        <f t="shared" si="703"/>
        <v>Method:Summoning</v>
      </c>
      <c r="BD736" s="1080" t="s">
        <v>6180</v>
      </c>
      <c r="BE736" s="1080" t="str">
        <f t="shared" si="695"/>
        <v>Lore</v>
      </c>
      <c r="BF736" s="1080" t="str">
        <f t="shared" si="718"/>
        <v>Materia Magica Skills</v>
      </c>
    </row>
    <row r="737" spans="1:58" ht="11.1" hidden="1" customHeight="1" outlineLevel="2">
      <c r="A737" s="1028" t="s">
        <v>1634</v>
      </c>
      <c r="B737" s="1094" t="s">
        <v>1942</v>
      </c>
      <c r="C737" s="1094"/>
      <c r="D737" s="1094"/>
      <c r="E737" s="1095" t="s">
        <v>5224</v>
      </c>
      <c r="F737" s="1095" t="s">
        <v>5224</v>
      </c>
      <c r="G737" s="1096">
        <v>0</v>
      </c>
      <c r="H737" s="1096" t="s">
        <v>5224</v>
      </c>
      <c r="I737" s="1096" t="s">
        <v>5224</v>
      </c>
      <c r="J737" s="1096" t="s">
        <v>5224</v>
      </c>
      <c r="K737" s="1096" t="s">
        <v>5224</v>
      </c>
      <c r="L737" s="1096">
        <v>0</v>
      </c>
      <c r="M737" s="1096" t="s">
        <v>5224</v>
      </c>
      <c r="N737" s="1096" t="s">
        <v>4631</v>
      </c>
      <c r="O737" s="1028"/>
      <c r="P737" s="1028" t="s">
        <v>780</v>
      </c>
      <c r="Q737" s="1097">
        <f t="shared" ca="1" si="719"/>
        <v>17</v>
      </c>
      <c r="R737" s="1034"/>
      <c r="S737" s="1028" t="s">
        <v>3613</v>
      </c>
      <c r="T737" s="1097">
        <f t="shared" ca="1" si="720"/>
        <v>15</v>
      </c>
      <c r="U737" s="1027">
        <v>5</v>
      </c>
      <c r="V737" s="1027">
        <f t="shared" si="721"/>
        <v>6</v>
      </c>
      <c r="W737" s="1098" t="e">
        <f>IF(OR(I737&lt;&gt;"N",E737="C"),IF(AND(N737&lt;&gt;"T",ISNUMBER(FIND("V",I737))),1,0),NA())+IF(H737="Y",IF(AND(N737="P",ISNUMBER(FIND("Z",I737))),2,1),0)+IF(J737="Y",1,0)+IF(K737="Y",3,0)+IF(BE737="Lore",L737*2+Experience!$D$25,0)+IF(M737="Y",1,0)</f>
        <v>#N/A</v>
      </c>
      <c r="X737" s="1099"/>
      <c r="Y737" s="1100">
        <f ca="1">IF(P737="NS",IFERROR(INDIRECT(S737),NA()),VLOOKUP(INDIRECT(P737)+INDIRECT(S737),'System Lookups'!$A$3:$D$146,2))</f>
        <v>0.08</v>
      </c>
      <c r="Z737" s="1100">
        <f t="shared" si="722"/>
        <v>0</v>
      </c>
      <c r="AA737" s="1101">
        <f t="shared" ca="1" si="723"/>
        <v>0.08</v>
      </c>
      <c r="AB737" s="1102">
        <f>VLOOKUP(V737,'System Lookups'!$J$55:$P$64,3)</f>
        <v>0.05</v>
      </c>
      <c r="AC737" s="1103">
        <f>VLOOKUP(V737,'System Lookups'!$J$55:$P$64,4)</f>
        <v>0.1</v>
      </c>
      <c r="AD737" s="1104">
        <f t="shared" si="724"/>
        <v>0</v>
      </c>
      <c r="AE737" s="1094">
        <f>(IF(AD737&gt;VLOOKUP(V737,'System Lookups'!$J$55:$P$63,6),(((AD737-VLOOKUP(V737,'System Lookups'!$J$55:$P$63,6))*100)/20),0))+AF737</f>
        <v>0</v>
      </c>
      <c r="AF737" s="1121"/>
      <c r="AG737" s="1092">
        <f t="shared" si="725"/>
        <v>0</v>
      </c>
      <c r="AH737" s="1092" t="str">
        <f>IF(X737&lt;=Experience!$R$15+1,"","*")</f>
        <v/>
      </c>
      <c r="AI737" s="1092"/>
      <c r="AJ737" s="1080">
        <f t="shared" si="726"/>
        <v>0</v>
      </c>
      <c r="AK737" s="1080">
        <f t="shared" si="727"/>
        <v>0</v>
      </c>
      <c r="AL737" s="1080">
        <f t="shared" si="728"/>
        <v>0</v>
      </c>
      <c r="AM737" s="1092">
        <f t="shared" si="733"/>
        <v>0</v>
      </c>
      <c r="AN737" s="1080">
        <f t="shared" si="729"/>
        <v>1</v>
      </c>
      <c r="AO737" s="1080">
        <f t="shared" si="730"/>
        <v>0</v>
      </c>
      <c r="AP737" s="1080">
        <f t="shared" si="731"/>
        <v>1</v>
      </c>
      <c r="AQ737" s="1027">
        <f>VLOOKUP(V737,'System Lookups'!$J$55:$P$64,7)</f>
        <v>800</v>
      </c>
      <c r="AR737" s="1080" t="str">
        <f ca="1">IF(AND(NOT(ISBLANK(AJ737)),ISNA(MATCH(ROW(),'System Lookups'!$C$526:$C$539,0))),"Y","N")</f>
        <v>Y</v>
      </c>
      <c r="AS737" s="1080">
        <f t="shared" si="732"/>
        <v>0</v>
      </c>
      <c r="AU737" s="1080" t="e">
        <f t="shared" si="696"/>
        <v>#N/A</v>
      </c>
      <c r="AV737" s="1080" t="str">
        <f t="shared" si="694"/>
        <v>T</v>
      </c>
      <c r="AW737" s="1080">
        <f t="shared" si="697"/>
        <v>0</v>
      </c>
      <c r="AX737" s="1080">
        <f t="shared" si="698"/>
        <v>0</v>
      </c>
      <c r="AY737" s="1080">
        <f t="shared" si="699"/>
        <v>0</v>
      </c>
      <c r="AZ737" s="1080">
        <f t="shared" si="700"/>
        <v>0</v>
      </c>
      <c r="BA737" s="1080">
        <f t="shared" si="701"/>
        <v>0</v>
      </c>
      <c r="BB737" s="1080">
        <f>IF(AND(RACE=1,'Main Creation Page'!$E$6="Well",OR(ISNUMBER(FIND(Experience!$G$11,BE737)),ISNUMBER(FIND(Experience!$G$11,BF737)),ISNUMBER(FIND(Experience!$I$11,BE737)),ISNUMBER(FIND(Experience!$I$11,BF737)))),1,0)</f>
        <v>1</v>
      </c>
      <c r="BC737" s="1080" t="str">
        <f t="shared" si="703"/>
        <v>Method:Transcendental</v>
      </c>
      <c r="BD737" s="1080" t="s">
        <v>6180</v>
      </c>
      <c r="BE737" s="1080" t="str">
        <f t="shared" si="695"/>
        <v>Lore</v>
      </c>
      <c r="BF737" s="1080" t="str">
        <f t="shared" si="718"/>
        <v>Materia Magica Skills</v>
      </c>
    </row>
    <row r="738" spans="1:58" ht="11.1" hidden="1" customHeight="1" outlineLevel="2">
      <c r="A738" s="1028" t="s">
        <v>1635</v>
      </c>
      <c r="B738" s="1094" t="s">
        <v>1942</v>
      </c>
      <c r="C738" s="1094"/>
      <c r="D738" s="1094"/>
      <c r="E738" s="1095" t="s">
        <v>5224</v>
      </c>
      <c r="F738" s="1095" t="s">
        <v>5224</v>
      </c>
      <c r="G738" s="1096">
        <v>0</v>
      </c>
      <c r="H738" s="1096" t="s">
        <v>5224</v>
      </c>
      <c r="I738" s="1096" t="s">
        <v>5224</v>
      </c>
      <c r="J738" s="1096" t="s">
        <v>5224</v>
      </c>
      <c r="K738" s="1096" t="s">
        <v>5224</v>
      </c>
      <c r="L738" s="1096">
        <v>0</v>
      </c>
      <c r="M738" s="1096" t="s">
        <v>5224</v>
      </c>
      <c r="N738" s="1096" t="s">
        <v>4631</v>
      </c>
      <c r="O738" s="1028"/>
      <c r="P738" s="1028" t="s">
        <v>780</v>
      </c>
      <c r="Q738" s="1097">
        <f t="shared" ca="1" si="719"/>
        <v>17</v>
      </c>
      <c r="R738" s="1034"/>
      <c r="S738" s="1028" t="s">
        <v>3614</v>
      </c>
      <c r="T738" s="1097">
        <f t="shared" ca="1" si="720"/>
        <v>15</v>
      </c>
      <c r="U738" s="1027">
        <v>5</v>
      </c>
      <c r="V738" s="1027">
        <f t="shared" si="721"/>
        <v>6</v>
      </c>
      <c r="W738" s="1098" t="e">
        <f>IF(OR(I738&lt;&gt;"N",E738="C"),IF(AND(N738&lt;&gt;"T",ISNUMBER(FIND("V",I738))),1,0),NA())+IF(H738="Y",IF(AND(N738="P",ISNUMBER(FIND("Z",I738))),2,1),0)+IF(J738="Y",1,0)+IF(K738="Y",3,0)+IF(BE738="Lore",L738*2+Experience!$D$25,0)+IF(M738="Y",1,0)</f>
        <v>#N/A</v>
      </c>
      <c r="X738" s="1099"/>
      <c r="Y738" s="1100">
        <f ca="1">IF(P738="NS",IFERROR(INDIRECT(S738),NA()),VLOOKUP(INDIRECT(P738)+INDIRECT(S738),'System Lookups'!$A$3:$D$146,2))</f>
        <v>0.08</v>
      </c>
      <c r="Z738" s="1100">
        <f t="shared" si="722"/>
        <v>0</v>
      </c>
      <c r="AA738" s="1101">
        <f t="shared" ca="1" si="723"/>
        <v>0.08</v>
      </c>
      <c r="AB738" s="1102">
        <f>VLOOKUP(V738,'System Lookups'!$J$55:$P$64,3)</f>
        <v>0.05</v>
      </c>
      <c r="AC738" s="1103">
        <f>VLOOKUP(V738,'System Lookups'!$J$55:$P$64,4)</f>
        <v>0.1</v>
      </c>
      <c r="AD738" s="1104">
        <f t="shared" si="724"/>
        <v>0</v>
      </c>
      <c r="AE738" s="1094">
        <f>(IF(AD738&gt;VLOOKUP(V738,'System Lookups'!$J$55:$P$63,6),(((AD738-VLOOKUP(V738,'System Lookups'!$J$55:$P$63,6))*100)/20),0))+AF738</f>
        <v>0</v>
      </c>
      <c r="AF738" s="1121"/>
      <c r="AG738" s="1092">
        <f t="shared" si="725"/>
        <v>0</v>
      </c>
      <c r="AH738" s="1092" t="str">
        <f>IF(X738&lt;=Experience!$R$15+1,"","*")</f>
        <v/>
      </c>
      <c r="AI738" s="1092"/>
      <c r="AJ738" s="1080">
        <f t="shared" si="726"/>
        <v>0</v>
      </c>
      <c r="AK738" s="1080">
        <f t="shared" si="727"/>
        <v>0</v>
      </c>
      <c r="AL738" s="1080">
        <f t="shared" si="728"/>
        <v>0</v>
      </c>
      <c r="AM738" s="1092">
        <f t="shared" si="733"/>
        <v>0</v>
      </c>
      <c r="AN738" s="1080">
        <f t="shared" si="729"/>
        <v>1</v>
      </c>
      <c r="AO738" s="1080">
        <f t="shared" si="730"/>
        <v>0</v>
      </c>
      <c r="AP738" s="1080">
        <f t="shared" si="731"/>
        <v>1</v>
      </c>
      <c r="AQ738" s="1027">
        <f>VLOOKUP(V738,'System Lookups'!$J$55:$P$64,7)</f>
        <v>800</v>
      </c>
      <c r="AR738" s="1080" t="str">
        <f ca="1">IF(AND(NOT(ISBLANK(AJ738)),ISNA(MATCH(ROW(),'System Lookups'!$C$526:$C$539,0))),"Y","N")</f>
        <v>Y</v>
      </c>
      <c r="AS738" s="1080">
        <f t="shared" si="732"/>
        <v>0</v>
      </c>
      <c r="AU738" s="1080" t="e">
        <f t="shared" si="696"/>
        <v>#N/A</v>
      </c>
      <c r="AV738" s="1080" t="str">
        <f t="shared" si="694"/>
        <v>T</v>
      </c>
      <c r="AW738" s="1080">
        <f t="shared" si="697"/>
        <v>0</v>
      </c>
      <c r="AX738" s="1080">
        <f t="shared" si="698"/>
        <v>0</v>
      </c>
      <c r="AY738" s="1080">
        <f t="shared" si="699"/>
        <v>0</v>
      </c>
      <c r="AZ738" s="1080">
        <f t="shared" si="700"/>
        <v>0</v>
      </c>
      <c r="BA738" s="1080">
        <f t="shared" si="701"/>
        <v>0</v>
      </c>
      <c r="BB738" s="1080">
        <f>IF(AND(RACE=1,'Main Creation Page'!$E$6="Well",OR(ISNUMBER(FIND(Experience!$G$11,BE738)),ISNUMBER(FIND(Experience!$G$11,BF738)),ISNUMBER(FIND(Experience!$I$11,BE738)),ISNUMBER(FIND(Experience!$I$11,BF738)))),1,0)</f>
        <v>1</v>
      </c>
      <c r="BC738" s="1080" t="str">
        <f t="shared" si="703"/>
        <v>Method:Transmutation</v>
      </c>
      <c r="BD738" s="1080" t="s">
        <v>6180</v>
      </c>
      <c r="BE738" s="1080" t="str">
        <f t="shared" si="695"/>
        <v>Lore</v>
      </c>
      <c r="BF738" s="1080" t="str">
        <f t="shared" si="718"/>
        <v>Materia Magica Skills</v>
      </c>
    </row>
    <row r="739" spans="1:58" ht="11.1" hidden="1" customHeight="1" outlineLevel="3">
      <c r="A739" s="1028" t="s">
        <v>1347</v>
      </c>
      <c r="B739" s="1094" t="s">
        <v>1942</v>
      </c>
      <c r="C739" s="1094"/>
      <c r="D739" s="1094"/>
      <c r="E739" s="1095" t="s">
        <v>5224</v>
      </c>
      <c r="F739" s="1095" t="s">
        <v>5224</v>
      </c>
      <c r="G739" s="1096">
        <v>0</v>
      </c>
      <c r="H739" s="1096" t="s">
        <v>5224</v>
      </c>
      <c r="I739" s="1096" t="s">
        <v>5224</v>
      </c>
      <c r="J739" s="1096" t="s">
        <v>5224</v>
      </c>
      <c r="K739" s="1096" t="s">
        <v>5224</v>
      </c>
      <c r="L739" s="1096">
        <v>0</v>
      </c>
      <c r="M739" s="1096" t="s">
        <v>5224</v>
      </c>
      <c r="N739" s="1096" t="s">
        <v>4631</v>
      </c>
      <c r="O739" s="1028"/>
      <c r="P739" s="1028" t="s">
        <v>780</v>
      </c>
      <c r="Q739" s="1097">
        <f t="shared" ca="1" si="719"/>
        <v>17</v>
      </c>
      <c r="R739" s="1034"/>
      <c r="S739" s="1028" t="s">
        <v>3614</v>
      </c>
      <c r="T739" s="1097">
        <f t="shared" ca="1" si="720"/>
        <v>15</v>
      </c>
      <c r="U739" s="1027">
        <v>5</v>
      </c>
      <c r="V739" s="1027">
        <f t="shared" si="721"/>
        <v>6</v>
      </c>
      <c r="W739" s="1098" t="e">
        <f>IF(OR(I739&lt;&gt;"N",E739="C"),IF(AND(N739&lt;&gt;"T",ISNUMBER(FIND("V",I739))),1,0),NA())+IF(H739="Y",IF(AND(N739="P",ISNUMBER(FIND("Z",I739))),2,1),0)+IF(J739="Y",1,0)+IF(K739="Y",3,0)+IF(BE739="Lore",L739*2+Experience!$D$25,0)+IF(M739="Y",1,0)</f>
        <v>#N/A</v>
      </c>
      <c r="X739" s="1099"/>
      <c r="Y739" s="1100">
        <f ca="1">IF(P739="NS",IFERROR(INDIRECT(S739),NA()),VLOOKUP(INDIRECT(P739)+INDIRECT(S739),'System Lookups'!$A$3:$D$146,2))</f>
        <v>0.08</v>
      </c>
      <c r="Z739" s="1100">
        <f t="shared" si="722"/>
        <v>0</v>
      </c>
      <c r="AA739" s="1101">
        <f t="shared" ca="1" si="723"/>
        <v>0.08</v>
      </c>
      <c r="AB739" s="1102">
        <f>VLOOKUP(V739,'System Lookups'!$J$55:$P$64,3)</f>
        <v>0.05</v>
      </c>
      <c r="AC739" s="1103">
        <f>VLOOKUP(V739,'System Lookups'!$J$55:$P$64,4)</f>
        <v>0.1</v>
      </c>
      <c r="AD739" s="1104">
        <f t="shared" si="724"/>
        <v>0</v>
      </c>
      <c r="AE739" s="1094">
        <f>(IF(AD739&gt;VLOOKUP(V739,'System Lookups'!$J$55:$P$63,6),(((AD739-VLOOKUP(V739,'System Lookups'!$J$55:$P$63,6))*100)/20),0))+AF739</f>
        <v>0</v>
      </c>
      <c r="AF739" s="1121"/>
      <c r="AG739" s="1092">
        <f t="shared" si="725"/>
        <v>0</v>
      </c>
      <c r="AH739" s="1092" t="str">
        <f>IF(X739&lt;=Experience!$R$15+1,"","*")</f>
        <v/>
      </c>
      <c r="AI739" s="1092"/>
      <c r="AJ739" s="1080">
        <f t="shared" si="726"/>
        <v>0</v>
      </c>
      <c r="AK739" s="1080">
        <f t="shared" si="727"/>
        <v>0</v>
      </c>
      <c r="AL739" s="1080">
        <f t="shared" si="728"/>
        <v>0</v>
      </c>
      <c r="AM739" s="1092">
        <f t="shared" si="733"/>
        <v>0</v>
      </c>
      <c r="AN739" s="1080">
        <f t="shared" si="729"/>
        <v>1</v>
      </c>
      <c r="AO739" s="1080">
        <f t="shared" si="730"/>
        <v>0</v>
      </c>
      <c r="AP739" s="1080">
        <f t="shared" si="731"/>
        <v>1</v>
      </c>
      <c r="AQ739" s="1027">
        <f>VLOOKUP(V739,'System Lookups'!$J$55:$P$64,7)</f>
        <v>800</v>
      </c>
      <c r="AR739" s="1080" t="str">
        <f ca="1">IF(AND(NOT(ISBLANK(AJ739)),ISNA(MATCH(ROW(),'System Lookups'!$C$526:$C$539,0))),"Y","N")</f>
        <v>Y</v>
      </c>
      <c r="AS739" s="1080">
        <f t="shared" si="732"/>
        <v>0</v>
      </c>
      <c r="AU739" s="1080" t="e">
        <f t="shared" si="696"/>
        <v>#N/A</v>
      </c>
      <c r="AV739" s="1080" t="str">
        <f t="shared" si="694"/>
        <v>T</v>
      </c>
      <c r="AW739" s="1080">
        <f t="shared" si="697"/>
        <v>0</v>
      </c>
      <c r="AX739" s="1080">
        <f t="shared" si="698"/>
        <v>0</v>
      </c>
      <c r="AY739" s="1080">
        <f t="shared" si="699"/>
        <v>0</v>
      </c>
      <c r="AZ739" s="1080">
        <f t="shared" si="700"/>
        <v>0</v>
      </c>
      <c r="BA739" s="1080">
        <f t="shared" si="701"/>
        <v>0</v>
      </c>
      <c r="BB739" s="1080">
        <f>IF(AND(RACE=1,'Main Creation Page'!$E$6="Well",OR(ISNUMBER(FIND(Experience!$G$11,BE739)),ISNUMBER(FIND(Experience!$G$11,BF739)),ISNUMBER(FIND(Experience!$I$11,BE739)),ISNUMBER(FIND(Experience!$I$11,BF739)))),1,0)</f>
        <v>1</v>
      </c>
      <c r="BC739" s="1080" t="str">
        <f t="shared" si="703"/>
        <v>Method:Troll</v>
      </c>
      <c r="BD739" s="1080" t="s">
        <v>6180</v>
      </c>
      <c r="BE739" s="1080" t="str">
        <f t="shared" si="695"/>
        <v>Lore</v>
      </c>
      <c r="BF739" s="1080" t="str">
        <f t="shared" si="718"/>
        <v>Materia Magica Skills</v>
      </c>
    </row>
    <row r="740" spans="1:58" ht="11.1" hidden="1" customHeight="1" outlineLevel="2">
      <c r="A740" s="1028" t="s">
        <v>1636</v>
      </c>
      <c r="B740" s="1094" t="s">
        <v>1942</v>
      </c>
      <c r="C740" s="1094"/>
      <c r="D740" s="1094"/>
      <c r="E740" s="1095" t="s">
        <v>5224</v>
      </c>
      <c r="F740" s="1095" t="s">
        <v>5224</v>
      </c>
      <c r="G740" s="1096">
        <v>0</v>
      </c>
      <c r="H740" s="1096" t="s">
        <v>5224</v>
      </c>
      <c r="I740" s="1096" t="s">
        <v>5224</v>
      </c>
      <c r="J740" s="1096" t="s">
        <v>5224</v>
      </c>
      <c r="K740" s="1096" t="s">
        <v>5224</v>
      </c>
      <c r="L740" s="1096">
        <v>0</v>
      </c>
      <c r="M740" s="1096" t="s">
        <v>5224</v>
      </c>
      <c r="N740" s="1096" t="s">
        <v>4631</v>
      </c>
      <c r="O740" s="1028"/>
      <c r="P740" s="1028" t="s">
        <v>780</v>
      </c>
      <c r="Q740" s="1097">
        <f t="shared" ca="1" si="719"/>
        <v>17</v>
      </c>
      <c r="R740" s="1034"/>
      <c r="S740" s="1028" t="s">
        <v>3614</v>
      </c>
      <c r="T740" s="1097">
        <f t="shared" ca="1" si="720"/>
        <v>15</v>
      </c>
      <c r="U740" s="1027">
        <v>5</v>
      </c>
      <c r="V740" s="1027">
        <f t="shared" si="721"/>
        <v>6</v>
      </c>
      <c r="W740" s="1098" t="e">
        <f>IF(OR(I740&lt;&gt;"N",E740="C"),IF(AND(N740&lt;&gt;"T",ISNUMBER(FIND("V",I740))),1,0),NA())+IF(H740="Y",IF(AND(N740="P",ISNUMBER(FIND("Z",I740))),2,1),0)+IF(J740="Y",1,0)+IF(K740="Y",3,0)+IF(BE740="Lore",L740*2+Experience!$D$25,0)+IF(M740="Y",1,0)</f>
        <v>#N/A</v>
      </c>
      <c r="X740" s="1099"/>
      <c r="Y740" s="1100">
        <f ca="1">IF(P740="NS",IFERROR(INDIRECT(S740),NA()),VLOOKUP(INDIRECT(P740)+INDIRECT(S740),'System Lookups'!$A$3:$D$146,2))</f>
        <v>0.08</v>
      </c>
      <c r="Z740" s="1100">
        <f t="shared" si="722"/>
        <v>0</v>
      </c>
      <c r="AA740" s="1101">
        <f t="shared" ca="1" si="723"/>
        <v>0.08</v>
      </c>
      <c r="AB740" s="1102">
        <f>VLOOKUP(V740,'System Lookups'!$J$55:$P$64,3)</f>
        <v>0.05</v>
      </c>
      <c r="AC740" s="1103">
        <f>VLOOKUP(V740,'System Lookups'!$J$55:$P$64,4)</f>
        <v>0.1</v>
      </c>
      <c r="AD740" s="1104">
        <f t="shared" si="724"/>
        <v>0</v>
      </c>
      <c r="AE740" s="1094">
        <f>(IF(AD740&gt;VLOOKUP(V740,'System Lookups'!$J$55:$P$63,6),(((AD740-VLOOKUP(V740,'System Lookups'!$J$55:$P$63,6))*100)/20),0))+AF740</f>
        <v>0</v>
      </c>
      <c r="AF740" s="1121"/>
      <c r="AG740" s="1092">
        <f t="shared" si="725"/>
        <v>0</v>
      </c>
      <c r="AH740" s="1092" t="str">
        <f>IF(X740&lt;=Experience!$R$15+1,"","*")</f>
        <v/>
      </c>
      <c r="AI740" s="1092"/>
      <c r="AJ740" s="1080">
        <f t="shared" si="726"/>
        <v>0</v>
      </c>
      <c r="AK740" s="1080">
        <f t="shared" si="727"/>
        <v>0</v>
      </c>
      <c r="AL740" s="1080">
        <f t="shared" si="728"/>
        <v>0</v>
      </c>
      <c r="AM740" s="1092">
        <f t="shared" si="733"/>
        <v>0</v>
      </c>
      <c r="AN740" s="1080">
        <f t="shared" si="729"/>
        <v>1</v>
      </c>
      <c r="AO740" s="1080">
        <f t="shared" si="730"/>
        <v>0</v>
      </c>
      <c r="AP740" s="1080">
        <f t="shared" si="731"/>
        <v>1</v>
      </c>
      <c r="AQ740" s="1027">
        <f>VLOOKUP(V740,'System Lookups'!$J$55:$P$64,7)</f>
        <v>800</v>
      </c>
      <c r="AR740" s="1080" t="str">
        <f ca="1">IF(AND(NOT(ISBLANK(AJ740)),ISNA(MATCH(ROW(),'System Lookups'!$C$526:$C$539,0))),"Y","N")</f>
        <v>Y</v>
      </c>
      <c r="AS740" s="1080">
        <f t="shared" si="732"/>
        <v>0</v>
      </c>
      <c r="AU740" s="1080" t="e">
        <f t="shared" si="696"/>
        <v>#N/A</v>
      </c>
      <c r="AV740" s="1080" t="str">
        <f t="shared" si="694"/>
        <v>T</v>
      </c>
      <c r="AW740" s="1080">
        <f t="shared" si="697"/>
        <v>0</v>
      </c>
      <c r="AX740" s="1080">
        <f t="shared" si="698"/>
        <v>0</v>
      </c>
      <c r="AY740" s="1080">
        <f t="shared" si="699"/>
        <v>0</v>
      </c>
      <c r="AZ740" s="1080">
        <f t="shared" si="700"/>
        <v>0</v>
      </c>
      <c r="BA740" s="1080">
        <f t="shared" si="701"/>
        <v>0</v>
      </c>
      <c r="BB740" s="1080">
        <f>IF(AND(RACE=1,'Main Creation Page'!$E$6="Well",OR(ISNUMBER(FIND(Experience!$G$11,BE740)),ISNUMBER(FIND(Experience!$G$11,BF740)),ISNUMBER(FIND(Experience!$I$11,BE740)),ISNUMBER(FIND(Experience!$I$11,BF740)))),1,0)</f>
        <v>1</v>
      </c>
      <c r="BC740" s="1080" t="str">
        <f t="shared" si="703"/>
        <v>Method:Wards</v>
      </c>
      <c r="BD740" s="1080" t="s">
        <v>6180</v>
      </c>
      <c r="BE740" s="1080" t="str">
        <f t="shared" si="695"/>
        <v>Lore</v>
      </c>
      <c r="BF740" s="1080" t="str">
        <f t="shared" si="718"/>
        <v>Materia Magica Skills</v>
      </c>
    </row>
    <row r="741" spans="1:58" ht="11.1" hidden="1" customHeight="1" outlineLevel="1">
      <c r="AF741" s="1079"/>
      <c r="AI741" s="1034"/>
      <c r="AR741" s="1080" t="str">
        <f ca="1">IF(AND(NOT(ISBLANK(AJ741)),ISNA(MATCH(ROW(),'System Lookups'!$C$526:$C$539,0))),"Y","N")</f>
        <v>N</v>
      </c>
      <c r="AU741" s="1080" t="e">
        <f t="shared" si="696"/>
        <v>#N/A</v>
      </c>
      <c r="AV741" s="1080" t="str">
        <f t="shared" si="694"/>
        <v/>
      </c>
      <c r="AW741" s="1080">
        <f t="shared" si="697"/>
        <v>0</v>
      </c>
      <c r="AX741" s="1080">
        <f t="shared" si="698"/>
        <v>0</v>
      </c>
      <c r="AY741" s="1080">
        <f t="shared" si="699"/>
        <v>0</v>
      </c>
      <c r="AZ741" s="1080">
        <f t="shared" si="700"/>
        <v>0</v>
      </c>
      <c r="BA741" s="1080">
        <f t="shared" si="701"/>
        <v>0</v>
      </c>
      <c r="BB741" s="1080">
        <f>IF(AND(RACE=1,'Main Creation Page'!$E$6="Well",OR(ISNUMBER(FIND(Experience!$G$11,BE741)),ISNUMBER(FIND(Experience!$G$11,BF741)),ISNUMBER(FIND(Experience!$I$11,BE741)),ISNUMBER(FIND(Experience!$I$11,BF741)))),1,0)</f>
        <v>1</v>
      </c>
      <c r="BC741" s="1080" t="e">
        <f t="shared" si="703"/>
        <v>#N/A</v>
      </c>
      <c r="BE741" s="1080" t="str">
        <f t="shared" si="695"/>
        <v>Lore</v>
      </c>
      <c r="BF741" s="1080" t="str">
        <f t="shared" si="718"/>
        <v>Materia Magica Skills</v>
      </c>
    </row>
    <row r="742" spans="1:58" ht="11.1" hidden="1" customHeight="1" outlineLevel="1">
      <c r="B742" s="1111"/>
      <c r="C742" s="1111"/>
      <c r="D742" s="1111"/>
      <c r="V742" s="1027"/>
      <c r="W742" s="1112"/>
      <c r="AE742" s="1094"/>
      <c r="AF742" s="1121"/>
      <c r="AR742" s="1080" t="str">
        <f ca="1">IF(AND(NOT(ISBLANK(AJ742)),ISNA(MATCH(ROW(),'System Lookups'!$C$526:$C$539,0))),"Y","N")</f>
        <v>N</v>
      </c>
      <c r="AU742" s="1080" t="e">
        <f t="shared" si="696"/>
        <v>#N/A</v>
      </c>
      <c r="AV742" s="1080" t="str">
        <f t="shared" si="694"/>
        <v/>
      </c>
      <c r="AW742" s="1080">
        <f t="shared" si="697"/>
        <v>0</v>
      </c>
      <c r="AX742" s="1080">
        <f t="shared" si="698"/>
        <v>0</v>
      </c>
      <c r="AY742" s="1080">
        <f t="shared" si="699"/>
        <v>0</v>
      </c>
      <c r="AZ742" s="1080">
        <f t="shared" si="700"/>
        <v>0</v>
      </c>
      <c r="BA742" s="1080">
        <f t="shared" si="701"/>
        <v>0</v>
      </c>
      <c r="BB742" s="1080">
        <f>IF(AND(RACE=1,'Main Creation Page'!$E$6="Well",OR(ISNUMBER(FIND(Experience!$G$11,BE742)),ISNUMBER(FIND(Experience!$G$11,BF742)),ISNUMBER(FIND(Experience!$I$11,BE742)),ISNUMBER(FIND(Experience!$I$11,BF742)))),1,0)</f>
        <v>1</v>
      </c>
      <c r="BC742" s="1080" t="e">
        <f t="shared" si="703"/>
        <v>#N/A</v>
      </c>
      <c r="BE742" s="1080" t="str">
        <f t="shared" si="695"/>
        <v>Lore</v>
      </c>
      <c r="BF742" s="1080" t="str">
        <f t="shared" si="718"/>
        <v>Materia Magica Skills</v>
      </c>
    </row>
    <row r="743" spans="1:58" ht="10.5" customHeight="1" collapsed="1">
      <c r="A743" s="1087" t="s">
        <v>5084</v>
      </c>
      <c r="B743" s="1091"/>
      <c r="C743" s="1091"/>
      <c r="D743" s="1091"/>
      <c r="F743" s="1027"/>
      <c r="G743" s="1027"/>
      <c r="H743" s="1027"/>
      <c r="I743" s="1085"/>
      <c r="J743" s="1085"/>
      <c r="K743" s="1085"/>
      <c r="L743" s="1085"/>
      <c r="M743" s="1085"/>
      <c r="N743" s="1027"/>
      <c r="O743" s="1027"/>
      <c r="P743" s="1027"/>
      <c r="Q743" s="1027"/>
      <c r="R743" s="1027"/>
      <c r="S743" s="1113"/>
      <c r="T743" s="1113"/>
      <c r="U743" s="1085"/>
      <c r="V743" s="1027"/>
      <c r="W743" s="1028"/>
      <c r="X743" s="1114"/>
      <c r="AE743" s="1094"/>
      <c r="AF743" s="1121"/>
      <c r="AG743" s="1092">
        <f>SUM(AG748:AG780)</f>
        <v>0</v>
      </c>
      <c r="AH743" s="1092"/>
      <c r="AI743" s="1092">
        <f>SUM(AI748:AI778)</f>
        <v>0</v>
      </c>
      <c r="AM743" s="1092"/>
      <c r="AR743" s="1080" t="str">
        <f ca="1">IF(AND(NOT(ISBLANK(AJ743)),ISNA(MATCH(ROW(),'System Lookups'!$C$526:$C$539,0))),"Y","N")</f>
        <v>N</v>
      </c>
      <c r="AU743" s="1080" t="e">
        <f t="shared" si="696"/>
        <v>#N/A</v>
      </c>
      <c r="AV743" s="1080" t="str">
        <f t="shared" si="694"/>
        <v/>
      </c>
      <c r="AW743" s="1080">
        <f t="shared" si="697"/>
        <v>0</v>
      </c>
      <c r="AX743" s="1080">
        <f t="shared" si="698"/>
        <v>0</v>
      </c>
      <c r="AY743" s="1080">
        <f t="shared" si="699"/>
        <v>0</v>
      </c>
      <c r="AZ743" s="1080">
        <f t="shared" si="700"/>
        <v>0</v>
      </c>
      <c r="BA743" s="1080">
        <f t="shared" si="701"/>
        <v>0</v>
      </c>
      <c r="BB743" s="1080">
        <f>IF(AND(RACE=1,'Main Creation Page'!$E$6="Well",OR(ISNUMBER(FIND(Experience!$G$11,BE743)),ISNUMBER(FIND(Experience!$G$11,BF743)),ISNUMBER(FIND(Experience!$I$11,BE743)),ISNUMBER(FIND(Experience!$I$11,BF743)))),1,0)</f>
        <v>1</v>
      </c>
      <c r="BC743" s="1080" t="str">
        <f t="shared" si="703"/>
        <v>Materia Medicina: Healing Lore Skills</v>
      </c>
      <c r="BE743" s="1080" t="str">
        <f t="shared" si="695"/>
        <v>Lore</v>
      </c>
      <c r="BF743" s="1080" t="str">
        <f t="shared" si="718"/>
        <v>Materia Medicina: Healing Lore Skills</v>
      </c>
    </row>
    <row r="744" spans="1:58" ht="11.25" customHeight="1" outlineLevel="1">
      <c r="A744" s="1123" t="s">
        <v>5661</v>
      </c>
      <c r="B744" s="1094"/>
      <c r="C744" s="1094"/>
      <c r="D744" s="1094"/>
      <c r="E744" s="1095" t="s">
        <v>5224</v>
      </c>
      <c r="F744" s="1095" t="s">
        <v>5224</v>
      </c>
      <c r="G744" s="1096">
        <v>0</v>
      </c>
      <c r="H744" s="1096" t="s">
        <v>5224</v>
      </c>
      <c r="I744" s="1096" t="s">
        <v>5224</v>
      </c>
      <c r="J744" s="1096" t="s">
        <v>5224</v>
      </c>
      <c r="K744" s="1096" t="s">
        <v>5224</v>
      </c>
      <c r="L744" s="1096">
        <v>0</v>
      </c>
      <c r="M744" s="1096" t="s">
        <v>5224</v>
      </c>
      <c r="N744" s="1096" t="s">
        <v>4627</v>
      </c>
      <c r="O744" s="1028"/>
      <c r="P744" s="1028" t="s">
        <v>780</v>
      </c>
      <c r="Q744" s="1097">
        <f ca="1">INDIRECT(P744)</f>
        <v>17</v>
      </c>
      <c r="R744" s="1034"/>
      <c r="S744" s="1028" t="s">
        <v>3611</v>
      </c>
      <c r="T744" s="1097">
        <f ca="1">INDIRECT(S744)</f>
        <v>15</v>
      </c>
      <c r="U744" s="1027">
        <v>8</v>
      </c>
      <c r="V744" s="1027">
        <f>IF(AP744+U744&gt;10,10,IF(AP744+U744&lt;1,1,AP744+U744))</f>
        <v>7</v>
      </c>
      <c r="W744" s="1098" t="e">
        <f>IF(OR(I744&lt;&gt;"N",E744="C"),IF(AND(N744&lt;&gt;"T",ISNUMBER(FIND("V",I744))),1,0),NA())+IF(H744="Y",IF(AND(N744="P",ISNUMBER(FIND("Z",I744))),2,1),0)+IF(J744="Y",1,0)+IF(K744="Y",3,0)+IF(BE744="Lore",L744*2+Experience!$D$25,0)+IF(M744="Y",1,0)</f>
        <v>#N/A</v>
      </c>
      <c r="X744" s="1099"/>
      <c r="Y744" s="1100">
        <f ca="1">IF(P744="NS",IFERROR(INDIRECT(S744),NA()),VLOOKUP(INDIRECT(P744)+INDIRECT(S744),'System Lookups'!$A$3:$D$146,2))</f>
        <v>0.08</v>
      </c>
      <c r="Z744" s="1100">
        <f>IF(ISNA(W744),0,W744*0.03)+IF(X744&gt;0,X744*0.03,0)+IF(AND(ISNA(W744),X744&lt;=0),0,IF(G744&gt;0,G744*0.07,0))</f>
        <v>0</v>
      </c>
      <c r="AA744" s="1101">
        <f ca="1">IF(ISNA(Y744),0,Y744)+Z744+IF('Main Creation Page'!AB$2=37,'Main Creation Page'!E$14/100,0)</f>
        <v>0.08</v>
      </c>
      <c r="AB744" s="1102">
        <f>VLOOKUP(V744,'System Lookups'!$J$55:$P$64,3)</f>
        <v>0.03</v>
      </c>
      <c r="AC744" s="1103">
        <f>VLOOKUP(V744,'System Lookups'!$J$55:$P$64,4)</f>
        <v>7.0000000000000007E-2</v>
      </c>
      <c r="AD744" s="1104">
        <f ca="1">IF(AND(ISBLANK(X744),ISNA(W744)),IF(B744="~",0,AB744+AA744+IF(BB744&gt;0,0.05,0)),AA744+AC744+IF(BB744&gt;0,0.05,0))</f>
        <v>0.16</v>
      </c>
      <c r="AE744" s="1094">
        <f ca="1">(IF(AD744&gt;VLOOKUP(V744,'System Lookups'!$J$55:$P$63,6),(((AD744-VLOOKUP(V744,'System Lookups'!$J$55:$P$63,6))*100)/20),0))+AF744</f>
        <v>0</v>
      </c>
      <c r="AF744" s="1121"/>
      <c r="AG744" s="1092">
        <f>IF(ISBLANK(X744),0,AQ744*X744+IF(ISNA(W744),1,0))</f>
        <v>0</v>
      </c>
      <c r="AH744" s="1092" t="str">
        <f>IF(X744&lt;=Experience!$R$15+1,"","*")</f>
        <v/>
      </c>
      <c r="AI744" s="1092"/>
      <c r="AJ744" s="1080">
        <f>IF(ISNUMBER(FIND("R",F744)),-1,0)</f>
        <v>0</v>
      </c>
      <c r="AK744" s="1080">
        <f t="shared" ref="AK744:AK746" si="734">IF(F744="s",-2,0)</f>
        <v>0</v>
      </c>
      <c r="AL744" s="1080">
        <f>IF(AND(H744="Y",OR(N744="P",N744="S")),-1,0)</f>
        <v>0</v>
      </c>
      <c r="AM744" s="1092">
        <f t="shared" ref="AM744:AM746" si="735">IF(J744="y",1,0)</f>
        <v>0</v>
      </c>
      <c r="AN744" s="1080">
        <f t="shared" ref="AN744:AN746" si="736">IF(N744="P",-1,IF(N744="T",1,0))</f>
        <v>-1</v>
      </c>
      <c r="AO744" s="1080">
        <f>IF(ISNUMBER(FIND("Z",I744)),1,0)</f>
        <v>0</v>
      </c>
      <c r="AP744" s="1080">
        <f>SUM(AJ744:AN744)-AM744</f>
        <v>-1</v>
      </c>
      <c r="AQ744" s="1027">
        <f>VLOOKUP(V744,'System Lookups'!$J$55:$P$64,7)</f>
        <v>1000</v>
      </c>
      <c r="AR744" s="1080" t="str">
        <f ca="1">IF(AND(NOT(ISBLANK(AJ744)),ISNA(MATCH(ROW(),'System Lookups'!$C$526:$C$539,0))),"Y","N")</f>
        <v>Y</v>
      </c>
      <c r="AS744" s="1080">
        <f>AG744-AI744</f>
        <v>0</v>
      </c>
      <c r="AU744" s="1080" t="e">
        <f t="shared" si="696"/>
        <v>#N/A</v>
      </c>
      <c r="AV744" s="1080" t="str">
        <f t="shared" si="694"/>
        <v>P</v>
      </c>
      <c r="AW744" s="1080">
        <f t="shared" si="697"/>
        <v>0</v>
      </c>
      <c r="AX744" s="1080">
        <f t="shared" si="698"/>
        <v>0</v>
      </c>
      <c r="AY744" s="1080">
        <f t="shared" si="699"/>
        <v>0</v>
      </c>
      <c r="AZ744" s="1080">
        <f t="shared" si="700"/>
        <v>0</v>
      </c>
      <c r="BA744" s="1080">
        <f t="shared" si="701"/>
        <v>0</v>
      </c>
      <c r="BB744" s="1080">
        <f>IF(AND(RACE=1,'Main Creation Page'!$E$6="Well",OR(ISNUMBER(FIND(Experience!$G$11,BE744)),ISNUMBER(FIND(Experience!$G$11,BF744)),ISNUMBER(FIND(Experience!$I$11,BE744)),ISNUMBER(FIND(Experience!$I$11,BF744)))),1,0)</f>
        <v>1</v>
      </c>
      <c r="BC744" s="1080" t="str">
        <f t="shared" si="703"/>
        <v>Acupressure</v>
      </c>
      <c r="BE744" s="1080" t="str">
        <f t="shared" si="695"/>
        <v>Lore</v>
      </c>
      <c r="BF744" s="1080" t="str">
        <f t="shared" si="718"/>
        <v>Materia Medicina: Healing Lore Skills</v>
      </c>
    </row>
    <row r="745" spans="1:58" ht="10.5" hidden="1" customHeight="1" outlineLevel="2">
      <c r="A745" s="1028" t="s">
        <v>5663</v>
      </c>
      <c r="B745" s="2641">
        <f ca="1">IF(AA744&gt;0.32, 1,0)</f>
        <v>0</v>
      </c>
      <c r="C745" s="2642"/>
      <c r="D745" s="2643"/>
      <c r="O745" s="1028"/>
      <c r="P745" s="1028"/>
      <c r="Q745" s="1028"/>
      <c r="R745" s="1034"/>
      <c r="S745" s="1028"/>
      <c r="T745" s="1028"/>
      <c r="AE745" s="1034"/>
      <c r="AF745" s="1132"/>
      <c r="AI745" s="1034"/>
      <c r="AJ745" s="1034"/>
      <c r="AK745" s="1034"/>
      <c r="AL745" s="1034"/>
      <c r="AM745" s="1034"/>
      <c r="AN745" s="1034"/>
      <c r="AO745" s="1034"/>
      <c r="AP745" s="1034"/>
      <c r="AQ745" s="1034"/>
      <c r="AR745" s="1080" t="str">
        <f ca="1">IF(AND(NOT(ISBLANK(AJ745)),ISNA(MATCH(ROW(),'System Lookups'!$C$526:$C$539,0))),"Y","N")</f>
        <v>N</v>
      </c>
      <c r="AS745" s="1034"/>
      <c r="AT745" s="1034"/>
      <c r="AU745" s="1080" t="e">
        <f t="shared" si="696"/>
        <v>#N/A</v>
      </c>
      <c r="AV745" s="1080" t="str">
        <f t="shared" si="694"/>
        <v/>
      </c>
      <c r="AW745" s="1080">
        <f t="shared" si="697"/>
        <v>0</v>
      </c>
      <c r="AX745" s="1080">
        <f t="shared" si="698"/>
        <v>0</v>
      </c>
      <c r="AY745" s="1080">
        <f t="shared" si="699"/>
        <v>0</v>
      </c>
      <c r="AZ745" s="1080">
        <f t="shared" si="700"/>
        <v>0</v>
      </c>
      <c r="BA745" s="1080">
        <f t="shared" si="701"/>
        <v>0</v>
      </c>
      <c r="BB745" s="1080">
        <f>IF(AND(RACE=1,'Main Creation Page'!$E$6="Well",OR(ISNUMBER(FIND(Experience!$G$11,BE745)),ISNUMBER(FIND(Experience!$G$11,BF745)),ISNUMBER(FIND(Experience!$I$11,BE745)),ISNUMBER(FIND(Experience!$I$11,BF745)))),1,0)</f>
        <v>1</v>
      </c>
      <c r="BC745" s="1080" t="e">
        <f t="shared" si="703"/>
        <v>#N/A</v>
      </c>
      <c r="BE745" s="1080" t="str">
        <f t="shared" si="695"/>
        <v>Lore</v>
      </c>
      <c r="BF745" s="1080" t="str">
        <f t="shared" si="718"/>
        <v>Materia Medicina: Healing Lore Skills</v>
      </c>
    </row>
    <row r="746" spans="1:58" ht="10.5" customHeight="1" outlineLevel="1" collapsed="1">
      <c r="A746" s="1123" t="s">
        <v>5662</v>
      </c>
      <c r="B746" s="1094"/>
      <c r="C746" s="1094"/>
      <c r="D746" s="1094"/>
      <c r="E746" s="1095" t="s">
        <v>5224</v>
      </c>
      <c r="F746" s="1095" t="s">
        <v>5224</v>
      </c>
      <c r="G746" s="1096">
        <v>0</v>
      </c>
      <c r="H746" s="1096" t="s">
        <v>5224</v>
      </c>
      <c r="I746" s="1096" t="s">
        <v>5224</v>
      </c>
      <c r="J746" s="1096" t="s">
        <v>5224</v>
      </c>
      <c r="K746" s="1096" t="s">
        <v>5224</v>
      </c>
      <c r="L746" s="1096">
        <v>0</v>
      </c>
      <c r="M746" s="1096" t="s">
        <v>5224</v>
      </c>
      <c r="N746" s="1096" t="s">
        <v>4627</v>
      </c>
      <c r="O746" s="1028"/>
      <c r="P746" s="1028" t="s">
        <v>780</v>
      </c>
      <c r="Q746" s="1097">
        <f ca="1">INDIRECT(P746)</f>
        <v>17</v>
      </c>
      <c r="R746" s="1034"/>
      <c r="S746" s="1028" t="s">
        <v>3611</v>
      </c>
      <c r="T746" s="1097">
        <f ca="1">INDIRECT(S746)</f>
        <v>15</v>
      </c>
      <c r="U746" s="1027">
        <v>7</v>
      </c>
      <c r="V746" s="1027">
        <f>IF(AP746+U746&gt;10,10,IF(AP746+U746&lt;1,1,AP746+U746))</f>
        <v>6</v>
      </c>
      <c r="W746" s="1098" t="e">
        <f>IF(OR(I746&lt;&gt;"N",E746="C"),IF(AND(N746&lt;&gt;"T",ISNUMBER(FIND("V",I746))),1,0),NA())+IF(H746="Y",IF(AND(N746="P",ISNUMBER(FIND("Z",I746))),2,1),0)+IF(J746="Y",1,0)+IF(K746="Y",3,0)+IF(BE746="Lore",L746*2+Experience!$D$25,0)+IF(M746="Y",1,0)</f>
        <v>#N/A</v>
      </c>
      <c r="X746" s="1099"/>
      <c r="Y746" s="1100">
        <f ca="1">IF(P746="NS",IFERROR(INDIRECT(S746),NA()),VLOOKUP(INDIRECT(P746)+INDIRECT(S746),'System Lookups'!$A$3:$D$146,2))</f>
        <v>0.08</v>
      </c>
      <c r="Z746" s="1100">
        <f>IF(ISNA(W746),0,W746*0.03)+IF(X746&gt;0,X746*0.03,0)+IF(AND(ISNA(W746),X746&lt;=0),0,IF(G746&gt;0,G746*0.07,0))</f>
        <v>0</v>
      </c>
      <c r="AA746" s="1101">
        <f ca="1">IF(ISNA(Y746),0,Y746)+Z746+IF('Main Creation Page'!AB$2=37,'Main Creation Page'!E$14/100,0)</f>
        <v>0.08</v>
      </c>
      <c r="AB746" s="1102">
        <f>VLOOKUP(V746,'System Lookups'!$J$55:$P$64,3)</f>
        <v>0.05</v>
      </c>
      <c r="AC746" s="1103">
        <f>VLOOKUP(V746,'System Lookups'!$J$55:$P$64,4)</f>
        <v>0.1</v>
      </c>
      <c r="AD746" s="1104">
        <f ca="1">IF(AND(ISBLANK(X746),ISNA(W746)),IF(B746="~",0,AB746+AA746+IF(BB746&gt;0,0.05,0)),AA746+AC746+IF(BB746&gt;0,0.05,0))</f>
        <v>0.18</v>
      </c>
      <c r="AE746" s="1094">
        <f ca="1">(IF(AD746&gt;VLOOKUP(V746,'System Lookups'!$J$55:$P$63,6),(((AD746-VLOOKUP(V746,'System Lookups'!$J$55:$P$63,6))*100)/20),0))+AF746</f>
        <v>0</v>
      </c>
      <c r="AF746" s="1121"/>
      <c r="AG746" s="1092">
        <f>IF(ISBLANK(X746),0,AQ746*X746+IF(ISNA(W746),1,0))</f>
        <v>0</v>
      </c>
      <c r="AH746" s="1092" t="str">
        <f>IF(X746&lt;=Experience!$R$15+1,"","*")</f>
        <v/>
      </c>
      <c r="AI746" s="1092"/>
      <c r="AJ746" s="1080">
        <f>IF(ISNUMBER(FIND("R",F746)),-1,0)</f>
        <v>0</v>
      </c>
      <c r="AK746" s="1080">
        <f t="shared" si="734"/>
        <v>0</v>
      </c>
      <c r="AL746" s="1080">
        <f>IF(AND(H746="Y",OR(N746="P",N746="S")),-1,0)</f>
        <v>0</v>
      </c>
      <c r="AM746" s="1092">
        <f t="shared" si="735"/>
        <v>0</v>
      </c>
      <c r="AN746" s="1080">
        <f t="shared" si="736"/>
        <v>-1</v>
      </c>
      <c r="AO746" s="1080">
        <f>IF(ISNUMBER(FIND("Z",I746)),1,0)</f>
        <v>0</v>
      </c>
      <c r="AP746" s="1080">
        <f>SUM(AJ746:AN746)-AM746</f>
        <v>-1</v>
      </c>
      <c r="AQ746" s="1027">
        <f>VLOOKUP(V746,'System Lookups'!$J$55:$P$64,7)</f>
        <v>800</v>
      </c>
      <c r="AR746" s="1080" t="str">
        <f ca="1">IF(AND(NOT(ISBLANK(AJ746)),ISNA(MATCH(ROW(),'System Lookups'!$C$526:$C$539,0))),"Y","N")</f>
        <v>Y</v>
      </c>
      <c r="AS746" s="1080">
        <f>AG746-AI746</f>
        <v>0</v>
      </c>
      <c r="AU746" s="1080" t="e">
        <f t="shared" si="696"/>
        <v>#N/A</v>
      </c>
      <c r="AV746" s="1080" t="str">
        <f t="shared" si="694"/>
        <v>P</v>
      </c>
      <c r="AW746" s="1080">
        <f t="shared" si="697"/>
        <v>0</v>
      </c>
      <c r="AX746" s="1080">
        <f t="shared" si="698"/>
        <v>0</v>
      </c>
      <c r="AY746" s="1080">
        <f t="shared" si="699"/>
        <v>0</v>
      </c>
      <c r="AZ746" s="1080">
        <f t="shared" si="700"/>
        <v>0</v>
      </c>
      <c r="BA746" s="1080">
        <f t="shared" si="701"/>
        <v>0</v>
      </c>
      <c r="BB746" s="1080">
        <f>IF(AND(RACE=1,'Main Creation Page'!$E$6="Well",OR(ISNUMBER(FIND(Experience!$G$11,BE746)),ISNUMBER(FIND(Experience!$G$11,BF746)),ISNUMBER(FIND(Experience!$I$11,BE746)),ISNUMBER(FIND(Experience!$I$11,BF746)))),1,0)</f>
        <v>1</v>
      </c>
      <c r="BC746" s="1080" t="str">
        <f t="shared" si="703"/>
        <v>Acupuncture</v>
      </c>
      <c r="BE746" s="1080" t="str">
        <f t="shared" si="695"/>
        <v>Lore</v>
      </c>
      <c r="BF746" s="1080" t="str">
        <f t="shared" si="718"/>
        <v>Materia Medicina: Healing Lore Skills</v>
      </c>
    </row>
    <row r="747" spans="1:58" ht="10.5" hidden="1" customHeight="1" outlineLevel="2">
      <c r="A747" s="1028" t="s">
        <v>5663</v>
      </c>
      <c r="B747" s="2641">
        <f ca="1">IF(AA744&gt;0.39, 1,0)</f>
        <v>0</v>
      </c>
      <c r="C747" s="2642"/>
      <c r="D747" s="2643"/>
      <c r="AE747" s="1034"/>
      <c r="AF747" s="1132"/>
      <c r="AI747" s="1034"/>
      <c r="AJ747" s="1034"/>
      <c r="AK747" s="1034"/>
      <c r="AL747" s="1034"/>
      <c r="AM747" s="1034"/>
      <c r="AN747" s="1034"/>
      <c r="AO747" s="1034"/>
      <c r="AP747" s="1034"/>
      <c r="AQ747" s="1034"/>
      <c r="AR747" s="1080" t="str">
        <f ca="1">IF(AND(NOT(ISBLANK(AJ747)),ISNA(MATCH(ROW(),'System Lookups'!$C$526:$C$539,0))),"Y","N")</f>
        <v>N</v>
      </c>
      <c r="AS747" s="1034"/>
      <c r="AT747" s="1034"/>
      <c r="AU747" s="1080" t="e">
        <f t="shared" si="696"/>
        <v>#N/A</v>
      </c>
      <c r="AV747" s="1080" t="str">
        <f t="shared" si="694"/>
        <v/>
      </c>
      <c r="AW747" s="1080">
        <f t="shared" si="697"/>
        <v>0</v>
      </c>
      <c r="AX747" s="1080">
        <f t="shared" si="698"/>
        <v>0</v>
      </c>
      <c r="AY747" s="1080">
        <f t="shared" si="699"/>
        <v>0</v>
      </c>
      <c r="AZ747" s="1080">
        <f t="shared" si="700"/>
        <v>0</v>
      </c>
      <c r="BA747" s="1080">
        <f t="shared" si="701"/>
        <v>0</v>
      </c>
      <c r="BB747" s="1080">
        <f>IF(AND(RACE=1,'Main Creation Page'!$E$6="Well",OR(ISNUMBER(FIND(Experience!$G$11,BE747)),ISNUMBER(FIND(Experience!$G$11,BF747)),ISNUMBER(FIND(Experience!$I$11,BE747)),ISNUMBER(FIND(Experience!$I$11,BF747)))),1,0)</f>
        <v>1</v>
      </c>
      <c r="BC747" s="1080" t="e">
        <f t="shared" si="703"/>
        <v>#N/A</v>
      </c>
      <c r="BE747" s="1080" t="str">
        <f t="shared" si="695"/>
        <v>Lore</v>
      </c>
      <c r="BF747" s="1080" t="str">
        <f t="shared" si="718"/>
        <v>Materia Medicina: Healing Lore Skills</v>
      </c>
    </row>
    <row r="748" spans="1:58" ht="10.5" customHeight="1" outlineLevel="1" collapsed="1">
      <c r="A748" s="1123" t="s">
        <v>5586</v>
      </c>
      <c r="B748" s="1094"/>
      <c r="C748" s="1094"/>
      <c r="D748" s="1094"/>
      <c r="E748" s="1095" t="s">
        <v>5224</v>
      </c>
      <c r="F748" s="1095" t="s">
        <v>5224</v>
      </c>
      <c r="G748" s="1096">
        <v>0</v>
      </c>
      <c r="H748" s="1096" t="s">
        <v>5224</v>
      </c>
      <c r="I748" s="1096" t="s">
        <v>5224</v>
      </c>
      <c r="J748" s="1096" t="s">
        <v>5224</v>
      </c>
      <c r="K748" s="1096" t="s">
        <v>5224</v>
      </c>
      <c r="L748" s="1096">
        <v>0</v>
      </c>
      <c r="M748" s="1096" t="s">
        <v>5224</v>
      </c>
      <c r="N748" s="1096" t="s">
        <v>4627</v>
      </c>
      <c r="O748" s="1028"/>
      <c r="P748" s="1028" t="s">
        <v>780</v>
      </c>
      <c r="Q748" s="1097">
        <f t="shared" ref="Q748:Q758" ca="1" si="737">INDIRECT(P748)</f>
        <v>17</v>
      </c>
      <c r="R748" s="1034"/>
      <c r="S748" s="1028" t="s">
        <v>3616</v>
      </c>
      <c r="T748" s="1097">
        <f t="shared" ref="T748:T758" ca="1" si="738">INDIRECT(S748)</f>
        <v>17</v>
      </c>
      <c r="U748" s="1027">
        <v>3</v>
      </c>
      <c r="V748" s="1027">
        <f t="shared" ref="V748:V758" si="739">IF(AP748+U748&gt;10,10,IF(AP748+U748&lt;1,1,AP748+U748))</f>
        <v>2</v>
      </c>
      <c r="W748" s="1098" t="e">
        <f>IF(OR(I748&lt;&gt;"N",E748="C"),IF(AND(N748&lt;&gt;"T",ISNUMBER(FIND("V",I748))),1,0),NA())+IF(H748="Y",IF(AND(N748="P",ISNUMBER(FIND("Z",I748))),2,1),0)+IF(J748="Y",1,0)+IF(K748="Y",3,0)+IF(BE748="Lore",L748*2+Experience!$D$25,0)+IF(M748="Y",1,0)</f>
        <v>#N/A</v>
      </c>
      <c r="X748" s="1099"/>
      <c r="Y748" s="1100">
        <f ca="1">IF(P748="NS",IFERROR(INDIRECT(S748),NA()),VLOOKUP(INDIRECT(P748)+INDIRECT(S748),'System Lookups'!$A$3:$D$146,2))</f>
        <v>0.1</v>
      </c>
      <c r="Z748" s="1100">
        <f t="shared" ref="Z748:Z758" si="740">IF(ISNA(W748),0,W748*0.03)+IF(X748&gt;0,X748*0.03,0)+IF(AND(ISNA(W748),X748&lt;=0),0,IF(G748&gt;0,G748*0.07,0))</f>
        <v>0</v>
      </c>
      <c r="AA748" s="1101">
        <f ca="1">IF(ISNA(Y748),0,Y748)+Z748+IF('Main Creation Page'!AB$2=37,'Main Creation Page'!E$14/100,0)</f>
        <v>0.1</v>
      </c>
      <c r="AB748" s="1102">
        <f>VLOOKUP(V748,'System Lookups'!$J$55:$P$64,3)</f>
        <v>0.4</v>
      </c>
      <c r="AC748" s="1103">
        <f>VLOOKUP(V748,'System Lookups'!$J$55:$P$64,4)</f>
        <v>0.5</v>
      </c>
      <c r="AD748" s="1104">
        <f t="shared" ref="AD748:AD758" ca="1" si="741">IF(AND(ISBLANK(X748),ISNA(W748)),IF(B748="~",0,AB748+AA748+IF(BB748&gt;0,0.05,0)),AA748+AC748+IF(BB748&gt;0,0.05,0))</f>
        <v>0.55000000000000004</v>
      </c>
      <c r="AE748" s="1094">
        <f ca="1">(IF(AD748&gt;VLOOKUP(V748,'System Lookups'!$J$55:$P$63,6),(((AD748-VLOOKUP(V748,'System Lookups'!$J$55:$P$63,6))*100)/20),0))+AF748</f>
        <v>0</v>
      </c>
      <c r="AF748" s="1121"/>
      <c r="AG748" s="1092">
        <f t="shared" ref="AG748:AG758" si="742">IF(ISBLANK(X748),0,AQ748*X748+IF(ISNA(W748),1,0))</f>
        <v>0</v>
      </c>
      <c r="AH748" s="1092" t="str">
        <f>IF(X748&lt;=Experience!$R$15+1,"","*")</f>
        <v/>
      </c>
      <c r="AI748" s="1092"/>
      <c r="AJ748" s="1080">
        <f t="shared" ref="AJ748:AJ758" si="743">IF(ISNUMBER(FIND("R",F748)),-1,0)</f>
        <v>0</v>
      </c>
      <c r="AK748" s="1080">
        <f t="shared" ref="AK748:AK757" si="744">IF(F748="s",-2,0)</f>
        <v>0</v>
      </c>
      <c r="AL748" s="1080">
        <f t="shared" ref="AL748:AL758" si="745">IF(AND(H748="Y",OR(N748="P",N748="S")),-1,0)</f>
        <v>0</v>
      </c>
      <c r="AM748" s="1092">
        <f t="shared" ref="AM748:AM757" si="746">IF(J748="y",1,0)</f>
        <v>0</v>
      </c>
      <c r="AN748" s="1080">
        <f t="shared" ref="AN748:AN757" si="747">IF(N748="P",-1,IF(N748="T",1,0))</f>
        <v>-1</v>
      </c>
      <c r="AO748" s="1080">
        <f t="shared" ref="AO748:AO758" si="748">IF(ISNUMBER(FIND("Z",I748)),1,0)</f>
        <v>0</v>
      </c>
      <c r="AP748" s="1080">
        <f t="shared" ref="AP748:AP758" si="749">SUM(AJ748:AN748)-AM748</f>
        <v>-1</v>
      </c>
      <c r="AQ748" s="1027">
        <f>VLOOKUP(V748,'System Lookups'!$J$55:$P$64,7)</f>
        <v>400</v>
      </c>
      <c r="AR748" s="1080" t="str">
        <f ca="1">IF(AND(NOT(ISBLANK(AJ748)),ISNA(MATCH(ROW(),'System Lookups'!$C$526:$C$539,0))),"Y","N")</f>
        <v>Y</v>
      </c>
      <c r="AS748" s="1080">
        <f t="shared" ref="AS748:AS758" si="750">AG748-AI748</f>
        <v>0</v>
      </c>
      <c r="AU748" s="1080" t="e">
        <f t="shared" si="696"/>
        <v>#N/A</v>
      </c>
      <c r="AV748" s="1080" t="str">
        <f t="shared" si="694"/>
        <v>P</v>
      </c>
      <c r="AW748" s="1080">
        <f t="shared" si="697"/>
        <v>0</v>
      </c>
      <c r="AX748" s="1080">
        <f t="shared" si="698"/>
        <v>0</v>
      </c>
      <c r="AY748" s="1080">
        <f t="shared" si="699"/>
        <v>0</v>
      </c>
      <c r="AZ748" s="1080">
        <f t="shared" si="700"/>
        <v>0</v>
      </c>
      <c r="BA748" s="1080">
        <f t="shared" si="701"/>
        <v>0</v>
      </c>
      <c r="BB748" s="1080">
        <f>IF(AND(RACE=1,'Main Creation Page'!$E$6="Well",OR(ISNUMBER(FIND(Experience!$G$11,BE748)),ISNUMBER(FIND(Experience!$G$11,BF748)),ISNUMBER(FIND(Experience!$I$11,BE748)),ISNUMBER(FIND(Experience!$I$11,BF748)))),1,0)</f>
        <v>1</v>
      </c>
      <c r="BC748" s="1080" t="str">
        <f t="shared" si="703"/>
        <v>Anatomy</v>
      </c>
      <c r="BE748" s="1080" t="str">
        <f t="shared" si="695"/>
        <v>Lore</v>
      </c>
      <c r="BF748" s="1080" t="str">
        <f t="shared" si="718"/>
        <v>Materia Medicina: Healing Lore Skills</v>
      </c>
    </row>
    <row r="749" spans="1:58" ht="11.1" hidden="1" customHeight="1" outlineLevel="2">
      <c r="A749" s="1093" t="s">
        <v>5292</v>
      </c>
      <c r="B749" s="1094"/>
      <c r="C749" s="1094"/>
      <c r="D749" s="1094"/>
      <c r="E749" s="1095" t="s">
        <v>5224</v>
      </c>
      <c r="F749" s="1095" t="s">
        <v>5224</v>
      </c>
      <c r="G749" s="1096">
        <v>0</v>
      </c>
      <c r="H749" s="1096" t="s">
        <v>5224</v>
      </c>
      <c r="I749" s="1096" t="s">
        <v>5224</v>
      </c>
      <c r="J749" s="1096" t="s">
        <v>5224</v>
      </c>
      <c r="K749" s="1096" t="s">
        <v>5224</v>
      </c>
      <c r="L749" s="1096">
        <v>0</v>
      </c>
      <c r="M749" s="1096" t="s">
        <v>5224</v>
      </c>
      <c r="N749" s="1096" t="s">
        <v>4627</v>
      </c>
      <c r="O749" s="1028"/>
      <c r="P749" s="1028" t="s">
        <v>780</v>
      </c>
      <c r="Q749" s="1097">
        <f t="shared" ca="1" si="737"/>
        <v>17</v>
      </c>
      <c r="R749" s="1034"/>
      <c r="S749" s="1028" t="s">
        <v>3616</v>
      </c>
      <c r="T749" s="1097">
        <f t="shared" ca="1" si="738"/>
        <v>17</v>
      </c>
      <c r="U749" s="1027">
        <v>4</v>
      </c>
      <c r="V749" s="1027">
        <f t="shared" si="739"/>
        <v>3</v>
      </c>
      <c r="W749" s="1098" t="e">
        <f>IF(OR(I749&lt;&gt;"N",E749="C"),IF(AND(N749&lt;&gt;"T",ISNUMBER(FIND("V",I749))),1,0),NA())+IF(H749="Y",IF(AND(N749="P",ISNUMBER(FIND("Z",I749))),2,1),0)+IF(J749="Y",1,0)+IF(K749="Y",3,0)+IF(BE749="Lore",L749*2+Experience!$D$25,0)+IF(M749="Y",1,0)</f>
        <v>#N/A</v>
      </c>
      <c r="X749" s="1099"/>
      <c r="Y749" s="1100">
        <f ca="1">IF(P749="NS",IFERROR(INDIRECT(S749),NA()),VLOOKUP(INDIRECT(P749)+INDIRECT(S749),'System Lookups'!$A$3:$D$146,2))</f>
        <v>0.1</v>
      </c>
      <c r="Z749" s="1100">
        <f t="shared" si="740"/>
        <v>0</v>
      </c>
      <c r="AA749" s="1101">
        <f ca="1">IF(ISNA(Y749),0,Y749)+Z749+IF('Main Creation Page'!AB$2=37,'Main Creation Page'!E$14/100,0)</f>
        <v>0.1</v>
      </c>
      <c r="AB749" s="1102">
        <f>VLOOKUP(V749,'System Lookups'!$J$55:$P$64,3)</f>
        <v>0.3</v>
      </c>
      <c r="AC749" s="1103">
        <f>VLOOKUP(V749,'System Lookups'!$J$55:$P$64,4)</f>
        <v>0.4</v>
      </c>
      <c r="AD749" s="1104">
        <f t="shared" ca="1" si="741"/>
        <v>0.45</v>
      </c>
      <c r="AE749" s="1094">
        <f ca="1">(IF(AD749&gt;VLOOKUP(V749,'System Lookups'!$J$55:$P$63,6),(((AD749-VLOOKUP(V749,'System Lookups'!$J$55:$P$63,6))*100)/20),0))+AF749</f>
        <v>0</v>
      </c>
      <c r="AF749" s="1121"/>
      <c r="AG749" s="1092">
        <f t="shared" si="742"/>
        <v>0</v>
      </c>
      <c r="AH749" s="1092" t="str">
        <f>IF(X749&lt;=Experience!$R$15+1,"","*")</f>
        <v/>
      </c>
      <c r="AI749" s="1092"/>
      <c r="AJ749" s="1080">
        <f t="shared" si="743"/>
        <v>0</v>
      </c>
      <c r="AK749" s="1080">
        <f t="shared" si="744"/>
        <v>0</v>
      </c>
      <c r="AL749" s="1080">
        <f t="shared" si="745"/>
        <v>0</v>
      </c>
      <c r="AM749" s="1092">
        <f t="shared" si="746"/>
        <v>0</v>
      </c>
      <c r="AN749" s="1080">
        <f t="shared" si="747"/>
        <v>-1</v>
      </c>
      <c r="AO749" s="1080">
        <f t="shared" si="748"/>
        <v>0</v>
      </c>
      <c r="AP749" s="1080">
        <f t="shared" si="749"/>
        <v>-1</v>
      </c>
      <c r="AQ749" s="1027">
        <f>VLOOKUP(V749,'System Lookups'!$J$55:$P$64,7)</f>
        <v>500</v>
      </c>
      <c r="AR749" s="1080" t="str">
        <f ca="1">IF(AND(NOT(ISBLANK(AJ749)),ISNA(MATCH(ROW(),'System Lookups'!$C$526:$C$539,0))),"Y","N")</f>
        <v>Y</v>
      </c>
      <c r="AS749" s="1080">
        <f t="shared" si="750"/>
        <v>0</v>
      </c>
      <c r="AU749" s="1080" t="e">
        <f t="shared" si="696"/>
        <v>#N/A</v>
      </c>
      <c r="AV749" s="1080" t="str">
        <f t="shared" si="694"/>
        <v>P</v>
      </c>
      <c r="AW749" s="1080">
        <f t="shared" si="697"/>
        <v>0</v>
      </c>
      <c r="AX749" s="1080">
        <f t="shared" si="698"/>
        <v>0</v>
      </c>
      <c r="AY749" s="1080">
        <f t="shared" si="699"/>
        <v>0</v>
      </c>
      <c r="AZ749" s="1080">
        <f t="shared" si="700"/>
        <v>0</v>
      </c>
      <c r="BA749" s="1080">
        <f t="shared" si="701"/>
        <v>0</v>
      </c>
      <c r="BB749" s="1080">
        <f>IF(AND(RACE=1,'Main Creation Page'!$E$6="Well",OR(ISNUMBER(FIND(Experience!$G$11,BE749)),ISNUMBER(FIND(Experience!$G$11,BF749)),ISNUMBER(FIND(Experience!$I$11,BE749)),ISNUMBER(FIND(Experience!$I$11,BF749)))),1,0)</f>
        <v>1</v>
      </c>
      <c r="BC749" s="1080" t="str">
        <f t="shared" si="703"/>
        <v>Anatomy:Centaur</v>
      </c>
      <c r="BD749" s="1080" t="s">
        <v>5705</v>
      </c>
      <c r="BE749" s="1080" t="str">
        <f t="shared" si="695"/>
        <v>Lore</v>
      </c>
      <c r="BF749" s="1080" t="str">
        <f t="shared" si="718"/>
        <v>Materia Medicina: Healing Lore Skills</v>
      </c>
    </row>
    <row r="750" spans="1:58" ht="11.1" hidden="1" customHeight="1" outlineLevel="2">
      <c r="A750" s="1093" t="s">
        <v>1418</v>
      </c>
      <c r="B750" s="1094"/>
      <c r="C750" s="1094"/>
      <c r="D750" s="1094"/>
      <c r="E750" s="1095" t="s">
        <v>5224</v>
      </c>
      <c r="F750" s="1095" t="s">
        <v>5224</v>
      </c>
      <c r="G750" s="1096">
        <v>0</v>
      </c>
      <c r="H750" s="1096" t="s">
        <v>5224</v>
      </c>
      <c r="I750" s="1096" t="s">
        <v>5224</v>
      </c>
      <c r="J750" s="1096" t="s">
        <v>5224</v>
      </c>
      <c r="K750" s="1096" t="s">
        <v>5224</v>
      </c>
      <c r="L750" s="1096">
        <v>0</v>
      </c>
      <c r="M750" s="1096" t="s">
        <v>5224</v>
      </c>
      <c r="N750" s="1096" t="s">
        <v>4627</v>
      </c>
      <c r="O750" s="1028"/>
      <c r="P750" s="1028" t="s">
        <v>780</v>
      </c>
      <c r="Q750" s="1097">
        <f t="shared" ca="1" si="737"/>
        <v>17</v>
      </c>
      <c r="R750" s="1034"/>
      <c r="S750" s="1028" t="s">
        <v>3616</v>
      </c>
      <c r="T750" s="1097">
        <f t="shared" ca="1" si="738"/>
        <v>17</v>
      </c>
      <c r="U750" s="1027">
        <v>3</v>
      </c>
      <c r="V750" s="1027">
        <f t="shared" si="739"/>
        <v>2</v>
      </c>
      <c r="W750" s="1098" t="e">
        <f>IF(OR(I750&lt;&gt;"N",E750="C"),IF(AND(N750&lt;&gt;"T",ISNUMBER(FIND("V",I750))),1,0),NA())+IF(H750="Y",IF(AND(N750="P",ISNUMBER(FIND("Z",I750))),2,1),0)+IF(J750="Y",1,0)+IF(K750="Y",3,0)+IF(BE750="Lore",L750*2+Experience!$D$25,0)+IF(M750="Y",1,0)</f>
        <v>#N/A</v>
      </c>
      <c r="X750" s="1099"/>
      <c r="Y750" s="1100">
        <f ca="1">IF(P750="NS",IFERROR(INDIRECT(S750),NA()),VLOOKUP(INDIRECT(P750)+INDIRECT(S750),'System Lookups'!$A$3:$D$146,2))</f>
        <v>0.1</v>
      </c>
      <c r="Z750" s="1100">
        <f t="shared" si="740"/>
        <v>0</v>
      </c>
      <c r="AA750" s="1101">
        <f ca="1">IF(ISNA(Y750),0,Y750)+Z750+IF('Main Creation Page'!AB$2=37,'Main Creation Page'!E$14/100,0)</f>
        <v>0.1</v>
      </c>
      <c r="AB750" s="1102">
        <f>VLOOKUP(V750,'System Lookups'!$J$55:$P$64,3)</f>
        <v>0.4</v>
      </c>
      <c r="AC750" s="1103">
        <f>VLOOKUP(V750,'System Lookups'!$J$55:$P$64,4)</f>
        <v>0.5</v>
      </c>
      <c r="AD750" s="1104">
        <f t="shared" ca="1" si="741"/>
        <v>0.55000000000000004</v>
      </c>
      <c r="AE750" s="1094">
        <f ca="1">(IF(AD750&gt;VLOOKUP(V750,'System Lookups'!$J$55:$P$63,6),(((AD750-VLOOKUP(V750,'System Lookups'!$J$55:$P$63,6))*100)/20),0))+AF750</f>
        <v>0</v>
      </c>
      <c r="AF750" s="1121"/>
      <c r="AG750" s="1092">
        <f t="shared" si="742"/>
        <v>0</v>
      </c>
      <c r="AH750" s="1092" t="str">
        <f>IF(X750&lt;=Experience!$R$15+1,"","*")</f>
        <v/>
      </c>
      <c r="AI750" s="1092"/>
      <c r="AJ750" s="1080">
        <f t="shared" si="743"/>
        <v>0</v>
      </c>
      <c r="AK750" s="1080">
        <f t="shared" si="744"/>
        <v>0</v>
      </c>
      <c r="AL750" s="1080">
        <f t="shared" si="745"/>
        <v>0</v>
      </c>
      <c r="AM750" s="1092">
        <f t="shared" si="746"/>
        <v>0</v>
      </c>
      <c r="AN750" s="1080">
        <f t="shared" si="747"/>
        <v>-1</v>
      </c>
      <c r="AO750" s="1080">
        <f t="shared" si="748"/>
        <v>0</v>
      </c>
      <c r="AP750" s="1080">
        <f t="shared" si="749"/>
        <v>-1</v>
      </c>
      <c r="AQ750" s="1027">
        <f>VLOOKUP(V750,'System Lookups'!$J$55:$P$64,7)</f>
        <v>400</v>
      </c>
      <c r="AR750" s="1080" t="str">
        <f ca="1">IF(AND(NOT(ISBLANK(AJ750)),ISNA(MATCH(ROW(),'System Lookups'!$C$526:$C$539,0))),"Y","N")</f>
        <v>Y</v>
      </c>
      <c r="AS750" s="1080">
        <f t="shared" si="750"/>
        <v>0</v>
      </c>
      <c r="AU750" s="1080" t="e">
        <f t="shared" si="696"/>
        <v>#N/A</v>
      </c>
      <c r="AV750" s="1080" t="str">
        <f t="shared" si="694"/>
        <v>P</v>
      </c>
      <c r="AW750" s="1080">
        <f t="shared" si="697"/>
        <v>0</v>
      </c>
      <c r="AX750" s="1080">
        <f t="shared" si="698"/>
        <v>0</v>
      </c>
      <c r="AY750" s="1080">
        <f t="shared" si="699"/>
        <v>0</v>
      </c>
      <c r="AZ750" s="1080">
        <f t="shared" si="700"/>
        <v>0</v>
      </c>
      <c r="BA750" s="1080">
        <f t="shared" si="701"/>
        <v>0</v>
      </c>
      <c r="BB750" s="1080">
        <f>IF(AND(RACE=1,'Main Creation Page'!$E$6="Well",OR(ISNUMBER(FIND(Experience!$G$11,BE750)),ISNUMBER(FIND(Experience!$G$11,BF750)),ISNUMBER(FIND(Experience!$I$11,BE750)),ISNUMBER(FIND(Experience!$I$11,BF750)))),1,0)</f>
        <v>1</v>
      </c>
      <c r="BC750" s="1080" t="str">
        <f t="shared" si="703"/>
        <v>Anatomy:Dwarven</v>
      </c>
      <c r="BD750" s="1080" t="s">
        <v>5705</v>
      </c>
      <c r="BE750" s="1080" t="str">
        <f t="shared" si="695"/>
        <v>Lore</v>
      </c>
      <c r="BF750" s="1080" t="str">
        <f t="shared" si="718"/>
        <v>Materia Medicina: Healing Lore Skills</v>
      </c>
    </row>
    <row r="751" spans="1:58" ht="11.1" hidden="1" customHeight="1" outlineLevel="2">
      <c r="A751" s="1093" t="s">
        <v>1417</v>
      </c>
      <c r="B751" s="1094"/>
      <c r="C751" s="1094"/>
      <c r="D751" s="1094"/>
      <c r="E751" s="1095" t="s">
        <v>5224</v>
      </c>
      <c r="F751" s="1095" t="s">
        <v>5224</v>
      </c>
      <c r="G751" s="1096">
        <v>0</v>
      </c>
      <c r="H751" s="1096" t="s">
        <v>5224</v>
      </c>
      <c r="I751" s="1096" t="s">
        <v>5224</v>
      </c>
      <c r="J751" s="1096" t="s">
        <v>5224</v>
      </c>
      <c r="K751" s="1096" t="s">
        <v>5224</v>
      </c>
      <c r="L751" s="1096">
        <v>0</v>
      </c>
      <c r="M751" s="1096" t="s">
        <v>5224</v>
      </c>
      <c r="N751" s="1096" t="s">
        <v>4627</v>
      </c>
      <c r="O751" s="1028"/>
      <c r="P751" s="1028" t="s">
        <v>780</v>
      </c>
      <c r="Q751" s="1097">
        <f t="shared" ca="1" si="737"/>
        <v>17</v>
      </c>
      <c r="R751" s="1034"/>
      <c r="S751" s="1028" t="s">
        <v>3616</v>
      </c>
      <c r="T751" s="1097">
        <f t="shared" ca="1" si="738"/>
        <v>17</v>
      </c>
      <c r="U751" s="1027">
        <v>3</v>
      </c>
      <c r="V751" s="1027">
        <f t="shared" si="739"/>
        <v>2</v>
      </c>
      <c r="W751" s="1098" t="e">
        <f>IF(OR(I751&lt;&gt;"N",E751="C"),IF(AND(N751&lt;&gt;"T",ISNUMBER(FIND("V",I751))),1,0),NA())+IF(H751="Y",IF(AND(N751="P",ISNUMBER(FIND("Z",I751))),2,1),0)+IF(J751="Y",1,0)+IF(K751="Y",3,0)+IF(BE751="Lore",L751*2+Experience!$D$25,0)+IF(M751="Y",1,0)</f>
        <v>#N/A</v>
      </c>
      <c r="X751" s="1099"/>
      <c r="Y751" s="1100">
        <f ca="1">IF(P751="NS",IFERROR(INDIRECT(S751),NA()),VLOOKUP(INDIRECT(P751)+INDIRECT(S751),'System Lookups'!$A$3:$D$146,2))</f>
        <v>0.1</v>
      </c>
      <c r="Z751" s="1100">
        <f t="shared" si="740"/>
        <v>0</v>
      </c>
      <c r="AA751" s="1101">
        <f ca="1">IF(ISNA(Y751),0,Y751)+Z751+IF('Main Creation Page'!AB$2=37,'Main Creation Page'!E$14/100,0)</f>
        <v>0.1</v>
      </c>
      <c r="AB751" s="1102">
        <f>VLOOKUP(V751,'System Lookups'!$J$55:$P$64,3)</f>
        <v>0.4</v>
      </c>
      <c r="AC751" s="1103">
        <f>VLOOKUP(V751,'System Lookups'!$J$55:$P$64,4)</f>
        <v>0.5</v>
      </c>
      <c r="AD751" s="1104">
        <f t="shared" ca="1" si="741"/>
        <v>0.55000000000000004</v>
      </c>
      <c r="AE751" s="1094">
        <f ca="1">(IF(AD751&gt;VLOOKUP(V751,'System Lookups'!$J$55:$P$63,6),(((AD751-VLOOKUP(V751,'System Lookups'!$J$55:$P$63,6))*100)/20),0))+AF751</f>
        <v>0</v>
      </c>
      <c r="AF751" s="1121"/>
      <c r="AG751" s="1092">
        <f t="shared" si="742"/>
        <v>0</v>
      </c>
      <c r="AH751" s="1092" t="str">
        <f>IF(X751&lt;=Experience!$R$15+1,"","*")</f>
        <v/>
      </c>
      <c r="AI751" s="1092"/>
      <c r="AJ751" s="1080">
        <f t="shared" si="743"/>
        <v>0</v>
      </c>
      <c r="AK751" s="1080">
        <f t="shared" si="744"/>
        <v>0</v>
      </c>
      <c r="AL751" s="1080">
        <f t="shared" si="745"/>
        <v>0</v>
      </c>
      <c r="AM751" s="1092">
        <f t="shared" si="746"/>
        <v>0</v>
      </c>
      <c r="AN751" s="1080">
        <f t="shared" si="747"/>
        <v>-1</v>
      </c>
      <c r="AO751" s="1080">
        <f t="shared" si="748"/>
        <v>0</v>
      </c>
      <c r="AP751" s="1080">
        <f t="shared" si="749"/>
        <v>-1</v>
      </c>
      <c r="AQ751" s="1027">
        <f>VLOOKUP(V751,'System Lookups'!$J$55:$P$64,7)</f>
        <v>400</v>
      </c>
      <c r="AR751" s="1080" t="str">
        <f ca="1">IF(AND(NOT(ISBLANK(AJ751)),ISNA(MATCH(ROW(),'System Lookups'!$C$526:$C$539,0))),"Y","N")</f>
        <v>Y</v>
      </c>
      <c r="AS751" s="1080">
        <f t="shared" si="750"/>
        <v>0</v>
      </c>
      <c r="AU751" s="1080" t="e">
        <f t="shared" si="696"/>
        <v>#N/A</v>
      </c>
      <c r="AV751" s="1080" t="str">
        <f t="shared" si="694"/>
        <v>P</v>
      </c>
      <c r="AW751" s="1080">
        <f t="shared" si="697"/>
        <v>0</v>
      </c>
      <c r="AX751" s="1080">
        <f t="shared" si="698"/>
        <v>0</v>
      </c>
      <c r="AY751" s="1080">
        <f t="shared" si="699"/>
        <v>0</v>
      </c>
      <c r="AZ751" s="1080">
        <f t="shared" si="700"/>
        <v>0</v>
      </c>
      <c r="BA751" s="1080">
        <f t="shared" si="701"/>
        <v>0</v>
      </c>
      <c r="BB751" s="1080">
        <f>IF(AND(RACE=1,'Main Creation Page'!$E$6="Well",OR(ISNUMBER(FIND(Experience!$G$11,BE751)),ISNUMBER(FIND(Experience!$G$11,BF751)),ISNUMBER(FIND(Experience!$I$11,BE751)),ISNUMBER(FIND(Experience!$I$11,BF751)))),1,0)</f>
        <v>1</v>
      </c>
      <c r="BC751" s="1080" t="str">
        <f t="shared" si="703"/>
        <v>Anatomy:Elven</v>
      </c>
      <c r="BD751" s="1080" t="s">
        <v>5705</v>
      </c>
      <c r="BE751" s="1080" t="str">
        <f t="shared" si="695"/>
        <v>Lore</v>
      </c>
      <c r="BF751" s="1080" t="str">
        <f t="shared" si="718"/>
        <v>Materia Medicina: Healing Lore Skills</v>
      </c>
    </row>
    <row r="752" spans="1:58" ht="11.1" hidden="1" customHeight="1" outlineLevel="2">
      <c r="A752" s="1093" t="s">
        <v>1346</v>
      </c>
      <c r="B752" s="1094"/>
      <c r="C752" s="1094"/>
      <c r="D752" s="1094"/>
      <c r="E752" s="1095" t="s">
        <v>5224</v>
      </c>
      <c r="F752" s="1095" t="s">
        <v>5224</v>
      </c>
      <c r="G752" s="1096">
        <v>0</v>
      </c>
      <c r="H752" s="1096" t="s">
        <v>5224</v>
      </c>
      <c r="I752" s="1096" t="s">
        <v>5224</v>
      </c>
      <c r="J752" s="1096" t="s">
        <v>5224</v>
      </c>
      <c r="K752" s="1096" t="s">
        <v>5224</v>
      </c>
      <c r="L752" s="1096">
        <v>0</v>
      </c>
      <c r="M752" s="1096" t="s">
        <v>5224</v>
      </c>
      <c r="N752" s="1096" t="s">
        <v>4627</v>
      </c>
      <c r="O752" s="1028"/>
      <c r="P752" s="1028" t="s">
        <v>780</v>
      </c>
      <c r="Q752" s="1097">
        <f t="shared" ca="1" si="737"/>
        <v>17</v>
      </c>
      <c r="R752" s="1034"/>
      <c r="S752" s="1028" t="s">
        <v>3616</v>
      </c>
      <c r="T752" s="1097">
        <f t="shared" ca="1" si="738"/>
        <v>17</v>
      </c>
      <c r="U752" s="1027">
        <v>3</v>
      </c>
      <c r="V752" s="1027">
        <f t="shared" si="739"/>
        <v>2</v>
      </c>
      <c r="W752" s="1098" t="e">
        <f>IF(OR(I752&lt;&gt;"N",E752="C"),IF(AND(N752&lt;&gt;"T",ISNUMBER(FIND("V",I752))),1,0),NA())+IF(H752="Y",IF(AND(N752="P",ISNUMBER(FIND("Z",I752))),2,1),0)+IF(J752="Y",1,0)+IF(K752="Y",3,0)+IF(BE752="Lore",L752*2+Experience!$D$25,0)+IF(M752="Y",1,0)</f>
        <v>#N/A</v>
      </c>
      <c r="X752" s="1099"/>
      <c r="Y752" s="1100">
        <f ca="1">IF(P752="NS",IFERROR(INDIRECT(S752),NA()),VLOOKUP(INDIRECT(P752)+INDIRECT(S752),'System Lookups'!$A$3:$D$146,2))</f>
        <v>0.1</v>
      </c>
      <c r="Z752" s="1100">
        <f t="shared" si="740"/>
        <v>0</v>
      </c>
      <c r="AA752" s="1101">
        <f ca="1">IF(ISNA(Y752),0,Y752)+Z752+IF('Main Creation Page'!AB$2=37,'Main Creation Page'!E$14/100,0)</f>
        <v>0.1</v>
      </c>
      <c r="AB752" s="1102">
        <f>VLOOKUP(V752,'System Lookups'!$J$55:$P$64,3)</f>
        <v>0.4</v>
      </c>
      <c r="AC752" s="1103">
        <f>VLOOKUP(V752,'System Lookups'!$J$55:$P$64,4)</f>
        <v>0.5</v>
      </c>
      <c r="AD752" s="1104">
        <f t="shared" ca="1" si="741"/>
        <v>0.55000000000000004</v>
      </c>
      <c r="AE752" s="1094">
        <f ca="1">(IF(AD752&gt;VLOOKUP(V752,'System Lookups'!$J$55:$P$63,6),(((AD752-VLOOKUP(V752,'System Lookups'!$J$55:$P$63,6))*100)/20),0))+AF752</f>
        <v>0</v>
      </c>
      <c r="AF752" s="1121"/>
      <c r="AG752" s="1092">
        <f t="shared" si="742"/>
        <v>0</v>
      </c>
      <c r="AH752" s="1092" t="str">
        <f>IF(X752&lt;=Experience!$R$15+1,"","*")</f>
        <v/>
      </c>
      <c r="AI752" s="1092"/>
      <c r="AJ752" s="1080">
        <f t="shared" si="743"/>
        <v>0</v>
      </c>
      <c r="AK752" s="1080">
        <f t="shared" si="744"/>
        <v>0</v>
      </c>
      <c r="AL752" s="1080">
        <f t="shared" si="745"/>
        <v>0</v>
      </c>
      <c r="AM752" s="1092">
        <f t="shared" si="746"/>
        <v>0</v>
      </c>
      <c r="AN752" s="1080">
        <f t="shared" si="747"/>
        <v>-1</v>
      </c>
      <c r="AO752" s="1080">
        <f t="shared" si="748"/>
        <v>0</v>
      </c>
      <c r="AP752" s="1080">
        <f t="shared" si="749"/>
        <v>-1</v>
      </c>
      <c r="AQ752" s="1027">
        <f>VLOOKUP(V752,'System Lookups'!$J$55:$P$64,7)</f>
        <v>400</v>
      </c>
      <c r="AR752" s="1080" t="str">
        <f ca="1">IF(AND(NOT(ISBLANK(AJ752)),ISNA(MATCH(ROW(),'System Lookups'!$C$526:$C$539,0))),"Y","N")</f>
        <v>Y</v>
      </c>
      <c r="AS752" s="1080">
        <f t="shared" si="750"/>
        <v>0</v>
      </c>
      <c r="AU752" s="1080" t="e">
        <f t="shared" si="696"/>
        <v>#N/A</v>
      </c>
      <c r="AV752" s="1080" t="str">
        <f t="shared" si="694"/>
        <v>P</v>
      </c>
      <c r="AW752" s="1080">
        <f t="shared" si="697"/>
        <v>0</v>
      </c>
      <c r="AX752" s="1080">
        <f t="shared" si="698"/>
        <v>0</v>
      </c>
      <c r="AY752" s="1080">
        <f t="shared" si="699"/>
        <v>0</v>
      </c>
      <c r="AZ752" s="1080">
        <f t="shared" si="700"/>
        <v>0</v>
      </c>
      <c r="BA752" s="1080">
        <f t="shared" si="701"/>
        <v>0</v>
      </c>
      <c r="BB752" s="1080">
        <f>IF(AND(RACE=1,'Main Creation Page'!$E$6="Well",OR(ISNUMBER(FIND(Experience!$G$11,BE752)),ISNUMBER(FIND(Experience!$G$11,BF752)),ISNUMBER(FIND(Experience!$I$11,BE752)),ISNUMBER(FIND(Experience!$I$11,BF752)))),1,0)</f>
        <v>1</v>
      </c>
      <c r="BC752" s="1080" t="str">
        <f t="shared" si="703"/>
        <v>Anatomy:Haeflin</v>
      </c>
      <c r="BD752" s="1080" t="s">
        <v>5705</v>
      </c>
      <c r="BE752" s="1080" t="str">
        <f t="shared" si="695"/>
        <v>Lore</v>
      </c>
      <c r="BF752" s="1080" t="str">
        <f t="shared" si="718"/>
        <v>Materia Medicina: Healing Lore Skills</v>
      </c>
    </row>
    <row r="753" spans="1:58" ht="11.1" hidden="1" customHeight="1" outlineLevel="2">
      <c r="A753" s="1093" t="s">
        <v>5074</v>
      </c>
      <c r="B753" s="1094"/>
      <c r="C753" s="1094"/>
      <c r="D753" s="1094"/>
      <c r="E753" s="1095" t="s">
        <v>5224</v>
      </c>
      <c r="F753" s="1095" t="s">
        <v>5224</v>
      </c>
      <c r="G753" s="1096">
        <v>0</v>
      </c>
      <c r="H753" s="1096" t="s">
        <v>5224</v>
      </c>
      <c r="I753" s="1096" t="s">
        <v>5224</v>
      </c>
      <c r="J753" s="1096" t="s">
        <v>5224</v>
      </c>
      <c r="K753" s="1096" t="s">
        <v>5224</v>
      </c>
      <c r="L753" s="1096">
        <v>0</v>
      </c>
      <c r="M753" s="1096" t="s">
        <v>5224</v>
      </c>
      <c r="N753" s="1096" t="s">
        <v>4627</v>
      </c>
      <c r="O753" s="1028"/>
      <c r="P753" s="1028" t="s">
        <v>780</v>
      </c>
      <c r="Q753" s="1097">
        <f t="shared" ca="1" si="737"/>
        <v>17</v>
      </c>
      <c r="R753" s="1034"/>
      <c r="S753" s="1028" t="s">
        <v>3616</v>
      </c>
      <c r="T753" s="1097">
        <f t="shared" ca="1" si="738"/>
        <v>17</v>
      </c>
      <c r="U753" s="1027">
        <v>3</v>
      </c>
      <c r="V753" s="1027">
        <f t="shared" si="739"/>
        <v>2</v>
      </c>
      <c r="W753" s="1098" t="e">
        <f>IF(OR(I753&lt;&gt;"N",E753="C"),IF(AND(N753&lt;&gt;"T",ISNUMBER(FIND("V",I753))),1,0),NA())+IF(H753="Y",IF(AND(N753="P",ISNUMBER(FIND("Z",I753))),2,1),0)+IF(J753="Y",1,0)+IF(K753="Y",3,0)+IF(BE753="Lore",L753*2+Experience!$D$25,0)+IF(M753="Y",1,0)</f>
        <v>#N/A</v>
      </c>
      <c r="X753" s="1099"/>
      <c r="Y753" s="1100">
        <f ca="1">IF(P753="NS",IFERROR(INDIRECT(S753),NA()),VLOOKUP(INDIRECT(P753)+INDIRECT(S753),'System Lookups'!$A$3:$D$146,2))</f>
        <v>0.1</v>
      </c>
      <c r="Z753" s="1100">
        <f t="shared" si="740"/>
        <v>0</v>
      </c>
      <c r="AA753" s="1101">
        <f ca="1">IF(ISNA(Y753),0,Y753)+Z753+IF('Main Creation Page'!AB$2=37,'Main Creation Page'!E$14/100,0)</f>
        <v>0.1</v>
      </c>
      <c r="AB753" s="1102">
        <f>VLOOKUP(V753,'System Lookups'!$J$55:$P$64,3)</f>
        <v>0.4</v>
      </c>
      <c r="AC753" s="1103">
        <f>VLOOKUP(V753,'System Lookups'!$J$55:$P$64,4)</f>
        <v>0.5</v>
      </c>
      <c r="AD753" s="1104">
        <f t="shared" ca="1" si="741"/>
        <v>0.55000000000000004</v>
      </c>
      <c r="AE753" s="1094">
        <f ca="1">(IF(AD753&gt;VLOOKUP(V753,'System Lookups'!$J$55:$P$63,6),(((AD753-VLOOKUP(V753,'System Lookups'!$J$55:$P$63,6))*100)/20),0))+AF753</f>
        <v>0</v>
      </c>
      <c r="AF753" s="1121"/>
      <c r="AG753" s="1092">
        <f t="shared" si="742"/>
        <v>0</v>
      </c>
      <c r="AH753" s="1092" t="str">
        <f>IF(X753&lt;=Experience!$R$15+1,"","*")</f>
        <v/>
      </c>
      <c r="AI753" s="1092"/>
      <c r="AJ753" s="1080">
        <f t="shared" si="743"/>
        <v>0</v>
      </c>
      <c r="AK753" s="1080">
        <f t="shared" si="744"/>
        <v>0</v>
      </c>
      <c r="AL753" s="1080">
        <f t="shared" si="745"/>
        <v>0</v>
      </c>
      <c r="AM753" s="1092">
        <f t="shared" si="746"/>
        <v>0</v>
      </c>
      <c r="AN753" s="1080">
        <f t="shared" si="747"/>
        <v>-1</v>
      </c>
      <c r="AO753" s="1080">
        <f t="shared" si="748"/>
        <v>0</v>
      </c>
      <c r="AP753" s="1080">
        <f t="shared" si="749"/>
        <v>-1</v>
      </c>
      <c r="AQ753" s="1027">
        <f>VLOOKUP(V753,'System Lookups'!$J$55:$P$64,7)</f>
        <v>400</v>
      </c>
      <c r="AR753" s="1080" t="str">
        <f ca="1">IF(AND(NOT(ISBLANK(AJ753)),ISNA(MATCH(ROW(),'System Lookups'!$C$526:$C$539,0))),"Y","N")</f>
        <v>Y</v>
      </c>
      <c r="AS753" s="1080">
        <f t="shared" si="750"/>
        <v>0</v>
      </c>
      <c r="AU753" s="1080" t="e">
        <f t="shared" si="696"/>
        <v>#N/A</v>
      </c>
      <c r="AV753" s="1080" t="str">
        <f t="shared" si="694"/>
        <v>P</v>
      </c>
      <c r="AW753" s="1080">
        <f t="shared" si="697"/>
        <v>0</v>
      </c>
      <c r="AX753" s="1080">
        <f t="shared" si="698"/>
        <v>0</v>
      </c>
      <c r="AY753" s="1080">
        <f t="shared" si="699"/>
        <v>0</v>
      </c>
      <c r="AZ753" s="1080">
        <f t="shared" si="700"/>
        <v>0</v>
      </c>
      <c r="BA753" s="1080">
        <f t="shared" si="701"/>
        <v>0</v>
      </c>
      <c r="BB753" s="1080">
        <f>IF(AND(RACE=1,'Main Creation Page'!$E$6="Well",OR(ISNUMBER(FIND(Experience!$G$11,BE753)),ISNUMBER(FIND(Experience!$G$11,BF753)),ISNUMBER(FIND(Experience!$I$11,BE753)),ISNUMBER(FIND(Experience!$I$11,BF753)))),1,0)</f>
        <v>1</v>
      </c>
      <c r="BC753" s="1080" t="str">
        <f t="shared" si="703"/>
        <v>Anatomy:Human</v>
      </c>
      <c r="BD753" s="1080" t="s">
        <v>5705</v>
      </c>
      <c r="BE753" s="1080" t="str">
        <f t="shared" si="695"/>
        <v>Lore</v>
      </c>
      <c r="BF753" s="1080" t="str">
        <f t="shared" si="718"/>
        <v>Materia Medicina: Healing Lore Skills</v>
      </c>
    </row>
    <row r="754" spans="1:58" ht="11.1" hidden="1" customHeight="1" outlineLevel="2">
      <c r="A754" s="1093" t="s">
        <v>5590</v>
      </c>
      <c r="B754" s="1094"/>
      <c r="C754" s="1094"/>
      <c r="D754" s="1094"/>
      <c r="E754" s="1095" t="s">
        <v>5224</v>
      </c>
      <c r="F754" s="1095" t="s">
        <v>5224</v>
      </c>
      <c r="G754" s="1096">
        <v>0</v>
      </c>
      <c r="H754" s="1096" t="s">
        <v>5224</v>
      </c>
      <c r="I754" s="1096" t="s">
        <v>5224</v>
      </c>
      <c r="J754" s="1096" t="s">
        <v>5224</v>
      </c>
      <c r="K754" s="1096" t="s">
        <v>5224</v>
      </c>
      <c r="L754" s="1096">
        <v>0</v>
      </c>
      <c r="M754" s="1096" t="s">
        <v>5224</v>
      </c>
      <c r="N754" s="1096" t="s">
        <v>4627</v>
      </c>
      <c r="O754" s="1028"/>
      <c r="P754" s="1028" t="s">
        <v>780</v>
      </c>
      <c r="Q754" s="1097">
        <f t="shared" ca="1" si="737"/>
        <v>17</v>
      </c>
      <c r="R754" s="1034"/>
      <c r="S754" s="1028" t="s">
        <v>3616</v>
      </c>
      <c r="T754" s="1097">
        <f t="shared" ca="1" si="738"/>
        <v>17</v>
      </c>
      <c r="U754" s="1027">
        <v>4</v>
      </c>
      <c r="V754" s="1027">
        <f t="shared" si="739"/>
        <v>3</v>
      </c>
      <c r="W754" s="1098" t="e">
        <f>IF(OR(I754&lt;&gt;"N",E754="C"),IF(AND(N754&lt;&gt;"T",ISNUMBER(FIND("V",I754))),1,0),NA())+IF(H754="Y",IF(AND(N754="P",ISNUMBER(FIND("Z",I754))),2,1),0)+IF(J754="Y",1,0)+IF(K754="Y",3,0)+IF(BE754="Lore",L754*2+Experience!$D$25,0)+IF(M754="Y",1,0)</f>
        <v>#N/A</v>
      </c>
      <c r="X754" s="1099"/>
      <c r="Y754" s="1100">
        <f ca="1">IF(P754="NS",IFERROR(INDIRECT(S754),NA()),VLOOKUP(INDIRECT(P754)+INDIRECT(S754),'System Lookups'!$A$3:$D$146,2))</f>
        <v>0.1</v>
      </c>
      <c r="Z754" s="1100">
        <f t="shared" si="740"/>
        <v>0</v>
      </c>
      <c r="AA754" s="1101">
        <f ca="1">IF(ISNA(Y754),0,Y754)+Z754+IF('Main Creation Page'!AB$2=37,'Main Creation Page'!E$14/100,0)</f>
        <v>0.1</v>
      </c>
      <c r="AB754" s="1102">
        <f>VLOOKUP(V754,'System Lookups'!$J$55:$P$64,3)</f>
        <v>0.3</v>
      </c>
      <c r="AC754" s="1103">
        <f>VLOOKUP(V754,'System Lookups'!$J$55:$P$64,4)</f>
        <v>0.4</v>
      </c>
      <c r="AD754" s="1104">
        <f t="shared" ca="1" si="741"/>
        <v>0.45</v>
      </c>
      <c r="AE754" s="1094">
        <f ca="1">(IF(AD754&gt;VLOOKUP(V754,'System Lookups'!$J$55:$P$63,6),(((AD754-VLOOKUP(V754,'System Lookups'!$J$55:$P$63,6))*100)/20),0))+AF754</f>
        <v>0</v>
      </c>
      <c r="AF754" s="1121"/>
      <c r="AG754" s="1092">
        <f t="shared" si="742"/>
        <v>0</v>
      </c>
      <c r="AH754" s="1092" t="str">
        <f>IF(X754&lt;=Experience!$R$15+1,"","*")</f>
        <v/>
      </c>
      <c r="AI754" s="1092"/>
      <c r="AJ754" s="1080">
        <f t="shared" si="743"/>
        <v>0</v>
      </c>
      <c r="AK754" s="1080">
        <f t="shared" si="744"/>
        <v>0</v>
      </c>
      <c r="AL754" s="1080">
        <f t="shared" si="745"/>
        <v>0</v>
      </c>
      <c r="AM754" s="1092">
        <f t="shared" si="746"/>
        <v>0</v>
      </c>
      <c r="AN754" s="1080">
        <f t="shared" si="747"/>
        <v>-1</v>
      </c>
      <c r="AO754" s="1080">
        <f t="shared" si="748"/>
        <v>0</v>
      </c>
      <c r="AP754" s="1080">
        <f t="shared" si="749"/>
        <v>-1</v>
      </c>
      <c r="AQ754" s="1027">
        <f>VLOOKUP(V754,'System Lookups'!$J$55:$P$64,7)</f>
        <v>500</v>
      </c>
      <c r="AR754" s="1080" t="str">
        <f ca="1">IF(AND(NOT(ISBLANK(AJ754)),ISNA(MATCH(ROW(),'System Lookups'!$C$526:$C$539,0))),"Y","N")</f>
        <v>Y</v>
      </c>
      <c r="AS754" s="1080">
        <f t="shared" si="750"/>
        <v>0</v>
      </c>
      <c r="AU754" s="1080" t="e">
        <f t="shared" si="696"/>
        <v>#N/A</v>
      </c>
      <c r="AV754" s="1080" t="str">
        <f t="shared" si="694"/>
        <v>P</v>
      </c>
      <c r="AW754" s="1080">
        <f t="shared" si="697"/>
        <v>0</v>
      </c>
      <c r="AX754" s="1080">
        <f t="shared" si="698"/>
        <v>0</v>
      </c>
      <c r="AY754" s="1080">
        <f t="shared" si="699"/>
        <v>0</v>
      </c>
      <c r="AZ754" s="1080">
        <f t="shared" si="700"/>
        <v>0</v>
      </c>
      <c r="BA754" s="1080">
        <f t="shared" si="701"/>
        <v>0</v>
      </c>
      <c r="BB754" s="1080">
        <f>IF(AND(RACE=1,'Main Creation Page'!$E$6="Well",OR(ISNUMBER(FIND(Experience!$G$11,BE754)),ISNUMBER(FIND(Experience!$G$11,BF754)),ISNUMBER(FIND(Experience!$I$11,BE754)),ISNUMBER(FIND(Experience!$I$11,BF754)))),1,0)</f>
        <v>1</v>
      </c>
      <c r="BC754" s="1080" t="str">
        <f t="shared" si="703"/>
        <v>Anatomy:MereFolk</v>
      </c>
      <c r="BD754" s="1080" t="s">
        <v>5705</v>
      </c>
      <c r="BE754" s="1080" t="str">
        <f t="shared" si="695"/>
        <v>Lore</v>
      </c>
      <c r="BF754" s="1080" t="str">
        <f t="shared" si="718"/>
        <v>Materia Medicina: Healing Lore Skills</v>
      </c>
    </row>
    <row r="755" spans="1:58" ht="11.1" hidden="1" customHeight="1" outlineLevel="2">
      <c r="A755" s="1093" t="s">
        <v>5588</v>
      </c>
      <c r="B755" s="1094"/>
      <c r="C755" s="1094"/>
      <c r="D755" s="1094"/>
      <c r="E755" s="1095" t="s">
        <v>5224</v>
      </c>
      <c r="F755" s="1095" t="s">
        <v>5224</v>
      </c>
      <c r="G755" s="1096">
        <v>0</v>
      </c>
      <c r="H755" s="1096" t="s">
        <v>5224</v>
      </c>
      <c r="I755" s="1096" t="s">
        <v>5224</v>
      </c>
      <c r="J755" s="1096" t="s">
        <v>5224</v>
      </c>
      <c r="K755" s="1096" t="s">
        <v>5224</v>
      </c>
      <c r="L755" s="1096">
        <v>0</v>
      </c>
      <c r="M755" s="1096" t="s">
        <v>5224</v>
      </c>
      <c r="N755" s="1096" t="s">
        <v>4627</v>
      </c>
      <c r="O755" s="1028"/>
      <c r="P755" s="1028" t="s">
        <v>780</v>
      </c>
      <c r="Q755" s="1097">
        <f t="shared" ca="1" si="737"/>
        <v>17</v>
      </c>
      <c r="R755" s="1034"/>
      <c r="S755" s="1028" t="s">
        <v>3616</v>
      </c>
      <c r="T755" s="1097">
        <f t="shared" ca="1" si="738"/>
        <v>17</v>
      </c>
      <c r="U755" s="1027">
        <v>4</v>
      </c>
      <c r="V755" s="1027">
        <f t="shared" si="739"/>
        <v>3</v>
      </c>
      <c r="W755" s="1098" t="e">
        <f>IF(OR(I755&lt;&gt;"N",E755="C"),IF(AND(N755&lt;&gt;"T",ISNUMBER(FIND("V",I755))),1,0),NA())+IF(H755="Y",IF(AND(N755="P",ISNUMBER(FIND("Z",I755))),2,1),0)+IF(J755="Y",1,0)+IF(K755="Y",3,0)+IF(BE755="Lore",L755*2+Experience!$D$25,0)+IF(M755="Y",1,0)</f>
        <v>#N/A</v>
      </c>
      <c r="X755" s="1099"/>
      <c r="Y755" s="1100">
        <f ca="1">IF(P755="NS",IFERROR(INDIRECT(S755),NA()),VLOOKUP(INDIRECT(P755)+INDIRECT(S755),'System Lookups'!$A$3:$D$146,2))</f>
        <v>0.1</v>
      </c>
      <c r="Z755" s="1100">
        <f t="shared" si="740"/>
        <v>0</v>
      </c>
      <c r="AA755" s="1101">
        <f ca="1">IF(ISNA(Y755),0,Y755)+Z755+IF('Main Creation Page'!AB$2=37,'Main Creation Page'!E$14/100,0)</f>
        <v>0.1</v>
      </c>
      <c r="AB755" s="1102">
        <f>VLOOKUP(V755,'System Lookups'!$J$55:$P$64,3)</f>
        <v>0.3</v>
      </c>
      <c r="AC755" s="1103">
        <f>VLOOKUP(V755,'System Lookups'!$J$55:$P$64,4)</f>
        <v>0.4</v>
      </c>
      <c r="AD755" s="1104">
        <f t="shared" ca="1" si="741"/>
        <v>0.45</v>
      </c>
      <c r="AE755" s="1094">
        <f ca="1">(IF(AD755&gt;VLOOKUP(V755,'System Lookups'!$J$55:$P$63,6),(((AD755-VLOOKUP(V755,'System Lookups'!$J$55:$P$63,6))*100)/20),0))+AF755</f>
        <v>0</v>
      </c>
      <c r="AF755" s="1121"/>
      <c r="AG755" s="1092">
        <f t="shared" si="742"/>
        <v>0</v>
      </c>
      <c r="AH755" s="1092" t="str">
        <f>IF(X755&lt;=Experience!$R$15+1,"","*")</f>
        <v/>
      </c>
      <c r="AI755" s="1092"/>
      <c r="AJ755" s="1080">
        <f t="shared" si="743"/>
        <v>0</v>
      </c>
      <c r="AK755" s="1080">
        <f t="shared" si="744"/>
        <v>0</v>
      </c>
      <c r="AL755" s="1080">
        <f t="shared" si="745"/>
        <v>0</v>
      </c>
      <c r="AM755" s="1092">
        <f t="shared" si="746"/>
        <v>0</v>
      </c>
      <c r="AN755" s="1080">
        <f t="shared" si="747"/>
        <v>-1</v>
      </c>
      <c r="AO755" s="1080">
        <f t="shared" si="748"/>
        <v>0</v>
      </c>
      <c r="AP755" s="1080">
        <f t="shared" si="749"/>
        <v>-1</v>
      </c>
      <c r="AQ755" s="1027">
        <f>VLOOKUP(V755,'System Lookups'!$J$55:$P$64,7)</f>
        <v>500</v>
      </c>
      <c r="AR755" s="1080" t="str">
        <f ca="1">IF(AND(NOT(ISBLANK(AJ755)),ISNA(MATCH(ROW(),'System Lookups'!$C$526:$C$539,0))),"Y","N")</f>
        <v>Y</v>
      </c>
      <c r="AS755" s="1080">
        <f t="shared" si="750"/>
        <v>0</v>
      </c>
      <c r="AU755" s="1080" t="e">
        <f t="shared" si="696"/>
        <v>#N/A</v>
      </c>
      <c r="AV755" s="1080" t="str">
        <f t="shared" si="694"/>
        <v>P</v>
      </c>
      <c r="AW755" s="1080">
        <f t="shared" si="697"/>
        <v>0</v>
      </c>
      <c r="AX755" s="1080">
        <f t="shared" si="698"/>
        <v>0</v>
      </c>
      <c r="AY755" s="1080">
        <f t="shared" si="699"/>
        <v>0</v>
      </c>
      <c r="AZ755" s="1080">
        <f t="shared" si="700"/>
        <v>0</v>
      </c>
      <c r="BA755" s="1080">
        <f t="shared" si="701"/>
        <v>0</v>
      </c>
      <c r="BB755" s="1080">
        <f>IF(AND(RACE=1,'Main Creation Page'!$E$6="Well",OR(ISNUMBER(FIND(Experience!$G$11,BE755)),ISNUMBER(FIND(Experience!$G$11,BF755)),ISNUMBER(FIND(Experience!$I$11,BE755)),ISNUMBER(FIND(Experience!$I$11,BF755)))),1,0)</f>
        <v>1</v>
      </c>
      <c r="BC755" s="1080" t="str">
        <f t="shared" si="703"/>
        <v>Anatomy:Orcish</v>
      </c>
      <c r="BD755" s="1080" t="s">
        <v>5705</v>
      </c>
      <c r="BE755" s="1080" t="str">
        <f t="shared" si="695"/>
        <v>Lore</v>
      </c>
      <c r="BF755" s="1080" t="str">
        <f t="shared" si="718"/>
        <v>Materia Medicina: Healing Lore Skills</v>
      </c>
    </row>
    <row r="756" spans="1:58" ht="11.1" hidden="1" customHeight="1" outlineLevel="2">
      <c r="A756" s="1093" t="s">
        <v>5587</v>
      </c>
      <c r="B756" s="1094"/>
      <c r="C756" s="1094"/>
      <c r="D756" s="1094"/>
      <c r="E756" s="1095" t="s">
        <v>5224</v>
      </c>
      <c r="F756" s="1095" t="s">
        <v>5224</v>
      </c>
      <c r="G756" s="1096">
        <v>0</v>
      </c>
      <c r="H756" s="1096" t="s">
        <v>5224</v>
      </c>
      <c r="I756" s="1096" t="s">
        <v>5224</v>
      </c>
      <c r="J756" s="1096" t="s">
        <v>5224</v>
      </c>
      <c r="K756" s="1096" t="s">
        <v>5224</v>
      </c>
      <c r="L756" s="1096">
        <v>0</v>
      </c>
      <c r="M756" s="1096" t="s">
        <v>5224</v>
      </c>
      <c r="N756" s="1096" t="s">
        <v>4627</v>
      </c>
      <c r="O756" s="1028"/>
      <c r="P756" s="1028" t="s">
        <v>780</v>
      </c>
      <c r="Q756" s="1097">
        <f t="shared" ca="1" si="737"/>
        <v>17</v>
      </c>
      <c r="R756" s="1034"/>
      <c r="S756" s="1028" t="s">
        <v>3616</v>
      </c>
      <c r="T756" s="1097">
        <f t="shared" ca="1" si="738"/>
        <v>17</v>
      </c>
      <c r="U756" s="1027">
        <v>5</v>
      </c>
      <c r="V756" s="1027">
        <f t="shared" si="739"/>
        <v>4</v>
      </c>
      <c r="W756" s="1098" t="e">
        <f>IF(OR(I756&lt;&gt;"N",E756="C"),IF(AND(N756&lt;&gt;"T",ISNUMBER(FIND("V",I756))),1,0),NA())+IF(H756="Y",IF(AND(N756="P",ISNUMBER(FIND("Z",I756))),2,1),0)+IF(J756="Y",1,0)+IF(K756="Y",3,0)+IF(BE756="Lore",L756*2+Experience!$D$25,0)+IF(M756="Y",1,0)</f>
        <v>#N/A</v>
      </c>
      <c r="X756" s="1099"/>
      <c r="Y756" s="1100">
        <f ca="1">IF(P756="NS",IFERROR(INDIRECT(S756),NA()),VLOOKUP(INDIRECT(P756)+INDIRECT(S756),'System Lookups'!$A$3:$D$146,2))</f>
        <v>0.1</v>
      </c>
      <c r="Z756" s="1100">
        <f t="shared" si="740"/>
        <v>0</v>
      </c>
      <c r="AA756" s="1101">
        <f ca="1">IF(ISNA(Y756),0,Y756)+Z756+IF('Main Creation Page'!AB$2=37,'Main Creation Page'!E$14/100,0)</f>
        <v>0.1</v>
      </c>
      <c r="AB756" s="1102">
        <f>VLOOKUP(V756,'System Lookups'!$J$55:$P$64,3)</f>
        <v>0.2</v>
      </c>
      <c r="AC756" s="1103">
        <f>VLOOKUP(V756,'System Lookups'!$J$55:$P$64,4)</f>
        <v>0.3</v>
      </c>
      <c r="AD756" s="1104">
        <f t="shared" ca="1" si="741"/>
        <v>0.35000000000000003</v>
      </c>
      <c r="AE756" s="1094">
        <f ca="1">(IF(AD756&gt;VLOOKUP(V756,'System Lookups'!$J$55:$P$63,6),(((AD756-VLOOKUP(V756,'System Lookups'!$J$55:$P$63,6))*100)/20),0))+AF756</f>
        <v>0</v>
      </c>
      <c r="AF756" s="1121"/>
      <c r="AG756" s="1092">
        <f t="shared" si="742"/>
        <v>0</v>
      </c>
      <c r="AH756" s="1092" t="str">
        <f>IF(X756&lt;=Experience!$R$15+1,"","*")</f>
        <v/>
      </c>
      <c r="AI756" s="1092"/>
      <c r="AJ756" s="1080">
        <f t="shared" si="743"/>
        <v>0</v>
      </c>
      <c r="AK756" s="1080">
        <f t="shared" si="744"/>
        <v>0</v>
      </c>
      <c r="AL756" s="1080">
        <f t="shared" si="745"/>
        <v>0</v>
      </c>
      <c r="AM756" s="1092">
        <f t="shared" si="746"/>
        <v>0</v>
      </c>
      <c r="AN756" s="1080">
        <f t="shared" si="747"/>
        <v>-1</v>
      </c>
      <c r="AO756" s="1080">
        <f t="shared" si="748"/>
        <v>0</v>
      </c>
      <c r="AP756" s="1080">
        <f t="shared" si="749"/>
        <v>-1</v>
      </c>
      <c r="AQ756" s="1027">
        <f>VLOOKUP(V756,'System Lookups'!$J$55:$P$64,7)</f>
        <v>600</v>
      </c>
      <c r="AR756" s="1080" t="str">
        <f ca="1">IF(AND(NOT(ISBLANK(AJ756)),ISNA(MATCH(ROW(),'System Lookups'!$C$526:$C$539,0))),"Y","N")</f>
        <v>Y</v>
      </c>
      <c r="AS756" s="1080">
        <f t="shared" si="750"/>
        <v>0</v>
      </c>
      <c r="AU756" s="1080" t="e">
        <f t="shared" si="696"/>
        <v>#N/A</v>
      </c>
      <c r="AV756" s="1080" t="str">
        <f t="shared" si="694"/>
        <v>P</v>
      </c>
      <c r="AW756" s="1080">
        <f t="shared" si="697"/>
        <v>0</v>
      </c>
      <c r="AX756" s="1080">
        <f t="shared" si="698"/>
        <v>0</v>
      </c>
      <c r="AY756" s="1080">
        <f t="shared" si="699"/>
        <v>0</v>
      </c>
      <c r="AZ756" s="1080">
        <f t="shared" si="700"/>
        <v>0</v>
      </c>
      <c r="BA756" s="1080">
        <f t="shared" si="701"/>
        <v>0</v>
      </c>
      <c r="BB756" s="1080">
        <f>IF(AND(RACE=1,'Main Creation Page'!$E$6="Well",OR(ISNUMBER(FIND(Experience!$G$11,BE756)),ISNUMBER(FIND(Experience!$G$11,BF756)),ISNUMBER(FIND(Experience!$I$11,BE756)),ISNUMBER(FIND(Experience!$I$11,BF756)))),1,0)</f>
        <v>1</v>
      </c>
      <c r="BC756" s="1080" t="str">
        <f t="shared" si="703"/>
        <v>Anatomy:Saurian: Dragon Kin</v>
      </c>
      <c r="BD756" s="1080" t="s">
        <v>5705</v>
      </c>
      <c r="BE756" s="1080" t="str">
        <f t="shared" si="695"/>
        <v>Lore</v>
      </c>
      <c r="BF756" s="1080" t="str">
        <f t="shared" si="718"/>
        <v>Materia Medicina: Healing Lore Skills</v>
      </c>
    </row>
    <row r="757" spans="1:58" ht="11.1" hidden="1" customHeight="1" outlineLevel="2">
      <c r="A757" s="1093" t="s">
        <v>5589</v>
      </c>
      <c r="B757" s="1094"/>
      <c r="C757" s="1094"/>
      <c r="D757" s="1094"/>
      <c r="E757" s="1095" t="s">
        <v>5224</v>
      </c>
      <c r="F757" s="1095" t="s">
        <v>5224</v>
      </c>
      <c r="G757" s="1096">
        <v>0</v>
      </c>
      <c r="H757" s="1096" t="s">
        <v>5224</v>
      </c>
      <c r="I757" s="1096" t="s">
        <v>5224</v>
      </c>
      <c r="J757" s="1096" t="s">
        <v>5224</v>
      </c>
      <c r="K757" s="1096" t="s">
        <v>5224</v>
      </c>
      <c r="L757" s="1096">
        <v>0</v>
      </c>
      <c r="M757" s="1096" t="s">
        <v>5224</v>
      </c>
      <c r="N757" s="1096" t="s">
        <v>4627</v>
      </c>
      <c r="O757" s="1028"/>
      <c r="P757" s="1028" t="s">
        <v>780</v>
      </c>
      <c r="Q757" s="1097">
        <f t="shared" ca="1" si="737"/>
        <v>17</v>
      </c>
      <c r="R757" s="1034"/>
      <c r="S757" s="1028" t="s">
        <v>3616</v>
      </c>
      <c r="T757" s="1097">
        <f t="shared" ca="1" si="738"/>
        <v>17</v>
      </c>
      <c r="U757" s="1027">
        <v>5</v>
      </c>
      <c r="V757" s="1027">
        <f t="shared" si="739"/>
        <v>4</v>
      </c>
      <c r="W757" s="1098" t="e">
        <f>IF(OR(I757&lt;&gt;"N",E757="C"),IF(AND(N757&lt;&gt;"T",ISNUMBER(FIND("V",I757))),1,0),NA())+IF(H757="Y",IF(AND(N757="P",ISNUMBER(FIND("Z",I757))),2,1),0)+IF(J757="Y",1,0)+IF(K757="Y",3,0)+IF(BE757="Lore",L757*2+Experience!$D$25,0)+IF(M757="Y",1,0)</f>
        <v>#N/A</v>
      </c>
      <c r="X757" s="1099"/>
      <c r="Y757" s="1100">
        <f ca="1">IF(P757="NS",IFERROR(INDIRECT(S757),NA()),VLOOKUP(INDIRECT(P757)+INDIRECT(S757),'System Lookups'!$A$3:$D$146,2))</f>
        <v>0.1</v>
      </c>
      <c r="Z757" s="1100">
        <f t="shared" si="740"/>
        <v>0</v>
      </c>
      <c r="AA757" s="1101">
        <f ca="1">IF(ISNA(Y757),0,Y757)+Z757+IF('Main Creation Page'!AB$2=37,'Main Creation Page'!E$14/100,0)</f>
        <v>0.1</v>
      </c>
      <c r="AB757" s="1102">
        <f>VLOOKUP(V757,'System Lookups'!$J$55:$P$64,3)</f>
        <v>0.2</v>
      </c>
      <c r="AC757" s="1103">
        <f>VLOOKUP(V757,'System Lookups'!$J$55:$P$64,4)</f>
        <v>0.3</v>
      </c>
      <c r="AD757" s="1104">
        <f t="shared" ca="1" si="741"/>
        <v>0.35000000000000003</v>
      </c>
      <c r="AE757" s="1094">
        <f ca="1">(IF(AD757&gt;VLOOKUP(V757,'System Lookups'!$J$55:$P$63,6),(((AD757-VLOOKUP(V757,'System Lookups'!$J$55:$P$63,6))*100)/20),0))+AF757</f>
        <v>0</v>
      </c>
      <c r="AF757" s="1121"/>
      <c r="AG757" s="1092">
        <f t="shared" si="742"/>
        <v>0</v>
      </c>
      <c r="AH757" s="1092" t="str">
        <f>IF(X757&lt;=Experience!$R$15+1,"","*")</f>
        <v/>
      </c>
      <c r="AI757" s="1092"/>
      <c r="AJ757" s="1080">
        <f t="shared" si="743"/>
        <v>0</v>
      </c>
      <c r="AK757" s="1080">
        <f t="shared" si="744"/>
        <v>0</v>
      </c>
      <c r="AL757" s="1080">
        <f t="shared" si="745"/>
        <v>0</v>
      </c>
      <c r="AM757" s="1092">
        <f t="shared" si="746"/>
        <v>0</v>
      </c>
      <c r="AN757" s="1080">
        <f t="shared" si="747"/>
        <v>-1</v>
      </c>
      <c r="AO757" s="1080">
        <f t="shared" si="748"/>
        <v>0</v>
      </c>
      <c r="AP757" s="1080">
        <f t="shared" si="749"/>
        <v>-1</v>
      </c>
      <c r="AQ757" s="1027">
        <f>VLOOKUP(V757,'System Lookups'!$J$55:$P$64,7)</f>
        <v>600</v>
      </c>
      <c r="AR757" s="1080" t="str">
        <f ca="1">IF(AND(NOT(ISBLANK(AJ757)),ISNA(MATCH(ROW(),'System Lookups'!$C$526:$C$539,0))),"Y","N")</f>
        <v>Y</v>
      </c>
      <c r="AS757" s="1080">
        <f t="shared" si="750"/>
        <v>0</v>
      </c>
      <c r="AU757" s="1080" t="e">
        <f t="shared" si="696"/>
        <v>#N/A</v>
      </c>
      <c r="AV757" s="1080" t="str">
        <f t="shared" ref="AV757:AV793" si="751">IF(ISNUMBER(U757),CONCATENATE(IF(E757="C","C",""),IF(H757="Y","M",""),N757,IF(ISNUMBER(FIND("F",I757)),"Bk",""),IF(ISNUMBER(FIND("Z",I757)),"Zm",""),IF(J757="Y","L",""),IF(OR(K757="Y",AND(ISNUMBER(L757),L757&gt;0),M757="Y"),"Sa","")),"")</f>
        <v>P</v>
      </c>
      <c r="AW757" s="1080">
        <f t="shared" si="697"/>
        <v>0</v>
      </c>
      <c r="AX757" s="1080">
        <f t="shared" si="698"/>
        <v>0</v>
      </c>
      <c r="AY757" s="1080">
        <f t="shared" si="699"/>
        <v>0</v>
      </c>
      <c r="AZ757" s="1080">
        <f t="shared" si="700"/>
        <v>0</v>
      </c>
      <c r="BA757" s="1080">
        <f t="shared" si="701"/>
        <v>0</v>
      </c>
      <c r="BB757" s="1080">
        <f>IF(AND(RACE=1,'Main Creation Page'!$E$6="Well",OR(ISNUMBER(FIND(Experience!$G$11,BE757)),ISNUMBER(FIND(Experience!$G$11,BF757)),ISNUMBER(FIND(Experience!$I$11,BE757)),ISNUMBER(FIND(Experience!$I$11,BF757)))),1,0)</f>
        <v>1</v>
      </c>
      <c r="BC757" s="1080" t="str">
        <f t="shared" si="703"/>
        <v>Anatomy:Trolls</v>
      </c>
      <c r="BD757" s="1080" t="s">
        <v>5705</v>
      </c>
      <c r="BE757" s="1080" t="str">
        <f t="shared" ref="BE757:BE819" si="752">IF(OR(ISNUMBER(FIND("Lore",BF757)),ISNUMBER(FIND("Materia",BF757)),ISNUMBER(FIND("Lore",BD757))),"Lore","")</f>
        <v>Lore</v>
      </c>
      <c r="BF757" s="1080" t="str">
        <f t="shared" si="718"/>
        <v>Materia Medicina: Healing Lore Skills</v>
      </c>
    </row>
    <row r="758" spans="1:58" ht="11.1" customHeight="1" outlineLevel="1" collapsed="1">
      <c r="A758" s="1117" t="s">
        <v>339</v>
      </c>
      <c r="B758" s="1094" t="s">
        <v>1942</v>
      </c>
      <c r="C758" s="1094"/>
      <c r="D758" s="1094"/>
      <c r="E758" s="1095" t="s">
        <v>5224</v>
      </c>
      <c r="F758" s="1095" t="s">
        <v>5224</v>
      </c>
      <c r="G758" s="1096">
        <v>0</v>
      </c>
      <c r="H758" s="1096" t="s">
        <v>5224</v>
      </c>
      <c r="I758" s="1096" t="s">
        <v>5224</v>
      </c>
      <c r="J758" s="1096" t="s">
        <v>5224</v>
      </c>
      <c r="K758" s="1096" t="s">
        <v>5224</v>
      </c>
      <c r="L758" s="1096">
        <v>0</v>
      </c>
      <c r="M758" s="1096" t="s">
        <v>5224</v>
      </c>
      <c r="N758" s="1096" t="s">
        <v>4627</v>
      </c>
      <c r="O758" s="1028"/>
      <c r="P758" s="1028" t="s">
        <v>780</v>
      </c>
      <c r="Q758" s="1097">
        <f t="shared" ca="1" si="737"/>
        <v>17</v>
      </c>
      <c r="R758" s="1034"/>
      <c r="S758" s="1028" t="s">
        <v>3611</v>
      </c>
      <c r="T758" s="1097">
        <f t="shared" ca="1" si="738"/>
        <v>15</v>
      </c>
      <c r="U758" s="1027">
        <v>4</v>
      </c>
      <c r="V758" s="1027">
        <f t="shared" si="739"/>
        <v>3</v>
      </c>
      <c r="W758" s="1098" t="e">
        <f>IF(OR(I758&lt;&gt;"N",E758="C"),IF(AND(N758&lt;&gt;"T",ISNUMBER(FIND("V",I758))),1,0),NA())+IF(H758="Y",IF(AND(N758="P",ISNUMBER(FIND("Z",I758))),2,1),0)+IF(J758="Y",1,0)+IF(K758="Y",3,0)+IF(BE758="Lore",L758*2+Experience!$D$25,0)+IF(M758="Y",1,0)</f>
        <v>#N/A</v>
      </c>
      <c r="X758" s="1099"/>
      <c r="Y758" s="1100">
        <f ca="1">IF(P758="NS",IFERROR(INDIRECT(S758),NA()),VLOOKUP(INDIRECT(P758)+INDIRECT(S758),'System Lookups'!$A$3:$D$146,2))</f>
        <v>0.08</v>
      </c>
      <c r="Z758" s="1100">
        <f t="shared" si="740"/>
        <v>0</v>
      </c>
      <c r="AA758" s="1101">
        <f ca="1">IF(ISNA(Y758),0,Y758)+Z758+IF('Main Creation Page'!AB$2=37,'Main Creation Page'!E$14/100,0)</f>
        <v>0.08</v>
      </c>
      <c r="AB758" s="1102">
        <f>VLOOKUP(V758,'System Lookups'!$J$55:$P$64,3)</f>
        <v>0.3</v>
      </c>
      <c r="AC758" s="1103">
        <f>VLOOKUP(V758,'System Lookups'!$J$55:$P$64,4)</f>
        <v>0.4</v>
      </c>
      <c r="AD758" s="1104">
        <f t="shared" si="741"/>
        <v>0</v>
      </c>
      <c r="AE758" s="1094">
        <f>(IF(AD758&gt;VLOOKUP(V758,'System Lookups'!$J$55:$P$63,6),(((AD758-VLOOKUP(V758,'System Lookups'!$J$55:$P$63,6))*100)/20),0))+AF758</f>
        <v>0</v>
      </c>
      <c r="AF758" s="1121"/>
      <c r="AG758" s="1092">
        <f t="shared" si="742"/>
        <v>0</v>
      </c>
      <c r="AH758" s="1092" t="str">
        <f>IF(X758&lt;=Experience!$R$15+1,"","*")</f>
        <v/>
      </c>
      <c r="AI758" s="1092"/>
      <c r="AJ758" s="1080">
        <f t="shared" si="743"/>
        <v>0</v>
      </c>
      <c r="AK758" s="1080">
        <f>IF(F758="s",-2,0)</f>
        <v>0</v>
      </c>
      <c r="AL758" s="1080">
        <f t="shared" si="745"/>
        <v>0</v>
      </c>
      <c r="AM758" s="1092">
        <f>IF(J758="y",1,0)</f>
        <v>0</v>
      </c>
      <c r="AN758" s="1080">
        <f>IF(N758="P",-1,IF(N758="T",1,0))</f>
        <v>-1</v>
      </c>
      <c r="AO758" s="1080">
        <f t="shared" si="748"/>
        <v>0</v>
      </c>
      <c r="AP758" s="1080">
        <f t="shared" si="749"/>
        <v>-1</v>
      </c>
      <c r="AQ758" s="1027">
        <f>VLOOKUP(V758,'System Lookups'!$J$55:$P$64,7)</f>
        <v>500</v>
      </c>
      <c r="AR758" s="1080" t="str">
        <f ca="1">IF(AND(NOT(ISBLANK(AJ758)),ISNA(MATCH(ROW(),'System Lookups'!$C$526:$C$539,0))),"Y","N")</f>
        <v>Y</v>
      </c>
      <c r="AS758" s="1080">
        <f t="shared" si="750"/>
        <v>0</v>
      </c>
      <c r="AU758" s="1080" t="e">
        <f t="shared" ref="AU758:AU820" si="753">IF(AND(NOT(ISNUMBER($W758)),ISBLANK($X758)),NA(),IFERROR($W758+$X758,$X758))</f>
        <v>#N/A</v>
      </c>
      <c r="AV758" s="1080" t="str">
        <f t="shared" si="751"/>
        <v>P</v>
      </c>
      <c r="AW758" s="1080">
        <f t="shared" ref="AW758:AW820" si="754">IF(OR(I758="N",ISBLANK(I758)),0,1)</f>
        <v>0</v>
      </c>
      <c r="AX758" s="1080">
        <f t="shared" ref="AX758:AX820" si="755">IF($N758="P",IF(ISNUMBER(FIND("V",$I758)),1,0),0)</f>
        <v>0</v>
      </c>
      <c r="AY758" s="1080">
        <f t="shared" ref="AY758:AY820" si="756">IF($N758="S",IF(ISNUMBER(FIND("V",$I758)),1,0),0)</f>
        <v>0</v>
      </c>
      <c r="AZ758" s="1080">
        <f t="shared" ref="AZ758:AZ820" si="757">IF($N758="T",IF(ISNUMBER(FIND("V",$I758)),1,0),0)</f>
        <v>0</v>
      </c>
      <c r="BA758" s="1080">
        <f t="shared" ref="BA758:BA820" si="758">IF($N758&lt;&gt;"T",IF(OR(ISNUMBER(FIND("C",$I758)),ISNUMBER(FIND("D",$I758)),ISNUMBER(FIND("E",$I758)),ISNUMBER(FIND("F",$I758)),ISNUMBER(FIND("L",$I758)),ISNUMBER(FIND("R",$I758)),ISNUMBER(FIND("S",$I758))),1,0),0)</f>
        <v>0</v>
      </c>
      <c r="BB758" s="1080">
        <f>IF(AND(RACE=1,'Main Creation Page'!$E$6="Well",OR(ISNUMBER(FIND(Experience!$G$11,BE758)),ISNUMBER(FIND(Experience!$G$11,BF758)),ISNUMBER(FIND(Experience!$I$11,BE758)),ISNUMBER(FIND(Experience!$I$11,BF758)))),1,0)</f>
        <v>1</v>
      </c>
      <c r="BC758" s="1080" t="str">
        <f t="shared" si="703"/>
        <v>Chirurgery</v>
      </c>
      <c r="BE758" s="1080" t="str">
        <f t="shared" si="752"/>
        <v>Lore</v>
      </c>
      <c r="BF758" s="1080" t="str">
        <f t="shared" si="718"/>
        <v>Materia Medicina: Healing Lore Skills</v>
      </c>
    </row>
    <row r="759" spans="1:58" ht="11.1" hidden="1" customHeight="1" outlineLevel="2">
      <c r="A759" s="1028" t="s">
        <v>1948</v>
      </c>
      <c r="B759" s="1094"/>
      <c r="C759" s="1094"/>
      <c r="D759" s="1094"/>
      <c r="O759" s="1028"/>
      <c r="P759" s="1028"/>
      <c r="Q759" s="1028"/>
      <c r="R759" s="1034"/>
      <c r="S759" s="1028"/>
      <c r="T759" s="1028"/>
      <c r="V759" s="1027"/>
      <c r="W759" s="1112"/>
      <c r="AE759" s="1094"/>
      <c r="AF759" s="1121"/>
      <c r="AH759" s="1092"/>
      <c r="AI759" s="1092"/>
      <c r="AM759" s="1092"/>
      <c r="AQ759" s="1027"/>
      <c r="AR759" s="1080" t="str">
        <f ca="1">IF(AND(NOT(ISBLANK(AJ759)),ISNA(MATCH(ROW(),'System Lookups'!$C$526:$C$539,0))),"Y","N")</f>
        <v>N</v>
      </c>
      <c r="AU759" s="1080" t="e">
        <f t="shared" si="753"/>
        <v>#N/A</v>
      </c>
      <c r="AV759" s="1080" t="str">
        <f t="shared" si="751"/>
        <v/>
      </c>
      <c r="AW759" s="1080">
        <f t="shared" si="754"/>
        <v>0</v>
      </c>
      <c r="AX759" s="1080">
        <f t="shared" si="755"/>
        <v>0</v>
      </c>
      <c r="AY759" s="1080">
        <f t="shared" si="756"/>
        <v>0</v>
      </c>
      <c r="AZ759" s="1080">
        <f t="shared" si="757"/>
        <v>0</v>
      </c>
      <c r="BA759" s="1080">
        <f t="shared" si="758"/>
        <v>0</v>
      </c>
      <c r="BB759" s="1080">
        <f>IF(AND(RACE=1,'Main Creation Page'!$E$6="Well",OR(ISNUMBER(FIND(Experience!$G$11,BE759)),ISNUMBER(FIND(Experience!$G$11,BF759)),ISNUMBER(FIND(Experience!$I$11,BE759)),ISNUMBER(FIND(Experience!$I$11,BF759)))),1,0)</f>
        <v>1</v>
      </c>
      <c r="BC759" s="1080" t="e">
        <f t="shared" si="703"/>
        <v>#N/A</v>
      </c>
      <c r="BE759" s="1080" t="str">
        <f t="shared" si="752"/>
        <v>Lore</v>
      </c>
      <c r="BF759" s="1080" t="str">
        <f t="shared" si="718"/>
        <v>Materia Medicina: Healing Lore Skills</v>
      </c>
    </row>
    <row r="760" spans="1:58" ht="11.1" hidden="1" customHeight="1" outlineLevel="2">
      <c r="A760" s="1028" t="s">
        <v>339</v>
      </c>
      <c r="B760" s="1094"/>
      <c r="C760" s="1094"/>
      <c r="D760" s="1094"/>
      <c r="O760" s="1028"/>
      <c r="P760" s="1028"/>
      <c r="Q760" s="1028"/>
      <c r="R760" s="1034"/>
      <c r="S760" s="1028"/>
      <c r="T760" s="1028"/>
      <c r="V760" s="1027"/>
      <c r="W760" s="1112"/>
      <c r="AE760" s="1094"/>
      <c r="AF760" s="1121"/>
      <c r="AH760" s="1092"/>
      <c r="AI760" s="1092"/>
      <c r="AM760" s="1092"/>
      <c r="AQ760" s="1027"/>
      <c r="AR760" s="1080" t="str">
        <f ca="1">IF(AND(NOT(ISBLANK(AJ760)),ISNA(MATCH(ROW(),'System Lookups'!$C$526:$C$539,0))),"Y","N")</f>
        <v>N</v>
      </c>
      <c r="AU760" s="1080" t="e">
        <f t="shared" si="753"/>
        <v>#N/A</v>
      </c>
      <c r="AV760" s="1080" t="str">
        <f t="shared" si="751"/>
        <v/>
      </c>
      <c r="AW760" s="1080">
        <f t="shared" si="754"/>
        <v>0</v>
      </c>
      <c r="AX760" s="1080">
        <f t="shared" si="755"/>
        <v>0</v>
      </c>
      <c r="AY760" s="1080">
        <f t="shared" si="756"/>
        <v>0</v>
      </c>
      <c r="AZ760" s="1080">
        <f t="shared" si="757"/>
        <v>0</v>
      </c>
      <c r="BA760" s="1080">
        <f t="shared" si="758"/>
        <v>0</v>
      </c>
      <c r="BB760" s="1080">
        <f>IF(AND(RACE=1,'Main Creation Page'!$E$6="Well",OR(ISNUMBER(FIND(Experience!$G$11,BE760)),ISNUMBER(FIND(Experience!$G$11,BF760)),ISNUMBER(FIND(Experience!$I$11,BE760)),ISNUMBER(FIND(Experience!$I$11,BF760)))),1,0)</f>
        <v>1</v>
      </c>
      <c r="BC760" s="1080" t="e">
        <f t="shared" si="703"/>
        <v>#N/A</v>
      </c>
      <c r="BE760" s="1080" t="str">
        <f t="shared" si="752"/>
        <v>Lore</v>
      </c>
      <c r="BF760" s="1080" t="str">
        <f t="shared" si="718"/>
        <v>Materia Medicina: Healing Lore Skills</v>
      </c>
    </row>
    <row r="761" spans="1:58" ht="11.1" hidden="1" customHeight="1" outlineLevel="2">
      <c r="A761" s="1028" t="s">
        <v>484</v>
      </c>
      <c r="B761" s="1094"/>
      <c r="C761" s="1094"/>
      <c r="D761" s="1094"/>
      <c r="O761" s="1028"/>
      <c r="P761" s="1028"/>
      <c r="Q761" s="1028"/>
      <c r="R761" s="1034"/>
      <c r="S761" s="1028"/>
      <c r="T761" s="1028"/>
      <c r="V761" s="1027"/>
      <c r="W761" s="1112"/>
      <c r="AE761" s="1094"/>
      <c r="AF761" s="1121"/>
      <c r="AH761" s="1092"/>
      <c r="AI761" s="1092"/>
      <c r="AM761" s="1092"/>
      <c r="AQ761" s="1027"/>
      <c r="AR761" s="1080" t="str">
        <f ca="1">IF(AND(NOT(ISBLANK(AJ761)),ISNA(MATCH(ROW(),'System Lookups'!$C$526:$C$539,0))),"Y","N")</f>
        <v>N</v>
      </c>
      <c r="AU761" s="1080" t="e">
        <f t="shared" si="753"/>
        <v>#N/A</v>
      </c>
      <c r="AV761" s="1080" t="str">
        <f t="shared" si="751"/>
        <v/>
      </c>
      <c r="AW761" s="1080">
        <f t="shared" si="754"/>
        <v>0</v>
      </c>
      <c r="AX761" s="1080">
        <f t="shared" si="755"/>
        <v>0</v>
      </c>
      <c r="AY761" s="1080">
        <f t="shared" si="756"/>
        <v>0</v>
      </c>
      <c r="AZ761" s="1080">
        <f t="shared" si="757"/>
        <v>0</v>
      </c>
      <c r="BA761" s="1080">
        <f t="shared" si="758"/>
        <v>0</v>
      </c>
      <c r="BB761" s="1080">
        <f>IF(AND(RACE=1,'Main Creation Page'!$E$6="Well",OR(ISNUMBER(FIND(Experience!$G$11,BE761)),ISNUMBER(FIND(Experience!$G$11,BF761)),ISNUMBER(FIND(Experience!$I$11,BE761)),ISNUMBER(FIND(Experience!$I$11,BF761)))),1,0)</f>
        <v>1</v>
      </c>
      <c r="BC761" s="1080" t="e">
        <f t="shared" si="703"/>
        <v>#N/A</v>
      </c>
      <c r="BE761" s="1080" t="str">
        <f t="shared" si="752"/>
        <v>Lore</v>
      </c>
      <c r="BF761" s="1080" t="str">
        <f t="shared" si="718"/>
        <v>Materia Medicina: Healing Lore Skills</v>
      </c>
    </row>
    <row r="762" spans="1:58" ht="11.1" customHeight="1" outlineLevel="1" collapsed="1">
      <c r="A762" s="1117" t="s">
        <v>2901</v>
      </c>
      <c r="B762" s="1094"/>
      <c r="C762" s="1094"/>
      <c r="D762" s="1094"/>
      <c r="E762" s="1095" t="s">
        <v>5224</v>
      </c>
      <c r="F762" s="1095" t="s">
        <v>5224</v>
      </c>
      <c r="G762" s="1096">
        <v>0</v>
      </c>
      <c r="H762" s="1096" t="s">
        <v>5224</v>
      </c>
      <c r="I762" s="1096" t="s">
        <v>5224</v>
      </c>
      <c r="J762" s="1096" t="s">
        <v>5224</v>
      </c>
      <c r="K762" s="1096" t="s">
        <v>5224</v>
      </c>
      <c r="L762" s="1096">
        <v>0</v>
      </c>
      <c r="M762" s="1096" t="s">
        <v>5224</v>
      </c>
      <c r="N762" s="1096" t="s">
        <v>4627</v>
      </c>
      <c r="O762" s="1028"/>
      <c r="P762" s="1028" t="s">
        <v>780</v>
      </c>
      <c r="Q762" s="1097">
        <f t="shared" ref="Q762:Q763" ca="1" si="759">INDIRECT(P762)</f>
        <v>17</v>
      </c>
      <c r="R762" s="1034"/>
      <c r="S762" s="1028" t="s">
        <v>3611</v>
      </c>
      <c r="T762" s="1097">
        <f t="shared" ref="T762:T763" ca="1" si="760">INDIRECT(S762)</f>
        <v>15</v>
      </c>
      <c r="U762" s="1027">
        <v>2</v>
      </c>
      <c r="V762" s="1027">
        <f>IF(AP762+U762&gt;10,10,IF(AP762+U762&lt;1,1,AP762+U762))</f>
        <v>1</v>
      </c>
      <c r="W762" s="1098" t="e">
        <f>IF(OR(I762&lt;&gt;"N",E762="C"),IF(AND(N762&lt;&gt;"T",ISNUMBER(FIND("V",I762))),1,0),NA())+IF(H762="Y",IF(AND(N762="P",ISNUMBER(FIND("Z",I762))),2,1),0)+IF(J762="Y",1,0)+IF(K762="Y",3,0)+IF(BE762="Lore",L762*2+Experience!$D$25,0)+IF(M762="Y",1,0)</f>
        <v>#N/A</v>
      </c>
      <c r="X762" s="1099"/>
      <c r="Y762" s="1100">
        <f ca="1">IF(P762="NS",IFERROR(INDIRECT(S762),NA()),VLOOKUP(INDIRECT(P762)+INDIRECT(S762),'System Lookups'!$A$3:$D$146,2))</f>
        <v>0.08</v>
      </c>
      <c r="Z762" s="1100">
        <f>IF(ISNA(W762),0,W762*0.03)+IF(X762&gt;0,X762*0.03,0)+IF(AND(ISNA(W762),X762&lt;=0),0,IF(G762&gt;0,G762*0.07,0))</f>
        <v>0</v>
      </c>
      <c r="AA762" s="1101">
        <f ca="1">IF(ISNA(Y762),0,Y762)+Z762+IF('Main Creation Page'!AB$2=37,'Main Creation Page'!E$14/100,0)</f>
        <v>0.08</v>
      </c>
      <c r="AB762" s="1102">
        <f>VLOOKUP(V762,'System Lookups'!$J$55:$P$64,3)</f>
        <v>0.5</v>
      </c>
      <c r="AC762" s="1103">
        <f>VLOOKUP(V762,'System Lookups'!$J$55:$P$64,4)</f>
        <v>0.6</v>
      </c>
      <c r="AD762" s="1104">
        <f ca="1">IF(AND(ISBLANK(X762),ISNA(W762)),IF(B762="~",0,AB762+AA762+IF(BB762&gt;0,0.05,0)),AA762+AC762+IF(BB762&gt;0,0.05,0))</f>
        <v>0.63</v>
      </c>
      <c r="AE762" s="1094">
        <f ca="1">(IF(AD762&gt;VLOOKUP(V762,'System Lookups'!$J$55:$P$63,6),(((AD762-VLOOKUP(V762,'System Lookups'!$J$55:$P$63,6))*100)/20),0))+AF762</f>
        <v>0</v>
      </c>
      <c r="AF762" s="1121"/>
      <c r="AG762" s="1092">
        <f>IF(ISBLANK(X762),0,AQ762*X762+IF(ISNA(W762),1,0))</f>
        <v>0</v>
      </c>
      <c r="AH762" s="1092" t="str">
        <f>IF(X762&lt;=Experience!$R$15+1,"","*")</f>
        <v/>
      </c>
      <c r="AI762" s="1092"/>
      <c r="AJ762" s="1080">
        <f t="shared" ref="AJ762:AJ763" si="761">IF(ISNUMBER(FIND("R",F762)),-1,0)</f>
        <v>0</v>
      </c>
      <c r="AK762" s="1080">
        <f>IF(F762="s",-2,0)</f>
        <v>0</v>
      </c>
      <c r="AL762" s="1080">
        <f t="shared" ref="AL762:AL763" si="762">IF(AND(H762="Y",OR(N762="P",N762="S")),-1,0)</f>
        <v>0</v>
      </c>
      <c r="AM762" s="1092">
        <f>IF(J762="y",1,0)</f>
        <v>0</v>
      </c>
      <c r="AN762" s="1080">
        <f>IF(N762="P",-1,IF(N762="T",1,0))</f>
        <v>-1</v>
      </c>
      <c r="AO762" s="1080">
        <f t="shared" ref="AO762:AO763" si="763">IF(ISNUMBER(FIND("Z",I762)),1,0)</f>
        <v>0</v>
      </c>
      <c r="AP762" s="1080">
        <f>SUM(AJ762:AN762)-AM762</f>
        <v>-1</v>
      </c>
      <c r="AQ762" s="1027">
        <f>VLOOKUP(V762,'System Lookups'!$J$55:$P$64,7)</f>
        <v>300</v>
      </c>
      <c r="AR762" s="1080" t="str">
        <f ca="1">IF(AND(NOT(ISBLANK(AJ762)),ISNA(MATCH(ROW(),'System Lookups'!$C$526:$C$539,0))),"Y","N")</f>
        <v>Y</v>
      </c>
      <c r="AS762" s="1080">
        <f>AG762-AI762</f>
        <v>0</v>
      </c>
      <c r="AU762" s="1080" t="e">
        <f t="shared" si="753"/>
        <v>#N/A</v>
      </c>
      <c r="AV762" s="1080" t="str">
        <f t="shared" si="751"/>
        <v>P</v>
      </c>
      <c r="AW762" s="1080">
        <f t="shared" si="754"/>
        <v>0</v>
      </c>
      <c r="AX762" s="1080">
        <f t="shared" si="755"/>
        <v>0</v>
      </c>
      <c r="AY762" s="1080">
        <f t="shared" si="756"/>
        <v>0</v>
      </c>
      <c r="AZ762" s="1080">
        <f t="shared" si="757"/>
        <v>0</v>
      </c>
      <c r="BA762" s="1080">
        <f t="shared" si="758"/>
        <v>0</v>
      </c>
      <c r="BB762" s="1080">
        <f>IF(AND(RACE=1,'Main Creation Page'!$E$6="Well",OR(ISNUMBER(FIND(Experience!$G$11,BE762)),ISNUMBER(FIND(Experience!$G$11,BF762)),ISNUMBER(FIND(Experience!$I$11,BE762)),ISNUMBER(FIND(Experience!$I$11,BF762)))),1,0)</f>
        <v>1</v>
      </c>
      <c r="BC762" s="1080" t="str">
        <f t="shared" si="703"/>
        <v>First Aid</v>
      </c>
      <c r="BE762" s="1080" t="str">
        <f t="shared" si="752"/>
        <v>Lore</v>
      </c>
      <c r="BF762" s="1080" t="str">
        <f t="shared" si="718"/>
        <v>Materia Medicina: Healing Lore Skills</v>
      </c>
    </row>
    <row r="763" spans="1:58" ht="11.1" customHeight="1" outlineLevel="1">
      <c r="A763" s="1117" t="s">
        <v>2902</v>
      </c>
      <c r="B763" s="1094" t="s">
        <v>1942</v>
      </c>
      <c r="C763" s="1094"/>
      <c r="D763" s="1094"/>
      <c r="E763" s="1095" t="s">
        <v>5224</v>
      </c>
      <c r="F763" s="1095" t="s">
        <v>5224</v>
      </c>
      <c r="G763" s="1096">
        <v>0</v>
      </c>
      <c r="H763" s="1096" t="s">
        <v>5224</v>
      </c>
      <c r="I763" s="1096" t="s">
        <v>5224</v>
      </c>
      <c r="J763" s="1096" t="s">
        <v>5224</v>
      </c>
      <c r="K763" s="1096" t="s">
        <v>5224</v>
      </c>
      <c r="L763" s="1096">
        <v>0</v>
      </c>
      <c r="M763" s="1096" t="s">
        <v>5224</v>
      </c>
      <c r="N763" s="1096" t="s">
        <v>4627</v>
      </c>
      <c r="O763" s="1028"/>
      <c r="P763" s="1028" t="s">
        <v>780</v>
      </c>
      <c r="Q763" s="1097">
        <f t="shared" ca="1" si="759"/>
        <v>17</v>
      </c>
      <c r="R763" s="1034"/>
      <c r="S763" s="1028" t="s">
        <v>3616</v>
      </c>
      <c r="T763" s="1097">
        <f t="shared" ca="1" si="760"/>
        <v>17</v>
      </c>
      <c r="U763" s="1027">
        <v>4</v>
      </c>
      <c r="V763" s="1027">
        <f>IF(AP763+U763&gt;10,10,IF(AP763+U763&lt;1,1,AP763+U763))</f>
        <v>3</v>
      </c>
      <c r="W763" s="1098" t="e">
        <f>IF(OR(I763&lt;&gt;"N",E763="C"),IF(AND(N763&lt;&gt;"T",ISNUMBER(FIND("V",I763))),1,0),NA())+IF(H763="Y",IF(AND(N763="P",ISNUMBER(FIND("Z",I763))),2,1),0)+IF(J763="Y",1,0)+IF(K763="Y",3,0)+IF(BE763="Lore",L763*2+Experience!$D$25,0)+IF(M763="Y",1,0)</f>
        <v>#N/A</v>
      </c>
      <c r="X763" s="1099"/>
      <c r="Y763" s="1100">
        <f ca="1">IF(P763="NS",IFERROR(INDIRECT(S763),NA()),VLOOKUP(INDIRECT(P763)+INDIRECT(S763),'System Lookups'!$A$3:$D$146,2))</f>
        <v>0.1</v>
      </c>
      <c r="Z763" s="1100">
        <f>IF(ISNA(W763),0,W763*0.03)+IF(X763&gt;0,X763*0.03,0)+IF(AND(ISNA(W763),X763&lt;=0),0,IF(G763&gt;0,G763*0.07,0))</f>
        <v>0</v>
      </c>
      <c r="AA763" s="1101">
        <f ca="1">IF(ISNA(Y763),0,Y763)+Z763+IF('Main Creation Page'!AB$2=37,'Main Creation Page'!E$14/100,0)</f>
        <v>0.1</v>
      </c>
      <c r="AB763" s="1102">
        <f>VLOOKUP(V763,'System Lookups'!$J$55:$P$64,3)</f>
        <v>0.3</v>
      </c>
      <c r="AC763" s="1103">
        <f>VLOOKUP(V763,'System Lookups'!$J$55:$P$64,4)</f>
        <v>0.4</v>
      </c>
      <c r="AD763" s="1104">
        <f>IF(AND(ISBLANK(X763),ISNA(W763)),IF(B763="~",0,AB763+AA763+IF(BB763&gt;0,0.05,0)),AA763+AC763+IF(BB763&gt;0,0.05,0))</f>
        <v>0</v>
      </c>
      <c r="AE763" s="1094">
        <f>(IF(AD763&gt;VLOOKUP(V763,'System Lookups'!$J$55:$P$63,6),(((AD763-VLOOKUP(V763,'System Lookups'!$J$55:$P$63,6))*100)/20),0))+AF763</f>
        <v>0</v>
      </c>
      <c r="AF763" s="1121"/>
      <c r="AG763" s="1092">
        <f>IF(ISBLANK(X763),0,AQ763*X763+IF(ISNA(W763),1,0))</f>
        <v>0</v>
      </c>
      <c r="AH763" s="1092" t="str">
        <f>IF(X763&lt;=Experience!$R$15+1,"","*")</f>
        <v/>
      </c>
      <c r="AI763" s="1092"/>
      <c r="AJ763" s="1080">
        <f t="shared" si="761"/>
        <v>0</v>
      </c>
      <c r="AK763" s="1080">
        <f>IF(F763="s",-2,0)</f>
        <v>0</v>
      </c>
      <c r="AL763" s="1080">
        <f t="shared" si="762"/>
        <v>0</v>
      </c>
      <c r="AM763" s="1092">
        <f>IF(J763="y",1,0)</f>
        <v>0</v>
      </c>
      <c r="AN763" s="1080">
        <f>IF(N763="P",-1,IF(N763="T",1,0))</f>
        <v>-1</v>
      </c>
      <c r="AO763" s="1080">
        <f t="shared" si="763"/>
        <v>0</v>
      </c>
      <c r="AP763" s="1080">
        <f>SUM(AJ763:AN763)-AM763</f>
        <v>-1</v>
      </c>
      <c r="AQ763" s="1027">
        <f>VLOOKUP(V763,'System Lookups'!$J$55:$P$64,7)</f>
        <v>500</v>
      </c>
      <c r="AR763" s="1080" t="str">
        <f ca="1">IF(AND(NOT(ISBLANK(AJ763)),ISNA(MATCH(ROW(),'System Lookups'!$C$526:$C$539,0))),"Y","N")</f>
        <v>Y</v>
      </c>
      <c r="AS763" s="1080">
        <f>AG763-AI763</f>
        <v>0</v>
      </c>
      <c r="AU763" s="1080" t="e">
        <f t="shared" si="753"/>
        <v>#N/A</v>
      </c>
      <c r="AV763" s="1080" t="str">
        <f t="shared" si="751"/>
        <v>P</v>
      </c>
      <c r="AW763" s="1080">
        <f t="shared" si="754"/>
        <v>0</v>
      </c>
      <c r="AX763" s="1080">
        <f t="shared" si="755"/>
        <v>0</v>
      </c>
      <c r="AY763" s="1080">
        <f t="shared" si="756"/>
        <v>0</v>
      </c>
      <c r="AZ763" s="1080">
        <f t="shared" si="757"/>
        <v>0</v>
      </c>
      <c r="BA763" s="1080">
        <f t="shared" si="758"/>
        <v>0</v>
      </c>
      <c r="BB763" s="1080">
        <f>IF(AND(RACE=1,'Main Creation Page'!$E$6="Well",OR(ISNUMBER(FIND(Experience!$G$11,BE763)),ISNUMBER(FIND(Experience!$G$11,BF763)),ISNUMBER(FIND(Experience!$I$11,BE763)),ISNUMBER(FIND(Experience!$I$11,BF763)))),1,0)</f>
        <v>1</v>
      </c>
      <c r="BC763" s="1080" t="str">
        <f t="shared" si="703"/>
        <v>Herbalism</v>
      </c>
      <c r="BE763" s="1080" t="str">
        <f t="shared" si="752"/>
        <v>Lore</v>
      </c>
      <c r="BF763" s="1080" t="str">
        <f t="shared" si="718"/>
        <v>Materia Medicina: Healing Lore Skills</v>
      </c>
    </row>
    <row r="764" spans="1:58" ht="11.1" hidden="1" customHeight="1" outlineLevel="2">
      <c r="A764" s="1028" t="s">
        <v>2640</v>
      </c>
      <c r="B764" s="2641">
        <f ca="1">(+AA763/5)*100</f>
        <v>2</v>
      </c>
      <c r="C764" s="2644"/>
      <c r="D764" s="2643"/>
      <c r="E764" s="1081" t="s">
        <v>2642</v>
      </c>
      <c r="V764" s="1027"/>
      <c r="W764" s="1112"/>
      <c r="AE764" s="1094"/>
      <c r="AF764" s="1121"/>
      <c r="AG764" s="1092"/>
      <c r="AH764" s="1092"/>
      <c r="AI764" s="1092"/>
      <c r="AM764" s="1092"/>
      <c r="AQ764" s="1027"/>
      <c r="AR764" s="1080" t="str">
        <f ca="1">IF(AND(NOT(ISBLANK(AJ764)),ISNA(MATCH(ROW(),'System Lookups'!$C$526:$C$539,0))),"Y","N")</f>
        <v>N</v>
      </c>
      <c r="AU764" s="1080" t="e">
        <f t="shared" si="753"/>
        <v>#N/A</v>
      </c>
      <c r="AV764" s="1080" t="str">
        <f t="shared" si="751"/>
        <v/>
      </c>
      <c r="AW764" s="1080">
        <f t="shared" si="754"/>
        <v>0</v>
      </c>
      <c r="AX764" s="1080">
        <f t="shared" si="755"/>
        <v>0</v>
      </c>
      <c r="AY764" s="1080">
        <f t="shared" si="756"/>
        <v>0</v>
      </c>
      <c r="AZ764" s="1080">
        <f t="shared" si="757"/>
        <v>0</v>
      </c>
      <c r="BA764" s="1080">
        <f t="shared" si="758"/>
        <v>0</v>
      </c>
      <c r="BB764" s="1080">
        <f>IF(AND(RACE=1,'Main Creation Page'!$E$6="Well",OR(ISNUMBER(FIND(Experience!$G$11,BE764)),ISNUMBER(FIND(Experience!$G$11,BF764)),ISNUMBER(FIND(Experience!$I$11,BE764)),ISNUMBER(FIND(Experience!$I$11,BF764)))),1,0)</f>
        <v>1</v>
      </c>
      <c r="BC764" s="1080" t="e">
        <f t="shared" si="703"/>
        <v>#N/A</v>
      </c>
      <c r="BE764" s="1080" t="str">
        <f t="shared" si="752"/>
        <v>Lore</v>
      </c>
      <c r="BF764" s="1080" t="str">
        <f t="shared" si="718"/>
        <v>Materia Medicina: Healing Lore Skills</v>
      </c>
    </row>
    <row r="765" spans="1:58" ht="11.1" hidden="1" customHeight="1" outlineLevel="2">
      <c r="A765" s="1028" t="s">
        <v>2641</v>
      </c>
      <c r="B765" s="2641" t="str">
        <f ca="1">IF(AA8&gt;0,IF(AA8+AA763&gt;1.5,"Master"," ")," ")</f>
        <v xml:space="preserve"> </v>
      </c>
      <c r="C765" s="2644"/>
      <c r="D765" s="2644"/>
      <c r="E765" s="2593">
        <f ca="1">IF(B765="master",((+S765+5)*(100*(AA758+AA8))),(+S765*(100*(AA758+AA8))))</f>
        <v>0</v>
      </c>
      <c r="F765" s="2606"/>
      <c r="G765" s="2607"/>
      <c r="H765" s="1027"/>
      <c r="I765" s="1027"/>
      <c r="J765" s="1027"/>
      <c r="K765" s="1027"/>
      <c r="L765" s="1027"/>
      <c r="M765" s="1027"/>
      <c r="N765" s="1027"/>
      <c r="S765" s="1080"/>
      <c r="T765" s="1080"/>
      <c r="V765" s="1027"/>
      <c r="W765" s="1112"/>
      <c r="AE765" s="1094"/>
      <c r="AF765" s="1121"/>
      <c r="AG765" s="1092"/>
      <c r="AH765" s="1092"/>
      <c r="AI765" s="1092"/>
      <c r="AM765" s="1092"/>
      <c r="AQ765" s="1027"/>
      <c r="AR765" s="1080" t="str">
        <f ca="1">IF(AND(NOT(ISBLANK(AJ765)),ISNA(MATCH(ROW(),'System Lookups'!$C$526:$C$539,0))),"Y","N")</f>
        <v>N</v>
      </c>
      <c r="AU765" s="1080" t="e">
        <f t="shared" si="753"/>
        <v>#N/A</v>
      </c>
      <c r="AV765" s="1080" t="str">
        <f t="shared" si="751"/>
        <v/>
      </c>
      <c r="AW765" s="1080">
        <f t="shared" si="754"/>
        <v>0</v>
      </c>
      <c r="AX765" s="1080">
        <f t="shared" si="755"/>
        <v>0</v>
      </c>
      <c r="AY765" s="1080">
        <f t="shared" si="756"/>
        <v>0</v>
      </c>
      <c r="AZ765" s="1080">
        <f t="shared" si="757"/>
        <v>0</v>
      </c>
      <c r="BA765" s="1080">
        <f t="shared" si="758"/>
        <v>0</v>
      </c>
      <c r="BB765" s="1080">
        <f>IF(AND(RACE=1,'Main Creation Page'!$E$6="Well",OR(ISNUMBER(FIND(Experience!$G$11,BE765)),ISNUMBER(FIND(Experience!$G$11,BF765)),ISNUMBER(FIND(Experience!$I$11,BE765)),ISNUMBER(FIND(Experience!$I$11,BF765)))),1,0)</f>
        <v>1</v>
      </c>
      <c r="BC765" s="1080" t="e">
        <f t="shared" si="703"/>
        <v>#N/A</v>
      </c>
      <c r="BE765" s="1080" t="str">
        <f t="shared" si="752"/>
        <v>Lore</v>
      </c>
      <c r="BF765" s="1080" t="str">
        <f t="shared" si="718"/>
        <v>Materia Medicina: Healing Lore Skills</v>
      </c>
    </row>
    <row r="766" spans="1:58" ht="11.1" hidden="1" customHeight="1" outlineLevel="2">
      <c r="A766" s="1028" t="s">
        <v>2643</v>
      </c>
      <c r="B766" s="2641">
        <f ca="1">52+(AA763*100)</f>
        <v>62</v>
      </c>
      <c r="C766" s="2642"/>
      <c r="D766" s="2643"/>
      <c r="E766" s="1081" t="s">
        <v>1474</v>
      </c>
      <c r="V766" s="1027"/>
      <c r="W766" s="1112"/>
      <c r="AE766" s="1094"/>
      <c r="AF766" s="1121"/>
      <c r="AG766" s="1092"/>
      <c r="AH766" s="1092"/>
      <c r="AI766" s="1092"/>
      <c r="AM766" s="1092"/>
      <c r="AQ766" s="1027"/>
      <c r="AR766" s="1080" t="str">
        <f ca="1">IF(AND(NOT(ISBLANK(AJ766)),ISNA(MATCH(ROW(),'System Lookups'!$C$526:$C$539,0))),"Y","N")</f>
        <v>N</v>
      </c>
      <c r="AU766" s="1080" t="e">
        <f t="shared" si="753"/>
        <v>#N/A</v>
      </c>
      <c r="AV766" s="1080" t="str">
        <f t="shared" si="751"/>
        <v/>
      </c>
      <c r="AW766" s="1080">
        <f t="shared" si="754"/>
        <v>0</v>
      </c>
      <c r="AX766" s="1080">
        <f t="shared" si="755"/>
        <v>0</v>
      </c>
      <c r="AY766" s="1080">
        <f t="shared" si="756"/>
        <v>0</v>
      </c>
      <c r="AZ766" s="1080">
        <f t="shared" si="757"/>
        <v>0</v>
      </c>
      <c r="BA766" s="1080">
        <f t="shared" si="758"/>
        <v>0</v>
      </c>
      <c r="BB766" s="1080">
        <f>IF(AND(RACE=1,'Main Creation Page'!$E$6="Well",OR(ISNUMBER(FIND(Experience!$G$11,BE766)),ISNUMBER(FIND(Experience!$G$11,BF766)),ISNUMBER(FIND(Experience!$I$11,BE766)),ISNUMBER(FIND(Experience!$I$11,BF766)))),1,0)</f>
        <v>1</v>
      </c>
      <c r="BC766" s="1080" t="e">
        <f t="shared" si="703"/>
        <v>#N/A</v>
      </c>
      <c r="BE766" s="1080" t="str">
        <f t="shared" si="752"/>
        <v>Lore</v>
      </c>
      <c r="BF766" s="1080" t="str">
        <f t="shared" si="718"/>
        <v>Materia Medicina: Healing Lore Skills</v>
      </c>
    </row>
    <row r="767" spans="1:58" ht="11.1" hidden="1" customHeight="1" outlineLevel="2">
      <c r="A767" s="1028" t="s">
        <v>2644</v>
      </c>
      <c r="B767" s="1151" t="s">
        <v>5224</v>
      </c>
      <c r="C767" s="1111"/>
      <c r="D767" s="1111"/>
      <c r="V767" s="1027"/>
      <c r="W767" s="1112"/>
      <c r="AE767" s="1094"/>
      <c r="AF767" s="1121"/>
      <c r="AG767" s="1092"/>
      <c r="AH767" s="1092"/>
      <c r="AI767" s="1092"/>
      <c r="AM767" s="1092"/>
      <c r="AQ767" s="1027"/>
      <c r="AR767" s="1080" t="str">
        <f ca="1">IF(AND(NOT(ISBLANK(AJ767)),ISNA(MATCH(ROW(),'System Lookups'!$C$526:$C$539,0))),"Y","N")</f>
        <v>N</v>
      </c>
      <c r="AU767" s="1080" t="e">
        <f t="shared" si="753"/>
        <v>#N/A</v>
      </c>
      <c r="AV767" s="1080" t="str">
        <f t="shared" si="751"/>
        <v/>
      </c>
      <c r="AW767" s="1080">
        <f t="shared" si="754"/>
        <v>0</v>
      </c>
      <c r="AX767" s="1080">
        <f t="shared" si="755"/>
        <v>0</v>
      </c>
      <c r="AY767" s="1080">
        <f t="shared" si="756"/>
        <v>0</v>
      </c>
      <c r="AZ767" s="1080">
        <f t="shared" si="757"/>
        <v>0</v>
      </c>
      <c r="BA767" s="1080">
        <f t="shared" si="758"/>
        <v>0</v>
      </c>
      <c r="BB767" s="1080">
        <f>IF(AND(RACE=1,'Main Creation Page'!$E$6="Well",OR(ISNUMBER(FIND(Experience!$G$11,BE767)),ISNUMBER(FIND(Experience!$G$11,BF767)),ISNUMBER(FIND(Experience!$I$11,BE767)),ISNUMBER(FIND(Experience!$I$11,BF767)))),1,0)</f>
        <v>1</v>
      </c>
      <c r="BC767" s="1080" t="e">
        <f t="shared" si="703"/>
        <v>#N/A</v>
      </c>
      <c r="BE767" s="1080" t="str">
        <f t="shared" si="752"/>
        <v>Lore</v>
      </c>
      <c r="BF767" s="1080" t="str">
        <f t="shared" si="718"/>
        <v>Materia Medicina: Healing Lore Skills</v>
      </c>
    </row>
    <row r="768" spans="1:58" ht="11.1" customHeight="1" outlineLevel="1" collapsed="1">
      <c r="A768" s="1123" t="s">
        <v>425</v>
      </c>
      <c r="B768" s="1094" t="s">
        <v>1942</v>
      </c>
      <c r="C768" s="1094"/>
      <c r="D768" s="1094"/>
      <c r="E768" s="1095" t="s">
        <v>5224</v>
      </c>
      <c r="F768" s="1095" t="s">
        <v>5224</v>
      </c>
      <c r="G768" s="1096">
        <v>0</v>
      </c>
      <c r="H768" s="1096" t="s">
        <v>5224</v>
      </c>
      <c r="I768" s="1096" t="s">
        <v>5224</v>
      </c>
      <c r="J768" s="1096" t="s">
        <v>5224</v>
      </c>
      <c r="K768" s="1096" t="s">
        <v>5224</v>
      </c>
      <c r="L768" s="1096">
        <v>0</v>
      </c>
      <c r="M768" s="1096" t="s">
        <v>5224</v>
      </c>
      <c r="N768" s="1096" t="s">
        <v>4627</v>
      </c>
      <c r="O768" s="1028"/>
      <c r="P768" s="1028" t="s">
        <v>3611</v>
      </c>
      <c r="Q768" s="1097">
        <f ca="1">INDIRECT(P768)</f>
        <v>15</v>
      </c>
      <c r="R768" s="1028"/>
      <c r="S768" s="1028" t="s">
        <v>3616</v>
      </c>
      <c r="T768" s="1097">
        <f ca="1">INDIRECT(S768)</f>
        <v>17</v>
      </c>
      <c r="U768" s="1027">
        <v>4</v>
      </c>
      <c r="V768" s="1027">
        <f>IF(AP768+U768&gt;10,10,IF(AP768+U768&lt;1,1,AP768+U768))</f>
        <v>3</v>
      </c>
      <c r="W768" s="1098" t="e">
        <f>IF(OR(I768&lt;&gt;"N",E768="C"),IF(AND(N768&lt;&gt;"T",ISNUMBER(FIND("V",I768))),1,0),NA())+IF(H768="Y",IF(AND(N768="P",ISNUMBER(FIND("Z",I768))),2,1),0)+IF(J768="Y",1,0)+IF(K768="Y",3,0)+IF(BE768="Lore",L768*2+Experience!$D$25,0)+IF(M768="Y",1,0)</f>
        <v>#N/A</v>
      </c>
      <c r="X768" s="1099"/>
      <c r="Y768" s="1100">
        <f ca="1">IF(P768="NS",IFERROR(INDIRECT(S768),NA()),VLOOKUP(INDIRECT(P768)+INDIRECT(S768),'System Lookups'!$A$3:$D$146,2))</f>
        <v>0.08</v>
      </c>
      <c r="Z768" s="1100">
        <f>IF(ISNA(W768),0,W768*0.03)+IF(X768&gt;0,X768*0.03,0)+IF(AND(ISNA(W768),X768&lt;=0),0,IF(G768&gt;0,G768*0.07,0))</f>
        <v>0</v>
      </c>
      <c r="AA768" s="1101">
        <f ca="1">IF(ISNA(Y768),0,Y768)+Z768+IF('Main Creation Page'!AB$2=37,'Main Creation Page'!E$14/100,0)</f>
        <v>0.08</v>
      </c>
      <c r="AB768" s="1102">
        <f>VLOOKUP(V768,'System Lookups'!$J$55:$P$64,3)</f>
        <v>0.3</v>
      </c>
      <c r="AC768" s="1103">
        <f>VLOOKUP(V768,'System Lookups'!$J$55:$P$64,4)</f>
        <v>0.4</v>
      </c>
      <c r="AD768" s="1104">
        <f>IF(AND(ISBLANK(X768),ISNA(W768)),IF(B768="~",0,AB768+AA768+IF(BB768&gt;0,0.05,0)),AA768+AC768+IF(BB768&gt;0,0.05,0))</f>
        <v>0</v>
      </c>
      <c r="AE768" s="1094">
        <f ca="1">(IF(AD768&gt;VLOOKUP(V768,'System Lookups'!$J$55:$P$63,6),(((AD768-VLOOKUP(V768,'System Lookups'!$J$55:$P$63,6))*100)/20),0))+AF768</f>
        <v>-2</v>
      </c>
      <c r="AF768" s="1120">
        <f ca="1">IF(AA768&gt;1,5,IF(AA768&gt;0.75,4,IF(AA768&gt;0.45,3,IF(AA768&gt;0.25,2,IF(AA768&lt;0,1,-2)))))</f>
        <v>-2</v>
      </c>
      <c r="AG768" s="1092">
        <f>IF(ISBLANK(X768),0,AQ768*X768+IF(ISNA(W768),1,0))</f>
        <v>0</v>
      </c>
      <c r="AH768" s="1092" t="str">
        <f>IF(X768&lt;=Experience!$R$15+1,"","*")</f>
        <v/>
      </c>
      <c r="AI768" s="1092"/>
      <c r="AJ768" s="1080">
        <f>IF(ISNUMBER(FIND("R",F768)),-1,0)</f>
        <v>0</v>
      </c>
      <c r="AK768" s="1080">
        <f>IF(F768="s",-2,0)</f>
        <v>0</v>
      </c>
      <c r="AL768" s="1080">
        <f t="shared" ref="AL768:AL770" si="764">IF(AND(H768="Y",OR(N768="P",N768="S")),-1,0)</f>
        <v>0</v>
      </c>
      <c r="AM768" s="1092">
        <f>IF(J768="y",1,0)</f>
        <v>0</v>
      </c>
      <c r="AN768" s="1080">
        <f>IF(N768="P",-1,IF(N768="T",1,0))</f>
        <v>-1</v>
      </c>
      <c r="AO768" s="1080">
        <f t="shared" ref="AO768:AO770" si="765">IF(ISNUMBER(FIND("Z",I768)),1,0)</f>
        <v>0</v>
      </c>
      <c r="AP768" s="1080">
        <f>SUM(AJ768:AN768)-AM768</f>
        <v>-1</v>
      </c>
      <c r="AQ768" s="1027">
        <f>VLOOKUP(V768,'System Lookups'!$J$55:$P$64,7)</f>
        <v>500</v>
      </c>
      <c r="AR768" s="1080" t="str">
        <f ca="1">IF(AND(NOT(ISBLANK(AJ768)),ISNA(MATCH(ROW(),'System Lookups'!$C$526:$C$539,0))),"Y","N")</f>
        <v>Y</v>
      </c>
      <c r="AS768" s="1080">
        <f>AG768-AI768</f>
        <v>0</v>
      </c>
      <c r="AU768" s="1080" t="e">
        <f t="shared" si="753"/>
        <v>#N/A</v>
      </c>
      <c r="AV768" s="1080" t="str">
        <f t="shared" si="751"/>
        <v>P</v>
      </c>
      <c r="AW768" s="1080">
        <f t="shared" si="754"/>
        <v>0</v>
      </c>
      <c r="AX768" s="1080">
        <f t="shared" si="755"/>
        <v>0</v>
      </c>
      <c r="AY768" s="1080">
        <f t="shared" si="756"/>
        <v>0</v>
      </c>
      <c r="AZ768" s="1080">
        <f t="shared" si="757"/>
        <v>0</v>
      </c>
      <c r="BA768" s="1080">
        <f t="shared" si="758"/>
        <v>0</v>
      </c>
      <c r="BB768" s="1080">
        <f>IF(AND(RACE=1,'Main Creation Page'!$E$6="Well",OR(ISNUMBER(FIND(Experience!$G$11,BE768)),ISNUMBER(FIND(Experience!$G$11,BF768)),ISNUMBER(FIND(Experience!$I$11,BE768)),ISNUMBER(FIND(Experience!$I$11,BF768)))),1,0)</f>
        <v>1</v>
      </c>
      <c r="BC768" s="1080" t="str">
        <f t="shared" si="703"/>
        <v>Massage</v>
      </c>
      <c r="BE768" s="1080" t="str">
        <f t="shared" si="752"/>
        <v>Lore</v>
      </c>
      <c r="BF768" s="1080" t="str">
        <f t="shared" si="718"/>
        <v>Materia Medicina: Healing Lore Skills</v>
      </c>
    </row>
    <row r="769" spans="1:58" ht="11.1" customHeight="1" outlineLevel="1">
      <c r="A769" s="1117" t="s">
        <v>4750</v>
      </c>
      <c r="B769" s="1094" t="s">
        <v>1942</v>
      </c>
      <c r="C769" s="1094"/>
      <c r="D769" s="1094"/>
      <c r="E769" s="1095" t="s">
        <v>5224</v>
      </c>
      <c r="F769" s="1095" t="s">
        <v>5224</v>
      </c>
      <c r="G769" s="1096">
        <v>0</v>
      </c>
      <c r="H769" s="1096" t="s">
        <v>5224</v>
      </c>
      <c r="I769" s="1096" t="s">
        <v>5224</v>
      </c>
      <c r="J769" s="1096" t="s">
        <v>5224</v>
      </c>
      <c r="K769" s="1096" t="s">
        <v>5224</v>
      </c>
      <c r="L769" s="1096">
        <v>0</v>
      </c>
      <c r="M769" s="1096" t="s">
        <v>5224</v>
      </c>
      <c r="N769" s="1096" t="s">
        <v>4627</v>
      </c>
      <c r="O769" s="1028"/>
      <c r="P769" s="1028" t="s">
        <v>780</v>
      </c>
      <c r="Q769" s="1097">
        <f t="shared" ref="Q769:Q770" ca="1" si="766">INDIRECT(P769)</f>
        <v>17</v>
      </c>
      <c r="R769" s="1034"/>
      <c r="S769" s="1028" t="s">
        <v>3616</v>
      </c>
      <c r="T769" s="1097">
        <f t="shared" ref="T769:T770" ca="1" si="767">INDIRECT(S769)</f>
        <v>17</v>
      </c>
      <c r="U769" s="1027">
        <v>4</v>
      </c>
      <c r="V769" s="1027">
        <f>IF(AP769+U769&gt;10,10,IF(AP769+U769&lt;1,1,AP769+U769))</f>
        <v>3</v>
      </c>
      <c r="W769" s="1098" t="e">
        <f>IF(OR(I769&lt;&gt;"N",E769="C"),IF(AND(N769&lt;&gt;"T",ISNUMBER(FIND("V",I769))),1,0),NA())+IF(H769="Y",IF(AND(N769="P",ISNUMBER(FIND("Z",I769))),2,1),0)+IF(J769="Y",1,0)+IF(K769="Y",3,0)+IF(BE769="Lore",L769*2+Experience!$D$25,0)+IF(M769="Y",1,0)</f>
        <v>#N/A</v>
      </c>
      <c r="X769" s="1099"/>
      <c r="Y769" s="1100">
        <f ca="1">IF(P769="NS",IFERROR(INDIRECT(S769),NA()),VLOOKUP(INDIRECT(P769)+INDIRECT(S769),'System Lookups'!$A$3:$D$146,2))</f>
        <v>0.1</v>
      </c>
      <c r="Z769" s="1100">
        <f>IF(ISNA(W769),0,W769*0.03)+IF(X769&gt;0,X769*0.03,0)+IF(AND(ISNA(W769),X769&lt;=0),0,IF(G769&gt;0,G769*0.07,0))</f>
        <v>0</v>
      </c>
      <c r="AA769" s="1101">
        <f ca="1">IF(ISNA(Y769),0,Y769)+Z769+IF('Main Creation Page'!AB$2=37,'Main Creation Page'!E$14/100,0)</f>
        <v>0.1</v>
      </c>
      <c r="AB769" s="1102">
        <f>VLOOKUP(V769,'System Lookups'!$J$55:$P$64,3)</f>
        <v>0.3</v>
      </c>
      <c r="AC769" s="1103">
        <f>VLOOKUP(V769,'System Lookups'!$J$55:$P$64,4)</f>
        <v>0.4</v>
      </c>
      <c r="AD769" s="1104">
        <f>IF(AND(ISBLANK(X769),ISNA(W769)),IF(B769="~",0,AB769+AA769+IF(BB769&gt;0,0.05,0)),AA769+AC769+IF(BB769&gt;0,0.05,0))</f>
        <v>0</v>
      </c>
      <c r="AE769" s="1094">
        <f>(IF(AD769&gt;VLOOKUP(V769,'System Lookups'!$J$55:$P$63,6),(((AD769-VLOOKUP(V769,'System Lookups'!$J$55:$P$63,6))*100)/20),0))+AF769</f>
        <v>0</v>
      </c>
      <c r="AF769" s="1121"/>
      <c r="AG769" s="1092">
        <f>IF(ISBLANK(X769),0,AQ769*X769+IF(ISNA(W769),1,0))</f>
        <v>0</v>
      </c>
      <c r="AH769" s="1092" t="str">
        <f>IF(X769&lt;=Experience!$R$15+1,"","*")</f>
        <v/>
      </c>
      <c r="AI769" s="1092"/>
      <c r="AJ769" s="1080">
        <f t="shared" ref="AJ769:AJ770" si="768">IF(ISNUMBER(FIND("R",F769)),-1,0)</f>
        <v>0</v>
      </c>
      <c r="AK769" s="1080">
        <f>IF(F769="s",-2,0)</f>
        <v>0</v>
      </c>
      <c r="AL769" s="1080">
        <f t="shared" si="764"/>
        <v>0</v>
      </c>
      <c r="AM769" s="1092">
        <f>IF(J769="y",1,0)</f>
        <v>0</v>
      </c>
      <c r="AN769" s="1080">
        <f>IF(N769="P",-1,IF(N769="T",1,0))</f>
        <v>-1</v>
      </c>
      <c r="AO769" s="1080">
        <f t="shared" si="765"/>
        <v>0</v>
      </c>
      <c r="AP769" s="1080">
        <f>SUM(AJ769:AN769)-AM769</f>
        <v>-1</v>
      </c>
      <c r="AQ769" s="1027">
        <f>VLOOKUP(V769,'System Lookups'!$J$55:$P$64,7)</f>
        <v>500</v>
      </c>
      <c r="AR769" s="1080" t="str">
        <f ca="1">IF(AND(NOT(ISBLANK(AJ769)),ISNA(MATCH(ROW(),'System Lookups'!$C$526:$C$539,0))),"Y","N")</f>
        <v>Y</v>
      </c>
      <c r="AS769" s="1080">
        <f>AG769-AI769</f>
        <v>0</v>
      </c>
      <c r="AU769" s="1080" t="e">
        <f t="shared" si="753"/>
        <v>#N/A</v>
      </c>
      <c r="AV769" s="1080" t="str">
        <f t="shared" si="751"/>
        <v>P</v>
      </c>
      <c r="AW769" s="1080">
        <f t="shared" si="754"/>
        <v>0</v>
      </c>
      <c r="AX769" s="1080">
        <f t="shared" si="755"/>
        <v>0</v>
      </c>
      <c r="AY769" s="1080">
        <f t="shared" si="756"/>
        <v>0</v>
      </c>
      <c r="AZ769" s="1080">
        <f t="shared" si="757"/>
        <v>0</v>
      </c>
      <c r="BA769" s="1080">
        <f t="shared" si="758"/>
        <v>0</v>
      </c>
      <c r="BB769" s="1080">
        <f>IF(AND(RACE=1,'Main Creation Page'!$E$6="Well",OR(ISNUMBER(FIND(Experience!$G$11,BE769)),ISNUMBER(FIND(Experience!$G$11,BF769)),ISNUMBER(FIND(Experience!$I$11,BE769)),ISNUMBER(FIND(Experience!$I$11,BF769)))),1,0)</f>
        <v>1</v>
      </c>
      <c r="BC769" s="1080" t="str">
        <f t="shared" si="703"/>
        <v>Pharmacology &amp; Medicine</v>
      </c>
      <c r="BE769" s="1080" t="str">
        <f t="shared" si="752"/>
        <v>Lore</v>
      </c>
      <c r="BF769" s="1080" t="str">
        <f t="shared" si="718"/>
        <v>Materia Medicina: Healing Lore Skills</v>
      </c>
    </row>
    <row r="770" spans="1:58" ht="11.1" hidden="1" customHeight="1" outlineLevel="2">
      <c r="A770" s="1028" t="s">
        <v>1475</v>
      </c>
      <c r="B770" s="1094"/>
      <c r="C770" s="1094"/>
      <c r="D770" s="1094"/>
      <c r="E770" s="1095" t="s">
        <v>5224</v>
      </c>
      <c r="F770" s="1095" t="str">
        <f>$F$769</f>
        <v>N</v>
      </c>
      <c r="G770" s="1096">
        <v>0</v>
      </c>
      <c r="H770" s="1096" t="s">
        <v>5224</v>
      </c>
      <c r="I770" s="1096" t="s">
        <v>5224</v>
      </c>
      <c r="J770" s="1096" t="s">
        <v>5224</v>
      </c>
      <c r="K770" s="1096" t="s">
        <v>5224</v>
      </c>
      <c r="L770" s="1096">
        <v>0</v>
      </c>
      <c r="M770" s="1096" t="s">
        <v>5224</v>
      </c>
      <c r="N770" s="1096" t="s">
        <v>4627</v>
      </c>
      <c r="O770" s="1028"/>
      <c r="P770" s="1028" t="s">
        <v>780</v>
      </c>
      <c r="Q770" s="1097">
        <f t="shared" ca="1" si="766"/>
        <v>17</v>
      </c>
      <c r="R770" s="1034"/>
      <c r="S770" s="1028" t="s">
        <v>3616</v>
      </c>
      <c r="T770" s="1097">
        <f t="shared" ca="1" si="767"/>
        <v>17</v>
      </c>
      <c r="U770" s="1027">
        <v>3</v>
      </c>
      <c r="V770" s="1027">
        <f>IF(AP770+U770&gt;10,10,IF(AP770+U770&lt;1,1,AP770+U770))</f>
        <v>2</v>
      </c>
      <c r="W770" s="1098" t="e">
        <f>IF(OR(I770&lt;&gt;"N",E770="C"),IF(AND(N770&lt;&gt;"T",ISNUMBER(FIND("V",I770))),1,0),NA())+IF(H770="Y",IF(AND(N770="P",ISNUMBER(FIND("Z",I770))),2,1),0)+IF(J770="Y",1,0)+IF(K770="Y",3,0)+IF(BE770="Lore",L770*2+Experience!$D$25,0)+IF(M770="Y",1,0)</f>
        <v>#N/A</v>
      </c>
      <c r="X770" s="1099"/>
      <c r="Y770" s="1100">
        <f ca="1">IF(P770="NS",IFERROR(INDIRECT(S770),NA()),VLOOKUP(INDIRECT(P770)+INDIRECT(S770),'System Lookups'!$A$3:$D$146,2))</f>
        <v>0.1</v>
      </c>
      <c r="Z770" s="1100">
        <f>IF(ISNA(W770),0,W770*0.03)+IF(X770&gt;0,X770*0.03,0)+IF(AND(ISNA(W770),X770&lt;=0),0,IF(G770&gt;0,G770*0.07,0))</f>
        <v>0</v>
      </c>
      <c r="AA770" s="1101">
        <f ca="1">IF(ISNA(Y770),0,Y770)+Z770+IF('Main Creation Page'!AB$2=37,'Main Creation Page'!E$14/100,0)</f>
        <v>0.1</v>
      </c>
      <c r="AB770" s="1102">
        <f>VLOOKUP(V770,'System Lookups'!$J$55:$P$64,3)</f>
        <v>0.4</v>
      </c>
      <c r="AC770" s="1103">
        <f>VLOOKUP(V770,'System Lookups'!$J$55:$P$64,4)</f>
        <v>0.5</v>
      </c>
      <c r="AD770" s="1104">
        <f ca="1">IF(AND(ISBLANK(X770),ISNA(W770)),IF(B770="~",0,AB770+AA770+IF(BB770&gt;0,0.05,0)),AA770+AC770+IF(BB770&gt;0,0.05,0))</f>
        <v>0.55000000000000004</v>
      </c>
      <c r="AE770" s="1094">
        <f ca="1">(IF(AD770&gt;VLOOKUP(V770,'System Lookups'!$J$55:$P$63,6),(((AD770-VLOOKUP(V770,'System Lookups'!$J$55:$P$63,6))*100)/20),0))+AF770</f>
        <v>0</v>
      </c>
      <c r="AF770" s="1121"/>
      <c r="AG770" s="1092">
        <f>IF(ISBLANK(X770),0,AQ770*X770+IF(ISNA(W770),1,0))</f>
        <v>0</v>
      </c>
      <c r="AH770" s="1092" t="str">
        <f>IF(X770&lt;=Experience!$R$15+1,"","*")</f>
        <v/>
      </c>
      <c r="AI770" s="1092"/>
      <c r="AJ770" s="1080">
        <f t="shared" si="768"/>
        <v>0</v>
      </c>
      <c r="AK770" s="1080">
        <f>IF(F770="s",-2,0)</f>
        <v>0</v>
      </c>
      <c r="AL770" s="1080">
        <f t="shared" si="764"/>
        <v>0</v>
      </c>
      <c r="AM770" s="1092">
        <f>IF(J770="y",1,0)</f>
        <v>0</v>
      </c>
      <c r="AN770" s="1080">
        <f>IF(N770="P",-1,IF(N770="T",1,0))</f>
        <v>-1</v>
      </c>
      <c r="AO770" s="1080">
        <f t="shared" si="765"/>
        <v>0</v>
      </c>
      <c r="AP770" s="1080">
        <f>SUM(AJ770:AN770)-AM770</f>
        <v>-1</v>
      </c>
      <c r="AQ770" s="1027">
        <f>VLOOKUP(V770,'System Lookups'!$J$55:$P$64,7)</f>
        <v>400</v>
      </c>
      <c r="AR770" s="1080" t="str">
        <f ca="1">IF(AND(NOT(ISBLANK(AJ770)),ISNA(MATCH(ROW(),'System Lookups'!$C$526:$C$539,0))),"Y","N")</f>
        <v>Y</v>
      </c>
      <c r="AS770" s="1080">
        <f>AG770-AI770</f>
        <v>0</v>
      </c>
      <c r="AU770" s="1080" t="e">
        <f t="shared" si="753"/>
        <v>#N/A</v>
      </c>
      <c r="AV770" s="1080" t="str">
        <f t="shared" si="751"/>
        <v>P</v>
      </c>
      <c r="AW770" s="1080">
        <f t="shared" si="754"/>
        <v>0</v>
      </c>
      <c r="AX770" s="1080">
        <f t="shared" si="755"/>
        <v>0</v>
      </c>
      <c r="AY770" s="1080">
        <f t="shared" si="756"/>
        <v>0</v>
      </c>
      <c r="AZ770" s="1080">
        <f t="shared" si="757"/>
        <v>0</v>
      </c>
      <c r="BA770" s="1080">
        <f t="shared" si="758"/>
        <v>0</v>
      </c>
      <c r="BB770" s="1080">
        <f>IF(AND(RACE=1,'Main Creation Page'!$E$6="Well",OR(ISNUMBER(FIND(Experience!$G$11,BE770)),ISNUMBER(FIND(Experience!$G$11,BF770)),ISNUMBER(FIND(Experience!$I$11,BE770)),ISNUMBER(FIND(Experience!$I$11,BF770)))),1,0)</f>
        <v>1</v>
      </c>
      <c r="BC770" s="1080" t="str">
        <f t="shared" si="703"/>
        <v>Medication Research</v>
      </c>
      <c r="BE770" s="1080" t="str">
        <f t="shared" si="752"/>
        <v>Lore</v>
      </c>
      <c r="BF770" s="1080" t="str">
        <f t="shared" si="718"/>
        <v>Materia Medicina: Healing Lore Skills</v>
      </c>
    </row>
    <row r="771" spans="1:58" ht="11.1" hidden="1" customHeight="1" outlineLevel="3">
      <c r="A771" s="1028" t="s">
        <v>2993</v>
      </c>
      <c r="B771" s="2641">
        <f>90-(3*'Main Creation Page'!E14)</f>
        <v>39</v>
      </c>
      <c r="C771" s="2642"/>
      <c r="D771" s="2643"/>
      <c r="O771" s="1027"/>
      <c r="P771" s="1027"/>
      <c r="Q771" s="1027"/>
      <c r="R771" s="1027"/>
      <c r="S771" s="1028"/>
      <c r="T771" s="1028"/>
      <c r="V771" s="1027"/>
      <c r="W771" s="1112"/>
      <c r="AE771" s="1094"/>
      <c r="AF771" s="1121"/>
      <c r="AG771" s="1092"/>
      <c r="AH771" s="1092"/>
      <c r="AI771" s="1092"/>
      <c r="AM771" s="1092"/>
      <c r="AQ771" s="1027"/>
      <c r="AR771" s="1080" t="str">
        <f ca="1">IF(AND(NOT(ISBLANK(AJ771)),ISNA(MATCH(ROW(),'System Lookups'!$C$526:$C$539,0))),"Y","N")</f>
        <v>N</v>
      </c>
      <c r="AU771" s="1080" t="e">
        <f t="shared" si="753"/>
        <v>#N/A</v>
      </c>
      <c r="AV771" s="1080" t="str">
        <f t="shared" si="751"/>
        <v/>
      </c>
      <c r="AW771" s="1080">
        <f t="shared" si="754"/>
        <v>0</v>
      </c>
      <c r="AX771" s="1080">
        <f t="shared" si="755"/>
        <v>0</v>
      </c>
      <c r="AY771" s="1080">
        <f t="shared" si="756"/>
        <v>0</v>
      </c>
      <c r="AZ771" s="1080">
        <f t="shared" si="757"/>
        <v>0</v>
      </c>
      <c r="BA771" s="1080">
        <f t="shared" si="758"/>
        <v>0</v>
      </c>
      <c r="BB771" s="1080">
        <f>IF(AND(RACE=1,'Main Creation Page'!$E$6="Well",OR(ISNUMBER(FIND(Experience!$G$11,BE771)),ISNUMBER(FIND(Experience!$G$11,BF771)),ISNUMBER(FIND(Experience!$I$11,BE771)),ISNUMBER(FIND(Experience!$I$11,BF771)))),1,0)</f>
        <v>1</v>
      </c>
      <c r="BC771" s="1080" t="e">
        <f t="shared" si="703"/>
        <v>#N/A</v>
      </c>
      <c r="BE771" s="1080" t="str">
        <f t="shared" si="752"/>
        <v>Lore</v>
      </c>
      <c r="BF771" s="1080" t="str">
        <f t="shared" si="718"/>
        <v>Materia Medicina: Healing Lore Skills</v>
      </c>
    </row>
    <row r="772" spans="1:58" ht="11.1" hidden="1" customHeight="1" outlineLevel="2" collapsed="1">
      <c r="A772" s="1028" t="s">
        <v>5149</v>
      </c>
      <c r="B772" s="1094"/>
      <c r="C772" s="1094"/>
      <c r="D772" s="1094"/>
      <c r="E772" s="1095" t="s">
        <v>5224</v>
      </c>
      <c r="F772" s="1095" t="str">
        <f t="shared" ref="F772:F777" si="769">$F$769</f>
        <v>N</v>
      </c>
      <c r="G772" s="1096">
        <v>0</v>
      </c>
      <c r="H772" s="1096" t="s">
        <v>5224</v>
      </c>
      <c r="I772" s="1096" t="s">
        <v>5224</v>
      </c>
      <c r="J772" s="1096" t="s">
        <v>5224</v>
      </c>
      <c r="K772" s="1096" t="s">
        <v>5224</v>
      </c>
      <c r="L772" s="1096">
        <v>0</v>
      </c>
      <c r="M772" s="1096" t="s">
        <v>5224</v>
      </c>
      <c r="N772" s="1096" t="s">
        <v>4627</v>
      </c>
      <c r="O772" s="1028"/>
      <c r="P772" s="1028" t="s">
        <v>780</v>
      </c>
      <c r="Q772" s="1097">
        <f t="shared" ref="Q772:Q777" ca="1" si="770">INDIRECT(P772)</f>
        <v>17</v>
      </c>
      <c r="R772" s="1034"/>
      <c r="S772" s="1028" t="s">
        <v>3616</v>
      </c>
      <c r="T772" s="1097">
        <f t="shared" ref="T772:T777" ca="1" si="771">INDIRECT(S772)</f>
        <v>17</v>
      </c>
      <c r="U772" s="1027">
        <v>3</v>
      </c>
      <c r="V772" s="1027">
        <f t="shared" ref="V772:V777" si="772">IF(AP772+U772&gt;10,10,IF(AP772+U772&lt;1,1,AP772+U772))</f>
        <v>2</v>
      </c>
      <c r="W772" s="1098" t="e">
        <f>IF(OR(I772&lt;&gt;"N",E772="C"),IF(AND(N772&lt;&gt;"T",ISNUMBER(FIND("V",I772))),1,0),NA())+IF(H772="Y",IF(AND(N772="P",ISNUMBER(FIND("Z",I772))),2,1),0)+IF(J772="Y",1,0)+IF(K772="Y",3,0)+IF(BE772="Lore",L772*2+Experience!$D$25,0)+IF(M772="Y",1,0)</f>
        <v>#N/A</v>
      </c>
      <c r="X772" s="1099"/>
      <c r="Y772" s="1100">
        <f ca="1">IF(P772="NS",IFERROR(INDIRECT(S772),NA()),VLOOKUP(INDIRECT(P772)+INDIRECT(S772),'System Lookups'!$A$3:$D$146,2))</f>
        <v>0.1</v>
      </c>
      <c r="Z772" s="1100">
        <f t="shared" ref="Z772:Z777" si="773">IF(ISNA(W772),0,W772*0.03)+IF(X772&gt;0,X772*0.03,0)+IF(AND(ISNA(W772),X772&lt;=0),0,IF(G772&gt;0,G772*0.07,0))</f>
        <v>0</v>
      </c>
      <c r="AA772" s="1101">
        <f ca="1">IF(ISNA(Y772),0,Y772)+Z772+IF('Main Creation Page'!AB$2=37,'Main Creation Page'!E$14/100,0)</f>
        <v>0.1</v>
      </c>
      <c r="AB772" s="1102">
        <f>VLOOKUP(V772,'System Lookups'!$J$55:$P$64,3)</f>
        <v>0.4</v>
      </c>
      <c r="AC772" s="1103">
        <f>VLOOKUP(V772,'System Lookups'!$J$55:$P$64,4)</f>
        <v>0.5</v>
      </c>
      <c r="AD772" s="1104">
        <f t="shared" ref="AD772:AD777" ca="1" si="774">IF(AND(ISBLANK(X772),ISNA(W772)),IF(B772="~",0,AB772+AA772+IF(BB772&gt;0,0.05,0)),AA772+AC772+IF(BB772&gt;0,0.05,0))</f>
        <v>0.55000000000000004</v>
      </c>
      <c r="AE772" s="1094">
        <f ca="1">(IF(AD772&gt;VLOOKUP(V772,'System Lookups'!$J$55:$P$63,6),(((AD772-VLOOKUP(V772,'System Lookups'!$J$55:$P$63,6))*100)/20),0))+AF772</f>
        <v>0</v>
      </c>
      <c r="AF772" s="1121"/>
      <c r="AG772" s="1092">
        <f t="shared" ref="AG772:AG777" si="775">IF(ISBLANK(X772),0,AQ772*X772+IF(ISNA(W772),1,0))</f>
        <v>0</v>
      </c>
      <c r="AH772" s="1092" t="str">
        <f>IF(X772&lt;=Experience!$R$15+1,"","*")</f>
        <v/>
      </c>
      <c r="AI772" s="1092"/>
      <c r="AJ772" s="1080">
        <f t="shared" ref="AJ772:AJ777" si="776">IF(ISNUMBER(FIND("R",F772)),-1,0)</f>
        <v>0</v>
      </c>
      <c r="AK772" s="1080">
        <f t="shared" ref="AK772:AK777" si="777">IF(F772="s",-2,0)</f>
        <v>0</v>
      </c>
      <c r="AL772" s="1080">
        <f t="shared" ref="AL772:AL777" si="778">IF(AND(H772="Y",OR(N772="P",N772="S")),-1,0)</f>
        <v>0</v>
      </c>
      <c r="AM772" s="1092">
        <f t="shared" ref="AM772:AM777" si="779">IF(J772="y",1,0)</f>
        <v>0</v>
      </c>
      <c r="AN772" s="1080">
        <f t="shared" ref="AN772:AN777" si="780">IF(N772="P",-1,IF(N772="T",1,0))</f>
        <v>-1</v>
      </c>
      <c r="AO772" s="1080">
        <f t="shared" ref="AO772:AO777" si="781">IF(ISNUMBER(FIND("Z",I772)),1,0)</f>
        <v>0</v>
      </c>
      <c r="AP772" s="1080">
        <f t="shared" ref="AP772:AP777" si="782">SUM(AJ772:AN772)-AM772</f>
        <v>-1</v>
      </c>
      <c r="AQ772" s="1027">
        <f>VLOOKUP(V772,'System Lookups'!$J$55:$P$64,7)</f>
        <v>400</v>
      </c>
      <c r="AR772" s="1080" t="str">
        <f ca="1">IF(AND(NOT(ISBLANK(AJ772)),ISNA(MATCH(ROW(),'System Lookups'!$C$526:$C$539,0))),"Y","N")</f>
        <v>Y</v>
      </c>
      <c r="AS772" s="1080">
        <f t="shared" ref="AS772:AS777" si="783">AG772-AI772</f>
        <v>0</v>
      </c>
      <c r="AU772" s="1080" t="e">
        <f t="shared" si="753"/>
        <v>#N/A</v>
      </c>
      <c r="AV772" s="1080" t="str">
        <f t="shared" si="751"/>
        <v>P</v>
      </c>
      <c r="AW772" s="1080">
        <f t="shared" si="754"/>
        <v>0</v>
      </c>
      <c r="AX772" s="1080">
        <f t="shared" si="755"/>
        <v>0</v>
      </c>
      <c r="AY772" s="1080">
        <f t="shared" si="756"/>
        <v>0</v>
      </c>
      <c r="AZ772" s="1080">
        <f t="shared" si="757"/>
        <v>0</v>
      </c>
      <c r="BA772" s="1080">
        <f t="shared" si="758"/>
        <v>0</v>
      </c>
      <c r="BB772" s="1080">
        <f>IF(AND(RACE=1,'Main Creation Page'!$E$6="Well",OR(ISNUMBER(FIND(Experience!$G$11,BE772)),ISNUMBER(FIND(Experience!$G$11,BF772)),ISNUMBER(FIND(Experience!$I$11,BE772)),ISNUMBER(FIND(Experience!$I$11,BF772)))),1,0)</f>
        <v>1</v>
      </c>
      <c r="BC772" s="1080" t="str">
        <f t="shared" si="703"/>
        <v>Antidotes</v>
      </c>
      <c r="BE772" s="1080" t="str">
        <f t="shared" si="752"/>
        <v>Lore</v>
      </c>
      <c r="BF772" s="1080" t="str">
        <f t="shared" si="718"/>
        <v>Materia Medicina: Healing Lore Skills</v>
      </c>
    </row>
    <row r="773" spans="1:58" ht="11.1" hidden="1" customHeight="1" outlineLevel="2">
      <c r="A773" s="1028" t="s">
        <v>338</v>
      </c>
      <c r="B773" s="1094"/>
      <c r="C773" s="1094"/>
      <c r="D773" s="1094"/>
      <c r="E773" s="1095" t="s">
        <v>5224</v>
      </c>
      <c r="F773" s="1095" t="str">
        <f t="shared" si="769"/>
        <v>N</v>
      </c>
      <c r="G773" s="1096">
        <v>0</v>
      </c>
      <c r="H773" s="1096" t="s">
        <v>5224</v>
      </c>
      <c r="I773" s="1096" t="s">
        <v>5224</v>
      </c>
      <c r="J773" s="1096" t="s">
        <v>5224</v>
      </c>
      <c r="K773" s="1096" t="s">
        <v>5224</v>
      </c>
      <c r="L773" s="1096">
        <v>0</v>
      </c>
      <c r="M773" s="1096" t="s">
        <v>5224</v>
      </c>
      <c r="N773" s="1096" t="s">
        <v>4627</v>
      </c>
      <c r="O773" s="1028"/>
      <c r="P773" s="1028" t="s">
        <v>780</v>
      </c>
      <c r="Q773" s="1097">
        <f t="shared" ca="1" si="770"/>
        <v>17</v>
      </c>
      <c r="R773" s="1034"/>
      <c r="S773" s="1028" t="s">
        <v>3616</v>
      </c>
      <c r="T773" s="1097">
        <f t="shared" ca="1" si="771"/>
        <v>17</v>
      </c>
      <c r="U773" s="1027">
        <v>3</v>
      </c>
      <c r="V773" s="1027">
        <f t="shared" si="772"/>
        <v>2</v>
      </c>
      <c r="W773" s="1098" t="e">
        <f>IF(OR(I773&lt;&gt;"N",E773="C"),IF(AND(N773&lt;&gt;"T",ISNUMBER(FIND("V",I773))),1,0),NA())+IF(H773="Y",IF(AND(N773="P",ISNUMBER(FIND("Z",I773))),2,1),0)+IF(J773="Y",1,0)+IF(K773="Y",3,0)+IF(BE773="Lore",L773*2+Experience!$D$25,0)+IF(M773="Y",1,0)</f>
        <v>#N/A</v>
      </c>
      <c r="X773" s="1099"/>
      <c r="Y773" s="1100">
        <f ca="1">IF(P773="NS",IFERROR(INDIRECT(S773),NA()),VLOOKUP(INDIRECT(P773)+INDIRECT(S773),'System Lookups'!$A$3:$D$146,2))</f>
        <v>0.1</v>
      </c>
      <c r="Z773" s="1100">
        <f t="shared" si="773"/>
        <v>0</v>
      </c>
      <c r="AA773" s="1101">
        <f ca="1">IF(ISNA(Y773),0,Y773)+Z773+IF('Main Creation Page'!AB$2=37,'Main Creation Page'!E$14/100,0)</f>
        <v>0.1</v>
      </c>
      <c r="AB773" s="1102">
        <f>VLOOKUP(V773,'System Lookups'!$J$55:$P$64,3)</f>
        <v>0.4</v>
      </c>
      <c r="AC773" s="1103">
        <f>VLOOKUP(V773,'System Lookups'!$J$55:$P$64,4)</f>
        <v>0.5</v>
      </c>
      <c r="AD773" s="1104">
        <f t="shared" ca="1" si="774"/>
        <v>0.55000000000000004</v>
      </c>
      <c r="AE773" s="1094">
        <f ca="1">(IF(AD773&gt;VLOOKUP(V773,'System Lookups'!$J$55:$P$63,6),(((AD773-VLOOKUP(V773,'System Lookups'!$J$55:$P$63,6))*100)/20),0))+AF773</f>
        <v>0</v>
      </c>
      <c r="AF773" s="1121"/>
      <c r="AG773" s="1092">
        <f t="shared" si="775"/>
        <v>0</v>
      </c>
      <c r="AH773" s="1092" t="str">
        <f>IF(X773&lt;=Experience!$R$15+1,"","*")</f>
        <v/>
      </c>
      <c r="AI773" s="1092"/>
      <c r="AJ773" s="1080">
        <f t="shared" si="776"/>
        <v>0</v>
      </c>
      <c r="AK773" s="1080">
        <f t="shared" si="777"/>
        <v>0</v>
      </c>
      <c r="AL773" s="1080">
        <f t="shared" si="778"/>
        <v>0</v>
      </c>
      <c r="AM773" s="1092">
        <f t="shared" si="779"/>
        <v>0</v>
      </c>
      <c r="AN773" s="1080">
        <f t="shared" si="780"/>
        <v>-1</v>
      </c>
      <c r="AO773" s="1080">
        <f t="shared" si="781"/>
        <v>0</v>
      </c>
      <c r="AP773" s="1080">
        <f t="shared" si="782"/>
        <v>-1</v>
      </c>
      <c r="AQ773" s="1027">
        <f>VLOOKUP(V773,'System Lookups'!$J$55:$P$64,7)</f>
        <v>400</v>
      </c>
      <c r="AR773" s="1080" t="str">
        <f ca="1">IF(AND(NOT(ISBLANK(AJ773)),ISNA(MATCH(ROW(),'System Lookups'!$C$526:$C$539,0))),"Y","N")</f>
        <v>Y</v>
      </c>
      <c r="AS773" s="1080">
        <f t="shared" si="783"/>
        <v>0</v>
      </c>
      <c r="AU773" s="1080" t="e">
        <f t="shared" si="753"/>
        <v>#N/A</v>
      </c>
      <c r="AV773" s="1080" t="str">
        <f t="shared" si="751"/>
        <v>P</v>
      </c>
      <c r="AW773" s="1080">
        <f t="shared" si="754"/>
        <v>0</v>
      </c>
      <c r="AX773" s="1080">
        <f t="shared" si="755"/>
        <v>0</v>
      </c>
      <c r="AY773" s="1080">
        <f t="shared" si="756"/>
        <v>0</v>
      </c>
      <c r="AZ773" s="1080">
        <f t="shared" si="757"/>
        <v>0</v>
      </c>
      <c r="BA773" s="1080">
        <f t="shared" si="758"/>
        <v>0</v>
      </c>
      <c r="BB773" s="1080">
        <f>IF(AND(RACE=1,'Main Creation Page'!$E$6="Well",OR(ISNUMBER(FIND(Experience!$G$11,BE773)),ISNUMBER(FIND(Experience!$G$11,BF773)),ISNUMBER(FIND(Experience!$I$11,BE773)),ISNUMBER(FIND(Experience!$I$11,BF773)))),1,0)</f>
        <v>1</v>
      </c>
      <c r="BC773" s="1080" t="str">
        <f t="shared" si="703"/>
        <v>Cordials</v>
      </c>
      <c r="BE773" s="1080" t="str">
        <f t="shared" si="752"/>
        <v>Lore</v>
      </c>
      <c r="BF773" s="1080" t="str">
        <f t="shared" si="718"/>
        <v>Materia Medicina: Healing Lore Skills</v>
      </c>
    </row>
    <row r="774" spans="1:58" ht="11.1" hidden="1" customHeight="1" outlineLevel="2">
      <c r="A774" s="1028" t="s">
        <v>3257</v>
      </c>
      <c r="B774" s="1094"/>
      <c r="C774" s="1094"/>
      <c r="D774" s="1094"/>
      <c r="E774" s="1095" t="s">
        <v>5224</v>
      </c>
      <c r="F774" s="1095" t="str">
        <f t="shared" si="769"/>
        <v>N</v>
      </c>
      <c r="G774" s="1096">
        <v>0</v>
      </c>
      <c r="H774" s="1096" t="s">
        <v>5224</v>
      </c>
      <c r="I774" s="1096" t="s">
        <v>5224</v>
      </c>
      <c r="J774" s="1096" t="s">
        <v>5224</v>
      </c>
      <c r="K774" s="1096" t="s">
        <v>5224</v>
      </c>
      <c r="L774" s="1096">
        <v>0</v>
      </c>
      <c r="M774" s="1096" t="s">
        <v>5224</v>
      </c>
      <c r="N774" s="1096" t="s">
        <v>4627</v>
      </c>
      <c r="O774" s="1028"/>
      <c r="P774" s="1028" t="s">
        <v>780</v>
      </c>
      <c r="Q774" s="1097">
        <f t="shared" ca="1" si="770"/>
        <v>17</v>
      </c>
      <c r="R774" s="1034"/>
      <c r="S774" s="1028" t="s">
        <v>3616</v>
      </c>
      <c r="T774" s="1097">
        <f t="shared" ca="1" si="771"/>
        <v>17</v>
      </c>
      <c r="U774" s="1027">
        <v>3</v>
      </c>
      <c r="V774" s="1027">
        <f t="shared" si="772"/>
        <v>2</v>
      </c>
      <c r="W774" s="1098" t="e">
        <f>IF(OR(I774&lt;&gt;"N",E774="C"),IF(AND(N774&lt;&gt;"T",ISNUMBER(FIND("V",I774))),1,0),NA())+IF(H774="Y",IF(AND(N774="P",ISNUMBER(FIND("Z",I774))),2,1),0)+IF(J774="Y",1,0)+IF(K774="Y",3,0)+IF(BE774="Lore",L774*2+Experience!$D$25,0)+IF(M774="Y",1,0)</f>
        <v>#N/A</v>
      </c>
      <c r="X774" s="1099"/>
      <c r="Y774" s="1100">
        <f ca="1">IF(P774="NS",IFERROR(INDIRECT(S774),NA()),VLOOKUP(INDIRECT(P774)+INDIRECT(S774),'System Lookups'!$A$3:$D$146,2))</f>
        <v>0.1</v>
      </c>
      <c r="Z774" s="1100">
        <f t="shared" si="773"/>
        <v>0</v>
      </c>
      <c r="AA774" s="1101">
        <f ca="1">IF(ISNA(Y774),0,Y774)+Z774+IF('Main Creation Page'!AB$2=37,'Main Creation Page'!E$14/100,0)</f>
        <v>0.1</v>
      </c>
      <c r="AB774" s="1102">
        <f>VLOOKUP(V774,'System Lookups'!$J$55:$P$64,3)</f>
        <v>0.4</v>
      </c>
      <c r="AC774" s="1103">
        <f>VLOOKUP(V774,'System Lookups'!$J$55:$P$64,4)</f>
        <v>0.5</v>
      </c>
      <c r="AD774" s="1104">
        <f t="shared" ca="1" si="774"/>
        <v>0.55000000000000004</v>
      </c>
      <c r="AE774" s="1094">
        <f ca="1">(IF(AD774&gt;VLOOKUP(V774,'System Lookups'!$J$55:$P$63,6),(((AD774-VLOOKUP(V774,'System Lookups'!$J$55:$P$63,6))*100)/20),0))+AF774</f>
        <v>0</v>
      </c>
      <c r="AF774" s="1121"/>
      <c r="AG774" s="1092">
        <f t="shared" si="775"/>
        <v>0</v>
      </c>
      <c r="AH774" s="1092" t="str">
        <f>IF(X774&lt;=Experience!$R$15+1,"","*")</f>
        <v/>
      </c>
      <c r="AI774" s="1092"/>
      <c r="AJ774" s="1080">
        <f t="shared" si="776"/>
        <v>0</v>
      </c>
      <c r="AK774" s="1080">
        <f t="shared" si="777"/>
        <v>0</v>
      </c>
      <c r="AL774" s="1080">
        <f t="shared" si="778"/>
        <v>0</v>
      </c>
      <c r="AM774" s="1092">
        <f t="shared" si="779"/>
        <v>0</v>
      </c>
      <c r="AN774" s="1080">
        <f t="shared" si="780"/>
        <v>-1</v>
      </c>
      <c r="AO774" s="1080">
        <f t="shared" si="781"/>
        <v>0</v>
      </c>
      <c r="AP774" s="1080">
        <f t="shared" si="782"/>
        <v>-1</v>
      </c>
      <c r="AQ774" s="1027">
        <f>VLOOKUP(V774,'System Lookups'!$J$55:$P$64,7)</f>
        <v>400</v>
      </c>
      <c r="AR774" s="1080" t="str">
        <f ca="1">IF(AND(NOT(ISBLANK(AJ774)),ISNA(MATCH(ROW(),'System Lookups'!$C$526:$C$539,0))),"Y","N")</f>
        <v>Y</v>
      </c>
      <c r="AS774" s="1080">
        <f t="shared" si="783"/>
        <v>0</v>
      </c>
      <c r="AU774" s="1080" t="e">
        <f t="shared" si="753"/>
        <v>#N/A</v>
      </c>
      <c r="AV774" s="1080" t="str">
        <f t="shared" si="751"/>
        <v>P</v>
      </c>
      <c r="AW774" s="1080">
        <f t="shared" si="754"/>
        <v>0</v>
      </c>
      <c r="AX774" s="1080">
        <f t="shared" si="755"/>
        <v>0</v>
      </c>
      <c r="AY774" s="1080">
        <f t="shared" si="756"/>
        <v>0</v>
      </c>
      <c r="AZ774" s="1080">
        <f t="shared" si="757"/>
        <v>0</v>
      </c>
      <c r="BA774" s="1080">
        <f t="shared" si="758"/>
        <v>0</v>
      </c>
      <c r="BB774" s="1080">
        <f>IF(AND(RACE=1,'Main Creation Page'!$E$6="Well",OR(ISNUMBER(FIND(Experience!$G$11,BE774)),ISNUMBER(FIND(Experience!$G$11,BF774)),ISNUMBER(FIND(Experience!$I$11,BE774)),ISNUMBER(FIND(Experience!$I$11,BF774)))),1,0)</f>
        <v>1</v>
      </c>
      <c r="BC774" s="1080" t="str">
        <f t="shared" ref="BC774:BC837" si="784">IF(ISBLANK(AJ774),IF(ISBLANK(AI774),IF(RIGHT(A774,2)="en","Language Lore: "&amp;A774,IF(LEFT(A774,9)="Alquennas",A774,NA())),IF(RIGHT(A774,9)=" Medicina",A774&amp;": Healing Lore Skills",IF(OR(LEFT(A774,5)="Lore ",LEFT(A774,8)="Materia "),A774&amp;" Skills",IF(LEFT(A774,8)="Cooking ","Cooking &amp; Innkeeping Skills",A774)))),IF(LEFT(A774,9)="alertness","Alertness: "&amp;RIGHT(A774,5),IF(ISBLANK(BD774),A774,IF(RIGHT(BD774,2)=" (",BD774&amp;"Own)",BD774&amp;A774))))</f>
        <v>Diagnosis</v>
      </c>
      <c r="BE774" s="1080" t="str">
        <f t="shared" si="752"/>
        <v>Lore</v>
      </c>
      <c r="BF774" s="1080" t="str">
        <f t="shared" si="718"/>
        <v>Materia Medicina: Healing Lore Skills</v>
      </c>
    </row>
    <row r="775" spans="1:58" ht="11.1" hidden="1" customHeight="1" outlineLevel="2">
      <c r="A775" s="1028" t="s">
        <v>3907</v>
      </c>
      <c r="B775" s="1094"/>
      <c r="C775" s="1094"/>
      <c r="D775" s="1094"/>
      <c r="E775" s="1095" t="s">
        <v>5224</v>
      </c>
      <c r="F775" s="1095" t="str">
        <f t="shared" si="769"/>
        <v>N</v>
      </c>
      <c r="G775" s="1096">
        <v>0</v>
      </c>
      <c r="H775" s="1096" t="s">
        <v>5224</v>
      </c>
      <c r="I775" s="1096" t="s">
        <v>5224</v>
      </c>
      <c r="J775" s="1096" t="s">
        <v>5224</v>
      </c>
      <c r="K775" s="1096" t="s">
        <v>5224</v>
      </c>
      <c r="L775" s="1096">
        <v>0</v>
      </c>
      <c r="M775" s="1096" t="s">
        <v>5224</v>
      </c>
      <c r="N775" s="1096" t="s">
        <v>4627</v>
      </c>
      <c r="O775" s="1028"/>
      <c r="P775" s="1028" t="s">
        <v>780</v>
      </c>
      <c r="Q775" s="1097">
        <f t="shared" ca="1" si="770"/>
        <v>17</v>
      </c>
      <c r="R775" s="1034"/>
      <c r="S775" s="1028" t="s">
        <v>3616</v>
      </c>
      <c r="T775" s="1097">
        <f t="shared" ca="1" si="771"/>
        <v>17</v>
      </c>
      <c r="U775" s="1027">
        <v>3</v>
      </c>
      <c r="V775" s="1027">
        <f t="shared" si="772"/>
        <v>2</v>
      </c>
      <c r="W775" s="1098" t="e">
        <f>IF(OR(I775&lt;&gt;"N",E775="C"),IF(AND(N775&lt;&gt;"T",ISNUMBER(FIND("V",I775))),1,0),NA())+IF(H775="Y",IF(AND(N775="P",ISNUMBER(FIND("Z",I775))),2,1),0)+IF(J775="Y",1,0)+IF(K775="Y",3,0)+IF(BE775="Lore",L775*2+Experience!$D$25,0)+IF(M775="Y",1,0)</f>
        <v>#N/A</v>
      </c>
      <c r="X775" s="1099"/>
      <c r="Y775" s="1100">
        <f ca="1">IF(P775="NS",IFERROR(INDIRECT(S775),NA()),VLOOKUP(INDIRECT(P775)+INDIRECT(S775),'System Lookups'!$A$3:$D$146,2))</f>
        <v>0.1</v>
      </c>
      <c r="Z775" s="1100">
        <f t="shared" si="773"/>
        <v>0</v>
      </c>
      <c r="AA775" s="1101">
        <f ca="1">IF(ISNA(Y775),0,Y775)+Z775+IF('Main Creation Page'!AB$2=37,'Main Creation Page'!E$14/100,0)</f>
        <v>0.1</v>
      </c>
      <c r="AB775" s="1102">
        <f>VLOOKUP(V775,'System Lookups'!$J$55:$P$64,3)</f>
        <v>0.4</v>
      </c>
      <c r="AC775" s="1103">
        <f>VLOOKUP(V775,'System Lookups'!$J$55:$P$64,4)</f>
        <v>0.5</v>
      </c>
      <c r="AD775" s="1104">
        <f t="shared" ca="1" si="774"/>
        <v>0.55000000000000004</v>
      </c>
      <c r="AE775" s="1094">
        <f ca="1">(IF(AD775&gt;VLOOKUP(V775,'System Lookups'!$J$55:$P$63,6),(((AD775-VLOOKUP(V775,'System Lookups'!$J$55:$P$63,6))*100)/20),0))+AF775</f>
        <v>0</v>
      </c>
      <c r="AF775" s="1121"/>
      <c r="AG775" s="1092">
        <f t="shared" si="775"/>
        <v>0</v>
      </c>
      <c r="AH775" s="1092" t="str">
        <f>IF(X775&lt;=Experience!$R$15+1,"","*")</f>
        <v/>
      </c>
      <c r="AI775" s="1092"/>
      <c r="AJ775" s="1080">
        <f t="shared" si="776"/>
        <v>0</v>
      </c>
      <c r="AK775" s="1080">
        <f t="shared" si="777"/>
        <v>0</v>
      </c>
      <c r="AL775" s="1080">
        <f t="shared" si="778"/>
        <v>0</v>
      </c>
      <c r="AM775" s="1092">
        <f t="shared" si="779"/>
        <v>0</v>
      </c>
      <c r="AN775" s="1080">
        <f t="shared" si="780"/>
        <v>-1</v>
      </c>
      <c r="AO775" s="1080">
        <f t="shared" si="781"/>
        <v>0</v>
      </c>
      <c r="AP775" s="1080">
        <f t="shared" si="782"/>
        <v>-1</v>
      </c>
      <c r="AQ775" s="1027">
        <f>VLOOKUP(V775,'System Lookups'!$J$55:$P$64,7)</f>
        <v>400</v>
      </c>
      <c r="AR775" s="1080" t="str">
        <f ca="1">IF(AND(NOT(ISBLANK(AJ775)),ISNA(MATCH(ROW(),'System Lookups'!$C$526:$C$539,0))),"Y","N")</f>
        <v>Y</v>
      </c>
      <c r="AS775" s="1080">
        <f t="shared" si="783"/>
        <v>0</v>
      </c>
      <c r="AU775" s="1080" t="e">
        <f t="shared" si="753"/>
        <v>#N/A</v>
      </c>
      <c r="AV775" s="1080" t="str">
        <f t="shared" si="751"/>
        <v>P</v>
      </c>
      <c r="AW775" s="1080">
        <f t="shared" si="754"/>
        <v>0</v>
      </c>
      <c r="AX775" s="1080">
        <f t="shared" si="755"/>
        <v>0</v>
      </c>
      <c r="AY775" s="1080">
        <f t="shared" si="756"/>
        <v>0</v>
      </c>
      <c r="AZ775" s="1080">
        <f t="shared" si="757"/>
        <v>0</v>
      </c>
      <c r="BA775" s="1080">
        <f t="shared" si="758"/>
        <v>0</v>
      </c>
      <c r="BB775" s="1080">
        <f>IF(AND(RACE=1,'Main Creation Page'!$E$6="Well",OR(ISNUMBER(FIND(Experience!$G$11,BE775)),ISNUMBER(FIND(Experience!$G$11,BF775)),ISNUMBER(FIND(Experience!$I$11,BE775)),ISNUMBER(FIND(Experience!$I$11,BF775)))),1,0)</f>
        <v>1</v>
      </c>
      <c r="BC775" s="1080" t="str">
        <f t="shared" si="784"/>
        <v>Knowledge of Toxins</v>
      </c>
      <c r="BE775" s="1080" t="str">
        <f t="shared" si="752"/>
        <v>Lore</v>
      </c>
      <c r="BF775" s="1080" t="str">
        <f t="shared" si="718"/>
        <v>Materia Medicina: Healing Lore Skills</v>
      </c>
    </row>
    <row r="776" spans="1:58" ht="11.1" hidden="1" customHeight="1" outlineLevel="2">
      <c r="A776" s="1028" t="s">
        <v>3906</v>
      </c>
      <c r="B776" s="1094"/>
      <c r="C776" s="1094"/>
      <c r="D776" s="1094"/>
      <c r="E776" s="1095" t="s">
        <v>5224</v>
      </c>
      <c r="F776" s="1095" t="str">
        <f t="shared" si="769"/>
        <v>N</v>
      </c>
      <c r="G776" s="1096">
        <v>0</v>
      </c>
      <c r="H776" s="1096" t="s">
        <v>5224</v>
      </c>
      <c r="I776" s="1096" t="s">
        <v>5224</v>
      </c>
      <c r="J776" s="1096" t="s">
        <v>5224</v>
      </c>
      <c r="K776" s="1096" t="s">
        <v>5224</v>
      </c>
      <c r="L776" s="1096">
        <v>0</v>
      </c>
      <c r="M776" s="1096" t="s">
        <v>5224</v>
      </c>
      <c r="N776" s="1096" t="s">
        <v>4627</v>
      </c>
      <c r="O776" s="1028"/>
      <c r="P776" s="1028" t="s">
        <v>780</v>
      </c>
      <c r="Q776" s="1097">
        <f t="shared" ca="1" si="770"/>
        <v>17</v>
      </c>
      <c r="R776" s="1034"/>
      <c r="S776" s="1028" t="s">
        <v>3616</v>
      </c>
      <c r="T776" s="1097">
        <f t="shared" ca="1" si="771"/>
        <v>17</v>
      </c>
      <c r="U776" s="1027">
        <v>3</v>
      </c>
      <c r="V776" s="1027">
        <f t="shared" si="772"/>
        <v>2</v>
      </c>
      <c r="W776" s="1098" t="e">
        <f>IF(OR(I776&lt;&gt;"N",E776="C"),IF(AND(N776&lt;&gt;"T",ISNUMBER(FIND("V",I776))),1,0),NA())+IF(H776="Y",IF(AND(N776="P",ISNUMBER(FIND("Z",I776))),2,1),0)+IF(J776="Y",1,0)+IF(K776="Y",3,0)+IF(BE776="Lore",L776*2+Experience!$D$25,0)+IF(M776="Y",1,0)</f>
        <v>#N/A</v>
      </c>
      <c r="X776" s="1099"/>
      <c r="Y776" s="1100">
        <f ca="1">IF(P776="NS",IFERROR(INDIRECT(S776),NA()),VLOOKUP(INDIRECT(P776)+INDIRECT(S776),'System Lookups'!$A$3:$D$146,2))</f>
        <v>0.1</v>
      </c>
      <c r="Z776" s="1100">
        <f t="shared" si="773"/>
        <v>0</v>
      </c>
      <c r="AA776" s="1101">
        <f ca="1">IF(ISNA(Y776),0,Y776)+Z776+IF('Main Creation Page'!AB$2=37,'Main Creation Page'!E$14/100,0)</f>
        <v>0.1</v>
      </c>
      <c r="AB776" s="1102">
        <f>VLOOKUP(V776,'System Lookups'!$J$55:$P$64,3)</f>
        <v>0.4</v>
      </c>
      <c r="AC776" s="1103">
        <f>VLOOKUP(V776,'System Lookups'!$J$55:$P$64,4)</f>
        <v>0.5</v>
      </c>
      <c r="AD776" s="1104">
        <f t="shared" ca="1" si="774"/>
        <v>0.55000000000000004</v>
      </c>
      <c r="AE776" s="1094">
        <f ca="1">(IF(AD776&gt;VLOOKUP(V776,'System Lookups'!$J$55:$P$63,6),(((AD776-VLOOKUP(V776,'System Lookups'!$J$55:$P$63,6))*100)/20),0))+AF776</f>
        <v>0</v>
      </c>
      <c r="AF776" s="1121"/>
      <c r="AG776" s="1092">
        <f t="shared" si="775"/>
        <v>0</v>
      </c>
      <c r="AH776" s="1092" t="str">
        <f>IF(X776&lt;=Experience!$R$15+1,"","*")</f>
        <v/>
      </c>
      <c r="AI776" s="1092"/>
      <c r="AJ776" s="1080">
        <f t="shared" si="776"/>
        <v>0</v>
      </c>
      <c r="AK776" s="1080">
        <f t="shared" si="777"/>
        <v>0</v>
      </c>
      <c r="AL776" s="1080">
        <f t="shared" si="778"/>
        <v>0</v>
      </c>
      <c r="AM776" s="1092">
        <f t="shared" si="779"/>
        <v>0</v>
      </c>
      <c r="AN776" s="1080">
        <f t="shared" si="780"/>
        <v>-1</v>
      </c>
      <c r="AO776" s="1080">
        <f t="shared" si="781"/>
        <v>0</v>
      </c>
      <c r="AP776" s="1080">
        <f t="shared" si="782"/>
        <v>-1</v>
      </c>
      <c r="AQ776" s="1027">
        <f>VLOOKUP(V776,'System Lookups'!$J$55:$P$64,7)</f>
        <v>400</v>
      </c>
      <c r="AR776" s="1080" t="str">
        <f ca="1">IF(AND(NOT(ISBLANK(AJ776)),ISNA(MATCH(ROW(),'System Lookups'!$C$526:$C$539,0))),"Y","N")</f>
        <v>Y</v>
      </c>
      <c r="AS776" s="1080">
        <f t="shared" si="783"/>
        <v>0</v>
      </c>
      <c r="AU776" s="1080" t="e">
        <f t="shared" si="753"/>
        <v>#N/A</v>
      </c>
      <c r="AV776" s="1080" t="str">
        <f t="shared" si="751"/>
        <v>P</v>
      </c>
      <c r="AW776" s="1080">
        <f t="shared" si="754"/>
        <v>0</v>
      </c>
      <c r="AX776" s="1080">
        <f t="shared" si="755"/>
        <v>0</v>
      </c>
      <c r="AY776" s="1080">
        <f t="shared" si="756"/>
        <v>0</v>
      </c>
      <c r="AZ776" s="1080">
        <f t="shared" si="757"/>
        <v>0</v>
      </c>
      <c r="BA776" s="1080">
        <f t="shared" si="758"/>
        <v>0</v>
      </c>
      <c r="BB776" s="1080">
        <f>IF(AND(RACE=1,'Main Creation Page'!$E$6="Well",OR(ISNUMBER(FIND(Experience!$G$11,BE776)),ISNUMBER(FIND(Experience!$G$11,BF776)),ISNUMBER(FIND(Experience!$I$11,BE776)),ISNUMBER(FIND(Experience!$I$11,BF776)))),1,0)</f>
        <v>1</v>
      </c>
      <c r="BC776" s="1080" t="str">
        <f t="shared" si="784"/>
        <v>Medicinal Drugs</v>
      </c>
      <c r="BE776" s="1080" t="str">
        <f t="shared" si="752"/>
        <v>Lore</v>
      </c>
      <c r="BF776" s="1080" t="str">
        <f t="shared" si="718"/>
        <v>Materia Medicina: Healing Lore Skills</v>
      </c>
    </row>
    <row r="777" spans="1:58" ht="11.1" hidden="1" customHeight="1" outlineLevel="2">
      <c r="A777" s="1028" t="s">
        <v>3905</v>
      </c>
      <c r="B777" s="1094"/>
      <c r="C777" s="1094"/>
      <c r="D777" s="1094"/>
      <c r="E777" s="1095" t="s">
        <v>5224</v>
      </c>
      <c r="F777" s="1095" t="str">
        <f t="shared" si="769"/>
        <v>N</v>
      </c>
      <c r="G777" s="1096">
        <v>0</v>
      </c>
      <c r="H777" s="1096" t="s">
        <v>5224</v>
      </c>
      <c r="I777" s="1096" t="s">
        <v>5224</v>
      </c>
      <c r="J777" s="1096" t="s">
        <v>5224</v>
      </c>
      <c r="K777" s="1096" t="s">
        <v>5224</v>
      </c>
      <c r="L777" s="1096">
        <v>0</v>
      </c>
      <c r="M777" s="1096" t="s">
        <v>5224</v>
      </c>
      <c r="N777" s="1096" t="s">
        <v>4627</v>
      </c>
      <c r="O777" s="1028"/>
      <c r="P777" s="1028" t="s">
        <v>780</v>
      </c>
      <c r="Q777" s="1097">
        <f t="shared" ca="1" si="770"/>
        <v>17</v>
      </c>
      <c r="R777" s="1034"/>
      <c r="S777" s="1028" t="s">
        <v>3616</v>
      </c>
      <c r="T777" s="1097">
        <f t="shared" ca="1" si="771"/>
        <v>17</v>
      </c>
      <c r="U777" s="1027">
        <v>3</v>
      </c>
      <c r="V777" s="1027">
        <f t="shared" si="772"/>
        <v>2</v>
      </c>
      <c r="W777" s="1098" t="e">
        <f>IF(OR(I777&lt;&gt;"N",E777="C"),IF(AND(N777&lt;&gt;"T",ISNUMBER(FIND("V",I777))),1,0),NA())+IF(H777="Y",IF(AND(N777="P",ISNUMBER(FIND("Z",I777))),2,1),0)+IF(J777="Y",1,0)+IF(K777="Y",3,0)+IF(BE777="Lore",L777*2+Experience!$D$25,0)+IF(M777="Y",1,0)</f>
        <v>#N/A</v>
      </c>
      <c r="X777" s="1099"/>
      <c r="Y777" s="1100">
        <f ca="1">IF(P777="NS",IFERROR(INDIRECT(S777),NA()),VLOOKUP(INDIRECT(P777)+INDIRECT(S777),'System Lookups'!$A$3:$D$146,2))</f>
        <v>0.1</v>
      </c>
      <c r="Z777" s="1100">
        <f t="shared" si="773"/>
        <v>0</v>
      </c>
      <c r="AA777" s="1101">
        <f ca="1">IF(ISNA(Y777),0,Y777)+Z777+IF('Main Creation Page'!AB$2=37,'Main Creation Page'!E$14/100,0)</f>
        <v>0.1</v>
      </c>
      <c r="AB777" s="1102">
        <f>VLOOKUP(V777,'System Lookups'!$J$55:$P$64,3)</f>
        <v>0.4</v>
      </c>
      <c r="AC777" s="1103">
        <f>VLOOKUP(V777,'System Lookups'!$J$55:$P$64,4)</f>
        <v>0.5</v>
      </c>
      <c r="AD777" s="1104">
        <f t="shared" ca="1" si="774"/>
        <v>0.55000000000000004</v>
      </c>
      <c r="AE777" s="1094">
        <f ca="1">(IF(AD777&gt;VLOOKUP(V777,'System Lookups'!$J$55:$P$63,6),(((AD777-VLOOKUP(V777,'System Lookups'!$J$55:$P$63,6))*100)/20),0))+AF777</f>
        <v>0</v>
      </c>
      <c r="AF777" s="1121"/>
      <c r="AG777" s="1092">
        <f t="shared" si="775"/>
        <v>0</v>
      </c>
      <c r="AH777" s="1092" t="str">
        <f>IF(X777&lt;=Experience!$R$15+1,"","*")</f>
        <v/>
      </c>
      <c r="AI777" s="1092"/>
      <c r="AJ777" s="1080">
        <f t="shared" si="776"/>
        <v>0</v>
      </c>
      <c r="AK777" s="1080">
        <f t="shared" si="777"/>
        <v>0</v>
      </c>
      <c r="AL777" s="1080">
        <f t="shared" si="778"/>
        <v>0</v>
      </c>
      <c r="AM777" s="1092">
        <f t="shared" si="779"/>
        <v>0</v>
      </c>
      <c r="AN777" s="1080">
        <f t="shared" si="780"/>
        <v>-1</v>
      </c>
      <c r="AO777" s="1080">
        <f t="shared" si="781"/>
        <v>0</v>
      </c>
      <c r="AP777" s="1080">
        <f t="shared" si="782"/>
        <v>-1</v>
      </c>
      <c r="AQ777" s="1027">
        <f>VLOOKUP(V777,'System Lookups'!$J$55:$P$64,7)</f>
        <v>400</v>
      </c>
      <c r="AR777" s="1080" t="str">
        <f ca="1">IF(AND(NOT(ISBLANK(AJ777)),ISNA(MATCH(ROW(),'System Lookups'!$C$526:$C$539,0))),"Y","N")</f>
        <v>Y</v>
      </c>
      <c r="AS777" s="1080">
        <f t="shared" si="783"/>
        <v>0</v>
      </c>
      <c r="AU777" s="1080" t="e">
        <f t="shared" si="753"/>
        <v>#N/A</v>
      </c>
      <c r="AV777" s="1080" t="str">
        <f t="shared" si="751"/>
        <v>P</v>
      </c>
      <c r="AW777" s="1080">
        <f t="shared" si="754"/>
        <v>0</v>
      </c>
      <c r="AX777" s="1080">
        <f t="shared" si="755"/>
        <v>0</v>
      </c>
      <c r="AY777" s="1080">
        <f t="shared" si="756"/>
        <v>0</v>
      </c>
      <c r="AZ777" s="1080">
        <f t="shared" si="757"/>
        <v>0</v>
      </c>
      <c r="BA777" s="1080">
        <f t="shared" si="758"/>
        <v>0</v>
      </c>
      <c r="BB777" s="1080">
        <f>IF(AND(RACE=1,'Main Creation Page'!$E$6="Well",OR(ISNUMBER(FIND(Experience!$G$11,BE777)),ISNUMBER(FIND(Experience!$G$11,BF777)),ISNUMBER(FIND(Experience!$I$11,BE777)),ISNUMBER(FIND(Experience!$I$11,BF777)))),1,0)</f>
        <v>1</v>
      </c>
      <c r="BC777" s="1080" t="str">
        <f t="shared" si="784"/>
        <v>Potions &amp; Unguents</v>
      </c>
      <c r="BE777" s="1080" t="str">
        <f t="shared" si="752"/>
        <v>Lore</v>
      </c>
      <c r="BF777" s="1080" t="str">
        <f t="shared" ref="BF777:BF839" si="785">IF(ISBLANK(AC777),IF(OR(ISNA(BC777),ISBLANK(BC777)),BF776,BC777),BF776)</f>
        <v>Materia Medicina: Healing Lore Skills</v>
      </c>
    </row>
    <row r="778" spans="1:58" ht="11.1" hidden="1" customHeight="1" outlineLevel="3">
      <c r="A778" s="1028" t="s">
        <v>1947</v>
      </c>
      <c r="B778" s="2641">
        <f ca="1">(+AA769/10)*100</f>
        <v>1</v>
      </c>
      <c r="C778" s="2644"/>
      <c r="D778" s="2643"/>
      <c r="V778" s="1027"/>
      <c r="W778" s="1112"/>
      <c r="AE778" s="1094"/>
      <c r="AF778" s="1121"/>
      <c r="AG778" s="1092"/>
      <c r="AH778" s="1092"/>
      <c r="AI778" s="1092"/>
      <c r="AM778" s="1092"/>
      <c r="AQ778" s="1027"/>
      <c r="AR778" s="1080" t="str">
        <f ca="1">IF(AND(NOT(ISBLANK(AJ778)),ISNA(MATCH(ROW(),'System Lookups'!$C$526:$C$539,0))),"Y","N")</f>
        <v>N</v>
      </c>
      <c r="AU778" s="1080" t="e">
        <f t="shared" si="753"/>
        <v>#N/A</v>
      </c>
      <c r="AV778" s="1080" t="str">
        <f t="shared" si="751"/>
        <v/>
      </c>
      <c r="AW778" s="1080">
        <f t="shared" si="754"/>
        <v>0</v>
      </c>
      <c r="AX778" s="1080">
        <f t="shared" si="755"/>
        <v>0</v>
      </c>
      <c r="AY778" s="1080">
        <f t="shared" si="756"/>
        <v>0</v>
      </c>
      <c r="AZ778" s="1080">
        <f t="shared" si="757"/>
        <v>0</v>
      </c>
      <c r="BA778" s="1080">
        <f t="shared" si="758"/>
        <v>0</v>
      </c>
      <c r="BB778" s="1080">
        <f>IF(AND(RACE=1,'Main Creation Page'!$E$6="Well",OR(ISNUMBER(FIND(Experience!$G$11,BE778)),ISNUMBER(FIND(Experience!$G$11,BF778)),ISNUMBER(FIND(Experience!$I$11,BE778)),ISNUMBER(FIND(Experience!$I$11,BF778)))),1,0)</f>
        <v>1</v>
      </c>
      <c r="BC778" s="1080" t="e">
        <f t="shared" si="784"/>
        <v>#N/A</v>
      </c>
      <c r="BE778" s="1080" t="str">
        <f t="shared" si="752"/>
        <v>Lore</v>
      </c>
      <c r="BF778" s="1080" t="str">
        <f t="shared" si="785"/>
        <v>Materia Medicina: Healing Lore Skills</v>
      </c>
    </row>
    <row r="779" spans="1:58" ht="11.1" hidden="1" customHeight="1" outlineLevel="2" collapsed="1">
      <c r="A779" s="1028"/>
      <c r="B779" s="1034"/>
      <c r="C779" s="1079"/>
      <c r="D779" s="1079"/>
      <c r="V779" s="1027"/>
      <c r="W779" s="1112"/>
      <c r="AE779" s="1094"/>
      <c r="AF779" s="1121"/>
      <c r="AG779" s="1092"/>
      <c r="AH779" s="1092"/>
      <c r="AI779" s="1092"/>
      <c r="AM779" s="1092"/>
      <c r="AQ779" s="1027"/>
      <c r="AR779" s="1080" t="str">
        <f ca="1">IF(AND(NOT(ISBLANK(AJ779)),ISNA(MATCH(ROW(),'System Lookups'!$C$526:$C$539,0))),"Y","N")</f>
        <v>N</v>
      </c>
      <c r="AU779" s="1080" t="e">
        <f t="shared" si="753"/>
        <v>#N/A</v>
      </c>
      <c r="AV779" s="1080" t="str">
        <f t="shared" si="751"/>
        <v/>
      </c>
      <c r="AW779" s="1080">
        <f t="shared" si="754"/>
        <v>0</v>
      </c>
      <c r="AX779" s="1080">
        <f t="shared" si="755"/>
        <v>0</v>
      </c>
      <c r="AY779" s="1080">
        <f t="shared" si="756"/>
        <v>0</v>
      </c>
      <c r="AZ779" s="1080">
        <f t="shared" si="757"/>
        <v>0</v>
      </c>
      <c r="BA779" s="1080">
        <f t="shared" si="758"/>
        <v>0</v>
      </c>
      <c r="BB779" s="1080">
        <f>IF(AND(RACE=1,'Main Creation Page'!$E$6="Well",OR(ISNUMBER(FIND(Experience!$G$11,BE779)),ISNUMBER(FIND(Experience!$G$11,BF779)),ISNUMBER(FIND(Experience!$I$11,BE779)),ISNUMBER(FIND(Experience!$I$11,BF779)))),1,0)</f>
        <v>1</v>
      </c>
      <c r="BC779" s="1080" t="e">
        <f t="shared" si="784"/>
        <v>#N/A</v>
      </c>
      <c r="BE779" s="1080" t="str">
        <f t="shared" si="752"/>
        <v>Lore</v>
      </c>
      <c r="BF779" s="1080" t="str">
        <f t="shared" si="785"/>
        <v>Materia Medicina: Healing Lore Skills</v>
      </c>
    </row>
    <row r="780" spans="1:58" ht="11.1" customHeight="1" outlineLevel="1" collapsed="1">
      <c r="AF780" s="1079"/>
      <c r="AR780" s="1080" t="str">
        <f ca="1">IF(AND(NOT(ISBLANK(AJ780)),ISNA(MATCH(ROW(),'System Lookups'!$C$526:$C$539,0))),"Y","N")</f>
        <v>N</v>
      </c>
      <c r="AU780" s="1080" t="e">
        <f t="shared" si="753"/>
        <v>#N/A</v>
      </c>
      <c r="AV780" s="1080" t="str">
        <f t="shared" si="751"/>
        <v/>
      </c>
      <c r="AW780" s="1080">
        <f t="shared" si="754"/>
        <v>0</v>
      </c>
      <c r="AX780" s="1080">
        <f t="shared" si="755"/>
        <v>0</v>
      </c>
      <c r="AY780" s="1080">
        <f t="shared" si="756"/>
        <v>0</v>
      </c>
      <c r="AZ780" s="1080">
        <f t="shared" si="757"/>
        <v>0</v>
      </c>
      <c r="BA780" s="1080">
        <f t="shared" si="758"/>
        <v>0</v>
      </c>
      <c r="BB780" s="1080">
        <f>IF(AND(RACE=1,'Main Creation Page'!$E$6="Well",OR(ISNUMBER(FIND(Experience!$G$11,BE780)),ISNUMBER(FIND(Experience!$G$11,BF780)),ISNUMBER(FIND(Experience!$I$11,BE780)),ISNUMBER(FIND(Experience!$I$11,BF780)))),1,0)</f>
        <v>1</v>
      </c>
      <c r="BC780" s="1080" t="e">
        <f t="shared" si="784"/>
        <v>#N/A</v>
      </c>
      <c r="BE780" s="1080" t="str">
        <f t="shared" si="752"/>
        <v>Lore</v>
      </c>
      <c r="BF780" s="1080" t="str">
        <f t="shared" si="785"/>
        <v>Materia Medicina: Healing Lore Skills</v>
      </c>
    </row>
    <row r="781" spans="1:58" ht="11.1" customHeight="1">
      <c r="A781" s="1087" t="s">
        <v>2485</v>
      </c>
      <c r="B781" s="1091"/>
      <c r="C781" s="1091"/>
      <c r="D781" s="1091"/>
      <c r="F781" s="1027"/>
      <c r="G781" s="1027"/>
      <c r="H781" s="1027"/>
      <c r="I781" s="1085"/>
      <c r="J781" s="1085"/>
      <c r="K781" s="1085"/>
      <c r="L781" s="1085"/>
      <c r="M781" s="1085"/>
      <c r="N781" s="1027"/>
      <c r="O781" s="1027"/>
      <c r="P781" s="1027"/>
      <c r="Q781" s="1027"/>
      <c r="R781" s="1027"/>
      <c r="S781" s="1113"/>
      <c r="T781" s="1113"/>
      <c r="U781" s="1085"/>
      <c r="V781" s="1027"/>
      <c r="W781" s="1028"/>
      <c r="X781" s="1114"/>
      <c r="AE781" s="1094"/>
      <c r="AF781" s="1121"/>
      <c r="AG781" s="1092">
        <f>SUM(AG782:AG789)</f>
        <v>0</v>
      </c>
      <c r="AH781" s="1092"/>
      <c r="AI781" s="1092">
        <f>SUM(AI782:AI789)</f>
        <v>0</v>
      </c>
      <c r="AM781" s="1092"/>
      <c r="AR781" s="1080" t="str">
        <f ca="1">IF(AND(NOT(ISBLANK(AJ781)),ISNA(MATCH(ROW(),'System Lookups'!$C$526:$C$539,0))),"Y","N")</f>
        <v>N</v>
      </c>
      <c r="AU781" s="1080" t="e">
        <f t="shared" si="753"/>
        <v>#N/A</v>
      </c>
      <c r="AV781" s="1080" t="str">
        <f t="shared" si="751"/>
        <v/>
      </c>
      <c r="AW781" s="1080">
        <f t="shared" si="754"/>
        <v>0</v>
      </c>
      <c r="AX781" s="1080">
        <f t="shared" si="755"/>
        <v>0</v>
      </c>
      <c r="AY781" s="1080">
        <f t="shared" si="756"/>
        <v>0</v>
      </c>
      <c r="AZ781" s="1080">
        <f t="shared" si="757"/>
        <v>0</v>
      </c>
      <c r="BA781" s="1080">
        <f t="shared" si="758"/>
        <v>0</v>
      </c>
      <c r="BB781" s="1080">
        <f>IF(AND(RACE=1,'Main Creation Page'!$E$6="Well",OR(ISNUMBER(FIND(Experience!$G$11,BE781)),ISNUMBER(FIND(Experience!$G$11,BF781)),ISNUMBER(FIND(Experience!$I$11,BE781)),ISNUMBER(FIND(Experience!$I$11,BF781)))),1,0)</f>
        <v>1</v>
      </c>
      <c r="BC781" s="1080" t="str">
        <f t="shared" si="784"/>
        <v>Materia Theologica Skills</v>
      </c>
      <c r="BE781" s="1080" t="str">
        <f t="shared" si="752"/>
        <v>Lore</v>
      </c>
      <c r="BF781" s="1080" t="str">
        <f t="shared" si="785"/>
        <v>Materia Theologica Skills</v>
      </c>
    </row>
    <row r="782" spans="1:58" ht="11.1" customHeight="1" outlineLevel="1">
      <c r="A782" s="1117" t="s">
        <v>4752</v>
      </c>
      <c r="B782" s="1094"/>
      <c r="C782" s="1094"/>
      <c r="D782" s="1094"/>
      <c r="E782" s="1095" t="s">
        <v>5224</v>
      </c>
      <c r="F782" s="1095" t="s">
        <v>5224</v>
      </c>
      <c r="G782" s="1096">
        <v>0</v>
      </c>
      <c r="H782" s="1096" t="s">
        <v>5224</v>
      </c>
      <c r="I782" s="1096" t="s">
        <v>5224</v>
      </c>
      <c r="J782" s="1096" t="s">
        <v>5224</v>
      </c>
      <c r="K782" s="1096" t="s">
        <v>5224</v>
      </c>
      <c r="L782" s="1096">
        <v>0</v>
      </c>
      <c r="M782" s="1096" t="s">
        <v>5224</v>
      </c>
      <c r="N782" s="1096" t="s">
        <v>4630</v>
      </c>
      <c r="O782" s="1028"/>
      <c r="P782" s="1028" t="s">
        <v>780</v>
      </c>
      <c r="Q782" s="1097">
        <f t="shared" ref="Q782:Q788" ca="1" si="786">INDIRECT(P782)</f>
        <v>17</v>
      </c>
      <c r="R782" s="1034"/>
      <c r="S782" s="1028" t="s">
        <v>3616</v>
      </c>
      <c r="T782" s="1097">
        <f t="shared" ref="T782:T788" ca="1" si="787">INDIRECT(S782)</f>
        <v>17</v>
      </c>
      <c r="U782" s="1027">
        <v>4</v>
      </c>
      <c r="V782" s="1027">
        <f t="shared" ref="V782:V788" si="788">IF(AP782+U782&gt;10,10,IF(AP782+U782&lt;1,1,AP782+U782))</f>
        <v>4</v>
      </c>
      <c r="W782" s="1098" t="e">
        <f>IF(OR(I782&lt;&gt;"N",E782="C"),IF(AND(N782&lt;&gt;"T",ISNUMBER(FIND("V",I782))),1,0),NA())+IF(H782="Y",IF(AND(N782="P",ISNUMBER(FIND("Z",I782))),2,1),0)+IF(J782="Y",1,0)+IF(K782="Y",3,0)+IF(BE782="Lore",L782*2+Experience!$D$25,0)+IF(M782="Y",1,0)</f>
        <v>#N/A</v>
      </c>
      <c r="X782" s="1099"/>
      <c r="Y782" s="1100">
        <f ca="1">IF(P782="NS",IFERROR(INDIRECT(S782),NA()),VLOOKUP(INDIRECT(P782)+INDIRECT(S782),'System Lookups'!$A$3:$D$146,2))</f>
        <v>0.1</v>
      </c>
      <c r="Z782" s="1100">
        <f t="shared" ref="Z782:Z788" si="789">IF(ISNA(W782),0,W782*0.03)+IF(X782&gt;0,X782*0.03,0)+IF(AND(ISNA(W782),X782&lt;=0),0,IF(G782&gt;0,G782*0.07,0))</f>
        <v>0</v>
      </c>
      <c r="AA782" s="1101">
        <f t="shared" ref="AA782:AA788" ca="1" si="790">IF(ISNA(Y782),0,Y782)+Z782</f>
        <v>0.1</v>
      </c>
      <c r="AB782" s="1102">
        <f>VLOOKUP(V782,'System Lookups'!$J$55:$P$64,3)</f>
        <v>0.2</v>
      </c>
      <c r="AC782" s="1103">
        <f>VLOOKUP(V782,'System Lookups'!$J$55:$P$64,4)</f>
        <v>0.3</v>
      </c>
      <c r="AD782" s="1104">
        <f t="shared" ref="AD782:AD788" ca="1" si="791">IF(AND(ISBLANK(X782),ISNA(W782)),IF(B782="~",0,AB782+AA782+IF(BB782&gt;0,0.05,0)),AA782+AC782+IF(BB782&gt;0,0.05,0))</f>
        <v>0.35000000000000003</v>
      </c>
      <c r="AE782" s="1094">
        <f ca="1">(IF(AD782&gt;VLOOKUP(V782,'System Lookups'!$J$55:$P$63,6),(((AD782-VLOOKUP(V782,'System Lookups'!$J$55:$P$63,6))*100)/20),0))+AF782</f>
        <v>0</v>
      </c>
      <c r="AF782" s="1121"/>
      <c r="AG782" s="1092">
        <f t="shared" ref="AG782:AG788" si="792">IF(ISBLANK(X782),0,AQ782*X782+IF(ISNA(W782),1,0))</f>
        <v>0</v>
      </c>
      <c r="AH782" s="1092" t="str">
        <f>IF(X782&lt;=Experience!$R$15+1,"","*")</f>
        <v/>
      </c>
      <c r="AI782" s="1092"/>
      <c r="AJ782" s="1080">
        <f t="shared" ref="AJ782:AJ788" si="793">IF(ISNUMBER(FIND("R",F782)),-1,0)</f>
        <v>0</v>
      </c>
      <c r="AK782" s="1080">
        <f>IF(F782="s",-2,0)</f>
        <v>0</v>
      </c>
      <c r="AL782" s="1080">
        <f t="shared" ref="AL782:AL788" si="794">IF(AND(H782="Y",OR(N782="P",N782="S")),-1,0)</f>
        <v>0</v>
      </c>
      <c r="AM782" s="1092">
        <f t="shared" ref="AM782:AM788" si="795">IF(J782="y",1,0)</f>
        <v>0</v>
      </c>
      <c r="AN782" s="1080">
        <f t="shared" ref="AN782:AN788" si="796">IF(N782="P",-1,IF(N782="T",1,0))</f>
        <v>0</v>
      </c>
      <c r="AO782" s="1080">
        <f t="shared" ref="AO782:AO788" si="797">IF(ISNUMBER(FIND("Z",I782)),1,0)</f>
        <v>0</v>
      </c>
      <c r="AP782" s="1080">
        <f t="shared" ref="AP782:AP788" si="798">SUM(AJ782:AN782)-AM782</f>
        <v>0</v>
      </c>
      <c r="AQ782" s="1027">
        <f>VLOOKUP(V782,'System Lookups'!$J$55:$P$64,7)</f>
        <v>600</v>
      </c>
      <c r="AR782" s="1080" t="str">
        <f ca="1">IF(AND(NOT(ISBLANK(AJ782)),ISNA(MATCH(ROW(),'System Lookups'!$C$526:$C$539,0))),"Y","N")</f>
        <v>Y</v>
      </c>
      <c r="AS782" s="1080">
        <f t="shared" ref="AS782:AS788" si="799">AG782-AI782</f>
        <v>0</v>
      </c>
      <c r="AU782" s="1080" t="e">
        <f t="shared" si="753"/>
        <v>#N/A</v>
      </c>
      <c r="AV782" s="1080" t="str">
        <f t="shared" si="751"/>
        <v>S</v>
      </c>
      <c r="AW782" s="1080">
        <f t="shared" si="754"/>
        <v>0</v>
      </c>
      <c r="AX782" s="1080">
        <f t="shared" si="755"/>
        <v>0</v>
      </c>
      <c r="AY782" s="1080">
        <f t="shared" si="756"/>
        <v>0</v>
      </c>
      <c r="AZ782" s="1080">
        <f t="shared" si="757"/>
        <v>0</v>
      </c>
      <c r="BA782" s="1080">
        <f t="shared" si="758"/>
        <v>0</v>
      </c>
      <c r="BB782" s="1080">
        <f>IF(AND(RACE=1,'Main Creation Page'!$E$6="Well",OR(ISNUMBER(FIND(Experience!$G$11,BE782)),ISNUMBER(FIND(Experience!$G$11,BF782)),ISNUMBER(FIND(Experience!$I$11,BE782)),ISNUMBER(FIND(Experience!$I$11,BF782)))),1,0)</f>
        <v>1</v>
      </c>
      <c r="BC782" s="1080" t="str">
        <f t="shared" si="784"/>
        <v>Debate</v>
      </c>
      <c r="BE782" s="1080" t="str">
        <f t="shared" si="752"/>
        <v>Lore</v>
      </c>
      <c r="BF782" s="1080" t="str">
        <f t="shared" si="785"/>
        <v>Materia Theologica Skills</v>
      </c>
    </row>
    <row r="783" spans="1:58" ht="11.1" customHeight="1" outlineLevel="1">
      <c r="A783" s="1123" t="s">
        <v>3249</v>
      </c>
      <c r="B783" s="1094"/>
      <c r="C783" s="1094"/>
      <c r="D783" s="1094"/>
      <c r="E783" s="1095" t="s">
        <v>5224</v>
      </c>
      <c r="F783" s="1095" t="s">
        <v>5224</v>
      </c>
      <c r="G783" s="1096">
        <v>0</v>
      </c>
      <c r="H783" s="1096" t="s">
        <v>5224</v>
      </c>
      <c r="I783" s="1096" t="s">
        <v>5224</v>
      </c>
      <c r="J783" s="1096" t="s">
        <v>5224</v>
      </c>
      <c r="K783" s="1096" t="s">
        <v>5224</v>
      </c>
      <c r="L783" s="1096">
        <v>0</v>
      </c>
      <c r="M783" s="1096" t="s">
        <v>5224</v>
      </c>
      <c r="N783" s="1096" t="s">
        <v>4630</v>
      </c>
      <c r="O783" s="1028"/>
      <c r="P783" s="1028" t="s">
        <v>3616</v>
      </c>
      <c r="Q783" s="1097">
        <f t="shared" ca="1" si="786"/>
        <v>17</v>
      </c>
      <c r="R783" s="1028"/>
      <c r="S783" s="1028" t="s">
        <v>3613</v>
      </c>
      <c r="T783" s="1097">
        <f t="shared" ca="1" si="787"/>
        <v>15</v>
      </c>
      <c r="U783" s="1027">
        <v>4</v>
      </c>
      <c r="V783" s="1027">
        <f t="shared" si="788"/>
        <v>4</v>
      </c>
      <c r="W783" s="1098" t="e">
        <f>IF(OR(I783&lt;&gt;"N",E783="C"),IF(AND(N783&lt;&gt;"T",ISNUMBER(FIND("V",I783))),1,0),NA())+IF(H783="Y",IF(AND(N783="P",ISNUMBER(FIND("Z",I783))),2,1),0)+IF(J783="Y",1,0)+IF(K783="Y",3,0)+IF(BE783="Lore",L783*2+Experience!$D$25,0)+IF(M783="Y",1,0)</f>
        <v>#N/A</v>
      </c>
      <c r="X783" s="1099"/>
      <c r="Y783" s="1100">
        <f ca="1">IF(P783="NS",IFERROR(INDIRECT(S783),NA()),VLOOKUP(INDIRECT(P783)+INDIRECT(S783),'System Lookups'!$A$3:$D$146,2))</f>
        <v>0.08</v>
      </c>
      <c r="Z783" s="1100">
        <f t="shared" si="789"/>
        <v>0</v>
      </c>
      <c r="AA783" s="1101">
        <f t="shared" ca="1" si="790"/>
        <v>0.08</v>
      </c>
      <c r="AB783" s="1102">
        <f>VLOOKUP(V783,'System Lookups'!$J$55:$P$64,3)</f>
        <v>0.2</v>
      </c>
      <c r="AC783" s="1103">
        <f>VLOOKUP(V783,'System Lookups'!$J$55:$P$64,4)</f>
        <v>0.3</v>
      </c>
      <c r="AD783" s="1104">
        <f t="shared" ca="1" si="791"/>
        <v>0.33</v>
      </c>
      <c r="AE783" s="1094">
        <f ca="1">(IF(AD783&gt;VLOOKUP(V783,'System Lookups'!$J$55:$P$63,6),(((AD783-VLOOKUP(V783,'System Lookups'!$J$55:$P$63,6))*100)/20),0))+AF783</f>
        <v>0</v>
      </c>
      <c r="AF783" s="1121"/>
      <c r="AG783" s="1092">
        <f t="shared" si="792"/>
        <v>0</v>
      </c>
      <c r="AH783" s="1092" t="str">
        <f>IF(X783&lt;=Experience!$R$15+1,"","*")</f>
        <v/>
      </c>
      <c r="AI783" s="1092"/>
      <c r="AJ783" s="1080">
        <f t="shared" si="793"/>
        <v>0</v>
      </c>
      <c r="AK783" s="1080">
        <f>IF(F783="s",-2,0)</f>
        <v>0</v>
      </c>
      <c r="AL783" s="1080">
        <f t="shared" si="794"/>
        <v>0</v>
      </c>
      <c r="AM783" s="1092">
        <f t="shared" si="795"/>
        <v>0</v>
      </c>
      <c r="AN783" s="1080">
        <f t="shared" si="796"/>
        <v>0</v>
      </c>
      <c r="AO783" s="1080">
        <f t="shared" si="797"/>
        <v>0</v>
      </c>
      <c r="AP783" s="1080">
        <f t="shared" si="798"/>
        <v>0</v>
      </c>
      <c r="AQ783" s="1027">
        <f>VLOOKUP(V783,'System Lookups'!$J$55:$P$64,7)</f>
        <v>600</v>
      </c>
      <c r="AR783" s="1080" t="str">
        <f ca="1">IF(AND(NOT(ISBLANK(AJ783)),ISNA(MATCH(ROW(),'System Lookups'!$C$526:$C$539,0))),"Y","N")</f>
        <v>Y</v>
      </c>
      <c r="AS783" s="1080">
        <f t="shared" si="799"/>
        <v>0</v>
      </c>
      <c r="AU783" s="1080" t="e">
        <f t="shared" si="753"/>
        <v>#N/A</v>
      </c>
      <c r="AV783" s="1080" t="str">
        <f t="shared" si="751"/>
        <v>S</v>
      </c>
      <c r="AW783" s="1080">
        <f t="shared" si="754"/>
        <v>0</v>
      </c>
      <c r="AX783" s="1080">
        <f t="shared" si="755"/>
        <v>0</v>
      </c>
      <c r="AY783" s="1080">
        <f t="shared" si="756"/>
        <v>0</v>
      </c>
      <c r="AZ783" s="1080">
        <f t="shared" si="757"/>
        <v>0</v>
      </c>
      <c r="BA783" s="1080">
        <f t="shared" si="758"/>
        <v>0</v>
      </c>
      <c r="BB783" s="1080">
        <f>IF(AND(RACE=1,'Main Creation Page'!$E$6="Well",OR(ISNUMBER(FIND(Experience!$G$11,BE783)),ISNUMBER(FIND(Experience!$G$11,BF783)),ISNUMBER(FIND(Experience!$I$11,BE783)),ISNUMBER(FIND(Experience!$I$11,BF783)))),1,0)</f>
        <v>1</v>
      </c>
      <c r="BC783" s="1080" t="str">
        <f t="shared" si="784"/>
        <v>Ethics</v>
      </c>
      <c r="BE783" s="1080" t="str">
        <f t="shared" si="752"/>
        <v>Lore</v>
      </c>
      <c r="BF783" s="1080" t="str">
        <f t="shared" si="785"/>
        <v>Materia Theologica Skills</v>
      </c>
    </row>
    <row r="784" spans="1:58" ht="11.1" customHeight="1" outlineLevel="1">
      <c r="A784" s="1126" t="s">
        <v>348</v>
      </c>
      <c r="B784" s="1094" t="s">
        <v>1942</v>
      </c>
      <c r="C784" s="1094"/>
      <c r="D784" s="1094"/>
      <c r="E784" s="1095" t="str">
        <f>IF(Experience!G6="Y","C","N")</f>
        <v>C</v>
      </c>
      <c r="F784" s="1095" t="s">
        <v>5224</v>
      </c>
      <c r="G784" s="1096">
        <v>0</v>
      </c>
      <c r="H784" s="1096" t="s">
        <v>5222</v>
      </c>
      <c r="I784" s="1096" t="s">
        <v>5223</v>
      </c>
      <c r="J784" s="1096" t="s">
        <v>5224</v>
      </c>
      <c r="K784" s="1096" t="s">
        <v>5224</v>
      </c>
      <c r="L784" s="1096">
        <v>0</v>
      </c>
      <c r="M784" s="1096" t="s">
        <v>5224</v>
      </c>
      <c r="N784" s="1096" t="s">
        <v>4627</v>
      </c>
      <c r="O784" s="1028"/>
      <c r="P784" s="1028" t="s">
        <v>779</v>
      </c>
      <c r="Q784" s="1097">
        <f t="shared" ca="1" si="786"/>
        <v>20</v>
      </c>
      <c r="R784" s="1028"/>
      <c r="S784" s="1028" t="s">
        <v>779</v>
      </c>
      <c r="T784" s="1097">
        <f t="shared" ca="1" si="787"/>
        <v>20</v>
      </c>
      <c r="U784" s="1027">
        <v>5</v>
      </c>
      <c r="V784" s="1027">
        <f t="shared" si="788"/>
        <v>3</v>
      </c>
      <c r="W784" s="1098">
        <f>IF(OR(I784&lt;&gt;"N",E784="C"),IF(AND(N784&lt;&gt;"T",ISNUMBER(FIND("V",I784))),1,0),NA())+IF(H784="Y",IF(AND(N784="P",ISNUMBER(FIND("Z",I784))),2,1),0)+IF(J784="Y",1,0)+IF(K784="Y",3,0)+IF(BE784="Lore",L784*2+Experience!$D$25,0)+IF(M784="Y",1,0)</f>
        <v>6</v>
      </c>
      <c r="X784" s="1099"/>
      <c r="Y784" s="1100">
        <f ca="1">IF(P784="NS",IFERROR(INDIRECT(S784),NA()),VLOOKUP(INDIRECT(P784)+INDIRECT(S784),'System Lookups'!$A$3:$D$146,2))</f>
        <v>0.2</v>
      </c>
      <c r="Z784" s="1100">
        <f t="shared" si="789"/>
        <v>0.18</v>
      </c>
      <c r="AA784" s="1101">
        <f t="shared" ca="1" si="790"/>
        <v>0.38</v>
      </c>
      <c r="AB784" s="1102">
        <f>VLOOKUP(V784,'System Lookups'!$J$55:$P$64,3)</f>
        <v>0.3</v>
      </c>
      <c r="AC784" s="1103">
        <f>VLOOKUP(V784,'System Lookups'!$J$55:$P$64,4)</f>
        <v>0.4</v>
      </c>
      <c r="AD784" s="1104">
        <f t="shared" ca="1" si="791"/>
        <v>0.83000000000000007</v>
      </c>
      <c r="AE784" s="1094">
        <f ca="1">(IF(AD784&gt;VLOOKUP(V784,'System Lookups'!$J$55:$P$63,6),(((AD784-VLOOKUP(V784,'System Lookups'!$J$55:$P$63,6))*100)/20),0))+AF784</f>
        <v>0</v>
      </c>
      <c r="AF784" s="1121"/>
      <c r="AG784" s="1092">
        <f t="shared" si="792"/>
        <v>0</v>
      </c>
      <c r="AH784" s="1092" t="str">
        <f>IF(X784&lt;=Experience!$R$15+1,"","*")</f>
        <v/>
      </c>
      <c r="AI784" s="1092"/>
      <c r="AJ784" s="1080">
        <f t="shared" si="793"/>
        <v>0</v>
      </c>
      <c r="AK784" s="1080">
        <f>IF(F784="s",-2,0)</f>
        <v>0</v>
      </c>
      <c r="AL784" s="1080">
        <f t="shared" si="794"/>
        <v>-1</v>
      </c>
      <c r="AM784" s="1092">
        <f t="shared" si="795"/>
        <v>0</v>
      </c>
      <c r="AN784" s="1080">
        <f t="shared" si="796"/>
        <v>-1</v>
      </c>
      <c r="AO784" s="1080">
        <f t="shared" si="797"/>
        <v>0</v>
      </c>
      <c r="AP784" s="1080">
        <f t="shared" si="798"/>
        <v>-2</v>
      </c>
      <c r="AQ784" s="1027">
        <f>VLOOKUP(V784,'System Lookups'!$J$55:$P$64,7)</f>
        <v>500</v>
      </c>
      <c r="AR784" s="1080" t="str">
        <f ca="1">IF(AND(NOT(ISBLANK(AJ784)),ISNA(MATCH(ROW(),'System Lookups'!$C$526:$C$539,0))),"Y","N")</f>
        <v>N</v>
      </c>
      <c r="AS784" s="1080">
        <f t="shared" si="799"/>
        <v>0</v>
      </c>
      <c r="AU784" s="1080">
        <f t="shared" si="753"/>
        <v>6</v>
      </c>
      <c r="AV784" s="1080" t="str">
        <f t="shared" si="751"/>
        <v>CMP</v>
      </c>
      <c r="AW784" s="1080">
        <f t="shared" si="754"/>
        <v>1</v>
      </c>
      <c r="AX784" s="1080">
        <f t="shared" si="755"/>
        <v>1</v>
      </c>
      <c r="AY784" s="1080">
        <f t="shared" si="756"/>
        <v>0</v>
      </c>
      <c r="AZ784" s="1080">
        <f t="shared" si="757"/>
        <v>0</v>
      </c>
      <c r="BA784" s="1080">
        <f t="shared" si="758"/>
        <v>0</v>
      </c>
      <c r="BB784" s="1080">
        <f>IF(AND(RACE=1,'Main Creation Page'!$E$6="Well",OR(ISNUMBER(FIND(Experience!$G$11,BE784)),ISNUMBER(FIND(Experience!$G$11,BF784)),ISNUMBER(FIND(Experience!$I$11,BE784)),ISNUMBER(FIND(Experience!$I$11,BF784)))),1,0)</f>
        <v>1</v>
      </c>
      <c r="BC784" s="1080" t="str">
        <f t="shared" si="784"/>
        <v>FAITH</v>
      </c>
      <c r="BE784" s="1080" t="str">
        <f t="shared" si="752"/>
        <v>Lore</v>
      </c>
      <c r="BF784" s="1080" t="str">
        <f t="shared" si="785"/>
        <v>Materia Theologica Skills</v>
      </c>
    </row>
    <row r="785" spans="1:58" ht="11.1" customHeight="1" outlineLevel="2">
      <c r="A785" s="1126" t="s">
        <v>6082</v>
      </c>
      <c r="B785" s="1094" t="s">
        <v>1942</v>
      </c>
      <c r="C785" s="1094"/>
      <c r="D785" s="1094"/>
      <c r="E785" s="1095" t="str">
        <f>IF(Experience!G7="Y","C","N")</f>
        <v>N</v>
      </c>
      <c r="F785" s="1095" t="s">
        <v>5224</v>
      </c>
      <c r="G785" s="1096">
        <v>0</v>
      </c>
      <c r="H785" s="1096" t="s">
        <v>5224</v>
      </c>
      <c r="I785" s="1096" t="s">
        <v>5224</v>
      </c>
      <c r="J785" s="1096" t="s">
        <v>5224</v>
      </c>
      <c r="K785" s="1096" t="s">
        <v>5224</v>
      </c>
      <c r="L785" s="1096">
        <v>0</v>
      </c>
      <c r="M785" s="1096" t="s">
        <v>5224</v>
      </c>
      <c r="N785" s="1096" t="s">
        <v>4630</v>
      </c>
      <c r="O785" s="1028"/>
      <c r="P785" s="1028" t="s">
        <v>779</v>
      </c>
      <c r="Q785" s="1097">
        <f t="shared" ca="1" si="786"/>
        <v>20</v>
      </c>
      <c r="R785" s="1028"/>
      <c r="S785" s="1028" t="s">
        <v>779</v>
      </c>
      <c r="T785" s="1097">
        <f t="shared" ca="1" si="787"/>
        <v>20</v>
      </c>
      <c r="U785" s="1027">
        <v>5</v>
      </c>
      <c r="V785" s="1027">
        <f t="shared" si="788"/>
        <v>5</v>
      </c>
      <c r="W785" s="1098" t="e">
        <f>IF(OR(I785&lt;&gt;"N",E785="C"),IF(AND(N785&lt;&gt;"T",ISNUMBER(FIND("V",I785))),1,0),NA())+IF(H785="Y",IF(AND(N785="P",ISNUMBER(FIND("Z",I785))),2,1),0)+IF(J785="Y",1,0)+IF(K785="Y",3,0)+IF(BE785="Lore",L785*2+Experience!$D$25,0)+IF(M785="Y",1,0)</f>
        <v>#N/A</v>
      </c>
      <c r="X785" s="1099"/>
      <c r="Y785" s="1100">
        <f ca="1">IF(P785="NS",IFERROR(INDIRECT(S785),NA()),VLOOKUP(INDIRECT(P785)+INDIRECT(S785),'System Lookups'!$A$3:$D$146,2))</f>
        <v>0.2</v>
      </c>
      <c r="Z785" s="1100">
        <f t="shared" si="789"/>
        <v>0</v>
      </c>
      <c r="AA785" s="1101">
        <f t="shared" ref="AA785" ca="1" si="800">IF(ISNA(Y785),0,Y785)+Z785</f>
        <v>0.2</v>
      </c>
      <c r="AB785" s="1102">
        <f>VLOOKUP(V785,'System Lookups'!$J$55:$P$64,3)</f>
        <v>0.1</v>
      </c>
      <c r="AC785" s="1103">
        <f>VLOOKUP(V785,'System Lookups'!$J$55:$P$64,4)</f>
        <v>0.2</v>
      </c>
      <c r="AD785" s="1104">
        <f t="shared" si="791"/>
        <v>0</v>
      </c>
      <c r="AE785" s="1094">
        <f>(IF(AD785&gt;VLOOKUP(V785,'System Lookups'!$J$55:$P$63,6),(((AD785-VLOOKUP(V785,'System Lookups'!$J$55:$P$63,6))*100)/20),0))+AF785</f>
        <v>0</v>
      </c>
      <c r="AF785" s="1121"/>
      <c r="AG785" s="1092">
        <f t="shared" si="792"/>
        <v>0</v>
      </c>
      <c r="AH785" s="1092" t="str">
        <f>IF(X785&lt;=Experience!$R$15+1,"","*")</f>
        <v/>
      </c>
      <c r="AI785" s="1092"/>
      <c r="AJ785" s="1080">
        <f t="shared" si="793"/>
        <v>0</v>
      </c>
      <c r="AK785" s="1080">
        <f>IF(F785="s",-2,0)</f>
        <v>0</v>
      </c>
      <c r="AL785" s="1080">
        <f t="shared" si="794"/>
        <v>0</v>
      </c>
      <c r="AM785" s="1092">
        <f t="shared" ref="AM785" si="801">IF(J785="y",1,0)</f>
        <v>0</v>
      </c>
      <c r="AN785" s="1080">
        <f t="shared" ref="AN785" si="802">IF(N785="P",-1,IF(N785="T",1,0))</f>
        <v>0</v>
      </c>
      <c r="AO785" s="1080">
        <f t="shared" si="797"/>
        <v>0</v>
      </c>
      <c r="AP785" s="1080">
        <f t="shared" si="798"/>
        <v>0</v>
      </c>
      <c r="AQ785" s="1027">
        <f>VLOOKUP(V785,'System Lookups'!$J$55:$P$64,7)</f>
        <v>700</v>
      </c>
      <c r="AR785" s="1080" t="str">
        <f ca="1">IF(AND(NOT(ISBLANK(AJ785)),ISNA(MATCH(ROW(),'System Lookups'!$C$526:$C$539,0))),"Y","N")</f>
        <v>Y</v>
      </c>
      <c r="AS785" s="1080">
        <f t="shared" si="799"/>
        <v>0</v>
      </c>
      <c r="AU785" s="1080" t="e">
        <f t="shared" si="753"/>
        <v>#N/A</v>
      </c>
      <c r="AV785" s="1080" t="str">
        <f t="shared" si="751"/>
        <v>S</v>
      </c>
      <c r="AW785" s="1080">
        <f t="shared" si="754"/>
        <v>0</v>
      </c>
      <c r="AX785" s="1080">
        <f t="shared" si="755"/>
        <v>0</v>
      </c>
      <c r="AY785" s="1080">
        <f t="shared" si="756"/>
        <v>0</v>
      </c>
      <c r="AZ785" s="1080">
        <f t="shared" si="757"/>
        <v>0</v>
      </c>
      <c r="BA785" s="1080">
        <f t="shared" si="758"/>
        <v>0</v>
      </c>
      <c r="BB785" s="1080">
        <f>IF(AND(RACE=1,'Main Creation Page'!$E$6="Well",OR(ISNUMBER(FIND(Experience!$G$11,BE785)),ISNUMBER(FIND(Experience!$G$11,BF785)),ISNUMBER(FIND(Experience!$I$11,BE785)),ISNUMBER(FIND(Experience!$I$11,BF785)))),1,0)</f>
        <v>1</v>
      </c>
      <c r="BC785" s="1080" t="str">
        <f t="shared" si="784"/>
        <v>FAITH (Secondary)</v>
      </c>
      <c r="BE785" s="1080" t="str">
        <f t="shared" si="752"/>
        <v>Lore</v>
      </c>
      <c r="BF785" s="1080" t="str">
        <f t="shared" si="785"/>
        <v>Materia Theologica Skills</v>
      </c>
    </row>
    <row r="786" spans="1:58" ht="11.1" customHeight="1" outlineLevel="1">
      <c r="A786" s="1117" t="s">
        <v>4751</v>
      </c>
      <c r="B786" s="1094"/>
      <c r="C786" s="1094"/>
      <c r="D786" s="1094"/>
      <c r="E786" s="1095" t="s">
        <v>5224</v>
      </c>
      <c r="F786" s="1095" t="str">
        <f>IF(OR('Main Creation Page'!AB2=193,'Main Creation Page'!AB2=194),"S","N")</f>
        <v>N</v>
      </c>
      <c r="G786" s="1096">
        <v>0</v>
      </c>
      <c r="H786" s="1096" t="s">
        <v>5224</v>
      </c>
      <c r="I786" s="1096" t="s">
        <v>5224</v>
      </c>
      <c r="J786" s="1096" t="s">
        <v>5224</v>
      </c>
      <c r="K786" s="1096" t="s">
        <v>5224</v>
      </c>
      <c r="L786" s="1096">
        <v>0</v>
      </c>
      <c r="M786" s="1096" t="s">
        <v>5224</v>
      </c>
      <c r="N786" s="1096" t="s">
        <v>4630</v>
      </c>
      <c r="O786" s="1028"/>
      <c r="P786" s="1028" t="s">
        <v>780</v>
      </c>
      <c r="Q786" s="1097">
        <f t="shared" ca="1" si="786"/>
        <v>17</v>
      </c>
      <c r="R786" s="1034"/>
      <c r="S786" s="1028" t="s">
        <v>3613</v>
      </c>
      <c r="T786" s="1097">
        <f t="shared" ca="1" si="787"/>
        <v>15</v>
      </c>
      <c r="U786" s="1027">
        <v>3</v>
      </c>
      <c r="V786" s="1027">
        <f t="shared" si="788"/>
        <v>3</v>
      </c>
      <c r="W786" s="1098" t="e">
        <f>IF(OR(I786&lt;&gt;"N",E786="C"),IF(AND(N786&lt;&gt;"T",ISNUMBER(FIND("V",I786))),1,0),NA())+IF(H786="Y",IF(AND(N786="P",ISNUMBER(FIND("Z",I786))),2,1),0)+IF(J786="Y",1,0)+IF(K786="Y",3,0)+IF(BE786="Lore",L786*2+Experience!$D$25,0)+IF(M786="Y",1,0)</f>
        <v>#N/A</v>
      </c>
      <c r="X786" s="1099"/>
      <c r="Y786" s="1100">
        <f ca="1">IF(P786="NS",IFERROR(INDIRECT(S786),NA()),VLOOKUP(INDIRECT(P786)+INDIRECT(S786),'System Lookups'!$A$3:$D$146,2))</f>
        <v>0.08</v>
      </c>
      <c r="Z786" s="1100">
        <f t="shared" si="789"/>
        <v>0</v>
      </c>
      <c r="AA786" s="1101">
        <f t="shared" ca="1" si="790"/>
        <v>0.08</v>
      </c>
      <c r="AB786" s="1102">
        <f>VLOOKUP(V786,'System Lookups'!$J$55:$P$64,3)</f>
        <v>0.3</v>
      </c>
      <c r="AC786" s="1103">
        <f>VLOOKUP(V786,'System Lookups'!$J$55:$P$64,4)</f>
        <v>0.4</v>
      </c>
      <c r="AD786" s="1104">
        <f t="shared" ca="1" si="791"/>
        <v>0.43</v>
      </c>
      <c r="AE786" s="1094">
        <f ca="1">(IF(AD786&gt;VLOOKUP(V786,'System Lookups'!$J$55:$P$63,6),(((AD786-VLOOKUP(V786,'System Lookups'!$J$55:$P$63,6))*100)/20),0))+AF786</f>
        <v>0</v>
      </c>
      <c r="AF786" s="1121"/>
      <c r="AG786" s="1092">
        <f t="shared" si="792"/>
        <v>0</v>
      </c>
      <c r="AH786" s="1092" t="str">
        <f>IF(X786&lt;=Experience!$R$15+1,"","*")</f>
        <v/>
      </c>
      <c r="AI786" s="1092"/>
      <c r="AJ786" s="1080">
        <f t="shared" si="793"/>
        <v>0</v>
      </c>
      <c r="AK786" s="1080">
        <f>IF(F786="s",-4,0)</f>
        <v>0</v>
      </c>
      <c r="AL786" s="1080">
        <f t="shared" si="794"/>
        <v>0</v>
      </c>
      <c r="AM786" s="1092">
        <f t="shared" si="795"/>
        <v>0</v>
      </c>
      <c r="AN786" s="1080">
        <f t="shared" si="796"/>
        <v>0</v>
      </c>
      <c r="AO786" s="1080">
        <f t="shared" si="797"/>
        <v>0</v>
      </c>
      <c r="AP786" s="1080">
        <f t="shared" si="798"/>
        <v>0</v>
      </c>
      <c r="AQ786" s="1027">
        <f>VLOOKUP(V786,'System Lookups'!$J$55:$P$64,7)</f>
        <v>500</v>
      </c>
      <c r="AR786" s="1080" t="str">
        <f ca="1">IF(AND(NOT(ISBLANK(AJ786)),ISNA(MATCH(ROW(),'System Lookups'!$C$526:$C$539,0))),"Y","N")</f>
        <v>Y</v>
      </c>
      <c r="AS786" s="1080">
        <f t="shared" si="799"/>
        <v>0</v>
      </c>
      <c r="AU786" s="1080" t="e">
        <f t="shared" si="753"/>
        <v>#N/A</v>
      </c>
      <c r="AV786" s="1080" t="str">
        <f t="shared" si="751"/>
        <v>S</v>
      </c>
      <c r="AW786" s="1080">
        <f t="shared" si="754"/>
        <v>0</v>
      </c>
      <c r="AX786" s="1080">
        <f t="shared" si="755"/>
        <v>0</v>
      </c>
      <c r="AY786" s="1080">
        <f t="shared" si="756"/>
        <v>0</v>
      </c>
      <c r="AZ786" s="1080">
        <f t="shared" si="757"/>
        <v>0</v>
      </c>
      <c r="BA786" s="1080">
        <f t="shared" si="758"/>
        <v>0</v>
      </c>
      <c r="BB786" s="1080">
        <f>IF(AND(RACE=1,'Main Creation Page'!$E$6="Well",OR(ISNUMBER(FIND(Experience!$G$11,BE786)),ISNUMBER(FIND(Experience!$G$11,BF786)),ISNUMBER(FIND(Experience!$I$11,BE786)),ISNUMBER(FIND(Experience!$I$11,BF786)))),1,0)</f>
        <v>1</v>
      </c>
      <c r="BC786" s="1080" t="str">
        <f t="shared" si="784"/>
        <v>Law</v>
      </c>
      <c r="BE786" s="1080" t="str">
        <f t="shared" si="752"/>
        <v>Lore</v>
      </c>
      <c r="BF786" s="1080" t="str">
        <f t="shared" si="785"/>
        <v>Materia Theologica Skills</v>
      </c>
    </row>
    <row r="787" spans="1:58" ht="11.1" customHeight="1" outlineLevel="1">
      <c r="A787" s="1123" t="s">
        <v>3248</v>
      </c>
      <c r="B787" s="1094"/>
      <c r="C787" s="1094"/>
      <c r="D787" s="1094"/>
      <c r="E787" s="1095" t="s">
        <v>5224</v>
      </c>
      <c r="F787" s="1095" t="s">
        <v>5224</v>
      </c>
      <c r="G787" s="1096">
        <v>0</v>
      </c>
      <c r="H787" s="1096" t="s">
        <v>5224</v>
      </c>
      <c r="I787" s="1096" t="s">
        <v>5224</v>
      </c>
      <c r="J787" s="1096" t="s">
        <v>5224</v>
      </c>
      <c r="K787" s="1096" t="s">
        <v>5224</v>
      </c>
      <c r="L787" s="1096">
        <v>0</v>
      </c>
      <c r="M787" s="1096" t="s">
        <v>5224</v>
      </c>
      <c r="N787" s="1096" t="s">
        <v>4630</v>
      </c>
      <c r="O787" s="1028"/>
      <c r="P787" s="1028" t="s">
        <v>780</v>
      </c>
      <c r="Q787" s="1097">
        <f t="shared" ca="1" si="786"/>
        <v>17</v>
      </c>
      <c r="R787" s="1034"/>
      <c r="S787" s="1028" t="s">
        <v>3616</v>
      </c>
      <c r="T787" s="1097">
        <f t="shared" ca="1" si="787"/>
        <v>17</v>
      </c>
      <c r="U787" s="1027">
        <v>5</v>
      </c>
      <c r="V787" s="1027">
        <f t="shared" si="788"/>
        <v>5</v>
      </c>
      <c r="W787" s="1098" t="e">
        <f>IF(OR(I787&lt;&gt;"N",E787="C"),IF(AND(N787&lt;&gt;"T",ISNUMBER(FIND("V",I787))),1,0),NA())+IF(H787="Y",IF(AND(N787="P",ISNUMBER(FIND("Z",I787))),2,1),0)+IF(J787="Y",1,0)+IF(K787="Y",3,0)+IF(BE787="Lore",L787*2+Experience!$D$25,0)+IF(M787="Y",1,0)</f>
        <v>#N/A</v>
      </c>
      <c r="X787" s="1099"/>
      <c r="Y787" s="1100">
        <f ca="1">IF(P787="NS",IFERROR(INDIRECT(S787),NA()),VLOOKUP(INDIRECT(P787)+INDIRECT(S787),'System Lookups'!$A$3:$D$146,2))</f>
        <v>0.1</v>
      </c>
      <c r="Z787" s="1100">
        <f t="shared" si="789"/>
        <v>0</v>
      </c>
      <c r="AA787" s="1101">
        <f t="shared" ca="1" si="790"/>
        <v>0.1</v>
      </c>
      <c r="AB787" s="1102">
        <f>VLOOKUP(V787,'System Lookups'!$J$55:$P$64,3)</f>
        <v>0.1</v>
      </c>
      <c r="AC787" s="1103">
        <f>VLOOKUP(V787,'System Lookups'!$J$55:$P$64,4)</f>
        <v>0.2</v>
      </c>
      <c r="AD787" s="1104">
        <f t="shared" ca="1" si="791"/>
        <v>0.25</v>
      </c>
      <c r="AE787" s="1094">
        <f ca="1">(IF(AD787&gt;VLOOKUP(V787,'System Lookups'!$J$55:$P$63,6),(((AD787-VLOOKUP(V787,'System Lookups'!$J$55:$P$63,6))*100)/20),0))+AF787</f>
        <v>0</v>
      </c>
      <c r="AF787" s="1121"/>
      <c r="AG787" s="1092">
        <f t="shared" si="792"/>
        <v>0</v>
      </c>
      <c r="AH787" s="1092" t="str">
        <f>IF(X787&lt;=Experience!$R$15+1,"","*")</f>
        <v/>
      </c>
      <c r="AI787" s="1092"/>
      <c r="AJ787" s="1080">
        <f t="shared" si="793"/>
        <v>0</v>
      </c>
      <c r="AK787" s="1080">
        <f>IF(F787="s",-2,0)</f>
        <v>0</v>
      </c>
      <c r="AL787" s="1080">
        <f t="shared" si="794"/>
        <v>0</v>
      </c>
      <c r="AM787" s="1092">
        <f t="shared" si="795"/>
        <v>0</v>
      </c>
      <c r="AN787" s="1080">
        <f t="shared" si="796"/>
        <v>0</v>
      </c>
      <c r="AO787" s="1080">
        <f t="shared" si="797"/>
        <v>0</v>
      </c>
      <c r="AP787" s="1080">
        <f t="shared" si="798"/>
        <v>0</v>
      </c>
      <c r="AQ787" s="1027">
        <f>VLOOKUP(V787,'System Lookups'!$J$55:$P$64,7)</f>
        <v>700</v>
      </c>
      <c r="AR787" s="1080" t="str">
        <f ca="1">IF(AND(NOT(ISBLANK(AJ787)),ISNA(MATCH(ROW(),'System Lookups'!$C$526:$C$539,0))),"Y","N")</f>
        <v>Y</v>
      </c>
      <c r="AS787" s="1080">
        <f t="shared" si="799"/>
        <v>0</v>
      </c>
      <c r="AU787" s="1080" t="e">
        <f t="shared" si="753"/>
        <v>#N/A</v>
      </c>
      <c r="AV787" s="1080" t="str">
        <f t="shared" si="751"/>
        <v>S</v>
      </c>
      <c r="AW787" s="1080">
        <f t="shared" si="754"/>
        <v>0</v>
      </c>
      <c r="AX787" s="1080">
        <f t="shared" si="755"/>
        <v>0</v>
      </c>
      <c r="AY787" s="1080">
        <f t="shared" si="756"/>
        <v>0</v>
      </c>
      <c r="AZ787" s="1080">
        <f t="shared" si="757"/>
        <v>0</v>
      </c>
      <c r="BA787" s="1080">
        <f t="shared" si="758"/>
        <v>0</v>
      </c>
      <c r="BB787" s="1080">
        <f>IF(AND(RACE=1,'Main Creation Page'!$E$6="Well",OR(ISNUMBER(FIND(Experience!$G$11,BE787)),ISNUMBER(FIND(Experience!$G$11,BF787)),ISNUMBER(FIND(Experience!$I$11,BE787)),ISNUMBER(FIND(Experience!$I$11,BF787)))),1,0)</f>
        <v>1</v>
      </c>
      <c r="BC787" s="1080" t="str">
        <f t="shared" si="784"/>
        <v>Philosophy</v>
      </c>
      <c r="BE787" s="1080" t="str">
        <f t="shared" si="752"/>
        <v>Lore</v>
      </c>
      <c r="BF787" s="1080" t="str">
        <f t="shared" si="785"/>
        <v>Materia Theologica Skills</v>
      </c>
    </row>
    <row r="788" spans="1:58" ht="11.1" customHeight="1" outlineLevel="1">
      <c r="A788" s="1117" t="s">
        <v>2487</v>
      </c>
      <c r="B788" s="1094"/>
      <c r="C788" s="1094"/>
      <c r="D788" s="1094"/>
      <c r="E788" s="1095" t="s">
        <v>5224</v>
      </c>
      <c r="F788" s="1095" t="s">
        <v>5224</v>
      </c>
      <c r="G788" s="1096">
        <v>0</v>
      </c>
      <c r="H788" s="1096" t="s">
        <v>5224</v>
      </c>
      <c r="I788" s="1096" t="s">
        <v>5224</v>
      </c>
      <c r="J788" s="1096" t="s">
        <v>5224</v>
      </c>
      <c r="K788" s="1096" t="s">
        <v>5224</v>
      </c>
      <c r="L788" s="1096">
        <v>0</v>
      </c>
      <c r="M788" s="1096" t="s">
        <v>5224</v>
      </c>
      <c r="N788" s="1096" t="s">
        <v>4630</v>
      </c>
      <c r="O788" s="1028"/>
      <c r="P788" s="1028" t="s">
        <v>780</v>
      </c>
      <c r="Q788" s="1097">
        <f t="shared" ca="1" si="786"/>
        <v>17</v>
      </c>
      <c r="R788" s="1034"/>
      <c r="S788" s="1028" t="s">
        <v>3613</v>
      </c>
      <c r="T788" s="1097">
        <f t="shared" ca="1" si="787"/>
        <v>15</v>
      </c>
      <c r="U788" s="1027">
        <v>4</v>
      </c>
      <c r="V788" s="1027">
        <f t="shared" si="788"/>
        <v>4</v>
      </c>
      <c r="W788" s="1098" t="e">
        <f>IF(OR(I788&lt;&gt;"N",E788="C"),IF(AND(N788&lt;&gt;"T",ISNUMBER(FIND("V",I788))),1,0),NA())+IF(H788="Y",IF(AND(N788="P",ISNUMBER(FIND("Z",I788))),2,1),0)+IF(J788="Y",1,0)+IF(K788="Y",3,0)+IF(BE788="Lore",L788*2+Experience!$D$25,0)+IF(M788="Y",1,0)</f>
        <v>#N/A</v>
      </c>
      <c r="X788" s="1099"/>
      <c r="Y788" s="1100">
        <f ca="1">IF(P788="NS",IFERROR(INDIRECT(S788),NA()),VLOOKUP(INDIRECT(P788)+INDIRECT(S788),'System Lookups'!$A$3:$D$146,2))</f>
        <v>0.08</v>
      </c>
      <c r="Z788" s="1100">
        <f t="shared" si="789"/>
        <v>0</v>
      </c>
      <c r="AA788" s="1101">
        <f t="shared" ca="1" si="790"/>
        <v>0.08</v>
      </c>
      <c r="AB788" s="1102">
        <f>VLOOKUP(V788,'System Lookups'!$J$55:$P$64,3)</f>
        <v>0.2</v>
      </c>
      <c r="AC788" s="1103">
        <f>VLOOKUP(V788,'System Lookups'!$J$55:$P$64,4)</f>
        <v>0.3</v>
      </c>
      <c r="AD788" s="1104">
        <f t="shared" ca="1" si="791"/>
        <v>0.33</v>
      </c>
      <c r="AE788" s="1094">
        <f ca="1">(IF(AD788&gt;VLOOKUP(V788,'System Lookups'!$J$55:$P$63,6),(((AD788-VLOOKUP(V788,'System Lookups'!$J$55:$P$63,6))*100)/20),0))+AF788</f>
        <v>0</v>
      </c>
      <c r="AF788" s="1121"/>
      <c r="AG788" s="1092">
        <f t="shared" si="792"/>
        <v>0</v>
      </c>
      <c r="AH788" s="1092" t="str">
        <f>IF(X788&lt;=Experience!$R$15+1,"","*")</f>
        <v/>
      </c>
      <c r="AI788" s="1092"/>
      <c r="AJ788" s="1080">
        <f t="shared" si="793"/>
        <v>0</v>
      </c>
      <c r="AK788" s="1080">
        <f>IF(F788="s",-2,0)</f>
        <v>0</v>
      </c>
      <c r="AL788" s="1080">
        <f t="shared" si="794"/>
        <v>0</v>
      </c>
      <c r="AM788" s="1092">
        <f t="shared" si="795"/>
        <v>0</v>
      </c>
      <c r="AN788" s="1080">
        <f t="shared" si="796"/>
        <v>0</v>
      </c>
      <c r="AO788" s="1080">
        <f t="shared" si="797"/>
        <v>0</v>
      </c>
      <c r="AP788" s="1080">
        <f t="shared" si="798"/>
        <v>0</v>
      </c>
      <c r="AQ788" s="1027">
        <f>VLOOKUP(V788,'System Lookups'!$J$55:$P$64,7)</f>
        <v>600</v>
      </c>
      <c r="AR788" s="1080" t="str">
        <f ca="1">IF(AND(NOT(ISBLANK(AJ788)),ISNA(MATCH(ROW(),'System Lookups'!$C$526:$C$539,0))),"Y","N")</f>
        <v>Y</v>
      </c>
      <c r="AS788" s="1080">
        <f t="shared" si="799"/>
        <v>0</v>
      </c>
      <c r="AU788" s="1080" t="e">
        <f t="shared" si="753"/>
        <v>#N/A</v>
      </c>
      <c r="AV788" s="1080" t="str">
        <f t="shared" si="751"/>
        <v>S</v>
      </c>
      <c r="AW788" s="1080">
        <f t="shared" si="754"/>
        <v>0</v>
      </c>
      <c r="AX788" s="1080">
        <f t="shared" si="755"/>
        <v>0</v>
      </c>
      <c r="AY788" s="1080">
        <f t="shared" si="756"/>
        <v>0</v>
      </c>
      <c r="AZ788" s="1080">
        <f t="shared" si="757"/>
        <v>0</v>
      </c>
      <c r="BA788" s="1080">
        <f t="shared" si="758"/>
        <v>0</v>
      </c>
      <c r="BB788" s="1080">
        <f>IF(AND(RACE=1,'Main Creation Page'!$E$6="Well",OR(ISNUMBER(FIND(Experience!$G$11,BE788)),ISNUMBER(FIND(Experience!$G$11,BF788)),ISNUMBER(FIND(Experience!$I$11,BE788)),ISNUMBER(FIND(Experience!$I$11,BF788)))),1,0)</f>
        <v>1</v>
      </c>
      <c r="BC788" s="1080" t="str">
        <f t="shared" si="784"/>
        <v>Theology</v>
      </c>
      <c r="BE788" s="1080" t="str">
        <f t="shared" si="752"/>
        <v>Lore</v>
      </c>
      <c r="BF788" s="1080" t="str">
        <f t="shared" si="785"/>
        <v>Materia Theologica Skills</v>
      </c>
    </row>
    <row r="789" spans="1:58" ht="11.1" customHeight="1" outlineLevel="1">
      <c r="A789" s="1117"/>
      <c r="B789" s="1094"/>
      <c r="C789" s="1111"/>
      <c r="D789" s="1111"/>
      <c r="V789" s="1027"/>
      <c r="W789" s="1112"/>
      <c r="AE789" s="1034"/>
      <c r="AF789" s="1132"/>
      <c r="AG789" s="1092"/>
      <c r="AH789" s="1092"/>
      <c r="AI789" s="1092"/>
      <c r="AM789" s="1092"/>
      <c r="AQ789" s="1027"/>
      <c r="AR789" s="1080" t="str">
        <f ca="1">IF(AND(NOT(ISBLANK(AJ789)),ISNA(MATCH(ROW(),'System Lookups'!$C$526:$C$539,0))),"Y","N")</f>
        <v>N</v>
      </c>
      <c r="AU789" s="1080" t="e">
        <f t="shared" si="753"/>
        <v>#N/A</v>
      </c>
      <c r="AV789" s="1080" t="str">
        <f t="shared" si="751"/>
        <v/>
      </c>
      <c r="AW789" s="1080">
        <f t="shared" si="754"/>
        <v>0</v>
      </c>
      <c r="AX789" s="1080">
        <f t="shared" si="755"/>
        <v>0</v>
      </c>
      <c r="AY789" s="1080">
        <f t="shared" si="756"/>
        <v>0</v>
      </c>
      <c r="AZ789" s="1080">
        <f t="shared" si="757"/>
        <v>0</v>
      </c>
      <c r="BA789" s="1080">
        <f t="shared" si="758"/>
        <v>0</v>
      </c>
      <c r="BB789" s="1080">
        <f>IF(AND(RACE=1,'Main Creation Page'!$E$6="Well",OR(ISNUMBER(FIND(Experience!$G$11,BE789)),ISNUMBER(FIND(Experience!$G$11,BF789)),ISNUMBER(FIND(Experience!$I$11,BE789)),ISNUMBER(FIND(Experience!$I$11,BF789)))),1,0)</f>
        <v>1</v>
      </c>
      <c r="BC789" s="1080" t="e">
        <f t="shared" si="784"/>
        <v>#N/A</v>
      </c>
      <c r="BE789" s="1080" t="str">
        <f t="shared" si="752"/>
        <v>Lore</v>
      </c>
      <c r="BF789" s="1080" t="str">
        <f t="shared" si="785"/>
        <v>Materia Theologica Skills</v>
      </c>
    </row>
    <row r="790" spans="1:58" ht="11.1" customHeight="1">
      <c r="A790" s="1087" t="s">
        <v>3515</v>
      </c>
      <c r="B790" s="1091"/>
      <c r="C790" s="1111"/>
      <c r="D790" s="1111"/>
      <c r="V790" s="1027"/>
      <c r="W790" s="1112"/>
      <c r="AE790" s="1094"/>
      <c r="AF790" s="1121"/>
      <c r="AG790" s="1092">
        <f>SUM(AG791:AG800)</f>
        <v>0</v>
      </c>
      <c r="AH790" s="1092"/>
      <c r="AI790" s="1092">
        <f>SUM(AI791:AI800)</f>
        <v>0</v>
      </c>
      <c r="AM790" s="1092"/>
      <c r="AR790" s="1080" t="str">
        <f ca="1">IF(AND(NOT(ISBLANK(AJ790)),ISNA(MATCH(ROW(),'System Lookups'!$C$526:$C$539,0))),"Y","N")</f>
        <v>N</v>
      </c>
      <c r="AU790" s="1080" t="e">
        <f t="shared" si="753"/>
        <v>#N/A</v>
      </c>
      <c r="AV790" s="1080" t="str">
        <f t="shared" si="751"/>
        <v/>
      </c>
      <c r="AW790" s="1080">
        <f t="shared" si="754"/>
        <v>0</v>
      </c>
      <c r="AX790" s="1080">
        <f t="shared" si="755"/>
        <v>0</v>
      </c>
      <c r="AY790" s="1080">
        <f t="shared" si="756"/>
        <v>0</v>
      </c>
      <c r="AZ790" s="1080">
        <f t="shared" si="757"/>
        <v>0</v>
      </c>
      <c r="BA790" s="1080">
        <f t="shared" si="758"/>
        <v>0</v>
      </c>
      <c r="BB790" s="1080">
        <f>IF(AND(RACE=1,'Main Creation Page'!$E$6="Well",OR(ISNUMBER(FIND(Experience!$G$11,BE790)),ISNUMBER(FIND(Experience!$G$11,BF790)),ISNUMBER(FIND(Experience!$I$11,BE790)),ISNUMBER(FIND(Experience!$I$11,BF790)))),1,0)</f>
        <v>0</v>
      </c>
      <c r="BC790" s="1080" t="str">
        <f t="shared" si="784"/>
        <v>Mental Fortitude Skills</v>
      </c>
      <c r="BE790" s="1080" t="str">
        <f t="shared" si="752"/>
        <v/>
      </c>
      <c r="BF790" s="1080" t="str">
        <f t="shared" si="785"/>
        <v>Mental Fortitude Skills</v>
      </c>
    </row>
    <row r="791" spans="1:58" ht="11.1" customHeight="1" outlineLevel="1">
      <c r="A791" s="1123" t="s">
        <v>6141</v>
      </c>
      <c r="B791" s="1094"/>
      <c r="C791" s="1094"/>
      <c r="D791" s="1094"/>
      <c r="E791" s="1095" t="s">
        <v>5224</v>
      </c>
      <c r="F791" s="1095" t="s">
        <v>5224</v>
      </c>
      <c r="G791" s="1096">
        <v>0</v>
      </c>
      <c r="H791" s="1096" t="s">
        <v>5224</v>
      </c>
      <c r="I791" s="1096" t="s">
        <v>5224</v>
      </c>
      <c r="J791" s="1096" t="s">
        <v>5224</v>
      </c>
      <c r="K791" s="1096" t="s">
        <v>5224</v>
      </c>
      <c r="L791" s="1096" t="s">
        <v>5224</v>
      </c>
      <c r="M791" s="1096" t="s">
        <v>5224</v>
      </c>
      <c r="N791" s="1096" t="s">
        <v>4631</v>
      </c>
      <c r="O791" s="1028"/>
      <c r="P791" s="1028" t="s">
        <v>780</v>
      </c>
      <c r="Q791" s="1097">
        <f t="shared" ref="Q791:Q793" ca="1" si="803">INDIRECT(P791)</f>
        <v>17</v>
      </c>
      <c r="R791" s="1028"/>
      <c r="S791" s="1028" t="s">
        <v>3616</v>
      </c>
      <c r="T791" s="1097">
        <f t="shared" ref="T791:T793" ca="1" si="804">INDIRECT(S791)</f>
        <v>17</v>
      </c>
      <c r="U791" s="1027">
        <v>8</v>
      </c>
      <c r="V791" s="1027">
        <f>IF(AP791+U791&gt;10,10,IF(AP791+U791&lt;1,1,AP791+U791))</f>
        <v>9</v>
      </c>
      <c r="W791" s="1098" t="e">
        <f>IF(OR(I791&lt;&gt;"N",E791="C"),IF(AND(N791&lt;&gt;"T",ISNUMBER(FIND("V",I791))),1,0),NA())+IF(H791="Y",IF(AND(N791="P",ISNUMBER(FIND("Z",I791))),2,1),0)+IF(J791="Y",1,0)+IF(K791="Y",3,0)+IF(BE791="Lore",L791*2+Experience!$D$25,0)+IF(M791="Y",1,0)</f>
        <v>#N/A</v>
      </c>
      <c r="X791" s="1099"/>
      <c r="Y791" s="1100">
        <f ca="1">IF(P791="NS",IFERROR(INDIRECT(S791),NA()),VLOOKUP(INDIRECT(P791)+INDIRECT(S791),'System Lookups'!$A$3:$D$146,2))</f>
        <v>0.1</v>
      </c>
      <c r="Z791" s="1100">
        <f>IF(ISNA(W791),0,W791*0.03)+IF(X791&gt;0,X791*0.03,0)+IF(AND(ISNA(W791),X791&lt;=0),0,IF(G791&gt;0,G791*0.07,0))</f>
        <v>0</v>
      </c>
      <c r="AA791" s="1101">
        <f ca="1">IF(ISNA(Y791),0,Y791)+Z791</f>
        <v>0.1</v>
      </c>
      <c r="AB791" s="1102">
        <f>VLOOKUP(V791,'System Lookups'!$J$55:$P$64,3)</f>
        <v>0.01</v>
      </c>
      <c r="AC791" s="1103">
        <f>VLOOKUP(V791,'System Lookups'!$J$55:$P$64,4)</f>
        <v>0.02</v>
      </c>
      <c r="AD791" s="1104">
        <f ca="1">IF(AND(ISBLANK(X791),ISNA(W791)),IF(B791="~",0,AB791+AA791+IF(BB791&gt;0,0.05,0)),AA791+AC791+IF(BB791&gt;0,0.05,0))</f>
        <v>0.11</v>
      </c>
      <c r="AE791" s="1094">
        <f ca="1">(IF(AD791&gt;VLOOKUP(V791,'System Lookups'!$J$55:$P$63,6),(((AD791-VLOOKUP(V791,'System Lookups'!$J$55:$P$63,6))*100)/20),0))+AF791</f>
        <v>0</v>
      </c>
      <c r="AF791" s="1121"/>
      <c r="AG791" s="1092">
        <f>IF(ISBLANK(X791),0,AQ791*X791+IF(ISNA(W791),1,0))</f>
        <v>0</v>
      </c>
      <c r="AH791" s="1092" t="str">
        <f>IF(X791&lt;=Experience!$R$15+1,"","*")</f>
        <v/>
      </c>
      <c r="AI791" s="1092"/>
      <c r="AJ791" s="1080">
        <f t="shared" ref="AJ791:AJ793" si="805">IF(ISNUMBER(FIND("R",F791)),-1,0)</f>
        <v>0</v>
      </c>
      <c r="AK791" s="1080">
        <f>IF(F791="s",-2,0)</f>
        <v>0</v>
      </c>
      <c r="AL791" s="1080">
        <f t="shared" ref="AL791:AL793" si="806">IF(AND(H791="Y",OR(N791="P",N791="S")),-1,0)</f>
        <v>0</v>
      </c>
      <c r="AM791" s="1092">
        <f>IF(J791="y",1,0)</f>
        <v>0</v>
      </c>
      <c r="AN791" s="1080">
        <f>IF(N791="P",-1,IF(N791="T",1,0))</f>
        <v>1</v>
      </c>
      <c r="AO791" s="1080">
        <f t="shared" ref="AO791:AO793" si="807">IF(ISNUMBER(FIND("Z",I791)),1,0)</f>
        <v>0</v>
      </c>
      <c r="AP791" s="1080">
        <f>SUM(AJ791:AN791)-AM791</f>
        <v>1</v>
      </c>
      <c r="AQ791" s="1027">
        <f>VLOOKUP(V791,'System Lookups'!$J$55:$P$64,7)</f>
        <v>1500</v>
      </c>
      <c r="AR791" s="1080" t="str">
        <f ca="1">IF(AND(NOT(ISBLANK(AJ791)),ISNA(MATCH(ROW(),'System Lookups'!$C$526:$C$539,0))),"Y","N")</f>
        <v>Y</v>
      </c>
      <c r="AS791" s="1080">
        <f>AG791-AI791</f>
        <v>0</v>
      </c>
      <c r="AU791" s="1080" t="e">
        <f t="shared" si="753"/>
        <v>#N/A</v>
      </c>
      <c r="AV791" s="1080" t="str">
        <f t="shared" si="751"/>
        <v>T</v>
      </c>
      <c r="AW791" s="1080">
        <f t="shared" si="754"/>
        <v>0</v>
      </c>
      <c r="AX791" s="1080">
        <f t="shared" si="755"/>
        <v>0</v>
      </c>
      <c r="AY791" s="1080">
        <f t="shared" si="756"/>
        <v>0</v>
      </c>
      <c r="AZ791" s="1080">
        <f t="shared" si="757"/>
        <v>0</v>
      </c>
      <c r="BA791" s="1080">
        <f t="shared" si="758"/>
        <v>0</v>
      </c>
      <c r="BB791" s="1080">
        <f>IF(AND(RACE=1,'Main Creation Page'!$E$6="Well",OR(ISNUMBER(FIND(Experience!$G$11,BE791)),ISNUMBER(FIND(Experience!$G$11,BF791)),ISNUMBER(FIND(Experience!$I$11,BE791)),ISNUMBER(FIND(Experience!$I$11,BF791)))),1,0)</f>
        <v>0</v>
      </c>
      <c r="BC791" s="1080" t="str">
        <f t="shared" si="784"/>
        <v>Lucid Dreaming</v>
      </c>
      <c r="BE791" s="1080" t="str">
        <f t="shared" si="752"/>
        <v/>
      </c>
      <c r="BF791" s="1080" t="str">
        <f t="shared" si="785"/>
        <v>Mental Fortitude Skills</v>
      </c>
    </row>
    <row r="792" spans="1:58" ht="11.1" customHeight="1" outlineLevel="1">
      <c r="A792" s="1117" t="s">
        <v>3516</v>
      </c>
      <c r="B792" s="1094"/>
      <c r="C792" s="1094"/>
      <c r="D792" s="1094"/>
      <c r="E792" s="1095" t="s">
        <v>5224</v>
      </c>
      <c r="F792" s="1095" t="s">
        <v>5224</v>
      </c>
      <c r="G792" s="1096">
        <v>0</v>
      </c>
      <c r="H792" s="1096" t="s">
        <v>5224</v>
      </c>
      <c r="I792" s="1096" t="s">
        <v>5224</v>
      </c>
      <c r="J792" s="1096" t="s">
        <v>5224</v>
      </c>
      <c r="K792" s="1096" t="s">
        <v>5224</v>
      </c>
      <c r="L792" s="1096" t="s">
        <v>5224</v>
      </c>
      <c r="M792" s="1096" t="s">
        <v>5224</v>
      </c>
      <c r="N792" s="1096" t="s">
        <v>4631</v>
      </c>
      <c r="O792" s="1028"/>
      <c r="P792" s="1028" t="s">
        <v>3613</v>
      </c>
      <c r="Q792" s="1097">
        <f t="shared" ca="1" si="803"/>
        <v>15</v>
      </c>
      <c r="R792" s="1028"/>
      <c r="S792" s="1028" t="s">
        <v>3613</v>
      </c>
      <c r="T792" s="1097">
        <f t="shared" ca="1" si="804"/>
        <v>15</v>
      </c>
      <c r="U792" s="1027">
        <v>3</v>
      </c>
      <c r="V792" s="1027">
        <f>IF(AP792+U792&gt;10,10,IF(AP792+U792&lt;1,1,AP792+U792))</f>
        <v>4</v>
      </c>
      <c r="W792" s="1098" t="e">
        <f>IF(OR(I792&lt;&gt;"N",E792="C"),IF(AND(N792&lt;&gt;"T",ISNUMBER(FIND("V",I792))),1,0),NA())+IF(H792="Y",IF(AND(N792="P",ISNUMBER(FIND("Z",I792))),2,1),0)+IF(J792="Y",1,0)+IF(K792="Y",3,0)+IF(BE792="Lore",L792*2+Experience!$D$25,0)+IF(M792="Y",1,0)</f>
        <v>#N/A</v>
      </c>
      <c r="X792" s="1099"/>
      <c r="Y792" s="1100">
        <f ca="1">IF(P792="NS",IFERROR(INDIRECT(S792),NA()),VLOOKUP(INDIRECT(P792)+INDIRECT(S792),'System Lookups'!$A$3:$D$146,2))</f>
        <v>0.06</v>
      </c>
      <c r="Z792" s="1100">
        <f>IF(ISNA(W792),0,W792*0.03)+IF(X792&gt;0,X792*0.03,0)+IF(AND(ISNA(W792),X792&lt;=0),0,IF(G792&gt;0,G792*0.07,0))</f>
        <v>0</v>
      </c>
      <c r="AA792" s="1101">
        <f ca="1">IF(ISNA(Y792),0,Y792)+Z792</f>
        <v>0.06</v>
      </c>
      <c r="AB792" s="1102">
        <f>VLOOKUP(V792,'System Lookups'!$J$55:$P$64,3)</f>
        <v>0.2</v>
      </c>
      <c r="AC792" s="1103">
        <f>VLOOKUP(V792,'System Lookups'!$J$55:$P$64,4)</f>
        <v>0.3</v>
      </c>
      <c r="AD792" s="1104">
        <f ca="1">IF(AND(ISBLANK(X792),ISNA(W792)),IF(B792="~",0,AB792+AA792+IF(BB792&gt;0,0.05,0)),AA792+AC792+IF(BB792&gt;0,0.05,0))</f>
        <v>0.26</v>
      </c>
      <c r="AE792" s="1094">
        <f ca="1">(IF(AD792&gt;VLOOKUP(V792,'System Lookups'!$J$55:$P$63,6),(((AD792-VLOOKUP(V792,'System Lookups'!$J$55:$P$63,6))*100)/20),0))+AF792</f>
        <v>0</v>
      </c>
      <c r="AF792" s="1121"/>
      <c r="AG792" s="1092">
        <f>IF(ISBLANK(X792),0,AQ792*X792+IF(ISNA(W792),1,0))</f>
        <v>0</v>
      </c>
      <c r="AH792" s="1092" t="str">
        <f>IF(X792&lt;=Experience!$R$15+1,"","*")</f>
        <v/>
      </c>
      <c r="AI792" s="1092"/>
      <c r="AJ792" s="1080">
        <f t="shared" si="805"/>
        <v>0</v>
      </c>
      <c r="AK792" s="1080">
        <f>IF(F792="s",-2,0)</f>
        <v>0</v>
      </c>
      <c r="AL792" s="1080">
        <f t="shared" si="806"/>
        <v>0</v>
      </c>
      <c r="AM792" s="1092">
        <f>IF(J792="y",1,0)</f>
        <v>0</v>
      </c>
      <c r="AN792" s="1080">
        <f>IF(N792="P",-1,IF(N792="T",1,0))</f>
        <v>1</v>
      </c>
      <c r="AO792" s="1080">
        <f t="shared" si="807"/>
        <v>0</v>
      </c>
      <c r="AP792" s="1080">
        <f>SUM(AJ792:AN792)-AM792</f>
        <v>1</v>
      </c>
      <c r="AQ792" s="1027">
        <f>VLOOKUP(V792,'System Lookups'!$J$55:$P$64,7)</f>
        <v>600</v>
      </c>
      <c r="AR792" s="1080" t="str">
        <f ca="1">IF(AND(NOT(ISBLANK(AJ792)),ISNA(MATCH(ROW(),'System Lookups'!$C$526:$C$539,0))),"Y","N")</f>
        <v>Y</v>
      </c>
      <c r="AS792" s="1080">
        <f>AG792-AI792</f>
        <v>0</v>
      </c>
      <c r="AU792" s="1080" t="e">
        <f t="shared" si="753"/>
        <v>#N/A</v>
      </c>
      <c r="AV792" s="1080" t="str">
        <f t="shared" si="751"/>
        <v>T</v>
      </c>
      <c r="AW792" s="1080">
        <f t="shared" si="754"/>
        <v>0</v>
      </c>
      <c r="AX792" s="1080">
        <f t="shared" si="755"/>
        <v>0</v>
      </c>
      <c r="AY792" s="1080">
        <f t="shared" si="756"/>
        <v>0</v>
      </c>
      <c r="AZ792" s="1080">
        <f t="shared" si="757"/>
        <v>0</v>
      </c>
      <c r="BA792" s="1080">
        <f t="shared" si="758"/>
        <v>0</v>
      </c>
      <c r="BB792" s="1080">
        <f>IF(AND(RACE=1,'Main Creation Page'!$E$6="Well",OR(ISNUMBER(FIND(Experience!$G$11,BE792)),ISNUMBER(FIND(Experience!$G$11,BF792)),ISNUMBER(FIND(Experience!$I$11,BE792)),ISNUMBER(FIND(Experience!$I$11,BF792)))),1,0)</f>
        <v>0</v>
      </c>
      <c r="BC792" s="1080" t="str">
        <f t="shared" si="784"/>
        <v>Maintaining Concentration</v>
      </c>
      <c r="BE792" s="1080" t="str">
        <f t="shared" si="752"/>
        <v/>
      </c>
      <c r="BF792" s="1080" t="str">
        <f t="shared" si="785"/>
        <v>Mental Fortitude Skills</v>
      </c>
    </row>
    <row r="793" spans="1:58" ht="11.1" customHeight="1" outlineLevel="1">
      <c r="A793" s="1117" t="s">
        <v>1209</v>
      </c>
      <c r="B793" s="1094" t="s">
        <v>1942</v>
      </c>
      <c r="C793" s="1094"/>
      <c r="D793" s="1094"/>
      <c r="E793" s="1095" t="s">
        <v>5224</v>
      </c>
      <c r="F793" s="1095" t="str">
        <f>IF('Main Creation Page'!$C$3=2, "R", "N")</f>
        <v>N</v>
      </c>
      <c r="G793" s="1096">
        <v>0</v>
      </c>
      <c r="H793" s="1096" t="s">
        <v>5224</v>
      </c>
      <c r="I793" s="1096" t="s">
        <v>5224</v>
      </c>
      <c r="J793" s="1096" t="s">
        <v>5224</v>
      </c>
      <c r="K793" s="1096" t="s">
        <v>5224</v>
      </c>
      <c r="L793" s="1096" t="s">
        <v>5224</v>
      </c>
      <c r="M793" s="1096" t="s">
        <v>5224</v>
      </c>
      <c r="N793" s="1096" t="s">
        <v>4631</v>
      </c>
      <c r="O793" s="1028"/>
      <c r="P793" s="1028" t="s">
        <v>3613</v>
      </c>
      <c r="Q793" s="1097">
        <f t="shared" ca="1" si="803"/>
        <v>15</v>
      </c>
      <c r="R793" s="1028"/>
      <c r="S793" s="1028" t="s">
        <v>3613</v>
      </c>
      <c r="T793" s="1097">
        <f t="shared" ca="1" si="804"/>
        <v>15</v>
      </c>
      <c r="U793" s="1027">
        <v>3</v>
      </c>
      <c r="V793" s="1027">
        <f>IF(AP793+U793&gt;10,10,IF(AP793+U793&lt;1,1,AP793+U793))</f>
        <v>4</v>
      </c>
      <c r="W793" s="1098" t="e">
        <f>IF(OR(I793&lt;&gt;"N",E793="C"),IF(AND(N793&lt;&gt;"T",ISNUMBER(FIND("V",I793))),1,0),NA())+IF(H793="Y",IF(AND(N793="P",ISNUMBER(FIND("Z",I793))),2,1),0)+IF(J793="Y",1,0)+IF(K793="Y",3,0)+IF(BE793="Lore",L793*2+Experience!$D$25,0)+IF(M793="Y",1,0)</f>
        <v>#N/A</v>
      </c>
      <c r="X793" s="1099"/>
      <c r="Y793" s="1100">
        <f ca="1">IF(P793="NS",IFERROR(INDIRECT(S793),NA()),VLOOKUP(INDIRECT(P793)+INDIRECT(S793),'System Lookups'!$A$3:$D$146,2))</f>
        <v>0.06</v>
      </c>
      <c r="Z793" s="1100">
        <f>IF(ISNA(W793),0,W793*0.03)+IF(X793&gt;0,X793*0.03,0)+IF(AND(ISNA(W793),X793&lt;=0),0,IF(G793&gt;0,G793*0.07,0))</f>
        <v>0</v>
      </c>
      <c r="AA793" s="1101">
        <f ca="1">IF(ISNA(Y793),0,Y793)+Z793</f>
        <v>0.06</v>
      </c>
      <c r="AB793" s="1102">
        <f>VLOOKUP(V793,'System Lookups'!$J$55:$P$64,3)</f>
        <v>0.2</v>
      </c>
      <c r="AC793" s="1103">
        <f>VLOOKUP(V793,'System Lookups'!$J$55:$P$64,4)</f>
        <v>0.3</v>
      </c>
      <c r="AD793" s="1104">
        <f>IF(AND(ISBLANK(X793),ISNA(W793)),IF(B793="~",0,AB793+AA793+IF(BB793&gt;0,0.05,0)),AA793+AC793+IF(BB793&gt;0,0.05,0))</f>
        <v>0</v>
      </c>
      <c r="AE793" s="1094">
        <f>(IF(AD793&gt;VLOOKUP(V793,'System Lookups'!$J$55:$P$63,6),(((AD793-VLOOKUP(V793,'System Lookups'!$J$55:$P$63,6))*100)/20),0))+AF793</f>
        <v>0</v>
      </c>
      <c r="AF793" s="1121"/>
      <c r="AG793" s="1092">
        <f>IF(ISBLANK(X793),0,AQ793*X793+IF(ISNA(W793),1,0))</f>
        <v>0</v>
      </c>
      <c r="AH793" s="1092" t="str">
        <f>IF(X793&lt;=Experience!$R$15+1,"","*")</f>
        <v/>
      </c>
      <c r="AI793" s="1092"/>
      <c r="AJ793" s="1080">
        <f t="shared" si="805"/>
        <v>0</v>
      </c>
      <c r="AK793" s="1080">
        <f>IF(F793="s",-2,0)</f>
        <v>0</v>
      </c>
      <c r="AL793" s="1080">
        <f t="shared" si="806"/>
        <v>0</v>
      </c>
      <c r="AM793" s="1092">
        <f>IF(J793="y",1,0)</f>
        <v>0</v>
      </c>
      <c r="AN793" s="1080">
        <f>IF(N793="P",-1,IF(N793="T",1,0))</f>
        <v>1</v>
      </c>
      <c r="AO793" s="1080">
        <f t="shared" si="807"/>
        <v>0</v>
      </c>
      <c r="AP793" s="1080">
        <f>SUM(AJ793:AN793)-AM793</f>
        <v>1</v>
      </c>
      <c r="AQ793" s="1027">
        <f>VLOOKUP(V793,'System Lookups'!$J$55:$P$64,7)</f>
        <v>600</v>
      </c>
      <c r="AR793" s="1080" t="str">
        <f ca="1">IF(AND(NOT(ISBLANK(AJ793)),ISNA(MATCH(ROW(),'System Lookups'!$C$526:$C$539,0))),"Y","N")</f>
        <v>Y</v>
      </c>
      <c r="AS793" s="1080">
        <f>AG793-AI793</f>
        <v>0</v>
      </c>
      <c r="AU793" s="1080" t="e">
        <f t="shared" si="753"/>
        <v>#N/A</v>
      </c>
      <c r="AV793" s="1080" t="str">
        <f t="shared" si="751"/>
        <v>T</v>
      </c>
      <c r="AW793" s="1080">
        <f t="shared" si="754"/>
        <v>0</v>
      </c>
      <c r="AX793" s="1080">
        <f t="shared" si="755"/>
        <v>0</v>
      </c>
      <c r="AY793" s="1080">
        <f t="shared" si="756"/>
        <v>0</v>
      </c>
      <c r="AZ793" s="1080">
        <f t="shared" si="757"/>
        <v>0</v>
      </c>
      <c r="BA793" s="1080">
        <f t="shared" si="758"/>
        <v>0</v>
      </c>
      <c r="BB793" s="1080">
        <f>IF(AND(RACE=1,'Main Creation Page'!$E$6="Well",OR(ISNUMBER(FIND(Experience!$G$11,BE793)),ISNUMBER(FIND(Experience!$G$11,BF793)),ISNUMBER(FIND(Experience!$I$11,BE793)),ISNUMBER(FIND(Experience!$I$11,BF793)))),1,0)</f>
        <v>0</v>
      </c>
      <c r="BC793" s="1080" t="str">
        <f t="shared" si="784"/>
        <v>Meditation</v>
      </c>
      <c r="BE793" s="1080" t="str">
        <f t="shared" si="752"/>
        <v/>
      </c>
      <c r="BF793" s="1080" t="str">
        <f t="shared" si="785"/>
        <v>Mental Fortitude Skills</v>
      </c>
    </row>
    <row r="794" spans="1:58" ht="11.1" hidden="1" customHeight="1" outlineLevel="2">
      <c r="A794" s="1028" t="s">
        <v>1949</v>
      </c>
      <c r="B794" s="2641">
        <f ca="1">1*((AA799/6)*100)</f>
        <v>1</v>
      </c>
      <c r="C794" s="2644"/>
      <c r="D794" s="2643"/>
      <c r="E794" s="1081" t="s">
        <v>1952</v>
      </c>
      <c r="N794" s="2593">
        <f ca="1">INT((+B795/3)*B794)</f>
        <v>5</v>
      </c>
      <c r="O794" s="2594"/>
      <c r="P794" s="1081" t="s">
        <v>1505</v>
      </c>
      <c r="S794" s="1043"/>
      <c r="T794" s="1043"/>
      <c r="AE794" s="1034"/>
      <c r="AF794" s="1132"/>
      <c r="AQ794" s="1027"/>
      <c r="AR794" s="1080" t="str">
        <f ca="1">IF(AND(NOT(ISBLANK(AJ794)),ISNA(MATCH(ROW(),'System Lookups'!$C$526:$C$539,0))),"Y","N")</f>
        <v>N</v>
      </c>
      <c r="AU794" s="1080" t="e">
        <f t="shared" si="753"/>
        <v>#N/A</v>
      </c>
      <c r="AV794" s="1080" t="str">
        <f>IF(ISNUMBER(P794),CONCATENATE(IF(E794="C","C",""),IF(H794="Y","M",""),N794,IF(ISNUMBER(FIND("F",I794)),"Bk",""),IF(ISNUMBER(FIND("Z",I794)),"Zm",""),IF(J794="Y","L",""),IF(OR(K794="Y",AND(ISNUMBER(L794),L794&gt;0),M794="Y"),"Sa","")),"")</f>
        <v/>
      </c>
      <c r="AW794" s="1080">
        <f t="shared" si="754"/>
        <v>0</v>
      </c>
      <c r="AX794" s="1080">
        <f t="shared" ca="1" si="755"/>
        <v>0</v>
      </c>
      <c r="AY794" s="1080">
        <f t="shared" ca="1" si="756"/>
        <v>0</v>
      </c>
      <c r="AZ794" s="1080">
        <f t="shared" ca="1" si="757"/>
        <v>0</v>
      </c>
      <c r="BA794" s="1080">
        <f t="shared" ca="1" si="758"/>
        <v>0</v>
      </c>
      <c r="BB794" s="1080">
        <f>IF(AND(RACE=1,'Main Creation Page'!$E$6="Well",OR(ISNUMBER(FIND(Experience!$G$11,BE794)),ISNUMBER(FIND(Experience!$G$11,BF794)),ISNUMBER(FIND(Experience!$I$11,BE794)),ISNUMBER(FIND(Experience!$I$11,BF794)))),1,0)</f>
        <v>0</v>
      </c>
      <c r="BC794" s="1080" t="e">
        <f t="shared" si="784"/>
        <v>#N/A</v>
      </c>
      <c r="BE794" s="1080" t="str">
        <f t="shared" si="752"/>
        <v/>
      </c>
      <c r="BF794" s="1080" t="str">
        <f t="shared" si="785"/>
        <v>Mental Fortitude Skills</v>
      </c>
    </row>
    <row r="795" spans="1:58" ht="11.1" hidden="1" customHeight="1" outlineLevel="2">
      <c r="A795" s="1028" t="s">
        <v>1950</v>
      </c>
      <c r="B795" s="2641">
        <f>'Main Creation Page'!E12</f>
        <v>15</v>
      </c>
      <c r="C795" s="2644"/>
      <c r="D795" s="2643"/>
      <c r="E795" s="1081" t="s">
        <v>1953</v>
      </c>
      <c r="AE795" s="1034"/>
      <c r="AF795" s="1132"/>
      <c r="AQ795" s="1027"/>
      <c r="AR795" s="1080" t="str">
        <f ca="1">IF(AND(NOT(ISBLANK(AJ795)),ISNA(MATCH(ROW(),'System Lookups'!$C$526:$C$539,0))),"Y","N")</f>
        <v>N</v>
      </c>
      <c r="AU795" s="1080" t="e">
        <f t="shared" si="753"/>
        <v>#N/A</v>
      </c>
      <c r="AV795" s="1080" t="str">
        <f t="shared" ref="AV795:AV825" si="808">IF(ISNUMBER(U795),CONCATENATE(IF(E795="C","C",""),IF(H795="Y","M",""),N795,IF(ISNUMBER(FIND("F",I795)),"Bk",""),IF(ISNUMBER(FIND("Z",I795)),"Zm",""),IF(J795="Y","L",""),IF(OR(K795="Y",AND(ISNUMBER(L795),L795&gt;0),M795="Y"),"Sa","")),"")</f>
        <v/>
      </c>
      <c r="AW795" s="1080">
        <f t="shared" si="754"/>
        <v>0</v>
      </c>
      <c r="AX795" s="1080">
        <f t="shared" si="755"/>
        <v>0</v>
      </c>
      <c r="AY795" s="1080">
        <f t="shared" si="756"/>
        <v>0</v>
      </c>
      <c r="AZ795" s="1080">
        <f t="shared" si="757"/>
        <v>0</v>
      </c>
      <c r="BA795" s="1080">
        <f t="shared" si="758"/>
        <v>0</v>
      </c>
      <c r="BB795" s="1080">
        <f>IF(AND(RACE=1,'Main Creation Page'!$E$6="Well",OR(ISNUMBER(FIND(Experience!$G$11,BE795)),ISNUMBER(FIND(Experience!$G$11,BF795)),ISNUMBER(FIND(Experience!$I$11,BE795)),ISNUMBER(FIND(Experience!$I$11,BF795)))),1,0)</f>
        <v>0</v>
      </c>
      <c r="BC795" s="1080" t="e">
        <f t="shared" si="784"/>
        <v>#N/A</v>
      </c>
      <c r="BE795" s="1080" t="str">
        <f t="shared" si="752"/>
        <v/>
      </c>
      <c r="BF795" s="1080" t="str">
        <f t="shared" si="785"/>
        <v>Mental Fortitude Skills</v>
      </c>
    </row>
    <row r="796" spans="1:58" ht="11.1" hidden="1" customHeight="1" outlineLevel="2">
      <c r="A796" s="1028" t="s">
        <v>1951</v>
      </c>
      <c r="B796" s="2641">
        <f>0.5*'Main Creation Page'!E13</f>
        <v>7.5</v>
      </c>
      <c r="C796" s="2642"/>
      <c r="D796" s="2643"/>
      <c r="E796" s="1081" t="s">
        <v>3880</v>
      </c>
      <c r="H796" s="1081" t="s">
        <v>1954</v>
      </c>
      <c r="N796" s="2591">
        <f>B796*0.02</f>
        <v>0.15</v>
      </c>
      <c r="O796" s="2592"/>
      <c r="S796" s="1043"/>
      <c r="T796" s="1043"/>
      <c r="AE796" s="1034"/>
      <c r="AF796" s="1132"/>
      <c r="AQ796" s="1027"/>
      <c r="AR796" s="1080" t="str">
        <f ca="1">IF(AND(NOT(ISBLANK(AJ796)),ISNA(MATCH(ROW(),'System Lookups'!$C$526:$C$539,0))),"Y","N")</f>
        <v>N</v>
      </c>
      <c r="AU796" s="1080" t="e">
        <f t="shared" si="753"/>
        <v>#N/A</v>
      </c>
      <c r="AV796" s="1080" t="str">
        <f t="shared" si="808"/>
        <v/>
      </c>
      <c r="AW796" s="1080">
        <f t="shared" si="754"/>
        <v>0</v>
      </c>
      <c r="AX796" s="1080">
        <f t="shared" si="755"/>
        <v>0</v>
      </c>
      <c r="AY796" s="1080">
        <f t="shared" si="756"/>
        <v>0</v>
      </c>
      <c r="AZ796" s="1080">
        <f t="shared" si="757"/>
        <v>0</v>
      </c>
      <c r="BA796" s="1080">
        <f t="shared" si="758"/>
        <v>0</v>
      </c>
      <c r="BB796" s="1080">
        <f>IF(AND(RACE=1,'Main Creation Page'!$E$6="Well",OR(ISNUMBER(FIND(Experience!$G$11,BE796)),ISNUMBER(FIND(Experience!$G$11,BF796)),ISNUMBER(FIND(Experience!$I$11,BE796)),ISNUMBER(FIND(Experience!$I$11,BF796)))),1,0)</f>
        <v>0</v>
      </c>
      <c r="BC796" s="1080" t="e">
        <f t="shared" si="784"/>
        <v>#N/A</v>
      </c>
      <c r="BE796" s="1080" t="str">
        <f t="shared" si="752"/>
        <v/>
      </c>
      <c r="BF796" s="1080" t="str">
        <f t="shared" si="785"/>
        <v>Mental Fortitude Skills</v>
      </c>
    </row>
    <row r="797" spans="1:58" ht="11.1" customHeight="1" outlineLevel="1" collapsed="1">
      <c r="A797" s="1123" t="s">
        <v>5579</v>
      </c>
      <c r="B797" s="1094"/>
      <c r="C797" s="1094"/>
      <c r="D797" s="1094"/>
      <c r="E797" s="1095" t="s">
        <v>5224</v>
      </c>
      <c r="F797" s="1095" t="s">
        <v>5224</v>
      </c>
      <c r="G797" s="1096">
        <v>0</v>
      </c>
      <c r="H797" s="1096" t="s">
        <v>5224</v>
      </c>
      <c r="I797" s="1096" t="s">
        <v>5224</v>
      </c>
      <c r="J797" s="1096" t="s">
        <v>5224</v>
      </c>
      <c r="K797" s="1096" t="s">
        <v>5224</v>
      </c>
      <c r="L797" s="1096" t="s">
        <v>5224</v>
      </c>
      <c r="M797" s="1096" t="s">
        <v>5224</v>
      </c>
      <c r="N797" s="1096" t="s">
        <v>4631</v>
      </c>
      <c r="O797" s="1028"/>
      <c r="P797" s="1028" t="s">
        <v>780</v>
      </c>
      <c r="Q797" s="1097">
        <f t="shared" ref="Q797:Q799" ca="1" si="809">INDIRECT(P797)</f>
        <v>17</v>
      </c>
      <c r="R797" s="1034"/>
      <c r="S797" s="1028" t="s">
        <v>3616</v>
      </c>
      <c r="T797" s="1097">
        <f t="shared" ref="T797:T799" ca="1" si="810">INDIRECT(S797)</f>
        <v>17</v>
      </c>
      <c r="U797" s="1027">
        <v>5</v>
      </c>
      <c r="V797" s="1027">
        <f>IF(AP797+U797&gt;10,10,IF(AP797+U797&lt;1,1,AP797+U797))</f>
        <v>6</v>
      </c>
      <c r="W797" s="1098" t="e">
        <f>IF(OR(I797&lt;&gt;"N",E797="C"),IF(AND(N797&lt;&gt;"T",ISNUMBER(FIND("V",I797))),1,0),NA())+IF(H797="Y",IF(AND(N797="P",ISNUMBER(FIND("Z",I797))),2,1),0)+IF(J797="Y",1,0)+IF(K797="Y",3,0)+IF(BE797="Lore",L797*2+Experience!$D$25,0)+IF(M797="Y",1,0)</f>
        <v>#N/A</v>
      </c>
      <c r="X797" s="1099"/>
      <c r="Y797" s="1100">
        <f ca="1">IF(P797="NS",IFERROR(INDIRECT(S797),NA()),VLOOKUP(INDIRECT(P797)+INDIRECT(S797),'System Lookups'!$A$3:$D$146,2))</f>
        <v>0.1</v>
      </c>
      <c r="Z797" s="1100">
        <f>IF(ISNA(W797),0,W797*0.03)+IF(X797&gt;0,X797*0.03,0)+IF(AND(ISNA(W797),X797&lt;=0),0,IF(G797&gt;0,G797*0.07,0))</f>
        <v>0</v>
      </c>
      <c r="AA797" s="1101">
        <f ca="1">IF(ISNA(Y797),0,Y797)+Z797</f>
        <v>0.1</v>
      </c>
      <c r="AB797" s="1102">
        <f>VLOOKUP(V797,'System Lookups'!$J$55:$P$64,3)</f>
        <v>0.05</v>
      </c>
      <c r="AC797" s="1103">
        <f>VLOOKUP(V797,'System Lookups'!$J$55:$P$64,4)</f>
        <v>0.1</v>
      </c>
      <c r="AD797" s="1104">
        <f ca="1">IF(AND(ISBLANK(X797),ISNA(W797)),IF(B797="~",0,AB797+AA797+IF(BB797&gt;0,0.05,0)),AA797+AC797+IF(BB797&gt;0,0.05,0))</f>
        <v>0.15000000000000002</v>
      </c>
      <c r="AE797" s="1094">
        <f ca="1">(IF(AD797&gt;VLOOKUP(V797,'System Lookups'!$J$55:$P$63,6),(((AD797-VLOOKUP(V797,'System Lookups'!$J$55:$P$63,6))*100)/20),0))+AF797</f>
        <v>0</v>
      </c>
      <c r="AF797" s="1121"/>
      <c r="AG797" s="1092">
        <f>IF(ISBLANK(X797),0,AQ797*X797+IF(ISNA(W797),1,0))</f>
        <v>0</v>
      </c>
      <c r="AH797" s="1092" t="str">
        <f>IF(X797&lt;=Experience!$R$15+1,"","*")</f>
        <v/>
      </c>
      <c r="AI797" s="1092"/>
      <c r="AJ797" s="1080">
        <f t="shared" ref="AJ797:AJ799" si="811">IF(ISNUMBER(FIND("R",F797)),-1,0)</f>
        <v>0</v>
      </c>
      <c r="AK797" s="1080">
        <f>IF(F797="s",-2,0)</f>
        <v>0</v>
      </c>
      <c r="AL797" s="1080">
        <f t="shared" ref="AL797:AL799" si="812">IF(AND(H797="Y",OR(N797="P",N797="S")),-1,0)</f>
        <v>0</v>
      </c>
      <c r="AM797" s="1092">
        <f>IF(J797="y",1,0)</f>
        <v>0</v>
      </c>
      <c r="AN797" s="1080">
        <f>IF(N797="P",-1,IF(N797="T",1,0))</f>
        <v>1</v>
      </c>
      <c r="AO797" s="1080">
        <f t="shared" ref="AO797:AO799" si="813">IF(ISNUMBER(FIND("Z",I797)),1,0)</f>
        <v>0</v>
      </c>
      <c r="AP797" s="1080">
        <f>SUM(AJ797:AN797)-AM797</f>
        <v>1</v>
      </c>
      <c r="AQ797" s="1027">
        <f>VLOOKUP(V797,'System Lookups'!$J$55:$P$64,7)</f>
        <v>800</v>
      </c>
      <c r="AR797" s="1080" t="str">
        <f ca="1">IF(AND(NOT(ISBLANK(AJ797)),ISNA(MATCH(ROW(),'System Lookups'!$C$526:$C$539,0))),"Y","N")</f>
        <v>Y</v>
      </c>
      <c r="AS797" s="1080">
        <f>AG797-AI797</f>
        <v>0</v>
      </c>
      <c r="AU797" s="1080" t="e">
        <f t="shared" si="753"/>
        <v>#N/A</v>
      </c>
      <c r="AV797" s="1080" t="str">
        <f t="shared" si="808"/>
        <v>T</v>
      </c>
      <c r="AW797" s="1080">
        <f t="shared" si="754"/>
        <v>0</v>
      </c>
      <c r="AX797" s="1080">
        <f t="shared" si="755"/>
        <v>0</v>
      </c>
      <c r="AY797" s="1080">
        <f t="shared" si="756"/>
        <v>0</v>
      </c>
      <c r="AZ797" s="1080">
        <f t="shared" si="757"/>
        <v>0</v>
      </c>
      <c r="BA797" s="1080">
        <f t="shared" si="758"/>
        <v>0</v>
      </c>
      <c r="BB797" s="1080">
        <f>IF(AND(RACE=1,'Main Creation Page'!$E$6="Well",OR(ISNUMBER(FIND(Experience!$G$11,BE797)),ISNUMBER(FIND(Experience!$G$11,BF797)),ISNUMBER(FIND(Experience!$I$11,BE797)),ISNUMBER(FIND(Experience!$I$11,BF797)))),1,0)</f>
        <v>0</v>
      </c>
      <c r="BC797" s="1080" t="str">
        <f t="shared" si="784"/>
        <v>Puzzles: Creating &amp; Solving</v>
      </c>
      <c r="BE797" s="1080" t="str">
        <f t="shared" si="752"/>
        <v/>
      </c>
      <c r="BF797" s="1080" t="str">
        <f t="shared" si="785"/>
        <v>Mental Fortitude Skills</v>
      </c>
    </row>
    <row r="798" spans="1:58" ht="11.1" customHeight="1" outlineLevel="1">
      <c r="A798" s="1117" t="s">
        <v>1210</v>
      </c>
      <c r="B798" s="1094"/>
      <c r="C798" s="1094"/>
      <c r="D798" s="1094"/>
      <c r="E798" s="1095" t="s">
        <v>5224</v>
      </c>
      <c r="F798" s="1095" t="s">
        <v>5224</v>
      </c>
      <c r="G798" s="1096">
        <v>0</v>
      </c>
      <c r="H798" s="1096" t="s">
        <v>5224</v>
      </c>
      <c r="I798" s="1096" t="s">
        <v>5224</v>
      </c>
      <c r="J798" s="1096" t="s">
        <v>5224</v>
      </c>
      <c r="K798" s="1096" t="s">
        <v>5224</v>
      </c>
      <c r="L798" s="1096" t="s">
        <v>5224</v>
      </c>
      <c r="M798" s="1096" t="s">
        <v>5224</v>
      </c>
      <c r="N798" s="1096" t="s">
        <v>4631</v>
      </c>
      <c r="O798" s="1028"/>
      <c r="P798" s="1028" t="s">
        <v>780</v>
      </c>
      <c r="Q798" s="1097">
        <f t="shared" ca="1" si="809"/>
        <v>17</v>
      </c>
      <c r="R798" s="1034"/>
      <c r="S798" s="1028" t="s">
        <v>3613</v>
      </c>
      <c r="T798" s="1097">
        <f t="shared" ca="1" si="810"/>
        <v>15</v>
      </c>
      <c r="U798" s="1027">
        <v>3</v>
      </c>
      <c r="V798" s="1027">
        <f>IF(AP798+U798&gt;10,10,IF(AP798+U798&lt;1,1,AP798+U798))</f>
        <v>4</v>
      </c>
      <c r="W798" s="1098" t="e">
        <f>IF(OR(I798&lt;&gt;"N",E798="C"),IF(AND(N798&lt;&gt;"T",ISNUMBER(FIND("V",I798))),1,0),NA())+IF(H798="Y",IF(AND(N798="P",ISNUMBER(FIND("Z",I798))),2,1),0)+IF(J798="Y",1,0)+IF(K798="Y",3,0)+IF(BE798="Lore",L798*2+Experience!$D$25,0)+IF(M798="Y",1,0)</f>
        <v>#N/A</v>
      </c>
      <c r="X798" s="1099"/>
      <c r="Y798" s="1100">
        <f ca="1">IF(P798="NS",IFERROR(INDIRECT(S798),NA()),VLOOKUP(INDIRECT(P798)+INDIRECT(S798),'System Lookups'!$A$3:$D$146,2))</f>
        <v>0.08</v>
      </c>
      <c r="Z798" s="1100">
        <f>IF(ISNA(W798),0,W798*0.03)+IF(X798&gt;0,X798*0.03,0)+IF(AND(ISNA(W798),X798&lt;=0),0,IF(G798&gt;0,G798*0.07,0))</f>
        <v>0</v>
      </c>
      <c r="AA798" s="1101">
        <f ca="1">IF(ISNA(Y798),0,Y798)+Z798</f>
        <v>0.08</v>
      </c>
      <c r="AB798" s="1102">
        <f>VLOOKUP(V798,'System Lookups'!$J$55:$P$64,3)</f>
        <v>0.2</v>
      </c>
      <c r="AC798" s="1103">
        <f>VLOOKUP(V798,'System Lookups'!$J$55:$P$64,4)</f>
        <v>0.3</v>
      </c>
      <c r="AD798" s="1104">
        <f ca="1">IF(AND(ISBLANK(X798),ISNA(W798)),IF(B798="~",0,AB798+AA798+IF(BB798&gt;0,0.05,0)),AA798+AC798+IF(BB798&gt;0,0.05,0))</f>
        <v>0.28000000000000003</v>
      </c>
      <c r="AE798" s="1094">
        <f ca="1">(IF(AD798&gt;VLOOKUP(V798,'System Lookups'!$J$55:$P$63,6),(((AD798-VLOOKUP(V798,'System Lookups'!$J$55:$P$63,6))*100)/20),0))+AF798</f>
        <v>0</v>
      </c>
      <c r="AF798" s="1121"/>
      <c r="AG798" s="1092">
        <f>IF(ISBLANK(X798),0,AQ798*X798+IF(ISNA(W798),1,0))</f>
        <v>0</v>
      </c>
      <c r="AH798" s="1092" t="str">
        <f>IF(X798&lt;=Experience!$R$15+1,"","*")</f>
        <v/>
      </c>
      <c r="AI798" s="1092"/>
      <c r="AJ798" s="1080">
        <f t="shared" si="811"/>
        <v>0</v>
      </c>
      <c r="AK798" s="1080">
        <f>IF(F798="s",-2,0)</f>
        <v>0</v>
      </c>
      <c r="AL798" s="1080">
        <f t="shared" si="812"/>
        <v>0</v>
      </c>
      <c r="AM798" s="1092">
        <f>IF(J798="y",1,0)</f>
        <v>0</v>
      </c>
      <c r="AN798" s="1080">
        <f>IF(N798="P",-1,IF(N798="T",1,0))</f>
        <v>1</v>
      </c>
      <c r="AO798" s="1080">
        <f t="shared" si="813"/>
        <v>0</v>
      </c>
      <c r="AP798" s="1080">
        <f>SUM(AJ798:AN798)-AM798</f>
        <v>1</v>
      </c>
      <c r="AQ798" s="1027">
        <f>VLOOKUP(V798,'System Lookups'!$J$55:$P$64,7)</f>
        <v>600</v>
      </c>
      <c r="AR798" s="1080" t="str">
        <f ca="1">IF(AND(NOT(ISBLANK(AJ798)),ISNA(MATCH(ROW(),'System Lookups'!$C$526:$C$539,0))),"Y","N")</f>
        <v>Y</v>
      </c>
      <c r="AS798" s="1080">
        <f>AG798-AI798</f>
        <v>0</v>
      </c>
      <c r="AU798" s="1080" t="e">
        <f t="shared" si="753"/>
        <v>#N/A</v>
      </c>
      <c r="AV798" s="1080" t="str">
        <f t="shared" si="808"/>
        <v>T</v>
      </c>
      <c r="AW798" s="1080">
        <f t="shared" si="754"/>
        <v>0</v>
      </c>
      <c r="AX798" s="1080">
        <f t="shared" si="755"/>
        <v>0</v>
      </c>
      <c r="AY798" s="1080">
        <f t="shared" si="756"/>
        <v>0</v>
      </c>
      <c r="AZ798" s="1080">
        <f t="shared" si="757"/>
        <v>0</v>
      </c>
      <c r="BA798" s="1080">
        <f t="shared" si="758"/>
        <v>0</v>
      </c>
      <c r="BB798" s="1080">
        <f>IF(AND(RACE=1,'Main Creation Page'!$E$6="Well",OR(ISNUMBER(FIND(Experience!$G$11,BE798)),ISNUMBER(FIND(Experience!$G$11,BF798)),ISNUMBER(FIND(Experience!$I$11,BE798)),ISNUMBER(FIND(Experience!$I$11,BF798)))),1,0)</f>
        <v>0</v>
      </c>
      <c r="BC798" s="1080" t="str">
        <f t="shared" si="784"/>
        <v>Riddling</v>
      </c>
      <c r="BE798" s="1080" t="str">
        <f t="shared" si="752"/>
        <v/>
      </c>
      <c r="BF798" s="1080" t="str">
        <f t="shared" si="785"/>
        <v>Mental Fortitude Skills</v>
      </c>
    </row>
    <row r="799" spans="1:58" ht="11.1" customHeight="1" outlineLevel="1">
      <c r="A799" s="1126" t="s">
        <v>1211</v>
      </c>
      <c r="B799" s="1094"/>
      <c r="C799" s="1094"/>
      <c r="D799" s="1094"/>
      <c r="E799" s="1095" t="s">
        <v>178</v>
      </c>
      <c r="F799" s="1095" t="s">
        <v>5224</v>
      </c>
      <c r="G799" s="1096">
        <v>0</v>
      </c>
      <c r="H799" s="1096" t="s">
        <v>5224</v>
      </c>
      <c r="I799" s="1096" t="s">
        <v>5224</v>
      </c>
      <c r="J799" s="1096" t="s">
        <v>5224</v>
      </c>
      <c r="K799" s="1096" t="s">
        <v>5224</v>
      </c>
      <c r="L799" s="1096" t="s">
        <v>5224</v>
      </c>
      <c r="M799" s="1096" t="s">
        <v>5224</v>
      </c>
      <c r="N799" s="1096" t="s">
        <v>4630</v>
      </c>
      <c r="O799" s="1028"/>
      <c r="P799" s="1028" t="s">
        <v>3613</v>
      </c>
      <c r="Q799" s="1097">
        <f t="shared" ca="1" si="809"/>
        <v>15</v>
      </c>
      <c r="R799" s="1028"/>
      <c r="S799" s="1028" t="s">
        <v>3613</v>
      </c>
      <c r="T799" s="1097">
        <f t="shared" ca="1" si="810"/>
        <v>15</v>
      </c>
      <c r="U799" s="1027">
        <v>3</v>
      </c>
      <c r="V799" s="1027">
        <f>IF(AP799+U799&gt;10,10,IF(AP799+U799&lt;1,1,AP799+U799))</f>
        <v>3</v>
      </c>
      <c r="W799" s="1098">
        <f>IF(OR(I799&lt;&gt;"N",E799="C"),IF(AND(N799&lt;&gt;"T",ISNUMBER(FIND("V",I799))),1,0),NA())+IF(H799="Y",IF(AND(N799="P",ISNUMBER(FIND("Z",I799))),2,1),0)+IF(J799="Y",1,0)+IF(K799="Y",3,0)+IF(BE799="Lore",L799*2+Experience!$D$25,0)+IF(M799="Y",1,0)</f>
        <v>0</v>
      </c>
      <c r="X799" s="1099"/>
      <c r="Y799" s="1100">
        <f ca="1">IF(P799="NS",IFERROR(INDIRECT(S799),NA()),VLOOKUP(INDIRECT(P799)+INDIRECT(S799),'System Lookups'!$A$3:$D$146,2))</f>
        <v>0.06</v>
      </c>
      <c r="Z799" s="1100">
        <f>IF(ISNA(W799),0,W799*0.03)+IF(X799&gt;0,X799*0.03,0)+IF(AND(ISNA(W799),X799&lt;=0),0,IF(G799&gt;0,G799*0.07,0))</f>
        <v>0</v>
      </c>
      <c r="AA799" s="1101">
        <f ca="1">IF(ISNA(Y799),0,Y799)+Z799</f>
        <v>0.06</v>
      </c>
      <c r="AB799" s="1102">
        <f>VLOOKUP(V799,'System Lookups'!$J$55:$P$64,3)</f>
        <v>0.3</v>
      </c>
      <c r="AC799" s="1103">
        <f>VLOOKUP(V799,'System Lookups'!$J$55:$P$64,4)</f>
        <v>0.4</v>
      </c>
      <c r="AD799" s="1104">
        <f ca="1">IF(AND(ISBLANK(X799),ISNA(W799)),IF(B799="~",0,AB799+AA799+IF(BB799&gt;0,0.05,0)),AA799+AC799+IF(BB799&gt;0,0.05,0))</f>
        <v>0.46</v>
      </c>
      <c r="AE799" s="1094">
        <f ca="1">(IF(AD799&gt;VLOOKUP(V799,'System Lookups'!$J$55:$P$63,6),(((AD799-VLOOKUP(V799,'System Lookups'!$J$55:$P$63,6))*100)/20),0))+AF799</f>
        <v>0</v>
      </c>
      <c r="AF799" s="1121"/>
      <c r="AG799" s="1092">
        <f>IF(ISBLANK(X799),0,AQ799*X799+IF(ISNA(W799),1,0))</f>
        <v>0</v>
      </c>
      <c r="AH799" s="1092" t="str">
        <f>IF(X799&lt;=Experience!$R$15+1,"","*")</f>
        <v/>
      </c>
      <c r="AI799" s="1092"/>
      <c r="AJ799" s="1080">
        <f t="shared" si="811"/>
        <v>0</v>
      </c>
      <c r="AK799" s="1080">
        <f>IF(F799="s",-2,0)</f>
        <v>0</v>
      </c>
      <c r="AL799" s="1080">
        <f t="shared" si="812"/>
        <v>0</v>
      </c>
      <c r="AM799" s="1092">
        <f>IF(J799="y",1,0)</f>
        <v>0</v>
      </c>
      <c r="AN799" s="1080">
        <f>IF(N799="P",-1,IF(N799="T",1,0))</f>
        <v>0</v>
      </c>
      <c r="AO799" s="1080">
        <f t="shared" si="813"/>
        <v>0</v>
      </c>
      <c r="AP799" s="1080">
        <f>SUM(AJ799:AN799)-AM799</f>
        <v>0</v>
      </c>
      <c r="AQ799" s="1027">
        <f>VLOOKUP(V799,'System Lookups'!$J$55:$P$64,7)</f>
        <v>500</v>
      </c>
      <c r="AR799" s="1080" t="str">
        <f ca="1">IF(AND(NOT(ISBLANK(AJ799)),ISNA(MATCH(ROW(),'System Lookups'!$C$526:$C$539,0))),"Y","N")</f>
        <v>N</v>
      </c>
      <c r="AS799" s="1080">
        <f>AG799-AI799</f>
        <v>0</v>
      </c>
      <c r="AU799" s="1080">
        <f t="shared" si="753"/>
        <v>0</v>
      </c>
      <c r="AV799" s="1080" t="str">
        <f t="shared" si="808"/>
        <v>CS</v>
      </c>
      <c r="AW799" s="1080">
        <f t="shared" si="754"/>
        <v>0</v>
      </c>
      <c r="AX799" s="1080">
        <f t="shared" si="755"/>
        <v>0</v>
      </c>
      <c r="AY799" s="1080">
        <f t="shared" si="756"/>
        <v>0</v>
      </c>
      <c r="AZ799" s="1080">
        <f t="shared" si="757"/>
        <v>0</v>
      </c>
      <c r="BA799" s="1080">
        <f t="shared" si="758"/>
        <v>0</v>
      </c>
      <c r="BB799" s="1080">
        <f>IF(AND(RACE=1,'Main Creation Page'!$E$6="Well",OR(ISNUMBER(FIND(Experience!$G$11,BE799)),ISNUMBER(FIND(Experience!$G$11,BF799)),ISNUMBER(FIND(Experience!$I$11,BE799)),ISNUMBER(FIND(Experience!$I$11,BF799)))),1,0)</f>
        <v>0</v>
      </c>
      <c r="BC799" s="1080" t="str">
        <f t="shared" si="784"/>
        <v>WILLPOWER</v>
      </c>
      <c r="BE799" s="1080" t="str">
        <f t="shared" si="752"/>
        <v/>
      </c>
      <c r="BF799" s="1080" t="str">
        <f t="shared" si="785"/>
        <v>Mental Fortitude Skills</v>
      </c>
    </row>
    <row r="800" spans="1:58" ht="11.1" customHeight="1" outlineLevel="1">
      <c r="A800" s="1126"/>
      <c r="B800" s="1094"/>
      <c r="C800" s="1094"/>
      <c r="D800" s="1111"/>
      <c r="V800" s="1027"/>
      <c r="W800" s="1112"/>
      <c r="AE800" s="1034"/>
      <c r="AF800" s="1132"/>
      <c r="AG800" s="1092"/>
      <c r="AH800" s="1092"/>
      <c r="AI800" s="1092"/>
      <c r="AM800" s="1092"/>
      <c r="AQ800" s="1027"/>
      <c r="AR800" s="1080" t="str">
        <f ca="1">IF(AND(NOT(ISBLANK(AJ800)),ISNA(MATCH(ROW(),'System Lookups'!$C$526:$C$539,0))),"Y","N")</f>
        <v>N</v>
      </c>
      <c r="AU800" s="1080" t="e">
        <f t="shared" si="753"/>
        <v>#N/A</v>
      </c>
      <c r="AV800" s="1080" t="str">
        <f t="shared" si="808"/>
        <v/>
      </c>
      <c r="AW800" s="1080">
        <f t="shared" si="754"/>
        <v>0</v>
      </c>
      <c r="AX800" s="1080">
        <f t="shared" si="755"/>
        <v>0</v>
      </c>
      <c r="AY800" s="1080">
        <f t="shared" si="756"/>
        <v>0</v>
      </c>
      <c r="AZ800" s="1080">
        <f t="shared" si="757"/>
        <v>0</v>
      </c>
      <c r="BA800" s="1080">
        <f t="shared" si="758"/>
        <v>0</v>
      </c>
      <c r="BB800" s="1080">
        <f>IF(AND(RACE=1,'Main Creation Page'!$E$6="Well",OR(ISNUMBER(FIND(Experience!$G$11,BE800)),ISNUMBER(FIND(Experience!$G$11,BF800)),ISNUMBER(FIND(Experience!$I$11,BE800)),ISNUMBER(FIND(Experience!$I$11,BF800)))),1,0)</f>
        <v>0</v>
      </c>
      <c r="BC800" s="1080" t="e">
        <f t="shared" si="784"/>
        <v>#N/A</v>
      </c>
      <c r="BE800" s="1080" t="str">
        <f t="shared" si="752"/>
        <v/>
      </c>
      <c r="BF800" s="1080" t="str">
        <f t="shared" si="785"/>
        <v>Mental Fortitude Skills</v>
      </c>
    </row>
    <row r="801" spans="1:58" ht="11.1" customHeight="1">
      <c r="A801" s="1087" t="s">
        <v>2155</v>
      </c>
      <c r="B801" s="1091"/>
      <c r="C801" s="1091"/>
      <c r="D801" s="1091"/>
      <c r="F801" s="1027"/>
      <c r="G801" s="1027"/>
      <c r="H801" s="1027"/>
      <c r="I801" s="1085"/>
      <c r="J801" s="1085"/>
      <c r="K801" s="1085"/>
      <c r="L801" s="1085"/>
      <c r="M801" s="1085"/>
      <c r="N801" s="1027"/>
      <c r="O801" s="1027"/>
      <c r="P801" s="1027"/>
      <c r="Q801" s="1027"/>
      <c r="R801" s="1027"/>
      <c r="S801" s="1113"/>
      <c r="T801" s="1113"/>
      <c r="U801" s="1085"/>
      <c r="V801" s="1027"/>
      <c r="W801" s="1028"/>
      <c r="X801" s="1114"/>
      <c r="AE801" s="1094"/>
      <c r="AF801" s="1121"/>
      <c r="AG801" s="1092">
        <f>SUM(AG802:AG807)</f>
        <v>0</v>
      </c>
      <c r="AH801" s="1092"/>
      <c r="AI801" s="1092">
        <f>SUM(AI802:AI807)</f>
        <v>0</v>
      </c>
      <c r="AM801" s="1092"/>
      <c r="AR801" s="1080" t="str">
        <f ca="1">IF(AND(NOT(ISBLANK(AJ801)),ISNA(MATCH(ROW(),'System Lookups'!$C$526:$C$539,0))),"Y","N")</f>
        <v>N</v>
      </c>
      <c r="AU801" s="1080" t="e">
        <f t="shared" si="753"/>
        <v>#N/A</v>
      </c>
      <c r="AV801" s="1080" t="str">
        <f t="shared" si="808"/>
        <v/>
      </c>
      <c r="AW801" s="1080">
        <f t="shared" si="754"/>
        <v>0</v>
      </c>
      <c r="AX801" s="1080">
        <f t="shared" si="755"/>
        <v>0</v>
      </c>
      <c r="AY801" s="1080">
        <f t="shared" si="756"/>
        <v>0</v>
      </c>
      <c r="AZ801" s="1080">
        <f t="shared" si="757"/>
        <v>0</v>
      </c>
      <c r="BA801" s="1080">
        <f t="shared" si="758"/>
        <v>0</v>
      </c>
      <c r="BB801" s="1080">
        <f>IF(AND(RACE=1,'Main Creation Page'!$E$6="Well",OR(ISNUMBER(FIND(Experience!$G$11,BE801)),ISNUMBER(FIND(Experience!$G$11,BF801)),ISNUMBER(FIND(Experience!$I$11,BE801)),ISNUMBER(FIND(Experience!$I$11,BF801)))),1,0)</f>
        <v>0</v>
      </c>
      <c r="BC801" s="1080" t="str">
        <f t="shared" si="784"/>
        <v>Noble Skills</v>
      </c>
      <c r="BE801" s="1080" t="str">
        <f t="shared" si="752"/>
        <v/>
      </c>
      <c r="BF801" s="1080" t="str">
        <f t="shared" si="785"/>
        <v>Noble Skills</v>
      </c>
    </row>
    <row r="802" spans="1:58" ht="11.1" customHeight="1" outlineLevel="1">
      <c r="A802" s="1117" t="s">
        <v>100</v>
      </c>
      <c r="B802" s="1094"/>
      <c r="C802" s="1094" t="s">
        <v>4629</v>
      </c>
      <c r="D802" s="1094"/>
      <c r="E802" s="1095" t="s">
        <v>5224</v>
      </c>
      <c r="F802" s="1095" t="s">
        <v>5224</v>
      </c>
      <c r="G802" s="1096">
        <v>0</v>
      </c>
      <c r="H802" s="1096" t="s">
        <v>5224</v>
      </c>
      <c r="I802" s="1096" t="s">
        <v>5224</v>
      </c>
      <c r="J802" s="1096" t="s">
        <v>5224</v>
      </c>
      <c r="K802" s="1096" t="s">
        <v>5224</v>
      </c>
      <c r="L802" s="1096" t="s">
        <v>5224</v>
      </c>
      <c r="M802" s="1096" t="s">
        <v>5224</v>
      </c>
      <c r="N802" s="1096" t="s">
        <v>4627</v>
      </c>
      <c r="O802" s="1028"/>
      <c r="P802" s="1028" t="s">
        <v>780</v>
      </c>
      <c r="Q802" s="1097">
        <f t="shared" ref="Q802:Q806" ca="1" si="814">INDIRECT(P802)</f>
        <v>17</v>
      </c>
      <c r="R802" s="1034"/>
      <c r="S802" s="1028" t="s">
        <v>780</v>
      </c>
      <c r="T802" s="1097">
        <f t="shared" ref="T802:T806" ca="1" si="815">INDIRECT(S802)</f>
        <v>17</v>
      </c>
      <c r="U802" s="1027">
        <f>IF('Main Creation Page'!K4=1,4,3)-IF('Main Creation Page'!E14&gt;14,1,0)</f>
        <v>2</v>
      </c>
      <c r="V802" s="1027">
        <f>IF(AP802+U802&gt;10,10,IF(AP802+U802&lt;1,1,AP802+U802))</f>
        <v>1</v>
      </c>
      <c r="W802" s="1098" t="e">
        <f>IF(OR(I802&lt;&gt;"N",E802="C"),IF(AND(N802&lt;&gt;"T",ISNUMBER(FIND("V",I802))),1,0),NA())+IF(H802="Y",IF(AND(N802="P",ISNUMBER(FIND("Z",I802))),2,1),0)+IF(J802="Y",1,0)+IF(K802="Y",3,0)+IF(BE802="Lore",L802*2+Experience!$D$25,0)+IF(M802="Y",1,0)</f>
        <v>#N/A</v>
      </c>
      <c r="X802" s="1099"/>
      <c r="Y802" s="1100">
        <f ca="1">IF(P802="NS",IFERROR(INDIRECT(S802),NA()),VLOOKUP(INDIRECT(P802)+INDIRECT(S802),'System Lookups'!$A$3:$D$146,2))</f>
        <v>0.1</v>
      </c>
      <c r="Z802" s="1100">
        <f>IF(ISNA(W802),0,W802*0.03)+IF(X802&gt;0,X802*0.03,0)+IF(AND(ISNA(W802),X802&lt;=0),0,IF(G802&gt;0,G802*0.07,0))</f>
        <v>0</v>
      </c>
      <c r="AA802" s="1101">
        <f ca="1">IF(ISNA(Y802),0,Y802)+Z802</f>
        <v>0.1</v>
      </c>
      <c r="AB802" s="1102">
        <f>VLOOKUP(V802,'System Lookups'!$J$55:$P$64,3)</f>
        <v>0.5</v>
      </c>
      <c r="AC802" s="1103">
        <f>VLOOKUP(V802,'System Lookups'!$J$55:$P$64,4)</f>
        <v>0.6</v>
      </c>
      <c r="AD802" s="1104">
        <f ca="1">IF(AND(ISBLANK(X802),ISNA(W802)),IF(B802="~",0,AB802+AA802+IF(BB802&gt;0,0.05,0)),AA802+AC802+IF(BB802&gt;0,0.05,0))</f>
        <v>0.6</v>
      </c>
      <c r="AE802" s="1094">
        <f ca="1">(IF(AD802&gt;VLOOKUP(V802,'System Lookups'!$J$55:$P$63,6),(((AD802-VLOOKUP(V802,'System Lookups'!$J$55:$P$63,6))*100)/20),0))+AF802</f>
        <v>0</v>
      </c>
      <c r="AF802" s="1121"/>
      <c r="AG802" s="1092">
        <f>IF(ISBLANK(X802),0,AQ802*X802+IF(ISNA(W802),1,0))</f>
        <v>0</v>
      </c>
      <c r="AH802" s="1092" t="str">
        <f>IF(X802&lt;=Experience!$R$15+1,"","*")</f>
        <v/>
      </c>
      <c r="AI802" s="1092"/>
      <c r="AJ802" s="1080">
        <f t="shared" ref="AJ802:AJ806" si="816">IF(ISNUMBER(FIND("R",F802)),-1,0)</f>
        <v>0</v>
      </c>
      <c r="AK802" s="1080">
        <f>IF(F802="s",-2,0)</f>
        <v>0</v>
      </c>
      <c r="AL802" s="1080">
        <f t="shared" ref="AL802:AL806" si="817">IF(AND(H802="Y",OR(N802="P",N802="S")),-1,0)</f>
        <v>0</v>
      </c>
      <c r="AM802" s="1092">
        <f>IF(J802="y",1,0)</f>
        <v>0</v>
      </c>
      <c r="AN802" s="1080">
        <f>IF(N802="P",-1,IF(N802="T",1,0))</f>
        <v>-1</v>
      </c>
      <c r="AO802" s="1080">
        <f t="shared" ref="AO802:AO806" si="818">IF(ISNUMBER(FIND("Z",I802)),1,0)</f>
        <v>0</v>
      </c>
      <c r="AP802" s="1080">
        <f>SUM(AJ802:AN802)-AM802</f>
        <v>-1</v>
      </c>
      <c r="AQ802" s="1027">
        <f>VLOOKUP(V802,'System Lookups'!$J$55:$P$64,7)</f>
        <v>300</v>
      </c>
      <c r="AR802" s="1080" t="str">
        <f ca="1">IF(AND(NOT(ISBLANK(AJ802)),ISNA(MATCH(ROW(),'System Lookups'!$C$526:$C$539,0))),"Y","N")</f>
        <v>Y</v>
      </c>
      <c r="AS802" s="1080">
        <f>AG802-AI802</f>
        <v>0</v>
      </c>
      <c r="AU802" s="1080" t="e">
        <f t="shared" si="753"/>
        <v>#N/A</v>
      </c>
      <c r="AV802" s="1080" t="str">
        <f t="shared" si="808"/>
        <v>P</v>
      </c>
      <c r="AW802" s="1080">
        <f t="shared" si="754"/>
        <v>0</v>
      </c>
      <c r="AX802" s="1080">
        <f t="shared" si="755"/>
        <v>0</v>
      </c>
      <c r="AY802" s="1080">
        <f t="shared" si="756"/>
        <v>0</v>
      </c>
      <c r="AZ802" s="1080">
        <f t="shared" si="757"/>
        <v>0</v>
      </c>
      <c r="BA802" s="1080">
        <f t="shared" si="758"/>
        <v>0</v>
      </c>
      <c r="BB802" s="1080">
        <f>IF(AND(RACE=1,'Main Creation Page'!$E$6="Well",OR(ISNUMBER(FIND(Experience!$G$11,BE802)),ISNUMBER(FIND(Experience!$G$11,BF802)),ISNUMBER(FIND(Experience!$I$11,BE802)),ISNUMBER(FIND(Experience!$I$11,BF802)))),1,0)</f>
        <v>0</v>
      </c>
      <c r="BC802" s="1080" t="str">
        <f t="shared" si="784"/>
        <v xml:space="preserve">Chess </v>
      </c>
      <c r="BE802" s="1080" t="str">
        <f t="shared" si="752"/>
        <v/>
      </c>
      <c r="BF802" s="1080" t="str">
        <f t="shared" si="785"/>
        <v>Noble Skills</v>
      </c>
    </row>
    <row r="803" spans="1:58" ht="11.1" customHeight="1" outlineLevel="1">
      <c r="A803" s="1123" t="s">
        <v>5578</v>
      </c>
      <c r="B803" s="1094"/>
      <c r="C803" s="1094"/>
      <c r="D803" s="1094"/>
      <c r="E803" s="1095" t="s">
        <v>5224</v>
      </c>
      <c r="F803" s="1095" t="s">
        <v>5224</v>
      </c>
      <c r="G803" s="1096">
        <v>0</v>
      </c>
      <c r="H803" s="1096" t="s">
        <v>5224</v>
      </c>
      <c r="I803" s="1096" t="s">
        <v>5224</v>
      </c>
      <c r="J803" s="1096" t="s">
        <v>5224</v>
      </c>
      <c r="K803" s="1096" t="s">
        <v>5224</v>
      </c>
      <c r="L803" s="1096" t="s">
        <v>5224</v>
      </c>
      <c r="M803" s="1096" t="s">
        <v>5224</v>
      </c>
      <c r="N803" s="1096" t="s">
        <v>4627</v>
      </c>
      <c r="O803" s="1028"/>
      <c r="P803" s="1028" t="s">
        <v>780</v>
      </c>
      <c r="Q803" s="1097">
        <f t="shared" ca="1" si="814"/>
        <v>17</v>
      </c>
      <c r="R803" s="1034"/>
      <c r="S803" s="1028" t="s">
        <v>3616</v>
      </c>
      <c r="T803" s="1097">
        <f t="shared" ca="1" si="815"/>
        <v>17</v>
      </c>
      <c r="U803" s="1027">
        <v>3</v>
      </c>
      <c r="V803" s="1027">
        <f>IF(AP803+U803&gt;10,10,IF(AP803+U803&lt;1,1,AP803+U803))</f>
        <v>2</v>
      </c>
      <c r="W803" s="1098" t="e">
        <f>IF(OR(I803&lt;&gt;"N",E803="C"),IF(AND(N803&lt;&gt;"T",ISNUMBER(FIND("V",I803))),1,0),NA())+IF(H803="Y",IF(AND(N803="P",ISNUMBER(FIND("Z",I803))),2,1),0)+IF(J803="Y",1,0)+IF(K803="Y",3,0)+IF(BE803="Lore",L803*2+Experience!$D$25,0)+IF(M803="Y",1,0)</f>
        <v>#N/A</v>
      </c>
      <c r="X803" s="1099"/>
      <c r="Y803" s="1100">
        <f ca="1">IF(P803="NS",IFERROR(INDIRECT(S803),NA()),VLOOKUP(INDIRECT(P803)+INDIRECT(S803),'System Lookups'!$A$3:$D$146,2))</f>
        <v>0.1</v>
      </c>
      <c r="Z803" s="1100">
        <f>IF(ISNA(W803),0,W803*0.03)+IF(X803&gt;0,X803*0.03,0)+IF(AND(ISNA(W803),X803&lt;=0),0,IF(G803&gt;0,G803*0.07,0))</f>
        <v>0</v>
      </c>
      <c r="AA803" s="1101">
        <f ca="1">IF(ISNA(Y803),0,Y803)+Z803</f>
        <v>0.1</v>
      </c>
      <c r="AB803" s="1102">
        <f>VLOOKUP(V803,'System Lookups'!$J$55:$P$64,3)</f>
        <v>0.4</v>
      </c>
      <c r="AC803" s="1103">
        <f>VLOOKUP(V803,'System Lookups'!$J$55:$P$64,4)</f>
        <v>0.5</v>
      </c>
      <c r="AD803" s="1104">
        <f ca="1">IF(AND(ISBLANK(X803),ISNA(W803)),IF(B803="~",0,AB803+AA803+IF(BB803&gt;0,0.05,0)),AA803+AC803+IF(BB803&gt;0,0.05,0))</f>
        <v>0.5</v>
      </c>
      <c r="AE803" s="1094">
        <f ca="1">(IF(AD803&gt;VLOOKUP(V803,'System Lookups'!$J$55:$P$63,6),(((AD803-VLOOKUP(V803,'System Lookups'!$J$55:$P$63,6))*100)/20),0))+AF803</f>
        <v>0</v>
      </c>
      <c r="AF803" s="1121"/>
      <c r="AG803" s="1092">
        <f>IF(ISBLANK(X803),0,AQ803*X803+IF(ISNA(W803),1,0))</f>
        <v>0</v>
      </c>
      <c r="AH803" s="1092" t="str">
        <f>IF(X803&lt;=Experience!$R$15+1,"","*")</f>
        <v/>
      </c>
      <c r="AI803" s="1092"/>
      <c r="AJ803" s="1080">
        <f t="shared" si="816"/>
        <v>0</v>
      </c>
      <c r="AK803" s="1080">
        <f>IF(F803="s",-2,0)</f>
        <v>0</v>
      </c>
      <c r="AL803" s="1080">
        <f t="shared" si="817"/>
        <v>0</v>
      </c>
      <c r="AM803" s="1092">
        <f>IF(J803="y",1,0)</f>
        <v>0</v>
      </c>
      <c r="AN803" s="1080">
        <f>IF(N803="P",-1,IF(N803="T",1,0))</f>
        <v>-1</v>
      </c>
      <c r="AO803" s="1080">
        <f t="shared" si="818"/>
        <v>0</v>
      </c>
      <c r="AP803" s="1080">
        <f>SUM(AJ803:AN803)-AM803</f>
        <v>-1</v>
      </c>
      <c r="AQ803" s="1027">
        <f>VLOOKUP(V803,'System Lookups'!$J$55:$P$64,7)</f>
        <v>400</v>
      </c>
      <c r="AR803" s="1080" t="str">
        <f ca="1">IF(AND(NOT(ISBLANK(AJ803)),ISNA(MATCH(ROW(),'System Lookups'!$C$526:$C$539,0))),"Y","N")</f>
        <v>Y</v>
      </c>
      <c r="AS803" s="1080">
        <f>AG803-AI803</f>
        <v>0</v>
      </c>
      <c r="AU803" s="1080" t="e">
        <f t="shared" si="753"/>
        <v>#N/A</v>
      </c>
      <c r="AV803" s="1080" t="str">
        <f t="shared" si="808"/>
        <v>P</v>
      </c>
      <c r="AW803" s="1080">
        <f t="shared" si="754"/>
        <v>0</v>
      </c>
      <c r="AX803" s="1080">
        <f t="shared" si="755"/>
        <v>0</v>
      </c>
      <c r="AY803" s="1080">
        <f t="shared" si="756"/>
        <v>0</v>
      </c>
      <c r="AZ803" s="1080">
        <f t="shared" si="757"/>
        <v>0</v>
      </c>
      <c r="BA803" s="1080">
        <f t="shared" si="758"/>
        <v>0</v>
      </c>
      <c r="BB803" s="1080">
        <f>IF(AND(RACE=1,'Main Creation Page'!$E$6="Well",OR(ISNUMBER(FIND(Experience!$G$11,BE803)),ISNUMBER(FIND(Experience!$G$11,BF803)),ISNUMBER(FIND(Experience!$I$11,BE803)),ISNUMBER(FIND(Experience!$I$11,BF803)))),1,0)</f>
        <v>0</v>
      </c>
      <c r="BC803" s="1080" t="str">
        <f t="shared" si="784"/>
        <v>Courtly Cultural Lore</v>
      </c>
      <c r="BE803" s="1080" t="str">
        <f t="shared" si="752"/>
        <v/>
      </c>
      <c r="BF803" s="1080" t="str">
        <f t="shared" si="785"/>
        <v>Noble Skills</v>
      </c>
    </row>
    <row r="804" spans="1:58" ht="11.1" customHeight="1" outlineLevel="1">
      <c r="A804" s="1117" t="s">
        <v>2156</v>
      </c>
      <c r="B804" s="1094"/>
      <c r="C804" s="1094"/>
      <c r="D804" s="1094"/>
      <c r="E804" s="1095" t="s">
        <v>5224</v>
      </c>
      <c r="F804" s="1095" t="s">
        <v>5224</v>
      </c>
      <c r="G804" s="1096">
        <v>0</v>
      </c>
      <c r="H804" s="1096" t="s">
        <v>5224</v>
      </c>
      <c r="I804" s="1096" t="s">
        <v>5224</v>
      </c>
      <c r="J804" s="1096" t="s">
        <v>5224</v>
      </c>
      <c r="K804" s="1096" t="s">
        <v>5224</v>
      </c>
      <c r="L804" s="1096" t="s">
        <v>5224</v>
      </c>
      <c r="M804" s="1096" t="s">
        <v>5224</v>
      </c>
      <c r="N804" s="1096" t="s">
        <v>4627</v>
      </c>
      <c r="O804" s="1028"/>
      <c r="P804" s="1028" t="s">
        <v>3612</v>
      </c>
      <c r="Q804" s="1097">
        <f t="shared" ca="1" si="814"/>
        <v>10</v>
      </c>
      <c r="R804" s="1028"/>
      <c r="S804" s="1028" t="s">
        <v>3613</v>
      </c>
      <c r="T804" s="1097">
        <f t="shared" ca="1" si="815"/>
        <v>15</v>
      </c>
      <c r="U804" s="1027">
        <f>IF('Main Creation Page'!K4=1,5,IF('Main Creation Page'!K4=2,4,3))-IF('Main Creation Page'!$C$26&gt;75,1,0)+IF('Main Creation Page'!E11+'Main Creation Page'!E13&lt;20,1,0)-IF('Main Creation Page'!E11+'Main Creation Page'!E13&gt;29,1,0)</f>
        <v>2</v>
      </c>
      <c r="V804" s="1027">
        <f>IF(AP804+U804&gt;10,10,IF(AP804+U804&lt;1,1,AP804+U804))</f>
        <v>1</v>
      </c>
      <c r="W804" s="1098" t="e">
        <f>IF(OR(I804&lt;&gt;"N",E804="C"),IF(AND(N804&lt;&gt;"T",ISNUMBER(FIND("V",I804))),1,0),NA())+IF(H804="Y",IF(AND(N804="P",ISNUMBER(FIND("Z",I804))),2,1),0)+IF(J804="Y",1,0)+IF(K804="Y",3,0)+IF(BE804="Lore",L804*2+Experience!$D$25,0)+IF(M804="Y",1,0)</f>
        <v>#N/A</v>
      </c>
      <c r="X804" s="1099"/>
      <c r="Y804" s="1100">
        <f ca="1">IF(P804="NS",IFERROR(INDIRECT(S804),NA()),VLOOKUP(INDIRECT(P804)+INDIRECT(S804),'System Lookups'!$A$3:$D$146,2))</f>
        <v>0.02</v>
      </c>
      <c r="Z804" s="1100">
        <f>IF(ISNA(W804),0,W804*0.03)+IF(X804&gt;0,X804*0.03,0)+IF(AND(ISNA(W804),X804&lt;=0),0,IF(G804&gt;0,G804*0.07,0))</f>
        <v>0</v>
      </c>
      <c r="AA804" s="1101">
        <f ca="1">IF(ISNA(Y804),0,Y804)+Z804</f>
        <v>0.02</v>
      </c>
      <c r="AB804" s="1102">
        <f>VLOOKUP(V804,'System Lookups'!$J$55:$P$64,3)</f>
        <v>0.5</v>
      </c>
      <c r="AC804" s="1103">
        <f>VLOOKUP(V804,'System Lookups'!$J$55:$P$64,4)</f>
        <v>0.6</v>
      </c>
      <c r="AD804" s="1104">
        <f ca="1">IF(AND(ISBLANK(X804),ISNA(W804)),IF(B804="~",0,AB804+AA804+IF(BB804&gt;0,0.05,0)),AA804+AC804+IF(BB804&gt;0,0.05,0))</f>
        <v>0.52</v>
      </c>
      <c r="AE804" s="1094">
        <f ca="1">(IF(AD804&gt;VLOOKUP(V804,'System Lookups'!$J$55:$P$63,6),(((AD804-VLOOKUP(V804,'System Lookups'!$J$55:$P$63,6))*100)/20),0))+AF804</f>
        <v>0</v>
      </c>
      <c r="AF804" s="1121"/>
      <c r="AG804" s="1092">
        <f>IF(ISBLANK(X804),0,AQ804*X804+IF(ISNA(W804),1,0))</f>
        <v>0</v>
      </c>
      <c r="AH804" s="1092" t="str">
        <f>IF(X804&lt;=Experience!$R$15+1,"","*")</f>
        <v/>
      </c>
      <c r="AI804" s="1092"/>
      <c r="AJ804" s="1080">
        <f t="shared" si="816"/>
        <v>0</v>
      </c>
      <c r="AK804" s="1080">
        <f>IF(F804="s",-2,0)</f>
        <v>0</v>
      </c>
      <c r="AL804" s="1080">
        <f t="shared" si="817"/>
        <v>0</v>
      </c>
      <c r="AM804" s="1092">
        <f>IF(J804="y",1,0)</f>
        <v>0</v>
      </c>
      <c r="AN804" s="1080">
        <f>IF(N804="P",-1,IF(N804="T",1,0))</f>
        <v>-1</v>
      </c>
      <c r="AO804" s="1080">
        <f t="shared" si="818"/>
        <v>0</v>
      </c>
      <c r="AP804" s="1080">
        <f>SUM(AJ804:AN804)-AM804</f>
        <v>-1</v>
      </c>
      <c r="AQ804" s="1027">
        <f>VLOOKUP(V804,'System Lookups'!$J$55:$P$64,7)</f>
        <v>300</v>
      </c>
      <c r="AR804" s="1080" t="str">
        <f ca="1">IF(AND(NOT(ISBLANK(AJ804)),ISNA(MATCH(ROW(),'System Lookups'!$C$526:$C$539,0))),"Y","N")</f>
        <v>Y</v>
      </c>
      <c r="AS804" s="1080">
        <f>AG804-AI804</f>
        <v>0</v>
      </c>
      <c r="AU804" s="1080" t="e">
        <f t="shared" si="753"/>
        <v>#N/A</v>
      </c>
      <c r="AV804" s="1080" t="str">
        <f t="shared" si="808"/>
        <v>P</v>
      </c>
      <c r="AW804" s="1080">
        <f t="shared" si="754"/>
        <v>0</v>
      </c>
      <c r="AX804" s="1080">
        <f t="shared" si="755"/>
        <v>0</v>
      </c>
      <c r="AY804" s="1080">
        <f t="shared" si="756"/>
        <v>0</v>
      </c>
      <c r="AZ804" s="1080">
        <f t="shared" si="757"/>
        <v>0</v>
      </c>
      <c r="BA804" s="1080">
        <f t="shared" si="758"/>
        <v>0</v>
      </c>
      <c r="BB804" s="1080">
        <f>IF(AND(RACE=1,'Main Creation Page'!$E$6="Well",OR(ISNUMBER(FIND(Experience!$G$11,BE804)),ISNUMBER(FIND(Experience!$G$11,BF804)),ISNUMBER(FIND(Experience!$I$11,BE804)),ISNUMBER(FIND(Experience!$I$11,BF804)))),1,0)</f>
        <v>0</v>
      </c>
      <c r="BC804" s="1080" t="str">
        <f t="shared" si="784"/>
        <v>Courtly Love</v>
      </c>
      <c r="BE804" s="1080" t="str">
        <f t="shared" si="752"/>
        <v/>
      </c>
      <c r="BF804" s="1080" t="str">
        <f t="shared" si="785"/>
        <v>Noble Skills</v>
      </c>
    </row>
    <row r="805" spans="1:58" ht="11.1" customHeight="1" outlineLevel="1">
      <c r="A805" s="1117" t="s">
        <v>2157</v>
      </c>
      <c r="B805" s="1094"/>
      <c r="C805" s="1094"/>
      <c r="D805" s="1094"/>
      <c r="E805" s="1095" t="str">
        <f>IF('Main Creation Page'!C26&gt;70,IF('Main Creation Page'!I31="F","C","N"),"N")</f>
        <v>N</v>
      </c>
      <c r="F805" s="1095" t="str">
        <f>IF('Main Creation Page'!$C$3=2,IF('Main Creation Page'!$E$26="Great Elf","R",IF('Main Creation Page'!$E$26="True Elf","R","N")),"N")</f>
        <v>N</v>
      </c>
      <c r="G805" s="1096">
        <v>0</v>
      </c>
      <c r="H805" s="1096" t="s">
        <v>5224</v>
      </c>
      <c r="I805" s="1096" t="s">
        <v>4623</v>
      </c>
      <c r="J805" s="1096" t="s">
        <v>5224</v>
      </c>
      <c r="K805" s="1096" t="s">
        <v>5224</v>
      </c>
      <c r="L805" s="1096" t="s">
        <v>5224</v>
      </c>
      <c r="M805" s="1096" t="s">
        <v>5224</v>
      </c>
      <c r="N805" s="1096" t="s">
        <v>4627</v>
      </c>
      <c r="O805" s="1028"/>
      <c r="P805" s="1028" t="s">
        <v>3612</v>
      </c>
      <c r="Q805" s="1097">
        <f t="shared" ca="1" si="814"/>
        <v>10</v>
      </c>
      <c r="R805" s="1028"/>
      <c r="S805" s="1028" t="s">
        <v>3613</v>
      </c>
      <c r="T805" s="1097">
        <f t="shared" ca="1" si="815"/>
        <v>15</v>
      </c>
      <c r="U805" s="1027">
        <f>IF('Main Creation Page'!K4=1,4,3)+IF('Main Creation Page'!E11+'Main Creation Page'!E13&lt;20,1,0)-IF('Main Creation Page'!E11+'Main Creation Page'!E13&gt;29,1,0)</f>
        <v>3</v>
      </c>
      <c r="V805" s="1027">
        <f>IF(AP805+U805&gt;10,10,IF(AP805+U805&lt;1,1,AP805+U805))</f>
        <v>2</v>
      </c>
      <c r="W805" s="1098">
        <f>IF(OR(I805&lt;&gt;"N",E805="C"),IF(AND(N805&lt;&gt;"T",ISNUMBER(FIND("V",I805))),1,0),NA())+IF(H805="Y",IF(AND(N805="P",ISNUMBER(FIND("Z",I805))),2,1),0)+IF(J805="Y",1,0)+IF(K805="Y",3,0)+IF(BE805="Lore",L805*2+Experience!$D$25,0)+IF(M805="Y",1,0)</f>
        <v>0</v>
      </c>
      <c r="X805" s="1099"/>
      <c r="Y805" s="1100">
        <f ca="1">IF(P805="NS",IFERROR(INDIRECT(S805),NA()),VLOOKUP(INDIRECT(P805)+INDIRECT(S805),'System Lookups'!$A$3:$D$146,2))</f>
        <v>0.02</v>
      </c>
      <c r="Z805" s="1100">
        <f>IF(ISNA(W805),0,W805*0.03)+IF(X805&gt;0,X805*0.03,0)+IF(AND(ISNA(W805),X805&lt;=0),0,IF(G805&gt;0,G805*0.07,0))</f>
        <v>0</v>
      </c>
      <c r="AA805" s="1101">
        <f ca="1">IF(ISNA(Y805),0,Y805)+Z805</f>
        <v>0.02</v>
      </c>
      <c r="AB805" s="1102">
        <f>VLOOKUP(V805,'System Lookups'!$J$55:$P$64,3)</f>
        <v>0.4</v>
      </c>
      <c r="AC805" s="1103">
        <f>VLOOKUP(V805,'System Lookups'!$J$55:$P$64,4)</f>
        <v>0.5</v>
      </c>
      <c r="AD805" s="1104">
        <f ca="1">IF(AND(ISBLANK(X805),ISNA(W805)),IF(B805="~",0,AB805+AA805+IF(BB805&gt;0,0.05,0)),AA805+AC805+IF(BB805&gt;0,0.05,0))</f>
        <v>0.52</v>
      </c>
      <c r="AE805" s="1094">
        <f ca="1">(IF(AD805&gt;VLOOKUP(V805,'System Lookups'!$J$55:$P$63,6),(((AD805-VLOOKUP(V805,'System Lookups'!$J$55:$P$63,6))*100)/20),0))+AF805</f>
        <v>0</v>
      </c>
      <c r="AF805" s="1121"/>
      <c r="AG805" s="1092">
        <f>IF(ISBLANK(X805),0,AQ805*X805+IF(ISNA(W805),1,0))</f>
        <v>0</v>
      </c>
      <c r="AH805" s="1092" t="str">
        <f>IF(X805&lt;=Experience!$R$15+1,"","*")</f>
        <v/>
      </c>
      <c r="AI805" s="1092"/>
      <c r="AJ805" s="1080">
        <f t="shared" si="816"/>
        <v>0</v>
      </c>
      <c r="AK805" s="1080">
        <f>IF(F805="s",-2,0)</f>
        <v>0</v>
      </c>
      <c r="AL805" s="1080">
        <f t="shared" si="817"/>
        <v>0</v>
      </c>
      <c r="AM805" s="1092">
        <f>IF(J805="y",1,0)</f>
        <v>0</v>
      </c>
      <c r="AN805" s="1080">
        <f>IF(N805="P",-1,IF(N805="T",1,0))</f>
        <v>-1</v>
      </c>
      <c r="AO805" s="1080">
        <f t="shared" si="818"/>
        <v>0</v>
      </c>
      <c r="AP805" s="1080">
        <f>SUM(AJ805:AN805)-AM805</f>
        <v>-1</v>
      </c>
      <c r="AQ805" s="1027">
        <f>VLOOKUP(V805,'System Lookups'!$J$55:$P$64,7)</f>
        <v>400</v>
      </c>
      <c r="AR805" s="1080" t="str">
        <f ca="1">IF(AND(NOT(ISBLANK(AJ805)),ISNA(MATCH(ROW(),'System Lookups'!$C$526:$C$539,0))),"Y","N")</f>
        <v>Y</v>
      </c>
      <c r="AS805" s="1080">
        <f>AG805-AI805</f>
        <v>0</v>
      </c>
      <c r="AU805" s="1080">
        <f t="shared" si="753"/>
        <v>0</v>
      </c>
      <c r="AV805" s="1080" t="str">
        <f t="shared" si="808"/>
        <v>PBk</v>
      </c>
      <c r="AW805" s="1080">
        <f t="shared" si="754"/>
        <v>1</v>
      </c>
      <c r="AX805" s="1080">
        <f t="shared" si="755"/>
        <v>0</v>
      </c>
      <c r="AY805" s="1080">
        <f t="shared" si="756"/>
        <v>0</v>
      </c>
      <c r="AZ805" s="1080">
        <f t="shared" si="757"/>
        <v>0</v>
      </c>
      <c r="BA805" s="1080">
        <f t="shared" si="758"/>
        <v>1</v>
      </c>
      <c r="BB805" s="1080">
        <f>IF(AND(RACE=1,'Main Creation Page'!$E$6="Well",OR(ISNUMBER(FIND(Experience!$G$11,BE805)),ISNUMBER(FIND(Experience!$G$11,BF805)),ISNUMBER(FIND(Experience!$I$11,BE805)),ISNUMBER(FIND(Experience!$I$11,BF805)))),1,0)</f>
        <v>0</v>
      </c>
      <c r="BC805" s="1080" t="str">
        <f t="shared" si="784"/>
        <v>Courtly Manners</v>
      </c>
      <c r="BE805" s="1080" t="str">
        <f t="shared" si="752"/>
        <v/>
      </c>
      <c r="BF805" s="1080" t="str">
        <f t="shared" si="785"/>
        <v>Noble Skills</v>
      </c>
    </row>
    <row r="806" spans="1:58" ht="11.1" customHeight="1" outlineLevel="1">
      <c r="A806" s="1117" t="s">
        <v>2158</v>
      </c>
      <c r="B806" s="1094" t="s">
        <v>1942</v>
      </c>
      <c r="C806" s="1094"/>
      <c r="D806" s="1094"/>
      <c r="E806" s="1095" t="s">
        <v>5224</v>
      </c>
      <c r="F806" s="1095" t="s">
        <v>5224</v>
      </c>
      <c r="G806" s="1096">
        <v>0</v>
      </c>
      <c r="H806" s="1096" t="s">
        <v>5224</v>
      </c>
      <c r="I806" s="1096" t="s">
        <v>5223</v>
      </c>
      <c r="J806" s="1096" t="s">
        <v>5224</v>
      </c>
      <c r="K806" s="1096" t="s">
        <v>5224</v>
      </c>
      <c r="L806" s="1096" t="s">
        <v>5224</v>
      </c>
      <c r="M806" s="1096" t="s">
        <v>5224</v>
      </c>
      <c r="N806" s="1096" t="s">
        <v>4627</v>
      </c>
      <c r="O806" s="1028"/>
      <c r="P806" s="1028" t="s">
        <v>780</v>
      </c>
      <c r="Q806" s="1097">
        <f t="shared" ca="1" si="814"/>
        <v>17</v>
      </c>
      <c r="R806" s="1034"/>
      <c r="S806" s="1028" t="s">
        <v>3616</v>
      </c>
      <c r="T806" s="1097">
        <f t="shared" ca="1" si="815"/>
        <v>17</v>
      </c>
      <c r="U806" s="1027">
        <f>IF('Main Creation Page'!$C$26&gt;75,2,3)</f>
        <v>2</v>
      </c>
      <c r="V806" s="1027">
        <f>IF(AP806+U806&gt;10,10,IF(AP806+U806&lt;1,1,AP806+U806))</f>
        <v>1</v>
      </c>
      <c r="W806" s="1098">
        <f>IF(OR(I806&lt;&gt;"N",E806="C"),IF(AND(N806&lt;&gt;"T",ISNUMBER(FIND("V",I806))),1,0),NA())+IF(H806="Y",IF(AND(N806="P",ISNUMBER(FIND("Z",I806))),2,1),0)+IF(J806="Y",1,0)+IF(K806="Y",3,0)+IF(BE806="Lore",L806*2+Experience!$D$25,0)+IF(M806="Y",1,0)</f>
        <v>1</v>
      </c>
      <c r="X806" s="1099"/>
      <c r="Y806" s="1100">
        <f ca="1">IF(P806="NS",IFERROR(INDIRECT(S806),NA()),VLOOKUP(INDIRECT(P806)+INDIRECT(S806),'System Lookups'!$A$3:$D$146,2))</f>
        <v>0.1</v>
      </c>
      <c r="Z806" s="1100">
        <f>IF(ISNA(W806),0,W806*0.03)+IF(X806&gt;0,X806*0.03,0)+IF(AND(ISNA(W806),X806&lt;=0),0,IF(G806&gt;0,G806*0.07,0))</f>
        <v>0.03</v>
      </c>
      <c r="AA806" s="1101">
        <f ca="1">IF(ISNA(Y806),0,Y806)+Z806</f>
        <v>0.13</v>
      </c>
      <c r="AB806" s="1102">
        <f>VLOOKUP(V806,'System Lookups'!$J$55:$P$64,3)</f>
        <v>0.5</v>
      </c>
      <c r="AC806" s="1103">
        <f>VLOOKUP(V806,'System Lookups'!$J$55:$P$64,4)</f>
        <v>0.6</v>
      </c>
      <c r="AD806" s="1104">
        <f ca="1">IF(AND(ISBLANK(X806),ISNA(W806)),IF(B806="~",0,AB806+AA806+IF(BB806&gt;0,0.05,0)),AA806+AC806+IF(BB806&gt;0,0.05,0))</f>
        <v>0.73</v>
      </c>
      <c r="AE806" s="1094">
        <f ca="1">(IF(AD806&gt;VLOOKUP(V806,'System Lookups'!$J$55:$P$63,6),(((AD806-VLOOKUP(V806,'System Lookups'!$J$55:$P$63,6))*100)/20),0))+AF806</f>
        <v>0</v>
      </c>
      <c r="AF806" s="1121"/>
      <c r="AG806" s="1092">
        <f>IF(ISBLANK(X806),0,AQ806*X806+IF(ISNA(W806),1,0))</f>
        <v>0</v>
      </c>
      <c r="AH806" s="1092" t="str">
        <f>IF(X806&lt;=Experience!$R$15+1,"","*")</f>
        <v/>
      </c>
      <c r="AI806" s="1092"/>
      <c r="AJ806" s="1080">
        <f t="shared" si="816"/>
        <v>0</v>
      </c>
      <c r="AK806" s="1080">
        <f>IF(F806="s",-2,0)</f>
        <v>0</v>
      </c>
      <c r="AL806" s="1080">
        <f t="shared" si="817"/>
        <v>0</v>
      </c>
      <c r="AM806" s="1092">
        <f>IF(J806="y",1,0)</f>
        <v>0</v>
      </c>
      <c r="AN806" s="1080">
        <f>IF(N806="P",-1,IF(N806="T",1,0))</f>
        <v>-1</v>
      </c>
      <c r="AO806" s="1080">
        <f t="shared" si="818"/>
        <v>0</v>
      </c>
      <c r="AP806" s="1080">
        <f>SUM(AJ806:AN806)-AM806</f>
        <v>-1</v>
      </c>
      <c r="AQ806" s="1027">
        <f>VLOOKUP(V806,'System Lookups'!$J$55:$P$64,7)</f>
        <v>300</v>
      </c>
      <c r="AR806" s="1080" t="str">
        <f ca="1">IF(AND(NOT(ISBLANK(AJ806)),ISNA(MATCH(ROW(),'System Lookups'!$C$526:$C$539,0))),"Y","N")</f>
        <v>Y</v>
      </c>
      <c r="AS806" s="1080">
        <f>AG806-AI806</f>
        <v>0</v>
      </c>
      <c r="AU806" s="1080">
        <f t="shared" si="753"/>
        <v>1</v>
      </c>
      <c r="AV806" s="1080" t="str">
        <f t="shared" si="808"/>
        <v>P</v>
      </c>
      <c r="AW806" s="1080">
        <f t="shared" si="754"/>
        <v>1</v>
      </c>
      <c r="AX806" s="1080">
        <f t="shared" si="755"/>
        <v>1</v>
      </c>
      <c r="AY806" s="1080">
        <f t="shared" si="756"/>
        <v>0</v>
      </c>
      <c r="AZ806" s="1080">
        <f t="shared" si="757"/>
        <v>0</v>
      </c>
      <c r="BA806" s="1080">
        <f t="shared" si="758"/>
        <v>0</v>
      </c>
      <c r="BB806" s="1080">
        <f>IF(AND(RACE=1,'Main Creation Page'!$E$6="Well",OR(ISNUMBER(FIND(Experience!$G$11,BE806)),ISNUMBER(FIND(Experience!$G$11,BF806)),ISNUMBER(FIND(Experience!$I$11,BE806)),ISNUMBER(FIND(Experience!$I$11,BF806)))),1,0)</f>
        <v>0</v>
      </c>
      <c r="BC806" s="1080" t="str">
        <f t="shared" si="784"/>
        <v>Heraldry</v>
      </c>
      <c r="BE806" s="1080" t="str">
        <f t="shared" si="752"/>
        <v/>
      </c>
      <c r="BF806" s="1080" t="str">
        <f t="shared" si="785"/>
        <v>Noble Skills</v>
      </c>
    </row>
    <row r="807" spans="1:58" ht="11.1" customHeight="1" outlineLevel="1">
      <c r="A807" s="1117"/>
      <c r="B807" s="1094"/>
      <c r="C807" s="1111"/>
      <c r="D807" s="1111"/>
      <c r="V807" s="1027"/>
      <c r="W807" s="1112"/>
      <c r="Y807" s="1152"/>
      <c r="Z807" s="1152"/>
      <c r="AA807" s="1101"/>
      <c r="AB807" s="1102"/>
      <c r="AC807" s="1103"/>
      <c r="AD807" s="1104"/>
      <c r="AE807" s="1094"/>
      <c r="AF807" s="1121"/>
      <c r="AG807" s="1092"/>
      <c r="AH807" s="1092"/>
      <c r="AI807" s="1092"/>
      <c r="AM807" s="1092"/>
      <c r="AQ807" s="1027"/>
      <c r="AR807" s="1080" t="str">
        <f ca="1">IF(AND(NOT(ISBLANK(AJ807)),ISNA(MATCH(ROW(),'System Lookups'!$C$526:$C$539,0))),"Y","N")</f>
        <v>N</v>
      </c>
      <c r="AU807" s="1080" t="e">
        <f t="shared" si="753"/>
        <v>#N/A</v>
      </c>
      <c r="AV807" s="1080" t="str">
        <f t="shared" si="808"/>
        <v/>
      </c>
      <c r="AW807" s="1080">
        <f t="shared" si="754"/>
        <v>0</v>
      </c>
      <c r="AX807" s="1080">
        <f t="shared" si="755"/>
        <v>0</v>
      </c>
      <c r="AY807" s="1080">
        <f t="shared" si="756"/>
        <v>0</v>
      </c>
      <c r="AZ807" s="1080">
        <f t="shared" si="757"/>
        <v>0</v>
      </c>
      <c r="BA807" s="1080">
        <f t="shared" si="758"/>
        <v>0</v>
      </c>
      <c r="BB807" s="1080">
        <f>IF(AND(RACE=1,'Main Creation Page'!$E$6="Well",OR(ISNUMBER(FIND(Experience!$G$11,BE807)),ISNUMBER(FIND(Experience!$G$11,BF807)),ISNUMBER(FIND(Experience!$I$11,BE807)),ISNUMBER(FIND(Experience!$I$11,BF807)))),1,0)</f>
        <v>0</v>
      </c>
      <c r="BC807" s="1080" t="e">
        <f t="shared" si="784"/>
        <v>#N/A</v>
      </c>
      <c r="BE807" s="1080" t="str">
        <f t="shared" si="752"/>
        <v/>
      </c>
      <c r="BF807" s="1080" t="str">
        <f t="shared" si="785"/>
        <v>Noble Skills</v>
      </c>
    </row>
    <row r="808" spans="1:58" ht="11.1" customHeight="1">
      <c r="A808" s="1087" t="s">
        <v>2159</v>
      </c>
      <c r="B808" s="1091"/>
      <c r="C808" s="1091"/>
      <c r="D808" s="1091"/>
      <c r="F808" s="1027"/>
      <c r="G808" s="1027"/>
      <c r="H808" s="1027"/>
      <c r="I808" s="1085"/>
      <c r="J808" s="1085"/>
      <c r="K808" s="1085"/>
      <c r="L808" s="1085"/>
      <c r="M808" s="1085"/>
      <c r="N808" s="1027"/>
      <c r="O808" s="1027"/>
      <c r="P808" s="1027"/>
      <c r="Q808" s="1027"/>
      <c r="R808" s="1027"/>
      <c r="S808" s="1113"/>
      <c r="T808" s="1113"/>
      <c r="U808" s="1085"/>
      <c r="V808" s="1027"/>
      <c r="W808" s="1028"/>
      <c r="X808" s="1114"/>
      <c r="AE808" s="1094"/>
      <c r="AF808" s="1121"/>
      <c r="AG808" s="1092">
        <f>SUM(AG809:AG836)</f>
        <v>0</v>
      </c>
      <c r="AH808" s="1092"/>
      <c r="AI808" s="1092">
        <f>SUM(AI809:AI836)</f>
        <v>0</v>
      </c>
      <c r="AM808" s="1092"/>
      <c r="AR808" s="1080" t="str">
        <f ca="1">IF(AND(NOT(ISBLANK(AJ808)),ISNA(MATCH(ROW(),'System Lookups'!$C$526:$C$539,0))),"Y","N")</f>
        <v>N</v>
      </c>
      <c r="AU808" s="1080" t="e">
        <f t="shared" si="753"/>
        <v>#N/A</v>
      </c>
      <c r="AV808" s="1080" t="str">
        <f t="shared" si="808"/>
        <v/>
      </c>
      <c r="AW808" s="1080">
        <f t="shared" si="754"/>
        <v>0</v>
      </c>
      <c r="AX808" s="1080">
        <f t="shared" si="755"/>
        <v>0</v>
      </c>
      <c r="AY808" s="1080">
        <f t="shared" si="756"/>
        <v>0</v>
      </c>
      <c r="AZ808" s="1080">
        <f t="shared" si="757"/>
        <v>0</v>
      </c>
      <c r="BA808" s="1080">
        <f t="shared" si="758"/>
        <v>0</v>
      </c>
      <c r="BB808" s="1080">
        <f>IF(AND(RACE=1,'Main Creation Page'!$E$6="Well",OR(ISNUMBER(FIND(Experience!$G$11,BE808)),ISNUMBER(FIND(Experience!$G$11,BF808)),ISNUMBER(FIND(Experience!$I$11,BE808)),ISNUMBER(FIND(Experience!$I$11,BF808)))),1,0)</f>
        <v>0</v>
      </c>
      <c r="BC808" s="1080" t="str">
        <f t="shared" si="784"/>
        <v>Outdoor Skills</v>
      </c>
      <c r="BE808" s="1080" t="str">
        <f t="shared" si="752"/>
        <v/>
      </c>
      <c r="BF808" s="1080" t="str">
        <f t="shared" si="785"/>
        <v>Outdoor Skills</v>
      </c>
    </row>
    <row r="809" spans="1:58" ht="11.1" customHeight="1" outlineLevel="1">
      <c r="A809" s="1117" t="s">
        <v>101</v>
      </c>
      <c r="B809" s="1094"/>
      <c r="C809" s="1094" t="s">
        <v>4629</v>
      </c>
      <c r="D809" s="1094"/>
      <c r="E809" s="1095" t="s">
        <v>5224</v>
      </c>
      <c r="F809" s="1095" t="str">
        <f>IF('Main Creation Page'!$C$3=2, "R", "N")</f>
        <v>N</v>
      </c>
      <c r="G809" s="1096">
        <v>0</v>
      </c>
      <c r="H809" s="1096" t="s">
        <v>5224</v>
      </c>
      <c r="I809" s="1096" t="s">
        <v>5224</v>
      </c>
      <c r="J809" s="1096" t="s">
        <v>5224</v>
      </c>
      <c r="K809" s="1096" t="s">
        <v>5224</v>
      </c>
      <c r="L809" s="1096" t="s">
        <v>5224</v>
      </c>
      <c r="M809" s="1096" t="s">
        <v>5224</v>
      </c>
      <c r="N809" s="1096" t="s">
        <v>4631</v>
      </c>
      <c r="O809" s="1028"/>
      <c r="P809" s="1028" t="s">
        <v>3616</v>
      </c>
      <c r="Q809" s="1097">
        <f ca="1">INDIRECT(P809)</f>
        <v>17</v>
      </c>
      <c r="R809" s="1028"/>
      <c r="S809" s="1028" t="s">
        <v>3611</v>
      </c>
      <c r="T809" s="1097">
        <f ca="1">INDIRECT(S809)</f>
        <v>15</v>
      </c>
      <c r="U809" s="1027">
        <v>4</v>
      </c>
      <c r="V809" s="1027">
        <f>IF(AP809+U809&gt;10,10,IF(AP809+U809&lt;1,1,AP809+U809))</f>
        <v>5</v>
      </c>
      <c r="W809" s="1098" t="e">
        <f>IF(OR(I809&lt;&gt;"N",E809="C"),IF(AND(N809&lt;&gt;"T",ISNUMBER(FIND("V",I809))),1,0),NA())+IF(H809="Y",IF(AND(N809="P",ISNUMBER(FIND("Z",I809))),2,1),0)+IF(J809="Y",1,0)+IF(K809="Y",3,0)+IF(BE809="Lore",L809*2+Experience!$D$25,0)+IF(M809="Y",1,0)</f>
        <v>#N/A</v>
      </c>
      <c r="X809" s="1099"/>
      <c r="Y809" s="1100">
        <f ca="1">IF(P809="NS",IFERROR(INDIRECT(S809),NA()),VLOOKUP(INDIRECT(P809)+INDIRECT(S809),'System Lookups'!$A$3:$D$146,2))</f>
        <v>0.08</v>
      </c>
      <c r="Z809" s="1100">
        <f>IF(ISNA(W809),0,W809*0.03)+IF(X809&gt;0,X809*0.03,0)+IF(AND(ISNA(W809),X809&lt;=0),0,IF(G809&gt;0,G809*0.07,0))</f>
        <v>0</v>
      </c>
      <c r="AA809" s="1101">
        <f ca="1">IF(ISNA(Y809),0,Y809)+Z809</f>
        <v>0.08</v>
      </c>
      <c r="AB809" s="1102">
        <f>VLOOKUP(V809,'System Lookups'!$J$55:$P$64,3)</f>
        <v>0.1</v>
      </c>
      <c r="AC809" s="1103">
        <f>VLOOKUP(V809,'System Lookups'!$J$55:$P$64,4)</f>
        <v>0.2</v>
      </c>
      <c r="AD809" s="1104">
        <f ca="1">IF(AND(ISBLANK(X809),ISNA(W809)),IF(B809="~",0,AB809+AA809+IF(BB809&gt;0,0.05,0)),AA809+AC809+IF(BB809&gt;0,0.05,0))</f>
        <v>0.18</v>
      </c>
      <c r="AE809" s="1094">
        <f ca="1">(IF(AD809&gt;VLOOKUP(V809,'System Lookups'!$J$55:$P$63,6),(((AD809-VLOOKUP(V809,'System Lookups'!$J$55:$P$63,6))*100)/20),0))+AF809</f>
        <v>0</v>
      </c>
      <c r="AF809" s="1121"/>
      <c r="AG809" s="1092">
        <f>IF(ISBLANK(X809),0,AQ809*X809+IF(ISNA(W809),1,0))</f>
        <v>0</v>
      </c>
      <c r="AH809" s="1092" t="str">
        <f>IF(X809&lt;=Experience!$R$15+1,"","*")</f>
        <v/>
      </c>
      <c r="AI809" s="1092"/>
      <c r="AJ809" s="1080">
        <f>IF(ISNUMBER(FIND("R",F809)),-1,0)</f>
        <v>0</v>
      </c>
      <c r="AK809" s="1080">
        <f>IF(F809="s",-2,0)</f>
        <v>0</v>
      </c>
      <c r="AL809" s="1080">
        <f>IF(AND(H809="Y",OR(N809="P",N809="S")),-1,0)</f>
        <v>0</v>
      </c>
      <c r="AM809" s="1092">
        <f>IF(J809="y",1,0)</f>
        <v>0</v>
      </c>
      <c r="AN809" s="1080">
        <f>IF(N809="P",-1,IF(N809="T",1,0))</f>
        <v>1</v>
      </c>
      <c r="AO809" s="1080">
        <f>IF(ISNUMBER(FIND("Z",I809)),1,0)</f>
        <v>0</v>
      </c>
      <c r="AP809" s="1080">
        <f>SUM(AJ809:AN809)-AM809</f>
        <v>1</v>
      </c>
      <c r="AQ809" s="1027">
        <f>VLOOKUP(V809,'System Lookups'!$J$55:$P$64,7)</f>
        <v>700</v>
      </c>
      <c r="AR809" s="1080" t="str">
        <f ca="1">IF(AND(NOT(ISBLANK(AJ809)),ISNA(MATCH(ROW(),'System Lookups'!$C$526:$C$539,0))),"Y","N")</f>
        <v>Y</v>
      </c>
      <c r="AS809" s="1080">
        <f>AG809-AI809</f>
        <v>0</v>
      </c>
      <c r="AU809" s="1080" t="e">
        <f t="shared" si="753"/>
        <v>#N/A</v>
      </c>
      <c r="AV809" s="1080" t="str">
        <f t="shared" si="808"/>
        <v>T</v>
      </c>
      <c r="AW809" s="1080">
        <f t="shared" si="754"/>
        <v>0</v>
      </c>
      <c r="AX809" s="1080">
        <f t="shared" si="755"/>
        <v>0</v>
      </c>
      <c r="AY809" s="1080">
        <f t="shared" si="756"/>
        <v>0</v>
      </c>
      <c r="AZ809" s="1080">
        <f t="shared" si="757"/>
        <v>0</v>
      </c>
      <c r="BA809" s="1080">
        <f t="shared" si="758"/>
        <v>0</v>
      </c>
      <c r="BB809" s="1080">
        <f>IF(AND(RACE=1,'Main Creation Page'!$E$6="Well",OR(ISNUMBER(FIND(Experience!$G$11,BE809)),ISNUMBER(FIND(Experience!$G$11,BF809)),ISNUMBER(FIND(Experience!$I$11,BE809)),ISNUMBER(FIND(Experience!$I$11,BF809)))),1,0)</f>
        <v>0</v>
      </c>
      <c r="BC809" s="1080" t="str">
        <f t="shared" si="784"/>
        <v>Blend into Surroundings</v>
      </c>
      <c r="BE809" s="1080" t="str">
        <f t="shared" si="752"/>
        <v/>
      </c>
      <c r="BF809" s="1080" t="str">
        <f t="shared" si="785"/>
        <v>Outdoor Skills</v>
      </c>
    </row>
    <row r="810" spans="1:58" ht="10.5" customHeight="1" outlineLevel="2">
      <c r="A810" s="1028" t="s">
        <v>1955</v>
      </c>
      <c r="B810" s="2648">
        <f ca="1">AA809/2+AB809</f>
        <v>0.14000000000000001</v>
      </c>
      <c r="C810" s="2651"/>
      <c r="D810" s="2650"/>
      <c r="K810" s="1034"/>
      <c r="L810" s="1034"/>
      <c r="M810" s="1034"/>
      <c r="N810" s="1034"/>
      <c r="O810" s="1034"/>
      <c r="P810" s="1034"/>
      <c r="Q810" s="1034"/>
      <c r="R810" s="1034"/>
      <c r="U810" s="1034"/>
      <c r="V810" s="1034"/>
      <c r="AE810" s="1034"/>
      <c r="AF810" s="1132"/>
      <c r="AH810" s="1092"/>
      <c r="AI810" s="1092"/>
      <c r="AM810" s="1092"/>
      <c r="AQ810" s="1027"/>
      <c r="AR810" s="1080" t="str">
        <f ca="1">IF(AND(NOT(ISBLANK(AJ810)),ISNA(MATCH(ROW(),'System Lookups'!$C$526:$C$539,0))),"Y","N")</f>
        <v>N</v>
      </c>
      <c r="AU810" s="1080" t="e">
        <f t="shared" si="753"/>
        <v>#N/A</v>
      </c>
      <c r="AV810" s="1080" t="str">
        <f t="shared" si="808"/>
        <v/>
      </c>
      <c r="AW810" s="1080">
        <f t="shared" si="754"/>
        <v>0</v>
      </c>
      <c r="AX810" s="1080">
        <f t="shared" si="755"/>
        <v>0</v>
      </c>
      <c r="AY810" s="1080">
        <f t="shared" si="756"/>
        <v>0</v>
      </c>
      <c r="AZ810" s="1080">
        <f t="shared" si="757"/>
        <v>0</v>
      </c>
      <c r="BA810" s="1080">
        <f t="shared" si="758"/>
        <v>0</v>
      </c>
      <c r="BB810" s="1080">
        <f>IF(AND(RACE=1,'Main Creation Page'!$E$6="Well",OR(ISNUMBER(FIND(Experience!$G$11,BE810)),ISNUMBER(FIND(Experience!$G$11,BF810)),ISNUMBER(FIND(Experience!$I$11,BE810)),ISNUMBER(FIND(Experience!$I$11,BF810)))),1,0)</f>
        <v>0</v>
      </c>
      <c r="BC810" s="1080" t="e">
        <f t="shared" si="784"/>
        <v>#N/A</v>
      </c>
      <c r="BE810" s="1080" t="str">
        <f t="shared" si="752"/>
        <v/>
      </c>
      <c r="BF810" s="1080" t="str">
        <f t="shared" si="785"/>
        <v>Outdoor Skills</v>
      </c>
    </row>
    <row r="811" spans="1:58" ht="11.1" customHeight="1" outlineLevel="1">
      <c r="A811" s="1117" t="s">
        <v>5580</v>
      </c>
      <c r="B811" s="1094" t="s">
        <v>1942</v>
      </c>
      <c r="C811" s="1094" t="s">
        <v>4629</v>
      </c>
      <c r="D811" s="1094"/>
      <c r="E811" s="1095" t="s">
        <v>5224</v>
      </c>
      <c r="F811" s="1095" t="s">
        <v>5224</v>
      </c>
      <c r="G811" s="1096">
        <v>0</v>
      </c>
      <c r="H811" s="1096" t="s">
        <v>5224</v>
      </c>
      <c r="I811" s="1096" t="s">
        <v>5224</v>
      </c>
      <c r="J811" s="1096" t="s">
        <v>5224</v>
      </c>
      <c r="K811" s="1096" t="s">
        <v>5224</v>
      </c>
      <c r="L811" s="1096" t="s">
        <v>5224</v>
      </c>
      <c r="M811" s="1096" t="s">
        <v>5224</v>
      </c>
      <c r="N811" s="1096" t="s">
        <v>4631</v>
      </c>
      <c r="O811" s="1028"/>
      <c r="P811" s="1028" t="s">
        <v>3612</v>
      </c>
      <c r="Q811" s="1097">
        <f t="shared" ref="Q811:Q823" ca="1" si="819">INDIRECT(P811)</f>
        <v>10</v>
      </c>
      <c r="R811" s="1028"/>
      <c r="S811" s="1028" t="s">
        <v>3613</v>
      </c>
      <c r="T811" s="1097">
        <f t="shared" ref="T811:T823" ca="1" si="820">INDIRECT(S811)</f>
        <v>15</v>
      </c>
      <c r="U811" s="1027">
        <v>4</v>
      </c>
      <c r="V811" s="1027">
        <f t="shared" ref="V811:V823" si="821">IF(AP811+U811&gt;10,10,IF(AP811+U811&lt;1,1,AP811+U811))</f>
        <v>5</v>
      </c>
      <c r="W811" s="1098" t="e">
        <f>IF(OR(I811&lt;&gt;"N",E811="C"),IF(AND(N811&lt;&gt;"T",ISNUMBER(FIND("V",I811))),1,0),NA())+IF(H811="Y",IF(AND(N811="P",ISNUMBER(FIND("Z",I811))),2,1),0)+IF(J811="Y",1,0)+IF(K811="Y",3,0)+IF(BE811="Lore",L811*2+Experience!$D$25,0)+IF(M811="Y",1,0)</f>
        <v>#N/A</v>
      </c>
      <c r="X811" s="1099"/>
      <c r="Y811" s="1100">
        <f ca="1">IF(P811="NS",IFERROR(INDIRECT(S811),NA()),VLOOKUP(INDIRECT(P811)+INDIRECT(S811),'System Lookups'!$A$3:$D$146,2))</f>
        <v>0.02</v>
      </c>
      <c r="Z811" s="1100">
        <f>IF(ISNA(W811),0,W811*0.03)+IF(X811&gt;0,X811*0.03,0)+IF(AND(ISNA(W811),X811&lt;=0),0,IF(G811&gt;0,G811*0.07,0))</f>
        <v>0</v>
      </c>
      <c r="AA811" s="1101">
        <f ca="1">IF(ISNA(Y811),0,Y811)+Z811</f>
        <v>0.02</v>
      </c>
      <c r="AB811" s="1102">
        <f>VLOOKUP(V811,'System Lookups'!$J$55:$P$64,3)</f>
        <v>0.1</v>
      </c>
      <c r="AC811" s="1103">
        <f>VLOOKUP(V811,'System Lookups'!$J$55:$P$64,4)</f>
        <v>0.2</v>
      </c>
      <c r="AD811" s="1104">
        <f t="shared" ref="AD811:AD823" si="822">IF(AND(ISBLANK(X811),ISNA(W811)),IF(B811="~",0,AB811+AA811+IF(BB811&gt;0,0.05,0)),AA811+AC811+IF(BB811&gt;0,0.05,0))</f>
        <v>0</v>
      </c>
      <c r="AE811" s="1094">
        <f>(IF(AD811&gt;VLOOKUP(V811,'System Lookups'!$J$55:$P$63,6),(((AD811-VLOOKUP(V811,'System Lookups'!$J$55:$P$63,6))*100)/20),0))+AF811</f>
        <v>0</v>
      </c>
      <c r="AF811" s="1121"/>
      <c r="AG811" s="1092">
        <f t="shared" ref="AG811:AG823" si="823">IF(ISBLANK(X811),0,AQ811*X811+IF(ISNA(W811),1,0))</f>
        <v>0</v>
      </c>
      <c r="AH811" s="1092" t="str">
        <f>IF(X811&lt;=Experience!$R$15+1,"","*")</f>
        <v/>
      </c>
      <c r="AI811" s="1092"/>
      <c r="AJ811" s="1080">
        <f t="shared" ref="AJ811:AJ823" si="824">IF(ISNUMBER(FIND("R",F811)),-1,0)</f>
        <v>0</v>
      </c>
      <c r="AK811" s="1080">
        <f t="shared" ref="AK811:AK823" si="825">IF(F811="s",-2,0)</f>
        <v>0</v>
      </c>
      <c r="AL811" s="1080">
        <f t="shared" ref="AL811:AL829" si="826">IF(AND(H811="Y",OR(N811="P",N811="S")),-1,0)</f>
        <v>0</v>
      </c>
      <c r="AM811" s="1092">
        <f t="shared" ref="AM811:AM823" si="827">IF(J811="y",1,0)</f>
        <v>0</v>
      </c>
      <c r="AN811" s="1080">
        <f t="shared" ref="AN811:AN823" si="828">IF(N811="P",-1,IF(N811="T",1,0))</f>
        <v>1</v>
      </c>
      <c r="AO811" s="1080">
        <f t="shared" ref="AO811:AO829" si="829">IF(ISNUMBER(FIND("Z",I811)),1,0)</f>
        <v>0</v>
      </c>
      <c r="AP811" s="1080">
        <f t="shared" ref="AP811:AP823" si="830">SUM(AJ811:AN811)-AM811</f>
        <v>1</v>
      </c>
      <c r="AQ811" s="1027">
        <f>VLOOKUP(V811,'System Lookups'!$J$55:$P$64,7)</f>
        <v>700</v>
      </c>
      <c r="AR811" s="1080" t="str">
        <f ca="1">IF(AND(NOT(ISBLANK(AJ811)),ISNA(MATCH(ROW(),'System Lookups'!$C$526:$C$539,0))),"Y","N")</f>
        <v>Y</v>
      </c>
      <c r="AS811" s="1080">
        <f t="shared" ref="AS811:AS829" si="831">AG811-AI811</f>
        <v>0</v>
      </c>
      <c r="AU811" s="1080" t="e">
        <f t="shared" si="753"/>
        <v>#N/A</v>
      </c>
      <c r="AV811" s="1080" t="str">
        <f t="shared" si="808"/>
        <v>T</v>
      </c>
      <c r="AW811" s="1080">
        <f t="shared" si="754"/>
        <v>0</v>
      </c>
      <c r="AX811" s="1080">
        <f t="shared" si="755"/>
        <v>0</v>
      </c>
      <c r="AY811" s="1080">
        <f t="shared" si="756"/>
        <v>0</v>
      </c>
      <c r="AZ811" s="1080">
        <f t="shared" si="757"/>
        <v>0</v>
      </c>
      <c r="BA811" s="1080">
        <f t="shared" si="758"/>
        <v>0</v>
      </c>
      <c r="BB811" s="1080">
        <f>IF(AND(RACE=1,'Main Creation Page'!$E$6="Well",OR(ISNUMBER(FIND(Experience!$G$11,BE811)),ISNUMBER(FIND(Experience!$G$11,BF811)),ISNUMBER(FIND(Experience!$I$11,BE811)),ISNUMBER(FIND(Experience!$I$11,BF811)))),1,0)</f>
        <v>0</v>
      </c>
      <c r="BC811" s="1080" t="str">
        <f t="shared" si="784"/>
        <v>Calm &amp; Attract Animals</v>
      </c>
      <c r="BE811" s="1080" t="str">
        <f t="shared" si="752"/>
        <v/>
      </c>
      <c r="BF811" s="1080" t="str">
        <f t="shared" si="785"/>
        <v>Outdoor Skills</v>
      </c>
    </row>
    <row r="812" spans="1:58" ht="11.1" customHeight="1" outlineLevel="1">
      <c r="A812" s="1117" t="s">
        <v>102</v>
      </c>
      <c r="B812" s="1094"/>
      <c r="C812" s="1094" t="s">
        <v>4629</v>
      </c>
      <c r="D812" s="1094"/>
      <c r="E812" s="1095" t="s">
        <v>5224</v>
      </c>
      <c r="F812" s="1095" t="s">
        <v>5224</v>
      </c>
      <c r="G812" s="1096">
        <v>0</v>
      </c>
      <c r="H812" s="1096" t="s">
        <v>5224</v>
      </c>
      <c r="I812" s="1096" t="s">
        <v>5224</v>
      </c>
      <c r="J812" s="1096" t="s">
        <v>5224</v>
      </c>
      <c r="K812" s="1096" t="s">
        <v>5224</v>
      </c>
      <c r="L812" s="1096" t="s">
        <v>5224</v>
      </c>
      <c r="M812" s="1096" t="s">
        <v>5224</v>
      </c>
      <c r="N812" s="1096" t="s">
        <v>4631</v>
      </c>
      <c r="O812" s="1028"/>
      <c r="P812" s="1028" t="s">
        <v>780</v>
      </c>
      <c r="Q812" s="1097">
        <f t="shared" ca="1" si="819"/>
        <v>17</v>
      </c>
      <c r="R812" s="1034"/>
      <c r="S812" s="1028" t="s">
        <v>3611</v>
      </c>
      <c r="T812" s="1097">
        <f t="shared" ca="1" si="820"/>
        <v>15</v>
      </c>
      <c r="U812" s="1027">
        <v>4</v>
      </c>
      <c r="V812" s="1027">
        <f t="shared" si="821"/>
        <v>5</v>
      </c>
      <c r="W812" s="1098" t="e">
        <f>IF(OR(I812&lt;&gt;"N",E812="C"),IF(AND(N812&lt;&gt;"T",ISNUMBER(FIND("V",I812))),1,0),NA())+IF(H812="Y",IF(AND(N812="P",ISNUMBER(FIND("Z",I812))),2,1),0)+IF(J812="Y",1,0)+IF(K812="Y",3,0)+IF(BE812="Lore",L812*2+Experience!$D$25,0)+IF(M812="Y",1,0)</f>
        <v>#N/A</v>
      </c>
      <c r="X812" s="1099"/>
      <c r="Y812" s="1100">
        <f ca="1">IF(P812="NS",IFERROR(INDIRECT(S812),NA()),VLOOKUP(INDIRECT(P812)+INDIRECT(S812),'System Lookups'!$A$3:$D$146,2))</f>
        <v>0.08</v>
      </c>
      <c r="Z812" s="1100">
        <f>IF(ISNA(W812),0,W812*0.03)+IF(X812&gt;0,X812*0.03,0)+IF(AND(ISNA(W812),X812&lt;=0),0,IF(G812&gt;0,G812*0.07,0))</f>
        <v>0</v>
      </c>
      <c r="AA812" s="1101">
        <f ca="1">IF(ISNA(Y812),0,Y812)+Z812</f>
        <v>0.08</v>
      </c>
      <c r="AB812" s="1102">
        <f>VLOOKUP(V812,'System Lookups'!$J$55:$P$64,3)</f>
        <v>0.1</v>
      </c>
      <c r="AC812" s="1103">
        <f>VLOOKUP(V812,'System Lookups'!$J$55:$P$64,4)</f>
        <v>0.2</v>
      </c>
      <c r="AD812" s="1104">
        <f t="shared" ca="1" si="822"/>
        <v>0.18</v>
      </c>
      <c r="AE812" s="1094">
        <f ca="1">(IF(AD812&gt;VLOOKUP(V812,'System Lookups'!$J$55:$P$63,6),(((AD812-VLOOKUP(V812,'System Lookups'!$J$55:$P$63,6))*100)/20),0))+AF812</f>
        <v>0</v>
      </c>
      <c r="AF812" s="1121"/>
      <c r="AG812" s="1092">
        <f t="shared" si="823"/>
        <v>0</v>
      </c>
      <c r="AH812" s="1092" t="str">
        <f>IF(X812&lt;=Experience!$R$15+1,"","*")</f>
        <v/>
      </c>
      <c r="AI812" s="1092"/>
      <c r="AJ812" s="1080">
        <f t="shared" si="824"/>
        <v>0</v>
      </c>
      <c r="AK812" s="1080">
        <f t="shared" si="825"/>
        <v>0</v>
      </c>
      <c r="AL812" s="1080">
        <f t="shared" si="826"/>
        <v>0</v>
      </c>
      <c r="AM812" s="1092">
        <f t="shared" si="827"/>
        <v>0</v>
      </c>
      <c r="AN812" s="1080">
        <f t="shared" si="828"/>
        <v>1</v>
      </c>
      <c r="AO812" s="1080">
        <f t="shared" si="829"/>
        <v>0</v>
      </c>
      <c r="AP812" s="1080">
        <f t="shared" si="830"/>
        <v>1</v>
      </c>
      <c r="AQ812" s="1027">
        <f>VLOOKUP(V812,'System Lookups'!$J$55:$P$64,7)</f>
        <v>700</v>
      </c>
      <c r="AR812" s="1080" t="str">
        <f ca="1">IF(AND(NOT(ISBLANK(AJ812)),ISNA(MATCH(ROW(),'System Lookups'!$C$526:$C$539,0))),"Y","N")</f>
        <v>Y</v>
      </c>
      <c r="AS812" s="1080">
        <f t="shared" si="831"/>
        <v>0</v>
      </c>
      <c r="AU812" s="1080" t="e">
        <f t="shared" si="753"/>
        <v>#N/A</v>
      </c>
      <c r="AV812" s="1080" t="str">
        <f t="shared" si="808"/>
        <v>T</v>
      </c>
      <c r="AW812" s="1080">
        <f t="shared" si="754"/>
        <v>0</v>
      </c>
      <c r="AX812" s="1080">
        <f t="shared" si="755"/>
        <v>0</v>
      </c>
      <c r="AY812" s="1080">
        <f t="shared" si="756"/>
        <v>0</v>
      </c>
      <c r="AZ812" s="1080">
        <f t="shared" si="757"/>
        <v>0</v>
      </c>
      <c r="BA812" s="1080">
        <f t="shared" si="758"/>
        <v>0</v>
      </c>
      <c r="BB812" s="1080">
        <f>IF(AND(RACE=1,'Main Creation Page'!$E$6="Well",OR(ISNUMBER(FIND(Experience!$G$11,BE812)),ISNUMBER(FIND(Experience!$G$11,BF812)),ISNUMBER(FIND(Experience!$I$11,BE812)),ISNUMBER(FIND(Experience!$I$11,BF812)))),1,0)</f>
        <v>0</v>
      </c>
      <c r="BC812" s="1080" t="str">
        <f t="shared" si="784"/>
        <v>Covering Tracks</v>
      </c>
      <c r="BE812" s="1080" t="str">
        <f t="shared" si="752"/>
        <v/>
      </c>
      <c r="BF812" s="1080" t="str">
        <f t="shared" si="785"/>
        <v>Outdoor Skills</v>
      </c>
    </row>
    <row r="813" spans="1:58" ht="11.1" customHeight="1" outlineLevel="1">
      <c r="A813" s="1117" t="s">
        <v>5581</v>
      </c>
      <c r="B813" s="1094"/>
      <c r="C813" s="1094"/>
      <c r="D813" s="1094"/>
      <c r="E813" s="1095" t="s">
        <v>5224</v>
      </c>
      <c r="F813" s="1095" t="s">
        <v>5224</v>
      </c>
      <c r="G813" s="1096">
        <v>0</v>
      </c>
      <c r="H813" s="1096" t="s">
        <v>5224</v>
      </c>
      <c r="I813" s="1096" t="s">
        <v>5224</v>
      </c>
      <c r="J813" s="1096" t="s">
        <v>5224</v>
      </c>
      <c r="K813" s="1096" t="s">
        <v>5224</v>
      </c>
      <c r="L813" s="1096" t="s">
        <v>5224</v>
      </c>
      <c r="M813" s="1096" t="s">
        <v>5224</v>
      </c>
      <c r="N813" s="1096" t="s">
        <v>4631</v>
      </c>
      <c r="O813" s="1028"/>
      <c r="P813" s="1028" t="s">
        <v>780</v>
      </c>
      <c r="Q813" s="1097">
        <f t="shared" ca="1" si="819"/>
        <v>17</v>
      </c>
      <c r="R813" s="1034"/>
      <c r="S813" s="1028" t="s">
        <v>3616</v>
      </c>
      <c r="T813" s="1097">
        <f t="shared" ca="1" si="820"/>
        <v>17</v>
      </c>
      <c r="U813" s="1027">
        <v>4</v>
      </c>
      <c r="V813" s="1027">
        <f t="shared" si="821"/>
        <v>5</v>
      </c>
      <c r="W813" s="1098" t="e">
        <f>IF(OR(I813&lt;&gt;"N",E813="C"),IF(AND(N813&lt;&gt;"T",ISNUMBER(FIND("V",I813))),1,0),NA())+IF(H813="Y",IF(AND(N813="P",ISNUMBER(FIND("Z",I813))),2,1),0)+IF(J813="Y",1,0)+IF(K813="Y",3,0)+IF(BE813="Lore",L813*2+Experience!$D$25,0)+IF(M813="Y",1,0)</f>
        <v>#N/A</v>
      </c>
      <c r="X813" s="1099"/>
      <c r="Y813" s="1100">
        <f ca="1">IF(P813="NS",IFERROR(INDIRECT(S813),NA()),VLOOKUP(INDIRECT(P813)+INDIRECT(S813),'System Lookups'!$A$3:$D$146,2))</f>
        <v>0.1</v>
      </c>
      <c r="Z813" s="1100">
        <f>IF(ISNA(W813),0,W813*0.03)+IF(X813&gt;0,X813*0.03,0)+IF(AND(ISNA(W813),X813&lt;=0),0,IF(G813&gt;0,G813*0.07,0))</f>
        <v>0</v>
      </c>
      <c r="AA813" s="1101">
        <f ca="1">IF(ISNA(Y813),0,Y813)+Z813</f>
        <v>0.1</v>
      </c>
      <c r="AB813" s="1102">
        <f>VLOOKUP(V813,'System Lookups'!$J$55:$P$64,3)</f>
        <v>0.1</v>
      </c>
      <c r="AC813" s="1103">
        <f>VLOOKUP(V813,'System Lookups'!$J$55:$P$64,4)</f>
        <v>0.2</v>
      </c>
      <c r="AD813" s="1104">
        <f t="shared" ca="1" si="822"/>
        <v>0.2</v>
      </c>
      <c r="AE813" s="1094">
        <f ca="1">(IF(AD813&gt;VLOOKUP(V813,'System Lookups'!$J$55:$P$63,6),(((AD813-VLOOKUP(V813,'System Lookups'!$J$55:$P$63,6))*100)/20),0))+AF813</f>
        <v>0</v>
      </c>
      <c r="AF813" s="1121"/>
      <c r="AG813" s="1092">
        <f t="shared" si="823"/>
        <v>0</v>
      </c>
      <c r="AH813" s="1092" t="str">
        <f>IF(X813&lt;=Experience!$R$15+1,"","*")</f>
        <v/>
      </c>
      <c r="AI813" s="1092"/>
      <c r="AJ813" s="1080">
        <f t="shared" si="824"/>
        <v>0</v>
      </c>
      <c r="AK813" s="1080">
        <f t="shared" si="825"/>
        <v>0</v>
      </c>
      <c r="AL813" s="1080">
        <f t="shared" si="826"/>
        <v>0</v>
      </c>
      <c r="AM813" s="1092">
        <f t="shared" si="827"/>
        <v>0</v>
      </c>
      <c r="AN813" s="1080">
        <f t="shared" si="828"/>
        <v>1</v>
      </c>
      <c r="AO813" s="1080">
        <f t="shared" si="829"/>
        <v>0</v>
      </c>
      <c r="AP813" s="1080">
        <f t="shared" si="830"/>
        <v>1</v>
      </c>
      <c r="AQ813" s="1027">
        <f>VLOOKUP(V813,'System Lookups'!$J$55:$P$64,7)</f>
        <v>700</v>
      </c>
      <c r="AR813" s="1080" t="str">
        <f ca="1">IF(AND(NOT(ISBLANK(AJ813)),ISNA(MATCH(ROW(),'System Lookups'!$C$526:$C$539,0))),"Y","N")</f>
        <v>Y</v>
      </c>
      <c r="AS813" s="1080">
        <f t="shared" si="831"/>
        <v>0</v>
      </c>
      <c r="AU813" s="1080" t="e">
        <f t="shared" si="753"/>
        <v>#N/A</v>
      </c>
      <c r="AV813" s="1080" t="str">
        <f t="shared" si="808"/>
        <v>T</v>
      </c>
      <c r="AW813" s="1080">
        <f t="shared" si="754"/>
        <v>0</v>
      </c>
      <c r="AX813" s="1080">
        <f t="shared" si="755"/>
        <v>0</v>
      </c>
      <c r="AY813" s="1080">
        <f t="shared" si="756"/>
        <v>0</v>
      </c>
      <c r="AZ813" s="1080">
        <f t="shared" si="757"/>
        <v>0</v>
      </c>
      <c r="BA813" s="1080">
        <f t="shared" si="758"/>
        <v>0</v>
      </c>
      <c r="BB813" s="1080">
        <f>IF(AND(RACE=1,'Main Creation Page'!$E$6="Well",OR(ISNUMBER(FIND(Experience!$G$11,BE813)),ISNUMBER(FIND(Experience!$G$11,BF813)),ISNUMBER(FIND(Experience!$I$11,BE813)),ISNUMBER(FIND(Experience!$I$11,BF813)))),1,0)</f>
        <v>0</v>
      </c>
      <c r="BC813" s="1080" t="str">
        <f t="shared" si="784"/>
        <v>Detecting Snares</v>
      </c>
      <c r="BE813" s="1080" t="str">
        <f t="shared" si="752"/>
        <v/>
      </c>
      <c r="BF813" s="1080" t="str">
        <f t="shared" si="785"/>
        <v>Outdoor Skills</v>
      </c>
    </row>
    <row r="814" spans="1:58" ht="11.1" customHeight="1" outlineLevel="1">
      <c r="A814" s="1123" t="s">
        <v>5134</v>
      </c>
      <c r="B814" s="1094" t="s">
        <v>1942</v>
      </c>
      <c r="C814" s="1094" t="s">
        <v>4629</v>
      </c>
      <c r="D814" s="1094"/>
      <c r="E814" s="1095" t="s">
        <v>5224</v>
      </c>
      <c r="F814" s="1095" t="s">
        <v>5224</v>
      </c>
      <c r="G814" s="1096">
        <v>0</v>
      </c>
      <c r="H814" s="1096" t="s">
        <v>5224</v>
      </c>
      <c r="I814" s="1096" t="s">
        <v>5224</v>
      </c>
      <c r="J814" s="1096" t="s">
        <v>5224</v>
      </c>
      <c r="K814" s="1096" t="s">
        <v>5224</v>
      </c>
      <c r="L814" s="1096" t="s">
        <v>5224</v>
      </c>
      <c r="M814" s="1096" t="s">
        <v>5224</v>
      </c>
      <c r="N814" s="1096" t="s">
        <v>4631</v>
      </c>
      <c r="O814" s="1028"/>
      <c r="P814" s="1028" t="s">
        <v>3615</v>
      </c>
      <c r="Q814" s="1097">
        <f t="shared" ca="1" si="819"/>
        <v>20</v>
      </c>
      <c r="R814" s="1028"/>
      <c r="S814" s="1028" t="s">
        <v>3616</v>
      </c>
      <c r="T814" s="1097">
        <f t="shared" ca="1" si="820"/>
        <v>17</v>
      </c>
      <c r="U814" s="1027">
        <v>3</v>
      </c>
      <c r="V814" s="1027">
        <f t="shared" si="821"/>
        <v>4</v>
      </c>
      <c r="W814" s="1098" t="e">
        <f>IF(OR(I814&lt;&gt;"N",E814="C"),IF(AND(N814&lt;&gt;"T",ISNUMBER(FIND("V",I814))),1,0),NA())+IF(H814="Y",IF(AND(N814="P",ISNUMBER(FIND("Z",I814))),2,1),0)+IF(J814="Y",1,0)+IF(K814="Y",3,0)+IF(BE814="Lore",L814*2+Experience!$D$25,0)+IF(M814="Y",1,0)</f>
        <v>#N/A</v>
      </c>
      <c r="X814" s="1099"/>
      <c r="Y814" s="1100">
        <f ca="1">IF(P814="NS",IFERROR(INDIRECT(S814),NA()),VLOOKUP(INDIRECT(P814)+INDIRECT(S814),'System Lookups'!$A$3:$D$146,2))</f>
        <v>0.14000000000000001</v>
      </c>
      <c r="Z814" s="1100">
        <f>IF(ISNA(W814),0,W814*0.03)+IF(X814&gt;0,X814*0.03,0)+IF(AND(ISNA(W814),X814&lt;=0),0,IF(G814&gt;0,G814*0.07,0))</f>
        <v>0</v>
      </c>
      <c r="AA814" s="1101">
        <f ca="1">IF(ISNA(Y814),0,Y814)+Z814</f>
        <v>0.14000000000000001</v>
      </c>
      <c r="AB814" s="1102">
        <f>VLOOKUP(V814,'System Lookups'!$J$55:$P$64,3)</f>
        <v>0.2</v>
      </c>
      <c r="AC814" s="1103">
        <f>VLOOKUP(V814,'System Lookups'!$J$55:$P$64,4)</f>
        <v>0.3</v>
      </c>
      <c r="AD814" s="1104">
        <f t="shared" si="822"/>
        <v>0</v>
      </c>
      <c r="AE814" s="1094">
        <f>(IF(AD814&gt;VLOOKUP(V814,'System Lookups'!$J$55:$P$63,6),(((AD814-VLOOKUP(V814,'System Lookups'!$J$55:$P$63,6))*100)/20),0))+AF814</f>
        <v>0</v>
      </c>
      <c r="AF814" s="1121"/>
      <c r="AG814" s="1092">
        <f t="shared" si="823"/>
        <v>0</v>
      </c>
      <c r="AH814" s="1092" t="str">
        <f>IF(X814&lt;=Experience!$R$15+1,"","*")</f>
        <v/>
      </c>
      <c r="AI814" s="1092"/>
      <c r="AJ814" s="1080">
        <f t="shared" si="824"/>
        <v>0</v>
      </c>
      <c r="AK814" s="1080">
        <f t="shared" si="825"/>
        <v>0</v>
      </c>
      <c r="AL814" s="1080">
        <f t="shared" si="826"/>
        <v>0</v>
      </c>
      <c r="AM814" s="1092">
        <f t="shared" si="827"/>
        <v>0</v>
      </c>
      <c r="AN814" s="1080">
        <f t="shared" si="828"/>
        <v>1</v>
      </c>
      <c r="AO814" s="1080">
        <f t="shared" si="829"/>
        <v>0</v>
      </c>
      <c r="AP814" s="1080">
        <f t="shared" si="830"/>
        <v>1</v>
      </c>
      <c r="AQ814" s="1027">
        <f>VLOOKUP(V814,'System Lookups'!$J$55:$P$64,7)</f>
        <v>600</v>
      </c>
      <c r="AR814" s="1080" t="str">
        <f ca="1">IF(AND(NOT(ISBLANK(AJ814)),ISNA(MATCH(ROW(),'System Lookups'!$C$526:$C$539,0))),"Y","N")</f>
        <v>Y</v>
      </c>
      <c r="AS814" s="1080">
        <f t="shared" si="831"/>
        <v>0</v>
      </c>
      <c r="AU814" s="1080" t="e">
        <f t="shared" si="753"/>
        <v>#N/A</v>
      </c>
      <c r="AV814" s="1080" t="str">
        <f t="shared" si="808"/>
        <v>T</v>
      </c>
      <c r="AW814" s="1080">
        <f t="shared" si="754"/>
        <v>0</v>
      </c>
      <c r="AX814" s="1080">
        <f t="shared" si="755"/>
        <v>0</v>
      </c>
      <c r="AY814" s="1080">
        <f t="shared" si="756"/>
        <v>0</v>
      </c>
      <c r="AZ814" s="1080">
        <f t="shared" si="757"/>
        <v>0</v>
      </c>
      <c r="BA814" s="1080">
        <f t="shared" si="758"/>
        <v>0</v>
      </c>
      <c r="BB814" s="1080">
        <f>IF(AND(RACE=1,'Main Creation Page'!$E$6="Well",OR(ISNUMBER(FIND(Experience!$G$11,BE814)),ISNUMBER(FIND(Experience!$G$11,BF814)),ISNUMBER(FIND(Experience!$I$11,BE814)),ISNUMBER(FIND(Experience!$I$11,BF814)))),1,0)</f>
        <v>0</v>
      </c>
      <c r="BC814" s="1080" t="str">
        <f t="shared" si="784"/>
        <v>Finding &amp; Building Campsites</v>
      </c>
      <c r="BE814" s="1080" t="str">
        <f t="shared" si="752"/>
        <v/>
      </c>
      <c r="BF814" s="1080" t="str">
        <f t="shared" si="785"/>
        <v>Outdoor Skills</v>
      </c>
    </row>
    <row r="815" spans="1:58" ht="11.1" customHeight="1" outlineLevel="2">
      <c r="A815" s="1093" t="s">
        <v>1025</v>
      </c>
      <c r="B815" s="1094" t="s">
        <v>1942</v>
      </c>
      <c r="C815" s="1094"/>
      <c r="D815" s="1094"/>
      <c r="E815" s="1095" t="s">
        <v>5224</v>
      </c>
      <c r="F815" s="1095" t="str">
        <f>IF(('Main Creation Page'!$C$3=3),"R","N")</f>
        <v>N</v>
      </c>
      <c r="G815" s="1096">
        <v>0</v>
      </c>
      <c r="H815" s="1096" t="s">
        <v>5224</v>
      </c>
      <c r="I815" s="1096" t="s">
        <v>5224</v>
      </c>
      <c r="J815" s="1096" t="s">
        <v>5224</v>
      </c>
      <c r="K815" s="1096" t="s">
        <v>5224</v>
      </c>
      <c r="L815" s="1096" t="s">
        <v>5224</v>
      </c>
      <c r="M815" s="1096" t="s">
        <v>5224</v>
      </c>
      <c r="N815" s="1096" t="s">
        <v>4631</v>
      </c>
      <c r="O815" s="1028"/>
      <c r="P815" s="1028" t="s">
        <v>3615</v>
      </c>
      <c r="Q815" s="1097">
        <f t="shared" ca="1" si="819"/>
        <v>20</v>
      </c>
      <c r="R815" s="1028"/>
      <c r="S815" s="1028" t="s">
        <v>3616</v>
      </c>
      <c r="T815" s="1097">
        <f t="shared" ca="1" si="820"/>
        <v>17</v>
      </c>
      <c r="U815" s="1027">
        <v>0</v>
      </c>
      <c r="V815" s="1027">
        <f t="shared" si="821"/>
        <v>1</v>
      </c>
      <c r="W815" s="1098" t="e">
        <f>IF(OR(I815&lt;&gt;"N",E815="C"),IF(AND(N815&lt;&gt;"T",ISNUMBER(FIND("V",I815))),1,0),NA())+IF(H815="Y",IF(AND(N815="P",ISNUMBER(FIND("Z",I815))),2,1),0)+IF(J815="Y",1,0)+IF(K815="Y",3,0)+IF(BE815="Lore",L815*2+Experience!$D$25,0)+IF(M815="Y",1,0)</f>
        <v>#N/A</v>
      </c>
      <c r="X815" s="1099"/>
      <c r="Y815" s="1100">
        <f ca="1">IF(P815="NS",IFERROR(INDIRECT(S815),NA()),VLOOKUP(INDIRECT(P815)+INDIRECT(S815),'System Lookups'!$A$3:$D$146,2))</f>
        <v>0.14000000000000001</v>
      </c>
      <c r="Z815" s="1100">
        <f t="shared" ref="Z815:Z822" ca="1" si="832">Z$571</f>
        <v>0</v>
      </c>
      <c r="AA815" s="1101">
        <f ca="1">IF(ISNA(Y815),0,Y815)+Z815+IF('Main Creation Page'!AB$2=37,'Main Creation Page'!E$14/100,0)</f>
        <v>0.14000000000000001</v>
      </c>
      <c r="AB815" s="1102">
        <f>VLOOKUP(V815,'System Lookups'!$J$55:$P$64,3)</f>
        <v>0.5</v>
      </c>
      <c r="AC815" s="1103">
        <f>VLOOKUP(V815,'System Lookups'!$J$55:$P$64,4)</f>
        <v>0.6</v>
      </c>
      <c r="AD815" s="1104">
        <f t="shared" si="822"/>
        <v>0</v>
      </c>
      <c r="AE815" s="1094">
        <f>(IF(AD815&gt;VLOOKUP(V815,'System Lookups'!$J$55:$P$63,6),(((AD815-VLOOKUP(V815,'System Lookups'!$J$55:$P$63,6))*100)/20),0))+AF815</f>
        <v>0</v>
      </c>
      <c r="AF815" s="1121"/>
      <c r="AG815" s="1092">
        <f t="shared" si="823"/>
        <v>0</v>
      </c>
      <c r="AH815" s="1092" t="str">
        <f>IF(X815&lt;=Experience!$R$15+1,"","*")</f>
        <v/>
      </c>
      <c r="AI815" s="1092"/>
      <c r="AJ815" s="1080">
        <f t="shared" si="824"/>
        <v>0</v>
      </c>
      <c r="AK815" s="1080">
        <f t="shared" si="825"/>
        <v>0</v>
      </c>
      <c r="AL815" s="1080">
        <f t="shared" si="826"/>
        <v>0</v>
      </c>
      <c r="AM815" s="1092">
        <f t="shared" si="827"/>
        <v>0</v>
      </c>
      <c r="AN815" s="1080">
        <f t="shared" si="828"/>
        <v>1</v>
      </c>
      <c r="AO815" s="1080">
        <f t="shared" si="829"/>
        <v>0</v>
      </c>
      <c r="AP815" s="1080">
        <f t="shared" si="830"/>
        <v>1</v>
      </c>
      <c r="AQ815" s="1027">
        <f>VLOOKUP(V815,'System Lookups'!$J$55:$P$64,7)</f>
        <v>300</v>
      </c>
      <c r="AR815" s="1080" t="str">
        <f ca="1">IF(AND(NOT(ISBLANK(AJ815)),ISNA(MATCH(ROW(),'System Lookups'!$C$526:$C$539,0))),"Y","N")</f>
        <v>Y</v>
      </c>
      <c r="AS815" s="1080">
        <f t="shared" si="831"/>
        <v>0</v>
      </c>
      <c r="AU815" s="1080" t="e">
        <f t="shared" si="753"/>
        <v>#N/A</v>
      </c>
      <c r="AV815" s="1080" t="str">
        <f t="shared" si="808"/>
        <v>T</v>
      </c>
      <c r="AW815" s="1080">
        <f t="shared" si="754"/>
        <v>0</v>
      </c>
      <c r="AX815" s="1080">
        <f t="shared" si="755"/>
        <v>0</v>
      </c>
      <c r="AY815" s="1080">
        <f t="shared" si="756"/>
        <v>0</v>
      </c>
      <c r="AZ815" s="1080">
        <f t="shared" si="757"/>
        <v>0</v>
      </c>
      <c r="BA815" s="1080">
        <f t="shared" si="758"/>
        <v>0</v>
      </c>
      <c r="BB815" s="1080">
        <f>IF(AND(RACE=1,'Main Creation Page'!$E$6="Well",OR(ISNUMBER(FIND(Experience!$G$11,BE815)),ISNUMBER(FIND(Experience!$G$11,BF815)),ISNUMBER(FIND(Experience!$I$11,BE815)),ISNUMBER(FIND(Experience!$I$11,BF815)))),1,0)</f>
        <v>0</v>
      </c>
      <c r="BC815" s="1080" t="str">
        <f t="shared" si="784"/>
        <v>F&amp;BC:Desert</v>
      </c>
      <c r="BD815" s="1080" t="s">
        <v>5706</v>
      </c>
      <c r="BE815" s="1080" t="str">
        <f t="shared" si="752"/>
        <v/>
      </c>
      <c r="BF815" s="1080" t="str">
        <f t="shared" si="785"/>
        <v>Outdoor Skills</v>
      </c>
    </row>
    <row r="816" spans="1:58" ht="11.1" customHeight="1" outlineLevel="2">
      <c r="A816" s="1093" t="s">
        <v>5351</v>
      </c>
      <c r="B816" s="1094" t="s">
        <v>1942</v>
      </c>
      <c r="C816" s="1094"/>
      <c r="D816" s="1094"/>
      <c r="E816" s="1095" t="s">
        <v>5224</v>
      </c>
      <c r="F816" s="1095" t="str">
        <f>IF(('Main Creation Page'!$C$3=3),"R","N")</f>
        <v>N</v>
      </c>
      <c r="G816" s="1096">
        <v>0</v>
      </c>
      <c r="H816" s="1096" t="s">
        <v>5224</v>
      </c>
      <c r="I816" s="1096" t="s">
        <v>5224</v>
      </c>
      <c r="J816" s="1096" t="s">
        <v>5224</v>
      </c>
      <c r="K816" s="1096" t="s">
        <v>5224</v>
      </c>
      <c r="L816" s="1096" t="s">
        <v>5224</v>
      </c>
      <c r="M816" s="1096" t="s">
        <v>5224</v>
      </c>
      <c r="N816" s="1096" t="s">
        <v>4631</v>
      </c>
      <c r="O816" s="1028"/>
      <c r="P816" s="1028" t="s">
        <v>3615</v>
      </c>
      <c r="Q816" s="1097">
        <f t="shared" ca="1" si="819"/>
        <v>20</v>
      </c>
      <c r="R816" s="1028"/>
      <c r="S816" s="1028" t="s">
        <v>3616</v>
      </c>
      <c r="T816" s="1097">
        <f t="shared" ca="1" si="820"/>
        <v>17</v>
      </c>
      <c r="U816" s="1027">
        <v>0</v>
      </c>
      <c r="V816" s="1027">
        <f t="shared" si="821"/>
        <v>1</v>
      </c>
      <c r="W816" s="1098" t="e">
        <f>IF(OR(I816&lt;&gt;"N",E816="C"),IF(AND(N816&lt;&gt;"T",ISNUMBER(FIND("V",I816))),1,0),NA())+IF(H816="Y",IF(AND(N816="P",ISNUMBER(FIND("Z",I816))),2,1),0)+IF(J816="Y",1,0)+IF(K816="Y",3,0)+IF(BE816="Lore",L816*2+Experience!$D$25,0)+IF(M816="Y",1,0)</f>
        <v>#N/A</v>
      </c>
      <c r="X816" s="1099"/>
      <c r="Y816" s="1100">
        <f ca="1">IF(P816="NS",IFERROR(INDIRECT(S816),NA()),VLOOKUP(INDIRECT(P816)+INDIRECT(S816),'System Lookups'!$A$3:$D$146,2))</f>
        <v>0.14000000000000001</v>
      </c>
      <c r="Z816" s="1100">
        <f t="shared" ca="1" si="832"/>
        <v>0</v>
      </c>
      <c r="AA816" s="1101">
        <f ca="1">IF(ISNA(Y816),0,Y816)+Z816+IF('Main Creation Page'!AB$2=37,'Main Creation Page'!E$14/100,0)</f>
        <v>0.14000000000000001</v>
      </c>
      <c r="AB816" s="1102">
        <f>VLOOKUP(V816,'System Lookups'!$J$55:$P$64,3)</f>
        <v>0.5</v>
      </c>
      <c r="AC816" s="1103">
        <f>VLOOKUP(V816,'System Lookups'!$J$55:$P$64,4)</f>
        <v>0.6</v>
      </c>
      <c r="AD816" s="1104">
        <f t="shared" si="822"/>
        <v>0</v>
      </c>
      <c r="AE816" s="1094">
        <f>(IF(AD816&gt;VLOOKUP(V816,'System Lookups'!$J$55:$P$63,6),(((AD816-VLOOKUP(V816,'System Lookups'!$J$55:$P$63,6))*100)/20),0))+AF816</f>
        <v>0</v>
      </c>
      <c r="AF816" s="1121"/>
      <c r="AG816" s="1092">
        <f t="shared" si="823"/>
        <v>0</v>
      </c>
      <c r="AH816" s="1092" t="str">
        <f>IF(X816&lt;=Experience!$R$15+1,"","*")</f>
        <v/>
      </c>
      <c r="AI816" s="1092"/>
      <c r="AJ816" s="1080">
        <f t="shared" si="824"/>
        <v>0</v>
      </c>
      <c r="AK816" s="1080">
        <f t="shared" si="825"/>
        <v>0</v>
      </c>
      <c r="AL816" s="1080">
        <f t="shared" si="826"/>
        <v>0</v>
      </c>
      <c r="AM816" s="1092">
        <f t="shared" si="827"/>
        <v>0</v>
      </c>
      <c r="AN816" s="1080">
        <f t="shared" si="828"/>
        <v>1</v>
      </c>
      <c r="AO816" s="1080">
        <f t="shared" si="829"/>
        <v>0</v>
      </c>
      <c r="AP816" s="1080">
        <f t="shared" si="830"/>
        <v>1</v>
      </c>
      <c r="AQ816" s="1027">
        <f>VLOOKUP(V816,'System Lookups'!$J$55:$P$64,7)</f>
        <v>300</v>
      </c>
      <c r="AR816" s="1080" t="str">
        <f ca="1">IF(AND(NOT(ISBLANK(AJ816)),ISNA(MATCH(ROW(),'System Lookups'!$C$526:$C$539,0))),"Y","N")</f>
        <v>Y</v>
      </c>
      <c r="AS816" s="1080">
        <f t="shared" si="831"/>
        <v>0</v>
      </c>
      <c r="AU816" s="1080" t="e">
        <f t="shared" si="753"/>
        <v>#N/A</v>
      </c>
      <c r="AV816" s="1080" t="str">
        <f t="shared" si="808"/>
        <v>T</v>
      </c>
      <c r="AW816" s="1080">
        <f t="shared" si="754"/>
        <v>0</v>
      </c>
      <c r="AX816" s="1080">
        <f t="shared" si="755"/>
        <v>0</v>
      </c>
      <c r="AY816" s="1080">
        <f t="shared" si="756"/>
        <v>0</v>
      </c>
      <c r="AZ816" s="1080">
        <f t="shared" si="757"/>
        <v>0</v>
      </c>
      <c r="BA816" s="1080">
        <f t="shared" si="758"/>
        <v>0</v>
      </c>
      <c r="BB816" s="1080">
        <f>IF(AND(RACE=1,'Main Creation Page'!$E$6="Well",OR(ISNUMBER(FIND(Experience!$G$11,BE816)),ISNUMBER(FIND(Experience!$G$11,BF816)),ISNUMBER(FIND(Experience!$I$11,BE816)),ISNUMBER(FIND(Experience!$I$11,BF816)))),1,0)</f>
        <v>0</v>
      </c>
      <c r="BC816" s="1080" t="str">
        <f t="shared" si="784"/>
        <v>F&amp;BC:Forest</v>
      </c>
      <c r="BD816" s="1080" t="s">
        <v>5706</v>
      </c>
      <c r="BE816" s="1080" t="str">
        <f t="shared" si="752"/>
        <v/>
      </c>
      <c r="BF816" s="1080" t="str">
        <f t="shared" si="785"/>
        <v>Outdoor Skills</v>
      </c>
    </row>
    <row r="817" spans="1:58" ht="11.1" customHeight="1" outlineLevel="2">
      <c r="A817" s="1093" t="s">
        <v>4484</v>
      </c>
      <c r="B817" s="1094" t="s">
        <v>1942</v>
      </c>
      <c r="C817" s="1094"/>
      <c r="D817" s="1094"/>
      <c r="E817" s="1095" t="s">
        <v>5224</v>
      </c>
      <c r="F817" s="1095" t="str">
        <f>IF(('Main Creation Page'!$C$3=3),"R","N")</f>
        <v>N</v>
      </c>
      <c r="G817" s="1096">
        <v>0</v>
      </c>
      <c r="H817" s="1096" t="s">
        <v>5224</v>
      </c>
      <c r="I817" s="1096" t="s">
        <v>5224</v>
      </c>
      <c r="J817" s="1096" t="s">
        <v>5224</v>
      </c>
      <c r="K817" s="1096" t="s">
        <v>5224</v>
      </c>
      <c r="L817" s="1096" t="s">
        <v>5224</v>
      </c>
      <c r="M817" s="1096" t="s">
        <v>5224</v>
      </c>
      <c r="N817" s="1096" t="s">
        <v>4631</v>
      </c>
      <c r="O817" s="1028"/>
      <c r="P817" s="1028" t="s">
        <v>3615</v>
      </c>
      <c r="Q817" s="1097">
        <f t="shared" ca="1" si="819"/>
        <v>20</v>
      </c>
      <c r="R817" s="1028"/>
      <c r="S817" s="1028" t="s">
        <v>3616</v>
      </c>
      <c r="T817" s="1097">
        <f t="shared" ca="1" si="820"/>
        <v>17</v>
      </c>
      <c r="U817" s="1027">
        <v>0</v>
      </c>
      <c r="V817" s="1027">
        <f t="shared" si="821"/>
        <v>1</v>
      </c>
      <c r="W817" s="1098" t="e">
        <f>IF(OR(I817&lt;&gt;"N",E817="C"),IF(AND(N817&lt;&gt;"T",ISNUMBER(FIND("V",I817))),1,0),NA())+IF(H817="Y",IF(AND(N817="P",ISNUMBER(FIND("Z",I817))),2,1),0)+IF(J817="Y",1,0)+IF(K817="Y",3,0)+IF(BE817="Lore",L817*2+Experience!$D$25,0)+IF(M817="Y",1,0)</f>
        <v>#N/A</v>
      </c>
      <c r="X817" s="1099"/>
      <c r="Y817" s="1100">
        <f ca="1">IF(P817="NS",IFERROR(INDIRECT(S817),NA()),VLOOKUP(INDIRECT(P817)+INDIRECT(S817),'System Lookups'!$A$3:$D$146,2))</f>
        <v>0.14000000000000001</v>
      </c>
      <c r="Z817" s="1100">
        <f t="shared" ca="1" si="832"/>
        <v>0</v>
      </c>
      <c r="AA817" s="1101">
        <f ca="1">IF(ISNA(Y817),0,Y817)+Z817+IF('Main Creation Page'!AB$2=37,'Main Creation Page'!E$14/100,0)</f>
        <v>0.14000000000000001</v>
      </c>
      <c r="AB817" s="1102">
        <f>VLOOKUP(V817,'System Lookups'!$J$55:$P$64,3)</f>
        <v>0.5</v>
      </c>
      <c r="AC817" s="1103">
        <f>VLOOKUP(V817,'System Lookups'!$J$55:$P$64,4)</f>
        <v>0.6</v>
      </c>
      <c r="AD817" s="1104">
        <f t="shared" si="822"/>
        <v>0</v>
      </c>
      <c r="AE817" s="1094">
        <f>(IF(AD817&gt;VLOOKUP(V817,'System Lookups'!$J$55:$P$63,6),(((AD817-VLOOKUP(V817,'System Lookups'!$J$55:$P$63,6))*100)/20),0))+AF817</f>
        <v>0</v>
      </c>
      <c r="AF817" s="1121"/>
      <c r="AG817" s="1092">
        <f t="shared" si="823"/>
        <v>0</v>
      </c>
      <c r="AH817" s="1092" t="str">
        <f>IF(X817&lt;=Experience!$R$15+1,"","*")</f>
        <v/>
      </c>
      <c r="AI817" s="1092"/>
      <c r="AJ817" s="1080">
        <f t="shared" si="824"/>
        <v>0</v>
      </c>
      <c r="AK817" s="1080">
        <f t="shared" si="825"/>
        <v>0</v>
      </c>
      <c r="AL817" s="1080">
        <f t="shared" si="826"/>
        <v>0</v>
      </c>
      <c r="AM817" s="1092">
        <f t="shared" si="827"/>
        <v>0</v>
      </c>
      <c r="AN817" s="1080">
        <f t="shared" si="828"/>
        <v>1</v>
      </c>
      <c r="AO817" s="1080">
        <f t="shared" si="829"/>
        <v>0</v>
      </c>
      <c r="AP817" s="1080">
        <f t="shared" si="830"/>
        <v>1</v>
      </c>
      <c r="AQ817" s="1027">
        <f>VLOOKUP(V817,'System Lookups'!$J$55:$P$64,7)</f>
        <v>300</v>
      </c>
      <c r="AR817" s="1080" t="str">
        <f ca="1">IF(AND(NOT(ISBLANK(AJ817)),ISNA(MATCH(ROW(),'System Lookups'!$C$526:$C$539,0))),"Y","N")</f>
        <v>Y</v>
      </c>
      <c r="AS817" s="1080">
        <f t="shared" si="831"/>
        <v>0</v>
      </c>
      <c r="AU817" s="1080" t="e">
        <f t="shared" si="753"/>
        <v>#N/A</v>
      </c>
      <c r="AV817" s="1080" t="str">
        <f t="shared" si="808"/>
        <v>T</v>
      </c>
      <c r="AW817" s="1080">
        <f t="shared" si="754"/>
        <v>0</v>
      </c>
      <c r="AX817" s="1080">
        <f t="shared" si="755"/>
        <v>0</v>
      </c>
      <c r="AY817" s="1080">
        <f t="shared" si="756"/>
        <v>0</v>
      </c>
      <c r="AZ817" s="1080">
        <f t="shared" si="757"/>
        <v>0</v>
      </c>
      <c r="BA817" s="1080">
        <f t="shared" si="758"/>
        <v>0</v>
      </c>
      <c r="BB817" s="1080">
        <f>IF(AND(RACE=1,'Main Creation Page'!$E$6="Well",OR(ISNUMBER(FIND(Experience!$G$11,BE817)),ISNUMBER(FIND(Experience!$G$11,BF817)),ISNUMBER(FIND(Experience!$I$11,BE817)),ISNUMBER(FIND(Experience!$I$11,BF817)))),1,0)</f>
        <v>0</v>
      </c>
      <c r="BC817" s="1080" t="str">
        <f t="shared" si="784"/>
        <v>F&amp;BC:Magical and Enchanted Realms</v>
      </c>
      <c r="BD817" s="1080" t="s">
        <v>5706</v>
      </c>
      <c r="BE817" s="1080" t="str">
        <f t="shared" si="752"/>
        <v/>
      </c>
      <c r="BF817" s="1080" t="str">
        <f t="shared" si="785"/>
        <v>Outdoor Skills</v>
      </c>
    </row>
    <row r="818" spans="1:58" ht="11.1" customHeight="1" outlineLevel="2">
      <c r="A818" s="1093" t="s">
        <v>5365</v>
      </c>
      <c r="B818" s="1094" t="s">
        <v>1942</v>
      </c>
      <c r="C818" s="1094"/>
      <c r="D818" s="1094"/>
      <c r="E818" s="1095" t="s">
        <v>5224</v>
      </c>
      <c r="F818" s="1095" t="str">
        <f>IF(('Main Creation Page'!$C$3=3),"R","N")</f>
        <v>N</v>
      </c>
      <c r="G818" s="1096">
        <v>0</v>
      </c>
      <c r="H818" s="1096" t="s">
        <v>5224</v>
      </c>
      <c r="I818" s="1096" t="s">
        <v>5224</v>
      </c>
      <c r="J818" s="1096" t="s">
        <v>5224</v>
      </c>
      <c r="K818" s="1096" t="s">
        <v>5224</v>
      </c>
      <c r="L818" s="1096" t="s">
        <v>5224</v>
      </c>
      <c r="M818" s="1096" t="s">
        <v>5224</v>
      </c>
      <c r="N818" s="1096" t="s">
        <v>4631</v>
      </c>
      <c r="O818" s="1028"/>
      <c r="P818" s="1028" t="s">
        <v>3615</v>
      </c>
      <c r="Q818" s="1097">
        <f t="shared" ca="1" si="819"/>
        <v>20</v>
      </c>
      <c r="R818" s="1028"/>
      <c r="S818" s="1028" t="s">
        <v>3616</v>
      </c>
      <c r="T818" s="1097">
        <f t="shared" ca="1" si="820"/>
        <v>17</v>
      </c>
      <c r="U818" s="1027">
        <v>0</v>
      </c>
      <c r="V818" s="1027">
        <f t="shared" si="821"/>
        <v>1</v>
      </c>
      <c r="W818" s="1098" t="e">
        <f>IF(OR(I818&lt;&gt;"N",E818="C"),IF(AND(N818&lt;&gt;"T",ISNUMBER(FIND("V",I818))),1,0),NA())+IF(H818="Y",IF(AND(N818="P",ISNUMBER(FIND("Z",I818))),2,1),0)+IF(J818="Y",1,0)+IF(K818="Y",3,0)+IF(BE818="Lore",L818*2+Experience!$D$25,0)+IF(M818="Y",1,0)</f>
        <v>#N/A</v>
      </c>
      <c r="X818" s="1099"/>
      <c r="Y818" s="1100">
        <f ca="1">IF(P818="NS",IFERROR(INDIRECT(S818),NA()),VLOOKUP(INDIRECT(P818)+INDIRECT(S818),'System Lookups'!$A$3:$D$146,2))</f>
        <v>0.14000000000000001</v>
      </c>
      <c r="Z818" s="1100">
        <f t="shared" ca="1" si="832"/>
        <v>0</v>
      </c>
      <c r="AA818" s="1101">
        <f ca="1">IF(ISNA(Y818),0,Y818)+Z818+IF('Main Creation Page'!AB$2=37,'Main Creation Page'!E$14/100,0)</f>
        <v>0.14000000000000001</v>
      </c>
      <c r="AB818" s="1102">
        <f>VLOOKUP(V818,'System Lookups'!$J$55:$P$64,3)</f>
        <v>0.5</v>
      </c>
      <c r="AC818" s="1103">
        <f>VLOOKUP(V818,'System Lookups'!$J$55:$P$64,4)</f>
        <v>0.6</v>
      </c>
      <c r="AD818" s="1104">
        <f t="shared" si="822"/>
        <v>0</v>
      </c>
      <c r="AE818" s="1094">
        <f>(IF(AD818&gt;VLOOKUP(V818,'System Lookups'!$J$55:$P$63,6),(((AD818-VLOOKUP(V818,'System Lookups'!$J$55:$P$63,6))*100)/20),0))+AF818</f>
        <v>0</v>
      </c>
      <c r="AF818" s="1121"/>
      <c r="AG818" s="1092">
        <f t="shared" si="823"/>
        <v>0</v>
      </c>
      <c r="AH818" s="1092" t="str">
        <f>IF(X818&lt;=Experience!$R$15+1,"","*")</f>
        <v/>
      </c>
      <c r="AI818" s="1092"/>
      <c r="AJ818" s="1080">
        <f t="shared" si="824"/>
        <v>0</v>
      </c>
      <c r="AK818" s="1080">
        <f t="shared" si="825"/>
        <v>0</v>
      </c>
      <c r="AL818" s="1080">
        <f t="shared" si="826"/>
        <v>0</v>
      </c>
      <c r="AM818" s="1092">
        <f t="shared" si="827"/>
        <v>0</v>
      </c>
      <c r="AN818" s="1080">
        <f t="shared" si="828"/>
        <v>1</v>
      </c>
      <c r="AO818" s="1080">
        <f t="shared" si="829"/>
        <v>0</v>
      </c>
      <c r="AP818" s="1080">
        <f t="shared" si="830"/>
        <v>1</v>
      </c>
      <c r="AQ818" s="1027">
        <f>VLOOKUP(V818,'System Lookups'!$J$55:$P$64,7)</f>
        <v>300</v>
      </c>
      <c r="AR818" s="1080" t="str">
        <f ca="1">IF(AND(NOT(ISBLANK(AJ818)),ISNA(MATCH(ROW(),'System Lookups'!$C$526:$C$539,0))),"Y","N")</f>
        <v>Y</v>
      </c>
      <c r="AS818" s="1080">
        <f t="shared" si="831"/>
        <v>0</v>
      </c>
      <c r="AU818" s="1080" t="e">
        <f t="shared" si="753"/>
        <v>#N/A</v>
      </c>
      <c r="AV818" s="1080" t="str">
        <f t="shared" si="808"/>
        <v>T</v>
      </c>
      <c r="AW818" s="1080">
        <f t="shared" si="754"/>
        <v>0</v>
      </c>
      <c r="AX818" s="1080">
        <f t="shared" si="755"/>
        <v>0</v>
      </c>
      <c r="AY818" s="1080">
        <f t="shared" si="756"/>
        <v>0</v>
      </c>
      <c r="AZ818" s="1080">
        <f t="shared" si="757"/>
        <v>0</v>
      </c>
      <c r="BA818" s="1080">
        <f t="shared" si="758"/>
        <v>0</v>
      </c>
      <c r="BB818" s="1080">
        <f>IF(AND(RACE=1,'Main Creation Page'!$E$6="Well",OR(ISNUMBER(FIND(Experience!$G$11,BE818)),ISNUMBER(FIND(Experience!$G$11,BF818)),ISNUMBER(FIND(Experience!$I$11,BE818)),ISNUMBER(FIND(Experience!$I$11,BF818)))),1,0)</f>
        <v>0</v>
      </c>
      <c r="BC818" s="1080" t="str">
        <f t="shared" si="784"/>
        <v>F&amp;BC:Mountains</v>
      </c>
      <c r="BD818" s="1080" t="s">
        <v>5706</v>
      </c>
      <c r="BE818" s="1080" t="str">
        <f t="shared" si="752"/>
        <v/>
      </c>
      <c r="BF818" s="1080" t="str">
        <f t="shared" si="785"/>
        <v>Outdoor Skills</v>
      </c>
    </row>
    <row r="819" spans="1:58" ht="11.1" customHeight="1" outlineLevel="2">
      <c r="A819" s="1093" t="s">
        <v>4008</v>
      </c>
      <c r="B819" s="1094" t="s">
        <v>1942</v>
      </c>
      <c r="C819" s="1094"/>
      <c r="D819" s="1094"/>
      <c r="E819" s="1095" t="s">
        <v>5224</v>
      </c>
      <c r="F819" s="1095" t="str">
        <f>IF(('Main Creation Page'!$C$3=3),"R","N")</f>
        <v>N</v>
      </c>
      <c r="G819" s="1096">
        <v>0</v>
      </c>
      <c r="H819" s="1096" t="s">
        <v>5224</v>
      </c>
      <c r="I819" s="1096" t="s">
        <v>5224</v>
      </c>
      <c r="J819" s="1096" t="s">
        <v>5224</v>
      </c>
      <c r="K819" s="1096" t="s">
        <v>5224</v>
      </c>
      <c r="L819" s="1096" t="s">
        <v>5224</v>
      </c>
      <c r="M819" s="1096" t="s">
        <v>5224</v>
      </c>
      <c r="N819" s="1096" t="s">
        <v>4631</v>
      </c>
      <c r="O819" s="1028"/>
      <c r="P819" s="1028" t="s">
        <v>3615</v>
      </c>
      <c r="Q819" s="1097">
        <f t="shared" ca="1" si="819"/>
        <v>20</v>
      </c>
      <c r="R819" s="1028"/>
      <c r="S819" s="1028" t="s">
        <v>3616</v>
      </c>
      <c r="T819" s="1097">
        <f t="shared" ca="1" si="820"/>
        <v>17</v>
      </c>
      <c r="U819" s="1027">
        <v>0</v>
      </c>
      <c r="V819" s="1027">
        <f t="shared" si="821"/>
        <v>1</v>
      </c>
      <c r="W819" s="1098" t="e">
        <f>IF(OR(I819&lt;&gt;"N",E819="C"),IF(AND(N819&lt;&gt;"T",ISNUMBER(FIND("V",I819))),1,0),NA())+IF(H819="Y",IF(AND(N819="P",ISNUMBER(FIND("Z",I819))),2,1),0)+IF(J819="Y",1,0)+IF(K819="Y",3,0)+IF(BE819="Lore",L819*2+Experience!$D$25,0)+IF(M819="Y",1,0)</f>
        <v>#N/A</v>
      </c>
      <c r="X819" s="1099"/>
      <c r="Y819" s="1100">
        <f ca="1">IF(P819="NS",IFERROR(INDIRECT(S819),NA()),VLOOKUP(INDIRECT(P819)+INDIRECT(S819),'System Lookups'!$A$3:$D$146,2))</f>
        <v>0.14000000000000001</v>
      </c>
      <c r="Z819" s="1100">
        <f t="shared" ca="1" si="832"/>
        <v>0</v>
      </c>
      <c r="AA819" s="1101">
        <f ca="1">IF(ISNA(Y819),0,Y819)+Z819+IF('Main Creation Page'!AB$2=37,'Main Creation Page'!E$14/100,0)</f>
        <v>0.14000000000000001</v>
      </c>
      <c r="AB819" s="1102">
        <f>VLOOKUP(V819,'System Lookups'!$J$55:$P$64,3)</f>
        <v>0.5</v>
      </c>
      <c r="AC819" s="1103">
        <f>VLOOKUP(V819,'System Lookups'!$J$55:$P$64,4)</f>
        <v>0.6</v>
      </c>
      <c r="AD819" s="1104">
        <f t="shared" si="822"/>
        <v>0</v>
      </c>
      <c r="AE819" s="1094">
        <f>(IF(AD819&gt;VLOOKUP(V819,'System Lookups'!$J$55:$P$63,6),(((AD819-VLOOKUP(V819,'System Lookups'!$J$55:$P$63,6))*100)/20),0))+AF819</f>
        <v>0</v>
      </c>
      <c r="AF819" s="1121"/>
      <c r="AG819" s="1092">
        <f t="shared" si="823"/>
        <v>0</v>
      </c>
      <c r="AH819" s="1092" t="str">
        <f>IF(X819&lt;=Experience!$R$15+1,"","*")</f>
        <v/>
      </c>
      <c r="AI819" s="1092"/>
      <c r="AJ819" s="1080">
        <f t="shared" si="824"/>
        <v>0</v>
      </c>
      <c r="AK819" s="1080">
        <f t="shared" si="825"/>
        <v>0</v>
      </c>
      <c r="AL819" s="1080">
        <f t="shared" si="826"/>
        <v>0</v>
      </c>
      <c r="AM819" s="1092">
        <f t="shared" si="827"/>
        <v>0</v>
      </c>
      <c r="AN819" s="1080">
        <f t="shared" si="828"/>
        <v>1</v>
      </c>
      <c r="AO819" s="1080">
        <f t="shared" si="829"/>
        <v>0</v>
      </c>
      <c r="AP819" s="1080">
        <f t="shared" si="830"/>
        <v>1</v>
      </c>
      <c r="AQ819" s="1027">
        <f>VLOOKUP(V819,'System Lookups'!$J$55:$P$64,7)</f>
        <v>300</v>
      </c>
      <c r="AR819" s="1080" t="str">
        <f ca="1">IF(AND(NOT(ISBLANK(AJ819)),ISNA(MATCH(ROW(),'System Lookups'!$C$526:$C$539,0))),"Y","N")</f>
        <v>Y</v>
      </c>
      <c r="AS819" s="1080">
        <f t="shared" si="831"/>
        <v>0</v>
      </c>
      <c r="AU819" s="1080" t="e">
        <f t="shared" si="753"/>
        <v>#N/A</v>
      </c>
      <c r="AV819" s="1080" t="str">
        <f t="shared" si="808"/>
        <v>T</v>
      </c>
      <c r="AW819" s="1080">
        <f t="shared" si="754"/>
        <v>0</v>
      </c>
      <c r="AX819" s="1080">
        <f t="shared" si="755"/>
        <v>0</v>
      </c>
      <c r="AY819" s="1080">
        <f t="shared" si="756"/>
        <v>0</v>
      </c>
      <c r="AZ819" s="1080">
        <f t="shared" si="757"/>
        <v>0</v>
      </c>
      <c r="BA819" s="1080">
        <f t="shared" si="758"/>
        <v>0</v>
      </c>
      <c r="BB819" s="1080">
        <f>IF(AND(RACE=1,'Main Creation Page'!$E$6="Well",OR(ISNUMBER(FIND(Experience!$G$11,BE819)),ISNUMBER(FIND(Experience!$G$11,BF819)),ISNUMBER(FIND(Experience!$I$11,BE819)),ISNUMBER(FIND(Experience!$I$11,BF819)))),1,0)</f>
        <v>0</v>
      </c>
      <c r="BC819" s="1080" t="str">
        <f t="shared" si="784"/>
        <v>F&amp;BC:River Valleys</v>
      </c>
      <c r="BD819" s="1080" t="s">
        <v>5706</v>
      </c>
      <c r="BE819" s="1080" t="str">
        <f t="shared" si="752"/>
        <v/>
      </c>
      <c r="BF819" s="1080" t="str">
        <f t="shared" si="785"/>
        <v>Outdoor Skills</v>
      </c>
    </row>
    <row r="820" spans="1:58" ht="11.1" customHeight="1" outlineLevel="2">
      <c r="A820" s="1093" t="s">
        <v>1024</v>
      </c>
      <c r="B820" s="1094" t="s">
        <v>1942</v>
      </c>
      <c r="C820" s="1094"/>
      <c r="D820" s="1094"/>
      <c r="E820" s="1095" t="s">
        <v>5224</v>
      </c>
      <c r="F820" s="1095" t="str">
        <f>IF(('Main Creation Page'!$C$3=3),"R","N")</f>
        <v>N</v>
      </c>
      <c r="G820" s="1096">
        <v>0</v>
      </c>
      <c r="H820" s="1096" t="s">
        <v>5224</v>
      </c>
      <c r="I820" s="1096" t="s">
        <v>5224</v>
      </c>
      <c r="J820" s="1096" t="s">
        <v>5224</v>
      </c>
      <c r="K820" s="1096" t="s">
        <v>5224</v>
      </c>
      <c r="L820" s="1096" t="s">
        <v>5224</v>
      </c>
      <c r="M820" s="1096" t="s">
        <v>5224</v>
      </c>
      <c r="N820" s="1096" t="s">
        <v>4631</v>
      </c>
      <c r="O820" s="1028"/>
      <c r="P820" s="1028" t="s">
        <v>3615</v>
      </c>
      <c r="Q820" s="1097">
        <f t="shared" ca="1" si="819"/>
        <v>20</v>
      </c>
      <c r="R820" s="1028"/>
      <c r="S820" s="1028" t="s">
        <v>3616</v>
      </c>
      <c r="T820" s="1097">
        <f t="shared" ca="1" si="820"/>
        <v>17</v>
      </c>
      <c r="U820" s="1027">
        <v>0</v>
      </c>
      <c r="V820" s="1027">
        <f t="shared" si="821"/>
        <v>1</v>
      </c>
      <c r="W820" s="1098" t="e">
        <f>IF(OR(I820&lt;&gt;"N",E820="C"),IF(AND(N820&lt;&gt;"T",ISNUMBER(FIND("V",I820))),1,0),NA())+IF(H820="Y",IF(AND(N820="P",ISNUMBER(FIND("Z",I820))),2,1),0)+IF(J820="Y",1,0)+IF(K820="Y",3,0)+IF(BE820="Lore",L820*2+Experience!$D$25,0)+IF(M820="Y",1,0)</f>
        <v>#N/A</v>
      </c>
      <c r="X820" s="1099"/>
      <c r="Y820" s="1100">
        <f ca="1">IF(P820="NS",IFERROR(INDIRECT(S820),NA()),VLOOKUP(INDIRECT(P820)+INDIRECT(S820),'System Lookups'!$A$3:$D$146,2))</f>
        <v>0.14000000000000001</v>
      </c>
      <c r="Z820" s="1100">
        <f t="shared" ca="1" si="832"/>
        <v>0</v>
      </c>
      <c r="AA820" s="1101">
        <f ca="1">IF(ISNA(Y820),0,Y820)+Z820+IF('Main Creation Page'!AB$2=37,'Main Creation Page'!E$14/100,0)</f>
        <v>0.14000000000000001</v>
      </c>
      <c r="AB820" s="1102">
        <f>VLOOKUP(V820,'System Lookups'!$J$55:$P$64,3)</f>
        <v>0.5</v>
      </c>
      <c r="AC820" s="1103">
        <f>VLOOKUP(V820,'System Lookups'!$J$55:$P$64,4)</f>
        <v>0.6</v>
      </c>
      <c r="AD820" s="1104">
        <f t="shared" si="822"/>
        <v>0</v>
      </c>
      <c r="AE820" s="1094">
        <f>(IF(AD820&gt;VLOOKUP(V820,'System Lookups'!$J$55:$P$63,6),(((AD820-VLOOKUP(V820,'System Lookups'!$J$55:$P$63,6))*100)/20),0))+AF820</f>
        <v>0</v>
      </c>
      <c r="AF820" s="1121"/>
      <c r="AG820" s="1092">
        <f t="shared" si="823"/>
        <v>0</v>
      </c>
      <c r="AH820" s="1092" t="str">
        <f>IF(X820&lt;=Experience!$R$15+1,"","*")</f>
        <v/>
      </c>
      <c r="AI820" s="1092"/>
      <c r="AJ820" s="1080">
        <f t="shared" si="824"/>
        <v>0</v>
      </c>
      <c r="AK820" s="1080">
        <f t="shared" si="825"/>
        <v>0</v>
      </c>
      <c r="AL820" s="1080">
        <f t="shared" si="826"/>
        <v>0</v>
      </c>
      <c r="AM820" s="1092">
        <f t="shared" si="827"/>
        <v>0</v>
      </c>
      <c r="AN820" s="1080">
        <f t="shared" si="828"/>
        <v>1</v>
      </c>
      <c r="AO820" s="1080">
        <f t="shared" si="829"/>
        <v>0</v>
      </c>
      <c r="AP820" s="1080">
        <f t="shared" si="830"/>
        <v>1</v>
      </c>
      <c r="AQ820" s="1027">
        <f>VLOOKUP(V820,'System Lookups'!$J$55:$P$64,7)</f>
        <v>300</v>
      </c>
      <c r="AR820" s="1080" t="str">
        <f ca="1">IF(AND(NOT(ISBLANK(AJ820)),ISNA(MATCH(ROW(),'System Lookups'!$C$526:$C$539,0))),"Y","N")</f>
        <v>Y</v>
      </c>
      <c r="AS820" s="1080">
        <f t="shared" si="831"/>
        <v>0</v>
      </c>
      <c r="AU820" s="1080" t="e">
        <f t="shared" si="753"/>
        <v>#N/A</v>
      </c>
      <c r="AV820" s="1080" t="str">
        <f t="shared" si="808"/>
        <v>T</v>
      </c>
      <c r="AW820" s="1080">
        <f t="shared" si="754"/>
        <v>0</v>
      </c>
      <c r="AX820" s="1080">
        <f t="shared" si="755"/>
        <v>0</v>
      </c>
      <c r="AY820" s="1080">
        <f t="shared" si="756"/>
        <v>0</v>
      </c>
      <c r="AZ820" s="1080">
        <f t="shared" si="757"/>
        <v>0</v>
      </c>
      <c r="BA820" s="1080">
        <f t="shared" si="758"/>
        <v>0</v>
      </c>
      <c r="BB820" s="1080">
        <f>IF(AND(RACE=1,'Main Creation Page'!$E$6="Well",OR(ISNUMBER(FIND(Experience!$G$11,BE820)),ISNUMBER(FIND(Experience!$G$11,BF820)),ISNUMBER(FIND(Experience!$I$11,BE820)),ISNUMBER(FIND(Experience!$I$11,BF820)))),1,0)</f>
        <v>0</v>
      </c>
      <c r="BC820" s="1080" t="str">
        <f t="shared" si="784"/>
        <v>F&amp;BC:Steppes</v>
      </c>
      <c r="BD820" s="1080" t="s">
        <v>5706</v>
      </c>
      <c r="BE820" s="1080" t="str">
        <f t="shared" ref="BE820:BE881" si="833">IF(OR(ISNUMBER(FIND("Lore",BF820)),ISNUMBER(FIND("Materia",BF820)),ISNUMBER(FIND("Lore",BD820))),"Lore","")</f>
        <v/>
      </c>
      <c r="BF820" s="1080" t="str">
        <f t="shared" si="785"/>
        <v>Outdoor Skills</v>
      </c>
    </row>
    <row r="821" spans="1:58" ht="11.1" customHeight="1" outlineLevel="2">
      <c r="A821" s="1093" t="s">
        <v>1027</v>
      </c>
      <c r="B821" s="1094" t="s">
        <v>1942</v>
      </c>
      <c r="C821" s="1094"/>
      <c r="D821" s="1094"/>
      <c r="E821" s="1095" t="s">
        <v>5224</v>
      </c>
      <c r="F821" s="1095" t="str">
        <f>IF(('Main Creation Page'!$C$3=3),"R","N")</f>
        <v>N</v>
      </c>
      <c r="G821" s="1096">
        <v>0</v>
      </c>
      <c r="H821" s="1096" t="s">
        <v>5224</v>
      </c>
      <c r="I821" s="1096" t="s">
        <v>5224</v>
      </c>
      <c r="J821" s="1096" t="s">
        <v>5224</v>
      </c>
      <c r="K821" s="1096" t="s">
        <v>5224</v>
      </c>
      <c r="L821" s="1096" t="s">
        <v>5224</v>
      </c>
      <c r="M821" s="1096" t="s">
        <v>5224</v>
      </c>
      <c r="N821" s="1096" t="s">
        <v>4631</v>
      </c>
      <c r="O821" s="1028"/>
      <c r="P821" s="1028" t="s">
        <v>3615</v>
      </c>
      <c r="Q821" s="1097">
        <f t="shared" ca="1" si="819"/>
        <v>20</v>
      </c>
      <c r="R821" s="1028"/>
      <c r="S821" s="1028" t="s">
        <v>3616</v>
      </c>
      <c r="T821" s="1097">
        <f t="shared" ca="1" si="820"/>
        <v>17</v>
      </c>
      <c r="U821" s="1027">
        <v>0</v>
      </c>
      <c r="V821" s="1027">
        <f t="shared" si="821"/>
        <v>1</v>
      </c>
      <c r="W821" s="1098" t="e">
        <f>IF(OR(I821&lt;&gt;"N",E821="C"),IF(AND(N821&lt;&gt;"T",ISNUMBER(FIND("V",I821))),1,0),NA())+IF(H821="Y",IF(AND(N821="P",ISNUMBER(FIND("Z",I821))),2,1),0)+IF(J821="Y",1,0)+IF(K821="Y",3,0)+IF(BE821="Lore",L821*2+Experience!$D$25,0)+IF(M821="Y",1,0)</f>
        <v>#N/A</v>
      </c>
      <c r="X821" s="1099"/>
      <c r="Y821" s="1100">
        <f ca="1">IF(P821="NS",IFERROR(INDIRECT(S821),NA()),VLOOKUP(INDIRECT(P821)+INDIRECT(S821),'System Lookups'!$A$3:$D$146,2))</f>
        <v>0.14000000000000001</v>
      </c>
      <c r="Z821" s="1100">
        <f t="shared" ca="1" si="832"/>
        <v>0</v>
      </c>
      <c r="AA821" s="1101">
        <f ca="1">IF(ISNA(Y821),0,Y821)+Z821+IF('Main Creation Page'!AB$2=37,'Main Creation Page'!E$14/100,0)</f>
        <v>0.14000000000000001</v>
      </c>
      <c r="AB821" s="1102">
        <f>VLOOKUP(V821,'System Lookups'!$J$55:$P$64,3)</f>
        <v>0.5</v>
      </c>
      <c r="AC821" s="1103">
        <f>VLOOKUP(V821,'System Lookups'!$J$55:$P$64,4)</f>
        <v>0.6</v>
      </c>
      <c r="AD821" s="1104">
        <f t="shared" si="822"/>
        <v>0</v>
      </c>
      <c r="AE821" s="1094">
        <f>(IF(AD821&gt;VLOOKUP(V821,'System Lookups'!$J$55:$P$63,6),(((AD821-VLOOKUP(V821,'System Lookups'!$J$55:$P$63,6))*100)/20),0))+AF821</f>
        <v>0</v>
      </c>
      <c r="AF821" s="1121"/>
      <c r="AG821" s="1092">
        <f t="shared" si="823"/>
        <v>0</v>
      </c>
      <c r="AH821" s="1092" t="str">
        <f>IF(X821&lt;=Experience!$R$15+1,"","*")</f>
        <v/>
      </c>
      <c r="AI821" s="1092"/>
      <c r="AJ821" s="1080">
        <f t="shared" si="824"/>
        <v>0</v>
      </c>
      <c r="AK821" s="1080">
        <f t="shared" si="825"/>
        <v>0</v>
      </c>
      <c r="AL821" s="1080">
        <f t="shared" si="826"/>
        <v>0</v>
      </c>
      <c r="AM821" s="1092">
        <f t="shared" si="827"/>
        <v>0</v>
      </c>
      <c r="AN821" s="1080">
        <f t="shared" si="828"/>
        <v>1</v>
      </c>
      <c r="AO821" s="1080">
        <f t="shared" si="829"/>
        <v>0</v>
      </c>
      <c r="AP821" s="1080">
        <f t="shared" si="830"/>
        <v>1</v>
      </c>
      <c r="AQ821" s="1027">
        <f>VLOOKUP(V821,'System Lookups'!$J$55:$P$64,7)</f>
        <v>300</v>
      </c>
      <c r="AR821" s="1080" t="str">
        <f ca="1">IF(AND(NOT(ISBLANK(AJ821)),ISNA(MATCH(ROW(),'System Lookups'!$C$526:$C$539,0))),"Y","N")</f>
        <v>Y</v>
      </c>
      <c r="AS821" s="1080">
        <f t="shared" si="831"/>
        <v>0</v>
      </c>
      <c r="AU821" s="1080" t="e">
        <f t="shared" ref="AU821:AU882" si="834">IF(AND(NOT(ISNUMBER($W821)),ISBLANK($X821)),NA(),IFERROR($W821+$X821,$X821))</f>
        <v>#N/A</v>
      </c>
      <c r="AV821" s="1080" t="str">
        <f t="shared" si="808"/>
        <v>T</v>
      </c>
      <c r="AW821" s="1080">
        <f t="shared" ref="AW821:AW882" si="835">IF(OR(I821="N",ISBLANK(I821)),0,1)</f>
        <v>0</v>
      </c>
      <c r="AX821" s="1080">
        <f t="shared" ref="AX821:AX882" si="836">IF($N821="P",IF(ISNUMBER(FIND("V",$I821)),1,0),0)</f>
        <v>0</v>
      </c>
      <c r="AY821" s="1080">
        <f t="shared" ref="AY821:AY882" si="837">IF($N821="S",IF(ISNUMBER(FIND("V",$I821)),1,0),0)</f>
        <v>0</v>
      </c>
      <c r="AZ821" s="1080">
        <f t="shared" ref="AZ821:AZ882" si="838">IF($N821="T",IF(ISNUMBER(FIND("V",$I821)),1,0),0)</f>
        <v>0</v>
      </c>
      <c r="BA821" s="1080">
        <f t="shared" ref="BA821:BA882" si="839">IF($N821&lt;&gt;"T",IF(OR(ISNUMBER(FIND("C",$I821)),ISNUMBER(FIND("D",$I821)),ISNUMBER(FIND("E",$I821)),ISNUMBER(FIND("F",$I821)),ISNUMBER(FIND("L",$I821)),ISNUMBER(FIND("R",$I821)),ISNUMBER(FIND("S",$I821))),1,0),0)</f>
        <v>0</v>
      </c>
      <c r="BB821" s="1080">
        <f>IF(AND(RACE=1,'Main Creation Page'!$E$6="Well",OR(ISNUMBER(FIND(Experience!$G$11,BE821)),ISNUMBER(FIND(Experience!$G$11,BF821)),ISNUMBER(FIND(Experience!$I$11,BE821)),ISNUMBER(FIND(Experience!$I$11,BF821)))),1,0)</f>
        <v>0</v>
      </c>
      <c r="BC821" s="1080" t="str">
        <f t="shared" si="784"/>
        <v>F&amp;BC:Swamps</v>
      </c>
      <c r="BD821" s="1080" t="s">
        <v>5706</v>
      </c>
      <c r="BE821" s="1080" t="str">
        <f t="shared" si="833"/>
        <v/>
      </c>
      <c r="BF821" s="1080" t="str">
        <f t="shared" si="785"/>
        <v>Outdoor Skills</v>
      </c>
    </row>
    <row r="822" spans="1:58" ht="11.1" customHeight="1" outlineLevel="2">
      <c r="A822" s="1093" t="s">
        <v>1026</v>
      </c>
      <c r="B822" s="1094" t="s">
        <v>1942</v>
      </c>
      <c r="C822" s="1094"/>
      <c r="D822" s="1094"/>
      <c r="E822" s="1095" t="s">
        <v>5224</v>
      </c>
      <c r="F822" s="1095" t="str">
        <f>IF(('Main Creation Page'!$C$3=3),"R","N")</f>
        <v>N</v>
      </c>
      <c r="G822" s="1096">
        <v>0</v>
      </c>
      <c r="H822" s="1096" t="s">
        <v>5224</v>
      </c>
      <c r="I822" s="1096" t="s">
        <v>5224</v>
      </c>
      <c r="J822" s="1096" t="s">
        <v>5224</v>
      </c>
      <c r="K822" s="1096" t="s">
        <v>5224</v>
      </c>
      <c r="L822" s="1096" t="s">
        <v>5224</v>
      </c>
      <c r="M822" s="1096" t="s">
        <v>5224</v>
      </c>
      <c r="N822" s="1096" t="s">
        <v>4631</v>
      </c>
      <c r="O822" s="1028"/>
      <c r="P822" s="1028" t="s">
        <v>3615</v>
      </c>
      <c r="Q822" s="1097">
        <f t="shared" ca="1" si="819"/>
        <v>20</v>
      </c>
      <c r="R822" s="1028"/>
      <c r="S822" s="1028" t="s">
        <v>3616</v>
      </c>
      <c r="T822" s="1097">
        <f t="shared" ca="1" si="820"/>
        <v>17</v>
      </c>
      <c r="U822" s="1027">
        <v>0</v>
      </c>
      <c r="V822" s="1027">
        <f t="shared" si="821"/>
        <v>1</v>
      </c>
      <c r="W822" s="1098" t="e">
        <f>IF(OR(I822&lt;&gt;"N",E822="C"),IF(AND(N822&lt;&gt;"T",ISNUMBER(FIND("V",I822))),1,0),NA())+IF(H822="Y",IF(AND(N822="P",ISNUMBER(FIND("Z",I822))),2,1),0)+IF(J822="Y",1,0)+IF(K822="Y",3,0)+IF(BE822="Lore",L822*2+Experience!$D$25,0)+IF(M822="Y",1,0)</f>
        <v>#N/A</v>
      </c>
      <c r="X822" s="1099"/>
      <c r="Y822" s="1100">
        <f ca="1">IF(P822="NS",IFERROR(INDIRECT(S822),NA()),VLOOKUP(INDIRECT(P822)+INDIRECT(S822),'System Lookups'!$A$3:$D$146,2))</f>
        <v>0.14000000000000001</v>
      </c>
      <c r="Z822" s="1100">
        <f t="shared" ca="1" si="832"/>
        <v>0</v>
      </c>
      <c r="AA822" s="1101">
        <f ca="1">IF(ISNA(Y822),0,Y822)+Z822+IF('Main Creation Page'!AB$2=37,'Main Creation Page'!E$14/100,0)</f>
        <v>0.14000000000000001</v>
      </c>
      <c r="AB822" s="1102">
        <f>VLOOKUP(V822,'System Lookups'!$J$55:$P$64,3)</f>
        <v>0.5</v>
      </c>
      <c r="AC822" s="1103">
        <f>VLOOKUP(V822,'System Lookups'!$J$55:$P$64,4)</f>
        <v>0.6</v>
      </c>
      <c r="AD822" s="1104">
        <f t="shared" si="822"/>
        <v>0</v>
      </c>
      <c r="AE822" s="1094">
        <f>(IF(AD822&gt;VLOOKUP(V822,'System Lookups'!$J$55:$P$63,6),(((AD822-VLOOKUP(V822,'System Lookups'!$J$55:$P$63,6))*100)/20),0))+AF822</f>
        <v>0</v>
      </c>
      <c r="AF822" s="1121"/>
      <c r="AG822" s="1092">
        <f t="shared" si="823"/>
        <v>0</v>
      </c>
      <c r="AH822" s="1092" t="str">
        <f>IF(X822&lt;=Experience!$R$15+1,"","*")</f>
        <v/>
      </c>
      <c r="AI822" s="1092"/>
      <c r="AJ822" s="1080">
        <f t="shared" si="824"/>
        <v>0</v>
      </c>
      <c r="AK822" s="1080">
        <f t="shared" si="825"/>
        <v>0</v>
      </c>
      <c r="AL822" s="1080">
        <f t="shared" si="826"/>
        <v>0</v>
      </c>
      <c r="AM822" s="1092">
        <f t="shared" si="827"/>
        <v>0</v>
      </c>
      <c r="AN822" s="1080">
        <f t="shared" si="828"/>
        <v>1</v>
      </c>
      <c r="AO822" s="1080">
        <f t="shared" si="829"/>
        <v>0</v>
      </c>
      <c r="AP822" s="1080">
        <f t="shared" si="830"/>
        <v>1</v>
      </c>
      <c r="AQ822" s="1027">
        <f>VLOOKUP(V822,'System Lookups'!$J$55:$P$64,7)</f>
        <v>300</v>
      </c>
      <c r="AR822" s="1080" t="str">
        <f ca="1">IF(AND(NOT(ISBLANK(AJ822)),ISNA(MATCH(ROW(),'System Lookups'!$C$526:$C$539,0))),"Y","N")</f>
        <v>Y</v>
      </c>
      <c r="AS822" s="1080">
        <f t="shared" si="831"/>
        <v>0</v>
      </c>
      <c r="AU822" s="1080" t="e">
        <f t="shared" si="834"/>
        <v>#N/A</v>
      </c>
      <c r="AV822" s="1080" t="str">
        <f t="shared" si="808"/>
        <v>T</v>
      </c>
      <c r="AW822" s="1080">
        <f t="shared" si="835"/>
        <v>0</v>
      </c>
      <c r="AX822" s="1080">
        <f t="shared" si="836"/>
        <v>0</v>
      </c>
      <c r="AY822" s="1080">
        <f t="shared" si="837"/>
        <v>0</v>
      </c>
      <c r="AZ822" s="1080">
        <f t="shared" si="838"/>
        <v>0</v>
      </c>
      <c r="BA822" s="1080">
        <f t="shared" si="839"/>
        <v>0</v>
      </c>
      <c r="BB822" s="1080">
        <f>IF(AND(RACE=1,'Main Creation Page'!$E$6="Well",OR(ISNUMBER(FIND(Experience!$G$11,BE822)),ISNUMBER(FIND(Experience!$G$11,BF822)),ISNUMBER(FIND(Experience!$I$11,BE822)),ISNUMBER(FIND(Experience!$I$11,BF822)))),1,0)</f>
        <v>0</v>
      </c>
      <c r="BC822" s="1080" t="str">
        <f t="shared" si="784"/>
        <v>F&amp;BC:Tundra</v>
      </c>
      <c r="BD822" s="1080" t="s">
        <v>5706</v>
      </c>
      <c r="BE822" s="1080" t="str">
        <f t="shared" si="833"/>
        <v/>
      </c>
      <c r="BF822" s="1080" t="str">
        <f t="shared" si="785"/>
        <v>Outdoor Skills</v>
      </c>
    </row>
    <row r="823" spans="1:58" ht="11.1" customHeight="1" outlineLevel="1">
      <c r="A823" s="1117" t="s">
        <v>3389</v>
      </c>
      <c r="B823" s="1094"/>
      <c r="C823" s="1094"/>
      <c r="D823" s="1094"/>
      <c r="E823" s="1095" t="s">
        <v>5224</v>
      </c>
      <c r="F823" s="1095" t="s">
        <v>5224</v>
      </c>
      <c r="G823" s="1096">
        <v>0</v>
      </c>
      <c r="H823" s="1096" t="s">
        <v>5224</v>
      </c>
      <c r="I823" s="1096" t="s">
        <v>5224</v>
      </c>
      <c r="J823" s="1096" t="s">
        <v>5224</v>
      </c>
      <c r="K823" s="1096" t="s">
        <v>5224</v>
      </c>
      <c r="L823" s="1096" t="s">
        <v>5224</v>
      </c>
      <c r="M823" s="1096" t="s">
        <v>5224</v>
      </c>
      <c r="N823" s="1096" t="s">
        <v>4631</v>
      </c>
      <c r="O823" s="1028"/>
      <c r="P823" s="1028" t="s">
        <v>3616</v>
      </c>
      <c r="Q823" s="1097">
        <f t="shared" ca="1" si="819"/>
        <v>17</v>
      </c>
      <c r="R823" s="1028"/>
      <c r="S823" s="1028" t="s">
        <v>3611</v>
      </c>
      <c r="T823" s="1097">
        <f t="shared" ca="1" si="820"/>
        <v>15</v>
      </c>
      <c r="U823" s="1027">
        <v>2</v>
      </c>
      <c r="V823" s="1027">
        <f t="shared" si="821"/>
        <v>3</v>
      </c>
      <c r="W823" s="1098" t="e">
        <f>IF(OR(I823&lt;&gt;"N",E823="C"),IF(AND(N823&lt;&gt;"T",ISNUMBER(FIND("V",I823))),1,0),NA())+IF(H823="Y",IF(AND(N823="P",ISNUMBER(FIND("Z",I823))),2,1),0)+IF(J823="Y",1,0)+IF(K823="Y",3,0)+IF(BE823="Lore",L823*2+Experience!$D$25,0)+IF(M823="Y",1,0)</f>
        <v>#N/A</v>
      </c>
      <c r="X823" s="1099"/>
      <c r="Y823" s="1100">
        <f ca="1">IF(P823="NS",IFERROR(INDIRECT(S823),NA()),VLOOKUP(INDIRECT(P823)+INDIRECT(S823),'System Lookups'!$A$3:$D$146,2))</f>
        <v>0.08</v>
      </c>
      <c r="Z823" s="1100">
        <f>IF(ISNA(W823),0,W823*0.03)+IF(X823&gt;0,X823*0.03,0)+IF(AND(ISNA(W823),X823&lt;=0),0,IF(G823&gt;0,G823*0.07,0))</f>
        <v>0</v>
      </c>
      <c r="AA823" s="1101">
        <f ca="1">IF(ISNA(Y823),0,Y823)+Z823</f>
        <v>0.08</v>
      </c>
      <c r="AB823" s="1102">
        <f>VLOOKUP(V823,'System Lookups'!$J$55:$P$64,3)</f>
        <v>0.3</v>
      </c>
      <c r="AC823" s="1103">
        <f>VLOOKUP(V823,'System Lookups'!$J$55:$P$64,4)</f>
        <v>0.4</v>
      </c>
      <c r="AD823" s="1104">
        <f t="shared" ca="1" si="822"/>
        <v>0.38</v>
      </c>
      <c r="AE823" s="1094">
        <f ca="1">(IF(AD823&gt;VLOOKUP(V823,'System Lookups'!$J$55:$P$63,6),(((AD823-VLOOKUP(V823,'System Lookups'!$J$55:$P$63,6))*100)/20),0))+AF823</f>
        <v>0</v>
      </c>
      <c r="AF823" s="1120">
        <f>IF(AD559&gt;0.67,1,0)</f>
        <v>0</v>
      </c>
      <c r="AG823" s="1092">
        <f t="shared" si="823"/>
        <v>0</v>
      </c>
      <c r="AH823" s="1092" t="str">
        <f>IF(X823&lt;=Experience!$R$15+1,"","*")</f>
        <v/>
      </c>
      <c r="AI823" s="1092"/>
      <c r="AJ823" s="1080">
        <f t="shared" si="824"/>
        <v>0</v>
      </c>
      <c r="AK823" s="1080">
        <f t="shared" si="825"/>
        <v>0</v>
      </c>
      <c r="AL823" s="1080">
        <f t="shared" si="826"/>
        <v>0</v>
      </c>
      <c r="AM823" s="1092">
        <f t="shared" si="827"/>
        <v>0</v>
      </c>
      <c r="AN823" s="1080">
        <f t="shared" si="828"/>
        <v>1</v>
      </c>
      <c r="AO823" s="1080">
        <f t="shared" si="829"/>
        <v>0</v>
      </c>
      <c r="AP823" s="1080">
        <f t="shared" si="830"/>
        <v>1</v>
      </c>
      <c r="AQ823" s="1027">
        <f>VLOOKUP(V823,'System Lookups'!$J$55:$P$64,7)</f>
        <v>500</v>
      </c>
      <c r="AR823" s="1080" t="str">
        <f ca="1">IF(AND(NOT(ISBLANK(AJ823)),ISNA(MATCH(ROW(),'System Lookups'!$C$526:$C$539,0))),"Y","N")</f>
        <v>Y</v>
      </c>
      <c r="AS823" s="1080">
        <f t="shared" si="831"/>
        <v>0</v>
      </c>
      <c r="AU823" s="1080" t="e">
        <f t="shared" si="834"/>
        <v>#N/A</v>
      </c>
      <c r="AV823" s="1080" t="str">
        <f t="shared" si="808"/>
        <v>T</v>
      </c>
      <c r="AW823" s="1080">
        <f t="shared" si="835"/>
        <v>0</v>
      </c>
      <c r="AX823" s="1080">
        <f t="shared" si="836"/>
        <v>0</v>
      </c>
      <c r="AY823" s="1080">
        <f t="shared" si="837"/>
        <v>0</v>
      </c>
      <c r="AZ823" s="1080">
        <f t="shared" si="838"/>
        <v>0</v>
      </c>
      <c r="BA823" s="1080">
        <f t="shared" si="839"/>
        <v>0</v>
      </c>
      <c r="BB823" s="1080">
        <f>IF(AND(RACE=1,'Main Creation Page'!$E$6="Well",OR(ISNUMBER(FIND(Experience!$G$11,BE823)),ISNUMBER(FIND(Experience!$G$11,BF823)),ISNUMBER(FIND(Experience!$I$11,BE823)),ISNUMBER(FIND(Experience!$I$11,BF823)))),1,0)</f>
        <v>0</v>
      </c>
      <c r="BC823" s="1080" t="str">
        <f t="shared" si="784"/>
        <v>Finding Direction</v>
      </c>
      <c r="BE823" s="1080" t="str">
        <f t="shared" si="833"/>
        <v/>
      </c>
      <c r="BF823" s="1080" t="str">
        <f t="shared" si="785"/>
        <v>Outdoor Skills</v>
      </c>
    </row>
    <row r="824" spans="1:58" ht="11.1" customHeight="1" outlineLevel="1">
      <c r="A824" s="1117" t="s">
        <v>3390</v>
      </c>
      <c r="B824" s="1094"/>
      <c r="C824" s="1094"/>
      <c r="D824" s="1094"/>
      <c r="E824" s="1095" t="s">
        <v>5224</v>
      </c>
      <c r="F824" s="1095" t="s">
        <v>5224</v>
      </c>
      <c r="G824" s="1096">
        <v>0</v>
      </c>
      <c r="H824" s="1096" t="s">
        <v>5224</v>
      </c>
      <c r="I824" s="1096" t="s">
        <v>5224</v>
      </c>
      <c r="J824" s="1096" t="s">
        <v>5224</v>
      </c>
      <c r="K824" s="1096" t="s">
        <v>5224</v>
      </c>
      <c r="L824" s="1096" t="s">
        <v>5224</v>
      </c>
      <c r="M824" s="1096" t="s">
        <v>5224</v>
      </c>
      <c r="N824" s="1096" t="s">
        <v>4631</v>
      </c>
      <c r="O824" s="1028"/>
      <c r="P824" s="1028" t="s">
        <v>780</v>
      </c>
      <c r="Q824" s="1097">
        <f t="shared" ref="Q824:Q829" ca="1" si="840">INDIRECT(P824)</f>
        <v>17</v>
      </c>
      <c r="R824" s="1034"/>
      <c r="S824" s="1028" t="s">
        <v>3616</v>
      </c>
      <c r="T824" s="1097">
        <f t="shared" ref="T824:T829" ca="1" si="841">INDIRECT(S824)</f>
        <v>17</v>
      </c>
      <c r="U824" s="1027">
        <v>3</v>
      </c>
      <c r="V824" s="1027">
        <f t="shared" ref="V824:V829" si="842">IF(AP824+U824&gt;10,10,IF(AP824+U824&lt;1,1,AP824+U824))</f>
        <v>4</v>
      </c>
      <c r="W824" s="1098" t="e">
        <f>IF(OR(I824&lt;&gt;"N",E824="C"),IF(AND(N824&lt;&gt;"T",ISNUMBER(FIND("V",I824))),1,0),NA())+IF(H824="Y",IF(AND(N824="P",ISNUMBER(FIND("Z",I824))),2,1),0)+IF(J824="Y",1,0)+IF(K824="Y",3,0)+IF(BE824="Lore",L824*2+Experience!$D$25,0)+IF(M824="Y",1,0)</f>
        <v>#N/A</v>
      </c>
      <c r="X824" s="1099"/>
      <c r="Y824" s="1100">
        <f ca="1">IF(P824="NS",IFERROR(INDIRECT(S824),NA()),VLOOKUP(INDIRECT(P824)+INDIRECT(S824),'System Lookups'!$A$3:$D$146,2))</f>
        <v>0.1</v>
      </c>
      <c r="Z824" s="1100">
        <f t="shared" ref="Z824:Z829" si="843">IF(ISNA(W824),0,W824*0.03)+IF(X824&gt;0,X824*0.03,0)+IF(AND(ISNA(W824),X824&lt;=0),0,IF(G824&gt;0,G824*0.07,0))</f>
        <v>0</v>
      </c>
      <c r="AA824" s="1101">
        <f t="shared" ref="AA824:AA829" ca="1" si="844">IF(ISNA(Y824),0,Y824)+Z824</f>
        <v>0.1</v>
      </c>
      <c r="AB824" s="1102">
        <f>VLOOKUP(V824,'System Lookups'!$J$55:$P$64,3)</f>
        <v>0.2</v>
      </c>
      <c r="AC824" s="1103">
        <f>VLOOKUP(V824,'System Lookups'!$J$55:$P$64,4)</f>
        <v>0.3</v>
      </c>
      <c r="AD824" s="1104">
        <f t="shared" ref="AD824:AD829" ca="1" si="845">IF(AND(ISBLANK(X824),ISNA(W824)),IF(B824="~",0,AB824+AA824+IF(BB824&gt;0,0.05,0)),AA824+AC824+IF(BB824&gt;0,0.05,0))</f>
        <v>0.30000000000000004</v>
      </c>
      <c r="AE824" s="1094">
        <f ca="1">(IF(AD824&gt;VLOOKUP(V824,'System Lookups'!$J$55:$P$63,6),(((AD824-VLOOKUP(V824,'System Lookups'!$J$55:$P$63,6))*100)/20),0))+AF824</f>
        <v>0</v>
      </c>
      <c r="AF824" s="1121"/>
      <c r="AG824" s="1092">
        <f t="shared" ref="AG824:AG829" si="846">IF(ISBLANK(X824),0,AQ824*X824+IF(ISNA(W824),1,0))</f>
        <v>0</v>
      </c>
      <c r="AH824" s="1092" t="str">
        <f>IF(X824&lt;=Experience!$R$15+1,"","*")</f>
        <v/>
      </c>
      <c r="AI824" s="1092"/>
      <c r="AJ824" s="1080">
        <f t="shared" ref="AJ824:AJ829" si="847">IF(ISNUMBER(FIND("R",F824)),-1,0)</f>
        <v>0</v>
      </c>
      <c r="AK824" s="1080">
        <f t="shared" ref="AK824:AK829" si="848">IF(F824="s",-2,0)</f>
        <v>0</v>
      </c>
      <c r="AL824" s="1080">
        <f t="shared" si="826"/>
        <v>0</v>
      </c>
      <c r="AM824" s="1092">
        <f t="shared" ref="AM824:AM829" si="849">IF(J824="y",1,0)</f>
        <v>0</v>
      </c>
      <c r="AN824" s="1080">
        <f t="shared" ref="AN824:AN829" si="850">IF(N824="P",-1,IF(N824="T",1,0))</f>
        <v>1</v>
      </c>
      <c r="AO824" s="1080">
        <f t="shared" si="829"/>
        <v>0</v>
      </c>
      <c r="AP824" s="1080">
        <f t="shared" ref="AP824:AP829" si="851">SUM(AJ824:AN824)-AM824</f>
        <v>1</v>
      </c>
      <c r="AQ824" s="1027">
        <f>VLOOKUP(V824,'System Lookups'!$J$55:$P$64,7)</f>
        <v>600</v>
      </c>
      <c r="AR824" s="1080" t="str">
        <f ca="1">IF(AND(NOT(ISBLANK(AJ824)),ISNA(MATCH(ROW(),'System Lookups'!$C$526:$C$539,0))),"Y","N")</f>
        <v>Y</v>
      </c>
      <c r="AS824" s="1080">
        <f t="shared" si="831"/>
        <v>0</v>
      </c>
      <c r="AU824" s="1080" t="e">
        <f t="shared" si="834"/>
        <v>#N/A</v>
      </c>
      <c r="AV824" s="1080" t="str">
        <f t="shared" si="808"/>
        <v>T</v>
      </c>
      <c r="AW824" s="1080">
        <f t="shared" si="835"/>
        <v>0</v>
      </c>
      <c r="AX824" s="1080">
        <f t="shared" si="836"/>
        <v>0</v>
      </c>
      <c r="AY824" s="1080">
        <f t="shared" si="837"/>
        <v>0</v>
      </c>
      <c r="AZ824" s="1080">
        <f t="shared" si="838"/>
        <v>0</v>
      </c>
      <c r="BA824" s="1080">
        <f t="shared" si="839"/>
        <v>0</v>
      </c>
      <c r="BB824" s="1080">
        <f>IF(AND(RACE=1,'Main Creation Page'!$E$6="Well",OR(ISNUMBER(FIND(Experience!$G$11,BE824)),ISNUMBER(FIND(Experience!$G$11,BF824)),ISNUMBER(FIND(Experience!$I$11,BE824)),ISNUMBER(FIND(Experience!$I$11,BF824)))),1,0)</f>
        <v>0</v>
      </c>
      <c r="BC824" s="1080" t="str">
        <f t="shared" si="784"/>
        <v>Finding One's Location</v>
      </c>
      <c r="BE824" s="1080" t="str">
        <f t="shared" si="833"/>
        <v/>
      </c>
      <c r="BF824" s="1080" t="str">
        <f t="shared" si="785"/>
        <v>Outdoor Skills</v>
      </c>
    </row>
    <row r="825" spans="1:58" ht="11.1" customHeight="1" outlineLevel="1">
      <c r="A825" s="1117" t="s">
        <v>3391</v>
      </c>
      <c r="B825" s="1094"/>
      <c r="C825" s="1094"/>
      <c r="D825" s="1094"/>
      <c r="E825" s="1095" t="s">
        <v>5224</v>
      </c>
      <c r="F825" s="1095" t="s">
        <v>5224</v>
      </c>
      <c r="G825" s="1096">
        <v>0</v>
      </c>
      <c r="H825" s="1096" t="s">
        <v>5224</v>
      </c>
      <c r="I825" s="1096" t="s">
        <v>5224</v>
      </c>
      <c r="J825" s="1096" t="s">
        <v>5224</v>
      </c>
      <c r="K825" s="1096" t="s">
        <v>5224</v>
      </c>
      <c r="L825" s="1096" t="s">
        <v>5224</v>
      </c>
      <c r="M825" s="1096" t="s">
        <v>5224</v>
      </c>
      <c r="N825" s="1096" t="s">
        <v>4631</v>
      </c>
      <c r="O825" s="1028"/>
      <c r="P825" s="1028" t="s">
        <v>780</v>
      </c>
      <c r="Q825" s="1097">
        <f t="shared" ca="1" si="840"/>
        <v>17</v>
      </c>
      <c r="R825" s="1034"/>
      <c r="S825" s="1028" t="s">
        <v>3616</v>
      </c>
      <c r="T825" s="1097">
        <f t="shared" ca="1" si="841"/>
        <v>17</v>
      </c>
      <c r="U825" s="1027">
        <v>3</v>
      </c>
      <c r="V825" s="1027">
        <f t="shared" si="842"/>
        <v>4</v>
      </c>
      <c r="W825" s="1098" t="e">
        <f>IF(OR(I825&lt;&gt;"N",E825="C"),IF(AND(N825&lt;&gt;"T",ISNUMBER(FIND("V",I825))),1,0),NA())+IF(H825="Y",IF(AND(N825="P",ISNUMBER(FIND("Z",I825))),2,1),0)+IF(J825="Y",1,0)+IF(K825="Y",3,0)+IF(BE825="Lore",L825*2+Experience!$D$25,0)+IF(M825="Y",1,0)</f>
        <v>#N/A</v>
      </c>
      <c r="X825" s="1099"/>
      <c r="Y825" s="1100">
        <f ca="1">IF(P825="NS",IFERROR(INDIRECT(S825),NA()),VLOOKUP(INDIRECT(P825)+INDIRECT(S825),'System Lookups'!$A$3:$D$146,2))</f>
        <v>0.1</v>
      </c>
      <c r="Z825" s="1100">
        <f t="shared" si="843"/>
        <v>0</v>
      </c>
      <c r="AA825" s="1101">
        <f t="shared" ca="1" si="844"/>
        <v>0.1</v>
      </c>
      <c r="AB825" s="1102">
        <f>VLOOKUP(V825,'System Lookups'!$J$55:$P$64,3)</f>
        <v>0.2</v>
      </c>
      <c r="AC825" s="1103">
        <f>VLOOKUP(V825,'System Lookups'!$J$55:$P$64,4)</f>
        <v>0.3</v>
      </c>
      <c r="AD825" s="1104">
        <f t="shared" ca="1" si="845"/>
        <v>0.30000000000000004</v>
      </c>
      <c r="AE825" s="1094">
        <f ca="1">(IF(AD825&gt;VLOOKUP(V825,'System Lookups'!$J$55:$P$63,6),(((AD825-VLOOKUP(V825,'System Lookups'!$J$55:$P$63,6))*100)/20),0))+AF825</f>
        <v>0</v>
      </c>
      <c r="AF825" s="1121"/>
      <c r="AG825" s="1092">
        <f t="shared" si="846"/>
        <v>0</v>
      </c>
      <c r="AH825" s="1092" t="str">
        <f>IF(X825&lt;=Experience!$R$15+1,"","*")</f>
        <v/>
      </c>
      <c r="AI825" s="1092"/>
      <c r="AJ825" s="1080">
        <f t="shared" si="847"/>
        <v>0</v>
      </c>
      <c r="AK825" s="1080">
        <f t="shared" si="848"/>
        <v>0</v>
      </c>
      <c r="AL825" s="1080">
        <f t="shared" si="826"/>
        <v>0</v>
      </c>
      <c r="AM825" s="1092">
        <f t="shared" si="849"/>
        <v>0</v>
      </c>
      <c r="AN825" s="1080">
        <f t="shared" si="850"/>
        <v>1</v>
      </c>
      <c r="AO825" s="1080">
        <f t="shared" si="829"/>
        <v>0</v>
      </c>
      <c r="AP825" s="1080">
        <f t="shared" si="851"/>
        <v>1</v>
      </c>
      <c r="AQ825" s="1027">
        <f>VLOOKUP(V825,'System Lookups'!$J$55:$P$64,7)</f>
        <v>600</v>
      </c>
      <c r="AR825" s="1080" t="str">
        <f ca="1">IF(AND(NOT(ISBLANK(AJ825)),ISNA(MATCH(ROW(),'System Lookups'!$C$526:$C$539,0))),"Y","N")</f>
        <v>Y</v>
      </c>
      <c r="AS825" s="1080">
        <f t="shared" si="831"/>
        <v>0</v>
      </c>
      <c r="AU825" s="1080" t="e">
        <f t="shared" si="834"/>
        <v>#N/A</v>
      </c>
      <c r="AV825" s="1080" t="str">
        <f t="shared" si="808"/>
        <v>T</v>
      </c>
      <c r="AW825" s="1080">
        <f t="shared" si="835"/>
        <v>0</v>
      </c>
      <c r="AX825" s="1080">
        <f t="shared" si="836"/>
        <v>0</v>
      </c>
      <c r="AY825" s="1080">
        <f t="shared" si="837"/>
        <v>0</v>
      </c>
      <c r="AZ825" s="1080">
        <f t="shared" si="838"/>
        <v>0</v>
      </c>
      <c r="BA825" s="1080">
        <f t="shared" si="839"/>
        <v>0</v>
      </c>
      <c r="BB825" s="1080">
        <f>IF(AND(RACE=1,'Main Creation Page'!$E$6="Well",OR(ISNUMBER(FIND(Experience!$G$11,BE825)),ISNUMBER(FIND(Experience!$G$11,BF825)),ISNUMBER(FIND(Experience!$I$11,BE825)),ISNUMBER(FIND(Experience!$I$11,BF825)))),1,0)</f>
        <v>0</v>
      </c>
      <c r="BC825" s="1080" t="str">
        <f t="shared" si="784"/>
        <v>Finding Water</v>
      </c>
      <c r="BE825" s="1080" t="str">
        <f t="shared" si="833"/>
        <v/>
      </c>
      <c r="BF825" s="1080" t="str">
        <f t="shared" si="785"/>
        <v>Outdoor Skills</v>
      </c>
    </row>
    <row r="826" spans="1:58" ht="11.1" customHeight="1" outlineLevel="1">
      <c r="A826" s="1117" t="s">
        <v>571</v>
      </c>
      <c r="B826" s="1094"/>
      <c r="C826" s="1094"/>
      <c r="D826" s="1094"/>
      <c r="E826" s="1095" t="s">
        <v>5224</v>
      </c>
      <c r="F826" s="1095" t="s">
        <v>5224</v>
      </c>
      <c r="G826" s="1096">
        <v>0</v>
      </c>
      <c r="H826" s="1096" t="s">
        <v>5224</v>
      </c>
      <c r="I826" s="1096" t="s">
        <v>5224</v>
      </c>
      <c r="J826" s="1096" t="s">
        <v>5224</v>
      </c>
      <c r="K826" s="1096" t="s">
        <v>5224</v>
      </c>
      <c r="L826" s="1096" t="s">
        <v>5224</v>
      </c>
      <c r="M826" s="1096" t="s">
        <v>5224</v>
      </c>
      <c r="N826" s="1096" t="s">
        <v>4631</v>
      </c>
      <c r="O826" s="1028"/>
      <c r="P826" s="1028" t="s">
        <v>3616</v>
      </c>
      <c r="Q826" s="1097">
        <f t="shared" ca="1" si="840"/>
        <v>17</v>
      </c>
      <c r="R826" s="1028"/>
      <c r="S826" s="1028" t="s">
        <v>3611</v>
      </c>
      <c r="T826" s="1097">
        <f t="shared" ca="1" si="841"/>
        <v>15</v>
      </c>
      <c r="U826" s="1027">
        <v>3</v>
      </c>
      <c r="V826" s="1027">
        <f t="shared" si="842"/>
        <v>4</v>
      </c>
      <c r="W826" s="1098" t="e">
        <f>IF(OR(I826&lt;&gt;"N",E826="C"),IF(AND(N826&lt;&gt;"T",ISNUMBER(FIND("V",I826))),1,0),NA())+IF(H826="Y",IF(AND(N826="P",ISNUMBER(FIND("Z",I826))),2,1),0)+IF(J826="Y",1,0)+IF(K826="Y",3,0)+IF(BE826="Lore",L826*2+Experience!$D$25,0)+IF(M826="Y",1,0)</f>
        <v>#N/A</v>
      </c>
      <c r="X826" s="1099"/>
      <c r="Y826" s="1100">
        <f ca="1">IF(P826="NS",IFERROR(INDIRECT(S826),NA()),VLOOKUP(INDIRECT(P826)+INDIRECT(S826),'System Lookups'!$A$3:$D$146,2))</f>
        <v>0.08</v>
      </c>
      <c r="Z826" s="1100">
        <f t="shared" si="843"/>
        <v>0</v>
      </c>
      <c r="AA826" s="1101">
        <f t="shared" ca="1" si="844"/>
        <v>0.08</v>
      </c>
      <c r="AB826" s="1102">
        <f>VLOOKUP(V826,'System Lookups'!$J$55:$P$64,3)</f>
        <v>0.2</v>
      </c>
      <c r="AC826" s="1103">
        <f>VLOOKUP(V826,'System Lookups'!$J$55:$P$64,4)</f>
        <v>0.3</v>
      </c>
      <c r="AD826" s="1104">
        <f t="shared" ca="1" si="845"/>
        <v>0.28000000000000003</v>
      </c>
      <c r="AE826" s="1094">
        <f ca="1">(IF(AD826&gt;VLOOKUP(V826,'System Lookups'!$J$55:$P$63,6),(((AD826-VLOOKUP(V826,'System Lookups'!$J$55:$P$63,6))*100)/20),0))+AF826</f>
        <v>0</v>
      </c>
      <c r="AF826" s="1121"/>
      <c r="AG826" s="1092">
        <f t="shared" si="846"/>
        <v>0</v>
      </c>
      <c r="AH826" s="1092" t="str">
        <f>IF(X826&lt;=Experience!$R$15+1,"","*")</f>
        <v/>
      </c>
      <c r="AI826" s="1092"/>
      <c r="AJ826" s="1080">
        <f t="shared" si="847"/>
        <v>0</v>
      </c>
      <c r="AK826" s="1080">
        <f t="shared" si="848"/>
        <v>0</v>
      </c>
      <c r="AL826" s="1080">
        <f t="shared" si="826"/>
        <v>0</v>
      </c>
      <c r="AM826" s="1092">
        <f t="shared" si="849"/>
        <v>0</v>
      </c>
      <c r="AN826" s="1080">
        <f t="shared" si="850"/>
        <v>1</v>
      </c>
      <c r="AO826" s="1080">
        <f t="shared" si="829"/>
        <v>0</v>
      </c>
      <c r="AP826" s="1080">
        <f t="shared" si="851"/>
        <v>1</v>
      </c>
      <c r="AQ826" s="1027">
        <f>VLOOKUP(V826,'System Lookups'!$J$55:$P$64,7)</f>
        <v>600</v>
      </c>
      <c r="AR826" s="1080" t="str">
        <f ca="1">IF(AND(NOT(ISBLANK(AJ826)),ISNA(MATCH(ROW(),'System Lookups'!$C$526:$C$539,0))),"Y","N")</f>
        <v>Y</v>
      </c>
      <c r="AS826" s="1080">
        <f t="shared" si="831"/>
        <v>0</v>
      </c>
      <c r="AU826" s="1080" t="e">
        <f t="shared" si="834"/>
        <v>#N/A</v>
      </c>
      <c r="AV826" s="1080" t="str">
        <f t="shared" ref="AV826:AV856" si="852">IF(ISNUMBER(U826),CONCATENATE(IF(E826="C","C",""),IF(H826="Y","M",""),N826,IF(ISNUMBER(FIND("F",I826)),"Bk",""),IF(ISNUMBER(FIND("Z",I826)),"Zm",""),IF(J826="Y","L",""),IF(OR(K826="Y",AND(ISNUMBER(L826),L826&gt;0),M826="Y"),"Sa","")),"")</f>
        <v>T</v>
      </c>
      <c r="AW826" s="1080">
        <f t="shared" si="835"/>
        <v>0</v>
      </c>
      <c r="AX826" s="1080">
        <f t="shared" si="836"/>
        <v>0</v>
      </c>
      <c r="AY826" s="1080">
        <f t="shared" si="837"/>
        <v>0</v>
      </c>
      <c r="AZ826" s="1080">
        <f t="shared" si="838"/>
        <v>0</v>
      </c>
      <c r="BA826" s="1080">
        <f t="shared" si="839"/>
        <v>0</v>
      </c>
      <c r="BB826" s="1080">
        <f>IF(AND(RACE=1,'Main Creation Page'!$E$6="Well",OR(ISNUMBER(FIND(Experience!$G$11,BE826)),ISNUMBER(FIND(Experience!$G$11,BF826)),ISNUMBER(FIND(Experience!$I$11,BE826)),ISNUMBER(FIND(Experience!$I$11,BF826)))),1,0)</f>
        <v>0</v>
      </c>
      <c r="BC826" s="1080" t="str">
        <f t="shared" si="784"/>
        <v>Fishing</v>
      </c>
      <c r="BE826" s="1080" t="str">
        <f t="shared" si="833"/>
        <v/>
      </c>
      <c r="BF826" s="1080" t="str">
        <f t="shared" si="785"/>
        <v>Outdoor Skills</v>
      </c>
    </row>
    <row r="827" spans="1:58" ht="11.1" customHeight="1" outlineLevel="1">
      <c r="A827" s="1117" t="s">
        <v>5659</v>
      </c>
      <c r="B827" s="1094"/>
      <c r="C827" s="1094"/>
      <c r="D827" s="1094"/>
      <c r="E827" s="1095" t="s">
        <v>5224</v>
      </c>
      <c r="F827" s="1095" t="s">
        <v>5224</v>
      </c>
      <c r="G827" s="1096">
        <v>0</v>
      </c>
      <c r="H827" s="1096" t="s">
        <v>5224</v>
      </c>
      <c r="I827" s="1096" t="s">
        <v>5224</v>
      </c>
      <c r="J827" s="1096" t="s">
        <v>5224</v>
      </c>
      <c r="K827" s="1096" t="s">
        <v>5224</v>
      </c>
      <c r="L827" s="1096" t="s">
        <v>5224</v>
      </c>
      <c r="M827" s="1096" t="s">
        <v>5224</v>
      </c>
      <c r="N827" s="1096" t="s">
        <v>4631</v>
      </c>
      <c r="O827" s="1028"/>
      <c r="P827" s="1028" t="s">
        <v>3616</v>
      </c>
      <c r="Q827" s="1097">
        <f t="shared" ca="1" si="840"/>
        <v>17</v>
      </c>
      <c r="R827" s="1028"/>
      <c r="S827" s="1028" t="s">
        <v>3611</v>
      </c>
      <c r="T827" s="1097">
        <f t="shared" ca="1" si="841"/>
        <v>15</v>
      </c>
      <c r="U827" s="1027">
        <v>5</v>
      </c>
      <c r="V827" s="1027">
        <f t="shared" si="842"/>
        <v>6</v>
      </c>
      <c r="W827" s="1098" t="e">
        <f>IF(OR(I827&lt;&gt;"N",E827="C"),IF(AND(N827&lt;&gt;"T",ISNUMBER(FIND("V",I827))),1,0),NA())+IF(H827="Y",IF(AND(N827="P",ISNUMBER(FIND("Z",I827))),2,1),0)+IF(J827="Y",1,0)+IF(K827="Y",3,0)+IF(BE827="Lore",L827*2+Experience!$D$25,0)+IF(M827="Y",1,0)</f>
        <v>#N/A</v>
      </c>
      <c r="X827" s="1099"/>
      <c r="Y827" s="1100">
        <f ca="1">IF(P827="NS",IFERROR(INDIRECT(S827),NA()),VLOOKUP(INDIRECT(P827)+INDIRECT(S827),'System Lookups'!$A$3:$D$146,2))</f>
        <v>0.08</v>
      </c>
      <c r="Z827" s="1100">
        <f t="shared" si="843"/>
        <v>0</v>
      </c>
      <c r="AA827" s="1101">
        <f t="shared" ca="1" si="844"/>
        <v>0.08</v>
      </c>
      <c r="AB827" s="1102">
        <f>VLOOKUP(V827,'System Lookups'!$J$55:$P$64,3)</f>
        <v>0.05</v>
      </c>
      <c r="AC827" s="1103">
        <f>VLOOKUP(V827,'System Lookups'!$J$55:$P$64,4)</f>
        <v>0.1</v>
      </c>
      <c r="AD827" s="1104">
        <f t="shared" ca="1" si="845"/>
        <v>0.13</v>
      </c>
      <c r="AE827" s="1094">
        <f ca="1">(IF(AD827&gt;VLOOKUP(V827,'System Lookups'!$J$55:$P$63,6),(((AD827-VLOOKUP(V827,'System Lookups'!$J$55:$P$63,6))*100)/20),0))+AF827</f>
        <v>0</v>
      </c>
      <c r="AF827" s="1121"/>
      <c r="AG827" s="1092">
        <f t="shared" si="846"/>
        <v>0</v>
      </c>
      <c r="AH827" s="1092" t="str">
        <f>IF(X827&lt;=Experience!$R$15+1,"","*")</f>
        <v/>
      </c>
      <c r="AI827" s="1092"/>
      <c r="AJ827" s="1080">
        <f t="shared" si="847"/>
        <v>0</v>
      </c>
      <c r="AK827" s="1080">
        <f t="shared" si="848"/>
        <v>0</v>
      </c>
      <c r="AL827" s="1080">
        <f t="shared" si="826"/>
        <v>0</v>
      </c>
      <c r="AM827" s="1092">
        <f t="shared" si="849"/>
        <v>0</v>
      </c>
      <c r="AN827" s="1080">
        <f t="shared" si="850"/>
        <v>1</v>
      </c>
      <c r="AO827" s="1080">
        <f t="shared" si="829"/>
        <v>0</v>
      </c>
      <c r="AP827" s="1080">
        <f t="shared" si="851"/>
        <v>1</v>
      </c>
      <c r="AQ827" s="1027">
        <f>VLOOKUP(V827,'System Lookups'!$J$55:$P$64,7)</f>
        <v>800</v>
      </c>
      <c r="AR827" s="1080" t="str">
        <f ca="1">IF(AND(NOT(ISBLANK(AJ827)),ISNA(MATCH(ROW(),'System Lookups'!$C$526:$C$539,0))),"Y","N")</f>
        <v>Y</v>
      </c>
      <c r="AS827" s="1080">
        <f t="shared" si="831"/>
        <v>0</v>
      </c>
      <c r="AU827" s="1080" t="e">
        <f t="shared" si="834"/>
        <v>#N/A</v>
      </c>
      <c r="AV827" s="1080" t="str">
        <f t="shared" si="852"/>
        <v>T</v>
      </c>
      <c r="AW827" s="1080">
        <f t="shared" si="835"/>
        <v>0</v>
      </c>
      <c r="AX827" s="1080">
        <f t="shared" si="836"/>
        <v>0</v>
      </c>
      <c r="AY827" s="1080">
        <f t="shared" si="837"/>
        <v>0</v>
      </c>
      <c r="AZ827" s="1080">
        <f t="shared" si="838"/>
        <v>0</v>
      </c>
      <c r="BA827" s="1080">
        <f t="shared" si="839"/>
        <v>0</v>
      </c>
      <c r="BB827" s="1080">
        <f>IF(AND(RACE=1,'Main Creation Page'!$E$6="Well",OR(ISNUMBER(FIND(Experience!$G$11,BE827)),ISNUMBER(FIND(Experience!$G$11,BF827)),ISNUMBER(FIND(Experience!$I$11,BE827)),ISNUMBER(FIND(Experience!$I$11,BF827)))),1,0)</f>
        <v>0</v>
      </c>
      <c r="BC827" s="1080" t="str">
        <f t="shared" si="784"/>
        <v>Fly Fishing</v>
      </c>
      <c r="BE827" s="1080" t="str">
        <f t="shared" si="833"/>
        <v/>
      </c>
      <c r="BF827" s="1080" t="str">
        <f t="shared" si="785"/>
        <v>Outdoor Skills</v>
      </c>
    </row>
    <row r="828" spans="1:58" ht="11.1" customHeight="1" outlineLevel="1">
      <c r="A828" s="1117" t="s">
        <v>572</v>
      </c>
      <c r="B828" s="1094"/>
      <c r="C828" s="1094"/>
      <c r="D828" s="1094"/>
      <c r="E828" s="1095" t="s">
        <v>5224</v>
      </c>
      <c r="F828" s="1095" t="s">
        <v>5224</v>
      </c>
      <c r="G828" s="1096">
        <v>0</v>
      </c>
      <c r="H828" s="1096" t="s">
        <v>5224</v>
      </c>
      <c r="I828" s="1096" t="s">
        <v>5224</v>
      </c>
      <c r="J828" s="1096" t="s">
        <v>5224</v>
      </c>
      <c r="K828" s="1096" t="s">
        <v>5224</v>
      </c>
      <c r="L828" s="1096" t="s">
        <v>5224</v>
      </c>
      <c r="M828" s="1096" t="s">
        <v>5224</v>
      </c>
      <c r="N828" s="1096" t="s">
        <v>4631</v>
      </c>
      <c r="O828" s="1028"/>
      <c r="P828" s="1028" t="s">
        <v>780</v>
      </c>
      <c r="Q828" s="1097">
        <f t="shared" ca="1" si="840"/>
        <v>17</v>
      </c>
      <c r="R828" s="1034"/>
      <c r="S828" s="1028" t="s">
        <v>3616</v>
      </c>
      <c r="T828" s="1097">
        <f t="shared" ca="1" si="841"/>
        <v>17</v>
      </c>
      <c r="U828" s="1027">
        <v>3</v>
      </c>
      <c r="V828" s="1027">
        <f t="shared" si="842"/>
        <v>4</v>
      </c>
      <c r="W828" s="1098" t="e">
        <f>IF(OR(I828&lt;&gt;"N",E828="C"),IF(AND(N828&lt;&gt;"T",ISNUMBER(FIND("V",I828))),1,0),NA())+IF(H828="Y",IF(AND(N828="P",ISNUMBER(FIND("Z",I828))),2,1),0)+IF(J828="Y",1,0)+IF(K828="Y",3,0)+IF(BE828="Lore",L828*2+Experience!$D$25,0)+IF(M828="Y",1,0)</f>
        <v>#N/A</v>
      </c>
      <c r="X828" s="1099"/>
      <c r="Y828" s="1100">
        <f ca="1">IF(P828="NS",IFERROR(INDIRECT(S828),NA()),VLOOKUP(INDIRECT(P828)+INDIRECT(S828),'System Lookups'!$A$3:$D$146,2))</f>
        <v>0.1</v>
      </c>
      <c r="Z828" s="1100">
        <f t="shared" si="843"/>
        <v>0</v>
      </c>
      <c r="AA828" s="1101">
        <f t="shared" ca="1" si="844"/>
        <v>0.1</v>
      </c>
      <c r="AB828" s="1102">
        <f>VLOOKUP(V828,'System Lookups'!$J$55:$P$64,3)</f>
        <v>0.2</v>
      </c>
      <c r="AC828" s="1103">
        <f>VLOOKUP(V828,'System Lookups'!$J$55:$P$64,4)</f>
        <v>0.3</v>
      </c>
      <c r="AD828" s="1104">
        <f t="shared" ca="1" si="845"/>
        <v>0.30000000000000004</v>
      </c>
      <c r="AE828" s="1094">
        <f ca="1">(IF(AD828&gt;VLOOKUP(V828,'System Lookups'!$J$55:$P$63,6),(((AD828-VLOOKUP(V828,'System Lookups'!$J$55:$P$63,6))*100)/20),0))+AF828</f>
        <v>0</v>
      </c>
      <c r="AF828" s="1121"/>
      <c r="AG828" s="1092">
        <f t="shared" si="846"/>
        <v>0</v>
      </c>
      <c r="AH828" s="1092" t="str">
        <f>IF(X828&lt;=Experience!$R$15+1,"","*")</f>
        <v/>
      </c>
      <c r="AI828" s="1092"/>
      <c r="AJ828" s="1080">
        <f t="shared" si="847"/>
        <v>0</v>
      </c>
      <c r="AK828" s="1080">
        <f t="shared" si="848"/>
        <v>0</v>
      </c>
      <c r="AL828" s="1080">
        <f t="shared" si="826"/>
        <v>0</v>
      </c>
      <c r="AM828" s="1092">
        <f t="shared" si="849"/>
        <v>0</v>
      </c>
      <c r="AN828" s="1080">
        <f t="shared" si="850"/>
        <v>1</v>
      </c>
      <c r="AO828" s="1080">
        <f t="shared" si="829"/>
        <v>0</v>
      </c>
      <c r="AP828" s="1080">
        <f t="shared" si="851"/>
        <v>1</v>
      </c>
      <c r="AQ828" s="1027">
        <f>VLOOKUP(V828,'System Lookups'!$J$55:$P$64,7)</f>
        <v>600</v>
      </c>
      <c r="AR828" s="1080" t="str">
        <f ca="1">IF(AND(NOT(ISBLANK(AJ828)),ISNA(MATCH(ROW(),'System Lookups'!$C$526:$C$539,0))),"Y","N")</f>
        <v>Y</v>
      </c>
      <c r="AS828" s="1080">
        <f t="shared" si="831"/>
        <v>0</v>
      </c>
      <c r="AU828" s="1080" t="e">
        <f t="shared" si="834"/>
        <v>#N/A</v>
      </c>
      <c r="AV828" s="1080" t="str">
        <f t="shared" si="852"/>
        <v>T</v>
      </c>
      <c r="AW828" s="1080">
        <f t="shared" si="835"/>
        <v>0</v>
      </c>
      <c r="AX828" s="1080">
        <f t="shared" si="836"/>
        <v>0</v>
      </c>
      <c r="AY828" s="1080">
        <f t="shared" si="837"/>
        <v>0</v>
      </c>
      <c r="AZ828" s="1080">
        <f t="shared" si="838"/>
        <v>0</v>
      </c>
      <c r="BA828" s="1080">
        <f t="shared" si="839"/>
        <v>0</v>
      </c>
      <c r="BB828" s="1080">
        <f>IF(AND(RACE=1,'Main Creation Page'!$E$6="Well",OR(ISNUMBER(FIND(Experience!$G$11,BE828)),ISNUMBER(FIND(Experience!$G$11,BF828)),ISNUMBER(FIND(Experience!$I$11,BE828)),ISNUMBER(FIND(Experience!$I$11,BF828)))),1,0)</f>
        <v>0</v>
      </c>
      <c r="BC828" s="1080" t="str">
        <f t="shared" si="784"/>
        <v>Forage for Wild Foods</v>
      </c>
      <c r="BE828" s="1080" t="str">
        <f t="shared" si="833"/>
        <v/>
      </c>
      <c r="BF828" s="1080" t="str">
        <f t="shared" si="785"/>
        <v>Outdoor Skills</v>
      </c>
    </row>
    <row r="829" spans="1:58" ht="11.1" customHeight="1" outlineLevel="1">
      <c r="A829" s="1117" t="s">
        <v>29</v>
      </c>
      <c r="B829" s="1094"/>
      <c r="C829" s="1094" t="s">
        <v>4629</v>
      </c>
      <c r="D829" s="1094"/>
      <c r="E829" s="1095" t="s">
        <v>5224</v>
      </c>
      <c r="F829" s="1095" t="str">
        <f>IF('Main Creation Page'!$C$3=2, "R", IF('Main Creation Page'!C3=4,"R","N"))</f>
        <v>N</v>
      </c>
      <c r="G829" s="1096">
        <v>0</v>
      </c>
      <c r="H829" s="1096" t="s">
        <v>5224</v>
      </c>
      <c r="I829" s="1096" t="s">
        <v>5224</v>
      </c>
      <c r="J829" s="1096" t="s">
        <v>5224</v>
      </c>
      <c r="K829" s="1096" t="s">
        <v>5224</v>
      </c>
      <c r="L829" s="1096" t="s">
        <v>5224</v>
      </c>
      <c r="M829" s="1096" t="s">
        <v>5224</v>
      </c>
      <c r="N829" s="1096" t="s">
        <v>4631</v>
      </c>
      <c r="O829" s="1028"/>
      <c r="P829" s="1028" t="s">
        <v>3616</v>
      </c>
      <c r="Q829" s="1097">
        <f t="shared" ca="1" si="840"/>
        <v>17</v>
      </c>
      <c r="R829" s="1028"/>
      <c r="S829" s="1028" t="s">
        <v>3611</v>
      </c>
      <c r="T829" s="1097">
        <f t="shared" ca="1" si="841"/>
        <v>15</v>
      </c>
      <c r="U829" s="1027">
        <v>4</v>
      </c>
      <c r="V829" s="1027">
        <f t="shared" si="842"/>
        <v>5</v>
      </c>
      <c r="W829" s="1098" t="e">
        <f>IF(OR(I829&lt;&gt;"N",E829="C"),IF(AND(N829&lt;&gt;"T",ISNUMBER(FIND("V",I829))),1,0),NA())+IF(H829="Y",IF(AND(N829="P",ISNUMBER(FIND("Z",I829))),2,1),0)+IF(J829="Y",1,0)+IF(K829="Y",3,0)+IF(BE829="Lore",L829*2+Experience!$D$25,0)+IF(M829="Y",1,0)</f>
        <v>#N/A</v>
      </c>
      <c r="X829" s="1099"/>
      <c r="Y829" s="1100">
        <f ca="1">IF(P829="NS",IFERROR(INDIRECT(S829),NA()),VLOOKUP(INDIRECT(P829)+INDIRECT(S829),'System Lookups'!$A$3:$D$146,2))</f>
        <v>0.08</v>
      </c>
      <c r="Z829" s="1100">
        <f t="shared" si="843"/>
        <v>0</v>
      </c>
      <c r="AA829" s="1101">
        <f t="shared" ca="1" si="844"/>
        <v>0.08</v>
      </c>
      <c r="AB829" s="1102">
        <f>VLOOKUP(V829,'System Lookups'!$J$55:$P$64,3)</f>
        <v>0.1</v>
      </c>
      <c r="AC829" s="1103">
        <f>VLOOKUP(V829,'System Lookups'!$J$55:$P$64,4)</f>
        <v>0.2</v>
      </c>
      <c r="AD829" s="1104">
        <f t="shared" ca="1" si="845"/>
        <v>0.18</v>
      </c>
      <c r="AE829" s="1094">
        <f ca="1">(IF(AD829&gt;VLOOKUP(V829,'System Lookups'!$J$55:$P$63,6),(((AD829-VLOOKUP(V829,'System Lookups'!$J$55:$P$63,6))*100)/20),0))+AF829</f>
        <v>0</v>
      </c>
      <c r="AF829" s="1121"/>
      <c r="AG829" s="1092">
        <f t="shared" si="846"/>
        <v>0</v>
      </c>
      <c r="AH829" s="1092" t="str">
        <f>IF(X829&lt;=Experience!$R$15+1,"","*")</f>
        <v/>
      </c>
      <c r="AI829" s="1092"/>
      <c r="AJ829" s="1080">
        <f t="shared" si="847"/>
        <v>0</v>
      </c>
      <c r="AK829" s="1080">
        <f t="shared" si="848"/>
        <v>0</v>
      </c>
      <c r="AL829" s="1080">
        <f t="shared" si="826"/>
        <v>0</v>
      </c>
      <c r="AM829" s="1092">
        <f t="shared" si="849"/>
        <v>0</v>
      </c>
      <c r="AN829" s="1080">
        <f t="shared" si="850"/>
        <v>1</v>
      </c>
      <c r="AO829" s="1080">
        <f t="shared" si="829"/>
        <v>0</v>
      </c>
      <c r="AP829" s="1080">
        <f t="shared" si="851"/>
        <v>1</v>
      </c>
      <c r="AQ829" s="1027">
        <f>VLOOKUP(V829,'System Lookups'!$J$55:$P$64,7)</f>
        <v>700</v>
      </c>
      <c r="AR829" s="1080" t="str">
        <f ca="1">IF(AND(NOT(ISBLANK(AJ829)),ISNA(MATCH(ROW(),'System Lookups'!$C$526:$C$539,0))),"Y","N")</f>
        <v>Y</v>
      </c>
      <c r="AS829" s="1080">
        <f t="shared" si="831"/>
        <v>0</v>
      </c>
      <c r="AU829" s="1080" t="e">
        <f t="shared" si="834"/>
        <v>#N/A</v>
      </c>
      <c r="AV829" s="1080" t="str">
        <f t="shared" si="852"/>
        <v>T</v>
      </c>
      <c r="AW829" s="1080">
        <f t="shared" si="835"/>
        <v>0</v>
      </c>
      <c r="AX829" s="1080">
        <f t="shared" si="836"/>
        <v>0</v>
      </c>
      <c r="AY829" s="1080">
        <f t="shared" si="837"/>
        <v>0</v>
      </c>
      <c r="AZ829" s="1080">
        <f t="shared" si="838"/>
        <v>0</v>
      </c>
      <c r="BA829" s="1080">
        <f t="shared" si="839"/>
        <v>0</v>
      </c>
      <c r="BB829" s="1080">
        <f>IF(AND(RACE=1,'Main Creation Page'!$E$6="Well",OR(ISNUMBER(FIND(Experience!$G$11,BE829)),ISNUMBER(FIND(Experience!$G$11,BF829)),ISNUMBER(FIND(Experience!$I$11,BE829)),ISNUMBER(FIND(Experience!$I$11,BF829)))),1,0)</f>
        <v>0</v>
      </c>
      <c r="BC829" s="1080" t="str">
        <f t="shared" si="784"/>
        <v>Forester's Stealth</v>
      </c>
      <c r="BE829" s="1080" t="str">
        <f t="shared" si="833"/>
        <v/>
      </c>
      <c r="BF829" s="1080" t="str">
        <f t="shared" si="785"/>
        <v>Outdoor Skills</v>
      </c>
    </row>
    <row r="830" spans="1:58" ht="11.1" customHeight="1" outlineLevel="2">
      <c r="A830" s="1028" t="s">
        <v>1955</v>
      </c>
      <c r="B830" s="2648">
        <f ca="1">AA829/2+AB829</f>
        <v>0.14000000000000001</v>
      </c>
      <c r="C830" s="2651"/>
      <c r="D830" s="2650"/>
      <c r="J830" s="1034"/>
      <c r="K830" s="1034"/>
      <c r="L830" s="1034"/>
      <c r="M830" s="1034"/>
      <c r="N830" s="1034"/>
      <c r="O830" s="1034"/>
      <c r="P830" s="1034"/>
      <c r="Q830" s="1034"/>
      <c r="R830" s="1034"/>
      <c r="U830" s="1034"/>
      <c r="V830" s="1034"/>
      <c r="AE830" s="1034"/>
      <c r="AF830" s="1132"/>
      <c r="AI830" s="1034"/>
      <c r="AM830" s="1092"/>
      <c r="AQ830" s="1027"/>
      <c r="AR830" s="1080" t="str">
        <f ca="1">IF(AND(NOT(ISBLANK(AJ830)),ISNA(MATCH(ROW(),'System Lookups'!$C$526:$C$539,0))),"Y","N")</f>
        <v>N</v>
      </c>
      <c r="AU830" s="1080" t="e">
        <f t="shared" si="834"/>
        <v>#N/A</v>
      </c>
      <c r="AV830" s="1080" t="str">
        <f t="shared" si="852"/>
        <v/>
      </c>
      <c r="AW830" s="1080">
        <f t="shared" si="835"/>
        <v>0</v>
      </c>
      <c r="AX830" s="1080">
        <f t="shared" si="836"/>
        <v>0</v>
      </c>
      <c r="AY830" s="1080">
        <f t="shared" si="837"/>
        <v>0</v>
      </c>
      <c r="AZ830" s="1080">
        <f t="shared" si="838"/>
        <v>0</v>
      </c>
      <c r="BA830" s="1080">
        <f t="shared" si="839"/>
        <v>0</v>
      </c>
      <c r="BB830" s="1080">
        <f>IF(AND(RACE=1,'Main Creation Page'!$E$6="Well",OR(ISNUMBER(FIND(Experience!$G$11,BE830)),ISNUMBER(FIND(Experience!$G$11,BF830)),ISNUMBER(FIND(Experience!$I$11,BE830)),ISNUMBER(FIND(Experience!$I$11,BF830)))),1,0)</f>
        <v>0</v>
      </c>
      <c r="BC830" s="1080" t="e">
        <f t="shared" si="784"/>
        <v>#N/A</v>
      </c>
      <c r="BE830" s="1080" t="str">
        <f t="shared" si="833"/>
        <v/>
      </c>
      <c r="BF830" s="1080" t="str">
        <f t="shared" si="785"/>
        <v>Outdoor Skills</v>
      </c>
    </row>
    <row r="831" spans="1:58" ht="11.1" customHeight="1" outlineLevel="1">
      <c r="A831" s="1117" t="s">
        <v>573</v>
      </c>
      <c r="B831" s="1094"/>
      <c r="C831" s="1094"/>
      <c r="D831" s="1094"/>
      <c r="E831" s="1095" t="s">
        <v>5224</v>
      </c>
      <c r="F831" s="1095" t="s">
        <v>5224</v>
      </c>
      <c r="G831" s="1096">
        <v>0</v>
      </c>
      <c r="H831" s="1096" t="s">
        <v>5224</v>
      </c>
      <c r="I831" s="1096" t="s">
        <v>5224</v>
      </c>
      <c r="J831" s="1096" t="s">
        <v>5224</v>
      </c>
      <c r="K831" s="1096" t="s">
        <v>5224</v>
      </c>
      <c r="L831" s="1096" t="s">
        <v>5224</v>
      </c>
      <c r="M831" s="1096" t="s">
        <v>5224</v>
      </c>
      <c r="N831" s="1096" t="s">
        <v>4631</v>
      </c>
      <c r="O831" s="1028"/>
      <c r="P831" s="1028" t="s">
        <v>780</v>
      </c>
      <c r="Q831" s="1097">
        <f ca="1">INDIRECT(P831)</f>
        <v>17</v>
      </c>
      <c r="R831" s="1034"/>
      <c r="S831" s="1028" t="s">
        <v>3616</v>
      </c>
      <c r="T831" s="1097">
        <f ca="1">INDIRECT(S831)</f>
        <v>17</v>
      </c>
      <c r="U831" s="1027">
        <v>3</v>
      </c>
      <c r="V831" s="1027">
        <f>IF(AP831+U831&gt;10,10,IF(AP831+U831&lt;1,1,AP831+U831))</f>
        <v>4</v>
      </c>
      <c r="W831" s="1098" t="e">
        <f>IF(OR(I831&lt;&gt;"N",E831="C"),IF(AND(N831&lt;&gt;"T",ISNUMBER(FIND("V",I831))),1,0),NA())+IF(H831="Y",IF(AND(N831="P",ISNUMBER(FIND("Z",I831))),2,1),0)+IF(J831="Y",1,0)+IF(K831="Y",3,0)+IF(BE831="Lore",L831*2+Experience!$D$25,0)+IF(M831="Y",1,0)</f>
        <v>#N/A</v>
      </c>
      <c r="X831" s="1099"/>
      <c r="Y831" s="1100">
        <f ca="1">IF(P831="NS",IFERROR(INDIRECT(S831),NA()),VLOOKUP(INDIRECT(P831)+INDIRECT(S831),'System Lookups'!$A$3:$D$146,2))</f>
        <v>0.1</v>
      </c>
      <c r="Z831" s="1100">
        <f>IF(ISNA(W831),0,W831*0.03)+IF(X831&gt;0,X831*0.03,0)+IF(AND(ISNA(W831),X831&lt;=0),0,IF(G831&gt;0,G831*0.07,0))</f>
        <v>0</v>
      </c>
      <c r="AA831" s="1101">
        <f ca="1">IF(ISNA(Y831),0,Y831)+Z831</f>
        <v>0.1</v>
      </c>
      <c r="AB831" s="1102">
        <f>VLOOKUP(V831,'System Lookups'!$J$55:$P$64,3)</f>
        <v>0.2</v>
      </c>
      <c r="AC831" s="1103">
        <f>VLOOKUP(V831,'System Lookups'!$J$55:$P$64,4)</f>
        <v>0.3</v>
      </c>
      <c r="AD831" s="1104">
        <f ca="1">IF(AND(ISBLANK(X831),ISNA(W831)),IF(B831="~",0,AB831+AA831+IF(BB831&gt;0,0.05,0)),AA831+AC831+IF(BB831&gt;0,0.05,0))</f>
        <v>0.30000000000000004</v>
      </c>
      <c r="AE831" s="1094">
        <f ca="1">(IF(AD831&gt;VLOOKUP(V831,'System Lookups'!$J$55:$P$63,6),(((AD831-VLOOKUP(V831,'System Lookups'!$J$55:$P$63,6))*100)/20),0))+AF831</f>
        <v>0</v>
      </c>
      <c r="AF831" s="1121"/>
      <c r="AG831" s="1092">
        <f>IF(ISBLANK(X831),0,AQ831*X831+IF(ISNA(W831),1,0))</f>
        <v>0</v>
      </c>
      <c r="AH831" s="1092" t="str">
        <f>IF(X831&lt;=Experience!$R$15+1,"","*")</f>
        <v/>
      </c>
      <c r="AI831" s="1092"/>
      <c r="AJ831" s="1080">
        <f>IF(ISNUMBER(FIND("R",F831)),-1,0)</f>
        <v>0</v>
      </c>
      <c r="AK831" s="1080">
        <f>IF(F831="s",-2,0)</f>
        <v>0</v>
      </c>
      <c r="AL831" s="1080">
        <f>IF(AND(H831="Y",OR(N831="P",N831="S")),-1,0)</f>
        <v>0</v>
      </c>
      <c r="AM831" s="1092">
        <f>IF(J831="y",1,0)</f>
        <v>0</v>
      </c>
      <c r="AN831" s="1080">
        <f>IF(N831="P",-1,IF(N831="T",1,0))</f>
        <v>1</v>
      </c>
      <c r="AO831" s="1080">
        <f>IF(ISNUMBER(FIND("Z",I831)),1,0)</f>
        <v>0</v>
      </c>
      <c r="AP831" s="1080">
        <f>SUM(AJ831:AN831)-AM831</f>
        <v>1</v>
      </c>
      <c r="AQ831" s="1027">
        <f>VLOOKUP(V831,'System Lookups'!$J$55:$P$64,7)</f>
        <v>600</v>
      </c>
      <c r="AR831" s="1080" t="str">
        <f ca="1">IF(AND(NOT(ISBLANK(AJ831)),ISNA(MATCH(ROW(),'System Lookups'!$C$526:$C$539,0))),"Y","N")</f>
        <v>Y</v>
      </c>
      <c r="AS831" s="1080">
        <f>AG831-AI831</f>
        <v>0</v>
      </c>
      <c r="AU831" s="1080" t="e">
        <f t="shared" si="834"/>
        <v>#N/A</v>
      </c>
      <c r="AV831" s="1080" t="str">
        <f t="shared" si="852"/>
        <v>T</v>
      </c>
      <c r="AW831" s="1080">
        <f t="shared" si="835"/>
        <v>0</v>
      </c>
      <c r="AX831" s="1080">
        <f t="shared" si="836"/>
        <v>0</v>
      </c>
      <c r="AY831" s="1080">
        <f t="shared" si="837"/>
        <v>0</v>
      </c>
      <c r="AZ831" s="1080">
        <f t="shared" si="838"/>
        <v>0</v>
      </c>
      <c r="BA831" s="1080">
        <f t="shared" si="839"/>
        <v>0</v>
      </c>
      <c r="BB831" s="1080">
        <f>IF(AND(RACE=1,'Main Creation Page'!$E$6="Well",OR(ISNUMBER(FIND(Experience!$G$11,BE831)),ISNUMBER(FIND(Experience!$G$11,BF831)),ISNUMBER(FIND(Experience!$I$11,BE831)),ISNUMBER(FIND(Experience!$I$11,BF831)))),1,0)</f>
        <v>0</v>
      </c>
      <c r="BC831" s="1080" t="str">
        <f t="shared" si="784"/>
        <v>Intention of Animals</v>
      </c>
      <c r="BE831" s="1080" t="str">
        <f t="shared" si="833"/>
        <v/>
      </c>
      <c r="BF831" s="1080" t="str">
        <f t="shared" si="785"/>
        <v>Outdoor Skills</v>
      </c>
    </row>
    <row r="832" spans="1:58" ht="11.1" customHeight="1" outlineLevel="2">
      <c r="A832" s="1028" t="s">
        <v>1956</v>
      </c>
      <c r="B832" s="2641">
        <f>IF(ISBLANK(X831),0,(IF(ISBLANK(X567),2,3))*(X831+1))</f>
        <v>0</v>
      </c>
      <c r="C832" s="2644"/>
      <c r="D832" s="2643"/>
      <c r="K832" s="1034"/>
      <c r="L832" s="1034"/>
      <c r="M832" s="1034"/>
      <c r="N832" s="1034"/>
      <c r="O832" s="1034"/>
      <c r="P832" s="1034"/>
      <c r="Q832" s="1034"/>
      <c r="R832" s="1034"/>
      <c r="U832" s="1034"/>
      <c r="V832" s="1034"/>
      <c r="AE832" s="1034"/>
      <c r="AF832" s="1132"/>
      <c r="AI832" s="1092"/>
      <c r="AM832" s="1092"/>
      <c r="AQ832" s="1027"/>
      <c r="AR832" s="1080" t="str">
        <f ca="1">IF(AND(NOT(ISBLANK(AJ832)),ISNA(MATCH(ROW(),'System Lookups'!$C$526:$C$539,0))),"Y","N")</f>
        <v>N</v>
      </c>
      <c r="AU832" s="1080" t="e">
        <f t="shared" si="834"/>
        <v>#N/A</v>
      </c>
      <c r="AV832" s="1080" t="str">
        <f t="shared" si="852"/>
        <v/>
      </c>
      <c r="AW832" s="1080">
        <f t="shared" si="835"/>
        <v>0</v>
      </c>
      <c r="AX832" s="1080">
        <f t="shared" si="836"/>
        <v>0</v>
      </c>
      <c r="AY832" s="1080">
        <f t="shared" si="837"/>
        <v>0</v>
      </c>
      <c r="AZ832" s="1080">
        <f t="shared" si="838"/>
        <v>0</v>
      </c>
      <c r="BA832" s="1080">
        <f t="shared" si="839"/>
        <v>0</v>
      </c>
      <c r="BB832" s="1080">
        <f>IF(AND(RACE=1,'Main Creation Page'!$E$6="Well",OR(ISNUMBER(FIND(Experience!$G$11,BE832)),ISNUMBER(FIND(Experience!$G$11,BF832)),ISNUMBER(FIND(Experience!$I$11,BE832)),ISNUMBER(FIND(Experience!$I$11,BF832)))),1,0)</f>
        <v>0</v>
      </c>
      <c r="BC832" s="1080" t="e">
        <f t="shared" si="784"/>
        <v>#N/A</v>
      </c>
      <c r="BE832" s="1080" t="str">
        <f t="shared" si="833"/>
        <v/>
      </c>
      <c r="BF832" s="1080" t="str">
        <f t="shared" si="785"/>
        <v>Outdoor Skills</v>
      </c>
    </row>
    <row r="833" spans="1:58" ht="11.1" customHeight="1" outlineLevel="1">
      <c r="A833" s="1117" t="s">
        <v>5582</v>
      </c>
      <c r="B833" s="1094"/>
      <c r="C833" s="1094"/>
      <c r="D833" s="1094"/>
      <c r="E833" s="1095" t="s">
        <v>5224</v>
      </c>
      <c r="F833" s="1095" t="s">
        <v>5224</v>
      </c>
      <c r="G833" s="1096">
        <v>0</v>
      </c>
      <c r="H833" s="1096" t="s">
        <v>5224</v>
      </c>
      <c r="I833" s="1096" t="s">
        <v>5224</v>
      </c>
      <c r="J833" s="1096" t="s">
        <v>5224</v>
      </c>
      <c r="K833" s="1096" t="s">
        <v>5224</v>
      </c>
      <c r="L833" s="1096" t="s">
        <v>5224</v>
      </c>
      <c r="M833" s="1096" t="s">
        <v>5224</v>
      </c>
      <c r="N833" s="1096" t="s">
        <v>4631</v>
      </c>
      <c r="O833" s="1028"/>
      <c r="P833" s="1028" t="s">
        <v>780</v>
      </c>
      <c r="Q833" s="1097">
        <f t="shared" ref="Q833:Q834" ca="1" si="853">INDIRECT(P833)</f>
        <v>17</v>
      </c>
      <c r="R833" s="1034"/>
      <c r="S833" s="1028" t="s">
        <v>3611</v>
      </c>
      <c r="T833" s="1097">
        <f t="shared" ref="T833:T834" ca="1" si="854">INDIRECT(S833)</f>
        <v>15</v>
      </c>
      <c r="U833" s="1027">
        <v>3</v>
      </c>
      <c r="V833" s="1027">
        <f>IF(AP833+U833&gt;10,10,IF(AP833+U833&lt;1,1,AP833+U833))</f>
        <v>4</v>
      </c>
      <c r="W833" s="1098" t="e">
        <f>IF(OR(I833&lt;&gt;"N",E833="C"),IF(AND(N833&lt;&gt;"T",ISNUMBER(FIND("V",I833))),1,0),NA())+IF(H833="Y",IF(AND(N833="P",ISNUMBER(FIND("Z",I833))),2,1),0)+IF(J833="Y",1,0)+IF(K833="Y",3,0)+IF(BE833="Lore",L833*2+Experience!$D$25,0)+IF(M833="Y",1,0)</f>
        <v>#N/A</v>
      </c>
      <c r="X833" s="1099"/>
      <c r="Y833" s="1100">
        <f ca="1">IF(P833="NS",IFERROR(INDIRECT(S833),NA()),VLOOKUP(INDIRECT(P833)+INDIRECT(S833),'System Lookups'!$A$3:$D$146,2))</f>
        <v>0.08</v>
      </c>
      <c r="Z833" s="1100">
        <f>IF(ISNA(W833),0,W833*0.03)+IF(X833&gt;0,X833*0.03,0)+IF(AND(ISNA(W833),X833&lt;=0),0,IF(G833&gt;0,G833*0.07,0))</f>
        <v>0</v>
      </c>
      <c r="AA833" s="1101">
        <f ca="1">IF(ISNA(Y833),0,Y833)+Z833</f>
        <v>0.08</v>
      </c>
      <c r="AB833" s="1102">
        <f>VLOOKUP(V833,'System Lookups'!$J$55:$P$64,3)</f>
        <v>0.2</v>
      </c>
      <c r="AC833" s="1103">
        <f>VLOOKUP(V833,'System Lookups'!$J$55:$P$64,4)</f>
        <v>0.3</v>
      </c>
      <c r="AD833" s="1104">
        <f ca="1">IF(AND(ISBLANK(X833),ISNA(W833)),IF(B833="~",0,AB833+AA833+IF(BB833&gt;0,0.05,0)),AA833+AC833+IF(BB833&gt;0,0.05,0))</f>
        <v>0.28000000000000003</v>
      </c>
      <c r="AE833" s="1094">
        <f ca="1">(IF(AD833&gt;VLOOKUP(V833,'System Lookups'!$J$55:$P$63,6),(((AD833-VLOOKUP(V833,'System Lookups'!$J$55:$P$63,6))*100)/20),0))+AF833</f>
        <v>0</v>
      </c>
      <c r="AF833" s="1121"/>
      <c r="AG833" s="1092">
        <f>IF(ISBLANK(X833),0,AQ833*X833+IF(ISNA(W833),1,0))</f>
        <v>0</v>
      </c>
      <c r="AH833" s="1092" t="str">
        <f>IF(X833&lt;=Experience!$R$15+1,"","*")</f>
        <v/>
      </c>
      <c r="AI833" s="1092"/>
      <c r="AJ833" s="1080">
        <f t="shared" ref="AJ833:AJ834" si="855">IF(ISNUMBER(FIND("R",F833)),-1,0)</f>
        <v>0</v>
      </c>
      <c r="AK833" s="1080">
        <f>IF(F833="s",-2,0)</f>
        <v>0</v>
      </c>
      <c r="AL833" s="1080">
        <f t="shared" ref="AL833:AL834" si="856">IF(AND(H833="Y",OR(N833="P",N833="S")),-1,0)</f>
        <v>0</v>
      </c>
      <c r="AM833" s="1092">
        <f>IF(J833="y",1,0)</f>
        <v>0</v>
      </c>
      <c r="AN833" s="1080">
        <f>IF(N833="P",-1,IF(N833="T",1,0))</f>
        <v>1</v>
      </c>
      <c r="AO833" s="1080">
        <f t="shared" ref="AO833:AO834" si="857">IF(ISNUMBER(FIND("Z",I833)),1,0)</f>
        <v>0</v>
      </c>
      <c r="AP833" s="1080">
        <f>SUM(AJ833:AN833)-AM833</f>
        <v>1</v>
      </c>
      <c r="AQ833" s="1027">
        <f>VLOOKUP(V833,'System Lookups'!$J$55:$P$64,7)</f>
        <v>600</v>
      </c>
      <c r="AR833" s="1080" t="str">
        <f ca="1">IF(AND(NOT(ISBLANK(AJ833)),ISNA(MATCH(ROW(),'System Lookups'!$C$526:$C$539,0))),"Y","N")</f>
        <v>Y</v>
      </c>
      <c r="AS833" s="1080">
        <f>AG833-AI833</f>
        <v>0</v>
      </c>
      <c r="AU833" s="1080" t="e">
        <f t="shared" si="834"/>
        <v>#N/A</v>
      </c>
      <c r="AV833" s="1080" t="str">
        <f t="shared" si="852"/>
        <v>T</v>
      </c>
      <c r="AW833" s="1080">
        <f t="shared" si="835"/>
        <v>0</v>
      </c>
      <c r="AX833" s="1080">
        <f t="shared" si="836"/>
        <v>0</v>
      </c>
      <c r="AY833" s="1080">
        <f t="shared" si="837"/>
        <v>0</v>
      </c>
      <c r="AZ833" s="1080">
        <f t="shared" si="838"/>
        <v>0</v>
      </c>
      <c r="BA833" s="1080">
        <f t="shared" si="839"/>
        <v>0</v>
      </c>
      <c r="BB833" s="1080">
        <f>IF(AND(RACE=1,'Main Creation Page'!$E$6="Well",OR(ISNUMBER(FIND(Experience!$G$11,BE833)),ISNUMBER(FIND(Experience!$G$11,BF833)),ISNUMBER(FIND(Experience!$I$11,BE833)),ISNUMBER(FIND(Experience!$I$11,BF833)))),1,0)</f>
        <v>0</v>
      </c>
      <c r="BC833" s="1080" t="str">
        <f t="shared" si="784"/>
        <v>Setting &amp; Disarming Snares</v>
      </c>
      <c r="BE833" s="1080" t="str">
        <f t="shared" si="833"/>
        <v/>
      </c>
      <c r="BF833" s="1080" t="str">
        <f t="shared" si="785"/>
        <v>Outdoor Skills</v>
      </c>
    </row>
    <row r="834" spans="1:58" ht="11.1" customHeight="1" outlineLevel="1">
      <c r="A834" s="1117" t="s">
        <v>320</v>
      </c>
      <c r="B834" s="1094"/>
      <c r="C834" s="1094" t="s">
        <v>4629</v>
      </c>
      <c r="D834" s="1094"/>
      <c r="E834" s="1095" t="s">
        <v>5224</v>
      </c>
      <c r="F834" s="1095" t="s">
        <v>5224</v>
      </c>
      <c r="G834" s="1096">
        <v>0</v>
      </c>
      <c r="H834" s="1096" t="s">
        <v>5224</v>
      </c>
      <c r="I834" s="1096" t="s">
        <v>5224</v>
      </c>
      <c r="J834" s="1096" t="s">
        <v>5224</v>
      </c>
      <c r="K834" s="1096" t="s">
        <v>5224</v>
      </c>
      <c r="L834" s="1096" t="s">
        <v>5224</v>
      </c>
      <c r="M834" s="1096" t="s">
        <v>5224</v>
      </c>
      <c r="N834" s="1096" t="s">
        <v>4631</v>
      </c>
      <c r="O834" s="1028"/>
      <c r="P834" s="1028" t="s">
        <v>780</v>
      </c>
      <c r="Q834" s="1097">
        <f t="shared" ca="1" si="853"/>
        <v>17</v>
      </c>
      <c r="R834" s="1034"/>
      <c r="S834" s="1028" t="s">
        <v>3616</v>
      </c>
      <c r="T834" s="1097">
        <f t="shared" ca="1" si="854"/>
        <v>17</v>
      </c>
      <c r="U834" s="1027">
        <v>4</v>
      </c>
      <c r="V834" s="1027">
        <f>IF(AP834+U834&gt;10,10,IF(AP834+U834&lt;1,1,AP834+U834))</f>
        <v>5</v>
      </c>
      <c r="W834" s="1098" t="e">
        <f>IF(OR(I834&lt;&gt;"N",E834="C"),IF(AND(N834&lt;&gt;"T",ISNUMBER(FIND("V",I834))),1,0),NA())+IF(H834="Y",IF(AND(N834="P",ISNUMBER(FIND("Z",I834))),2,1),0)+IF(J834="Y",1,0)+IF(K834="Y",3,0)+IF(BE834="Lore",L834*2+Experience!$D$25,0)+IF(M834="Y",1,0)</f>
        <v>#N/A</v>
      </c>
      <c r="X834" s="1099"/>
      <c r="Y834" s="1100">
        <f ca="1">IF(P834="NS",IFERROR(INDIRECT(S834),NA()),VLOOKUP(INDIRECT(P834)+INDIRECT(S834),'System Lookups'!$A$3:$D$146,2))</f>
        <v>0.1</v>
      </c>
      <c r="Z834" s="1100">
        <f>IF(ISNA(W834),0,W834*0.03)+IF(X834&gt;0,X834*0.03,0)+IF(AND(ISNA(W834),X834&lt;=0),0,IF(G834&gt;0,G834*0.07,0))</f>
        <v>0</v>
      </c>
      <c r="AA834" s="1101">
        <f ca="1">IF(ISNA(Y834),0,Y834)+Z834</f>
        <v>0.1</v>
      </c>
      <c r="AB834" s="1102">
        <f>VLOOKUP(V834,'System Lookups'!$J$55:$P$64,3)</f>
        <v>0.1</v>
      </c>
      <c r="AC834" s="1103">
        <f>VLOOKUP(V834,'System Lookups'!$J$55:$P$64,4)</f>
        <v>0.2</v>
      </c>
      <c r="AD834" s="1104">
        <f ca="1">IF(AND(ISBLANK(X834),ISNA(W834)),IF(B834="~",0,AB834+AA834+IF(BB834&gt;0,0.05,0)),AA834+AC834+IF(BB834&gt;0,0.05,0))</f>
        <v>0.2</v>
      </c>
      <c r="AE834" s="1094">
        <f ca="1">(IF(AD834&gt;VLOOKUP(V834,'System Lookups'!$J$55:$P$63,6),(((AD834-VLOOKUP(V834,'System Lookups'!$J$55:$P$63,6))*100)/20),0))+AF834</f>
        <v>0</v>
      </c>
      <c r="AF834" s="1121"/>
      <c r="AG834" s="1092">
        <f>IF(ISBLANK(X834),0,AQ834*X834+IF(ISNA(W834),1,0))</f>
        <v>0</v>
      </c>
      <c r="AH834" s="1092" t="str">
        <f>IF(X834&lt;=Experience!$R$15+1,"","*")</f>
        <v/>
      </c>
      <c r="AI834" s="1092"/>
      <c r="AJ834" s="1080">
        <f t="shared" si="855"/>
        <v>0</v>
      </c>
      <c r="AK834" s="1080">
        <f>IF(F834="s",-2,0)</f>
        <v>0</v>
      </c>
      <c r="AL834" s="1080">
        <f t="shared" si="856"/>
        <v>0</v>
      </c>
      <c r="AM834" s="1092">
        <f>IF(J834="y",1,0)</f>
        <v>0</v>
      </c>
      <c r="AN834" s="1080">
        <f>IF(N834="P",-1,IF(N834="T",1,0))</f>
        <v>1</v>
      </c>
      <c r="AO834" s="1080">
        <f t="shared" si="857"/>
        <v>0</v>
      </c>
      <c r="AP834" s="1080">
        <f>SUM(AJ834:AN834)-AM834</f>
        <v>1</v>
      </c>
      <c r="AQ834" s="1027">
        <f>VLOOKUP(V834,'System Lookups'!$J$55:$P$64,7)</f>
        <v>700</v>
      </c>
      <c r="AR834" s="1080" t="str">
        <f ca="1">IF(AND(NOT(ISBLANK(AJ834)),ISNA(MATCH(ROW(),'System Lookups'!$C$526:$C$539,0))),"Y","N")</f>
        <v>Y</v>
      </c>
      <c r="AS834" s="1080">
        <f>AG834-AI834</f>
        <v>0</v>
      </c>
      <c r="AU834" s="1080" t="e">
        <f t="shared" si="834"/>
        <v>#N/A</v>
      </c>
      <c r="AV834" s="1080" t="str">
        <f t="shared" si="852"/>
        <v>T</v>
      </c>
      <c r="AW834" s="1080">
        <f t="shared" si="835"/>
        <v>0</v>
      </c>
      <c r="AX834" s="1080">
        <f t="shared" si="836"/>
        <v>0</v>
      </c>
      <c r="AY834" s="1080">
        <f t="shared" si="837"/>
        <v>0</v>
      </c>
      <c r="AZ834" s="1080">
        <f t="shared" si="838"/>
        <v>0</v>
      </c>
      <c r="BA834" s="1080">
        <f t="shared" si="839"/>
        <v>0</v>
      </c>
      <c r="BB834" s="1080">
        <f>IF(AND(RACE=1,'Main Creation Page'!$E$6="Well",OR(ISNUMBER(FIND(Experience!$G$11,BE834)),ISNUMBER(FIND(Experience!$G$11,BF834)),ISNUMBER(FIND(Experience!$I$11,BE834)),ISNUMBER(FIND(Experience!$I$11,BF834)))),1,0)</f>
        <v>0</v>
      </c>
      <c r="BC834" s="1080" t="str">
        <f t="shared" si="784"/>
        <v>Tracking</v>
      </c>
      <c r="BE834" s="1080" t="str">
        <f t="shared" si="833"/>
        <v/>
      </c>
      <c r="BF834" s="1080" t="str">
        <f t="shared" si="785"/>
        <v>Outdoor Skills</v>
      </c>
    </row>
    <row r="835" spans="1:58" ht="11.1" customHeight="1" outlineLevel="2">
      <c r="A835" s="1028" t="s">
        <v>1955</v>
      </c>
      <c r="B835" s="2648">
        <f ca="1">AA292/2+AB292</f>
        <v>0.33999999999999997</v>
      </c>
      <c r="C835" s="2651"/>
      <c r="D835" s="2650"/>
      <c r="K835" s="1034"/>
      <c r="L835" s="1034"/>
      <c r="M835" s="1034"/>
      <c r="N835" s="1034"/>
      <c r="O835" s="1034"/>
      <c r="P835" s="1034"/>
      <c r="Q835" s="1034"/>
      <c r="R835" s="1034"/>
      <c r="U835" s="1034"/>
      <c r="V835" s="1034"/>
      <c r="AE835" s="1034"/>
      <c r="AF835" s="1132"/>
      <c r="AH835" s="1092"/>
      <c r="AI835" s="1092"/>
      <c r="AM835" s="1092"/>
      <c r="AQ835" s="1027"/>
      <c r="AR835" s="1080" t="str">
        <f ca="1">IF(AND(NOT(ISBLANK(AJ835)),ISNA(MATCH(ROW(),'System Lookups'!$C$526:$C$539,0))),"Y","N")</f>
        <v>N</v>
      </c>
      <c r="AU835" s="1080" t="e">
        <f t="shared" si="834"/>
        <v>#N/A</v>
      </c>
      <c r="AV835" s="1080" t="str">
        <f t="shared" si="852"/>
        <v/>
      </c>
      <c r="AW835" s="1080">
        <f t="shared" si="835"/>
        <v>0</v>
      </c>
      <c r="AX835" s="1080">
        <f t="shared" si="836"/>
        <v>0</v>
      </c>
      <c r="AY835" s="1080">
        <f t="shared" si="837"/>
        <v>0</v>
      </c>
      <c r="AZ835" s="1080">
        <f t="shared" si="838"/>
        <v>0</v>
      </c>
      <c r="BA835" s="1080">
        <f t="shared" si="839"/>
        <v>0</v>
      </c>
      <c r="BB835" s="1080">
        <f>IF(AND(RACE=1,'Main Creation Page'!$E$6="Well",OR(ISNUMBER(FIND(Experience!$G$11,BE835)),ISNUMBER(FIND(Experience!$G$11,BF835)),ISNUMBER(FIND(Experience!$I$11,BE835)),ISNUMBER(FIND(Experience!$I$11,BF835)))),1,0)</f>
        <v>0</v>
      </c>
      <c r="BC835" s="1080" t="e">
        <f t="shared" si="784"/>
        <v>#N/A</v>
      </c>
      <c r="BE835" s="1080" t="str">
        <f t="shared" si="833"/>
        <v/>
      </c>
      <c r="BF835" s="1080" t="str">
        <f t="shared" si="785"/>
        <v>Outdoor Skills</v>
      </c>
    </row>
    <row r="836" spans="1:58" ht="11.1" customHeight="1" outlineLevel="1">
      <c r="AE836" s="1034"/>
      <c r="AF836" s="1132"/>
      <c r="AR836" s="1080" t="str">
        <f ca="1">IF(AND(NOT(ISBLANK(AJ836)),ISNA(MATCH(ROW(),'System Lookups'!$C$526:$C$539,0))),"Y","N")</f>
        <v>N</v>
      </c>
      <c r="AU836" s="1080" t="e">
        <f t="shared" si="834"/>
        <v>#N/A</v>
      </c>
      <c r="AV836" s="1080" t="str">
        <f t="shared" si="852"/>
        <v/>
      </c>
      <c r="AW836" s="1080">
        <f t="shared" si="835"/>
        <v>0</v>
      </c>
      <c r="AX836" s="1080">
        <f t="shared" si="836"/>
        <v>0</v>
      </c>
      <c r="AY836" s="1080">
        <f t="shared" si="837"/>
        <v>0</v>
      </c>
      <c r="AZ836" s="1080">
        <f t="shared" si="838"/>
        <v>0</v>
      </c>
      <c r="BA836" s="1080">
        <f t="shared" si="839"/>
        <v>0</v>
      </c>
      <c r="BB836" s="1080">
        <f>IF(AND(RACE=1,'Main Creation Page'!$E$6="Well",OR(ISNUMBER(FIND(Experience!$G$11,BE836)),ISNUMBER(FIND(Experience!$G$11,BF836)),ISNUMBER(FIND(Experience!$I$11,BE836)),ISNUMBER(FIND(Experience!$I$11,BF836)))),1,0)</f>
        <v>0</v>
      </c>
      <c r="BC836" s="1080" t="e">
        <f t="shared" si="784"/>
        <v>#N/A</v>
      </c>
      <c r="BE836" s="1080" t="str">
        <f t="shared" si="833"/>
        <v/>
      </c>
      <c r="BF836" s="1080" t="str">
        <f t="shared" si="785"/>
        <v>Outdoor Skills</v>
      </c>
    </row>
    <row r="837" spans="1:58" ht="11.1" customHeight="1">
      <c r="A837" s="1087" t="s">
        <v>574</v>
      </c>
      <c r="B837" s="1091"/>
      <c r="C837" s="1091"/>
      <c r="D837" s="1091"/>
      <c r="F837" s="1027"/>
      <c r="G837" s="1027"/>
      <c r="H837" s="1027"/>
      <c r="I837" s="1085"/>
      <c r="J837" s="1085"/>
      <c r="K837" s="1085"/>
      <c r="L837" s="1085"/>
      <c r="M837" s="1085"/>
      <c r="N837" s="1027"/>
      <c r="O837" s="1027"/>
      <c r="P837" s="1027"/>
      <c r="Q837" s="1027"/>
      <c r="R837" s="1027"/>
      <c r="S837" s="1113"/>
      <c r="T837" s="1113"/>
      <c r="U837" s="1085"/>
      <c r="V837" s="1027"/>
      <c r="W837" s="1028"/>
      <c r="X837" s="1114"/>
      <c r="AE837" s="1094"/>
      <c r="AF837" s="1121"/>
      <c r="AG837" s="1092">
        <f>SUM(AG838:AG847)</f>
        <v>0</v>
      </c>
      <c r="AH837" s="1092"/>
      <c r="AI837" s="1092">
        <f>SUM(AI838:AI847)</f>
        <v>0</v>
      </c>
      <c r="AM837" s="1092"/>
      <c r="AR837" s="1080" t="str">
        <f ca="1">IF(AND(NOT(ISBLANK(AJ837)),ISNA(MATCH(ROW(),'System Lookups'!$C$526:$C$539,0))),"Y","N")</f>
        <v>N</v>
      </c>
      <c r="AU837" s="1080" t="e">
        <f t="shared" si="834"/>
        <v>#N/A</v>
      </c>
      <c r="AV837" s="1080" t="str">
        <f t="shared" si="852"/>
        <v/>
      </c>
      <c r="AW837" s="1080">
        <f t="shared" si="835"/>
        <v>0</v>
      </c>
      <c r="AX837" s="1080">
        <f t="shared" si="836"/>
        <v>0</v>
      </c>
      <c r="AY837" s="1080">
        <f t="shared" si="837"/>
        <v>0</v>
      </c>
      <c r="AZ837" s="1080">
        <f t="shared" si="838"/>
        <v>0</v>
      </c>
      <c r="BA837" s="1080">
        <f t="shared" si="839"/>
        <v>0</v>
      </c>
      <c r="BB837" s="1080">
        <f>IF(AND(RACE=1,'Main Creation Page'!$E$6="Well",OR(ISNUMBER(FIND(Experience!$G$11,BE837)),ISNUMBER(FIND(Experience!$G$11,BF837)),ISNUMBER(FIND(Experience!$I$11,BE837)),ISNUMBER(FIND(Experience!$I$11,BF837)))),1,0)</f>
        <v>1</v>
      </c>
      <c r="BC837" s="1080" t="str">
        <f t="shared" si="784"/>
        <v>Perception Skills</v>
      </c>
      <c r="BE837" s="1080" t="str">
        <f t="shared" si="833"/>
        <v/>
      </c>
      <c r="BF837" s="1080" t="str">
        <f t="shared" si="785"/>
        <v>Perception Skills</v>
      </c>
    </row>
    <row r="838" spans="1:58" ht="11.1" customHeight="1" outlineLevel="1">
      <c r="A838" s="1126" t="s">
        <v>31</v>
      </c>
      <c r="B838" s="1094"/>
      <c r="C838" s="1094" t="s">
        <v>4629</v>
      </c>
      <c r="D838" s="1094"/>
      <c r="E838" s="1095" t="s">
        <v>178</v>
      </c>
      <c r="F838" s="1095" t="s">
        <v>5224</v>
      </c>
      <c r="G838" s="1096">
        <v>0</v>
      </c>
      <c r="H838" s="1096" t="s">
        <v>5224</v>
      </c>
      <c r="I838" s="1096" t="s">
        <v>5224</v>
      </c>
      <c r="J838" s="1096" t="s">
        <v>5224</v>
      </c>
      <c r="K838" s="1096" t="s">
        <v>5224</v>
      </c>
      <c r="L838" s="1096" t="s">
        <v>5224</v>
      </c>
      <c r="M838" s="1096" t="s">
        <v>5224</v>
      </c>
      <c r="N838" s="1096" t="s">
        <v>4630</v>
      </c>
      <c r="P838" s="1113" t="s">
        <v>13</v>
      </c>
      <c r="S838" s="1113" t="s">
        <v>3617</v>
      </c>
      <c r="T838" s="1028"/>
      <c r="U838" s="1027">
        <v>7</v>
      </c>
      <c r="V838" s="1027">
        <f t="shared" ref="V838:V846" si="858">IF(AP838+U838&gt;10,10,IF(AP838+U838&lt;1,1,AP838+U838))</f>
        <v>7</v>
      </c>
      <c r="W838" s="1098">
        <f>IF(OR(I838&lt;&gt;"N",E838="C"),IF(AND(N838&lt;&gt;"T",ISNUMBER(FIND("V",I838))),1,0),NA())+IF(H838="Y",IF(AND(N838="P",ISNUMBER(FIND("Z",I838))),2,1),0)+IF(J838="Y",1,0)+IF(K838="Y",3,0)+IF(BE838="Lore",L838*2+Experience!$D$25,0)+IF(M838="Y",1,0)</f>
        <v>0</v>
      </c>
      <c r="X838" s="1099"/>
      <c r="Y838" s="1100">
        <f ca="1">IF(P838="NS",IFERROR(INDIRECT(S838),NA()),VLOOKUP(INDIRECT(P838)+INDIRECT(S838),'System Lookups'!$A$3:$D$146,2))</f>
        <v>0.17</v>
      </c>
      <c r="Z838" s="1100">
        <f t="shared" ref="Z838:Z846" si="859">IF(ISNA(W838),0,W838*0.03)+IF(X838&gt;0,X838*0.03,0)+IF(AND(ISNA(W838),X838&lt;=0),0,IF(G838&gt;0,G838*0.07,0))</f>
        <v>0</v>
      </c>
      <c r="AA838" s="1101">
        <f t="shared" ref="AA838:AA845" ca="1" si="860">IF(ISNA(Y838),0,Y838)+Z838</f>
        <v>0.17</v>
      </c>
      <c r="AB838" s="1102">
        <f>VLOOKUP(V838,'System Lookups'!$J$55:$P$64,3)</f>
        <v>0.03</v>
      </c>
      <c r="AC838" s="1103">
        <f>VLOOKUP(V838,'System Lookups'!$J$55:$P$64,4)</f>
        <v>7.0000000000000007E-2</v>
      </c>
      <c r="AD838" s="1104">
        <f t="shared" ref="AD838:AD846" ca="1" si="861">IF(AND(ISBLANK(X838),ISNA(W838)),IF(B838="~",0,AB838+AA838+IF(BB838&gt;0,0.05,0)),AA838+AC838+IF(BB838&gt;0,0.05,0))</f>
        <v>0.29000000000000004</v>
      </c>
      <c r="AE838" s="1094">
        <f ca="1">(IF(AD838&gt;VLOOKUP(V838,'System Lookups'!$J$55:$P$63,6),(((AD838-VLOOKUP(V838,'System Lookups'!$J$55:$P$63,6))*100)/20),0))+AF838</f>
        <v>0</v>
      </c>
      <c r="AF838" s="1121"/>
      <c r="AG838" s="1092">
        <f t="shared" ref="AG838:AG846" si="862">IF(ISBLANK(X838),0,AQ838*X838+IF(ISNA(W838),1,0))</f>
        <v>0</v>
      </c>
      <c r="AH838" s="1092" t="str">
        <f>IF(X838&lt;=Experience!$R$15+1,"","*")</f>
        <v/>
      </c>
      <c r="AI838" s="1092"/>
      <c r="AJ838" s="1080">
        <f t="shared" ref="AJ838:AJ846" si="863">IF(ISNUMBER(FIND("R",F838)),-1,0)</f>
        <v>0</v>
      </c>
      <c r="AK838" s="1080">
        <f t="shared" ref="AK838:AK845" si="864">IF(F838="s",-2,0)</f>
        <v>0</v>
      </c>
      <c r="AL838" s="1080">
        <f t="shared" ref="AL838:AL846" si="865">IF(AND(H838="Y",OR(N838="P",N838="S")),-1,0)</f>
        <v>0</v>
      </c>
      <c r="AM838" s="1092">
        <f t="shared" ref="AM838:AM845" si="866">IF(J838="y",1,0)</f>
        <v>0</v>
      </c>
      <c r="AN838" s="1080">
        <f t="shared" ref="AN838:AN845" si="867">IF(N838="P",-1,IF(N838="T",1,0))</f>
        <v>0</v>
      </c>
      <c r="AO838" s="1080">
        <f t="shared" ref="AO838:AO846" si="868">IF(ISNUMBER(FIND("Z",I838)),1,0)</f>
        <v>0</v>
      </c>
      <c r="AP838" s="1080">
        <f t="shared" ref="AP838:AP846" si="869">SUM(AJ838:AN838)-AM838</f>
        <v>0</v>
      </c>
      <c r="AQ838" s="1027">
        <f>VLOOKUP(V838,'System Lookups'!$J$55:$P$64,7)</f>
        <v>1000</v>
      </c>
      <c r="AR838" s="1080" t="str">
        <f ca="1">IF(AND(NOT(ISBLANK(AJ838)),ISNA(MATCH(ROW(),'System Lookups'!$C$526:$C$539,0))),"Y","N")</f>
        <v>N</v>
      </c>
      <c r="AS838" s="1080">
        <f t="shared" ref="AS838:AS846" si="870">AG838-AI838</f>
        <v>0</v>
      </c>
      <c r="AU838" s="1080">
        <f t="shared" si="834"/>
        <v>0</v>
      </c>
      <c r="AV838" s="1080" t="str">
        <f t="shared" si="852"/>
        <v>CS</v>
      </c>
      <c r="AW838" s="1080">
        <f t="shared" si="835"/>
        <v>0</v>
      </c>
      <c r="AX838" s="1080">
        <f t="shared" si="836"/>
        <v>0</v>
      </c>
      <c r="AY838" s="1080">
        <f t="shared" si="837"/>
        <v>0</v>
      </c>
      <c r="AZ838" s="1080">
        <f t="shared" si="838"/>
        <v>0</v>
      </c>
      <c r="BA838" s="1080">
        <f t="shared" si="839"/>
        <v>0</v>
      </c>
      <c r="BB838" s="1080">
        <f>IF(AND(RACE=1,'Main Creation Page'!$E$6="Well",OR(ISNUMBER(FIND(Experience!$G$11,BE838)),ISNUMBER(FIND(Experience!$G$11,BF838)),ISNUMBER(FIND(Experience!$I$11,BE838)),ISNUMBER(FIND(Experience!$I$11,BF838)))),1,0)</f>
        <v>1</v>
      </c>
      <c r="BC838" s="1080" t="str">
        <f t="shared" ref="BC838:BC901" si="871">IF(ISBLANK(AJ838),IF(ISBLANK(AI838),IF(RIGHT(A838,2)="en","Language Lore: "&amp;A838,IF(LEFT(A838,9)="Alquennas",A838,NA())),IF(RIGHT(A838,9)=" Medicina",A838&amp;": Healing Lore Skills",IF(OR(LEFT(A838,5)="Lore ",LEFT(A838,8)="Materia "),A838&amp;" Skills",IF(LEFT(A838,8)="Cooking ","Cooking &amp; Innkeeping Skills",A838)))),IF(LEFT(A838,9)="alertness","Alertness: "&amp;RIGHT(A838,5),IF(ISBLANK(BD838),A838,IF(RIGHT(BD838,2)=" (",BD838&amp;"Own)",BD838&amp;A838))))</f>
        <v>Alertness: SIGHT</v>
      </c>
      <c r="BE838" s="1080" t="str">
        <f t="shared" si="833"/>
        <v/>
      </c>
      <c r="BF838" s="1080" t="str">
        <f t="shared" si="785"/>
        <v>Perception Skills</v>
      </c>
    </row>
    <row r="839" spans="1:58" ht="11.1" customHeight="1" outlineLevel="1">
      <c r="A839" s="1153" t="s">
        <v>1985</v>
      </c>
      <c r="B839" s="1094"/>
      <c r="C839" s="1094" t="s">
        <v>4629</v>
      </c>
      <c r="D839" s="1094"/>
      <c r="E839" s="1095" t="s">
        <v>178</v>
      </c>
      <c r="F839" s="1095" t="s">
        <v>5224</v>
      </c>
      <c r="G839" s="1096">
        <v>0</v>
      </c>
      <c r="H839" s="1096" t="s">
        <v>5224</v>
      </c>
      <c r="I839" s="1096" t="s">
        <v>5224</v>
      </c>
      <c r="J839" s="1096" t="s">
        <v>5224</v>
      </c>
      <c r="K839" s="1096" t="s">
        <v>5224</v>
      </c>
      <c r="L839" s="1096" t="s">
        <v>5224</v>
      </c>
      <c r="M839" s="1096" t="s">
        <v>5224</v>
      </c>
      <c r="N839" s="1096" t="s">
        <v>4630</v>
      </c>
      <c r="P839" s="1113" t="s">
        <v>13</v>
      </c>
      <c r="S839" s="1113" t="s">
        <v>1982</v>
      </c>
      <c r="T839" s="1028"/>
      <c r="U839" s="1027">
        <v>7</v>
      </c>
      <c r="V839" s="1027">
        <f t="shared" si="858"/>
        <v>7</v>
      </c>
      <c r="W839" s="1098">
        <f>IF(OR(I839&lt;&gt;"N",E839="C"),IF(AND(N839&lt;&gt;"T",ISNUMBER(FIND("V",I839))),1,0),NA())+IF(H839="Y",IF(AND(N839="P",ISNUMBER(FIND("Z",I839))),2,1),0)+IF(J839="Y",1,0)+IF(K839="Y",3,0)+IF(BE839="Lore",L839*2+Experience!$D$25,0)+IF(M839="Y",1,0)</f>
        <v>0</v>
      </c>
      <c r="X839" s="1099"/>
      <c r="Y839" s="1100">
        <f ca="1">IF(P839="NS",IFERROR(INDIRECT(S839),NA()),VLOOKUP(INDIRECT(P839)+INDIRECT(S839),'System Lookups'!$A$3:$D$146,2))</f>
        <v>0.17</v>
      </c>
      <c r="Z839" s="1100">
        <f t="shared" si="859"/>
        <v>0</v>
      </c>
      <c r="AA839" s="1101">
        <f t="shared" ca="1" si="860"/>
        <v>0.17</v>
      </c>
      <c r="AB839" s="1102">
        <f>VLOOKUP(V839,'System Lookups'!$J$55:$P$64,3)</f>
        <v>0.03</v>
      </c>
      <c r="AC839" s="1103">
        <f>VLOOKUP(V839,'System Lookups'!$J$55:$P$64,4)</f>
        <v>7.0000000000000007E-2</v>
      </c>
      <c r="AD839" s="1104">
        <f t="shared" ca="1" si="861"/>
        <v>0.29000000000000004</v>
      </c>
      <c r="AE839" s="1094">
        <f ca="1">(IF(AD839&gt;VLOOKUP(V839,'System Lookups'!$J$55:$P$63,6),(((AD839-VLOOKUP(V839,'System Lookups'!$J$55:$P$63,6))*100)/20),0))+AF839</f>
        <v>0</v>
      </c>
      <c r="AF839" s="1121"/>
      <c r="AG839" s="1092">
        <f t="shared" si="862"/>
        <v>0</v>
      </c>
      <c r="AH839" s="1092" t="str">
        <f>IF(X839&lt;=Experience!$R$15+1,"","*")</f>
        <v/>
      </c>
      <c r="AI839" s="1092"/>
      <c r="AJ839" s="1080">
        <f t="shared" si="863"/>
        <v>0</v>
      </c>
      <c r="AK839" s="1080">
        <f t="shared" si="864"/>
        <v>0</v>
      </c>
      <c r="AL839" s="1080">
        <f t="shared" si="865"/>
        <v>0</v>
      </c>
      <c r="AM839" s="1092">
        <f t="shared" si="866"/>
        <v>0</v>
      </c>
      <c r="AN839" s="1080">
        <f t="shared" si="867"/>
        <v>0</v>
      </c>
      <c r="AO839" s="1080">
        <f t="shared" si="868"/>
        <v>0</v>
      </c>
      <c r="AP839" s="1080">
        <f t="shared" si="869"/>
        <v>0</v>
      </c>
      <c r="AQ839" s="1027">
        <f>VLOOKUP(V839,'System Lookups'!$J$55:$P$64,7)</f>
        <v>1000</v>
      </c>
      <c r="AR839" s="1080" t="str">
        <f ca="1">IF(AND(NOT(ISBLANK(AJ839)),ISNA(MATCH(ROW(),'System Lookups'!$C$526:$C$539,0))),"Y","N")</f>
        <v>N</v>
      </c>
      <c r="AS839" s="1080">
        <f t="shared" si="870"/>
        <v>0</v>
      </c>
      <c r="AU839" s="1080">
        <f t="shared" si="834"/>
        <v>0</v>
      </c>
      <c r="AV839" s="1080" t="str">
        <f t="shared" si="852"/>
        <v>CS</v>
      </c>
      <c r="AW839" s="1080">
        <f t="shared" si="835"/>
        <v>0</v>
      </c>
      <c r="AX839" s="1080">
        <f t="shared" si="836"/>
        <v>0</v>
      </c>
      <c r="AY839" s="1080">
        <f t="shared" si="837"/>
        <v>0</v>
      </c>
      <c r="AZ839" s="1080">
        <f t="shared" si="838"/>
        <v>0</v>
      </c>
      <c r="BA839" s="1080">
        <f t="shared" si="839"/>
        <v>0</v>
      </c>
      <c r="BB839" s="1080">
        <f>IF(AND(RACE=1,'Main Creation Page'!$E$6="Well",OR(ISNUMBER(FIND(Experience!$G$11,BE839)),ISNUMBER(FIND(Experience!$G$11,BF839)),ISNUMBER(FIND(Experience!$I$11,BE839)),ISNUMBER(FIND(Experience!$I$11,BF839)))),1,0)</f>
        <v>1</v>
      </c>
      <c r="BC839" s="1080" t="str">
        <f t="shared" si="871"/>
        <v>Alertness: SMELL</v>
      </c>
      <c r="BE839" s="1080" t="str">
        <f t="shared" si="833"/>
        <v/>
      </c>
      <c r="BF839" s="1080" t="str">
        <f t="shared" si="785"/>
        <v>Perception Skills</v>
      </c>
    </row>
    <row r="840" spans="1:58" ht="11.1" customHeight="1" outlineLevel="1">
      <c r="A840" s="1126" t="s">
        <v>30</v>
      </c>
      <c r="B840" s="1094"/>
      <c r="C840" s="1094" t="s">
        <v>4629</v>
      </c>
      <c r="D840" s="1094"/>
      <c r="E840" s="1095" t="s">
        <v>178</v>
      </c>
      <c r="F840" s="1095" t="s">
        <v>5224</v>
      </c>
      <c r="G840" s="1096">
        <v>0</v>
      </c>
      <c r="H840" s="1096" t="s">
        <v>5224</v>
      </c>
      <c r="I840" s="1096" t="s">
        <v>5224</v>
      </c>
      <c r="J840" s="1096" t="s">
        <v>5224</v>
      </c>
      <c r="K840" s="1096" t="s">
        <v>5224</v>
      </c>
      <c r="L840" s="1096" t="s">
        <v>5224</v>
      </c>
      <c r="M840" s="1096" t="s">
        <v>5224</v>
      </c>
      <c r="N840" s="1096" t="s">
        <v>4630</v>
      </c>
      <c r="P840" s="1113" t="s">
        <v>13</v>
      </c>
      <c r="S840" s="1113" t="s">
        <v>1544</v>
      </c>
      <c r="T840" s="1028"/>
      <c r="U840" s="1027">
        <v>7</v>
      </c>
      <c r="V840" s="1027">
        <f t="shared" si="858"/>
        <v>7</v>
      </c>
      <c r="W840" s="1098">
        <f>IF(OR(I840&lt;&gt;"N",E840="C"),IF(AND(N840&lt;&gt;"T",ISNUMBER(FIND("V",I840))),1,0),NA())+IF(H840="Y",IF(AND(N840="P",ISNUMBER(FIND("Z",I840))),2,1),0)+IF(J840="Y",1,0)+IF(K840="Y",3,0)+IF(BE840="Lore",L840*2+Experience!$D$25,0)+IF(M840="Y",1,0)</f>
        <v>0</v>
      </c>
      <c r="X840" s="1099"/>
      <c r="Y840" s="1100">
        <f ca="1">IF(P840="NS",IFERROR(INDIRECT(S840),NA()),VLOOKUP(INDIRECT(P840)+INDIRECT(S840),'System Lookups'!$A$3:$D$146,2))</f>
        <v>0.17</v>
      </c>
      <c r="Z840" s="1100">
        <f t="shared" si="859"/>
        <v>0</v>
      </c>
      <c r="AA840" s="1101">
        <f t="shared" ca="1" si="860"/>
        <v>0.17</v>
      </c>
      <c r="AB840" s="1102">
        <f>VLOOKUP(V840,'System Lookups'!$J$55:$P$64,3)</f>
        <v>0.03</v>
      </c>
      <c r="AC840" s="1103">
        <f>VLOOKUP(V840,'System Lookups'!$J$55:$P$64,4)</f>
        <v>7.0000000000000007E-2</v>
      </c>
      <c r="AD840" s="1104">
        <f t="shared" ca="1" si="861"/>
        <v>0.29000000000000004</v>
      </c>
      <c r="AE840" s="1094">
        <f ca="1">(IF(AD840&gt;VLOOKUP(V840,'System Lookups'!$J$55:$P$63,6),(((AD840-VLOOKUP(V840,'System Lookups'!$J$55:$P$63,6))*100)/20),0))+AF840</f>
        <v>0</v>
      </c>
      <c r="AF840" s="1121"/>
      <c r="AG840" s="1092">
        <f t="shared" si="862"/>
        <v>0</v>
      </c>
      <c r="AH840" s="1092" t="str">
        <f>IF(X840&lt;=Experience!$R$15+1,"","*")</f>
        <v/>
      </c>
      <c r="AI840" s="1092"/>
      <c r="AJ840" s="1080">
        <f t="shared" si="863"/>
        <v>0</v>
      </c>
      <c r="AK840" s="1080">
        <f t="shared" si="864"/>
        <v>0</v>
      </c>
      <c r="AL840" s="1080">
        <f t="shared" si="865"/>
        <v>0</v>
      </c>
      <c r="AM840" s="1092">
        <f t="shared" si="866"/>
        <v>0</v>
      </c>
      <c r="AN840" s="1080">
        <f t="shared" si="867"/>
        <v>0</v>
      </c>
      <c r="AO840" s="1080">
        <f t="shared" si="868"/>
        <v>0</v>
      </c>
      <c r="AP840" s="1080">
        <f t="shared" si="869"/>
        <v>0</v>
      </c>
      <c r="AQ840" s="1027">
        <f>VLOOKUP(V840,'System Lookups'!$J$55:$P$64,7)</f>
        <v>1000</v>
      </c>
      <c r="AR840" s="1080" t="str">
        <f ca="1">IF(AND(NOT(ISBLANK(AJ840)),ISNA(MATCH(ROW(),'System Lookups'!$C$526:$C$539,0))),"Y","N")</f>
        <v>N</v>
      </c>
      <c r="AS840" s="1080">
        <f t="shared" si="870"/>
        <v>0</v>
      </c>
      <c r="AU840" s="1080">
        <f t="shared" si="834"/>
        <v>0</v>
      </c>
      <c r="AV840" s="1080" t="str">
        <f t="shared" si="852"/>
        <v>CS</v>
      </c>
      <c r="AW840" s="1080">
        <f t="shared" si="835"/>
        <v>0</v>
      </c>
      <c r="AX840" s="1080">
        <f t="shared" si="836"/>
        <v>0</v>
      </c>
      <c r="AY840" s="1080">
        <f t="shared" si="837"/>
        <v>0</v>
      </c>
      <c r="AZ840" s="1080">
        <f t="shared" si="838"/>
        <v>0</v>
      </c>
      <c r="BA840" s="1080">
        <f t="shared" si="839"/>
        <v>0</v>
      </c>
      <c r="BB840" s="1080">
        <f>IF(AND(RACE=1,'Main Creation Page'!$E$6="Well",OR(ISNUMBER(FIND(Experience!$G$11,BE840)),ISNUMBER(FIND(Experience!$G$11,BF840)),ISNUMBER(FIND(Experience!$I$11,BE840)),ISNUMBER(FIND(Experience!$I$11,BF840)))),1,0)</f>
        <v>1</v>
      </c>
      <c r="BC840" s="1080" t="str">
        <f t="shared" si="871"/>
        <v>Alertness: SOUND</v>
      </c>
      <c r="BE840" s="1080" t="str">
        <f t="shared" si="833"/>
        <v/>
      </c>
      <c r="BF840" s="1080" t="str">
        <f t="shared" ref="BF840:BF877" si="872">IF(ISBLANK(AC840),IF(OR(ISNA(BC840),ISBLANK(BC840)),BF839,BC840),BF839)</f>
        <v>Perception Skills</v>
      </c>
    </row>
    <row r="841" spans="1:58" ht="11.1" customHeight="1" outlineLevel="1">
      <c r="A841" s="1153" t="s">
        <v>1986</v>
      </c>
      <c r="B841" s="1094"/>
      <c r="C841" s="1094" t="s">
        <v>4629</v>
      </c>
      <c r="D841" s="1094"/>
      <c r="E841" s="1095" t="s">
        <v>178</v>
      </c>
      <c r="F841" s="1095" t="s">
        <v>5224</v>
      </c>
      <c r="G841" s="1096">
        <v>0</v>
      </c>
      <c r="H841" s="1096" t="s">
        <v>5224</v>
      </c>
      <c r="I841" s="1096" t="s">
        <v>5224</v>
      </c>
      <c r="J841" s="1096" t="s">
        <v>5224</v>
      </c>
      <c r="K841" s="1096" t="s">
        <v>5224</v>
      </c>
      <c r="L841" s="1096" t="s">
        <v>5224</v>
      </c>
      <c r="M841" s="1096" t="s">
        <v>5224</v>
      </c>
      <c r="N841" s="1096" t="s">
        <v>4630</v>
      </c>
      <c r="P841" s="1113" t="s">
        <v>13</v>
      </c>
      <c r="S841" s="1113" t="s">
        <v>1983</v>
      </c>
      <c r="T841" s="1028"/>
      <c r="U841" s="1027">
        <v>8</v>
      </c>
      <c r="V841" s="1027">
        <f t="shared" si="858"/>
        <v>8</v>
      </c>
      <c r="W841" s="1098">
        <f>IF(OR(I841&lt;&gt;"N",E841="C"),IF(AND(N841&lt;&gt;"T",ISNUMBER(FIND("V",I841))),1,0),NA())+IF(H841="Y",IF(AND(N841="P",ISNUMBER(FIND("Z",I841))),2,1),0)+IF(J841="Y",1,0)+IF(K841="Y",3,0)+IF(BE841="Lore",L841*2+Experience!$D$25,0)+IF(M841="Y",1,0)</f>
        <v>0</v>
      </c>
      <c r="X841" s="1099"/>
      <c r="Y841" s="1100">
        <f ca="1">IF(P841="NS",IFERROR(INDIRECT(S841),NA()),VLOOKUP(INDIRECT(P841)+INDIRECT(S841),'System Lookups'!$A$3:$D$146,2))</f>
        <v>0.17</v>
      </c>
      <c r="Z841" s="1100">
        <f t="shared" si="859"/>
        <v>0</v>
      </c>
      <c r="AA841" s="1101">
        <f t="shared" ca="1" si="860"/>
        <v>0.17</v>
      </c>
      <c r="AB841" s="1102">
        <f>VLOOKUP(V841,'System Lookups'!$J$55:$P$64,3)</f>
        <v>0.02</v>
      </c>
      <c r="AC841" s="1103">
        <f>VLOOKUP(V841,'System Lookups'!$J$55:$P$64,4)</f>
        <v>0.03</v>
      </c>
      <c r="AD841" s="1104">
        <f t="shared" ca="1" si="861"/>
        <v>0.25</v>
      </c>
      <c r="AE841" s="1094">
        <f ca="1">(IF(AD841&gt;VLOOKUP(V841,'System Lookups'!$J$55:$P$63,6),(((AD841-VLOOKUP(V841,'System Lookups'!$J$55:$P$63,6))*100)/20),0))+AF841</f>
        <v>0</v>
      </c>
      <c r="AF841" s="1121"/>
      <c r="AG841" s="1092">
        <f t="shared" si="862"/>
        <v>0</v>
      </c>
      <c r="AH841" s="1092" t="str">
        <f>IF(X841&lt;=Experience!$R$15+1,"","*")</f>
        <v/>
      </c>
      <c r="AI841" s="1092"/>
      <c r="AJ841" s="1080">
        <f t="shared" si="863"/>
        <v>0</v>
      </c>
      <c r="AK841" s="1080">
        <f t="shared" si="864"/>
        <v>0</v>
      </c>
      <c r="AL841" s="1080">
        <f t="shared" si="865"/>
        <v>0</v>
      </c>
      <c r="AM841" s="1092">
        <f t="shared" si="866"/>
        <v>0</v>
      </c>
      <c r="AN841" s="1080">
        <f t="shared" si="867"/>
        <v>0</v>
      </c>
      <c r="AO841" s="1080">
        <f t="shared" si="868"/>
        <v>0</v>
      </c>
      <c r="AP841" s="1080">
        <f t="shared" si="869"/>
        <v>0</v>
      </c>
      <c r="AQ841" s="1027">
        <f>VLOOKUP(V841,'System Lookups'!$J$55:$P$64,7)</f>
        <v>1200</v>
      </c>
      <c r="AR841" s="1080" t="str">
        <f ca="1">IF(AND(NOT(ISBLANK(AJ841)),ISNA(MATCH(ROW(),'System Lookups'!$C$526:$C$539,0))),"Y","N")</f>
        <v>N</v>
      </c>
      <c r="AS841" s="1080">
        <f t="shared" si="870"/>
        <v>0</v>
      </c>
      <c r="AU841" s="1080">
        <f t="shared" si="834"/>
        <v>0</v>
      </c>
      <c r="AV841" s="1080" t="str">
        <f t="shared" si="852"/>
        <v>CS</v>
      </c>
      <c r="AW841" s="1080">
        <f t="shared" si="835"/>
        <v>0</v>
      </c>
      <c r="AX841" s="1080">
        <f t="shared" si="836"/>
        <v>0</v>
      </c>
      <c r="AY841" s="1080">
        <f t="shared" si="837"/>
        <v>0</v>
      </c>
      <c r="AZ841" s="1080">
        <f t="shared" si="838"/>
        <v>0</v>
      </c>
      <c r="BA841" s="1080">
        <f t="shared" si="839"/>
        <v>0</v>
      </c>
      <c r="BB841" s="1080">
        <f>IF(AND(RACE=1,'Main Creation Page'!$E$6="Well",OR(ISNUMBER(FIND(Experience!$G$11,BE841)),ISNUMBER(FIND(Experience!$G$11,BF841)),ISNUMBER(FIND(Experience!$I$11,BE841)),ISNUMBER(FIND(Experience!$I$11,BF841)))),1,0)</f>
        <v>1</v>
      </c>
      <c r="BC841" s="1080" t="str">
        <f t="shared" si="871"/>
        <v>Alertness: TASTE</v>
      </c>
      <c r="BE841" s="1080" t="str">
        <f t="shared" si="833"/>
        <v/>
      </c>
      <c r="BF841" s="1080" t="str">
        <f t="shared" si="872"/>
        <v>Perception Skills</v>
      </c>
    </row>
    <row r="842" spans="1:58" ht="11.1" customHeight="1" outlineLevel="1">
      <c r="A842" s="1153" t="s">
        <v>1987</v>
      </c>
      <c r="B842" s="1094"/>
      <c r="C842" s="1094" t="s">
        <v>4629</v>
      </c>
      <c r="D842" s="1094"/>
      <c r="E842" s="1095" t="s">
        <v>178</v>
      </c>
      <c r="F842" s="1095" t="s">
        <v>5224</v>
      </c>
      <c r="G842" s="1096">
        <v>0</v>
      </c>
      <c r="H842" s="1096" t="s">
        <v>5224</v>
      </c>
      <c r="I842" s="1096" t="s">
        <v>5224</v>
      </c>
      <c r="J842" s="1096" t="s">
        <v>5224</v>
      </c>
      <c r="K842" s="1096" t="s">
        <v>5224</v>
      </c>
      <c r="L842" s="1096" t="s">
        <v>5224</v>
      </c>
      <c r="M842" s="1096" t="s">
        <v>5224</v>
      </c>
      <c r="N842" s="1096" t="s">
        <v>4630</v>
      </c>
      <c r="P842" s="1113" t="s">
        <v>13</v>
      </c>
      <c r="S842" s="1113" t="s">
        <v>1984</v>
      </c>
      <c r="T842" s="1028"/>
      <c r="U842" s="1027">
        <v>9</v>
      </c>
      <c r="V842" s="1027">
        <f t="shared" si="858"/>
        <v>9</v>
      </c>
      <c r="W842" s="1098">
        <f>IF(OR(I842&lt;&gt;"N",E842="C"),IF(AND(N842&lt;&gt;"T",ISNUMBER(FIND("V",I842))),1,0),NA())+IF(H842="Y",IF(AND(N842="P",ISNUMBER(FIND("Z",I842))),2,1),0)+IF(J842="Y",1,0)+IF(K842="Y",3,0)+IF(BE842="Lore",L842*2+Experience!$D$25,0)+IF(M842="Y",1,0)</f>
        <v>0</v>
      </c>
      <c r="X842" s="1099"/>
      <c r="Y842" s="1100">
        <f ca="1">IF(P842="NS",IFERROR(INDIRECT(S842),NA()),VLOOKUP(INDIRECT(P842)+INDIRECT(S842),'System Lookups'!$A$3:$D$146,2))</f>
        <v>0.17</v>
      </c>
      <c r="Z842" s="1100">
        <f t="shared" si="859"/>
        <v>0</v>
      </c>
      <c r="AA842" s="1101">
        <f t="shared" ca="1" si="860"/>
        <v>0.17</v>
      </c>
      <c r="AB842" s="1102">
        <f>VLOOKUP(V842,'System Lookups'!$J$55:$P$64,3)</f>
        <v>0.01</v>
      </c>
      <c r="AC842" s="1103">
        <f>VLOOKUP(V842,'System Lookups'!$J$55:$P$64,4)</f>
        <v>0.02</v>
      </c>
      <c r="AD842" s="1104">
        <f t="shared" ca="1" si="861"/>
        <v>0.24</v>
      </c>
      <c r="AE842" s="1094">
        <f ca="1">(IF(AD842&gt;VLOOKUP(V842,'System Lookups'!$J$55:$P$63,6),(((AD842-VLOOKUP(V842,'System Lookups'!$J$55:$P$63,6))*100)/20),0))+AF842</f>
        <v>0</v>
      </c>
      <c r="AF842" s="1121"/>
      <c r="AG842" s="1092">
        <f t="shared" si="862"/>
        <v>0</v>
      </c>
      <c r="AH842" s="1092" t="str">
        <f>IF(X842&lt;=Experience!$R$15+1,"","*")</f>
        <v/>
      </c>
      <c r="AI842" s="1092"/>
      <c r="AJ842" s="1080">
        <f t="shared" si="863"/>
        <v>0</v>
      </c>
      <c r="AK842" s="1080">
        <f t="shared" si="864"/>
        <v>0</v>
      </c>
      <c r="AL842" s="1080">
        <f t="shared" si="865"/>
        <v>0</v>
      </c>
      <c r="AM842" s="1092">
        <f t="shared" si="866"/>
        <v>0</v>
      </c>
      <c r="AN842" s="1080">
        <f t="shared" si="867"/>
        <v>0</v>
      </c>
      <c r="AO842" s="1080">
        <f t="shared" si="868"/>
        <v>0</v>
      </c>
      <c r="AP842" s="1080">
        <f t="shared" si="869"/>
        <v>0</v>
      </c>
      <c r="AQ842" s="1027">
        <f>VLOOKUP(V842,'System Lookups'!$J$55:$P$64,7)</f>
        <v>1500</v>
      </c>
      <c r="AR842" s="1080" t="str">
        <f ca="1">IF(AND(NOT(ISBLANK(AJ842)),ISNA(MATCH(ROW(),'System Lookups'!$C$526:$C$539,0))),"Y","N")</f>
        <v>N</v>
      </c>
      <c r="AS842" s="1080">
        <f t="shared" si="870"/>
        <v>0</v>
      </c>
      <c r="AU842" s="1080">
        <f t="shared" si="834"/>
        <v>0</v>
      </c>
      <c r="AV842" s="1080" t="str">
        <f t="shared" si="852"/>
        <v>CS</v>
      </c>
      <c r="AW842" s="1080">
        <f t="shared" si="835"/>
        <v>0</v>
      </c>
      <c r="AX842" s="1080">
        <f t="shared" si="836"/>
        <v>0</v>
      </c>
      <c r="AY842" s="1080">
        <f t="shared" si="837"/>
        <v>0</v>
      </c>
      <c r="AZ842" s="1080">
        <f t="shared" si="838"/>
        <v>0</v>
      </c>
      <c r="BA842" s="1080">
        <f t="shared" si="839"/>
        <v>0</v>
      </c>
      <c r="BB842" s="1080">
        <f>IF(AND(RACE=1,'Main Creation Page'!$E$6="Well",OR(ISNUMBER(FIND(Experience!$G$11,BE842)),ISNUMBER(FIND(Experience!$G$11,BF842)),ISNUMBER(FIND(Experience!$I$11,BE842)),ISNUMBER(FIND(Experience!$I$11,BF842)))),1,0)</f>
        <v>1</v>
      </c>
      <c r="BC842" s="1080" t="str">
        <f t="shared" si="871"/>
        <v>Alertness: TOUCH</v>
      </c>
      <c r="BE842" s="1080" t="str">
        <f t="shared" si="833"/>
        <v/>
      </c>
      <c r="BF842" s="1080" t="str">
        <f t="shared" si="872"/>
        <v>Perception Skills</v>
      </c>
    </row>
    <row r="843" spans="1:58" ht="11.1" customHeight="1" outlineLevel="1">
      <c r="A843" s="1117" t="s">
        <v>575</v>
      </c>
      <c r="B843" s="1094"/>
      <c r="C843" s="1094"/>
      <c r="D843" s="1094"/>
      <c r="E843" s="1095" t="s">
        <v>5224</v>
      </c>
      <c r="F843" s="1095" t="s">
        <v>5224</v>
      </c>
      <c r="G843" s="1096">
        <v>0</v>
      </c>
      <c r="H843" s="1096" t="s">
        <v>5224</v>
      </c>
      <c r="I843" s="1096" t="s">
        <v>5224</v>
      </c>
      <c r="J843" s="1096" t="s">
        <v>5224</v>
      </c>
      <c r="K843" s="1096" t="s">
        <v>5224</v>
      </c>
      <c r="L843" s="1096" t="s">
        <v>5224</v>
      </c>
      <c r="M843" s="1096" t="s">
        <v>5224</v>
      </c>
      <c r="N843" s="1096" t="s">
        <v>4631</v>
      </c>
      <c r="O843" s="1028"/>
      <c r="P843" s="1028" t="s">
        <v>780</v>
      </c>
      <c r="Q843" s="1097">
        <f t="shared" ref="Q843:Q846" ca="1" si="873">INDIRECT(P843)</f>
        <v>17</v>
      </c>
      <c r="R843" s="1034"/>
      <c r="S843" s="1028" t="s">
        <v>3616</v>
      </c>
      <c r="T843" s="1097">
        <f t="shared" ref="T843:T846" ca="1" si="874">INDIRECT(S843)</f>
        <v>17</v>
      </c>
      <c r="U843" s="1027">
        <v>5</v>
      </c>
      <c r="V843" s="1027">
        <f t="shared" si="858"/>
        <v>6</v>
      </c>
      <c r="W843" s="1098" t="e">
        <f>IF(OR(I843&lt;&gt;"N",E843="C"),IF(AND(N843&lt;&gt;"T",ISNUMBER(FIND("V",I843))),1,0),NA())+IF(H843="Y",IF(AND(N843="P",ISNUMBER(FIND("Z",I843))),2,1),0)+IF(J843="Y",1,0)+IF(K843="Y",3,0)+IF(BE843="Lore",L843*2+Experience!$D$25,0)+IF(M843="Y",1,0)</f>
        <v>#N/A</v>
      </c>
      <c r="X843" s="1099"/>
      <c r="Y843" s="1100">
        <f ca="1">IF(P843="NS",IFERROR(INDIRECT(S843),NA()),VLOOKUP(INDIRECT(P843)+INDIRECT(S843),'System Lookups'!$A$3:$D$146,2))</f>
        <v>0.1</v>
      </c>
      <c r="Z843" s="1100">
        <f t="shared" si="859"/>
        <v>0</v>
      </c>
      <c r="AA843" s="1101">
        <f t="shared" ca="1" si="860"/>
        <v>0.1</v>
      </c>
      <c r="AB843" s="1102">
        <f>VLOOKUP(V843,'System Lookups'!$J$55:$P$64,3)</f>
        <v>0.05</v>
      </c>
      <c r="AC843" s="1103">
        <f>VLOOKUP(V843,'System Lookups'!$J$55:$P$64,4)</f>
        <v>0.1</v>
      </c>
      <c r="AD843" s="1104">
        <f t="shared" ca="1" si="861"/>
        <v>0.2</v>
      </c>
      <c r="AE843" s="1094">
        <f ca="1">(IF(AD843&gt;VLOOKUP(V843,'System Lookups'!$J$55:$P$63,6),(((AD843-VLOOKUP(V843,'System Lookups'!$J$55:$P$63,6))*100)/20),0))+AF843</f>
        <v>0</v>
      </c>
      <c r="AF843" s="1121"/>
      <c r="AG843" s="1092">
        <f t="shared" si="862"/>
        <v>0</v>
      </c>
      <c r="AH843" s="1092" t="str">
        <f>IF(X843&lt;=Experience!$R$15+1,"","*")</f>
        <v/>
      </c>
      <c r="AI843" s="1092"/>
      <c r="AJ843" s="1080">
        <f t="shared" si="863"/>
        <v>0</v>
      </c>
      <c r="AK843" s="1080">
        <f t="shared" si="864"/>
        <v>0</v>
      </c>
      <c r="AL843" s="1080">
        <f t="shared" si="865"/>
        <v>0</v>
      </c>
      <c r="AM843" s="1092">
        <f t="shared" si="866"/>
        <v>0</v>
      </c>
      <c r="AN843" s="1080">
        <f t="shared" si="867"/>
        <v>1</v>
      </c>
      <c r="AO843" s="1080">
        <f t="shared" si="868"/>
        <v>0</v>
      </c>
      <c r="AP843" s="1080">
        <f t="shared" si="869"/>
        <v>1</v>
      </c>
      <c r="AQ843" s="1027">
        <f>VLOOKUP(V843,'System Lookups'!$J$55:$P$64,7)</f>
        <v>800</v>
      </c>
      <c r="AR843" s="1080" t="str">
        <f ca="1">IF(AND(NOT(ISBLANK(AJ843)),ISNA(MATCH(ROW(),'System Lookups'!$C$526:$C$539,0))),"Y","N")</f>
        <v>Y</v>
      </c>
      <c r="AS843" s="1080">
        <f t="shared" si="870"/>
        <v>0</v>
      </c>
      <c r="AU843" s="1080" t="e">
        <f t="shared" si="834"/>
        <v>#N/A</v>
      </c>
      <c r="AV843" s="1080" t="str">
        <f t="shared" si="852"/>
        <v>T</v>
      </c>
      <c r="AW843" s="1080">
        <f t="shared" si="835"/>
        <v>0</v>
      </c>
      <c r="AX843" s="1080">
        <f t="shared" si="836"/>
        <v>0</v>
      </c>
      <c r="AY843" s="1080">
        <f t="shared" si="837"/>
        <v>0</v>
      </c>
      <c r="AZ843" s="1080">
        <f t="shared" si="838"/>
        <v>0</v>
      </c>
      <c r="BA843" s="1080">
        <f t="shared" si="839"/>
        <v>0</v>
      </c>
      <c r="BB843" s="1080">
        <f>IF(AND(RACE=1,'Main Creation Page'!$E$6="Well",OR(ISNUMBER(FIND(Experience!$G$11,BE843)),ISNUMBER(FIND(Experience!$G$11,BF843)),ISNUMBER(FIND(Experience!$I$11,BE843)),ISNUMBER(FIND(Experience!$I$11,BF843)))),1,0)</f>
        <v>1</v>
      </c>
      <c r="BC843" s="1080" t="str">
        <f t="shared" si="871"/>
        <v>Detect Lie</v>
      </c>
      <c r="BE843" s="1080" t="str">
        <f t="shared" si="833"/>
        <v/>
      </c>
      <c r="BF843" s="1080" t="str">
        <f t="shared" si="872"/>
        <v>Perception Skills</v>
      </c>
    </row>
    <row r="844" spans="1:58" ht="11.1" customHeight="1" outlineLevel="1">
      <c r="A844" s="1123" t="s">
        <v>190</v>
      </c>
      <c r="B844" s="1094"/>
      <c r="C844" s="1094"/>
      <c r="D844" s="1094"/>
      <c r="E844" s="1095" t="s">
        <v>5224</v>
      </c>
      <c r="F844" s="1095" t="s">
        <v>5224</v>
      </c>
      <c r="G844" s="1096">
        <v>0</v>
      </c>
      <c r="H844" s="1096" t="s">
        <v>5224</v>
      </c>
      <c r="I844" s="1096" t="s">
        <v>5224</v>
      </c>
      <c r="J844" s="1096" t="s">
        <v>5224</v>
      </c>
      <c r="K844" s="1096" t="s">
        <v>5224</v>
      </c>
      <c r="L844" s="1096" t="s">
        <v>5224</v>
      </c>
      <c r="M844" s="1096" t="s">
        <v>5224</v>
      </c>
      <c r="N844" s="1096" t="s">
        <v>4631</v>
      </c>
      <c r="O844" s="1028"/>
      <c r="P844" s="1028" t="s">
        <v>780</v>
      </c>
      <c r="Q844" s="1097">
        <f t="shared" ca="1" si="873"/>
        <v>17</v>
      </c>
      <c r="R844" s="1034"/>
      <c r="S844" s="1028" t="s">
        <v>3616</v>
      </c>
      <c r="T844" s="1097">
        <f t="shared" ca="1" si="874"/>
        <v>17</v>
      </c>
      <c r="U844" s="1027">
        <v>3</v>
      </c>
      <c r="V844" s="1027">
        <f t="shared" si="858"/>
        <v>4</v>
      </c>
      <c r="W844" s="1098" t="e">
        <f>IF(OR(I844&lt;&gt;"N",E844="C"),IF(AND(N844&lt;&gt;"T",ISNUMBER(FIND("V",I844))),1,0),NA())+IF(H844="Y",IF(AND(N844="P",ISNUMBER(FIND("Z",I844))),2,1),0)+IF(J844="Y",1,0)+IF(K844="Y",3,0)+IF(BE844="Lore",L844*2+Experience!$D$25,0)+IF(M844="Y",1,0)</f>
        <v>#N/A</v>
      </c>
      <c r="X844" s="1099"/>
      <c r="Y844" s="1100">
        <f ca="1">IF(P844="NS",IFERROR(INDIRECT(S844),NA()),VLOOKUP(INDIRECT(P844)+INDIRECT(S844),'System Lookups'!$A$3:$D$146,2))</f>
        <v>0.1</v>
      </c>
      <c r="Z844" s="1100">
        <f t="shared" si="859"/>
        <v>0</v>
      </c>
      <c r="AA844" s="1101">
        <f ca="1">IF(ISNA(Y844),0,Y844)+Z844</f>
        <v>0.1</v>
      </c>
      <c r="AB844" s="1102">
        <f>VLOOKUP(V844,'System Lookups'!$J$55:$P$64,3)</f>
        <v>0.2</v>
      </c>
      <c r="AC844" s="1103">
        <f>VLOOKUP(V844,'System Lookups'!$J$55:$P$64,4)</f>
        <v>0.3</v>
      </c>
      <c r="AD844" s="1104">
        <f t="shared" ca="1" si="861"/>
        <v>0.35000000000000003</v>
      </c>
      <c r="AE844" s="1094">
        <f ca="1">(IF(AD844&gt;VLOOKUP(V844,'System Lookups'!$J$55:$P$63,6),(((AD844-VLOOKUP(V844,'System Lookups'!$J$55:$P$63,6))*100)/20),0))+AF844</f>
        <v>0</v>
      </c>
      <c r="AF844" s="1121"/>
      <c r="AG844" s="1092">
        <f t="shared" si="862"/>
        <v>0</v>
      </c>
      <c r="AH844" s="1092" t="str">
        <f>IF(X844&lt;=Experience!$R$15+1,"","*")</f>
        <v/>
      </c>
      <c r="AI844" s="1092"/>
      <c r="AJ844" s="1080">
        <f t="shared" si="863"/>
        <v>0</v>
      </c>
      <c r="AK844" s="1080">
        <f>IF(F844="s",-2,0)</f>
        <v>0</v>
      </c>
      <c r="AL844" s="1080">
        <f t="shared" si="865"/>
        <v>0</v>
      </c>
      <c r="AM844" s="1092">
        <f>IF(J844="y",1,0)</f>
        <v>0</v>
      </c>
      <c r="AN844" s="1080">
        <f>IF(N844="P",-1,IF(N844="T",1,0))</f>
        <v>1</v>
      </c>
      <c r="AO844" s="1080">
        <f t="shared" si="868"/>
        <v>0</v>
      </c>
      <c r="AP844" s="1080">
        <f t="shared" si="869"/>
        <v>1</v>
      </c>
      <c r="AQ844" s="1027">
        <f>VLOOKUP(V844,'System Lookups'!$J$55:$P$64,7)</f>
        <v>600</v>
      </c>
      <c r="AR844" s="1080" t="str">
        <f ca="1">IF(AND(NOT(ISBLANK(AJ844)),ISNA(MATCH(ROW(),'System Lookups'!$C$526:$C$539,0))),"Y","N")</f>
        <v>Y</v>
      </c>
      <c r="AS844" s="1080">
        <f t="shared" si="870"/>
        <v>0</v>
      </c>
      <c r="AU844" s="1080" t="e">
        <f t="shared" si="834"/>
        <v>#N/A</v>
      </c>
      <c r="AV844" s="1080" t="str">
        <f t="shared" si="852"/>
        <v>T</v>
      </c>
      <c r="AW844" s="1080">
        <f t="shared" si="835"/>
        <v>0</v>
      </c>
      <c r="AX844" s="1080">
        <f t="shared" si="836"/>
        <v>0</v>
      </c>
      <c r="AY844" s="1080">
        <f t="shared" si="837"/>
        <v>0</v>
      </c>
      <c r="AZ844" s="1080">
        <f t="shared" si="838"/>
        <v>0</v>
      </c>
      <c r="BA844" s="1080">
        <f t="shared" si="839"/>
        <v>0</v>
      </c>
      <c r="BB844" s="1080">
        <f>IF(AND(RACE=1,'Main Creation Page'!$E$6="Well",OR(ISNUMBER(FIND(Experience!$G$11,BE844)),ISNUMBER(FIND(Experience!$G$11,BF844)),ISNUMBER(FIND(Experience!$I$11,BE844)),ISNUMBER(FIND(Experience!$I$11,BF844)))),1,0)</f>
        <v>1</v>
      </c>
      <c r="BC844" s="1080" t="str">
        <f t="shared" si="871"/>
        <v>Read Body Language</v>
      </c>
      <c r="BE844" s="1080" t="str">
        <f t="shared" si="833"/>
        <v/>
      </c>
      <c r="BF844" s="1080" t="str">
        <f t="shared" si="872"/>
        <v>Perception Skills</v>
      </c>
    </row>
    <row r="845" spans="1:58" ht="11.1" customHeight="1" outlineLevel="1">
      <c r="A845" s="1117" t="s">
        <v>576</v>
      </c>
      <c r="B845" s="1094"/>
      <c r="C845" s="1094"/>
      <c r="D845" s="1094"/>
      <c r="E845" s="1095" t="s">
        <v>5224</v>
      </c>
      <c r="F845" s="1095" t="s">
        <v>5224</v>
      </c>
      <c r="G845" s="1096">
        <v>0</v>
      </c>
      <c r="H845" s="1096" t="s">
        <v>5222</v>
      </c>
      <c r="I845" s="1096" t="s">
        <v>4635</v>
      </c>
      <c r="J845" s="1096" t="s">
        <v>5224</v>
      </c>
      <c r="K845" s="1096" t="s">
        <v>5224</v>
      </c>
      <c r="L845" s="1096" t="s">
        <v>5224</v>
      </c>
      <c r="M845" s="1096" t="s">
        <v>5224</v>
      </c>
      <c r="N845" s="1096" t="s">
        <v>4631</v>
      </c>
      <c r="O845" s="1028"/>
      <c r="P845" s="1028" t="s">
        <v>780</v>
      </c>
      <c r="Q845" s="1097">
        <f t="shared" ca="1" si="873"/>
        <v>17</v>
      </c>
      <c r="R845" s="1034"/>
      <c r="S845" s="1028" t="s">
        <v>3616</v>
      </c>
      <c r="T845" s="1097">
        <f t="shared" ca="1" si="874"/>
        <v>17</v>
      </c>
      <c r="U845" s="1027">
        <v>5</v>
      </c>
      <c r="V845" s="1027">
        <f t="shared" si="858"/>
        <v>6</v>
      </c>
      <c r="W845" s="1098">
        <f>IF(OR(I845&lt;&gt;"N",E845="C"),IF(AND(N845&lt;&gt;"T",ISNUMBER(FIND("V",I845))),1,0),NA())+IF(H845="Y",IF(AND(N845="P",ISNUMBER(FIND("Z",I845))),2,1),0)+IF(J845="Y",1,0)+IF(K845="Y",3,0)+IF(BE845="Lore",L845*2+Experience!$D$25,0)+IF(M845="Y",1,0)</f>
        <v>1</v>
      </c>
      <c r="X845" s="1099"/>
      <c r="Y845" s="1100">
        <f ca="1">IF(P845="NS",IFERROR(INDIRECT(S845),NA()),VLOOKUP(INDIRECT(P845)+INDIRECT(S845),'System Lookups'!$A$3:$D$146,2))</f>
        <v>0.1</v>
      </c>
      <c r="Z845" s="1100">
        <f t="shared" si="859"/>
        <v>0.03</v>
      </c>
      <c r="AA845" s="1101">
        <f t="shared" ca="1" si="860"/>
        <v>0.13</v>
      </c>
      <c r="AB845" s="1102">
        <f>VLOOKUP(V845,'System Lookups'!$J$55:$P$64,3)</f>
        <v>0.05</v>
      </c>
      <c r="AC845" s="1103">
        <f>VLOOKUP(V845,'System Lookups'!$J$55:$P$64,4)</f>
        <v>0.1</v>
      </c>
      <c r="AD845" s="1104">
        <f t="shared" ca="1" si="861"/>
        <v>0.28000000000000003</v>
      </c>
      <c r="AE845" s="1094">
        <f ca="1">(IF(AD845&gt;VLOOKUP(V845,'System Lookups'!$J$55:$P$63,6),(((AD845-VLOOKUP(V845,'System Lookups'!$J$55:$P$63,6))*100)/20),0))+AF845</f>
        <v>0</v>
      </c>
      <c r="AF845" s="1121"/>
      <c r="AG845" s="1092">
        <f t="shared" si="862"/>
        <v>0</v>
      </c>
      <c r="AH845" s="1092" t="str">
        <f>IF(X845&lt;=Experience!$R$15+1,"","*")</f>
        <v/>
      </c>
      <c r="AI845" s="1092"/>
      <c r="AJ845" s="1080">
        <f t="shared" si="863"/>
        <v>0</v>
      </c>
      <c r="AK845" s="1080">
        <f t="shared" si="864"/>
        <v>0</v>
      </c>
      <c r="AL845" s="1080">
        <f t="shared" si="865"/>
        <v>0</v>
      </c>
      <c r="AM845" s="1092">
        <f t="shared" si="866"/>
        <v>0</v>
      </c>
      <c r="AN845" s="1080">
        <f t="shared" si="867"/>
        <v>1</v>
      </c>
      <c r="AO845" s="1080">
        <f t="shared" si="868"/>
        <v>1</v>
      </c>
      <c r="AP845" s="1080">
        <f t="shared" si="869"/>
        <v>1</v>
      </c>
      <c r="AQ845" s="1027">
        <f>VLOOKUP(V845,'System Lookups'!$J$55:$P$64,7)</f>
        <v>800</v>
      </c>
      <c r="AR845" s="1080" t="str">
        <f ca="1">IF(AND(NOT(ISBLANK(AJ845)),ISNA(MATCH(ROW(),'System Lookups'!$C$526:$C$539,0))),"Y","N")</f>
        <v>Y</v>
      </c>
      <c r="AS845" s="1080">
        <f t="shared" si="870"/>
        <v>0</v>
      </c>
      <c r="AU845" s="1080">
        <f t="shared" si="834"/>
        <v>1</v>
      </c>
      <c r="AV845" s="1080" t="str">
        <f t="shared" si="852"/>
        <v>MTZm</v>
      </c>
      <c r="AW845" s="1080">
        <f t="shared" si="835"/>
        <v>1</v>
      </c>
      <c r="AX845" s="1080">
        <f t="shared" si="836"/>
        <v>0</v>
      </c>
      <c r="AY845" s="1080">
        <f t="shared" si="837"/>
        <v>0</v>
      </c>
      <c r="AZ845" s="1080">
        <f t="shared" si="838"/>
        <v>0</v>
      </c>
      <c r="BA845" s="1080">
        <f t="shared" si="839"/>
        <v>0</v>
      </c>
      <c r="BB845" s="1080">
        <f>IF(AND(RACE=1,'Main Creation Page'!$E$6="Well",OR(ISNUMBER(FIND(Experience!$G$11,BE845)),ISNUMBER(FIND(Experience!$G$11,BF845)),ISNUMBER(FIND(Experience!$I$11,BE845)),ISNUMBER(FIND(Experience!$I$11,BF845)))),1,0)</f>
        <v>1</v>
      </c>
      <c r="BC845" s="1080" t="str">
        <f t="shared" si="871"/>
        <v>Read Character</v>
      </c>
      <c r="BE845" s="1080" t="str">
        <f t="shared" si="833"/>
        <v/>
      </c>
      <c r="BF845" s="1080" t="str">
        <f t="shared" si="872"/>
        <v>Perception Skills</v>
      </c>
    </row>
    <row r="846" spans="1:58" ht="11.1" customHeight="1" outlineLevel="1">
      <c r="A846" s="1123" t="s">
        <v>4364</v>
      </c>
      <c r="B846" s="1094"/>
      <c r="C846" s="1094"/>
      <c r="D846" s="1094"/>
      <c r="E846" s="1095" t="s">
        <v>5224</v>
      </c>
      <c r="F846" s="1095" t="s">
        <v>5224</v>
      </c>
      <c r="G846" s="1096">
        <v>0</v>
      </c>
      <c r="H846" s="1096" t="s">
        <v>5224</v>
      </c>
      <c r="I846" s="1096" t="s">
        <v>5224</v>
      </c>
      <c r="J846" s="1096" t="s">
        <v>5224</v>
      </c>
      <c r="K846" s="1096" t="s">
        <v>5224</v>
      </c>
      <c r="L846" s="1096" t="s">
        <v>5224</v>
      </c>
      <c r="M846" s="1096" t="s">
        <v>5224</v>
      </c>
      <c r="N846" s="1096" t="s">
        <v>4631</v>
      </c>
      <c r="O846" s="1028"/>
      <c r="P846" s="1028" t="s">
        <v>780</v>
      </c>
      <c r="Q846" s="1097">
        <f t="shared" ca="1" si="873"/>
        <v>17</v>
      </c>
      <c r="R846" s="1034"/>
      <c r="S846" s="1028" t="s">
        <v>3616</v>
      </c>
      <c r="T846" s="1097">
        <f t="shared" ca="1" si="874"/>
        <v>17</v>
      </c>
      <c r="U846" s="1027">
        <v>5</v>
      </c>
      <c r="V846" s="1027">
        <f t="shared" si="858"/>
        <v>6</v>
      </c>
      <c r="W846" s="1098" t="e">
        <f>IF(OR(I846&lt;&gt;"N",E846="C"),IF(AND(N846&lt;&gt;"T",ISNUMBER(FIND("V",I846))),1,0),NA())+IF(H846="Y",IF(AND(N846="P",ISNUMBER(FIND("Z",I846))),2,1),0)+IF(J846="Y",1,0)+IF(K846="Y",3,0)+IF(BE846="Lore",L846*2+Experience!$D$25,0)+IF(M846="Y",1,0)</f>
        <v>#N/A</v>
      </c>
      <c r="X846" s="1099"/>
      <c r="Y846" s="1100">
        <f ca="1">IF(P846="NS",IFERROR(INDIRECT(S846),NA()),VLOOKUP(INDIRECT(P846)+INDIRECT(S846),'System Lookups'!$A$3:$D$146,2))</f>
        <v>0.1</v>
      </c>
      <c r="Z846" s="1100">
        <f t="shared" si="859"/>
        <v>0</v>
      </c>
      <c r="AA846" s="1101">
        <f ca="1">IF(ISNA(Y846),0,Y846)+Z846</f>
        <v>0.1</v>
      </c>
      <c r="AB846" s="1102">
        <f>VLOOKUP(V846,'System Lookups'!$J$55:$P$64,3)</f>
        <v>0.05</v>
      </c>
      <c r="AC846" s="1103">
        <f>VLOOKUP(V846,'System Lookups'!$J$55:$P$64,4)</f>
        <v>0.1</v>
      </c>
      <c r="AD846" s="1104">
        <f t="shared" ca="1" si="861"/>
        <v>0.2</v>
      </c>
      <c r="AE846" s="1094">
        <f ca="1">(IF(AD846&gt;VLOOKUP(V846,'System Lookups'!$J$55:$P$63,6),(((AD846-VLOOKUP(V846,'System Lookups'!$J$55:$P$63,6))*100)/20),0))+AF846</f>
        <v>0</v>
      </c>
      <c r="AF846" s="1121"/>
      <c r="AG846" s="1092">
        <f t="shared" si="862"/>
        <v>0</v>
      </c>
      <c r="AH846" s="1092" t="str">
        <f>IF(X846&lt;=Experience!$R$15+1,"","*")</f>
        <v/>
      </c>
      <c r="AI846" s="1092"/>
      <c r="AJ846" s="1080">
        <f t="shared" si="863"/>
        <v>0</v>
      </c>
      <c r="AK846" s="1080">
        <f>IF(F846="s",-2,0)</f>
        <v>0</v>
      </c>
      <c r="AL846" s="1080">
        <f t="shared" si="865"/>
        <v>0</v>
      </c>
      <c r="AM846" s="1092">
        <f>IF(J846="y",1,0)</f>
        <v>0</v>
      </c>
      <c r="AN846" s="1080">
        <f>IF(N846="P",-1,IF(N846="T",1,0))</f>
        <v>1</v>
      </c>
      <c r="AO846" s="1080">
        <f t="shared" si="868"/>
        <v>0</v>
      </c>
      <c r="AP846" s="1080">
        <f t="shared" si="869"/>
        <v>1</v>
      </c>
      <c r="AQ846" s="1027">
        <f>VLOOKUP(V846,'System Lookups'!$J$55:$P$64,7)</f>
        <v>800</v>
      </c>
      <c r="AR846" s="1080" t="str">
        <f ca="1">IF(AND(NOT(ISBLANK(AJ846)),ISNA(MATCH(ROW(),'System Lookups'!$C$526:$C$539,0))),"Y","N")</f>
        <v>Y</v>
      </c>
      <c r="AS846" s="1080">
        <f t="shared" si="870"/>
        <v>0</v>
      </c>
      <c r="AU846" s="1080" t="e">
        <f t="shared" si="834"/>
        <v>#N/A</v>
      </c>
      <c r="AV846" s="1080" t="str">
        <f t="shared" si="852"/>
        <v>T</v>
      </c>
      <c r="AW846" s="1080">
        <f t="shared" si="835"/>
        <v>0</v>
      </c>
      <c r="AX846" s="1080">
        <f t="shared" si="836"/>
        <v>0</v>
      </c>
      <c r="AY846" s="1080">
        <f t="shared" si="837"/>
        <v>0</v>
      </c>
      <c r="AZ846" s="1080">
        <f t="shared" si="838"/>
        <v>0</v>
      </c>
      <c r="BA846" s="1080">
        <f t="shared" si="839"/>
        <v>0</v>
      </c>
      <c r="BB846" s="1080">
        <f>IF(AND(RACE=1,'Main Creation Page'!$E$6="Well",OR(ISNUMBER(FIND(Experience!$G$11,BE846)),ISNUMBER(FIND(Experience!$G$11,BF846)),ISNUMBER(FIND(Experience!$I$11,BE846)),ISNUMBER(FIND(Experience!$I$11,BF846)))),1,0)</f>
        <v>1</v>
      </c>
      <c r="BC846" s="1080" t="str">
        <f t="shared" si="871"/>
        <v>Read Lips</v>
      </c>
      <c r="BE846" s="1080" t="str">
        <f t="shared" si="833"/>
        <v/>
      </c>
      <c r="BF846" s="1080" t="str">
        <f t="shared" si="872"/>
        <v>Perception Skills</v>
      </c>
    </row>
    <row r="847" spans="1:58" ht="11.1" customHeight="1" outlineLevel="1">
      <c r="A847" s="1117"/>
      <c r="B847" s="1094"/>
      <c r="C847" s="1094"/>
      <c r="D847" s="1111"/>
      <c r="V847" s="1027"/>
      <c r="W847" s="1112"/>
      <c r="AE847" s="1094"/>
      <c r="AF847" s="1121"/>
      <c r="AG847" s="1092"/>
      <c r="AH847" s="1092"/>
      <c r="AI847" s="1092"/>
      <c r="AM847" s="1092"/>
      <c r="AQ847" s="1027"/>
      <c r="AR847" s="1080" t="str">
        <f ca="1">IF(AND(NOT(ISBLANK(AJ847)),ISNA(MATCH(ROW(),'System Lookups'!$C$526:$C$539,0))),"Y","N")</f>
        <v>N</v>
      </c>
      <c r="AU847" s="1080" t="e">
        <f t="shared" si="834"/>
        <v>#N/A</v>
      </c>
      <c r="AV847" s="1080" t="str">
        <f t="shared" si="852"/>
        <v/>
      </c>
      <c r="AW847" s="1080">
        <f t="shared" si="835"/>
        <v>0</v>
      </c>
      <c r="AX847" s="1080">
        <f t="shared" si="836"/>
        <v>0</v>
      </c>
      <c r="AY847" s="1080">
        <f t="shared" si="837"/>
        <v>0</v>
      </c>
      <c r="AZ847" s="1080">
        <f t="shared" si="838"/>
        <v>0</v>
      </c>
      <c r="BA847" s="1080">
        <f t="shared" si="839"/>
        <v>0</v>
      </c>
      <c r="BB847" s="1080">
        <f>IF(AND(RACE=1,'Main Creation Page'!$E$6="Well",OR(ISNUMBER(FIND(Experience!$G$11,BE847)),ISNUMBER(FIND(Experience!$G$11,BF847)),ISNUMBER(FIND(Experience!$I$11,BE847)),ISNUMBER(FIND(Experience!$I$11,BF847)))),1,0)</f>
        <v>1</v>
      </c>
      <c r="BC847" s="1080" t="e">
        <f t="shared" si="871"/>
        <v>#N/A</v>
      </c>
      <c r="BE847" s="1080" t="str">
        <f t="shared" si="833"/>
        <v/>
      </c>
      <c r="BF847" s="1080" t="str">
        <f t="shared" si="872"/>
        <v>Perception Skills</v>
      </c>
    </row>
    <row r="848" spans="1:58" ht="11.1" customHeight="1">
      <c r="A848" s="1087" t="s">
        <v>577</v>
      </c>
      <c r="B848" s="1091"/>
      <c r="C848" s="1091"/>
      <c r="D848" s="1091"/>
      <c r="F848" s="1027"/>
      <c r="G848" s="1027"/>
      <c r="H848" s="1027"/>
      <c r="I848" s="1085"/>
      <c r="J848" s="1085"/>
      <c r="K848" s="1085"/>
      <c r="L848" s="1085"/>
      <c r="M848" s="1085"/>
      <c r="N848" s="1027"/>
      <c r="O848" s="1027"/>
      <c r="P848" s="1027"/>
      <c r="Q848" s="1027"/>
      <c r="R848" s="1027"/>
      <c r="S848" s="1113"/>
      <c r="T848" s="1113"/>
      <c r="U848" s="1085"/>
      <c r="V848" s="1027"/>
      <c r="W848" s="1028"/>
      <c r="X848" s="1114"/>
      <c r="AE848" s="1094"/>
      <c r="AF848" s="1121"/>
      <c r="AG848" s="1092">
        <f>SUM(AG849:AG856)</f>
        <v>0</v>
      </c>
      <c r="AH848" s="1092"/>
      <c r="AI848" s="1092">
        <f>SUM(AI849:AI856)</f>
        <v>0</v>
      </c>
      <c r="AM848" s="1092"/>
      <c r="AR848" s="1080" t="str">
        <f ca="1">IF(AND(NOT(ISBLANK(AJ848)),ISNA(MATCH(ROW(),'System Lookups'!$C$526:$C$539,0))),"Y","N")</f>
        <v>N</v>
      </c>
      <c r="AU848" s="1080" t="e">
        <f t="shared" si="834"/>
        <v>#N/A</v>
      </c>
      <c r="AV848" s="1080" t="str">
        <f t="shared" si="852"/>
        <v/>
      </c>
      <c r="AW848" s="1080">
        <f t="shared" si="835"/>
        <v>0</v>
      </c>
      <c r="AX848" s="1080">
        <f t="shared" si="836"/>
        <v>0</v>
      </c>
      <c r="AY848" s="1080">
        <f t="shared" si="837"/>
        <v>0</v>
      </c>
      <c r="AZ848" s="1080">
        <f t="shared" si="838"/>
        <v>0</v>
      </c>
      <c r="BA848" s="1080">
        <f t="shared" si="839"/>
        <v>0</v>
      </c>
      <c r="BB848" s="1080">
        <f>IF(AND(RACE=1,'Main Creation Page'!$E$6="Well",OR(ISNUMBER(FIND(Experience!$G$11,BE848)),ISNUMBER(FIND(Experience!$G$11,BF848)),ISNUMBER(FIND(Experience!$I$11,BE848)),ISNUMBER(FIND(Experience!$I$11,BF848)))),1,0)</f>
        <v>0</v>
      </c>
      <c r="BC848" s="1080" t="str">
        <f t="shared" si="871"/>
        <v>Seamanship Skills</v>
      </c>
      <c r="BE848" s="1080" t="str">
        <f t="shared" si="833"/>
        <v/>
      </c>
      <c r="BF848" s="1080" t="str">
        <f t="shared" si="872"/>
        <v>Seamanship Skills</v>
      </c>
    </row>
    <row r="849" spans="1:58" ht="11.1" customHeight="1" outlineLevel="1">
      <c r="A849" s="1117" t="s">
        <v>3160</v>
      </c>
      <c r="B849" s="1094" t="s">
        <v>1942</v>
      </c>
      <c r="C849" s="1094"/>
      <c r="D849" s="1094"/>
      <c r="E849" s="1095" t="s">
        <v>5224</v>
      </c>
      <c r="F849" s="1095" t="s">
        <v>5224</v>
      </c>
      <c r="G849" s="1096">
        <v>0</v>
      </c>
      <c r="H849" s="1096" t="s">
        <v>5224</v>
      </c>
      <c r="I849" s="1096" t="s">
        <v>5224</v>
      </c>
      <c r="J849" s="1096" t="s">
        <v>5224</v>
      </c>
      <c r="K849" s="1096" t="s">
        <v>5224</v>
      </c>
      <c r="L849" s="1096" t="s">
        <v>5224</v>
      </c>
      <c r="M849" s="1096" t="s">
        <v>5224</v>
      </c>
      <c r="N849" s="1096" t="s">
        <v>4631</v>
      </c>
      <c r="O849" s="1028"/>
      <c r="P849" s="1028" t="s">
        <v>3615</v>
      </c>
      <c r="Q849" s="1097">
        <f t="shared" ref="Q849:Q851" ca="1" si="875">INDIRECT(P849)</f>
        <v>20</v>
      </c>
      <c r="R849" s="1028"/>
      <c r="S849" s="1028" t="s">
        <v>3614</v>
      </c>
      <c r="T849" s="1097">
        <f t="shared" ref="T849:T851" ca="1" si="876">INDIRECT(S849)</f>
        <v>15</v>
      </c>
      <c r="U849" s="1027">
        <v>3</v>
      </c>
      <c r="V849" s="1027">
        <f t="shared" ref="V849:V855" si="877">IF(AP849+U849&gt;10,10,IF(AP849+U849&lt;1,1,AP849+U849))</f>
        <v>4</v>
      </c>
      <c r="W849" s="1098" t="e">
        <f>IF(OR(I849&lt;&gt;"N",E849="C"),IF(AND(N849&lt;&gt;"T",ISNUMBER(FIND("V",I849))),1,0),NA())+IF(H849="Y",IF(AND(N849="P",ISNUMBER(FIND("Z",I849))),2,1),0)+IF(J849="Y",1,0)+IF(K849="Y",3,0)+IF(BE849="Lore",L849*2+Experience!$D$25,0)+IF(M849="Y",1,0)</f>
        <v>#N/A</v>
      </c>
      <c r="X849" s="1099"/>
      <c r="Y849" s="1100">
        <f ca="1">IF(P849="NS",IFERROR(INDIRECT(S849),NA()),VLOOKUP(INDIRECT(P849)+INDIRECT(S849),'System Lookups'!$A$3:$D$146,2))</f>
        <v>0.12</v>
      </c>
      <c r="Z849" s="1100">
        <f t="shared" ref="Z849:Z855" si="878">IF(ISNA(W849),0,W849*0.03)+IF(X849&gt;0,X849*0.03,0)+IF(AND(ISNA(W849),X849&lt;=0),0,IF(G849&gt;0,G849*0.07,0))</f>
        <v>0</v>
      </c>
      <c r="AA849" s="1101">
        <f ca="1">IF(ISNA(Y849),0,Y849)+Z849</f>
        <v>0.12</v>
      </c>
      <c r="AB849" s="1102">
        <f>VLOOKUP(V849,'System Lookups'!$J$55:$P$64,3)</f>
        <v>0.2</v>
      </c>
      <c r="AC849" s="1103">
        <f>VLOOKUP(V849,'System Lookups'!$J$55:$P$64,4)</f>
        <v>0.3</v>
      </c>
      <c r="AD849" s="1104">
        <f t="shared" ref="AD849:AD855" si="879">IF(AND(ISBLANK(X849),ISNA(W849)),IF(B849="~",0,AB849+AA849+IF(BB849&gt;0,0.05,0)),AA849+AC849+IF(BB849&gt;0,0.05,0))</f>
        <v>0</v>
      </c>
      <c r="AE849" s="1094">
        <f>(IF(AD849&gt;VLOOKUP(V849,'System Lookups'!$J$55:$P$63,6),(((AD849-VLOOKUP(V849,'System Lookups'!$J$55:$P$63,6))*100)/20),0))+AF849</f>
        <v>0</v>
      </c>
      <c r="AF849" s="1121"/>
      <c r="AG849" s="1092">
        <f t="shared" ref="AG849:AG855" si="880">IF(ISBLANK(X849),0,AQ849*X849+IF(ISNA(W849),1,0))</f>
        <v>0</v>
      </c>
      <c r="AH849" s="1092" t="str">
        <f>IF(X849&lt;=Experience!$R$15+1,"","*")</f>
        <v/>
      </c>
      <c r="AI849" s="1092"/>
      <c r="AJ849" s="1080">
        <f t="shared" ref="AJ849:AJ851" si="881">IF(ISNUMBER(FIND("R",F849)),-1,0)</f>
        <v>0</v>
      </c>
      <c r="AK849" s="1080">
        <f t="shared" ref="AK849:AK855" si="882">IF(F849="s",-2,0)</f>
        <v>0</v>
      </c>
      <c r="AL849" s="1080">
        <f t="shared" ref="AL849:AL855" si="883">IF(AND(H849="Y",OR(N849="P",N849="S")),-1,0)</f>
        <v>0</v>
      </c>
      <c r="AM849" s="1092">
        <f t="shared" ref="AM849:AM855" si="884">IF(J849="y",1,0)</f>
        <v>0</v>
      </c>
      <c r="AN849" s="1080">
        <f t="shared" ref="AN849:AN855" si="885">IF(N849="P",-1,IF(N849="T",1,0))</f>
        <v>1</v>
      </c>
      <c r="AO849" s="1080">
        <f t="shared" ref="AO849:AO855" si="886">IF(ISNUMBER(FIND("Z",I849)),1,0)</f>
        <v>0</v>
      </c>
      <c r="AP849" s="1080">
        <f t="shared" ref="AP849:AP855" si="887">SUM(AJ849:AN849)-AM849</f>
        <v>1</v>
      </c>
      <c r="AQ849" s="1027">
        <f>VLOOKUP(V849,'System Lookups'!$J$55:$P$64,7)</f>
        <v>600</v>
      </c>
      <c r="AR849" s="1080" t="str">
        <f ca="1">IF(AND(NOT(ISBLANK(AJ849)),ISNA(MATCH(ROW(),'System Lookups'!$C$526:$C$539,0))),"Y","N")</f>
        <v>Y</v>
      </c>
      <c r="AS849" s="1080">
        <f t="shared" ref="AS849:AS855" si="888">AG849-AI849</f>
        <v>0</v>
      </c>
      <c r="AU849" s="1080" t="e">
        <f t="shared" si="834"/>
        <v>#N/A</v>
      </c>
      <c r="AV849" s="1080" t="str">
        <f t="shared" si="852"/>
        <v>T</v>
      </c>
      <c r="AW849" s="1080">
        <f t="shared" si="835"/>
        <v>0</v>
      </c>
      <c r="AX849" s="1080">
        <f t="shared" si="836"/>
        <v>0</v>
      </c>
      <c r="AY849" s="1080">
        <f t="shared" si="837"/>
        <v>0</v>
      </c>
      <c r="AZ849" s="1080">
        <f t="shared" si="838"/>
        <v>0</v>
      </c>
      <c r="BA849" s="1080">
        <f t="shared" si="839"/>
        <v>0</v>
      </c>
      <c r="BB849" s="1080">
        <f>IF(AND(RACE=1,'Main Creation Page'!$E$6="Well",OR(ISNUMBER(FIND(Experience!$G$11,BE849)),ISNUMBER(FIND(Experience!$G$11,BF849)),ISNUMBER(FIND(Experience!$I$11,BE849)),ISNUMBER(FIND(Experience!$I$11,BF849)))),1,0)</f>
        <v>0</v>
      </c>
      <c r="BC849" s="1080" t="str">
        <f t="shared" si="871"/>
        <v>Fisherman</v>
      </c>
      <c r="BE849" s="1080" t="str">
        <f t="shared" si="833"/>
        <v/>
      </c>
      <c r="BF849" s="1080" t="str">
        <f t="shared" si="872"/>
        <v>Seamanship Skills</v>
      </c>
    </row>
    <row r="850" spans="1:58" ht="11.1" customHeight="1" outlineLevel="1">
      <c r="A850" s="1117" t="s">
        <v>3161</v>
      </c>
      <c r="B850" s="1094" t="s">
        <v>1942</v>
      </c>
      <c r="C850" s="1094"/>
      <c r="D850" s="1094"/>
      <c r="E850" s="1095" t="s">
        <v>5224</v>
      </c>
      <c r="F850" s="1095" t="s">
        <v>5224</v>
      </c>
      <c r="G850" s="1096">
        <v>0</v>
      </c>
      <c r="H850" s="1096" t="s">
        <v>5224</v>
      </c>
      <c r="I850" s="1096" t="s">
        <v>5224</v>
      </c>
      <c r="J850" s="1096" t="s">
        <v>5224</v>
      </c>
      <c r="K850" s="1096" t="s">
        <v>5224</v>
      </c>
      <c r="L850" s="1096" t="s">
        <v>5224</v>
      </c>
      <c r="M850" s="1096" t="s">
        <v>5224</v>
      </c>
      <c r="N850" s="1096" t="s">
        <v>4631</v>
      </c>
      <c r="O850" s="1028"/>
      <c r="P850" s="1028" t="s">
        <v>3615</v>
      </c>
      <c r="Q850" s="1097">
        <f t="shared" ca="1" si="875"/>
        <v>20</v>
      </c>
      <c r="R850" s="1028"/>
      <c r="S850" s="1028" t="s">
        <v>3614</v>
      </c>
      <c r="T850" s="1097">
        <f t="shared" ca="1" si="876"/>
        <v>15</v>
      </c>
      <c r="U850" s="1027">
        <v>4</v>
      </c>
      <c r="V850" s="1027">
        <f t="shared" si="877"/>
        <v>5</v>
      </c>
      <c r="W850" s="1098" t="e">
        <f>IF(OR(I850&lt;&gt;"N",E850="C"),IF(AND(N850&lt;&gt;"T",ISNUMBER(FIND("V",I850))),1,0),NA())+IF(H850="Y",IF(AND(N850="P",ISNUMBER(FIND("Z",I850))),2,1),0)+IF(J850="Y",1,0)+IF(K850="Y",3,0)+IF(BE850="Lore",L850*2+Experience!$D$25,0)+IF(M850="Y",1,0)</f>
        <v>#N/A</v>
      </c>
      <c r="X850" s="1099"/>
      <c r="Y850" s="1100">
        <f ca="1">IF(P850="NS",IFERROR(INDIRECT(S850),NA()),VLOOKUP(INDIRECT(P850)+INDIRECT(S850),'System Lookups'!$A$3:$D$146,2))</f>
        <v>0.12</v>
      </c>
      <c r="Z850" s="1100">
        <f t="shared" si="878"/>
        <v>0</v>
      </c>
      <c r="AA850" s="1101">
        <f ca="1">IF(ISNA(Y850),0,Y850)+Z850</f>
        <v>0.12</v>
      </c>
      <c r="AB850" s="1102">
        <f>VLOOKUP(V850,'System Lookups'!$J$55:$P$64,3)</f>
        <v>0.1</v>
      </c>
      <c r="AC850" s="1103">
        <f>VLOOKUP(V850,'System Lookups'!$J$55:$P$64,4)</f>
        <v>0.2</v>
      </c>
      <c r="AD850" s="1104">
        <f t="shared" si="879"/>
        <v>0</v>
      </c>
      <c r="AE850" s="1094">
        <f>(IF(AD850&gt;VLOOKUP(V850,'System Lookups'!$J$55:$P$63,6),(((AD850-VLOOKUP(V850,'System Lookups'!$J$55:$P$63,6))*100)/20),0))+AF850</f>
        <v>0</v>
      </c>
      <c r="AF850" s="1121"/>
      <c r="AG850" s="1092">
        <f t="shared" si="880"/>
        <v>0</v>
      </c>
      <c r="AH850" s="1092" t="str">
        <f>IF(X850&lt;=Experience!$R$15+1,"","*")</f>
        <v/>
      </c>
      <c r="AI850" s="1092"/>
      <c r="AJ850" s="1080">
        <f t="shared" si="881"/>
        <v>0</v>
      </c>
      <c r="AK850" s="1080">
        <f t="shared" si="882"/>
        <v>0</v>
      </c>
      <c r="AL850" s="1080">
        <f t="shared" si="883"/>
        <v>0</v>
      </c>
      <c r="AM850" s="1092">
        <f t="shared" si="884"/>
        <v>0</v>
      </c>
      <c r="AN850" s="1080">
        <f t="shared" si="885"/>
        <v>1</v>
      </c>
      <c r="AO850" s="1080">
        <f t="shared" si="886"/>
        <v>0</v>
      </c>
      <c r="AP850" s="1080">
        <f t="shared" si="887"/>
        <v>1</v>
      </c>
      <c r="AQ850" s="1027">
        <f>VLOOKUP(V850,'System Lookups'!$J$55:$P$64,7)</f>
        <v>700</v>
      </c>
      <c r="AR850" s="1080" t="str">
        <f ca="1">IF(AND(NOT(ISBLANK(AJ850)),ISNA(MATCH(ROW(),'System Lookups'!$C$526:$C$539,0))),"Y","N")</f>
        <v>Y</v>
      </c>
      <c r="AS850" s="1080">
        <f t="shared" si="888"/>
        <v>0</v>
      </c>
      <c r="AU850" s="1080" t="e">
        <f t="shared" si="834"/>
        <v>#N/A</v>
      </c>
      <c r="AV850" s="1080" t="str">
        <f t="shared" si="852"/>
        <v>T</v>
      </c>
      <c r="AW850" s="1080">
        <f t="shared" si="835"/>
        <v>0</v>
      </c>
      <c r="AX850" s="1080">
        <f t="shared" si="836"/>
        <v>0</v>
      </c>
      <c r="AY850" s="1080">
        <f t="shared" si="837"/>
        <v>0</v>
      </c>
      <c r="AZ850" s="1080">
        <f t="shared" si="838"/>
        <v>0</v>
      </c>
      <c r="BA850" s="1080">
        <f t="shared" si="839"/>
        <v>0</v>
      </c>
      <c r="BB850" s="1080">
        <f>IF(AND(RACE=1,'Main Creation Page'!$E$6="Well",OR(ISNUMBER(FIND(Experience!$G$11,BE850)),ISNUMBER(FIND(Experience!$G$11,BF850)),ISNUMBER(FIND(Experience!$I$11,BE850)),ISNUMBER(FIND(Experience!$I$11,BF850)))),1,0)</f>
        <v>0</v>
      </c>
      <c r="BC850" s="1080" t="str">
        <f t="shared" si="871"/>
        <v>Mariner</v>
      </c>
      <c r="BE850" s="1080" t="str">
        <f t="shared" si="833"/>
        <v/>
      </c>
      <c r="BF850" s="1080" t="str">
        <f t="shared" si="872"/>
        <v>Seamanship Skills</v>
      </c>
    </row>
    <row r="851" spans="1:58" ht="11.1" customHeight="1" outlineLevel="1">
      <c r="A851" s="1117" t="s">
        <v>410</v>
      </c>
      <c r="B851" s="1094" t="s">
        <v>1942</v>
      </c>
      <c r="C851" s="1094"/>
      <c r="D851" s="1094"/>
      <c r="E851" s="1095" t="s">
        <v>5224</v>
      </c>
      <c r="F851" s="1095" t="s">
        <v>5224</v>
      </c>
      <c r="G851" s="1096">
        <v>0</v>
      </c>
      <c r="H851" s="1096" t="s">
        <v>5224</v>
      </c>
      <c r="I851" s="1096" t="s">
        <v>5224</v>
      </c>
      <c r="J851" s="1096" t="s">
        <v>5224</v>
      </c>
      <c r="K851" s="1096" t="s">
        <v>5224</v>
      </c>
      <c r="L851" s="1096" t="s">
        <v>5224</v>
      </c>
      <c r="M851" s="1096" t="s">
        <v>5224</v>
      </c>
      <c r="N851" s="1096" t="s">
        <v>4631</v>
      </c>
      <c r="O851" s="1028"/>
      <c r="P851" s="1028" t="s">
        <v>780</v>
      </c>
      <c r="Q851" s="1097">
        <f t="shared" ca="1" si="875"/>
        <v>17</v>
      </c>
      <c r="R851" s="1034"/>
      <c r="S851" s="1028" t="s">
        <v>3616</v>
      </c>
      <c r="T851" s="1097">
        <f t="shared" ca="1" si="876"/>
        <v>17</v>
      </c>
      <c r="U851" s="1027">
        <v>4</v>
      </c>
      <c r="V851" s="1027">
        <f t="shared" si="877"/>
        <v>5</v>
      </c>
      <c r="W851" s="1098" t="e">
        <f>IF(OR(I851&lt;&gt;"N",E851="C"),IF(AND(N851&lt;&gt;"T",ISNUMBER(FIND("V",I851))),1,0),NA())+IF(H851="Y",IF(AND(N851="P",ISNUMBER(FIND("Z",I851))),2,1),0)+IF(J851="Y",1,0)+IF(K851="Y",3,0)+IF(BE851="Lore",L851*2+Experience!$D$25,0)+IF(M851="Y",1,0)</f>
        <v>#N/A</v>
      </c>
      <c r="X851" s="1099"/>
      <c r="Y851" s="1100">
        <f ca="1">IF(P851="NS",IFERROR(INDIRECT(S851),NA()),VLOOKUP(INDIRECT(P851)+INDIRECT(S851),'System Lookups'!$A$3:$D$146,2))</f>
        <v>0.1</v>
      </c>
      <c r="Z851" s="1100">
        <f t="shared" si="878"/>
        <v>0</v>
      </c>
      <c r="AA851" s="1101">
        <f ca="1">IF(ISNA(Y851),0,Y851)+Z851+($AA$558/5)+(AA$559/5)</f>
        <v>0.14000000000000001</v>
      </c>
      <c r="AB851" s="1102">
        <f>VLOOKUP(V851,'System Lookups'!$J$55:$P$64,3)</f>
        <v>0.1</v>
      </c>
      <c r="AC851" s="1103">
        <f>VLOOKUP(V851,'System Lookups'!$J$55:$P$64,4)</f>
        <v>0.2</v>
      </c>
      <c r="AD851" s="1104">
        <f t="shared" si="879"/>
        <v>0</v>
      </c>
      <c r="AE851" s="1094">
        <f ca="1">(IF(AD851&gt;VLOOKUP(V851,'System Lookups'!$J$55:$P$63,6),(((AD851-VLOOKUP(V851,'System Lookups'!$J$55:$P$63,6))*100)/20),0))+AF851</f>
        <v>0</v>
      </c>
      <c r="AF851" s="1120">
        <f ca="1">IF($AA$558&gt;0.67,1,0)+IF(AA$559&gt;0.67,1,0)</f>
        <v>0</v>
      </c>
      <c r="AG851" s="1092">
        <f t="shared" si="880"/>
        <v>0</v>
      </c>
      <c r="AH851" s="1092" t="str">
        <f>IF(X851&lt;=Experience!$R$15+1,"","*")</f>
        <v/>
      </c>
      <c r="AI851" s="1092"/>
      <c r="AJ851" s="1080">
        <f t="shared" si="881"/>
        <v>0</v>
      </c>
      <c r="AK851" s="1080">
        <f t="shared" si="882"/>
        <v>0</v>
      </c>
      <c r="AL851" s="1080">
        <f t="shared" si="883"/>
        <v>0</v>
      </c>
      <c r="AM851" s="1092">
        <f t="shared" si="884"/>
        <v>0</v>
      </c>
      <c r="AN851" s="1080">
        <f t="shared" si="885"/>
        <v>1</v>
      </c>
      <c r="AO851" s="1080">
        <f t="shared" si="886"/>
        <v>0</v>
      </c>
      <c r="AP851" s="1080">
        <f t="shared" si="887"/>
        <v>1</v>
      </c>
      <c r="AQ851" s="1027">
        <f>VLOOKUP(V851,'System Lookups'!$J$55:$P$64,7)</f>
        <v>700</v>
      </c>
      <c r="AR851" s="1080" t="str">
        <f ca="1">IF(AND(NOT(ISBLANK(AJ851)),ISNA(MATCH(ROW(),'System Lookups'!$C$526:$C$539,0))),"Y","N")</f>
        <v>Y</v>
      </c>
      <c r="AS851" s="1080">
        <f t="shared" si="888"/>
        <v>0</v>
      </c>
      <c r="AU851" s="1080" t="e">
        <f t="shared" si="834"/>
        <v>#N/A</v>
      </c>
      <c r="AV851" s="1080" t="str">
        <f t="shared" si="852"/>
        <v>T</v>
      </c>
      <c r="AW851" s="1080">
        <f t="shared" si="835"/>
        <v>0</v>
      </c>
      <c r="AX851" s="1080">
        <f t="shared" si="836"/>
        <v>0</v>
      </c>
      <c r="AY851" s="1080">
        <f t="shared" si="837"/>
        <v>0</v>
      </c>
      <c r="AZ851" s="1080">
        <f t="shared" si="838"/>
        <v>0</v>
      </c>
      <c r="BA851" s="1080">
        <f t="shared" si="839"/>
        <v>0</v>
      </c>
      <c r="BB851" s="1080">
        <f>IF(AND(RACE=1,'Main Creation Page'!$E$6="Well",OR(ISNUMBER(FIND(Experience!$G$11,BE851)),ISNUMBER(FIND(Experience!$G$11,BF851)),ISNUMBER(FIND(Experience!$I$11,BE851)),ISNUMBER(FIND(Experience!$I$11,BF851)))),1,0)</f>
        <v>0</v>
      </c>
      <c r="BC851" s="1080" t="str">
        <f t="shared" si="871"/>
        <v>Piloting &amp; Navigation</v>
      </c>
      <c r="BE851" s="1080" t="str">
        <f t="shared" si="833"/>
        <v/>
      </c>
      <c r="BF851" s="1080" t="str">
        <f t="shared" si="872"/>
        <v>Seamanship Skills</v>
      </c>
    </row>
    <row r="852" spans="1:58" ht="11.1" customHeight="1" outlineLevel="1">
      <c r="A852" s="1117" t="s">
        <v>3162</v>
      </c>
      <c r="B852" s="1094" t="s">
        <v>1942</v>
      </c>
      <c r="C852" s="1094"/>
      <c r="D852" s="1094"/>
      <c r="E852" s="1095" t="s">
        <v>5224</v>
      </c>
      <c r="F852" s="1095" t="s">
        <v>5224</v>
      </c>
      <c r="G852" s="1096">
        <v>0</v>
      </c>
      <c r="H852" s="1096" t="s">
        <v>5224</v>
      </c>
      <c r="I852" s="1096" t="s">
        <v>5224</v>
      </c>
      <c r="J852" s="1096" t="s">
        <v>5224</v>
      </c>
      <c r="K852" s="1096" t="s">
        <v>5224</v>
      </c>
      <c r="L852" s="1096" t="s">
        <v>5224</v>
      </c>
      <c r="M852" s="1096" t="s">
        <v>5224</v>
      </c>
      <c r="N852" s="1096" t="s">
        <v>4631</v>
      </c>
      <c r="O852" s="1028"/>
      <c r="P852" s="1028" t="s">
        <v>3615</v>
      </c>
      <c r="Q852" s="1097">
        <f t="shared" ref="Q852:Q855" ca="1" si="889">INDIRECT(P852)</f>
        <v>20</v>
      </c>
      <c r="R852" s="1028"/>
      <c r="S852" s="1028" t="s">
        <v>3611</v>
      </c>
      <c r="T852" s="1097">
        <f t="shared" ref="T852:T855" ca="1" si="890">INDIRECT(S852)</f>
        <v>15</v>
      </c>
      <c r="U852" s="1027">
        <v>2</v>
      </c>
      <c r="V852" s="1027">
        <f t="shared" si="877"/>
        <v>3</v>
      </c>
      <c r="W852" s="1098" t="e">
        <f>IF(OR(I852&lt;&gt;"N",E852="C"),IF(AND(N852&lt;&gt;"T",ISNUMBER(FIND("V",I852))),1,0),NA())+IF(H852="Y",IF(AND(N852="P",ISNUMBER(FIND("Z",I852))),2,1),0)+IF(J852="Y",1,0)+IF(K852="Y",3,0)+IF(BE852="Lore",L852*2+Experience!$D$25,0)+IF(M852="Y",1,0)</f>
        <v>#N/A</v>
      </c>
      <c r="X852" s="1099"/>
      <c r="Y852" s="1100">
        <f ca="1">IF(P852="NS",IFERROR(INDIRECT(S852),NA()),VLOOKUP(INDIRECT(P852)+INDIRECT(S852),'System Lookups'!$A$3:$D$146,2))</f>
        <v>0.12</v>
      </c>
      <c r="Z852" s="1100">
        <f t="shared" si="878"/>
        <v>0</v>
      </c>
      <c r="AA852" s="1101">
        <f ca="1">IF(ISNA(Y852),0,Y852)+Z852</f>
        <v>0.12</v>
      </c>
      <c r="AB852" s="1102">
        <f>VLOOKUP(V852,'System Lookups'!$J$55:$P$64,3)</f>
        <v>0.3</v>
      </c>
      <c r="AC852" s="1103">
        <f>VLOOKUP(V852,'System Lookups'!$J$55:$P$64,4)</f>
        <v>0.4</v>
      </c>
      <c r="AD852" s="1104">
        <f t="shared" si="879"/>
        <v>0</v>
      </c>
      <c r="AE852" s="1094">
        <f>(IF(AD852&gt;VLOOKUP(V852,'System Lookups'!$J$55:$P$63,6),(((AD852-VLOOKUP(V852,'System Lookups'!$J$55:$P$63,6))*100)/20),0))+AF852</f>
        <v>0</v>
      </c>
      <c r="AF852" s="1094"/>
      <c r="AG852" s="1092">
        <f t="shared" si="880"/>
        <v>0</v>
      </c>
      <c r="AH852" s="1092" t="str">
        <f>IF(X852&lt;=Experience!$R$15+1,"","*")</f>
        <v/>
      </c>
      <c r="AI852" s="1092"/>
      <c r="AJ852" s="1080">
        <f t="shared" ref="AJ852:AJ855" si="891">IF(ISNUMBER(FIND("R",F852)),-1,0)</f>
        <v>0</v>
      </c>
      <c r="AK852" s="1080">
        <f t="shared" si="882"/>
        <v>0</v>
      </c>
      <c r="AL852" s="1080">
        <f t="shared" si="883"/>
        <v>0</v>
      </c>
      <c r="AM852" s="1092">
        <f t="shared" si="884"/>
        <v>0</v>
      </c>
      <c r="AN852" s="1080">
        <f t="shared" si="885"/>
        <v>1</v>
      </c>
      <c r="AO852" s="1080">
        <f t="shared" si="886"/>
        <v>0</v>
      </c>
      <c r="AP852" s="1080">
        <f t="shared" si="887"/>
        <v>1</v>
      </c>
      <c r="AQ852" s="1027">
        <f>VLOOKUP(V852,'System Lookups'!$J$55:$P$64,7)</f>
        <v>500</v>
      </c>
      <c r="AR852" s="1080" t="str">
        <f ca="1">IF(AND(NOT(ISBLANK(AJ852)),ISNA(MATCH(ROW(),'System Lookups'!$C$526:$C$539,0))),"Y","N")</f>
        <v>Y</v>
      </c>
      <c r="AS852" s="1080">
        <f t="shared" si="888"/>
        <v>0</v>
      </c>
      <c r="AU852" s="1080" t="e">
        <f t="shared" si="834"/>
        <v>#N/A</v>
      </c>
      <c r="AV852" s="1080" t="str">
        <f t="shared" si="852"/>
        <v>T</v>
      </c>
      <c r="AW852" s="1080">
        <f t="shared" si="835"/>
        <v>0</v>
      </c>
      <c r="AX852" s="1080">
        <f t="shared" si="836"/>
        <v>0</v>
      </c>
      <c r="AY852" s="1080">
        <f t="shared" si="837"/>
        <v>0</v>
      </c>
      <c r="AZ852" s="1080">
        <f t="shared" si="838"/>
        <v>0</v>
      </c>
      <c r="BA852" s="1080">
        <f t="shared" si="839"/>
        <v>0</v>
      </c>
      <c r="BB852" s="1080">
        <f>IF(AND(RACE=1,'Main Creation Page'!$E$6="Well",OR(ISNUMBER(FIND(Experience!$G$11,BE852)),ISNUMBER(FIND(Experience!$G$11,BF852)),ISNUMBER(FIND(Experience!$I$11,BE852)),ISNUMBER(FIND(Experience!$I$11,BF852)))),1,0)</f>
        <v>0</v>
      </c>
      <c r="BC852" s="1080" t="str">
        <f t="shared" si="871"/>
        <v>Sail &amp; Cordage Making</v>
      </c>
      <c r="BE852" s="1080" t="str">
        <f t="shared" si="833"/>
        <v/>
      </c>
      <c r="BF852" s="1080" t="str">
        <f t="shared" si="872"/>
        <v>Seamanship Skills</v>
      </c>
    </row>
    <row r="853" spans="1:58" ht="11.1" customHeight="1" outlineLevel="1">
      <c r="A853" s="1117" t="s">
        <v>3163</v>
      </c>
      <c r="B853" s="1094"/>
      <c r="C853" s="1094"/>
      <c r="D853" s="1094"/>
      <c r="E853" s="1095" t="s">
        <v>5224</v>
      </c>
      <c r="F853" s="1095" t="s">
        <v>5224</v>
      </c>
      <c r="G853" s="1096">
        <v>0</v>
      </c>
      <c r="H853" s="1096" t="s">
        <v>5224</v>
      </c>
      <c r="I853" s="1096" t="s">
        <v>5224</v>
      </c>
      <c r="J853" s="1096" t="s">
        <v>5224</v>
      </c>
      <c r="K853" s="1096" t="s">
        <v>5224</v>
      </c>
      <c r="L853" s="1096" t="s">
        <v>5224</v>
      </c>
      <c r="M853" s="1096" t="s">
        <v>5224</v>
      </c>
      <c r="N853" s="1096" t="s">
        <v>4631</v>
      </c>
      <c r="O853" s="1028"/>
      <c r="P853" s="1028" t="s">
        <v>3615</v>
      </c>
      <c r="Q853" s="1097">
        <f t="shared" ca="1" si="889"/>
        <v>20</v>
      </c>
      <c r="R853" s="1028"/>
      <c r="S853" s="1028" t="s">
        <v>3611</v>
      </c>
      <c r="T853" s="1097">
        <f t="shared" ca="1" si="890"/>
        <v>15</v>
      </c>
      <c r="U853" s="1027">
        <v>3</v>
      </c>
      <c r="V853" s="1027">
        <f t="shared" si="877"/>
        <v>4</v>
      </c>
      <c r="W853" s="1098" t="e">
        <f>IF(OR(I853&lt;&gt;"N",E853="C"),IF(AND(N853&lt;&gt;"T",ISNUMBER(FIND("V",I853))),1,0),NA())+IF(H853="Y",IF(AND(N853="P",ISNUMBER(FIND("Z",I853))),2,1),0)+IF(J853="Y",1,0)+IF(K853="Y",3,0)+IF(BE853="Lore",L853*2+Experience!$D$25,0)+IF(M853="Y",1,0)</f>
        <v>#N/A</v>
      </c>
      <c r="X853" s="1099"/>
      <c r="Y853" s="1100">
        <f ca="1">IF(P853="NS",IFERROR(INDIRECT(S853),NA()),VLOOKUP(INDIRECT(P853)+INDIRECT(S853),'System Lookups'!$A$3:$D$146,2))</f>
        <v>0.12</v>
      </c>
      <c r="Z853" s="1100">
        <f t="shared" si="878"/>
        <v>0</v>
      </c>
      <c r="AA853" s="1101">
        <f ca="1">IF(ISNA(Y853),0,Y853)+Z853</f>
        <v>0.12</v>
      </c>
      <c r="AB853" s="1102">
        <f>VLOOKUP(V853,'System Lookups'!$J$55:$P$64,3)</f>
        <v>0.2</v>
      </c>
      <c r="AC853" s="1103">
        <f>VLOOKUP(V853,'System Lookups'!$J$55:$P$64,4)</f>
        <v>0.3</v>
      </c>
      <c r="AD853" s="1104">
        <f t="shared" ca="1" si="879"/>
        <v>0.32</v>
      </c>
      <c r="AE853" s="1094">
        <f ca="1">(IF(AD853&gt;VLOOKUP(V853,'System Lookups'!$J$55:$P$63,6),(((AD853-VLOOKUP(V853,'System Lookups'!$J$55:$P$63,6))*100)/20),0))+AF853</f>
        <v>0</v>
      </c>
      <c r="AF853" s="1094"/>
      <c r="AG853" s="1092">
        <f t="shared" si="880"/>
        <v>0</v>
      </c>
      <c r="AH853" s="1092" t="str">
        <f>IF(X853&lt;=Experience!$R$15+1,"","*")</f>
        <v/>
      </c>
      <c r="AI853" s="1092"/>
      <c r="AJ853" s="1080">
        <f t="shared" si="891"/>
        <v>0</v>
      </c>
      <c r="AK853" s="1080">
        <f t="shared" si="882"/>
        <v>0</v>
      </c>
      <c r="AL853" s="1080">
        <f t="shared" si="883"/>
        <v>0</v>
      </c>
      <c r="AM853" s="1092">
        <f t="shared" si="884"/>
        <v>0</v>
      </c>
      <c r="AN853" s="1080">
        <f t="shared" si="885"/>
        <v>1</v>
      </c>
      <c r="AO853" s="1080">
        <f t="shared" si="886"/>
        <v>0</v>
      </c>
      <c r="AP853" s="1080">
        <f t="shared" si="887"/>
        <v>1</v>
      </c>
      <c r="AQ853" s="1027">
        <f>VLOOKUP(V853,'System Lookups'!$J$55:$P$64,7)</f>
        <v>600</v>
      </c>
      <c r="AR853" s="1080" t="str">
        <f ca="1">IF(AND(NOT(ISBLANK(AJ853)),ISNA(MATCH(ROW(),'System Lookups'!$C$526:$C$539,0))),"Y","N")</f>
        <v>Y</v>
      </c>
      <c r="AS853" s="1080">
        <f t="shared" si="888"/>
        <v>0</v>
      </c>
      <c r="AU853" s="1080" t="e">
        <f t="shared" si="834"/>
        <v>#N/A</v>
      </c>
      <c r="AV853" s="1080" t="str">
        <f t="shared" si="852"/>
        <v>T</v>
      </c>
      <c r="AW853" s="1080">
        <f t="shared" si="835"/>
        <v>0</v>
      </c>
      <c r="AX853" s="1080">
        <f t="shared" si="836"/>
        <v>0</v>
      </c>
      <c r="AY853" s="1080">
        <f t="shared" si="837"/>
        <v>0</v>
      </c>
      <c r="AZ853" s="1080">
        <f t="shared" si="838"/>
        <v>0</v>
      </c>
      <c r="BA853" s="1080">
        <f t="shared" si="839"/>
        <v>0</v>
      </c>
      <c r="BB853" s="1080">
        <f>IF(AND(RACE=1,'Main Creation Page'!$E$6="Well",OR(ISNUMBER(FIND(Experience!$G$11,BE853)),ISNUMBER(FIND(Experience!$G$11,BF853)),ISNUMBER(FIND(Experience!$I$11,BE853)),ISNUMBER(FIND(Experience!$I$11,BF853)))),1,0)</f>
        <v>0</v>
      </c>
      <c r="BC853" s="1080" t="str">
        <f t="shared" si="871"/>
        <v>Sailing Small Boats</v>
      </c>
      <c r="BE853" s="1080" t="str">
        <f t="shared" si="833"/>
        <v/>
      </c>
      <c r="BF853" s="1080" t="str">
        <f t="shared" si="872"/>
        <v>Seamanship Skills</v>
      </c>
    </row>
    <row r="854" spans="1:58" ht="11.1" customHeight="1" outlineLevel="1">
      <c r="A854" s="1117" t="s">
        <v>3517</v>
      </c>
      <c r="B854" s="1094" t="s">
        <v>1942</v>
      </c>
      <c r="C854" s="1094"/>
      <c r="D854" s="1094"/>
      <c r="E854" s="1095" t="s">
        <v>5224</v>
      </c>
      <c r="F854" s="1095" t="s">
        <v>5224</v>
      </c>
      <c r="G854" s="1096">
        <v>0</v>
      </c>
      <c r="H854" s="1096" t="s">
        <v>5224</v>
      </c>
      <c r="I854" s="1096" t="s">
        <v>5224</v>
      </c>
      <c r="J854" s="1096" t="s">
        <v>5224</v>
      </c>
      <c r="K854" s="1096" t="s">
        <v>5224</v>
      </c>
      <c r="L854" s="1096" t="s">
        <v>5224</v>
      </c>
      <c r="M854" s="1096" t="s">
        <v>5224</v>
      </c>
      <c r="N854" s="1096" t="s">
        <v>4631</v>
      </c>
      <c r="O854" s="1028"/>
      <c r="P854" s="1028" t="s">
        <v>780</v>
      </c>
      <c r="Q854" s="1097">
        <f t="shared" ca="1" si="889"/>
        <v>17</v>
      </c>
      <c r="R854" s="1034"/>
      <c r="S854" s="1028" t="s">
        <v>3616</v>
      </c>
      <c r="T854" s="1097">
        <f t="shared" ca="1" si="890"/>
        <v>17</v>
      </c>
      <c r="U854" s="1027">
        <v>5</v>
      </c>
      <c r="V854" s="1027">
        <f t="shared" si="877"/>
        <v>6</v>
      </c>
      <c r="W854" s="1098" t="e">
        <f>IF(OR(I854&lt;&gt;"N",E854="C"),IF(AND(N854&lt;&gt;"T",ISNUMBER(FIND("V",I854))),1,0),NA())+IF(H854="Y",IF(AND(N854="P",ISNUMBER(FIND("Z",I854))),2,1),0)+IF(J854="Y",1,0)+IF(K854="Y",3,0)+IF(BE854="Lore",L854*2+Experience!$D$25,0)+IF(M854="Y",1,0)</f>
        <v>#N/A</v>
      </c>
      <c r="X854" s="1099"/>
      <c r="Y854" s="1100">
        <f ca="1">IF(P854="NS",IFERROR(INDIRECT(S854),NA()),VLOOKUP(INDIRECT(P854)+INDIRECT(S854),'System Lookups'!$A$3:$D$146,2))</f>
        <v>0.1</v>
      </c>
      <c r="Z854" s="1100">
        <f t="shared" si="878"/>
        <v>0</v>
      </c>
      <c r="AA854" s="1101">
        <f ca="1">IF(ISNA(Y854),0,Y854)+Z854</f>
        <v>0.1</v>
      </c>
      <c r="AB854" s="1102">
        <f>VLOOKUP(V854,'System Lookups'!$J$55:$P$64,3)</f>
        <v>0.05</v>
      </c>
      <c r="AC854" s="1103">
        <f>VLOOKUP(V854,'System Lookups'!$J$55:$P$64,4)</f>
        <v>0.1</v>
      </c>
      <c r="AD854" s="1104">
        <f t="shared" si="879"/>
        <v>0</v>
      </c>
      <c r="AE854" s="1094">
        <f>(IF(AD854&gt;VLOOKUP(V854,'System Lookups'!$J$55:$P$63,6),(((AD854-VLOOKUP(V854,'System Lookups'!$J$55:$P$63,6))*100)/20),0))+AF854</f>
        <v>0</v>
      </c>
      <c r="AF854" s="1094"/>
      <c r="AG854" s="1092">
        <f t="shared" si="880"/>
        <v>0</v>
      </c>
      <c r="AH854" s="1092" t="str">
        <f>IF(X854&lt;=Experience!$R$15+1,"","*")</f>
        <v/>
      </c>
      <c r="AI854" s="1092"/>
      <c r="AJ854" s="1080">
        <f t="shared" si="891"/>
        <v>0</v>
      </c>
      <c r="AK854" s="1080">
        <f t="shared" si="882"/>
        <v>0</v>
      </c>
      <c r="AL854" s="1080">
        <f t="shared" si="883"/>
        <v>0</v>
      </c>
      <c r="AM854" s="1092">
        <f t="shared" si="884"/>
        <v>0</v>
      </c>
      <c r="AN854" s="1080">
        <f t="shared" si="885"/>
        <v>1</v>
      </c>
      <c r="AO854" s="1080">
        <f t="shared" si="886"/>
        <v>0</v>
      </c>
      <c r="AP854" s="1080">
        <f t="shared" si="887"/>
        <v>1</v>
      </c>
      <c r="AQ854" s="1027">
        <f>VLOOKUP(V854,'System Lookups'!$J$55:$P$64,7)</f>
        <v>800</v>
      </c>
      <c r="AR854" s="1080" t="str">
        <f ca="1">IF(AND(NOT(ISBLANK(AJ854)),ISNA(MATCH(ROW(),'System Lookups'!$C$526:$C$539,0))),"Y","N")</f>
        <v>Y</v>
      </c>
      <c r="AS854" s="1080">
        <f t="shared" si="888"/>
        <v>0</v>
      </c>
      <c r="AU854" s="1080" t="e">
        <f t="shared" si="834"/>
        <v>#N/A</v>
      </c>
      <c r="AV854" s="1080" t="str">
        <f t="shared" si="852"/>
        <v>T</v>
      </c>
      <c r="AW854" s="1080">
        <f t="shared" si="835"/>
        <v>0</v>
      </c>
      <c r="AX854" s="1080">
        <f t="shared" si="836"/>
        <v>0</v>
      </c>
      <c r="AY854" s="1080">
        <f t="shared" si="837"/>
        <v>0</v>
      </c>
      <c r="AZ854" s="1080">
        <f t="shared" si="838"/>
        <v>0</v>
      </c>
      <c r="BA854" s="1080">
        <f t="shared" si="839"/>
        <v>0</v>
      </c>
      <c r="BB854" s="1080">
        <f>IF(AND(RACE=1,'Main Creation Page'!$E$6="Well",OR(ISNUMBER(FIND(Experience!$G$11,BE854)),ISNUMBER(FIND(Experience!$G$11,BF854)),ISNUMBER(FIND(Experience!$I$11,BE854)),ISNUMBER(FIND(Experience!$I$11,BF854)))),1,0)</f>
        <v>0</v>
      </c>
      <c r="BC854" s="1080" t="str">
        <f t="shared" si="871"/>
        <v>Shipbuilder: Maritime Architect</v>
      </c>
      <c r="BE854" s="1080" t="str">
        <f t="shared" si="833"/>
        <v/>
      </c>
      <c r="BF854" s="1080" t="str">
        <f t="shared" si="872"/>
        <v>Seamanship Skills</v>
      </c>
    </row>
    <row r="855" spans="1:58" ht="11.1" customHeight="1" outlineLevel="1">
      <c r="A855" s="1117" t="s">
        <v>3164</v>
      </c>
      <c r="B855" s="1094" t="s">
        <v>1942</v>
      </c>
      <c r="C855" s="1094"/>
      <c r="D855" s="1094"/>
      <c r="E855" s="1095" t="s">
        <v>5224</v>
      </c>
      <c r="F855" s="1095" t="s">
        <v>5224</v>
      </c>
      <c r="G855" s="1096">
        <v>0</v>
      </c>
      <c r="H855" s="1096" t="s">
        <v>5224</v>
      </c>
      <c r="I855" s="1096" t="s">
        <v>5224</v>
      </c>
      <c r="J855" s="1096" t="s">
        <v>5224</v>
      </c>
      <c r="K855" s="1096" t="s">
        <v>5224</v>
      </c>
      <c r="L855" s="1096" t="s">
        <v>5224</v>
      </c>
      <c r="M855" s="1096" t="s">
        <v>5224</v>
      </c>
      <c r="N855" s="1096" t="s">
        <v>4631</v>
      </c>
      <c r="O855" s="1028"/>
      <c r="P855" s="1028" t="s">
        <v>3615</v>
      </c>
      <c r="Q855" s="1097">
        <f t="shared" ca="1" si="889"/>
        <v>20</v>
      </c>
      <c r="R855" s="1028"/>
      <c r="S855" s="1028" t="s">
        <v>3611</v>
      </c>
      <c r="T855" s="1097">
        <f t="shared" ca="1" si="890"/>
        <v>15</v>
      </c>
      <c r="U855" s="1027">
        <f>IF(ISBLANK(X854),4,3)</f>
        <v>4</v>
      </c>
      <c r="V855" s="1027">
        <f t="shared" si="877"/>
        <v>5</v>
      </c>
      <c r="W855" s="1098" t="e">
        <f>IF(OR(I855&lt;&gt;"N",E855="C"),IF(AND(N855&lt;&gt;"T",ISNUMBER(FIND("V",I855))),1,0),NA())+IF(H855="Y",IF(AND(N855="P",ISNUMBER(FIND("Z",I855))),2,1),0)+IF(J855="Y",1,0)+IF(K855="Y",3,0)+IF(BE855="Lore",L855*2+Experience!$D$25,0)+IF(M855="Y",1,0)</f>
        <v>#N/A</v>
      </c>
      <c r="X855" s="1099"/>
      <c r="Y855" s="1100">
        <f ca="1">IF(P855="NS",IFERROR(INDIRECT(S855),NA()),VLOOKUP(INDIRECT(P855)+INDIRECT(S855),'System Lookups'!$A$3:$D$146,2))</f>
        <v>0.12</v>
      </c>
      <c r="Z855" s="1100">
        <f t="shared" si="878"/>
        <v>0</v>
      </c>
      <c r="AA855" s="1101">
        <f ca="1">IF(ISNA(Y855),0,Y855)+Z855</f>
        <v>0.12</v>
      </c>
      <c r="AB855" s="1102">
        <f>VLOOKUP(V855,'System Lookups'!$J$55:$P$64,3)</f>
        <v>0.1</v>
      </c>
      <c r="AC855" s="1103">
        <f>VLOOKUP(V855,'System Lookups'!$J$55:$P$64,4)</f>
        <v>0.2</v>
      </c>
      <c r="AD855" s="1104">
        <f t="shared" si="879"/>
        <v>0</v>
      </c>
      <c r="AE855" s="1094">
        <f>(IF(AD855&gt;VLOOKUP(V855,'System Lookups'!$J$55:$P$63,6),(((AD855-VLOOKUP(V855,'System Lookups'!$J$55:$P$63,6))*100)/20),0))+AF855</f>
        <v>0</v>
      </c>
      <c r="AF855" s="1094"/>
      <c r="AG855" s="1092">
        <f t="shared" si="880"/>
        <v>0</v>
      </c>
      <c r="AH855" s="1092" t="str">
        <f>IF(X855&lt;=Experience!$R$15+1,"","*")</f>
        <v/>
      </c>
      <c r="AI855" s="1092"/>
      <c r="AJ855" s="1080">
        <f t="shared" si="891"/>
        <v>0</v>
      </c>
      <c r="AK855" s="1080">
        <f t="shared" si="882"/>
        <v>0</v>
      </c>
      <c r="AL855" s="1080">
        <f t="shared" si="883"/>
        <v>0</v>
      </c>
      <c r="AM855" s="1092">
        <f t="shared" si="884"/>
        <v>0</v>
      </c>
      <c r="AN855" s="1080">
        <f t="shared" si="885"/>
        <v>1</v>
      </c>
      <c r="AO855" s="1080">
        <f t="shared" si="886"/>
        <v>0</v>
      </c>
      <c r="AP855" s="1080">
        <f t="shared" si="887"/>
        <v>1</v>
      </c>
      <c r="AQ855" s="1027">
        <f>VLOOKUP(V855,'System Lookups'!$J$55:$P$64,7)</f>
        <v>700</v>
      </c>
      <c r="AR855" s="1080" t="str">
        <f ca="1">IF(AND(NOT(ISBLANK(AJ855)),ISNA(MATCH(ROW(),'System Lookups'!$C$526:$C$539,0))),"Y","N")</f>
        <v>Y</v>
      </c>
      <c r="AS855" s="1080">
        <f t="shared" si="888"/>
        <v>0</v>
      </c>
      <c r="AU855" s="1080" t="e">
        <f t="shared" si="834"/>
        <v>#N/A</v>
      </c>
      <c r="AV855" s="1080" t="str">
        <f t="shared" si="852"/>
        <v>T</v>
      </c>
      <c r="AW855" s="1080">
        <f t="shared" si="835"/>
        <v>0</v>
      </c>
      <c r="AX855" s="1080">
        <f t="shared" si="836"/>
        <v>0</v>
      </c>
      <c r="AY855" s="1080">
        <f t="shared" si="837"/>
        <v>0</v>
      </c>
      <c r="AZ855" s="1080">
        <f t="shared" si="838"/>
        <v>0</v>
      </c>
      <c r="BA855" s="1080">
        <f t="shared" si="839"/>
        <v>0</v>
      </c>
      <c r="BB855" s="1080">
        <f>IF(AND(RACE=1,'Main Creation Page'!$E$6="Well",OR(ISNUMBER(FIND(Experience!$G$11,BE855)),ISNUMBER(FIND(Experience!$G$11,BF855)),ISNUMBER(FIND(Experience!$I$11,BE855)),ISNUMBER(FIND(Experience!$I$11,BF855)))),1,0)</f>
        <v>0</v>
      </c>
      <c r="BC855" s="1080" t="str">
        <f t="shared" si="871"/>
        <v>Ship's Carpenter</v>
      </c>
      <c r="BE855" s="1080" t="str">
        <f t="shared" si="833"/>
        <v/>
      </c>
      <c r="BF855" s="1080" t="str">
        <f t="shared" si="872"/>
        <v>Seamanship Skills</v>
      </c>
    </row>
    <row r="856" spans="1:58" ht="11.1" customHeight="1" outlineLevel="1">
      <c r="A856" s="1117"/>
      <c r="B856" s="1094"/>
      <c r="C856" s="1094"/>
      <c r="D856" s="1111"/>
      <c r="V856" s="1027"/>
      <c r="W856" s="1112"/>
      <c r="AE856" s="1094"/>
      <c r="AF856" s="1094"/>
      <c r="AG856" s="1092"/>
      <c r="AH856" s="1092"/>
      <c r="AI856" s="1092"/>
      <c r="AM856" s="1092"/>
      <c r="AQ856" s="1027"/>
      <c r="AR856" s="1080" t="str">
        <f ca="1">IF(AND(NOT(ISBLANK(AJ856)),ISNA(MATCH(ROW(),'System Lookups'!$C$526:$C$539,0))),"Y","N")</f>
        <v>N</v>
      </c>
      <c r="AU856" s="1080" t="e">
        <f t="shared" si="834"/>
        <v>#N/A</v>
      </c>
      <c r="AV856" s="1080" t="str">
        <f t="shared" si="852"/>
        <v/>
      </c>
      <c r="AW856" s="1080">
        <f t="shared" si="835"/>
        <v>0</v>
      </c>
      <c r="AX856" s="1080">
        <f t="shared" si="836"/>
        <v>0</v>
      </c>
      <c r="AY856" s="1080">
        <f t="shared" si="837"/>
        <v>0</v>
      </c>
      <c r="AZ856" s="1080">
        <f t="shared" si="838"/>
        <v>0</v>
      </c>
      <c r="BA856" s="1080">
        <f t="shared" si="839"/>
        <v>0</v>
      </c>
      <c r="BB856" s="1080">
        <f>IF(AND(RACE=1,'Main Creation Page'!$E$6="Well",OR(ISNUMBER(FIND(Experience!$G$11,BE856)),ISNUMBER(FIND(Experience!$G$11,BF856)),ISNUMBER(FIND(Experience!$I$11,BE856)),ISNUMBER(FIND(Experience!$I$11,BF856)))),1,0)</f>
        <v>0</v>
      </c>
      <c r="BC856" s="1080" t="e">
        <f t="shared" si="871"/>
        <v>#N/A</v>
      </c>
      <c r="BE856" s="1080" t="str">
        <f t="shared" si="833"/>
        <v/>
      </c>
      <c r="BF856" s="1080" t="str">
        <f t="shared" si="872"/>
        <v>Seamanship Skills</v>
      </c>
    </row>
    <row r="857" spans="1:58" ht="11.1" customHeight="1">
      <c r="A857" s="1087" t="s">
        <v>3165</v>
      </c>
      <c r="B857" s="1091"/>
      <c r="C857" s="1091"/>
      <c r="D857" s="1091"/>
      <c r="F857" s="1027"/>
      <c r="G857" s="1027"/>
      <c r="H857" s="1027"/>
      <c r="I857" s="1085"/>
      <c r="J857" s="1085"/>
      <c r="K857" s="1085"/>
      <c r="L857" s="1085"/>
      <c r="M857" s="1085"/>
      <c r="N857" s="1027"/>
      <c r="O857" s="1027"/>
      <c r="P857" s="1027"/>
      <c r="Q857" s="1027"/>
      <c r="R857" s="1027"/>
      <c r="S857" s="1113"/>
      <c r="T857" s="1113"/>
      <c r="U857" s="1085"/>
      <c r="V857" s="1027"/>
      <c r="W857" s="1028"/>
      <c r="X857" s="1114"/>
      <c r="AE857" s="1094"/>
      <c r="AF857" s="1094"/>
      <c r="AG857" s="1092">
        <f>SUM(AG858:AG877)</f>
        <v>0</v>
      </c>
      <c r="AH857" s="1092"/>
      <c r="AI857" s="1092">
        <f>SUM(AI858:AI877)</f>
        <v>0</v>
      </c>
      <c r="AM857" s="1092"/>
      <c r="AR857" s="1080" t="str">
        <f ca="1">IF(AND(NOT(ISBLANK(AJ857)),ISNA(MATCH(ROW(),'System Lookups'!$C$526:$C$539,0))),"Y","N")</f>
        <v>N</v>
      </c>
      <c r="AU857" s="1080" t="e">
        <f t="shared" si="834"/>
        <v>#N/A</v>
      </c>
      <c r="AV857" s="1080" t="str">
        <f t="shared" ref="AV857:AV888" si="892">IF(ISNUMBER(U857),CONCATENATE(IF(E857="C","C",""),IF(H857="Y","M",""),N857,IF(ISNUMBER(FIND("F",I857)),"Bk",""),IF(ISNUMBER(FIND("Z",I857)),"Zm",""),IF(J857="Y","L",""),IF(OR(K857="Y",AND(ISNUMBER(L857),L857&gt;0),M857="Y"),"Sa","")),"")</f>
        <v/>
      </c>
      <c r="AW857" s="1080">
        <f t="shared" si="835"/>
        <v>0</v>
      </c>
      <c r="AX857" s="1080">
        <f t="shared" si="836"/>
        <v>0</v>
      </c>
      <c r="AY857" s="1080">
        <f t="shared" si="837"/>
        <v>0</v>
      </c>
      <c r="AZ857" s="1080">
        <f t="shared" si="838"/>
        <v>0</v>
      </c>
      <c r="BA857" s="1080">
        <f t="shared" si="839"/>
        <v>0</v>
      </c>
      <c r="BB857" s="1080">
        <f>IF(AND(RACE=1,'Main Creation Page'!$E$6="Well",OR(ISNUMBER(FIND(Experience!$G$11,BE857)),ISNUMBER(FIND(Experience!$G$11,BF857)),ISNUMBER(FIND(Experience!$I$11,BE857)),ISNUMBER(FIND(Experience!$I$11,BF857)))),1,0)</f>
        <v>0</v>
      </c>
      <c r="BC857" s="1080" t="str">
        <f t="shared" si="871"/>
        <v>Thievish Skills</v>
      </c>
      <c r="BE857" s="1080" t="str">
        <f t="shared" si="833"/>
        <v/>
      </c>
      <c r="BF857" s="1080" t="str">
        <f t="shared" si="872"/>
        <v>Thievish Skills</v>
      </c>
    </row>
    <row r="858" spans="1:58" ht="11.1" customHeight="1" outlineLevel="1">
      <c r="A858" s="1117" t="s">
        <v>2704</v>
      </c>
      <c r="B858" s="1094"/>
      <c r="C858" s="1094"/>
      <c r="D858" s="1094"/>
      <c r="E858" s="1095" t="s">
        <v>5224</v>
      </c>
      <c r="F858" s="1095" t="s">
        <v>5224</v>
      </c>
      <c r="G858" s="1096">
        <v>0</v>
      </c>
      <c r="H858" s="1096" t="s">
        <v>5224</v>
      </c>
      <c r="I858" s="1096" t="s">
        <v>5224</v>
      </c>
      <c r="J858" s="1096" t="s">
        <v>5224</v>
      </c>
      <c r="K858" s="1096" t="s">
        <v>5224</v>
      </c>
      <c r="L858" s="1096" t="s">
        <v>5224</v>
      </c>
      <c r="M858" s="1096" t="s">
        <v>5224</v>
      </c>
      <c r="N858" s="1096" t="s">
        <v>4631</v>
      </c>
      <c r="O858" s="1028"/>
      <c r="P858" s="1028" t="s">
        <v>780</v>
      </c>
      <c r="Q858" s="1097">
        <f t="shared" ref="Q858:Q875" ca="1" si="893">INDIRECT(P858)</f>
        <v>17</v>
      </c>
      <c r="R858" s="1034"/>
      <c r="S858" s="1028" t="s">
        <v>3611</v>
      </c>
      <c r="T858" s="1097">
        <f t="shared" ref="T858:T875" ca="1" si="894">INDIRECT(S858)</f>
        <v>15</v>
      </c>
      <c r="U858" s="1027">
        <v>4</v>
      </c>
      <c r="V858" s="1027">
        <f t="shared" ref="V858:V875" si="895">IF(AP858+U858&gt;10,10,IF(AP858+U858&lt;1,1,AP858+U858))</f>
        <v>5</v>
      </c>
      <c r="W858" s="1098" t="e">
        <f>IF(OR(I858&lt;&gt;"N",E858="C"),IF(AND(N858&lt;&gt;"T",ISNUMBER(FIND("V",I858))),1,0),NA())+IF(H858="Y",IF(AND(N858="P",ISNUMBER(FIND("Z",I858))),2,1),0)+IF(J858="Y",1,0)+IF(K858="Y",3,0)+IF(BE858="Lore",L858*2+Experience!$D$25,0)+IF(M858="Y",1,0)</f>
        <v>#N/A</v>
      </c>
      <c r="X858" s="1099"/>
      <c r="Y858" s="1100">
        <f ca="1">IF(P858="NS",IFERROR(INDIRECT(S858),NA()),VLOOKUP(INDIRECT(P858)+INDIRECT(S858),'System Lookups'!$A$3:$D$146,2))</f>
        <v>0.08</v>
      </c>
      <c r="Z858" s="1100">
        <f t="shared" ref="Z858:Z875" si="896">IF(ISNA(W858),0,W858*0.03)+IF(X858&gt;0,X858*0.03,0)+IF(AND(ISNA(W858),X858&lt;=0),0,IF(G858&gt;0,G858*0.07,0))</f>
        <v>0</v>
      </c>
      <c r="AA858" s="1101">
        <f t="shared" ref="AA858:AA875" ca="1" si="897">IF(ISNA(Y858),0,Y858)+Z858</f>
        <v>0.08</v>
      </c>
      <c r="AB858" s="1102">
        <f>VLOOKUP(V858,'System Lookups'!$J$55:$P$64,3)</f>
        <v>0.1</v>
      </c>
      <c r="AC858" s="1103">
        <f>VLOOKUP(V858,'System Lookups'!$J$55:$P$64,4)</f>
        <v>0.2</v>
      </c>
      <c r="AD858" s="1104">
        <f t="shared" ref="AD858:AD875" ca="1" si="898">IF(AND(ISBLANK(X858),ISNA(W858)),IF(B858="~",0,AB858+AA858+IF(BB858&gt;0,0.05,0)),AA858+AC858+IF(BB858&gt;0,0.05,0))</f>
        <v>0.18</v>
      </c>
      <c r="AE858" s="1094">
        <f ca="1">(IF(AD858&gt;VLOOKUP(V858,'System Lookups'!$J$55:$P$63,6),(((AD858-VLOOKUP(V858,'System Lookups'!$J$55:$P$63,6))*100)/20),0))+AF858</f>
        <v>0</v>
      </c>
      <c r="AF858" s="1094"/>
      <c r="AG858" s="1092">
        <f t="shared" ref="AG858:AG875" si="899">IF(ISBLANK(X858),0,AQ858*X858+IF(ISNA(W858),1,0))</f>
        <v>0</v>
      </c>
      <c r="AH858" s="1092" t="str">
        <f>IF(X858&lt;=Experience!$R$15+1,"","*")</f>
        <v/>
      </c>
      <c r="AI858" s="1092"/>
      <c r="AJ858" s="1080">
        <f t="shared" ref="AJ858:AJ875" si="900">IF(ISNUMBER(FIND("R",F858)),-1,0)</f>
        <v>0</v>
      </c>
      <c r="AK858" s="1080">
        <f t="shared" ref="AK858:AK875" si="901">IF(F858="s",-2,0)</f>
        <v>0</v>
      </c>
      <c r="AL858" s="1080">
        <f t="shared" ref="AL858:AL875" si="902">IF(AND(H858="Y",OR(N858="P",N858="S")),-1,0)</f>
        <v>0</v>
      </c>
      <c r="AM858" s="1092">
        <f t="shared" ref="AM858:AM875" si="903">IF(J858="y",1,0)</f>
        <v>0</v>
      </c>
      <c r="AN858" s="1080">
        <f t="shared" ref="AN858:AN875" si="904">IF(N858="P",-1,IF(N858="T",1,0))</f>
        <v>1</v>
      </c>
      <c r="AO858" s="1080">
        <f t="shared" ref="AO858:AO875" si="905">IF(ISNUMBER(FIND("Z",I858)),1,0)</f>
        <v>0</v>
      </c>
      <c r="AP858" s="1080">
        <f t="shared" ref="AP858:AP875" si="906">SUM(AJ858:AN858)-AM858</f>
        <v>1</v>
      </c>
      <c r="AQ858" s="1027">
        <f>VLOOKUP(V858,'System Lookups'!$J$55:$P$64,7)</f>
        <v>700</v>
      </c>
      <c r="AR858" s="1080" t="str">
        <f ca="1">IF(AND(NOT(ISBLANK(AJ858)),ISNA(MATCH(ROW(),'System Lookups'!$C$526:$C$539,0))),"Y","N")</f>
        <v>Y</v>
      </c>
      <c r="AS858" s="1080">
        <f t="shared" ref="AS858:AS875" si="907">AG858-AI858</f>
        <v>0</v>
      </c>
      <c r="AU858" s="1080" t="e">
        <f t="shared" si="834"/>
        <v>#N/A</v>
      </c>
      <c r="AV858" s="1080" t="str">
        <f t="shared" si="892"/>
        <v>T</v>
      </c>
      <c r="AW858" s="1080">
        <f t="shared" si="835"/>
        <v>0</v>
      </c>
      <c r="AX858" s="1080">
        <f t="shared" si="836"/>
        <v>0</v>
      </c>
      <c r="AY858" s="1080">
        <f t="shared" si="837"/>
        <v>0</v>
      </c>
      <c r="AZ858" s="1080">
        <f t="shared" si="838"/>
        <v>0</v>
      </c>
      <c r="BA858" s="1080">
        <f t="shared" si="839"/>
        <v>0</v>
      </c>
      <c r="BB858" s="1080">
        <f>IF(AND(RACE=1,'Main Creation Page'!$E$6="Well",OR(ISNUMBER(FIND(Experience!$G$11,BE858)),ISNUMBER(FIND(Experience!$G$11,BF858)),ISNUMBER(FIND(Experience!$I$11,BE858)),ISNUMBER(FIND(Experience!$I$11,BF858)))),1,0)</f>
        <v>0</v>
      </c>
      <c r="BC858" s="1080" t="str">
        <f t="shared" si="871"/>
        <v>Administer Drugs &amp; Poisons Undetected</v>
      </c>
      <c r="BE858" s="1080" t="str">
        <f t="shared" si="833"/>
        <v/>
      </c>
      <c r="BF858" s="1080" t="str">
        <f t="shared" si="872"/>
        <v>Thievish Skills</v>
      </c>
    </row>
    <row r="859" spans="1:58" ht="11.1" customHeight="1" outlineLevel="1">
      <c r="A859" s="1117" t="s">
        <v>3166</v>
      </c>
      <c r="B859" s="1094" t="s">
        <v>1942</v>
      </c>
      <c r="C859" s="1094"/>
      <c r="D859" s="1094"/>
      <c r="E859" s="1095" t="s">
        <v>5224</v>
      </c>
      <c r="F859" s="1095" t="s">
        <v>5224</v>
      </c>
      <c r="G859" s="1096">
        <v>0</v>
      </c>
      <c r="H859" s="1096" t="s">
        <v>5224</v>
      </c>
      <c r="I859" s="1096" t="s">
        <v>5224</v>
      </c>
      <c r="J859" s="1096" t="s">
        <v>5224</v>
      </c>
      <c r="K859" s="1096" t="s">
        <v>5224</v>
      </c>
      <c r="L859" s="1096" t="s">
        <v>5224</v>
      </c>
      <c r="M859" s="1096" t="s">
        <v>5224</v>
      </c>
      <c r="N859" s="1096" t="s">
        <v>4631</v>
      </c>
      <c r="O859" s="1028"/>
      <c r="P859" s="1028" t="s">
        <v>780</v>
      </c>
      <c r="Q859" s="1097">
        <f t="shared" ca="1" si="893"/>
        <v>17</v>
      </c>
      <c r="R859" s="1034"/>
      <c r="S859" s="1028" t="s">
        <v>3611</v>
      </c>
      <c r="T859" s="1097">
        <f t="shared" ca="1" si="894"/>
        <v>15</v>
      </c>
      <c r="U859" s="1027">
        <v>4</v>
      </c>
      <c r="V859" s="1027">
        <f t="shared" si="895"/>
        <v>5</v>
      </c>
      <c r="W859" s="1098" t="e">
        <f>IF(OR(I859&lt;&gt;"N",E859="C"),IF(AND(N859&lt;&gt;"T",ISNUMBER(FIND("V",I859))),1,0),NA())+IF(H859="Y",IF(AND(N859="P",ISNUMBER(FIND("Z",I859))),2,1),0)+IF(J859="Y",1,0)+IF(K859="Y",3,0)+IF(BE859="Lore",L859*2+Experience!$D$25,0)+IF(M859="Y",1,0)</f>
        <v>#N/A</v>
      </c>
      <c r="X859" s="1099"/>
      <c r="Y859" s="1100">
        <f ca="1">IF(P859="NS",IFERROR(INDIRECT(S859),NA()),VLOOKUP(INDIRECT(P859)+INDIRECT(S859),'System Lookups'!$A$3:$D$146,2))</f>
        <v>0.08</v>
      </c>
      <c r="Z859" s="1100">
        <f t="shared" si="896"/>
        <v>0</v>
      </c>
      <c r="AA859" s="1101">
        <f t="shared" ca="1" si="897"/>
        <v>0.08</v>
      </c>
      <c r="AB859" s="1102">
        <f>VLOOKUP(V859,'System Lookups'!$J$55:$P$64,3)</f>
        <v>0.1</v>
      </c>
      <c r="AC859" s="1103">
        <f>VLOOKUP(V859,'System Lookups'!$J$55:$P$64,4)</f>
        <v>0.2</v>
      </c>
      <c r="AD859" s="1104">
        <f t="shared" si="898"/>
        <v>0</v>
      </c>
      <c r="AE859" s="1094">
        <f>(IF(AD859&gt;VLOOKUP(V859,'System Lookups'!$J$55:$P$63,6),(((AD859-VLOOKUP(V859,'System Lookups'!$J$55:$P$63,6))*100)/20),0))+AF859</f>
        <v>0</v>
      </c>
      <c r="AF859" s="1094"/>
      <c r="AG859" s="1092">
        <f t="shared" si="899"/>
        <v>0</v>
      </c>
      <c r="AH859" s="1092" t="str">
        <f>IF(X859&lt;=Experience!$R$15+1,"","*")</f>
        <v/>
      </c>
      <c r="AI859" s="1092"/>
      <c r="AJ859" s="1080">
        <f t="shared" si="900"/>
        <v>0</v>
      </c>
      <c r="AK859" s="1080">
        <f t="shared" si="901"/>
        <v>0</v>
      </c>
      <c r="AL859" s="1080">
        <f t="shared" si="902"/>
        <v>0</v>
      </c>
      <c r="AM859" s="1092">
        <f t="shared" si="903"/>
        <v>0</v>
      </c>
      <c r="AN859" s="1080">
        <f t="shared" si="904"/>
        <v>1</v>
      </c>
      <c r="AO859" s="1080">
        <f t="shared" si="905"/>
        <v>0</v>
      </c>
      <c r="AP859" s="1080">
        <f t="shared" si="906"/>
        <v>1</v>
      </c>
      <c r="AQ859" s="1027">
        <f>VLOOKUP(V859,'System Lookups'!$J$55:$P$64,7)</f>
        <v>700</v>
      </c>
      <c r="AR859" s="1080" t="str">
        <f ca="1">IF(AND(NOT(ISBLANK(AJ859)),ISNA(MATCH(ROW(),'System Lookups'!$C$526:$C$539,0))),"Y","N")</f>
        <v>Y</v>
      </c>
      <c r="AS859" s="1080">
        <f t="shared" si="907"/>
        <v>0</v>
      </c>
      <c r="AU859" s="1080" t="e">
        <f t="shared" si="834"/>
        <v>#N/A</v>
      </c>
      <c r="AV859" s="1080" t="str">
        <f t="shared" si="892"/>
        <v>T</v>
      </c>
      <c r="AW859" s="1080">
        <f t="shared" si="835"/>
        <v>0</v>
      </c>
      <c r="AX859" s="1080">
        <f t="shared" si="836"/>
        <v>0</v>
      </c>
      <c r="AY859" s="1080">
        <f t="shared" si="837"/>
        <v>0</v>
      </c>
      <c r="AZ859" s="1080">
        <f t="shared" si="838"/>
        <v>0</v>
      </c>
      <c r="BA859" s="1080">
        <f t="shared" si="839"/>
        <v>0</v>
      </c>
      <c r="BB859" s="1080">
        <f>IF(AND(RACE=1,'Main Creation Page'!$E$6="Well",OR(ISNUMBER(FIND(Experience!$G$11,BE859)),ISNUMBER(FIND(Experience!$G$11,BF859)),ISNUMBER(FIND(Experience!$I$11,BE859)),ISNUMBER(FIND(Experience!$I$11,BF859)))),1,0)</f>
        <v>0</v>
      </c>
      <c r="BC859" s="1080" t="str">
        <f t="shared" si="871"/>
        <v>Backstabbing</v>
      </c>
      <c r="BE859" s="1080" t="str">
        <f t="shared" si="833"/>
        <v/>
      </c>
      <c r="BF859" s="1080" t="str">
        <f t="shared" si="872"/>
        <v>Thievish Skills</v>
      </c>
    </row>
    <row r="860" spans="1:58" ht="11.1" customHeight="1" outlineLevel="1">
      <c r="A860" s="1123" t="s">
        <v>2700</v>
      </c>
      <c r="B860" s="1094"/>
      <c r="C860" s="1094" t="s">
        <v>4629</v>
      </c>
      <c r="D860" s="1094"/>
      <c r="E860" s="1095" t="s">
        <v>5224</v>
      </c>
      <c r="F860" s="1095" t="s">
        <v>5224</v>
      </c>
      <c r="G860" s="1096">
        <v>0</v>
      </c>
      <c r="H860" s="1096" t="s">
        <v>5224</v>
      </c>
      <c r="I860" s="1096" t="s">
        <v>5224</v>
      </c>
      <c r="J860" s="1096" t="s">
        <v>5224</v>
      </c>
      <c r="K860" s="1096" t="s">
        <v>5224</v>
      </c>
      <c r="L860" s="1096" t="s">
        <v>5224</v>
      </c>
      <c r="M860" s="1096" t="s">
        <v>5224</v>
      </c>
      <c r="N860" s="1096" t="s">
        <v>4631</v>
      </c>
      <c r="O860" s="1028"/>
      <c r="P860" s="1028" t="s">
        <v>3616</v>
      </c>
      <c r="Q860" s="1097">
        <f t="shared" ca="1" si="893"/>
        <v>17</v>
      </c>
      <c r="R860" s="1028"/>
      <c r="S860" s="1028" t="s">
        <v>3611</v>
      </c>
      <c r="T860" s="1097">
        <f t="shared" ca="1" si="894"/>
        <v>15</v>
      </c>
      <c r="U860" s="1027">
        <v>4</v>
      </c>
      <c r="V860" s="1027">
        <f t="shared" si="895"/>
        <v>5</v>
      </c>
      <c r="W860" s="1098" t="e">
        <f>IF(OR(I860&lt;&gt;"N",E860="C"),IF(AND(N860&lt;&gt;"T",ISNUMBER(FIND("V",I860))),1,0),NA())+IF(H860="Y",IF(AND(N860="P",ISNUMBER(FIND("Z",I860))),2,1),0)+IF(J860="Y",1,0)+IF(K860="Y",3,0)+IF(BE860="Lore",L860*2+Experience!$D$25,0)+IF(M860="Y",1,0)</f>
        <v>#N/A</v>
      </c>
      <c r="X860" s="1099"/>
      <c r="Y860" s="1100">
        <f ca="1">IF(P860="NS",IFERROR(INDIRECT(S860),NA()),VLOOKUP(INDIRECT(P860)+INDIRECT(S860),'System Lookups'!$A$3:$D$146,2))</f>
        <v>0.08</v>
      </c>
      <c r="Z860" s="1100">
        <f t="shared" si="896"/>
        <v>0</v>
      </c>
      <c r="AA860" s="1101">
        <f ca="1">IF(ISNA(Y860),0,Y860)+Z860</f>
        <v>0.08</v>
      </c>
      <c r="AB860" s="1102">
        <f>VLOOKUP(V860,'System Lookups'!$J$55:$P$64,3)</f>
        <v>0.1</v>
      </c>
      <c r="AC860" s="1103">
        <f>VLOOKUP(V860,'System Lookups'!$J$55:$P$64,4)</f>
        <v>0.2</v>
      </c>
      <c r="AD860" s="1104">
        <f t="shared" ca="1" si="898"/>
        <v>0.18</v>
      </c>
      <c r="AE860" s="1094">
        <f ca="1">(IF(AD860&gt;VLOOKUP(V860,'System Lookups'!$J$55:$P$63,6),(((AD860-VLOOKUP(V860,'System Lookups'!$J$55:$P$63,6))*100)/20),0))+AF860</f>
        <v>0</v>
      </c>
      <c r="AF860" s="1094"/>
      <c r="AG860" s="1092">
        <f t="shared" si="899"/>
        <v>0</v>
      </c>
      <c r="AH860" s="1092" t="str">
        <f>IF(X860&lt;=Experience!$R$15+1,"","*")</f>
        <v/>
      </c>
      <c r="AI860" s="1092"/>
      <c r="AJ860" s="1080">
        <f t="shared" si="900"/>
        <v>0</v>
      </c>
      <c r="AK860" s="1080">
        <f>IF(F860="s",-2,0)</f>
        <v>0</v>
      </c>
      <c r="AL860" s="1080">
        <f t="shared" si="902"/>
        <v>0</v>
      </c>
      <c r="AM860" s="1092">
        <f>IF(J860="y",1,0)</f>
        <v>0</v>
      </c>
      <c r="AN860" s="1080">
        <f>IF(N860="P",-1,IF(N860="T",1,0))</f>
        <v>1</v>
      </c>
      <c r="AO860" s="1080">
        <f t="shared" si="905"/>
        <v>0</v>
      </c>
      <c r="AP860" s="1080">
        <f t="shared" si="906"/>
        <v>1</v>
      </c>
      <c r="AQ860" s="1027">
        <f>VLOOKUP(V860,'System Lookups'!$J$55:$P$64,7)</f>
        <v>700</v>
      </c>
      <c r="AR860" s="1080" t="str">
        <f ca="1">IF(AND(NOT(ISBLANK(AJ860)),ISNA(MATCH(ROW(),'System Lookups'!$C$526:$C$539,0))),"Y","N")</f>
        <v>Y</v>
      </c>
      <c r="AS860" s="1080">
        <f t="shared" si="907"/>
        <v>0</v>
      </c>
      <c r="AU860" s="1080" t="e">
        <f t="shared" si="834"/>
        <v>#N/A</v>
      </c>
      <c r="AV860" s="1080" t="str">
        <f t="shared" si="892"/>
        <v>T</v>
      </c>
      <c r="AW860" s="1080">
        <f t="shared" si="835"/>
        <v>0</v>
      </c>
      <c r="AX860" s="1080">
        <f t="shared" si="836"/>
        <v>0</v>
      </c>
      <c r="AY860" s="1080">
        <f t="shared" si="837"/>
        <v>0</v>
      </c>
      <c r="AZ860" s="1080">
        <f t="shared" si="838"/>
        <v>0</v>
      </c>
      <c r="BA860" s="1080">
        <f t="shared" si="839"/>
        <v>0</v>
      </c>
      <c r="BB860" s="1080">
        <f>IF(AND(RACE=1,'Main Creation Page'!$E$6="Well",OR(ISNUMBER(FIND(Experience!$G$11,BE860)),ISNUMBER(FIND(Experience!$G$11,BF860)),ISNUMBER(FIND(Experience!$I$11,BE860)),ISNUMBER(FIND(Experience!$I$11,BF860)))),1,0)</f>
        <v>0</v>
      </c>
      <c r="BC860" s="1080" t="str">
        <f t="shared" si="871"/>
        <v>Breaking and Entering</v>
      </c>
      <c r="BE860" s="1080" t="str">
        <f t="shared" si="833"/>
        <v/>
      </c>
      <c r="BF860" s="1080" t="str">
        <f t="shared" si="872"/>
        <v>Thievish Skills</v>
      </c>
    </row>
    <row r="861" spans="1:58" ht="11.1" customHeight="1" outlineLevel="1">
      <c r="A861" s="1117" t="s">
        <v>32</v>
      </c>
      <c r="B861" s="1094"/>
      <c r="C861" s="1094" t="s">
        <v>4629</v>
      </c>
      <c r="D861" s="1094"/>
      <c r="E861" s="1095" t="s">
        <v>5224</v>
      </c>
      <c r="F861" s="1095" t="s">
        <v>5224</v>
      </c>
      <c r="G861" s="1096">
        <v>0</v>
      </c>
      <c r="H861" s="1096" t="s">
        <v>5224</v>
      </c>
      <c r="I861" s="1096" t="s">
        <v>5224</v>
      </c>
      <c r="J861" s="1096" t="s">
        <v>5224</v>
      </c>
      <c r="K861" s="1096" t="s">
        <v>5224</v>
      </c>
      <c r="L861" s="1096" t="s">
        <v>5224</v>
      </c>
      <c r="M861" s="1096" t="s">
        <v>5224</v>
      </c>
      <c r="N861" s="1096" t="s">
        <v>4631</v>
      </c>
      <c r="O861" s="1028"/>
      <c r="P861" s="1028" t="s">
        <v>3616</v>
      </c>
      <c r="Q861" s="1097">
        <f t="shared" ca="1" si="893"/>
        <v>17</v>
      </c>
      <c r="R861" s="1028"/>
      <c r="S861" s="1028" t="s">
        <v>3611</v>
      </c>
      <c r="T861" s="1097">
        <f t="shared" ca="1" si="894"/>
        <v>15</v>
      </c>
      <c r="U861" s="1027">
        <v>4</v>
      </c>
      <c r="V861" s="1027">
        <f t="shared" si="895"/>
        <v>5</v>
      </c>
      <c r="W861" s="1098" t="e">
        <f>IF(OR(I861&lt;&gt;"N",E861="C"),IF(AND(N861&lt;&gt;"T",ISNUMBER(FIND("V",I861))),1,0),NA())+IF(H861="Y",IF(AND(N861="P",ISNUMBER(FIND("Z",I861))),2,1),0)+IF(J861="Y",1,0)+IF(K861="Y",3,0)+IF(BE861="Lore",L861*2+Experience!$D$25,0)+IF(M861="Y",1,0)</f>
        <v>#N/A</v>
      </c>
      <c r="X861" s="1099"/>
      <c r="Y861" s="1100">
        <f ca="1">IF(P861="NS",IFERROR(INDIRECT(S861),NA()),VLOOKUP(INDIRECT(P861)+INDIRECT(S861),'System Lookups'!$A$3:$D$146,2))</f>
        <v>0.08</v>
      </c>
      <c r="Z861" s="1100">
        <f t="shared" si="896"/>
        <v>0</v>
      </c>
      <c r="AA861" s="1101">
        <f t="shared" ca="1" si="897"/>
        <v>0.08</v>
      </c>
      <c r="AB861" s="1102">
        <f>VLOOKUP(V861,'System Lookups'!$J$55:$P$64,3)</f>
        <v>0.1</v>
      </c>
      <c r="AC861" s="1103">
        <f>VLOOKUP(V861,'System Lookups'!$J$55:$P$64,4)</f>
        <v>0.2</v>
      </c>
      <c r="AD861" s="1104">
        <f t="shared" ca="1" si="898"/>
        <v>0.18</v>
      </c>
      <c r="AE861" s="1094">
        <f ca="1">(IF(AD861&gt;VLOOKUP(V861,'System Lookups'!$J$55:$P$63,6),(((AD861-VLOOKUP(V861,'System Lookups'!$J$55:$P$63,6))*100)/20),0))+AF861</f>
        <v>0</v>
      </c>
      <c r="AF861" s="1094"/>
      <c r="AG861" s="1092">
        <f t="shared" si="899"/>
        <v>0</v>
      </c>
      <c r="AH861" s="1092" t="str">
        <f>IF(X861&lt;=Experience!$R$15+1,"","*")</f>
        <v/>
      </c>
      <c r="AI861" s="1092"/>
      <c r="AJ861" s="1080">
        <f t="shared" si="900"/>
        <v>0</v>
      </c>
      <c r="AK861" s="1080">
        <f t="shared" si="901"/>
        <v>0</v>
      </c>
      <c r="AL861" s="1080">
        <f t="shared" si="902"/>
        <v>0</v>
      </c>
      <c r="AM861" s="1092">
        <f t="shared" si="903"/>
        <v>0</v>
      </c>
      <c r="AN861" s="1080">
        <f t="shared" si="904"/>
        <v>1</v>
      </c>
      <c r="AO861" s="1080">
        <f t="shared" si="905"/>
        <v>0</v>
      </c>
      <c r="AP861" s="1080">
        <f t="shared" si="906"/>
        <v>1</v>
      </c>
      <c r="AQ861" s="1027">
        <f>VLOOKUP(V861,'System Lookups'!$J$55:$P$64,7)</f>
        <v>700</v>
      </c>
      <c r="AR861" s="1080" t="str">
        <f ca="1">IF(AND(NOT(ISBLANK(AJ861)),ISNA(MATCH(ROW(),'System Lookups'!$C$526:$C$539,0))),"Y","N")</f>
        <v>Y</v>
      </c>
      <c r="AS861" s="1080">
        <f t="shared" si="907"/>
        <v>0</v>
      </c>
      <c r="AU861" s="1080" t="e">
        <f t="shared" si="834"/>
        <v>#N/A</v>
      </c>
      <c r="AV861" s="1080" t="str">
        <f t="shared" si="892"/>
        <v>T</v>
      </c>
      <c r="AW861" s="1080">
        <f t="shared" si="835"/>
        <v>0</v>
      </c>
      <c r="AX861" s="1080">
        <f t="shared" si="836"/>
        <v>0</v>
      </c>
      <c r="AY861" s="1080">
        <f t="shared" si="837"/>
        <v>0</v>
      </c>
      <c r="AZ861" s="1080">
        <f t="shared" si="838"/>
        <v>0</v>
      </c>
      <c r="BA861" s="1080">
        <f t="shared" si="839"/>
        <v>0</v>
      </c>
      <c r="BB861" s="1080">
        <f>IF(AND(RACE=1,'Main Creation Page'!$E$6="Well",OR(ISNUMBER(FIND(Experience!$G$11,BE861)),ISNUMBER(FIND(Experience!$G$11,BF861)),ISNUMBER(FIND(Experience!$I$11,BE861)),ISNUMBER(FIND(Experience!$I$11,BF861)))),1,0)</f>
        <v>0</v>
      </c>
      <c r="BC861" s="1080" t="str">
        <f t="shared" si="871"/>
        <v>Conceal &amp; Find Objects</v>
      </c>
      <c r="BE861" s="1080" t="str">
        <f t="shared" si="833"/>
        <v/>
      </c>
      <c r="BF861" s="1080" t="str">
        <f t="shared" si="872"/>
        <v>Thievish Skills</v>
      </c>
    </row>
    <row r="862" spans="1:58" ht="11.1" customHeight="1" outlineLevel="1">
      <c r="A862" s="1117" t="s">
        <v>321</v>
      </c>
      <c r="B862" s="1094"/>
      <c r="C862" s="1094" t="s">
        <v>4629</v>
      </c>
      <c r="D862" s="1094"/>
      <c r="E862" s="1095" t="s">
        <v>5224</v>
      </c>
      <c r="F862" s="1095" t="s">
        <v>5224</v>
      </c>
      <c r="G862" s="1096">
        <v>0</v>
      </c>
      <c r="H862" s="1096" t="s">
        <v>5224</v>
      </c>
      <c r="I862" s="1096" t="s">
        <v>5224</v>
      </c>
      <c r="J862" s="1096" t="s">
        <v>5224</v>
      </c>
      <c r="K862" s="1096" t="s">
        <v>5224</v>
      </c>
      <c r="L862" s="1096" t="s">
        <v>5224</v>
      </c>
      <c r="M862" s="1096" t="s">
        <v>5224</v>
      </c>
      <c r="N862" s="1096" t="s">
        <v>4631</v>
      </c>
      <c r="O862" s="1028"/>
      <c r="P862" s="1028" t="s">
        <v>780</v>
      </c>
      <c r="Q862" s="1097">
        <f t="shared" ca="1" si="893"/>
        <v>17</v>
      </c>
      <c r="R862" s="1034"/>
      <c r="S862" s="1028" t="s">
        <v>3616</v>
      </c>
      <c r="T862" s="1097">
        <f t="shared" ca="1" si="894"/>
        <v>17</v>
      </c>
      <c r="U862" s="1027">
        <v>4</v>
      </c>
      <c r="V862" s="1027">
        <f t="shared" si="895"/>
        <v>5</v>
      </c>
      <c r="W862" s="1098" t="e">
        <f>IF(OR(I862&lt;&gt;"N",E862="C"),IF(AND(N862&lt;&gt;"T",ISNUMBER(FIND("V",I862))),1,0),NA())+IF(H862="Y",IF(AND(N862="P",ISNUMBER(FIND("Z",I862))),2,1),0)+IF(J862="Y",1,0)+IF(K862="Y",3,0)+IF(BE862="Lore",L862*2+Experience!$D$25,0)+IF(M862="Y",1,0)</f>
        <v>#N/A</v>
      </c>
      <c r="X862" s="1099"/>
      <c r="Y862" s="1100">
        <f ca="1">IF(P862="NS",IFERROR(INDIRECT(S862),NA()),VLOOKUP(INDIRECT(P862)+INDIRECT(S862),'System Lookups'!$A$3:$D$146,2))</f>
        <v>0.1</v>
      </c>
      <c r="Z862" s="1100">
        <f t="shared" si="896"/>
        <v>0</v>
      </c>
      <c r="AA862" s="1101">
        <f t="shared" ca="1" si="897"/>
        <v>0.1</v>
      </c>
      <c r="AB862" s="1102">
        <f>VLOOKUP(V862,'System Lookups'!$J$55:$P$64,3)</f>
        <v>0.1</v>
      </c>
      <c r="AC862" s="1103">
        <f>VLOOKUP(V862,'System Lookups'!$J$55:$P$64,4)</f>
        <v>0.2</v>
      </c>
      <c r="AD862" s="1104">
        <f t="shared" ca="1" si="898"/>
        <v>0.2</v>
      </c>
      <c r="AE862" s="1094">
        <f ca="1">(IF(AD862&gt;VLOOKUP(V862,'System Lookups'!$J$55:$P$63,6),(((AD862-VLOOKUP(V862,'System Lookups'!$J$55:$P$63,6))*100)/20),0))+AF862</f>
        <v>0</v>
      </c>
      <c r="AF862" s="1094"/>
      <c r="AG862" s="1092">
        <f t="shared" si="899"/>
        <v>0</v>
      </c>
      <c r="AH862" s="1092" t="str">
        <f>IF(X862&lt;=Experience!$R$15+1,"","*")</f>
        <v/>
      </c>
      <c r="AI862" s="1092"/>
      <c r="AJ862" s="1080">
        <f t="shared" si="900"/>
        <v>0</v>
      </c>
      <c r="AK862" s="1080">
        <f t="shared" si="901"/>
        <v>0</v>
      </c>
      <c r="AL862" s="1080">
        <f t="shared" si="902"/>
        <v>0</v>
      </c>
      <c r="AM862" s="1092">
        <f t="shared" si="903"/>
        <v>0</v>
      </c>
      <c r="AN862" s="1080">
        <f t="shared" si="904"/>
        <v>1</v>
      </c>
      <c r="AO862" s="1080">
        <f t="shared" si="905"/>
        <v>0</v>
      </c>
      <c r="AP862" s="1080">
        <f t="shared" si="906"/>
        <v>1</v>
      </c>
      <c r="AQ862" s="1027">
        <f>VLOOKUP(V862,'System Lookups'!$J$55:$P$64,7)</f>
        <v>700</v>
      </c>
      <c r="AR862" s="1080" t="str">
        <f ca="1">IF(AND(NOT(ISBLANK(AJ862)),ISNA(MATCH(ROW(),'System Lookups'!$C$526:$C$539,0))),"Y","N")</f>
        <v>Y</v>
      </c>
      <c r="AS862" s="1080">
        <f t="shared" si="907"/>
        <v>0</v>
      </c>
      <c r="AU862" s="1080" t="e">
        <f t="shared" si="834"/>
        <v>#N/A</v>
      </c>
      <c r="AV862" s="1080" t="str">
        <f t="shared" si="892"/>
        <v>T</v>
      </c>
      <c r="AW862" s="1080">
        <f t="shared" si="835"/>
        <v>0</v>
      </c>
      <c r="AX862" s="1080">
        <f t="shared" si="836"/>
        <v>0</v>
      </c>
      <c r="AY862" s="1080">
        <f t="shared" si="837"/>
        <v>0</v>
      </c>
      <c r="AZ862" s="1080">
        <f t="shared" si="838"/>
        <v>0</v>
      </c>
      <c r="BA862" s="1080">
        <f t="shared" si="839"/>
        <v>0</v>
      </c>
      <c r="BB862" s="1080">
        <f>IF(AND(RACE=1,'Main Creation Page'!$E$6="Well",OR(ISNUMBER(FIND(Experience!$G$11,BE862)),ISNUMBER(FIND(Experience!$G$11,BF862)),ISNUMBER(FIND(Experience!$I$11,BE862)),ISNUMBER(FIND(Experience!$I$11,BF862)))),1,0)</f>
        <v>0</v>
      </c>
      <c r="BC862" s="1080" t="str">
        <f t="shared" si="871"/>
        <v>Detecting Mantraps</v>
      </c>
      <c r="BE862" s="1080" t="str">
        <f t="shared" si="833"/>
        <v/>
      </c>
      <c r="BF862" s="1080" t="str">
        <f t="shared" si="872"/>
        <v>Thievish Skills</v>
      </c>
    </row>
    <row r="863" spans="1:58" ht="11.1" customHeight="1" outlineLevel="1">
      <c r="A863" s="1117" t="s">
        <v>33</v>
      </c>
      <c r="B863" s="1094"/>
      <c r="C863" s="1094" t="s">
        <v>4629</v>
      </c>
      <c r="D863" s="1094"/>
      <c r="E863" s="1095" t="s">
        <v>5224</v>
      </c>
      <c r="F863" s="1095" t="s">
        <v>5224</v>
      </c>
      <c r="G863" s="1096">
        <v>0</v>
      </c>
      <c r="H863" s="1096" t="s">
        <v>5224</v>
      </c>
      <c r="I863" s="1096" t="s">
        <v>5224</v>
      </c>
      <c r="J863" s="1096" t="s">
        <v>5224</v>
      </c>
      <c r="K863" s="1096" t="s">
        <v>5224</v>
      </c>
      <c r="L863" s="1096" t="s">
        <v>5224</v>
      </c>
      <c r="M863" s="1096" t="s">
        <v>5224</v>
      </c>
      <c r="N863" s="1096" t="s">
        <v>4631</v>
      </c>
      <c r="O863" s="1028"/>
      <c r="P863" s="1028" t="s">
        <v>3616</v>
      </c>
      <c r="Q863" s="1097">
        <f t="shared" ca="1" si="893"/>
        <v>17</v>
      </c>
      <c r="R863" s="1028"/>
      <c r="S863" s="1028" t="s">
        <v>3611</v>
      </c>
      <c r="T863" s="1097">
        <f t="shared" ca="1" si="894"/>
        <v>15</v>
      </c>
      <c r="U863" s="1027">
        <v>5</v>
      </c>
      <c r="V863" s="1027">
        <f t="shared" si="895"/>
        <v>6</v>
      </c>
      <c r="W863" s="1098" t="e">
        <f>IF(OR(I863&lt;&gt;"N",E863="C"),IF(AND(N863&lt;&gt;"T",ISNUMBER(FIND("V",I863))),1,0),NA())+IF(H863="Y",IF(AND(N863="P",ISNUMBER(FIND("Z",I863))),2,1),0)+IF(J863="Y",1,0)+IF(K863="Y",3,0)+IF(BE863="Lore",L863*2+Experience!$D$25,0)+IF(M863="Y",1,0)</f>
        <v>#N/A</v>
      </c>
      <c r="X863" s="1099"/>
      <c r="Y863" s="1100">
        <f ca="1">IF(P863="NS",IFERROR(INDIRECT(S863),NA()),VLOOKUP(INDIRECT(P863)+INDIRECT(S863),'System Lookups'!$A$3:$D$146,2))</f>
        <v>0.08</v>
      </c>
      <c r="Z863" s="1100">
        <f t="shared" si="896"/>
        <v>0</v>
      </c>
      <c r="AA863" s="1101">
        <f t="shared" ca="1" si="897"/>
        <v>0.08</v>
      </c>
      <c r="AB863" s="1102">
        <f>VLOOKUP(V863,'System Lookups'!$J$55:$P$64,3)</f>
        <v>0.05</v>
      </c>
      <c r="AC863" s="1103">
        <f>VLOOKUP(V863,'System Lookups'!$J$55:$P$64,4)</f>
        <v>0.1</v>
      </c>
      <c r="AD863" s="1104">
        <f t="shared" ca="1" si="898"/>
        <v>0.13</v>
      </c>
      <c r="AE863" s="1094">
        <f ca="1">(IF(AD863&gt;VLOOKUP(V863,'System Lookups'!$J$55:$P$63,6),(((AD863-VLOOKUP(V863,'System Lookups'!$J$55:$P$63,6))*100)/20),0))+AF863</f>
        <v>0</v>
      </c>
      <c r="AF863" s="1094"/>
      <c r="AG863" s="1092">
        <f t="shared" si="899"/>
        <v>0</v>
      </c>
      <c r="AH863" s="1092" t="str">
        <f>IF(X863&lt;=Experience!$R$15+1,"","*")</f>
        <v/>
      </c>
      <c r="AI863" s="1092"/>
      <c r="AJ863" s="1080">
        <f t="shared" si="900"/>
        <v>0</v>
      </c>
      <c r="AK863" s="1080">
        <f t="shared" si="901"/>
        <v>0</v>
      </c>
      <c r="AL863" s="1080">
        <f t="shared" si="902"/>
        <v>0</v>
      </c>
      <c r="AM863" s="1092">
        <f t="shared" si="903"/>
        <v>0</v>
      </c>
      <c r="AN863" s="1080">
        <f t="shared" si="904"/>
        <v>1</v>
      </c>
      <c r="AO863" s="1080">
        <f t="shared" si="905"/>
        <v>0</v>
      </c>
      <c r="AP863" s="1080">
        <f t="shared" si="906"/>
        <v>1</v>
      </c>
      <c r="AQ863" s="1027">
        <f>VLOOKUP(V863,'System Lookups'!$J$55:$P$64,7)</f>
        <v>800</v>
      </c>
      <c r="AR863" s="1080" t="str">
        <f ca="1">IF(AND(NOT(ISBLANK(AJ863)),ISNA(MATCH(ROW(),'System Lookups'!$C$526:$C$539,0))),"Y","N")</f>
        <v>Y</v>
      </c>
      <c r="AS863" s="1080">
        <f t="shared" si="907"/>
        <v>0</v>
      </c>
      <c r="AU863" s="1080" t="e">
        <f t="shared" si="834"/>
        <v>#N/A</v>
      </c>
      <c r="AV863" s="1080" t="str">
        <f t="shared" si="892"/>
        <v>T</v>
      </c>
      <c r="AW863" s="1080">
        <f t="shared" si="835"/>
        <v>0</v>
      </c>
      <c r="AX863" s="1080">
        <f t="shared" si="836"/>
        <v>0</v>
      </c>
      <c r="AY863" s="1080">
        <f t="shared" si="837"/>
        <v>0</v>
      </c>
      <c r="AZ863" s="1080">
        <f t="shared" si="838"/>
        <v>0</v>
      </c>
      <c r="BA863" s="1080">
        <f t="shared" si="839"/>
        <v>0</v>
      </c>
      <c r="BB863" s="1080">
        <f>IF(AND(RACE=1,'Main Creation Page'!$E$6="Well",OR(ISNUMBER(FIND(Experience!$G$11,BE863)),ISNUMBER(FIND(Experience!$G$11,BF863)),ISNUMBER(FIND(Experience!$I$11,BE863)),ISNUMBER(FIND(Experience!$I$11,BF863)))),1,0)</f>
        <v>0</v>
      </c>
      <c r="BC863" s="1080" t="str">
        <f t="shared" si="871"/>
        <v>Detecting Thievery</v>
      </c>
      <c r="BE863" s="1080" t="str">
        <f t="shared" si="833"/>
        <v/>
      </c>
      <c r="BF863" s="1080" t="str">
        <f t="shared" si="872"/>
        <v>Thievish Skills</v>
      </c>
    </row>
    <row r="864" spans="1:58" ht="11.1" customHeight="1" outlineLevel="1">
      <c r="A864" s="1117" t="s">
        <v>3288</v>
      </c>
      <c r="B864" s="1094"/>
      <c r="C864" s="1094"/>
      <c r="D864" s="1094"/>
      <c r="E864" s="1095" t="s">
        <v>5224</v>
      </c>
      <c r="F864" s="1095" t="s">
        <v>5224</v>
      </c>
      <c r="G864" s="1096">
        <v>0</v>
      </c>
      <c r="H864" s="1096" t="s">
        <v>5224</v>
      </c>
      <c r="I864" s="1096" t="s">
        <v>5224</v>
      </c>
      <c r="J864" s="1096" t="s">
        <v>5224</v>
      </c>
      <c r="K864" s="1096" t="s">
        <v>5224</v>
      </c>
      <c r="L864" s="1096" t="s">
        <v>5224</v>
      </c>
      <c r="M864" s="1096" t="s">
        <v>5224</v>
      </c>
      <c r="N864" s="1096" t="s">
        <v>4631</v>
      </c>
      <c r="O864" s="1028"/>
      <c r="P864" s="1028" t="s">
        <v>780</v>
      </c>
      <c r="Q864" s="1097">
        <f t="shared" ca="1" si="893"/>
        <v>17</v>
      </c>
      <c r="R864" s="1034"/>
      <c r="S864" s="1028" t="s">
        <v>3616</v>
      </c>
      <c r="T864" s="1097">
        <f t="shared" ca="1" si="894"/>
        <v>17</v>
      </c>
      <c r="U864" s="1027">
        <v>3</v>
      </c>
      <c r="V864" s="1027">
        <f t="shared" si="895"/>
        <v>4</v>
      </c>
      <c r="W864" s="1098" t="e">
        <f>IF(OR(I864&lt;&gt;"N",E864="C"),IF(AND(N864&lt;&gt;"T",ISNUMBER(FIND("V",I864))),1,0),NA())+IF(H864="Y",IF(AND(N864="P",ISNUMBER(FIND("Z",I864))),2,1),0)+IF(J864="Y",1,0)+IF(K864="Y",3,0)+IF(BE864="Lore",L864*2+Experience!$D$25,0)+IF(M864="Y",1,0)</f>
        <v>#N/A</v>
      </c>
      <c r="X864" s="1099"/>
      <c r="Y864" s="1100">
        <f ca="1">IF(P864="NS",IFERROR(INDIRECT(S864),NA()),VLOOKUP(INDIRECT(P864)+INDIRECT(S864),'System Lookups'!$A$3:$D$146,2))</f>
        <v>0.1</v>
      </c>
      <c r="Z864" s="1100">
        <f t="shared" si="896"/>
        <v>0</v>
      </c>
      <c r="AA864" s="1101">
        <f t="shared" ca="1" si="897"/>
        <v>0.1</v>
      </c>
      <c r="AB864" s="1102">
        <f>VLOOKUP(V864,'System Lookups'!$J$55:$P$64,3)</f>
        <v>0.2</v>
      </c>
      <c r="AC864" s="1103">
        <f>VLOOKUP(V864,'System Lookups'!$J$55:$P$64,4)</f>
        <v>0.3</v>
      </c>
      <c r="AD864" s="1104">
        <f t="shared" ca="1" si="898"/>
        <v>0.30000000000000004</v>
      </c>
      <c r="AE864" s="1094">
        <f ca="1">(IF(AD864&gt;VLOOKUP(V864,'System Lookups'!$J$55:$P$63,6),(((AD864-VLOOKUP(V864,'System Lookups'!$J$55:$P$63,6))*100)/20),0))+AF864</f>
        <v>0</v>
      </c>
      <c r="AF864" s="1094"/>
      <c r="AG864" s="1092">
        <f t="shared" si="899"/>
        <v>0</v>
      </c>
      <c r="AH864" s="1092" t="str">
        <f>IF(X864&lt;=Experience!$R$15+1,"","*")</f>
        <v/>
      </c>
      <c r="AI864" s="1092"/>
      <c r="AJ864" s="1080">
        <f t="shared" si="900"/>
        <v>0</v>
      </c>
      <c r="AK864" s="1080">
        <f t="shared" si="901"/>
        <v>0</v>
      </c>
      <c r="AL864" s="1080">
        <f t="shared" si="902"/>
        <v>0</v>
      </c>
      <c r="AM864" s="1092">
        <f t="shared" si="903"/>
        <v>0</v>
      </c>
      <c r="AN864" s="1080">
        <f t="shared" si="904"/>
        <v>1</v>
      </c>
      <c r="AO864" s="1080">
        <f t="shared" si="905"/>
        <v>0</v>
      </c>
      <c r="AP864" s="1080">
        <f t="shared" si="906"/>
        <v>1</v>
      </c>
      <c r="AQ864" s="1027">
        <f>VLOOKUP(V864,'System Lookups'!$J$55:$P$64,7)</f>
        <v>600</v>
      </c>
      <c r="AR864" s="1080" t="str">
        <f ca="1">IF(AND(NOT(ISBLANK(AJ864)),ISNA(MATCH(ROW(),'System Lookups'!$C$526:$C$539,0))),"Y","N")</f>
        <v>Y</v>
      </c>
      <c r="AS864" s="1080">
        <f t="shared" si="907"/>
        <v>0</v>
      </c>
      <c r="AU864" s="1080" t="e">
        <f t="shared" si="834"/>
        <v>#N/A</v>
      </c>
      <c r="AV864" s="1080" t="str">
        <f t="shared" si="892"/>
        <v>T</v>
      </c>
      <c r="AW864" s="1080">
        <f t="shared" si="835"/>
        <v>0</v>
      </c>
      <c r="AX864" s="1080">
        <f t="shared" si="836"/>
        <v>0</v>
      </c>
      <c r="AY864" s="1080">
        <f t="shared" si="837"/>
        <v>0</v>
      </c>
      <c r="AZ864" s="1080">
        <f t="shared" si="838"/>
        <v>0</v>
      </c>
      <c r="BA864" s="1080">
        <f t="shared" si="839"/>
        <v>0</v>
      </c>
      <c r="BB864" s="1080">
        <f>IF(AND(RACE=1,'Main Creation Page'!$E$6="Well",OR(ISNUMBER(FIND(Experience!$G$11,BE864)),ISNUMBER(FIND(Experience!$G$11,BF864)),ISNUMBER(FIND(Experience!$I$11,BE864)),ISNUMBER(FIND(Experience!$I$11,BF864)))),1,0)</f>
        <v>0</v>
      </c>
      <c r="BC864" s="1080" t="str">
        <f t="shared" si="871"/>
        <v>Disguises</v>
      </c>
      <c r="BE864" s="1080" t="str">
        <f t="shared" si="833"/>
        <v/>
      </c>
      <c r="BF864" s="1080" t="str">
        <f t="shared" si="872"/>
        <v>Thievish Skills</v>
      </c>
    </row>
    <row r="865" spans="1:58" ht="11.1" customHeight="1" outlineLevel="1">
      <c r="A865" s="1117" t="s">
        <v>3289</v>
      </c>
      <c r="B865" s="1094"/>
      <c r="C865" s="1094"/>
      <c r="D865" s="1094"/>
      <c r="E865" s="1095" t="s">
        <v>5224</v>
      </c>
      <c r="F865" s="1095" t="s">
        <v>5224</v>
      </c>
      <c r="G865" s="1096">
        <v>0</v>
      </c>
      <c r="H865" s="1096" t="s">
        <v>5224</v>
      </c>
      <c r="I865" s="1096" t="s">
        <v>5224</v>
      </c>
      <c r="J865" s="1096" t="s">
        <v>5224</v>
      </c>
      <c r="K865" s="1096" t="s">
        <v>5224</v>
      </c>
      <c r="L865" s="1096" t="s">
        <v>5224</v>
      </c>
      <c r="M865" s="1096" t="s">
        <v>5224</v>
      </c>
      <c r="N865" s="1096" t="s">
        <v>4631</v>
      </c>
      <c r="O865" s="1028"/>
      <c r="P865" s="1028" t="s">
        <v>780</v>
      </c>
      <c r="Q865" s="1097">
        <f t="shared" ca="1" si="893"/>
        <v>17</v>
      </c>
      <c r="R865" s="1034"/>
      <c r="S865" s="1028" t="s">
        <v>3616</v>
      </c>
      <c r="T865" s="1097">
        <f t="shared" ca="1" si="894"/>
        <v>17</v>
      </c>
      <c r="U865" s="1027">
        <v>2</v>
      </c>
      <c r="V865" s="1027">
        <f t="shared" si="895"/>
        <v>3</v>
      </c>
      <c r="W865" s="1098" t="e">
        <f>IF(OR(I865&lt;&gt;"N",E865="C"),IF(AND(N865&lt;&gt;"T",ISNUMBER(FIND("V",I865))),1,0),NA())+IF(H865="Y",IF(AND(N865="P",ISNUMBER(FIND("Z",I865))),2,1),0)+IF(J865="Y",1,0)+IF(K865="Y",3,0)+IF(BE865="Lore",L865*2+Experience!$D$25,0)+IF(M865="Y",1,0)</f>
        <v>#N/A</v>
      </c>
      <c r="X865" s="1099"/>
      <c r="Y865" s="1100">
        <f ca="1">IF(P865="NS",IFERROR(INDIRECT(S865),NA()),VLOOKUP(INDIRECT(P865)+INDIRECT(S865),'System Lookups'!$A$3:$D$146,2))</f>
        <v>0.1</v>
      </c>
      <c r="Z865" s="1100">
        <f t="shared" si="896"/>
        <v>0</v>
      </c>
      <c r="AA865" s="1101">
        <f t="shared" ca="1" si="897"/>
        <v>0.1</v>
      </c>
      <c r="AB865" s="1102">
        <f>VLOOKUP(V865,'System Lookups'!$J$55:$P$64,3)</f>
        <v>0.3</v>
      </c>
      <c r="AC865" s="1103">
        <f>VLOOKUP(V865,'System Lookups'!$J$55:$P$64,4)</f>
        <v>0.4</v>
      </c>
      <c r="AD865" s="1104">
        <f t="shared" ca="1" si="898"/>
        <v>0.4</v>
      </c>
      <c r="AE865" s="1094">
        <f ca="1">(IF(AD865&gt;VLOOKUP(V865,'System Lookups'!$J$55:$P$63,6),(((AD865-VLOOKUP(V865,'System Lookups'!$J$55:$P$63,6))*100)/20),0))+AF865</f>
        <v>0</v>
      </c>
      <c r="AF865" s="1094"/>
      <c r="AG865" s="1092">
        <f t="shared" si="899"/>
        <v>0</v>
      </c>
      <c r="AH865" s="1092" t="str">
        <f>IF(X865&lt;=Experience!$R$15+1,"","*")</f>
        <v/>
      </c>
      <c r="AI865" s="1092"/>
      <c r="AJ865" s="1080">
        <f t="shared" si="900"/>
        <v>0</v>
      </c>
      <c r="AK865" s="1080">
        <f t="shared" si="901"/>
        <v>0</v>
      </c>
      <c r="AL865" s="1080">
        <f t="shared" si="902"/>
        <v>0</v>
      </c>
      <c r="AM865" s="1092">
        <f t="shared" si="903"/>
        <v>0</v>
      </c>
      <c r="AN865" s="1080">
        <f t="shared" si="904"/>
        <v>1</v>
      </c>
      <c r="AO865" s="1080">
        <f t="shared" si="905"/>
        <v>0</v>
      </c>
      <c r="AP865" s="1080">
        <f t="shared" si="906"/>
        <v>1</v>
      </c>
      <c r="AQ865" s="1027">
        <f>VLOOKUP(V865,'System Lookups'!$J$55:$P$64,7)</f>
        <v>500</v>
      </c>
      <c r="AR865" s="1080" t="str">
        <f ca="1">IF(AND(NOT(ISBLANK(AJ865)),ISNA(MATCH(ROW(),'System Lookups'!$C$526:$C$539,0))),"Y","N")</f>
        <v>Y</v>
      </c>
      <c r="AS865" s="1080">
        <f t="shared" si="907"/>
        <v>0</v>
      </c>
      <c r="AU865" s="1080" t="e">
        <f t="shared" si="834"/>
        <v>#N/A</v>
      </c>
      <c r="AV865" s="1080" t="str">
        <f t="shared" si="892"/>
        <v>T</v>
      </c>
      <c r="AW865" s="1080">
        <f t="shared" si="835"/>
        <v>0</v>
      </c>
      <c r="AX865" s="1080">
        <f t="shared" si="836"/>
        <v>0</v>
      </c>
      <c r="AY865" s="1080">
        <f t="shared" si="837"/>
        <v>0</v>
      </c>
      <c r="AZ865" s="1080">
        <f t="shared" si="838"/>
        <v>0</v>
      </c>
      <c r="BA865" s="1080">
        <f t="shared" si="839"/>
        <v>0</v>
      </c>
      <c r="BB865" s="1080">
        <f>IF(AND(RACE=1,'Main Creation Page'!$E$6="Well",OR(ISNUMBER(FIND(Experience!$G$11,BE865)),ISNUMBER(FIND(Experience!$G$11,BF865)),ISNUMBER(FIND(Experience!$I$11,BE865)),ISNUMBER(FIND(Experience!$I$11,BF865)))),1,0)</f>
        <v>0</v>
      </c>
      <c r="BC865" s="1080" t="str">
        <f t="shared" si="871"/>
        <v>Evaluating Loot</v>
      </c>
      <c r="BE865" s="1080" t="str">
        <f t="shared" si="833"/>
        <v/>
      </c>
      <c r="BF865" s="1080" t="str">
        <f t="shared" si="872"/>
        <v>Thievish Skills</v>
      </c>
    </row>
    <row r="866" spans="1:58" ht="11.1" customHeight="1" outlineLevel="1">
      <c r="A866" s="1123" t="s">
        <v>5599</v>
      </c>
      <c r="B866" s="1094"/>
      <c r="C866" s="1094" t="s">
        <v>4629</v>
      </c>
      <c r="D866" s="1094"/>
      <c r="E866" s="1095" t="s">
        <v>5224</v>
      </c>
      <c r="F866" s="1095" t="s">
        <v>5224</v>
      </c>
      <c r="G866" s="1096">
        <v>0</v>
      </c>
      <c r="H866" s="1096" t="s">
        <v>5224</v>
      </c>
      <c r="I866" s="1096" t="s">
        <v>5224</v>
      </c>
      <c r="J866" s="1096" t="s">
        <v>5224</v>
      </c>
      <c r="K866" s="1096" t="s">
        <v>5224</v>
      </c>
      <c r="L866" s="1096" t="s">
        <v>5224</v>
      </c>
      <c r="M866" s="1096" t="s">
        <v>5224</v>
      </c>
      <c r="N866" s="1096" t="s">
        <v>4631</v>
      </c>
      <c r="O866" s="1028"/>
      <c r="P866" s="1028" t="s">
        <v>3616</v>
      </c>
      <c r="Q866" s="1097">
        <f t="shared" ca="1" si="893"/>
        <v>17</v>
      </c>
      <c r="R866" s="1028"/>
      <c r="S866" s="1028" t="s">
        <v>3611</v>
      </c>
      <c r="T866" s="1097">
        <f t="shared" ca="1" si="894"/>
        <v>15</v>
      </c>
      <c r="U866" s="1027">
        <v>4</v>
      </c>
      <c r="V866" s="1027">
        <f t="shared" si="895"/>
        <v>5</v>
      </c>
      <c r="W866" s="1098" t="e">
        <f>IF(OR(I866&lt;&gt;"N",E866="C"),IF(AND(N866&lt;&gt;"T",ISNUMBER(FIND("V",I866))),1,0),NA())+IF(H866="Y",IF(AND(N866="P",ISNUMBER(FIND("Z",I866))),2,1),0)+IF(J866="Y",1,0)+IF(K866="Y",3,0)+IF(BE866="Lore",L866*2+Experience!$D$25,0)+IF(M866="Y",1,0)</f>
        <v>#N/A</v>
      </c>
      <c r="X866" s="1099"/>
      <c r="Y866" s="1100">
        <f ca="1">IF(P866="NS",IFERROR(INDIRECT(S866),NA()),VLOOKUP(INDIRECT(P866)+INDIRECT(S866),'System Lookups'!$A$3:$D$146,2))</f>
        <v>0.08</v>
      </c>
      <c r="Z866" s="1100">
        <f t="shared" si="896"/>
        <v>0</v>
      </c>
      <c r="AA866" s="1101">
        <f t="shared" ref="AA866" ca="1" si="908">IF(ISNA(Y866),0,Y866)+Z866</f>
        <v>0.08</v>
      </c>
      <c r="AB866" s="1102">
        <f>VLOOKUP(V866,'System Lookups'!$J$55:$P$64,3)</f>
        <v>0.1</v>
      </c>
      <c r="AC866" s="1103">
        <f>VLOOKUP(V866,'System Lookups'!$J$55:$P$64,4)</f>
        <v>0.2</v>
      </c>
      <c r="AD866" s="1104">
        <f t="shared" ca="1" si="898"/>
        <v>0.18</v>
      </c>
      <c r="AE866" s="1094">
        <f ca="1">(IF(AD866&gt;VLOOKUP(V866,'System Lookups'!$J$55:$P$63,6),(((AD866-VLOOKUP(V866,'System Lookups'!$J$55:$P$63,6))*100)/20),0))+AF866</f>
        <v>0</v>
      </c>
      <c r="AF866" s="1094"/>
      <c r="AG866" s="1092">
        <f t="shared" si="899"/>
        <v>0</v>
      </c>
      <c r="AH866" s="1092" t="str">
        <f>IF(X866&lt;=Experience!$R$15+1,"","*")</f>
        <v/>
      </c>
      <c r="AI866" s="1092"/>
      <c r="AJ866" s="1080">
        <f t="shared" si="900"/>
        <v>0</v>
      </c>
      <c r="AK866" s="1080">
        <f t="shared" ref="AK866" si="909">IF(F866="s",-2,0)</f>
        <v>0</v>
      </c>
      <c r="AL866" s="1080">
        <f t="shared" si="902"/>
        <v>0</v>
      </c>
      <c r="AM866" s="1092">
        <f t="shared" ref="AM866" si="910">IF(J866="y",1,0)</f>
        <v>0</v>
      </c>
      <c r="AN866" s="1080">
        <f t="shared" ref="AN866" si="911">IF(N866="P",-1,IF(N866="T",1,0))</f>
        <v>1</v>
      </c>
      <c r="AO866" s="1080">
        <f t="shared" si="905"/>
        <v>0</v>
      </c>
      <c r="AP866" s="1080">
        <f t="shared" si="906"/>
        <v>1</v>
      </c>
      <c r="AQ866" s="1027">
        <f>VLOOKUP(V866,'System Lookups'!$J$55:$P$64,7)</f>
        <v>700</v>
      </c>
      <c r="AR866" s="1080" t="str">
        <f ca="1">IF(AND(NOT(ISBLANK(AJ866)),ISNA(MATCH(ROW(),'System Lookups'!$C$526:$C$539,0))),"Y","N")</f>
        <v>Y</v>
      </c>
      <c r="AS866" s="1080">
        <f t="shared" si="907"/>
        <v>0</v>
      </c>
      <c r="AU866" s="1080" t="e">
        <f t="shared" si="834"/>
        <v>#N/A</v>
      </c>
      <c r="AV866" s="1080" t="str">
        <f t="shared" si="892"/>
        <v>T</v>
      </c>
      <c r="AW866" s="1080">
        <f t="shared" si="835"/>
        <v>0</v>
      </c>
      <c r="AX866" s="1080">
        <f t="shared" si="836"/>
        <v>0</v>
      </c>
      <c r="AY866" s="1080">
        <f t="shared" si="837"/>
        <v>0</v>
      </c>
      <c r="AZ866" s="1080">
        <f t="shared" si="838"/>
        <v>0</v>
      </c>
      <c r="BA866" s="1080">
        <f t="shared" si="839"/>
        <v>0</v>
      </c>
      <c r="BB866" s="1080">
        <f>IF(AND(RACE=1,'Main Creation Page'!$E$6="Well",OR(ISNUMBER(FIND(Experience!$G$11,BE866)),ISNUMBER(FIND(Experience!$G$11,BF866)),ISNUMBER(FIND(Experience!$I$11,BE866)),ISNUMBER(FIND(Experience!$I$11,BF866)))),1,0)</f>
        <v>0</v>
      </c>
      <c r="BC866" s="1080" t="str">
        <f t="shared" si="871"/>
        <v>Forging One's Hand</v>
      </c>
      <c r="BE866" s="1080" t="str">
        <f t="shared" si="833"/>
        <v/>
      </c>
      <c r="BF866" s="1080" t="str">
        <f t="shared" si="872"/>
        <v>Thievish Skills</v>
      </c>
    </row>
    <row r="867" spans="1:58" ht="11.1" customHeight="1" outlineLevel="1">
      <c r="A867" s="1117" t="s">
        <v>1869</v>
      </c>
      <c r="B867" s="1094" t="s">
        <v>1942</v>
      </c>
      <c r="C867" s="1094"/>
      <c r="D867" s="1094"/>
      <c r="E867" s="1095" t="s">
        <v>5224</v>
      </c>
      <c r="F867" s="1095" t="s">
        <v>5224</v>
      </c>
      <c r="G867" s="1096">
        <v>0</v>
      </c>
      <c r="H867" s="1096" t="s">
        <v>5224</v>
      </c>
      <c r="I867" s="1096" t="s">
        <v>5224</v>
      </c>
      <c r="J867" s="1096" t="s">
        <v>5224</v>
      </c>
      <c r="K867" s="1096" t="s">
        <v>5224</v>
      </c>
      <c r="L867" s="1096" t="s">
        <v>5224</v>
      </c>
      <c r="M867" s="1096" t="s">
        <v>5224</v>
      </c>
      <c r="N867" s="1096" t="s">
        <v>4631</v>
      </c>
      <c r="O867" s="1028"/>
      <c r="P867" s="1028" t="s">
        <v>3615</v>
      </c>
      <c r="Q867" s="1097">
        <f t="shared" ca="1" si="893"/>
        <v>20</v>
      </c>
      <c r="R867" s="1028"/>
      <c r="S867" s="1028" t="s">
        <v>3611</v>
      </c>
      <c r="T867" s="1097">
        <f t="shared" ca="1" si="894"/>
        <v>15</v>
      </c>
      <c r="U867" s="1027">
        <v>4</v>
      </c>
      <c r="V867" s="1027">
        <f t="shared" si="895"/>
        <v>5</v>
      </c>
      <c r="W867" s="1098" t="e">
        <f>IF(OR(I867&lt;&gt;"N",E867="C"),IF(AND(N867&lt;&gt;"T",ISNUMBER(FIND("V",I867))),1,0),NA())+IF(H867="Y",IF(AND(N867="P",ISNUMBER(FIND("Z",I867))),2,1),0)+IF(J867="Y",1,0)+IF(K867="Y",3,0)+IF(BE867="Lore",L867*2+Experience!$D$25,0)+IF(M867="Y",1,0)</f>
        <v>#N/A</v>
      </c>
      <c r="X867" s="1099"/>
      <c r="Y867" s="1100">
        <f ca="1">IF(P867="NS",IFERROR(INDIRECT(S867),NA()),VLOOKUP(INDIRECT(P867)+INDIRECT(S867),'System Lookups'!$A$3:$D$146,2))</f>
        <v>0.12</v>
      </c>
      <c r="Z867" s="1100">
        <f t="shared" si="896"/>
        <v>0</v>
      </c>
      <c r="AA867" s="1101">
        <f t="shared" ca="1" si="897"/>
        <v>0.12</v>
      </c>
      <c r="AB867" s="1102">
        <f>VLOOKUP(V867,'System Lookups'!$J$55:$P$64,3)</f>
        <v>0.1</v>
      </c>
      <c r="AC867" s="1103">
        <f>VLOOKUP(V867,'System Lookups'!$J$55:$P$64,4)</f>
        <v>0.2</v>
      </c>
      <c r="AD867" s="1104">
        <f t="shared" si="898"/>
        <v>0</v>
      </c>
      <c r="AE867" s="1094">
        <f>(IF(AD867&gt;VLOOKUP(V867,'System Lookups'!$J$55:$P$63,6),(((AD867-VLOOKUP(V867,'System Lookups'!$J$55:$P$63,6))*100)/20),0))+AF867</f>
        <v>0</v>
      </c>
      <c r="AF867" s="1094"/>
      <c r="AG867" s="1092">
        <f t="shared" si="899"/>
        <v>0</v>
      </c>
      <c r="AH867" s="1092" t="str">
        <f>IF(X867&lt;=Experience!$R$15+1,"","*")</f>
        <v/>
      </c>
      <c r="AI867" s="1092"/>
      <c r="AJ867" s="1080">
        <f t="shared" si="900"/>
        <v>0</v>
      </c>
      <c r="AK867" s="1080">
        <f t="shared" si="901"/>
        <v>0</v>
      </c>
      <c r="AL867" s="1080">
        <f t="shared" si="902"/>
        <v>0</v>
      </c>
      <c r="AM867" s="1092">
        <f t="shared" si="903"/>
        <v>0</v>
      </c>
      <c r="AN867" s="1080">
        <f t="shared" si="904"/>
        <v>1</v>
      </c>
      <c r="AO867" s="1080">
        <f t="shared" si="905"/>
        <v>0</v>
      </c>
      <c r="AP867" s="1080">
        <f t="shared" si="906"/>
        <v>1</v>
      </c>
      <c r="AQ867" s="1027">
        <f>VLOOKUP(V867,'System Lookups'!$J$55:$P$64,7)</f>
        <v>700</v>
      </c>
      <c r="AR867" s="1080" t="str">
        <f ca="1">IF(AND(NOT(ISBLANK(AJ867)),ISNA(MATCH(ROW(),'System Lookups'!$C$526:$C$539,0))),"Y","N")</f>
        <v>Y</v>
      </c>
      <c r="AS867" s="1080">
        <f t="shared" si="907"/>
        <v>0</v>
      </c>
      <c r="AU867" s="1080" t="e">
        <f t="shared" si="834"/>
        <v>#N/A</v>
      </c>
      <c r="AV867" s="1080" t="str">
        <f t="shared" si="892"/>
        <v>T</v>
      </c>
      <c r="AW867" s="1080">
        <f t="shared" si="835"/>
        <v>0</v>
      </c>
      <c r="AX867" s="1080">
        <f t="shared" si="836"/>
        <v>0</v>
      </c>
      <c r="AY867" s="1080">
        <f t="shared" si="837"/>
        <v>0</v>
      </c>
      <c r="AZ867" s="1080">
        <f t="shared" si="838"/>
        <v>0</v>
      </c>
      <c r="BA867" s="1080">
        <f t="shared" si="839"/>
        <v>0</v>
      </c>
      <c r="BB867" s="1080">
        <f>IF(AND(RACE=1,'Main Creation Page'!$E$6="Well",OR(ISNUMBER(FIND(Experience!$G$11,BE867)),ISNUMBER(FIND(Experience!$G$11,BF867)),ISNUMBER(FIND(Experience!$I$11,BE867)),ISNUMBER(FIND(Experience!$I$11,BF867)))),1,0)</f>
        <v>0</v>
      </c>
      <c r="BC867" s="1080" t="str">
        <f t="shared" si="871"/>
        <v>Garroting</v>
      </c>
      <c r="BE867" s="1080" t="str">
        <f t="shared" si="833"/>
        <v/>
      </c>
      <c r="BF867" s="1080" t="str">
        <f t="shared" si="872"/>
        <v>Thievish Skills</v>
      </c>
    </row>
    <row r="868" spans="1:58" ht="11.1" customHeight="1" outlineLevel="1">
      <c r="A868" s="1117" t="s">
        <v>3296</v>
      </c>
      <c r="B868" s="1094"/>
      <c r="C868" s="1094"/>
      <c r="D868" s="1094"/>
      <c r="E868" s="1095" t="s">
        <v>5224</v>
      </c>
      <c r="F868" s="1095" t="s">
        <v>5224</v>
      </c>
      <c r="G868" s="1096">
        <v>0</v>
      </c>
      <c r="H868" s="1096" t="s">
        <v>5224</v>
      </c>
      <c r="I868" s="1096" t="s">
        <v>5224</v>
      </c>
      <c r="J868" s="1096" t="s">
        <v>5224</v>
      </c>
      <c r="K868" s="1096" t="s">
        <v>5224</v>
      </c>
      <c r="L868" s="1096" t="s">
        <v>5224</v>
      </c>
      <c r="M868" s="1096" t="s">
        <v>5224</v>
      </c>
      <c r="N868" s="1096" t="s">
        <v>4631</v>
      </c>
      <c r="O868" s="1028"/>
      <c r="P868" s="1028" t="s">
        <v>780</v>
      </c>
      <c r="Q868" s="1097">
        <f t="shared" ca="1" si="893"/>
        <v>17</v>
      </c>
      <c r="R868" s="1034"/>
      <c r="S868" s="1028" t="s">
        <v>780</v>
      </c>
      <c r="T868" s="1097">
        <f t="shared" ca="1" si="894"/>
        <v>17</v>
      </c>
      <c r="U868" s="1027">
        <v>2</v>
      </c>
      <c r="V868" s="1027">
        <f t="shared" si="895"/>
        <v>3</v>
      </c>
      <c r="W868" s="1098" t="e">
        <f>IF(OR(I868&lt;&gt;"N",E868="C"),IF(AND(N868&lt;&gt;"T",ISNUMBER(FIND("V",I868))),1,0),NA())+IF(H868="Y",IF(AND(N868="P",ISNUMBER(FIND("Z",I868))),2,1),0)+IF(J868="Y",1,0)+IF(K868="Y",3,0)+IF(BE868="Lore",L868*2+Experience!$D$25,0)+IF(M868="Y",1,0)</f>
        <v>#N/A</v>
      </c>
      <c r="X868" s="1099"/>
      <c r="Y868" s="1100">
        <f ca="1">IF(P868="NS",IFERROR(INDIRECT(S868),NA()),VLOOKUP(INDIRECT(P868)+INDIRECT(S868),'System Lookups'!$A$3:$D$146,2))</f>
        <v>0.1</v>
      </c>
      <c r="Z868" s="1100">
        <f t="shared" si="896"/>
        <v>0</v>
      </c>
      <c r="AA868" s="1101">
        <f t="shared" ca="1" si="897"/>
        <v>0.1</v>
      </c>
      <c r="AB868" s="1102">
        <f>VLOOKUP(V868,'System Lookups'!$J$55:$P$64,3)</f>
        <v>0.3</v>
      </c>
      <c r="AC868" s="1103">
        <f>VLOOKUP(V868,'System Lookups'!$J$55:$P$64,4)</f>
        <v>0.4</v>
      </c>
      <c r="AD868" s="1104">
        <f t="shared" ca="1" si="898"/>
        <v>0.4</v>
      </c>
      <c r="AE868" s="1094">
        <f ca="1">(IF(AD868&gt;VLOOKUP(V868,'System Lookups'!$J$55:$P$63,6),(((AD868-VLOOKUP(V868,'System Lookups'!$J$55:$P$63,6))*100)/20),0))+AF868</f>
        <v>0</v>
      </c>
      <c r="AF868" s="1094"/>
      <c r="AG868" s="1092">
        <f t="shared" si="899"/>
        <v>0</v>
      </c>
      <c r="AH868" s="1092" t="str">
        <f>IF(X868&lt;=Experience!$R$15+1,"","*")</f>
        <v/>
      </c>
      <c r="AI868" s="1092"/>
      <c r="AJ868" s="1080">
        <f t="shared" si="900"/>
        <v>0</v>
      </c>
      <c r="AK868" s="1080">
        <f t="shared" si="901"/>
        <v>0</v>
      </c>
      <c r="AL868" s="1080">
        <f t="shared" si="902"/>
        <v>0</v>
      </c>
      <c r="AM868" s="1092">
        <f t="shared" si="903"/>
        <v>0</v>
      </c>
      <c r="AN868" s="1080">
        <f t="shared" si="904"/>
        <v>1</v>
      </c>
      <c r="AO868" s="1080">
        <f t="shared" si="905"/>
        <v>0</v>
      </c>
      <c r="AP868" s="1080">
        <f t="shared" si="906"/>
        <v>1</v>
      </c>
      <c r="AQ868" s="1027">
        <f>VLOOKUP(V868,'System Lookups'!$J$55:$P$64,7)</f>
        <v>500</v>
      </c>
      <c r="AR868" s="1080" t="str">
        <f ca="1">IF(AND(NOT(ISBLANK(AJ868)),ISNA(MATCH(ROW(),'System Lookups'!$C$526:$C$539,0))),"Y","N")</f>
        <v>Y</v>
      </c>
      <c r="AS868" s="1080">
        <f t="shared" si="907"/>
        <v>0</v>
      </c>
      <c r="AU868" s="1080" t="e">
        <f t="shared" si="834"/>
        <v>#N/A</v>
      </c>
      <c r="AV868" s="1080" t="str">
        <f t="shared" si="892"/>
        <v>T</v>
      </c>
      <c r="AW868" s="1080">
        <f t="shared" si="835"/>
        <v>0</v>
      </c>
      <c r="AX868" s="1080">
        <f t="shared" si="836"/>
        <v>0</v>
      </c>
      <c r="AY868" s="1080">
        <f t="shared" si="837"/>
        <v>0</v>
      </c>
      <c r="AZ868" s="1080">
        <f t="shared" si="838"/>
        <v>0</v>
      </c>
      <c r="BA868" s="1080">
        <f t="shared" si="839"/>
        <v>0</v>
      </c>
      <c r="BB868" s="1080">
        <f>IF(AND(RACE=1,'Main Creation Page'!$E$6="Well",OR(ISNUMBER(FIND(Experience!$G$11,BE868)),ISNUMBER(FIND(Experience!$G$11,BF868)),ISNUMBER(FIND(Experience!$I$11,BE868)),ISNUMBER(FIND(Experience!$I$11,BF868)))),1,0)</f>
        <v>0</v>
      </c>
      <c r="BC868" s="1080" t="str">
        <f t="shared" si="871"/>
        <v>Hearing Rumors</v>
      </c>
      <c r="BE868" s="1080" t="str">
        <f t="shared" si="833"/>
        <v/>
      </c>
      <c r="BF868" s="1080" t="str">
        <f t="shared" si="872"/>
        <v>Thievish Skills</v>
      </c>
    </row>
    <row r="869" spans="1:58" ht="11.1" customHeight="1" outlineLevel="1">
      <c r="A869" s="1117" t="s">
        <v>3297</v>
      </c>
      <c r="B869" s="1094"/>
      <c r="C869" s="1094"/>
      <c r="D869" s="1094"/>
      <c r="E869" s="1095" t="s">
        <v>5224</v>
      </c>
      <c r="F869" s="1095" t="s">
        <v>5224</v>
      </c>
      <c r="G869" s="1096">
        <v>0</v>
      </c>
      <c r="H869" s="1096" t="s">
        <v>5224</v>
      </c>
      <c r="I869" s="1096" t="s">
        <v>5224</v>
      </c>
      <c r="J869" s="1096" t="s">
        <v>5224</v>
      </c>
      <c r="K869" s="1096" t="s">
        <v>5224</v>
      </c>
      <c r="L869" s="1096" t="s">
        <v>5224</v>
      </c>
      <c r="M869" s="1096" t="s">
        <v>5224</v>
      </c>
      <c r="N869" s="1096" t="s">
        <v>4631</v>
      </c>
      <c r="O869" s="1028"/>
      <c r="P869" s="1028" t="s">
        <v>3615</v>
      </c>
      <c r="Q869" s="1097">
        <f t="shared" ca="1" si="893"/>
        <v>20</v>
      </c>
      <c r="R869" s="1028"/>
      <c r="S869" s="1028" t="s">
        <v>3615</v>
      </c>
      <c r="T869" s="1097">
        <f t="shared" ca="1" si="894"/>
        <v>20</v>
      </c>
      <c r="U869" s="1027">
        <v>4</v>
      </c>
      <c r="V869" s="1027">
        <f t="shared" si="895"/>
        <v>5</v>
      </c>
      <c r="W869" s="1098" t="e">
        <f>IF(OR(I869&lt;&gt;"N",E869="C"),IF(AND(N869&lt;&gt;"T",ISNUMBER(FIND("V",I869))),1,0),NA())+IF(H869="Y",IF(AND(N869="P",ISNUMBER(FIND("Z",I869))),2,1),0)+IF(J869="Y",1,0)+IF(K869="Y",3,0)+IF(BE869="Lore",L869*2+Experience!$D$25,0)+IF(M869="Y",1,0)</f>
        <v>#N/A</v>
      </c>
      <c r="X869" s="1099"/>
      <c r="Y869" s="1100">
        <f ca="1">IF(P869="NS",IFERROR(INDIRECT(S869),NA()),VLOOKUP(INDIRECT(P869)+INDIRECT(S869),'System Lookups'!$A$3:$D$146,2))</f>
        <v>0.2</v>
      </c>
      <c r="Z869" s="1100">
        <f t="shared" si="896"/>
        <v>0</v>
      </c>
      <c r="AA869" s="1101">
        <f t="shared" ca="1" si="897"/>
        <v>0.2</v>
      </c>
      <c r="AB869" s="1102">
        <f>VLOOKUP(V869,'System Lookups'!$J$55:$P$64,3)</f>
        <v>0.1</v>
      </c>
      <c r="AC869" s="1103">
        <f>VLOOKUP(V869,'System Lookups'!$J$55:$P$64,4)</f>
        <v>0.2</v>
      </c>
      <c r="AD869" s="1104">
        <f t="shared" ca="1" si="898"/>
        <v>0.30000000000000004</v>
      </c>
      <c r="AE869" s="1094">
        <f ca="1">(IF(AD869&gt;VLOOKUP(V869,'System Lookups'!$J$55:$P$63,6),(((AD869-VLOOKUP(V869,'System Lookups'!$J$55:$P$63,6))*100)/20),0))+AF869</f>
        <v>0</v>
      </c>
      <c r="AF869" s="1094"/>
      <c r="AG869" s="1092">
        <f t="shared" si="899"/>
        <v>0</v>
      </c>
      <c r="AH869" s="1092" t="str">
        <f>IF(X869&lt;=Experience!$R$15+1,"","*")</f>
        <v/>
      </c>
      <c r="AI869" s="1092"/>
      <c r="AJ869" s="1080">
        <f t="shared" si="900"/>
        <v>0</v>
      </c>
      <c r="AK869" s="1080">
        <f t="shared" si="901"/>
        <v>0</v>
      </c>
      <c r="AL869" s="1080">
        <f t="shared" si="902"/>
        <v>0</v>
      </c>
      <c r="AM869" s="1092">
        <f t="shared" si="903"/>
        <v>0</v>
      </c>
      <c r="AN869" s="1080">
        <f t="shared" si="904"/>
        <v>1</v>
      </c>
      <c r="AO869" s="1080">
        <f t="shared" si="905"/>
        <v>0</v>
      </c>
      <c r="AP869" s="1080">
        <f t="shared" si="906"/>
        <v>1</v>
      </c>
      <c r="AQ869" s="1027">
        <f>VLOOKUP(V869,'System Lookups'!$J$55:$P$64,7)</f>
        <v>700</v>
      </c>
      <c r="AR869" s="1080" t="str">
        <f ca="1">IF(AND(NOT(ISBLANK(AJ869)),ISNA(MATCH(ROW(),'System Lookups'!$C$526:$C$539,0))),"Y","N")</f>
        <v>Y</v>
      </c>
      <c r="AS869" s="1080">
        <f t="shared" si="907"/>
        <v>0</v>
      </c>
      <c r="AU869" s="1080" t="e">
        <f t="shared" si="834"/>
        <v>#N/A</v>
      </c>
      <c r="AV869" s="1080" t="str">
        <f t="shared" si="892"/>
        <v>T</v>
      </c>
      <c r="AW869" s="1080">
        <f t="shared" si="835"/>
        <v>0</v>
      </c>
      <c r="AX869" s="1080">
        <f t="shared" si="836"/>
        <v>0</v>
      </c>
      <c r="AY869" s="1080">
        <f t="shared" si="837"/>
        <v>0</v>
      </c>
      <c r="AZ869" s="1080">
        <f t="shared" si="838"/>
        <v>0</v>
      </c>
      <c r="BA869" s="1080">
        <f t="shared" si="839"/>
        <v>0</v>
      </c>
      <c r="BB869" s="1080">
        <f>IF(AND(RACE=1,'Main Creation Page'!$E$6="Well",OR(ISNUMBER(FIND(Experience!$G$11,BE869)),ISNUMBER(FIND(Experience!$G$11,BF869)),ISNUMBER(FIND(Experience!$I$11,BE869)),ISNUMBER(FIND(Experience!$I$11,BF869)))),1,0)</f>
        <v>0</v>
      </c>
      <c r="BC869" s="1080" t="str">
        <f t="shared" si="871"/>
        <v>Mugging</v>
      </c>
      <c r="BE869" s="1080" t="str">
        <f t="shared" si="833"/>
        <v/>
      </c>
      <c r="BF869" s="1080" t="str">
        <f t="shared" si="872"/>
        <v>Thievish Skills</v>
      </c>
    </row>
    <row r="870" spans="1:58" ht="11.1" customHeight="1" outlineLevel="1">
      <c r="A870" s="1117" t="s">
        <v>34</v>
      </c>
      <c r="B870" s="1094"/>
      <c r="C870" s="1094" t="s">
        <v>4629</v>
      </c>
      <c r="D870" s="1094"/>
      <c r="E870" s="1095" t="s">
        <v>5224</v>
      </c>
      <c r="F870" s="1095" t="s">
        <v>5224</v>
      </c>
      <c r="G870" s="1096">
        <v>0</v>
      </c>
      <c r="H870" s="1096" t="s">
        <v>5224</v>
      </c>
      <c r="I870" s="1096" t="s">
        <v>5224</v>
      </c>
      <c r="J870" s="1096" t="s">
        <v>5224</v>
      </c>
      <c r="K870" s="1096" t="s">
        <v>5224</v>
      </c>
      <c r="L870" s="1096" t="s">
        <v>5224</v>
      </c>
      <c r="M870" s="1096" t="s">
        <v>5224</v>
      </c>
      <c r="N870" s="1096" t="s">
        <v>4631</v>
      </c>
      <c r="O870" s="1028"/>
      <c r="P870" s="1028" t="s">
        <v>780</v>
      </c>
      <c r="Q870" s="1097">
        <f t="shared" ca="1" si="893"/>
        <v>17</v>
      </c>
      <c r="R870" s="1034"/>
      <c r="S870" s="1028" t="s">
        <v>3611</v>
      </c>
      <c r="T870" s="1097">
        <f t="shared" ca="1" si="894"/>
        <v>15</v>
      </c>
      <c r="U870" s="1027">
        <v>3</v>
      </c>
      <c r="V870" s="1027">
        <f t="shared" si="895"/>
        <v>4</v>
      </c>
      <c r="W870" s="1098" t="e">
        <f>IF(OR(I870&lt;&gt;"N",E870="C"),IF(AND(N870&lt;&gt;"T",ISNUMBER(FIND("V",I870))),1,0),NA())+IF(H870="Y",IF(AND(N870="P",ISNUMBER(FIND("Z",I870))),2,1),0)+IF(J870="Y",1,0)+IF(K870="Y",3,0)+IF(BE870="Lore",L870*2+Experience!$D$25,0)+IF(M870="Y",1,0)</f>
        <v>#N/A</v>
      </c>
      <c r="X870" s="1099"/>
      <c r="Y870" s="1100">
        <f ca="1">IF(P870="NS",IFERROR(INDIRECT(S870),NA()),VLOOKUP(INDIRECT(P870)+INDIRECT(S870),'System Lookups'!$A$3:$D$146,2))</f>
        <v>0.08</v>
      </c>
      <c r="Z870" s="1100">
        <f t="shared" si="896"/>
        <v>0</v>
      </c>
      <c r="AA870" s="1101">
        <f t="shared" ca="1" si="897"/>
        <v>0.08</v>
      </c>
      <c r="AB870" s="1102">
        <f>VLOOKUP(V870,'System Lookups'!$J$55:$P$64,3)</f>
        <v>0.2</v>
      </c>
      <c r="AC870" s="1103">
        <f>VLOOKUP(V870,'System Lookups'!$J$55:$P$64,4)</f>
        <v>0.3</v>
      </c>
      <c r="AD870" s="1104">
        <f t="shared" ca="1" si="898"/>
        <v>0.28000000000000003</v>
      </c>
      <c r="AE870" s="1094">
        <f ca="1">(IF(AD870&gt;VLOOKUP(V870,'System Lookups'!$J$55:$P$63,6),(((AD870-VLOOKUP(V870,'System Lookups'!$J$55:$P$63,6))*100)/20),0))+AF870</f>
        <v>0</v>
      </c>
      <c r="AF870" s="1094"/>
      <c r="AG870" s="1092">
        <f t="shared" si="899"/>
        <v>0</v>
      </c>
      <c r="AH870" s="1092" t="str">
        <f>IF(X870&lt;=Experience!$R$15+1,"","*")</f>
        <v/>
      </c>
      <c r="AI870" s="1092"/>
      <c r="AJ870" s="1080">
        <f t="shared" si="900"/>
        <v>0</v>
      </c>
      <c r="AK870" s="1080">
        <f t="shared" si="901"/>
        <v>0</v>
      </c>
      <c r="AL870" s="1080">
        <f t="shared" si="902"/>
        <v>0</v>
      </c>
      <c r="AM870" s="1092">
        <f t="shared" si="903"/>
        <v>0</v>
      </c>
      <c r="AN870" s="1080">
        <f t="shared" si="904"/>
        <v>1</v>
      </c>
      <c r="AO870" s="1080">
        <f t="shared" si="905"/>
        <v>0</v>
      </c>
      <c r="AP870" s="1080">
        <f t="shared" si="906"/>
        <v>1</v>
      </c>
      <c r="AQ870" s="1027">
        <f>VLOOKUP(V870,'System Lookups'!$J$55:$P$64,7)</f>
        <v>600</v>
      </c>
      <c r="AR870" s="1080" t="str">
        <f ca="1">IF(AND(NOT(ISBLANK(AJ870)),ISNA(MATCH(ROW(),'System Lookups'!$C$526:$C$539,0))),"Y","N")</f>
        <v>Y</v>
      </c>
      <c r="AS870" s="1080">
        <f t="shared" si="907"/>
        <v>0</v>
      </c>
      <c r="AU870" s="1080" t="e">
        <f t="shared" si="834"/>
        <v>#N/A</v>
      </c>
      <c r="AV870" s="1080" t="str">
        <f t="shared" si="892"/>
        <v>T</v>
      </c>
      <c r="AW870" s="1080">
        <f t="shared" si="835"/>
        <v>0</v>
      </c>
      <c r="AX870" s="1080">
        <f t="shared" si="836"/>
        <v>0</v>
      </c>
      <c r="AY870" s="1080">
        <f t="shared" si="837"/>
        <v>0</v>
      </c>
      <c r="AZ870" s="1080">
        <f t="shared" si="838"/>
        <v>0</v>
      </c>
      <c r="BA870" s="1080">
        <f t="shared" si="839"/>
        <v>0</v>
      </c>
      <c r="BB870" s="1080">
        <f>IF(AND(RACE=1,'Main Creation Page'!$E$6="Well",OR(ISNUMBER(FIND(Experience!$G$11,BE870)),ISNUMBER(FIND(Experience!$G$11,BF870)),ISNUMBER(FIND(Experience!$I$11,BE870)),ISNUMBER(FIND(Experience!$I$11,BF870)))),1,0)</f>
        <v>0</v>
      </c>
      <c r="BC870" s="1080" t="str">
        <f t="shared" si="871"/>
        <v>Pick Pockets &amp; Cut Purses</v>
      </c>
      <c r="BE870" s="1080" t="str">
        <f t="shared" si="833"/>
        <v/>
      </c>
      <c r="BF870" s="1080" t="str">
        <f t="shared" si="872"/>
        <v>Thievish Skills</v>
      </c>
    </row>
    <row r="871" spans="1:58" ht="11.1" customHeight="1" outlineLevel="1">
      <c r="A871" s="1117" t="s">
        <v>3298</v>
      </c>
      <c r="B871" s="1094"/>
      <c r="C871" s="1094"/>
      <c r="D871" s="1094"/>
      <c r="E871" s="1095" t="s">
        <v>5224</v>
      </c>
      <c r="F871" s="1095" t="s">
        <v>5224</v>
      </c>
      <c r="G871" s="1096">
        <v>0</v>
      </c>
      <c r="H871" s="1096" t="s">
        <v>5224</v>
      </c>
      <c r="I871" s="1096" t="s">
        <v>5224</v>
      </c>
      <c r="J871" s="1096" t="s">
        <v>5224</v>
      </c>
      <c r="K871" s="1096" t="s">
        <v>5224</v>
      </c>
      <c r="L871" s="1096" t="s">
        <v>5224</v>
      </c>
      <c r="M871" s="1096" t="s">
        <v>5224</v>
      </c>
      <c r="N871" s="1096" t="s">
        <v>4631</v>
      </c>
      <c r="O871" s="1028"/>
      <c r="P871" s="1028" t="s">
        <v>780</v>
      </c>
      <c r="Q871" s="1097">
        <f t="shared" ca="1" si="893"/>
        <v>17</v>
      </c>
      <c r="R871" s="1034"/>
      <c r="S871" s="1028" t="s">
        <v>3611</v>
      </c>
      <c r="T871" s="1097">
        <f t="shared" ca="1" si="894"/>
        <v>15</v>
      </c>
      <c r="U871" s="1027">
        <v>3</v>
      </c>
      <c r="V871" s="1027">
        <f t="shared" si="895"/>
        <v>4</v>
      </c>
      <c r="W871" s="1098" t="e">
        <f>IF(OR(I871&lt;&gt;"N",E871="C"),IF(AND(N871&lt;&gt;"T",ISNUMBER(FIND("V",I871))),1,0),NA())+IF(H871="Y",IF(AND(N871="P",ISNUMBER(FIND("Z",I871))),2,1),0)+IF(J871="Y",1,0)+IF(K871="Y",3,0)+IF(BE871="Lore",L871*2+Experience!$D$25,0)+IF(M871="Y",1,0)</f>
        <v>#N/A</v>
      </c>
      <c r="X871" s="1099"/>
      <c r="Y871" s="1100">
        <f ca="1">IF(P871="NS",IFERROR(INDIRECT(S871),NA()),VLOOKUP(INDIRECT(P871)+INDIRECT(S871),'System Lookups'!$A$3:$D$146,2))</f>
        <v>0.08</v>
      </c>
      <c r="Z871" s="1100">
        <f t="shared" si="896"/>
        <v>0</v>
      </c>
      <c r="AA871" s="1101">
        <f t="shared" ca="1" si="897"/>
        <v>0.08</v>
      </c>
      <c r="AB871" s="1102">
        <f>VLOOKUP(V871,'System Lookups'!$J$55:$P$64,3)</f>
        <v>0.2</v>
      </c>
      <c r="AC871" s="1103">
        <f>VLOOKUP(V871,'System Lookups'!$J$55:$P$64,4)</f>
        <v>0.3</v>
      </c>
      <c r="AD871" s="1104">
        <f t="shared" ca="1" si="898"/>
        <v>0.28000000000000003</v>
      </c>
      <c r="AE871" s="1094">
        <f ca="1">(IF(AD871&gt;VLOOKUP(V871,'System Lookups'!$J$55:$P$63,6),(((AD871-VLOOKUP(V871,'System Lookups'!$J$55:$P$63,6))*100)/20),0))+AF871</f>
        <v>0</v>
      </c>
      <c r="AF871" s="1094"/>
      <c r="AG871" s="1092">
        <f t="shared" si="899"/>
        <v>0</v>
      </c>
      <c r="AH871" s="1092" t="str">
        <f>IF(X871&lt;=Experience!$R$15+1,"","*")</f>
        <v/>
      </c>
      <c r="AI871" s="1092"/>
      <c r="AJ871" s="1080">
        <f t="shared" si="900"/>
        <v>0</v>
      </c>
      <c r="AK871" s="1080">
        <f t="shared" si="901"/>
        <v>0</v>
      </c>
      <c r="AL871" s="1080">
        <f t="shared" si="902"/>
        <v>0</v>
      </c>
      <c r="AM871" s="1092">
        <f t="shared" si="903"/>
        <v>0</v>
      </c>
      <c r="AN871" s="1080">
        <f t="shared" si="904"/>
        <v>1</v>
      </c>
      <c r="AO871" s="1080">
        <f t="shared" si="905"/>
        <v>0</v>
      </c>
      <c r="AP871" s="1080">
        <f t="shared" si="906"/>
        <v>1</v>
      </c>
      <c r="AQ871" s="1027">
        <f>VLOOKUP(V871,'System Lookups'!$J$55:$P$64,7)</f>
        <v>600</v>
      </c>
      <c r="AR871" s="1080" t="str">
        <f ca="1">IF(AND(NOT(ISBLANK(AJ871)),ISNA(MATCH(ROW(),'System Lookups'!$C$526:$C$539,0))),"Y","N")</f>
        <v>Y</v>
      </c>
      <c r="AS871" s="1080">
        <f t="shared" si="907"/>
        <v>0</v>
      </c>
      <c r="AU871" s="1080" t="e">
        <f t="shared" si="834"/>
        <v>#N/A</v>
      </c>
      <c r="AV871" s="1080" t="str">
        <f t="shared" si="892"/>
        <v>T</v>
      </c>
      <c r="AW871" s="1080">
        <f t="shared" si="835"/>
        <v>0</v>
      </c>
      <c r="AX871" s="1080">
        <f t="shared" si="836"/>
        <v>0</v>
      </c>
      <c r="AY871" s="1080">
        <f t="shared" si="837"/>
        <v>0</v>
      </c>
      <c r="AZ871" s="1080">
        <f t="shared" si="838"/>
        <v>0</v>
      </c>
      <c r="BA871" s="1080">
        <f t="shared" si="839"/>
        <v>0</v>
      </c>
      <c r="BB871" s="1080">
        <f>IF(AND(RACE=1,'Main Creation Page'!$E$6="Well",OR(ISNUMBER(FIND(Experience!$G$11,BE871)),ISNUMBER(FIND(Experience!$G$11,BF871)),ISNUMBER(FIND(Experience!$I$11,BE871)),ISNUMBER(FIND(Experience!$I$11,BF871)))),1,0)</f>
        <v>0</v>
      </c>
      <c r="BC871" s="1080" t="str">
        <f t="shared" si="871"/>
        <v>Picking Locks</v>
      </c>
      <c r="BE871" s="1080" t="str">
        <f t="shared" si="833"/>
        <v/>
      </c>
      <c r="BF871" s="1080" t="str">
        <f t="shared" si="872"/>
        <v>Thievish Skills</v>
      </c>
    </row>
    <row r="872" spans="1:58" ht="11.1" customHeight="1" outlineLevel="1">
      <c r="A872" s="1117" t="s">
        <v>35</v>
      </c>
      <c r="B872" s="1094"/>
      <c r="C872" s="1094" t="s">
        <v>4629</v>
      </c>
      <c r="D872" s="1094"/>
      <c r="E872" s="1095" t="s">
        <v>5224</v>
      </c>
      <c r="F872" s="1095" t="s">
        <v>5224</v>
      </c>
      <c r="G872" s="1096">
        <v>0</v>
      </c>
      <c r="H872" s="1096" t="s">
        <v>5224</v>
      </c>
      <c r="I872" s="1096" t="s">
        <v>5224</v>
      </c>
      <c r="J872" s="1096" t="s">
        <v>5224</v>
      </c>
      <c r="K872" s="1096" t="s">
        <v>5224</v>
      </c>
      <c r="L872" s="1096" t="s">
        <v>5224</v>
      </c>
      <c r="M872" s="1096" t="s">
        <v>5224</v>
      </c>
      <c r="N872" s="1096" t="s">
        <v>4631</v>
      </c>
      <c r="O872" s="1028"/>
      <c r="P872" s="1028" t="s">
        <v>780</v>
      </c>
      <c r="Q872" s="1097">
        <f t="shared" ca="1" si="893"/>
        <v>17</v>
      </c>
      <c r="R872" s="1034"/>
      <c r="S872" s="1028" t="s">
        <v>3611</v>
      </c>
      <c r="T872" s="1097">
        <f t="shared" ca="1" si="894"/>
        <v>15</v>
      </c>
      <c r="U872" s="1027">
        <v>4</v>
      </c>
      <c r="V872" s="1027">
        <f t="shared" si="895"/>
        <v>5</v>
      </c>
      <c r="W872" s="1098" t="e">
        <f>IF(OR(I872&lt;&gt;"N",E872="C"),IF(AND(N872&lt;&gt;"T",ISNUMBER(FIND("V",I872))),1,0),NA())+IF(H872="Y",IF(AND(N872="P",ISNUMBER(FIND("Z",I872))),2,1),0)+IF(J872="Y",1,0)+IF(K872="Y",3,0)+IF(BE872="Lore",L872*2+Experience!$D$25,0)+IF(M872="Y",1,0)</f>
        <v>#N/A</v>
      </c>
      <c r="X872" s="1099"/>
      <c r="Y872" s="1100">
        <f ca="1">IF(P872="NS",IFERROR(INDIRECT(S872),NA()),VLOOKUP(INDIRECT(P872)+INDIRECT(S872),'System Lookups'!$A$3:$D$146,2))</f>
        <v>0.08</v>
      </c>
      <c r="Z872" s="1100">
        <f t="shared" si="896"/>
        <v>0</v>
      </c>
      <c r="AA872" s="1101">
        <f t="shared" ca="1" si="897"/>
        <v>0.08</v>
      </c>
      <c r="AB872" s="1102">
        <f>VLOOKUP(V872,'System Lookups'!$J$55:$P$64,3)</f>
        <v>0.1</v>
      </c>
      <c r="AC872" s="1103">
        <f>VLOOKUP(V872,'System Lookups'!$J$55:$P$64,4)</f>
        <v>0.2</v>
      </c>
      <c r="AD872" s="1104">
        <f t="shared" ca="1" si="898"/>
        <v>0.18</v>
      </c>
      <c r="AE872" s="1094">
        <f ca="1">(IF(AD872&gt;VLOOKUP(V872,'System Lookups'!$J$55:$P$63,6),(((AD872-VLOOKUP(V872,'System Lookups'!$J$55:$P$63,6))*100)/20),0))+AF872</f>
        <v>0</v>
      </c>
      <c r="AF872" s="1094"/>
      <c r="AG872" s="1092">
        <f t="shared" si="899"/>
        <v>0</v>
      </c>
      <c r="AH872" s="1092" t="str">
        <f>IF(X872&lt;=Experience!$R$15+1,"","*")</f>
        <v/>
      </c>
      <c r="AI872" s="1092"/>
      <c r="AJ872" s="1080">
        <f t="shared" si="900"/>
        <v>0</v>
      </c>
      <c r="AK872" s="1080">
        <f t="shared" si="901"/>
        <v>0</v>
      </c>
      <c r="AL872" s="1080">
        <f t="shared" si="902"/>
        <v>0</v>
      </c>
      <c r="AM872" s="1092">
        <f t="shared" si="903"/>
        <v>0</v>
      </c>
      <c r="AN872" s="1080">
        <f t="shared" si="904"/>
        <v>1</v>
      </c>
      <c r="AO872" s="1080">
        <f t="shared" si="905"/>
        <v>0</v>
      </c>
      <c r="AP872" s="1080">
        <f t="shared" si="906"/>
        <v>1</v>
      </c>
      <c r="AQ872" s="1027">
        <f>VLOOKUP(V872,'System Lookups'!$J$55:$P$64,7)</f>
        <v>700</v>
      </c>
      <c r="AR872" s="1080" t="str">
        <f ca="1">IF(AND(NOT(ISBLANK(AJ872)),ISNA(MATCH(ROW(),'System Lookups'!$C$526:$C$539,0))),"Y","N")</f>
        <v>Y</v>
      </c>
      <c r="AS872" s="1080">
        <f t="shared" si="907"/>
        <v>0</v>
      </c>
      <c r="AU872" s="1080" t="e">
        <f t="shared" si="834"/>
        <v>#N/A</v>
      </c>
      <c r="AV872" s="1080" t="str">
        <f t="shared" si="892"/>
        <v>T</v>
      </c>
      <c r="AW872" s="1080">
        <f t="shared" si="835"/>
        <v>0</v>
      </c>
      <c r="AX872" s="1080">
        <f t="shared" si="836"/>
        <v>0</v>
      </c>
      <c r="AY872" s="1080">
        <f t="shared" si="837"/>
        <v>0</v>
      </c>
      <c r="AZ872" s="1080">
        <f t="shared" si="838"/>
        <v>0</v>
      </c>
      <c r="BA872" s="1080">
        <f t="shared" si="839"/>
        <v>0</v>
      </c>
      <c r="BB872" s="1080">
        <f>IF(AND(RACE=1,'Main Creation Page'!$E$6="Well",OR(ISNUMBER(FIND(Experience!$G$11,BE872)),ISNUMBER(FIND(Experience!$G$11,BF872)),ISNUMBER(FIND(Experience!$I$11,BE872)),ISNUMBER(FIND(Experience!$I$11,BF872)))),1,0)</f>
        <v>0</v>
      </c>
      <c r="BC872" s="1080" t="str">
        <f t="shared" si="871"/>
        <v xml:space="preserve">Set &amp; Disarm Mantraps </v>
      </c>
      <c r="BE872" s="1080" t="str">
        <f t="shared" si="833"/>
        <v/>
      </c>
      <c r="BF872" s="1080" t="str">
        <f t="shared" si="872"/>
        <v>Thievish Skills</v>
      </c>
    </row>
    <row r="873" spans="1:58" ht="11.1" customHeight="1" outlineLevel="1">
      <c r="A873" s="1117" t="s">
        <v>5650</v>
      </c>
      <c r="B873" s="1094"/>
      <c r="C873" s="1094" t="s">
        <v>4629</v>
      </c>
      <c r="D873" s="1094"/>
      <c r="E873" s="1095" t="s">
        <v>5224</v>
      </c>
      <c r="F873" s="1095" t="s">
        <v>5224</v>
      </c>
      <c r="G873" s="1096">
        <v>0</v>
      </c>
      <c r="H873" s="1096" t="s">
        <v>5224</v>
      </c>
      <c r="I873" s="1096" t="s">
        <v>5224</v>
      </c>
      <c r="J873" s="1096" t="s">
        <v>5224</v>
      </c>
      <c r="K873" s="1096" t="s">
        <v>5224</v>
      </c>
      <c r="L873" s="1096" t="s">
        <v>5224</v>
      </c>
      <c r="M873" s="1096" t="s">
        <v>5224</v>
      </c>
      <c r="N873" s="1096" t="s">
        <v>4631</v>
      </c>
      <c r="O873" s="1028"/>
      <c r="P873" s="1028" t="s">
        <v>3611</v>
      </c>
      <c r="Q873" s="1097">
        <f t="shared" ca="1" si="893"/>
        <v>15</v>
      </c>
      <c r="R873" s="1028"/>
      <c r="S873" s="1028" t="s">
        <v>3613</v>
      </c>
      <c r="T873" s="1097">
        <f t="shared" ca="1" si="894"/>
        <v>15</v>
      </c>
      <c r="U873" s="1027">
        <v>4</v>
      </c>
      <c r="V873" s="1027">
        <f t="shared" si="895"/>
        <v>5</v>
      </c>
      <c r="W873" s="1098" t="e">
        <f>IF(OR(I873&lt;&gt;"N",E873="C"),IF(AND(N873&lt;&gt;"T",ISNUMBER(FIND("V",I873))),1,0),NA())+IF(H873="Y",IF(AND(N873="P",ISNUMBER(FIND("Z",I873))),2,1),0)+IF(J873="Y",1,0)+IF(K873="Y",3,0)+IF(BE873="Lore",L873*2+Experience!$D$25,0)+IF(M873="Y",1,0)</f>
        <v>#N/A</v>
      </c>
      <c r="X873" s="1099"/>
      <c r="Y873" s="1100">
        <f ca="1">IF(P873="NS",IFERROR(INDIRECT(S873),NA()),VLOOKUP(INDIRECT(P873)+INDIRECT(S873),'System Lookups'!$A$3:$D$146,2))</f>
        <v>0.06</v>
      </c>
      <c r="Z873" s="1100">
        <f t="shared" si="896"/>
        <v>0</v>
      </c>
      <c r="AA873" s="1101">
        <f t="shared" ca="1" si="897"/>
        <v>0.06</v>
      </c>
      <c r="AB873" s="1102">
        <f>VLOOKUP(V873,'System Lookups'!$J$55:$P$64,3)</f>
        <v>0.1</v>
      </c>
      <c r="AC873" s="1103">
        <f>VLOOKUP(V873,'System Lookups'!$J$55:$P$64,4)</f>
        <v>0.2</v>
      </c>
      <c r="AD873" s="1104">
        <f t="shared" ca="1" si="898"/>
        <v>0.16</v>
      </c>
      <c r="AE873" s="1094">
        <f ca="1">(IF(AD873&gt;VLOOKUP(V873,'System Lookups'!$J$55:$P$63,6),(((AD873-VLOOKUP(V873,'System Lookups'!$J$55:$P$63,6))*100)/20),0))+AF873</f>
        <v>0</v>
      </c>
      <c r="AF873" s="1094"/>
      <c r="AG873" s="1092">
        <f t="shared" si="899"/>
        <v>0</v>
      </c>
      <c r="AH873" s="1092" t="str">
        <f>IF(X873&lt;=Experience!$R$15+1,"","*")</f>
        <v/>
      </c>
      <c r="AI873" s="1092"/>
      <c r="AJ873" s="1080">
        <f t="shared" si="900"/>
        <v>0</v>
      </c>
      <c r="AK873" s="1080">
        <f t="shared" si="901"/>
        <v>0</v>
      </c>
      <c r="AL873" s="1080">
        <f t="shared" si="902"/>
        <v>0</v>
      </c>
      <c r="AM873" s="1092">
        <f t="shared" si="903"/>
        <v>0</v>
      </c>
      <c r="AN873" s="1080">
        <f t="shared" si="904"/>
        <v>1</v>
      </c>
      <c r="AO873" s="1080">
        <f t="shared" si="905"/>
        <v>0</v>
      </c>
      <c r="AP873" s="1080">
        <f t="shared" si="906"/>
        <v>1</v>
      </c>
      <c r="AQ873" s="1027">
        <f>VLOOKUP(V873,'System Lookups'!$J$55:$P$64,7)</f>
        <v>700</v>
      </c>
      <c r="AR873" s="1080" t="str">
        <f ca="1">IF(AND(NOT(ISBLANK(AJ873)),ISNA(MATCH(ROW(),'System Lookups'!$C$526:$C$539,0))),"Y","N")</f>
        <v>Y</v>
      </c>
      <c r="AS873" s="1080">
        <f t="shared" si="907"/>
        <v>0</v>
      </c>
      <c r="AU873" s="1080" t="e">
        <f t="shared" si="834"/>
        <v>#N/A</v>
      </c>
      <c r="AV873" s="1080" t="str">
        <f t="shared" si="892"/>
        <v>T</v>
      </c>
      <c r="AW873" s="1080">
        <f t="shared" si="835"/>
        <v>0</v>
      </c>
      <c r="AX873" s="1080">
        <f t="shared" si="836"/>
        <v>0</v>
      </c>
      <c r="AY873" s="1080">
        <f t="shared" si="837"/>
        <v>0</v>
      </c>
      <c r="AZ873" s="1080">
        <f t="shared" si="838"/>
        <v>0</v>
      </c>
      <c r="BA873" s="1080">
        <f t="shared" si="839"/>
        <v>0</v>
      </c>
      <c r="BB873" s="1080">
        <f>IF(AND(RACE=1,'Main Creation Page'!$E$6="Well",OR(ISNUMBER(FIND(Experience!$G$11,BE873)),ISNUMBER(FIND(Experience!$G$11,BF873)),ISNUMBER(FIND(Experience!$I$11,BE873)),ISNUMBER(FIND(Experience!$I$11,BF873)))),1,0)</f>
        <v>0</v>
      </c>
      <c r="BC873" s="1080" t="str">
        <f t="shared" si="871"/>
        <v>Skulking in Shadows</v>
      </c>
      <c r="BE873" s="1080" t="str">
        <f t="shared" si="833"/>
        <v/>
      </c>
      <c r="BF873" s="1080" t="str">
        <f t="shared" si="872"/>
        <v>Thievish Skills</v>
      </c>
    </row>
    <row r="874" spans="1:58" ht="11.1" customHeight="1" outlineLevel="1">
      <c r="A874" s="1117" t="s">
        <v>5215</v>
      </c>
      <c r="B874" s="1094"/>
      <c r="C874" s="1094"/>
      <c r="D874" s="1094"/>
      <c r="E874" s="1095" t="s">
        <v>5224</v>
      </c>
      <c r="F874" s="1095" t="s">
        <v>5224</v>
      </c>
      <c r="G874" s="1096">
        <v>0</v>
      </c>
      <c r="H874" s="1096" t="s">
        <v>5224</v>
      </c>
      <c r="I874" s="1096" t="s">
        <v>5224</v>
      </c>
      <c r="J874" s="1096" t="s">
        <v>5224</v>
      </c>
      <c r="K874" s="1096" t="s">
        <v>5224</v>
      </c>
      <c r="L874" s="1096" t="s">
        <v>5224</v>
      </c>
      <c r="M874" s="1096" t="s">
        <v>5224</v>
      </c>
      <c r="N874" s="1096" t="s">
        <v>4631</v>
      </c>
      <c r="O874" s="1028"/>
      <c r="P874" s="1028" t="s">
        <v>780</v>
      </c>
      <c r="Q874" s="1097">
        <f t="shared" ca="1" si="893"/>
        <v>17</v>
      </c>
      <c r="R874" s="1034"/>
      <c r="S874" s="1028" t="s">
        <v>3616</v>
      </c>
      <c r="T874" s="1097">
        <f t="shared" ca="1" si="894"/>
        <v>17</v>
      </c>
      <c r="U874" s="1027">
        <v>4</v>
      </c>
      <c r="V874" s="1027">
        <f t="shared" si="895"/>
        <v>5</v>
      </c>
      <c r="W874" s="1098" t="e">
        <f>IF(OR(I874&lt;&gt;"N",E874="C"),IF(AND(N874&lt;&gt;"T",ISNUMBER(FIND("V",I874))),1,0),NA())+IF(H874="Y",IF(AND(N874="P",ISNUMBER(FIND("Z",I874))),2,1),0)+IF(J874="Y",1,0)+IF(K874="Y",3,0)+IF(BE874="Lore",L874*2+Experience!$D$25,0)+IF(M874="Y",1,0)</f>
        <v>#N/A</v>
      </c>
      <c r="X874" s="1099"/>
      <c r="Y874" s="1100">
        <f ca="1">IF(P874="NS",IFERROR(INDIRECT(S874),NA()),VLOOKUP(INDIRECT(P874)+INDIRECT(S874),'System Lookups'!$A$3:$D$146,2))</f>
        <v>0.1</v>
      </c>
      <c r="Z874" s="1100">
        <f t="shared" si="896"/>
        <v>0</v>
      </c>
      <c r="AA874" s="1101">
        <f t="shared" ca="1" si="897"/>
        <v>0.1</v>
      </c>
      <c r="AB874" s="1102">
        <f>VLOOKUP(V874,'System Lookups'!$J$55:$P$64,3)</f>
        <v>0.1</v>
      </c>
      <c r="AC874" s="1103">
        <f>VLOOKUP(V874,'System Lookups'!$J$55:$P$64,4)</f>
        <v>0.2</v>
      </c>
      <c r="AD874" s="1104">
        <f t="shared" ca="1" si="898"/>
        <v>0.2</v>
      </c>
      <c r="AE874" s="1094">
        <f ca="1">(IF(AD874&gt;VLOOKUP(V874,'System Lookups'!$J$55:$P$63,6),(((AD874-VLOOKUP(V874,'System Lookups'!$J$55:$P$63,6))*100)/20),0))+AF874</f>
        <v>0</v>
      </c>
      <c r="AF874" s="1094"/>
      <c r="AG874" s="1092">
        <f t="shared" si="899"/>
        <v>0</v>
      </c>
      <c r="AH874" s="1092" t="str">
        <f>IF(X874&lt;=Experience!$R$15+1,"","*")</f>
        <v/>
      </c>
      <c r="AI874" s="1092"/>
      <c r="AJ874" s="1080">
        <f t="shared" si="900"/>
        <v>0</v>
      </c>
      <c r="AK874" s="1080">
        <f t="shared" si="901"/>
        <v>0</v>
      </c>
      <c r="AL874" s="1080">
        <f t="shared" si="902"/>
        <v>0</v>
      </c>
      <c r="AM874" s="1092">
        <f t="shared" si="903"/>
        <v>0</v>
      </c>
      <c r="AN874" s="1080">
        <f t="shared" si="904"/>
        <v>1</v>
      </c>
      <c r="AO874" s="1080">
        <f t="shared" si="905"/>
        <v>0</v>
      </c>
      <c r="AP874" s="1080">
        <f t="shared" si="906"/>
        <v>1</v>
      </c>
      <c r="AQ874" s="1027">
        <f>VLOOKUP(V874,'System Lookups'!$J$55:$P$64,7)</f>
        <v>700</v>
      </c>
      <c r="AR874" s="1080" t="str">
        <f ca="1">IF(AND(NOT(ISBLANK(AJ874)),ISNA(MATCH(ROW(),'System Lookups'!$C$526:$C$539,0))),"Y","N")</f>
        <v>Y</v>
      </c>
      <c r="AS874" s="1080">
        <f t="shared" si="907"/>
        <v>0</v>
      </c>
      <c r="AU874" s="1080" t="e">
        <f t="shared" si="834"/>
        <v>#N/A</v>
      </c>
      <c r="AV874" s="1080" t="str">
        <f t="shared" si="892"/>
        <v>T</v>
      </c>
      <c r="AW874" s="1080">
        <f t="shared" si="835"/>
        <v>0</v>
      </c>
      <c r="AX874" s="1080">
        <f t="shared" si="836"/>
        <v>0</v>
      </c>
      <c r="AY874" s="1080">
        <f t="shared" si="837"/>
        <v>0</v>
      </c>
      <c r="AZ874" s="1080">
        <f t="shared" si="838"/>
        <v>0</v>
      </c>
      <c r="BA874" s="1080">
        <f t="shared" si="839"/>
        <v>0</v>
      </c>
      <c r="BB874" s="1080">
        <f>IF(AND(RACE=1,'Main Creation Page'!$E$6="Well",OR(ISNUMBER(FIND(Experience!$G$11,BE874)),ISNUMBER(FIND(Experience!$G$11,BF874)),ISNUMBER(FIND(Experience!$I$11,BE874)),ISNUMBER(FIND(Experience!$I$11,BF874)))),1,0)</f>
        <v>0</v>
      </c>
      <c r="BC874" s="1080" t="str">
        <f t="shared" si="871"/>
        <v>Streetwise</v>
      </c>
      <c r="BE874" s="1080" t="str">
        <f t="shared" si="833"/>
        <v/>
      </c>
      <c r="BF874" s="1080" t="str">
        <f t="shared" si="872"/>
        <v>Thievish Skills</v>
      </c>
    </row>
    <row r="875" spans="1:58" ht="11.1" customHeight="1" outlineLevel="1">
      <c r="A875" s="1117" t="s">
        <v>36</v>
      </c>
      <c r="B875" s="1094"/>
      <c r="C875" s="1094" t="s">
        <v>4629</v>
      </c>
      <c r="D875" s="1094"/>
      <c r="E875" s="1095" t="s">
        <v>5224</v>
      </c>
      <c r="F875" s="1095" t="str">
        <f>IF('Main Creation Page'!C3=4,"R","N")</f>
        <v>N</v>
      </c>
      <c r="G875" s="1096">
        <v>0</v>
      </c>
      <c r="H875" s="1096" t="s">
        <v>5224</v>
      </c>
      <c r="I875" s="1096" t="s">
        <v>5224</v>
      </c>
      <c r="J875" s="1096" t="s">
        <v>5224</v>
      </c>
      <c r="K875" s="1096" t="s">
        <v>5224</v>
      </c>
      <c r="L875" s="1096" t="s">
        <v>5224</v>
      </c>
      <c r="M875" s="1096" t="s">
        <v>5224</v>
      </c>
      <c r="N875" s="1096" t="s">
        <v>4631</v>
      </c>
      <c r="O875" s="1028"/>
      <c r="P875" s="1028" t="s">
        <v>3611</v>
      </c>
      <c r="Q875" s="1097">
        <f t="shared" ca="1" si="893"/>
        <v>15</v>
      </c>
      <c r="R875" s="1028"/>
      <c r="S875" s="1028" t="s">
        <v>3613</v>
      </c>
      <c r="T875" s="1097">
        <f t="shared" ca="1" si="894"/>
        <v>15</v>
      </c>
      <c r="U875" s="1027">
        <v>4</v>
      </c>
      <c r="V875" s="1027">
        <f t="shared" si="895"/>
        <v>5</v>
      </c>
      <c r="W875" s="1098" t="e">
        <f>IF(OR(I875&lt;&gt;"N",E875="C"),IF(AND(N875&lt;&gt;"T",ISNUMBER(FIND("V",I875))),1,0),NA())+IF(H875="Y",IF(AND(N875="P",ISNUMBER(FIND("Z",I875))),2,1),0)+IF(J875="Y",1,0)+IF(K875="Y",3,0)+IF(BE875="Lore",L875*2+Experience!$D$25,0)+IF(M875="Y",1,0)</f>
        <v>#N/A</v>
      </c>
      <c r="X875" s="1099"/>
      <c r="Y875" s="1100">
        <f ca="1">IF(P875="NS",IFERROR(INDIRECT(S875),NA()),VLOOKUP(INDIRECT(P875)+INDIRECT(S875),'System Lookups'!$A$3:$D$146,2))</f>
        <v>0.06</v>
      </c>
      <c r="Z875" s="1100">
        <f t="shared" si="896"/>
        <v>0</v>
      </c>
      <c r="AA875" s="1101">
        <f t="shared" ca="1" si="897"/>
        <v>0.06</v>
      </c>
      <c r="AB875" s="1102">
        <f>VLOOKUP(V875,'System Lookups'!$J$55:$P$64,3)</f>
        <v>0.1</v>
      </c>
      <c r="AC875" s="1103">
        <f>VLOOKUP(V875,'System Lookups'!$J$55:$P$64,4)</f>
        <v>0.2</v>
      </c>
      <c r="AD875" s="1104">
        <f t="shared" ca="1" si="898"/>
        <v>0.16</v>
      </c>
      <c r="AE875" s="1094">
        <f ca="1">(IF(AD875&gt;VLOOKUP(V875,'System Lookups'!$J$55:$P$63,6),(((AD875-VLOOKUP(V875,'System Lookups'!$J$55:$P$63,6))*100)/20),0))+AF875</f>
        <v>0</v>
      </c>
      <c r="AF875" s="1094"/>
      <c r="AG875" s="1092">
        <f t="shared" si="899"/>
        <v>0</v>
      </c>
      <c r="AH875" s="1092" t="str">
        <f>IF(X875&lt;=Experience!$R$15+1,"","*")</f>
        <v/>
      </c>
      <c r="AI875" s="1092"/>
      <c r="AJ875" s="1080">
        <f t="shared" si="900"/>
        <v>0</v>
      </c>
      <c r="AK875" s="1080">
        <f t="shared" si="901"/>
        <v>0</v>
      </c>
      <c r="AL875" s="1080">
        <f t="shared" si="902"/>
        <v>0</v>
      </c>
      <c r="AM875" s="1092">
        <f t="shared" si="903"/>
        <v>0</v>
      </c>
      <c r="AN875" s="1080">
        <f t="shared" si="904"/>
        <v>1</v>
      </c>
      <c r="AO875" s="1080">
        <f t="shared" si="905"/>
        <v>0</v>
      </c>
      <c r="AP875" s="1080">
        <f t="shared" si="906"/>
        <v>1</v>
      </c>
      <c r="AQ875" s="1027">
        <f>VLOOKUP(V875,'System Lookups'!$J$55:$P$64,7)</f>
        <v>700</v>
      </c>
      <c r="AR875" s="1080" t="str">
        <f ca="1">IF(AND(NOT(ISBLANK(AJ875)),ISNA(MATCH(ROW(),'System Lookups'!$C$526:$C$539,0))),"Y","N")</f>
        <v>Y</v>
      </c>
      <c r="AS875" s="1080">
        <f t="shared" si="907"/>
        <v>0</v>
      </c>
      <c r="AU875" s="1080" t="e">
        <f t="shared" si="834"/>
        <v>#N/A</v>
      </c>
      <c r="AV875" s="1080" t="str">
        <f t="shared" si="892"/>
        <v>T</v>
      </c>
      <c r="AW875" s="1080">
        <f t="shared" si="835"/>
        <v>0</v>
      </c>
      <c r="AX875" s="1080">
        <f t="shared" si="836"/>
        <v>0</v>
      </c>
      <c r="AY875" s="1080">
        <f t="shared" si="837"/>
        <v>0</v>
      </c>
      <c r="AZ875" s="1080">
        <f t="shared" si="838"/>
        <v>0</v>
      </c>
      <c r="BA875" s="1080">
        <f t="shared" si="839"/>
        <v>0</v>
      </c>
      <c r="BB875" s="1080">
        <f>IF(AND(RACE=1,'Main Creation Page'!$E$6="Well",OR(ISNUMBER(FIND(Experience!$G$11,BE875)),ISNUMBER(FIND(Experience!$G$11,BF875)),ISNUMBER(FIND(Experience!$I$11,BE875)),ISNUMBER(FIND(Experience!$I$11,BF875)))),1,0)</f>
        <v>0</v>
      </c>
      <c r="BC875" s="1080" t="str">
        <f t="shared" si="871"/>
        <v xml:space="preserve">Thieves/Assassins' Stealth </v>
      </c>
      <c r="BE875" s="1080" t="str">
        <f t="shared" si="833"/>
        <v/>
      </c>
      <c r="BF875" s="1080" t="str">
        <f t="shared" si="872"/>
        <v>Thievish Skills</v>
      </c>
    </row>
    <row r="876" spans="1:58" outlineLevel="2">
      <c r="A876" s="1028" t="s">
        <v>1957</v>
      </c>
      <c r="B876" s="2648">
        <f ca="1">AA875/2+AB875</f>
        <v>0.13</v>
      </c>
      <c r="C876" s="2649"/>
      <c r="D876" s="2650"/>
      <c r="W876" s="1112"/>
      <c r="AR876" s="1080" t="str">
        <f ca="1">IF(AND(NOT(ISBLANK(AJ876)),ISNA(MATCH(ROW(),'System Lookups'!$C$526:$C$539,0))),"Y","N")</f>
        <v>N</v>
      </c>
      <c r="AU876" s="1080" t="e">
        <f t="shared" si="834"/>
        <v>#N/A</v>
      </c>
      <c r="AV876" s="1080" t="str">
        <f t="shared" si="892"/>
        <v/>
      </c>
      <c r="AW876" s="1080">
        <f t="shared" si="835"/>
        <v>0</v>
      </c>
      <c r="AX876" s="1080">
        <f t="shared" si="836"/>
        <v>0</v>
      </c>
      <c r="AY876" s="1080">
        <f t="shared" si="837"/>
        <v>0</v>
      </c>
      <c r="AZ876" s="1080">
        <f t="shared" si="838"/>
        <v>0</v>
      </c>
      <c r="BA876" s="1080">
        <f t="shared" si="839"/>
        <v>0</v>
      </c>
      <c r="BB876" s="1080">
        <f>IF(AND(RACE=1,'Main Creation Page'!$E$6="Well",OR(ISNUMBER(FIND(Experience!$G$11,BE876)),ISNUMBER(FIND(Experience!$G$11,BF876)),ISNUMBER(FIND(Experience!$I$11,BE876)),ISNUMBER(FIND(Experience!$I$11,BF876)))),1,0)</f>
        <v>0</v>
      </c>
      <c r="BC876" s="1080" t="e">
        <f t="shared" si="871"/>
        <v>#N/A</v>
      </c>
      <c r="BE876" s="1080" t="str">
        <f t="shared" si="833"/>
        <v/>
      </c>
      <c r="BF876" s="1080" t="str">
        <f t="shared" si="872"/>
        <v>Thievish Skills</v>
      </c>
    </row>
    <row r="877" spans="1:58" outlineLevel="1">
      <c r="AR877" s="1080" t="str">
        <f ca="1">IF(AND(NOT(ISBLANK(AJ877)),ISNA(MATCH(ROW(),'System Lookups'!$C$526:$C$539,0))),"Y","N")</f>
        <v>N</v>
      </c>
      <c r="AU877" s="1080" t="e">
        <f t="shared" si="834"/>
        <v>#N/A</v>
      </c>
      <c r="AV877" s="1080" t="str">
        <f t="shared" si="892"/>
        <v/>
      </c>
      <c r="AW877" s="1080">
        <f t="shared" si="835"/>
        <v>0</v>
      </c>
      <c r="AX877" s="1080">
        <f t="shared" si="836"/>
        <v>0</v>
      </c>
      <c r="AY877" s="1080">
        <f t="shared" si="837"/>
        <v>0</v>
      </c>
      <c r="AZ877" s="1080">
        <f t="shared" si="838"/>
        <v>0</v>
      </c>
      <c r="BA877" s="1080">
        <f t="shared" si="839"/>
        <v>0</v>
      </c>
      <c r="BB877" s="1080">
        <f>IF(AND(RACE=1,'Main Creation Page'!$E$6="Well",OR(ISNUMBER(FIND(Experience!$G$11,BE877)),ISNUMBER(FIND(Experience!$G$11,BF877)),ISNUMBER(FIND(Experience!$I$11,BE877)),ISNUMBER(FIND(Experience!$I$11,BF877)))),1,0)</f>
        <v>0</v>
      </c>
      <c r="BC877" s="1080" t="e">
        <f t="shared" si="871"/>
        <v>#N/A</v>
      </c>
      <c r="BE877" s="1080" t="str">
        <f t="shared" si="833"/>
        <v/>
      </c>
      <c r="BF877" s="1080" t="str">
        <f t="shared" si="872"/>
        <v>Thievish Skills</v>
      </c>
    </row>
    <row r="878" spans="1:58" ht="10.5" customHeight="1">
      <c r="A878" s="1154" t="s">
        <v>6175</v>
      </c>
      <c r="AG878" s="1092">
        <f>SUM(AG879:AG885)</f>
        <v>0</v>
      </c>
      <c r="AH878" s="1092"/>
      <c r="AI878" s="1092">
        <f>SUM(AI879:AI885)</f>
        <v>0</v>
      </c>
      <c r="AR878" s="1080" t="str">
        <f ca="1">IF(AND(NOT(ISBLANK(AJ878)),ISNA(MATCH(ROW(),'System Lookups'!$C$526:$C$539,0))),"Y","N")</f>
        <v>N</v>
      </c>
      <c r="AU878" s="1080" t="e">
        <f t="shared" si="834"/>
        <v>#N/A</v>
      </c>
      <c r="AV878" s="1080" t="str">
        <f t="shared" si="892"/>
        <v/>
      </c>
      <c r="AW878" s="1080">
        <f t="shared" si="835"/>
        <v>0</v>
      </c>
      <c r="AX878" s="1080">
        <f t="shared" si="836"/>
        <v>0</v>
      </c>
      <c r="AY878" s="1080">
        <f t="shared" si="837"/>
        <v>0</v>
      </c>
      <c r="AZ878" s="1080">
        <f t="shared" si="838"/>
        <v>0</v>
      </c>
      <c r="BA878" s="1080">
        <f t="shared" si="839"/>
        <v>0</v>
      </c>
      <c r="BB878" s="1080">
        <f>IF(AND(RACE=1,'Main Creation Page'!$E$6="Well",OR(ISNUMBER(FIND(Experience!$G$11,BE878)),ISNUMBER(FIND(Experience!$G$11,BF878)),ISNUMBER(FIND(Experience!$I$11,BE878)),ISNUMBER(FIND(Experience!$I$11,BF878)))),1,0)</f>
        <v>1</v>
      </c>
      <c r="BC878" s="1080" t="str">
        <f t="shared" si="871"/>
        <v>SkillSkape Alchemy Lore</v>
      </c>
      <c r="BE878" s="1080" t="str">
        <f t="shared" si="833"/>
        <v>Lore</v>
      </c>
      <c r="BF878" s="1080" t="str">
        <f>IF(ISBLANK(AC878),IF(OR(ISNA(BC878),ISBLANK(BC878)),BF876,BC878),BF876)</f>
        <v>SkillSkape Alchemy Lore</v>
      </c>
    </row>
    <row r="879" spans="1:58" ht="11.1" customHeight="1" outlineLevel="1">
      <c r="A879" s="1123" t="s">
        <v>5019</v>
      </c>
      <c r="B879" s="1094"/>
      <c r="C879" s="1094"/>
      <c r="D879" s="1094"/>
      <c r="E879" s="1095" t="s">
        <v>5224</v>
      </c>
      <c r="F879" s="1095" t="s">
        <v>5224</v>
      </c>
      <c r="G879" s="1096">
        <v>0</v>
      </c>
      <c r="H879" s="1096" t="s">
        <v>5224</v>
      </c>
      <c r="I879" s="1096" t="s">
        <v>5224</v>
      </c>
      <c r="J879" s="1096" t="s">
        <v>5224</v>
      </c>
      <c r="K879" s="1096" t="s">
        <v>5224</v>
      </c>
      <c r="L879" s="1096">
        <v>0</v>
      </c>
      <c r="M879" s="1096" t="s">
        <v>5224</v>
      </c>
      <c r="N879" s="1096" t="s">
        <v>4631</v>
      </c>
      <c r="O879" s="1028"/>
      <c r="P879" s="1028" t="s">
        <v>780</v>
      </c>
      <c r="Q879" s="1097">
        <f t="shared" ref="Q879:Q884" ca="1" si="912">INDIRECT(P879)</f>
        <v>17</v>
      </c>
      <c r="R879" s="1034"/>
      <c r="S879" s="1028" t="s">
        <v>3616</v>
      </c>
      <c r="T879" s="1097">
        <f t="shared" ref="T879:T884" ca="1" si="913">INDIRECT(S879)</f>
        <v>17</v>
      </c>
      <c r="U879" s="1027">
        <v>4</v>
      </c>
      <c r="V879" s="1027">
        <f>IF(AP879+U879&gt;10,10,IF(AP879+U879&lt;1,1,AP879+U879))</f>
        <v>5</v>
      </c>
      <c r="W879" s="1098" t="e">
        <f>IF(OR(I879&lt;&gt;"N",E879="C"),IF(AND(N879&lt;&gt;"T",ISNUMBER(FIND("V",I879))),1,0),NA())+IF(H879="Y",IF(AND(N879="P",ISNUMBER(FIND("Z",I879))),2,1),0)+IF(J879="Y",1,0)+IF(K879="Y",3,0)+IF(BE879="Lore",L879*2+Experience!$D$25,0)+IF(M879="Y",1,0)</f>
        <v>#N/A</v>
      </c>
      <c r="X879" s="1099"/>
      <c r="Y879" s="1100">
        <f ca="1">IF(P879="NS",IFERROR(INDIRECT(S879),NA()),VLOOKUP(INDIRECT(P879)+INDIRECT(S879),'System Lookups'!$A$3:$D$146,2))</f>
        <v>0.1</v>
      </c>
      <c r="Z879" s="1100">
        <f t="shared" ref="Z879:Z884" si="914">IF(ISNA(W879),0,W879*0.03)+IF(X879&gt;0,X879*0.03,0)+IF(AND(ISNA(W879),X879&lt;=0),0,IF(G879&gt;0,G879*0.07,0))</f>
        <v>0</v>
      </c>
      <c r="AA879" s="1101">
        <f ca="1">IF(ISNA(Y879),0,Y879)+Z879+IF('Main Creation Page'!AB$2=37,'Main Creation Page'!E$14/100,0)</f>
        <v>0.1</v>
      </c>
      <c r="AB879" s="1102">
        <f>VLOOKUP(V879,'System Lookups'!$J$55:$P$64,3)</f>
        <v>0.1</v>
      </c>
      <c r="AC879" s="1103">
        <f>VLOOKUP(V879,'System Lookups'!$J$55:$P$64,4)</f>
        <v>0.2</v>
      </c>
      <c r="AD879" s="1104">
        <f t="shared" ref="AD879:AD884" ca="1" si="915">IF(AND(ISBLANK(X879),ISNA(W879)),IF(B879="~",0,AB879+AA879+IF(BB879&gt;0,0.05,0)),AA879+AC879+IF(BB879&gt;0,0.05,0))</f>
        <v>0.25</v>
      </c>
      <c r="AE879" s="1094">
        <f ca="1">(IF(AD879&gt;VLOOKUP(V879,'System Lookups'!$J$55:$P$63,6),(((AD879-VLOOKUP(V879,'System Lookups'!$J$55:$P$63,6))*100)/20),0))+AF879</f>
        <v>0</v>
      </c>
      <c r="AF879" s="1094"/>
      <c r="AG879" s="1092">
        <f t="shared" ref="AG879:AG884" si="916">IF(ISBLANK(X879),0,AQ879*X879+IF(ISNA(W879),1,0))</f>
        <v>0</v>
      </c>
      <c r="AH879" s="1092" t="str">
        <f>IF(X879&lt;=Experience!$R$15+1,"","*")</f>
        <v/>
      </c>
      <c r="AI879" s="1092"/>
      <c r="AJ879" s="1080">
        <f t="shared" ref="AJ879:AJ884" si="917">IF(ISNUMBER(FIND("R",F879)),-1,0)</f>
        <v>0</v>
      </c>
      <c r="AK879" s="1080">
        <f t="shared" ref="AK879:AK884" si="918">IF(F879="s",-2,0)</f>
        <v>0</v>
      </c>
      <c r="AL879" s="1080">
        <f t="shared" ref="AL879:AL884" si="919">IF(AND(H879="Y",OR(N879="P",N879="S")),-1,0)</f>
        <v>0</v>
      </c>
      <c r="AM879" s="1092">
        <f t="shared" ref="AM879:AM884" si="920">IF(J879="y",1,0)</f>
        <v>0</v>
      </c>
      <c r="AN879" s="1080">
        <f t="shared" ref="AN879:AN884" si="921">IF(N879="P",-1,IF(N879="T",1,0))</f>
        <v>1</v>
      </c>
      <c r="AO879" s="1080">
        <f t="shared" ref="AO879:AO884" si="922">IF(ISNUMBER(FIND("Z",I879)),1,0)</f>
        <v>0</v>
      </c>
      <c r="AP879" s="1080">
        <f t="shared" ref="AP879:AP884" si="923">SUM(AJ879:AN879)-AM879</f>
        <v>1</v>
      </c>
      <c r="AQ879" s="1027">
        <f>VLOOKUP(V879,'System Lookups'!$J$55:$P$64,7)</f>
        <v>700</v>
      </c>
      <c r="AR879" s="1080" t="str">
        <f ca="1">IF(AND(NOT(ISBLANK(AJ879)),ISNA(MATCH(ROW(),'System Lookups'!$C$526:$C$539,0))),"Y","N")</f>
        <v>Y</v>
      </c>
      <c r="AS879" s="1080">
        <f t="shared" ref="AS879:AS884" si="924">AG879-AI879</f>
        <v>0</v>
      </c>
      <c r="AU879" s="1080" t="e">
        <f t="shared" si="834"/>
        <v>#N/A</v>
      </c>
      <c r="AV879" s="1080" t="str">
        <f t="shared" si="892"/>
        <v>T</v>
      </c>
      <c r="AW879" s="1080">
        <f t="shared" si="835"/>
        <v>0</v>
      </c>
      <c r="AX879" s="1080">
        <f t="shared" si="836"/>
        <v>0</v>
      </c>
      <c r="AY879" s="1080">
        <f t="shared" si="837"/>
        <v>0</v>
      </c>
      <c r="AZ879" s="1080">
        <f t="shared" si="838"/>
        <v>0</v>
      </c>
      <c r="BA879" s="1080">
        <f t="shared" si="839"/>
        <v>0</v>
      </c>
      <c r="BB879" s="1080">
        <f>IF(AND(RACE=1,'Main Creation Page'!$E$6="Well",OR(ISNUMBER(FIND(Experience!$G$11,BE879)),ISNUMBER(FIND(Experience!$G$11,BF879)),ISNUMBER(FIND(Experience!$I$11,BE879)),ISNUMBER(FIND(Experience!$I$11,BF879)))),1,0)</f>
        <v>1</v>
      </c>
      <c r="BC879" s="1080" t="str">
        <f t="shared" si="871"/>
        <v>Chemical Lore</v>
      </c>
      <c r="BE879" s="1080" t="str">
        <f t="shared" si="833"/>
        <v>Lore</v>
      </c>
      <c r="BF879" s="1080" t="str">
        <f>IF(ISBLANK(AC879),IF(OR(ISNA(BC879),ISBLANK(BC879)),BF562,BC879),BF562)</f>
        <v>Lore Scientific Skills</v>
      </c>
    </row>
    <row r="880" spans="1:58" ht="11.1" customHeight="1" outlineLevel="1">
      <c r="A880" s="1123" t="s">
        <v>2513</v>
      </c>
      <c r="B880" s="1094"/>
      <c r="C880" s="1094" t="s">
        <v>4629</v>
      </c>
      <c r="D880" s="1094"/>
      <c r="E880" s="1095" t="s">
        <v>5224</v>
      </c>
      <c r="F880" s="1095" t="s">
        <v>5224</v>
      </c>
      <c r="G880" s="1096">
        <v>0</v>
      </c>
      <c r="H880" s="1096" t="s">
        <v>5224</v>
      </c>
      <c r="I880" s="1096" t="s">
        <v>5224</v>
      </c>
      <c r="J880" s="1096" t="s">
        <v>5224</v>
      </c>
      <c r="K880" s="1096" t="s">
        <v>5224</v>
      </c>
      <c r="L880" s="1096">
        <v>0</v>
      </c>
      <c r="M880" s="1096" t="s">
        <v>5224</v>
      </c>
      <c r="N880" s="1096" t="s">
        <v>4631</v>
      </c>
      <c r="O880" s="1028"/>
      <c r="P880" s="1028" t="s">
        <v>780</v>
      </c>
      <c r="Q880" s="1097">
        <f t="shared" ca="1" si="912"/>
        <v>17</v>
      </c>
      <c r="R880" s="1034"/>
      <c r="S880" s="1028" t="s">
        <v>3616</v>
      </c>
      <c r="T880" s="1097">
        <f t="shared" ca="1" si="913"/>
        <v>17</v>
      </c>
      <c r="U880" s="1027">
        <f ca="1">IF('Main Creation Page'!K3=1,5,4)-IF(AD$393&gt;0,IF('Main Creation Page'!E13+'Main Creation Page'!E16&gt;29,1,0),0)</f>
        <v>3</v>
      </c>
      <c r="V880" s="1027">
        <f ca="1">IF(AP880+U880&gt;10,10,IF(AP880+U880&lt;1,1,AP880+U880))</f>
        <v>4</v>
      </c>
      <c r="W880" s="1098" t="e">
        <f ca="1">IF(OR(I880&lt;&gt;"N",E880="C"),IF(AND(N880&lt;&gt;"T",ISNUMBER(FIND("V",I880))),1,0),NA())+IF(H880="Y",IF(AND(N880="P",ISNUMBER(FIND("Z",I880))),2,1),0)+IF(J880="Y",1,0)+IF(K880="Y",3,0)+IF(BE880="Lore",L880*2+Experience!$D$25,0)+IF(M880="Y",1,0)</f>
        <v>#N/A</v>
      </c>
      <c r="X880" s="1099"/>
      <c r="Y880" s="1100">
        <f ca="1">IF(P880="NS",IFERROR(INDIRECT(S880),NA()),VLOOKUP(INDIRECT(P880)+INDIRECT(S880),'System Lookups'!$A$3:$D$146,2))</f>
        <v>0.1</v>
      </c>
      <c r="Z880" s="1100">
        <f t="shared" ca="1" si="914"/>
        <v>0</v>
      </c>
      <c r="AA880" s="1101">
        <f ca="1">IF(ISNA(Y880),0,Y880)+Z880</f>
        <v>0.1</v>
      </c>
      <c r="AB880" s="1102">
        <f ca="1">VLOOKUP(V880,'System Lookups'!$J$55:$P$64,3)</f>
        <v>0.2</v>
      </c>
      <c r="AC880" s="1103">
        <f ca="1">VLOOKUP(V880,'System Lookups'!$J$55:$P$64,4)</f>
        <v>0.3</v>
      </c>
      <c r="AD880" s="1104">
        <f t="shared" ca="1" si="915"/>
        <v>0.35000000000000003</v>
      </c>
      <c r="AE880" s="1094">
        <f ca="1">(IF(AD880&gt;VLOOKUP(V880,'System Lookups'!$J$55:$P$63,6),(((AD880-VLOOKUP(V880,'System Lookups'!$J$55:$P$63,6))*100)/20),0))+AF880</f>
        <v>0</v>
      </c>
      <c r="AF880" s="1094"/>
      <c r="AG880" s="1092">
        <f t="shared" si="916"/>
        <v>0</v>
      </c>
      <c r="AH880" s="1092" t="str">
        <f>IF(X880&lt;=Experience!$R$15+1,"","*")</f>
        <v/>
      </c>
      <c r="AI880" s="1092"/>
      <c r="AJ880" s="1080">
        <f t="shared" si="917"/>
        <v>0</v>
      </c>
      <c r="AK880" s="1080">
        <f t="shared" si="918"/>
        <v>0</v>
      </c>
      <c r="AL880" s="1080">
        <f t="shared" si="919"/>
        <v>0</v>
      </c>
      <c r="AM880" s="1092">
        <f t="shared" si="920"/>
        <v>0</v>
      </c>
      <c r="AN880" s="1080">
        <f t="shared" si="921"/>
        <v>1</v>
      </c>
      <c r="AO880" s="1080">
        <f t="shared" si="922"/>
        <v>0</v>
      </c>
      <c r="AP880" s="1080">
        <f t="shared" si="923"/>
        <v>1</v>
      </c>
      <c r="AQ880" s="1027">
        <f ca="1">VLOOKUP(V880,'System Lookups'!$J$55:$P$64,7)</f>
        <v>600</v>
      </c>
      <c r="AR880" s="1080" t="str">
        <f ca="1">IF(AND(NOT(ISBLANK(AJ880)),ISNA(MATCH(ROW(),'System Lookups'!$C$526:$C$539,0))),"Y","N")</f>
        <v>Y</v>
      </c>
      <c r="AS880" s="1080">
        <f t="shared" si="924"/>
        <v>0</v>
      </c>
      <c r="AU880" s="1080" t="e">
        <f t="shared" ca="1" si="834"/>
        <v>#N/A</v>
      </c>
      <c r="AV880" s="1080" t="str">
        <f t="shared" ca="1" si="892"/>
        <v>T</v>
      </c>
      <c r="AW880" s="1080">
        <f t="shared" si="835"/>
        <v>0</v>
      </c>
      <c r="AX880" s="1080">
        <f t="shared" si="836"/>
        <v>0</v>
      </c>
      <c r="AY880" s="1080">
        <f t="shared" si="837"/>
        <v>0</v>
      </c>
      <c r="AZ880" s="1080">
        <f t="shared" si="838"/>
        <v>0</v>
      </c>
      <c r="BA880" s="1080">
        <f t="shared" si="839"/>
        <v>0</v>
      </c>
      <c r="BB880" s="1080">
        <f ca="1">IF(AND(RACE=1,'Main Creation Page'!$E$6="Well",OR(ISNUMBER(FIND(Experience!$G$11,BE880)),ISNUMBER(FIND(Experience!$G$11,BF880)),ISNUMBER(FIND(Experience!$I$11,BE880)),ISNUMBER(FIND(Experience!$I$11,BF880)))),1,0)</f>
        <v>1</v>
      </c>
      <c r="BC880" s="1080" t="str">
        <f t="shared" si="871"/>
        <v>Fluid Lore (Lore of Fluids)</v>
      </c>
      <c r="BE880" s="1080" t="str">
        <f t="shared" ca="1" si="833"/>
        <v>Lore</v>
      </c>
      <c r="BF880" s="1080" t="str">
        <f ca="1">IF(ISBLANK(AC880),IF(OR(ISNA(BC880),ISBLANK(BC880)),BF566,BC880),BF566)</f>
        <v>Lore Scientific Skills</v>
      </c>
    </row>
    <row r="881" spans="1:58" ht="11.1" customHeight="1" outlineLevel="1">
      <c r="A881" s="1123" t="s">
        <v>2510</v>
      </c>
      <c r="B881" s="1094"/>
      <c r="C881" s="1094"/>
      <c r="D881" s="1094"/>
      <c r="E881" s="1095" t="s">
        <v>5224</v>
      </c>
      <c r="F881" s="1095" t="s">
        <v>5224</v>
      </c>
      <c r="G881" s="1096">
        <v>0</v>
      </c>
      <c r="H881" s="1096" t="s">
        <v>5224</v>
      </c>
      <c r="I881" s="1096" t="s">
        <v>5224</v>
      </c>
      <c r="J881" s="1096" t="s">
        <v>5224</v>
      </c>
      <c r="K881" s="1096" t="s">
        <v>5224</v>
      </c>
      <c r="L881" s="1096">
        <v>0</v>
      </c>
      <c r="M881" s="1096" t="s">
        <v>5224</v>
      </c>
      <c r="N881" s="1096" t="s">
        <v>4631</v>
      </c>
      <c r="O881" s="1028"/>
      <c r="P881" s="1028" t="s">
        <v>780</v>
      </c>
      <c r="Q881" s="1097">
        <f t="shared" ca="1" si="912"/>
        <v>17</v>
      </c>
      <c r="R881" s="1034"/>
      <c r="S881" s="1028" t="s">
        <v>3616</v>
      </c>
      <c r="T881" s="1097">
        <f t="shared" ca="1" si="913"/>
        <v>17</v>
      </c>
      <c r="U881" s="1027">
        <f ca="1">IF('Main Creation Page'!K3=1,5,4)-IF(AD$393&gt;0,IF('Main Creation Page'!E13+'Main Creation Page'!E16&gt;29,1,0),0)</f>
        <v>3</v>
      </c>
      <c r="V881" s="1027">
        <f ca="1">IF(AP881+U881&gt;10,10,IF(AP881+U881&lt;1,1,AP881+U881))</f>
        <v>4</v>
      </c>
      <c r="W881" s="1098" t="e">
        <f ca="1">IF(OR(I881&lt;&gt;"N",E881="C"),IF(AND(N881&lt;&gt;"T",ISNUMBER(FIND("V",I881))),1,0),NA())+IF(H881="Y",IF(AND(N881="P",ISNUMBER(FIND("Z",I881))),2,1),0)+IF(J881="Y",1,0)+IF(K881="Y",3,0)+IF(BE881="Lore",L881*2+Experience!$D$25,0)+IF(M881="Y",1,0)</f>
        <v>#N/A</v>
      </c>
      <c r="X881" s="1099"/>
      <c r="Y881" s="1100">
        <f ca="1">IF(P881="NS",IFERROR(INDIRECT(S881),NA()),VLOOKUP(INDIRECT(P881)+INDIRECT(S881),'System Lookups'!$A$3:$D$146,2))</f>
        <v>0.1</v>
      </c>
      <c r="Z881" s="1100">
        <f t="shared" ca="1" si="914"/>
        <v>0</v>
      </c>
      <c r="AA881" s="1101">
        <f ca="1">IF(ISNA(Y881),0,Y881)+Z881+IF('Main Creation Page'!AB$2=37,'Main Creation Page'!E$14/100,0)</f>
        <v>0.1</v>
      </c>
      <c r="AB881" s="1102">
        <f ca="1">VLOOKUP(V881,'System Lookups'!$J$55:$P$64,3)</f>
        <v>0.2</v>
      </c>
      <c r="AC881" s="1103">
        <f ca="1">VLOOKUP(V881,'System Lookups'!$J$55:$P$64,4)</f>
        <v>0.3</v>
      </c>
      <c r="AD881" s="1104">
        <f t="shared" ca="1" si="915"/>
        <v>0.35000000000000003</v>
      </c>
      <c r="AE881" s="1094">
        <f ca="1">(IF(AD881&gt;VLOOKUP(V881,'System Lookups'!$J$55:$P$63,6),(((AD881-VLOOKUP(V881,'System Lookups'!$J$55:$P$63,6))*100)/20),0))+AF881</f>
        <v>0</v>
      </c>
      <c r="AF881" s="1094"/>
      <c r="AG881" s="1092">
        <f t="shared" si="916"/>
        <v>0</v>
      </c>
      <c r="AH881" s="1092" t="str">
        <f>IF(X881&lt;=Experience!$R$15+1,"","*")</f>
        <v/>
      </c>
      <c r="AI881" s="1092"/>
      <c r="AJ881" s="1080">
        <f t="shared" si="917"/>
        <v>0</v>
      </c>
      <c r="AK881" s="1080">
        <f t="shared" si="918"/>
        <v>0</v>
      </c>
      <c r="AL881" s="1080">
        <f t="shared" si="919"/>
        <v>0</v>
      </c>
      <c r="AM881" s="1092">
        <f t="shared" si="920"/>
        <v>0</v>
      </c>
      <c r="AN881" s="1080">
        <f t="shared" si="921"/>
        <v>1</v>
      </c>
      <c r="AO881" s="1080">
        <f t="shared" si="922"/>
        <v>0</v>
      </c>
      <c r="AP881" s="1080">
        <f t="shared" si="923"/>
        <v>1</v>
      </c>
      <c r="AQ881" s="1027">
        <f ca="1">VLOOKUP(V881,'System Lookups'!$J$55:$P$64,7)</f>
        <v>600</v>
      </c>
      <c r="AR881" s="1080" t="str">
        <f ca="1">IF(AND(NOT(ISBLANK(AJ881)),ISNA(MATCH(ROW(),'System Lookups'!$C$526:$C$539,0))),"Y","N")</f>
        <v>Y</v>
      </c>
      <c r="AS881" s="1080">
        <f t="shared" si="924"/>
        <v>0</v>
      </c>
      <c r="AU881" s="1080" t="e">
        <f t="shared" ca="1" si="834"/>
        <v>#N/A</v>
      </c>
      <c r="AV881" s="1080" t="str">
        <f t="shared" ca="1" si="892"/>
        <v>T</v>
      </c>
      <c r="AW881" s="1080">
        <f t="shared" si="835"/>
        <v>0</v>
      </c>
      <c r="AX881" s="1080">
        <f t="shared" si="836"/>
        <v>0</v>
      </c>
      <c r="AY881" s="1080">
        <f t="shared" si="837"/>
        <v>0</v>
      </c>
      <c r="AZ881" s="1080">
        <f t="shared" si="838"/>
        <v>0</v>
      </c>
      <c r="BA881" s="1080">
        <f t="shared" si="839"/>
        <v>0</v>
      </c>
      <c r="BB881" s="1080">
        <f ca="1">IF(AND(RACE=1,'Main Creation Page'!$E$6="Well",OR(ISNUMBER(FIND(Experience!$G$11,BE881)),ISNUMBER(FIND(Experience!$G$11,BF881)),ISNUMBER(FIND(Experience!$I$11,BE881)),ISNUMBER(FIND(Experience!$I$11,BF881)))),1,0)</f>
        <v>1</v>
      </c>
      <c r="BC881" s="1080" t="str">
        <f t="shared" si="871"/>
        <v>Magnetic Lore (Lore of Magnetism)</v>
      </c>
      <c r="BE881" s="1080" t="str">
        <f t="shared" ca="1" si="833"/>
        <v>Lore</v>
      </c>
      <c r="BF881" s="1080" t="str">
        <f ca="1">IF(ISBLANK(AC881),IF(OR(ISNA(BC881),ISBLANK(BC881)),BF580,BC881),BF580)</f>
        <v>Lore Scientific Skills</v>
      </c>
    </row>
    <row r="882" spans="1:58" ht="11.1" customHeight="1" outlineLevel="1">
      <c r="A882" s="1123" t="s">
        <v>2509</v>
      </c>
      <c r="B882" s="1094"/>
      <c r="C882" s="1094"/>
      <c r="D882" s="1094"/>
      <c r="E882" s="1095" t="s">
        <v>5224</v>
      </c>
      <c r="F882" s="1095" t="s">
        <v>5224</v>
      </c>
      <c r="G882" s="1096">
        <v>0</v>
      </c>
      <c r="H882" s="1096" t="s">
        <v>5224</v>
      </c>
      <c r="I882" s="1096" t="s">
        <v>5224</v>
      </c>
      <c r="J882" s="1096" t="s">
        <v>5224</v>
      </c>
      <c r="K882" s="1096" t="s">
        <v>5224</v>
      </c>
      <c r="L882" s="1096">
        <v>0</v>
      </c>
      <c r="M882" s="1096" t="s">
        <v>5224</v>
      </c>
      <c r="N882" s="1096" t="s">
        <v>4631</v>
      </c>
      <c r="O882" s="1028"/>
      <c r="P882" s="1028" t="s">
        <v>780</v>
      </c>
      <c r="Q882" s="1097">
        <f t="shared" ca="1" si="912"/>
        <v>17</v>
      </c>
      <c r="R882" s="1034"/>
      <c r="S882" s="1028" t="s">
        <v>3616</v>
      </c>
      <c r="T882" s="1097">
        <f t="shared" ca="1" si="913"/>
        <v>17</v>
      </c>
      <c r="U882" s="1027">
        <f ca="1">IF('Main Creation Page'!K3=1,5,4)-IF(AD$393&gt;0,IF('Main Creation Page'!E13+'Main Creation Page'!E16&gt;29,1,0),0)</f>
        <v>3</v>
      </c>
      <c r="V882" s="1027">
        <f ca="1">IF(AP882+U882&gt;10,10,IF(AP882+U882&lt;1,1,AP882+U882))</f>
        <v>4</v>
      </c>
      <c r="W882" s="1098" t="e">
        <f ca="1">IF(OR(I882&lt;&gt;"N",E882="C"),IF(AND(N882&lt;&gt;"T",ISNUMBER(FIND("V",I882))),1,0),NA())+IF(H882="Y",IF(AND(N882="P",ISNUMBER(FIND("Z",I882))),2,1),0)+IF(J882="Y",1,0)+IF(K882="Y",3,0)+IF(BE882="Lore",L882*2+Experience!$D$25,0)+IF(M882="Y",1,0)</f>
        <v>#N/A</v>
      </c>
      <c r="X882" s="1099"/>
      <c r="Y882" s="1100">
        <f ca="1">IF(P882="NS",IFERROR(INDIRECT(S882),NA()),VLOOKUP(INDIRECT(P882)+INDIRECT(S882),'System Lookups'!$A$3:$D$146,2))</f>
        <v>0.1</v>
      </c>
      <c r="Z882" s="1100">
        <f t="shared" ca="1" si="914"/>
        <v>0</v>
      </c>
      <c r="AA882" s="1101">
        <f ca="1">IF(ISNA(Y882),0,Y882)+Z882+IF('Main Creation Page'!AB$2=37,'Main Creation Page'!E$14/100,0)</f>
        <v>0.1</v>
      </c>
      <c r="AB882" s="1102">
        <f ca="1">VLOOKUP(V882,'System Lookups'!$J$55:$P$64,3)</f>
        <v>0.2</v>
      </c>
      <c r="AC882" s="1103">
        <f ca="1">VLOOKUP(V882,'System Lookups'!$J$55:$P$64,4)</f>
        <v>0.3</v>
      </c>
      <c r="AD882" s="1104">
        <f t="shared" ca="1" si="915"/>
        <v>0.35000000000000003</v>
      </c>
      <c r="AE882" s="1094">
        <f ca="1">(IF(AD882&gt;VLOOKUP(V882,'System Lookups'!$J$55:$P$63,6),(((AD882-VLOOKUP(V882,'System Lookups'!$J$55:$P$63,6))*100)/20),0))+AF882</f>
        <v>0</v>
      </c>
      <c r="AF882" s="1094"/>
      <c r="AG882" s="1092">
        <f t="shared" si="916"/>
        <v>0</v>
      </c>
      <c r="AH882" s="1092" t="str">
        <f>IF(X882&lt;=Experience!$R$15+1,"","*")</f>
        <v/>
      </c>
      <c r="AI882" s="1092"/>
      <c r="AJ882" s="1080">
        <f t="shared" si="917"/>
        <v>0</v>
      </c>
      <c r="AK882" s="1080">
        <f t="shared" si="918"/>
        <v>0</v>
      </c>
      <c r="AL882" s="1080">
        <f t="shared" si="919"/>
        <v>0</v>
      </c>
      <c r="AM882" s="1092">
        <f t="shared" si="920"/>
        <v>0</v>
      </c>
      <c r="AN882" s="1080">
        <f t="shared" si="921"/>
        <v>1</v>
      </c>
      <c r="AO882" s="1080">
        <f t="shared" si="922"/>
        <v>0</v>
      </c>
      <c r="AP882" s="1080">
        <f t="shared" si="923"/>
        <v>1</v>
      </c>
      <c r="AQ882" s="1027">
        <f ca="1">VLOOKUP(V882,'System Lookups'!$J$55:$P$64,7)</f>
        <v>600</v>
      </c>
      <c r="AR882" s="1080" t="str">
        <f ca="1">IF(AND(NOT(ISBLANK(AJ882)),ISNA(MATCH(ROW(),'System Lookups'!$C$526:$C$539,0))),"Y","N")</f>
        <v>Y</v>
      </c>
      <c r="AS882" s="1080">
        <f t="shared" si="924"/>
        <v>0</v>
      </c>
      <c r="AU882" s="1080" t="e">
        <f t="shared" ca="1" si="834"/>
        <v>#N/A</v>
      </c>
      <c r="AV882" s="1080" t="str">
        <f t="shared" ca="1" si="892"/>
        <v>T</v>
      </c>
      <c r="AW882" s="1080">
        <f t="shared" si="835"/>
        <v>0</v>
      </c>
      <c r="AX882" s="1080">
        <f t="shared" si="836"/>
        <v>0</v>
      </c>
      <c r="AY882" s="1080">
        <f t="shared" si="837"/>
        <v>0</v>
      </c>
      <c r="AZ882" s="1080">
        <f t="shared" si="838"/>
        <v>0</v>
      </c>
      <c r="BA882" s="1080">
        <f t="shared" si="839"/>
        <v>0</v>
      </c>
      <c r="BB882" s="1080">
        <f ca="1">IF(AND(RACE=1,'Main Creation Page'!$E$6="Well",OR(ISNUMBER(FIND(Experience!$G$11,BE882)),ISNUMBER(FIND(Experience!$G$11,BF882)),ISNUMBER(FIND(Experience!$I$11,BE882)),ISNUMBER(FIND(Experience!$I$11,BF882)))),1,0)</f>
        <v>1</v>
      </c>
      <c r="BC882" s="1080" t="str">
        <f t="shared" si="871"/>
        <v>Mechanical Lore</v>
      </c>
      <c r="BE882" s="1080" t="str">
        <f t="shared" ref="BE882:BE884" ca="1" si="925">IF(OR(ISNUMBER(FIND("Lore",BF882)),ISNUMBER(FIND("Materia",BF882)),ISNUMBER(FIND("Lore",BD882))),"Lore","")</f>
        <v>Lore</v>
      </c>
      <c r="BF882" s="1080" t="str">
        <f ca="1">IF(ISBLANK(AC882),IF(OR(ISNA(BC882),ISBLANK(BC882)),BF581,BC882),BF581)</f>
        <v>Lore Scientific Skills</v>
      </c>
    </row>
    <row r="883" spans="1:58" ht="11.1" customHeight="1" outlineLevel="1">
      <c r="A883" s="1123" t="s">
        <v>5651</v>
      </c>
      <c r="B883" s="1094"/>
      <c r="C883" s="1094"/>
      <c r="D883" s="1094"/>
      <c r="E883" s="1095" t="s">
        <v>5224</v>
      </c>
      <c r="F883" s="1095" t="s">
        <v>5224</v>
      </c>
      <c r="G883" s="1096">
        <v>0</v>
      </c>
      <c r="H883" s="1096" t="s">
        <v>5224</v>
      </c>
      <c r="I883" s="1096" t="s">
        <v>5224</v>
      </c>
      <c r="J883" s="1096" t="s">
        <v>5224</v>
      </c>
      <c r="K883" s="1096" t="s">
        <v>5224</v>
      </c>
      <c r="L883" s="1096">
        <v>0</v>
      </c>
      <c r="M883" s="1096" t="s">
        <v>5224</v>
      </c>
      <c r="N883" s="1096" t="s">
        <v>4631</v>
      </c>
      <c r="O883" s="1028"/>
      <c r="P883" s="1028" t="s">
        <v>780</v>
      </c>
      <c r="Q883" s="1097">
        <f t="shared" ca="1" si="912"/>
        <v>17</v>
      </c>
      <c r="R883" s="1034"/>
      <c r="S883" s="1028" t="s">
        <v>3616</v>
      </c>
      <c r="T883" s="1097">
        <f t="shared" ca="1" si="913"/>
        <v>17</v>
      </c>
      <c r="U883" s="1027">
        <v>3</v>
      </c>
      <c r="V883" s="1027">
        <f>IF(AP883+U883&gt;10,10,IF(AP883+U883&lt;1,1,AP883+U883))</f>
        <v>4</v>
      </c>
      <c r="W883" s="1098" t="e">
        <f ca="1">IF(OR(I883&lt;&gt;"N",E883="C"),IF(AND(N883&lt;&gt;"T",ISNUMBER(FIND("V",I883))),1,0),NA())+IF(H883="Y",IF(AND(N883="P",ISNUMBER(FIND("Z",I883))),2,1),0)+IF(J883="Y",1,0)+IF(K883="Y",3,0)+IF(BE883="Lore",L883*2+Experience!$D$25,0)+IF(M883="Y",1,0)</f>
        <v>#N/A</v>
      </c>
      <c r="X883" s="1099"/>
      <c r="Y883" s="1100">
        <f ca="1">IF(P883="NS",IFERROR(INDIRECT(S883),NA()),VLOOKUP(INDIRECT(P883)+INDIRECT(S883),'System Lookups'!$A$3:$D$146,2))</f>
        <v>0.1</v>
      </c>
      <c r="Z883" s="1100">
        <f t="shared" ca="1" si="914"/>
        <v>0</v>
      </c>
      <c r="AA883" s="1101">
        <f ca="1">IF(ISNA(Y883),0,Y883)+Z883+IF('Main Creation Page'!AB$2=37,'Main Creation Page'!E$14/100,0)</f>
        <v>0.1</v>
      </c>
      <c r="AB883" s="1102">
        <f>VLOOKUP(V883,'System Lookups'!$J$55:$P$64,3)</f>
        <v>0.2</v>
      </c>
      <c r="AC883" s="1103">
        <f>VLOOKUP(V883,'System Lookups'!$J$55:$P$64,4)</f>
        <v>0.3</v>
      </c>
      <c r="AD883" s="1104">
        <f t="shared" ca="1" si="915"/>
        <v>0.35000000000000003</v>
      </c>
      <c r="AE883" s="1094">
        <f ca="1">(IF(AD883&gt;VLOOKUP(V883,'System Lookups'!$J$55:$P$63,6),(((AD883-VLOOKUP(V883,'System Lookups'!$J$55:$P$63,6))*100)/20),0))+AF883</f>
        <v>0</v>
      </c>
      <c r="AF883" s="1094"/>
      <c r="AG883" s="1092">
        <f t="shared" si="916"/>
        <v>0</v>
      </c>
      <c r="AH883" s="1092" t="str">
        <f>IF(X883&lt;=Experience!$R$15+1,"","*")</f>
        <v/>
      </c>
      <c r="AI883" s="1092"/>
      <c r="AJ883" s="1080">
        <f t="shared" si="917"/>
        <v>0</v>
      </c>
      <c r="AK883" s="1080">
        <f t="shared" si="918"/>
        <v>0</v>
      </c>
      <c r="AL883" s="1080">
        <f t="shared" si="919"/>
        <v>0</v>
      </c>
      <c r="AM883" s="1092">
        <f t="shared" si="920"/>
        <v>0</v>
      </c>
      <c r="AN883" s="1080">
        <f t="shared" si="921"/>
        <v>1</v>
      </c>
      <c r="AO883" s="1080">
        <f t="shared" si="922"/>
        <v>0</v>
      </c>
      <c r="AP883" s="1080">
        <f t="shared" si="923"/>
        <v>1</v>
      </c>
      <c r="AQ883" s="1027">
        <f>VLOOKUP(V883,'System Lookups'!$J$55:$P$64,7)</f>
        <v>600</v>
      </c>
      <c r="AR883" s="1080" t="str">
        <f ca="1">IF(AND(NOT(ISBLANK(AJ883)),ISNA(MATCH(ROW(),'System Lookups'!$C$526:$C$539,0))),"Y","N")</f>
        <v>Y</v>
      </c>
      <c r="AS883" s="1080">
        <f t="shared" si="924"/>
        <v>0</v>
      </c>
      <c r="AU883" s="1080" t="e">
        <f t="shared" ref="AU883:AU906" ca="1" si="926">IF(AND(NOT(ISNUMBER($W883)),ISBLANK($X883)),NA(),IFERROR($W883+$X883,$X883))</f>
        <v>#N/A</v>
      </c>
      <c r="AV883" s="1080" t="str">
        <f t="shared" si="892"/>
        <v>T</v>
      </c>
      <c r="AW883" s="1080">
        <f t="shared" ref="AW883:AW906" si="927">IF(OR(I883="N",ISBLANK(I883)),0,1)</f>
        <v>0</v>
      </c>
      <c r="AX883" s="1080">
        <f t="shared" ref="AX883:AX906" si="928">IF($N883="P",IF(ISNUMBER(FIND("V",$I883)),1,0),0)</f>
        <v>0</v>
      </c>
      <c r="AY883" s="1080">
        <f t="shared" ref="AY883:AY906" si="929">IF($N883="S",IF(ISNUMBER(FIND("V",$I883)),1,0),0)</f>
        <v>0</v>
      </c>
      <c r="AZ883" s="1080">
        <f t="shared" ref="AZ883:AZ906" si="930">IF($N883="T",IF(ISNUMBER(FIND("V",$I883)),1,0),0)</f>
        <v>0</v>
      </c>
      <c r="BA883" s="1080">
        <f t="shared" ref="BA883:BA906" si="931">IF($N883&lt;&gt;"T",IF(OR(ISNUMBER(FIND("C",$I883)),ISNUMBER(FIND("D",$I883)),ISNUMBER(FIND("E",$I883)),ISNUMBER(FIND("F",$I883)),ISNUMBER(FIND("L",$I883)),ISNUMBER(FIND("R",$I883)),ISNUMBER(FIND("S",$I883))),1,0),0)</f>
        <v>0</v>
      </c>
      <c r="BB883" s="1080">
        <f ca="1">IF(AND(RACE=1,'Main Creation Page'!$E$6="Well",OR(ISNUMBER(FIND(Experience!$G$11,BE883)),ISNUMBER(FIND(Experience!$G$11,BF883)),ISNUMBER(FIND(Experience!$I$11,BE883)),ISNUMBER(FIND(Experience!$I$11,BF883)))),1,0)</f>
        <v>1</v>
      </c>
      <c r="BC883" s="1080" t="str">
        <f t="shared" si="871"/>
        <v>Methods of Discovery (Experimentation)</v>
      </c>
      <c r="BE883" s="1080" t="str">
        <f t="shared" ca="1" si="925"/>
        <v>Lore</v>
      </c>
      <c r="BF883" s="1080" t="str">
        <f ca="1">IF(ISBLANK(AC883),IF(OR(ISNA(BC883),ISBLANK(BC883)),BF882,BC883),BF882)</f>
        <v>Lore Scientific Skills</v>
      </c>
    </row>
    <row r="884" spans="1:58" ht="11.1" customHeight="1" outlineLevel="1">
      <c r="A884" s="1123" t="s">
        <v>2512</v>
      </c>
      <c r="B884" s="1094"/>
      <c r="C884" s="1094"/>
      <c r="D884" s="1094"/>
      <c r="E884" s="1095" t="s">
        <v>5224</v>
      </c>
      <c r="F884" s="1095" t="s">
        <v>5224</v>
      </c>
      <c r="G884" s="1096">
        <v>0</v>
      </c>
      <c r="H884" s="1096" t="s">
        <v>5224</v>
      </c>
      <c r="I884" s="1096" t="s">
        <v>5224</v>
      </c>
      <c r="J884" s="1096" t="s">
        <v>5224</v>
      </c>
      <c r="K884" s="1096" t="s">
        <v>5224</v>
      </c>
      <c r="L884" s="1096">
        <v>0</v>
      </c>
      <c r="M884" s="1096" t="s">
        <v>5224</v>
      </c>
      <c r="N884" s="1096" t="s">
        <v>4631</v>
      </c>
      <c r="O884" s="1028"/>
      <c r="P884" s="1028" t="s">
        <v>780</v>
      </c>
      <c r="Q884" s="1097">
        <f t="shared" ca="1" si="912"/>
        <v>17</v>
      </c>
      <c r="R884" s="1034"/>
      <c r="S884" s="1028" t="s">
        <v>3616</v>
      </c>
      <c r="T884" s="1097">
        <f t="shared" ca="1" si="913"/>
        <v>17</v>
      </c>
      <c r="U884" s="1027">
        <v>5</v>
      </c>
      <c r="V884" s="1027">
        <f>IF(AP195+U884&gt;10,10,IF(AP195+U884&lt;1,1,AP195+U884))</f>
        <v>5</v>
      </c>
      <c r="W884" s="1098" t="e">
        <f ca="1">IF(OR(I884&lt;&gt;"N",E884="C"),IF(AND(N884&lt;&gt;"T",ISNUMBER(FIND("V",I884))),1,0),NA())+IF(H884="Y",IF(AND(N884="P",ISNUMBER(FIND("Z",I884))),2,1),0)+IF(J884="Y",1,0)+IF(K884="Y",3,0)+IF(BE884="Lore",L884*2+Experience!$D$25,0)+IF(M884="Y",1,0)</f>
        <v>#N/A</v>
      </c>
      <c r="X884" s="1099"/>
      <c r="Y884" s="1100">
        <f ca="1">IF(P884="NS",IFERROR(INDIRECT(S884),NA()),VLOOKUP(INDIRECT(P884)+INDIRECT(S884),'System Lookups'!$A$3:$D$146,2))</f>
        <v>0.1</v>
      </c>
      <c r="Z884" s="1100">
        <f t="shared" ca="1" si="914"/>
        <v>0</v>
      </c>
      <c r="AA884" s="1101">
        <f ca="1">IF(ISNA(Y884),0,Y884)+Z884+IF('Main Creation Page'!AB$2=37,'Main Creation Page'!E$14/100,0)</f>
        <v>0.1</v>
      </c>
      <c r="AB884" s="1102">
        <f>VLOOKUP(V884,'System Lookups'!$J$55:$P$64,3)</f>
        <v>0.1</v>
      </c>
      <c r="AC884" s="1103">
        <f>VLOOKUP(V884,'System Lookups'!$J$55:$P$64,4)</f>
        <v>0.2</v>
      </c>
      <c r="AD884" s="1104">
        <f t="shared" ca="1" si="915"/>
        <v>0.25</v>
      </c>
      <c r="AE884" s="1094">
        <f ca="1">(IF(AD884&gt;VLOOKUP(V884,'System Lookups'!$J$55:$P$63,6),(((AD884-VLOOKUP(V884,'System Lookups'!$J$55:$P$63,6))*100)/20),0))+AF884</f>
        <v>0</v>
      </c>
      <c r="AF884" s="1094"/>
      <c r="AG884" s="1092">
        <f t="shared" si="916"/>
        <v>0</v>
      </c>
      <c r="AH884" s="1092" t="str">
        <f>IF(X884&lt;=Experience!$R$15+1,"","*")</f>
        <v/>
      </c>
      <c r="AI884" s="1092"/>
      <c r="AJ884" s="1080">
        <f t="shared" si="917"/>
        <v>0</v>
      </c>
      <c r="AK884" s="1080">
        <f t="shared" si="918"/>
        <v>0</v>
      </c>
      <c r="AL884" s="1080">
        <f t="shared" si="919"/>
        <v>0</v>
      </c>
      <c r="AM884" s="1092">
        <f t="shared" si="920"/>
        <v>0</v>
      </c>
      <c r="AN884" s="1080">
        <f t="shared" si="921"/>
        <v>1</v>
      </c>
      <c r="AO884" s="1080">
        <f t="shared" si="922"/>
        <v>0</v>
      </c>
      <c r="AP884" s="1080">
        <f t="shared" si="923"/>
        <v>1</v>
      </c>
      <c r="AQ884" s="1027">
        <f>VLOOKUP(V884,'System Lookups'!$J$55:$P$64,7)</f>
        <v>700</v>
      </c>
      <c r="AR884" s="1080" t="str">
        <f ca="1">IF(AND(NOT(ISBLANK(AJ884)),ISNA(MATCH(ROW(),'System Lookups'!$C$526:$C$539,0))),"Y","N")</f>
        <v>Y</v>
      </c>
      <c r="AS884" s="1080">
        <f t="shared" si="924"/>
        <v>0</v>
      </c>
      <c r="AU884" s="1080" t="e">
        <f t="shared" ca="1" si="926"/>
        <v>#N/A</v>
      </c>
      <c r="AV884" s="1080" t="str">
        <f t="shared" si="892"/>
        <v>T</v>
      </c>
      <c r="AW884" s="1080">
        <f t="shared" si="927"/>
        <v>0</v>
      </c>
      <c r="AX884" s="1080">
        <f t="shared" si="928"/>
        <v>0</v>
      </c>
      <c r="AY884" s="1080">
        <f t="shared" si="929"/>
        <v>0</v>
      </c>
      <c r="AZ884" s="1080">
        <f t="shared" si="930"/>
        <v>0</v>
      </c>
      <c r="BA884" s="1080">
        <f t="shared" si="931"/>
        <v>0</v>
      </c>
      <c r="BB884" s="1080">
        <f ca="1">IF(AND(RACE=1,'Main Creation Page'!$E$6="Well",OR(ISNUMBER(FIND(Experience!$G$11,BE884)),ISNUMBER(FIND(Experience!$G$11,BF884)),ISNUMBER(FIND(Experience!$I$11,BE884)),ISNUMBER(FIND(Experience!$I$11,BF884)))),1,0)</f>
        <v>1</v>
      </c>
      <c r="BC884" s="1080" t="str">
        <f t="shared" si="871"/>
        <v>Thermodynamic Lore (Lore of Thermodynamics)</v>
      </c>
      <c r="BE884" s="1080" t="str">
        <f t="shared" ca="1" si="925"/>
        <v>Lore</v>
      </c>
      <c r="BF884" s="1080" t="str">
        <f ca="1">IF(ISBLANK(AC884),IF(OR(ISNA(BC884),ISBLANK(BC884)),BF584,BC884),BF584)</f>
        <v>Lore Scientific Skills</v>
      </c>
    </row>
    <row r="885" spans="1:58" outlineLevel="1">
      <c r="A885" s="1154"/>
      <c r="AG885" s="1092"/>
      <c r="AH885" s="1092"/>
      <c r="AI885" s="1092"/>
      <c r="AR885" s="1080" t="str">
        <f ca="1">IF(AND(NOT(ISBLANK(AJ885)),ISNA(MATCH(ROW(),'System Lookups'!$C$526:$C$539,0))),"Y","N")</f>
        <v>N</v>
      </c>
      <c r="AU885" s="1080" t="e">
        <f t="shared" si="926"/>
        <v>#N/A</v>
      </c>
      <c r="AV885" s="1080" t="str">
        <f t="shared" si="892"/>
        <v/>
      </c>
      <c r="AW885" s="1080">
        <f t="shared" si="927"/>
        <v>0</v>
      </c>
      <c r="AX885" s="1080">
        <f t="shared" si="928"/>
        <v>0</v>
      </c>
      <c r="AY885" s="1080">
        <f t="shared" si="929"/>
        <v>0</v>
      </c>
      <c r="AZ885" s="1080">
        <f t="shared" si="930"/>
        <v>0</v>
      </c>
      <c r="BA885" s="1080">
        <f t="shared" si="931"/>
        <v>0</v>
      </c>
      <c r="BB885" s="1080">
        <f>IF(AND(RACE=1,'Main Creation Page'!$E$6="Well",OR(ISNUMBER(FIND(Experience!$G$11,BE885)),ISNUMBER(FIND(Experience!$G$11,BF885)),ISNUMBER(FIND(Experience!$I$11,BE885)),ISNUMBER(FIND(Experience!$I$11,BF885)))),1,0)</f>
        <v>0</v>
      </c>
      <c r="BC885" s="1080" t="e">
        <f t="shared" si="871"/>
        <v>#N/A</v>
      </c>
      <c r="BE885" s="1080" t="str">
        <f t="shared" ref="BE885:BE907" si="932">IF(OR(ISNUMBER(FIND("Lore",BF885)),ISNUMBER(FIND("Materia",BF885)),ISNUMBER(FIND("Lore",BD885))),"Lore","")</f>
        <v/>
      </c>
    </row>
    <row r="886" spans="1:58">
      <c r="A886" s="1154" t="s">
        <v>3539</v>
      </c>
      <c r="AG886" s="1092">
        <f>SUM(AG887:AG895)</f>
        <v>0</v>
      </c>
      <c r="AH886" s="1092"/>
      <c r="AI886" s="1092">
        <f>SUM(AI887:AI895)</f>
        <v>0</v>
      </c>
      <c r="AR886" s="1080" t="str">
        <f ca="1">IF(AND(NOT(ISBLANK(AJ886)),ISNA(MATCH(ROW(),'System Lookups'!$C$526:$C$539,0))),"Y","N")</f>
        <v>N</v>
      </c>
      <c r="AU886" s="1080" t="e">
        <f t="shared" si="926"/>
        <v>#N/A</v>
      </c>
      <c r="AV886" s="1080" t="str">
        <f t="shared" si="892"/>
        <v/>
      </c>
      <c r="AW886" s="1080">
        <f t="shared" si="927"/>
        <v>0</v>
      </c>
      <c r="AX886" s="1080">
        <f t="shared" si="928"/>
        <v>0</v>
      </c>
      <c r="AY886" s="1080">
        <f t="shared" si="929"/>
        <v>0</v>
      </c>
      <c r="AZ886" s="1080">
        <f t="shared" si="930"/>
        <v>0</v>
      </c>
      <c r="BA886" s="1080">
        <f t="shared" si="931"/>
        <v>0</v>
      </c>
      <c r="BB886" s="1080">
        <f>IF(AND(RACE=1,'Main Creation Page'!$E$6="Well",OR(ISNUMBER(FIND(Experience!$G$11,BE886)),ISNUMBER(FIND(Experience!$G$11,BF886)),ISNUMBER(FIND(Experience!$I$11,BE886)),ISNUMBER(FIND(Experience!$I$11,BF886)))),1,0)</f>
        <v>0</v>
      </c>
      <c r="BC886" s="1080" t="str">
        <f t="shared" si="871"/>
        <v>SkillSkape Psionics</v>
      </c>
      <c r="BE886" s="1080" t="str">
        <f t="shared" si="932"/>
        <v/>
      </c>
      <c r="BF886" s="1080" t="str">
        <f>IF(ISBLANK(AC886),IF(OR(ISNA(BC886),ISBLANK(BC886)),BF877,BC886),BF877)</f>
        <v>SkillSkape Psionics</v>
      </c>
    </row>
    <row r="887" spans="1:58" outlineLevel="1">
      <c r="A887" s="1136" t="s">
        <v>4109</v>
      </c>
      <c r="B887" s="1094"/>
      <c r="C887" s="1094"/>
      <c r="D887" s="1094"/>
      <c r="E887" s="1095" t="s">
        <v>5224</v>
      </c>
      <c r="F887" s="1095" t="s">
        <v>5224</v>
      </c>
      <c r="G887" s="1096">
        <v>0</v>
      </c>
      <c r="H887" s="1096" t="s">
        <v>5224</v>
      </c>
      <c r="I887" s="1096" t="s">
        <v>5224</v>
      </c>
      <c r="J887" s="1096" t="s">
        <v>5224</v>
      </c>
      <c r="K887" s="1096" t="s">
        <v>5224</v>
      </c>
      <c r="L887" s="1096" t="s">
        <v>5224</v>
      </c>
      <c r="M887" s="1096" t="s">
        <v>5224</v>
      </c>
      <c r="N887" s="1096" t="s">
        <v>4631</v>
      </c>
      <c r="O887" s="1028"/>
      <c r="P887" s="1028" t="s">
        <v>3614</v>
      </c>
      <c r="Q887" s="1097">
        <f t="shared" ref="Q887:Q895" ca="1" si="933">INDIRECT(P887)</f>
        <v>15</v>
      </c>
      <c r="R887" s="1034"/>
      <c r="S887" s="1028" t="s">
        <v>3613</v>
      </c>
      <c r="T887" s="1097">
        <f t="shared" ref="T887:T895" ca="1" si="934">INDIRECT(S887)</f>
        <v>15</v>
      </c>
      <c r="U887" s="1027">
        <v>4</v>
      </c>
      <c r="V887" s="1027">
        <f t="shared" ref="V887:V895" si="935">IF(AP887+U887&gt;10,10,IF(AP887+U887&lt;1,1,AP887+U887))</f>
        <v>5</v>
      </c>
      <c r="W887" s="1098" t="e">
        <f>IF(OR(I887&lt;&gt;"N",E887="C"),IF(AND(N887&lt;&gt;"T",ISNUMBER(FIND("V",I887))),1,0),NA())+IF(H887="Y",IF(AND(N887="P",ISNUMBER(FIND("Z",I887))),2,1),0)+IF(J887="Y",1,0)+IF(K887="Y",3,0)+IF(BE887="Lore",L887*2+Experience!$D$25,0)+IF(M887="Y",1,0)</f>
        <v>#N/A</v>
      </c>
      <c r="X887" s="1099"/>
      <c r="Y887" s="1100">
        <f ca="1">IF(P887="NS",IFERROR(INDIRECT(S887),NA()),VLOOKUP(INDIRECT(P887)+INDIRECT(S887),'System Lookups'!$A$3:$D$146,2))</f>
        <v>0.06</v>
      </c>
      <c r="Z887" s="1100">
        <f t="shared" ref="Z887:Z895" si="936">IF(ISNA(W887),0,W887*0.03)+IF(X887&gt;0,X887*0.03,0)+IF(AND(ISNA(W887),X887&lt;=0),0,IF(G887&gt;0,G887*0.07,0))</f>
        <v>0</v>
      </c>
      <c r="AA887" s="1101">
        <f ca="1">IF(ISNA(Y887),0,Y887)+Z887</f>
        <v>0.06</v>
      </c>
      <c r="AB887" s="1102">
        <f>VLOOKUP(V887,'System Lookups'!$J$55:$P$64,3)</f>
        <v>0.1</v>
      </c>
      <c r="AC887" s="1103">
        <f>VLOOKUP(V887,'System Lookups'!$J$55:$P$64,4)</f>
        <v>0.2</v>
      </c>
      <c r="AD887" s="1104">
        <f t="shared" ref="AD887:AD895" ca="1" si="937">IF(AND(ISBLANK(X887),ISNA(W887)),IF(B887="~",0,AB887+AA887+IF(BB887&gt;0,0.05,0)),AA887+AC887+IF(BB887&gt;0,0.05,0))</f>
        <v>0.16</v>
      </c>
      <c r="AE887" s="1094">
        <f ca="1">(IF(AD887&gt;VLOOKUP(V887,'System Lookups'!$J$55:$P$63,6),(((AD887-VLOOKUP(V887,'System Lookups'!$J$55:$P$63,6))*100)/20),0))+AF887</f>
        <v>0</v>
      </c>
      <c r="AF887" s="1094"/>
      <c r="AG887" s="1092">
        <f t="shared" ref="AG887:AG895" si="938">IF(ISBLANK(X887),0,AQ887*X887+IF(ISNA(W887),1,0))</f>
        <v>0</v>
      </c>
      <c r="AH887" s="1092" t="str">
        <f>IF(X887&lt;=Experience!$R$15+1,"","*")</f>
        <v/>
      </c>
      <c r="AI887" s="1092"/>
      <c r="AJ887" s="1080">
        <f t="shared" ref="AJ887:AJ895" si="939">IF(ISNUMBER(FIND("R",F887)),-1,0)</f>
        <v>0</v>
      </c>
      <c r="AK887" s="1080">
        <f>IF(F887="s",-2,0)</f>
        <v>0</v>
      </c>
      <c r="AL887" s="1080">
        <f t="shared" ref="AL887:AL895" si="940">IF(AND(H887="Y",OR(N887="P",N887="S")),-1,0)</f>
        <v>0</v>
      </c>
      <c r="AM887" s="1092">
        <f>IF(J887="y",1,0)</f>
        <v>0</v>
      </c>
      <c r="AN887" s="1080">
        <f>IF(N887="P",-1,IF(N887="T",1,0))</f>
        <v>1</v>
      </c>
      <c r="AO887" s="1080">
        <f t="shared" ref="AO887:AO895" si="941">IF(ISNUMBER(FIND("Z",I887)),1,0)</f>
        <v>0</v>
      </c>
      <c r="AP887" s="1080">
        <f t="shared" ref="AP887:AP895" si="942">SUM(AJ887:AN887)-AM887</f>
        <v>1</v>
      </c>
      <c r="AQ887" s="1027">
        <f>VLOOKUP(V887,'System Lookups'!$J$55:$P$64,7)</f>
        <v>700</v>
      </c>
      <c r="AR887" s="1080" t="str">
        <f ca="1">IF(AND(NOT(ISBLANK(AJ887)),ISNA(MATCH(ROW(),'System Lookups'!$C$526:$C$539,0))),"Y","N")</f>
        <v>Y</v>
      </c>
      <c r="AS887" s="1080">
        <f t="shared" ref="AS887:AS895" si="943">AG887-AI887</f>
        <v>0</v>
      </c>
      <c r="AU887" s="1080" t="e">
        <f t="shared" si="926"/>
        <v>#N/A</v>
      </c>
      <c r="AV887" s="1080" t="str">
        <f t="shared" si="892"/>
        <v>T</v>
      </c>
      <c r="AW887" s="1080">
        <f t="shared" si="927"/>
        <v>0</v>
      </c>
      <c r="AX887" s="1080">
        <f t="shared" si="928"/>
        <v>0</v>
      </c>
      <c r="AY887" s="1080">
        <f t="shared" si="929"/>
        <v>0</v>
      </c>
      <c r="AZ887" s="1080">
        <f t="shared" si="930"/>
        <v>0</v>
      </c>
      <c r="BA887" s="1080">
        <f t="shared" si="931"/>
        <v>0</v>
      </c>
      <c r="BB887" s="1080">
        <f>IF(AND(RACE=1,'Main Creation Page'!$E$6="Well",OR(ISNUMBER(FIND(Experience!$G$11,BE887)),ISNUMBER(FIND(Experience!$G$11,BF887)),ISNUMBER(FIND(Experience!$I$11,BE887)),ISNUMBER(FIND(Experience!$I$11,BF887)))),1,0)</f>
        <v>0</v>
      </c>
      <c r="BC887" s="1080" t="str">
        <f t="shared" si="871"/>
        <v>Psionic Conditioning</v>
      </c>
      <c r="BE887" s="1080" t="str">
        <f t="shared" si="932"/>
        <v/>
      </c>
      <c r="BF887" s="1080" t="str">
        <f t="shared" ref="BF887:BF907" si="944">IF(ISBLANK(AC887),IF(OR(ISNA(BC887),ISBLANK(BC887)),BF886,BC887),BF886)</f>
        <v>SkillSkape Psionics</v>
      </c>
    </row>
    <row r="888" spans="1:58" outlineLevel="1">
      <c r="A888" s="1136" t="s">
        <v>4110</v>
      </c>
      <c r="B888" s="1094"/>
      <c r="C888" s="1094"/>
      <c r="D888" s="1094"/>
      <c r="E888" s="1095" t="s">
        <v>5224</v>
      </c>
      <c r="F888" s="1095" t="s">
        <v>5224</v>
      </c>
      <c r="G888" s="1096">
        <v>0</v>
      </c>
      <c r="H888" s="1096" t="s">
        <v>5224</v>
      </c>
      <c r="I888" s="1096" t="s">
        <v>5224</v>
      </c>
      <c r="J888" s="1096" t="s">
        <v>5224</v>
      </c>
      <c r="K888" s="1096" t="s">
        <v>5224</v>
      </c>
      <c r="L888" s="1096" t="s">
        <v>5224</v>
      </c>
      <c r="M888" s="1096" t="s">
        <v>5224</v>
      </c>
      <c r="N888" s="1096" t="s">
        <v>4631</v>
      </c>
      <c r="O888" s="1028"/>
      <c r="P888" s="1028" t="s">
        <v>3614</v>
      </c>
      <c r="Q888" s="1097">
        <f t="shared" ca="1" si="933"/>
        <v>15</v>
      </c>
      <c r="R888" s="1034"/>
      <c r="S888" s="1028" t="s">
        <v>3613</v>
      </c>
      <c r="T888" s="1097">
        <f t="shared" ca="1" si="934"/>
        <v>15</v>
      </c>
      <c r="U888" s="1027">
        <v>5</v>
      </c>
      <c r="V888" s="1027">
        <f t="shared" si="935"/>
        <v>6</v>
      </c>
      <c r="W888" s="1098" t="e">
        <f>IF(OR(I888&lt;&gt;"N",E888="C"),IF(AND(N888&lt;&gt;"T",ISNUMBER(FIND("V",I888))),1,0),NA())+IF(H888="Y",IF(AND(N888="P",ISNUMBER(FIND("Z",I888))),2,1),0)+IF(J888="Y",1,0)+IF(K888="Y",3,0)+IF(BE888="Lore",L888*2+Experience!$D$25,0)+IF(M888="Y",1,0)</f>
        <v>#N/A</v>
      </c>
      <c r="X888" s="1099"/>
      <c r="Y888" s="1100">
        <f ca="1">IF(P888="NS",IFERROR(INDIRECT(S888),NA()),VLOOKUP(INDIRECT(P888)+INDIRECT(S888),'System Lookups'!$A$3:$D$146,2))</f>
        <v>0.06</v>
      </c>
      <c r="Z888" s="1100">
        <f t="shared" si="936"/>
        <v>0</v>
      </c>
      <c r="AA888" s="1101">
        <f ca="1">IF(ISNA(Y888),0,Y888)+Z888</f>
        <v>0.06</v>
      </c>
      <c r="AB888" s="1102">
        <f>VLOOKUP(V888,'System Lookups'!$J$55:$P$64,3)</f>
        <v>0.05</v>
      </c>
      <c r="AC888" s="1103">
        <f>VLOOKUP(V888,'System Lookups'!$J$55:$P$64,4)</f>
        <v>0.1</v>
      </c>
      <c r="AD888" s="1104">
        <f t="shared" ca="1" si="937"/>
        <v>0.11</v>
      </c>
      <c r="AE888" s="1094">
        <f ca="1">(IF(AD888&gt;VLOOKUP(V888,'System Lookups'!$J$55:$P$63,6),(((AD888-VLOOKUP(V888,'System Lookups'!$J$55:$P$63,6))*100)/20),0))+AF888</f>
        <v>0</v>
      </c>
      <c r="AF888" s="1094"/>
      <c r="AG888" s="1092">
        <f t="shared" si="938"/>
        <v>0</v>
      </c>
      <c r="AH888" s="1092" t="str">
        <f>IF(X888&lt;=Experience!$R$15+1,"","*")</f>
        <v/>
      </c>
      <c r="AI888" s="1092"/>
      <c r="AJ888" s="1080">
        <f t="shared" si="939"/>
        <v>0</v>
      </c>
      <c r="AK888" s="1080">
        <f>IF(F888="s",-2,0)</f>
        <v>0</v>
      </c>
      <c r="AL888" s="1080">
        <f t="shared" si="940"/>
        <v>0</v>
      </c>
      <c r="AM888" s="1092">
        <f>IF(J888="y",1,0)</f>
        <v>0</v>
      </c>
      <c r="AN888" s="1080">
        <f>IF(N888="P",-1,IF(N888="T",1,0))</f>
        <v>1</v>
      </c>
      <c r="AO888" s="1080">
        <f t="shared" si="941"/>
        <v>0</v>
      </c>
      <c r="AP888" s="1080">
        <f t="shared" si="942"/>
        <v>1</v>
      </c>
      <c r="AQ888" s="1027">
        <f>VLOOKUP(V888,'System Lookups'!$J$55:$P$64,7)</f>
        <v>800</v>
      </c>
      <c r="AR888" s="1080" t="str">
        <f ca="1">IF(AND(NOT(ISBLANK(AJ888)),ISNA(MATCH(ROW(),'System Lookups'!$C$526:$C$539,0))),"Y","N")</f>
        <v>Y</v>
      </c>
      <c r="AS888" s="1080">
        <f t="shared" si="943"/>
        <v>0</v>
      </c>
      <c r="AU888" s="1080" t="e">
        <f t="shared" si="926"/>
        <v>#N/A</v>
      </c>
      <c r="AV888" s="1080" t="str">
        <f t="shared" si="892"/>
        <v>T</v>
      </c>
      <c r="AW888" s="1080">
        <f t="shared" si="927"/>
        <v>0</v>
      </c>
      <c r="AX888" s="1080">
        <f t="shared" si="928"/>
        <v>0</v>
      </c>
      <c r="AY888" s="1080">
        <f t="shared" si="929"/>
        <v>0</v>
      </c>
      <c r="AZ888" s="1080">
        <f t="shared" si="930"/>
        <v>0</v>
      </c>
      <c r="BA888" s="1080">
        <f t="shared" si="931"/>
        <v>0</v>
      </c>
      <c r="BB888" s="1080">
        <f>IF(AND(RACE=1,'Main Creation Page'!$E$6="Well",OR(ISNUMBER(FIND(Experience!$G$11,BE888)),ISNUMBER(FIND(Experience!$G$11,BF888)),ISNUMBER(FIND(Experience!$I$11,BE888)),ISNUMBER(FIND(Experience!$I$11,BF888)))),1,0)</f>
        <v>0</v>
      </c>
      <c r="BC888" s="1080" t="str">
        <f t="shared" si="871"/>
        <v>Psionic Endurance</v>
      </c>
      <c r="BE888" s="1080" t="str">
        <f t="shared" si="932"/>
        <v/>
      </c>
      <c r="BF888" s="1080" t="str">
        <f t="shared" si="944"/>
        <v>SkillSkape Psionics</v>
      </c>
    </row>
    <row r="889" spans="1:58" outlineLevel="1">
      <c r="A889" s="1136" t="s">
        <v>4108</v>
      </c>
      <c r="B889" s="1094"/>
      <c r="C889" s="1094"/>
      <c r="D889" s="1094"/>
      <c r="E889" s="1095" t="s">
        <v>5224</v>
      </c>
      <c r="F889" s="1095" t="s">
        <v>5224</v>
      </c>
      <c r="G889" s="1096">
        <v>0</v>
      </c>
      <c r="H889" s="1096" t="s">
        <v>5224</v>
      </c>
      <c r="I889" s="1096" t="s">
        <v>5224</v>
      </c>
      <c r="J889" s="1096" t="s">
        <v>5224</v>
      </c>
      <c r="K889" s="1096" t="s">
        <v>5224</v>
      </c>
      <c r="L889" s="1096" t="s">
        <v>5224</v>
      </c>
      <c r="M889" s="1096" t="s">
        <v>5224</v>
      </c>
      <c r="N889" s="1096" t="s">
        <v>4631</v>
      </c>
      <c r="O889" s="1028"/>
      <c r="P889" s="1028" t="s">
        <v>780</v>
      </c>
      <c r="Q889" s="1097">
        <f t="shared" ca="1" si="933"/>
        <v>17</v>
      </c>
      <c r="R889" s="1034"/>
      <c r="S889" s="1028" t="s">
        <v>780</v>
      </c>
      <c r="T889" s="1097">
        <f t="shared" ca="1" si="934"/>
        <v>17</v>
      </c>
      <c r="U889" s="1027">
        <v>4</v>
      </c>
      <c r="V889" s="1027">
        <f t="shared" si="935"/>
        <v>5</v>
      </c>
      <c r="W889" s="1098" t="e">
        <f>IF(OR(I889&lt;&gt;"N",E889="C"),IF(AND(N889&lt;&gt;"T",ISNUMBER(FIND("V",I889))),1,0),NA())+IF(H889="Y",IF(AND(N889="P",ISNUMBER(FIND("Z",I889))),2,1),0)+IF(J889="Y",1,0)+IF(K889="Y",3,0)+IF(BE889="Lore",L889*2+Experience!$D$25,0)+IF(M889="Y",1,0)</f>
        <v>#N/A</v>
      </c>
      <c r="X889" s="1099"/>
      <c r="Y889" s="1100">
        <f ca="1">IF(P889="NS",IFERROR(INDIRECT(S889),NA()),VLOOKUP(INDIRECT(P889)+INDIRECT(S889),'System Lookups'!$A$3:$D$146,2))</f>
        <v>0.1</v>
      </c>
      <c r="Z889" s="1100">
        <f t="shared" si="936"/>
        <v>0</v>
      </c>
      <c r="AA889" s="1101">
        <f ca="1">IF(ISNA(Y889),0,Y889)+Z889</f>
        <v>0.1</v>
      </c>
      <c r="AB889" s="1102">
        <f>VLOOKUP(V889,'System Lookups'!$J$55:$P$64,3)</f>
        <v>0.1</v>
      </c>
      <c r="AC889" s="1103">
        <f>VLOOKUP(V889,'System Lookups'!$J$55:$P$64,4)</f>
        <v>0.2</v>
      </c>
      <c r="AD889" s="1104">
        <f t="shared" ca="1" si="937"/>
        <v>0.2</v>
      </c>
      <c r="AE889" s="1094">
        <f ca="1">(IF(AD889&gt;VLOOKUP(V889,'System Lookups'!$J$55:$P$63,6),(((AD889-VLOOKUP(V889,'System Lookups'!$J$55:$P$63,6))*100)/20),0))+AF889</f>
        <v>0</v>
      </c>
      <c r="AF889" s="1094"/>
      <c r="AG889" s="1092">
        <f t="shared" si="938"/>
        <v>0</v>
      </c>
      <c r="AH889" s="1092" t="str">
        <f>IF(X889&lt;=Experience!$R$15+1,"","*")</f>
        <v/>
      </c>
      <c r="AI889" s="1092"/>
      <c r="AJ889" s="1080">
        <f t="shared" si="939"/>
        <v>0</v>
      </c>
      <c r="AK889" s="1080">
        <f>IF(F889="s",-2,0)</f>
        <v>0</v>
      </c>
      <c r="AL889" s="1080">
        <f t="shared" si="940"/>
        <v>0</v>
      </c>
      <c r="AM889" s="1092">
        <f>IF(J889="y",1,0)</f>
        <v>0</v>
      </c>
      <c r="AN889" s="1080">
        <f>IF(N889="P",-1,IF(N889="T",1,0))</f>
        <v>1</v>
      </c>
      <c r="AO889" s="1080">
        <f t="shared" si="941"/>
        <v>0</v>
      </c>
      <c r="AP889" s="1080">
        <f t="shared" si="942"/>
        <v>1</v>
      </c>
      <c r="AQ889" s="1027">
        <f>VLOOKUP(V889,'System Lookups'!$J$55:$P$64,7)</f>
        <v>700</v>
      </c>
      <c r="AR889" s="1080" t="str">
        <f ca="1">IF(AND(NOT(ISBLANK(AJ889)),ISNA(MATCH(ROW(),'System Lookups'!$C$526:$C$539,0))),"Y","N")</f>
        <v>Y</v>
      </c>
      <c r="AS889" s="1080">
        <f t="shared" si="943"/>
        <v>0</v>
      </c>
      <c r="AU889" s="1080" t="e">
        <f t="shared" si="926"/>
        <v>#N/A</v>
      </c>
      <c r="AV889" s="1080" t="str">
        <f t="shared" ref="AV889:AV906" si="945">IF(ISNUMBER(U889),CONCATENATE(IF(E889="C","C",""),IF(H889="Y","M",""),N889,IF(ISNUMBER(FIND("F",I889)),"Bk",""),IF(ISNUMBER(FIND("Z",I889)),"Zm",""),IF(J889="Y","L",""),IF(OR(K889="Y",AND(ISNUMBER(L889),L889&gt;0),M889="Y"),"Sa","")),"")</f>
        <v>T</v>
      </c>
      <c r="AW889" s="1080">
        <f t="shared" si="927"/>
        <v>0</v>
      </c>
      <c r="AX889" s="1080">
        <f t="shared" si="928"/>
        <v>0</v>
      </c>
      <c r="AY889" s="1080">
        <f t="shared" si="929"/>
        <v>0</v>
      </c>
      <c r="AZ889" s="1080">
        <f t="shared" si="930"/>
        <v>0</v>
      </c>
      <c r="BA889" s="1080">
        <f t="shared" si="931"/>
        <v>0</v>
      </c>
      <c r="BB889" s="1080">
        <f>IF(AND(RACE=1,'Main Creation Page'!$E$6="Well",OR(ISNUMBER(FIND(Experience!$G$11,BE889)),ISNUMBER(FIND(Experience!$G$11,BF889)),ISNUMBER(FIND(Experience!$I$11,BE889)),ISNUMBER(FIND(Experience!$I$11,BF889)))),1,0)</f>
        <v>0</v>
      </c>
      <c r="BC889" s="1080" t="str">
        <f t="shared" si="871"/>
        <v xml:space="preserve">Psionic Lore </v>
      </c>
      <c r="BE889" s="1080" t="str">
        <f t="shared" si="932"/>
        <v/>
      </c>
      <c r="BF889" s="1080" t="str">
        <f t="shared" si="944"/>
        <v>SkillSkape Psionics</v>
      </c>
    </row>
    <row r="890" spans="1:58" outlineLevel="1">
      <c r="A890" s="1136" t="s">
        <v>2535</v>
      </c>
      <c r="B890" s="1094"/>
      <c r="C890" s="1094"/>
      <c r="D890" s="1094"/>
      <c r="E890" s="1095" t="s">
        <v>5224</v>
      </c>
      <c r="F890" s="1095" t="s">
        <v>5224</v>
      </c>
      <c r="G890" s="1096">
        <v>0</v>
      </c>
      <c r="H890" s="1096" t="s">
        <v>5224</v>
      </c>
      <c r="I890" s="1096" t="s">
        <v>5224</v>
      </c>
      <c r="J890" s="1096" t="s">
        <v>5224</v>
      </c>
      <c r="K890" s="1096" t="s">
        <v>5224</v>
      </c>
      <c r="L890" s="1096" t="s">
        <v>5224</v>
      </c>
      <c r="M890" s="1096" t="s">
        <v>5224</v>
      </c>
      <c r="N890" s="1096" t="s">
        <v>4631</v>
      </c>
      <c r="O890" s="1028"/>
      <c r="P890" s="1028" t="s">
        <v>3614</v>
      </c>
      <c r="Q890" s="1097">
        <f t="shared" ca="1" si="933"/>
        <v>15</v>
      </c>
      <c r="R890" s="1034"/>
      <c r="S890" s="1028" t="s">
        <v>3613</v>
      </c>
      <c r="T890" s="1097">
        <f t="shared" ca="1" si="934"/>
        <v>15</v>
      </c>
      <c r="U890" s="1027">
        <v>7</v>
      </c>
      <c r="V890" s="1027">
        <f t="shared" si="935"/>
        <v>8</v>
      </c>
      <c r="W890" s="1098" t="e">
        <f>IF(OR(I890&lt;&gt;"N",E890="C"),IF(AND(N890&lt;&gt;"T",ISNUMBER(FIND("V",I890))),1,0),NA())+IF(H890="Y",IF(AND(N890="P",ISNUMBER(FIND("Z",I890))),2,1),0)+IF(J890="Y",1,0)+IF(K890="Y",3,0)+IF(BE890="Lore",L890*2+Experience!$D$25,0)+IF(M890="Y",1,0)</f>
        <v>#N/A</v>
      </c>
      <c r="X890" s="1099"/>
      <c r="Y890" s="1100">
        <f ca="1">IF(P890="NS",IFERROR(INDIRECT(S890),NA()),VLOOKUP(INDIRECT(P890)+INDIRECT(S890),'System Lookups'!$A$3:$D$146,2))</f>
        <v>0.06</v>
      </c>
      <c r="Z890" s="1100">
        <f t="shared" si="936"/>
        <v>0</v>
      </c>
      <c r="AA890" s="1101">
        <f t="shared" ref="AA890:AA895" ca="1" si="946">IF(ISNA(Y890),0,Y890)+Z890</f>
        <v>0.06</v>
      </c>
      <c r="AB890" s="1102">
        <f>VLOOKUP(V890,'System Lookups'!$J$55:$P$64,3)</f>
        <v>0.02</v>
      </c>
      <c r="AC890" s="1103">
        <f>VLOOKUP(V890,'System Lookups'!$J$55:$P$64,4)</f>
        <v>0.03</v>
      </c>
      <c r="AD890" s="1104">
        <f t="shared" ca="1" si="937"/>
        <v>0.08</v>
      </c>
      <c r="AE890" s="1094">
        <f ca="1">(IF(AD890&gt;VLOOKUP(V890,'System Lookups'!$J$55:$P$63,6),(((AD890-VLOOKUP(V890,'System Lookups'!$J$55:$P$63,6))*100)/20),0))+AF890</f>
        <v>0</v>
      </c>
      <c r="AF890" s="1094"/>
      <c r="AG890" s="1092">
        <f t="shared" si="938"/>
        <v>0</v>
      </c>
      <c r="AH890" s="1092" t="str">
        <f>IF(X890&lt;=Experience!$R$15+1,"","*")</f>
        <v/>
      </c>
      <c r="AI890" s="1092"/>
      <c r="AJ890" s="1080">
        <f t="shared" si="939"/>
        <v>0</v>
      </c>
      <c r="AK890" s="1080">
        <f t="shared" ref="AK890:AK895" si="947">IF(F890="s",-2,0)</f>
        <v>0</v>
      </c>
      <c r="AL890" s="1080">
        <f t="shared" si="940"/>
        <v>0</v>
      </c>
      <c r="AM890" s="1092">
        <f t="shared" ref="AM890:AM895" si="948">IF(J890="y",1,0)</f>
        <v>0</v>
      </c>
      <c r="AN890" s="1080">
        <f t="shared" ref="AN890:AN895" si="949">IF(N890="P",-1,IF(N890="T",1,0))</f>
        <v>1</v>
      </c>
      <c r="AO890" s="1080">
        <f t="shared" si="941"/>
        <v>0</v>
      </c>
      <c r="AP890" s="1080">
        <f t="shared" si="942"/>
        <v>1</v>
      </c>
      <c r="AQ890" s="1027">
        <f>VLOOKUP(V890,'System Lookups'!$J$55:$P$64,7)</f>
        <v>1200</v>
      </c>
      <c r="AR890" s="1080" t="str">
        <f ca="1">IF(AND(NOT(ISBLANK(AJ890)),ISNA(MATCH(ROW(),'System Lookups'!$C$526:$C$539,0))),"Y","N")</f>
        <v>Y</v>
      </c>
      <c r="AS890" s="1080">
        <f t="shared" si="943"/>
        <v>0</v>
      </c>
      <c r="AU890" s="1080" t="e">
        <f t="shared" si="926"/>
        <v>#N/A</v>
      </c>
      <c r="AV890" s="1080" t="str">
        <f t="shared" si="945"/>
        <v>T</v>
      </c>
      <c r="AW890" s="1080">
        <f t="shared" si="927"/>
        <v>0</v>
      </c>
      <c r="AX890" s="1080">
        <f t="shared" si="928"/>
        <v>0</v>
      </c>
      <c r="AY890" s="1080">
        <f t="shared" si="929"/>
        <v>0</v>
      </c>
      <c r="AZ890" s="1080">
        <f t="shared" si="930"/>
        <v>0</v>
      </c>
      <c r="BA890" s="1080">
        <f t="shared" si="931"/>
        <v>0</v>
      </c>
      <c r="BB890" s="1080">
        <f>IF(AND(RACE=1,'Main Creation Page'!$E$6="Well",OR(ISNUMBER(FIND(Experience!$G$11,BE890)),ISNUMBER(FIND(Experience!$G$11,BF890)),ISNUMBER(FIND(Experience!$I$11,BE890)),ISNUMBER(FIND(Experience!$I$11,BF890)))),1,0)</f>
        <v>0</v>
      </c>
      <c r="BC890" s="1080" t="str">
        <f t="shared" si="871"/>
        <v>Psionic Talents</v>
      </c>
      <c r="BE890" s="1080" t="str">
        <f t="shared" si="932"/>
        <v/>
      </c>
      <c r="BF890" s="1080" t="str">
        <f t="shared" si="944"/>
        <v>SkillSkape Psionics</v>
      </c>
    </row>
    <row r="891" spans="1:58" outlineLevel="2">
      <c r="A891" s="1148" t="s">
        <v>4111</v>
      </c>
      <c r="B891" s="1094"/>
      <c r="C891" s="1094"/>
      <c r="D891" s="1094"/>
      <c r="E891" s="1095" t="s">
        <v>5224</v>
      </c>
      <c r="F891" s="1095" t="s">
        <v>5224</v>
      </c>
      <c r="G891" s="1096">
        <v>0</v>
      </c>
      <c r="H891" s="1096" t="s">
        <v>5224</v>
      </c>
      <c r="I891" s="1096" t="s">
        <v>5224</v>
      </c>
      <c r="J891" s="1096" t="s">
        <v>5224</v>
      </c>
      <c r="K891" s="1096" t="s">
        <v>5224</v>
      </c>
      <c r="L891" s="1096" t="s">
        <v>5224</v>
      </c>
      <c r="M891" s="1096" t="s">
        <v>5224</v>
      </c>
      <c r="N891" s="1096" t="s">
        <v>4631</v>
      </c>
      <c r="O891" s="1028"/>
      <c r="P891" s="1028" t="s">
        <v>3616</v>
      </c>
      <c r="Q891" s="1097">
        <f t="shared" ca="1" si="933"/>
        <v>17</v>
      </c>
      <c r="R891" s="1028"/>
      <c r="S891" s="1028" t="s">
        <v>3613</v>
      </c>
      <c r="T891" s="1097">
        <f t="shared" ca="1" si="934"/>
        <v>15</v>
      </c>
      <c r="U891" s="1027">
        <v>5</v>
      </c>
      <c r="V891" s="1027">
        <f t="shared" si="935"/>
        <v>6</v>
      </c>
      <c r="W891" s="1098" t="e">
        <f>IF(OR(I891&lt;&gt;"N",E891="C"),IF(AND(N891&lt;&gt;"T",ISNUMBER(FIND("V",I891))),1,0),NA())+IF(H891="Y",IF(AND(N891="P",ISNUMBER(FIND("Z",I891))),2,1),0)+IF(J891="Y",1,0)+IF(K891="Y",3,0)+IF(BE891="Lore",L891*2+Experience!$D$25,0)+IF(M891="Y",1,0)</f>
        <v>#N/A</v>
      </c>
      <c r="X891" s="1099"/>
      <c r="Y891" s="1100">
        <f ca="1">IF(P891="NS",IFERROR(INDIRECT(S891),NA()),VLOOKUP(INDIRECT(P891)+INDIRECT(S891),'System Lookups'!$A$3:$D$146,2))</f>
        <v>0.08</v>
      </c>
      <c r="Z891" s="1100">
        <f t="shared" si="936"/>
        <v>0</v>
      </c>
      <c r="AA891" s="1101">
        <f t="shared" ca="1" si="946"/>
        <v>0.08</v>
      </c>
      <c r="AB891" s="1102">
        <f>VLOOKUP(V891,'System Lookups'!$J$55:$P$64,3)</f>
        <v>0.05</v>
      </c>
      <c r="AC891" s="1103">
        <f>VLOOKUP(V891,'System Lookups'!$J$55:$P$64,4)</f>
        <v>0.1</v>
      </c>
      <c r="AD891" s="1104">
        <f t="shared" ca="1" si="937"/>
        <v>0.13</v>
      </c>
      <c r="AE891" s="1094">
        <f ca="1">(IF(AD891&gt;VLOOKUP(V891,'System Lookups'!$J$55:$P$63,6),(((AD891-VLOOKUP(V891,'System Lookups'!$J$55:$P$63,6))*100)/20),0))+AF891</f>
        <v>0</v>
      </c>
      <c r="AF891" s="1094"/>
      <c r="AG891" s="1092">
        <f t="shared" si="938"/>
        <v>0</v>
      </c>
      <c r="AH891" s="1092" t="str">
        <f>IF(X891&lt;=Experience!$R$15+1,"","*")</f>
        <v/>
      </c>
      <c r="AI891" s="1092"/>
      <c r="AJ891" s="1080">
        <f t="shared" si="939"/>
        <v>0</v>
      </c>
      <c r="AK891" s="1080">
        <f t="shared" si="947"/>
        <v>0</v>
      </c>
      <c r="AL891" s="1080">
        <f t="shared" si="940"/>
        <v>0</v>
      </c>
      <c r="AM891" s="1092">
        <f t="shared" si="948"/>
        <v>0</v>
      </c>
      <c r="AN891" s="1080">
        <f t="shared" si="949"/>
        <v>1</v>
      </c>
      <c r="AO891" s="1080">
        <f t="shared" si="941"/>
        <v>0</v>
      </c>
      <c r="AP891" s="1080">
        <f t="shared" si="942"/>
        <v>1</v>
      </c>
      <c r="AQ891" s="1027">
        <f>VLOOKUP(V891,'System Lookups'!$J$55:$P$64,7)</f>
        <v>800</v>
      </c>
      <c r="AR891" s="1080" t="str">
        <f ca="1">IF(AND(NOT(ISBLANK(AJ891)),ISNA(MATCH(ROW(),'System Lookups'!$C$526:$C$539,0))),"Y","N")</f>
        <v>Y</v>
      </c>
      <c r="AS891" s="1080">
        <f t="shared" si="943"/>
        <v>0</v>
      </c>
      <c r="AU891" s="1080" t="e">
        <f t="shared" si="926"/>
        <v>#N/A</v>
      </c>
      <c r="AV891" s="1080" t="str">
        <f t="shared" si="945"/>
        <v>T</v>
      </c>
      <c r="AW891" s="1080">
        <f t="shared" si="927"/>
        <v>0</v>
      </c>
      <c r="AX891" s="1080">
        <f t="shared" si="928"/>
        <v>0</v>
      </c>
      <c r="AY891" s="1080">
        <f t="shared" si="929"/>
        <v>0</v>
      </c>
      <c r="AZ891" s="1080">
        <f t="shared" si="930"/>
        <v>0</v>
      </c>
      <c r="BA891" s="1080">
        <f t="shared" si="931"/>
        <v>0</v>
      </c>
      <c r="BB891" s="1080">
        <f>IF(AND(RACE=1,'Main Creation Page'!$E$6="Well",OR(ISNUMBER(FIND(Experience!$G$11,BE891)),ISNUMBER(FIND(Experience!$G$11,BF891)),ISNUMBER(FIND(Experience!$I$11,BE891)),ISNUMBER(FIND(Experience!$I$11,BF891)))),1,0)</f>
        <v>0</v>
      </c>
      <c r="BC891" s="1080" t="str">
        <f t="shared" si="871"/>
        <v>Basic Gifts</v>
      </c>
      <c r="BE891" s="1080" t="str">
        <f t="shared" si="932"/>
        <v/>
      </c>
      <c r="BF891" s="1080" t="str">
        <f t="shared" si="944"/>
        <v>SkillSkape Psionics</v>
      </c>
    </row>
    <row r="892" spans="1:58" outlineLevel="2">
      <c r="A892" s="1148" t="s">
        <v>4112</v>
      </c>
      <c r="B892" s="1094"/>
      <c r="C892" s="1094"/>
      <c r="D892" s="1094"/>
      <c r="E892" s="1095" t="s">
        <v>5224</v>
      </c>
      <c r="F892" s="1095" t="s">
        <v>5224</v>
      </c>
      <c r="G892" s="1096">
        <v>0</v>
      </c>
      <c r="H892" s="1096" t="s">
        <v>5224</v>
      </c>
      <c r="I892" s="1096" t="s">
        <v>5224</v>
      </c>
      <c r="J892" s="1096" t="s">
        <v>5224</v>
      </c>
      <c r="K892" s="1096" t="s">
        <v>5224</v>
      </c>
      <c r="L892" s="1096" t="s">
        <v>5224</v>
      </c>
      <c r="M892" s="1096" t="s">
        <v>5224</v>
      </c>
      <c r="N892" s="1096" t="s">
        <v>4631</v>
      </c>
      <c r="O892" s="1028"/>
      <c r="P892" s="1028" t="s">
        <v>3616</v>
      </c>
      <c r="Q892" s="1097">
        <f t="shared" ca="1" si="933"/>
        <v>17</v>
      </c>
      <c r="R892" s="1028"/>
      <c r="S892" s="1028" t="s">
        <v>3613</v>
      </c>
      <c r="T892" s="1097">
        <f t="shared" ca="1" si="934"/>
        <v>15</v>
      </c>
      <c r="U892" s="1027">
        <v>6</v>
      </c>
      <c r="V892" s="1027">
        <f t="shared" si="935"/>
        <v>7</v>
      </c>
      <c r="W892" s="1098" t="e">
        <f>IF(OR(I892&lt;&gt;"N",E892="C"),IF(AND(N892&lt;&gt;"T",ISNUMBER(FIND("V",I892))),1,0),NA())+IF(H892="Y",IF(AND(N892="P",ISNUMBER(FIND("Z",I892))),2,1),0)+IF(J892="Y",1,0)+IF(K892="Y",3,0)+IF(BE892="Lore",L892*2+Experience!$D$25,0)+IF(M892="Y",1,0)</f>
        <v>#N/A</v>
      </c>
      <c r="X892" s="1099"/>
      <c r="Y892" s="1100">
        <f ca="1">IF(P892="NS",IFERROR(INDIRECT(S892),NA()),VLOOKUP(INDIRECT(P892)+INDIRECT(S892),'System Lookups'!$A$3:$D$146,2))</f>
        <v>0.08</v>
      </c>
      <c r="Z892" s="1100">
        <f t="shared" si="936"/>
        <v>0</v>
      </c>
      <c r="AA892" s="1101">
        <f t="shared" ca="1" si="946"/>
        <v>0.08</v>
      </c>
      <c r="AB892" s="1102">
        <f>VLOOKUP(V892,'System Lookups'!$J$55:$P$64,3)</f>
        <v>0.03</v>
      </c>
      <c r="AC892" s="1103">
        <f>VLOOKUP(V892,'System Lookups'!$J$55:$P$64,4)</f>
        <v>7.0000000000000007E-2</v>
      </c>
      <c r="AD892" s="1104">
        <f t="shared" ca="1" si="937"/>
        <v>0.11</v>
      </c>
      <c r="AE892" s="1094">
        <f ca="1">(IF(AD892&gt;VLOOKUP(V892,'System Lookups'!$J$55:$P$63,6),(((AD892-VLOOKUP(V892,'System Lookups'!$J$55:$P$63,6))*100)/20),0))+AF892</f>
        <v>0</v>
      </c>
      <c r="AF892" s="1094"/>
      <c r="AG892" s="1092">
        <f t="shared" si="938"/>
        <v>0</v>
      </c>
      <c r="AH892" s="1092" t="str">
        <f>IF(X892&lt;=Experience!$R$15+1,"","*")</f>
        <v/>
      </c>
      <c r="AI892" s="1092"/>
      <c r="AJ892" s="1080">
        <f t="shared" si="939"/>
        <v>0</v>
      </c>
      <c r="AK892" s="1080">
        <f t="shared" si="947"/>
        <v>0</v>
      </c>
      <c r="AL892" s="1080">
        <f t="shared" si="940"/>
        <v>0</v>
      </c>
      <c r="AM892" s="1092">
        <f t="shared" si="948"/>
        <v>0</v>
      </c>
      <c r="AN892" s="1080">
        <f t="shared" si="949"/>
        <v>1</v>
      </c>
      <c r="AO892" s="1080">
        <f t="shared" si="941"/>
        <v>0</v>
      </c>
      <c r="AP892" s="1080">
        <f t="shared" si="942"/>
        <v>1</v>
      </c>
      <c r="AQ892" s="1027">
        <f>VLOOKUP(V892,'System Lookups'!$J$55:$P$64,7)</f>
        <v>1000</v>
      </c>
      <c r="AR892" s="1080" t="str">
        <f ca="1">IF(AND(NOT(ISBLANK(AJ892)),ISNA(MATCH(ROW(),'System Lookups'!$C$526:$C$539,0))),"Y","N")</f>
        <v>Y</v>
      </c>
      <c r="AS892" s="1080">
        <f t="shared" si="943"/>
        <v>0</v>
      </c>
      <c r="AU892" s="1080" t="e">
        <f t="shared" si="926"/>
        <v>#N/A</v>
      </c>
      <c r="AV892" s="1080" t="str">
        <f t="shared" si="945"/>
        <v>T</v>
      </c>
      <c r="AW892" s="1080">
        <f t="shared" si="927"/>
        <v>0</v>
      </c>
      <c r="AX892" s="1080">
        <f t="shared" si="928"/>
        <v>0</v>
      </c>
      <c r="AY892" s="1080">
        <f t="shared" si="929"/>
        <v>0</v>
      </c>
      <c r="AZ892" s="1080">
        <f t="shared" si="930"/>
        <v>0</v>
      </c>
      <c r="BA892" s="1080">
        <f t="shared" si="931"/>
        <v>0</v>
      </c>
      <c r="BB892" s="1080">
        <f>IF(AND(RACE=1,'Main Creation Page'!$E$6="Well",OR(ISNUMBER(FIND(Experience!$G$11,BE892)),ISNUMBER(FIND(Experience!$G$11,BF892)),ISNUMBER(FIND(Experience!$I$11,BE892)),ISNUMBER(FIND(Experience!$I$11,BF892)))),1,0)</f>
        <v>0</v>
      </c>
      <c r="BC892" s="1080" t="str">
        <f t="shared" si="871"/>
        <v>Clairsentience</v>
      </c>
      <c r="BE892" s="1080" t="str">
        <f t="shared" si="932"/>
        <v/>
      </c>
      <c r="BF892" s="1080" t="str">
        <f t="shared" si="944"/>
        <v>SkillSkape Psionics</v>
      </c>
    </row>
    <row r="893" spans="1:58" outlineLevel="2">
      <c r="A893" s="1148" t="s">
        <v>4113</v>
      </c>
      <c r="B893" s="1094"/>
      <c r="C893" s="1094"/>
      <c r="D893" s="1094"/>
      <c r="E893" s="1095" t="s">
        <v>5224</v>
      </c>
      <c r="F893" s="1095" t="s">
        <v>5224</v>
      </c>
      <c r="G893" s="1096">
        <v>0</v>
      </c>
      <c r="H893" s="1096" t="s">
        <v>5224</v>
      </c>
      <c r="I893" s="1096" t="s">
        <v>5224</v>
      </c>
      <c r="J893" s="1096" t="s">
        <v>5224</v>
      </c>
      <c r="K893" s="1096" t="s">
        <v>5224</v>
      </c>
      <c r="L893" s="1096" t="s">
        <v>5224</v>
      </c>
      <c r="M893" s="1096" t="s">
        <v>5224</v>
      </c>
      <c r="N893" s="1096" t="s">
        <v>4631</v>
      </c>
      <c r="O893" s="1028"/>
      <c r="P893" s="1028" t="s">
        <v>3616</v>
      </c>
      <c r="Q893" s="1097">
        <f t="shared" ca="1" si="933"/>
        <v>17</v>
      </c>
      <c r="R893" s="1028"/>
      <c r="S893" s="1028" t="s">
        <v>3613</v>
      </c>
      <c r="T893" s="1097">
        <f t="shared" ca="1" si="934"/>
        <v>15</v>
      </c>
      <c r="U893" s="1027">
        <v>6</v>
      </c>
      <c r="V893" s="1027">
        <f t="shared" si="935"/>
        <v>7</v>
      </c>
      <c r="W893" s="1098" t="e">
        <f>IF(OR(I893&lt;&gt;"N",E893="C"),IF(AND(N893&lt;&gt;"T",ISNUMBER(FIND("V",I893))),1,0),NA())+IF(H893="Y",IF(AND(N893="P",ISNUMBER(FIND("Z",I893))),2,1),0)+IF(J893="Y",1,0)+IF(K893="Y",3,0)+IF(BE893="Lore",L893*2+Experience!$D$25,0)+IF(M893="Y",1,0)</f>
        <v>#N/A</v>
      </c>
      <c r="X893" s="1099"/>
      <c r="Y893" s="1100">
        <f ca="1">IF(P893="NS",IFERROR(INDIRECT(S893),NA()),VLOOKUP(INDIRECT(P893)+INDIRECT(S893),'System Lookups'!$A$3:$D$146,2))</f>
        <v>0.08</v>
      </c>
      <c r="Z893" s="1100">
        <f t="shared" si="936"/>
        <v>0</v>
      </c>
      <c r="AA893" s="1101">
        <f t="shared" ca="1" si="946"/>
        <v>0.08</v>
      </c>
      <c r="AB893" s="1102">
        <f>VLOOKUP(V893,'System Lookups'!$J$55:$P$64,3)</f>
        <v>0.03</v>
      </c>
      <c r="AC893" s="1103">
        <f>VLOOKUP(V893,'System Lookups'!$J$55:$P$64,4)</f>
        <v>7.0000000000000007E-2</v>
      </c>
      <c r="AD893" s="1104">
        <f t="shared" ca="1" si="937"/>
        <v>0.11</v>
      </c>
      <c r="AE893" s="1094">
        <f ca="1">(IF(AD893&gt;VLOOKUP(V893,'System Lookups'!$J$55:$P$63,6),(((AD893-VLOOKUP(V893,'System Lookups'!$J$55:$P$63,6))*100)/20),0))+AF893</f>
        <v>0</v>
      </c>
      <c r="AF893" s="1094"/>
      <c r="AG893" s="1092">
        <f t="shared" si="938"/>
        <v>0</v>
      </c>
      <c r="AH893" s="1092" t="str">
        <f>IF(X893&lt;=Experience!$R$15+1,"","*")</f>
        <v/>
      </c>
      <c r="AI893" s="1092"/>
      <c r="AJ893" s="1080">
        <f t="shared" si="939"/>
        <v>0</v>
      </c>
      <c r="AK893" s="1080">
        <f t="shared" si="947"/>
        <v>0</v>
      </c>
      <c r="AL893" s="1080">
        <f t="shared" si="940"/>
        <v>0</v>
      </c>
      <c r="AM893" s="1092">
        <f t="shared" si="948"/>
        <v>0</v>
      </c>
      <c r="AN893" s="1080">
        <f t="shared" si="949"/>
        <v>1</v>
      </c>
      <c r="AO893" s="1080">
        <f t="shared" si="941"/>
        <v>0</v>
      </c>
      <c r="AP893" s="1080">
        <f t="shared" si="942"/>
        <v>1</v>
      </c>
      <c r="AQ893" s="1027">
        <f>VLOOKUP(V893,'System Lookups'!$J$55:$P$64,7)</f>
        <v>1000</v>
      </c>
      <c r="AR893" s="1080" t="str">
        <f ca="1">IF(AND(NOT(ISBLANK(AJ893)),ISNA(MATCH(ROW(),'System Lookups'!$C$526:$C$539,0))),"Y","N")</f>
        <v>Y</v>
      </c>
      <c r="AS893" s="1080">
        <f t="shared" si="943"/>
        <v>0</v>
      </c>
      <c r="AU893" s="1080" t="e">
        <f t="shared" si="926"/>
        <v>#N/A</v>
      </c>
      <c r="AV893" s="1080" t="str">
        <f t="shared" si="945"/>
        <v>T</v>
      </c>
      <c r="AW893" s="1080">
        <f t="shared" si="927"/>
        <v>0</v>
      </c>
      <c r="AX893" s="1080">
        <f t="shared" si="928"/>
        <v>0</v>
      </c>
      <c r="AY893" s="1080">
        <f t="shared" si="929"/>
        <v>0</v>
      </c>
      <c r="AZ893" s="1080">
        <f t="shared" si="930"/>
        <v>0</v>
      </c>
      <c r="BA893" s="1080">
        <f t="shared" si="931"/>
        <v>0</v>
      </c>
      <c r="BB893" s="1080">
        <f>IF(AND(RACE=1,'Main Creation Page'!$E$6="Well",OR(ISNUMBER(FIND(Experience!$G$11,BE893)),ISNUMBER(FIND(Experience!$G$11,BF893)),ISNUMBER(FIND(Experience!$I$11,BE893)),ISNUMBER(FIND(Experience!$I$11,BF893)))),1,0)</f>
        <v>0</v>
      </c>
      <c r="BC893" s="1080" t="str">
        <f t="shared" si="871"/>
        <v xml:space="preserve">Extra-Sensory Perception </v>
      </c>
      <c r="BE893" s="1080" t="str">
        <f t="shared" si="932"/>
        <v/>
      </c>
      <c r="BF893" s="1080" t="str">
        <f t="shared" si="944"/>
        <v>SkillSkape Psionics</v>
      </c>
    </row>
    <row r="894" spans="1:58" outlineLevel="2">
      <c r="A894" s="1148" t="s">
        <v>4114</v>
      </c>
      <c r="B894" s="1094"/>
      <c r="C894" s="1094"/>
      <c r="D894" s="1094"/>
      <c r="E894" s="1095" t="s">
        <v>5224</v>
      </c>
      <c r="F894" s="1095" t="s">
        <v>5224</v>
      </c>
      <c r="G894" s="1096">
        <v>0</v>
      </c>
      <c r="H894" s="1096" t="s">
        <v>5224</v>
      </c>
      <c r="I894" s="1096" t="s">
        <v>5224</v>
      </c>
      <c r="J894" s="1096" t="s">
        <v>5224</v>
      </c>
      <c r="K894" s="1096" t="s">
        <v>5224</v>
      </c>
      <c r="L894" s="1096" t="s">
        <v>5224</v>
      </c>
      <c r="M894" s="1096" t="s">
        <v>5224</v>
      </c>
      <c r="N894" s="1096" t="s">
        <v>4631</v>
      </c>
      <c r="O894" s="1028"/>
      <c r="P894" s="1028" t="s">
        <v>3616</v>
      </c>
      <c r="Q894" s="1097">
        <f t="shared" ca="1" si="933"/>
        <v>17</v>
      </c>
      <c r="R894" s="1028"/>
      <c r="S894" s="1028" t="s">
        <v>3613</v>
      </c>
      <c r="T894" s="1097">
        <f t="shared" ca="1" si="934"/>
        <v>15</v>
      </c>
      <c r="U894" s="1027">
        <v>6</v>
      </c>
      <c r="V894" s="1027">
        <f t="shared" si="935"/>
        <v>7</v>
      </c>
      <c r="W894" s="1098" t="e">
        <f>IF(OR(I894&lt;&gt;"N",E894="C"),IF(AND(N894&lt;&gt;"T",ISNUMBER(FIND("V",I894))),1,0),NA())+IF(H894="Y",IF(AND(N894="P",ISNUMBER(FIND("Z",I894))),2,1),0)+IF(J894="Y",1,0)+IF(K894="Y",3,0)+IF(BE894="Lore",L894*2+Experience!$D$25,0)+IF(M894="Y",1,0)</f>
        <v>#N/A</v>
      </c>
      <c r="X894" s="1099"/>
      <c r="Y894" s="1100">
        <f ca="1">IF(P894="NS",IFERROR(INDIRECT(S894),NA()),VLOOKUP(INDIRECT(P894)+INDIRECT(S894),'System Lookups'!$A$3:$D$146,2))</f>
        <v>0.08</v>
      </c>
      <c r="Z894" s="1100">
        <f t="shared" si="936"/>
        <v>0</v>
      </c>
      <c r="AA894" s="1101">
        <f t="shared" ca="1" si="946"/>
        <v>0.08</v>
      </c>
      <c r="AB894" s="1102">
        <f>VLOOKUP(V894,'System Lookups'!$J$55:$P$64,3)</f>
        <v>0.03</v>
      </c>
      <c r="AC894" s="1103">
        <f>VLOOKUP(V894,'System Lookups'!$J$55:$P$64,4)</f>
        <v>7.0000000000000007E-2</v>
      </c>
      <c r="AD894" s="1104">
        <f t="shared" ca="1" si="937"/>
        <v>0.11</v>
      </c>
      <c r="AE894" s="1094">
        <f ca="1">(IF(AD894&gt;VLOOKUP(V894,'System Lookups'!$J$55:$P$63,6),(((AD894-VLOOKUP(V894,'System Lookups'!$J$55:$P$63,6))*100)/20),0))+AF894</f>
        <v>0</v>
      </c>
      <c r="AF894" s="1094"/>
      <c r="AG894" s="1092">
        <f t="shared" si="938"/>
        <v>0</v>
      </c>
      <c r="AH894" s="1092" t="str">
        <f>IF(X894&lt;=Experience!$R$15+1,"","*")</f>
        <v/>
      </c>
      <c r="AI894" s="1092"/>
      <c r="AJ894" s="1080">
        <f t="shared" si="939"/>
        <v>0</v>
      </c>
      <c r="AK894" s="1080">
        <f t="shared" si="947"/>
        <v>0</v>
      </c>
      <c r="AL894" s="1080">
        <f t="shared" si="940"/>
        <v>0</v>
      </c>
      <c r="AM894" s="1092">
        <f t="shared" si="948"/>
        <v>0</v>
      </c>
      <c r="AN894" s="1080">
        <f t="shared" si="949"/>
        <v>1</v>
      </c>
      <c r="AO894" s="1080">
        <f t="shared" si="941"/>
        <v>0</v>
      </c>
      <c r="AP894" s="1080">
        <f t="shared" si="942"/>
        <v>1</v>
      </c>
      <c r="AQ894" s="1027">
        <f>VLOOKUP(V894,'System Lookups'!$J$55:$P$64,7)</f>
        <v>1000</v>
      </c>
      <c r="AR894" s="1080" t="str">
        <f ca="1">IF(AND(NOT(ISBLANK(AJ894)),ISNA(MATCH(ROW(),'System Lookups'!$C$526:$C$539,0))),"Y","N")</f>
        <v>Y</v>
      </c>
      <c r="AS894" s="1080">
        <f t="shared" si="943"/>
        <v>0</v>
      </c>
      <c r="AU894" s="1080" t="e">
        <f t="shared" si="926"/>
        <v>#N/A</v>
      </c>
      <c r="AV894" s="1080" t="str">
        <f t="shared" si="945"/>
        <v>T</v>
      </c>
      <c r="AW894" s="1080">
        <f t="shared" si="927"/>
        <v>0</v>
      </c>
      <c r="AX894" s="1080">
        <f t="shared" si="928"/>
        <v>0</v>
      </c>
      <c r="AY894" s="1080">
        <f t="shared" si="929"/>
        <v>0</v>
      </c>
      <c r="AZ894" s="1080">
        <f t="shared" si="930"/>
        <v>0</v>
      </c>
      <c r="BA894" s="1080">
        <f t="shared" si="931"/>
        <v>0</v>
      </c>
      <c r="BB894" s="1080">
        <f>IF(AND(RACE=1,'Main Creation Page'!$E$6="Well",OR(ISNUMBER(FIND(Experience!$G$11,BE894)),ISNUMBER(FIND(Experience!$G$11,BF894)),ISNUMBER(FIND(Experience!$I$11,BE894)),ISNUMBER(FIND(Experience!$I$11,BF894)))),1,0)</f>
        <v>0</v>
      </c>
      <c r="BC894" s="1080" t="str">
        <f t="shared" si="871"/>
        <v>Psychokinesis</v>
      </c>
      <c r="BE894" s="1080" t="str">
        <f t="shared" si="932"/>
        <v/>
      </c>
      <c r="BF894" s="1080" t="str">
        <f t="shared" si="944"/>
        <v>SkillSkape Psionics</v>
      </c>
    </row>
    <row r="895" spans="1:58" outlineLevel="2">
      <c r="A895" s="1148" t="s">
        <v>4115</v>
      </c>
      <c r="B895" s="1094"/>
      <c r="C895" s="1094"/>
      <c r="D895" s="1094"/>
      <c r="E895" s="1095" t="s">
        <v>5224</v>
      </c>
      <c r="F895" s="1095" t="s">
        <v>5224</v>
      </c>
      <c r="G895" s="1096">
        <v>0</v>
      </c>
      <c r="H895" s="1096" t="s">
        <v>5224</v>
      </c>
      <c r="I895" s="1096" t="s">
        <v>5224</v>
      </c>
      <c r="J895" s="1096" t="s">
        <v>5224</v>
      </c>
      <c r="K895" s="1096" t="s">
        <v>5224</v>
      </c>
      <c r="L895" s="1096" t="s">
        <v>5224</v>
      </c>
      <c r="M895" s="1096" t="s">
        <v>5224</v>
      </c>
      <c r="N895" s="1096" t="s">
        <v>4631</v>
      </c>
      <c r="O895" s="1028"/>
      <c r="P895" s="1028" t="s">
        <v>3614</v>
      </c>
      <c r="Q895" s="1097">
        <f t="shared" ca="1" si="933"/>
        <v>15</v>
      </c>
      <c r="R895" s="1034"/>
      <c r="S895" s="1028" t="s">
        <v>3613</v>
      </c>
      <c r="T895" s="1097">
        <f t="shared" ca="1" si="934"/>
        <v>15</v>
      </c>
      <c r="U895" s="1027">
        <v>8</v>
      </c>
      <c r="V895" s="1027">
        <f t="shared" si="935"/>
        <v>9</v>
      </c>
      <c r="W895" s="1098" t="e">
        <f>IF(OR(I895&lt;&gt;"N",E895="C"),IF(AND(N895&lt;&gt;"T",ISNUMBER(FIND("V",I895))),1,0),NA())+IF(H895="Y",IF(AND(N895="P",ISNUMBER(FIND("Z",I895))),2,1),0)+IF(J895="Y",1,0)+IF(K895="Y",3,0)+IF(BE895="Lore",L895*2+Experience!$D$25,0)+IF(M895="Y",1,0)</f>
        <v>#N/A</v>
      </c>
      <c r="X895" s="1099"/>
      <c r="Y895" s="1100">
        <f ca="1">IF(P895="NS",IFERROR(INDIRECT(S895),NA()),VLOOKUP(INDIRECT(P895)+INDIRECT(S895),'System Lookups'!$A$3:$D$146,2))</f>
        <v>0.06</v>
      </c>
      <c r="Z895" s="1100">
        <f t="shared" si="936"/>
        <v>0</v>
      </c>
      <c r="AA895" s="1101">
        <f t="shared" ca="1" si="946"/>
        <v>0.06</v>
      </c>
      <c r="AB895" s="1102">
        <f>VLOOKUP(V895,'System Lookups'!$J$55:$P$64,3)</f>
        <v>0.01</v>
      </c>
      <c r="AC895" s="1103">
        <f>VLOOKUP(V895,'System Lookups'!$J$55:$P$64,4)</f>
        <v>0.02</v>
      </c>
      <c r="AD895" s="1104">
        <f t="shared" ca="1" si="937"/>
        <v>6.9999999999999993E-2</v>
      </c>
      <c r="AE895" s="1094">
        <f ca="1">(IF(AD895&gt;VLOOKUP(V895,'System Lookups'!$J$55:$P$63,6),(((AD895-VLOOKUP(V895,'System Lookups'!$J$55:$P$63,6))*100)/20),0))+AF895</f>
        <v>0</v>
      </c>
      <c r="AF895" s="1094"/>
      <c r="AG895" s="1092">
        <f t="shared" si="938"/>
        <v>0</v>
      </c>
      <c r="AH895" s="1092" t="str">
        <f>IF(X895&lt;=Experience!$R$15+1,"","*")</f>
        <v/>
      </c>
      <c r="AI895" s="1092"/>
      <c r="AJ895" s="1080">
        <f t="shared" si="939"/>
        <v>0</v>
      </c>
      <c r="AK895" s="1080">
        <f t="shared" si="947"/>
        <v>0</v>
      </c>
      <c r="AL895" s="1080">
        <f t="shared" si="940"/>
        <v>0</v>
      </c>
      <c r="AM895" s="1092">
        <f t="shared" si="948"/>
        <v>0</v>
      </c>
      <c r="AN895" s="1080">
        <f t="shared" si="949"/>
        <v>1</v>
      </c>
      <c r="AO895" s="1080">
        <f t="shared" si="941"/>
        <v>0</v>
      </c>
      <c r="AP895" s="1080">
        <f t="shared" si="942"/>
        <v>1</v>
      </c>
      <c r="AQ895" s="1027">
        <f>VLOOKUP(V895,'System Lookups'!$J$55:$P$64,7)</f>
        <v>1500</v>
      </c>
      <c r="AR895" s="1080" t="str">
        <f ca="1">IF(AND(NOT(ISBLANK(AJ895)),ISNA(MATCH(ROW(),'System Lookups'!$C$526:$C$539,0))),"Y","N")</f>
        <v>Y</v>
      </c>
      <c r="AS895" s="1080">
        <f t="shared" si="943"/>
        <v>0</v>
      </c>
      <c r="AU895" s="1080" t="e">
        <f t="shared" si="926"/>
        <v>#N/A</v>
      </c>
      <c r="AV895" s="1080" t="str">
        <f t="shared" si="945"/>
        <v>T</v>
      </c>
      <c r="AW895" s="1080">
        <f t="shared" si="927"/>
        <v>0</v>
      </c>
      <c r="AX895" s="1080">
        <f t="shared" si="928"/>
        <v>0</v>
      </c>
      <c r="AY895" s="1080">
        <f t="shared" si="929"/>
        <v>0</v>
      </c>
      <c r="AZ895" s="1080">
        <f t="shared" si="930"/>
        <v>0</v>
      </c>
      <c r="BA895" s="1080">
        <f t="shared" si="931"/>
        <v>0</v>
      </c>
      <c r="BB895" s="1080">
        <f>IF(AND(RACE=1,'Main Creation Page'!$E$6="Well",OR(ISNUMBER(FIND(Experience!$G$11,BE895)),ISNUMBER(FIND(Experience!$G$11,BF895)),ISNUMBER(FIND(Experience!$I$11,BE895)),ISNUMBER(FIND(Experience!$I$11,BF895)))),1,0)</f>
        <v>0</v>
      </c>
      <c r="BC895" s="1080" t="str">
        <f t="shared" si="871"/>
        <v>Wild Talent</v>
      </c>
      <c r="BE895" s="1080" t="str">
        <f t="shared" si="932"/>
        <v/>
      </c>
      <c r="BF895" s="1080" t="str">
        <f t="shared" si="944"/>
        <v>SkillSkape Psionics</v>
      </c>
    </row>
    <row r="896" spans="1:58" outlineLevel="1">
      <c r="AR896" s="1080" t="str">
        <f ca="1">IF(AND(NOT(ISBLANK(AJ896)),ISNA(MATCH(ROW(),'System Lookups'!$C$526:$C$539,0))),"Y","N")</f>
        <v>N</v>
      </c>
      <c r="AU896" s="1080" t="e">
        <f t="shared" si="926"/>
        <v>#N/A</v>
      </c>
      <c r="AV896" s="1080" t="str">
        <f t="shared" si="945"/>
        <v/>
      </c>
      <c r="AW896" s="1080">
        <f t="shared" si="927"/>
        <v>0</v>
      </c>
      <c r="AX896" s="1080">
        <f t="shared" si="928"/>
        <v>0</v>
      </c>
      <c r="AY896" s="1080">
        <f t="shared" si="929"/>
        <v>0</v>
      </c>
      <c r="AZ896" s="1080">
        <f t="shared" si="930"/>
        <v>0</v>
      </c>
      <c r="BA896" s="1080">
        <f t="shared" si="931"/>
        <v>0</v>
      </c>
      <c r="BB896" s="1080">
        <f>IF(AND(RACE=1,'Main Creation Page'!$E$6="Well",OR(ISNUMBER(FIND(Experience!$G$11,BE896)),ISNUMBER(FIND(Experience!$G$11,BF896)),ISNUMBER(FIND(Experience!$I$11,BE896)),ISNUMBER(FIND(Experience!$I$11,BF896)))),1,0)</f>
        <v>0</v>
      </c>
      <c r="BC896" s="1080" t="e">
        <f t="shared" si="871"/>
        <v>#N/A</v>
      </c>
      <c r="BE896" s="1080" t="str">
        <f t="shared" si="932"/>
        <v/>
      </c>
      <c r="BF896" s="1080" t="str">
        <f t="shared" si="944"/>
        <v>SkillSkape Psionics</v>
      </c>
    </row>
    <row r="897" spans="1:60" ht="10.5" customHeight="1">
      <c r="A897" s="1154" t="s">
        <v>5627</v>
      </c>
      <c r="AG897" s="1092">
        <f>SUM(AG898:AG907)</f>
        <v>0</v>
      </c>
      <c r="AI897" s="1092">
        <f>SUM(AI898:AI907)</f>
        <v>0</v>
      </c>
      <c r="AR897" s="1080" t="str">
        <f ca="1">IF(AND(NOT(ISBLANK(AJ897)),ISNA(MATCH(ROW(),'System Lookups'!$C$526:$C$539,0))),"Y","N")</f>
        <v>N</v>
      </c>
      <c r="AU897" s="1080" t="e">
        <f t="shared" si="926"/>
        <v>#N/A</v>
      </c>
      <c r="AV897" s="1080" t="str">
        <f t="shared" si="945"/>
        <v/>
      </c>
      <c r="AW897" s="1080">
        <f t="shared" si="927"/>
        <v>0</v>
      </c>
      <c r="AX897" s="1080">
        <f t="shared" si="928"/>
        <v>0</v>
      </c>
      <c r="AY897" s="1080">
        <f t="shared" si="929"/>
        <v>0</v>
      </c>
      <c r="AZ897" s="1080">
        <f t="shared" si="930"/>
        <v>0</v>
      </c>
      <c r="BA897" s="1080">
        <f t="shared" si="931"/>
        <v>0</v>
      </c>
      <c r="BB897" s="1080">
        <f>IF(AND(RACE=1,'Main Creation Page'!$E$6="Well",OR(ISNUMBER(FIND(Experience!$G$11,BE897)),ISNUMBER(FIND(Experience!$G$11,BF897)),ISNUMBER(FIND(Experience!$I$11,BE897)),ISNUMBER(FIND(Experience!$I$11,BF897)))),1,0)</f>
        <v>0</v>
      </c>
      <c r="BC897" s="1080" t="str">
        <f t="shared" si="871"/>
        <v>Alquennas Specific Skills</v>
      </c>
      <c r="BE897" s="1080" t="str">
        <f t="shared" si="932"/>
        <v/>
      </c>
      <c r="BF897" s="1080" t="str">
        <f t="shared" si="944"/>
        <v>Alquennas Specific Skills</v>
      </c>
    </row>
    <row r="898" spans="1:60" outlineLevel="1">
      <c r="A898" s="1155" t="s">
        <v>5634</v>
      </c>
      <c r="AR898" s="1080" t="str">
        <f ca="1">IF(AND(NOT(ISBLANK(AJ898)),ISNA(MATCH(ROW(),'System Lookups'!$C$526:$C$539,0))),"Y","N")</f>
        <v>N</v>
      </c>
      <c r="AU898" s="1080" t="e">
        <f t="shared" si="926"/>
        <v>#N/A</v>
      </c>
      <c r="AV898" s="1080" t="str">
        <f t="shared" si="945"/>
        <v/>
      </c>
      <c r="AW898" s="1080">
        <f t="shared" si="927"/>
        <v>0</v>
      </c>
      <c r="AX898" s="1080">
        <f t="shared" si="928"/>
        <v>0</v>
      </c>
      <c r="AY898" s="1080">
        <f t="shared" si="929"/>
        <v>0</v>
      </c>
      <c r="AZ898" s="1080">
        <f t="shared" si="930"/>
        <v>0</v>
      </c>
      <c r="BA898" s="1080">
        <f t="shared" si="931"/>
        <v>0</v>
      </c>
      <c r="BB898" s="1080">
        <f>IF(AND(RACE=1,'Main Creation Page'!$E$6="Well",OR(ISNUMBER(FIND(Experience!$G$11,BE898)),ISNUMBER(FIND(Experience!$G$11,BF898)),ISNUMBER(FIND(Experience!$I$11,BE898)),ISNUMBER(FIND(Experience!$I$11,BF898)))),1,0)</f>
        <v>0</v>
      </c>
      <c r="BC898" s="1080" t="e">
        <f t="shared" si="871"/>
        <v>#N/A</v>
      </c>
      <c r="BE898" s="1080" t="str">
        <f t="shared" si="932"/>
        <v/>
      </c>
      <c r="BF898" s="1080" t="str">
        <f t="shared" si="944"/>
        <v>Alquennas Specific Skills</v>
      </c>
    </row>
    <row r="899" spans="1:60" outlineLevel="2">
      <c r="A899" s="1148" t="s">
        <v>5631</v>
      </c>
      <c r="B899" s="1094"/>
      <c r="C899" s="1094"/>
      <c r="D899" s="1094"/>
      <c r="E899" s="1095" t="s">
        <v>5224</v>
      </c>
      <c r="F899" s="1095" t="s">
        <v>5224</v>
      </c>
      <c r="G899" s="1096">
        <v>0</v>
      </c>
      <c r="H899" s="1096" t="s">
        <v>5224</v>
      </c>
      <c r="I899" s="1096" t="s">
        <v>5224</v>
      </c>
      <c r="J899" s="1096" t="s">
        <v>5224</v>
      </c>
      <c r="K899" s="1096" t="s">
        <v>5224</v>
      </c>
      <c r="L899" s="1096">
        <v>0</v>
      </c>
      <c r="M899" s="1096" t="s">
        <v>5224</v>
      </c>
      <c r="N899" s="1096" t="s">
        <v>4631</v>
      </c>
      <c r="O899" s="1028"/>
      <c r="P899" s="1028" t="s">
        <v>780</v>
      </c>
      <c r="Q899" s="1097">
        <f t="shared" ref="Q899:Q903" ca="1" si="950">INDIRECT(P899)</f>
        <v>17</v>
      </c>
      <c r="R899" s="1034"/>
      <c r="S899" s="1028" t="s">
        <v>3616</v>
      </c>
      <c r="T899" s="1097">
        <f t="shared" ref="T899:T903" ca="1" si="951">INDIRECT(S899)</f>
        <v>17</v>
      </c>
      <c r="U899" s="1027">
        <v>8</v>
      </c>
      <c r="V899" s="1027">
        <f>IF(AP899+U899&gt;10,10,IF(AP899+U899&lt;1,1,AP899+U899))</f>
        <v>9</v>
      </c>
      <c r="W899" s="1098" t="e">
        <f>IF(OR(I899&lt;&gt;"N",E899="C"),IF(AND(N899&lt;&gt;"T",ISNUMBER(FIND("V",I899))),1,0),NA())+IF(H899="Y",IF(AND(N899="P",ISNUMBER(FIND("Z",I899))),2,1),0)+IF(J899="Y",1,0)+IF(K899="Y",3,0)+IF(BE899="Lore",L899*2+Experience!$D$25,0)+IF(M899="Y",1,0)</f>
        <v>#N/A</v>
      </c>
      <c r="X899" s="1099"/>
      <c r="Y899" s="1100">
        <f ca="1">IF(P899="NS",IFERROR(INDIRECT(S899),NA()),VLOOKUP(INDIRECT(P899)+INDIRECT(S899),'System Lookups'!$A$3:$D$146,2))</f>
        <v>0.1</v>
      </c>
      <c r="Z899" s="1100">
        <f>IF(ISNA(W899),0,W899*0.03)+IF(X899&gt;0,X899*0.03,0)+IF(AND(ISNA(W899),X899&lt;=0),0,IF(G899&gt;0,G899*0.07,0))</f>
        <v>0</v>
      </c>
      <c r="AA899" s="1101">
        <f ca="1">IF(ISNA(Y899),0,Y899)+Z899</f>
        <v>0.1</v>
      </c>
      <c r="AB899" s="1102">
        <f>VLOOKUP(V899,'System Lookups'!$J$55:$P$64,3)</f>
        <v>0.01</v>
      </c>
      <c r="AC899" s="1103">
        <f>VLOOKUP(V899,'System Lookups'!$J$55:$P$64,4)</f>
        <v>0.02</v>
      </c>
      <c r="AD899" s="1104">
        <f ca="1">IF(AND(ISBLANK(X899),ISNA(W899)),IF(B899="~",0,AB899+AA899+IF(BB899&gt;0,0.05,0)),AA899+AC899+IF(BB899&gt;0,0.05,0))</f>
        <v>0.16</v>
      </c>
      <c r="AE899" s="1094">
        <f ca="1">(IF(AD899&gt;VLOOKUP(V899,'System Lookups'!$J$55:$P$63,6),(((AD899-VLOOKUP(V899,'System Lookups'!$J$55:$P$63,6))*100)/20),0))+AF899</f>
        <v>0</v>
      </c>
      <c r="AF899" s="1094"/>
      <c r="AG899" s="1092">
        <f>IF(ISBLANK(X899),0,AQ899*X899+IF(ISNA(W899),1,0))</f>
        <v>0</v>
      </c>
      <c r="AH899" s="1092" t="str">
        <f>IF(X899&lt;=Experience!$R$15+1,"","*")</f>
        <v/>
      </c>
      <c r="AI899" s="1092"/>
      <c r="AJ899" s="1080">
        <f t="shared" ref="AJ899:AJ903" si="952">IF(ISNUMBER(FIND("R",F899)),-1,0)</f>
        <v>0</v>
      </c>
      <c r="AK899" s="1080">
        <f>IF(F899="s",-2,0)</f>
        <v>0</v>
      </c>
      <c r="AL899" s="1080">
        <f t="shared" ref="AL899:AL903" si="953">IF(AND(H899="Y",OR(N899="P",N899="S")),-1,0)</f>
        <v>0</v>
      </c>
      <c r="AM899" s="1092">
        <f>IF(J899="y",1,0)</f>
        <v>0</v>
      </c>
      <c r="AN899" s="1080">
        <f>IF(N899="P",-1,IF(N899="T",1,0))</f>
        <v>1</v>
      </c>
      <c r="AO899" s="1080">
        <f t="shared" ref="AO899:AO903" si="954">IF(ISNUMBER(FIND("Z",I899)),1,0)</f>
        <v>0</v>
      </c>
      <c r="AP899" s="1080">
        <f>SUM(AJ899:AN899)-AM899</f>
        <v>1</v>
      </c>
      <c r="AQ899" s="1027">
        <f>VLOOKUP(V899,'System Lookups'!$J$55:$P$64,7)</f>
        <v>1500</v>
      </c>
      <c r="AR899" s="1080" t="str">
        <f ca="1">IF(AND(NOT(ISBLANK(AJ899)),ISNA(MATCH(ROW(),'System Lookups'!$C$526:$C$539,0))),"Y","N")</f>
        <v>Y</v>
      </c>
      <c r="AS899" s="1080">
        <f>AG899-AI899</f>
        <v>0</v>
      </c>
      <c r="AU899" s="1080" t="e">
        <f t="shared" si="926"/>
        <v>#N/A</v>
      </c>
      <c r="AV899" s="1080" t="str">
        <f t="shared" si="945"/>
        <v>T</v>
      </c>
      <c r="AW899" s="1080">
        <f t="shared" si="927"/>
        <v>0</v>
      </c>
      <c r="AX899" s="1080">
        <f t="shared" si="928"/>
        <v>0</v>
      </c>
      <c r="AY899" s="1080">
        <f t="shared" si="929"/>
        <v>0</v>
      </c>
      <c r="AZ899" s="1080">
        <f t="shared" si="930"/>
        <v>0</v>
      </c>
      <c r="BA899" s="1080">
        <f t="shared" si="931"/>
        <v>0</v>
      </c>
      <c r="BB899" s="1080">
        <f>IF(AND(RACE=1,'Main Creation Page'!$E$6="Well",OR(ISNUMBER(FIND(Experience!$G$11,BE899)),ISNUMBER(FIND(Experience!$G$11,BF899)),ISNUMBER(FIND(Experience!$I$11,BE899)),ISNUMBER(FIND(Experience!$I$11,BF899)))),1,0)</f>
        <v>1</v>
      </c>
      <c r="BC899" s="1080" t="str">
        <f t="shared" si="871"/>
        <v>Gate Lore:Construction</v>
      </c>
      <c r="BD899" s="1080" t="s">
        <v>5711</v>
      </c>
      <c r="BE899" s="1080" t="str">
        <f t="shared" si="932"/>
        <v>Lore</v>
      </c>
      <c r="BF899" s="1080" t="str">
        <f t="shared" si="944"/>
        <v>Alquennas Specific Skills</v>
      </c>
    </row>
    <row r="900" spans="1:60" outlineLevel="2">
      <c r="A900" s="1148" t="s">
        <v>5630</v>
      </c>
      <c r="B900" s="1094"/>
      <c r="C900" s="1094"/>
      <c r="D900" s="1094"/>
      <c r="E900" s="1095" t="s">
        <v>5224</v>
      </c>
      <c r="F900" s="1095" t="s">
        <v>5224</v>
      </c>
      <c r="G900" s="1096">
        <v>0</v>
      </c>
      <c r="H900" s="1096" t="s">
        <v>5224</v>
      </c>
      <c r="I900" s="1096" t="s">
        <v>5224</v>
      </c>
      <c r="J900" s="1096" t="s">
        <v>5224</v>
      </c>
      <c r="K900" s="1096" t="s">
        <v>5224</v>
      </c>
      <c r="L900" s="1096">
        <v>0</v>
      </c>
      <c r="M900" s="1096" t="s">
        <v>5224</v>
      </c>
      <c r="N900" s="1096" t="s">
        <v>4631</v>
      </c>
      <c r="O900" s="1028"/>
      <c r="P900" s="1028" t="s">
        <v>780</v>
      </c>
      <c r="Q900" s="1097">
        <f t="shared" ca="1" si="950"/>
        <v>17</v>
      </c>
      <c r="R900" s="1034"/>
      <c r="S900" s="1028" t="s">
        <v>3616</v>
      </c>
      <c r="T900" s="1097">
        <f t="shared" ca="1" si="951"/>
        <v>17</v>
      </c>
      <c r="U900" s="1027">
        <v>9</v>
      </c>
      <c r="V900" s="1027">
        <f>IF(AP900+U900&gt;10,10,IF(AP900+U900&lt;1,1,AP900+U900))</f>
        <v>10</v>
      </c>
      <c r="W900" s="1098" t="e">
        <f>IF(OR(I900&lt;&gt;"N",E900="C"),IF(AND(N900&lt;&gt;"T",ISNUMBER(FIND("V",I900))),1,0),NA())+IF(H900="Y",IF(AND(N900="P",ISNUMBER(FIND("Z",I900))),2,1),0)+IF(J900="Y",1,0)+IF(K900="Y",3,0)+IF(BE900="Lore",L900*2+Experience!$D$25,0)+IF(M900="Y",1,0)</f>
        <v>#N/A</v>
      </c>
      <c r="X900" s="1099"/>
      <c r="Y900" s="1100">
        <f ca="1">IF(P900="NS",IFERROR(INDIRECT(S900),NA()),VLOOKUP(INDIRECT(P900)+INDIRECT(S900),'System Lookups'!$A$3:$D$146,2))</f>
        <v>0.1</v>
      </c>
      <c r="Z900" s="1100">
        <f>IF(ISNA(W900),0,W900*0.03)+IF(X900&gt;0,X900*0.03,0)+IF(AND(ISNA(W900),X900&lt;=0),0,IF(G900&gt;0,G900*0.07,0))</f>
        <v>0</v>
      </c>
      <c r="AA900" s="1101">
        <f ca="1">IF(ISNA(Y900),0,Y900)+Z900</f>
        <v>0.1</v>
      </c>
      <c r="AB900" s="1102">
        <f>VLOOKUP(V900,'System Lookups'!$J$55:$P$64,3)</f>
        <v>0</v>
      </c>
      <c r="AC900" s="1103">
        <f>VLOOKUP(V900,'System Lookups'!$J$55:$P$64,4)</f>
        <v>0.01</v>
      </c>
      <c r="AD900" s="1104">
        <f ca="1">IF(AND(ISBLANK(X900),ISNA(W900)),IF(B900="~",0,AB900+AA900+IF(BB900&gt;0,0.05,0)),AA900+AC900+IF(BB900&gt;0,0.05,0))</f>
        <v>0.15000000000000002</v>
      </c>
      <c r="AE900" s="1094">
        <f ca="1">(IF(AD900&gt;VLOOKUP(V900,'System Lookups'!$J$55:$P$63,6),(((AD900-VLOOKUP(V900,'System Lookups'!$J$55:$P$63,6))*100)/20),0))+AF900</f>
        <v>0</v>
      </c>
      <c r="AF900" s="1094"/>
      <c r="AG900" s="1092">
        <f>IF(ISBLANK(X900),0,AQ900*X900+IF(ISNA(W900),1,0))</f>
        <v>0</v>
      </c>
      <c r="AH900" s="1092" t="str">
        <f>IF(X900&lt;=Experience!$R$15+1,"","*")</f>
        <v/>
      </c>
      <c r="AI900" s="1092"/>
      <c r="AJ900" s="1080">
        <f t="shared" si="952"/>
        <v>0</v>
      </c>
      <c r="AK900" s="1080">
        <f>IF(F900="s",-2,0)</f>
        <v>0</v>
      </c>
      <c r="AL900" s="1080">
        <f t="shared" si="953"/>
        <v>0</v>
      </c>
      <c r="AM900" s="1092">
        <f>IF(J900="y",1,0)</f>
        <v>0</v>
      </c>
      <c r="AN900" s="1080">
        <f>IF(N900="P",-1,IF(N900="T",1,0))</f>
        <v>1</v>
      </c>
      <c r="AO900" s="1080">
        <f t="shared" si="954"/>
        <v>0</v>
      </c>
      <c r="AP900" s="1080">
        <f>SUM(AJ900:AN900)-AM900</f>
        <v>1</v>
      </c>
      <c r="AQ900" s="1027">
        <f>VLOOKUP(V900,'System Lookups'!$J$55:$P$64,7)</f>
        <v>2000</v>
      </c>
      <c r="AR900" s="1080" t="str">
        <f ca="1">IF(AND(NOT(ISBLANK(AJ900)),ISNA(MATCH(ROW(),'System Lookups'!$C$526:$C$539,0))),"Y","N")</f>
        <v>Y</v>
      </c>
      <c r="AS900" s="1080">
        <f>AG900-AI900</f>
        <v>0</v>
      </c>
      <c r="AU900" s="1080" t="e">
        <f t="shared" si="926"/>
        <v>#N/A</v>
      </c>
      <c r="AV900" s="1080" t="str">
        <f t="shared" si="945"/>
        <v>T</v>
      </c>
      <c r="AW900" s="1080">
        <f t="shared" si="927"/>
        <v>0</v>
      </c>
      <c r="AX900" s="1080">
        <f t="shared" si="928"/>
        <v>0</v>
      </c>
      <c r="AY900" s="1080">
        <f t="shared" si="929"/>
        <v>0</v>
      </c>
      <c r="AZ900" s="1080">
        <f t="shared" si="930"/>
        <v>0</v>
      </c>
      <c r="BA900" s="1080">
        <f t="shared" si="931"/>
        <v>0</v>
      </c>
      <c r="BB900" s="1080">
        <f>IF(AND(RACE=1,'Main Creation Page'!$E$6="Well",OR(ISNUMBER(FIND(Experience!$G$11,BE900)),ISNUMBER(FIND(Experience!$G$11,BF900)),ISNUMBER(FIND(Experience!$I$11,BE900)),ISNUMBER(FIND(Experience!$I$11,BF900)))),1,0)</f>
        <v>1</v>
      </c>
      <c r="BC900" s="1080" t="str">
        <f t="shared" si="871"/>
        <v>Gate Lore:Design</v>
      </c>
      <c r="BD900" s="1080" t="s">
        <v>5711</v>
      </c>
      <c r="BE900" s="1080" t="str">
        <f t="shared" si="932"/>
        <v>Lore</v>
      </c>
      <c r="BF900" s="1080" t="str">
        <f t="shared" si="944"/>
        <v>Alquennas Specific Skills</v>
      </c>
    </row>
    <row r="901" spans="1:60" outlineLevel="2">
      <c r="A901" s="1148" t="s">
        <v>5629</v>
      </c>
      <c r="B901" s="1094"/>
      <c r="C901" s="1094"/>
      <c r="D901" s="1094"/>
      <c r="E901" s="1095" t="s">
        <v>5224</v>
      </c>
      <c r="F901" s="1095" t="s">
        <v>5224</v>
      </c>
      <c r="G901" s="1096">
        <v>0</v>
      </c>
      <c r="H901" s="1096" t="s">
        <v>5224</v>
      </c>
      <c r="I901" s="1096" t="s">
        <v>5224</v>
      </c>
      <c r="J901" s="1096" t="s">
        <v>5224</v>
      </c>
      <c r="K901" s="1096" t="s">
        <v>5224</v>
      </c>
      <c r="L901" s="1096">
        <v>0</v>
      </c>
      <c r="M901" s="1096" t="s">
        <v>5224</v>
      </c>
      <c r="N901" s="1096" t="s">
        <v>4631</v>
      </c>
      <c r="O901" s="1028"/>
      <c r="P901" s="1028" t="s">
        <v>780</v>
      </c>
      <c r="Q901" s="1097">
        <f t="shared" ca="1" si="950"/>
        <v>17</v>
      </c>
      <c r="R901" s="1034"/>
      <c r="S901" s="1028" t="s">
        <v>3616</v>
      </c>
      <c r="T901" s="1097">
        <f t="shared" ca="1" si="951"/>
        <v>17</v>
      </c>
      <c r="U901" s="1027">
        <v>5</v>
      </c>
      <c r="V901" s="1027">
        <f>IF(AP901+U901&gt;10,10,IF(AP901+U901&lt;1,1,AP901+U901))</f>
        <v>6</v>
      </c>
      <c r="W901" s="1098" t="e">
        <f>IF(OR(I901&lt;&gt;"N",E901="C"),IF(AND(N901&lt;&gt;"T",ISNUMBER(FIND("V",I901))),1,0),NA())+IF(H901="Y",IF(AND(N901="P",ISNUMBER(FIND("Z",I901))),2,1),0)+IF(J901="Y",1,0)+IF(K901="Y",3,0)+IF(BE901="Lore",L901*2+Experience!$D$25,0)+IF(M901="Y",1,0)</f>
        <v>#N/A</v>
      </c>
      <c r="X901" s="1099"/>
      <c r="Y901" s="1100">
        <f ca="1">IF(P901="NS",IFERROR(INDIRECT(S901),NA()),VLOOKUP(INDIRECT(P901)+INDIRECT(S901),'System Lookups'!$A$3:$D$146,2))</f>
        <v>0.1</v>
      </c>
      <c r="Z901" s="1100">
        <f>IF(ISNA(W901),0,W901*0.03)+IF(X901&gt;0,X901*0.03,0)+IF(AND(ISNA(W901),X901&lt;=0),0,IF(G901&gt;0,G901*0.07,0))</f>
        <v>0</v>
      </c>
      <c r="AA901" s="1101">
        <f ca="1">IF(ISNA(Y901),0,Y901)+Z901</f>
        <v>0.1</v>
      </c>
      <c r="AB901" s="1102">
        <f>VLOOKUP(V901,'System Lookups'!$J$55:$P$64,3)</f>
        <v>0.05</v>
      </c>
      <c r="AC901" s="1103">
        <f>VLOOKUP(V901,'System Lookups'!$J$55:$P$64,4)</f>
        <v>0.1</v>
      </c>
      <c r="AD901" s="1104">
        <f ca="1">IF(AND(ISBLANK(X901),ISNA(W901)),IF(B901="~",0,AB901+AA901+IF(BB901&gt;0,0.05,0)),AA901+AC901+IF(BB901&gt;0,0.05,0))</f>
        <v>0.2</v>
      </c>
      <c r="AE901" s="1094">
        <f ca="1">(IF(AD901&gt;VLOOKUP(V901,'System Lookups'!$J$55:$P$63,6),(((AD901-VLOOKUP(V901,'System Lookups'!$J$55:$P$63,6))*100)/20),0))+AF901</f>
        <v>0</v>
      </c>
      <c r="AF901" s="1094"/>
      <c r="AG901" s="1092">
        <f>IF(ISBLANK(X901),0,AQ901*X901+IF(ISNA(W901),1,0))</f>
        <v>0</v>
      </c>
      <c r="AH901" s="1092" t="str">
        <f>IF(X901&lt;=Experience!$R$15+1,"","*")</f>
        <v/>
      </c>
      <c r="AI901" s="1092"/>
      <c r="AJ901" s="1080">
        <f t="shared" si="952"/>
        <v>0</v>
      </c>
      <c r="AK901" s="1080">
        <f>IF(F901="s",-2,0)</f>
        <v>0</v>
      </c>
      <c r="AL901" s="1080">
        <f t="shared" si="953"/>
        <v>0</v>
      </c>
      <c r="AM901" s="1092">
        <f>IF(J901="y",1,0)</f>
        <v>0</v>
      </c>
      <c r="AN901" s="1080">
        <f>IF(N901="P",-1,IF(N901="T",1,0))</f>
        <v>1</v>
      </c>
      <c r="AO901" s="1080">
        <f t="shared" si="954"/>
        <v>0</v>
      </c>
      <c r="AP901" s="1080">
        <f>SUM(AJ901:AN901)-AM901</f>
        <v>1</v>
      </c>
      <c r="AQ901" s="1027">
        <f>VLOOKUP(V901,'System Lookups'!$J$55:$P$64,7)</f>
        <v>800</v>
      </c>
      <c r="AR901" s="1080" t="str">
        <f ca="1">IF(AND(NOT(ISBLANK(AJ901)),ISNA(MATCH(ROW(),'System Lookups'!$C$526:$C$539,0))),"Y","N")</f>
        <v>Y</v>
      </c>
      <c r="AS901" s="1080">
        <f>AG901-AI901</f>
        <v>0</v>
      </c>
      <c r="AU901" s="1080" t="e">
        <f t="shared" si="926"/>
        <v>#N/A</v>
      </c>
      <c r="AV901" s="1080" t="str">
        <f t="shared" si="945"/>
        <v>T</v>
      </c>
      <c r="AW901" s="1080">
        <f t="shared" si="927"/>
        <v>0</v>
      </c>
      <c r="AX901" s="1080">
        <f t="shared" si="928"/>
        <v>0</v>
      </c>
      <c r="AY901" s="1080">
        <f t="shared" si="929"/>
        <v>0</v>
      </c>
      <c r="AZ901" s="1080">
        <f t="shared" si="930"/>
        <v>0</v>
      </c>
      <c r="BA901" s="1080">
        <f t="shared" si="931"/>
        <v>0</v>
      </c>
      <c r="BB901" s="1080">
        <f>IF(AND(RACE=1,'Main Creation Page'!$E$6="Well",OR(ISNUMBER(FIND(Experience!$G$11,BE901)),ISNUMBER(FIND(Experience!$G$11,BF901)),ISNUMBER(FIND(Experience!$I$11,BE901)),ISNUMBER(FIND(Experience!$I$11,BF901)))),1,0)</f>
        <v>1</v>
      </c>
      <c r="BC901" s="1080" t="str">
        <f t="shared" si="871"/>
        <v>Gate Lore:Historical</v>
      </c>
      <c r="BD901" s="1080" t="s">
        <v>5711</v>
      </c>
      <c r="BE901" s="1080" t="str">
        <f t="shared" si="932"/>
        <v>Lore</v>
      </c>
      <c r="BF901" s="1080" t="str">
        <f t="shared" si="944"/>
        <v>Alquennas Specific Skills</v>
      </c>
    </row>
    <row r="902" spans="1:60" outlineLevel="2">
      <c r="A902" s="1148" t="s">
        <v>5628</v>
      </c>
      <c r="B902" s="1094"/>
      <c r="C902" s="1094"/>
      <c r="D902" s="1094"/>
      <c r="E902" s="1095" t="s">
        <v>5224</v>
      </c>
      <c r="F902" s="1095" t="s">
        <v>5224</v>
      </c>
      <c r="G902" s="1096">
        <v>0</v>
      </c>
      <c r="H902" s="1096" t="s">
        <v>5224</v>
      </c>
      <c r="I902" s="1096" t="s">
        <v>5224</v>
      </c>
      <c r="J902" s="1096" t="s">
        <v>5224</v>
      </c>
      <c r="K902" s="1096" t="s">
        <v>5224</v>
      </c>
      <c r="L902" s="1096">
        <v>0</v>
      </c>
      <c r="M902" s="1096" t="s">
        <v>5224</v>
      </c>
      <c r="N902" s="1096" t="s">
        <v>4631</v>
      </c>
      <c r="O902" s="1028"/>
      <c r="P902" s="1028" t="s">
        <v>780</v>
      </c>
      <c r="Q902" s="1097">
        <f t="shared" ca="1" si="950"/>
        <v>17</v>
      </c>
      <c r="R902" s="1034"/>
      <c r="S902" s="1028" t="s">
        <v>3616</v>
      </c>
      <c r="T902" s="1097">
        <f t="shared" ca="1" si="951"/>
        <v>17</v>
      </c>
      <c r="U902" s="1027">
        <v>4</v>
      </c>
      <c r="V902" s="1027">
        <f>IF(AP902+U902&gt;10,10,IF(AP902+U902&lt;1,1,AP902+U902))</f>
        <v>5</v>
      </c>
      <c r="W902" s="1098" t="e">
        <f>IF(OR(I902&lt;&gt;"N",E902="C"),IF(AND(N902&lt;&gt;"T",ISNUMBER(FIND("V",I902))),1,0),NA())+IF(H902="Y",IF(AND(N902="P",ISNUMBER(FIND("Z",I902))),2,1),0)+IF(J902="Y",1,0)+IF(K902="Y",3,0)+IF(BE902="Lore",L902*2+Experience!$D$25,0)+IF(M902="Y",1,0)</f>
        <v>#N/A</v>
      </c>
      <c r="X902" s="1099"/>
      <c r="Y902" s="1100">
        <f ca="1">IF(P902="NS",IFERROR(INDIRECT(S902),NA()),VLOOKUP(INDIRECT(P902)+INDIRECT(S902),'System Lookups'!$A$3:$D$146,2))</f>
        <v>0.1</v>
      </c>
      <c r="Z902" s="1100">
        <f>IF(ISNA(W902),0,W902*0.03)+IF(X902&gt;0,X902*0.03,0)+IF(AND(ISNA(W902),X902&lt;=0),0,IF(G902&gt;0,G902*0.07,0))</f>
        <v>0</v>
      </c>
      <c r="AA902" s="1101">
        <f ca="1">IF(ISNA(Y902),0,Y902)+Z902</f>
        <v>0.1</v>
      </c>
      <c r="AB902" s="1102">
        <f>VLOOKUP(V902,'System Lookups'!$J$55:$P$64,3)</f>
        <v>0.1</v>
      </c>
      <c r="AC902" s="1103">
        <f>VLOOKUP(V902,'System Lookups'!$J$55:$P$64,4)</f>
        <v>0.2</v>
      </c>
      <c r="AD902" s="1104">
        <f ca="1">IF(AND(ISBLANK(X902),ISNA(W902)),IF(B902="~",0,AB902+AA902+IF(BB902&gt;0,0.05,0)),AA902+AC902+IF(BB902&gt;0,0.05,0))</f>
        <v>0.25</v>
      </c>
      <c r="AE902" s="1094">
        <f ca="1">(IF(AD902&gt;VLOOKUP(V902,'System Lookups'!$J$55:$P$63,6),(((AD902-VLOOKUP(V902,'System Lookups'!$J$55:$P$63,6))*100)/20),0))+AF902</f>
        <v>0</v>
      </c>
      <c r="AF902" s="1094"/>
      <c r="AG902" s="1092">
        <f>IF(ISBLANK(X902),0,AQ902*X902+IF(ISNA(W902),1,0))</f>
        <v>0</v>
      </c>
      <c r="AH902" s="1092" t="str">
        <f>IF(X902&lt;=Experience!$R$15+1,"","*")</f>
        <v/>
      </c>
      <c r="AI902" s="1092"/>
      <c r="AJ902" s="1080">
        <f t="shared" si="952"/>
        <v>0</v>
      </c>
      <c r="AK902" s="1080">
        <f>IF(F902="s",-2,0)</f>
        <v>0</v>
      </c>
      <c r="AL902" s="1080">
        <f t="shared" si="953"/>
        <v>0</v>
      </c>
      <c r="AM902" s="1092">
        <f>IF(J902="y",1,0)</f>
        <v>0</v>
      </c>
      <c r="AN902" s="1080">
        <f>IF(N902="P",-1,IF(N902="T",1,0))</f>
        <v>1</v>
      </c>
      <c r="AO902" s="1080">
        <f t="shared" si="954"/>
        <v>0</v>
      </c>
      <c r="AP902" s="1080">
        <f>SUM(AJ902:AN902)-AM902</f>
        <v>1</v>
      </c>
      <c r="AQ902" s="1027">
        <f>VLOOKUP(V902,'System Lookups'!$J$55:$P$64,7)</f>
        <v>700</v>
      </c>
      <c r="AR902" s="1080" t="str">
        <f ca="1">IF(AND(NOT(ISBLANK(AJ902)),ISNA(MATCH(ROW(),'System Lookups'!$C$526:$C$539,0))),"Y","N")</f>
        <v>Y</v>
      </c>
      <c r="AS902" s="1080">
        <f>AG902-AI902</f>
        <v>0</v>
      </c>
      <c r="AU902" s="1080" t="e">
        <f t="shared" si="926"/>
        <v>#N/A</v>
      </c>
      <c r="AV902" s="1080" t="str">
        <f t="shared" si="945"/>
        <v>T</v>
      </c>
      <c r="AW902" s="1080">
        <f t="shared" si="927"/>
        <v>0</v>
      </c>
      <c r="AX902" s="1080">
        <f t="shared" si="928"/>
        <v>0</v>
      </c>
      <c r="AY902" s="1080">
        <f t="shared" si="929"/>
        <v>0</v>
      </c>
      <c r="AZ902" s="1080">
        <f t="shared" si="930"/>
        <v>0</v>
      </c>
      <c r="BA902" s="1080">
        <f t="shared" si="931"/>
        <v>0</v>
      </c>
      <c r="BB902" s="1080">
        <f>IF(AND(RACE=1,'Main Creation Page'!$E$6="Well",OR(ISNUMBER(FIND(Experience!$G$11,BE902)),ISNUMBER(FIND(Experience!$G$11,BF902)),ISNUMBER(FIND(Experience!$I$11,BE902)),ISNUMBER(FIND(Experience!$I$11,BF902)))),1,0)</f>
        <v>1</v>
      </c>
      <c r="BC902" s="1080" t="str">
        <f t="shared" ref="BC902:BC907" si="955">IF(ISBLANK(AJ902),IF(ISBLANK(AI902),IF(RIGHT(A902,2)="en","Language Lore: "&amp;A902,IF(LEFT(A902,9)="Alquennas",A902,NA())),IF(RIGHT(A902,9)=" Medicina",A902&amp;": Healing Lore Skills",IF(OR(LEFT(A902,5)="Lore ",LEFT(A902,8)="Materia "),A902&amp;" Skills",IF(LEFT(A902,8)="Cooking ","Cooking &amp; Innkeeping Skills",A902)))),IF(LEFT(A902,9)="alertness","Alertness: "&amp;RIGHT(A902,5),IF(ISBLANK(BD902),A902,IF(RIGHT(BD902,2)=" (",BD902&amp;"Own)",BD902&amp;A902))))</f>
        <v>Gate Lore:Operations</v>
      </c>
      <c r="BD902" s="1080" t="s">
        <v>5711</v>
      </c>
      <c r="BE902" s="1080" t="str">
        <f t="shared" si="932"/>
        <v>Lore</v>
      </c>
      <c r="BF902" s="1080" t="str">
        <f t="shared" si="944"/>
        <v>Alquennas Specific Skills</v>
      </c>
    </row>
    <row r="903" spans="1:60" outlineLevel="2">
      <c r="A903" s="1148" t="s">
        <v>5632</v>
      </c>
      <c r="B903" s="1094"/>
      <c r="C903" s="1094"/>
      <c r="D903" s="1094"/>
      <c r="E903" s="1095" t="s">
        <v>5224</v>
      </c>
      <c r="F903" s="1095" t="s">
        <v>5224</v>
      </c>
      <c r="G903" s="1096">
        <v>0</v>
      </c>
      <c r="H903" s="1096" t="s">
        <v>5224</v>
      </c>
      <c r="I903" s="1096" t="s">
        <v>5224</v>
      </c>
      <c r="J903" s="1096" t="s">
        <v>5224</v>
      </c>
      <c r="K903" s="1096" t="s">
        <v>5224</v>
      </c>
      <c r="L903" s="1096">
        <v>0</v>
      </c>
      <c r="M903" s="1096" t="s">
        <v>5224</v>
      </c>
      <c r="N903" s="1096" t="s">
        <v>4631</v>
      </c>
      <c r="O903" s="1028"/>
      <c r="P903" s="1028" t="s">
        <v>780</v>
      </c>
      <c r="Q903" s="1097">
        <f t="shared" ca="1" si="950"/>
        <v>17</v>
      </c>
      <c r="R903" s="1034"/>
      <c r="S903" s="1028" t="s">
        <v>3616</v>
      </c>
      <c r="T903" s="1097">
        <f t="shared" ca="1" si="951"/>
        <v>17</v>
      </c>
      <c r="U903" s="1027">
        <v>10</v>
      </c>
      <c r="V903" s="1027">
        <f>IF(AP903+U903&gt;10,10,IF(AP903+U903&lt;1,1,AP903+U903))</f>
        <v>10</v>
      </c>
      <c r="W903" s="1098" t="e">
        <f>IF(OR(I903&lt;&gt;"N",E903="C"),IF(AND(N903&lt;&gt;"T",ISNUMBER(FIND("V",I903))),1,0),NA())+IF(H903="Y",IF(AND(N903="P",ISNUMBER(FIND("Z",I903))),2,1),0)+IF(J903="Y",1,0)+IF(K903="Y",3,0)+IF(BE903="Lore",L903*2+Experience!$D$25,0)+IF(M903="Y",1,0)</f>
        <v>#N/A</v>
      </c>
      <c r="X903" s="1099"/>
      <c r="Y903" s="1100">
        <f ca="1">IF(P903="NS",IFERROR(INDIRECT(S903),NA()),VLOOKUP(INDIRECT(P903)+INDIRECT(S903),'System Lookups'!$A$3:$D$146,2))</f>
        <v>0.1</v>
      </c>
      <c r="Z903" s="1100">
        <f>IF(ISNA(W903),0,W903*0.03)+IF(X903&gt;0,X903*0.03,0)+IF(AND(ISNA(W903),X903&lt;=0),0,IF(G903&gt;0,G903*0.07,0))</f>
        <v>0</v>
      </c>
      <c r="AA903" s="1101">
        <f ca="1">IF(ISNA(Y903),0,Y903)+Z903</f>
        <v>0.1</v>
      </c>
      <c r="AB903" s="1102">
        <f>VLOOKUP(V903,'System Lookups'!$J$55:$P$64,3)</f>
        <v>0</v>
      </c>
      <c r="AC903" s="1103">
        <f>VLOOKUP(V903,'System Lookups'!$J$55:$P$64,4)</f>
        <v>0.01</v>
      </c>
      <c r="AD903" s="1104">
        <f ca="1">IF(AND(ISBLANK(X903),ISNA(W903)),IF(B903="~",0,AB903+AA903+IF(BB903&gt;0,0.05,0)),AA903+AC903+IF(BB903&gt;0,0.05,0))</f>
        <v>0.15000000000000002</v>
      </c>
      <c r="AE903" s="1094">
        <f ca="1">(IF(AD903&gt;VLOOKUP(V903,'System Lookups'!$J$55:$P$63,6),(((AD903-VLOOKUP(V903,'System Lookups'!$J$55:$P$63,6))*100)/20),0))+AF903</f>
        <v>0</v>
      </c>
      <c r="AF903" s="1094"/>
      <c r="AG903" s="1092">
        <f>IF(ISBLANK(X903),0,AQ903*X903+IF(ISNA(W903),1,0))</f>
        <v>0</v>
      </c>
      <c r="AH903" s="1092" t="str">
        <f>IF(X903&lt;=Experience!$R$15+1,"","*")</f>
        <v/>
      </c>
      <c r="AI903" s="1092"/>
      <c r="AJ903" s="1080">
        <f t="shared" si="952"/>
        <v>0</v>
      </c>
      <c r="AK903" s="1080">
        <f>IF(F903="s",-2,0)</f>
        <v>0</v>
      </c>
      <c r="AL903" s="1080">
        <f t="shared" si="953"/>
        <v>0</v>
      </c>
      <c r="AM903" s="1092">
        <f>IF(J903="y",1,0)</f>
        <v>0</v>
      </c>
      <c r="AN903" s="1080">
        <f>IF(N903="P",-1,IF(N903="T",1,0))</f>
        <v>1</v>
      </c>
      <c r="AO903" s="1080">
        <f t="shared" si="954"/>
        <v>0</v>
      </c>
      <c r="AP903" s="1080">
        <f>SUM(AJ903:AN903)-AM903</f>
        <v>1</v>
      </c>
      <c r="AQ903" s="1027">
        <f>VLOOKUP(V903,'System Lookups'!$J$55:$P$64,7)</f>
        <v>2000</v>
      </c>
      <c r="AR903" s="1080" t="str">
        <f ca="1">IF(AND(NOT(ISBLANK(AJ903)),ISNA(MATCH(ROW(),'System Lookups'!$C$526:$C$539,0))),"Y","N")</f>
        <v>Y</v>
      </c>
      <c r="AS903" s="1080">
        <f>AG903-AI903</f>
        <v>0</v>
      </c>
      <c r="AU903" s="1080" t="e">
        <f t="shared" si="926"/>
        <v>#N/A</v>
      </c>
      <c r="AV903" s="1080" t="str">
        <f t="shared" si="945"/>
        <v>T</v>
      </c>
      <c r="AW903" s="1080">
        <f t="shared" si="927"/>
        <v>0</v>
      </c>
      <c r="AX903" s="1080">
        <f t="shared" si="928"/>
        <v>0</v>
      </c>
      <c r="AY903" s="1080">
        <f t="shared" si="929"/>
        <v>0</v>
      </c>
      <c r="AZ903" s="1080">
        <f t="shared" si="930"/>
        <v>0</v>
      </c>
      <c r="BA903" s="1080">
        <f t="shared" si="931"/>
        <v>0</v>
      </c>
      <c r="BB903" s="1080">
        <f>IF(AND(RACE=1,'Main Creation Page'!$E$6="Well",OR(ISNUMBER(FIND(Experience!$G$11,BE903)),ISNUMBER(FIND(Experience!$G$11,BF903)),ISNUMBER(FIND(Experience!$I$11,BE903)),ISNUMBER(FIND(Experience!$I$11,BF903)))),1,0)</f>
        <v>1</v>
      </c>
      <c r="BC903" s="1080" t="str">
        <f t="shared" si="955"/>
        <v>Gate Lore:Theory</v>
      </c>
      <c r="BD903" s="1080" t="s">
        <v>5711</v>
      </c>
      <c r="BE903" s="1080" t="str">
        <f t="shared" si="932"/>
        <v>Lore</v>
      </c>
      <c r="BF903" s="1080" t="str">
        <f t="shared" si="944"/>
        <v>Alquennas Specific Skills</v>
      </c>
    </row>
    <row r="904" spans="1:60" outlineLevel="1">
      <c r="A904" s="1143" t="s">
        <v>2637</v>
      </c>
      <c r="AE904" s="1034"/>
      <c r="AF904" s="1043"/>
      <c r="AR904" s="1080" t="str">
        <f ca="1">IF(AND(NOT(ISBLANK(AJ904)),ISNA(MATCH(ROW(),'System Lookups'!$C$526:$C$539,0))),"Y","N")</f>
        <v>N</v>
      </c>
      <c r="AU904" s="1080" t="e">
        <f t="shared" si="926"/>
        <v>#N/A</v>
      </c>
      <c r="AV904" s="1080" t="str">
        <f t="shared" si="945"/>
        <v/>
      </c>
      <c r="AW904" s="1080">
        <f t="shared" si="927"/>
        <v>0</v>
      </c>
      <c r="AX904" s="1080">
        <f t="shared" si="928"/>
        <v>0</v>
      </c>
      <c r="AY904" s="1080">
        <f t="shared" si="929"/>
        <v>0</v>
      </c>
      <c r="AZ904" s="1080">
        <f t="shared" si="930"/>
        <v>0</v>
      </c>
      <c r="BA904" s="1080">
        <f t="shared" si="931"/>
        <v>0</v>
      </c>
      <c r="BB904" s="1080">
        <f>IF(AND(RACE=1,'Main Creation Page'!$E$6="Well",OR(ISNUMBER(FIND(Experience!$G$11,BE904)),ISNUMBER(FIND(Experience!$G$11,BF904)),ISNUMBER(FIND(Experience!$I$11,BE904)),ISNUMBER(FIND(Experience!$I$11,BF904)))),1,0)</f>
        <v>0</v>
      </c>
      <c r="BC904" s="1080" t="e">
        <f t="shared" si="955"/>
        <v>#N/A</v>
      </c>
      <c r="BE904" s="1080" t="str">
        <f t="shared" si="932"/>
        <v/>
      </c>
      <c r="BF904" s="1080" t="str">
        <f t="shared" si="944"/>
        <v>Alquennas Specific Skills</v>
      </c>
    </row>
    <row r="905" spans="1:60" outlineLevel="2">
      <c r="A905" s="1093" t="s">
        <v>5635</v>
      </c>
      <c r="B905" s="1094"/>
      <c r="C905" s="1094"/>
      <c r="D905" s="1094"/>
      <c r="E905" s="1095" t="s">
        <v>5224</v>
      </c>
      <c r="F905" s="1095" t="str">
        <f>IF(('Main Creation Page'!C376=2),"R","N")</f>
        <v>N</v>
      </c>
      <c r="G905" s="1096">
        <v>0</v>
      </c>
      <c r="H905" s="1096" t="s">
        <v>5224</v>
      </c>
      <c r="I905" s="1096" t="s">
        <v>5224</v>
      </c>
      <c r="J905" s="1096" t="s">
        <v>5224</v>
      </c>
      <c r="K905" s="1096" t="s">
        <v>5224</v>
      </c>
      <c r="L905" s="1096">
        <v>0</v>
      </c>
      <c r="M905" s="1096" t="s">
        <v>5224</v>
      </c>
      <c r="N905" s="1096" t="s">
        <v>4631</v>
      </c>
      <c r="O905" s="1028"/>
      <c r="P905" s="1028" t="s">
        <v>780</v>
      </c>
      <c r="Q905" s="1097">
        <f t="shared" ref="Q905:Q906" ca="1" si="956">INDIRECT(P905)</f>
        <v>17</v>
      </c>
      <c r="R905" s="1034"/>
      <c r="S905" s="1028" t="s">
        <v>3616</v>
      </c>
      <c r="T905" s="1097">
        <f t="shared" ref="T905:T906" ca="1" si="957">INDIRECT(S905)</f>
        <v>17</v>
      </c>
      <c r="U905" s="1027">
        <v>9</v>
      </c>
      <c r="V905" s="1027">
        <f>IF(AP905+U905&gt;10,10,IF(AP905+U905&lt;1,1,AP905+U905))</f>
        <v>10</v>
      </c>
      <c r="W905" s="1098" t="e">
        <f>IF(OR(I905&lt;&gt;"N",E905="C"),IF(AND(N905&lt;&gt;"T",ISNUMBER(FIND("V",I905))),1,0),NA())+IF(H905="Y",IF(AND(N905="P",ISNUMBER(FIND("Z",I905))),2,1),0)+IF(J905="Y",1,0)+IF(K905="Y",3,0)+IF(BE905="Lore",L905*2+Experience!$D$25,0)+IF(M905="Y",1,0)</f>
        <v>#N/A</v>
      </c>
      <c r="X905" s="1099"/>
      <c r="Y905" s="1100">
        <f ca="1">IF(P905="NS",IFERROR(INDIRECT(S905),NA()),VLOOKUP(INDIRECT(P905)+INDIRECT(S905),'System Lookups'!$A$3:$D$146,2))</f>
        <v>0.1</v>
      </c>
      <c r="Z905" s="1100">
        <f>IF(ISNA(W905),0,W905*0.03)+IF(X905&gt;0,X905*0.03,0)+IF(AND(ISNA(W905),X905&lt;=0),0,IF(G905&gt;0,G905*0.07,0))</f>
        <v>0</v>
      </c>
      <c r="AA905" s="1101">
        <f ca="1">IF(ISNA(Y905),0,Y905)+Z905+IF('Main Creation Page'!AB$2=37,'Main Creation Page'!E$14/100,0)</f>
        <v>0.1</v>
      </c>
      <c r="AB905" s="1102">
        <f>VLOOKUP(V905,'System Lookups'!$J$55:$P$64,3)</f>
        <v>0</v>
      </c>
      <c r="AC905" s="1103">
        <f>VLOOKUP(V905,'System Lookups'!$J$55:$P$64,4)</f>
        <v>0.01</v>
      </c>
      <c r="AD905" s="1104">
        <f ca="1">IF(AND(ISBLANK(X905),ISNA(W905)),IF(B905="~",0,AB905+AA905+IF(BB905&gt;0,0.05,0)),AA905+AC905+IF(BB905&gt;0,0.05,0))</f>
        <v>0.15000000000000002</v>
      </c>
      <c r="AE905" s="1094">
        <f ca="1">(IF(AD905&gt;VLOOKUP(V905,'System Lookups'!$J$55:$P$63,6),(((AD905-VLOOKUP(V905,'System Lookups'!$J$55:$P$63,6))*100)/20),0))+AF905</f>
        <v>0</v>
      </c>
      <c r="AF905" s="1094"/>
      <c r="AG905" s="1092">
        <f>IF(ISBLANK(X905),0,AQ905*X905+IF(ISNA(W905),1,0))</f>
        <v>0</v>
      </c>
      <c r="AH905" s="1092" t="str">
        <f>IF(X905&lt;=Experience!$R$15+1,"","*")</f>
        <v/>
      </c>
      <c r="AI905" s="1092"/>
      <c r="AJ905" s="1080">
        <f t="shared" ref="AJ905:AJ906" si="958">IF(ISNUMBER(FIND("R",F905)),-1,0)</f>
        <v>0</v>
      </c>
      <c r="AK905" s="1080">
        <f t="shared" ref="AK905" si="959">IF(F905="s",-2,0)</f>
        <v>0</v>
      </c>
      <c r="AL905" s="1080">
        <f t="shared" ref="AL905:AL906" si="960">IF(AND(H905="Y",OR(N905="P",N905="S")),-1,0)</f>
        <v>0</v>
      </c>
      <c r="AM905" s="1092">
        <f t="shared" ref="AM905" si="961">IF(J905="y",1,0)</f>
        <v>0</v>
      </c>
      <c r="AN905" s="1080">
        <f t="shared" ref="AN905" si="962">IF(N905="P",-1,IF(N905="T",1,0))</f>
        <v>1</v>
      </c>
      <c r="AO905" s="1080">
        <f t="shared" ref="AO905:AO906" si="963">IF(ISNUMBER(FIND("Z",I905)),1,0)</f>
        <v>0</v>
      </c>
      <c r="AP905" s="1080">
        <f>SUM(AJ905:AN905)-AM905</f>
        <v>1</v>
      </c>
      <c r="AQ905" s="1027">
        <f>VLOOKUP(V905,'System Lookups'!$J$55:$P$64,7)</f>
        <v>2000</v>
      </c>
      <c r="AR905" s="1080" t="str">
        <f ca="1">IF(AND(NOT(ISBLANK(AJ905)),ISNA(MATCH(ROW(),'System Lookups'!$C$526:$C$539,0))),"Y","N")</f>
        <v>Y</v>
      </c>
      <c r="AS905" s="1080">
        <f>AG905-AI905</f>
        <v>0</v>
      </c>
      <c r="AU905" s="1080" t="e">
        <f t="shared" si="926"/>
        <v>#N/A</v>
      </c>
      <c r="AV905" s="1080" t="str">
        <f t="shared" si="945"/>
        <v>T</v>
      </c>
      <c r="AW905" s="1080">
        <f t="shared" si="927"/>
        <v>0</v>
      </c>
      <c r="AX905" s="1080">
        <f t="shared" si="928"/>
        <v>0</v>
      </c>
      <c r="AY905" s="1080">
        <f t="shared" si="929"/>
        <v>0</v>
      </c>
      <c r="AZ905" s="1080">
        <f t="shared" si="930"/>
        <v>0</v>
      </c>
      <c r="BA905" s="1080">
        <f t="shared" si="931"/>
        <v>0</v>
      </c>
      <c r="BB905" s="1080">
        <f>IF(AND(RACE=1,'Main Creation Page'!$E$6="Well",OR(ISNUMBER(FIND(Experience!$G$11,BE905)),ISNUMBER(FIND(Experience!$G$11,BF905)),ISNUMBER(FIND(Experience!$I$11,BE905)),ISNUMBER(FIND(Experience!$I$11,BF905)))),1,0)</f>
        <v>1</v>
      </c>
      <c r="BC905" s="1080" t="str">
        <f t="shared" si="955"/>
        <v>Cult. Lore:Dragon</v>
      </c>
      <c r="BD905" s="1080" t="s">
        <v>5700</v>
      </c>
      <c r="BE905" s="1080" t="str">
        <f t="shared" si="932"/>
        <v>Lore</v>
      </c>
      <c r="BF905" s="1080" t="str">
        <f t="shared" si="944"/>
        <v>Alquennas Specific Skills</v>
      </c>
    </row>
    <row r="906" spans="1:60" outlineLevel="2">
      <c r="A906" s="1093" t="s">
        <v>5633</v>
      </c>
      <c r="B906" s="1094"/>
      <c r="C906" s="1094"/>
      <c r="D906" s="1094"/>
      <c r="E906" s="1095" t="s">
        <v>5224</v>
      </c>
      <c r="F906" s="1095" t="str">
        <f>IF(('Main Creation Page'!C377=2),"R","N")</f>
        <v>N</v>
      </c>
      <c r="G906" s="1096">
        <v>0</v>
      </c>
      <c r="H906" s="1096" t="s">
        <v>5224</v>
      </c>
      <c r="I906" s="1096" t="s">
        <v>5224</v>
      </c>
      <c r="J906" s="1096" t="s">
        <v>5224</v>
      </c>
      <c r="K906" s="1096" t="s">
        <v>5224</v>
      </c>
      <c r="L906" s="1096">
        <v>0</v>
      </c>
      <c r="M906" s="1096" t="s">
        <v>5224</v>
      </c>
      <c r="N906" s="1096" t="s">
        <v>4631</v>
      </c>
      <c r="O906" s="1028"/>
      <c r="P906" s="1028" t="s">
        <v>780</v>
      </c>
      <c r="Q906" s="1097">
        <f t="shared" ca="1" si="956"/>
        <v>17</v>
      </c>
      <c r="R906" s="1034"/>
      <c r="S906" s="1028" t="s">
        <v>3616</v>
      </c>
      <c r="T906" s="1097">
        <f t="shared" ca="1" si="957"/>
        <v>17</v>
      </c>
      <c r="U906" s="1027">
        <v>6</v>
      </c>
      <c r="V906" s="1027">
        <f>IF(AP906+U906&gt;10,10,IF(AP906+U906&lt;1,1,AP906+U906))</f>
        <v>7</v>
      </c>
      <c r="W906" s="1098" t="e">
        <f>IF(OR(I906&lt;&gt;"N",E906="C"),IF(AND(N906&lt;&gt;"T",ISNUMBER(FIND("V",I906))),1,0),NA())+IF(H906="Y",IF(AND(N906="P",ISNUMBER(FIND("Z",I906))),2,1),0)+IF(J906="Y",1,0)+IF(K906="Y",3,0)+IF(BE906="Lore",L906*2+Experience!$D$25,0)+IF(M906="Y",1,0)</f>
        <v>#N/A</v>
      </c>
      <c r="X906" s="1099"/>
      <c r="Y906" s="1100">
        <f ca="1">IF(P906="NS",IFERROR(INDIRECT(S906),NA()),VLOOKUP(INDIRECT(P906)+INDIRECT(S906),'System Lookups'!$A$3:$D$146,2))</f>
        <v>0.1</v>
      </c>
      <c r="Z906" s="1100">
        <f>IF(ISNA(W906),0,W906*0.03)+IF(X906&gt;0,X906*0.03,0)+IF(AND(ISNA(W906),X906&lt;=0),0,IF(G906&gt;0,G906*0.07,0))</f>
        <v>0</v>
      </c>
      <c r="AA906" s="1101">
        <f ca="1">IF(ISNA(Y906),0,Y906)+Z906+IF('Main Creation Page'!AB$2=37,'Main Creation Page'!E$14/100,0)</f>
        <v>0.1</v>
      </c>
      <c r="AB906" s="1102">
        <f>VLOOKUP(V906,'System Lookups'!$J$55:$P$64,3)</f>
        <v>0.03</v>
      </c>
      <c r="AC906" s="1103">
        <f>VLOOKUP(V906,'System Lookups'!$J$55:$P$64,4)</f>
        <v>7.0000000000000007E-2</v>
      </c>
      <c r="AD906" s="1104">
        <f ca="1">IF(AND(ISBLANK(X906),ISNA(W906)),IF(B906="~",0,AB906+AA906+IF(BB906&gt;0,0.05,0)),AA906+AC906+IF(BB906&gt;0,0.05,0))</f>
        <v>0.18</v>
      </c>
      <c r="AE906" s="1094">
        <f ca="1">(IF(AD906&gt;VLOOKUP(V906,'System Lookups'!$J$55:$P$63,6),(((AD906-VLOOKUP(V906,'System Lookups'!$J$55:$P$63,6))*100)/20),0))+AF906</f>
        <v>0</v>
      </c>
      <c r="AF906" s="1094"/>
      <c r="AG906" s="1092">
        <f>IF(ISBLANK(X906),0,AQ906*X906+IF(ISNA(W906),1,0))</f>
        <v>0</v>
      </c>
      <c r="AH906" s="1092" t="str">
        <f>IF(X906&lt;=Experience!$R$15+1,"","*")</f>
        <v/>
      </c>
      <c r="AI906" s="1092"/>
      <c r="AJ906" s="1080">
        <f t="shared" si="958"/>
        <v>0</v>
      </c>
      <c r="AK906" s="1080">
        <f t="shared" ref="AK906" si="964">IF(F906="s",-2,0)</f>
        <v>0</v>
      </c>
      <c r="AL906" s="1080">
        <f t="shared" si="960"/>
        <v>0</v>
      </c>
      <c r="AM906" s="1092">
        <f t="shared" ref="AM906" si="965">IF(J906="y",1,0)</f>
        <v>0</v>
      </c>
      <c r="AN906" s="1080">
        <f t="shared" ref="AN906" si="966">IF(N906="P",-1,IF(N906="T",1,0))</f>
        <v>1</v>
      </c>
      <c r="AO906" s="1080">
        <f t="shared" si="963"/>
        <v>0</v>
      </c>
      <c r="AP906" s="1080">
        <f>SUM(AJ906:AN906)-AM906</f>
        <v>1</v>
      </c>
      <c r="AQ906" s="1027">
        <f>VLOOKUP(V906,'System Lookups'!$J$55:$P$64,7)</f>
        <v>1000</v>
      </c>
      <c r="AR906" s="1080" t="str">
        <f ca="1">IF(AND(NOT(ISBLANK(AJ906)),ISNA(MATCH(ROW(),'System Lookups'!$C$526:$C$539,0))),"Y","N")</f>
        <v>Y</v>
      </c>
      <c r="AS906" s="1080">
        <f>AG906-AI906</f>
        <v>0</v>
      </c>
      <c r="AU906" s="1080" t="e">
        <f t="shared" si="926"/>
        <v>#N/A</v>
      </c>
      <c r="AV906" s="1080" t="str">
        <f t="shared" si="945"/>
        <v>T</v>
      </c>
      <c r="AW906" s="1080">
        <f t="shared" si="927"/>
        <v>0</v>
      </c>
      <c r="AX906" s="1080">
        <f t="shared" si="928"/>
        <v>0</v>
      </c>
      <c r="AY906" s="1080">
        <f t="shared" si="929"/>
        <v>0</v>
      </c>
      <c r="AZ906" s="1080">
        <f t="shared" si="930"/>
        <v>0</v>
      </c>
      <c r="BA906" s="1080">
        <f t="shared" si="931"/>
        <v>0</v>
      </c>
      <c r="BB906" s="1080">
        <f>IF(AND(RACE=1,'Main Creation Page'!$E$6="Well",OR(ISNUMBER(FIND(Experience!$G$11,BE906)),ISNUMBER(FIND(Experience!$G$11,BF906)),ISNUMBER(FIND(Experience!$I$11,BE906)),ISNUMBER(FIND(Experience!$I$11,BF906)))),1,0)</f>
        <v>1</v>
      </c>
      <c r="BC906" s="1080" t="str">
        <f t="shared" si="955"/>
        <v>Cult. Lore:New Edo</v>
      </c>
      <c r="BD906" s="1080" t="s">
        <v>5700</v>
      </c>
      <c r="BE906" s="1080" t="str">
        <f t="shared" si="932"/>
        <v>Lore</v>
      </c>
      <c r="BF906" s="1080" t="str">
        <f t="shared" si="944"/>
        <v>Alquennas Specific Skills</v>
      </c>
    </row>
    <row r="907" spans="1:60" outlineLevel="1">
      <c r="BB907" s="1080">
        <f>IF(AND(RACE=1,'Main Creation Page'!$E$6="Well",OR(ISNUMBER(FIND(Experience!$G$11,BE907)),ISNUMBER(FIND(Experience!$G$11,BF907)),ISNUMBER(FIND(Experience!$I$11,BE907)),ISNUMBER(FIND(Experience!$I$11,BF907)))),1,0)</f>
        <v>0</v>
      </c>
      <c r="BC907" s="1080" t="e">
        <f t="shared" si="955"/>
        <v>#N/A</v>
      </c>
      <c r="BE907" s="1080" t="str">
        <f t="shared" si="932"/>
        <v/>
      </c>
      <c r="BF907" s="1080" t="str">
        <f t="shared" si="944"/>
        <v>Alquennas Specific Skills</v>
      </c>
    </row>
    <row r="908" spans="1:60">
      <c r="B908" s="1034"/>
      <c r="C908" s="1034"/>
      <c r="D908" s="1034"/>
      <c r="AE908" s="1034"/>
      <c r="AF908" s="1043"/>
      <c r="AI908" s="1034"/>
      <c r="AJ908" s="1034"/>
      <c r="AK908" s="1034"/>
      <c r="AL908" s="1034"/>
      <c r="AM908" s="1034"/>
      <c r="AN908" s="1034"/>
      <c r="AO908" s="1034"/>
      <c r="AP908" s="1034"/>
      <c r="AQ908" s="1034"/>
      <c r="AR908" s="1034"/>
      <c r="AS908" s="1034"/>
      <c r="AT908" s="1034"/>
      <c r="AU908" s="1034"/>
      <c r="AV908" s="1034"/>
      <c r="AW908" s="1034"/>
      <c r="AX908" s="1034"/>
      <c r="AY908" s="1034"/>
      <c r="AZ908" s="1034"/>
      <c r="BA908" s="1034"/>
      <c r="BB908" s="1034"/>
      <c r="BC908" s="1034"/>
      <c r="BD908" s="1034"/>
      <c r="BE908" s="1034"/>
      <c r="BF908" s="1034"/>
    </row>
    <row r="909" spans="1:60" ht="13.5" thickBot="1">
      <c r="B909" s="1034"/>
      <c r="C909" s="1034"/>
      <c r="D909" s="1034"/>
      <c r="AE909" s="1034"/>
      <c r="AF909" s="1043"/>
      <c r="AI909" s="1034"/>
      <c r="AJ909" s="1034"/>
      <c r="AK909" s="1034"/>
      <c r="AL909" s="1034"/>
      <c r="AM909" s="1034"/>
      <c r="AN909" s="1034"/>
      <c r="AO909" s="1034"/>
      <c r="AP909" s="1034"/>
      <c r="AQ909" s="1034"/>
      <c r="AR909" s="1034"/>
      <c r="AS909" s="1034"/>
      <c r="AT909" s="1034"/>
      <c r="AU909" s="1034"/>
      <c r="AV909" s="1034"/>
      <c r="AW909" s="1034"/>
      <c r="AX909" s="1034"/>
      <c r="AY909" s="1034"/>
      <c r="AZ909" s="1034"/>
      <c r="BA909" s="1034"/>
      <c r="BB909" s="1034"/>
      <c r="BC909" s="1034" t="s">
        <v>5676</v>
      </c>
      <c r="BD909" s="1034"/>
      <c r="BE909" s="1034"/>
      <c r="BF909" s="1034"/>
    </row>
    <row r="910" spans="1:60">
      <c r="A910" s="1156" t="s">
        <v>5932</v>
      </c>
      <c r="B910" s="1156"/>
      <c r="C910" s="1156"/>
      <c r="D910" s="1156"/>
      <c r="E910" s="1157"/>
      <c r="F910" s="1157"/>
      <c r="G910" s="1157"/>
      <c r="H910" s="1157"/>
      <c r="I910" s="1157"/>
      <c r="J910" s="1157"/>
      <c r="K910" s="1157"/>
      <c r="L910" s="1157"/>
      <c r="M910" s="1157"/>
      <c r="N910" s="1157"/>
      <c r="O910" s="1157"/>
      <c r="P910" s="1157"/>
      <c r="Q910" s="1157"/>
      <c r="R910" s="1157"/>
      <c r="S910" s="1156"/>
      <c r="T910" s="1156"/>
      <c r="U910" s="1157"/>
      <c r="V910" s="1157"/>
      <c r="W910" s="1156"/>
      <c r="X910" s="1156"/>
      <c r="Y910" s="1158"/>
      <c r="Z910" s="1158"/>
      <c r="AA910" s="1158"/>
      <c r="AB910" s="1158"/>
      <c r="AC910" s="1158"/>
      <c r="AD910" s="1158"/>
      <c r="AE910" s="1156"/>
      <c r="AF910" s="1157"/>
      <c r="AG910" s="1156"/>
      <c r="AH910" s="1156"/>
      <c r="AI910" s="1156"/>
      <c r="AJ910" s="1156"/>
      <c r="AK910" s="1156"/>
      <c r="AL910" s="1156"/>
      <c r="AM910" s="1156"/>
      <c r="AN910" s="1156"/>
      <c r="AO910" s="1156"/>
      <c r="AP910" s="1156"/>
      <c r="AQ910" s="1156"/>
      <c r="AR910" s="1156"/>
      <c r="AS910" s="1156"/>
      <c r="AT910" s="1156"/>
      <c r="AU910" s="1156"/>
      <c r="AV910" s="1156"/>
      <c r="AW910" s="1156"/>
      <c r="AX910" s="1156"/>
      <c r="AY910" s="1156"/>
      <c r="AZ910" s="1156"/>
      <c r="BA910" s="1156"/>
      <c r="BB910" s="1156"/>
      <c r="BC910" s="1156"/>
      <c r="BD910" s="1156"/>
      <c r="BE910" s="1156"/>
      <c r="BF910" s="1156"/>
      <c r="BG910" s="1156"/>
      <c r="BH910" s="1156"/>
    </row>
    <row r="911" spans="1:60" ht="13.5" thickBot="1">
      <c r="A911" s="1034" t="s">
        <v>5934</v>
      </c>
      <c r="B911" s="1034"/>
      <c r="C911" s="1034"/>
      <c r="D911" s="1034"/>
      <c r="Y911" s="1106"/>
      <c r="Z911" s="1106"/>
      <c r="AA911" s="1106"/>
      <c r="AB911" s="1106"/>
      <c r="AC911" s="1106"/>
      <c r="AD911" s="1106"/>
      <c r="AE911" s="1034"/>
      <c r="AF911" s="1043"/>
      <c r="AI911" s="1034"/>
      <c r="AJ911" s="1034"/>
      <c r="AK911" s="1034"/>
      <c r="AL911" s="1034"/>
      <c r="AM911" s="1034"/>
      <c r="AN911" s="1034"/>
      <c r="AO911" s="1034"/>
      <c r="AP911" s="1034"/>
      <c r="AQ911" s="1034"/>
      <c r="AR911" s="1034"/>
      <c r="AS911" s="1034"/>
      <c r="AT911" s="1034"/>
      <c r="AU911" s="1034"/>
      <c r="AV911" s="1034"/>
      <c r="AW911" s="1034"/>
      <c r="AX911" s="1034"/>
      <c r="AY911" s="1034"/>
      <c r="AZ911" s="1034"/>
      <c r="BA911" s="1034"/>
      <c r="BB911" s="1034"/>
      <c r="BC911" s="1034"/>
      <c r="BD911" s="1034"/>
      <c r="BE911" s="1034"/>
      <c r="BF911" s="1034"/>
    </row>
    <row r="912" spans="1:60" ht="13.5" thickBot="1">
      <c r="A912" s="1159"/>
      <c r="B912" s="1160" t="s">
        <v>1942</v>
      </c>
      <c r="C912" s="1160" t="s">
        <v>4629</v>
      </c>
      <c r="D912" s="1160"/>
      <c r="E912" s="1161" t="s">
        <v>5224</v>
      </c>
      <c r="F912" s="1161" t="str">
        <f>IF('Main Creation Page'!C32=4,"R","N")</f>
        <v>N</v>
      </c>
      <c r="G912" s="1162">
        <v>0</v>
      </c>
      <c r="H912" s="1162" t="s">
        <v>5224</v>
      </c>
      <c r="I912" s="1162" t="s">
        <v>5224</v>
      </c>
      <c r="J912" s="1162" t="s">
        <v>5224</v>
      </c>
      <c r="K912" s="1162" t="s">
        <v>5224</v>
      </c>
      <c r="L912" s="1162">
        <v>0</v>
      </c>
      <c r="M912" s="1162" t="s">
        <v>5224</v>
      </c>
      <c r="N912" s="1162" t="s">
        <v>4631</v>
      </c>
      <c r="O912" s="1163"/>
      <c r="P912" s="1163" t="s">
        <v>6030</v>
      </c>
      <c r="Q912" s="1164" t="s">
        <v>5339</v>
      </c>
      <c r="R912" s="1163"/>
      <c r="S912" s="1163" t="s">
        <v>6030</v>
      </c>
      <c r="T912" s="1164" t="s">
        <v>5339</v>
      </c>
      <c r="U912" s="1165">
        <v>4</v>
      </c>
      <c r="V912" s="1165">
        <f>IF(AP912+U912&gt;10,10,IF(AP912+U912&lt;1,1,AP912+U912))</f>
        <v>5</v>
      </c>
      <c r="W912" s="1166" t="e">
        <f>IF(OR(I912&lt;&gt;"N",E912="C"),IF(AND(N912="P",ISNUMBER(FIND("V",I912))),1,0),NA())+IF(H912="Y",IF(AND(N912="P",ISNUMBER(FIND("Z",I912))),2,1),0)+IF(J912="Y",1,0)+IF(K912="Y",3,0)+IF(L912&lt;&gt;"N",L912*2+Experience!$D$25,0)+IF(M912="Y",1,0)</f>
        <v>#N/A</v>
      </c>
      <c r="X912" s="1167"/>
      <c r="Y912" s="1168" t="e">
        <f ca="1">IF(P912="NS",IFERROR(INDIRECT(S912),NA()),VLOOKUP(INDIRECT(P912)+INDIRECT(S912),'System Lookups'!$A$3:$D$146,2))</f>
        <v>#REF!</v>
      </c>
      <c r="Z912" s="1168">
        <f>IF(ISNA(W912),0,W912*0.03)+IF(X912&gt;0,X912*0.03,0)+IF(AND(ISNA(W912),X912&lt;=0),0,IF(G912&gt;0,G912*0.07,0))</f>
        <v>0</v>
      </c>
      <c r="AA912" s="1169" t="e">
        <f t="shared" ref="AA912" ca="1" si="967">IF(ISNA(Y912),0,Y912)+Z912</f>
        <v>#REF!</v>
      </c>
      <c r="AB912" s="1170">
        <f>VLOOKUP(V912,'System Lookups'!$J$55:$P$64,3)</f>
        <v>0.1</v>
      </c>
      <c r="AC912" s="1171">
        <f>VLOOKUP(V912,'System Lookups'!$J$55:$P$64,4)</f>
        <v>0.2</v>
      </c>
      <c r="AD912" s="1166">
        <f>IF(AND(ISBLANK(X912),ISNA(W912)),IF(B912="~",0,AB912+AA912),AA912+AC912)</f>
        <v>0</v>
      </c>
      <c r="AE912" s="1094">
        <f>(IF(AD912&gt;VLOOKUP(V912,'System Lookups'!$J$55:$P$63,6),(((AD912-VLOOKUP(V912,'System Lookups'!$J$55:$P$63,6))*100)/20),0))+AF912</f>
        <v>0</v>
      </c>
      <c r="AF912" s="1160"/>
      <c r="AG912" s="1172">
        <f>IF(I912="Y",IF(ISBLANK(X912),0,AQ912*X912),IF(ISBLANK(X912),0,AQ912*(X912+1)))</f>
        <v>0</v>
      </c>
      <c r="AH912" s="1172" t="str">
        <f>IF(X912&lt;=Experience!$R$15+1,"","*")</f>
        <v/>
      </c>
      <c r="AI912" s="1172"/>
      <c r="AJ912" s="1080">
        <f>IF(ISNUMBER(FIND("R",F912)),-1,0)</f>
        <v>0</v>
      </c>
      <c r="AK912" s="1173">
        <f t="shared" ref="AK912" si="968">IF(F912="s",-2,0)</f>
        <v>0</v>
      </c>
      <c r="AL912" s="1173">
        <f t="shared" ref="AL912" si="969">IF(H912="Y",IF(OR(N912="P",N912="S"),-1,0),0)</f>
        <v>0</v>
      </c>
      <c r="AM912" s="1172">
        <f t="shared" ref="AM912" si="970">IF(J912="y",1,0)</f>
        <v>0</v>
      </c>
      <c r="AN912" s="1173">
        <f t="shared" ref="AN912" si="971">IF(N912="P",-1,IF(N912="T",1,0))</f>
        <v>1</v>
      </c>
      <c r="AO912" s="1173">
        <f t="shared" ref="AO912" si="972">IF(J912="s",-2,0)</f>
        <v>0</v>
      </c>
      <c r="AP912" s="1173">
        <f>SUM(AJ912:AN912)-AM912</f>
        <v>1</v>
      </c>
      <c r="AQ912" s="1165">
        <f>VLOOKUP(V912,'System Lookups'!$J$55:$P$64,7)</f>
        <v>700</v>
      </c>
      <c r="AR912" s="1165" t="str">
        <f ca="1">IF(AND(ISNUMBER(U912),ISNA(MATCH(ROW(),'System Lookups'!$C$526:$C$539,0))),"Y","N")</f>
        <v>Y</v>
      </c>
      <c r="AS912" s="1165">
        <f>AG912-AI912</f>
        <v>0</v>
      </c>
      <c r="AT912" s="1165"/>
      <c r="AU912" s="1165"/>
      <c r="AV912" s="1165"/>
      <c r="AW912" s="1165"/>
      <c r="AX912" s="1165"/>
      <c r="AY912" s="1165"/>
      <c r="AZ912" s="1165"/>
      <c r="BA912" s="1165"/>
      <c r="BB912" s="1165"/>
      <c r="BC912" s="1165"/>
      <c r="BD912" s="1165"/>
      <c r="BE912" s="1165"/>
      <c r="BF912" s="1165"/>
      <c r="BG912" s="1165"/>
      <c r="BH912" s="1165"/>
    </row>
    <row r="913" spans="2:58">
      <c r="B913" s="1034"/>
      <c r="C913" s="1034"/>
      <c r="D913" s="1034"/>
      <c r="AE913" s="1034"/>
      <c r="AF913" s="1043"/>
      <c r="AI913" s="1034"/>
      <c r="AJ913" s="1034"/>
      <c r="AK913" s="1034"/>
      <c r="AL913" s="1034"/>
      <c r="AM913" s="1034"/>
      <c r="AN913" s="1034"/>
      <c r="AO913" s="1034"/>
      <c r="AP913" s="1034"/>
      <c r="AQ913" s="1034"/>
      <c r="AR913" s="1034"/>
      <c r="AS913" s="1034"/>
      <c r="AT913" s="1034"/>
      <c r="AU913" s="1034"/>
      <c r="AV913" s="1034"/>
      <c r="AW913" s="1034"/>
      <c r="AX913" s="1034"/>
      <c r="AY913" s="1034"/>
      <c r="AZ913" s="1034"/>
      <c r="BA913" s="1034"/>
      <c r="BB913" s="1034"/>
      <c r="BC913" s="1034"/>
      <c r="BD913" s="1034"/>
      <c r="BE913" s="1034"/>
      <c r="BF913" s="1034"/>
    </row>
    <row r="914" spans="2:58">
      <c r="B914" s="1034"/>
      <c r="C914" s="1034"/>
      <c r="D914" s="1034"/>
      <c r="AE914" s="1034"/>
      <c r="AF914" s="1043"/>
      <c r="AI914" s="1034"/>
      <c r="AJ914" s="1034"/>
      <c r="AK914" s="1034"/>
      <c r="AL914" s="1034"/>
      <c r="AM914" s="1034"/>
      <c r="AN914" s="1034"/>
      <c r="AO914" s="1034"/>
      <c r="AP914" s="1034"/>
      <c r="AQ914" s="1034"/>
      <c r="AR914" s="1034"/>
      <c r="AS914" s="1034"/>
      <c r="AT914" s="1034"/>
      <c r="AU914" s="1034"/>
      <c r="AV914" s="1034"/>
      <c r="AW914" s="1034"/>
      <c r="AX914" s="1034"/>
      <c r="AY914" s="1034"/>
      <c r="AZ914" s="1034"/>
      <c r="BA914" s="1034"/>
      <c r="BB914" s="1034"/>
      <c r="BC914" s="1034"/>
      <c r="BD914" s="1034"/>
      <c r="BE914" s="1034"/>
      <c r="BF914" s="1034"/>
    </row>
    <row r="915" spans="2:58">
      <c r="B915" s="1034"/>
      <c r="C915" s="1034"/>
      <c r="D915" s="1034"/>
      <c r="AE915" s="1034"/>
      <c r="AF915" s="1043"/>
      <c r="AI915" s="1034"/>
      <c r="AJ915" s="1034"/>
      <c r="AK915" s="1034"/>
      <c r="AL915" s="1034"/>
      <c r="AM915" s="1034"/>
      <c r="AN915" s="1034"/>
      <c r="AO915" s="1034"/>
      <c r="AP915" s="1034"/>
      <c r="AQ915" s="1034"/>
      <c r="AR915" s="1034"/>
      <c r="AS915" s="1034"/>
      <c r="AT915" s="1034"/>
      <c r="AU915" s="1034"/>
      <c r="AV915" s="1034"/>
      <c r="AW915" s="1034"/>
      <c r="AX915" s="1034"/>
      <c r="AY915" s="1034"/>
      <c r="AZ915" s="1034"/>
      <c r="BA915" s="1034"/>
      <c r="BB915" s="1034"/>
      <c r="BC915" s="1034"/>
      <c r="BD915" s="1034"/>
      <c r="BE915" s="1034"/>
      <c r="BF915" s="1034"/>
    </row>
    <row r="916" spans="2:58">
      <c r="B916" s="1034"/>
      <c r="C916" s="1034"/>
      <c r="D916" s="1034"/>
      <c r="AE916" s="1034"/>
      <c r="AF916" s="1043"/>
      <c r="AI916" s="1034"/>
      <c r="AJ916" s="1034"/>
      <c r="AK916" s="1034"/>
      <c r="AL916" s="1034"/>
      <c r="AM916" s="1034"/>
      <c r="AN916" s="1034"/>
      <c r="AO916" s="1034"/>
      <c r="AP916" s="1034"/>
      <c r="AQ916" s="1034"/>
      <c r="AR916" s="1034"/>
      <c r="AS916" s="1034"/>
      <c r="AT916" s="1034"/>
      <c r="AU916" s="1034"/>
      <c r="AV916" s="1034"/>
      <c r="AW916" s="1034"/>
      <c r="AX916" s="1034"/>
      <c r="AY916" s="1034"/>
      <c r="AZ916" s="1034"/>
      <c r="BA916" s="1034"/>
      <c r="BB916" s="1034"/>
      <c r="BC916" s="1034"/>
      <c r="BD916" s="1034"/>
      <c r="BE916" s="1034"/>
      <c r="BF916" s="1034"/>
    </row>
    <row r="917" spans="2:58">
      <c r="B917" s="1034"/>
      <c r="C917" s="1034"/>
      <c r="D917" s="1034"/>
      <c r="AE917" s="1034"/>
      <c r="AF917" s="1043"/>
      <c r="AI917" s="1034"/>
      <c r="AJ917" s="1034"/>
      <c r="AK917" s="1034"/>
      <c r="AL917" s="1034"/>
      <c r="AM917" s="1034"/>
      <c r="AN917" s="1034"/>
      <c r="AO917" s="1034"/>
      <c r="AP917" s="1034"/>
      <c r="AQ917" s="1034"/>
      <c r="AR917" s="1034"/>
      <c r="AS917" s="1034"/>
      <c r="AT917" s="1034"/>
      <c r="AU917" s="1034"/>
      <c r="AV917" s="1034"/>
      <c r="AW917" s="1034"/>
      <c r="AX917" s="1034"/>
      <c r="AY917" s="1034"/>
      <c r="AZ917" s="1034"/>
      <c r="BA917" s="1034"/>
      <c r="BB917" s="1034"/>
      <c r="BC917" s="1034"/>
      <c r="BD917" s="1034"/>
      <c r="BE917" s="1034"/>
      <c r="BF917" s="1034"/>
    </row>
    <row r="918" spans="2:58">
      <c r="B918" s="1034"/>
      <c r="C918" s="1034"/>
      <c r="D918" s="1034"/>
      <c r="AE918" s="1034"/>
      <c r="AF918" s="1043"/>
      <c r="AI918" s="1034"/>
      <c r="AJ918" s="1034"/>
      <c r="AK918" s="1034"/>
      <c r="AL918" s="1034"/>
      <c r="AM918" s="1034"/>
      <c r="AN918" s="1034"/>
      <c r="AO918" s="1034"/>
      <c r="AP918" s="1034"/>
      <c r="AQ918" s="1034"/>
      <c r="AR918" s="1034"/>
      <c r="AS918" s="1034"/>
      <c r="AT918" s="1034"/>
      <c r="AU918" s="1034"/>
      <c r="AV918" s="1034"/>
      <c r="AW918" s="1034"/>
      <c r="AX918" s="1034"/>
      <c r="AY918" s="1034"/>
      <c r="AZ918" s="1034"/>
      <c r="BA918" s="1034"/>
      <c r="BB918" s="1034"/>
      <c r="BC918" s="1034"/>
      <c r="BD918" s="1034"/>
      <c r="BE918" s="1034"/>
      <c r="BF918" s="1034"/>
    </row>
    <row r="919" spans="2:58">
      <c r="B919" s="1034"/>
      <c r="C919" s="1034"/>
      <c r="D919" s="1034"/>
      <c r="AE919" s="1034"/>
      <c r="AF919" s="1043"/>
      <c r="AI919" s="1034"/>
      <c r="AJ919" s="1034"/>
      <c r="AK919" s="1034"/>
      <c r="AL919" s="1034"/>
      <c r="AM919" s="1034"/>
      <c r="AN919" s="1034"/>
      <c r="AO919" s="1034"/>
      <c r="AP919" s="1034"/>
      <c r="AQ919" s="1034"/>
      <c r="AR919" s="1034"/>
      <c r="AS919" s="1034"/>
      <c r="AT919" s="1034"/>
      <c r="AU919" s="1034"/>
      <c r="AV919" s="1034"/>
      <c r="AW919" s="1034"/>
      <c r="AX919" s="1034"/>
      <c r="AY919" s="1034"/>
      <c r="AZ919" s="1034"/>
      <c r="BA919" s="1034"/>
      <c r="BB919" s="1034"/>
      <c r="BC919" s="1034"/>
      <c r="BD919" s="1034"/>
      <c r="BE919" s="1034"/>
      <c r="BF919" s="1034"/>
    </row>
    <row r="920" spans="2:58">
      <c r="B920" s="1034"/>
      <c r="C920" s="1034"/>
      <c r="D920" s="1034"/>
      <c r="AE920" s="1034"/>
      <c r="AF920" s="1043"/>
      <c r="AI920" s="1034"/>
      <c r="AJ920" s="1034"/>
      <c r="AK920" s="1034"/>
      <c r="AL920" s="1034"/>
      <c r="AM920" s="1034"/>
      <c r="AN920" s="1034"/>
      <c r="AO920" s="1034"/>
      <c r="AP920" s="1034"/>
      <c r="AQ920" s="1034"/>
      <c r="AR920" s="1034"/>
      <c r="AS920" s="1034"/>
      <c r="AT920" s="1034"/>
      <c r="AU920" s="1034"/>
      <c r="AV920" s="1034"/>
      <c r="AW920" s="1034"/>
      <c r="AX920" s="1034"/>
      <c r="AY920" s="1034"/>
      <c r="AZ920" s="1034"/>
      <c r="BA920" s="1034"/>
      <c r="BB920" s="1034"/>
      <c r="BC920" s="1034"/>
      <c r="BD920" s="1034"/>
      <c r="BE920" s="1034"/>
      <c r="BF920" s="1034"/>
    </row>
    <row r="921" spans="2:58">
      <c r="B921" s="1034"/>
      <c r="C921" s="1034"/>
      <c r="D921" s="1034"/>
      <c r="AE921" s="1034"/>
      <c r="AF921" s="1043"/>
      <c r="AI921" s="1034"/>
      <c r="AJ921" s="1034"/>
      <c r="AK921" s="1034"/>
      <c r="AL921" s="1034"/>
      <c r="AM921" s="1034"/>
      <c r="AN921" s="1034"/>
      <c r="AO921" s="1034"/>
      <c r="AP921" s="1034"/>
      <c r="AQ921" s="1034"/>
      <c r="AR921" s="1034"/>
      <c r="AS921" s="1034"/>
      <c r="AT921" s="1034"/>
      <c r="AU921" s="1034"/>
      <c r="AV921" s="1034"/>
      <c r="AW921" s="1034"/>
      <c r="AX921" s="1034"/>
      <c r="AY921" s="1034"/>
      <c r="AZ921" s="1034"/>
      <c r="BA921" s="1034"/>
      <c r="BB921" s="1034"/>
      <c r="BC921" s="1034"/>
      <c r="BD921" s="1034"/>
      <c r="BE921" s="1034"/>
      <c r="BF921" s="1034"/>
    </row>
    <row r="922" spans="2:58">
      <c r="B922" s="1034"/>
      <c r="C922" s="1034"/>
      <c r="D922" s="1034"/>
      <c r="AE922" s="1034"/>
      <c r="AF922" s="1043"/>
      <c r="AI922" s="1034"/>
      <c r="AJ922" s="1034"/>
      <c r="AK922" s="1034"/>
      <c r="AL922" s="1034"/>
      <c r="AM922" s="1034"/>
      <c r="AN922" s="1034"/>
      <c r="AO922" s="1034"/>
      <c r="AP922" s="1034"/>
      <c r="AQ922" s="1034"/>
      <c r="AR922" s="1034"/>
      <c r="AS922" s="1034"/>
      <c r="AT922" s="1034"/>
      <c r="AU922" s="1034"/>
      <c r="AV922" s="1034"/>
      <c r="AW922" s="1034"/>
      <c r="AX922" s="1034"/>
      <c r="AY922" s="1034"/>
      <c r="AZ922" s="1034"/>
      <c r="BA922" s="1034"/>
      <c r="BB922" s="1034"/>
      <c r="BC922" s="1034"/>
      <c r="BD922" s="1034"/>
      <c r="BE922" s="1034"/>
      <c r="BF922" s="1034"/>
    </row>
    <row r="923" spans="2:58">
      <c r="B923" s="1034"/>
      <c r="C923" s="1034"/>
      <c r="D923" s="1034"/>
      <c r="AE923" s="1034"/>
      <c r="AF923" s="1043"/>
      <c r="AI923" s="1034"/>
      <c r="AJ923" s="1034"/>
      <c r="AK923" s="1034"/>
      <c r="AL923" s="1034"/>
      <c r="AM923" s="1034"/>
      <c r="AN923" s="1034"/>
      <c r="AO923" s="1034"/>
      <c r="AP923" s="1034"/>
      <c r="AQ923" s="1034"/>
      <c r="AR923" s="1034"/>
      <c r="AS923" s="1034"/>
      <c r="AT923" s="1034"/>
      <c r="AU923" s="1034"/>
      <c r="AV923" s="1034"/>
      <c r="AW923" s="1034"/>
      <c r="AX923" s="1034"/>
      <c r="AY923" s="1034"/>
      <c r="AZ923" s="1034"/>
      <c r="BA923" s="1034"/>
      <c r="BB923" s="1034"/>
      <c r="BC923" s="1034"/>
      <c r="BD923" s="1034"/>
      <c r="BE923" s="1034"/>
      <c r="BF923" s="1034"/>
    </row>
    <row r="924" spans="2:58">
      <c r="B924" s="1034"/>
      <c r="C924" s="1034"/>
      <c r="D924" s="1034"/>
      <c r="AE924" s="1034"/>
      <c r="AF924" s="1043"/>
      <c r="AI924" s="1034"/>
      <c r="AJ924" s="1034"/>
      <c r="AK924" s="1034"/>
      <c r="AL924" s="1034"/>
      <c r="AM924" s="1034"/>
      <c r="AN924" s="1034"/>
      <c r="AO924" s="1034"/>
      <c r="AP924" s="1034"/>
      <c r="AQ924" s="1034"/>
      <c r="AR924" s="1034"/>
      <c r="AS924" s="1034"/>
      <c r="AT924" s="1034"/>
      <c r="AU924" s="1034"/>
      <c r="AV924" s="1034"/>
      <c r="AW924" s="1034"/>
      <c r="AX924" s="1034"/>
      <c r="AY924" s="1034"/>
      <c r="AZ924" s="1034"/>
      <c r="BA924" s="1034"/>
      <c r="BB924" s="1034"/>
      <c r="BC924" s="1034"/>
      <c r="BD924" s="1034"/>
      <c r="BE924" s="1034"/>
      <c r="BF924" s="1034"/>
    </row>
    <row r="925" spans="2:58">
      <c r="B925" s="1034"/>
      <c r="C925" s="1034"/>
      <c r="D925" s="1034"/>
      <c r="AE925" s="1034"/>
      <c r="AF925" s="1043"/>
      <c r="AI925" s="1034"/>
      <c r="AJ925" s="1034"/>
      <c r="AK925" s="1034"/>
      <c r="AL925" s="1034"/>
      <c r="AM925" s="1034"/>
      <c r="AN925" s="1034"/>
      <c r="AO925" s="1034"/>
      <c r="AP925" s="1034"/>
      <c r="AQ925" s="1034"/>
      <c r="AR925" s="1034"/>
      <c r="AS925" s="1034"/>
      <c r="AT925" s="1034"/>
      <c r="AU925" s="1034"/>
      <c r="AV925" s="1034"/>
      <c r="AW925" s="1034"/>
      <c r="AX925" s="1034"/>
      <c r="AY925" s="1034"/>
      <c r="AZ925" s="1034"/>
      <c r="BA925" s="1034"/>
      <c r="BB925" s="1034"/>
      <c r="BC925" s="1034"/>
      <c r="BD925" s="1034"/>
      <c r="BE925" s="1034"/>
      <c r="BF925" s="1034"/>
    </row>
    <row r="982" spans="1:60">
      <c r="A982" s="1034" t="s">
        <v>3320</v>
      </c>
      <c r="B982" s="1034" t="s">
        <v>443</v>
      </c>
      <c r="C982" s="1034" t="s">
        <v>444</v>
      </c>
      <c r="D982" s="1034" t="s">
        <v>1893</v>
      </c>
      <c r="E982" s="1034" t="s">
        <v>442</v>
      </c>
      <c r="F982" s="1034" t="s">
        <v>5598</v>
      </c>
      <c r="G982" s="1034" t="str">
        <f>CONCATENATE("TEACHER = ",COUNTIF(Skills!G983:G1903,"&gt;0"))</f>
        <v>TEACHER = 1</v>
      </c>
      <c r="H982" s="1034" t="s">
        <v>6171</v>
      </c>
      <c r="I982" s="1034" t="s">
        <v>1303</v>
      </c>
      <c r="J982" s="1034" t="str">
        <f>CONCATENATE("Class = ", +Experience!H1005)</f>
        <v xml:space="preserve">Class = </v>
      </c>
      <c r="K982" s="1034" t="s">
        <v>2172</v>
      </c>
      <c r="L982" s="1034" t="s">
        <v>41</v>
      </c>
      <c r="M982" s="1034" t="str">
        <f>CONCATENATE("Scholarly Option = ",COUNTIF(Skills!M983:M1893,"='Y'"))</f>
        <v>Scholarly Option = 0</v>
      </c>
      <c r="N982" s="1034" t="s">
        <v>1897</v>
      </c>
      <c r="O982" s="1034" t="s">
        <v>6184</v>
      </c>
      <c r="P982" s="1034" t="s">
        <v>4060</v>
      </c>
      <c r="Q982" s="1034" t="s">
        <v>6152</v>
      </c>
      <c r="R982" s="1034" t="s">
        <v>6153</v>
      </c>
      <c r="S982" s="1034" t="s">
        <v>4061</v>
      </c>
      <c r="T982" s="1034" t="s">
        <v>6154</v>
      </c>
      <c r="U982" s="1034" t="s">
        <v>3045</v>
      </c>
      <c r="V982" s="1034" t="s">
        <v>1302</v>
      </c>
      <c r="W982" s="1034" t="s">
        <v>440</v>
      </c>
      <c r="X982" s="1034" t="s">
        <v>5309</v>
      </c>
      <c r="Y982" s="1034" t="s">
        <v>4209</v>
      </c>
      <c r="Z982" s="1034" t="s">
        <v>1305</v>
      </c>
      <c r="AA982" s="1034" t="s">
        <v>3317</v>
      </c>
      <c r="AB982" s="1034" t="s">
        <v>945</v>
      </c>
      <c r="AC982" s="1034" t="s">
        <v>2837</v>
      </c>
      <c r="AD982" s="1034" t="s">
        <v>3318</v>
      </c>
      <c r="AE982" s="1034" t="s">
        <v>3319</v>
      </c>
      <c r="AF982" s="1043"/>
      <c r="AG982" s="1034" t="s">
        <v>441</v>
      </c>
      <c r="AH982" s="1034" t="s">
        <v>4557</v>
      </c>
      <c r="AI982" s="1034" t="s">
        <v>6068</v>
      </c>
      <c r="AJ982" s="1034" t="s">
        <v>1894</v>
      </c>
      <c r="AK982" s="1034" t="s">
        <v>6172</v>
      </c>
      <c r="AL982" s="1034" t="s">
        <v>6173</v>
      </c>
      <c r="AM982" s="1034" t="s">
        <v>6174</v>
      </c>
      <c r="AN982" s="1034" t="s">
        <v>5285</v>
      </c>
      <c r="AO982" s="1034" t="s">
        <v>6172</v>
      </c>
      <c r="AP982" s="1034" t="s">
        <v>1836</v>
      </c>
      <c r="AQ982" s="1034" t="s">
        <v>6069</v>
      </c>
      <c r="AR982" s="1034" t="s">
        <v>6156</v>
      </c>
      <c r="AS982" s="1034" t="s">
        <v>6157</v>
      </c>
      <c r="AT982" s="1080" t="s">
        <v>6158</v>
      </c>
      <c r="AU982" s="1080" t="s">
        <v>6159</v>
      </c>
      <c r="AV982" s="1080" t="s">
        <v>6160</v>
      </c>
      <c r="AW982" s="1080" t="s">
        <v>6161</v>
      </c>
      <c r="AX982" s="1080" t="s">
        <v>6162</v>
      </c>
      <c r="AY982" s="1080" t="s">
        <v>6163</v>
      </c>
      <c r="AZ982" s="1080" t="s">
        <v>6164</v>
      </c>
      <c r="BB982" s="1080" t="s">
        <v>6165</v>
      </c>
      <c r="BC982" s="1080" t="s">
        <v>1743</v>
      </c>
      <c r="BD982" s="1080" t="s">
        <v>6166</v>
      </c>
      <c r="BE982" s="1080" t="s">
        <v>6167</v>
      </c>
      <c r="BF982" s="1080" t="s">
        <v>6168</v>
      </c>
      <c r="BG982" s="1034" t="s">
        <v>6170</v>
      </c>
      <c r="BH982" s="1034" t="s">
        <v>6169</v>
      </c>
    </row>
    <row r="983" spans="1:60">
      <c r="A983" s="1034">
        <f>COLUMN()</f>
        <v>1</v>
      </c>
      <c r="B983" s="1034">
        <f>COLUMN()</f>
        <v>2</v>
      </c>
      <c r="C983" s="1034">
        <f>COLUMN()</f>
        <v>3</v>
      </c>
      <c r="D983" s="1034">
        <f>COLUMN()</f>
        <v>4</v>
      </c>
      <c r="E983" s="1034">
        <f>COLUMN()</f>
        <v>5</v>
      </c>
      <c r="F983" s="1034">
        <f>COLUMN()</f>
        <v>6</v>
      </c>
      <c r="G983" s="1034">
        <f>COLUMN()</f>
        <v>7</v>
      </c>
      <c r="H983" s="1034">
        <f>COLUMN()</f>
        <v>8</v>
      </c>
      <c r="I983" s="1034">
        <f>COLUMN()</f>
        <v>9</v>
      </c>
      <c r="J983" s="1034">
        <f>COLUMN()</f>
        <v>10</v>
      </c>
      <c r="K983" s="1034">
        <f>COLUMN()</f>
        <v>11</v>
      </c>
      <c r="L983" s="1034">
        <f>COLUMN()</f>
        <v>12</v>
      </c>
      <c r="M983" s="1034">
        <f>COLUMN()</f>
        <v>13</v>
      </c>
      <c r="N983" s="1034">
        <f>COLUMN()</f>
        <v>14</v>
      </c>
      <c r="O983" s="1034">
        <f>COLUMN()</f>
        <v>15</v>
      </c>
      <c r="P983" s="1034">
        <f>COLUMN()</f>
        <v>16</v>
      </c>
      <c r="Q983" s="1034">
        <f>COLUMN()</f>
        <v>17</v>
      </c>
      <c r="R983" s="1034">
        <f>COLUMN()</f>
        <v>18</v>
      </c>
      <c r="S983" s="1034">
        <f>COLUMN()</f>
        <v>19</v>
      </c>
      <c r="T983" s="1034">
        <f>COLUMN()</f>
        <v>20</v>
      </c>
      <c r="U983" s="1034">
        <f>COLUMN()</f>
        <v>21</v>
      </c>
      <c r="V983" s="1034">
        <f>COLUMN()</f>
        <v>22</v>
      </c>
      <c r="W983" s="1034">
        <f>COLUMN()</f>
        <v>23</v>
      </c>
      <c r="X983" s="1034">
        <f>COLUMN()</f>
        <v>24</v>
      </c>
      <c r="Y983" s="1034">
        <f>COLUMN()</f>
        <v>25</v>
      </c>
      <c r="Z983" s="1034">
        <f>COLUMN()</f>
        <v>26</v>
      </c>
      <c r="AA983" s="1034">
        <f>COLUMN()</f>
        <v>27</v>
      </c>
      <c r="AB983" s="1034">
        <f>COLUMN()</f>
        <v>28</v>
      </c>
      <c r="AC983" s="1034">
        <f>COLUMN()</f>
        <v>29</v>
      </c>
      <c r="AD983" s="1034">
        <f>COLUMN()</f>
        <v>30</v>
      </c>
      <c r="AE983" s="1034">
        <f>COLUMN()</f>
        <v>31</v>
      </c>
      <c r="AF983" s="1043"/>
      <c r="AG983" s="1034">
        <f>COLUMN()</f>
        <v>33</v>
      </c>
      <c r="AH983" s="1034">
        <f>COLUMN()</f>
        <v>34</v>
      </c>
      <c r="AI983" s="1034">
        <f>COLUMN()</f>
        <v>35</v>
      </c>
      <c r="AJ983" s="1034">
        <f>COLUMN()</f>
        <v>36</v>
      </c>
      <c r="AK983" s="1034">
        <f>COLUMN()</f>
        <v>37</v>
      </c>
      <c r="AL983" s="1034">
        <f>COLUMN()</f>
        <v>38</v>
      </c>
      <c r="AM983" s="1034">
        <f>COLUMN()</f>
        <v>39</v>
      </c>
      <c r="AN983" s="1034">
        <f>COLUMN()</f>
        <v>40</v>
      </c>
      <c r="AO983" s="1034">
        <f>COLUMN()</f>
        <v>41</v>
      </c>
      <c r="AP983" s="1034">
        <f>COLUMN()</f>
        <v>42</v>
      </c>
      <c r="AQ983" s="1034">
        <f>COLUMN()</f>
        <v>43</v>
      </c>
      <c r="AR983" s="1034">
        <f>COLUMN()</f>
        <v>44</v>
      </c>
      <c r="AS983" s="1034">
        <f>COLUMN()</f>
        <v>45</v>
      </c>
      <c r="AT983" s="1034">
        <f>COLUMN()</f>
        <v>46</v>
      </c>
      <c r="AU983" s="1034">
        <f>COLUMN()</f>
        <v>47</v>
      </c>
      <c r="AV983" s="1034">
        <f>COLUMN()</f>
        <v>48</v>
      </c>
      <c r="AW983" s="1034">
        <f>COLUMN()</f>
        <v>49</v>
      </c>
      <c r="AX983" s="1034">
        <f>COLUMN()</f>
        <v>50</v>
      </c>
      <c r="AY983" s="1034">
        <f>COLUMN()</f>
        <v>51</v>
      </c>
      <c r="AZ983" s="1034">
        <f>COLUMN()</f>
        <v>52</v>
      </c>
      <c r="BA983" s="1034"/>
      <c r="BB983" s="1034">
        <f>COLUMN()</f>
        <v>54</v>
      </c>
      <c r="BC983" s="1034">
        <f>COLUMN()</f>
        <v>55</v>
      </c>
      <c r="BD983" s="1034">
        <f>COLUMN()</f>
        <v>56</v>
      </c>
      <c r="BE983" s="1034">
        <f>COLUMN()</f>
        <v>57</v>
      </c>
      <c r="BF983" s="1034">
        <f>COLUMN()</f>
        <v>58</v>
      </c>
      <c r="BG983" s="1034">
        <f>COLUMN()</f>
        <v>59</v>
      </c>
      <c r="BH983" s="1034">
        <f>COLUMN()</f>
        <v>60</v>
      </c>
    </row>
    <row r="984" spans="1:60">
      <c r="A984" s="1034" t="str">
        <f t="shared" ref="A984" si="973">IF(INT((A983-1)/26)&gt;0,CHAR(INT(A983-1/26)+64),"")&amp;CHAR(IF(MOD(A983,26)=0,26,MOD(A983,26))+64)</f>
        <v>A</v>
      </c>
      <c r="B984" s="1034" t="str">
        <f>IF(INT((B983-1)/26)&gt;0,CHAR(INT(B983-1/26)+64),"")&amp;CHAR(IF(MOD(B983,26)=0,26,MOD(B983,26))+64)</f>
        <v>B</v>
      </c>
      <c r="C984" s="1034" t="str">
        <f t="shared" ref="C984:Y984" si="974">IF(INT((C983-1)/26)&gt;0,CHAR(INT(C983-1/26)+64),"")&amp;CHAR(IF(MOD(C983,26)=0,26,MOD(C983,26))+64)</f>
        <v>C</v>
      </c>
      <c r="D984" s="1034" t="str">
        <f t="shared" si="974"/>
        <v>D</v>
      </c>
      <c r="E984" s="1034" t="str">
        <f t="shared" si="974"/>
        <v>E</v>
      </c>
      <c r="F984" s="1034" t="str">
        <f t="shared" si="974"/>
        <v>F</v>
      </c>
      <c r="G984" s="1034" t="str">
        <f t="shared" si="974"/>
        <v>G</v>
      </c>
      <c r="H984" s="1034" t="str">
        <f t="shared" si="974"/>
        <v>H</v>
      </c>
      <c r="I984" s="1034" t="str">
        <f t="shared" si="974"/>
        <v>I</v>
      </c>
      <c r="J984" s="1034" t="str">
        <f t="shared" si="974"/>
        <v>J</v>
      </c>
      <c r="K984" s="1034" t="str">
        <f t="shared" si="974"/>
        <v>K</v>
      </c>
      <c r="L984" s="1034" t="str">
        <f t="shared" si="974"/>
        <v>L</v>
      </c>
      <c r="M984" s="1034" t="str">
        <f t="shared" si="974"/>
        <v>M</v>
      </c>
      <c r="N984" s="1034" t="str">
        <f t="shared" si="974"/>
        <v>N</v>
      </c>
      <c r="O984" s="1034" t="str">
        <f t="shared" si="974"/>
        <v>O</v>
      </c>
      <c r="P984" s="1034" t="str">
        <f t="shared" si="974"/>
        <v>P</v>
      </c>
      <c r="Q984" s="1034" t="str">
        <f t="shared" si="974"/>
        <v>Q</v>
      </c>
      <c r="R984" s="1034" t="str">
        <f t="shared" si="974"/>
        <v>R</v>
      </c>
      <c r="S984" s="1034" t="str">
        <f t="shared" si="974"/>
        <v>S</v>
      </c>
      <c r="T984" s="1034" t="str">
        <f t="shared" si="974"/>
        <v>T</v>
      </c>
      <c r="U984" s="1034" t="str">
        <f t="shared" si="974"/>
        <v>U</v>
      </c>
      <c r="V984" s="1034" t="str">
        <f t="shared" si="974"/>
        <v>V</v>
      </c>
      <c r="W984" s="1034" t="str">
        <f t="shared" si="974"/>
        <v>W</v>
      </c>
      <c r="X984" s="1034" t="str">
        <f t="shared" si="974"/>
        <v>X</v>
      </c>
      <c r="Y984" s="1034" t="str">
        <f t="shared" si="974"/>
        <v>Y</v>
      </c>
      <c r="Z984" s="1034" t="str">
        <f>IF(INT((Z983-1)/26)&gt;0,CHAR(INT((Z983-1)/26)+64),"")&amp;CHAR(IF(MOD(Z983,26)=0,26,MOD(Z983,26))+64)</f>
        <v>Z</v>
      </c>
      <c r="AA984" s="1034" t="str">
        <f t="shared" ref="AA984:BH984" si="975">IF(INT((AA983-1)/26)&gt;0,CHAR(INT((AA983-1)/26)+64),"")&amp;CHAR(IF(MOD(AA983,26)=0,26,MOD(AA983,26))+64)</f>
        <v>AA</v>
      </c>
      <c r="AB984" s="1034" t="str">
        <f t="shared" si="975"/>
        <v>AB</v>
      </c>
      <c r="AC984" s="1034" t="str">
        <f t="shared" si="975"/>
        <v>AC</v>
      </c>
      <c r="AD984" s="1034" t="str">
        <f t="shared" si="975"/>
        <v>AD</v>
      </c>
      <c r="AE984" s="1034" t="str">
        <f t="shared" si="975"/>
        <v>AE</v>
      </c>
      <c r="AF984" s="1043"/>
      <c r="AG984" s="1034" t="str">
        <f t="shared" si="975"/>
        <v>AG</v>
      </c>
      <c r="AH984" s="1034" t="str">
        <f t="shared" si="975"/>
        <v>AH</v>
      </c>
      <c r="AI984" s="1034" t="str">
        <f t="shared" si="975"/>
        <v>AI</v>
      </c>
      <c r="AJ984" s="1034" t="str">
        <f t="shared" si="975"/>
        <v>AJ</v>
      </c>
      <c r="AK984" s="1034" t="str">
        <f t="shared" si="975"/>
        <v>AK</v>
      </c>
      <c r="AL984" s="1034" t="str">
        <f t="shared" si="975"/>
        <v>AL</v>
      </c>
      <c r="AM984" s="1034" t="str">
        <f t="shared" si="975"/>
        <v>AM</v>
      </c>
      <c r="AN984" s="1034" t="str">
        <f t="shared" si="975"/>
        <v>AN</v>
      </c>
      <c r="AO984" s="1034" t="str">
        <f t="shared" ref="AO984" si="976">IF(INT((AO983-1)/26)&gt;0,CHAR(INT((AO983-1)/26)+64),"")&amp;CHAR(IF(MOD(AO983,26)=0,26,MOD(AO983,26))+64)</f>
        <v>AO</v>
      </c>
      <c r="AP984" s="1034" t="str">
        <f t="shared" si="975"/>
        <v>AP</v>
      </c>
      <c r="AQ984" s="1034" t="str">
        <f t="shared" si="975"/>
        <v>AQ</v>
      </c>
      <c r="AR984" s="1034" t="str">
        <f t="shared" si="975"/>
        <v>AR</v>
      </c>
      <c r="AS984" s="1034" t="str">
        <f t="shared" si="975"/>
        <v>AS</v>
      </c>
      <c r="AT984" s="1034" t="str">
        <f t="shared" si="975"/>
        <v>AT</v>
      </c>
      <c r="AU984" s="1034" t="str">
        <f t="shared" si="975"/>
        <v>AU</v>
      </c>
      <c r="AV984" s="1034" t="str">
        <f t="shared" si="975"/>
        <v>AV</v>
      </c>
      <c r="AW984" s="1034" t="str">
        <f t="shared" si="975"/>
        <v>AW</v>
      </c>
      <c r="AX984" s="1034" t="str">
        <f t="shared" si="975"/>
        <v>AX</v>
      </c>
      <c r="AY984" s="1034" t="str">
        <f t="shared" si="975"/>
        <v>AY</v>
      </c>
      <c r="AZ984" s="1034" t="str">
        <f t="shared" si="975"/>
        <v>AZ</v>
      </c>
      <c r="BA984" s="1034"/>
      <c r="BB984" s="1034" t="str">
        <f t="shared" si="975"/>
        <v>BB</v>
      </c>
      <c r="BC984" s="1034" t="str">
        <f t="shared" si="975"/>
        <v>BC</v>
      </c>
      <c r="BD984" s="1034" t="str">
        <f t="shared" si="975"/>
        <v>BD</v>
      </c>
      <c r="BE984" s="1034" t="str">
        <f t="shared" si="975"/>
        <v>BE</v>
      </c>
      <c r="BF984" s="1034" t="str">
        <f t="shared" si="975"/>
        <v>BF</v>
      </c>
      <c r="BG984" s="1034" t="str">
        <f t="shared" si="975"/>
        <v>BG</v>
      </c>
      <c r="BH984" s="1034" t="str">
        <f t="shared" si="975"/>
        <v>BH</v>
      </c>
    </row>
  </sheetData>
  <sortState ref="A454:XEK467">
    <sortCondition ref="A454:A467"/>
  </sortState>
  <mergeCells count="92">
    <mergeCell ref="E765:G765"/>
    <mergeCell ref="B144:D144"/>
    <mergeCell ref="B125:D125"/>
    <mergeCell ref="B124:D124"/>
    <mergeCell ref="B765:D765"/>
    <mergeCell ref="E125:F125"/>
    <mergeCell ref="B145:D145"/>
    <mergeCell ref="B764:D764"/>
    <mergeCell ref="B245:D245"/>
    <mergeCell ref="B747:D747"/>
    <mergeCell ref="B128:D128"/>
    <mergeCell ref="B100:D100"/>
    <mergeCell ref="B120:C120"/>
    <mergeCell ref="B110:D110"/>
    <mergeCell ref="V2:W2"/>
    <mergeCell ref="E98:N98"/>
    <mergeCell ref="P35:T35"/>
    <mergeCell ref="B119:C119"/>
    <mergeCell ref="B98:D98"/>
    <mergeCell ref="B92:D92"/>
    <mergeCell ref="B79:D79"/>
    <mergeCell ref="B94:D94"/>
    <mergeCell ref="E3:E4"/>
    <mergeCell ref="G3:G4"/>
    <mergeCell ref="H3:H4"/>
    <mergeCell ref="B876:D876"/>
    <mergeCell ref="B796:D796"/>
    <mergeCell ref="B832:D832"/>
    <mergeCell ref="B810:D810"/>
    <mergeCell ref="B830:D830"/>
    <mergeCell ref="B835:D835"/>
    <mergeCell ref="B795:D795"/>
    <mergeCell ref="B771:D771"/>
    <mergeCell ref="B265:D265"/>
    <mergeCell ref="B745:D745"/>
    <mergeCell ref="B778:D778"/>
    <mergeCell ref="B794:D794"/>
    <mergeCell ref="B557:D557"/>
    <mergeCell ref="B663:C663"/>
    <mergeCell ref="B662:C662"/>
    <mergeCell ref="B766:D766"/>
    <mergeCell ref="A3:A4"/>
    <mergeCell ref="B3:B4"/>
    <mergeCell ref="C3:C4"/>
    <mergeCell ref="D3:D4"/>
    <mergeCell ref="B97:D97"/>
    <mergeCell ref="AV1:BF4"/>
    <mergeCell ref="B1:AI1"/>
    <mergeCell ref="E2:S2"/>
    <mergeCell ref="F3:F4"/>
    <mergeCell ref="AA3:AA4"/>
    <mergeCell ref="V3:V4"/>
    <mergeCell ref="Y2:AD2"/>
    <mergeCell ref="AO3:AO4"/>
    <mergeCell ref="AL3:AL4"/>
    <mergeCell ref="AM3:AM4"/>
    <mergeCell ref="AG3:AG4"/>
    <mergeCell ref="AF3:AF4"/>
    <mergeCell ref="AJ3:AJ4"/>
    <mergeCell ref="AK3:AK4"/>
    <mergeCell ref="BH3:BH4"/>
    <mergeCell ref="P3:S3"/>
    <mergeCell ref="U3:U4"/>
    <mergeCell ref="AB3:AB4"/>
    <mergeCell ref="AC3:AC4"/>
    <mergeCell ref="W3:W4"/>
    <mergeCell ref="X3:X4"/>
    <mergeCell ref="Y3:Y4"/>
    <mergeCell ref="Z3:Z4"/>
    <mergeCell ref="AD3:AD4"/>
    <mergeCell ref="AN3:AN4"/>
    <mergeCell ref="AP3:AP4"/>
    <mergeCell ref="AQ3:AQ4"/>
    <mergeCell ref="AR3:AR4"/>
    <mergeCell ref="AU3:AU4"/>
    <mergeCell ref="AI3:AI4"/>
    <mergeCell ref="N796:O796"/>
    <mergeCell ref="N794:O794"/>
    <mergeCell ref="AE3:AE4"/>
    <mergeCell ref="P41:T41"/>
    <mergeCell ref="L3:L4"/>
    <mergeCell ref="M3:M4"/>
    <mergeCell ref="N3:N4"/>
    <mergeCell ref="J124:M124"/>
    <mergeCell ref="P16:T16"/>
    <mergeCell ref="P29:T29"/>
    <mergeCell ref="J119:K119"/>
    <mergeCell ref="J120:K120"/>
    <mergeCell ref="H110:K110"/>
    <mergeCell ref="I3:I4"/>
    <mergeCell ref="J3:J4"/>
    <mergeCell ref="K3:K4"/>
  </mergeCells>
  <phoneticPr fontId="17" type="noConversion"/>
  <conditionalFormatting sqref="A17:A28 A30:A34 A36:A40 A42:A46 A48 A52 A59 A61:A63 A65:A67 A70:A74 A80 A93 A95:A96 A99 A101:A104 A123 A126:A127 A802:A806 A849:A855 A843:A846 A809 A146:A148 A831 A693:A711 A783:A784 A772:A777 A665:A667 A594:A661 A722:A740 A556 A107:A109 A797:A798 A713:A720 A166:A168 A190:A191 A768:A770 A473 A479:A481 A483:A485 A476:A477 A394:A425 A336:A345 A348:A361 A363:A390 A439:A440 A470 A442:A468 A427:A437 A833:A834 A588:A592 A670 A682:A685 A672:A680 A687:A691 A76:A78 A488 A131:A143 A193:A202 A205 A251:A252 A294:A295 A207:A211 A748:A758 A762:A763 A858:A875 A300:A334 A83:A91 A111:A117 A6:A13 A171:A188 A214:A226 A548:A551 A246:A249 A254:A264 A811:A829 A887:A895 A228:A233 A151:A164 A266:A292 A236:A244 A746 A786:A788 A791:A793 A558:A585 A879:A884">
    <cfRule type="expression" dxfId="317" priority="140" stopIfTrue="1">
      <formula>NOT(AND(ISNA(W6),(ISBLANK(X6))))</formula>
    </cfRule>
  </conditionalFormatting>
  <conditionalFormatting sqref="A81">
    <cfRule type="expression" dxfId="316" priority="141" stopIfTrue="1">
      <formula>NOT(AND(ISNA(W65),(ISBLANK(X65))))</formula>
    </cfRule>
  </conditionalFormatting>
  <conditionalFormatting sqref="A393 A838:A842 A799 A782 A554:A555 A165 A487 A122">
    <cfRule type="expression" dxfId="315" priority="142" stopIfTrue="1">
      <formula>NOT(AND(ISNA(W122),(ISBLANK(X122))))</formula>
    </cfRule>
  </conditionalFormatting>
  <conditionalFormatting sqref="A169:A170">
    <cfRule type="expression" dxfId="314" priority="143" stopIfTrue="1">
      <formula>NOT(AND(ISNA(W165),(ISBLANK(X165))))</formula>
    </cfRule>
  </conditionalFormatting>
  <conditionalFormatting sqref="A475">
    <cfRule type="expression" dxfId="313" priority="144" stopIfTrue="1">
      <formula>NOT(AND(ISNA(W487),(ISBLANK(X487))))</formula>
    </cfRule>
  </conditionalFormatting>
  <conditionalFormatting sqref="A299">
    <cfRule type="expression" dxfId="312" priority="145" stopIfTrue="1">
      <formula>NOT(AND(ISNA(W393),(ISBLANK(X393))))</formula>
    </cfRule>
  </conditionalFormatting>
  <conditionalFormatting sqref="N858:N875 N899:N903 N905:N906 N887:N895 N912 N879:N884 N838:N846 N849:N855 N831 N833:N834 N811:N829 N809 N768:N770 N797:N799 N802:N806 N791:N793 N782:N788 N762:N763 N693:N711 N670 N682:N685 N672:N680 N687:N691 N588:N592 N594:N661 N665:N667 N713:N720 N722:N740 N744 N746 N558:N585 N554:N556 N487:N551 N483:N485 N479:N481 N266:N292 N236:N244 N254:N264 N294:N295 N363:N390 N473 N475:N477 N439:N440 N348:N361 N470 N393:N425 N427:N437 N442:N468 N299:N345 N251:N252 N246:N249 N6:N13 N107:N109 N111:N118 N121:N123 N126:N127 N101:N104 N93 N95:N96 N99 N83:N91 N80:N81 N76:N78 N70:N74 N65:N68 N52 N17:N28 N42:N46 N59 N30:N34 N61:N63 N36:N40 N48 N214:N226 N228:N233 N748:N758 N151:N188 N190:N191 N193:N202 N205 N207:N211 N131:N143 N146:N148 N772:N777">
    <cfRule type="cellIs" dxfId="311" priority="146" stopIfTrue="1" operator="equal">
      <formula>"T"</formula>
    </cfRule>
    <cfRule type="cellIs" dxfId="310" priority="147" stopIfTrue="1" operator="equal">
      <formula>"S"</formula>
    </cfRule>
    <cfRule type="cellIs" dxfId="309" priority="148" stopIfTrue="1" operator="equal">
      <formula>"P"</formula>
    </cfRule>
  </conditionalFormatting>
  <conditionalFormatting sqref="H899:K903 M899:M903 M905:M906 H905:K906 M912 H912:K912 M879:M884 H879:K884 H887:M895 H858:M875 H831:M831 H833:M834 H838:M846 H849:M855 M772:M777 H772:K777 M782:M788 H782:K788 H791:M793 H797:M799 H802:M806 H809:M809 H811:M829 M768:M770 H768:K770 H762:K763 M762:M763 F722:F740 H670:K670 M670 M682:M685 H682:K685 H672:K680 M672:M680 H687:K691 M687:M691 M693:M711 H693:K711 M588:M592 H588:K592 M594:M661 H594:K661 M665:M667 H665:K667 M713:M720 H713:K720 M722:M740 H722:K740 H748:K758 M748:M758 M746 H746:K746 M744 H744:K744 H558:K585 M558:M585 M554:M556 H554:K556 M487:M551 H487:K551 M483:M485 H483:K485 H479:K481 M479:M481 M473 H473:K473 H439:K440 M439:M440 H348:K361 M348:M361 M393:M425 H427:K437 M427:M437 H442:K468 M442:M468 M363:M390 M475:M477 M470 H336:K345 M336:M345 H363:K390 H470:K470 M299:M334 H251:K252 M251:M252 H475:K477 H393:K425 H299:K334 H228:M233 H236:M244 H246:M249 H254:M264 H266:M292 H294:M295 M131:M143 H131:K143 M146:M148 H146:K148 H107:M109 H111:M118 H121:M123 H126:M127 L131:L148 H151:M188 H190:M191 H193:M202 H205:M205 H207:M211 H214:M226 H101:M104 H83:M91 H93:M93 H95:M96 H99:M99 H76:M78 H80:M81 H70:M74 H65:M68 H6:M13 H17:M28 H30:M34 H36:M40 H42:M46 H48:M48 H52:M52 H59:M59 H61:M63">
    <cfRule type="cellIs" dxfId="308" priority="149" stopIfTrue="1" operator="notEqual">
      <formula>"N"</formula>
    </cfRule>
  </conditionalFormatting>
  <conditionalFormatting sqref="E98">
    <cfRule type="cellIs" dxfId="307" priority="150" stopIfTrue="1" operator="equal">
      <formula>"Large Metal Sculptures"</formula>
    </cfRule>
  </conditionalFormatting>
  <conditionalFormatting sqref="A489:A547">
    <cfRule type="expression" dxfId="306" priority="138" stopIfTrue="1">
      <formula>NOT(AND(ISNA(W489),(ISBLANK(X489))))</formula>
    </cfRule>
  </conditionalFormatting>
  <conditionalFormatting sqref="A121">
    <cfRule type="expression" dxfId="305" priority="120" stopIfTrue="1">
      <formula>NOT(AND(ISNA(W121),(ISBLANK(X121))))</formula>
    </cfRule>
  </conditionalFormatting>
  <conditionalFormatting sqref="A170">
    <cfRule type="expression" dxfId="304" priority="115" stopIfTrue="1">
      <formula>NOT(AND(ISNA(W170),(ISBLANK(X170))))</formula>
    </cfRule>
  </conditionalFormatting>
  <conditionalFormatting sqref="A555">
    <cfRule type="expression" dxfId="303" priority="114" stopIfTrue="1">
      <formula>NOT(AND(ISNA(W555),(ISBLANK(X555))))</formula>
    </cfRule>
  </conditionalFormatting>
  <conditionalFormatting sqref="A555">
    <cfRule type="expression" dxfId="302" priority="113" stopIfTrue="1">
      <formula>NOT(AND(ISNA(W555),(ISBLANK(X555))))</formula>
    </cfRule>
  </conditionalFormatting>
  <conditionalFormatting sqref="A899">
    <cfRule type="expression" dxfId="301" priority="112" stopIfTrue="1">
      <formula>NOT(AND(ISNA(W899),(ISBLANK(X899))))</formula>
    </cfRule>
  </conditionalFormatting>
  <conditionalFormatting sqref="A900">
    <cfRule type="expression" dxfId="300" priority="107" stopIfTrue="1">
      <formula>NOT(AND(ISNA(W900),(ISBLANK(X900))))</formula>
    </cfRule>
  </conditionalFormatting>
  <conditionalFormatting sqref="A901">
    <cfRule type="expression" dxfId="299" priority="102" stopIfTrue="1">
      <formula>NOT(AND(ISNA(W901),(ISBLANK(X901))))</formula>
    </cfRule>
  </conditionalFormatting>
  <conditionalFormatting sqref="A902">
    <cfRule type="expression" dxfId="298" priority="97" stopIfTrue="1">
      <formula>NOT(AND(ISNA(W902),(ISBLANK(X902))))</formula>
    </cfRule>
  </conditionalFormatting>
  <conditionalFormatting sqref="A903">
    <cfRule type="expression" dxfId="297" priority="92" stopIfTrue="1">
      <formula>NOT(AND(ISNA(W903),(ISBLANK(X903))))</formula>
    </cfRule>
  </conditionalFormatting>
  <conditionalFormatting sqref="A905">
    <cfRule type="expression" dxfId="296" priority="83" stopIfTrue="1">
      <formula>NOT(AND(ISNA(W905),(ISBLANK(X905))))</formula>
    </cfRule>
  </conditionalFormatting>
  <conditionalFormatting sqref="A906">
    <cfRule type="expression" dxfId="295" priority="78" stopIfTrue="1">
      <formula>NOT(AND(ISNA(W906),(ISBLANK(X906))))</formula>
    </cfRule>
  </conditionalFormatting>
  <conditionalFormatting sqref="A744">
    <cfRule type="expression" dxfId="294" priority="77" stopIfTrue="1">
      <formula>NOT(AND(ISNA(W744),(ISBLANK(X744))))</formula>
    </cfRule>
  </conditionalFormatting>
  <conditionalFormatting sqref="A785">
    <cfRule type="expression" dxfId="293" priority="64" stopIfTrue="1">
      <formula>NOT(AND(ISNA(W785),(ISBLANK(X785))))</formula>
    </cfRule>
  </conditionalFormatting>
  <pageMargins left="0.5" right="0.5" top="0.24" bottom="0.46" header="0" footer="0.15"/>
  <pageSetup scale="61" orientation="portrait" horizontalDpi="4294967295" verticalDpi="300" r:id="rId1"/>
  <headerFooter alignWithMargins="0">
    <oddHeader xml:space="preserve">&amp;LTitle  &amp;8                                K R  C H C R  B  V   T M  B C A S O  V  H AB     SP   PSF    BU    BS   TSC   CM    EE  AE &amp;C&amp;8 </oddHeader>
    <oddFooter>&amp;L&amp;F &amp;D&amp;R Page &amp;P of &amp;N</oddFooter>
  </headerFooter>
  <rowBreaks count="3" manualBreakCount="3">
    <brk id="212" max="16383" man="1"/>
    <brk id="586" max="16383" man="1"/>
    <brk id="847" max="16383" man="1"/>
  </rowBreaks>
  <drawing r:id="rId2"/>
  <legacyDrawing r:id="rId3"/>
</worksheet>
</file>

<file path=xl/worksheets/sheet6.xml><?xml version="1.0" encoding="utf-8"?>
<worksheet xmlns="http://schemas.openxmlformats.org/spreadsheetml/2006/main" xmlns:r="http://schemas.openxmlformats.org/officeDocument/2006/relationships">
  <sheetPr codeName="Sheet16"/>
  <dimension ref="A1:CQ726"/>
  <sheetViews>
    <sheetView topLeftCell="H175" workbookViewId="0">
      <selection activeCell="I205" sqref="I205"/>
    </sheetView>
  </sheetViews>
  <sheetFormatPr defaultColWidth="9.140625" defaultRowHeight="9.9499999999999993" customHeight="1"/>
  <cols>
    <col min="1" max="12" width="10.7109375" style="598" customWidth="1"/>
    <col min="13" max="13" width="19.7109375" style="598" customWidth="1"/>
    <col min="14" max="14" width="29.140625" style="598" customWidth="1"/>
    <col min="15" max="15" width="15.85546875" style="598" customWidth="1"/>
    <col min="16" max="20" width="10.7109375" style="598" customWidth="1"/>
    <col min="21" max="21" width="14.42578125" style="598" bestFit="1" customWidth="1"/>
    <col min="22" max="26" width="10.7109375" style="598" customWidth="1"/>
    <col min="27" max="45" width="3.7109375" style="598" customWidth="1"/>
    <col min="46" max="16384" width="9.140625" style="598"/>
  </cols>
  <sheetData>
    <row r="1" spans="1:21" ht="12" customHeight="1">
      <c r="A1" s="598">
        <v>10</v>
      </c>
      <c r="B1" s="598">
        <f>VLOOKUP(A1,A6:B27,2)</f>
        <v>-0.1</v>
      </c>
      <c r="F1" s="598" t="s">
        <v>4134</v>
      </c>
    </row>
    <row r="2" spans="1:21" ht="12" customHeight="1">
      <c r="A2" s="598" t="s">
        <v>3150</v>
      </c>
      <c r="C2" s="598" t="s">
        <v>2722</v>
      </c>
      <c r="D2" s="598" t="s">
        <v>2723</v>
      </c>
      <c r="E2" s="598" t="s">
        <v>2723</v>
      </c>
      <c r="L2" s="1063" t="s">
        <v>6146</v>
      </c>
    </row>
    <row r="3" spans="1:21" ht="12" customHeight="1">
      <c r="A3" s="598">
        <v>1</v>
      </c>
      <c r="B3" s="598">
        <v>-0.26</v>
      </c>
      <c r="C3" s="598">
        <v>-12</v>
      </c>
      <c r="D3" s="598">
        <v>1</v>
      </c>
      <c r="E3" s="598">
        <v>-22</v>
      </c>
      <c r="F3" s="598" t="s">
        <v>3151</v>
      </c>
      <c r="I3" s="598" t="s">
        <v>1497</v>
      </c>
      <c r="L3" s="1063" t="s">
        <v>6147</v>
      </c>
      <c r="M3" s="598">
        <f ca="1">IF(VLOOKUP("Whistling",Skills_Table,HLOOKUP("Personal Skill Factor",Skill_Columns,2,FALSE),FALSE)&gt;0.6,0.05,0)</f>
        <v>0</v>
      </c>
      <c r="O3" s="598" t="s">
        <v>590</v>
      </c>
    </row>
    <row r="4" spans="1:21" ht="12" customHeight="1">
      <c r="A4" s="598">
        <v>2</v>
      </c>
      <c r="B4" s="598">
        <v>-0.24</v>
      </c>
      <c r="C4" s="598">
        <v>-11</v>
      </c>
      <c r="D4" s="598">
        <v>2</v>
      </c>
      <c r="E4" s="598">
        <v>-19</v>
      </c>
      <c r="F4" s="598">
        <v>2</v>
      </c>
      <c r="G4" s="598">
        <v>0.2</v>
      </c>
      <c r="I4" s="598" t="s">
        <v>5142</v>
      </c>
      <c r="J4" s="598" t="s">
        <v>5143</v>
      </c>
      <c r="L4" s="1063" t="s">
        <v>1557</v>
      </c>
      <c r="M4" s="598">
        <f>IF(AGIL&gt;17,0.1,IF(AGIL&lt;11,-0.1,0))</f>
        <v>0</v>
      </c>
      <c r="O4" s="598">
        <v>1</v>
      </c>
      <c r="P4" s="598" t="s">
        <v>4673</v>
      </c>
      <c r="Q4" s="598">
        <v>35875</v>
      </c>
      <c r="R4" s="598">
        <v>35904</v>
      </c>
      <c r="S4" s="598" t="s">
        <v>3963</v>
      </c>
      <c r="T4" s="598" t="s">
        <v>1864</v>
      </c>
      <c r="U4" s="598">
        <v>1</v>
      </c>
    </row>
    <row r="5" spans="1:21" ht="12" customHeight="1">
      <c r="A5" s="598">
        <v>3</v>
      </c>
      <c r="B5" s="598">
        <v>-0.22</v>
      </c>
      <c r="C5" s="598">
        <v>-10</v>
      </c>
      <c r="D5" s="598">
        <v>4</v>
      </c>
      <c r="E5" s="598">
        <v>-16</v>
      </c>
      <c r="F5" s="598">
        <v>3</v>
      </c>
      <c r="G5" s="598">
        <v>0.25</v>
      </c>
      <c r="I5" s="598">
        <v>1</v>
      </c>
      <c r="J5" s="598">
        <v>10</v>
      </c>
      <c r="L5" s="1063" t="s">
        <v>6148</v>
      </c>
      <c r="M5" s="598">
        <f>IF(AND(AGIL&gt;19,DISC&gt;19),0.1,0)</f>
        <v>0</v>
      </c>
      <c r="O5" s="598">
        <v>9</v>
      </c>
      <c r="P5" s="598" t="s">
        <v>4674</v>
      </c>
      <c r="Q5" s="598">
        <v>35905</v>
      </c>
      <c r="R5" s="598">
        <v>35935</v>
      </c>
      <c r="S5" s="598" t="s">
        <v>3964</v>
      </c>
      <c r="T5" s="598" t="s">
        <v>1865</v>
      </c>
      <c r="U5" s="598">
        <v>2</v>
      </c>
    </row>
    <row r="6" spans="1:21" ht="12" customHeight="1">
      <c r="A6" s="598">
        <v>4</v>
      </c>
      <c r="B6" s="598">
        <v>-0.2</v>
      </c>
      <c r="C6" s="598">
        <v>-9</v>
      </c>
      <c r="D6" s="598">
        <v>5</v>
      </c>
      <c r="E6" s="598">
        <v>-13</v>
      </c>
      <c r="F6" s="598">
        <v>4</v>
      </c>
      <c r="G6" s="598">
        <v>0.3</v>
      </c>
      <c r="I6" s="598">
        <v>21</v>
      </c>
      <c r="J6" s="598">
        <v>9</v>
      </c>
      <c r="L6" s="1063" t="s">
        <v>2755</v>
      </c>
      <c r="M6" s="598">
        <f>IF(AGIL&lt;11,-0.21,IF(AGIL&lt;14,-0.1,IF(AGIL&gt;17,0.1,0)))</f>
        <v>0</v>
      </c>
      <c r="O6" s="598">
        <v>17</v>
      </c>
      <c r="P6" s="598" t="s">
        <v>4675</v>
      </c>
      <c r="Q6" s="598">
        <v>35936</v>
      </c>
      <c r="R6" s="598">
        <v>35966</v>
      </c>
      <c r="S6" s="598" t="s">
        <v>3961</v>
      </c>
      <c r="T6" s="598" t="s">
        <v>3958</v>
      </c>
      <c r="U6" s="598">
        <v>3</v>
      </c>
    </row>
    <row r="7" spans="1:21" ht="12" customHeight="1">
      <c r="A7" s="598">
        <v>5</v>
      </c>
      <c r="B7" s="598">
        <v>-0.18</v>
      </c>
      <c r="C7" s="598">
        <v>-8</v>
      </c>
      <c r="D7" s="598">
        <v>6</v>
      </c>
      <c r="E7" s="598">
        <v>-10</v>
      </c>
      <c r="F7" s="598">
        <v>5</v>
      </c>
      <c r="G7" s="598">
        <v>0.35</v>
      </c>
      <c r="I7" s="598">
        <v>25</v>
      </c>
      <c r="J7" s="598">
        <v>8</v>
      </c>
      <c r="L7" s="1063" t="s">
        <v>2041</v>
      </c>
      <c r="M7" s="598">
        <f>IF(DISC&gt;19,0.1,0)</f>
        <v>0</v>
      </c>
      <c r="O7" s="598">
        <v>25</v>
      </c>
      <c r="P7" s="598" t="s">
        <v>4676</v>
      </c>
      <c r="Q7" s="598">
        <v>35967</v>
      </c>
      <c r="R7" s="598">
        <v>35998</v>
      </c>
      <c r="S7" s="598" t="s">
        <v>3961</v>
      </c>
      <c r="T7" s="598" t="s">
        <v>1864</v>
      </c>
      <c r="U7" s="598">
        <v>4</v>
      </c>
    </row>
    <row r="8" spans="1:21" ht="12" customHeight="1">
      <c r="A8" s="598">
        <v>6</v>
      </c>
      <c r="B8" s="598">
        <v>-0.16</v>
      </c>
      <c r="C8" s="598">
        <v>-7</v>
      </c>
      <c r="D8" s="598">
        <v>7</v>
      </c>
      <c r="E8" s="598">
        <v>-8</v>
      </c>
      <c r="F8" s="598">
        <v>6</v>
      </c>
      <c r="G8" s="598">
        <v>0.4</v>
      </c>
      <c r="I8" s="598">
        <v>29</v>
      </c>
      <c r="J8" s="598">
        <v>7</v>
      </c>
      <c r="L8" s="1063" t="s">
        <v>4967</v>
      </c>
      <c r="M8" s="598">
        <f>IF(DISC&gt;19,0.1,0)</f>
        <v>0</v>
      </c>
      <c r="O8" s="598">
        <v>33</v>
      </c>
      <c r="P8" s="598" t="s">
        <v>4677</v>
      </c>
      <c r="Q8" s="598">
        <v>35999</v>
      </c>
      <c r="R8" s="598">
        <v>36029</v>
      </c>
      <c r="S8" s="598" t="s">
        <v>3963</v>
      </c>
      <c r="T8" s="598" t="s">
        <v>3959</v>
      </c>
      <c r="U8" s="598">
        <v>5</v>
      </c>
    </row>
    <row r="9" spans="1:21" ht="12" customHeight="1">
      <c r="A9" s="598">
        <v>7</v>
      </c>
      <c r="B9" s="598">
        <v>-0.14000000000000001</v>
      </c>
      <c r="C9" s="598">
        <v>-6</v>
      </c>
      <c r="D9" s="598">
        <v>8</v>
      </c>
      <c r="E9" s="598">
        <v>-6</v>
      </c>
      <c r="F9" s="598">
        <v>7</v>
      </c>
      <c r="G9" s="598">
        <v>0.45</v>
      </c>
      <c r="I9" s="598">
        <v>32</v>
      </c>
      <c r="J9" s="598">
        <v>6</v>
      </c>
      <c r="L9" s="1063" t="s">
        <v>8</v>
      </c>
      <c r="M9" s="598">
        <f>IF(BV&gt;18,0.1,0)</f>
        <v>0</v>
      </c>
      <c r="O9" s="598">
        <v>41</v>
      </c>
      <c r="P9" s="598" t="s">
        <v>4678</v>
      </c>
      <c r="Q9" s="598">
        <v>36030</v>
      </c>
      <c r="R9" s="598">
        <v>36060</v>
      </c>
      <c r="S9" s="598" t="s">
        <v>3960</v>
      </c>
      <c r="T9" s="598" t="s">
        <v>1866</v>
      </c>
      <c r="U9" s="598">
        <v>6</v>
      </c>
    </row>
    <row r="10" spans="1:21" ht="12" customHeight="1">
      <c r="A10" s="598">
        <v>8</v>
      </c>
      <c r="B10" s="598">
        <v>-0.12</v>
      </c>
      <c r="C10" s="598">
        <v>-5</v>
      </c>
      <c r="D10" s="598">
        <v>9</v>
      </c>
      <c r="E10" s="598">
        <v>-4</v>
      </c>
      <c r="F10" s="598">
        <v>8</v>
      </c>
      <c r="G10" s="598">
        <v>0.5</v>
      </c>
      <c r="I10" s="598">
        <v>35</v>
      </c>
      <c r="J10" s="598">
        <v>5</v>
      </c>
      <c r="L10" s="1063" t="s">
        <v>6149</v>
      </c>
      <c r="M10" s="598">
        <f>IF(AND(DISC&gt;17,AGIL&gt;18),0.1,0)</f>
        <v>0</v>
      </c>
      <c r="O10" s="598">
        <v>49</v>
      </c>
      <c r="P10" s="598" t="s">
        <v>4679</v>
      </c>
      <c r="Q10" s="598">
        <v>36061</v>
      </c>
      <c r="R10" s="598">
        <v>36090</v>
      </c>
      <c r="S10" s="598" t="s">
        <v>3960</v>
      </c>
      <c r="T10" s="598" t="s">
        <v>3966</v>
      </c>
      <c r="U10" s="598">
        <v>7</v>
      </c>
    </row>
    <row r="11" spans="1:21" ht="12" customHeight="1">
      <c r="A11" s="598">
        <v>10</v>
      </c>
      <c r="B11" s="598">
        <v>-0.1</v>
      </c>
      <c r="C11" s="598">
        <v>-4</v>
      </c>
      <c r="D11" s="598">
        <v>10</v>
      </c>
      <c r="E11" s="598">
        <v>-2</v>
      </c>
      <c r="F11" s="598">
        <v>9</v>
      </c>
      <c r="G11" s="598">
        <v>0.54</v>
      </c>
      <c r="I11" s="598">
        <v>37</v>
      </c>
      <c r="J11" s="598">
        <v>4</v>
      </c>
      <c r="L11" s="1063" t="s">
        <v>4160</v>
      </c>
      <c r="M11" s="598">
        <f>IF(AND(RACE=2,Combat!$N$122="Pine"),0.06,0)</f>
        <v>0</v>
      </c>
      <c r="O11" s="598">
        <v>57</v>
      </c>
      <c r="P11" s="598" t="s">
        <v>4680</v>
      </c>
      <c r="Q11" s="598">
        <v>36091</v>
      </c>
      <c r="R11" s="598">
        <v>36120</v>
      </c>
      <c r="S11" s="598" t="s">
        <v>3963</v>
      </c>
      <c r="T11" s="598" t="s">
        <v>1866</v>
      </c>
      <c r="U11" s="598">
        <v>8</v>
      </c>
    </row>
    <row r="12" spans="1:21" ht="12" customHeight="1">
      <c r="A12" s="598">
        <v>12</v>
      </c>
      <c r="B12" s="598">
        <v>-0.08</v>
      </c>
      <c r="C12" s="598">
        <v>-3</v>
      </c>
      <c r="D12" s="598">
        <v>11</v>
      </c>
      <c r="E12" s="598">
        <v>0</v>
      </c>
      <c r="F12" s="598">
        <v>10</v>
      </c>
      <c r="G12" s="598">
        <v>0.57999999999999996</v>
      </c>
      <c r="I12" s="598">
        <v>39</v>
      </c>
      <c r="J12" s="598">
        <v>3</v>
      </c>
      <c r="L12" s="1063" t="s">
        <v>18</v>
      </c>
      <c r="M12" s="598">
        <f>IF(RACE=2,IF(Combat!$N$122="Pine",0.06,IF(Combat!$N122="Ash",0.2,0)),0)</f>
        <v>0</v>
      </c>
      <c r="O12" s="598">
        <v>65</v>
      </c>
      <c r="P12" s="598" t="s">
        <v>4681</v>
      </c>
      <c r="Q12" s="598">
        <v>36121</v>
      </c>
      <c r="R12" s="598">
        <v>36150</v>
      </c>
      <c r="S12" s="598" t="s">
        <v>3965</v>
      </c>
      <c r="T12" s="598" t="s">
        <v>3967</v>
      </c>
      <c r="U12" s="598">
        <v>9</v>
      </c>
    </row>
    <row r="13" spans="1:21" ht="12" customHeight="1">
      <c r="A13" s="598">
        <v>14</v>
      </c>
      <c r="B13" s="598">
        <v>-0.06</v>
      </c>
      <c r="C13" s="598">
        <v>-2</v>
      </c>
      <c r="D13" s="598">
        <v>12</v>
      </c>
      <c r="E13" s="598">
        <v>2</v>
      </c>
      <c r="F13" s="598">
        <v>11</v>
      </c>
      <c r="G13" s="598">
        <v>0.62</v>
      </c>
      <c r="I13" s="598">
        <v>40</v>
      </c>
      <c r="J13" s="598">
        <v>2</v>
      </c>
      <c r="L13" s="1069" t="s">
        <v>1155</v>
      </c>
      <c r="M13" s="598">
        <f ca="1">VLOOKUP("Archery",Skills_Table,HLOOKUP("Attribute Bonus",Skill_Columns,2,0),0)</f>
        <v>0.06</v>
      </c>
      <c r="N13" s="598">
        <f>HLOOKUP("Total Skill Chance",Skill_Columns,2,FALSE)</f>
        <v>30</v>
      </c>
      <c r="O13" s="598">
        <v>73</v>
      </c>
      <c r="P13" s="598" t="s">
        <v>4682</v>
      </c>
      <c r="Q13" s="598">
        <v>36151</v>
      </c>
      <c r="R13" s="598">
        <v>35814</v>
      </c>
      <c r="S13" s="598" t="s">
        <v>3962</v>
      </c>
      <c r="T13" s="598" t="s">
        <v>1866</v>
      </c>
      <c r="U13" s="598">
        <v>10</v>
      </c>
    </row>
    <row r="14" spans="1:21" ht="12" customHeight="1">
      <c r="A14" s="598">
        <v>16</v>
      </c>
      <c r="B14" s="598">
        <v>-0.04</v>
      </c>
      <c r="C14" s="598">
        <v>-1</v>
      </c>
      <c r="D14" s="598">
        <v>13</v>
      </c>
      <c r="E14" s="598">
        <v>4</v>
      </c>
      <c r="F14" s="598">
        <v>12</v>
      </c>
      <c r="G14" s="598">
        <v>0.66</v>
      </c>
      <c r="I14" s="598" t="s">
        <v>3809</v>
      </c>
      <c r="L14" s="1063" t="s">
        <v>6150</v>
      </c>
      <c r="M14" s="598">
        <f>IF(VLOOKUP("Haute Cuisine",Skills_Table,HLOOKUP("Total Skill Chance",Skill_Columns,2,FALSE),FALSE)&gt;0,0.1,0)</f>
        <v>0</v>
      </c>
      <c r="O14" s="598">
        <v>81</v>
      </c>
      <c r="P14" s="598" t="s">
        <v>4683</v>
      </c>
      <c r="Q14" s="598">
        <v>35815</v>
      </c>
      <c r="R14" s="598">
        <v>35844</v>
      </c>
      <c r="S14" s="598" t="s">
        <v>3962</v>
      </c>
      <c r="T14" s="598" t="s">
        <v>1865</v>
      </c>
      <c r="U14" s="598">
        <v>11</v>
      </c>
    </row>
    <row r="15" spans="1:21" ht="12" customHeight="1">
      <c r="A15" s="598">
        <v>18</v>
      </c>
      <c r="B15" s="598">
        <v>-0.02</v>
      </c>
      <c r="C15" s="598">
        <v>0</v>
      </c>
      <c r="D15" s="598">
        <v>14</v>
      </c>
      <c r="E15" s="598">
        <v>6</v>
      </c>
      <c r="F15" s="598">
        <v>13</v>
      </c>
      <c r="G15" s="598">
        <v>0.7</v>
      </c>
      <c r="I15" s="598">
        <v>1</v>
      </c>
      <c r="J15" s="598">
        <v>5000</v>
      </c>
      <c r="L15" s="1063" t="s">
        <v>2956</v>
      </c>
      <c r="M15" s="598">
        <f>IF(Magick!$B$51="Y",Magick!$C$51,IF(Magick!$B$52="Y",Magick!$C$52,IF(Magick!$B$53="Y",Magick!$C$53,0)))</f>
        <v>0</v>
      </c>
      <c r="O15" s="598">
        <v>89</v>
      </c>
      <c r="P15" s="598" t="s">
        <v>4684</v>
      </c>
      <c r="Q15" s="598">
        <v>35845</v>
      </c>
      <c r="R15" s="598">
        <v>35874</v>
      </c>
      <c r="S15" s="598" t="s">
        <v>3961</v>
      </c>
      <c r="T15" s="598" t="s">
        <v>1867</v>
      </c>
      <c r="U15" s="598">
        <v>12</v>
      </c>
    </row>
    <row r="16" spans="1:21" ht="12" customHeight="1">
      <c r="A16" s="598">
        <v>20</v>
      </c>
      <c r="B16" s="598">
        <v>0</v>
      </c>
      <c r="C16" s="598">
        <v>1</v>
      </c>
      <c r="D16" s="598">
        <v>15</v>
      </c>
      <c r="E16" s="598">
        <v>8</v>
      </c>
      <c r="F16" s="598">
        <v>14</v>
      </c>
      <c r="G16" s="598">
        <v>0.73</v>
      </c>
      <c r="I16" s="598">
        <v>5</v>
      </c>
      <c r="J16" s="598">
        <v>10000</v>
      </c>
      <c r="L16" s="1063" t="s">
        <v>6151</v>
      </c>
      <c r="M16" s="598">
        <f>IF(Magick!$B$51="Y",Magick!$C$51,IF(Magick!$B$52="Y",Magick!$C$52,IF(Magick!$B$53="Y",Magick!$C$53,0)))+IF(Magick!D8="Y",0.03,0)</f>
        <v>0</v>
      </c>
      <c r="O16" s="598">
        <f>VLOOKUP('Main Creation Page'!AD31,O4:U15,7)</f>
        <v>7</v>
      </c>
    </row>
    <row r="17" spans="1:23" ht="12" customHeight="1">
      <c r="A17" s="598">
        <v>25</v>
      </c>
      <c r="B17" s="598">
        <v>0.02</v>
      </c>
      <c r="C17" s="598">
        <v>2</v>
      </c>
      <c r="D17" s="598">
        <v>16</v>
      </c>
      <c r="E17" s="598">
        <v>10</v>
      </c>
      <c r="F17" s="598">
        <v>15</v>
      </c>
      <c r="G17" s="598">
        <v>0.76</v>
      </c>
      <c r="I17" s="598">
        <v>8</v>
      </c>
      <c r="J17" s="598">
        <v>15000</v>
      </c>
      <c r="L17" s="1063" t="s">
        <v>58</v>
      </c>
      <c r="M17" s="598">
        <f>VLOOKUP(INT+IF(AND(INT&gt;12,DISC&gt;14),MAX(AGIL,BV),BV),'System Lookups'!$A$3:$C$146,2)</f>
        <v>0.08</v>
      </c>
    </row>
    <row r="18" spans="1:23" ht="12" customHeight="1">
      <c r="A18" s="598">
        <v>27</v>
      </c>
      <c r="B18" s="598">
        <v>0.04</v>
      </c>
      <c r="C18" s="598">
        <v>3</v>
      </c>
      <c r="D18" s="598">
        <v>17</v>
      </c>
      <c r="E18" s="598">
        <v>12</v>
      </c>
      <c r="F18" s="598">
        <v>16</v>
      </c>
      <c r="G18" s="598">
        <v>0.79</v>
      </c>
      <c r="I18" s="598">
        <v>12</v>
      </c>
      <c r="J18" s="598">
        <v>20000</v>
      </c>
      <c r="L18" s="1063" t="s">
        <v>53</v>
      </c>
      <c r="M18" s="598">
        <f>VLOOKUP(INT+IF(AND(INT&gt;12,DISC&gt;14),MAX(AGIL,BV),AGIL),'System Lookups'!$A$3:$C$146,2)</f>
        <v>0.08</v>
      </c>
    </row>
    <row r="19" spans="1:23" ht="12" customHeight="1">
      <c r="A19" s="598">
        <v>29</v>
      </c>
      <c r="B19" s="598">
        <v>0.06</v>
      </c>
      <c r="C19" s="598">
        <v>4</v>
      </c>
      <c r="D19" s="598">
        <v>18</v>
      </c>
      <c r="E19" s="598">
        <v>14</v>
      </c>
      <c r="F19" s="598">
        <v>17</v>
      </c>
      <c r="G19" s="598">
        <v>0.82</v>
      </c>
      <c r="I19" s="598">
        <v>15</v>
      </c>
      <c r="J19" s="598">
        <v>25000</v>
      </c>
      <c r="P19" s="598" t="s">
        <v>3366</v>
      </c>
    </row>
    <row r="20" spans="1:23" ht="12" customHeight="1">
      <c r="A20" s="598">
        <v>31</v>
      </c>
      <c r="B20" s="598">
        <v>0.08</v>
      </c>
      <c r="C20" s="598">
        <v>5</v>
      </c>
      <c r="D20" s="598">
        <v>19</v>
      </c>
      <c r="E20" s="598">
        <v>16</v>
      </c>
      <c r="F20" s="598">
        <v>18</v>
      </c>
      <c r="G20" s="598">
        <v>0.85</v>
      </c>
      <c r="I20" s="598">
        <v>19</v>
      </c>
      <c r="J20" s="598">
        <v>30000</v>
      </c>
      <c r="P20" s="598">
        <v>2</v>
      </c>
      <c r="Q20" s="598" t="s">
        <v>1088</v>
      </c>
      <c r="R20" s="598">
        <v>18</v>
      </c>
      <c r="W20" s="598">
        <v>0</v>
      </c>
    </row>
    <row r="21" spans="1:23" ht="12" customHeight="1">
      <c r="A21" s="598">
        <v>33</v>
      </c>
      <c r="B21" s="598">
        <v>0.1</v>
      </c>
      <c r="C21" s="598">
        <v>6</v>
      </c>
      <c r="D21" s="598">
        <v>20</v>
      </c>
      <c r="E21" s="598">
        <v>18</v>
      </c>
      <c r="F21" s="598">
        <v>19</v>
      </c>
      <c r="G21" s="598">
        <v>0.88</v>
      </c>
      <c r="P21" s="598">
        <v>3</v>
      </c>
      <c r="Q21" s="598" t="s">
        <v>1089</v>
      </c>
      <c r="R21" s="598">
        <v>18</v>
      </c>
      <c r="W21" s="598">
        <v>3</v>
      </c>
    </row>
    <row r="22" spans="1:23" ht="12" customHeight="1">
      <c r="A22" s="598">
        <v>35</v>
      </c>
      <c r="B22" s="598">
        <v>0.12</v>
      </c>
      <c r="C22" s="598">
        <v>7</v>
      </c>
      <c r="D22" s="598">
        <v>21</v>
      </c>
      <c r="E22" s="598">
        <v>20</v>
      </c>
      <c r="F22" s="598">
        <v>20</v>
      </c>
      <c r="G22" s="598">
        <v>0.9</v>
      </c>
      <c r="P22" s="598">
        <v>4</v>
      </c>
      <c r="Q22" s="598" t="s">
        <v>5113</v>
      </c>
      <c r="R22" s="598">
        <v>18</v>
      </c>
      <c r="W22" s="598">
        <v>6</v>
      </c>
    </row>
    <row r="23" spans="1:23" ht="12" customHeight="1">
      <c r="A23" s="598">
        <v>37</v>
      </c>
      <c r="B23" s="598">
        <v>0.14000000000000001</v>
      </c>
      <c r="C23" s="598">
        <v>8</v>
      </c>
      <c r="D23" s="598">
        <v>22</v>
      </c>
      <c r="E23" s="598">
        <v>23</v>
      </c>
      <c r="F23" s="598">
        <v>21</v>
      </c>
      <c r="G23" s="598">
        <v>0.92</v>
      </c>
      <c r="P23" s="598">
        <v>5</v>
      </c>
      <c r="Q23" s="598" t="s">
        <v>1090</v>
      </c>
      <c r="R23" s="598">
        <v>18</v>
      </c>
      <c r="W23" s="598">
        <v>10</v>
      </c>
    </row>
    <row r="24" spans="1:23" ht="12" customHeight="1">
      <c r="A24" s="598">
        <v>38</v>
      </c>
      <c r="B24" s="598">
        <v>0.16</v>
      </c>
      <c r="C24" s="598">
        <v>9</v>
      </c>
      <c r="D24" s="598">
        <v>23</v>
      </c>
      <c r="E24" s="598">
        <v>26</v>
      </c>
      <c r="F24" s="598">
        <v>22</v>
      </c>
      <c r="G24" s="598">
        <v>0.94</v>
      </c>
      <c r="P24" s="598">
        <v>6</v>
      </c>
      <c r="Q24" s="598" t="s">
        <v>3982</v>
      </c>
      <c r="R24" s="598">
        <v>15</v>
      </c>
      <c r="W24" s="598">
        <v>20</v>
      </c>
    </row>
    <row r="25" spans="1:23" ht="12" customHeight="1">
      <c r="A25" s="598">
        <v>39</v>
      </c>
      <c r="B25" s="598">
        <v>0.18</v>
      </c>
      <c r="C25" s="598">
        <v>10</v>
      </c>
      <c r="D25" s="598">
        <v>24</v>
      </c>
      <c r="E25" s="598">
        <v>29</v>
      </c>
      <c r="F25" s="598">
        <v>23</v>
      </c>
      <c r="G25" s="598">
        <v>0.96</v>
      </c>
      <c r="P25" s="598">
        <v>7</v>
      </c>
      <c r="Q25" s="598" t="s">
        <v>1091</v>
      </c>
      <c r="R25" s="598">
        <v>15</v>
      </c>
      <c r="W25" s="598">
        <v>35</v>
      </c>
    </row>
    <row r="26" spans="1:23" ht="12" customHeight="1">
      <c r="A26" s="598">
        <v>40</v>
      </c>
      <c r="B26" s="598">
        <v>0.2</v>
      </c>
      <c r="C26" s="598">
        <v>11</v>
      </c>
      <c r="D26" s="598">
        <v>25</v>
      </c>
      <c r="E26" s="598">
        <v>32</v>
      </c>
      <c r="F26" s="598">
        <v>24</v>
      </c>
      <c r="G26" s="598">
        <v>0.98</v>
      </c>
      <c r="P26" s="598">
        <v>8</v>
      </c>
      <c r="Q26" s="598" t="s">
        <v>1092</v>
      </c>
      <c r="R26" s="598">
        <v>15</v>
      </c>
      <c r="W26" s="598">
        <v>49</v>
      </c>
    </row>
    <row r="27" spans="1:23" ht="12" customHeight="1">
      <c r="A27" s="598">
        <v>41</v>
      </c>
      <c r="B27" s="598">
        <v>0.21</v>
      </c>
      <c r="C27" s="598">
        <v>12</v>
      </c>
      <c r="F27" s="598">
        <v>25</v>
      </c>
      <c r="G27" s="598">
        <v>0.99</v>
      </c>
      <c r="P27" s="598">
        <v>9</v>
      </c>
      <c r="Q27" s="598" t="s">
        <v>1093</v>
      </c>
      <c r="R27" s="598">
        <v>15</v>
      </c>
    </row>
    <row r="28" spans="1:23" ht="12" customHeight="1">
      <c r="A28" s="598">
        <v>42</v>
      </c>
      <c r="B28" s="598">
        <v>0.22</v>
      </c>
      <c r="C28" s="598">
        <v>13</v>
      </c>
      <c r="P28" s="598">
        <v>10</v>
      </c>
      <c r="Q28" s="598" t="s">
        <v>1167</v>
      </c>
      <c r="R28" s="598">
        <v>15</v>
      </c>
    </row>
    <row r="29" spans="1:23" ht="12" customHeight="1">
      <c r="A29" s="598">
        <v>43</v>
      </c>
      <c r="B29" s="598">
        <v>0.23</v>
      </c>
      <c r="C29" s="598">
        <v>14</v>
      </c>
      <c r="F29" s="598" t="s">
        <v>5144</v>
      </c>
      <c r="P29" s="598">
        <v>11</v>
      </c>
      <c r="Q29" s="598" t="s">
        <v>1168</v>
      </c>
      <c r="R29" s="598">
        <v>12</v>
      </c>
    </row>
    <row r="30" spans="1:23" ht="12" customHeight="1">
      <c r="A30" s="598">
        <v>44</v>
      </c>
      <c r="B30" s="598">
        <v>0.24</v>
      </c>
      <c r="C30" s="598">
        <v>15</v>
      </c>
      <c r="F30" s="598">
        <v>1</v>
      </c>
      <c r="G30" s="598" t="s">
        <v>1777</v>
      </c>
      <c r="H30" s="598">
        <v>0.01</v>
      </c>
      <c r="I30" s="598">
        <v>0</v>
      </c>
      <c r="J30" s="598">
        <v>0</v>
      </c>
      <c r="K30" s="598">
        <v>0.2</v>
      </c>
      <c r="L30" s="598">
        <v>3</v>
      </c>
      <c r="M30" s="598">
        <v>1</v>
      </c>
      <c r="P30" s="598">
        <v>12</v>
      </c>
      <c r="Q30" s="598" t="s">
        <v>1169</v>
      </c>
      <c r="R30" s="598">
        <v>12</v>
      </c>
    </row>
    <row r="31" spans="1:23" ht="12" customHeight="1">
      <c r="A31" s="598">
        <v>45</v>
      </c>
      <c r="B31" s="598">
        <v>0.25</v>
      </c>
      <c r="C31" s="598">
        <v>16</v>
      </c>
      <c r="F31" s="598">
        <v>2</v>
      </c>
      <c r="G31" s="598" t="s">
        <v>1778</v>
      </c>
      <c r="H31" s="598">
        <v>0.01</v>
      </c>
      <c r="I31" s="598">
        <v>0.01</v>
      </c>
      <c r="J31" s="598">
        <v>0</v>
      </c>
      <c r="K31" s="598">
        <v>0.3</v>
      </c>
      <c r="L31" s="598">
        <v>3</v>
      </c>
      <c r="M31" s="598">
        <v>1</v>
      </c>
      <c r="P31" s="598">
        <v>13</v>
      </c>
      <c r="Q31" s="598" t="s">
        <v>1919</v>
      </c>
      <c r="R31" s="598">
        <v>12</v>
      </c>
    </row>
    <row r="32" spans="1:23" ht="12" customHeight="1">
      <c r="A32" s="598">
        <v>46</v>
      </c>
      <c r="B32" s="598">
        <v>0.26</v>
      </c>
      <c r="C32" s="598">
        <v>17</v>
      </c>
      <c r="F32" s="598">
        <v>3</v>
      </c>
      <c r="G32" s="598" t="s">
        <v>558</v>
      </c>
      <c r="H32" s="598">
        <v>0.02</v>
      </c>
      <c r="I32" s="598">
        <v>0.01</v>
      </c>
      <c r="J32" s="598">
        <v>0.01</v>
      </c>
      <c r="K32" s="598">
        <v>0.4</v>
      </c>
      <c r="L32" s="598">
        <v>3</v>
      </c>
      <c r="M32" s="598">
        <v>1</v>
      </c>
      <c r="P32" s="598">
        <v>14</v>
      </c>
      <c r="Q32" s="598" t="s">
        <v>1920</v>
      </c>
      <c r="R32" s="598">
        <v>12</v>
      </c>
    </row>
    <row r="33" spans="1:19" ht="12" customHeight="1">
      <c r="A33" s="598">
        <v>47</v>
      </c>
      <c r="B33" s="598">
        <v>0.27</v>
      </c>
      <c r="C33" s="598">
        <v>18</v>
      </c>
      <c r="F33" s="598">
        <v>4</v>
      </c>
      <c r="G33" s="598" t="s">
        <v>560</v>
      </c>
      <c r="H33" s="598">
        <v>0.02</v>
      </c>
      <c r="I33" s="598">
        <v>0.01</v>
      </c>
      <c r="J33" s="598">
        <v>0.01</v>
      </c>
      <c r="K33" s="598">
        <v>0.5</v>
      </c>
      <c r="L33" s="598">
        <v>3</v>
      </c>
      <c r="M33" s="598">
        <v>1</v>
      </c>
      <c r="P33" s="598">
        <v>15</v>
      </c>
      <c r="Q33" s="598" t="s">
        <v>1921</v>
      </c>
      <c r="R33" s="598">
        <v>9</v>
      </c>
    </row>
    <row r="34" spans="1:19" ht="12" customHeight="1">
      <c r="A34" s="598">
        <v>48</v>
      </c>
      <c r="B34" s="598">
        <v>0.28000000000000003</v>
      </c>
      <c r="C34" s="598">
        <v>19</v>
      </c>
      <c r="F34" s="598">
        <v>5</v>
      </c>
      <c r="G34" s="598" t="s">
        <v>561</v>
      </c>
      <c r="H34" s="598">
        <v>0.02</v>
      </c>
      <c r="I34" s="598">
        <v>0.01</v>
      </c>
      <c r="J34" s="598">
        <v>0.01</v>
      </c>
      <c r="K34" s="598">
        <v>0.55000000000000004</v>
      </c>
      <c r="L34" s="598">
        <v>3</v>
      </c>
      <c r="M34" s="598">
        <v>1</v>
      </c>
      <c r="P34" s="598">
        <v>16</v>
      </c>
      <c r="Q34" s="598" t="s">
        <v>568</v>
      </c>
      <c r="R34" s="598">
        <v>9</v>
      </c>
    </row>
    <row r="35" spans="1:19" ht="12" customHeight="1">
      <c r="A35" s="598">
        <v>49</v>
      </c>
      <c r="B35" s="598">
        <v>0.28999999999999998</v>
      </c>
      <c r="C35" s="598">
        <v>20</v>
      </c>
      <c r="F35" s="598">
        <v>6</v>
      </c>
      <c r="G35" s="598" t="s">
        <v>562</v>
      </c>
      <c r="H35" s="598">
        <v>0.03</v>
      </c>
      <c r="I35" s="598">
        <v>0.01</v>
      </c>
      <c r="J35" s="598">
        <v>0.01</v>
      </c>
      <c r="K35" s="598">
        <v>0.6</v>
      </c>
      <c r="L35" s="598">
        <v>3</v>
      </c>
      <c r="M35" s="598">
        <v>1</v>
      </c>
      <c r="P35" s="598">
        <v>17</v>
      </c>
      <c r="Q35" s="598" t="s">
        <v>1922</v>
      </c>
      <c r="R35" s="598">
        <v>9</v>
      </c>
    </row>
    <row r="36" spans="1:19" ht="12" customHeight="1">
      <c r="A36" s="598">
        <v>50</v>
      </c>
      <c r="B36" s="598">
        <v>0.3</v>
      </c>
      <c r="C36" s="598">
        <v>21</v>
      </c>
      <c r="F36" s="598">
        <v>7</v>
      </c>
      <c r="G36" s="598" t="s">
        <v>563</v>
      </c>
      <c r="H36" s="598">
        <v>0.04</v>
      </c>
      <c r="I36" s="598">
        <v>0.02</v>
      </c>
      <c r="J36" s="598">
        <v>0.01</v>
      </c>
      <c r="K36" s="598">
        <v>0.65</v>
      </c>
      <c r="L36" s="598">
        <v>4</v>
      </c>
      <c r="M36" s="598">
        <v>2</v>
      </c>
      <c r="P36" s="598">
        <v>18</v>
      </c>
      <c r="Q36" s="598" t="s">
        <v>1923</v>
      </c>
      <c r="R36" s="598">
        <v>9</v>
      </c>
    </row>
    <row r="37" spans="1:19" ht="12" customHeight="1">
      <c r="A37" s="598">
        <v>51</v>
      </c>
      <c r="B37" s="598">
        <v>0.31</v>
      </c>
      <c r="C37" s="598">
        <v>22</v>
      </c>
      <c r="F37" s="598">
        <v>8</v>
      </c>
      <c r="G37" s="598" t="s">
        <v>3622</v>
      </c>
      <c r="H37" s="598">
        <v>0.05</v>
      </c>
      <c r="I37" s="598">
        <v>0.03</v>
      </c>
      <c r="J37" s="598">
        <v>0.01</v>
      </c>
      <c r="K37" s="598">
        <v>0.7</v>
      </c>
      <c r="L37" s="598">
        <v>4</v>
      </c>
      <c r="M37" s="598">
        <v>2</v>
      </c>
      <c r="P37" s="598">
        <v>19</v>
      </c>
      <c r="Q37" s="598" t="s">
        <v>1924</v>
      </c>
      <c r="R37" s="598">
        <v>9</v>
      </c>
    </row>
    <row r="38" spans="1:19" ht="12" customHeight="1">
      <c r="A38" s="598">
        <v>52</v>
      </c>
      <c r="B38" s="598">
        <v>0.32</v>
      </c>
      <c r="C38" s="598">
        <v>23</v>
      </c>
      <c r="F38" s="598">
        <v>9</v>
      </c>
      <c r="G38" s="598" t="s">
        <v>3622</v>
      </c>
      <c r="H38" s="598">
        <v>0.05</v>
      </c>
      <c r="I38" s="598">
        <v>0.03</v>
      </c>
      <c r="J38" s="598">
        <v>0.01</v>
      </c>
      <c r="K38" s="598">
        <v>0.75</v>
      </c>
      <c r="L38" s="598">
        <v>4</v>
      </c>
      <c r="M38" s="598">
        <v>2</v>
      </c>
      <c r="P38" s="598">
        <v>20</v>
      </c>
      <c r="Q38" s="598" t="s">
        <v>3980</v>
      </c>
      <c r="R38" s="598">
        <v>9</v>
      </c>
    </row>
    <row r="39" spans="1:19" ht="12" customHeight="1">
      <c r="A39" s="598">
        <v>53</v>
      </c>
      <c r="B39" s="598">
        <v>0.33</v>
      </c>
      <c r="C39" s="598">
        <v>24</v>
      </c>
      <c r="F39" s="598">
        <v>10</v>
      </c>
      <c r="G39" s="598" t="s">
        <v>564</v>
      </c>
      <c r="H39" s="598">
        <v>0.06</v>
      </c>
      <c r="I39" s="598">
        <v>0.03</v>
      </c>
      <c r="J39" s="598">
        <v>0.01</v>
      </c>
      <c r="K39" s="598">
        <v>0.8</v>
      </c>
      <c r="L39" s="598">
        <v>4</v>
      </c>
      <c r="M39" s="598">
        <v>2</v>
      </c>
      <c r="P39" s="598">
        <v>21</v>
      </c>
      <c r="Q39" s="598" t="s">
        <v>3981</v>
      </c>
      <c r="R39" s="598">
        <v>6</v>
      </c>
    </row>
    <row r="40" spans="1:19" ht="12" customHeight="1">
      <c r="A40" s="598">
        <v>54</v>
      </c>
      <c r="B40" s="598">
        <v>0.34</v>
      </c>
      <c r="C40" s="598">
        <v>25</v>
      </c>
      <c r="F40" s="598">
        <v>11</v>
      </c>
      <c r="G40" s="598" t="s">
        <v>565</v>
      </c>
      <c r="H40" s="598">
        <v>0.06</v>
      </c>
      <c r="I40" s="598">
        <v>0.03</v>
      </c>
      <c r="J40" s="598">
        <v>0.01</v>
      </c>
      <c r="K40" s="598">
        <v>0.82</v>
      </c>
      <c r="L40" s="598">
        <v>5</v>
      </c>
      <c r="M40" s="598">
        <v>2</v>
      </c>
      <c r="P40" s="598">
        <v>22</v>
      </c>
      <c r="Q40" s="598" t="s">
        <v>3981</v>
      </c>
      <c r="R40" s="598">
        <v>6</v>
      </c>
    </row>
    <row r="41" spans="1:19" ht="12" customHeight="1">
      <c r="A41" s="598">
        <v>55</v>
      </c>
      <c r="B41" s="598">
        <v>0.35</v>
      </c>
      <c r="C41" s="598">
        <v>26</v>
      </c>
      <c r="F41" s="598">
        <v>12</v>
      </c>
      <c r="G41" s="598" t="s">
        <v>566</v>
      </c>
      <c r="H41" s="598">
        <v>0.06</v>
      </c>
      <c r="I41" s="598">
        <v>0.03</v>
      </c>
      <c r="J41" s="598">
        <v>0.01</v>
      </c>
      <c r="K41" s="598">
        <v>0.84</v>
      </c>
      <c r="L41" s="598">
        <v>5</v>
      </c>
      <c r="M41" s="598">
        <v>2</v>
      </c>
      <c r="P41" s="598">
        <v>23</v>
      </c>
      <c r="Q41" s="598" t="s">
        <v>3981</v>
      </c>
      <c r="R41" s="598">
        <v>6</v>
      </c>
    </row>
    <row r="42" spans="1:19" ht="12" customHeight="1">
      <c r="A42" s="598">
        <v>56</v>
      </c>
      <c r="B42" s="598">
        <v>0.36</v>
      </c>
      <c r="C42" s="598">
        <v>27</v>
      </c>
      <c r="F42" s="598">
        <v>13</v>
      </c>
      <c r="G42" s="598" t="s">
        <v>567</v>
      </c>
      <c r="H42" s="598">
        <v>7.0000000000000007E-2</v>
      </c>
      <c r="I42" s="598">
        <v>0.03</v>
      </c>
      <c r="J42" s="598">
        <v>0.01</v>
      </c>
      <c r="K42" s="598">
        <v>0.86</v>
      </c>
      <c r="L42" s="598">
        <v>5</v>
      </c>
      <c r="M42" s="598">
        <v>2</v>
      </c>
      <c r="P42" s="598">
        <v>24</v>
      </c>
      <c r="Q42" s="598" t="s">
        <v>3981</v>
      </c>
      <c r="R42" s="598">
        <v>6</v>
      </c>
    </row>
    <row r="43" spans="1:19" ht="12" customHeight="1">
      <c r="A43" s="598">
        <v>57</v>
      </c>
      <c r="B43" s="598">
        <v>0.37</v>
      </c>
      <c r="C43" s="598">
        <v>28</v>
      </c>
      <c r="F43" s="598">
        <v>14</v>
      </c>
      <c r="G43" s="598" t="s">
        <v>568</v>
      </c>
      <c r="H43" s="598">
        <v>7.0000000000000007E-2</v>
      </c>
      <c r="I43" s="598">
        <v>0.04</v>
      </c>
      <c r="J43" s="598">
        <v>0.02</v>
      </c>
      <c r="K43" s="598">
        <v>0.88</v>
      </c>
      <c r="L43" s="598">
        <v>5</v>
      </c>
      <c r="M43" s="598">
        <v>2</v>
      </c>
      <c r="P43" s="598">
        <v>25</v>
      </c>
      <c r="Q43" s="598" t="s">
        <v>3981</v>
      </c>
      <c r="R43" s="598">
        <v>6</v>
      </c>
    </row>
    <row r="44" spans="1:19" ht="12" customHeight="1">
      <c r="A44" s="598">
        <v>58</v>
      </c>
      <c r="B44" s="598">
        <v>0.38</v>
      </c>
      <c r="C44" s="598">
        <v>29</v>
      </c>
      <c r="F44" s="598">
        <v>15</v>
      </c>
      <c r="G44" s="598" t="s">
        <v>569</v>
      </c>
      <c r="H44" s="598">
        <v>7.0000000000000007E-2</v>
      </c>
      <c r="I44" s="598">
        <v>0.04</v>
      </c>
      <c r="J44" s="598">
        <v>0.02</v>
      </c>
      <c r="K44" s="598">
        <v>0.9</v>
      </c>
      <c r="L44" s="598">
        <v>5</v>
      </c>
      <c r="M44" s="598">
        <v>2</v>
      </c>
    </row>
    <row r="45" spans="1:19" ht="12" customHeight="1">
      <c r="A45" s="598">
        <v>59</v>
      </c>
      <c r="B45" s="598">
        <v>0.39</v>
      </c>
      <c r="C45" s="598">
        <v>30</v>
      </c>
      <c r="F45" s="598">
        <v>16</v>
      </c>
      <c r="G45" s="598" t="s">
        <v>570</v>
      </c>
      <c r="H45" s="598">
        <v>0.08</v>
      </c>
      <c r="I45" s="598">
        <v>0.04</v>
      </c>
      <c r="J45" s="598">
        <v>0.02</v>
      </c>
      <c r="K45" s="598">
        <v>0.92</v>
      </c>
      <c r="L45" s="598">
        <v>6</v>
      </c>
      <c r="M45" s="598">
        <v>3</v>
      </c>
      <c r="P45" s="598">
        <v>1</v>
      </c>
      <c r="Q45" s="598">
        <v>1</v>
      </c>
      <c r="R45" s="598">
        <v>5</v>
      </c>
      <c r="S45" s="598">
        <v>3</v>
      </c>
    </row>
    <row r="46" spans="1:19" ht="12" customHeight="1">
      <c r="A46" s="598">
        <v>60</v>
      </c>
      <c r="B46" s="598">
        <v>0.4</v>
      </c>
      <c r="C46" s="598">
        <v>31</v>
      </c>
      <c r="F46" s="598">
        <v>17</v>
      </c>
      <c r="G46" s="598" t="s">
        <v>1021</v>
      </c>
      <c r="H46" s="598">
        <v>0.08</v>
      </c>
      <c r="I46" s="598">
        <v>0.05</v>
      </c>
      <c r="J46" s="598">
        <v>0.03</v>
      </c>
      <c r="K46" s="598">
        <v>0.94</v>
      </c>
      <c r="L46" s="598">
        <v>6</v>
      </c>
      <c r="M46" s="598">
        <v>3</v>
      </c>
      <c r="P46" s="598">
        <v>20</v>
      </c>
      <c r="Q46" s="598">
        <v>2</v>
      </c>
      <c r="R46" s="598">
        <v>7</v>
      </c>
      <c r="S46" s="598">
        <v>2</v>
      </c>
    </row>
    <row r="47" spans="1:19" ht="12" customHeight="1">
      <c r="A47" s="598">
        <v>61</v>
      </c>
      <c r="B47" s="598">
        <v>0.41</v>
      </c>
      <c r="C47" s="598">
        <v>32</v>
      </c>
      <c r="F47" s="598">
        <v>18</v>
      </c>
      <c r="G47" s="598" t="s">
        <v>1022</v>
      </c>
      <c r="H47" s="598">
        <v>0.08</v>
      </c>
      <c r="I47" s="598">
        <v>0.05</v>
      </c>
      <c r="J47" s="598">
        <v>0.03</v>
      </c>
      <c r="K47" s="598">
        <v>0.96</v>
      </c>
      <c r="L47" s="598">
        <v>7</v>
      </c>
      <c r="M47" s="598">
        <v>3</v>
      </c>
      <c r="P47" s="598">
        <v>30</v>
      </c>
      <c r="Q47" s="598">
        <v>3</v>
      </c>
      <c r="R47" s="598">
        <v>11</v>
      </c>
      <c r="S47" s="598">
        <v>1</v>
      </c>
    </row>
    <row r="48" spans="1:19" ht="12" customHeight="1">
      <c r="A48" s="598">
        <v>62</v>
      </c>
      <c r="B48" s="598">
        <v>0.42</v>
      </c>
      <c r="C48" s="598">
        <v>33</v>
      </c>
      <c r="F48" s="598">
        <v>19</v>
      </c>
      <c r="G48" s="598" t="s">
        <v>1023</v>
      </c>
      <c r="H48" s="598">
        <v>0.08</v>
      </c>
      <c r="I48" s="598">
        <v>0.05</v>
      </c>
      <c r="J48" s="598">
        <v>0.03</v>
      </c>
      <c r="K48" s="598">
        <v>0.96</v>
      </c>
      <c r="L48" s="598">
        <v>8</v>
      </c>
      <c r="M48" s="598">
        <v>4</v>
      </c>
      <c r="P48" s="598">
        <v>36</v>
      </c>
      <c r="Q48" s="598">
        <v>4</v>
      </c>
      <c r="R48" s="598">
        <v>13</v>
      </c>
      <c r="S48" s="598">
        <v>0</v>
      </c>
    </row>
    <row r="49" spans="1:19" ht="12" customHeight="1">
      <c r="A49" s="598">
        <v>63</v>
      </c>
      <c r="B49" s="598">
        <v>0.43</v>
      </c>
      <c r="C49" s="598">
        <v>34</v>
      </c>
      <c r="F49" s="598">
        <v>20</v>
      </c>
      <c r="G49" s="598" t="s">
        <v>1055</v>
      </c>
      <c r="H49" s="598">
        <v>0.09</v>
      </c>
      <c r="I49" s="598">
        <v>0.06</v>
      </c>
      <c r="J49" s="598">
        <v>0.03</v>
      </c>
      <c r="K49" s="598">
        <v>0.98</v>
      </c>
      <c r="L49" s="598">
        <v>9</v>
      </c>
      <c r="M49" s="598">
        <v>4</v>
      </c>
      <c r="P49" s="598">
        <v>40</v>
      </c>
      <c r="Q49" s="598">
        <v>5</v>
      </c>
      <c r="R49" s="598">
        <v>19</v>
      </c>
      <c r="S49" s="598">
        <v>-1</v>
      </c>
    </row>
    <row r="50" spans="1:19" ht="12" customHeight="1">
      <c r="A50" s="598">
        <v>64</v>
      </c>
      <c r="B50" s="598">
        <v>0.44</v>
      </c>
      <c r="C50" s="598">
        <v>35</v>
      </c>
      <c r="F50" s="598">
        <v>21</v>
      </c>
      <c r="G50" s="598" t="s">
        <v>1056</v>
      </c>
      <c r="H50" s="598">
        <v>0.1</v>
      </c>
      <c r="I50" s="598">
        <v>0.06</v>
      </c>
      <c r="J50" s="598">
        <v>0.04</v>
      </c>
      <c r="K50" s="598">
        <v>0.99</v>
      </c>
      <c r="L50" s="598">
        <v>10</v>
      </c>
      <c r="M50" s="598">
        <v>5</v>
      </c>
    </row>
    <row r="51" spans="1:19" ht="12" customHeight="1">
      <c r="A51" s="598">
        <v>65</v>
      </c>
      <c r="B51" s="598">
        <v>0.45</v>
      </c>
      <c r="C51" s="598">
        <v>36</v>
      </c>
    </row>
    <row r="52" spans="1:19" ht="12" customHeight="1">
      <c r="A52" s="598">
        <v>66</v>
      </c>
      <c r="B52" s="598">
        <v>0.46</v>
      </c>
      <c r="C52" s="598">
        <v>37</v>
      </c>
      <c r="F52" s="598" t="s">
        <v>4408</v>
      </c>
      <c r="G52" s="598" t="s">
        <v>4409</v>
      </c>
      <c r="H52" s="598" t="s">
        <v>4410</v>
      </c>
    </row>
    <row r="53" spans="1:19" ht="12" customHeight="1">
      <c r="A53" s="598">
        <v>67</v>
      </c>
      <c r="B53" s="598">
        <v>0.47</v>
      </c>
      <c r="C53" s="598">
        <v>38</v>
      </c>
      <c r="F53" s="598">
        <v>0</v>
      </c>
      <c r="G53" s="598">
        <v>30</v>
      </c>
      <c r="H53" s="598">
        <v>15</v>
      </c>
      <c r="J53" s="598" t="s">
        <v>5094</v>
      </c>
    </row>
    <row r="54" spans="1:19" ht="12" customHeight="1">
      <c r="A54" s="598">
        <v>68</v>
      </c>
      <c r="B54" s="598">
        <v>0.48</v>
      </c>
      <c r="C54" s="598">
        <v>39</v>
      </c>
      <c r="F54" s="598">
        <v>6</v>
      </c>
      <c r="G54" s="598">
        <v>60</v>
      </c>
      <c r="H54" s="598">
        <v>30</v>
      </c>
      <c r="J54" s="598" t="s">
        <v>3152</v>
      </c>
      <c r="K54" s="598" t="s">
        <v>3153</v>
      </c>
      <c r="L54" s="598" t="s">
        <v>3154</v>
      </c>
      <c r="M54" s="598" t="s">
        <v>3155</v>
      </c>
      <c r="N54" s="598" t="s">
        <v>3618</v>
      </c>
      <c r="O54" s="598" t="s">
        <v>3619</v>
      </c>
      <c r="P54" s="598" t="s">
        <v>5217</v>
      </c>
    </row>
    <row r="55" spans="1:19" ht="12" customHeight="1">
      <c r="A55" s="598">
        <v>69</v>
      </c>
      <c r="B55" s="598">
        <v>0.49</v>
      </c>
      <c r="C55" s="598">
        <v>40</v>
      </c>
      <c r="F55" s="598">
        <v>10</v>
      </c>
      <c r="G55" s="598">
        <v>75</v>
      </c>
      <c r="H55" s="598">
        <v>45</v>
      </c>
      <c r="J55" s="598">
        <v>1</v>
      </c>
      <c r="K55" s="598" t="s">
        <v>3620</v>
      </c>
      <c r="L55" s="598">
        <v>0.5</v>
      </c>
      <c r="M55" s="598">
        <v>0.6</v>
      </c>
      <c r="N55" s="598">
        <v>0.08</v>
      </c>
      <c r="O55" s="598">
        <v>0.99</v>
      </c>
      <c r="P55" s="598">
        <v>300</v>
      </c>
    </row>
    <row r="56" spans="1:19" ht="12" customHeight="1">
      <c r="A56" s="598">
        <v>70</v>
      </c>
      <c r="B56" s="598">
        <v>0.5</v>
      </c>
      <c r="C56" s="598">
        <v>41</v>
      </c>
      <c r="F56" s="598">
        <v>13</v>
      </c>
      <c r="G56" s="598">
        <v>90</v>
      </c>
      <c r="H56" s="598">
        <v>60</v>
      </c>
      <c r="J56" s="598">
        <v>2</v>
      </c>
      <c r="K56" s="598" t="s">
        <v>3621</v>
      </c>
      <c r="L56" s="598">
        <v>0.4</v>
      </c>
      <c r="M56" s="598">
        <v>0.5</v>
      </c>
      <c r="N56" s="598">
        <v>0.06</v>
      </c>
      <c r="O56" s="598">
        <v>0.98</v>
      </c>
      <c r="P56" s="598">
        <v>400</v>
      </c>
    </row>
    <row r="57" spans="1:19" ht="12" customHeight="1">
      <c r="A57" s="598">
        <v>71</v>
      </c>
      <c r="B57" s="598">
        <v>0.51</v>
      </c>
      <c r="C57" s="598">
        <v>42</v>
      </c>
      <c r="F57" s="598">
        <v>16</v>
      </c>
      <c r="G57" s="598">
        <v>120</v>
      </c>
      <c r="H57" s="598">
        <v>90</v>
      </c>
      <c r="J57" s="598">
        <v>3</v>
      </c>
      <c r="K57" s="598" t="s">
        <v>3622</v>
      </c>
      <c r="L57" s="598">
        <v>0.3</v>
      </c>
      <c r="M57" s="598">
        <v>0.4</v>
      </c>
      <c r="N57" s="598">
        <v>0.05</v>
      </c>
      <c r="O57" s="598">
        <v>0.97</v>
      </c>
      <c r="P57" s="598">
        <v>500</v>
      </c>
    </row>
    <row r="58" spans="1:19" ht="12" customHeight="1">
      <c r="A58" s="598">
        <v>72</v>
      </c>
      <c r="B58" s="598">
        <v>0.52</v>
      </c>
      <c r="C58" s="598">
        <v>43</v>
      </c>
      <c r="F58" s="598">
        <v>18</v>
      </c>
      <c r="G58" s="598">
        <v>150</v>
      </c>
      <c r="H58" s="598">
        <v>120</v>
      </c>
      <c r="J58" s="598">
        <v>4</v>
      </c>
      <c r="K58" s="598" t="s">
        <v>3623</v>
      </c>
      <c r="L58" s="598">
        <v>0.2</v>
      </c>
      <c r="M58" s="598">
        <v>0.3</v>
      </c>
      <c r="N58" s="598">
        <v>0.04</v>
      </c>
      <c r="O58" s="598">
        <v>0.95</v>
      </c>
      <c r="P58" s="598">
        <v>600</v>
      </c>
    </row>
    <row r="59" spans="1:19" ht="12" customHeight="1">
      <c r="A59" s="598">
        <v>73</v>
      </c>
      <c r="B59" s="598">
        <v>0.53</v>
      </c>
      <c r="C59" s="598">
        <v>44</v>
      </c>
      <c r="F59" s="598">
        <v>19</v>
      </c>
      <c r="G59" s="598">
        <v>180</v>
      </c>
      <c r="H59" s="598">
        <v>135</v>
      </c>
      <c r="J59" s="598">
        <v>5</v>
      </c>
      <c r="K59" s="598" t="s">
        <v>5371</v>
      </c>
      <c r="L59" s="598">
        <v>0.1</v>
      </c>
      <c r="M59" s="598">
        <v>0.2</v>
      </c>
      <c r="N59" s="598">
        <v>0.03</v>
      </c>
      <c r="O59" s="598">
        <v>0.92</v>
      </c>
      <c r="P59" s="598">
        <v>700</v>
      </c>
    </row>
    <row r="60" spans="1:19" ht="12" customHeight="1">
      <c r="A60" s="598">
        <v>74</v>
      </c>
      <c r="B60" s="598">
        <v>0.54</v>
      </c>
      <c r="C60" s="598">
        <v>45</v>
      </c>
      <c r="F60" s="598">
        <v>20</v>
      </c>
      <c r="G60" s="598">
        <v>210</v>
      </c>
      <c r="H60" s="598">
        <v>150</v>
      </c>
      <c r="J60" s="598">
        <v>6</v>
      </c>
      <c r="K60" s="598" t="s">
        <v>5372</v>
      </c>
      <c r="L60" s="598">
        <v>0.05</v>
      </c>
      <c r="M60" s="598">
        <v>0.1</v>
      </c>
      <c r="N60" s="598">
        <v>0.02</v>
      </c>
      <c r="O60" s="598">
        <v>0.9</v>
      </c>
      <c r="P60" s="598">
        <v>800</v>
      </c>
    </row>
    <row r="61" spans="1:19" ht="12" customHeight="1">
      <c r="A61" s="598">
        <v>75</v>
      </c>
      <c r="B61" s="598">
        <v>0.55000000000000004</v>
      </c>
      <c r="C61" s="598">
        <v>46</v>
      </c>
      <c r="J61" s="598">
        <v>7</v>
      </c>
      <c r="K61" s="598" t="s">
        <v>1495</v>
      </c>
      <c r="L61" s="598">
        <v>0.03</v>
      </c>
      <c r="M61" s="598">
        <v>7.0000000000000007E-2</v>
      </c>
      <c r="N61" s="598">
        <v>0.01</v>
      </c>
      <c r="O61" s="598">
        <v>0.85</v>
      </c>
      <c r="P61" s="598">
        <v>1000</v>
      </c>
    </row>
    <row r="62" spans="1:19" ht="12" customHeight="1">
      <c r="A62" s="598">
        <v>76</v>
      </c>
      <c r="B62" s="598">
        <v>0.56000000000000005</v>
      </c>
      <c r="C62" s="598">
        <v>47</v>
      </c>
      <c r="J62" s="598">
        <v>8</v>
      </c>
      <c r="K62" s="598" t="s">
        <v>350</v>
      </c>
      <c r="L62" s="598">
        <v>0.02</v>
      </c>
      <c r="M62" s="598">
        <v>0.03</v>
      </c>
      <c r="N62" s="598">
        <v>0.01</v>
      </c>
      <c r="O62" s="598">
        <v>0.75</v>
      </c>
      <c r="P62" s="598">
        <v>1200</v>
      </c>
    </row>
    <row r="63" spans="1:19" ht="12" customHeight="1">
      <c r="A63" s="598">
        <v>77</v>
      </c>
      <c r="B63" s="598">
        <v>0.56999999999999995</v>
      </c>
      <c r="C63" s="598">
        <v>48</v>
      </c>
      <c r="J63" s="598">
        <v>9</v>
      </c>
      <c r="K63" s="598" t="s">
        <v>351</v>
      </c>
      <c r="L63" s="598">
        <v>0.01</v>
      </c>
      <c r="M63" s="598">
        <v>0.02</v>
      </c>
      <c r="N63" s="598">
        <v>0.01</v>
      </c>
      <c r="O63" s="598">
        <v>0.65</v>
      </c>
      <c r="P63" s="598">
        <v>1500</v>
      </c>
    </row>
    <row r="64" spans="1:19" ht="12" customHeight="1">
      <c r="A64" s="598">
        <v>78</v>
      </c>
      <c r="B64" s="598">
        <v>0.57999999999999996</v>
      </c>
      <c r="C64" s="598">
        <v>49</v>
      </c>
      <c r="J64" s="598">
        <v>10</v>
      </c>
      <c r="K64" s="598" t="s">
        <v>352</v>
      </c>
      <c r="L64" s="598">
        <v>0</v>
      </c>
      <c r="M64" s="598">
        <v>0.01</v>
      </c>
      <c r="N64" s="598">
        <v>0.01</v>
      </c>
      <c r="O64" s="598">
        <v>0.5</v>
      </c>
      <c r="P64" s="598">
        <v>2000</v>
      </c>
    </row>
    <row r="65" spans="1:36" ht="12" customHeight="1">
      <c r="A65" s="598">
        <v>79</v>
      </c>
      <c r="B65" s="598">
        <v>0.59</v>
      </c>
      <c r="C65" s="598">
        <v>50</v>
      </c>
    </row>
    <row r="66" spans="1:36" ht="12" customHeight="1">
      <c r="A66" s="598">
        <v>80</v>
      </c>
      <c r="B66" s="598">
        <v>0.6</v>
      </c>
      <c r="C66" s="598">
        <v>51</v>
      </c>
      <c r="AD66" s="1069">
        <f t="shared" ref="AD66:AD111" ca="1" si="0">HLOOKUP(AF66,Skill_References,AE66+1)</f>
        <v>554</v>
      </c>
      <c r="AE66" s="1069">
        <f>'Character Sheet'!K66</f>
        <v>2</v>
      </c>
      <c r="AF66" s="1069">
        <f>'Character Sheet'!A66</f>
        <v>13</v>
      </c>
      <c r="AH66" s="1069">
        <f t="shared" ref="AH66:AH111" si="1">HLOOKUP(AJ66,Skill_References,AI66+1)</f>
        <v>0</v>
      </c>
      <c r="AI66" s="1069">
        <f>'Character Sheet'!AQ66</f>
        <v>1</v>
      </c>
      <c r="AJ66" s="1069">
        <f>'Character Sheet'!AG66</f>
        <v>1</v>
      </c>
    </row>
    <row r="67" spans="1:36" ht="12" customHeight="1">
      <c r="A67" s="598">
        <v>81</v>
      </c>
      <c r="B67" s="598">
        <v>0.61</v>
      </c>
      <c r="C67" s="598">
        <v>52</v>
      </c>
      <c r="F67" s="598" t="s">
        <v>166</v>
      </c>
      <c r="J67" s="598" t="s">
        <v>3043</v>
      </c>
      <c r="K67" s="598" t="s">
        <v>3043</v>
      </c>
      <c r="M67" s="598" t="s">
        <v>3043</v>
      </c>
      <c r="O67" s="598" t="s">
        <v>3043</v>
      </c>
      <c r="Q67" s="598" t="s">
        <v>3043</v>
      </c>
      <c r="S67" s="598" t="s">
        <v>3043</v>
      </c>
      <c r="T67" s="598" t="s">
        <v>3043</v>
      </c>
      <c r="U67" s="598" t="s">
        <v>3043</v>
      </c>
      <c r="V67" s="598" t="s">
        <v>3043</v>
      </c>
      <c r="W67" s="598" t="s">
        <v>3043</v>
      </c>
      <c r="Y67" s="598" t="s">
        <v>3043</v>
      </c>
      <c r="Z67" s="598" t="s">
        <v>3043</v>
      </c>
      <c r="AA67" s="598" t="s">
        <v>3043</v>
      </c>
      <c r="AB67" s="598" t="s">
        <v>3043</v>
      </c>
      <c r="AD67" s="1069">
        <f t="shared" ca="1" si="0"/>
        <v>301</v>
      </c>
      <c r="AE67" s="1069">
        <f>'Character Sheet'!K67</f>
        <v>3</v>
      </c>
      <c r="AF67" s="1069">
        <f>'Character Sheet'!A67</f>
        <v>10</v>
      </c>
      <c r="AH67" s="1069">
        <f t="shared" si="1"/>
        <v>0</v>
      </c>
      <c r="AI67" s="1069">
        <f>'Character Sheet'!AQ67</f>
        <v>1</v>
      </c>
      <c r="AJ67" s="1069">
        <f>'Character Sheet'!AG67</f>
        <v>1</v>
      </c>
    </row>
    <row r="68" spans="1:36" ht="12" customHeight="1">
      <c r="A68" s="598">
        <v>82</v>
      </c>
      <c r="B68" s="598">
        <v>0.62</v>
      </c>
      <c r="C68" s="598">
        <v>53</v>
      </c>
      <c r="H68" s="598" t="s">
        <v>589</v>
      </c>
      <c r="I68" s="598" t="s">
        <v>4620</v>
      </c>
      <c r="J68" s="598" t="s">
        <v>178</v>
      </c>
      <c r="K68" s="598" t="s">
        <v>4621</v>
      </c>
      <c r="L68" s="598" t="s">
        <v>4622</v>
      </c>
      <c r="M68" s="598" t="s">
        <v>4623</v>
      </c>
      <c r="N68" s="598" t="s">
        <v>4624</v>
      </c>
      <c r="O68" s="598" t="s">
        <v>2763</v>
      </c>
      <c r="P68" s="598" t="s">
        <v>1528</v>
      </c>
      <c r="Q68" s="598" t="s">
        <v>4625</v>
      </c>
      <c r="R68" s="598" t="s">
        <v>4626</v>
      </c>
      <c r="S68" s="598" t="s">
        <v>1563</v>
      </c>
      <c r="T68" s="598" t="s">
        <v>5221</v>
      </c>
      <c r="U68" s="598" t="s">
        <v>5224</v>
      </c>
      <c r="V68" s="598" t="s">
        <v>177</v>
      </c>
      <c r="W68" s="598" t="s">
        <v>4627</v>
      </c>
      <c r="X68" s="598" t="s">
        <v>4628</v>
      </c>
      <c r="Y68" s="598" t="s">
        <v>4629</v>
      </c>
      <c r="Z68" s="598" t="s">
        <v>4630</v>
      </c>
      <c r="AA68" s="598" t="s">
        <v>4631</v>
      </c>
      <c r="AB68" s="598" t="s">
        <v>4632</v>
      </c>
      <c r="AD68" s="1069">
        <f t="shared" ca="1" si="0"/>
        <v>12</v>
      </c>
      <c r="AE68" s="1069">
        <f>'Character Sheet'!K68</f>
        <v>8</v>
      </c>
      <c r="AF68" s="1069">
        <f>'Character Sheet'!A68</f>
        <v>2</v>
      </c>
      <c r="AH68" s="1069">
        <f t="shared" si="1"/>
        <v>0</v>
      </c>
      <c r="AI68" s="1069">
        <f>'Character Sheet'!AQ68</f>
        <v>1</v>
      </c>
      <c r="AJ68" s="1069">
        <f>'Character Sheet'!AG68</f>
        <v>1</v>
      </c>
    </row>
    <row r="69" spans="1:36" ht="12" customHeight="1">
      <c r="A69" s="598">
        <v>83</v>
      </c>
      <c r="B69" s="598">
        <v>0.63</v>
      </c>
      <c r="C69" s="598">
        <v>54</v>
      </c>
      <c r="H69" s="598">
        <v>1</v>
      </c>
      <c r="I69" s="598">
        <v>2</v>
      </c>
      <c r="J69" s="598">
        <v>3</v>
      </c>
      <c r="K69" s="598">
        <v>4</v>
      </c>
      <c r="L69" s="598">
        <v>5</v>
      </c>
      <c r="M69" s="598">
        <v>6</v>
      </c>
      <c r="N69" s="598">
        <v>7</v>
      </c>
      <c r="O69" s="598">
        <v>8</v>
      </c>
      <c r="P69" s="598">
        <v>9</v>
      </c>
      <c r="Q69" s="598">
        <v>10</v>
      </c>
      <c r="R69" s="598">
        <v>11</v>
      </c>
      <c r="S69" s="598">
        <v>12</v>
      </c>
      <c r="T69" s="598">
        <v>13</v>
      </c>
      <c r="U69" s="598">
        <v>14</v>
      </c>
      <c r="V69" s="598">
        <v>15</v>
      </c>
      <c r="W69" s="598">
        <v>16</v>
      </c>
      <c r="X69" s="598">
        <v>17</v>
      </c>
      <c r="Y69" s="598">
        <v>18</v>
      </c>
      <c r="Z69" s="598">
        <v>19</v>
      </c>
      <c r="AA69" s="598">
        <v>20</v>
      </c>
      <c r="AB69" s="598">
        <v>21</v>
      </c>
      <c r="AD69" s="1069">
        <f t="shared" si="0"/>
        <v>0</v>
      </c>
      <c r="AE69" s="1069">
        <f>'Character Sheet'!K69</f>
        <v>1</v>
      </c>
      <c r="AF69" s="1069">
        <f>'Character Sheet'!A69</f>
        <v>1</v>
      </c>
      <c r="AH69" s="1069">
        <f t="shared" si="1"/>
        <v>0</v>
      </c>
      <c r="AI69" s="1069">
        <f>'Character Sheet'!AQ69</f>
        <v>1</v>
      </c>
      <c r="AJ69" s="1069">
        <f>'Character Sheet'!AG69</f>
        <v>1</v>
      </c>
    </row>
    <row r="70" spans="1:36" ht="12" customHeight="1">
      <c r="A70" s="598">
        <v>84</v>
      </c>
      <c r="B70" s="598">
        <v>0.64</v>
      </c>
      <c r="C70" s="598">
        <v>55</v>
      </c>
      <c r="F70" s="598">
        <v>25</v>
      </c>
      <c r="G70" s="598">
        <v>0</v>
      </c>
      <c r="H70" s="598">
        <v>1.5</v>
      </c>
      <c r="I70" s="598">
        <v>2</v>
      </c>
      <c r="J70" s="598">
        <v>3</v>
      </c>
      <c r="K70" s="598">
        <v>4</v>
      </c>
      <c r="L70" s="598">
        <v>4.5</v>
      </c>
      <c r="M70" s="598">
        <v>5</v>
      </c>
      <c r="N70" s="598">
        <v>6</v>
      </c>
      <c r="O70" s="598">
        <v>7</v>
      </c>
      <c r="P70" s="598">
        <v>7.5</v>
      </c>
      <c r="Q70" s="598">
        <v>8</v>
      </c>
      <c r="R70" s="598">
        <v>9</v>
      </c>
      <c r="S70" s="598">
        <v>10</v>
      </c>
      <c r="T70" s="598">
        <v>10.5</v>
      </c>
      <c r="U70" s="598">
        <v>11.5</v>
      </c>
      <c r="V70" s="598">
        <v>12</v>
      </c>
      <c r="W70" s="598">
        <v>13</v>
      </c>
      <c r="X70" s="598">
        <v>14</v>
      </c>
      <c r="Y70" s="598">
        <v>15</v>
      </c>
      <c r="Z70" s="598">
        <v>16.5</v>
      </c>
      <c r="AA70" s="598">
        <v>18</v>
      </c>
      <c r="AB70" s="598">
        <v>21</v>
      </c>
      <c r="AD70" s="1069">
        <f t="shared" si="0"/>
        <v>0</v>
      </c>
      <c r="AE70" s="1069">
        <f>'Character Sheet'!K70</f>
        <v>1</v>
      </c>
      <c r="AF70" s="1069">
        <f>'Character Sheet'!A70</f>
        <v>1</v>
      </c>
      <c r="AH70" s="1069">
        <f t="shared" si="1"/>
        <v>0</v>
      </c>
      <c r="AI70" s="1069">
        <f>'Character Sheet'!AQ70</f>
        <v>1</v>
      </c>
      <c r="AJ70" s="1069">
        <f>'Character Sheet'!AG70</f>
        <v>1</v>
      </c>
    </row>
    <row r="71" spans="1:36" ht="12" customHeight="1">
      <c r="A71" s="598">
        <v>85</v>
      </c>
      <c r="B71" s="598">
        <v>0.65</v>
      </c>
      <c r="C71" s="598">
        <v>56</v>
      </c>
      <c r="F71" s="598">
        <v>100</v>
      </c>
      <c r="G71" s="598">
        <v>1</v>
      </c>
      <c r="H71" s="598">
        <v>2</v>
      </c>
      <c r="I71" s="598">
        <v>3</v>
      </c>
      <c r="J71" s="598">
        <v>4</v>
      </c>
      <c r="K71" s="598">
        <v>5</v>
      </c>
      <c r="L71" s="598">
        <v>6</v>
      </c>
      <c r="M71" s="598">
        <v>7</v>
      </c>
      <c r="N71" s="598">
        <v>8</v>
      </c>
      <c r="O71" s="598">
        <v>9</v>
      </c>
      <c r="P71" s="598">
        <v>10</v>
      </c>
      <c r="Q71" s="598">
        <v>11</v>
      </c>
      <c r="R71" s="598">
        <v>12</v>
      </c>
      <c r="S71" s="598">
        <v>13</v>
      </c>
      <c r="T71" s="598">
        <v>1</v>
      </c>
      <c r="U71" s="598">
        <v>15</v>
      </c>
      <c r="V71" s="598">
        <v>16</v>
      </c>
      <c r="W71" s="598">
        <v>17</v>
      </c>
      <c r="X71" s="598">
        <v>18</v>
      </c>
      <c r="Y71" s="598">
        <v>19</v>
      </c>
      <c r="Z71" s="598">
        <v>20</v>
      </c>
      <c r="AA71" s="598">
        <v>22</v>
      </c>
      <c r="AB71" s="598">
        <v>26</v>
      </c>
      <c r="AD71" s="1069">
        <f t="shared" si="0"/>
        <v>0</v>
      </c>
      <c r="AE71" s="1069">
        <f>'Character Sheet'!K71</f>
        <v>1</v>
      </c>
      <c r="AF71" s="1069">
        <f>'Character Sheet'!A71</f>
        <v>1</v>
      </c>
      <c r="AH71" s="1069">
        <f t="shared" si="1"/>
        <v>0</v>
      </c>
      <c r="AI71" s="1069">
        <f>'Character Sheet'!AQ71</f>
        <v>1</v>
      </c>
      <c r="AJ71" s="1069">
        <f>'Character Sheet'!AG71</f>
        <v>1</v>
      </c>
    </row>
    <row r="72" spans="1:36" ht="12" customHeight="1">
      <c r="A72" s="598">
        <v>86</v>
      </c>
      <c r="B72" s="598">
        <v>0.66</v>
      </c>
      <c r="C72" s="598">
        <v>57</v>
      </c>
      <c r="F72" s="598">
        <v>125</v>
      </c>
      <c r="G72" s="598">
        <v>2</v>
      </c>
      <c r="H72" s="598">
        <v>2.5</v>
      </c>
      <c r="I72" s="598">
        <v>4</v>
      </c>
      <c r="J72" s="598">
        <v>5</v>
      </c>
      <c r="K72" s="598">
        <v>6</v>
      </c>
      <c r="L72" s="598">
        <v>7.5</v>
      </c>
      <c r="M72" s="598">
        <v>9</v>
      </c>
      <c r="N72" s="598">
        <v>10.5</v>
      </c>
      <c r="O72" s="598">
        <v>11</v>
      </c>
      <c r="P72" s="598">
        <v>12.5</v>
      </c>
      <c r="Q72" s="598">
        <v>14</v>
      </c>
      <c r="R72" s="598">
        <v>15</v>
      </c>
      <c r="S72" s="598">
        <v>16</v>
      </c>
      <c r="T72" s="598">
        <v>17.5</v>
      </c>
      <c r="U72" s="598">
        <v>19</v>
      </c>
      <c r="V72" s="598">
        <v>20</v>
      </c>
      <c r="W72" s="598">
        <v>21</v>
      </c>
      <c r="X72" s="598">
        <v>22</v>
      </c>
      <c r="Y72" s="598">
        <v>24</v>
      </c>
      <c r="Z72" s="598">
        <v>25</v>
      </c>
      <c r="AA72" s="598">
        <v>28</v>
      </c>
      <c r="AB72" s="598">
        <v>35</v>
      </c>
      <c r="AD72" s="1069">
        <f t="shared" si="0"/>
        <v>0</v>
      </c>
      <c r="AE72" s="1069">
        <f>'Character Sheet'!K72</f>
        <v>1</v>
      </c>
      <c r="AF72" s="1069">
        <f>'Character Sheet'!A72</f>
        <v>1</v>
      </c>
      <c r="AH72" s="1069">
        <f t="shared" si="1"/>
        <v>0</v>
      </c>
      <c r="AI72" s="1069">
        <f>'Character Sheet'!AQ72</f>
        <v>1</v>
      </c>
      <c r="AJ72" s="1069">
        <f>'Character Sheet'!AG72</f>
        <v>1</v>
      </c>
    </row>
    <row r="73" spans="1:36" ht="12" customHeight="1">
      <c r="A73" s="598">
        <v>87</v>
      </c>
      <c r="B73" s="598">
        <v>0.67</v>
      </c>
      <c r="C73" s="598">
        <v>58</v>
      </c>
      <c r="F73" s="598">
        <v>150</v>
      </c>
      <c r="G73" s="598">
        <v>3</v>
      </c>
      <c r="H73" s="598">
        <v>3</v>
      </c>
      <c r="I73" s="598">
        <v>4.5</v>
      </c>
      <c r="J73" s="598">
        <v>6</v>
      </c>
      <c r="K73" s="598">
        <v>7.5</v>
      </c>
      <c r="L73" s="598">
        <v>9</v>
      </c>
      <c r="M73" s="598">
        <v>10.5</v>
      </c>
      <c r="N73" s="598">
        <v>12</v>
      </c>
      <c r="O73" s="598">
        <v>13.5</v>
      </c>
      <c r="P73" s="598">
        <v>15</v>
      </c>
      <c r="Q73" s="598">
        <v>16.5</v>
      </c>
      <c r="R73" s="598">
        <v>18</v>
      </c>
      <c r="S73" s="598">
        <v>19.5</v>
      </c>
      <c r="T73" s="598">
        <v>21</v>
      </c>
      <c r="U73" s="598">
        <v>22.5</v>
      </c>
      <c r="V73" s="598">
        <v>24</v>
      </c>
      <c r="W73" s="598">
        <v>25</v>
      </c>
      <c r="X73" s="598">
        <v>27</v>
      </c>
      <c r="Y73" s="598">
        <v>29</v>
      </c>
      <c r="Z73" s="598">
        <v>30</v>
      </c>
      <c r="AA73" s="598">
        <v>33</v>
      </c>
      <c r="AB73" s="598">
        <v>40</v>
      </c>
      <c r="AD73" s="1069">
        <f t="shared" si="0"/>
        <v>0</v>
      </c>
      <c r="AE73" s="1069">
        <f>'Character Sheet'!K73</f>
        <v>1</v>
      </c>
      <c r="AF73" s="1069">
        <f>'Character Sheet'!A73</f>
        <v>1</v>
      </c>
      <c r="AH73" s="1069">
        <f t="shared" si="1"/>
        <v>0</v>
      </c>
      <c r="AI73" s="1069">
        <f>'Character Sheet'!AQ73</f>
        <v>1</v>
      </c>
      <c r="AJ73" s="1069">
        <f>'Character Sheet'!AG73</f>
        <v>1</v>
      </c>
    </row>
    <row r="74" spans="1:36" ht="12" customHeight="1">
      <c r="A74" s="598">
        <v>88</v>
      </c>
      <c r="B74" s="598">
        <v>0.68</v>
      </c>
      <c r="C74" s="598">
        <v>59</v>
      </c>
      <c r="F74" s="598">
        <v>175</v>
      </c>
      <c r="G74" s="598">
        <v>4</v>
      </c>
      <c r="H74" s="598">
        <v>3.5</v>
      </c>
      <c r="I74" s="598">
        <v>5</v>
      </c>
      <c r="J74" s="598">
        <v>7</v>
      </c>
      <c r="K74" s="598">
        <v>9</v>
      </c>
      <c r="L74" s="598">
        <v>10.5</v>
      </c>
      <c r="M74" s="598">
        <v>12</v>
      </c>
      <c r="N74" s="598">
        <v>14</v>
      </c>
      <c r="O74" s="598">
        <v>16</v>
      </c>
      <c r="P74" s="598">
        <v>17.5</v>
      </c>
      <c r="Q74" s="598">
        <v>19</v>
      </c>
      <c r="R74" s="598">
        <v>21</v>
      </c>
      <c r="S74" s="598">
        <v>23</v>
      </c>
      <c r="T74" s="598">
        <v>24.5</v>
      </c>
      <c r="U74" s="598">
        <v>26</v>
      </c>
      <c r="V74" s="598">
        <v>28</v>
      </c>
      <c r="W74" s="598">
        <v>30</v>
      </c>
      <c r="X74" s="598">
        <v>32</v>
      </c>
      <c r="Y74" s="598">
        <v>33</v>
      </c>
      <c r="Z74" s="598">
        <v>35</v>
      </c>
      <c r="AA74" s="598">
        <v>39</v>
      </c>
      <c r="AB74" s="598">
        <v>46</v>
      </c>
      <c r="AD74" s="1069">
        <f t="shared" si="0"/>
        <v>0</v>
      </c>
      <c r="AE74" s="1069">
        <f>'Character Sheet'!K74</f>
        <v>1</v>
      </c>
      <c r="AF74" s="1069">
        <f>'Character Sheet'!A74</f>
        <v>1</v>
      </c>
      <c r="AH74" s="1069">
        <f t="shared" si="1"/>
        <v>0</v>
      </c>
      <c r="AI74" s="1069">
        <f>'Character Sheet'!AQ74</f>
        <v>1</v>
      </c>
      <c r="AJ74" s="1069">
        <f>'Character Sheet'!AG74</f>
        <v>1</v>
      </c>
    </row>
    <row r="75" spans="1:36" ht="12" customHeight="1">
      <c r="A75" s="598">
        <v>89</v>
      </c>
      <c r="B75" s="598">
        <v>0.69</v>
      </c>
      <c r="C75" s="598">
        <v>60</v>
      </c>
      <c r="F75" s="598">
        <v>200</v>
      </c>
      <c r="G75" s="598">
        <v>5</v>
      </c>
      <c r="H75" s="598">
        <v>4</v>
      </c>
      <c r="I75" s="598">
        <v>6</v>
      </c>
      <c r="J75" s="598">
        <v>8</v>
      </c>
      <c r="K75" s="598">
        <v>10</v>
      </c>
      <c r="L75" s="598">
        <v>12</v>
      </c>
      <c r="M75" s="598">
        <v>14</v>
      </c>
      <c r="N75" s="598">
        <v>16</v>
      </c>
      <c r="O75" s="598">
        <v>18</v>
      </c>
      <c r="P75" s="598">
        <v>20</v>
      </c>
      <c r="Q75" s="598">
        <v>22</v>
      </c>
      <c r="R75" s="598">
        <v>24</v>
      </c>
      <c r="S75" s="598">
        <v>26</v>
      </c>
      <c r="T75" s="598">
        <v>28</v>
      </c>
      <c r="U75" s="598">
        <v>30</v>
      </c>
      <c r="V75" s="598">
        <v>32</v>
      </c>
      <c r="W75" s="598">
        <v>34</v>
      </c>
      <c r="X75" s="598">
        <v>36</v>
      </c>
      <c r="Y75" s="598">
        <v>38</v>
      </c>
      <c r="Z75" s="598">
        <v>40</v>
      </c>
      <c r="AA75" s="598">
        <v>44</v>
      </c>
      <c r="AB75" s="598">
        <v>52</v>
      </c>
      <c r="AD75" s="1069">
        <f t="shared" si="0"/>
        <v>0</v>
      </c>
      <c r="AE75" s="1069">
        <f>'Character Sheet'!K75</f>
        <v>1</v>
      </c>
      <c r="AF75" s="1069">
        <f>'Character Sheet'!A75</f>
        <v>1</v>
      </c>
      <c r="AH75" s="1069">
        <f t="shared" si="1"/>
        <v>0</v>
      </c>
      <c r="AI75" s="1069">
        <f>'Character Sheet'!AQ75</f>
        <v>1</v>
      </c>
      <c r="AJ75" s="1069">
        <f>'Character Sheet'!AG75</f>
        <v>1</v>
      </c>
    </row>
    <row r="76" spans="1:36" ht="12" customHeight="1">
      <c r="A76" s="598">
        <v>90</v>
      </c>
      <c r="B76" s="598">
        <v>0.7</v>
      </c>
      <c r="C76" s="598">
        <v>61</v>
      </c>
      <c r="F76" s="598">
        <v>225</v>
      </c>
      <c r="G76" s="598">
        <v>6</v>
      </c>
      <c r="H76" s="598">
        <v>4.5</v>
      </c>
      <c r="I76" s="598">
        <v>77</v>
      </c>
      <c r="J76" s="598">
        <v>9</v>
      </c>
      <c r="K76" s="598">
        <v>11</v>
      </c>
      <c r="L76" s="598">
        <v>13.5</v>
      </c>
      <c r="M76" s="598">
        <v>16</v>
      </c>
      <c r="N76" s="598">
        <v>18</v>
      </c>
      <c r="O76" s="598">
        <v>20</v>
      </c>
      <c r="P76" s="598">
        <v>22.5</v>
      </c>
      <c r="Q76" s="598">
        <v>25</v>
      </c>
      <c r="R76" s="598">
        <v>27</v>
      </c>
      <c r="S76" s="598">
        <v>29</v>
      </c>
      <c r="T76" s="598">
        <v>31.5</v>
      </c>
      <c r="U76" s="598">
        <v>34</v>
      </c>
      <c r="V76" s="598">
        <v>36</v>
      </c>
      <c r="W76" s="598">
        <v>38</v>
      </c>
      <c r="X76" s="598">
        <v>40</v>
      </c>
      <c r="Y76" s="598">
        <v>43</v>
      </c>
      <c r="Z76" s="598">
        <v>45</v>
      </c>
      <c r="AA76" s="598">
        <v>50</v>
      </c>
      <c r="AB76" s="598">
        <v>58</v>
      </c>
      <c r="AD76" s="1069">
        <f t="shared" si="0"/>
        <v>0</v>
      </c>
      <c r="AE76" s="1069">
        <f>'Character Sheet'!K76</f>
        <v>1</v>
      </c>
      <c r="AF76" s="1069">
        <f>'Character Sheet'!A76</f>
        <v>1</v>
      </c>
      <c r="AH76" s="1069">
        <f t="shared" si="1"/>
        <v>0</v>
      </c>
      <c r="AI76" s="1069">
        <f>'Character Sheet'!AQ76</f>
        <v>1</v>
      </c>
      <c r="AJ76" s="1069">
        <f>'Character Sheet'!AG76</f>
        <v>1</v>
      </c>
    </row>
    <row r="77" spans="1:36" ht="12" customHeight="1">
      <c r="A77" s="598">
        <v>91</v>
      </c>
      <c r="B77" s="598">
        <v>0.71</v>
      </c>
      <c r="C77" s="598">
        <v>62</v>
      </c>
      <c r="F77" s="598">
        <v>250</v>
      </c>
      <c r="G77" s="598">
        <v>7</v>
      </c>
      <c r="H77" s="598">
        <v>5</v>
      </c>
      <c r="I77" s="598">
        <v>7.5</v>
      </c>
      <c r="J77" s="598">
        <v>10</v>
      </c>
      <c r="K77" s="598">
        <v>12.5</v>
      </c>
      <c r="L77" s="598">
        <v>15</v>
      </c>
      <c r="M77" s="598">
        <v>17.5</v>
      </c>
      <c r="N77" s="598">
        <v>20</v>
      </c>
      <c r="O77" s="598">
        <v>22.5</v>
      </c>
      <c r="P77" s="598">
        <v>25</v>
      </c>
      <c r="Q77" s="598">
        <v>27</v>
      </c>
      <c r="R77" s="598">
        <v>30</v>
      </c>
      <c r="S77" s="598">
        <v>32.5</v>
      </c>
      <c r="T77" s="598">
        <v>35</v>
      </c>
      <c r="U77" s="598">
        <v>37.5</v>
      </c>
      <c r="V77" s="598">
        <v>40</v>
      </c>
      <c r="W77" s="598">
        <v>42</v>
      </c>
      <c r="X77" s="598">
        <v>45</v>
      </c>
      <c r="Y77" s="598">
        <v>47</v>
      </c>
      <c r="Z77" s="598">
        <v>50</v>
      </c>
      <c r="AA77" s="598">
        <v>55</v>
      </c>
      <c r="AB77" s="598">
        <v>65</v>
      </c>
      <c r="AD77" s="1069">
        <f t="shared" ca="1" si="0"/>
        <v>837</v>
      </c>
      <c r="AE77" s="1069">
        <f>'Character Sheet'!K77</f>
        <v>1</v>
      </c>
      <c r="AF77" s="1069">
        <f>'Character Sheet'!A77</f>
        <v>20</v>
      </c>
      <c r="AH77" s="1069">
        <f t="shared" si="1"/>
        <v>0</v>
      </c>
      <c r="AI77" s="1069">
        <f>'Character Sheet'!AQ77</f>
        <v>1</v>
      </c>
      <c r="AJ77" s="1069">
        <f>'Character Sheet'!AG77</f>
        <v>1</v>
      </c>
    </row>
    <row r="78" spans="1:36" ht="12" customHeight="1">
      <c r="A78" s="598">
        <v>92</v>
      </c>
      <c r="B78" s="598">
        <v>0.72</v>
      </c>
      <c r="C78" s="598">
        <v>63</v>
      </c>
      <c r="F78" s="598">
        <v>275</v>
      </c>
      <c r="G78" s="598">
        <v>8</v>
      </c>
      <c r="H78" s="598">
        <v>5.5</v>
      </c>
      <c r="I78" s="598">
        <v>8</v>
      </c>
      <c r="J78" s="598">
        <v>11</v>
      </c>
      <c r="K78" s="598">
        <v>14</v>
      </c>
      <c r="L78" s="598">
        <v>16.5</v>
      </c>
      <c r="M78" s="598">
        <v>19</v>
      </c>
      <c r="N78" s="598">
        <v>22</v>
      </c>
      <c r="O78" s="598">
        <v>25</v>
      </c>
      <c r="P78" s="598">
        <v>27.5</v>
      </c>
      <c r="Q78" s="598">
        <v>30</v>
      </c>
      <c r="R78" s="598">
        <v>33</v>
      </c>
      <c r="S78" s="598">
        <v>36</v>
      </c>
      <c r="T78" s="598">
        <v>38.5</v>
      </c>
      <c r="U78" s="598">
        <v>41</v>
      </c>
      <c r="V78" s="598">
        <v>44</v>
      </c>
      <c r="W78" s="598">
        <v>47</v>
      </c>
      <c r="X78" s="598">
        <v>50</v>
      </c>
      <c r="Y78" s="598">
        <v>52</v>
      </c>
      <c r="Z78" s="598">
        <v>55</v>
      </c>
      <c r="AA78" s="598">
        <v>60</v>
      </c>
      <c r="AB78" s="598">
        <v>72</v>
      </c>
      <c r="AD78" s="1069">
        <f t="shared" ca="1" si="0"/>
        <v>553</v>
      </c>
      <c r="AE78" s="1069">
        <f>'Character Sheet'!K78</f>
        <v>1</v>
      </c>
      <c r="AF78" s="1069">
        <f>'Character Sheet'!A78</f>
        <v>13</v>
      </c>
      <c r="AH78" s="1069">
        <f t="shared" si="1"/>
        <v>0</v>
      </c>
      <c r="AI78" s="1069">
        <f>'Character Sheet'!AQ78</f>
        <v>1</v>
      </c>
      <c r="AJ78" s="1069">
        <f>'Character Sheet'!AG78</f>
        <v>1</v>
      </c>
    </row>
    <row r="79" spans="1:36" ht="12" customHeight="1">
      <c r="A79" s="598">
        <v>93</v>
      </c>
      <c r="B79" s="598">
        <v>0.73</v>
      </c>
      <c r="C79" s="598">
        <v>64</v>
      </c>
      <c r="F79" s="598">
        <v>300</v>
      </c>
      <c r="G79" s="598">
        <v>9</v>
      </c>
      <c r="H79" s="598">
        <v>6</v>
      </c>
      <c r="I79" s="598">
        <v>9</v>
      </c>
      <c r="J79" s="598">
        <v>12</v>
      </c>
      <c r="K79" s="598">
        <v>15</v>
      </c>
      <c r="L79" s="598">
        <v>18</v>
      </c>
      <c r="M79" s="598">
        <v>21</v>
      </c>
      <c r="N79" s="598">
        <v>24</v>
      </c>
      <c r="O79" s="598">
        <v>27</v>
      </c>
      <c r="P79" s="598">
        <v>30</v>
      </c>
      <c r="Q79" s="598">
        <v>33.5</v>
      </c>
      <c r="R79" s="598">
        <v>36</v>
      </c>
      <c r="S79" s="598">
        <v>39</v>
      </c>
      <c r="T79" s="598">
        <v>42</v>
      </c>
      <c r="U79" s="598">
        <v>45</v>
      </c>
      <c r="V79" s="598">
        <v>48</v>
      </c>
      <c r="W79" s="598">
        <v>52</v>
      </c>
      <c r="X79" s="598">
        <v>55</v>
      </c>
      <c r="Y79" s="598">
        <v>57</v>
      </c>
      <c r="Z79" s="598">
        <v>60</v>
      </c>
      <c r="AA79" s="598">
        <v>66</v>
      </c>
      <c r="AB79" s="598">
        <v>78</v>
      </c>
      <c r="AD79" s="1069">
        <f t="shared" si="0"/>
        <v>0</v>
      </c>
      <c r="AE79" s="1069">
        <f>'Character Sheet'!K79</f>
        <v>1</v>
      </c>
      <c r="AF79" s="1069">
        <f>'Character Sheet'!A79</f>
        <v>1</v>
      </c>
      <c r="AH79" s="1069">
        <f t="shared" si="1"/>
        <v>0</v>
      </c>
      <c r="AI79" s="1069">
        <f>'Character Sheet'!AQ79</f>
        <v>1</v>
      </c>
      <c r="AJ79" s="1069">
        <f>'Character Sheet'!AG79</f>
        <v>1</v>
      </c>
    </row>
    <row r="80" spans="1:36" ht="12" customHeight="1">
      <c r="A80" s="598">
        <v>94</v>
      </c>
      <c r="B80" s="598">
        <v>0.74</v>
      </c>
      <c r="C80" s="598">
        <v>65</v>
      </c>
      <c r="F80" s="598">
        <v>352</v>
      </c>
      <c r="G80" s="598">
        <v>10</v>
      </c>
      <c r="H80" s="598">
        <v>8</v>
      </c>
      <c r="I80" s="598">
        <v>11</v>
      </c>
      <c r="J80" s="598">
        <v>14</v>
      </c>
      <c r="K80" s="598">
        <v>17</v>
      </c>
      <c r="L80" s="598">
        <v>21</v>
      </c>
      <c r="M80" s="598">
        <v>24</v>
      </c>
      <c r="N80" s="598">
        <v>28</v>
      </c>
      <c r="O80" s="598">
        <v>31.5</v>
      </c>
      <c r="P80" s="598">
        <v>35</v>
      </c>
      <c r="Q80" s="598">
        <v>38</v>
      </c>
      <c r="R80" s="598">
        <v>42</v>
      </c>
      <c r="S80" s="598">
        <v>45.5</v>
      </c>
      <c r="T80" s="598">
        <v>49</v>
      </c>
      <c r="U80" s="598">
        <v>52.5</v>
      </c>
      <c r="V80" s="598">
        <v>56</v>
      </c>
      <c r="W80" s="598">
        <v>60</v>
      </c>
      <c r="X80" s="598">
        <v>63</v>
      </c>
      <c r="Y80" s="598">
        <v>66</v>
      </c>
      <c r="Z80" s="598">
        <v>70</v>
      </c>
      <c r="AA80" s="598">
        <v>77</v>
      </c>
      <c r="AB80" s="598">
        <v>90</v>
      </c>
      <c r="AD80" s="1069">
        <f t="shared" si="0"/>
        <v>0</v>
      </c>
      <c r="AE80" s="1069">
        <f>'Character Sheet'!K80</f>
        <v>1</v>
      </c>
      <c r="AF80" s="1069">
        <f>'Character Sheet'!A80</f>
        <v>1</v>
      </c>
      <c r="AH80" s="1069">
        <f t="shared" si="1"/>
        <v>0</v>
      </c>
      <c r="AI80" s="1069">
        <f>'Character Sheet'!AQ80</f>
        <v>1</v>
      </c>
      <c r="AJ80" s="1069">
        <f>'Character Sheet'!AG80</f>
        <v>1</v>
      </c>
    </row>
    <row r="81" spans="1:36" ht="12" customHeight="1">
      <c r="A81" s="598">
        <v>95</v>
      </c>
      <c r="B81" s="598">
        <v>0.75</v>
      </c>
      <c r="C81" s="598">
        <v>66</v>
      </c>
      <c r="AD81" s="1069">
        <f t="shared" si="0"/>
        <v>0</v>
      </c>
      <c r="AE81" s="1069">
        <f>'Character Sheet'!K81</f>
        <v>1</v>
      </c>
      <c r="AF81" s="1069">
        <f>'Character Sheet'!A81</f>
        <v>1</v>
      </c>
      <c r="AH81" s="1069">
        <f t="shared" si="1"/>
        <v>0</v>
      </c>
      <c r="AI81" s="1069">
        <f>'Character Sheet'!AQ81</f>
        <v>1</v>
      </c>
      <c r="AJ81" s="1069">
        <f>'Character Sheet'!AG81</f>
        <v>1</v>
      </c>
    </row>
    <row r="82" spans="1:36" ht="12" customHeight="1">
      <c r="A82" s="598">
        <v>96</v>
      </c>
      <c r="B82" s="598">
        <v>0.76</v>
      </c>
      <c r="C82" s="598">
        <v>67</v>
      </c>
      <c r="J82" s="598">
        <f>VLOOKUP('Main Creation Page'!O35,F70:G80,2)</f>
        <v>4</v>
      </c>
      <c r="K82" s="598" t="s">
        <v>1332</v>
      </c>
      <c r="AD82" s="1069">
        <f t="shared" si="0"/>
        <v>0</v>
      </c>
      <c r="AE82" s="1069">
        <f>'Character Sheet'!K82</f>
        <v>1</v>
      </c>
      <c r="AF82" s="1069">
        <f>'Character Sheet'!A82</f>
        <v>1</v>
      </c>
      <c r="AH82" s="1069">
        <f t="shared" si="1"/>
        <v>0</v>
      </c>
      <c r="AI82" s="1069">
        <f>'Character Sheet'!AQ82</f>
        <v>1</v>
      </c>
      <c r="AJ82" s="1069">
        <f>'Character Sheet'!AG82</f>
        <v>1</v>
      </c>
    </row>
    <row r="83" spans="1:36" ht="12" customHeight="1">
      <c r="A83" s="598">
        <v>97</v>
      </c>
      <c r="B83" s="598">
        <v>0.77</v>
      </c>
      <c r="C83" s="598">
        <v>68</v>
      </c>
      <c r="AD83" s="1069">
        <f t="shared" si="0"/>
        <v>0</v>
      </c>
      <c r="AE83" s="1069">
        <f>'Character Sheet'!K83</f>
        <v>1</v>
      </c>
      <c r="AF83" s="1069">
        <f>'Character Sheet'!A83</f>
        <v>1</v>
      </c>
      <c r="AH83" s="1069">
        <f t="shared" si="1"/>
        <v>0</v>
      </c>
      <c r="AI83" s="1069">
        <f>'Character Sheet'!AQ83</f>
        <v>1</v>
      </c>
      <c r="AJ83" s="1069">
        <f>'Character Sheet'!AG83</f>
        <v>1</v>
      </c>
    </row>
    <row r="84" spans="1:36" ht="12" customHeight="1">
      <c r="A84" s="598">
        <v>98</v>
      </c>
      <c r="B84" s="598">
        <v>0.78</v>
      </c>
      <c r="C84" s="598">
        <v>69</v>
      </c>
      <c r="P84" s="598" t="s">
        <v>409</v>
      </c>
      <c r="AD84" s="1069">
        <f t="shared" si="0"/>
        <v>0</v>
      </c>
      <c r="AE84" s="1069">
        <f>'Character Sheet'!K84</f>
        <v>1</v>
      </c>
      <c r="AF84" s="1069">
        <f>'Character Sheet'!A84</f>
        <v>1</v>
      </c>
      <c r="AH84" s="1069">
        <f t="shared" si="1"/>
        <v>0</v>
      </c>
      <c r="AI84" s="1069">
        <f>'Character Sheet'!AQ84</f>
        <v>1</v>
      </c>
      <c r="AJ84" s="1069">
        <f>'Character Sheet'!AG84</f>
        <v>1</v>
      </c>
    </row>
    <row r="85" spans="1:36" ht="12" customHeight="1">
      <c r="A85" s="598">
        <v>99</v>
      </c>
      <c r="B85" s="598">
        <v>0.79</v>
      </c>
      <c r="C85" s="598">
        <v>70</v>
      </c>
      <c r="P85" s="598">
        <v>1</v>
      </c>
      <c r="Q85" s="598">
        <v>10</v>
      </c>
      <c r="R85" s="598">
        <v>10</v>
      </c>
      <c r="AD85" s="1069">
        <f t="shared" si="0"/>
        <v>0</v>
      </c>
      <c r="AE85" s="1069">
        <f>'Character Sheet'!K85</f>
        <v>1</v>
      </c>
      <c r="AF85" s="1069">
        <f>'Character Sheet'!A85</f>
        <v>1</v>
      </c>
      <c r="AH85" s="1069">
        <f t="shared" si="1"/>
        <v>0</v>
      </c>
      <c r="AI85" s="1069">
        <f>'Character Sheet'!AQ85</f>
        <v>1</v>
      </c>
      <c r="AJ85" s="1069">
        <f>'Character Sheet'!AG85</f>
        <v>1</v>
      </c>
    </row>
    <row r="86" spans="1:36" ht="12" customHeight="1">
      <c r="A86" s="598">
        <v>100</v>
      </c>
      <c r="B86" s="598">
        <v>0.8</v>
      </c>
      <c r="C86" s="598">
        <v>71</v>
      </c>
      <c r="P86" s="598">
        <v>10</v>
      </c>
      <c r="Q86" s="598">
        <v>20</v>
      </c>
      <c r="R86" s="598">
        <v>20</v>
      </c>
      <c r="AD86" s="1069">
        <f t="shared" si="0"/>
        <v>0</v>
      </c>
      <c r="AE86" s="1069">
        <f>'Character Sheet'!K86</f>
        <v>1</v>
      </c>
      <c r="AF86" s="1069">
        <f>'Character Sheet'!A86</f>
        <v>1</v>
      </c>
      <c r="AH86" s="1069">
        <f t="shared" si="1"/>
        <v>0</v>
      </c>
      <c r="AI86" s="1069">
        <f>'Character Sheet'!AQ86</f>
        <v>1</v>
      </c>
      <c r="AJ86" s="1069">
        <f>'Character Sheet'!AG86</f>
        <v>1</v>
      </c>
    </row>
    <row r="87" spans="1:36" ht="12" customHeight="1">
      <c r="A87" s="598">
        <v>101</v>
      </c>
      <c r="B87" s="598">
        <v>0.81</v>
      </c>
      <c r="C87" s="598">
        <v>72</v>
      </c>
      <c r="P87" s="598">
        <v>13</v>
      </c>
      <c r="Q87" s="598">
        <v>30</v>
      </c>
      <c r="R87" s="598">
        <v>30</v>
      </c>
      <c r="AD87" s="1069">
        <f t="shared" si="0"/>
        <v>0</v>
      </c>
      <c r="AE87" s="1069">
        <f>'Character Sheet'!K87</f>
        <v>1</v>
      </c>
      <c r="AF87" s="1069">
        <f>'Character Sheet'!A87</f>
        <v>1</v>
      </c>
      <c r="AH87" s="1069">
        <f t="shared" si="1"/>
        <v>0</v>
      </c>
      <c r="AI87" s="1069">
        <f>'Character Sheet'!AQ87</f>
        <v>1</v>
      </c>
      <c r="AJ87" s="1069">
        <f>'Character Sheet'!AG87</f>
        <v>1</v>
      </c>
    </row>
    <row r="88" spans="1:36" ht="12" customHeight="1">
      <c r="A88" s="598">
        <v>102</v>
      </c>
      <c r="B88" s="598">
        <v>0.82</v>
      </c>
      <c r="C88" s="598">
        <v>73</v>
      </c>
      <c r="P88" s="598">
        <v>16</v>
      </c>
      <c r="Q88" s="598">
        <v>40</v>
      </c>
      <c r="R88" s="598">
        <v>50</v>
      </c>
      <c r="AD88" s="1069">
        <f t="shared" si="0"/>
        <v>0</v>
      </c>
      <c r="AE88" s="1069">
        <f>'Character Sheet'!K88</f>
        <v>1</v>
      </c>
      <c r="AF88" s="1069">
        <f>'Character Sheet'!A88</f>
        <v>1</v>
      </c>
      <c r="AH88" s="1069">
        <f t="shared" si="1"/>
        <v>0</v>
      </c>
      <c r="AI88" s="1069">
        <f>'Character Sheet'!AQ88</f>
        <v>1</v>
      </c>
      <c r="AJ88" s="1069">
        <f>'Character Sheet'!AG88</f>
        <v>1</v>
      </c>
    </row>
    <row r="89" spans="1:36" ht="12" customHeight="1">
      <c r="A89" s="598">
        <v>103</v>
      </c>
      <c r="B89" s="598">
        <v>0.83</v>
      </c>
      <c r="C89" s="598">
        <v>74</v>
      </c>
      <c r="F89" s="598" t="s">
        <v>1032</v>
      </c>
      <c r="P89" s="598">
        <v>19</v>
      </c>
      <c r="Q89" s="598">
        <v>50</v>
      </c>
      <c r="R89" s="598">
        <v>80</v>
      </c>
      <c r="AD89" s="1069">
        <f t="shared" si="0"/>
        <v>0</v>
      </c>
      <c r="AE89" s="1069">
        <f>'Character Sheet'!K89</f>
        <v>1</v>
      </c>
      <c r="AF89" s="1069">
        <f>'Character Sheet'!A89</f>
        <v>1</v>
      </c>
      <c r="AH89" s="1069">
        <f t="shared" si="1"/>
        <v>0</v>
      </c>
      <c r="AI89" s="1069">
        <f>'Character Sheet'!AQ89</f>
        <v>1</v>
      </c>
      <c r="AJ89" s="1069">
        <f>'Character Sheet'!AG89</f>
        <v>1</v>
      </c>
    </row>
    <row r="90" spans="1:36" ht="12" customHeight="1">
      <c r="A90" s="598">
        <v>104</v>
      </c>
      <c r="B90" s="598">
        <v>0.84</v>
      </c>
      <c r="C90" s="598">
        <v>75</v>
      </c>
      <c r="F90" s="598">
        <v>0</v>
      </c>
      <c r="G90" s="598">
        <v>10</v>
      </c>
      <c r="P90" s="598">
        <v>22</v>
      </c>
      <c r="Q90" s="598">
        <v>60</v>
      </c>
      <c r="R90" s="598">
        <v>100</v>
      </c>
      <c r="AD90" s="1069">
        <f t="shared" si="0"/>
        <v>0</v>
      </c>
      <c r="AE90" s="1069">
        <f>'Character Sheet'!K90</f>
        <v>1</v>
      </c>
      <c r="AF90" s="1069">
        <f>'Character Sheet'!A90</f>
        <v>1</v>
      </c>
      <c r="AH90" s="1069">
        <f t="shared" si="1"/>
        <v>0</v>
      </c>
      <c r="AI90" s="1069">
        <f>'Character Sheet'!AQ90</f>
        <v>1</v>
      </c>
      <c r="AJ90" s="1069">
        <f>'Character Sheet'!AG90</f>
        <v>1</v>
      </c>
    </row>
    <row r="91" spans="1:36" ht="12" customHeight="1">
      <c r="A91" s="598">
        <v>105</v>
      </c>
      <c r="B91" s="598">
        <v>0.85</v>
      </c>
      <c r="C91" s="598">
        <v>76</v>
      </c>
      <c r="F91" s="598">
        <v>25</v>
      </c>
      <c r="G91" s="598">
        <v>10</v>
      </c>
      <c r="P91" s="598">
        <v>24</v>
      </c>
      <c r="Q91" s="598">
        <v>70</v>
      </c>
      <c r="R91" s="598">
        <v>200</v>
      </c>
      <c r="AD91" s="1069">
        <f t="shared" si="0"/>
        <v>0</v>
      </c>
      <c r="AE91" s="1069">
        <f>'Character Sheet'!K91</f>
        <v>1</v>
      </c>
      <c r="AF91" s="1069">
        <f>'Character Sheet'!A91</f>
        <v>1</v>
      </c>
      <c r="AH91" s="1069">
        <f t="shared" si="1"/>
        <v>0</v>
      </c>
      <c r="AI91" s="1069">
        <f>'Character Sheet'!AQ91</f>
        <v>1</v>
      </c>
      <c r="AJ91" s="1069">
        <f>'Character Sheet'!AG91</f>
        <v>1</v>
      </c>
    </row>
    <row r="92" spans="1:36" ht="12" customHeight="1">
      <c r="A92" s="598">
        <v>106</v>
      </c>
      <c r="B92" s="598">
        <v>0.86</v>
      </c>
      <c r="C92" s="598">
        <v>77</v>
      </c>
      <c r="F92" s="598">
        <v>30</v>
      </c>
      <c r="G92" s="598">
        <v>15</v>
      </c>
      <c r="P92" s="598">
        <v>26</v>
      </c>
      <c r="Q92" s="598">
        <v>80</v>
      </c>
      <c r="R92" s="598">
        <v>300</v>
      </c>
      <c r="AD92" s="1069">
        <f t="shared" ca="1" si="0"/>
        <v>393</v>
      </c>
      <c r="AE92" s="1069">
        <f>'Character Sheet'!K92</f>
        <v>2</v>
      </c>
      <c r="AF92" s="1069">
        <f>'Character Sheet'!A92</f>
        <v>11</v>
      </c>
      <c r="AH92" s="1069">
        <f t="shared" si="1"/>
        <v>0</v>
      </c>
      <c r="AI92" s="1069">
        <f>'Character Sheet'!AQ92</f>
        <v>1</v>
      </c>
      <c r="AJ92" s="1069">
        <f>'Character Sheet'!AG92</f>
        <v>1</v>
      </c>
    </row>
    <row r="93" spans="1:36" ht="12" customHeight="1">
      <c r="A93" s="598">
        <v>107</v>
      </c>
      <c r="B93" s="598">
        <v>0.87</v>
      </c>
      <c r="C93" s="598">
        <v>78</v>
      </c>
      <c r="F93" s="598">
        <v>35</v>
      </c>
      <c r="G93" s="598">
        <v>20</v>
      </c>
      <c r="P93" s="598">
        <v>28</v>
      </c>
      <c r="Q93" s="598">
        <v>90</v>
      </c>
      <c r="R93" s="598">
        <v>400</v>
      </c>
      <c r="AD93" s="1069">
        <f t="shared" ca="1" si="0"/>
        <v>395</v>
      </c>
      <c r="AE93" s="1069">
        <f>'Character Sheet'!K93</f>
        <v>4</v>
      </c>
      <c r="AF93" s="1069">
        <f>'Character Sheet'!A93</f>
        <v>11</v>
      </c>
      <c r="AH93" s="1069">
        <f t="shared" si="1"/>
        <v>0</v>
      </c>
      <c r="AI93" s="1069">
        <f>'Character Sheet'!AQ93</f>
        <v>1</v>
      </c>
      <c r="AJ93" s="1069">
        <f>'Character Sheet'!AG93</f>
        <v>1</v>
      </c>
    </row>
    <row r="94" spans="1:36" ht="12" customHeight="1">
      <c r="A94" s="598">
        <v>108</v>
      </c>
      <c r="B94" s="598">
        <v>0.88</v>
      </c>
      <c r="C94" s="598">
        <v>79</v>
      </c>
      <c r="F94" s="598">
        <v>41</v>
      </c>
      <c r="G94" s="598">
        <v>25</v>
      </c>
      <c r="P94" s="598">
        <v>30</v>
      </c>
      <c r="Q94" s="598">
        <v>100</v>
      </c>
      <c r="R94" s="598">
        <v>500</v>
      </c>
      <c r="AD94" s="1069">
        <f t="shared" si="0"/>
        <v>0</v>
      </c>
      <c r="AE94" s="1069">
        <f>'Character Sheet'!K94</f>
        <v>1</v>
      </c>
      <c r="AF94" s="1069">
        <f>'Character Sheet'!A94</f>
        <v>1</v>
      </c>
      <c r="AH94" s="1069">
        <f t="shared" si="1"/>
        <v>0</v>
      </c>
      <c r="AI94" s="1069">
        <f>'Character Sheet'!AQ94</f>
        <v>1</v>
      </c>
      <c r="AJ94" s="1069">
        <f>'Character Sheet'!AG94</f>
        <v>1</v>
      </c>
    </row>
    <row r="95" spans="1:36" ht="12" customHeight="1">
      <c r="A95" s="598">
        <v>109</v>
      </c>
      <c r="B95" s="598">
        <v>0.89</v>
      </c>
      <c r="C95" s="598">
        <v>80</v>
      </c>
      <c r="F95" s="598">
        <v>46</v>
      </c>
      <c r="G95" s="598">
        <v>30</v>
      </c>
      <c r="P95" s="598">
        <v>32</v>
      </c>
      <c r="Q95" s="598">
        <v>110</v>
      </c>
      <c r="R95" s="598">
        <v>600</v>
      </c>
      <c r="AD95" s="1069">
        <f t="shared" si="0"/>
        <v>0</v>
      </c>
      <c r="AE95" s="1069">
        <f>'Character Sheet'!K95</f>
        <v>1</v>
      </c>
      <c r="AF95" s="1069">
        <f>'Character Sheet'!A95</f>
        <v>1</v>
      </c>
      <c r="AH95" s="1069">
        <f t="shared" si="1"/>
        <v>0</v>
      </c>
      <c r="AI95" s="1069">
        <f>'Character Sheet'!AQ95</f>
        <v>1</v>
      </c>
      <c r="AJ95" s="1069">
        <f>'Character Sheet'!AG95</f>
        <v>1</v>
      </c>
    </row>
    <row r="96" spans="1:36" ht="12" customHeight="1">
      <c r="A96" s="598">
        <v>110</v>
      </c>
      <c r="B96" s="598">
        <v>0.9</v>
      </c>
      <c r="C96" s="598">
        <v>81</v>
      </c>
      <c r="F96" s="598">
        <v>48</v>
      </c>
      <c r="G96" s="598">
        <v>35</v>
      </c>
      <c r="P96" s="598">
        <v>34</v>
      </c>
      <c r="Q96" s="598">
        <v>120</v>
      </c>
      <c r="R96" s="598">
        <v>800</v>
      </c>
      <c r="AD96" s="1069">
        <f t="shared" si="0"/>
        <v>0</v>
      </c>
      <c r="AE96" s="1069">
        <f>'Character Sheet'!K96</f>
        <v>1</v>
      </c>
      <c r="AF96" s="1069">
        <f>'Character Sheet'!A96</f>
        <v>1</v>
      </c>
      <c r="AH96" s="1069">
        <f t="shared" si="1"/>
        <v>0</v>
      </c>
      <c r="AI96" s="1069">
        <f>'Character Sheet'!AQ96</f>
        <v>1</v>
      </c>
      <c r="AJ96" s="1069">
        <f>'Character Sheet'!AG96</f>
        <v>1</v>
      </c>
    </row>
    <row r="97" spans="1:36" ht="12" customHeight="1">
      <c r="A97" s="598">
        <v>111</v>
      </c>
      <c r="B97" s="598">
        <v>0.91</v>
      </c>
      <c r="C97" s="598">
        <v>82</v>
      </c>
      <c r="F97" s="598">
        <v>50</v>
      </c>
      <c r="G97" s="598">
        <v>40</v>
      </c>
      <c r="P97" s="598">
        <v>36</v>
      </c>
      <c r="Q97" s="598">
        <v>130</v>
      </c>
      <c r="R97" s="598">
        <v>1000</v>
      </c>
      <c r="AD97" s="1069">
        <f t="shared" si="0"/>
        <v>0</v>
      </c>
      <c r="AE97" s="1069">
        <f>'Character Sheet'!K97</f>
        <v>1</v>
      </c>
      <c r="AF97" s="1069">
        <f>'Character Sheet'!A97</f>
        <v>1</v>
      </c>
      <c r="AH97" s="1069">
        <f t="shared" si="1"/>
        <v>0</v>
      </c>
      <c r="AI97" s="1069">
        <f>'Character Sheet'!AQ97</f>
        <v>1</v>
      </c>
      <c r="AJ97" s="1069">
        <f>'Character Sheet'!AG97</f>
        <v>1</v>
      </c>
    </row>
    <row r="98" spans="1:36" ht="12" customHeight="1">
      <c r="A98" s="598">
        <v>112</v>
      </c>
      <c r="B98" s="598">
        <v>0.92</v>
      </c>
      <c r="C98" s="598">
        <v>83</v>
      </c>
      <c r="F98" s="598">
        <v>52</v>
      </c>
      <c r="G98" s="598">
        <v>45</v>
      </c>
      <c r="P98" s="598">
        <v>37</v>
      </c>
      <c r="Q98" s="598">
        <v>140</v>
      </c>
      <c r="R98" s="598">
        <v>1200</v>
      </c>
      <c r="AD98" s="1069">
        <f t="shared" si="0"/>
        <v>0</v>
      </c>
      <c r="AE98" s="1069">
        <f>'Character Sheet'!K98</f>
        <v>1</v>
      </c>
      <c r="AF98" s="1069">
        <f>'Character Sheet'!A98</f>
        <v>1</v>
      </c>
      <c r="AH98" s="1069">
        <f t="shared" si="1"/>
        <v>0</v>
      </c>
      <c r="AI98" s="1069">
        <f>'Character Sheet'!AQ98</f>
        <v>1</v>
      </c>
      <c r="AJ98" s="1069">
        <f>'Character Sheet'!AG98</f>
        <v>1</v>
      </c>
    </row>
    <row r="99" spans="1:36" ht="12" customHeight="1">
      <c r="A99" s="598">
        <v>113</v>
      </c>
      <c r="B99" s="598">
        <v>0.93</v>
      </c>
      <c r="C99" s="598">
        <v>84</v>
      </c>
      <c r="F99" s="598">
        <v>54</v>
      </c>
      <c r="G99" s="598">
        <v>50</v>
      </c>
      <c r="P99" s="598">
        <v>38</v>
      </c>
      <c r="Q99" s="598">
        <v>150</v>
      </c>
      <c r="R99" s="598">
        <v>1400</v>
      </c>
      <c r="AD99" s="1069">
        <f t="shared" si="0"/>
        <v>0</v>
      </c>
      <c r="AE99" s="1069">
        <f>'Character Sheet'!K99</f>
        <v>1</v>
      </c>
      <c r="AF99" s="1069">
        <f>'Character Sheet'!A99</f>
        <v>1</v>
      </c>
      <c r="AH99" s="1069">
        <f t="shared" si="1"/>
        <v>0</v>
      </c>
      <c r="AI99" s="1069">
        <f>'Character Sheet'!AQ99</f>
        <v>1</v>
      </c>
      <c r="AJ99" s="1069">
        <f>'Character Sheet'!AG99</f>
        <v>1</v>
      </c>
    </row>
    <row r="100" spans="1:36" ht="12" customHeight="1">
      <c r="A100" s="598">
        <v>114</v>
      </c>
      <c r="B100" s="598">
        <v>0.94</v>
      </c>
      <c r="C100" s="598">
        <v>85</v>
      </c>
      <c r="F100" s="598">
        <v>56</v>
      </c>
      <c r="G100" s="598">
        <v>55</v>
      </c>
      <c r="P100" s="598">
        <v>39</v>
      </c>
      <c r="Q100" s="598">
        <v>160</v>
      </c>
      <c r="R100" s="598">
        <v>1600</v>
      </c>
      <c r="AD100" s="1069">
        <f t="shared" si="0"/>
        <v>0</v>
      </c>
      <c r="AE100" s="1069">
        <f>'Character Sheet'!K100</f>
        <v>1</v>
      </c>
      <c r="AF100" s="1069">
        <f>'Character Sheet'!A100</f>
        <v>1</v>
      </c>
      <c r="AH100" s="1069">
        <f t="shared" si="1"/>
        <v>0</v>
      </c>
      <c r="AI100" s="1069">
        <f>'Character Sheet'!AQ100</f>
        <v>1</v>
      </c>
      <c r="AJ100" s="1069">
        <f>'Character Sheet'!AG100</f>
        <v>1</v>
      </c>
    </row>
    <row r="101" spans="1:36" ht="12" customHeight="1">
      <c r="A101" s="598">
        <v>115</v>
      </c>
      <c r="B101" s="598">
        <v>0.95</v>
      </c>
      <c r="C101" s="598">
        <v>86</v>
      </c>
      <c r="F101" s="598">
        <v>58</v>
      </c>
      <c r="G101" s="598">
        <v>60</v>
      </c>
      <c r="P101" s="598">
        <v>40</v>
      </c>
      <c r="Q101" s="598">
        <v>170</v>
      </c>
      <c r="R101" s="598">
        <v>1800</v>
      </c>
      <c r="AD101" s="1069">
        <f t="shared" si="0"/>
        <v>0</v>
      </c>
      <c r="AE101" s="1069">
        <f>'Character Sheet'!K101</f>
        <v>1</v>
      </c>
      <c r="AF101" s="1069">
        <f>'Character Sheet'!A101</f>
        <v>1</v>
      </c>
      <c r="AH101" s="1069">
        <f t="shared" si="1"/>
        <v>0</v>
      </c>
      <c r="AI101" s="1069">
        <f>'Character Sheet'!AQ101</f>
        <v>1</v>
      </c>
      <c r="AJ101" s="1069">
        <f>'Character Sheet'!AG101</f>
        <v>1</v>
      </c>
    </row>
    <row r="102" spans="1:36" ht="12" customHeight="1">
      <c r="A102" s="598">
        <v>116</v>
      </c>
      <c r="B102" s="598">
        <v>0.96</v>
      </c>
      <c r="C102" s="598">
        <v>87</v>
      </c>
      <c r="F102" s="598">
        <v>60</v>
      </c>
      <c r="G102" s="598">
        <v>65</v>
      </c>
      <c r="P102" s="598">
        <v>41</v>
      </c>
      <c r="Q102" s="598">
        <v>180</v>
      </c>
      <c r="R102" s="598">
        <v>2000</v>
      </c>
      <c r="AD102" s="1069">
        <f t="shared" si="0"/>
        <v>0</v>
      </c>
      <c r="AE102" s="1069">
        <f>'Character Sheet'!K102</f>
        <v>1</v>
      </c>
      <c r="AF102" s="1069">
        <f>'Character Sheet'!A102</f>
        <v>1</v>
      </c>
      <c r="AH102" s="1069">
        <f t="shared" si="1"/>
        <v>0</v>
      </c>
      <c r="AI102" s="1069">
        <f>'Character Sheet'!AQ102</f>
        <v>1</v>
      </c>
      <c r="AJ102" s="1069">
        <f>'Character Sheet'!AG102</f>
        <v>1</v>
      </c>
    </row>
    <row r="103" spans="1:36" ht="12" customHeight="1">
      <c r="A103" s="598">
        <v>117</v>
      </c>
      <c r="B103" s="598">
        <v>0.97</v>
      </c>
      <c r="C103" s="598">
        <v>88</v>
      </c>
      <c r="F103" s="598">
        <v>62</v>
      </c>
      <c r="G103" s="598">
        <v>70</v>
      </c>
      <c r="AD103" s="1069">
        <f t="shared" si="0"/>
        <v>0</v>
      </c>
      <c r="AE103" s="1069">
        <f>'Character Sheet'!K103</f>
        <v>1</v>
      </c>
      <c r="AF103" s="1069">
        <f>'Character Sheet'!A103</f>
        <v>1</v>
      </c>
      <c r="AH103" s="1069">
        <f t="shared" si="1"/>
        <v>0</v>
      </c>
      <c r="AI103" s="1069">
        <f>'Character Sheet'!AQ103</f>
        <v>1</v>
      </c>
      <c r="AJ103" s="1069">
        <f>'Character Sheet'!AG103</f>
        <v>1</v>
      </c>
    </row>
    <row r="104" spans="1:36" ht="12" customHeight="1">
      <c r="A104" s="598">
        <v>118</v>
      </c>
      <c r="B104" s="598">
        <v>0.98</v>
      </c>
      <c r="C104" s="598">
        <v>89</v>
      </c>
      <c r="F104" s="598">
        <v>64</v>
      </c>
      <c r="G104" s="598">
        <v>75</v>
      </c>
      <c r="AD104" s="1069">
        <f t="shared" si="0"/>
        <v>0</v>
      </c>
      <c r="AE104" s="1069">
        <f>'Character Sheet'!K104</f>
        <v>1</v>
      </c>
      <c r="AF104" s="1069">
        <f>'Character Sheet'!A104</f>
        <v>1</v>
      </c>
      <c r="AH104" s="1069">
        <f t="shared" si="1"/>
        <v>0</v>
      </c>
      <c r="AI104" s="1069">
        <f>'Character Sheet'!AQ104</f>
        <v>1</v>
      </c>
      <c r="AJ104" s="1069">
        <f>'Character Sheet'!AG104</f>
        <v>1</v>
      </c>
    </row>
    <row r="105" spans="1:36" ht="12" customHeight="1">
      <c r="A105" s="598">
        <v>119</v>
      </c>
      <c r="B105" s="598">
        <v>0.99</v>
      </c>
      <c r="C105" s="598">
        <v>90</v>
      </c>
      <c r="F105" s="598">
        <v>66</v>
      </c>
      <c r="G105" s="598">
        <v>80</v>
      </c>
      <c r="AD105" s="1069">
        <f t="shared" si="0"/>
        <v>0</v>
      </c>
      <c r="AE105" s="1069">
        <v>1</v>
      </c>
      <c r="AF105" s="1069">
        <f>'Character Sheet'!A105</f>
        <v>1</v>
      </c>
      <c r="AH105" s="1069">
        <f t="shared" si="1"/>
        <v>0</v>
      </c>
      <c r="AI105" s="1069">
        <f>'Character Sheet'!AQ105</f>
        <v>1</v>
      </c>
      <c r="AJ105" s="1069">
        <f>'Character Sheet'!AG105</f>
        <v>1</v>
      </c>
    </row>
    <row r="106" spans="1:36" ht="12" customHeight="1">
      <c r="A106" s="598">
        <v>120</v>
      </c>
      <c r="B106" s="598">
        <v>1</v>
      </c>
      <c r="C106" s="598">
        <v>91</v>
      </c>
      <c r="AD106" s="1069">
        <f t="shared" si="0"/>
        <v>0</v>
      </c>
      <c r="AE106" s="1069">
        <f>'Character Sheet'!K106</f>
        <v>1</v>
      </c>
      <c r="AF106" s="1069">
        <f>'Character Sheet'!A106</f>
        <v>1</v>
      </c>
      <c r="AH106" s="1069">
        <f t="shared" si="1"/>
        <v>0</v>
      </c>
      <c r="AI106" s="1069">
        <f>'Character Sheet'!AQ106</f>
        <v>1</v>
      </c>
      <c r="AJ106" s="1069">
        <f>'Character Sheet'!AG106</f>
        <v>1</v>
      </c>
    </row>
    <row r="107" spans="1:36" ht="12" customHeight="1">
      <c r="A107" s="598">
        <v>121</v>
      </c>
      <c r="B107" s="598">
        <v>1.01</v>
      </c>
      <c r="C107" s="598">
        <v>92</v>
      </c>
      <c r="AD107" s="1069">
        <f t="shared" si="0"/>
        <v>0</v>
      </c>
      <c r="AE107" s="1069">
        <f>'Character Sheet'!K107</f>
        <v>1</v>
      </c>
      <c r="AF107" s="1069">
        <f>'Character Sheet'!A107</f>
        <v>1</v>
      </c>
      <c r="AH107" s="1069">
        <f t="shared" si="1"/>
        <v>0</v>
      </c>
      <c r="AI107" s="1069">
        <f>'Character Sheet'!AQ107</f>
        <v>1</v>
      </c>
      <c r="AJ107" s="1069">
        <f>'Character Sheet'!AG107</f>
        <v>1</v>
      </c>
    </row>
    <row r="108" spans="1:36" ht="12" customHeight="1">
      <c r="A108" s="598">
        <v>122</v>
      </c>
      <c r="B108" s="598">
        <v>1.02</v>
      </c>
      <c r="C108" s="598">
        <v>93</v>
      </c>
      <c r="F108" s="598" t="s">
        <v>4214</v>
      </c>
      <c r="AD108" s="1069">
        <f t="shared" si="0"/>
        <v>0</v>
      </c>
      <c r="AE108" s="1069">
        <f>'Character Sheet'!K108</f>
        <v>1</v>
      </c>
      <c r="AF108" s="1069">
        <f>'Character Sheet'!A108</f>
        <v>1</v>
      </c>
      <c r="AH108" s="1069">
        <f t="shared" si="1"/>
        <v>0</v>
      </c>
      <c r="AI108" s="1069">
        <f>'Character Sheet'!AQ108</f>
        <v>1</v>
      </c>
      <c r="AJ108" s="1069">
        <f>'Character Sheet'!AG108</f>
        <v>1</v>
      </c>
    </row>
    <row r="109" spans="1:36" ht="12" customHeight="1">
      <c r="A109" s="598">
        <v>123</v>
      </c>
      <c r="B109" s="598">
        <v>1.03</v>
      </c>
      <c r="C109" s="598">
        <v>94</v>
      </c>
      <c r="G109" s="598">
        <v>1</v>
      </c>
      <c r="H109" s="598">
        <v>2</v>
      </c>
      <c r="I109" s="598">
        <v>3</v>
      </c>
      <c r="J109" s="598">
        <v>4</v>
      </c>
      <c r="K109" s="598">
        <v>5</v>
      </c>
      <c r="L109" s="598">
        <v>6</v>
      </c>
      <c r="M109" s="598">
        <v>7</v>
      </c>
      <c r="N109" s="598">
        <v>8</v>
      </c>
      <c r="O109" s="598">
        <v>9</v>
      </c>
      <c r="P109" s="598">
        <v>10</v>
      </c>
      <c r="AD109" s="1069">
        <f t="shared" si="0"/>
        <v>0</v>
      </c>
      <c r="AE109" s="1069">
        <f>'Character Sheet'!K109</f>
        <v>1</v>
      </c>
      <c r="AF109" s="1069">
        <f>'Character Sheet'!A109</f>
        <v>1</v>
      </c>
      <c r="AH109" s="1069">
        <f t="shared" si="1"/>
        <v>0</v>
      </c>
      <c r="AI109" s="1069">
        <f>'Character Sheet'!AQ109</f>
        <v>1</v>
      </c>
      <c r="AJ109" s="1069">
        <f>'Character Sheet'!AG109</f>
        <v>1</v>
      </c>
    </row>
    <row r="110" spans="1:36" ht="12" customHeight="1">
      <c r="A110" s="598">
        <v>124</v>
      </c>
      <c r="B110" s="598">
        <v>1.04</v>
      </c>
      <c r="C110" s="598">
        <v>95</v>
      </c>
      <c r="F110" s="598">
        <v>2</v>
      </c>
      <c r="G110" s="598">
        <v>8</v>
      </c>
      <c r="H110" s="598">
        <v>11</v>
      </c>
      <c r="I110" s="598">
        <v>15</v>
      </c>
      <c r="J110" s="598">
        <v>19</v>
      </c>
      <c r="K110" s="598">
        <v>23</v>
      </c>
      <c r="L110" s="598">
        <v>30</v>
      </c>
      <c r="M110" s="598">
        <v>38</v>
      </c>
      <c r="N110" s="598">
        <v>48</v>
      </c>
      <c r="O110" s="598">
        <v>60</v>
      </c>
      <c r="P110" s="598">
        <v>75</v>
      </c>
      <c r="AD110" s="1069">
        <f t="shared" si="0"/>
        <v>0</v>
      </c>
      <c r="AE110" s="1069">
        <f>'Character Sheet'!K110</f>
        <v>1</v>
      </c>
      <c r="AF110" s="1069">
        <f>'Character Sheet'!A110</f>
        <v>1</v>
      </c>
      <c r="AH110" s="1069">
        <f t="shared" si="1"/>
        <v>0</v>
      </c>
      <c r="AI110" s="1069">
        <f>'Character Sheet'!AQ110</f>
        <v>1</v>
      </c>
      <c r="AJ110" s="1069">
        <f>'Character Sheet'!AG110</f>
        <v>1</v>
      </c>
    </row>
    <row r="111" spans="1:36" ht="12" customHeight="1">
      <c r="A111" s="598">
        <v>125</v>
      </c>
      <c r="B111" s="598">
        <v>1.05</v>
      </c>
      <c r="C111" s="598">
        <v>96</v>
      </c>
      <c r="F111" s="598">
        <v>6</v>
      </c>
      <c r="G111" s="598">
        <v>4</v>
      </c>
      <c r="H111" s="598">
        <v>6</v>
      </c>
      <c r="I111" s="598">
        <v>8</v>
      </c>
      <c r="J111" s="598">
        <v>9</v>
      </c>
      <c r="K111" s="598">
        <v>11</v>
      </c>
      <c r="L111" s="598">
        <v>15</v>
      </c>
      <c r="M111" s="598">
        <v>19</v>
      </c>
      <c r="N111" s="598">
        <v>24</v>
      </c>
      <c r="O111" s="598">
        <v>30</v>
      </c>
      <c r="P111" s="598">
        <v>38</v>
      </c>
      <c r="AD111" s="1069">
        <f t="shared" si="0"/>
        <v>0</v>
      </c>
      <c r="AE111" s="1069">
        <f>'Character Sheet'!K111</f>
        <v>1</v>
      </c>
      <c r="AF111" s="1069">
        <f>'Character Sheet'!A111</f>
        <v>1</v>
      </c>
      <c r="AH111" s="1069">
        <f t="shared" si="1"/>
        <v>0</v>
      </c>
      <c r="AI111" s="1069">
        <f>'Character Sheet'!AQ111</f>
        <v>1</v>
      </c>
      <c r="AJ111" s="1069">
        <f>'Character Sheet'!AG111</f>
        <v>1</v>
      </c>
    </row>
    <row r="112" spans="1:36" ht="12" customHeight="1">
      <c r="A112" s="598">
        <v>126</v>
      </c>
      <c r="B112" s="598">
        <v>1.06</v>
      </c>
      <c r="C112" s="598">
        <v>97</v>
      </c>
      <c r="F112" s="598">
        <v>9</v>
      </c>
      <c r="G112" s="598">
        <v>0</v>
      </c>
      <c r="H112" s="598">
        <v>0</v>
      </c>
      <c r="I112" s="598">
        <v>0</v>
      </c>
      <c r="J112" s="598">
        <v>0</v>
      </c>
      <c r="K112" s="598">
        <v>0</v>
      </c>
      <c r="L112" s="598">
        <v>0</v>
      </c>
      <c r="M112" s="598">
        <v>0</v>
      </c>
      <c r="N112" s="598">
        <v>0</v>
      </c>
      <c r="O112" s="598">
        <v>0</v>
      </c>
      <c r="P112" s="598">
        <v>0</v>
      </c>
    </row>
    <row r="113" spans="1:16" ht="12" customHeight="1">
      <c r="A113" s="598">
        <v>127</v>
      </c>
      <c r="B113" s="598">
        <v>1.07</v>
      </c>
      <c r="C113" s="598">
        <v>98</v>
      </c>
      <c r="F113" s="598">
        <v>13</v>
      </c>
      <c r="G113" s="598">
        <v>-2</v>
      </c>
      <c r="H113" s="598">
        <v>-3</v>
      </c>
      <c r="I113" s="598">
        <v>-5</v>
      </c>
      <c r="J113" s="598">
        <v>-6</v>
      </c>
      <c r="K113" s="598">
        <v>-7</v>
      </c>
      <c r="L113" s="598">
        <v>-9</v>
      </c>
      <c r="M113" s="598">
        <v>-11</v>
      </c>
      <c r="N113" s="598">
        <v>-14</v>
      </c>
      <c r="O113" s="598">
        <v>-18</v>
      </c>
      <c r="P113" s="598">
        <v>-23</v>
      </c>
    </row>
    <row r="114" spans="1:16" ht="12" customHeight="1">
      <c r="A114" s="598">
        <v>128</v>
      </c>
      <c r="B114" s="598">
        <v>1.08</v>
      </c>
      <c r="C114" s="598">
        <v>99</v>
      </c>
      <c r="F114" s="598">
        <v>14</v>
      </c>
      <c r="G114" s="598">
        <v>-3</v>
      </c>
      <c r="H114" s="598">
        <v>-4</v>
      </c>
      <c r="I114" s="598">
        <v>-6</v>
      </c>
      <c r="J114" s="598">
        <v>-7</v>
      </c>
      <c r="K114" s="598">
        <v>-8</v>
      </c>
      <c r="L114" s="598">
        <v>-12</v>
      </c>
      <c r="M114" s="598">
        <v>-15</v>
      </c>
      <c r="N114" s="598">
        <v>-19</v>
      </c>
      <c r="O114" s="598">
        <v>-24</v>
      </c>
      <c r="P114" s="598">
        <v>-30</v>
      </c>
    </row>
    <row r="115" spans="1:16" ht="12" customHeight="1">
      <c r="A115" s="598">
        <v>129</v>
      </c>
      <c r="B115" s="598">
        <v>1.0900000000000001</v>
      </c>
      <c r="C115" s="598">
        <v>100</v>
      </c>
      <c r="F115" s="598">
        <v>15</v>
      </c>
      <c r="G115" s="598">
        <v>-4</v>
      </c>
      <c r="H115" s="600">
        <v>-6</v>
      </c>
      <c r="I115" s="598">
        <v>-8</v>
      </c>
      <c r="J115" s="598">
        <v>-9</v>
      </c>
      <c r="K115" s="598">
        <v>-11</v>
      </c>
      <c r="L115" s="598">
        <v>-15</v>
      </c>
      <c r="M115" s="598">
        <v>-19</v>
      </c>
      <c r="N115" s="598">
        <v>-24</v>
      </c>
      <c r="O115" s="598">
        <v>-30</v>
      </c>
      <c r="P115" s="598">
        <v>-38</v>
      </c>
    </row>
    <row r="116" spans="1:16" ht="12" customHeight="1">
      <c r="A116" s="598">
        <v>130</v>
      </c>
      <c r="B116" s="598">
        <v>1.1000000000000001</v>
      </c>
      <c r="C116" s="598">
        <v>101</v>
      </c>
      <c r="F116" s="598">
        <v>16</v>
      </c>
      <c r="G116" s="598">
        <v>-4</v>
      </c>
      <c r="H116" s="598">
        <v>-7</v>
      </c>
      <c r="I116" s="598">
        <v>-9</v>
      </c>
      <c r="J116" s="598">
        <v>-11</v>
      </c>
      <c r="K116" s="598">
        <v>-14</v>
      </c>
      <c r="L116" s="598">
        <v>-18</v>
      </c>
      <c r="M116" s="598">
        <v>-23</v>
      </c>
      <c r="N116" s="598">
        <v>-29</v>
      </c>
      <c r="O116" s="598">
        <v>-36</v>
      </c>
      <c r="P116" s="598">
        <v>-45</v>
      </c>
    </row>
    <row r="117" spans="1:16" ht="12" customHeight="1">
      <c r="A117" s="598">
        <v>131</v>
      </c>
      <c r="B117" s="598">
        <v>1.1100000000000001</v>
      </c>
      <c r="C117" s="598">
        <v>102</v>
      </c>
      <c r="F117" s="598">
        <v>17</v>
      </c>
      <c r="G117" s="598">
        <v>-5</v>
      </c>
      <c r="H117" s="598">
        <v>-8</v>
      </c>
      <c r="I117" s="598">
        <v>-11</v>
      </c>
      <c r="J117" s="598">
        <v>-13</v>
      </c>
      <c r="K117" s="598">
        <v>-16</v>
      </c>
      <c r="L117" s="598">
        <v>-21</v>
      </c>
      <c r="M117" s="598">
        <v>-28</v>
      </c>
      <c r="N117" s="598">
        <v>-34</v>
      </c>
      <c r="O117" s="598">
        <v>-42</v>
      </c>
      <c r="P117" s="598">
        <v>-53</v>
      </c>
    </row>
    <row r="118" spans="1:16" ht="12" customHeight="1">
      <c r="A118" s="598">
        <v>132</v>
      </c>
      <c r="B118" s="598">
        <v>1.1200000000000001</v>
      </c>
      <c r="C118" s="598">
        <v>103</v>
      </c>
      <c r="F118" s="598">
        <v>18</v>
      </c>
      <c r="G118" s="598">
        <v>-5</v>
      </c>
      <c r="H118" s="598">
        <v>-9</v>
      </c>
      <c r="I118" s="598">
        <v>-12</v>
      </c>
      <c r="J118" s="598">
        <v>-15</v>
      </c>
      <c r="K118" s="598">
        <v>-18</v>
      </c>
      <c r="L118" s="598">
        <v>-24</v>
      </c>
      <c r="M118" s="598">
        <v>-30</v>
      </c>
      <c r="N118" s="598">
        <v>-39</v>
      </c>
      <c r="O118" s="598">
        <v>-48</v>
      </c>
      <c r="P118" s="598">
        <v>-60</v>
      </c>
    </row>
    <row r="119" spans="1:16" ht="12" customHeight="1">
      <c r="A119" s="598">
        <v>133</v>
      </c>
      <c r="B119" s="598">
        <v>1.1299999999999999</v>
      </c>
      <c r="C119" s="598">
        <v>104</v>
      </c>
      <c r="F119" s="598">
        <v>19</v>
      </c>
      <c r="G119" s="598">
        <v>-6</v>
      </c>
      <c r="H119" s="598">
        <v>-10</v>
      </c>
      <c r="I119" s="598">
        <v>-14</v>
      </c>
      <c r="J119" s="598">
        <v>-17</v>
      </c>
      <c r="K119" s="598">
        <v>-20</v>
      </c>
      <c r="L119" s="598">
        <v>-27</v>
      </c>
      <c r="M119" s="598">
        <v>-34</v>
      </c>
      <c r="N119" s="598">
        <v>-44</v>
      </c>
      <c r="O119" s="598">
        <v>-54</v>
      </c>
      <c r="P119" s="598">
        <v>-67</v>
      </c>
    </row>
    <row r="120" spans="1:16" ht="12" customHeight="1">
      <c r="A120" s="598">
        <v>134</v>
      </c>
      <c r="B120" s="598">
        <v>1.1399999999999999</v>
      </c>
      <c r="C120" s="598">
        <v>105</v>
      </c>
      <c r="F120" s="598">
        <v>20</v>
      </c>
      <c r="G120" s="598">
        <v>-7</v>
      </c>
      <c r="H120" s="598">
        <v>-11</v>
      </c>
      <c r="I120" s="598">
        <v>-15</v>
      </c>
      <c r="J120" s="598">
        <v>-19</v>
      </c>
      <c r="K120" s="598">
        <v>-23</v>
      </c>
      <c r="L120" s="598">
        <v>-30</v>
      </c>
      <c r="M120" s="598">
        <v>-38</v>
      </c>
      <c r="N120" s="598">
        <v>-48</v>
      </c>
      <c r="O120" s="598">
        <v>-60</v>
      </c>
      <c r="P120" s="598">
        <v>-75</v>
      </c>
    </row>
    <row r="121" spans="1:16" ht="12" customHeight="1">
      <c r="A121" s="598">
        <v>135</v>
      </c>
      <c r="B121" s="598">
        <v>1.1499999999999999</v>
      </c>
      <c r="C121" s="598">
        <v>106</v>
      </c>
    </row>
    <row r="122" spans="1:16" ht="12" customHeight="1">
      <c r="A122" s="598">
        <v>136</v>
      </c>
      <c r="B122" s="598">
        <v>1.1599999999999999</v>
      </c>
      <c r="C122" s="598">
        <v>107</v>
      </c>
    </row>
    <row r="123" spans="1:16" ht="12" customHeight="1">
      <c r="A123" s="598">
        <v>137</v>
      </c>
      <c r="B123" s="598">
        <v>1.17</v>
      </c>
      <c r="C123" s="598">
        <v>108</v>
      </c>
    </row>
    <row r="124" spans="1:16" ht="12" customHeight="1">
      <c r="A124" s="598">
        <v>138</v>
      </c>
      <c r="B124" s="598">
        <v>1.18</v>
      </c>
      <c r="C124" s="598">
        <v>109</v>
      </c>
    </row>
    <row r="125" spans="1:16" ht="12" customHeight="1">
      <c r="A125" s="598">
        <v>139</v>
      </c>
      <c r="B125" s="598">
        <v>1.19</v>
      </c>
      <c r="C125" s="598">
        <v>110</v>
      </c>
    </row>
    <row r="126" spans="1:16" ht="12" customHeight="1">
      <c r="A126" s="598">
        <v>140</v>
      </c>
      <c r="B126" s="598">
        <v>1.2</v>
      </c>
      <c r="C126" s="598">
        <v>111</v>
      </c>
    </row>
    <row r="127" spans="1:16" ht="12" customHeight="1">
      <c r="A127" s="598">
        <v>141</v>
      </c>
      <c r="B127" s="598">
        <v>1.21</v>
      </c>
      <c r="C127" s="598">
        <v>112</v>
      </c>
    </row>
    <row r="128" spans="1:16" ht="12" customHeight="1">
      <c r="A128" s="598">
        <v>142</v>
      </c>
      <c r="B128" s="598">
        <v>1.22</v>
      </c>
      <c r="C128" s="598">
        <v>113</v>
      </c>
    </row>
    <row r="129" spans="1:3" ht="12" customHeight="1">
      <c r="A129" s="598">
        <v>143</v>
      </c>
      <c r="B129" s="598">
        <v>1.23</v>
      </c>
      <c r="C129" s="598">
        <v>114</v>
      </c>
    </row>
    <row r="130" spans="1:3" ht="12" customHeight="1">
      <c r="A130" s="598">
        <v>144</v>
      </c>
      <c r="B130" s="598">
        <v>1.24</v>
      </c>
      <c r="C130" s="598">
        <v>115</v>
      </c>
    </row>
    <row r="131" spans="1:3" ht="12" customHeight="1">
      <c r="A131" s="598">
        <v>145</v>
      </c>
      <c r="B131" s="598">
        <v>1.25</v>
      </c>
      <c r="C131" s="598">
        <v>116</v>
      </c>
    </row>
    <row r="132" spans="1:3" ht="12" customHeight="1">
      <c r="A132" s="598">
        <v>146</v>
      </c>
      <c r="B132" s="598">
        <v>1.26</v>
      </c>
      <c r="C132" s="598">
        <v>117</v>
      </c>
    </row>
    <row r="133" spans="1:3" ht="12" customHeight="1">
      <c r="A133" s="598">
        <v>147</v>
      </c>
      <c r="B133" s="598">
        <v>1.27</v>
      </c>
      <c r="C133" s="598">
        <v>118</v>
      </c>
    </row>
    <row r="134" spans="1:3" ht="12" customHeight="1">
      <c r="A134" s="598">
        <v>148</v>
      </c>
      <c r="B134" s="598">
        <v>1.28</v>
      </c>
      <c r="C134" s="598">
        <v>119</v>
      </c>
    </row>
    <row r="135" spans="1:3" ht="12" customHeight="1">
      <c r="A135" s="598">
        <v>149</v>
      </c>
      <c r="B135" s="598">
        <v>1.29</v>
      </c>
      <c r="C135" s="598">
        <v>120</v>
      </c>
    </row>
    <row r="136" spans="1:3" ht="12" customHeight="1">
      <c r="A136" s="598">
        <v>150</v>
      </c>
      <c r="B136" s="598">
        <v>1.3</v>
      </c>
      <c r="C136" s="598">
        <v>121</v>
      </c>
    </row>
    <row r="137" spans="1:3" ht="12" customHeight="1">
      <c r="A137" s="598">
        <v>151</v>
      </c>
      <c r="B137" s="598">
        <v>1.31</v>
      </c>
      <c r="C137" s="598">
        <v>122</v>
      </c>
    </row>
    <row r="138" spans="1:3" ht="12" customHeight="1">
      <c r="A138" s="598">
        <v>152</v>
      </c>
      <c r="B138" s="598">
        <v>1.32</v>
      </c>
      <c r="C138" s="598">
        <v>123</v>
      </c>
    </row>
    <row r="139" spans="1:3" ht="12" customHeight="1">
      <c r="A139" s="598">
        <v>153</v>
      </c>
      <c r="B139" s="598">
        <v>1.33</v>
      </c>
      <c r="C139" s="598">
        <v>124</v>
      </c>
    </row>
    <row r="140" spans="1:3" ht="12" customHeight="1">
      <c r="A140" s="598">
        <v>154</v>
      </c>
      <c r="B140" s="598">
        <v>1.34</v>
      </c>
      <c r="C140" s="598">
        <v>125</v>
      </c>
    </row>
    <row r="141" spans="1:3" ht="12" customHeight="1">
      <c r="A141" s="598">
        <v>155</v>
      </c>
      <c r="B141" s="598">
        <v>1.35</v>
      </c>
      <c r="C141" s="598">
        <v>126</v>
      </c>
    </row>
    <row r="142" spans="1:3" ht="12" customHeight="1">
      <c r="A142" s="598">
        <v>156</v>
      </c>
      <c r="B142" s="598">
        <v>1.36</v>
      </c>
      <c r="C142" s="598">
        <v>127</v>
      </c>
    </row>
    <row r="143" spans="1:3" ht="12" customHeight="1">
      <c r="A143" s="598">
        <v>157</v>
      </c>
      <c r="B143" s="598">
        <v>1.37</v>
      </c>
      <c r="C143" s="598">
        <v>128</v>
      </c>
    </row>
    <row r="144" spans="1:3" ht="12" customHeight="1">
      <c r="A144" s="598">
        <v>158</v>
      </c>
      <c r="B144" s="598">
        <v>1.38</v>
      </c>
      <c r="C144" s="598">
        <v>129</v>
      </c>
    </row>
    <row r="145" spans="1:21" ht="12" customHeight="1">
      <c r="A145" s="598">
        <v>159</v>
      </c>
      <c r="B145" s="598">
        <v>1.39</v>
      </c>
      <c r="C145" s="598">
        <v>130</v>
      </c>
    </row>
    <row r="146" spans="1:21" ht="12" customHeight="1">
      <c r="A146" s="598">
        <v>160</v>
      </c>
      <c r="B146" s="598">
        <v>1.4</v>
      </c>
      <c r="C146" s="598">
        <v>131</v>
      </c>
    </row>
    <row r="147" spans="1:21" ht="12" customHeight="1"/>
    <row r="148" spans="1:21" ht="12" customHeight="1">
      <c r="A148" s="598" t="s">
        <v>4135</v>
      </c>
    </row>
    <row r="149" spans="1:21" ht="12" customHeight="1"/>
    <row r="150" spans="1:21" ht="12" customHeight="1">
      <c r="B150" s="598" t="s">
        <v>5218</v>
      </c>
      <c r="H150" s="598" t="s">
        <v>3978</v>
      </c>
      <c r="K150" s="598" t="s">
        <v>3547</v>
      </c>
      <c r="N150" s="598" t="s">
        <v>488</v>
      </c>
    </row>
    <row r="151" spans="1:21" ht="12" customHeight="1">
      <c r="B151" s="598" t="s">
        <v>5074</v>
      </c>
      <c r="C151" s="598" t="s">
        <v>3609</v>
      </c>
      <c r="D151" s="598" t="s">
        <v>3610</v>
      </c>
      <c r="H151" s="598">
        <v>2</v>
      </c>
      <c r="I151" s="598">
        <f>5+('Main Creation Page'!$O$35*0.25)</f>
        <v>53.25</v>
      </c>
      <c r="K151" s="598">
        <v>1</v>
      </c>
      <c r="L151" s="598">
        <v>3</v>
      </c>
      <c r="N151" s="598">
        <v>2</v>
      </c>
      <c r="O151" s="598" t="e">
        <f ca="1">5+(Familiar!$N$3*0.25)</f>
        <v>#VALUE!</v>
      </c>
      <c r="Q151" s="598">
        <v>100</v>
      </c>
      <c r="R151" s="598">
        <f ca="1">2*'Main Creation Page'!$G$45</f>
        <v>40</v>
      </c>
      <c r="S151" s="598">
        <f t="shared" ref="S151:S160" ca="1" si="2">Q151+R151</f>
        <v>140</v>
      </c>
      <c r="T151" s="598">
        <v>5</v>
      </c>
      <c r="U151" s="598" t="s">
        <v>3064</v>
      </c>
    </row>
    <row r="152" spans="1:21" ht="12" customHeight="1">
      <c r="A152" s="598" t="s">
        <v>3611</v>
      </c>
      <c r="B152" s="598">
        <f>IF('Main Creation Page'!$C9&gt;15,15+(('Main Creation Page'!$C9-15)*2),'Main Creation Page'!$C9)</f>
        <v>15</v>
      </c>
      <c r="C152" s="598">
        <f>IF('Main Creation Page'!$C9&gt;22,18+8+(('Main Creation Page'!$C9-22)*3),IF('Main Creation Page'!$C9&gt;18,18+(('Main Creation Page'!$C9-18)*2),'Main Creation Page'!$C9))</f>
        <v>15</v>
      </c>
      <c r="D152" s="598">
        <f>IF('Main Creation Page'!$C9&gt;15,15+(('Main Creation Page'!$C9-15)*2),'Main Creation Page'!$C9)</f>
        <v>15</v>
      </c>
      <c r="H152" s="598">
        <v>3</v>
      </c>
      <c r="I152" s="598">
        <f>5+('Main Creation Page'!$O$35*0.3)</f>
        <v>62.9</v>
      </c>
      <c r="K152" s="598">
        <v>4</v>
      </c>
      <c r="L152" s="598">
        <v>2</v>
      </c>
      <c r="N152" s="598">
        <v>3</v>
      </c>
      <c r="O152" s="598" t="e">
        <f ca="1">5+(Familiar!$N$3*0.3)</f>
        <v>#VALUE!</v>
      </c>
      <c r="Q152" s="598">
        <v>100</v>
      </c>
      <c r="R152" s="598">
        <f ca="1">3*'Main Creation Page'!$G$45</f>
        <v>60</v>
      </c>
      <c r="S152" s="598">
        <f t="shared" ca="1" si="2"/>
        <v>160</v>
      </c>
      <c r="T152" s="598">
        <v>6</v>
      </c>
      <c r="U152" s="598" t="s">
        <v>3064</v>
      </c>
    </row>
    <row r="153" spans="1:21" ht="12" customHeight="1">
      <c r="A153" s="598" t="s">
        <v>3717</v>
      </c>
      <c r="B153" s="598">
        <f>IF('Main Creation Page'!$C10&gt;15,15+(('Main Creation Page'!$C10-15)*2),'Main Creation Page'!$C10)</f>
        <v>10</v>
      </c>
      <c r="C153" s="598">
        <f>IF('Main Creation Page'!$C10&gt;15,15+(('Main Creation Page'!$C10-15)*2),'Main Creation Page'!$C10)</f>
        <v>10</v>
      </c>
      <c r="D153" s="598">
        <f>IF('Main Creation Page'!$C10&gt;15,10+10+(('Main Creation Page'!$C10-15)*3),IF('Main Creation Page'!$C10&gt;10,10+(('Main Creation Page'!$C10-10)*2),'Main Creation Page'!$C10))</f>
        <v>10</v>
      </c>
      <c r="H153" s="598">
        <v>4</v>
      </c>
      <c r="I153" s="598">
        <f>5+('Main Creation Page'!$O$35*0.35)</f>
        <v>72.55</v>
      </c>
      <c r="K153" s="598">
        <v>10</v>
      </c>
      <c r="L153" s="598">
        <v>1</v>
      </c>
      <c r="N153" s="598">
        <v>4</v>
      </c>
      <c r="O153" s="598" t="e">
        <f ca="1">5+(Familiar!$N$3*0.35)</f>
        <v>#VALUE!</v>
      </c>
      <c r="Q153" s="598">
        <v>110</v>
      </c>
      <c r="R153" s="598">
        <f ca="1">4*'Main Creation Page'!$G$45</f>
        <v>80</v>
      </c>
      <c r="S153" s="598">
        <f t="shared" ca="1" si="2"/>
        <v>190</v>
      </c>
      <c r="T153" s="598">
        <v>7</v>
      </c>
      <c r="U153" s="598" t="s">
        <v>2584</v>
      </c>
    </row>
    <row r="154" spans="1:21" ht="12" customHeight="1">
      <c r="A154" s="598" t="s">
        <v>3612</v>
      </c>
      <c r="B154" s="598">
        <f>IF('Main Creation Page'!$C11&gt;15,15+(('Main Creation Page'!$C11-15)*2),'Main Creation Page'!$C11)</f>
        <v>10</v>
      </c>
      <c r="C154" s="598">
        <f>IF('Main Creation Page'!$C11&gt;15,15+(('Main Creation Page'!$C11-15)*2),'Main Creation Page'!$C11)</f>
        <v>10</v>
      </c>
      <c r="D154" s="598">
        <f>IF('Main Creation Page'!$C11&gt;15,10+10+(('Main Creation Page'!$C11-15)*3),IF('Main Creation Page'!$C11&gt;10,10+(('Main Creation Page'!$C11-10)*2),'Main Creation Page'!$C11))</f>
        <v>10</v>
      </c>
      <c r="H154" s="598">
        <v>5</v>
      </c>
      <c r="I154" s="598">
        <f>5+('Main Creation Page'!$O$35*0.35)</f>
        <v>72.55</v>
      </c>
      <c r="K154" s="598">
        <v>51</v>
      </c>
      <c r="L154" s="598">
        <v>0</v>
      </c>
      <c r="N154" s="598">
        <v>5</v>
      </c>
      <c r="O154" s="598" t="e">
        <f ca="1">5+(Familiar!$N$3*0.35)</f>
        <v>#VALUE!</v>
      </c>
      <c r="Q154" s="598">
        <v>125</v>
      </c>
      <c r="R154" s="598">
        <f ca="1">5*'Main Creation Page'!$G$45</f>
        <v>100</v>
      </c>
      <c r="S154" s="598">
        <f t="shared" ca="1" si="2"/>
        <v>225</v>
      </c>
      <c r="T154" s="598">
        <v>8</v>
      </c>
      <c r="U154" s="598" t="s">
        <v>2584</v>
      </c>
    </row>
    <row r="155" spans="1:21" ht="12" customHeight="1">
      <c r="A155" s="598" t="s">
        <v>3613</v>
      </c>
      <c r="B155" s="598">
        <f>IF('Main Creation Page'!$C13&gt;15,15+(('Main Creation Page'!$C13-15)*2),'Main Creation Page'!$C13)</f>
        <v>15</v>
      </c>
      <c r="C155" s="598">
        <f>IF('Main Creation Page'!$C13&gt;15,10+10+(('Main Creation Page'!$C13-15)*3),IF('Main Creation Page'!$C13&gt;10,10+(('Main Creation Page'!$C13-10)*2),'Main Creation Page'!$C13))</f>
        <v>20</v>
      </c>
      <c r="D155" s="598">
        <f>IF('Main Creation Page'!$C13&gt;15,15+(('Main Creation Page'!$C13-15)*2),'Main Creation Page'!$C13)</f>
        <v>15</v>
      </c>
      <c r="H155" s="598">
        <v>6</v>
      </c>
      <c r="I155" s="598">
        <f>5+('Main Creation Page'!$O$35*0.4)</f>
        <v>82.2</v>
      </c>
      <c r="K155" s="598">
        <v>99</v>
      </c>
      <c r="L155" s="598" t="s">
        <v>3546</v>
      </c>
      <c r="N155" s="598">
        <v>6</v>
      </c>
      <c r="O155" s="598" t="e">
        <f ca="1">5+(Familiar!$N$3*0.4)</f>
        <v>#VALUE!</v>
      </c>
      <c r="Q155" s="598">
        <v>150</v>
      </c>
      <c r="R155" s="598">
        <f ca="1">6*'Main Creation Page'!$G$45</f>
        <v>120</v>
      </c>
      <c r="S155" s="598">
        <f t="shared" ca="1" si="2"/>
        <v>270</v>
      </c>
      <c r="T155" s="598">
        <v>8</v>
      </c>
      <c r="U155" s="598" t="s">
        <v>2584</v>
      </c>
    </row>
    <row r="156" spans="1:21" ht="12" customHeight="1">
      <c r="A156" s="598" t="s">
        <v>3614</v>
      </c>
      <c r="B156" s="598">
        <f>IF('Main Creation Page'!$C12&gt;15,15+(('Main Creation Page'!$C12-15)*2),'Main Creation Page'!$C12)</f>
        <v>15</v>
      </c>
      <c r="C156" s="598">
        <f>IF('Main Creation Page'!$C12&gt;15,15+(('Main Creation Page'!$C12-15)*2),'Main Creation Page'!$C12)</f>
        <v>15</v>
      </c>
      <c r="D156" s="598">
        <f>IF('Main Creation Page'!$C12&gt;22,18+8+(('Main Creation Page'!$C12-22)*3),IF('Main Creation Page'!$C12&gt;18,18+(('Main Creation Page'!$C12-18)*2),'Main Creation Page'!$C12))</f>
        <v>15</v>
      </c>
      <c r="H156" s="598">
        <v>7</v>
      </c>
      <c r="I156" s="598">
        <f>5+('Main Creation Page'!$O$35*0.5)</f>
        <v>101.5</v>
      </c>
      <c r="N156" s="598">
        <v>7</v>
      </c>
      <c r="O156" s="598" t="e">
        <f ca="1">5+(Familiar!$N$3*0.5)</f>
        <v>#VALUE!</v>
      </c>
      <c r="Q156" s="598">
        <v>175</v>
      </c>
      <c r="R156" s="598">
        <f ca="1">7*'Main Creation Page'!$G$45</f>
        <v>140</v>
      </c>
      <c r="S156" s="598">
        <f t="shared" ca="1" si="2"/>
        <v>315</v>
      </c>
      <c r="T156" s="598">
        <v>9</v>
      </c>
      <c r="U156" s="598" t="s">
        <v>2584</v>
      </c>
    </row>
    <row r="157" spans="1:21" ht="12" customHeight="1">
      <c r="A157" s="598" t="s">
        <v>3718</v>
      </c>
      <c r="B157" s="598">
        <f>IF('Main Creation Page'!$C14&gt;15,15+(('Main Creation Page'!$C14-15)*2),'Main Creation Page'!$C14)</f>
        <v>19</v>
      </c>
      <c r="C157" s="598">
        <f>IF('Main Creation Page'!$C14&gt;15,15+(('Main Creation Page'!$C14-15)*2),'Main Creation Page'!$C14)</f>
        <v>19</v>
      </c>
      <c r="D157" s="598">
        <f>IF('Main Creation Page'!$C14&gt;15,15+(('Main Creation Page'!$C14-15)*2),'Main Creation Page'!$C14)</f>
        <v>19</v>
      </c>
      <c r="H157" s="598">
        <v>8</v>
      </c>
      <c r="I157" s="598">
        <f>5+('Main Creation Page'!$O$35*0.6)</f>
        <v>120.8</v>
      </c>
      <c r="L157" s="598" t="str">
        <f ca="1">VLOOKUP('Main Creation Page'!$C$45,INDIRECT(VLOOKUP($B$176,Status_Class,3)),3)</f>
        <v>Knight Errant</v>
      </c>
      <c r="N157" s="598">
        <v>8</v>
      </c>
      <c r="O157" s="598" t="e">
        <f ca="1">5+(Familiar!$N$3*0.6)</f>
        <v>#VALUE!</v>
      </c>
      <c r="Q157" s="598">
        <v>200</v>
      </c>
      <c r="R157" s="598">
        <f ca="1">8*'Main Creation Page'!$G$45</f>
        <v>160</v>
      </c>
      <c r="S157" s="598">
        <f t="shared" ca="1" si="2"/>
        <v>360</v>
      </c>
      <c r="T157" s="598">
        <v>9</v>
      </c>
      <c r="U157" s="598" t="s">
        <v>2584</v>
      </c>
    </row>
    <row r="158" spans="1:21" ht="12" customHeight="1">
      <c r="A158" s="598" t="s">
        <v>3615</v>
      </c>
      <c r="B158" s="598">
        <f>IF('Main Creation Page'!$C16&gt;15,15+(('Main Creation Page'!$C16-15)*2),'Main Creation Page'!$C16)</f>
        <v>25</v>
      </c>
      <c r="C158" s="598">
        <f>IF('Main Creation Page'!$C16&gt;15,15+(('Main Creation Page'!$C16-15)*2),'Main Creation Page'!$C16)</f>
        <v>25</v>
      </c>
      <c r="D158" s="598">
        <f>IF('Main Creation Page'!$C16&gt;15,15+(('Main Creation Page'!$C16-15)*2),'Main Creation Page'!$C16)</f>
        <v>25</v>
      </c>
      <c r="H158" s="598">
        <v>9</v>
      </c>
      <c r="I158" s="598">
        <f>5+('Main Creation Page'!$O$35*0.7)</f>
        <v>140.1</v>
      </c>
      <c r="L158" s="598">
        <f ca="1">VLOOKUP('Main Creation Page'!$C$45,INDIRECT(VLOOKUP($B$176,Status_Class,3)),5)</f>
        <v>20</v>
      </c>
      <c r="N158" s="598">
        <v>9</v>
      </c>
      <c r="O158" s="598" t="e">
        <f ca="1">5+(Familiar!$N$3*0.7)</f>
        <v>#VALUE!</v>
      </c>
      <c r="Q158" s="598">
        <v>250</v>
      </c>
      <c r="R158" s="598">
        <f ca="1">9*'Main Creation Page'!$G$45</f>
        <v>180</v>
      </c>
      <c r="S158" s="598">
        <f t="shared" ca="1" si="2"/>
        <v>430</v>
      </c>
      <c r="T158" s="598">
        <v>9</v>
      </c>
      <c r="U158" s="598" t="s">
        <v>2585</v>
      </c>
    </row>
    <row r="159" spans="1:21" ht="11.25">
      <c r="A159" s="598" t="s">
        <v>1148</v>
      </c>
      <c r="B159" s="598">
        <f>IF('Main Creation Page'!$C15&gt;15,15+(('Main Creation Page'!$C15-15)*2),'Main Creation Page'!$C15)</f>
        <v>25</v>
      </c>
      <c r="C159" s="598">
        <f>IF('Main Creation Page'!$C15&gt;15,10+10+(('Main Creation Page'!$C15-15)*3),IF('Main Creation Page'!$C15&gt;10,10+(('Main Creation Page'!$C15-10)*2),'Main Creation Page'!$C15))</f>
        <v>35</v>
      </c>
      <c r="D159" s="598">
        <f>IF('Main Creation Page'!$C15&gt;15,15+(('Main Creation Page'!$C15-15)*2),'Main Creation Page'!$C15)</f>
        <v>25</v>
      </c>
      <c r="H159" s="598">
        <v>10</v>
      </c>
      <c r="I159" s="598">
        <f>5+('Main Creation Page'!$O$35*0.8)</f>
        <v>159.4</v>
      </c>
      <c r="N159" s="598">
        <v>10</v>
      </c>
      <c r="O159" s="598" t="e">
        <f ca="1">5+(Familiar!$N$3*0.8)</f>
        <v>#VALUE!</v>
      </c>
      <c r="Q159" s="598">
        <v>500</v>
      </c>
      <c r="R159" s="598">
        <f ca="1">10*'Main Creation Page'!$G$45</f>
        <v>200</v>
      </c>
      <c r="S159" s="598">
        <f t="shared" ca="1" si="2"/>
        <v>700</v>
      </c>
      <c r="T159" s="598">
        <v>9</v>
      </c>
      <c r="U159" s="598" t="s">
        <v>2585</v>
      </c>
    </row>
    <row r="160" spans="1:21" ht="12" customHeight="1">
      <c r="A160" s="598" t="s">
        <v>3616</v>
      </c>
      <c r="B160" s="598">
        <f>IF('Main Creation Page'!$C17&gt;15,15+(('Main Creation Page'!$C17-15)*2),'Main Creation Page'!$C17)</f>
        <v>19</v>
      </c>
      <c r="C160" s="598">
        <f>IF('Main Creation Page'!$C17&gt;15,15+(('Main Creation Page'!$C17-15)*2),'Main Creation Page'!$C17)</f>
        <v>19</v>
      </c>
      <c r="D160" s="598">
        <f>IF('Main Creation Page'!$C17&gt;15,15+(('Main Creation Page'!$C17-15)*2),'Main Creation Page'!$C17)</f>
        <v>19</v>
      </c>
      <c r="H160" s="598">
        <v>11</v>
      </c>
      <c r="I160" s="598">
        <f>5+('Main Creation Page'!$O$35*0.9)</f>
        <v>178.70000000000002</v>
      </c>
      <c r="N160" s="598">
        <v>11</v>
      </c>
      <c r="O160" s="598" t="e">
        <f ca="1">5+(Familiar!$N$3*0.9)</f>
        <v>#VALUE!</v>
      </c>
      <c r="Q160" s="598">
        <v>1000</v>
      </c>
      <c r="R160" s="598">
        <f ca="1">60*'Main Creation Page'!$G$45</f>
        <v>1200</v>
      </c>
      <c r="S160" s="598">
        <f t="shared" ca="1" si="2"/>
        <v>2200</v>
      </c>
      <c r="T160" s="598">
        <v>10</v>
      </c>
      <c r="U160" s="598" t="s">
        <v>2585</v>
      </c>
    </row>
    <row r="161" spans="1:19" ht="12" customHeight="1">
      <c r="B161" s="598">
        <f>SUM(B152:B160)</f>
        <v>153</v>
      </c>
      <c r="C161" s="598">
        <f>SUM(C152:C160)</f>
        <v>168</v>
      </c>
      <c r="D161" s="598">
        <f>SUM(D152:D160)</f>
        <v>153</v>
      </c>
      <c r="H161" s="598">
        <v>12</v>
      </c>
      <c r="I161" s="598">
        <f>5+('Main Creation Page'!$O$35)</f>
        <v>198</v>
      </c>
      <c r="N161" s="598">
        <v>12</v>
      </c>
      <c r="O161" s="598" t="e">
        <f ca="1">5+(Familiar!$N$3)</f>
        <v>#VALUE!</v>
      </c>
    </row>
    <row r="162" spans="1:19" ht="12" customHeight="1">
      <c r="H162" s="598">
        <v>13</v>
      </c>
      <c r="I162" s="598">
        <f>5+('Main Creation Page'!$O$35*1.05)</f>
        <v>207.65</v>
      </c>
      <c r="N162" s="598">
        <v>13</v>
      </c>
      <c r="O162" s="598" t="e">
        <f ca="1">5+(Familiar!$N$3*1.05)</f>
        <v>#VALUE!</v>
      </c>
      <c r="Q162" s="598">
        <f ca="1">IF(B176&lt;5,0,IF(B176=5,S151,IF(B176=6,S152,IF(B176=7,S153,IF(B176=8,R162,IF(B176=9,S162,IF(B176=10,S160,0)))))))</f>
        <v>140</v>
      </c>
      <c r="R162" s="598">
        <f ca="1">IF('Main Creation Page'!C45&lt;61,S154,S155)</f>
        <v>225</v>
      </c>
      <c r="S162" s="598">
        <f ca="1">IF('Main Creation Page'!C45&lt;91,S156,IF('Main Creation Page'!C45&lt;95,S157,IF('Main Creation Page'!C45&lt;99,S158,IF('Main Creation Page'!C45&lt;100,S159,S160))))</f>
        <v>315</v>
      </c>
    </row>
    <row r="163" spans="1:19" ht="12" customHeight="1">
      <c r="B163" s="598" t="s">
        <v>5074</v>
      </c>
      <c r="C163" s="598" t="s">
        <v>3609</v>
      </c>
      <c r="D163" s="598" t="s">
        <v>3610</v>
      </c>
      <c r="E163" s="598" t="s">
        <v>1346</v>
      </c>
      <c r="H163" s="598">
        <v>14</v>
      </c>
      <c r="I163" s="598">
        <f>5+('Main Creation Page'!$O$35*1.1)</f>
        <v>217.3</v>
      </c>
      <c r="N163" s="598">
        <v>14</v>
      </c>
      <c r="O163" s="598" t="e">
        <f ca="1">5+(Familiar!$N$3*1.1)</f>
        <v>#VALUE!</v>
      </c>
    </row>
    <row r="164" spans="1:19" ht="12" customHeight="1">
      <c r="A164" s="598">
        <v>1</v>
      </c>
      <c r="B164" s="598" t="s">
        <v>5139</v>
      </c>
      <c r="C164" s="598" t="s">
        <v>4566</v>
      </c>
      <c r="D164" s="598" t="s">
        <v>557</v>
      </c>
      <c r="E164" s="598" t="s">
        <v>5928</v>
      </c>
      <c r="F164" s="598">
        <v>-4</v>
      </c>
      <c r="H164" s="598">
        <v>15</v>
      </c>
      <c r="I164" s="598">
        <f>5+('Main Creation Page'!$O$35*1.2)</f>
        <v>236.6</v>
      </c>
      <c r="N164" s="598">
        <v>15</v>
      </c>
      <c r="O164" s="598" t="e">
        <f ca="1">5+(Familiar!$N$3*1.2)</f>
        <v>#VALUE!</v>
      </c>
    </row>
    <row r="165" spans="1:19" ht="12" customHeight="1">
      <c r="A165" s="598">
        <v>2</v>
      </c>
      <c r="B165" s="598" t="s">
        <v>3460</v>
      </c>
      <c r="C165" s="598" t="s">
        <v>4567</v>
      </c>
      <c r="D165" s="598" t="s">
        <v>4562</v>
      </c>
      <c r="E165" s="598" t="s">
        <v>5864</v>
      </c>
      <c r="F165" s="598">
        <v>0</v>
      </c>
      <c r="H165" s="598">
        <v>16</v>
      </c>
      <c r="I165" s="598">
        <f>5+('Main Creation Page'!$O$35*1.3)</f>
        <v>255.9</v>
      </c>
      <c r="N165" s="598">
        <v>16</v>
      </c>
      <c r="O165" s="598" t="e">
        <f ca="1">5+(Familiar!$N$3*1.3)</f>
        <v>#VALUE!</v>
      </c>
    </row>
    <row r="166" spans="1:19" ht="12" customHeight="1">
      <c r="A166" s="598">
        <v>3</v>
      </c>
      <c r="B166" s="598" t="s">
        <v>5141</v>
      </c>
      <c r="C166" s="598" t="s">
        <v>4568</v>
      </c>
      <c r="D166" s="598" t="s">
        <v>4563</v>
      </c>
      <c r="E166" s="598" t="s">
        <v>5929</v>
      </c>
      <c r="F166" s="598">
        <v>0</v>
      </c>
      <c r="H166" s="598">
        <v>17</v>
      </c>
      <c r="I166" s="598">
        <f>5+('Main Creation Page'!$O$35*1.4)</f>
        <v>275.2</v>
      </c>
      <c r="N166" s="598">
        <v>17</v>
      </c>
      <c r="O166" s="598" t="e">
        <f ca="1">5+(Familiar!$N$3*1.4)</f>
        <v>#VALUE!</v>
      </c>
    </row>
    <row r="167" spans="1:19" ht="12" customHeight="1">
      <c r="A167" s="598">
        <v>4</v>
      </c>
      <c r="B167" s="598" t="s">
        <v>406</v>
      </c>
      <c r="C167" s="598" t="s">
        <v>4569</v>
      </c>
      <c r="D167" s="598" t="s">
        <v>4564</v>
      </c>
      <c r="E167" s="598" t="s">
        <v>5847</v>
      </c>
      <c r="F167" s="598">
        <v>4</v>
      </c>
      <c r="H167" s="598">
        <v>18</v>
      </c>
      <c r="I167" s="598">
        <f>5+('Main Creation Page'!$O$35*1.5)</f>
        <v>294.5</v>
      </c>
      <c r="N167" s="598">
        <v>18</v>
      </c>
      <c r="O167" s="598" t="e">
        <f ca="1">5+(Familiar!$N$3*1.5)</f>
        <v>#VALUE!</v>
      </c>
    </row>
    <row r="168" spans="1:19" ht="12" customHeight="1">
      <c r="A168" s="598">
        <v>5</v>
      </c>
      <c r="B168" s="598" t="s">
        <v>407</v>
      </c>
      <c r="D168" s="598" t="s">
        <v>4565</v>
      </c>
      <c r="E168" s="598" t="s">
        <v>5848</v>
      </c>
      <c r="F168" s="598">
        <v>6</v>
      </c>
      <c r="H168" s="598">
        <v>19</v>
      </c>
      <c r="I168" s="598">
        <f>5+('Main Creation Page'!$O$35*1.6)</f>
        <v>313.8</v>
      </c>
      <c r="N168" s="598">
        <v>19</v>
      </c>
      <c r="O168" s="598" t="e">
        <f ca="1">5+(Familiar!$N$3*1.6)</f>
        <v>#VALUE!</v>
      </c>
    </row>
    <row r="169" spans="1:19" ht="12" customHeight="1">
      <c r="A169" s="598">
        <v>6</v>
      </c>
      <c r="B169" s="598" t="s">
        <v>408</v>
      </c>
      <c r="E169" s="598" t="s">
        <v>4377</v>
      </c>
      <c r="F169" s="598">
        <v>9</v>
      </c>
      <c r="H169" s="598">
        <v>20</v>
      </c>
      <c r="I169" s="598">
        <f>5+('Main Creation Page'!$O$35*1.7)</f>
        <v>333.09999999999997</v>
      </c>
      <c r="N169" s="598">
        <v>20</v>
      </c>
      <c r="O169" s="598" t="e">
        <f ca="1">5+(Familiar!$N$3*1.7)</f>
        <v>#VALUE!</v>
      </c>
    </row>
    <row r="170" spans="1:19" ht="12" customHeight="1">
      <c r="A170" s="598">
        <v>7</v>
      </c>
      <c r="B170" s="598" t="s">
        <v>1414</v>
      </c>
      <c r="E170" s="598" t="s">
        <v>5849</v>
      </c>
      <c r="F170" s="598">
        <v>12</v>
      </c>
      <c r="H170" s="598">
        <v>21</v>
      </c>
      <c r="I170" s="598">
        <f>5+('Main Creation Page'!$O$35*1.8)</f>
        <v>352.40000000000003</v>
      </c>
      <c r="N170" s="598">
        <v>21</v>
      </c>
      <c r="O170" s="598" t="e">
        <f ca="1">5+(Familiar!$N$3*1.8)</f>
        <v>#VALUE!</v>
      </c>
    </row>
    <row r="171" spans="1:19" ht="12" customHeight="1">
      <c r="A171" s="598">
        <v>8</v>
      </c>
      <c r="B171" s="598" t="s">
        <v>4099</v>
      </c>
      <c r="E171" s="598" t="s">
        <v>5850</v>
      </c>
      <c r="F171" s="598">
        <v>15</v>
      </c>
      <c r="H171" s="598">
        <v>22</v>
      </c>
      <c r="I171" s="598">
        <f>5+('Main Creation Page'!$O$35*1.9)</f>
        <v>371.7</v>
      </c>
      <c r="N171" s="598">
        <v>22</v>
      </c>
      <c r="O171" s="598" t="e">
        <f ca="1">5+(Familiar!$N$3*1.9)</f>
        <v>#VALUE!</v>
      </c>
    </row>
    <row r="172" spans="1:19" ht="12" customHeight="1">
      <c r="A172" s="598">
        <v>9</v>
      </c>
      <c r="B172" s="598" t="s">
        <v>5137</v>
      </c>
      <c r="E172" s="598" t="s">
        <v>5851</v>
      </c>
      <c r="F172" s="598">
        <v>20</v>
      </c>
      <c r="H172" s="598">
        <v>23</v>
      </c>
      <c r="I172" s="598">
        <f>5+('Main Creation Page'!$O$35*2)</f>
        <v>391</v>
      </c>
      <c r="N172" s="598">
        <v>23</v>
      </c>
      <c r="O172" s="598" t="e">
        <f ca="1">5+(Familiar!$N$3*2)</f>
        <v>#VALUE!</v>
      </c>
    </row>
    <row r="173" spans="1:19" ht="12" customHeight="1">
      <c r="A173" s="598">
        <v>10</v>
      </c>
      <c r="B173" s="598" t="s">
        <v>5138</v>
      </c>
      <c r="E173" s="598" t="s">
        <v>5852</v>
      </c>
      <c r="F173" s="598">
        <v>25</v>
      </c>
      <c r="H173" s="598">
        <v>24</v>
      </c>
      <c r="I173" s="598">
        <f>5+('Main Creation Page'!$O$35*2.1)</f>
        <v>410.3</v>
      </c>
      <c r="N173" s="598">
        <v>24</v>
      </c>
      <c r="O173" s="598" t="e">
        <f ca="1">5+(Familiar!$N$3*2.1)</f>
        <v>#VALUE!</v>
      </c>
    </row>
    <row r="174" spans="1:19" ht="12" customHeight="1">
      <c r="B174" s="598">
        <f>MATCH($H$186,B164:B173,0)</f>
        <v>8</v>
      </c>
      <c r="C174" s="598">
        <f>MATCH('Main Creation Page'!AF33,C164:C167,0)</f>
        <v>2</v>
      </c>
      <c r="D174" s="598">
        <f>MATCH('Main Creation Page'!AF35,D164:D168,0)</f>
        <v>2</v>
      </c>
      <c r="E174" s="598">
        <f>VLOOKUP('Main Creation Page'!C26,Status!N27:P37,2)</f>
        <v>9</v>
      </c>
      <c r="H174" s="598">
        <v>25</v>
      </c>
      <c r="I174" s="598">
        <f>5+('Main Creation Page'!$O$35*2.25)</f>
        <v>439.25</v>
      </c>
      <c r="N174" s="598">
        <v>25</v>
      </c>
      <c r="O174" s="598" t="e">
        <f ca="1">5+(Familiar!$N$3*2.25)</f>
        <v>#VALUE!</v>
      </c>
    </row>
    <row r="175" spans="1:19" ht="12" customHeight="1">
      <c r="B175" s="598" t="str">
        <f>IF(B174&gt;5,IF('Main Creation Page'!I31="F","Y",IF('Main Creation Page'!J31=TRUE,"N","Y")),IF(B174=4,IF('Main Creation Page'!G45&gt;14,IF('Main Creation Page'!I31="F","Y",IF('Main Creation Page'!J31=TRUE,"N","Y")),"N"),"N"))</f>
        <v>Y</v>
      </c>
      <c r="C175" s="598" t="str">
        <f>IF(C174&lt;3,"N",IF('Main Creation Page'!$I$31="F","Y",IF('Main Creation Page'!J31=TRUE,"N","Y")))</f>
        <v>N</v>
      </c>
      <c r="D175" s="598" t="str">
        <f>IF(D174&lt;3,"N",IF('Main Creation Page'!$I$31="F","Y",IF('Main Creation Page'!J31=TRUE,"N","Y")))</f>
        <v>N</v>
      </c>
      <c r="E175" s="598" t="str">
        <f>IF(D174&lt;4,"N",IF('Main Creation Page'!$I$31="F","Y",IF('Main Creation Page'!J31=TRUE,"N","Y")))</f>
        <v>N</v>
      </c>
    </row>
    <row r="176" spans="1:19" ht="12" customHeight="1">
      <c r="B176" s="598">
        <f>VLOOKUP('Main Creation Page'!B45,'System Lookups'!A164:B173,1)</f>
        <v>5</v>
      </c>
      <c r="H176" s="598" t="s">
        <v>3719</v>
      </c>
    </row>
    <row r="177" spans="2:20" ht="12" customHeight="1"/>
    <row r="178" spans="2:20" ht="12" customHeight="1">
      <c r="B178" s="598">
        <f>VLOOKUP('Main Creation Page'!C26,Status_Roll_Class,2)</f>
        <v>8</v>
      </c>
      <c r="C178" s="598">
        <f>IF('Main Creation Page'!$C$26&lt;71,1,IF('Main Creation Page'!$C$26&lt;96,2,3))</f>
        <v>2</v>
      </c>
      <c r="D178" s="598">
        <f>IF('Main Creation Page'!$C$26&lt;90,1,IF('Main Creation Page'!$C$26&lt;96,2,IF('Main Creation Page'!$C$26&lt;100,3,4)))</f>
        <v>2</v>
      </c>
      <c r="H178" s="598" t="s">
        <v>178</v>
      </c>
      <c r="I178" s="598" t="s">
        <v>4624</v>
      </c>
      <c r="J178" s="598" t="s">
        <v>1528</v>
      </c>
      <c r="K178" s="598" t="s">
        <v>5221</v>
      </c>
    </row>
    <row r="179" spans="2:20" ht="12" customHeight="1">
      <c r="B179" s="598">
        <f>IF('Main Creation Page'!$C$26&gt;99,10,9)</f>
        <v>9</v>
      </c>
      <c r="H179" s="598">
        <f>IF('Main Creation Page'!D27="P",'Main Creation Page'!C27,0)</f>
        <v>0</v>
      </c>
      <c r="I179" s="598">
        <f>IF('Main Creation Page'!D26="P",'Main Creation Page'!H26,0)</f>
        <v>0</v>
      </c>
      <c r="J179" s="598">
        <f>IF('Main Creation Page'!C38="P",'Main Creation Page'!D38,0)</f>
        <v>0</v>
      </c>
      <c r="K179" s="598">
        <f>IF('Main Creation Page'!R33="P",'Main Creation Page'!S33,0)</f>
        <v>0</v>
      </c>
    </row>
    <row r="180" spans="2:20" ht="12" customHeight="1">
      <c r="B180" s="598" t="s">
        <v>3521</v>
      </c>
      <c r="C180" s="598">
        <f>IF((Experience!$R$16/1000)&lt;=5,1,D180)</f>
        <v>1</v>
      </c>
      <c r="D180" s="598">
        <f>IF((Experience!$R$16/1000)&lt;=10,2,B181)</f>
        <v>2</v>
      </c>
      <c r="H180" s="598">
        <f>IF('Main Creation Page'!AE31="P",10,0)</f>
        <v>0</v>
      </c>
      <c r="J180" s="598">
        <f>IF('Main Creation Page'!D28="P",'Main Creation Page'!H28,0)</f>
        <v>-3</v>
      </c>
      <c r="K180" s="598">
        <f>IF('Main Creation Page'!AD38="P",'Main Creation Page'!AE38,0)</f>
        <v>0</v>
      </c>
    </row>
    <row r="181" spans="2:20" ht="12" customHeight="1">
      <c r="B181" s="598">
        <f>IF((Experience!$R$16/1000)&lt;=15,3,C181)</f>
        <v>3</v>
      </c>
      <c r="C181" s="598">
        <f>IF((Experience!$R$16/1000)&lt;=20,4,D181)</f>
        <v>4</v>
      </c>
      <c r="D181" s="598">
        <f>IF((Experience!$R$16/1000)&lt;=30,5,B182)</f>
        <v>5</v>
      </c>
      <c r="H181" s="598">
        <f>IF('Main Creation Page'!D6="P",'Main Creation Page'!C6,0)</f>
        <v>0</v>
      </c>
      <c r="J181" s="598">
        <f>IF('Main Creation Page'!R34="P",'Main Creation Page'!S34,0)</f>
        <v>0</v>
      </c>
      <c r="K181" s="598">
        <f>'Main Creation Page'!Y8</f>
        <v>0</v>
      </c>
    </row>
    <row r="182" spans="2:20" ht="12" customHeight="1">
      <c r="B182" s="598">
        <f>IF((Experience!$R$16/1000)&lt;=40,6,C182)</f>
        <v>6</v>
      </c>
      <c r="C182" s="598">
        <f>IF((Experience!$R$16/1000)&lt;=50,7,D182)</f>
        <v>7</v>
      </c>
      <c r="D182" s="598">
        <f>IF((Experience!$R$16/1000)&lt;=65,8,B183)</f>
        <v>8</v>
      </c>
      <c r="H182" s="598">
        <f>SUM(H179:H181)</f>
        <v>0</v>
      </c>
      <c r="I182" s="598">
        <f>SUM(I179:I181)</f>
        <v>0</v>
      </c>
      <c r="J182" s="598">
        <f>SUM(J179:J181)</f>
        <v>-3</v>
      </c>
      <c r="K182" s="598">
        <f>SUM(K179:K181)</f>
        <v>0</v>
      </c>
      <c r="L182" s="598">
        <f>SUM(H182:K182)</f>
        <v>-3</v>
      </c>
    </row>
    <row r="183" spans="2:20" ht="12" customHeight="1">
      <c r="B183" s="598">
        <f>IF((Experience!$R$16/1000)&lt;=80,9,C183)</f>
        <v>9</v>
      </c>
      <c r="C183" s="598">
        <f>IF((Experience!$R$16/1000)&lt;=95,10,D183)</f>
        <v>10</v>
      </c>
      <c r="D183" s="598">
        <f>IF((Experience!$R$16/1000)&lt;=110,11,B184)</f>
        <v>11</v>
      </c>
    </row>
    <row r="184" spans="2:20" ht="12" customHeight="1">
      <c r="B184" s="598">
        <f>IF((Experience!$R$16/1000)&lt;=130,12,C184)</f>
        <v>12</v>
      </c>
      <c r="C184" s="598">
        <f>IF((Experience!$R$16/1000)&lt;=150,13,D184)</f>
        <v>13</v>
      </c>
      <c r="D184" s="598">
        <f>IF((Experience!$R$16/1000)&lt;=170,14,B185)</f>
        <v>14</v>
      </c>
      <c r="H184" s="598" t="s">
        <v>5074</v>
      </c>
      <c r="I184" s="598" t="s">
        <v>3609</v>
      </c>
      <c r="J184" s="598" t="s">
        <v>3610</v>
      </c>
      <c r="K184" s="598" t="s">
        <v>1346</v>
      </c>
    </row>
    <row r="185" spans="2:20" ht="12" customHeight="1">
      <c r="B185" s="598">
        <f>IF((Experience!$R$16/1000)&lt;=195,15,C185)</f>
        <v>15</v>
      </c>
      <c r="C185" s="598">
        <f>IF((Experience!$R$16/1000)&lt;=220,16,D185)</f>
        <v>16</v>
      </c>
      <c r="D185" s="598">
        <f>IF((Experience!$R$16/1000)&lt;=245,17,B186)</f>
        <v>17</v>
      </c>
      <c r="H185" s="598" t="str">
        <f>VLOOKUP(H187,'System Lookups'!A164:D173,2)</f>
        <v>Baron</v>
      </c>
      <c r="I185" s="598" t="str">
        <f>IF('Main Creation Page'!C26&lt;0,'System Lookups'!C164,IF('Main Creation Page'!$C$26=0,C165,IF('Main Creation Page'!$C$26&gt;15,"True Elf","Great Elf")))</f>
        <v>True Elf</v>
      </c>
      <c r="J185" s="598" t="str">
        <f>IF('Main Creation Page'!C26&lt;0,"Outcast",IF('Main Creation Page'!$C$26=0,"Clan Dwarf",IF('Main Creation Page'!$C$26&lt;15,"Thane",IF('Main Creation Page'!C26&lt;20,"Jarl","Konung"))))</f>
        <v>Konung</v>
      </c>
      <c r="K185" s="598" t="str">
        <f>IF('Main Creation Page'!C26&lt;0,E164,IF('Main Creation Page'!$C$26=0,E166,IF('Main Creation Page'!$C$26&lt;5,E168,IF('Main Creation Page'!$C$26&lt;6,E167,IF('Main Creation Page'!$C$26&lt;7,E169,IF('Main Creation Page'!$C$26&lt;11,E170,IF('Main Creation Page'!$C$26&lt;15,E171,IF('Main Creation Page'!$C$26&lt;20,E172,IF('Main Creation Page'!C26&lt;25,E173,"Royalty")))))))))</f>
        <v>Royalty</v>
      </c>
    </row>
    <row r="186" spans="2:20" ht="12" customHeight="1">
      <c r="B186" s="598">
        <f>IF((Experience!$R$16/1000)&lt;=270,18,C186)</f>
        <v>18</v>
      </c>
      <c r="C186" s="598">
        <f>IF((Experience!$R$16/1000)&lt;=300,19,D186)</f>
        <v>19</v>
      </c>
      <c r="D186" s="598">
        <f>IF((Experience!$R$16/1000)&lt;=360,20,21+INT((((Experience!$R$16/1000)-360)/30)))</f>
        <v>20</v>
      </c>
      <c r="H186" s="598" t="str">
        <f>VLOOKUP('System Lookups'!$H$188,Status_Roll_Class,3)</f>
        <v>Baron</v>
      </c>
      <c r="I186" s="598" t="str">
        <f>IF('Main Creation Page'!D26="D","Half Blood",VLOOKUP(C174,'System Lookups'!A164:D172,3))</f>
        <v>Half Blood</v>
      </c>
      <c r="J186" s="598" t="str">
        <f>IF('Main Creation Page'!D26="D","Clan Dwarf",(VLOOKUP('System Lookups'!D174,'System Lookups'!A164:D172,4)))</f>
        <v>Clan Dwarf</v>
      </c>
      <c r="K186" s="598" t="str">
        <f>IF('Main Creation Page'!D26="D",E165,(VLOOKUP('System Lookups'!E174,A164:E173,5)))</f>
        <v>Dominion ruler</v>
      </c>
    </row>
    <row r="187" spans="2:20" ht="12" customHeight="1">
      <c r="H187" s="598">
        <f>VLOOKUP('System Lookups'!$H$188,Status_Roll_Class,2)</f>
        <v>8</v>
      </c>
      <c r="I187" s="598">
        <f>VLOOKUP(H187,A164:F173,6)</f>
        <v>15</v>
      </c>
    </row>
    <row r="188" spans="2:20" ht="12" customHeight="1">
      <c r="B188" s="598" t="s">
        <v>3522</v>
      </c>
      <c r="C188" s="598">
        <f>IF((Experience!$R$19/1000)&lt;=5,1,D188)</f>
        <v>1</v>
      </c>
      <c r="D188" s="598">
        <f>IF((Experience!$R$19/1000)&lt;=10,2,B189)</f>
        <v>2</v>
      </c>
      <c r="H188" s="598">
        <f>IF('Main Creation Page'!$D$26="D",61,'Main Creation Page'!$C$26)</f>
        <v>95</v>
      </c>
      <c r="I188" s="598">
        <f>IF('Main Creation Page'!$D$26="D",61,'Main Creation Page'!$C$26)</f>
        <v>95</v>
      </c>
      <c r="J188" s="598">
        <f>IF('Main Creation Page'!$D$26="D",61,'Main Creation Page'!$C$26)</f>
        <v>95</v>
      </c>
    </row>
    <row r="189" spans="2:20" ht="12" customHeight="1">
      <c r="B189" s="598">
        <f>IF((Experience!$R$19/1000)&lt;=15,3,C189)</f>
        <v>3</v>
      </c>
      <c r="C189" s="598">
        <f>IF((Experience!$R$19/1000)&lt;=20,4,D189)</f>
        <v>4</v>
      </c>
      <c r="D189" s="598">
        <f>IF((Experience!$R$19/1000)&lt;=30,5,B190)</f>
        <v>5</v>
      </c>
      <c r="M189" s="598">
        <f>E174</f>
        <v>9</v>
      </c>
    </row>
    <row r="190" spans="2:20" ht="12" customHeight="1">
      <c r="B190" s="598">
        <f>IF((Experience!$R$19/1000)&lt;=40,6,C190)</f>
        <v>6</v>
      </c>
      <c r="C190" s="598">
        <f>IF((Experience!$R$19/1000)&lt;=50,7,D190)</f>
        <v>7</v>
      </c>
      <c r="D190" s="598">
        <f>IF((Experience!$R$19/1000)&lt;=65,8,B191)</f>
        <v>8</v>
      </c>
      <c r="I190" s="598" t="s">
        <v>5074</v>
      </c>
      <c r="J190" s="598" t="s">
        <v>3609</v>
      </c>
      <c r="K190" s="598" t="s">
        <v>3610</v>
      </c>
      <c r="L190" s="598" t="s">
        <v>1346</v>
      </c>
      <c r="M190" s="598">
        <v>1</v>
      </c>
      <c r="N190" s="598" t="s">
        <v>4483</v>
      </c>
      <c r="O190" s="598">
        <v>0</v>
      </c>
    </row>
    <row r="191" spans="2:20" ht="12" customHeight="1">
      <c r="B191" s="598">
        <f>IF((Experience!$R$19/1000)&lt;=80,9,C191)</f>
        <v>9</v>
      </c>
      <c r="C191" s="598">
        <f>IF((Experience!$R$19/1000)&lt;=95,10,D191)</f>
        <v>10</v>
      </c>
      <c r="D191" s="598">
        <f>IF((Experience!$R$19/1000)&lt;=110,11,B192)</f>
        <v>11</v>
      </c>
      <c r="H191" s="598" t="s">
        <v>485</v>
      </c>
      <c r="I191" s="598" t="str">
        <f ca="1">VLOOKUP('Main Creation Page'!$C$27,INDIRECT(VLOOKUP('System Lookups'!$B$174,Status_Class,3)),3)</f>
        <v>Baronet</v>
      </c>
      <c r="J191" s="598" t="str">
        <f>IF(C174=1,VLOOKUP('Main Creation Page'!C27,'Racial Lookups'!H54:J61,2),IF(C174=2,VLOOKUP('Main Creation Page'!C27,'Racial Lookups'!H64:J83,2),IF(C174=3,VLOOKUP('Main Creation Page'!C27,'Racial Lookups'!L54:N61,2),VLOOKUP('Main Creation Page'!C27,'Racial Lookups'!L64:N67,2))))</f>
        <v>Plant Tender</v>
      </c>
      <c r="K191" s="598" t="str">
        <f>IF(D174=1,VLOOKUP('Main Creation Page'!C27,'Racial Lookups'!H139:J145,2),IF(D174=2,VLOOKUP('Main Creation Page'!C27,'Racial Lookups'!H148:J171,2),IF(D174=3,VLOOKUP('Main Creation Page'!C27,'Racial Lookups'!L139:N144,2),IF(D174=3,VLOOKUP('Main Creation Page'!C27,'Racial Lookups'!L148:N156,2,VLOOKUP('Main Creation Page'!C27,'Racial Lookups'!L158:N165,2))))))</f>
        <v>Farmer</v>
      </c>
      <c r="L191" s="598" t="str">
        <f>IF(E174=1,VLOOKUP('Main Creation Page'!C27,'Racial Lookups'!Z201:AB210,2),IF(E174=2,VLOOKUP('Main Creation Page'!C27,'Racial Lookups'!Z213:AB230,2),IF(E174=3,VLOOKUP('Main Creation Page'!C27,'Racial Lookups'!AD201:AF221,2),IF(E174=4,VLOOKUP('Main Creation Page'!C27,'Racial Lookups'!AD224:AF231,2),IF(E174=5,VLOOKUP('Main Creation Page'!C27,'Racial Lookups'!AH201:AJ213,2),IF(E174=6,VLOOKUP('Main Creation Page'!C27,'Racial Lookups'!AL201:AN233,2),IF(E174=7,VLOOKUP('Main Creation Page'!C27,'Racial Lookups'!AH216:AJ220,2),VLOOKUP('Main Creation Page'!C27,'Racial Lookups'!AH223:AJ226,2))))))))</f>
        <v>Language Trader</v>
      </c>
      <c r="M191" s="598">
        <v>11</v>
      </c>
      <c r="N191" s="598" t="s">
        <v>4482</v>
      </c>
      <c r="O191" s="598">
        <v>0</v>
      </c>
      <c r="S191" s="598">
        <v>1</v>
      </c>
      <c r="T191" s="598">
        <v>0</v>
      </c>
    </row>
    <row r="192" spans="2:20" ht="12" customHeight="1">
      <c r="B192" s="598">
        <f>IF((Experience!$R$19/1000)&lt;=130,12,C192)</f>
        <v>12</v>
      </c>
      <c r="C192" s="598">
        <f>IF((Experience!$R$19/1000)&lt;=150,13,D192)</f>
        <v>13</v>
      </c>
      <c r="D192" s="598">
        <f>IF((Experience!$R$19/1000)&lt;=170,14,B193)</f>
        <v>14</v>
      </c>
      <c r="H192" s="598" t="s">
        <v>486</v>
      </c>
      <c r="I192" s="598">
        <f ca="1">VLOOKUP('Main Creation Page'!$C$27,INDIRECT(VLOOKUP('System Lookups'!$B$174,Status_Class,3)),5)+IF(AND($B$174=4,$I$191="Merchant Prince"),'Main Creation Page'!I28,0)</f>
        <v>31</v>
      </c>
      <c r="J192" s="598">
        <f>IF(C174=1,VLOOKUP('Main Creation Page'!C27,'Racial Lookups'!H54:J61,3),IF(C174=2,VLOOKUP('Main Creation Page'!C27,'Racial Lookups'!H64:J83,3),IF(C174=3,VLOOKUP('Main Creation Page'!C27,'Racial Lookups'!L54:N61,3),VLOOKUP('Main Creation Page'!C27,'Racial Lookups'!L64:N67,3))))+'Main Creation Page'!AE32</f>
        <v>8</v>
      </c>
      <c r="K192" s="598">
        <f>IF(D174=1,VLOOKUP('Main Creation Page'!C27,'Racial Lookups'!H139:J145,3),IF(D174=2,VLOOKUP('Main Creation Page'!C27,'Racial Lookups'!H148:J171,3),IF(D174=3,VLOOKUP('Main Creation Page'!C27,'Racial Lookups'!L139:N144,3),IF(D174=3,VLOOKUP('Main Creation Page'!C27,'Racial Lookups'!L148:N156,3,VLOOKUP('Main Creation Page'!C27,'Racial Lookups'!L158:N165,3))))+'Main Creation Page'!AE34))</f>
        <v>4</v>
      </c>
      <c r="L192" s="598">
        <f>IF(E174=1,VLOOKUP('Main Creation Page'!C27,'Racial Lookups'!Z201:AB210,3),IF(E174=2,VLOOKUP('Main Creation Page'!C27,'Racial Lookups'!Z213:AB230,3),IF(E174=3,VLOOKUP('Main Creation Page'!C27,'Racial Lookups'!AD201:AF221,3),IF(E174=4,VLOOKUP('Main Creation Page'!C27,'Racial Lookups'!AD224:AF231,3),IF(E174=5,VLOOKUP('Main Creation Page'!C27,'Racial Lookups'!AH201:AJ213,3),IF(E174=6,VLOOKUP('Main Creation Page'!C27,'Racial Lookups'!AL201:AN233,3),IF(E174=7,VLOOKUP('Main Creation Page'!C27,'Racial Lookups'!AH216:AJ220,3),VLOOKUP('Main Creation Page'!C27,'Racial Lookups'!AH223:AJ226,3))))))))</f>
        <v>25</v>
      </c>
      <c r="M192" s="598">
        <v>21</v>
      </c>
      <c r="N192" s="598" t="s">
        <v>4570</v>
      </c>
      <c r="O192" s="598">
        <v>5</v>
      </c>
      <c r="S192" s="598">
        <v>25</v>
      </c>
      <c r="T192" s="598">
        <v>1</v>
      </c>
    </row>
    <row r="193" spans="2:20" ht="12" customHeight="1">
      <c r="B193" s="598">
        <f>IF((Experience!$R$19/1000)&lt;=195,15,C193)</f>
        <v>15</v>
      </c>
      <c r="C193" s="598">
        <f>IF((Experience!$R$19/1000)&lt;=220,16,D193)</f>
        <v>16</v>
      </c>
      <c r="D193" s="598">
        <f>IF((Experience!$R$19/1000)&lt;=245,17,B194)</f>
        <v>17</v>
      </c>
      <c r="H193" s="598" t="s">
        <v>327</v>
      </c>
      <c r="I193" s="598">
        <f ca="1">VLOOKUP(I192,S191:T196,2)</f>
        <v>4</v>
      </c>
      <c r="L193" s="598">
        <f ca="1">VLOOKUP('Main Creation Page'!I26,S191:T196,2)</f>
        <v>0</v>
      </c>
      <c r="M193" s="598">
        <v>31</v>
      </c>
      <c r="N193" s="598" t="s">
        <v>4571</v>
      </c>
      <c r="O193" s="598">
        <v>4</v>
      </c>
      <c r="S193" s="598">
        <v>27</v>
      </c>
      <c r="T193" s="598">
        <v>2</v>
      </c>
    </row>
    <row r="194" spans="2:20" ht="12" customHeight="1">
      <c r="B194" s="598">
        <f>IF((Experience!$R$19/1000)&lt;=270,18,C194)</f>
        <v>18</v>
      </c>
      <c r="C194" s="598">
        <f>IF((Experience!$R$19/1000)&lt;=300,19,D194)</f>
        <v>19</v>
      </c>
      <c r="D194" s="598">
        <f>IF((Experience!$R$19/1000)&lt;=360,20,21+INT((((Experience!$R$19/1000)-360)/30)))</f>
        <v>20</v>
      </c>
      <c r="H194" s="598" t="s">
        <v>4783</v>
      </c>
      <c r="I194" s="598">
        <f ca="1">VLOOKUP('Main Creation Page'!$C$27,INDIRECT(VLOOKUP($B$174,Status_Class,3)),4)</f>
        <v>690</v>
      </c>
      <c r="J194" s="598">
        <f>IF('System Lookups'!$C$174=1,0,IF('System Lookups'!$C$174=2,2*J192,IF('System Lookups'!$C$174=2,3*J192,4*J192)))</f>
        <v>16</v>
      </c>
      <c r="K194" s="598">
        <f>IF($D$174&lt;2,0,IF($D$174&lt;3,3*K192,2.5*K192))</f>
        <v>12</v>
      </c>
      <c r="L194" s="598">
        <f ca="1">VLOOKUP('Main Creation Page'!$C$27,INDIRECT(VLOOKUP($B$174,Status_Class,3)),4)</f>
        <v>690</v>
      </c>
      <c r="M194" s="598">
        <v>41</v>
      </c>
      <c r="N194" s="598" t="s">
        <v>4572</v>
      </c>
      <c r="O194" s="598">
        <v>3</v>
      </c>
      <c r="S194" s="598">
        <v>29</v>
      </c>
      <c r="T194" s="598">
        <v>3</v>
      </c>
    </row>
    <row r="195" spans="2:20" ht="12" customHeight="1">
      <c r="H195" s="598" t="s">
        <v>2893</v>
      </c>
      <c r="I195" s="598">
        <f ca="1">IF('Main Creation Page'!$C$28&gt;=$M$192,I194,IF('Main Creation Page'!$C$28&gt;=$M$191,INT(I194*0.75),INT(I194*0.25)))</f>
        <v>517</v>
      </c>
      <c r="J195" s="598">
        <f>IF('Main Creation Page'!$C$28&gt;=$M$192,J194,IF('Main Creation Page'!$C$28&gt;=$M$191,INT(J194*0.75),INT(J194*0.25)))</f>
        <v>12</v>
      </c>
      <c r="K195" s="598">
        <f>IF('Main Creation Page'!$C$28&gt;=$M$192,K194,IF('Main Creation Page'!$C$28&gt;=$M$191,INT(K194*0.75),INT(K194*0.25)))</f>
        <v>9</v>
      </c>
      <c r="L195" s="598">
        <f ca="1">IF('Main Creation Page'!$C$28&gt;=$M$192,I194,IF('Main Creation Page'!$C$28&gt;=$M$191,INT(I194*0.75),INT(I194*0.25)))</f>
        <v>517</v>
      </c>
      <c r="M195" s="598">
        <v>56</v>
      </c>
      <c r="N195" s="598" t="s">
        <v>4573</v>
      </c>
      <c r="O195" s="598">
        <v>2</v>
      </c>
      <c r="S195" s="598">
        <v>30</v>
      </c>
      <c r="T195" s="598">
        <v>4</v>
      </c>
    </row>
    <row r="196" spans="2:20" ht="12" customHeight="1">
      <c r="H196" s="598" t="s">
        <v>4784</v>
      </c>
      <c r="I196" s="598">
        <f ca="1">IF('Main Creation Page'!$B$38=3,I195/2,IF('Main Creation Page'!$B$38=2,+I195*((0.05*'Main Creation Page'!$K$39)*I195),I195))</f>
        <v>517</v>
      </c>
      <c r="J196" s="598">
        <f>IF('Main Creation Page'!$B$38=3,J195/2,IF('Main Creation Page'!$B$38=2,+J195*((0.05*'Main Creation Page'!$K$39)*J195),J195))</f>
        <v>12</v>
      </c>
      <c r="K196" s="598">
        <f>IF('Main Creation Page'!$B$38=3,K195/2,IF('Main Creation Page'!$B$38=2,+K195*((0.05*'Main Creation Page'!$K$39)*K195),K195))</f>
        <v>9</v>
      </c>
      <c r="L196" s="598">
        <f ca="1">IF('Main Creation Page'!$B$38=3,I195/2,IF('Main Creation Page'!$B$38=2,+I195*((0.05*'Main Creation Page'!$K$39)*I195),I195))</f>
        <v>517</v>
      </c>
      <c r="M196" s="598">
        <v>71</v>
      </c>
      <c r="N196" s="598" t="s">
        <v>4574</v>
      </c>
      <c r="O196" s="598">
        <v>1</v>
      </c>
      <c r="S196" s="598">
        <v>44</v>
      </c>
      <c r="T196" s="598">
        <v>5</v>
      </c>
    </row>
    <row r="197" spans="2:20" ht="12" customHeight="1">
      <c r="H197" s="598" t="s">
        <v>4782</v>
      </c>
      <c r="I197" s="598" t="str">
        <f ca="1">IF($B$174&lt;6,"None",VLOOKUP('Main Creation Page'!$C$27,INDIRECT(VLOOKUP($B$174,Status_Class,3)),12))</f>
        <v>S</v>
      </c>
      <c r="J197" s="598" t="str">
        <f>IF($C$174=1,"None",IF($C$174=2,VLOOKUP('Main Creation Page'!$C$27,Status_Baron,12),VLOOKUP('Main Creation Page'!$C$27,Status_Noble,12)))</f>
        <v>S</v>
      </c>
      <c r="K197" s="598" t="s">
        <v>4781</v>
      </c>
      <c r="L197" s="598" t="str">
        <f ca="1">IF($B$174&lt;6,"None",VLOOKUP('Main Creation Page'!$C$27,INDIRECT(VLOOKUP($B$174,Status_Class,3)),12))</f>
        <v>S</v>
      </c>
      <c r="M197" s="598">
        <v>86</v>
      </c>
      <c r="N197" s="598" t="s">
        <v>4575</v>
      </c>
      <c r="O197" s="598">
        <v>0</v>
      </c>
    </row>
    <row r="198" spans="2:20" ht="12" customHeight="1">
      <c r="H198" s="598" t="s">
        <v>3001</v>
      </c>
      <c r="I198" s="598">
        <f ca="1">VLOOKUP('Main Creation Page'!$C$27,INDIRECT(VLOOKUP($B$174,Status_Class,3)),6)</f>
        <v>13</v>
      </c>
      <c r="J198" s="598">
        <f>IF($C$174=1,0.055,IF($C$174=2,VLOOKUP('Main Creation Page'!$C$27,Status_Baron,6),VLOOKUP('Main Creation Page'!$C$27,Status_Noble,6)))</f>
        <v>13</v>
      </c>
      <c r="K198" s="598">
        <f>IF($D$174&lt;2,0.05,IF($D$174&lt;3,0.1,IF($D$174&lt;4,0.14,0.17)))</f>
        <v>0.1</v>
      </c>
      <c r="L198" s="598">
        <f ca="1">VLOOKUP('Main Creation Page'!$C$27,INDIRECT(VLOOKUP($B$174,Status_Class,3)),6)</f>
        <v>13</v>
      </c>
    </row>
    <row r="199" spans="2:20" ht="12" customHeight="1">
      <c r="H199" s="598" t="s">
        <v>3002</v>
      </c>
      <c r="I199" s="598">
        <f ca="1">VLOOKUP('Main Creation Page'!$C$27,INDIRECT(VLOOKUP($B$174,Status_Class,3)),7)</f>
        <v>390</v>
      </c>
      <c r="J199" s="598">
        <f>IF($C$174=1,0.055,IF($C$174=2,VLOOKUP('Main Creation Page'!$C$27,Status_Baron,7),VLOOKUP('Main Creation Page'!$C$27,Status_Noble,7)))</f>
        <v>390</v>
      </c>
      <c r="K199" s="598">
        <f>IF($D$174&lt;2,1.5,IF($D$174&lt;3,3,IF($D$174&lt;4,4.2,5.1)))</f>
        <v>3</v>
      </c>
      <c r="L199" s="598">
        <f ca="1">VLOOKUP('Main Creation Page'!$C$27,INDIRECT(VLOOKUP($B$174,Status_Class,3)),7)</f>
        <v>390</v>
      </c>
    </row>
    <row r="200" spans="2:20" ht="12" customHeight="1">
      <c r="H200" s="598" t="s">
        <v>3003</v>
      </c>
      <c r="I200" s="598">
        <f ca="1">VLOOKUP('Main Creation Page'!$C$27,INDIRECT(VLOOKUP($B$174,Status_Class,3)),8)</f>
        <v>4680</v>
      </c>
      <c r="J200" s="598">
        <f>IF($C$174=1,0.055,IF($C$174=2,VLOOKUP('Main Creation Page'!$C$27,Status_Baron,8),VLOOKUP('Main Creation Page'!$C$27,Status_Noble,8)))</f>
        <v>4680</v>
      </c>
      <c r="K200" s="598">
        <f>IF($D$174&lt;2,18,IF($D$174&lt;3,36,IF($D$174&lt;4,50,61.2)))</f>
        <v>36</v>
      </c>
      <c r="L200" s="598">
        <f ca="1">VLOOKUP('Main Creation Page'!$C$27,INDIRECT(VLOOKUP($B$174,Status_Class,3)),8)</f>
        <v>4680</v>
      </c>
    </row>
    <row r="201" spans="2:20" ht="12" customHeight="1">
      <c r="H201" s="598" t="s">
        <v>4782</v>
      </c>
      <c r="I201" s="598" t="str">
        <f>IF(ISBLANK(Funds!$B$11),"None",Funds!$B$11)</f>
        <v>None</v>
      </c>
      <c r="J201" s="598" t="str">
        <f>IF(ISBLANK(Funds!$B$11),"None",Funds!$B$11)</f>
        <v>None</v>
      </c>
      <c r="K201" s="598" t="str">
        <f>IF(ISBLANK(Funds!$B$11),"None",Funds!$B$11)</f>
        <v>None</v>
      </c>
      <c r="L201" s="598" t="str">
        <f>IF(ISBLANK(Funds!$B$11),"None",Funds!$B$11)</f>
        <v>None</v>
      </c>
    </row>
    <row r="202" spans="2:20" ht="12" customHeight="1">
      <c r="H202" s="598" t="s">
        <v>3001</v>
      </c>
      <c r="I202" s="598">
        <f ca="1">VLOOKUP('Main Creation Page'!$C$45,INDIRECT(VLOOKUP($B$176,Status_Class,3)),6)</f>
        <v>0.1</v>
      </c>
    </row>
    <row r="203" spans="2:20" ht="12" customHeight="1">
      <c r="H203" s="598" t="s">
        <v>3002</v>
      </c>
      <c r="I203" s="598">
        <f ca="1">VLOOKUP('Main Creation Page'!$C$45,INDIRECT(VLOOKUP($B$176,Status_Class,3)),7)</f>
        <v>3</v>
      </c>
    </row>
    <row r="204" spans="2:20" ht="12" customHeight="1">
      <c r="H204" s="598" t="s">
        <v>3003</v>
      </c>
      <c r="I204" s="598">
        <f ca="1">VLOOKUP('Main Creation Page'!$C$45,INDIRECT(VLOOKUP($B$176,Status_Class,3)),8)</f>
        <v>36</v>
      </c>
    </row>
    <row r="205" spans="2:20" ht="12" customHeight="1">
      <c r="I205" s="598">
        <f ca="1">VLOOKUP('Main Creation Page'!$C$27,INDIRECT(VLOOKUP($B$174,Status_Class,3)),9)</f>
        <v>12</v>
      </c>
      <c r="J205" s="598">
        <f>IF(C174=1,VLOOKUP('Main Creation Page'!C27,'Racial Lookups'!H54:K61,4)+'Racial Lookups'!K53,IF(C174=2,VLOOKUP('Main Creation Page'!C27,'Racial Lookups'!H64:K83,4)+'Racial Lookups'!K63,IF(C174=3,VLOOKUP('Main Creation Page'!C27,'Racial Lookups'!L54:O61,4)+'Racial Lookups'!O53,VLOOKUP('Main Creation Page'!C27,'Racial Lookups'!L64:O67,4)+'Racial Lookups'!O63)))</f>
        <v>7</v>
      </c>
      <c r="K205" s="598">
        <f>IF(D174=1,VLOOKUP('Main Creation Page'!C27,'Racial Lookups'!H139:K145,4)+'Racial Lookups'!K138,IF(D174=2,VLOOKUP('Main Creation Page'!C27,'Racial Lookups'!H148:K171,4)+'Racial Lookups'!K147,IF(D174=3,VLOOKUP('Main Creation Page'!C27,'Racial Lookups'!L139:O144,4)+'Racial Lookups'!O138,IF(D174=3,VLOOKUP('Main Creation Page'!C27,'Racial Lookups'!L148:O156,4)+'Racial Lookups'!O147,VLOOKUP('Main Creation Page'!C27,'Racial Lookups'!L158:O165,4)+'Racial Lookups'!O157))))</f>
        <v>7</v>
      </c>
    </row>
    <row r="206" spans="2:20" ht="12" customHeight="1">
      <c r="I206" s="598" t="str">
        <f>IF(ISNUMBER(FIND("Knight",I212)),IF(I207&lt;&gt;"N",I207,IF(B174&gt;9,"Heavy",IF(B174&gt;5,"Medium",IF(B174&gt;4,"Light","None")))),IF(ISNUMBER(FIND("Fighter",I212)),IF(B174&gt;5,"Medium",IF(B174&gt;4,"Light","None")),"None"))</f>
        <v>Medium</v>
      </c>
      <c r="K206" s="598">
        <f>'Main Creation Page'!AB2</f>
        <v>33</v>
      </c>
    </row>
    <row r="207" spans="2:20" ht="12" customHeight="1">
      <c r="I207" s="598" t="str">
        <f>IF('Main Creation Page'!C3="Elf",IF(N152=8,IF('Main Creation Page'!G45&gt;31,"Arabian(Elven)","N"),IF(N152=11,IF('Main Creation Page'!G45&gt;31,"Arabian(Elven)","N"),"N")),"N")</f>
        <v>N</v>
      </c>
    </row>
    <row r="208" spans="2:20" ht="12" customHeight="1">
      <c r="H208" s="598" t="s">
        <v>3001</v>
      </c>
      <c r="I208" s="598">
        <f ca="1">VLOOKUP('Main Creation Page'!$C$27,INDIRECT(VLOOKUP($B$174,Status_Class,3)),6)</f>
        <v>13</v>
      </c>
    </row>
    <row r="209" spans="1:27" ht="12" customHeight="1">
      <c r="H209" s="598" t="s">
        <v>3002</v>
      </c>
      <c r="I209" s="598">
        <f ca="1">VLOOKUP('Main Creation Page'!$C$27,INDIRECT(VLOOKUP($B$174,Status_Class,3)),7)</f>
        <v>390</v>
      </c>
    </row>
    <row r="210" spans="1:27" ht="12" customHeight="1">
      <c r="H210" s="598" t="s">
        <v>3003</v>
      </c>
      <c r="I210" s="598">
        <f ca="1">VLOOKUP('Main Creation Page'!$C$27,INDIRECT(VLOOKUP($B$174,Status_Class,3)),8)</f>
        <v>4680</v>
      </c>
    </row>
    <row r="211" spans="1:27" ht="12" customHeight="1"/>
    <row r="212" spans="1:27" ht="12" customHeight="1">
      <c r="H212" s="1063" t="s">
        <v>6145</v>
      </c>
      <c r="I212" s="598" t="str">
        <f>'Main Creation Page'!$AC$2</f>
        <v>Clergy: Knight Chaplain</v>
      </c>
    </row>
    <row r="213" spans="1:27" ht="12" customHeight="1"/>
    <row r="214" spans="1:27" ht="12" customHeight="1"/>
    <row r="215" spans="1:27" ht="12" customHeight="1"/>
    <row r="216" spans="1:27" ht="12" customHeight="1">
      <c r="A216" s="598" t="s">
        <v>2103</v>
      </c>
      <c r="D216" s="598" t="s">
        <v>1989</v>
      </c>
      <c r="E216" s="598" t="s">
        <v>1943</v>
      </c>
      <c r="F216" s="598" t="s">
        <v>1838</v>
      </c>
      <c r="G216" s="598" t="s">
        <v>10</v>
      </c>
      <c r="H216" s="598" t="s">
        <v>2246</v>
      </c>
      <c r="I216" s="598" t="s">
        <v>1154</v>
      </c>
      <c r="J216" s="598" t="s">
        <v>2104</v>
      </c>
      <c r="K216" s="598" t="s">
        <v>2469</v>
      </c>
      <c r="L216" s="598" t="s">
        <v>347</v>
      </c>
      <c r="M216" s="598" t="s">
        <v>2650</v>
      </c>
      <c r="N216" s="598" t="s">
        <v>2105</v>
      </c>
      <c r="O216" s="598" t="s">
        <v>1445</v>
      </c>
      <c r="P216" s="598" t="s">
        <v>395</v>
      </c>
      <c r="Q216" s="598" t="s">
        <v>5122</v>
      </c>
      <c r="R216" s="598" t="s">
        <v>5123</v>
      </c>
      <c r="S216" s="598" t="s">
        <v>3515</v>
      </c>
      <c r="T216" s="598" t="s">
        <v>2155</v>
      </c>
      <c r="U216" s="598" t="s">
        <v>2159</v>
      </c>
      <c r="V216" s="598" t="s">
        <v>574</v>
      </c>
      <c r="W216" s="598" t="s">
        <v>577</v>
      </c>
      <c r="X216" s="598" t="s">
        <v>3165</v>
      </c>
      <c r="Y216" s="1069" t="s">
        <v>6175</v>
      </c>
      <c r="Z216" s="1066" t="s">
        <v>3539</v>
      </c>
      <c r="AA216" s="1066" t="s">
        <v>5675</v>
      </c>
    </row>
    <row r="217" spans="1:27" ht="9.9499999999999993" customHeight="1">
      <c r="C217" s="598">
        <v>1</v>
      </c>
      <c r="D217" s="598">
        <v>2</v>
      </c>
      <c r="E217" s="598">
        <v>3</v>
      </c>
      <c r="F217" s="598">
        <v>4</v>
      </c>
      <c r="G217" s="598">
        <v>5</v>
      </c>
      <c r="H217" s="598">
        <v>6</v>
      </c>
      <c r="I217" s="598">
        <v>7</v>
      </c>
      <c r="J217" s="598">
        <v>8</v>
      </c>
      <c r="K217" s="598">
        <v>9</v>
      </c>
      <c r="L217" s="598">
        <v>10</v>
      </c>
      <c r="M217" s="598">
        <v>11</v>
      </c>
      <c r="N217" s="598">
        <v>12</v>
      </c>
      <c r="O217" s="598">
        <v>13</v>
      </c>
      <c r="P217" s="598">
        <v>14</v>
      </c>
      <c r="Q217" s="598">
        <v>15</v>
      </c>
      <c r="R217" s="598">
        <v>16</v>
      </c>
      <c r="S217" s="598">
        <v>17</v>
      </c>
      <c r="T217" s="598">
        <v>18</v>
      </c>
      <c r="U217" s="598">
        <v>19</v>
      </c>
      <c r="V217" s="598">
        <v>20</v>
      </c>
      <c r="W217" s="598">
        <v>21</v>
      </c>
      <c r="X217" s="598">
        <v>22</v>
      </c>
      <c r="Y217" s="598">
        <v>23</v>
      </c>
      <c r="Z217" s="598">
        <v>24</v>
      </c>
      <c r="AA217" s="598">
        <v>25</v>
      </c>
    </row>
    <row r="218" spans="1:27" ht="9.9499999999999993" customHeight="1">
      <c r="A218" s="598">
        <v>1</v>
      </c>
    </row>
    <row r="219" spans="1:27" ht="9.9499999999999993" customHeight="1">
      <c r="A219" s="598">
        <v>2</v>
      </c>
      <c r="B219" s="598" t="s">
        <v>2805</v>
      </c>
      <c r="C219" s="598" t="s">
        <v>2225</v>
      </c>
      <c r="D219" s="598" t="str">
        <f t="shared" ref="D219:M228" ca="1" si="3">IF(ISNUMBER(INDEX($D$526:$AA$725,ROW()-ROW($D$218),COLUMN()-COLUMN($C$219))),INDEX(Skills_Table,INDEX($D$526:$AA$725,ROW()-ROW($D$218),COLUMN()-COLUMN($C$219))-4,HLOOKUP("Skill Name",Skill_Columns,2,0)),"")</f>
        <v>Aquaculture: Plant</v>
      </c>
      <c r="E219" s="1069" t="str">
        <f t="shared" ca="1" si="3"/>
        <v>Aquaculture: Animal</v>
      </c>
      <c r="F219" s="1069" t="str">
        <f t="shared" ca="1" si="3"/>
        <v>Acrobatics</v>
      </c>
      <c r="G219" s="1069" t="str">
        <f t="shared" ca="1" si="3"/>
        <v xml:space="preserve">Boxing </v>
      </c>
      <c r="H219" s="1069" t="str">
        <f t="shared" ca="1" si="3"/>
        <v>Administration</v>
      </c>
      <c r="I219" s="1069" t="str">
        <f t="shared" ca="1" si="3"/>
        <v>Archery</v>
      </c>
      <c r="J219" s="1069" t="str">
        <f t="shared" ca="1" si="3"/>
        <v>Brewing</v>
      </c>
      <c r="K219" s="1069" t="str">
        <f t="shared" ca="1" si="3"/>
        <v>Appraising</v>
      </c>
      <c r="L219" s="1069" t="str">
        <f t="shared" ca="1" si="3"/>
        <v>Own Language (Ancient)</v>
      </c>
      <c r="M219" s="1069" t="str">
        <f t="shared" ca="1" si="3"/>
        <v>OWN LANGUAGE</v>
      </c>
      <c r="N219" s="1069" t="str">
        <f t="shared" ref="N219:AA228" ca="1" si="4">IF(ISNUMBER(INDEX($D$526:$AA$725,ROW()-ROW($D$218),COLUMN()-COLUMN($C$219))),INDEX(Skills_Table,INDEX($D$526:$AA$725,ROW()-ROW($D$218),COLUMN()-COLUMN($C$219))-4,HLOOKUP("Skill Name",Skill_Columns,2,0)),"")</f>
        <v>Genealogical Lore</v>
      </c>
      <c r="O219" s="1069" t="str">
        <f t="shared" ca="1" si="4"/>
        <v>Accurate Counting</v>
      </c>
      <c r="P219" s="1069" t="str">
        <f t="shared" ca="1" si="4"/>
        <v>Artefact Lore</v>
      </c>
      <c r="Q219" s="1069" t="str">
        <f t="shared" ca="1" si="4"/>
        <v>Acupressure</v>
      </c>
      <c r="R219" s="1069" t="str">
        <f t="shared" ca="1" si="4"/>
        <v>Debate</v>
      </c>
      <c r="S219" s="1069" t="str">
        <f t="shared" ca="1" si="4"/>
        <v>Lucid Dreaming</v>
      </c>
      <c r="T219" s="1069" t="str">
        <f t="shared" ca="1" si="4"/>
        <v xml:space="preserve">Chess </v>
      </c>
      <c r="U219" s="1069" t="str">
        <f t="shared" ca="1" si="4"/>
        <v>Blend into Surroundings</v>
      </c>
      <c r="V219" s="1069" t="str">
        <f t="shared" ca="1" si="4"/>
        <v>Detect Lie</v>
      </c>
      <c r="W219" s="1069" t="str">
        <f t="shared" ca="1" si="4"/>
        <v>Fisherman</v>
      </c>
      <c r="X219" s="1069" t="str">
        <f t="shared" ca="1" si="4"/>
        <v>Administer Drugs &amp; Poisons Undetected</v>
      </c>
      <c r="Y219" s="1069" t="str">
        <f t="shared" ca="1" si="4"/>
        <v>Chemical Lore</v>
      </c>
      <c r="Z219" s="1069" t="str">
        <f t="shared" ca="1" si="4"/>
        <v>Psionic Conditioning</v>
      </c>
      <c r="AA219" s="1069" t="str">
        <f t="shared" ca="1" si="4"/>
        <v>Gate Lore:Construction</v>
      </c>
    </row>
    <row r="220" spans="1:27" ht="9.9499999999999993" customHeight="1">
      <c r="A220" s="598">
        <v>3</v>
      </c>
      <c r="B220" s="598" t="s">
        <v>5540</v>
      </c>
      <c r="C220" s="598" t="s">
        <v>2225</v>
      </c>
      <c r="D220" s="1069" t="str">
        <f t="shared" ca="1" si="3"/>
        <v>Field Crops</v>
      </c>
      <c r="E220" s="1069" t="str">
        <f t="shared" ca="1" si="3"/>
        <v>Bear Raising</v>
      </c>
      <c r="F220" s="1069" t="str">
        <f t="shared" ca="1" si="3"/>
        <v>Costuming</v>
      </c>
      <c r="G220" s="1069" t="str">
        <f t="shared" ca="1" si="3"/>
        <v>Catching Objects</v>
      </c>
      <c r="H220" s="1069" t="str">
        <f t="shared" ca="1" si="3"/>
        <v xml:space="preserve">Bargaining </v>
      </c>
      <c r="I220" s="1069" t="str">
        <f t="shared" ca="1" si="3"/>
        <v>Archery:Composite Bows</v>
      </c>
      <c r="J220" s="1069" t="str">
        <f t="shared" ca="1" si="3"/>
        <v>Buttery</v>
      </c>
      <c r="K220" s="1069" t="str">
        <f t="shared" ca="1" si="3"/>
        <v>Basket Weaving</v>
      </c>
      <c r="L220" s="1069" t="str">
        <f t="shared" ca="1" si="3"/>
        <v>Trade Tongue</v>
      </c>
      <c r="M220" s="1069" t="str">
        <f t="shared" ca="1" si="3"/>
        <v>Own Language (Ancient)</v>
      </c>
      <c r="N220" s="1069" t="str">
        <f t="shared" ca="1" si="4"/>
        <v>Geo.:Regional/National</v>
      </c>
      <c r="O220" s="1069" t="str">
        <f t="shared" ca="1" si="4"/>
        <v>Archeology</v>
      </c>
      <c r="P220" s="1069" t="str">
        <f t="shared" ca="1" si="4"/>
        <v>Aura Lore</v>
      </c>
      <c r="Q220" s="1069" t="str">
        <f t="shared" ca="1" si="4"/>
        <v>Acupuncture</v>
      </c>
      <c r="R220" s="1069" t="str">
        <f t="shared" ca="1" si="4"/>
        <v>Ethics</v>
      </c>
      <c r="S220" s="1069" t="str">
        <f t="shared" ca="1" si="4"/>
        <v>Maintaining Concentration</v>
      </c>
      <c r="T220" s="1069" t="str">
        <f t="shared" ca="1" si="4"/>
        <v>Courtly Cultural Lore</v>
      </c>
      <c r="U220" s="1069" t="str">
        <f t="shared" ca="1" si="4"/>
        <v>Calm &amp; Attract Animals</v>
      </c>
      <c r="V220" s="1069" t="str">
        <f t="shared" ca="1" si="4"/>
        <v>Read Body Language</v>
      </c>
      <c r="W220" s="1069" t="str">
        <f t="shared" ca="1" si="4"/>
        <v>Mariner</v>
      </c>
      <c r="X220" s="1069" t="str">
        <f t="shared" ca="1" si="4"/>
        <v>Backstabbing</v>
      </c>
      <c r="Y220" s="1069" t="str">
        <f t="shared" ca="1" si="4"/>
        <v>Fluid Lore (Lore of Fluids)</v>
      </c>
      <c r="Z220" s="1069" t="str">
        <f t="shared" ca="1" si="4"/>
        <v>Psionic Endurance</v>
      </c>
      <c r="AA220" s="1069" t="str">
        <f t="shared" ca="1" si="4"/>
        <v>Gate Lore:Design</v>
      </c>
    </row>
    <row r="221" spans="1:27" ht="9.9499999999999993" customHeight="1">
      <c r="A221" s="598">
        <v>4</v>
      </c>
      <c r="B221" s="598" t="s">
        <v>641</v>
      </c>
      <c r="C221" s="598" t="s">
        <v>2225</v>
      </c>
      <c r="D221" s="1069" t="str">
        <f t="shared" ca="1" si="3"/>
        <v>Fruit Crops</v>
      </c>
      <c r="E221" s="1069" t="str">
        <f t="shared" ca="1" si="3"/>
        <v>Beekeeping</v>
      </c>
      <c r="F221" s="1069" t="str">
        <f t="shared" ca="1" si="3"/>
        <v>Performance</v>
      </c>
      <c r="G221" s="1069" t="str">
        <f t="shared" ca="1" si="3"/>
        <v>Climbing</v>
      </c>
      <c r="H221" s="1069" t="str">
        <f t="shared" ca="1" si="3"/>
        <v xml:space="preserve">Begging </v>
      </c>
      <c r="I221" s="1069" t="str">
        <f t="shared" ca="1" si="3"/>
        <v xml:space="preserve">Archery:Crossbows </v>
      </c>
      <c r="J221" s="1069" t="str">
        <f t="shared" ca="1" si="3"/>
        <v>Cheesemaking</v>
      </c>
      <c r="K221" s="1069" t="str">
        <f t="shared" ca="1" si="3"/>
        <v>Blacksmithing</v>
      </c>
      <c r="L221" s="1069" t="str">
        <f t="shared" ca="1" si="3"/>
        <v>Dwarven Tongue (Usage)</v>
      </c>
      <c r="M221" s="1069" t="str">
        <f t="shared" ca="1" si="3"/>
        <v>Trade Tongue</v>
      </c>
      <c r="N221" s="1069" t="str">
        <f t="shared" ca="1" si="4"/>
        <v>Geo.:World</v>
      </c>
      <c r="O221" s="1069" t="str">
        <f t="shared" ca="1" si="4"/>
        <v>Architecture &amp; Engineering</v>
      </c>
      <c r="P221" s="1069" t="str">
        <f t="shared" ca="1" si="4"/>
        <v>Concert</v>
      </c>
      <c r="Q221" s="1069" t="str">
        <f t="shared" ca="1" si="4"/>
        <v>Anatomy</v>
      </c>
      <c r="R221" s="1069" t="str">
        <f t="shared" ca="1" si="4"/>
        <v>FAITH (Secondary)</v>
      </c>
      <c r="S221" s="1069" t="str">
        <f t="shared" ca="1" si="4"/>
        <v>Meditation</v>
      </c>
      <c r="T221" s="1069" t="str">
        <f t="shared" ca="1" si="4"/>
        <v>Courtly Love</v>
      </c>
      <c r="U221" s="1069" t="str">
        <f t="shared" ca="1" si="4"/>
        <v>Covering Tracks</v>
      </c>
      <c r="V221" s="1069" t="str">
        <f t="shared" ca="1" si="4"/>
        <v>Read Character</v>
      </c>
      <c r="W221" s="1069" t="str">
        <f t="shared" ca="1" si="4"/>
        <v>Piloting &amp; Navigation</v>
      </c>
      <c r="X221" s="1069" t="str">
        <f t="shared" ca="1" si="4"/>
        <v>Breaking and Entering</v>
      </c>
      <c r="Y221" s="1069" t="str">
        <f t="shared" ca="1" si="4"/>
        <v>Magnetic Lore (Lore of Magnetism)</v>
      </c>
      <c r="Z221" s="1069" t="str">
        <f t="shared" ca="1" si="4"/>
        <v xml:space="preserve">Psionic Lore </v>
      </c>
      <c r="AA221" s="1069" t="str">
        <f t="shared" ca="1" si="4"/>
        <v>Gate Lore:Historical</v>
      </c>
    </row>
    <row r="222" spans="1:27" ht="9.9499999999999993" customHeight="1">
      <c r="A222" s="598">
        <v>5</v>
      </c>
      <c r="B222" s="598" t="s">
        <v>3964</v>
      </c>
      <c r="C222" s="598" t="s">
        <v>2225</v>
      </c>
      <c r="D222" s="1069" t="str">
        <f t="shared" ca="1" si="3"/>
        <v>Grafting</v>
      </c>
      <c r="E222" s="1069" t="str">
        <f t="shared" ca="1" si="3"/>
        <v>Bird of Prey Raising</v>
      </c>
      <c r="F222" s="1069" t="str">
        <f t="shared" ca="1" si="3"/>
        <v>Acting:Ventriloquism</v>
      </c>
      <c r="G222" s="1069" t="str">
        <f t="shared" ca="1" si="3"/>
        <v>Conditioning</v>
      </c>
      <c r="H222" s="1069" t="str">
        <f t="shared" ca="1" si="3"/>
        <v>Charm</v>
      </c>
      <c r="I222" s="1069" t="str">
        <f t="shared" ca="1" si="3"/>
        <v xml:space="preserve">Archery:Elvish Longbows </v>
      </c>
      <c r="J222" s="1069" t="str">
        <f t="shared" ca="1" si="3"/>
        <v>Cooking</v>
      </c>
      <c r="K222" s="1069" t="str">
        <f t="shared" ca="1" si="3"/>
        <v>Block Printing</v>
      </c>
      <c r="L222" s="1069" t="str">
        <f t="shared" ca="1" si="3"/>
        <v>Dwarven Tongue (Formal)</v>
      </c>
      <c r="M222" s="1069" t="str">
        <f t="shared" ca="1" si="3"/>
        <v>Dwarven Tongue (Usage)</v>
      </c>
      <c r="N222" s="1069" t="str">
        <f t="shared" ca="1" si="4"/>
        <v>Anc. Geo.:Local</v>
      </c>
      <c r="O222" s="1069" t="str">
        <f t="shared" ca="1" si="4"/>
        <v>Arithmetic &amp; Mathematical Lore</v>
      </c>
      <c r="P222" s="1069" t="str">
        <f t="shared" ca="1" si="4"/>
        <v>Demon Lore</v>
      </c>
      <c r="Q222" s="1069" t="str">
        <f t="shared" ca="1" si="4"/>
        <v>Anatomy:Centaur</v>
      </c>
      <c r="R222" s="1069" t="str">
        <f t="shared" ca="1" si="4"/>
        <v>Law</v>
      </c>
      <c r="S222" s="1069" t="str">
        <f t="shared" ca="1" si="4"/>
        <v>Puzzles: Creating &amp; Solving</v>
      </c>
      <c r="T222" s="1069" t="str">
        <f t="shared" ca="1" si="4"/>
        <v>Courtly Manners</v>
      </c>
      <c r="U222" s="1069" t="str">
        <f t="shared" ca="1" si="4"/>
        <v>Detecting Snares</v>
      </c>
      <c r="V222" s="1069" t="str">
        <f t="shared" ca="1" si="4"/>
        <v>Read Lips</v>
      </c>
      <c r="W222" s="1069" t="str">
        <f t="shared" ca="1" si="4"/>
        <v>Sail &amp; Cordage Making</v>
      </c>
      <c r="X222" s="1069" t="str">
        <f t="shared" ca="1" si="4"/>
        <v>Conceal &amp; Find Objects</v>
      </c>
      <c r="Y222" s="1069" t="str">
        <f t="shared" ca="1" si="4"/>
        <v>Mechanical Lore</v>
      </c>
      <c r="Z222" s="1069" t="str">
        <f t="shared" ca="1" si="4"/>
        <v>Psionic Talents</v>
      </c>
      <c r="AA222" s="1069" t="str">
        <f t="shared" ca="1" si="4"/>
        <v>Gate Lore:Operations</v>
      </c>
    </row>
    <row r="223" spans="1:27" ht="9.9499999999999993" customHeight="1">
      <c r="A223" s="598">
        <v>6</v>
      </c>
      <c r="B223" s="598" t="s">
        <v>3962</v>
      </c>
      <c r="C223" s="598" t="s">
        <v>2225</v>
      </c>
      <c r="D223" s="1069" t="str">
        <f t="shared" ca="1" si="3"/>
        <v>Hybrid Creation</v>
      </c>
      <c r="E223" s="1069" t="str">
        <f t="shared" ca="1" si="3"/>
        <v>Cattle Herding</v>
      </c>
      <c r="F223" s="1069" t="str">
        <f t="shared" ca="1" si="3"/>
        <v>Acting:Animal Performance</v>
      </c>
      <c r="G223" s="1069" t="str">
        <f t="shared" ca="1" si="3"/>
        <v>Deftness</v>
      </c>
      <c r="H223" s="1069" t="str">
        <f t="shared" ca="1" si="3"/>
        <v>Con</v>
      </c>
      <c r="I223" s="1069" t="str">
        <f t="shared" ca="1" si="3"/>
        <v xml:space="preserve">Archery:Longbows </v>
      </c>
      <c r="J223" s="1069" t="str">
        <f t="shared" ca="1" si="3"/>
        <v>Cooking:Baking Bread</v>
      </c>
      <c r="K223" s="1069" t="str">
        <f t="shared" ca="1" si="3"/>
        <v>Bookbinding</v>
      </c>
      <c r="L223" s="1069" t="str">
        <f t="shared" ca="1" si="3"/>
        <v>Dwarven Tongue (Ancient)</v>
      </c>
      <c r="M223" s="1069" t="str">
        <f t="shared" ca="1" si="3"/>
        <v>Dwarven Tongue (Formal)</v>
      </c>
      <c r="N223" s="1069" t="str">
        <f t="shared" ca="1" si="4"/>
        <v>Anc. Geo.:Regional/National</v>
      </c>
      <c r="O223" s="1069" t="str">
        <f t="shared" ca="1" si="4"/>
        <v>Astronomical Lore</v>
      </c>
      <c r="P223" s="1069" t="str">
        <f t="shared" ca="1" si="4"/>
        <v>Empower Objects</v>
      </c>
      <c r="Q223" s="1069" t="str">
        <f t="shared" ca="1" si="4"/>
        <v>Anatomy:Dwarven</v>
      </c>
      <c r="R223" s="1069" t="str">
        <f t="shared" ca="1" si="4"/>
        <v>Philosophy</v>
      </c>
      <c r="S223" s="1069" t="str">
        <f t="shared" ca="1" si="4"/>
        <v>Riddling</v>
      </c>
      <c r="T223" s="1069" t="str">
        <f t="shared" ca="1" si="4"/>
        <v>Heraldry</v>
      </c>
      <c r="U223" s="1069" t="str">
        <f t="shared" ca="1" si="4"/>
        <v>Finding &amp; Building Campsites</v>
      </c>
      <c r="V223" s="1069" t="str">
        <f t="shared" ca="1" si="4"/>
        <v/>
      </c>
      <c r="W223" s="1069" t="str">
        <f t="shared" ca="1" si="4"/>
        <v>Sailing Small Boats</v>
      </c>
      <c r="X223" s="1069" t="str">
        <f t="shared" ca="1" si="4"/>
        <v>Detecting Mantraps</v>
      </c>
      <c r="Y223" s="1069" t="str">
        <f t="shared" ca="1" si="4"/>
        <v>Methods of Discovery (Experimentation)</v>
      </c>
      <c r="Z223" s="1069" t="str">
        <f t="shared" ca="1" si="4"/>
        <v>Basic Gifts</v>
      </c>
      <c r="AA223" s="1069" t="str">
        <f t="shared" ca="1" si="4"/>
        <v>Gate Lore:Theory</v>
      </c>
    </row>
    <row r="224" spans="1:27" ht="9.9499999999999993" customHeight="1">
      <c r="A224" s="598">
        <v>7</v>
      </c>
      <c r="B224" s="598" t="s">
        <v>3963</v>
      </c>
      <c r="C224" s="598" t="s">
        <v>2225</v>
      </c>
      <c r="D224" s="1069" t="str">
        <f t="shared" ca="1" si="3"/>
        <v>Plant Training</v>
      </c>
      <c r="E224" s="1069" t="str">
        <f t="shared" ca="1" si="3"/>
        <v xml:space="preserve">Dog Breeding </v>
      </c>
      <c r="F224" s="1069" t="str">
        <f t="shared" ca="1" si="3"/>
        <v>Bullfighting</v>
      </c>
      <c r="G224" s="1069" t="str">
        <f t="shared" ca="1" si="3"/>
        <v>Digging</v>
      </c>
      <c r="H224" s="1069" t="str">
        <f t="shared" ca="1" si="3"/>
        <v>Diplomacy &amp; Politics</v>
      </c>
      <c r="I224" s="1069" t="str">
        <f t="shared" ca="1" si="3"/>
        <v>Archery:Shortbow/Selfbow</v>
      </c>
      <c r="J224" s="1069" t="str">
        <f t="shared" ca="1" si="3"/>
        <v>Cooking:Baking Meat Pies</v>
      </c>
      <c r="K224" s="1069" t="str">
        <f t="shared" ca="1" si="3"/>
        <v>Bowery &amp; Fletching</v>
      </c>
      <c r="L224" s="1069" t="str">
        <f t="shared" ca="1" si="3"/>
        <v>Elven Tongue (Western)</v>
      </c>
      <c r="M224" s="1069" t="str">
        <f t="shared" ca="1" si="3"/>
        <v>Dwarven Tongue (Ancient)</v>
      </c>
      <c r="N224" s="1069" t="str">
        <f t="shared" ca="1" si="4"/>
        <v>Anc. Geo.:World</v>
      </c>
      <c r="O224" s="1069" t="str">
        <f t="shared" ca="1" si="4"/>
        <v>Bestiary Lore</v>
      </c>
      <c r="P224" s="1069" t="str">
        <f t="shared" ca="1" si="4"/>
        <v>Enchant Metals</v>
      </c>
      <c r="Q224" s="1069" t="str">
        <f t="shared" ca="1" si="4"/>
        <v>Anatomy:Elven</v>
      </c>
      <c r="R224" s="1069" t="str">
        <f t="shared" ca="1" si="4"/>
        <v>Theology</v>
      </c>
      <c r="S224" s="1069" t="str">
        <f t="shared" ca="1" si="4"/>
        <v/>
      </c>
      <c r="T224" s="1069" t="str">
        <f t="shared" ca="1" si="4"/>
        <v/>
      </c>
      <c r="U224" s="1069" t="str">
        <f t="shared" ca="1" si="4"/>
        <v>F&amp;BC:Desert</v>
      </c>
      <c r="V224" s="1069" t="str">
        <f t="shared" ca="1" si="4"/>
        <v/>
      </c>
      <c r="W224" s="1069" t="str">
        <f t="shared" ca="1" si="4"/>
        <v>Shipbuilder: Maritime Architect</v>
      </c>
      <c r="X224" s="1069" t="str">
        <f t="shared" ca="1" si="4"/>
        <v>Detecting Thievery</v>
      </c>
      <c r="Y224" s="1069" t="str">
        <f t="shared" ca="1" si="4"/>
        <v>Thermodynamic Lore (Lore of Thermodynamics)</v>
      </c>
      <c r="Z224" s="1069" t="str">
        <f t="shared" ca="1" si="4"/>
        <v>Clairsentience</v>
      </c>
      <c r="AA224" s="1069" t="str">
        <f t="shared" ca="1" si="4"/>
        <v>Cult. Lore:Dragon</v>
      </c>
    </row>
    <row r="225" spans="1:27" ht="9.9499999999999993" customHeight="1">
      <c r="A225" s="598">
        <v>8</v>
      </c>
      <c r="B225" s="598" t="s">
        <v>4030</v>
      </c>
      <c r="C225" s="598" t="s">
        <v>2225</v>
      </c>
      <c r="D225" s="1069" t="str">
        <f t="shared" ca="1" si="3"/>
        <v>Vegetable Crops</v>
      </c>
      <c r="E225" s="1069" t="str">
        <f t="shared" ca="1" si="3"/>
        <v>Horse Breeding</v>
      </c>
      <c r="F225" s="1069" t="str">
        <f t="shared" ca="1" si="3"/>
        <v>Calligraphy &amp; Illumination</v>
      </c>
      <c r="G225" s="1069" t="str">
        <f t="shared" ca="1" si="3"/>
        <v>Endurance</v>
      </c>
      <c r="H225" s="1069" t="str">
        <f t="shared" ca="1" si="3"/>
        <v>Flirting</v>
      </c>
      <c r="I225" s="1069" t="str">
        <f t="shared" ca="1" si="3"/>
        <v>Atlatl</v>
      </c>
      <c r="J225" s="1069" t="str">
        <f t="shared" ca="1" si="3"/>
        <v>Cooking:Baking Pastries &amp; Making Desserts</v>
      </c>
      <c r="K225" s="1069" t="str">
        <f t="shared" ca="1" si="3"/>
        <v>Brick Making</v>
      </c>
      <c r="L225" s="1069" t="str">
        <f t="shared" ca="1" si="3"/>
        <v>Elven Tongue (Eastern)</v>
      </c>
      <c r="M225" s="1069" t="str">
        <f t="shared" ca="1" si="3"/>
        <v>Elven Tongue (Western)</v>
      </c>
      <c r="N225" s="1069" t="str">
        <f t="shared" ca="1" si="4"/>
        <v>Hist. &amp; Leg.:Local</v>
      </c>
      <c r="O225" s="1069" t="str">
        <f t="shared" ca="1" si="4"/>
        <v>Botany Lore</v>
      </c>
      <c r="P225" s="1069" t="str">
        <f t="shared" ca="1" si="4"/>
        <v>Enchant Plants</v>
      </c>
      <c r="Q225" s="1069" t="str">
        <f t="shared" ca="1" si="4"/>
        <v>Anatomy:Haeflin</v>
      </c>
      <c r="R225" s="1069" t="str">
        <f t="shared" ca="1" si="4"/>
        <v/>
      </c>
      <c r="S225" s="1069" t="str">
        <f t="shared" ca="1" si="4"/>
        <v/>
      </c>
      <c r="T225" s="1069" t="str">
        <f t="shared" ca="1" si="4"/>
        <v/>
      </c>
      <c r="U225" s="1069" t="str">
        <f t="shared" ca="1" si="4"/>
        <v>F&amp;BC:Forest</v>
      </c>
      <c r="V225" s="1069" t="str">
        <f t="shared" ca="1" si="4"/>
        <v/>
      </c>
      <c r="W225" s="1069" t="str">
        <f t="shared" ca="1" si="4"/>
        <v>Ship's Carpenter</v>
      </c>
      <c r="X225" s="1069" t="str">
        <f t="shared" ca="1" si="4"/>
        <v>Disguises</v>
      </c>
      <c r="Y225" s="1069" t="str">
        <f t="shared" ca="1" si="4"/>
        <v/>
      </c>
      <c r="Z225" s="1069" t="str">
        <f t="shared" ca="1" si="4"/>
        <v xml:space="preserve">Extra-Sensory Perception </v>
      </c>
      <c r="AA225" s="1069" t="str">
        <f t="shared" ca="1" si="4"/>
        <v>Cult. Lore:New Edo</v>
      </c>
    </row>
    <row r="226" spans="1:27" ht="9.9499999999999993" customHeight="1">
      <c r="A226" s="598">
        <v>9</v>
      </c>
      <c r="B226" s="598" t="s">
        <v>4031</v>
      </c>
      <c r="C226" s="598" t="s">
        <v>2225</v>
      </c>
      <c r="D226" s="1069" t="str">
        <f t="shared" ca="1" si="3"/>
        <v>Viniculture</v>
      </c>
      <c r="E226" s="1069" t="str">
        <f t="shared" ca="1" si="3"/>
        <v>Pig Raising</v>
      </c>
      <c r="F226" s="1069" t="str">
        <f t="shared" ca="1" si="3"/>
        <v>Commedia Del'Arte</v>
      </c>
      <c r="G226" s="1069" t="str">
        <f t="shared" ca="1" si="3"/>
        <v>Ice Skating</v>
      </c>
      <c r="H226" s="1069" t="str">
        <f t="shared" ca="1" si="3"/>
        <v>Hypnosis</v>
      </c>
      <c r="I226" s="1069" t="str">
        <f t="shared" ca="1" si="3"/>
        <v>Axes</v>
      </c>
      <c r="J226" s="1069" t="str">
        <f t="shared" ca="1" si="3"/>
        <v>Cooking:Butchering Fresh Meat</v>
      </c>
      <c r="K226" s="1069" t="str">
        <f t="shared" ca="1" si="3"/>
        <v>Brush Making</v>
      </c>
      <c r="L226" s="1069" t="str">
        <f t="shared" ca="1" si="3"/>
        <v>Elven Tongue (Ancient)</v>
      </c>
      <c r="M226" s="1069" t="str">
        <f t="shared" ca="1" si="3"/>
        <v>Elven Tongue (Eastern)</v>
      </c>
      <c r="N226" s="1069" t="str">
        <f t="shared" ca="1" si="4"/>
        <v>Hist. &amp; Leg.:Regional/National</v>
      </c>
      <c r="O226" s="1069" t="str">
        <f t="shared" ca="1" si="4"/>
        <v>Cartography</v>
      </c>
      <c r="P226" s="1069" t="str">
        <f t="shared" ca="1" si="4"/>
        <v>Enchant Stones</v>
      </c>
      <c r="Q226" s="1069" t="str">
        <f t="shared" ca="1" si="4"/>
        <v>Anatomy:Human</v>
      </c>
      <c r="R226" s="1069" t="str">
        <f t="shared" ca="1" si="4"/>
        <v/>
      </c>
      <c r="S226" s="1069" t="str">
        <f t="shared" ca="1" si="4"/>
        <v/>
      </c>
      <c r="T226" s="1069" t="str">
        <f t="shared" ca="1" si="4"/>
        <v/>
      </c>
      <c r="U226" s="1069" t="str">
        <f t="shared" ca="1" si="4"/>
        <v>F&amp;BC:Magical and Enchanted Realms</v>
      </c>
      <c r="V226" s="1069" t="str">
        <f t="shared" ca="1" si="4"/>
        <v/>
      </c>
      <c r="W226" s="1069" t="str">
        <f t="shared" ca="1" si="4"/>
        <v/>
      </c>
      <c r="X226" s="1069" t="str">
        <f t="shared" ca="1" si="4"/>
        <v>Evaluating Loot</v>
      </c>
      <c r="Y226" s="1069" t="str">
        <f t="shared" ca="1" si="4"/>
        <v/>
      </c>
      <c r="Z226" s="1069" t="str">
        <f t="shared" ca="1" si="4"/>
        <v>Psychokinesis</v>
      </c>
      <c r="AA226" s="1069" t="str">
        <f t="shared" ca="1" si="4"/>
        <v/>
      </c>
    </row>
    <row r="227" spans="1:27" ht="9.9499999999999993" customHeight="1">
      <c r="A227" s="598">
        <v>10</v>
      </c>
      <c r="B227" s="1055" t="s">
        <v>6142</v>
      </c>
      <c r="C227" s="598" t="s">
        <v>2225</v>
      </c>
      <c r="D227" s="1069" t="str">
        <f t="shared" ca="1" si="3"/>
        <v/>
      </c>
      <c r="E227" s="1069" t="str">
        <f t="shared" ca="1" si="3"/>
        <v>Poultry Raising</v>
      </c>
      <c r="F227" s="1069" t="str">
        <f t="shared" ca="1" si="3"/>
        <v>Blade</v>
      </c>
      <c r="G227" s="1069" t="str">
        <f t="shared" ca="1" si="3"/>
        <v>Jumping</v>
      </c>
      <c r="H227" s="1069" t="str">
        <f t="shared" ca="1" si="3"/>
        <v>Interrogation</v>
      </c>
      <c r="I227" s="1069" t="str">
        <f t="shared" ca="1" si="3"/>
        <v>Battlefield Formations</v>
      </c>
      <c r="J227" s="1069" t="str">
        <f t="shared" ca="1" si="3"/>
        <v>Cooking:Camp Cooking</v>
      </c>
      <c r="K227" s="1069" t="str">
        <f t="shared" ca="1" si="3"/>
        <v>Carpentry &amp; Cabinetmaking</v>
      </c>
      <c r="L227" s="1069" t="str">
        <f t="shared" ca="1" si="3"/>
        <v>Haeflin Tongue</v>
      </c>
      <c r="M227" s="1069" t="str">
        <f t="shared" ca="1" si="3"/>
        <v>Elven Tongue (Ancient)</v>
      </c>
      <c r="N227" s="1069" t="str">
        <f t="shared" ca="1" si="4"/>
        <v>Hist. &amp; Leg.:World</v>
      </c>
      <c r="O227" s="1069" t="str">
        <f t="shared" ca="1" si="4"/>
        <v>Encoding and Decoding</v>
      </c>
      <c r="P227" s="1069" t="str">
        <f t="shared" ca="1" si="4"/>
        <v>Faerie Lore</v>
      </c>
      <c r="Q227" s="1069" t="str">
        <f t="shared" ca="1" si="4"/>
        <v>Anatomy:MereFolk</v>
      </c>
      <c r="R227" s="1069" t="str">
        <f t="shared" ca="1" si="4"/>
        <v/>
      </c>
      <c r="S227" s="1069" t="str">
        <f t="shared" ca="1" si="4"/>
        <v/>
      </c>
      <c r="T227" s="1069" t="str">
        <f t="shared" ca="1" si="4"/>
        <v/>
      </c>
      <c r="U227" s="1069" t="str">
        <f t="shared" ca="1" si="4"/>
        <v>F&amp;BC:Mountains</v>
      </c>
      <c r="V227" s="1069" t="str">
        <f t="shared" ca="1" si="4"/>
        <v/>
      </c>
      <c r="W227" s="1069" t="str">
        <f t="shared" ca="1" si="4"/>
        <v/>
      </c>
      <c r="X227" s="1069" t="str">
        <f t="shared" ca="1" si="4"/>
        <v>Forging One's Hand</v>
      </c>
      <c r="Y227" s="1069" t="str">
        <f t="shared" ca="1" si="4"/>
        <v/>
      </c>
      <c r="Z227" s="1069" t="str">
        <f t="shared" ca="1" si="4"/>
        <v>Wild Talent</v>
      </c>
      <c r="AA227" s="1069" t="str">
        <f t="shared" ca="1" si="4"/>
        <v/>
      </c>
    </row>
    <row r="228" spans="1:27" ht="9.9499999999999993" customHeight="1">
      <c r="A228" s="598">
        <v>11</v>
      </c>
      <c r="B228" s="1055" t="s">
        <v>6143</v>
      </c>
      <c r="C228" s="598" t="s">
        <v>2225</v>
      </c>
      <c r="D228" s="1069" t="str">
        <f t="shared" ca="1" si="3"/>
        <v/>
      </c>
      <c r="E228" s="1069" t="str">
        <f t="shared" ca="1" si="3"/>
        <v>Running a Dairy</v>
      </c>
      <c r="F228" s="1069" t="str">
        <f t="shared" ca="1" si="3"/>
        <v>Dancing:Bull</v>
      </c>
      <c r="G228" s="1069" t="str">
        <f t="shared" ca="1" si="3"/>
        <v>Lifting &amp; Carrying Weights</v>
      </c>
      <c r="H228" s="1069" t="str">
        <f t="shared" ca="1" si="3"/>
        <v xml:space="preserve">Intimidation </v>
      </c>
      <c r="I228" s="1069" t="str">
        <f t="shared" ca="1" si="3"/>
        <v>Battlefield Meditation</v>
      </c>
      <c r="J228" s="1069" t="str">
        <f t="shared" ca="1" si="3"/>
        <v>Cooking:Cooking Meat</v>
      </c>
      <c r="K228" s="1069" t="str">
        <f t="shared" ca="1" si="3"/>
        <v>Cartwright &amp; Wheelwright</v>
      </c>
      <c r="L228" s="1069" t="str">
        <f t="shared" ca="1" si="3"/>
        <v>Haeflin Tongue (Ancient)</v>
      </c>
      <c r="M228" s="1069" t="str">
        <f t="shared" ca="1" si="3"/>
        <v>Haeflin Tongue</v>
      </c>
      <c r="N228" s="1069" t="str">
        <f t="shared" ca="1" si="4"/>
        <v>Cult. Lore:Ancient</v>
      </c>
      <c r="O228" s="1069" t="str">
        <f t="shared" ca="1" si="4"/>
        <v>E&amp;D:Mechanical Cipher</v>
      </c>
      <c r="P228" s="1069" t="str">
        <f t="shared" ca="1" si="4"/>
        <v>Greater Combination</v>
      </c>
      <c r="Q228" s="1069" t="str">
        <f t="shared" ca="1" si="4"/>
        <v>Anatomy:Orcish</v>
      </c>
      <c r="R228" s="1069" t="str">
        <f t="shared" ca="1" si="4"/>
        <v/>
      </c>
      <c r="S228" s="1069" t="str">
        <f t="shared" ca="1" si="4"/>
        <v/>
      </c>
      <c r="T228" s="1069" t="str">
        <f t="shared" ca="1" si="4"/>
        <v/>
      </c>
      <c r="U228" s="1069" t="str">
        <f t="shared" ca="1" si="4"/>
        <v>F&amp;BC:River Valleys</v>
      </c>
      <c r="V228" s="1069" t="str">
        <f t="shared" ca="1" si="4"/>
        <v/>
      </c>
      <c r="W228" s="1069" t="str">
        <f t="shared" ca="1" si="4"/>
        <v/>
      </c>
      <c r="X228" s="1069" t="str">
        <f t="shared" ca="1" si="4"/>
        <v>Garroting</v>
      </c>
      <c r="Y228" s="1069" t="str">
        <f t="shared" ca="1" si="4"/>
        <v/>
      </c>
      <c r="Z228" s="1069" t="str">
        <f t="shared" ca="1" si="4"/>
        <v/>
      </c>
      <c r="AA228" s="1069" t="str">
        <f t="shared" ca="1" si="4"/>
        <v/>
      </c>
    </row>
    <row r="229" spans="1:27" ht="9.9499999999999993" customHeight="1">
      <c r="A229" s="598">
        <v>12</v>
      </c>
      <c r="B229" s="598" t="s">
        <v>54</v>
      </c>
      <c r="C229" s="598" t="s">
        <v>2225</v>
      </c>
      <c r="D229" s="1069" t="str">
        <f t="shared" ref="D229:M238" ca="1" si="5">IF(ISNUMBER(INDEX($D$526:$AA$725,ROW()-ROW($D$218),COLUMN()-COLUMN($C$219))),INDEX(Skills_Table,INDEX($D$526:$AA$725,ROW()-ROW($D$218),COLUMN()-COLUMN($C$219))-4,HLOOKUP("Skill Name",Skill_Columns,2,0)),"")</f>
        <v/>
      </c>
      <c r="E229" s="1069" t="str">
        <f t="shared" ca="1" si="5"/>
        <v>Sheep Herding</v>
      </c>
      <c r="F229" s="1069" t="str">
        <f t="shared" ca="1" si="5"/>
        <v>Dancing:Choreography</v>
      </c>
      <c r="G229" s="1069" t="str">
        <f t="shared" ca="1" si="5"/>
        <v>Running</v>
      </c>
      <c r="H229" s="1069" t="str">
        <f t="shared" ca="1" si="5"/>
        <v>Intrigue</v>
      </c>
      <c r="I229" s="1069" t="str">
        <f t="shared" ca="1" si="5"/>
        <v xml:space="preserve">Battlefield Tactics </v>
      </c>
      <c r="J229" s="1069" t="str">
        <f t="shared" ca="1" si="5"/>
        <v>Cooking:Cooking Seafood</v>
      </c>
      <c r="K229" s="1069" t="str">
        <f t="shared" ca="1" si="5"/>
        <v>Carving</v>
      </c>
      <c r="L229" s="1069" t="str">
        <f t="shared" ca="1" si="5"/>
        <v>Mage Speech (Coniron)</v>
      </c>
      <c r="M229" s="1069" t="str">
        <f t="shared" ca="1" si="5"/>
        <v>Haeflin Tongue (Ancient)</v>
      </c>
      <c r="N229" s="1069" t="str">
        <f t="shared" ref="N229:AA238" ca="1" si="6">IF(ISNUMBER(INDEX($D$526:$AA$725,ROW()-ROW($D$218),COLUMN()-COLUMN($C$219))),INDEX(Skills_Table,INDEX($D$526:$AA$725,ROW()-ROW($D$218),COLUMN()-COLUMN($C$219))-4,HLOOKUP("Skill Name",Skill_Columns,2,0)),"")</f>
        <v>Cult. Lore: Anc. Kingdom</v>
      </c>
      <c r="O229" s="1069" t="str">
        <f t="shared" ca="1" si="6"/>
        <v>E&amp;D:Polyalphabetic Cipher</v>
      </c>
      <c r="P229" s="1069" t="str">
        <f t="shared" ca="1" si="6"/>
        <v>Interpret the Omens</v>
      </c>
      <c r="Q229" s="1069" t="str">
        <f t="shared" ca="1" si="6"/>
        <v>Anatomy:Saurian: Dragon Kin</v>
      </c>
      <c r="R229" s="1069" t="str">
        <f t="shared" ca="1" si="6"/>
        <v/>
      </c>
      <c r="S229" s="1069" t="str">
        <f t="shared" ca="1" si="6"/>
        <v/>
      </c>
      <c r="T229" s="1069" t="str">
        <f t="shared" ca="1" si="6"/>
        <v/>
      </c>
      <c r="U229" s="1069" t="str">
        <f t="shared" ca="1" si="6"/>
        <v>F&amp;BC:Steppes</v>
      </c>
      <c r="V229" s="1069" t="str">
        <f t="shared" ca="1" si="6"/>
        <v/>
      </c>
      <c r="W229" s="1069" t="str">
        <f t="shared" ca="1" si="6"/>
        <v/>
      </c>
      <c r="X229" s="1069" t="str">
        <f t="shared" ca="1" si="6"/>
        <v>Hearing Rumors</v>
      </c>
      <c r="Y229" s="1069" t="str">
        <f t="shared" ca="1" si="6"/>
        <v/>
      </c>
      <c r="Z229" s="1069" t="str">
        <f t="shared" ca="1" si="6"/>
        <v/>
      </c>
      <c r="AA229" s="1069" t="str">
        <f t="shared" ca="1" si="6"/>
        <v/>
      </c>
    </row>
    <row r="230" spans="1:27" ht="9.9499999999999993" customHeight="1">
      <c r="A230" s="598">
        <v>13</v>
      </c>
      <c r="B230" s="598" t="s">
        <v>55</v>
      </c>
      <c r="C230" s="598" t="s">
        <v>2225</v>
      </c>
      <c r="D230" s="1069" t="str">
        <f t="shared" ca="1" si="5"/>
        <v/>
      </c>
      <c r="E230" s="1069" t="str">
        <f t="shared" ca="1" si="5"/>
        <v>Snake Breeding</v>
      </c>
      <c r="F230" s="1069" t="str">
        <f t="shared" ca="1" si="5"/>
        <v>Dancing:Court</v>
      </c>
      <c r="G230" s="1069" t="str">
        <f t="shared" ca="1" si="5"/>
        <v>Skiing</v>
      </c>
      <c r="H230" s="1069" t="str">
        <f t="shared" ca="1" si="5"/>
        <v xml:space="preserve">Leadership </v>
      </c>
      <c r="I230" s="1069" t="str">
        <f t="shared" ca="1" si="5"/>
        <v>Blind Fighting</v>
      </c>
      <c r="J230" s="1069" t="str">
        <f t="shared" ca="1" si="5"/>
        <v>Cooking: Food Carving &amp; Presentation</v>
      </c>
      <c r="K230" s="1069" t="str">
        <f t="shared" ca="1" si="5"/>
        <v>Chandler</v>
      </c>
      <c r="L230" s="1069" t="str">
        <f t="shared" ca="1" si="5"/>
        <v>Mage Speech (Ancient)</v>
      </c>
      <c r="M230" s="1069" t="str">
        <f t="shared" ca="1" si="5"/>
        <v>Foreign Languages</v>
      </c>
      <c r="N230" s="1069" t="str">
        <f t="shared" ca="1" si="6"/>
        <v>Cult. Lore: Anc. Rule</v>
      </c>
      <c r="O230" s="1069" t="str">
        <f t="shared" ca="1" si="6"/>
        <v>E&amp;D:Substitution Cipher</v>
      </c>
      <c r="P230" s="1069" t="str">
        <f t="shared" ca="1" si="6"/>
        <v>Aeromancy</v>
      </c>
      <c r="Q230" s="1069" t="str">
        <f t="shared" ca="1" si="6"/>
        <v>Anatomy:Trolls</v>
      </c>
      <c r="R230" s="1069" t="str">
        <f t="shared" ca="1" si="6"/>
        <v/>
      </c>
      <c r="S230" s="1069" t="str">
        <f t="shared" ca="1" si="6"/>
        <v/>
      </c>
      <c r="T230" s="1069" t="str">
        <f t="shared" ca="1" si="6"/>
        <v/>
      </c>
      <c r="U230" s="1069" t="str">
        <f t="shared" ca="1" si="6"/>
        <v>F&amp;BC:Swamps</v>
      </c>
      <c r="V230" s="1069" t="str">
        <f t="shared" ca="1" si="6"/>
        <v/>
      </c>
      <c r="W230" s="1069" t="str">
        <f t="shared" ca="1" si="6"/>
        <v/>
      </c>
      <c r="X230" s="1069" t="str">
        <f t="shared" ca="1" si="6"/>
        <v>Mugging</v>
      </c>
      <c r="Y230" s="1069" t="str">
        <f t="shared" ca="1" si="6"/>
        <v/>
      </c>
      <c r="Z230" s="1069" t="str">
        <f t="shared" ca="1" si="6"/>
        <v/>
      </c>
      <c r="AA230" s="1069" t="str">
        <f t="shared" ca="1" si="6"/>
        <v/>
      </c>
    </row>
    <row r="231" spans="1:27" ht="9.9499999999999993" customHeight="1">
      <c r="A231" s="598">
        <v>14</v>
      </c>
      <c r="B231" s="598" t="s">
        <v>395</v>
      </c>
      <c r="C231" s="598" t="s">
        <v>2225</v>
      </c>
      <c r="D231" s="1069" t="str">
        <f t="shared" ca="1" si="5"/>
        <v/>
      </c>
      <c r="E231" s="1069" t="str">
        <f t="shared" ca="1" si="5"/>
        <v>Handling:Camel</v>
      </c>
      <c r="F231" s="1069" t="str">
        <f t="shared" ca="1" si="5"/>
        <v>Dancing:Folk</v>
      </c>
      <c r="G231" s="1069" t="str">
        <f t="shared" ca="1" si="5"/>
        <v>Swimming</v>
      </c>
      <c r="H231" s="1069" t="str">
        <f t="shared" ca="1" si="5"/>
        <v xml:space="preserve">Oratory </v>
      </c>
      <c r="I231" s="1069" t="str">
        <f t="shared" ca="1" si="5"/>
        <v>Blow Gun</v>
      </c>
      <c r="J231" s="1069" t="str">
        <f t="shared" ca="1" si="5"/>
        <v>Cooking:Haute Cuisine</v>
      </c>
      <c r="K231" s="1069" t="str">
        <f t="shared" ca="1" si="5"/>
        <v>Charcoaling</v>
      </c>
      <c r="L231" s="1069" t="str">
        <f t="shared" ca="1" si="5"/>
        <v>Signed Communication</v>
      </c>
      <c r="M231" s="1069" t="str">
        <f t="shared" ca="1" si="5"/>
        <v>Foreign:Azarian</v>
      </c>
      <c r="N231" s="1069" t="str">
        <f t="shared" ca="1" si="6"/>
        <v>Cult. Lore: Anc. Bidden</v>
      </c>
      <c r="O231" s="1069" t="str">
        <f t="shared" ca="1" si="6"/>
        <v>Fortifications: Advanced</v>
      </c>
      <c r="P231" s="1069" t="str">
        <f t="shared" ca="1" si="6"/>
        <v>Astrology</v>
      </c>
      <c r="Q231" s="1069" t="str">
        <f t="shared" ca="1" si="6"/>
        <v>Chirurgery</v>
      </c>
      <c r="R231" s="1069" t="str">
        <f t="shared" ca="1" si="6"/>
        <v/>
      </c>
      <c r="S231" s="1069" t="str">
        <f t="shared" ca="1" si="6"/>
        <v/>
      </c>
      <c r="T231" s="1069" t="str">
        <f t="shared" ca="1" si="6"/>
        <v/>
      </c>
      <c r="U231" s="1069" t="str">
        <f t="shared" ca="1" si="6"/>
        <v>F&amp;BC:Tundra</v>
      </c>
      <c r="V231" s="1069" t="str">
        <f t="shared" ca="1" si="6"/>
        <v/>
      </c>
      <c r="W231" s="1069" t="str">
        <f t="shared" ca="1" si="6"/>
        <v/>
      </c>
      <c r="X231" s="1069" t="str">
        <f t="shared" ca="1" si="6"/>
        <v>Pick Pockets &amp; Cut Purses</v>
      </c>
      <c r="Y231" s="1069" t="str">
        <f t="shared" ca="1" si="6"/>
        <v/>
      </c>
      <c r="Z231" s="1069" t="str">
        <f t="shared" ca="1" si="6"/>
        <v/>
      </c>
      <c r="AA231" s="1069" t="str">
        <f t="shared" ca="1" si="6"/>
        <v/>
      </c>
    </row>
    <row r="232" spans="1:27" ht="9.9499999999999993" customHeight="1">
      <c r="A232" s="598">
        <v>15</v>
      </c>
      <c r="B232" s="598" t="s">
        <v>5084</v>
      </c>
      <c r="C232" s="598" t="s">
        <v>2225</v>
      </c>
      <c r="D232" s="1069" t="str">
        <f t="shared" ca="1" si="5"/>
        <v/>
      </c>
      <c r="E232" s="1069" t="str">
        <f t="shared" ca="1" si="5"/>
        <v>Handling:Donkey</v>
      </c>
      <c r="F232" s="1069" t="str">
        <f t="shared" ca="1" si="5"/>
        <v>Dancing:Fire-Walking</v>
      </c>
      <c r="G232" s="1069" t="str">
        <f t="shared" ca="1" si="5"/>
        <v>Tumbling</v>
      </c>
      <c r="H232" s="1069" t="str">
        <f t="shared" ca="1" si="5"/>
        <v>Rhetoric</v>
      </c>
      <c r="I232" s="1069" t="str">
        <f t="shared" ca="1" si="5"/>
        <v>Bolo</v>
      </c>
      <c r="J232" s="1069" t="str">
        <f t="shared" ca="1" si="5"/>
        <v>Cooking:Herbs, Spices &amp; Seasonings</v>
      </c>
      <c r="K232" s="1069" t="str">
        <f t="shared" ca="1" si="5"/>
        <v>Cloth Making:Dying</v>
      </c>
      <c r="L232" s="1069" t="str">
        <f t="shared" ca="1" si="5"/>
        <v>Foreign Languages</v>
      </c>
      <c r="M232" s="1069" t="str">
        <f t="shared" ca="1" si="5"/>
        <v>Foreign:Pacfin</v>
      </c>
      <c r="N232" s="1069" t="str">
        <f t="shared" ca="1" si="6"/>
        <v>Cult. Lore: Anc. Cobolan</v>
      </c>
      <c r="O232" s="1069" t="str">
        <f t="shared" ca="1" si="6"/>
        <v>Fortifications: Basic</v>
      </c>
      <c r="P232" s="1069" t="str">
        <f t="shared" ca="1" si="6"/>
        <v>Bibliomancy</v>
      </c>
      <c r="Q232" s="1069" t="str">
        <f t="shared" ca="1" si="6"/>
        <v>First Aid</v>
      </c>
      <c r="R232" s="1069" t="str">
        <f t="shared" ca="1" si="6"/>
        <v/>
      </c>
      <c r="S232" s="1069" t="str">
        <f t="shared" ca="1" si="6"/>
        <v/>
      </c>
      <c r="T232" s="1069" t="str">
        <f t="shared" ca="1" si="6"/>
        <v/>
      </c>
      <c r="U232" s="1069" t="str">
        <f t="shared" ca="1" si="6"/>
        <v>Finding Direction</v>
      </c>
      <c r="V232" s="1069" t="str">
        <f t="shared" ca="1" si="6"/>
        <v/>
      </c>
      <c r="W232" s="1069" t="str">
        <f t="shared" ca="1" si="6"/>
        <v/>
      </c>
      <c r="X232" s="1069" t="str">
        <f t="shared" ca="1" si="6"/>
        <v>Picking Locks</v>
      </c>
      <c r="Y232" s="1069" t="str">
        <f t="shared" ca="1" si="6"/>
        <v/>
      </c>
      <c r="Z232" s="1069" t="str">
        <f t="shared" ca="1" si="6"/>
        <v/>
      </c>
      <c r="AA232" s="1069" t="str">
        <f t="shared" ca="1" si="6"/>
        <v/>
      </c>
    </row>
    <row r="233" spans="1:27" ht="9.9499999999999993" customHeight="1">
      <c r="A233" s="598">
        <v>16</v>
      </c>
      <c r="B233" s="598" t="s">
        <v>2485</v>
      </c>
      <c r="C233" s="598" t="s">
        <v>2225</v>
      </c>
      <c r="D233" s="1069" t="str">
        <f t="shared" ca="1" si="5"/>
        <v/>
      </c>
      <c r="E233" s="1069" t="str">
        <f t="shared" ca="1" si="5"/>
        <v>Handling:Exotic Animals</v>
      </c>
      <c r="F233" s="1069" t="str">
        <f t="shared" ca="1" si="5"/>
        <v>Dancing:Games</v>
      </c>
      <c r="G233" s="1069" t="str">
        <f t="shared" ca="1" si="5"/>
        <v xml:space="preserve">Wrestling </v>
      </c>
      <c r="H233" s="1069" t="str">
        <f t="shared" ca="1" si="5"/>
        <v>Seduction</v>
      </c>
      <c r="I233" s="1069" t="str">
        <f t="shared" ca="1" si="5"/>
        <v>Cavalry Lances</v>
      </c>
      <c r="J233" s="1069" t="str">
        <f t="shared" ca="1" si="5"/>
        <v>Cooking:Preserving Food</v>
      </c>
      <c r="K233" s="1069" t="str">
        <f t="shared" ca="1" si="5"/>
        <v>Cloth Making:Spinning &amp; Weaving</v>
      </c>
      <c r="L233" s="1069" t="str">
        <f t="shared" ca="1" si="5"/>
        <v>Foreign:Azarian</v>
      </c>
      <c r="M233" s="1069" t="str">
        <f t="shared" ca="1" si="5"/>
        <v>Foreign:Utan</v>
      </c>
      <c r="N233" s="1069" t="str">
        <f t="shared" ca="1" si="6"/>
        <v>Cult. Lore: Anc. Mednan</v>
      </c>
      <c r="O233" s="1069" t="str">
        <f t="shared" ca="1" si="6"/>
        <v>Geological Lore</v>
      </c>
      <c r="P233" s="1069" t="str">
        <f t="shared" ca="1" si="6"/>
        <v>Cartomancy</v>
      </c>
      <c r="Q233" s="1069" t="str">
        <f t="shared" ca="1" si="6"/>
        <v>Herbalism</v>
      </c>
      <c r="R233" s="1069" t="str">
        <f t="shared" ca="1" si="6"/>
        <v/>
      </c>
      <c r="S233" s="1069" t="str">
        <f t="shared" ca="1" si="6"/>
        <v/>
      </c>
      <c r="T233" s="1069" t="str">
        <f t="shared" ca="1" si="6"/>
        <v/>
      </c>
      <c r="U233" s="1069" t="str">
        <f t="shared" ca="1" si="6"/>
        <v>Finding One's Location</v>
      </c>
      <c r="V233" s="1069" t="str">
        <f t="shared" ca="1" si="6"/>
        <v/>
      </c>
      <c r="W233" s="1069" t="str">
        <f t="shared" ca="1" si="6"/>
        <v/>
      </c>
      <c r="X233" s="1069" t="str">
        <f t="shared" ca="1" si="6"/>
        <v xml:space="preserve">Set &amp; Disarm Mantraps </v>
      </c>
      <c r="Y233" s="1069" t="str">
        <f t="shared" ca="1" si="6"/>
        <v/>
      </c>
      <c r="Z233" s="1069" t="str">
        <f t="shared" ca="1" si="6"/>
        <v/>
      </c>
      <c r="AA233" s="1069" t="str">
        <f t="shared" ca="1" si="6"/>
        <v/>
      </c>
    </row>
    <row r="234" spans="1:27" ht="9.9499999999999993" customHeight="1">
      <c r="A234" s="598">
        <v>17</v>
      </c>
      <c r="B234" s="598" t="s">
        <v>4032</v>
      </c>
      <c r="C234" s="598" t="s">
        <v>2225</v>
      </c>
      <c r="D234" s="1069" t="str">
        <f t="shared" ca="1" si="5"/>
        <v/>
      </c>
      <c r="E234" s="1069" t="str">
        <f t="shared" ca="1" si="5"/>
        <v>Handling:Horse, Pony, Mule</v>
      </c>
      <c r="F234" s="1069" t="str">
        <f t="shared" ca="1" si="5"/>
        <v>Games of Chance</v>
      </c>
      <c r="G234" s="1069" t="str">
        <f t="shared" ca="1" si="5"/>
        <v/>
      </c>
      <c r="H234" s="1069" t="str">
        <f t="shared" ca="1" si="5"/>
        <v>Torture Devices</v>
      </c>
      <c r="I234" s="1069" t="str">
        <f t="shared" ca="1" si="5"/>
        <v>Chakram</v>
      </c>
      <c r="J234" s="1069" t="str">
        <f t="shared" ca="1" si="5"/>
        <v>Cooking:Preserving Meat</v>
      </c>
      <c r="K234" s="1069" t="str">
        <f t="shared" ca="1" si="5"/>
        <v>Clothes:Fuller</v>
      </c>
      <c r="L234" s="1069" t="str">
        <f t="shared" ca="1" si="5"/>
        <v>Foreign:Pacfin</v>
      </c>
      <c r="M234" s="1069" t="str">
        <f t="shared" ca="1" si="5"/>
        <v>Foreign:Kingdom</v>
      </c>
      <c r="N234" s="1069" t="str">
        <f t="shared" ca="1" si="6"/>
        <v>Cult. Lore: Anc. Slaven</v>
      </c>
      <c r="O234" s="1069" t="str">
        <f t="shared" ca="1" si="6"/>
        <v>Handwriting Analysis</v>
      </c>
      <c r="P234" s="1069" t="str">
        <f t="shared" ca="1" si="6"/>
        <v>Critomancy</v>
      </c>
      <c r="Q234" s="1069" t="str">
        <f t="shared" ca="1" si="6"/>
        <v>Massage</v>
      </c>
      <c r="R234" s="1069" t="str">
        <f t="shared" ca="1" si="6"/>
        <v/>
      </c>
      <c r="S234" s="1069" t="str">
        <f t="shared" ca="1" si="6"/>
        <v/>
      </c>
      <c r="T234" s="1069" t="str">
        <f t="shared" ca="1" si="6"/>
        <v/>
      </c>
      <c r="U234" s="1069" t="str">
        <f t="shared" ca="1" si="6"/>
        <v>Finding Water</v>
      </c>
      <c r="V234" s="1069" t="str">
        <f t="shared" ca="1" si="6"/>
        <v/>
      </c>
      <c r="W234" s="1069" t="str">
        <f t="shared" ca="1" si="6"/>
        <v/>
      </c>
      <c r="X234" s="1069" t="str">
        <f t="shared" ca="1" si="6"/>
        <v>Skulking in Shadows</v>
      </c>
      <c r="Y234" s="1069" t="str">
        <f t="shared" ca="1" si="6"/>
        <v/>
      </c>
      <c r="Z234" s="1069" t="str">
        <f t="shared" ca="1" si="6"/>
        <v/>
      </c>
      <c r="AA234" s="1069" t="str">
        <f t="shared" ca="1" si="6"/>
        <v/>
      </c>
    </row>
    <row r="235" spans="1:27" ht="9.9499999999999993" customHeight="1">
      <c r="A235" s="598">
        <v>18</v>
      </c>
      <c r="B235" s="598" t="s">
        <v>5140</v>
      </c>
      <c r="C235" s="598" t="s">
        <v>2225</v>
      </c>
      <c r="D235" s="1069" t="str">
        <f t="shared" ca="1" si="5"/>
        <v/>
      </c>
      <c r="E235" s="1069" t="str">
        <f t="shared" ca="1" si="5"/>
        <v>Handling:Oxen</v>
      </c>
      <c r="F235" s="1069" t="str">
        <f t="shared" ca="1" si="5"/>
        <v>Skilled Games</v>
      </c>
      <c r="G235" s="1069" t="str">
        <f t="shared" ca="1" si="5"/>
        <v/>
      </c>
      <c r="H235" s="1069" t="str">
        <f t="shared" ca="1" si="5"/>
        <v/>
      </c>
      <c r="I235" s="1069" t="str">
        <f t="shared" ca="1" si="5"/>
        <v xml:space="preserve">Chivalric Great Blow </v>
      </c>
      <c r="J235" s="1069" t="str">
        <f t="shared" ca="1" si="5"/>
        <v>Cooking:Regional Cooking</v>
      </c>
      <c r="K235" s="1069" t="str">
        <f t="shared" ca="1" si="5"/>
        <v>Clothes:Sewing, Embroidering, Knitting</v>
      </c>
      <c r="L235" s="1069" t="str">
        <f t="shared" ca="1" si="5"/>
        <v>Foreign:Utan</v>
      </c>
      <c r="M235" s="1069" t="str">
        <f t="shared" ca="1" si="5"/>
        <v>Foreign:Finnish</v>
      </c>
      <c r="N235" s="1069" t="str">
        <f t="shared" ca="1" si="6"/>
        <v>Cult. Lore: Anc. Lorn</v>
      </c>
      <c r="O235" s="1069" t="str">
        <f t="shared" ca="1" si="6"/>
        <v>Land Lore</v>
      </c>
      <c r="P235" s="1069" t="str">
        <f t="shared" ca="1" si="6"/>
        <v>Daphnomancy</v>
      </c>
      <c r="Q235" s="1069" t="str">
        <f t="shared" ca="1" si="6"/>
        <v>Pharmacology &amp; Medicine</v>
      </c>
      <c r="R235" s="1069" t="str">
        <f t="shared" ca="1" si="6"/>
        <v/>
      </c>
      <c r="S235" s="1069" t="str">
        <f t="shared" ca="1" si="6"/>
        <v/>
      </c>
      <c r="T235" s="1069" t="str">
        <f t="shared" ca="1" si="6"/>
        <v/>
      </c>
      <c r="U235" s="1069" t="str">
        <f t="shared" ca="1" si="6"/>
        <v>Fishing</v>
      </c>
      <c r="V235" s="1069" t="str">
        <f t="shared" ca="1" si="6"/>
        <v/>
      </c>
      <c r="W235" s="1069" t="str">
        <f t="shared" ca="1" si="6"/>
        <v/>
      </c>
      <c r="X235" s="1069" t="str">
        <f t="shared" ca="1" si="6"/>
        <v>Streetwise</v>
      </c>
      <c r="Y235" s="1069" t="str">
        <f t="shared" ca="1" si="6"/>
        <v/>
      </c>
      <c r="Z235" s="1069" t="str">
        <f t="shared" ca="1" si="6"/>
        <v/>
      </c>
      <c r="AA235" s="1069" t="str">
        <f t="shared" ca="1" si="6"/>
        <v/>
      </c>
    </row>
    <row r="236" spans="1:27" ht="9.9499999999999993" customHeight="1">
      <c r="A236" s="598">
        <v>19</v>
      </c>
      <c r="B236" s="598" t="s">
        <v>5539</v>
      </c>
      <c r="C236" s="598" t="s">
        <v>2225</v>
      </c>
      <c r="D236" s="1069" t="str">
        <f t="shared" ca="1" si="5"/>
        <v/>
      </c>
      <c r="E236" s="1069" t="str">
        <f t="shared" ca="1" si="5"/>
        <v>Riding:Camel</v>
      </c>
      <c r="F236" s="1069" t="str">
        <f t="shared" ca="1" si="5"/>
        <v>Juggling</v>
      </c>
      <c r="G236" s="1069" t="str">
        <f t="shared" ca="1" si="5"/>
        <v/>
      </c>
      <c r="H236" s="1069" t="str">
        <f t="shared" ca="1" si="5"/>
        <v/>
      </c>
      <c r="I236" s="1069" t="str">
        <f t="shared" ca="1" si="5"/>
        <v>Entanglement Rope</v>
      </c>
      <c r="J236" s="1069" t="str">
        <f t="shared" ca="1" si="5"/>
        <v>Cooking:Soups &amp; Stews</v>
      </c>
      <c r="K236" s="1069" t="str">
        <f t="shared" ca="1" si="5"/>
        <v>Clothes:Tailoring</v>
      </c>
      <c r="L236" s="1069" t="str">
        <f t="shared" ca="1" si="5"/>
        <v>Foreign:Kingdom</v>
      </c>
      <c r="M236" s="1069" t="str">
        <f t="shared" ca="1" si="5"/>
        <v>Foreign:Larton</v>
      </c>
      <c r="N236" s="1069" t="str">
        <f t="shared" ca="1" si="6"/>
        <v>Cult. Lore: Anc. Ancient Lands</v>
      </c>
      <c r="O236" s="1069" t="str">
        <f t="shared" ca="1" si="6"/>
        <v>L L:Coastal Waters</v>
      </c>
      <c r="P236" s="1069" t="str">
        <f t="shared" ca="1" si="6"/>
        <v>Dowsing</v>
      </c>
      <c r="Q236" s="1069" t="str">
        <f t="shared" ca="1" si="6"/>
        <v>Medication Research</v>
      </c>
      <c r="R236" s="1069" t="str">
        <f t="shared" ca="1" si="6"/>
        <v/>
      </c>
      <c r="S236" s="1069" t="str">
        <f t="shared" ca="1" si="6"/>
        <v/>
      </c>
      <c r="T236" s="1069" t="str">
        <f t="shared" ca="1" si="6"/>
        <v/>
      </c>
      <c r="U236" s="1069" t="str">
        <f t="shared" ca="1" si="6"/>
        <v>Fly Fishing</v>
      </c>
      <c r="V236" s="1069" t="str">
        <f t="shared" ca="1" si="6"/>
        <v/>
      </c>
      <c r="W236" s="1069" t="str">
        <f t="shared" ca="1" si="6"/>
        <v/>
      </c>
      <c r="X236" s="1069" t="str">
        <f t="shared" ca="1" si="6"/>
        <v xml:space="preserve">Thieves/Assassins' Stealth </v>
      </c>
      <c r="Y236" s="1069" t="str">
        <f t="shared" ca="1" si="6"/>
        <v/>
      </c>
      <c r="Z236" s="1069" t="str">
        <f t="shared" ca="1" si="6"/>
        <v/>
      </c>
      <c r="AA236" s="1069" t="str">
        <f t="shared" ca="1" si="6"/>
        <v/>
      </c>
    </row>
    <row r="237" spans="1:27" ht="9.9499999999999993" customHeight="1">
      <c r="A237" s="598">
        <v>20</v>
      </c>
      <c r="B237" s="598" t="s">
        <v>3966</v>
      </c>
      <c r="C237" s="598" t="s">
        <v>2225</v>
      </c>
      <c r="D237" s="1069" t="str">
        <f t="shared" ca="1" si="5"/>
        <v/>
      </c>
      <c r="E237" s="1069" t="str">
        <f t="shared" ca="1" si="5"/>
        <v>Riding:Donkey</v>
      </c>
      <c r="F237" s="1069" t="str">
        <f t="shared" ca="1" si="5"/>
        <v>Instrument:Bagpipes</v>
      </c>
      <c r="G237" s="1069" t="str">
        <f t="shared" ca="1" si="5"/>
        <v/>
      </c>
      <c r="H237" s="1069" t="str">
        <f t="shared" ca="1" si="5"/>
        <v/>
      </c>
      <c r="I237" s="1069" t="str">
        <f t="shared" ca="1" si="5"/>
        <v xml:space="preserve">Fighting Staves </v>
      </c>
      <c r="J237" s="1069" t="str">
        <f t="shared" ca="1" si="5"/>
        <v>Winemaking</v>
      </c>
      <c r="K237" s="1069" t="str">
        <f t="shared" ca="1" si="5"/>
        <v>Cobbler</v>
      </c>
      <c r="L237" s="1069" t="str">
        <f t="shared" ca="1" si="5"/>
        <v>Foreign:Nortar</v>
      </c>
      <c r="M237" s="1069" t="str">
        <f t="shared" ca="1" si="5"/>
        <v>Foreign:Gaelic (Irish)</v>
      </c>
      <c r="N237" s="1069" t="str">
        <f t="shared" ca="1" si="6"/>
        <v>Cult. Lore: Anc. Telnar</v>
      </c>
      <c r="O237" s="1069" t="str">
        <f t="shared" ca="1" si="6"/>
        <v>L L:Desert</v>
      </c>
      <c r="P237" s="1069" t="str">
        <f t="shared" ca="1" si="6"/>
        <v>Geomancy</v>
      </c>
      <c r="Q237" s="1069" t="str">
        <f t="shared" ca="1" si="6"/>
        <v>Antidotes</v>
      </c>
      <c r="R237" s="1069" t="str">
        <f t="shared" ca="1" si="6"/>
        <v/>
      </c>
      <c r="S237" s="1069" t="str">
        <f t="shared" ca="1" si="6"/>
        <v/>
      </c>
      <c r="T237" s="1069" t="str">
        <f t="shared" ca="1" si="6"/>
        <v/>
      </c>
      <c r="U237" s="1069" t="str">
        <f t="shared" ca="1" si="6"/>
        <v>Forage for Wild Foods</v>
      </c>
      <c r="V237" s="1069" t="str">
        <f t="shared" ca="1" si="6"/>
        <v/>
      </c>
      <c r="W237" s="1069" t="str">
        <f t="shared" ca="1" si="6"/>
        <v/>
      </c>
      <c r="X237" s="1069" t="str">
        <f t="shared" ca="1" si="6"/>
        <v/>
      </c>
      <c r="Y237" s="1069" t="str">
        <f t="shared" ca="1" si="6"/>
        <v/>
      </c>
      <c r="Z237" s="1069" t="str">
        <f t="shared" ca="1" si="6"/>
        <v/>
      </c>
      <c r="AA237" s="1069" t="str">
        <f t="shared" ca="1" si="6"/>
        <v/>
      </c>
    </row>
    <row r="238" spans="1:27" ht="9.9499999999999993" customHeight="1">
      <c r="A238" s="598">
        <v>21</v>
      </c>
      <c r="B238" s="598" t="s">
        <v>5537</v>
      </c>
      <c r="C238" s="598" t="s">
        <v>2225</v>
      </c>
      <c r="D238" s="1069" t="str">
        <f t="shared" ca="1" si="5"/>
        <v/>
      </c>
      <c r="E238" s="1069" t="str">
        <f t="shared" ca="1" si="5"/>
        <v>Riding:Exotic Animal</v>
      </c>
      <c r="F238" s="1069" t="str">
        <f t="shared" ca="1" si="5"/>
        <v>Instrument:Drums</v>
      </c>
      <c r="G238" s="1069" t="str">
        <f t="shared" ca="1" si="5"/>
        <v/>
      </c>
      <c r="H238" s="1069" t="str">
        <f t="shared" ca="1" si="5"/>
        <v/>
      </c>
      <c r="I238" s="1069" t="str">
        <f t="shared" ca="1" si="5"/>
        <v>Flails</v>
      </c>
      <c r="J238" s="1069" t="str">
        <f t="shared" ca="1" si="5"/>
        <v/>
      </c>
      <c r="K238" s="1069" t="str">
        <f t="shared" ca="1" si="5"/>
        <v>Cooper</v>
      </c>
      <c r="L238" s="1069" t="str">
        <f t="shared" ca="1" si="5"/>
        <v>Foreign:Larton</v>
      </c>
      <c r="M238" s="1069" t="str">
        <f t="shared" ca="1" si="5"/>
        <v>Foreign:Gaelic (Scots)</v>
      </c>
      <c r="N238" s="1069" t="str">
        <f t="shared" ca="1" si="6"/>
        <v>Cult. Lore:Forgotten</v>
      </c>
      <c r="O238" s="1069" t="str">
        <f t="shared" ca="1" si="6"/>
        <v>L L:Forest</v>
      </c>
      <c r="P238" s="1069" t="str">
        <f t="shared" ca="1" si="6"/>
        <v>Haruspication</v>
      </c>
      <c r="Q238" s="1069" t="str">
        <f t="shared" ca="1" si="6"/>
        <v>Cordials</v>
      </c>
      <c r="R238" s="1069" t="str">
        <f t="shared" ca="1" si="6"/>
        <v/>
      </c>
      <c r="S238" s="1069" t="str">
        <f t="shared" ca="1" si="6"/>
        <v/>
      </c>
      <c r="T238" s="1069" t="str">
        <f t="shared" ca="1" si="6"/>
        <v/>
      </c>
      <c r="U238" s="1069" t="str">
        <f t="shared" ca="1" si="6"/>
        <v>Forester's Stealth</v>
      </c>
      <c r="V238" s="1069" t="str">
        <f t="shared" ca="1" si="6"/>
        <v/>
      </c>
      <c r="W238" s="1069" t="str">
        <f t="shared" ca="1" si="6"/>
        <v/>
      </c>
      <c r="X238" s="1069" t="str">
        <f t="shared" ca="1" si="6"/>
        <v/>
      </c>
      <c r="Y238" s="1069" t="str">
        <f t="shared" ca="1" si="6"/>
        <v/>
      </c>
      <c r="Z238" s="1069" t="str">
        <f t="shared" ca="1" si="6"/>
        <v/>
      </c>
      <c r="AA238" s="1069" t="str">
        <f t="shared" ca="1" si="6"/>
        <v/>
      </c>
    </row>
    <row r="239" spans="1:27" ht="9.9499999999999993" customHeight="1">
      <c r="A239" s="598">
        <v>22</v>
      </c>
      <c r="B239" s="598" t="s">
        <v>4033</v>
      </c>
      <c r="C239" s="598" t="s">
        <v>2225</v>
      </c>
      <c r="D239" s="1069" t="str">
        <f t="shared" ref="D239:M248" ca="1" si="7">IF(ISNUMBER(INDEX($D$526:$AA$725,ROW()-ROW($D$218),COLUMN()-COLUMN($C$219))),INDEX(Skills_Table,INDEX($D$526:$AA$725,ROW()-ROW($D$218),COLUMN()-COLUMN($C$219))-4,HLOOKUP("Skill Name",Skill_Columns,2,0)),"")</f>
        <v/>
      </c>
      <c r="E239" s="1069" t="str">
        <f t="shared" ca="1" si="7"/>
        <v>Riding:Horse, Pony, Mule</v>
      </c>
      <c r="F239" s="1069" t="str">
        <f t="shared" ca="1" si="7"/>
        <v>Instrument:Flutes</v>
      </c>
      <c r="G239" s="1069" t="str">
        <f t="shared" ca="1" si="7"/>
        <v/>
      </c>
      <c r="H239" s="1069" t="str">
        <f t="shared" ca="1" si="7"/>
        <v/>
      </c>
      <c r="I239" s="1069" t="str">
        <f t="shared" ca="1" si="7"/>
        <v xml:space="preserve">Horse Archery </v>
      </c>
      <c r="J239" s="1069" t="str">
        <f t="shared" ca="1" si="7"/>
        <v/>
      </c>
      <c r="K239" s="1069" t="str">
        <f t="shared" ca="1" si="7"/>
        <v>Crafting Flies</v>
      </c>
      <c r="L239" s="1069" t="str">
        <f t="shared" ca="1" si="7"/>
        <v>Foreign:Gaelic (Irish)</v>
      </c>
      <c r="M239" s="1069" t="str">
        <f t="shared" ca="1" si="7"/>
        <v>Foreign:Highlands</v>
      </c>
      <c r="N239" s="1069" t="str">
        <f t="shared" ref="N239:AA248" ca="1" si="8">IF(ISNUMBER(INDEX($D$526:$AA$725,ROW()-ROW($D$218),COLUMN()-COLUMN($C$219))),INDEX(Skills_Table,INDEX($D$526:$AA$725,ROW()-ROW($D$218),COLUMN()-COLUMN($C$219))-4,HLOOKUP("Skill Name",Skill_Columns,2,0)),"")</f>
        <v>Cult. Lore:Other/Foreign</v>
      </c>
      <c r="O239" s="1069" t="str">
        <f t="shared" ca="1" si="8"/>
        <v>L L:Magical and Enchanted Realms</v>
      </c>
      <c r="P239" s="1069" t="str">
        <f t="shared" ca="1" si="8"/>
        <v>Hippomancy</v>
      </c>
      <c r="Q239" s="1069" t="str">
        <f t="shared" ca="1" si="8"/>
        <v>Diagnosis</v>
      </c>
      <c r="R239" s="1069" t="str">
        <f t="shared" ca="1" si="8"/>
        <v/>
      </c>
      <c r="S239" s="1069" t="str">
        <f t="shared" ca="1" si="8"/>
        <v/>
      </c>
      <c r="T239" s="1069" t="str">
        <f t="shared" ca="1" si="8"/>
        <v/>
      </c>
      <c r="U239" s="1069" t="str">
        <f t="shared" ca="1" si="8"/>
        <v>Intention of Animals</v>
      </c>
      <c r="V239" s="1069" t="str">
        <f t="shared" ca="1" si="8"/>
        <v/>
      </c>
      <c r="W239" s="1069" t="str">
        <f t="shared" ca="1" si="8"/>
        <v/>
      </c>
      <c r="X239" s="1069" t="str">
        <f t="shared" ca="1" si="8"/>
        <v/>
      </c>
      <c r="Y239" s="1069" t="str">
        <f t="shared" ca="1" si="8"/>
        <v/>
      </c>
      <c r="Z239" s="1069" t="str">
        <f t="shared" ca="1" si="8"/>
        <v/>
      </c>
      <c r="AA239" s="1069" t="str">
        <f t="shared" ca="1" si="8"/>
        <v/>
      </c>
    </row>
    <row r="240" spans="1:27" ht="9.9499999999999993" customHeight="1">
      <c r="A240" s="598">
        <v>23</v>
      </c>
      <c r="B240" s="1069" t="s">
        <v>6177</v>
      </c>
      <c r="C240" s="598" t="s">
        <v>2225</v>
      </c>
      <c r="D240" s="1069" t="str">
        <f t="shared" ca="1" si="7"/>
        <v/>
      </c>
      <c r="E240" s="1069" t="str">
        <f t="shared" ca="1" si="7"/>
        <v>Riding:Mythic/Legendary Beast</v>
      </c>
      <c r="F240" s="1069" t="str">
        <f t="shared" ca="1" si="7"/>
        <v>Instrument:Glass Instruments</v>
      </c>
      <c r="G240" s="1069" t="str">
        <f t="shared" ca="1" si="7"/>
        <v/>
      </c>
      <c r="H240" s="1069" t="str">
        <f t="shared" ca="1" si="7"/>
        <v/>
      </c>
      <c r="I240" s="1069" t="str">
        <f t="shared" ca="1" si="7"/>
        <v xml:space="preserve">Hurling Axes </v>
      </c>
      <c r="J240" s="1069" t="str">
        <f t="shared" ca="1" si="7"/>
        <v/>
      </c>
      <c r="K240" s="1069" t="str">
        <f t="shared" ca="1" si="7"/>
        <v>Falconry &amp; Hawking</v>
      </c>
      <c r="L240" s="1069" t="str">
        <f t="shared" ca="1" si="7"/>
        <v>Foreign:Gaelic (Scots)</v>
      </c>
      <c r="M240" s="1069" t="str">
        <f t="shared" ca="1" si="7"/>
        <v>Foreign:Lowlands</v>
      </c>
      <c r="N240" s="1069" t="str">
        <f t="shared" ca="1" si="8"/>
        <v>Cult. Lore: For: Azarian</v>
      </c>
      <c r="O240" s="1069" t="str">
        <f t="shared" ca="1" si="8"/>
        <v>L L:Mountains</v>
      </c>
      <c r="P240" s="1069" t="str">
        <f t="shared" ca="1" si="8"/>
        <v>Hydromancy</v>
      </c>
      <c r="Q240" s="1069" t="str">
        <f t="shared" ca="1" si="8"/>
        <v>Knowledge of Toxins</v>
      </c>
      <c r="R240" s="1069" t="str">
        <f t="shared" ca="1" si="8"/>
        <v/>
      </c>
      <c r="S240" s="1069" t="str">
        <f t="shared" ca="1" si="8"/>
        <v/>
      </c>
      <c r="T240" s="1069" t="str">
        <f t="shared" ca="1" si="8"/>
        <v/>
      </c>
      <c r="U240" s="1069" t="str">
        <f t="shared" ca="1" si="8"/>
        <v>Setting &amp; Disarming Snares</v>
      </c>
      <c r="V240" s="1069" t="str">
        <f t="shared" ca="1" si="8"/>
        <v/>
      </c>
      <c r="W240" s="1069" t="str">
        <f t="shared" ca="1" si="8"/>
        <v/>
      </c>
      <c r="X240" s="1069" t="str">
        <f t="shared" ca="1" si="8"/>
        <v/>
      </c>
      <c r="Y240" s="1069" t="str">
        <f t="shared" ca="1" si="8"/>
        <v/>
      </c>
      <c r="Z240" s="1069" t="str">
        <f t="shared" ca="1" si="8"/>
        <v/>
      </c>
      <c r="AA240" s="1069" t="str">
        <f t="shared" ca="1" si="8"/>
        <v/>
      </c>
    </row>
    <row r="241" spans="1:27" ht="9.9499999999999993" customHeight="1">
      <c r="A241" s="598">
        <v>24</v>
      </c>
      <c r="B241" s="1069" t="s">
        <v>6178</v>
      </c>
      <c r="C241" s="598" t="s">
        <v>2225</v>
      </c>
      <c r="D241" s="1069" t="str">
        <f t="shared" ca="1" si="7"/>
        <v/>
      </c>
      <c r="E241" s="1069" t="str">
        <f t="shared" ca="1" si="7"/>
        <v>Training:Birds of Prey</v>
      </c>
      <c r="F241" s="1069" t="str">
        <f t="shared" ca="1" si="7"/>
        <v>Instrument:Horns</v>
      </c>
      <c r="G241" s="1069" t="str">
        <f t="shared" ca="1" si="7"/>
        <v/>
      </c>
      <c r="H241" s="1069" t="str">
        <f t="shared" ca="1" si="7"/>
        <v/>
      </c>
      <c r="I241" s="1069" t="str">
        <f t="shared" ca="1" si="7"/>
        <v>Hurling Hammer</v>
      </c>
      <c r="J241" s="1069" t="str">
        <f t="shared" ca="1" si="7"/>
        <v/>
      </c>
      <c r="K241" s="1069" t="str">
        <f t="shared" ca="1" si="7"/>
        <v>Fashioning Arrowheads</v>
      </c>
      <c r="L241" s="1069" t="str">
        <f t="shared" ca="1" si="7"/>
        <v>Foreign:Highlands</v>
      </c>
      <c r="M241" s="1069" t="str">
        <f t="shared" ca="1" si="7"/>
        <v>Foreign:German (Middle)</v>
      </c>
      <c r="N241" s="1069" t="str">
        <f t="shared" ca="1" si="8"/>
        <v>Cult. Lore: For: Pacfin</v>
      </c>
      <c r="O241" s="1069" t="str">
        <f t="shared" ca="1" si="8"/>
        <v>L L:River Valleys</v>
      </c>
      <c r="P241" s="1069" t="str">
        <f t="shared" ca="1" si="8"/>
        <v>Nature/Weather</v>
      </c>
      <c r="Q241" s="1069" t="str">
        <f t="shared" ca="1" si="8"/>
        <v>Medicinal Drugs</v>
      </c>
      <c r="R241" s="1069" t="str">
        <f t="shared" ca="1" si="8"/>
        <v/>
      </c>
      <c r="S241" s="1069" t="str">
        <f t="shared" ca="1" si="8"/>
        <v/>
      </c>
      <c r="T241" s="1069" t="str">
        <f t="shared" ca="1" si="8"/>
        <v/>
      </c>
      <c r="U241" s="1069" t="str">
        <f t="shared" ca="1" si="8"/>
        <v>Tracking</v>
      </c>
      <c r="V241" s="1069" t="str">
        <f t="shared" ca="1" si="8"/>
        <v/>
      </c>
      <c r="W241" s="1069" t="str">
        <f t="shared" ca="1" si="8"/>
        <v/>
      </c>
      <c r="X241" s="1069" t="str">
        <f t="shared" ca="1" si="8"/>
        <v/>
      </c>
      <c r="Y241" s="1069" t="str">
        <f t="shared" ca="1" si="8"/>
        <v/>
      </c>
      <c r="Z241" s="1069" t="str">
        <f t="shared" ca="1" si="8"/>
        <v/>
      </c>
      <c r="AA241" s="1069" t="str">
        <f t="shared" ca="1" si="8"/>
        <v/>
      </c>
    </row>
    <row r="242" spans="1:27" ht="9.9499999999999993" customHeight="1">
      <c r="A242" s="598">
        <v>25</v>
      </c>
      <c r="B242" s="1066" t="s">
        <v>5674</v>
      </c>
      <c r="C242" s="598" t="s">
        <v>2225</v>
      </c>
      <c r="D242" s="1069" t="str">
        <f t="shared" ca="1" si="7"/>
        <v/>
      </c>
      <c r="E242" s="1069" t="str">
        <f t="shared" ca="1" si="7"/>
        <v>Training:Draft &amp; Pack Animals</v>
      </c>
      <c r="F242" s="1069" t="str">
        <f t="shared" ca="1" si="7"/>
        <v>Instrument:Strings &amp; Harps</v>
      </c>
      <c r="G242" s="1069" t="str">
        <f t="shared" ca="1" si="7"/>
        <v/>
      </c>
      <c r="H242" s="1069" t="str">
        <f t="shared" ca="1" si="7"/>
        <v/>
      </c>
      <c r="I242" s="1069" t="str">
        <f t="shared" ca="1" si="7"/>
        <v xml:space="preserve">Hurling Javelins </v>
      </c>
      <c r="J242" s="1069" t="str">
        <f t="shared" ca="1" si="7"/>
        <v/>
      </c>
      <c r="K242" s="1069" t="str">
        <f t="shared" ca="1" si="7"/>
        <v>Fire Making</v>
      </c>
      <c r="L242" s="1069" t="str">
        <f t="shared" ca="1" si="7"/>
        <v>Foreign:Shortlands</v>
      </c>
      <c r="M242" s="1069" t="str">
        <f t="shared" ca="1" si="7"/>
        <v>Foreign:Greek (Medieval)</v>
      </c>
      <c r="N242" s="1069" t="str">
        <f t="shared" ca="1" si="8"/>
        <v>Cult. Lore: For: Utan</v>
      </c>
      <c r="O242" s="1069" t="str">
        <f t="shared" ca="1" si="8"/>
        <v>L L:Steppes</v>
      </c>
      <c r="P242" s="1069" t="str">
        <f t="shared" ca="1" si="8"/>
        <v>Numerology</v>
      </c>
      <c r="Q242" s="1069" t="str">
        <f t="shared" ca="1" si="8"/>
        <v>Potions &amp; Unguents</v>
      </c>
      <c r="R242" s="1069" t="str">
        <f t="shared" ca="1" si="8"/>
        <v/>
      </c>
      <c r="S242" s="1069" t="str">
        <f t="shared" ca="1" si="8"/>
        <v/>
      </c>
      <c r="T242" s="1069" t="str">
        <f t="shared" ca="1" si="8"/>
        <v/>
      </c>
      <c r="U242" s="1069" t="str">
        <f t="shared" ca="1" si="8"/>
        <v/>
      </c>
      <c r="V242" s="1069" t="str">
        <f t="shared" ca="1" si="8"/>
        <v/>
      </c>
      <c r="W242" s="1069" t="str">
        <f t="shared" ca="1" si="8"/>
        <v/>
      </c>
      <c r="X242" s="1069" t="str">
        <f t="shared" ca="1" si="8"/>
        <v/>
      </c>
      <c r="Y242" s="1069" t="str">
        <f t="shared" ca="1" si="8"/>
        <v/>
      </c>
      <c r="Z242" s="1069" t="str">
        <f t="shared" ca="1" si="8"/>
        <v/>
      </c>
      <c r="AA242" s="1069" t="str">
        <f t="shared" ca="1" si="8"/>
        <v/>
      </c>
    </row>
    <row r="243" spans="1:27" ht="9.9499999999999993" customHeight="1">
      <c r="A243" s="598">
        <v>26</v>
      </c>
      <c r="C243" s="598" t="s">
        <v>2225</v>
      </c>
      <c r="D243" s="1069" t="str">
        <f t="shared" ca="1" si="7"/>
        <v/>
      </c>
      <c r="E243" s="1069" t="str">
        <f t="shared" ca="1" si="7"/>
        <v>Training:Exotic Animals</v>
      </c>
      <c r="F243" s="1069" t="str">
        <f t="shared" ca="1" si="7"/>
        <v>Instrument:Painting &amp; Sketching</v>
      </c>
      <c r="G243" s="1069" t="str">
        <f t="shared" ca="1" si="7"/>
        <v/>
      </c>
      <c r="H243" s="1069" t="str">
        <f t="shared" ca="1" si="7"/>
        <v/>
      </c>
      <c r="I243" s="1069" t="str">
        <f t="shared" ca="1" si="7"/>
        <v>Infantry Naptha Thrower</v>
      </c>
      <c r="J243" s="1069" t="str">
        <f t="shared" ca="1" si="7"/>
        <v/>
      </c>
      <c r="K243" s="1069" t="str">
        <f t="shared" ca="1" si="7"/>
        <v>Flint Knapping</v>
      </c>
      <c r="L243" s="1069" t="str">
        <f t="shared" ca="1" si="7"/>
        <v>Foreign:German (Middle)</v>
      </c>
      <c r="M243" s="1069" t="str">
        <f t="shared" ca="1" si="7"/>
        <v>Foreign:Italian</v>
      </c>
      <c r="N243" s="1069" t="str">
        <f t="shared" ca="1" si="8"/>
        <v>Cult. Lore: For: Kingdom</v>
      </c>
      <c r="O243" s="1069" t="str">
        <f t="shared" ca="1" si="8"/>
        <v>L L:Swamps</v>
      </c>
      <c r="P243" s="1069" t="str">
        <f t="shared" ca="1" si="8"/>
        <v>Oneiromancy</v>
      </c>
      <c r="Q243" s="1069" t="str">
        <f t="shared" ca="1" si="8"/>
        <v/>
      </c>
      <c r="R243" s="1069" t="str">
        <f t="shared" ca="1" si="8"/>
        <v/>
      </c>
      <c r="S243" s="1069" t="str">
        <f t="shared" ca="1" si="8"/>
        <v/>
      </c>
      <c r="T243" s="1069" t="str">
        <f t="shared" ca="1" si="8"/>
        <v/>
      </c>
      <c r="U243" s="1069" t="str">
        <f t="shared" ca="1" si="8"/>
        <v/>
      </c>
      <c r="V243" s="1069" t="str">
        <f t="shared" ca="1" si="8"/>
        <v/>
      </c>
      <c r="W243" s="1069" t="str">
        <f t="shared" ca="1" si="8"/>
        <v/>
      </c>
      <c r="X243" s="1069" t="str">
        <f t="shared" ca="1" si="8"/>
        <v/>
      </c>
      <c r="Y243" s="1069" t="str">
        <f t="shared" ca="1" si="8"/>
        <v/>
      </c>
      <c r="Z243" s="1069" t="str">
        <f t="shared" ca="1" si="8"/>
        <v/>
      </c>
      <c r="AA243" s="1069" t="str">
        <f t="shared" ca="1" si="8"/>
        <v/>
      </c>
    </row>
    <row r="244" spans="1:27" ht="9.9499999999999993" customHeight="1">
      <c r="A244" s="598">
        <v>27</v>
      </c>
      <c r="C244" s="598" t="s">
        <v>2225</v>
      </c>
      <c r="D244" s="1069" t="str">
        <f t="shared" ca="1" si="7"/>
        <v/>
      </c>
      <c r="E244" s="1069" t="str">
        <f t="shared" ca="1" si="7"/>
        <v>Training:Hunting Dogs</v>
      </c>
      <c r="F244" s="1069" t="str">
        <f t="shared" ca="1" si="7"/>
        <v>Paper Folding Craft</v>
      </c>
      <c r="G244" s="1069" t="str">
        <f t="shared" ca="1" si="7"/>
        <v/>
      </c>
      <c r="H244" s="1069" t="str">
        <f t="shared" ca="1" si="7"/>
        <v/>
      </c>
      <c r="I244" s="1069" t="str">
        <f t="shared" ca="1" si="7"/>
        <v xml:space="preserve">Knife &amp; Dagger Fighting </v>
      </c>
      <c r="J244" s="1069" t="str">
        <f t="shared" ca="1" si="7"/>
        <v/>
      </c>
      <c r="K244" s="1069" t="str">
        <f t="shared" ca="1" si="7"/>
        <v>Foundryman: Smelting &amp; Casting</v>
      </c>
      <c r="L244" s="1069" t="str">
        <f t="shared" ca="1" si="7"/>
        <v>Foreign:Tilosian</v>
      </c>
      <c r="M244" s="1069" t="str">
        <f t="shared" ca="1" si="7"/>
        <v>Foreign:Japanese</v>
      </c>
      <c r="N244" s="1069" t="str">
        <f t="shared" ca="1" si="8"/>
        <v>Cult. Lore: For: Finnish</v>
      </c>
      <c r="O244" s="1069" t="str">
        <f t="shared" ca="1" si="8"/>
        <v>L L:Tundra</v>
      </c>
      <c r="P244" s="1069" t="str">
        <f t="shared" ca="1" si="8"/>
        <v>Ornithomancy</v>
      </c>
      <c r="Q244" s="1069" t="str">
        <f t="shared" ca="1" si="8"/>
        <v/>
      </c>
      <c r="R244" s="1069" t="str">
        <f t="shared" ca="1" si="8"/>
        <v/>
      </c>
      <c r="S244" s="1069" t="str">
        <f t="shared" ca="1" si="8"/>
        <v/>
      </c>
      <c r="T244" s="1069" t="str">
        <f t="shared" ca="1" si="8"/>
        <v/>
      </c>
      <c r="U244" s="1069" t="str">
        <f t="shared" ca="1" si="8"/>
        <v/>
      </c>
      <c r="V244" s="1069" t="str">
        <f t="shared" ca="1" si="8"/>
        <v/>
      </c>
      <c r="W244" s="1069" t="str">
        <f t="shared" ca="1" si="8"/>
        <v/>
      </c>
      <c r="X244" s="1069" t="str">
        <f t="shared" ca="1" si="8"/>
        <v/>
      </c>
      <c r="Y244" s="1069" t="str">
        <f t="shared" ca="1" si="8"/>
        <v/>
      </c>
      <c r="Z244" s="1069" t="str">
        <f t="shared" ca="1" si="8"/>
        <v/>
      </c>
      <c r="AA244" s="1069" t="str">
        <f t="shared" ca="1" si="8"/>
        <v/>
      </c>
    </row>
    <row r="245" spans="1:27" ht="9.9499999999999993" customHeight="1">
      <c r="A245" s="598">
        <v>28</v>
      </c>
      <c r="C245" s="598" t="s">
        <v>2225</v>
      </c>
      <c r="D245" s="1069" t="str">
        <f t="shared" ca="1" si="7"/>
        <v/>
      </c>
      <c r="E245" s="1069" t="str">
        <f t="shared" ca="1" si="7"/>
        <v>Training:War-Horses &amp; Horses</v>
      </c>
      <c r="F245" s="1069" t="str">
        <f t="shared" ca="1" si="7"/>
        <v>Poetic Composition</v>
      </c>
      <c r="G245" s="1069" t="str">
        <f t="shared" ca="1" si="7"/>
        <v/>
      </c>
      <c r="H245" s="1069" t="str">
        <f t="shared" ca="1" si="7"/>
        <v/>
      </c>
      <c r="I245" s="1069" t="str">
        <f t="shared" ca="1" si="7"/>
        <v>Maces, Hammers &amp; Clubs</v>
      </c>
      <c r="J245" s="1069" t="str">
        <f t="shared" ca="1" si="7"/>
        <v/>
      </c>
      <c r="K245" s="1069" t="str">
        <f t="shared" ca="1" si="7"/>
        <v>Gem Cutting</v>
      </c>
      <c r="L245" s="1069" t="str">
        <f t="shared" ca="1" si="7"/>
        <v>Foreign:Hindran</v>
      </c>
      <c r="M245" s="1069" t="str">
        <f t="shared" ca="1" si="7"/>
        <v>Foreign:Caben</v>
      </c>
      <c r="N245" s="1069" t="str">
        <f t="shared" ca="1" si="8"/>
        <v>Cult. Lore: For: Larton</v>
      </c>
      <c r="O245" s="1069" t="str">
        <f t="shared" ca="1" si="8"/>
        <v>Map Reading</v>
      </c>
      <c r="P245" s="1069" t="str">
        <f t="shared" ca="1" si="8"/>
        <v>Pyromancy</v>
      </c>
      <c r="Q245" s="1069" t="str">
        <f t="shared" ca="1" si="8"/>
        <v/>
      </c>
      <c r="R245" s="1069" t="str">
        <f t="shared" ca="1" si="8"/>
        <v/>
      </c>
      <c r="S245" s="1069" t="str">
        <f t="shared" ca="1" si="8"/>
        <v/>
      </c>
      <c r="T245" s="1069" t="str">
        <f t="shared" ca="1" si="8"/>
        <v/>
      </c>
      <c r="U245" s="1069" t="str">
        <f t="shared" ca="1" si="8"/>
        <v/>
      </c>
      <c r="V245" s="1069" t="str">
        <f t="shared" ca="1" si="8"/>
        <v/>
      </c>
      <c r="W245" s="1069" t="str">
        <f t="shared" ca="1" si="8"/>
        <v/>
      </c>
      <c r="X245" s="1069" t="str">
        <f t="shared" ca="1" si="8"/>
        <v/>
      </c>
      <c r="Y245" s="1069" t="str">
        <f t="shared" ca="1" si="8"/>
        <v/>
      </c>
      <c r="Z245" s="1069" t="str">
        <f t="shared" ca="1" si="8"/>
        <v/>
      </c>
      <c r="AA245" s="1069" t="str">
        <f t="shared" ca="1" si="8"/>
        <v/>
      </c>
    </row>
    <row r="246" spans="1:27" ht="9.9499999999999993" customHeight="1">
      <c r="A246" s="598">
        <v>29</v>
      </c>
      <c r="C246" s="598" t="s">
        <v>2225</v>
      </c>
      <c r="D246" s="1069" t="str">
        <f t="shared" ca="1" si="7"/>
        <v/>
      </c>
      <c r="E246" s="1069" t="str">
        <f t="shared" ca="1" si="7"/>
        <v>Veterinary Medicine</v>
      </c>
      <c r="F246" s="1069" t="str">
        <f t="shared" ca="1" si="7"/>
        <v>Poetic Recitation</v>
      </c>
      <c r="G246" s="1069" t="str">
        <f t="shared" ca="1" si="7"/>
        <v/>
      </c>
      <c r="H246" s="1069" t="str">
        <f t="shared" ca="1" si="7"/>
        <v/>
      </c>
      <c r="I246" s="1069" t="str">
        <f t="shared" ca="1" si="7"/>
        <v>Military Communications</v>
      </c>
      <c r="J246" s="1069" t="str">
        <f t="shared" ca="1" si="7"/>
        <v/>
      </c>
      <c r="K246" s="1069" t="str">
        <f t="shared" ca="1" si="7"/>
        <v>Glassblowing &amp; Glazing</v>
      </c>
      <c r="L246" s="1069" t="str">
        <f t="shared" ca="1" si="7"/>
        <v>Foreign:Kindren</v>
      </c>
      <c r="M246" s="1069" t="str">
        <f t="shared" ca="1" si="7"/>
        <v>Foreign:Russian/Cyrillic</v>
      </c>
      <c r="N246" s="1069" t="str">
        <f t="shared" ca="1" si="8"/>
        <v>Cult. Lore: For: Gaelic (Irish)</v>
      </c>
      <c r="O246" s="1069" t="str">
        <f t="shared" ca="1" si="8"/>
        <v>Naturalism</v>
      </c>
      <c r="P246" s="1069" t="str">
        <f t="shared" ca="1" si="8"/>
        <v>Radiesthesia</v>
      </c>
      <c r="Q246" s="1069" t="str">
        <f t="shared" ca="1" si="8"/>
        <v/>
      </c>
      <c r="R246" s="1069" t="str">
        <f t="shared" ca="1" si="8"/>
        <v/>
      </c>
      <c r="S246" s="1069" t="str">
        <f t="shared" ca="1" si="8"/>
        <v/>
      </c>
      <c r="T246" s="1069" t="str">
        <f t="shared" ca="1" si="8"/>
        <v/>
      </c>
      <c r="U246" s="1069" t="str">
        <f t="shared" ca="1" si="8"/>
        <v/>
      </c>
      <c r="V246" s="1069" t="str">
        <f t="shared" ca="1" si="8"/>
        <v/>
      </c>
      <c r="W246" s="1069" t="str">
        <f t="shared" ca="1" si="8"/>
        <v/>
      </c>
      <c r="X246" s="1069" t="str">
        <f t="shared" ca="1" si="8"/>
        <v/>
      </c>
      <c r="Y246" s="1069" t="str">
        <f t="shared" ca="1" si="8"/>
        <v/>
      </c>
      <c r="Z246" s="1069" t="str">
        <f t="shared" ca="1" si="8"/>
        <v/>
      </c>
      <c r="AA246" s="1069" t="str">
        <f t="shared" ca="1" si="8"/>
        <v/>
      </c>
    </row>
    <row r="247" spans="1:27" ht="9.9499999999999993" customHeight="1">
      <c r="A247" s="598">
        <v>30</v>
      </c>
      <c r="C247" s="598" t="s">
        <v>2225</v>
      </c>
      <c r="D247" s="1069" t="str">
        <f t="shared" ca="1" si="7"/>
        <v/>
      </c>
      <c r="E247" s="1069" t="str">
        <f t="shared" ca="1" si="7"/>
        <v>Veterinary Surgery</v>
      </c>
      <c r="F247" s="1069" t="str">
        <f t="shared" ca="1" si="7"/>
        <v>Puppetry</v>
      </c>
      <c r="G247" s="1069" t="str">
        <f t="shared" ca="1" si="7"/>
        <v/>
      </c>
      <c r="H247" s="1069" t="str">
        <f t="shared" ca="1" si="7"/>
        <v/>
      </c>
      <c r="I247" s="1069" t="str">
        <f t="shared" ca="1" si="7"/>
        <v>Military Science</v>
      </c>
      <c r="J247" s="1069" t="str">
        <f t="shared" ca="1" si="7"/>
        <v/>
      </c>
      <c r="K247" s="1069" t="str">
        <f t="shared" ca="1" si="7"/>
        <v>Gluemaking</v>
      </c>
      <c r="L247" s="1069" t="str">
        <f t="shared" ca="1" si="7"/>
        <v>Foreign:Gonson</v>
      </c>
      <c r="M247" s="1069" t="str">
        <f t="shared" ca="1" si="7"/>
        <v>Foreign:Sanskrit</v>
      </c>
      <c r="N247" s="1069" t="str">
        <f t="shared" ca="1" si="8"/>
        <v>Cult. Lore: For: Gaelic (Scots)</v>
      </c>
      <c r="O247" s="1069" t="str">
        <f t="shared" ca="1" si="8"/>
        <v>Scientific Research (Research Methods of Understanding )</v>
      </c>
      <c r="P247" s="1069" t="str">
        <f t="shared" ca="1" si="8"/>
        <v>Rhabdomancy (Runic / I-Ching)</v>
      </c>
      <c r="Q247" s="1069" t="str">
        <f t="shared" ca="1" si="8"/>
        <v/>
      </c>
      <c r="R247" s="1069" t="str">
        <f t="shared" ca="1" si="8"/>
        <v/>
      </c>
      <c r="S247" s="1069" t="str">
        <f t="shared" ca="1" si="8"/>
        <v/>
      </c>
      <c r="T247" s="1069" t="str">
        <f t="shared" ca="1" si="8"/>
        <v/>
      </c>
      <c r="U247" s="1069" t="str">
        <f t="shared" ca="1" si="8"/>
        <v/>
      </c>
      <c r="V247" s="1069" t="str">
        <f t="shared" ca="1" si="8"/>
        <v/>
      </c>
      <c r="W247" s="1069" t="str">
        <f t="shared" ca="1" si="8"/>
        <v/>
      </c>
      <c r="X247" s="1069" t="str">
        <f t="shared" ca="1" si="8"/>
        <v/>
      </c>
      <c r="Y247" s="1069" t="str">
        <f t="shared" ca="1" si="8"/>
        <v/>
      </c>
      <c r="Z247" s="1069" t="str">
        <f t="shared" ca="1" si="8"/>
        <v/>
      </c>
      <c r="AA247" s="1069" t="str">
        <f t="shared" ca="1" si="8"/>
        <v/>
      </c>
    </row>
    <row r="248" spans="1:27" ht="9.9499999999999993" customHeight="1">
      <c r="A248" s="598">
        <v>31</v>
      </c>
      <c r="C248" s="598" t="s">
        <v>2225</v>
      </c>
      <c r="D248" s="1069" t="str">
        <f t="shared" ca="1" si="7"/>
        <v/>
      </c>
      <c r="E248" s="1069" t="str">
        <f t="shared" ca="1" si="7"/>
        <v/>
      </c>
      <c r="F248" s="1069" t="str">
        <f t="shared" ca="1" si="7"/>
        <v>Sculpting</v>
      </c>
      <c r="G248" s="1069" t="str">
        <f t="shared" ca="1" si="7"/>
        <v/>
      </c>
      <c r="H248" s="1069" t="str">
        <f t="shared" ca="1" si="7"/>
        <v/>
      </c>
      <c r="I248" s="1069" t="str">
        <f t="shared" ca="1" si="7"/>
        <v xml:space="preserve">Mounted Combat </v>
      </c>
      <c r="J248" s="1069" t="str">
        <f t="shared" ca="1" si="7"/>
        <v/>
      </c>
      <c r="K248" s="1069" t="str">
        <f t="shared" ca="1" si="7"/>
        <v>Gold &amp; Silversmithing</v>
      </c>
      <c r="L248" s="1069" t="str">
        <f t="shared" ca="1" si="7"/>
        <v>Foreign:Caben</v>
      </c>
      <c r="M248" s="1069" t="str">
        <f t="shared" ca="1" si="7"/>
        <v>Foreign:Slaven</v>
      </c>
      <c r="N248" s="1069" t="str">
        <f t="shared" ca="1" si="8"/>
        <v>Cult. Lore: For: Highlands</v>
      </c>
      <c r="O248" s="1069" t="str">
        <f t="shared" ca="1" si="8"/>
        <v>Siege Engine Construction</v>
      </c>
      <c r="P248" s="1069" t="str">
        <f t="shared" ca="1" si="8"/>
        <v>Scapulomancy</v>
      </c>
      <c r="Q248" s="1069" t="str">
        <f t="shared" ca="1" si="8"/>
        <v/>
      </c>
      <c r="R248" s="1069" t="str">
        <f t="shared" ca="1" si="8"/>
        <v/>
      </c>
      <c r="S248" s="1069" t="str">
        <f t="shared" ca="1" si="8"/>
        <v/>
      </c>
      <c r="T248" s="1069" t="str">
        <f t="shared" ca="1" si="8"/>
        <v/>
      </c>
      <c r="U248" s="1069" t="str">
        <f t="shared" ca="1" si="8"/>
        <v/>
      </c>
      <c r="V248" s="1069" t="str">
        <f t="shared" ca="1" si="8"/>
        <v/>
      </c>
      <c r="W248" s="1069" t="str">
        <f t="shared" ca="1" si="8"/>
        <v/>
      </c>
      <c r="X248" s="1069" t="str">
        <f t="shared" ca="1" si="8"/>
        <v/>
      </c>
      <c r="Y248" s="1069" t="str">
        <f t="shared" ca="1" si="8"/>
        <v/>
      </c>
      <c r="Z248" s="1069" t="str">
        <f t="shared" ca="1" si="8"/>
        <v/>
      </c>
      <c r="AA248" s="1069" t="str">
        <f t="shared" ca="1" si="8"/>
        <v/>
      </c>
    </row>
    <row r="249" spans="1:27" ht="9.9499999999999993" customHeight="1">
      <c r="A249" s="598">
        <v>32</v>
      </c>
      <c r="C249" s="598" t="s">
        <v>2225</v>
      </c>
      <c r="D249" s="1069" t="str">
        <f t="shared" ref="D249:M258" ca="1" si="9">IF(ISNUMBER(INDEX($D$526:$AA$725,ROW()-ROW($D$218),COLUMN()-COLUMN($C$219))),INDEX(Skills_Table,INDEX($D$526:$AA$725,ROW()-ROW($D$218),COLUMN()-COLUMN($C$219))-4,HLOOKUP("Skill Name",Skill_Columns,2,0)),"")</f>
        <v/>
      </c>
      <c r="E249" s="1069" t="str">
        <f t="shared" ca="1" si="9"/>
        <v/>
      </c>
      <c r="F249" s="1069" t="str">
        <f t="shared" ca="1" si="9"/>
        <v>Singing</v>
      </c>
      <c r="G249" s="1069" t="str">
        <f t="shared" ca="1" si="9"/>
        <v/>
      </c>
      <c r="H249" s="1069" t="str">
        <f t="shared" ca="1" si="9"/>
        <v/>
      </c>
      <c r="I249" s="1069" t="str">
        <f t="shared" ca="1" si="9"/>
        <v>Net</v>
      </c>
      <c r="J249" s="1069" t="str">
        <f t="shared" ca="1" si="9"/>
        <v/>
      </c>
      <c r="K249" s="1069" t="str">
        <f t="shared" ca="1" si="9"/>
        <v>Innkeeping</v>
      </c>
      <c r="L249" s="1069" t="str">
        <f t="shared" ca="1" si="9"/>
        <v>Foreign:Mednan</v>
      </c>
      <c r="M249" s="1069" t="str">
        <f t="shared" ca="1" si="9"/>
        <v>Foreign:Spanish</v>
      </c>
      <c r="N249" s="1069" t="str">
        <f t="shared" ref="N249:AA258" ca="1" si="10">IF(ISNUMBER(INDEX($D$526:$AA$725,ROW()-ROW($D$218),COLUMN()-COLUMN($C$219))),INDEX(Skills_Table,INDEX($D$526:$AA$725,ROW()-ROW($D$218),COLUMN()-COLUMN($C$219))-4,HLOOKUP("Skill Name",Skill_Columns,2,0)),"")</f>
        <v>Cult. Lore: For: Lowlands</v>
      </c>
      <c r="O249" s="1069" t="str">
        <f t="shared" ca="1" si="10"/>
        <v>Weather Lore</v>
      </c>
      <c r="P249" s="1069" t="str">
        <f t="shared" ca="1" si="10"/>
        <v>Scrying</v>
      </c>
      <c r="Q249" s="1069" t="str">
        <f t="shared" ca="1" si="10"/>
        <v/>
      </c>
      <c r="R249" s="1069" t="str">
        <f t="shared" ca="1" si="10"/>
        <v/>
      </c>
      <c r="S249" s="1069" t="str">
        <f t="shared" ca="1" si="10"/>
        <v/>
      </c>
      <c r="T249" s="1069" t="str">
        <f t="shared" ca="1" si="10"/>
        <v/>
      </c>
      <c r="U249" s="1069" t="str">
        <f t="shared" ca="1" si="10"/>
        <v/>
      </c>
      <c r="V249" s="1069" t="str">
        <f t="shared" ca="1" si="10"/>
        <v/>
      </c>
      <c r="W249" s="1069" t="str">
        <f t="shared" ca="1" si="10"/>
        <v/>
      </c>
      <c r="X249" s="1069" t="str">
        <f t="shared" ca="1" si="10"/>
        <v/>
      </c>
      <c r="Y249" s="1069" t="str">
        <f t="shared" ca="1" si="10"/>
        <v/>
      </c>
      <c r="Z249" s="1069" t="str">
        <f t="shared" ca="1" si="10"/>
        <v/>
      </c>
      <c r="AA249" s="1069" t="str">
        <f t="shared" ca="1" si="10"/>
        <v/>
      </c>
    </row>
    <row r="250" spans="1:27" ht="9.9499999999999993" customHeight="1">
      <c r="A250" s="598">
        <v>33</v>
      </c>
      <c r="C250" s="598" t="s">
        <v>2225</v>
      </c>
      <c r="D250" s="1069" t="str">
        <f t="shared" ca="1" si="9"/>
        <v/>
      </c>
      <c r="E250" s="1069" t="str">
        <f t="shared" ca="1" si="9"/>
        <v/>
      </c>
      <c r="F250" s="1069" t="str">
        <f t="shared" ca="1" si="9"/>
        <v>Sleight of Hand</v>
      </c>
      <c r="G250" s="1069" t="str">
        <f t="shared" ca="1" si="9"/>
        <v/>
      </c>
      <c r="H250" s="1069" t="str">
        <f t="shared" ca="1" si="9"/>
        <v/>
      </c>
      <c r="I250" s="1069" t="str">
        <f t="shared" ca="1" si="9"/>
        <v>Open Hand Wrestling</v>
      </c>
      <c r="J250" s="1069" t="str">
        <f t="shared" ca="1" si="9"/>
        <v/>
      </c>
      <c r="K250" s="1069" t="str">
        <f t="shared" ca="1" si="9"/>
        <v>Leatherworking &amp; Tanning</v>
      </c>
      <c r="L250" s="1069" t="str">
        <f t="shared" ca="1" si="9"/>
        <v>Foreign:Slaven</v>
      </c>
      <c r="M250" s="1069" t="str">
        <f t="shared" ca="1" si="9"/>
        <v>Foreign:Telnar</v>
      </c>
      <c r="N250" s="1069" t="str">
        <f t="shared" ca="1" si="10"/>
        <v>Cult. Lore: For: German (Middle)</v>
      </c>
      <c r="O250" s="1069" t="str">
        <f t="shared" ca="1" si="10"/>
        <v/>
      </c>
      <c r="P250" s="1069" t="str">
        <f t="shared" ca="1" si="10"/>
        <v>Sortilege</v>
      </c>
      <c r="Q250" s="1069" t="str">
        <f t="shared" ca="1" si="10"/>
        <v/>
      </c>
      <c r="R250" s="1069" t="str">
        <f t="shared" ca="1" si="10"/>
        <v/>
      </c>
      <c r="S250" s="1069" t="str">
        <f t="shared" ca="1" si="10"/>
        <v/>
      </c>
      <c r="T250" s="1069" t="str">
        <f t="shared" ca="1" si="10"/>
        <v/>
      </c>
      <c r="U250" s="1069" t="str">
        <f t="shared" ca="1" si="10"/>
        <v/>
      </c>
      <c r="V250" s="1069" t="str">
        <f t="shared" ca="1" si="10"/>
        <v/>
      </c>
      <c r="W250" s="1069" t="str">
        <f t="shared" ca="1" si="10"/>
        <v/>
      </c>
      <c r="X250" s="1069" t="str">
        <f t="shared" ca="1" si="10"/>
        <v/>
      </c>
      <c r="Y250" s="1069" t="str">
        <f t="shared" ca="1" si="10"/>
        <v/>
      </c>
      <c r="Z250" s="1069" t="str">
        <f t="shared" ca="1" si="10"/>
        <v/>
      </c>
      <c r="AA250" s="1069" t="str">
        <f t="shared" ca="1" si="10"/>
        <v/>
      </c>
    </row>
    <row r="251" spans="1:27" ht="9.9499999999999993" customHeight="1">
      <c r="A251" s="598">
        <v>34</v>
      </c>
      <c r="C251" s="598" t="s">
        <v>5492</v>
      </c>
      <c r="D251" s="1069" t="str">
        <f t="shared" ca="1" si="9"/>
        <v/>
      </c>
      <c r="E251" s="1069" t="str">
        <f t="shared" ca="1" si="9"/>
        <v/>
      </c>
      <c r="F251" s="1069" t="str">
        <f t="shared" ca="1" si="9"/>
        <v>Snake Performing</v>
      </c>
      <c r="G251" s="1069" t="str">
        <f t="shared" ca="1" si="9"/>
        <v/>
      </c>
      <c r="H251" s="1069" t="str">
        <f t="shared" ca="1" si="9"/>
        <v/>
      </c>
      <c r="I251" s="1069" t="str">
        <f t="shared" ca="1" si="9"/>
        <v xml:space="preserve">Pole Arms </v>
      </c>
      <c r="J251" s="1069" t="str">
        <f t="shared" ca="1" si="9"/>
        <v/>
      </c>
      <c r="K251" s="1069" t="str">
        <f t="shared" ca="1" si="9"/>
        <v>Locksmithing</v>
      </c>
      <c r="L251" s="1069" t="str">
        <f t="shared" ca="1" si="9"/>
        <v>Foreign:Spanish</v>
      </c>
      <c r="M251" s="1069" t="str">
        <f t="shared" ca="1" si="9"/>
        <v>Foreign:Welsh</v>
      </c>
      <c r="N251" s="1069" t="str">
        <f t="shared" ca="1" si="10"/>
        <v>Cult. Lore: For: Mednan</v>
      </c>
      <c r="O251" s="1069" t="str">
        <f t="shared" ca="1" si="10"/>
        <v/>
      </c>
      <c r="P251" s="1069" t="str">
        <f t="shared" ca="1" si="10"/>
        <v>Laws of Magick</v>
      </c>
      <c r="Q251" s="1069" t="str">
        <f t="shared" ca="1" si="10"/>
        <v/>
      </c>
      <c r="R251" s="1069" t="str">
        <f t="shared" ca="1" si="10"/>
        <v/>
      </c>
      <c r="S251" s="1069" t="str">
        <f t="shared" ca="1" si="10"/>
        <v/>
      </c>
      <c r="T251" s="1069" t="str">
        <f t="shared" ca="1" si="10"/>
        <v/>
      </c>
      <c r="U251" s="1069" t="str">
        <f t="shared" ca="1" si="10"/>
        <v/>
      </c>
      <c r="V251" s="1069" t="str">
        <f t="shared" ca="1" si="10"/>
        <v/>
      </c>
      <c r="W251" s="1069" t="str">
        <f t="shared" ca="1" si="10"/>
        <v/>
      </c>
      <c r="X251" s="1069" t="str">
        <f t="shared" ca="1" si="10"/>
        <v/>
      </c>
      <c r="Y251" s="1069" t="str">
        <f t="shared" ca="1" si="10"/>
        <v/>
      </c>
      <c r="Z251" s="1069" t="str">
        <f t="shared" ca="1" si="10"/>
        <v/>
      </c>
      <c r="AA251" s="1069" t="str">
        <f t="shared" ca="1" si="10"/>
        <v/>
      </c>
    </row>
    <row r="252" spans="1:27" ht="9.9499999999999993" customHeight="1">
      <c r="A252" s="598">
        <v>35</v>
      </c>
      <c r="C252" s="598" t="s">
        <v>2225</v>
      </c>
      <c r="D252" s="1069" t="str">
        <f t="shared" ca="1" si="9"/>
        <v/>
      </c>
      <c r="E252" s="1069" t="str">
        <f t="shared" ca="1" si="9"/>
        <v/>
      </c>
      <c r="F252" s="1069" t="str">
        <f t="shared" ca="1" si="9"/>
        <v>Storytelling</v>
      </c>
      <c r="G252" s="1069" t="str">
        <f t="shared" ca="1" si="9"/>
        <v/>
      </c>
      <c r="H252" s="1069" t="str">
        <f t="shared" ca="1" si="9"/>
        <v/>
      </c>
      <c r="I252" s="1069" t="str">
        <f t="shared" ca="1" si="9"/>
        <v>Riding a War Horse</v>
      </c>
      <c r="J252" s="1069" t="str">
        <f t="shared" ca="1" si="9"/>
        <v/>
      </c>
      <c r="K252" s="1069" t="str">
        <f t="shared" ca="1" si="9"/>
        <v>Lumbering</v>
      </c>
      <c r="L252" s="1069" t="str">
        <f t="shared" ca="1" si="9"/>
        <v>Foreign:Telnar</v>
      </c>
      <c r="M252" s="1069" t="str">
        <f t="shared" ca="1" si="9"/>
        <v>Foreign Languages (Ancient)</v>
      </c>
      <c r="N252" s="1069" t="str">
        <f t="shared" ca="1" si="10"/>
        <v>Cult. Lore: For: Hindran</v>
      </c>
      <c r="O252" s="1069" t="str">
        <f t="shared" ca="1" si="10"/>
        <v/>
      </c>
      <c r="P252" s="1069" t="str">
        <f t="shared" ca="1" si="10"/>
        <v>Law of Association</v>
      </c>
      <c r="Q252" s="1069" t="str">
        <f t="shared" ca="1" si="10"/>
        <v/>
      </c>
      <c r="R252" s="1069" t="str">
        <f t="shared" ca="1" si="10"/>
        <v/>
      </c>
      <c r="S252" s="1069" t="str">
        <f t="shared" ca="1" si="10"/>
        <v/>
      </c>
      <c r="T252" s="1069" t="str">
        <f t="shared" ca="1" si="10"/>
        <v/>
      </c>
      <c r="U252" s="1069" t="str">
        <f t="shared" ca="1" si="10"/>
        <v/>
      </c>
      <c r="V252" s="1069" t="str">
        <f t="shared" ca="1" si="10"/>
        <v/>
      </c>
      <c r="W252" s="1069" t="str">
        <f t="shared" ca="1" si="10"/>
        <v/>
      </c>
      <c r="X252" s="1069" t="str">
        <f t="shared" ca="1" si="10"/>
        <v/>
      </c>
      <c r="Y252" s="1069" t="str">
        <f t="shared" ca="1" si="10"/>
        <v/>
      </c>
      <c r="Z252" s="1069" t="str">
        <f t="shared" ca="1" si="10"/>
        <v/>
      </c>
      <c r="AA252" s="1069" t="str">
        <f t="shared" ca="1" si="10"/>
        <v/>
      </c>
    </row>
    <row r="253" spans="1:27" ht="9.9499999999999993" customHeight="1">
      <c r="A253" s="598">
        <v>36</v>
      </c>
      <c r="C253" s="598" t="s">
        <v>2225</v>
      </c>
      <c r="D253" s="1069" t="str">
        <f t="shared" ca="1" si="9"/>
        <v/>
      </c>
      <c r="E253" s="1069" t="str">
        <f t="shared" ca="1" si="9"/>
        <v/>
      </c>
      <c r="F253" s="1069" t="str">
        <f t="shared" ca="1" si="9"/>
        <v>Whistling</v>
      </c>
      <c r="G253" s="1069" t="str">
        <f t="shared" ca="1" si="9"/>
        <v/>
      </c>
      <c r="H253" s="1069" t="str">
        <f t="shared" ca="1" si="9"/>
        <v/>
      </c>
      <c r="I253" s="1069" t="str">
        <f t="shared" ca="1" si="9"/>
        <v>Siege Machine Operations</v>
      </c>
      <c r="J253" s="1069" t="str">
        <f t="shared" ca="1" si="9"/>
        <v/>
      </c>
      <c r="K253" s="1069" t="str">
        <f t="shared" ca="1" si="9"/>
        <v>Masonry &amp; Stonecutting</v>
      </c>
      <c r="L253" s="1069" t="str">
        <f t="shared" ca="1" si="9"/>
        <v>Foreign:Welsh</v>
      </c>
      <c r="M253" s="1069" t="str">
        <f t="shared" ca="1" si="9"/>
        <v>Foreign (Anc.):Kingdom</v>
      </c>
      <c r="N253" s="1069" t="str">
        <f t="shared" ca="1" si="10"/>
        <v>Cult. Lore: For: Kindren</v>
      </c>
      <c r="O253" s="1069" t="str">
        <f t="shared" ca="1" si="10"/>
        <v/>
      </c>
      <c r="P253" s="1069" t="str">
        <f t="shared" ca="1" si="10"/>
        <v>Law of Balance</v>
      </c>
      <c r="Q253" s="1069" t="str">
        <f t="shared" ca="1" si="10"/>
        <v/>
      </c>
      <c r="R253" s="1069" t="str">
        <f t="shared" ca="1" si="10"/>
        <v/>
      </c>
      <c r="S253" s="1069" t="str">
        <f t="shared" ca="1" si="10"/>
        <v/>
      </c>
      <c r="T253" s="1069" t="str">
        <f t="shared" ca="1" si="10"/>
        <v/>
      </c>
      <c r="U253" s="1069" t="str">
        <f t="shared" ca="1" si="10"/>
        <v/>
      </c>
      <c r="V253" s="1069" t="str">
        <f t="shared" ca="1" si="10"/>
        <v/>
      </c>
      <c r="W253" s="1069" t="str">
        <f t="shared" ca="1" si="10"/>
        <v/>
      </c>
      <c r="X253" s="1069" t="str">
        <f t="shared" ca="1" si="10"/>
        <v/>
      </c>
      <c r="Y253" s="1069" t="str">
        <f t="shared" ca="1" si="10"/>
        <v/>
      </c>
      <c r="Z253" s="1069" t="str">
        <f t="shared" ca="1" si="10"/>
        <v/>
      </c>
      <c r="AA253" s="1069" t="str">
        <f t="shared" ca="1" si="10"/>
        <v/>
      </c>
    </row>
    <row r="254" spans="1:27" ht="9.9499999999999993" customHeight="1">
      <c r="A254" s="598">
        <v>37</v>
      </c>
      <c r="C254" s="598" t="s">
        <v>2225</v>
      </c>
      <c r="D254" s="1069" t="str">
        <f t="shared" ca="1" si="9"/>
        <v/>
      </c>
      <c r="E254" s="1069" t="str">
        <f t="shared" ca="1" si="9"/>
        <v/>
      </c>
      <c r="F254" s="1069" t="str">
        <f t="shared" ca="1" si="9"/>
        <v/>
      </c>
      <c r="G254" s="1069" t="str">
        <f t="shared" ca="1" si="9"/>
        <v/>
      </c>
      <c r="H254" s="1069" t="str">
        <f t="shared" ca="1" si="9"/>
        <v/>
      </c>
      <c r="I254" s="1069" t="str">
        <f t="shared" ca="1" si="9"/>
        <v>Siegecraft</v>
      </c>
      <c r="J254" s="1069" t="str">
        <f t="shared" ca="1" si="9"/>
        <v/>
      </c>
      <c r="K254" s="1069" t="str">
        <f t="shared" ca="1" si="9"/>
        <v>Miller</v>
      </c>
      <c r="L254" s="1069" t="str">
        <f t="shared" ca="1" si="9"/>
        <v>Foreign Languages (Ancient)</v>
      </c>
      <c r="M254" s="1069" t="str">
        <f t="shared" ca="1" si="9"/>
        <v>Foreign (Anc.):Rule</v>
      </c>
      <c r="N254" s="1069" t="str">
        <f t="shared" ca="1" si="10"/>
        <v>Cult. Lore: For: Japanese</v>
      </c>
      <c r="O254" s="1069" t="str">
        <f t="shared" ca="1" si="10"/>
        <v/>
      </c>
      <c r="P254" s="1069" t="str">
        <f t="shared" ca="1" si="10"/>
        <v>Law of Causation</v>
      </c>
      <c r="Q254" s="1069" t="str">
        <f t="shared" ca="1" si="10"/>
        <v/>
      </c>
      <c r="R254" s="1069" t="str">
        <f t="shared" ca="1" si="10"/>
        <v/>
      </c>
      <c r="S254" s="1069" t="str">
        <f t="shared" ca="1" si="10"/>
        <v/>
      </c>
      <c r="T254" s="1069" t="str">
        <f t="shared" ca="1" si="10"/>
        <v/>
      </c>
      <c r="U254" s="1069" t="str">
        <f t="shared" ca="1" si="10"/>
        <v/>
      </c>
      <c r="V254" s="1069" t="str">
        <f t="shared" ca="1" si="10"/>
        <v/>
      </c>
      <c r="W254" s="1069" t="str">
        <f t="shared" ca="1" si="10"/>
        <v/>
      </c>
      <c r="X254" s="1069" t="str">
        <f t="shared" ca="1" si="10"/>
        <v/>
      </c>
      <c r="Y254" s="1069" t="str">
        <f t="shared" ca="1" si="10"/>
        <v/>
      </c>
      <c r="Z254" s="1069" t="str">
        <f t="shared" ca="1" si="10"/>
        <v/>
      </c>
      <c r="AA254" s="1069" t="str">
        <f t="shared" ca="1" si="10"/>
        <v/>
      </c>
    </row>
    <row r="255" spans="1:27" ht="9.9499999999999993" customHeight="1">
      <c r="A255" s="598">
        <v>38</v>
      </c>
      <c r="C255" s="598" t="s">
        <v>2225</v>
      </c>
      <c r="D255" s="1069" t="str">
        <f t="shared" ca="1" si="9"/>
        <v/>
      </c>
      <c r="E255" s="1069" t="str">
        <f t="shared" ca="1" si="9"/>
        <v/>
      </c>
      <c r="F255" s="1069" t="str">
        <f t="shared" ca="1" si="9"/>
        <v/>
      </c>
      <c r="G255" s="1069" t="str">
        <f t="shared" ca="1" si="9"/>
        <v/>
      </c>
      <c r="H255" s="1069" t="str">
        <f t="shared" ca="1" si="9"/>
        <v/>
      </c>
      <c r="I255" s="1069" t="str">
        <f t="shared" ca="1" si="9"/>
        <v xml:space="preserve">Shield Play:Light Shields </v>
      </c>
      <c r="J255" s="1069" t="str">
        <f t="shared" ca="1" si="9"/>
        <v/>
      </c>
      <c r="K255" s="1069" t="str">
        <f t="shared" ca="1" si="9"/>
        <v>Mining &amp; Tunneling</v>
      </c>
      <c r="L255" s="1069" t="str">
        <f t="shared" ca="1" si="9"/>
        <v>Foreign (Anc.):Kingdom</v>
      </c>
      <c r="M255" s="1069" t="str">
        <f t="shared" ca="1" si="9"/>
        <v>Foreign (Anc.):Bidden</v>
      </c>
      <c r="N255" s="1069" t="str">
        <f t="shared" ca="1" si="10"/>
        <v>Cult. Lore: For: Caben</v>
      </c>
      <c r="O255" s="1069" t="str">
        <f t="shared" ca="1" si="10"/>
        <v/>
      </c>
      <c r="P255" s="1069" t="str">
        <f t="shared" ca="1" si="10"/>
        <v>Law of Components</v>
      </c>
      <c r="Q255" s="1069" t="str">
        <f t="shared" ca="1" si="10"/>
        <v/>
      </c>
      <c r="R255" s="1069" t="str">
        <f t="shared" ca="1" si="10"/>
        <v/>
      </c>
      <c r="S255" s="1069" t="str">
        <f t="shared" ca="1" si="10"/>
        <v/>
      </c>
      <c r="T255" s="1069" t="str">
        <f t="shared" ca="1" si="10"/>
        <v/>
      </c>
      <c r="U255" s="1069" t="str">
        <f t="shared" ca="1" si="10"/>
        <v/>
      </c>
      <c r="V255" s="1069" t="str">
        <f t="shared" ca="1" si="10"/>
        <v/>
      </c>
      <c r="W255" s="1069" t="str">
        <f t="shared" ca="1" si="10"/>
        <v/>
      </c>
      <c r="X255" s="1069" t="str">
        <f t="shared" ca="1" si="10"/>
        <v/>
      </c>
      <c r="Y255" s="1069" t="str">
        <f t="shared" ca="1" si="10"/>
        <v/>
      </c>
      <c r="Z255" s="1069" t="str">
        <f t="shared" ca="1" si="10"/>
        <v/>
      </c>
      <c r="AA255" s="1069" t="str">
        <f t="shared" ca="1" si="10"/>
        <v/>
      </c>
    </row>
    <row r="256" spans="1:27" ht="9.9499999999999993" customHeight="1">
      <c r="A256" s="598">
        <v>39</v>
      </c>
      <c r="C256" s="598" t="s">
        <v>2225</v>
      </c>
      <c r="D256" s="1069" t="str">
        <f t="shared" ca="1" si="9"/>
        <v/>
      </c>
      <c r="E256" s="1069" t="str">
        <f t="shared" ca="1" si="9"/>
        <v/>
      </c>
      <c r="F256" s="1069" t="str">
        <f t="shared" ca="1" si="9"/>
        <v/>
      </c>
      <c r="G256" s="1069" t="str">
        <f t="shared" ca="1" si="9"/>
        <v/>
      </c>
      <c r="H256" s="1069" t="str">
        <f t="shared" ca="1" si="9"/>
        <v/>
      </c>
      <c r="I256" s="1069" t="str">
        <f t="shared" ca="1" si="9"/>
        <v>Shield Play:Heavy Shields</v>
      </c>
      <c r="J256" s="1069" t="str">
        <f t="shared" ca="1" si="9"/>
        <v/>
      </c>
      <c r="K256" s="1069" t="str">
        <f t="shared" ca="1" si="9"/>
        <v>Paint Making</v>
      </c>
      <c r="L256" s="1069" t="str">
        <f t="shared" ca="1" si="9"/>
        <v>Foreign (Anc.):Rule</v>
      </c>
      <c r="M256" s="1069" t="str">
        <f t="shared" ca="1" si="9"/>
        <v>Foreign (Anc.):Cobolan (Demotic)</v>
      </c>
      <c r="N256" s="1069" t="str">
        <f t="shared" ca="1" si="10"/>
        <v>Cult. Lore: For: Russian</v>
      </c>
      <c r="O256" s="1069" t="str">
        <f t="shared" ca="1" si="10"/>
        <v/>
      </c>
      <c r="P256" s="1069" t="str">
        <f t="shared" ca="1" si="10"/>
        <v>Law of Contact</v>
      </c>
      <c r="Q256" s="1069" t="str">
        <f t="shared" ca="1" si="10"/>
        <v/>
      </c>
      <c r="R256" s="1069" t="str">
        <f t="shared" ca="1" si="10"/>
        <v/>
      </c>
      <c r="S256" s="1069" t="str">
        <f t="shared" ca="1" si="10"/>
        <v/>
      </c>
      <c r="T256" s="1069" t="str">
        <f t="shared" ca="1" si="10"/>
        <v/>
      </c>
      <c r="U256" s="1069" t="str">
        <f t="shared" ca="1" si="10"/>
        <v/>
      </c>
      <c r="V256" s="1069" t="str">
        <f t="shared" ca="1" si="10"/>
        <v/>
      </c>
      <c r="W256" s="1069" t="str">
        <f t="shared" ca="1" si="10"/>
        <v/>
      </c>
      <c r="X256" s="1069" t="str">
        <f t="shared" ca="1" si="10"/>
        <v/>
      </c>
      <c r="Y256" s="1069" t="str">
        <f t="shared" ca="1" si="10"/>
        <v/>
      </c>
      <c r="Z256" s="1069" t="str">
        <f t="shared" ca="1" si="10"/>
        <v/>
      </c>
      <c r="AA256" s="1069" t="str">
        <f t="shared" ca="1" si="10"/>
        <v/>
      </c>
    </row>
    <row r="257" spans="1:27" ht="9.9499999999999993" customHeight="1">
      <c r="A257" s="598">
        <v>40</v>
      </c>
      <c r="C257" s="598" t="s">
        <v>2225</v>
      </c>
      <c r="D257" s="1069" t="str">
        <f t="shared" ca="1" si="9"/>
        <v/>
      </c>
      <c r="E257" s="1069" t="str">
        <f t="shared" ca="1" si="9"/>
        <v/>
      </c>
      <c r="F257" s="1069" t="str">
        <f t="shared" ca="1" si="9"/>
        <v/>
      </c>
      <c r="G257" s="1069" t="str">
        <f t="shared" ca="1" si="9"/>
        <v/>
      </c>
      <c r="H257" s="1069" t="str">
        <f t="shared" ca="1" si="9"/>
        <v/>
      </c>
      <c r="I257" s="1069" t="str">
        <f t="shared" ca="1" si="9"/>
        <v>Swords:Great Swords</v>
      </c>
      <c r="J257" s="1069" t="str">
        <f t="shared" ca="1" si="9"/>
        <v/>
      </c>
      <c r="K257" s="1069" t="str">
        <f t="shared" ca="1" si="9"/>
        <v>Paper &amp; Ink Making</v>
      </c>
      <c r="L257" s="1069" t="str">
        <f t="shared" ca="1" si="9"/>
        <v>Foreign (Anc.):Bidden</v>
      </c>
      <c r="M257" s="1069" t="str">
        <f t="shared" ca="1" si="9"/>
        <v>Foreign (Anc.):Cobolan (Hieroglyphic)</v>
      </c>
      <c r="N257" s="1069" t="str">
        <f t="shared" ca="1" si="10"/>
        <v>Cult. Lore: For: Slaven</v>
      </c>
      <c r="O257" s="1069" t="str">
        <f t="shared" ca="1" si="10"/>
        <v/>
      </c>
      <c r="P257" s="1069" t="str">
        <f t="shared" ca="1" si="10"/>
        <v>Law of Contrariness</v>
      </c>
      <c r="Q257" s="1069" t="str">
        <f t="shared" ca="1" si="10"/>
        <v/>
      </c>
      <c r="R257" s="1069" t="str">
        <f t="shared" ca="1" si="10"/>
        <v/>
      </c>
      <c r="S257" s="1069" t="str">
        <f t="shared" ca="1" si="10"/>
        <v/>
      </c>
      <c r="T257" s="1069" t="str">
        <f t="shared" ca="1" si="10"/>
        <v/>
      </c>
      <c r="U257" s="1069" t="str">
        <f t="shared" ca="1" si="10"/>
        <v/>
      </c>
      <c r="V257" s="1069" t="str">
        <f t="shared" ca="1" si="10"/>
        <v/>
      </c>
      <c r="W257" s="1069" t="str">
        <f t="shared" ca="1" si="10"/>
        <v/>
      </c>
      <c r="X257" s="1069" t="str">
        <f t="shared" ca="1" si="10"/>
        <v/>
      </c>
      <c r="Y257" s="1069" t="str">
        <f t="shared" ca="1" si="10"/>
        <v/>
      </c>
      <c r="Z257" s="1069" t="str">
        <f t="shared" ca="1" si="10"/>
        <v/>
      </c>
      <c r="AA257" s="1069" t="str">
        <f t="shared" ca="1" si="10"/>
        <v/>
      </c>
    </row>
    <row r="258" spans="1:27" ht="9.9499999999999993" customHeight="1">
      <c r="A258" s="598">
        <v>41</v>
      </c>
      <c r="C258" s="598" t="s">
        <v>2225</v>
      </c>
      <c r="D258" s="1069" t="str">
        <f t="shared" ca="1" si="9"/>
        <v/>
      </c>
      <c r="E258" s="1069" t="str">
        <f t="shared" ca="1" si="9"/>
        <v/>
      </c>
      <c r="F258" s="1069" t="str">
        <f t="shared" ca="1" si="9"/>
        <v/>
      </c>
      <c r="G258" s="1069" t="str">
        <f t="shared" ca="1" si="9"/>
        <v/>
      </c>
      <c r="H258" s="1069" t="str">
        <f t="shared" ca="1" si="9"/>
        <v/>
      </c>
      <c r="I258" s="1069" t="str">
        <f t="shared" ca="1" si="9"/>
        <v>Swords:Short Swords</v>
      </c>
      <c r="J258" s="1069" t="str">
        <f t="shared" ca="1" si="9"/>
        <v/>
      </c>
      <c r="K258" s="1069" t="str">
        <f t="shared" ca="1" si="9"/>
        <v>Perfumery</v>
      </c>
      <c r="L258" s="1069" t="str">
        <f t="shared" ca="1" si="9"/>
        <v>Foreign (Anc.):Cobolan</v>
      </c>
      <c r="M258" s="1069" t="str">
        <f t="shared" ca="1" si="9"/>
        <v>Foreign (Anc.):Mednan</v>
      </c>
      <c r="N258" s="1069" t="str">
        <f t="shared" ca="1" si="10"/>
        <v>Cult. Lore: For: Spanish</v>
      </c>
      <c r="O258" s="1069" t="str">
        <f t="shared" ca="1" si="10"/>
        <v/>
      </c>
      <c r="P258" s="1069" t="str">
        <f t="shared" ca="1" si="10"/>
        <v>Law of Discharge &amp; Recharge</v>
      </c>
      <c r="Q258" s="1069" t="str">
        <f t="shared" ca="1" si="10"/>
        <v/>
      </c>
      <c r="R258" s="1069" t="str">
        <f t="shared" ca="1" si="10"/>
        <v/>
      </c>
      <c r="S258" s="1069" t="str">
        <f t="shared" ca="1" si="10"/>
        <v/>
      </c>
      <c r="T258" s="1069" t="str">
        <f t="shared" ca="1" si="10"/>
        <v/>
      </c>
      <c r="U258" s="1069" t="str">
        <f t="shared" ca="1" si="10"/>
        <v/>
      </c>
      <c r="V258" s="1069" t="str">
        <f t="shared" ca="1" si="10"/>
        <v/>
      </c>
      <c r="W258" s="1069" t="str">
        <f t="shared" ca="1" si="10"/>
        <v/>
      </c>
      <c r="X258" s="1069" t="str">
        <f t="shared" ca="1" si="10"/>
        <v/>
      </c>
      <c r="Y258" s="1069" t="str">
        <f t="shared" ca="1" si="10"/>
        <v/>
      </c>
      <c r="Z258" s="1069" t="str">
        <f t="shared" ca="1" si="10"/>
        <v/>
      </c>
      <c r="AA258" s="1069" t="str">
        <f t="shared" ca="1" si="10"/>
        <v/>
      </c>
    </row>
    <row r="259" spans="1:27" ht="9.9499999999999993" customHeight="1">
      <c r="A259" s="598">
        <v>42</v>
      </c>
      <c r="C259" s="598" t="s">
        <v>2225</v>
      </c>
      <c r="D259" s="1069" t="str">
        <f t="shared" ref="D259:M268" ca="1" si="11">IF(ISNUMBER(INDEX($D$526:$AA$725,ROW()-ROW($D$218),COLUMN()-COLUMN($C$219))),INDEX(Skills_Table,INDEX($D$526:$AA$725,ROW()-ROW($D$218),COLUMN()-COLUMN($C$219))-4,HLOOKUP("Skill Name",Skill_Columns,2,0)),"")</f>
        <v/>
      </c>
      <c r="E259" s="1069" t="str">
        <f t="shared" ca="1" si="11"/>
        <v/>
      </c>
      <c r="F259" s="1069" t="str">
        <f t="shared" ca="1" si="11"/>
        <v/>
      </c>
      <c r="G259" s="1069" t="str">
        <f t="shared" ca="1" si="11"/>
        <v/>
      </c>
      <c r="H259" s="1069" t="str">
        <f t="shared" ca="1" si="11"/>
        <v/>
      </c>
      <c r="I259" s="1069" t="str">
        <f t="shared" ca="1" si="11"/>
        <v>Swords:Slashing Swords</v>
      </c>
      <c r="J259" s="1069" t="str">
        <f t="shared" ca="1" si="11"/>
        <v/>
      </c>
      <c r="K259" s="1069" t="str">
        <f t="shared" ca="1" si="11"/>
        <v>Pottery Making</v>
      </c>
      <c r="L259" s="1069" t="str">
        <f t="shared" ca="1" si="11"/>
        <v>Foreign (Anc.):Mednan</v>
      </c>
      <c r="M259" s="1069" t="str">
        <f t="shared" ca="1" si="11"/>
        <v>Foreign (Anc.):Slaven</v>
      </c>
      <c r="N259" s="1069" t="str">
        <f t="shared" ref="N259:AA268" ca="1" si="12">IF(ISNUMBER(INDEX($D$526:$AA$725,ROW()-ROW($D$218),COLUMN()-COLUMN($C$219))),INDEX(Skills_Table,INDEX($D$526:$AA$725,ROW()-ROW($D$218),COLUMN()-COLUMN($C$219))-4,HLOOKUP("Skill Name",Skill_Columns,2,0)),"")</f>
        <v>Cult. Lore: For: Telnar</v>
      </c>
      <c r="O259" s="1069" t="str">
        <f t="shared" ca="1" si="12"/>
        <v/>
      </c>
      <c r="P259" s="1069" t="str">
        <f t="shared" ca="1" si="12"/>
        <v>Law of Enchanted Objects</v>
      </c>
      <c r="Q259" s="1069" t="str">
        <f t="shared" ca="1" si="12"/>
        <v/>
      </c>
      <c r="R259" s="1069" t="str">
        <f t="shared" ca="1" si="12"/>
        <v/>
      </c>
      <c r="S259" s="1069" t="str">
        <f t="shared" ca="1" si="12"/>
        <v/>
      </c>
      <c r="T259" s="1069" t="str">
        <f t="shared" ca="1" si="12"/>
        <v/>
      </c>
      <c r="U259" s="1069" t="str">
        <f t="shared" ca="1" si="12"/>
        <v/>
      </c>
      <c r="V259" s="1069" t="str">
        <f t="shared" ca="1" si="12"/>
        <v/>
      </c>
      <c r="W259" s="1069" t="str">
        <f t="shared" ca="1" si="12"/>
        <v/>
      </c>
      <c r="X259" s="1069" t="str">
        <f t="shared" ca="1" si="12"/>
        <v/>
      </c>
      <c r="Y259" s="1069" t="str">
        <f t="shared" ca="1" si="12"/>
        <v/>
      </c>
      <c r="Z259" s="1069" t="str">
        <f t="shared" ca="1" si="12"/>
        <v/>
      </c>
      <c r="AA259" s="1069" t="str">
        <f t="shared" ca="1" si="12"/>
        <v/>
      </c>
    </row>
    <row r="260" spans="1:27" ht="9.9499999999999993" customHeight="1">
      <c r="A260" s="598">
        <v>43</v>
      </c>
      <c r="C260" s="598" t="s">
        <v>2225</v>
      </c>
      <c r="D260" s="1069" t="str">
        <f t="shared" ca="1" si="11"/>
        <v/>
      </c>
      <c r="E260" s="1069" t="str">
        <f t="shared" ca="1" si="11"/>
        <v/>
      </c>
      <c r="F260" s="1069" t="str">
        <f t="shared" ca="1" si="11"/>
        <v/>
      </c>
      <c r="G260" s="1069" t="str">
        <f t="shared" ca="1" si="11"/>
        <v/>
      </c>
      <c r="H260" s="1069" t="str">
        <f t="shared" ca="1" si="11"/>
        <v/>
      </c>
      <c r="I260" s="1069" t="str">
        <f t="shared" ca="1" si="11"/>
        <v>Slings</v>
      </c>
      <c r="J260" s="1069" t="str">
        <f t="shared" ca="1" si="11"/>
        <v/>
      </c>
      <c r="K260" s="1069" t="str">
        <f t="shared" ca="1" si="11"/>
        <v>Rope &amp; Cordage Making</v>
      </c>
      <c r="L260" s="1069" t="str">
        <f t="shared" ca="1" si="11"/>
        <v>Foreign (Anc.):Slaven</v>
      </c>
      <c r="M260" s="1069" t="str">
        <f t="shared" ca="1" si="11"/>
        <v>Foreign (Anc.):Lorn</v>
      </c>
      <c r="N260" s="1069" t="str">
        <f t="shared" ca="1" si="12"/>
        <v>Cult. Lore: For: Welsh</v>
      </c>
      <c r="O260" s="1069" t="str">
        <f t="shared" ca="1" si="12"/>
        <v/>
      </c>
      <c r="P260" s="1069" t="str">
        <f t="shared" ca="1" si="12"/>
        <v>Law of Energy Control</v>
      </c>
      <c r="Q260" s="1069" t="str">
        <f t="shared" ca="1" si="12"/>
        <v/>
      </c>
      <c r="R260" s="1069" t="str">
        <f t="shared" ca="1" si="12"/>
        <v/>
      </c>
      <c r="S260" s="1069" t="str">
        <f t="shared" ca="1" si="12"/>
        <v/>
      </c>
      <c r="T260" s="1069" t="str">
        <f t="shared" ca="1" si="12"/>
        <v/>
      </c>
      <c r="U260" s="1069" t="str">
        <f t="shared" ca="1" si="12"/>
        <v/>
      </c>
      <c r="V260" s="1069" t="str">
        <f t="shared" ca="1" si="12"/>
        <v/>
      </c>
      <c r="W260" s="1069" t="str">
        <f t="shared" ca="1" si="12"/>
        <v/>
      </c>
      <c r="X260" s="1069" t="str">
        <f t="shared" ca="1" si="12"/>
        <v/>
      </c>
      <c r="Y260" s="1069" t="str">
        <f t="shared" ca="1" si="12"/>
        <v/>
      </c>
      <c r="Z260" s="1069" t="str">
        <f t="shared" ca="1" si="12"/>
        <v/>
      </c>
      <c r="AA260" s="1069" t="str">
        <f t="shared" ca="1" si="12"/>
        <v/>
      </c>
    </row>
    <row r="261" spans="1:27" ht="9.9499999999999993" customHeight="1">
      <c r="A261" s="598">
        <v>44</v>
      </c>
      <c r="C261" s="598" t="s">
        <v>2225</v>
      </c>
      <c r="D261" s="1069" t="str">
        <f t="shared" ca="1" si="11"/>
        <v/>
      </c>
      <c r="E261" s="1069" t="str">
        <f t="shared" ca="1" si="11"/>
        <v/>
      </c>
      <c r="F261" s="1069" t="str">
        <f t="shared" ca="1" si="11"/>
        <v/>
      </c>
      <c r="G261" s="1069" t="str">
        <f t="shared" ca="1" si="11"/>
        <v/>
      </c>
      <c r="H261" s="1069" t="str">
        <f t="shared" ca="1" si="11"/>
        <v/>
      </c>
      <c r="I261" s="1069" t="str">
        <f t="shared" ca="1" si="11"/>
        <v xml:space="preserve">Spears </v>
      </c>
      <c r="J261" s="1069" t="str">
        <f t="shared" ca="1" si="11"/>
        <v/>
      </c>
      <c r="K261" s="1069" t="str">
        <f t="shared" ca="1" si="11"/>
        <v>Salt Making</v>
      </c>
      <c r="L261" s="1069" t="str">
        <f t="shared" ca="1" si="11"/>
        <v>Foreign (Anc.):Lorn</v>
      </c>
      <c r="M261" s="1069" t="str">
        <f t="shared" ca="1" si="11"/>
        <v>Foreign (Anc.):Ancient Lands</v>
      </c>
      <c r="N261" s="1069" t="str">
        <f t="shared" ca="1" si="12"/>
        <v>Cult. Lore:Other Races</v>
      </c>
      <c r="O261" s="1069" t="str">
        <f t="shared" ca="1" si="12"/>
        <v/>
      </c>
      <c r="P261" s="1069" t="str">
        <f t="shared" ca="1" si="12"/>
        <v>Law of Evocation</v>
      </c>
      <c r="Q261" s="1069" t="str">
        <f t="shared" ca="1" si="12"/>
        <v/>
      </c>
      <c r="R261" s="1069" t="str">
        <f t="shared" ca="1" si="12"/>
        <v/>
      </c>
      <c r="S261" s="1069" t="str">
        <f t="shared" ca="1" si="12"/>
        <v/>
      </c>
      <c r="T261" s="1069" t="str">
        <f t="shared" ca="1" si="12"/>
        <v/>
      </c>
      <c r="U261" s="1069" t="str">
        <f t="shared" ca="1" si="12"/>
        <v/>
      </c>
      <c r="V261" s="1069" t="str">
        <f t="shared" ca="1" si="12"/>
        <v/>
      </c>
      <c r="W261" s="1069" t="str">
        <f t="shared" ca="1" si="12"/>
        <v/>
      </c>
      <c r="X261" s="1069" t="str">
        <f t="shared" ca="1" si="12"/>
        <v/>
      </c>
      <c r="Y261" s="1069" t="str">
        <f t="shared" ca="1" si="12"/>
        <v/>
      </c>
      <c r="Z261" s="1069" t="str">
        <f t="shared" ca="1" si="12"/>
        <v/>
      </c>
      <c r="AA261" s="1069" t="str">
        <f t="shared" ca="1" si="12"/>
        <v/>
      </c>
    </row>
    <row r="262" spans="1:27" ht="9.9499999999999993" customHeight="1">
      <c r="A262" s="598">
        <v>45</v>
      </c>
      <c r="C262" s="598" t="s">
        <v>2225</v>
      </c>
      <c r="D262" s="1069" t="str">
        <f t="shared" ca="1" si="11"/>
        <v/>
      </c>
      <c r="E262" s="1069" t="str">
        <f t="shared" ca="1" si="11"/>
        <v/>
      </c>
      <c r="F262" s="1069" t="str">
        <f t="shared" ca="1" si="11"/>
        <v/>
      </c>
      <c r="G262" s="1069" t="str">
        <f t="shared" ca="1" si="11"/>
        <v/>
      </c>
      <c r="H262" s="1069" t="str">
        <f t="shared" ca="1" si="11"/>
        <v/>
      </c>
      <c r="I262" s="1069" t="str">
        <f t="shared" ca="1" si="11"/>
        <v>Swiss Arrow</v>
      </c>
      <c r="J262" s="1069" t="str">
        <f t="shared" ca="1" si="11"/>
        <v/>
      </c>
      <c r="K262" s="1069" t="str">
        <f t="shared" ca="1" si="11"/>
        <v>Salt Panning</v>
      </c>
      <c r="L262" s="1069" t="str">
        <f t="shared" ca="1" si="11"/>
        <v>Foreign (Anc.):Ancient Lands</v>
      </c>
      <c r="M262" s="1069" t="str">
        <f t="shared" ca="1" si="11"/>
        <v>Foreign (Anc.):Telnar</v>
      </c>
      <c r="N262" s="1069" t="str">
        <f t="shared" ca="1" si="12"/>
        <v>Cult. Lore:Arkon</v>
      </c>
      <c r="O262" s="1069" t="str">
        <f t="shared" ca="1" si="12"/>
        <v/>
      </c>
      <c r="P262" s="1069" t="str">
        <f t="shared" ca="1" si="12"/>
        <v>Law of Focus</v>
      </c>
      <c r="Q262" s="1069" t="str">
        <f t="shared" ca="1" si="12"/>
        <v/>
      </c>
      <c r="R262" s="1069" t="str">
        <f t="shared" ca="1" si="12"/>
        <v/>
      </c>
      <c r="S262" s="1069" t="str">
        <f t="shared" ca="1" si="12"/>
        <v/>
      </c>
      <c r="T262" s="1069" t="str">
        <f t="shared" ca="1" si="12"/>
        <v/>
      </c>
      <c r="U262" s="1069" t="str">
        <f t="shared" ca="1" si="12"/>
        <v/>
      </c>
      <c r="V262" s="1069" t="str">
        <f t="shared" ca="1" si="12"/>
        <v/>
      </c>
      <c r="W262" s="1069" t="str">
        <f t="shared" ca="1" si="12"/>
        <v/>
      </c>
      <c r="X262" s="1069" t="str">
        <f t="shared" ca="1" si="12"/>
        <v/>
      </c>
      <c r="Y262" s="1069" t="str">
        <f t="shared" ca="1" si="12"/>
        <v/>
      </c>
      <c r="Z262" s="1069" t="str">
        <f t="shared" ca="1" si="12"/>
        <v/>
      </c>
      <c r="AA262" s="1069" t="str">
        <f t="shared" ca="1" si="12"/>
        <v/>
      </c>
    </row>
    <row r="263" spans="1:27" ht="9.9499999999999993" customHeight="1">
      <c r="A263" s="598">
        <v>46</v>
      </c>
      <c r="C263" s="598" t="s">
        <v>2225</v>
      </c>
      <c r="D263" s="1069" t="str">
        <f t="shared" ca="1" si="11"/>
        <v/>
      </c>
      <c r="E263" s="1069" t="str">
        <f t="shared" ca="1" si="11"/>
        <v/>
      </c>
      <c r="F263" s="1069" t="str">
        <f t="shared" ca="1" si="11"/>
        <v/>
      </c>
      <c r="G263" s="1069" t="str">
        <f t="shared" ca="1" si="11"/>
        <v/>
      </c>
      <c r="H263" s="1069" t="str">
        <f t="shared" ca="1" si="11"/>
        <v/>
      </c>
      <c r="I263" s="1069" t="str">
        <f t="shared" ca="1" si="11"/>
        <v>Throwing Irons</v>
      </c>
      <c r="J263" s="1069" t="str">
        <f t="shared" ca="1" si="11"/>
        <v/>
      </c>
      <c r="K263" s="1069" t="str">
        <f t="shared" ca="1" si="11"/>
        <v>Salt Raking</v>
      </c>
      <c r="L263" s="1069" t="str">
        <f t="shared" ca="1" si="11"/>
        <v>Foreign (Anc.):Telnar</v>
      </c>
      <c r="M263" s="1069" t="str">
        <f t="shared" ca="1" si="11"/>
        <v>Mage Speech (Coniron)</v>
      </c>
      <c r="N263" s="1069" t="str">
        <f t="shared" ca="1" si="12"/>
        <v>Cult. Lore:Centaur</v>
      </c>
      <c r="O263" s="1069" t="str">
        <f t="shared" ca="1" si="12"/>
        <v/>
      </c>
      <c r="P263" s="1069" t="str">
        <f t="shared" ca="1" si="12"/>
        <v>Law of Harmony</v>
      </c>
      <c r="Q263" s="1069" t="str">
        <f t="shared" ca="1" si="12"/>
        <v/>
      </c>
      <c r="R263" s="1069" t="str">
        <f t="shared" ca="1" si="12"/>
        <v/>
      </c>
      <c r="S263" s="1069" t="str">
        <f t="shared" ca="1" si="12"/>
        <v/>
      </c>
      <c r="T263" s="1069" t="str">
        <f t="shared" ca="1" si="12"/>
        <v/>
      </c>
      <c r="U263" s="1069" t="str">
        <f t="shared" ca="1" si="12"/>
        <v/>
      </c>
      <c r="V263" s="1069" t="str">
        <f t="shared" ca="1" si="12"/>
        <v/>
      </c>
      <c r="W263" s="1069" t="str">
        <f t="shared" ca="1" si="12"/>
        <v/>
      </c>
      <c r="X263" s="1069" t="str">
        <f t="shared" ca="1" si="12"/>
        <v/>
      </c>
      <c r="Y263" s="1069" t="str">
        <f t="shared" ca="1" si="12"/>
        <v/>
      </c>
      <c r="Z263" s="1069" t="str">
        <f t="shared" ca="1" si="12"/>
        <v/>
      </c>
      <c r="AA263" s="1069" t="str">
        <f t="shared" ca="1" si="12"/>
        <v/>
      </c>
    </row>
    <row r="264" spans="1:27" ht="9.9499999999999993" customHeight="1">
      <c r="A264" s="598">
        <v>47</v>
      </c>
      <c r="C264" s="598" t="s">
        <v>2225</v>
      </c>
      <c r="D264" s="1069" t="str">
        <f t="shared" ca="1" si="11"/>
        <v/>
      </c>
      <c r="E264" s="1069" t="str">
        <f t="shared" ca="1" si="11"/>
        <v/>
      </c>
      <c r="F264" s="1069" t="str">
        <f t="shared" ca="1" si="11"/>
        <v/>
      </c>
      <c r="G264" s="1069" t="str">
        <f t="shared" ca="1" si="11"/>
        <v/>
      </c>
      <c r="H264" s="1069" t="str">
        <f t="shared" ca="1" si="11"/>
        <v/>
      </c>
      <c r="I264" s="1069" t="str">
        <f t="shared" ca="1" si="11"/>
        <v xml:space="preserve">Throwing Knives </v>
      </c>
      <c r="J264" s="1069" t="str">
        <f t="shared" ca="1" si="11"/>
        <v/>
      </c>
      <c r="K264" s="1069" t="str">
        <f t="shared" ca="1" si="11"/>
        <v>Salt Welling</v>
      </c>
      <c r="L264" s="1069" t="str">
        <f t="shared" ca="1" si="11"/>
        <v>Beast:Arachnids</v>
      </c>
      <c r="M264" s="1069" t="str">
        <f t="shared" ca="1" si="11"/>
        <v>Mage Speech (Ancient)</v>
      </c>
      <c r="N264" s="1069" t="str">
        <f t="shared" ca="1" si="12"/>
        <v xml:space="preserve">Cult. Lore:Demonic </v>
      </c>
      <c r="O264" s="1069" t="str">
        <f t="shared" ca="1" si="12"/>
        <v/>
      </c>
      <c r="P264" s="1069" t="str">
        <f t="shared" ca="1" si="12"/>
        <v>Law of Invocation</v>
      </c>
      <c r="Q264" s="1069" t="str">
        <f t="shared" ca="1" si="12"/>
        <v/>
      </c>
      <c r="R264" s="1069" t="str">
        <f t="shared" ca="1" si="12"/>
        <v/>
      </c>
      <c r="S264" s="1069" t="str">
        <f t="shared" ca="1" si="12"/>
        <v/>
      </c>
      <c r="T264" s="1069" t="str">
        <f t="shared" ca="1" si="12"/>
        <v/>
      </c>
      <c r="U264" s="1069" t="str">
        <f t="shared" ca="1" si="12"/>
        <v/>
      </c>
      <c r="V264" s="1069" t="str">
        <f t="shared" ca="1" si="12"/>
        <v/>
      </c>
      <c r="W264" s="1069" t="str">
        <f t="shared" ca="1" si="12"/>
        <v/>
      </c>
      <c r="X264" s="1069" t="str">
        <f t="shared" ca="1" si="12"/>
        <v/>
      </c>
      <c r="Y264" s="1069" t="str">
        <f t="shared" ca="1" si="12"/>
        <v/>
      </c>
      <c r="Z264" s="1069" t="str">
        <f t="shared" ca="1" si="12"/>
        <v/>
      </c>
      <c r="AA264" s="1069" t="str">
        <f t="shared" ca="1" si="12"/>
        <v/>
      </c>
    </row>
    <row r="265" spans="1:27" ht="9.9499999999999993" customHeight="1">
      <c r="A265" s="598">
        <v>48</v>
      </c>
      <c r="C265" s="598" t="s">
        <v>2225</v>
      </c>
      <c r="D265" s="1069" t="str">
        <f t="shared" ca="1" si="11"/>
        <v/>
      </c>
      <c r="E265" s="1069" t="str">
        <f t="shared" ca="1" si="11"/>
        <v/>
      </c>
      <c r="F265" s="1069" t="str">
        <f t="shared" ca="1" si="11"/>
        <v/>
      </c>
      <c r="G265" s="1069" t="str">
        <f t="shared" ca="1" si="11"/>
        <v/>
      </c>
      <c r="H265" s="1069" t="str">
        <f t="shared" ca="1" si="11"/>
        <v/>
      </c>
      <c r="I265" s="1069" t="str">
        <f t="shared" ca="1" si="11"/>
        <v xml:space="preserve">Throwing Objects </v>
      </c>
      <c r="J265" s="1069" t="str">
        <f t="shared" ca="1" si="11"/>
        <v/>
      </c>
      <c r="K265" s="1069" t="str">
        <f t="shared" ca="1" si="11"/>
        <v>Sowing Salt</v>
      </c>
      <c r="L265" s="1069" t="str">
        <f t="shared" ca="1" si="11"/>
        <v>Beast:Avian</v>
      </c>
      <c r="M265" s="1069" t="str">
        <f t="shared" ca="1" si="11"/>
        <v>Monster:Arkon</v>
      </c>
      <c r="N265" s="1069" t="str">
        <f t="shared" ca="1" si="12"/>
        <v>Cult. Lore:Draconic</v>
      </c>
      <c r="O265" s="1069" t="str">
        <f t="shared" ca="1" si="12"/>
        <v/>
      </c>
      <c r="P265" s="1069" t="str">
        <f t="shared" ca="1" si="12"/>
        <v>Law of Names</v>
      </c>
      <c r="Q265" s="1069" t="str">
        <f t="shared" ca="1" si="12"/>
        <v/>
      </c>
      <c r="R265" s="1069" t="str">
        <f t="shared" ca="1" si="12"/>
        <v/>
      </c>
      <c r="S265" s="1069" t="str">
        <f t="shared" ca="1" si="12"/>
        <v/>
      </c>
      <c r="T265" s="1069" t="str">
        <f t="shared" ca="1" si="12"/>
        <v/>
      </c>
      <c r="U265" s="1069" t="str">
        <f t="shared" ca="1" si="12"/>
        <v/>
      </c>
      <c r="V265" s="1069" t="str">
        <f t="shared" ca="1" si="12"/>
        <v/>
      </c>
      <c r="W265" s="1069" t="str">
        <f t="shared" ca="1" si="12"/>
        <v/>
      </c>
      <c r="X265" s="1069" t="str">
        <f t="shared" ca="1" si="12"/>
        <v/>
      </c>
      <c r="Y265" s="1069" t="str">
        <f t="shared" ca="1" si="12"/>
        <v/>
      </c>
      <c r="Z265" s="1069" t="str">
        <f t="shared" ca="1" si="12"/>
        <v/>
      </c>
      <c r="AA265" s="1069" t="str">
        <f t="shared" ca="1" si="12"/>
        <v/>
      </c>
    </row>
    <row r="266" spans="1:27" ht="9.9499999999999993" customHeight="1">
      <c r="A266" s="598">
        <v>49</v>
      </c>
      <c r="C266" s="598" t="s">
        <v>2225</v>
      </c>
      <c r="D266" s="1069" t="str">
        <f t="shared" ca="1" si="11"/>
        <v/>
      </c>
      <c r="E266" s="1069" t="str">
        <f t="shared" ca="1" si="11"/>
        <v/>
      </c>
      <c r="F266" s="1069" t="str">
        <f t="shared" ca="1" si="11"/>
        <v/>
      </c>
      <c r="G266" s="1069" t="str">
        <f t="shared" ca="1" si="11"/>
        <v/>
      </c>
      <c r="H266" s="1069" t="str">
        <f t="shared" ca="1" si="11"/>
        <v/>
      </c>
      <c r="I266" s="1069" t="str">
        <f t="shared" ca="1" si="11"/>
        <v>Two Weapon Fighting</v>
      </c>
      <c r="J266" s="1069" t="str">
        <f t="shared" ca="1" si="11"/>
        <v/>
      </c>
      <c r="K266" s="1069" t="str">
        <f t="shared" ca="1" si="11"/>
        <v>Sawyer</v>
      </c>
      <c r="L266" s="1069" t="str">
        <f t="shared" ca="1" si="11"/>
        <v>Beast:Bovine</v>
      </c>
      <c r="M266" s="1069" t="str">
        <f t="shared" ca="1" si="11"/>
        <v>Monster:Centaur</v>
      </c>
      <c r="N266" s="1069" t="str">
        <f t="shared" ca="1" si="12"/>
        <v>Cult. Lore:Dwarven</v>
      </c>
      <c r="O266" s="1069" t="str">
        <f t="shared" ca="1" si="12"/>
        <v/>
      </c>
      <c r="P266" s="1069" t="str">
        <f t="shared" ca="1" si="12"/>
        <v>Law of Objects</v>
      </c>
      <c r="Q266" s="1069" t="str">
        <f t="shared" ca="1" si="12"/>
        <v/>
      </c>
      <c r="R266" s="1069" t="str">
        <f t="shared" ca="1" si="12"/>
        <v/>
      </c>
      <c r="S266" s="1069" t="str">
        <f t="shared" ca="1" si="12"/>
        <v/>
      </c>
      <c r="T266" s="1069" t="str">
        <f t="shared" ca="1" si="12"/>
        <v/>
      </c>
      <c r="U266" s="1069" t="str">
        <f t="shared" ca="1" si="12"/>
        <v/>
      </c>
      <c r="V266" s="1069" t="str">
        <f t="shared" ca="1" si="12"/>
        <v/>
      </c>
      <c r="W266" s="1069" t="str">
        <f t="shared" ca="1" si="12"/>
        <v/>
      </c>
      <c r="X266" s="1069" t="str">
        <f t="shared" ca="1" si="12"/>
        <v/>
      </c>
      <c r="Y266" s="1069" t="str">
        <f t="shared" ca="1" si="12"/>
        <v/>
      </c>
      <c r="Z266" s="1069" t="str">
        <f t="shared" ca="1" si="12"/>
        <v/>
      </c>
      <c r="AA266" s="1069" t="str">
        <f t="shared" ca="1" si="12"/>
        <v/>
      </c>
    </row>
    <row r="267" spans="1:27" ht="9.9499999999999993" customHeight="1">
      <c r="A267" s="598">
        <v>50</v>
      </c>
      <c r="C267" s="598" t="s">
        <v>2225</v>
      </c>
      <c r="D267" s="1069" t="str">
        <f t="shared" ca="1" si="11"/>
        <v/>
      </c>
      <c r="E267" s="1069" t="str">
        <f t="shared" ca="1" si="11"/>
        <v/>
      </c>
      <c r="F267" s="1069" t="str">
        <f t="shared" ca="1" si="11"/>
        <v/>
      </c>
      <c r="G267" s="1069" t="str">
        <f t="shared" ca="1" si="11"/>
        <v/>
      </c>
      <c r="H267" s="1069" t="str">
        <f t="shared" ca="1" si="11"/>
        <v/>
      </c>
      <c r="I267" s="1069" t="str">
        <f t="shared" ca="1" si="11"/>
        <v>War Dog Training &amp; Handler</v>
      </c>
      <c r="J267" s="1069" t="str">
        <f t="shared" ca="1" si="11"/>
        <v/>
      </c>
      <c r="K267" s="1069" t="str">
        <f t="shared" ca="1" si="11"/>
        <v>Seal Making, Engraving &amp; Coinage</v>
      </c>
      <c r="L267" s="1069" t="str">
        <f t="shared" ca="1" si="11"/>
        <v>Beast:Canine</v>
      </c>
      <c r="M267" s="1069" t="str">
        <f t="shared" ca="1" si="11"/>
        <v>Monster:Demonic (Common)</v>
      </c>
      <c r="N267" s="1069" t="str">
        <f t="shared" ca="1" si="12"/>
        <v>Cult. Lore:Elven</v>
      </c>
      <c r="O267" s="1069" t="str">
        <f t="shared" ca="1" si="12"/>
        <v/>
      </c>
      <c r="P267" s="1069" t="str">
        <f t="shared" ca="1" si="12"/>
        <v>Law of Paradoxes</v>
      </c>
      <c r="Q267" s="1069" t="str">
        <f t="shared" ca="1" si="12"/>
        <v/>
      </c>
      <c r="R267" s="1069" t="str">
        <f t="shared" ca="1" si="12"/>
        <v/>
      </c>
      <c r="S267" s="1069" t="str">
        <f t="shared" ca="1" si="12"/>
        <v/>
      </c>
      <c r="T267" s="1069" t="str">
        <f t="shared" ca="1" si="12"/>
        <v/>
      </c>
      <c r="U267" s="1069" t="str">
        <f t="shared" ca="1" si="12"/>
        <v/>
      </c>
      <c r="V267" s="1069" t="str">
        <f t="shared" ca="1" si="12"/>
        <v/>
      </c>
      <c r="W267" s="1069" t="str">
        <f t="shared" ca="1" si="12"/>
        <v/>
      </c>
      <c r="X267" s="1069" t="str">
        <f t="shared" ca="1" si="12"/>
        <v/>
      </c>
      <c r="Y267" s="1069" t="str">
        <f t="shared" ca="1" si="12"/>
        <v/>
      </c>
      <c r="Z267" s="1069" t="str">
        <f t="shared" ca="1" si="12"/>
        <v/>
      </c>
      <c r="AA267" s="1069" t="str">
        <f t="shared" ca="1" si="12"/>
        <v/>
      </c>
    </row>
    <row r="268" spans="1:27" ht="9.9499999999999993" customHeight="1">
      <c r="A268" s="598">
        <v>51</v>
      </c>
      <c r="C268" s="598" t="s">
        <v>2225</v>
      </c>
      <c r="D268" s="1069" t="str">
        <f t="shared" ca="1" si="11"/>
        <v/>
      </c>
      <c r="E268" s="1069" t="str">
        <f t="shared" ca="1" si="11"/>
        <v/>
      </c>
      <c r="F268" s="1069" t="str">
        <f t="shared" ca="1" si="11"/>
        <v/>
      </c>
      <c r="G268" s="1069" t="str">
        <f t="shared" ca="1" si="11"/>
        <v/>
      </c>
      <c r="H268" s="1069" t="str">
        <f t="shared" ca="1" si="11"/>
        <v/>
      </c>
      <c r="I268" s="1069" t="str">
        <f t="shared" ca="1" si="11"/>
        <v>Wearing Armor:Battle</v>
      </c>
      <c r="J268" s="1069" t="str">
        <f t="shared" ca="1" si="11"/>
        <v/>
      </c>
      <c r="K268" s="1069" t="str">
        <f t="shared" ca="1" si="11"/>
        <v>Soap Making</v>
      </c>
      <c r="L268" s="1069" t="str">
        <f t="shared" ca="1" si="11"/>
        <v>Beast:Cetacean</v>
      </c>
      <c r="M268" s="1069" t="str">
        <f t="shared" ca="1" si="11"/>
        <v>Monster:Demonic (Challenge)</v>
      </c>
      <c r="N268" s="1069" t="str">
        <f t="shared" ca="1" si="12"/>
        <v>Cult. Lore:Faery (Seelie)</v>
      </c>
      <c r="O268" s="1069" t="str">
        <f t="shared" ca="1" si="12"/>
        <v/>
      </c>
      <c r="P268" s="1069" t="str">
        <f t="shared" ca="1" si="12"/>
        <v>Law of Personal Attunement</v>
      </c>
      <c r="Q268" s="1069" t="str">
        <f t="shared" ca="1" si="12"/>
        <v/>
      </c>
      <c r="R268" s="1069" t="str">
        <f t="shared" ca="1" si="12"/>
        <v/>
      </c>
      <c r="S268" s="1069" t="str">
        <f t="shared" ca="1" si="12"/>
        <v/>
      </c>
      <c r="T268" s="1069" t="str">
        <f t="shared" ca="1" si="12"/>
        <v/>
      </c>
      <c r="U268" s="1069" t="str">
        <f t="shared" ca="1" si="12"/>
        <v/>
      </c>
      <c r="V268" s="1069" t="str">
        <f t="shared" ca="1" si="12"/>
        <v/>
      </c>
      <c r="W268" s="1069" t="str">
        <f t="shared" ca="1" si="12"/>
        <v/>
      </c>
      <c r="X268" s="1069" t="str">
        <f t="shared" ca="1" si="12"/>
        <v/>
      </c>
      <c r="Y268" s="1069" t="str">
        <f t="shared" ca="1" si="12"/>
        <v/>
      </c>
      <c r="Z268" s="1069" t="str">
        <f t="shared" ca="1" si="12"/>
        <v/>
      </c>
      <c r="AA268" s="1069" t="str">
        <f t="shared" ca="1" si="12"/>
        <v/>
      </c>
    </row>
    <row r="269" spans="1:27" ht="9.9499999999999993" customHeight="1">
      <c r="A269" s="598">
        <v>52</v>
      </c>
      <c r="C269" s="598" t="s">
        <v>2225</v>
      </c>
      <c r="D269" s="1069" t="str">
        <f t="shared" ref="D269:M278" ca="1" si="13">IF(ISNUMBER(INDEX($D$526:$AA$725,ROW()-ROW($D$218),COLUMN()-COLUMN($C$219))),INDEX(Skills_Table,INDEX($D$526:$AA$725,ROW()-ROW($D$218),COLUMN()-COLUMN($C$219))-4,HLOOKUP("Skill Name",Skill_Columns,2,0)),"")</f>
        <v/>
      </c>
      <c r="E269" s="1069" t="str">
        <f t="shared" ca="1" si="13"/>
        <v/>
      </c>
      <c r="F269" s="1069" t="str">
        <f t="shared" ca="1" si="13"/>
        <v/>
      </c>
      <c r="G269" s="1069" t="str">
        <f t="shared" ca="1" si="13"/>
        <v/>
      </c>
      <c r="H269" s="1069" t="str">
        <f t="shared" ca="1" si="13"/>
        <v/>
      </c>
      <c r="I269" s="1069" t="str">
        <f t="shared" ca="1" si="13"/>
        <v xml:space="preserve">Wearing Armor:Heavy </v>
      </c>
      <c r="J269" s="1069" t="str">
        <f t="shared" ca="1" si="13"/>
        <v/>
      </c>
      <c r="K269" s="1069" t="str">
        <f t="shared" ca="1" si="13"/>
        <v>Tatooing</v>
      </c>
      <c r="L269" s="1069" t="str">
        <f t="shared" ca="1" si="13"/>
        <v>Beast:Equine</v>
      </c>
      <c r="M269" s="1069" t="str">
        <f t="shared" ca="1" si="13"/>
        <v>Monster:Draconic</v>
      </c>
      <c r="N269" s="1069" t="str">
        <f t="shared" ref="N269:AA278" ca="1" si="14">IF(ISNUMBER(INDEX($D$526:$AA$725,ROW()-ROW($D$218),COLUMN()-COLUMN($C$219))),INDEX(Skills_Table,INDEX($D$526:$AA$725,ROW()-ROW($D$218),COLUMN()-COLUMN($C$219))-4,HLOOKUP("Skill Name",Skill_Columns,2,0)),"")</f>
        <v>Cult. Lore:Faery (Un-Seelie)</v>
      </c>
      <c r="O269" s="1069" t="str">
        <f t="shared" ca="1" si="14"/>
        <v/>
      </c>
      <c r="P269" s="1069" t="str">
        <f t="shared" ca="1" si="14"/>
        <v>Law of Personal Reality</v>
      </c>
      <c r="Q269" s="1069" t="str">
        <f t="shared" ca="1" si="14"/>
        <v/>
      </c>
      <c r="R269" s="1069" t="str">
        <f t="shared" ca="1" si="14"/>
        <v/>
      </c>
      <c r="S269" s="1069" t="str">
        <f t="shared" ca="1" si="14"/>
        <v/>
      </c>
      <c r="T269" s="1069" t="str">
        <f t="shared" ca="1" si="14"/>
        <v/>
      </c>
      <c r="U269" s="1069" t="str">
        <f t="shared" ca="1" si="14"/>
        <v/>
      </c>
      <c r="V269" s="1069" t="str">
        <f t="shared" ca="1" si="14"/>
        <v/>
      </c>
      <c r="W269" s="1069" t="str">
        <f t="shared" ca="1" si="14"/>
        <v/>
      </c>
      <c r="X269" s="1069" t="str">
        <f t="shared" ca="1" si="14"/>
        <v/>
      </c>
      <c r="Y269" s="1069" t="str">
        <f t="shared" ca="1" si="14"/>
        <v/>
      </c>
      <c r="Z269" s="1069" t="str">
        <f t="shared" ca="1" si="14"/>
        <v/>
      </c>
      <c r="AA269" s="1069" t="str">
        <f t="shared" ca="1" si="14"/>
        <v/>
      </c>
    </row>
    <row r="270" spans="1:27" ht="9.9499999999999993" customHeight="1">
      <c r="A270" s="598">
        <v>53</v>
      </c>
      <c r="C270" s="598" t="s">
        <v>2225</v>
      </c>
      <c r="D270" s="1069" t="str">
        <f t="shared" ca="1" si="13"/>
        <v/>
      </c>
      <c r="E270" s="1069" t="str">
        <f t="shared" ca="1" si="13"/>
        <v/>
      </c>
      <c r="F270" s="1069" t="str">
        <f t="shared" ca="1" si="13"/>
        <v/>
      </c>
      <c r="G270" s="1069" t="str">
        <f t="shared" ca="1" si="13"/>
        <v/>
      </c>
      <c r="H270" s="1069" t="str">
        <f t="shared" ca="1" si="13"/>
        <v/>
      </c>
      <c r="I270" s="1069" t="str">
        <f t="shared" ca="1" si="13"/>
        <v xml:space="preserve">Wearing Armor:Light </v>
      </c>
      <c r="J270" s="1069" t="str">
        <f t="shared" ca="1" si="13"/>
        <v/>
      </c>
      <c r="K270" s="1069" t="str">
        <f t="shared" ca="1" si="13"/>
        <v>Tinker</v>
      </c>
      <c r="L270" s="1069" t="str">
        <f t="shared" ca="1" si="13"/>
        <v>Beast:Feline</v>
      </c>
      <c r="M270" s="1069" t="str">
        <f t="shared" ca="1" si="13"/>
        <v>Monster:Draconic (Ancient)</v>
      </c>
      <c r="N270" s="1069" t="str">
        <f t="shared" ca="1" si="14"/>
        <v>Cult. Lore:Giant</v>
      </c>
      <c r="O270" s="1069" t="str">
        <f t="shared" ca="1" si="14"/>
        <v/>
      </c>
      <c r="P270" s="1069" t="str">
        <f t="shared" ca="1" si="14"/>
        <v>Law of Personalities</v>
      </c>
      <c r="Q270" s="1069" t="str">
        <f t="shared" ca="1" si="14"/>
        <v/>
      </c>
      <c r="R270" s="1069" t="str">
        <f t="shared" ca="1" si="14"/>
        <v/>
      </c>
      <c r="S270" s="1069" t="str">
        <f t="shared" ca="1" si="14"/>
        <v/>
      </c>
      <c r="T270" s="1069" t="str">
        <f t="shared" ca="1" si="14"/>
        <v/>
      </c>
      <c r="U270" s="1069" t="str">
        <f t="shared" ca="1" si="14"/>
        <v/>
      </c>
      <c r="V270" s="1069" t="str">
        <f t="shared" ca="1" si="14"/>
        <v/>
      </c>
      <c r="W270" s="1069" t="str">
        <f t="shared" ca="1" si="14"/>
        <v/>
      </c>
      <c r="X270" s="1069" t="str">
        <f t="shared" ca="1" si="14"/>
        <v/>
      </c>
      <c r="Y270" s="1069" t="str">
        <f t="shared" ca="1" si="14"/>
        <v/>
      </c>
      <c r="Z270" s="1069" t="str">
        <f t="shared" ca="1" si="14"/>
        <v/>
      </c>
      <c r="AA270" s="1069" t="str">
        <f t="shared" ca="1" si="14"/>
        <v/>
      </c>
    </row>
    <row r="271" spans="1:27" ht="9.9499999999999993" customHeight="1">
      <c r="A271" s="598">
        <v>54</v>
      </c>
      <c r="C271" s="598" t="s">
        <v>2225</v>
      </c>
      <c r="D271" s="1069" t="str">
        <f t="shared" ca="1" si="13"/>
        <v/>
      </c>
      <c r="E271" s="1069" t="str">
        <f t="shared" ca="1" si="13"/>
        <v/>
      </c>
      <c r="F271" s="1069" t="str">
        <f t="shared" ca="1" si="13"/>
        <v/>
      </c>
      <c r="G271" s="1069" t="str">
        <f t="shared" ca="1" si="13"/>
        <v/>
      </c>
      <c r="H271" s="1069" t="str">
        <f t="shared" ca="1" si="13"/>
        <v/>
      </c>
      <c r="I271" s="1069" t="str">
        <f t="shared" ca="1" si="13"/>
        <v>Whip-Hammer</v>
      </c>
      <c r="J271" s="1069" t="str">
        <f t="shared" ca="1" si="13"/>
        <v/>
      </c>
      <c r="K271" s="1069" t="str">
        <f t="shared" ca="1" si="13"/>
        <v>Tying, Using and Releasing Knots</v>
      </c>
      <c r="L271" s="1069" t="str">
        <f t="shared" ca="1" si="13"/>
        <v>Beast:Hooven</v>
      </c>
      <c r="M271" s="1069" t="str">
        <f t="shared" ca="1" si="13"/>
        <v>Monster:Faery (Seelie)</v>
      </c>
      <c r="N271" s="1069" t="str">
        <f t="shared" ca="1" si="14"/>
        <v>Cult. Lore:Goblin</v>
      </c>
      <c r="O271" s="1069" t="str">
        <f t="shared" ca="1" si="14"/>
        <v/>
      </c>
      <c r="P271" s="1069" t="str">
        <f t="shared" ca="1" si="14"/>
        <v>Law of Polarity</v>
      </c>
      <c r="Q271" s="1069" t="str">
        <f t="shared" ca="1" si="14"/>
        <v/>
      </c>
      <c r="R271" s="1069" t="str">
        <f t="shared" ca="1" si="14"/>
        <v/>
      </c>
      <c r="S271" s="1069" t="str">
        <f t="shared" ca="1" si="14"/>
        <v/>
      </c>
      <c r="T271" s="1069" t="str">
        <f t="shared" ca="1" si="14"/>
        <v/>
      </c>
      <c r="U271" s="1069" t="str">
        <f t="shared" ca="1" si="14"/>
        <v/>
      </c>
      <c r="V271" s="1069" t="str">
        <f t="shared" ca="1" si="14"/>
        <v/>
      </c>
      <c r="W271" s="1069" t="str">
        <f t="shared" ca="1" si="14"/>
        <v/>
      </c>
      <c r="X271" s="1069" t="str">
        <f t="shared" ca="1" si="14"/>
        <v/>
      </c>
      <c r="Y271" s="1069" t="str">
        <f t="shared" ca="1" si="14"/>
        <v/>
      </c>
      <c r="Z271" s="1069" t="str">
        <f t="shared" ca="1" si="14"/>
        <v/>
      </c>
      <c r="AA271" s="1069" t="str">
        <f t="shared" ca="1" si="14"/>
        <v/>
      </c>
    </row>
    <row r="272" spans="1:27" ht="9.9499999999999993" customHeight="1">
      <c r="A272" s="598">
        <v>55</v>
      </c>
      <c r="C272" s="598" t="s">
        <v>2225</v>
      </c>
      <c r="D272" s="1069" t="str">
        <f t="shared" ca="1" si="13"/>
        <v/>
      </c>
      <c r="E272" s="1069" t="str">
        <f t="shared" ca="1" si="13"/>
        <v/>
      </c>
      <c r="F272" s="1069" t="str">
        <f t="shared" ca="1" si="13"/>
        <v/>
      </c>
      <c r="G272" s="1069" t="str">
        <f t="shared" ca="1" si="13"/>
        <v/>
      </c>
      <c r="H272" s="1069" t="str">
        <f t="shared" ca="1" si="13"/>
        <v/>
      </c>
      <c r="I272" s="1069" t="str">
        <f t="shared" ca="1" si="13"/>
        <v>Whips</v>
      </c>
      <c r="J272" s="1069" t="str">
        <f t="shared" ca="1" si="13"/>
        <v/>
      </c>
      <c r="K272" s="1069" t="str">
        <f t="shared" ca="1" si="13"/>
        <v>Armorer</v>
      </c>
      <c r="L272" s="1069" t="str">
        <f t="shared" ca="1" si="13"/>
        <v>Beast:Insects</v>
      </c>
      <c r="M272" s="1069" t="str">
        <f t="shared" ca="1" si="13"/>
        <v>Monster:Faery (Un-Seelie)</v>
      </c>
      <c r="N272" s="1069" t="str">
        <f t="shared" ca="1" si="14"/>
        <v>Cult. Lore:Haeflin</v>
      </c>
      <c r="O272" s="1069" t="str">
        <f t="shared" ca="1" si="14"/>
        <v/>
      </c>
      <c r="P272" s="1069" t="str">
        <f t="shared" ca="1" si="14"/>
        <v>Law of Possession</v>
      </c>
      <c r="Q272" s="1069" t="str">
        <f t="shared" ca="1" si="14"/>
        <v/>
      </c>
      <c r="R272" s="1069" t="str">
        <f t="shared" ca="1" si="14"/>
        <v/>
      </c>
      <c r="S272" s="1069" t="str">
        <f t="shared" ca="1" si="14"/>
        <v/>
      </c>
      <c r="T272" s="1069" t="str">
        <f t="shared" ca="1" si="14"/>
        <v/>
      </c>
      <c r="U272" s="1069" t="str">
        <f t="shared" ca="1" si="14"/>
        <v/>
      </c>
      <c r="V272" s="1069" t="str">
        <f t="shared" ca="1" si="14"/>
        <v/>
      </c>
      <c r="W272" s="1069" t="str">
        <f t="shared" ca="1" si="14"/>
        <v/>
      </c>
      <c r="X272" s="1069" t="str">
        <f t="shared" ca="1" si="14"/>
        <v/>
      </c>
      <c r="Y272" s="1069" t="str">
        <f t="shared" ca="1" si="14"/>
        <v/>
      </c>
      <c r="Z272" s="1069" t="str">
        <f t="shared" ca="1" si="14"/>
        <v/>
      </c>
      <c r="AA272" s="1069" t="str">
        <f t="shared" ca="1" si="14"/>
        <v/>
      </c>
    </row>
    <row r="273" spans="1:27" ht="9.9499999999999993" customHeight="1">
      <c r="A273" s="598">
        <v>56</v>
      </c>
      <c r="C273" s="598" t="s">
        <v>2225</v>
      </c>
      <c r="D273" s="1069" t="str">
        <f t="shared" ca="1" si="13"/>
        <v/>
      </c>
      <c r="E273" s="1069" t="str">
        <f t="shared" ca="1" si="13"/>
        <v/>
      </c>
      <c r="F273" s="1069" t="str">
        <f t="shared" ca="1" si="13"/>
        <v/>
      </c>
      <c r="G273" s="1069" t="str">
        <f t="shared" ca="1" si="13"/>
        <v/>
      </c>
      <c r="H273" s="1069" t="str">
        <f t="shared" ca="1" si="13"/>
        <v/>
      </c>
      <c r="I273" s="1069" t="str">
        <f t="shared" ca="1" si="13"/>
        <v/>
      </c>
      <c r="J273" s="1069" t="str">
        <f t="shared" ca="1" si="13"/>
        <v/>
      </c>
      <c r="K273" s="1069" t="str">
        <f t="shared" ca="1" si="13"/>
        <v>Weaponsmith</v>
      </c>
      <c r="L273" s="1069" t="str">
        <f t="shared" ca="1" si="13"/>
        <v>Beast:Mustelid</v>
      </c>
      <c r="M273" s="1069" t="str">
        <f t="shared" ca="1" si="13"/>
        <v>Monster:Giant</v>
      </c>
      <c r="N273" s="1069" t="str">
        <f t="shared" ca="1" si="14"/>
        <v>Cult. Lore:Hobgoblin</v>
      </c>
      <c r="O273" s="1069" t="str">
        <f t="shared" ca="1" si="14"/>
        <v/>
      </c>
      <c r="P273" s="1069" t="str">
        <f t="shared" ca="1" si="14"/>
        <v>Law of Quantity</v>
      </c>
      <c r="Q273" s="1069" t="str">
        <f t="shared" ca="1" si="14"/>
        <v/>
      </c>
      <c r="R273" s="1069" t="str">
        <f t="shared" ca="1" si="14"/>
        <v/>
      </c>
      <c r="S273" s="1069" t="str">
        <f t="shared" ca="1" si="14"/>
        <v/>
      </c>
      <c r="T273" s="1069" t="str">
        <f t="shared" ca="1" si="14"/>
        <v/>
      </c>
      <c r="U273" s="1069" t="str">
        <f t="shared" ca="1" si="14"/>
        <v/>
      </c>
      <c r="V273" s="1069" t="str">
        <f t="shared" ca="1" si="14"/>
        <v/>
      </c>
      <c r="W273" s="1069" t="str">
        <f t="shared" ca="1" si="14"/>
        <v/>
      </c>
      <c r="X273" s="1069" t="str">
        <f t="shared" ca="1" si="14"/>
        <v/>
      </c>
      <c r="Y273" s="1069" t="str">
        <f t="shared" ca="1" si="14"/>
        <v/>
      </c>
      <c r="Z273" s="1069" t="str">
        <f t="shared" ca="1" si="14"/>
        <v/>
      </c>
      <c r="AA273" s="1069" t="str">
        <f t="shared" ca="1" si="14"/>
        <v/>
      </c>
    </row>
    <row r="274" spans="1:27" ht="9.9499999999999993" customHeight="1">
      <c r="A274" s="598">
        <v>57</v>
      </c>
      <c r="C274" s="598" t="s">
        <v>2225</v>
      </c>
      <c r="D274" s="1069" t="str">
        <f t="shared" ca="1" si="13"/>
        <v/>
      </c>
      <c r="E274" s="1069" t="str">
        <f t="shared" ca="1" si="13"/>
        <v/>
      </c>
      <c r="F274" s="1069" t="str">
        <f t="shared" ca="1" si="13"/>
        <v/>
      </c>
      <c r="G274" s="1069" t="str">
        <f t="shared" ca="1" si="13"/>
        <v/>
      </c>
      <c r="H274" s="1069" t="str">
        <f t="shared" ca="1" si="13"/>
        <v/>
      </c>
      <c r="I274" s="1069" t="str">
        <f t="shared" ca="1" si="13"/>
        <v/>
      </c>
      <c r="J274" s="1069" t="str">
        <f t="shared" ca="1" si="13"/>
        <v/>
      </c>
      <c r="K274" s="1069" t="str">
        <f t="shared" ca="1" si="13"/>
        <v/>
      </c>
      <c r="L274" s="1069" t="str">
        <f t="shared" ca="1" si="13"/>
        <v>Beast:Piscan</v>
      </c>
      <c r="M274" s="1069" t="str">
        <f t="shared" ca="1" si="13"/>
        <v>Monster:Goblin</v>
      </c>
      <c r="N274" s="1069" t="str">
        <f t="shared" ca="1" si="14"/>
        <v>Cult. Lore:Horde</v>
      </c>
      <c r="O274" s="1069" t="str">
        <f t="shared" ca="1" si="14"/>
        <v/>
      </c>
      <c r="P274" s="1069" t="str">
        <f t="shared" ca="1" si="14"/>
        <v>Law of Reciprocity</v>
      </c>
      <c r="Q274" s="1069" t="str">
        <f t="shared" ca="1" si="14"/>
        <v/>
      </c>
      <c r="R274" s="1069" t="str">
        <f t="shared" ca="1" si="14"/>
        <v/>
      </c>
      <c r="S274" s="1069" t="str">
        <f t="shared" ca="1" si="14"/>
        <v/>
      </c>
      <c r="T274" s="1069" t="str">
        <f t="shared" ca="1" si="14"/>
        <v/>
      </c>
      <c r="U274" s="1069" t="str">
        <f t="shared" ca="1" si="14"/>
        <v/>
      </c>
      <c r="V274" s="1069" t="str">
        <f t="shared" ca="1" si="14"/>
        <v/>
      </c>
      <c r="W274" s="1069" t="str">
        <f t="shared" ca="1" si="14"/>
        <v/>
      </c>
      <c r="X274" s="1069" t="str">
        <f t="shared" ca="1" si="14"/>
        <v/>
      </c>
      <c r="Y274" s="1069" t="str">
        <f t="shared" ca="1" si="14"/>
        <v/>
      </c>
      <c r="Z274" s="1069" t="str">
        <f t="shared" ca="1" si="14"/>
        <v/>
      </c>
      <c r="AA274" s="1069" t="str">
        <f t="shared" ca="1" si="14"/>
        <v/>
      </c>
    </row>
    <row r="275" spans="1:27" ht="9.9499999999999993" customHeight="1">
      <c r="A275" s="598">
        <v>58</v>
      </c>
      <c r="C275" s="598" t="s">
        <v>2225</v>
      </c>
      <c r="D275" s="1069" t="str">
        <f t="shared" ca="1" si="13"/>
        <v/>
      </c>
      <c r="E275" s="1069" t="str">
        <f t="shared" ca="1" si="13"/>
        <v/>
      </c>
      <c r="F275" s="1069" t="str">
        <f t="shared" ca="1" si="13"/>
        <v/>
      </c>
      <c r="G275" s="1069" t="str">
        <f t="shared" ca="1" si="13"/>
        <v/>
      </c>
      <c r="H275" s="1069" t="str">
        <f t="shared" ca="1" si="13"/>
        <v/>
      </c>
      <c r="I275" s="1069" t="str">
        <f t="shared" ca="1" si="13"/>
        <v/>
      </c>
      <c r="J275" s="1069" t="str">
        <f t="shared" ca="1" si="13"/>
        <v/>
      </c>
      <c r="K275" s="1069" t="str">
        <f t="shared" ca="1" si="13"/>
        <v/>
      </c>
      <c r="L275" s="1069" t="str">
        <f t="shared" ca="1" si="13"/>
        <v>Beast:Primate</v>
      </c>
      <c r="M275" s="1069" t="str">
        <f t="shared" ca="1" si="13"/>
        <v>Monster:Hobgoblin</v>
      </c>
      <c r="N275" s="1069" t="str">
        <f t="shared" ca="1" si="14"/>
        <v>Cult. Lore:Mere Folk</v>
      </c>
      <c r="O275" s="1069" t="str">
        <f t="shared" ca="1" si="14"/>
        <v/>
      </c>
      <c r="P275" s="1069" t="str">
        <f t="shared" ca="1" si="14"/>
        <v>Law of Resistance</v>
      </c>
      <c r="Q275" s="1069" t="str">
        <f t="shared" ca="1" si="14"/>
        <v/>
      </c>
      <c r="R275" s="1069" t="str">
        <f t="shared" ca="1" si="14"/>
        <v/>
      </c>
      <c r="S275" s="1069" t="str">
        <f t="shared" ca="1" si="14"/>
        <v/>
      </c>
      <c r="T275" s="1069" t="str">
        <f t="shared" ca="1" si="14"/>
        <v/>
      </c>
      <c r="U275" s="1069" t="str">
        <f t="shared" ca="1" si="14"/>
        <v/>
      </c>
      <c r="V275" s="1069" t="str">
        <f t="shared" ca="1" si="14"/>
        <v/>
      </c>
      <c r="W275" s="1069" t="str">
        <f t="shared" ca="1" si="14"/>
        <v/>
      </c>
      <c r="X275" s="1069" t="str">
        <f t="shared" ca="1" si="14"/>
        <v/>
      </c>
      <c r="Y275" s="1069" t="str">
        <f t="shared" ca="1" si="14"/>
        <v/>
      </c>
      <c r="Z275" s="1069" t="str">
        <f t="shared" ca="1" si="14"/>
        <v/>
      </c>
      <c r="AA275" s="1069" t="str">
        <f t="shared" ca="1" si="14"/>
        <v/>
      </c>
    </row>
    <row r="276" spans="1:27" ht="9.9499999999999993" customHeight="1">
      <c r="A276" s="598">
        <v>59</v>
      </c>
      <c r="C276" s="598" t="s">
        <v>2225</v>
      </c>
      <c r="D276" s="1069" t="str">
        <f t="shared" ca="1" si="13"/>
        <v/>
      </c>
      <c r="E276" s="1069" t="str">
        <f t="shared" ca="1" si="13"/>
        <v/>
      </c>
      <c r="F276" s="1069" t="str">
        <f t="shared" ca="1" si="13"/>
        <v/>
      </c>
      <c r="G276" s="1069" t="str">
        <f t="shared" ca="1" si="13"/>
        <v/>
      </c>
      <c r="H276" s="1069" t="str">
        <f t="shared" ca="1" si="13"/>
        <v/>
      </c>
      <c r="I276" s="1069" t="str">
        <f t="shared" ca="1" si="13"/>
        <v/>
      </c>
      <c r="J276" s="1069" t="str">
        <f t="shared" ca="1" si="13"/>
        <v/>
      </c>
      <c r="K276" s="1069" t="str">
        <f t="shared" ca="1" si="13"/>
        <v/>
      </c>
      <c r="L276" s="1069" t="str">
        <f t="shared" ca="1" si="13"/>
        <v>Beast:Reptilian</v>
      </c>
      <c r="M276" s="1069" t="str">
        <f t="shared" ca="1" si="13"/>
        <v>Monster:Mer Folk</v>
      </c>
      <c r="N276" s="1069" t="str">
        <f t="shared" ca="1" si="14"/>
        <v>Cult. Lore:Minotaur</v>
      </c>
      <c r="O276" s="1069" t="str">
        <f t="shared" ca="1" si="14"/>
        <v/>
      </c>
      <c r="P276" s="1069" t="str">
        <f t="shared" ca="1" si="14"/>
        <v>Law of Senses</v>
      </c>
      <c r="Q276" s="1069" t="str">
        <f t="shared" ca="1" si="14"/>
        <v/>
      </c>
      <c r="R276" s="1069" t="str">
        <f t="shared" ca="1" si="14"/>
        <v/>
      </c>
      <c r="S276" s="1069" t="str">
        <f t="shared" ca="1" si="14"/>
        <v/>
      </c>
      <c r="T276" s="1069" t="str">
        <f t="shared" ca="1" si="14"/>
        <v/>
      </c>
      <c r="U276" s="1069" t="str">
        <f t="shared" ca="1" si="14"/>
        <v/>
      </c>
      <c r="V276" s="1069" t="str">
        <f t="shared" ca="1" si="14"/>
        <v/>
      </c>
      <c r="W276" s="1069" t="str">
        <f t="shared" ca="1" si="14"/>
        <v/>
      </c>
      <c r="X276" s="1069" t="str">
        <f t="shared" ca="1" si="14"/>
        <v/>
      </c>
      <c r="Y276" s="1069" t="str">
        <f t="shared" ca="1" si="14"/>
        <v/>
      </c>
      <c r="Z276" s="1069" t="str">
        <f t="shared" ca="1" si="14"/>
        <v/>
      </c>
      <c r="AA276" s="1069" t="str">
        <f t="shared" ca="1" si="14"/>
        <v/>
      </c>
    </row>
    <row r="277" spans="1:27" ht="9.9499999999999993" customHeight="1">
      <c r="A277" s="598">
        <v>60</v>
      </c>
      <c r="C277" s="598" t="s">
        <v>2225</v>
      </c>
      <c r="D277" s="1069" t="str">
        <f t="shared" ca="1" si="13"/>
        <v/>
      </c>
      <c r="E277" s="1069" t="str">
        <f t="shared" ca="1" si="13"/>
        <v/>
      </c>
      <c r="F277" s="1069" t="str">
        <f t="shared" ca="1" si="13"/>
        <v/>
      </c>
      <c r="G277" s="1069" t="str">
        <f t="shared" ca="1" si="13"/>
        <v/>
      </c>
      <c r="H277" s="1069" t="str">
        <f t="shared" ca="1" si="13"/>
        <v/>
      </c>
      <c r="I277" s="1069" t="str">
        <f t="shared" ca="1" si="13"/>
        <v/>
      </c>
      <c r="J277" s="1069" t="str">
        <f t="shared" ca="1" si="13"/>
        <v/>
      </c>
      <c r="K277" s="1069" t="str">
        <f t="shared" ca="1" si="13"/>
        <v/>
      </c>
      <c r="L277" s="1069" t="str">
        <f t="shared" ca="1" si="13"/>
        <v>Beast:Rodent</v>
      </c>
      <c r="M277" s="1069" t="str">
        <f t="shared" ca="1" si="13"/>
        <v>Monster:Minotaur</v>
      </c>
      <c r="N277" s="1069" t="str">
        <f t="shared" ca="1" si="14"/>
        <v>Cult. Lore:Nagas (Black)</v>
      </c>
      <c r="O277" s="1069" t="str">
        <f t="shared" ca="1" si="14"/>
        <v/>
      </c>
      <c r="P277" s="1069" t="str">
        <f t="shared" ca="1" si="14"/>
        <v>Law of Spells</v>
      </c>
      <c r="Q277" s="1069" t="str">
        <f t="shared" ca="1" si="14"/>
        <v/>
      </c>
      <c r="R277" s="1069" t="str">
        <f t="shared" ca="1" si="14"/>
        <v/>
      </c>
      <c r="S277" s="1069" t="str">
        <f t="shared" ca="1" si="14"/>
        <v/>
      </c>
      <c r="T277" s="1069" t="str">
        <f t="shared" ca="1" si="14"/>
        <v/>
      </c>
      <c r="U277" s="1069" t="str">
        <f t="shared" ca="1" si="14"/>
        <v/>
      </c>
      <c r="V277" s="1069" t="str">
        <f t="shared" ca="1" si="14"/>
        <v/>
      </c>
      <c r="W277" s="1069" t="str">
        <f t="shared" ca="1" si="14"/>
        <v/>
      </c>
      <c r="X277" s="1069" t="str">
        <f t="shared" ca="1" si="14"/>
        <v/>
      </c>
      <c r="Y277" s="1069" t="str">
        <f t="shared" ca="1" si="14"/>
        <v/>
      </c>
      <c r="Z277" s="1069" t="str">
        <f t="shared" ca="1" si="14"/>
        <v/>
      </c>
      <c r="AA277" s="1069" t="str">
        <f t="shared" ca="1" si="14"/>
        <v/>
      </c>
    </row>
    <row r="278" spans="1:27" ht="9.9499999999999993" customHeight="1">
      <c r="A278" s="598">
        <v>61</v>
      </c>
      <c r="C278" s="598" t="s">
        <v>2225</v>
      </c>
      <c r="D278" s="1069" t="str">
        <f t="shared" ca="1" si="13"/>
        <v/>
      </c>
      <c r="E278" s="1069" t="str">
        <f t="shared" ca="1" si="13"/>
        <v/>
      </c>
      <c r="F278" s="1069" t="str">
        <f t="shared" ca="1" si="13"/>
        <v/>
      </c>
      <c r="G278" s="1069" t="str">
        <f t="shared" ca="1" si="13"/>
        <v/>
      </c>
      <c r="H278" s="1069" t="str">
        <f t="shared" ca="1" si="13"/>
        <v/>
      </c>
      <c r="I278" s="1069" t="str">
        <f t="shared" ca="1" si="13"/>
        <v/>
      </c>
      <c r="J278" s="1069" t="str">
        <f t="shared" ca="1" si="13"/>
        <v/>
      </c>
      <c r="K278" s="1069" t="str">
        <f t="shared" ca="1" si="13"/>
        <v/>
      </c>
      <c r="L278" s="1069" t="str">
        <f t="shared" ca="1" si="13"/>
        <v>Monster:Arkon</v>
      </c>
      <c r="M278" s="1069" t="str">
        <f t="shared" ca="1" si="13"/>
        <v>Monster:Nagas (Black)</v>
      </c>
      <c r="N278" s="1069" t="str">
        <f t="shared" ca="1" si="14"/>
        <v>Cult. Lore:Nagas (White)</v>
      </c>
      <c r="O278" s="1069" t="str">
        <f t="shared" ca="1" si="14"/>
        <v/>
      </c>
      <c r="P278" s="1069" t="str">
        <f t="shared" ca="1" si="14"/>
        <v>Law of Sympathetic Magick</v>
      </c>
      <c r="Q278" s="1069" t="str">
        <f t="shared" ca="1" si="14"/>
        <v/>
      </c>
      <c r="R278" s="1069" t="str">
        <f t="shared" ca="1" si="14"/>
        <v/>
      </c>
      <c r="S278" s="1069" t="str">
        <f t="shared" ca="1" si="14"/>
        <v/>
      </c>
      <c r="T278" s="1069" t="str">
        <f t="shared" ca="1" si="14"/>
        <v/>
      </c>
      <c r="U278" s="1069" t="str">
        <f t="shared" ca="1" si="14"/>
        <v/>
      </c>
      <c r="V278" s="1069" t="str">
        <f t="shared" ca="1" si="14"/>
        <v/>
      </c>
      <c r="W278" s="1069" t="str">
        <f t="shared" ca="1" si="14"/>
        <v/>
      </c>
      <c r="X278" s="1069" t="str">
        <f t="shared" ca="1" si="14"/>
        <v/>
      </c>
      <c r="Y278" s="1069" t="str">
        <f t="shared" ca="1" si="14"/>
        <v/>
      </c>
      <c r="Z278" s="1069" t="str">
        <f t="shared" ca="1" si="14"/>
        <v/>
      </c>
      <c r="AA278" s="1069" t="str">
        <f t="shared" ca="1" si="14"/>
        <v/>
      </c>
    </row>
    <row r="279" spans="1:27" ht="9.9499999999999993" customHeight="1">
      <c r="A279" s="598">
        <v>62</v>
      </c>
      <c r="C279" s="598" t="s">
        <v>2225</v>
      </c>
      <c r="D279" s="1069" t="str">
        <f t="shared" ref="D279:M288" ca="1" si="15">IF(ISNUMBER(INDEX($D$526:$AA$725,ROW()-ROW($D$218),COLUMN()-COLUMN($C$219))),INDEX(Skills_Table,INDEX($D$526:$AA$725,ROW()-ROW($D$218),COLUMN()-COLUMN($C$219))-4,HLOOKUP("Skill Name",Skill_Columns,2,0)),"")</f>
        <v/>
      </c>
      <c r="E279" s="1069" t="str">
        <f t="shared" ca="1" si="15"/>
        <v/>
      </c>
      <c r="F279" s="1069" t="str">
        <f t="shared" ca="1" si="15"/>
        <v/>
      </c>
      <c r="G279" s="1069" t="str">
        <f t="shared" ca="1" si="15"/>
        <v/>
      </c>
      <c r="H279" s="1069" t="str">
        <f t="shared" ca="1" si="15"/>
        <v/>
      </c>
      <c r="I279" s="1069" t="str">
        <f t="shared" ca="1" si="15"/>
        <v/>
      </c>
      <c r="J279" s="1069" t="str">
        <f t="shared" ca="1" si="15"/>
        <v/>
      </c>
      <c r="K279" s="1069" t="str">
        <f t="shared" ca="1" si="15"/>
        <v/>
      </c>
      <c r="L279" s="1069" t="str">
        <f t="shared" ca="1" si="15"/>
        <v>Monster:Centaur</v>
      </c>
      <c r="M279" s="1069" t="str">
        <f t="shared" ca="1" si="15"/>
        <v>Monster:Nagas (White)</v>
      </c>
      <c r="N279" s="1069" t="str">
        <f t="shared" ref="N279:AA288" ca="1" si="16">IF(ISNUMBER(INDEX($D$526:$AA$725,ROW()-ROW($D$218),COLUMN()-COLUMN($C$219))),INDEX(Skills_Table,INDEX($D$526:$AA$725,ROW()-ROW($D$218),COLUMN()-COLUMN($C$219))-4,HLOOKUP("Skill Name",Skill_Columns,2,0)),"")</f>
        <v>Cult. Lore:Ogre</v>
      </c>
      <c r="O279" s="1069" t="str">
        <f t="shared" ca="1" si="16"/>
        <v/>
      </c>
      <c r="P279" s="1069" t="str">
        <f t="shared" ca="1" si="16"/>
        <v>Law of Words of Guard</v>
      </c>
      <c r="Q279" s="1069" t="str">
        <f t="shared" ca="1" si="16"/>
        <v/>
      </c>
      <c r="R279" s="1069" t="str">
        <f t="shared" ca="1" si="16"/>
        <v/>
      </c>
      <c r="S279" s="1069" t="str">
        <f t="shared" ca="1" si="16"/>
        <v/>
      </c>
      <c r="T279" s="1069" t="str">
        <f t="shared" ca="1" si="16"/>
        <v/>
      </c>
      <c r="U279" s="1069" t="str">
        <f t="shared" ca="1" si="16"/>
        <v/>
      </c>
      <c r="V279" s="1069" t="str">
        <f t="shared" ca="1" si="16"/>
        <v/>
      </c>
      <c r="W279" s="1069" t="str">
        <f t="shared" ca="1" si="16"/>
        <v/>
      </c>
      <c r="X279" s="1069" t="str">
        <f t="shared" ca="1" si="16"/>
        <v/>
      </c>
      <c r="Y279" s="1069" t="str">
        <f t="shared" ca="1" si="16"/>
        <v/>
      </c>
      <c r="Z279" s="1069" t="str">
        <f t="shared" ca="1" si="16"/>
        <v/>
      </c>
      <c r="AA279" s="1069" t="str">
        <f t="shared" ca="1" si="16"/>
        <v/>
      </c>
    </row>
    <row r="280" spans="1:27" ht="9.9499999999999993" customHeight="1">
      <c r="A280" s="598">
        <v>63</v>
      </c>
      <c r="C280" s="598" t="s">
        <v>2225</v>
      </c>
      <c r="D280" s="1069" t="str">
        <f t="shared" ca="1" si="15"/>
        <v/>
      </c>
      <c r="E280" s="1069" t="str">
        <f t="shared" ca="1" si="15"/>
        <v/>
      </c>
      <c r="F280" s="1069" t="str">
        <f t="shared" ca="1" si="15"/>
        <v/>
      </c>
      <c r="G280" s="1069" t="str">
        <f t="shared" ca="1" si="15"/>
        <v/>
      </c>
      <c r="H280" s="1069" t="str">
        <f t="shared" ca="1" si="15"/>
        <v/>
      </c>
      <c r="I280" s="1069" t="str">
        <f t="shared" ca="1" si="15"/>
        <v/>
      </c>
      <c r="J280" s="1069" t="str">
        <f t="shared" ca="1" si="15"/>
        <v/>
      </c>
      <c r="K280" s="1069" t="str">
        <f t="shared" ca="1" si="15"/>
        <v/>
      </c>
      <c r="L280" s="1069" t="str">
        <f t="shared" ca="1" si="15"/>
        <v>Monster:Demonic (Common)</v>
      </c>
      <c r="M280" s="1069" t="str">
        <f t="shared" ca="1" si="15"/>
        <v>Monster:Ogre</v>
      </c>
      <c r="N280" s="1069" t="str">
        <f t="shared" ca="1" si="16"/>
        <v>Cult. Lore:Orc</v>
      </c>
      <c r="O280" s="1069" t="str">
        <f t="shared" ca="1" si="16"/>
        <v/>
      </c>
      <c r="P280" s="1069" t="str">
        <f t="shared" ca="1" si="16"/>
        <v>Law of Words of Power</v>
      </c>
      <c r="Q280" s="1069" t="str">
        <f t="shared" ca="1" si="16"/>
        <v/>
      </c>
      <c r="R280" s="1069" t="str">
        <f t="shared" ca="1" si="16"/>
        <v/>
      </c>
      <c r="S280" s="1069" t="str">
        <f t="shared" ca="1" si="16"/>
        <v/>
      </c>
      <c r="T280" s="1069" t="str">
        <f t="shared" ca="1" si="16"/>
        <v/>
      </c>
      <c r="U280" s="1069" t="str">
        <f t="shared" ca="1" si="16"/>
        <v/>
      </c>
      <c r="V280" s="1069" t="str">
        <f t="shared" ca="1" si="16"/>
        <v/>
      </c>
      <c r="W280" s="1069" t="str">
        <f t="shared" ca="1" si="16"/>
        <v/>
      </c>
      <c r="X280" s="1069" t="str">
        <f t="shared" ca="1" si="16"/>
        <v/>
      </c>
      <c r="Y280" s="1069" t="str">
        <f t="shared" ca="1" si="16"/>
        <v/>
      </c>
      <c r="Z280" s="1069" t="str">
        <f t="shared" ca="1" si="16"/>
        <v/>
      </c>
      <c r="AA280" s="1069" t="str">
        <f t="shared" ca="1" si="16"/>
        <v/>
      </c>
    </row>
    <row r="281" spans="1:27" ht="9.9499999999999993" customHeight="1">
      <c r="A281" s="598">
        <v>64</v>
      </c>
      <c r="C281" s="598" t="s">
        <v>2225</v>
      </c>
      <c r="D281" s="1069" t="str">
        <f t="shared" ca="1" si="15"/>
        <v/>
      </c>
      <c r="E281" s="1069" t="str">
        <f t="shared" ca="1" si="15"/>
        <v/>
      </c>
      <c r="F281" s="1069" t="str">
        <f t="shared" ca="1" si="15"/>
        <v/>
      </c>
      <c r="G281" s="1069" t="str">
        <f t="shared" ca="1" si="15"/>
        <v/>
      </c>
      <c r="H281" s="1069" t="str">
        <f t="shared" ca="1" si="15"/>
        <v/>
      </c>
      <c r="I281" s="1069" t="str">
        <f t="shared" ca="1" si="15"/>
        <v/>
      </c>
      <c r="J281" s="1069" t="str">
        <f t="shared" ca="1" si="15"/>
        <v/>
      </c>
      <c r="K281" s="1069" t="str">
        <f t="shared" ca="1" si="15"/>
        <v/>
      </c>
      <c r="L281" s="1069" t="str">
        <f t="shared" ca="1" si="15"/>
        <v>Monster:Demonic (Challenge)</v>
      </c>
      <c r="M281" s="1069" t="str">
        <f t="shared" ca="1" si="15"/>
        <v>Monster:Orc</v>
      </c>
      <c r="N281" s="1069" t="str">
        <f t="shared" ca="1" si="16"/>
        <v>Cult. Lore:Saurian  (Dragon Kin) (Common)</v>
      </c>
      <c r="O281" s="1069" t="str">
        <f t="shared" ca="1" si="16"/>
        <v/>
      </c>
      <c r="P281" s="1069" t="str">
        <f t="shared" ca="1" si="16"/>
        <v>Lore of Correspondences</v>
      </c>
      <c r="Q281" s="1069" t="str">
        <f t="shared" ca="1" si="16"/>
        <v/>
      </c>
      <c r="R281" s="1069" t="str">
        <f t="shared" ca="1" si="16"/>
        <v/>
      </c>
      <c r="S281" s="1069" t="str">
        <f t="shared" ca="1" si="16"/>
        <v/>
      </c>
      <c r="T281" s="1069" t="str">
        <f t="shared" ca="1" si="16"/>
        <v/>
      </c>
      <c r="U281" s="1069" t="str">
        <f t="shared" ca="1" si="16"/>
        <v/>
      </c>
      <c r="V281" s="1069" t="str">
        <f t="shared" ca="1" si="16"/>
        <v/>
      </c>
      <c r="W281" s="1069" t="str">
        <f t="shared" ca="1" si="16"/>
        <v/>
      </c>
      <c r="X281" s="1069" t="str">
        <f t="shared" ca="1" si="16"/>
        <v/>
      </c>
      <c r="Y281" s="1069" t="str">
        <f t="shared" ca="1" si="16"/>
        <v/>
      </c>
      <c r="Z281" s="1069" t="str">
        <f t="shared" ca="1" si="16"/>
        <v/>
      </c>
      <c r="AA281" s="1069" t="str">
        <f t="shared" ca="1" si="16"/>
        <v/>
      </c>
    </row>
    <row r="282" spans="1:27" ht="9.9499999999999993" customHeight="1">
      <c r="A282" s="598">
        <v>65</v>
      </c>
      <c r="C282" s="598" t="s">
        <v>2225</v>
      </c>
      <c r="D282" s="1069" t="str">
        <f t="shared" ca="1" si="15"/>
        <v/>
      </c>
      <c r="E282" s="1069" t="str">
        <f t="shared" ca="1" si="15"/>
        <v/>
      </c>
      <c r="F282" s="1069" t="str">
        <f t="shared" ca="1" si="15"/>
        <v/>
      </c>
      <c r="G282" s="1069" t="str">
        <f t="shared" ca="1" si="15"/>
        <v/>
      </c>
      <c r="H282" s="1069" t="str">
        <f t="shared" ca="1" si="15"/>
        <v/>
      </c>
      <c r="I282" s="1069" t="str">
        <f t="shared" ca="1" si="15"/>
        <v/>
      </c>
      <c r="J282" s="1069" t="str">
        <f t="shared" ca="1" si="15"/>
        <v/>
      </c>
      <c r="K282" s="1069" t="str">
        <f t="shared" ca="1" si="15"/>
        <v/>
      </c>
      <c r="L282" s="1069" t="str">
        <f t="shared" ca="1" si="15"/>
        <v>Monster:Draconic</v>
      </c>
      <c r="M282" s="1069" t="str">
        <f t="shared" ca="1" si="15"/>
        <v>Monster:Saurian (Lizardmen)</v>
      </c>
      <c r="N282" s="1069" t="str">
        <f t="shared" ca="1" si="16"/>
        <v>Cult. Lore:Saurian (Lizardmen)</v>
      </c>
      <c r="O282" s="1069" t="str">
        <f t="shared" ca="1" si="16"/>
        <v/>
      </c>
      <c r="P282" s="1069" t="str">
        <f t="shared" ca="1" si="16"/>
        <v>Lore of the Dead</v>
      </c>
      <c r="Q282" s="1069" t="str">
        <f t="shared" ca="1" si="16"/>
        <v/>
      </c>
      <c r="R282" s="1069" t="str">
        <f t="shared" ca="1" si="16"/>
        <v/>
      </c>
      <c r="S282" s="1069" t="str">
        <f t="shared" ca="1" si="16"/>
        <v/>
      </c>
      <c r="T282" s="1069" t="str">
        <f t="shared" ca="1" si="16"/>
        <v/>
      </c>
      <c r="U282" s="1069" t="str">
        <f t="shared" ca="1" si="16"/>
        <v/>
      </c>
      <c r="V282" s="1069" t="str">
        <f t="shared" ca="1" si="16"/>
        <v/>
      </c>
      <c r="W282" s="1069" t="str">
        <f t="shared" ca="1" si="16"/>
        <v/>
      </c>
      <c r="X282" s="1069" t="str">
        <f t="shared" ca="1" si="16"/>
        <v/>
      </c>
      <c r="Y282" s="1069" t="str">
        <f t="shared" ca="1" si="16"/>
        <v/>
      </c>
      <c r="Z282" s="1069" t="str">
        <f t="shared" ca="1" si="16"/>
        <v/>
      </c>
      <c r="AA282" s="1069" t="str">
        <f t="shared" ca="1" si="16"/>
        <v/>
      </c>
    </row>
    <row r="283" spans="1:27" ht="9.9499999999999993" customHeight="1">
      <c r="A283" s="598">
        <v>66</v>
      </c>
      <c r="C283" s="598" t="s">
        <v>2225</v>
      </c>
      <c r="D283" s="1069" t="str">
        <f t="shared" ca="1" si="15"/>
        <v/>
      </c>
      <c r="E283" s="1069" t="str">
        <f t="shared" ca="1" si="15"/>
        <v/>
      </c>
      <c r="F283" s="1069" t="str">
        <f t="shared" ca="1" si="15"/>
        <v/>
      </c>
      <c r="G283" s="1069" t="str">
        <f t="shared" ca="1" si="15"/>
        <v/>
      </c>
      <c r="H283" s="1069" t="str">
        <f t="shared" ca="1" si="15"/>
        <v/>
      </c>
      <c r="I283" s="1069" t="str">
        <f t="shared" ca="1" si="15"/>
        <v/>
      </c>
      <c r="J283" s="1069" t="str">
        <f t="shared" ca="1" si="15"/>
        <v/>
      </c>
      <c r="K283" s="1069" t="str">
        <f t="shared" ca="1" si="15"/>
        <v/>
      </c>
      <c r="L283" s="1069" t="str">
        <f t="shared" ca="1" si="15"/>
        <v>Monster:Draconic (Ancient)</v>
      </c>
      <c r="M283" s="1069" t="str">
        <f t="shared" ca="1" si="15"/>
        <v>Monster:Saurian  (Dragon Kin) (Common)</v>
      </c>
      <c r="N283" s="1069" t="str">
        <f t="shared" ca="1" si="16"/>
        <v>Cult. Lore:Saurian (Salamons) (Common)</v>
      </c>
      <c r="O283" s="1069" t="str">
        <f t="shared" ca="1" si="16"/>
        <v/>
      </c>
      <c r="P283" s="1069" t="str">
        <f t="shared" ca="1" si="16"/>
        <v>Magical Beast Lore</v>
      </c>
      <c r="Q283" s="1069" t="str">
        <f t="shared" ca="1" si="16"/>
        <v/>
      </c>
      <c r="R283" s="1069" t="str">
        <f t="shared" ca="1" si="16"/>
        <v/>
      </c>
      <c r="S283" s="1069" t="str">
        <f t="shared" ca="1" si="16"/>
        <v/>
      </c>
      <c r="T283" s="1069" t="str">
        <f t="shared" ca="1" si="16"/>
        <v/>
      </c>
      <c r="U283" s="1069" t="str">
        <f t="shared" ca="1" si="16"/>
        <v/>
      </c>
      <c r="V283" s="1069" t="str">
        <f t="shared" ca="1" si="16"/>
        <v/>
      </c>
      <c r="W283" s="1069" t="str">
        <f t="shared" ca="1" si="16"/>
        <v/>
      </c>
      <c r="X283" s="1069" t="str">
        <f t="shared" ca="1" si="16"/>
        <v/>
      </c>
      <c r="Y283" s="1069" t="str">
        <f t="shared" ca="1" si="16"/>
        <v/>
      </c>
      <c r="Z283" s="1069" t="str">
        <f t="shared" ca="1" si="16"/>
        <v/>
      </c>
      <c r="AA283" s="1069" t="str">
        <f t="shared" ca="1" si="16"/>
        <v/>
      </c>
    </row>
    <row r="284" spans="1:27" ht="9.9499999999999993" customHeight="1">
      <c r="A284" s="598">
        <v>67</v>
      </c>
      <c r="C284" s="598" t="s">
        <v>2225</v>
      </c>
      <c r="D284" s="1069" t="str">
        <f t="shared" ca="1" si="15"/>
        <v/>
      </c>
      <c r="E284" s="1069" t="str">
        <f t="shared" ca="1" si="15"/>
        <v/>
      </c>
      <c r="F284" s="1069" t="str">
        <f t="shared" ca="1" si="15"/>
        <v/>
      </c>
      <c r="G284" s="1069" t="str">
        <f t="shared" ca="1" si="15"/>
        <v/>
      </c>
      <c r="H284" s="1069" t="str">
        <f t="shared" ca="1" si="15"/>
        <v/>
      </c>
      <c r="I284" s="1069" t="str">
        <f t="shared" ca="1" si="15"/>
        <v/>
      </c>
      <c r="J284" s="1069" t="str">
        <f t="shared" ca="1" si="15"/>
        <v/>
      </c>
      <c r="K284" s="1069" t="str">
        <f t="shared" ca="1" si="15"/>
        <v/>
      </c>
      <c r="L284" s="1069" t="str">
        <f t="shared" ca="1" si="15"/>
        <v>Monster:Faery (Seelie)</v>
      </c>
      <c r="M284" s="1069" t="str">
        <f t="shared" ca="1" si="15"/>
        <v>Monster:Saurian (Dragon Kin) (Native)</v>
      </c>
      <c r="N284" s="1069" t="str">
        <f t="shared" ca="1" si="16"/>
        <v>Cult. Lore:Scorpion Men</v>
      </c>
      <c r="O284" s="1069" t="str">
        <f t="shared" ca="1" si="16"/>
        <v/>
      </c>
      <c r="P284" s="1069" t="str">
        <f t="shared" ca="1" si="16"/>
        <v>Magical/Enchanted Races Lore</v>
      </c>
      <c r="Q284" s="1069" t="str">
        <f t="shared" ca="1" si="16"/>
        <v/>
      </c>
      <c r="R284" s="1069" t="str">
        <f t="shared" ca="1" si="16"/>
        <v/>
      </c>
      <c r="S284" s="1069" t="str">
        <f t="shared" ca="1" si="16"/>
        <v/>
      </c>
      <c r="T284" s="1069" t="str">
        <f t="shared" ca="1" si="16"/>
        <v/>
      </c>
      <c r="U284" s="1069" t="str">
        <f t="shared" ca="1" si="16"/>
        <v/>
      </c>
      <c r="V284" s="1069" t="str">
        <f t="shared" ca="1" si="16"/>
        <v/>
      </c>
      <c r="W284" s="1069" t="str">
        <f t="shared" ca="1" si="16"/>
        <v/>
      </c>
      <c r="X284" s="1069" t="str">
        <f t="shared" ca="1" si="16"/>
        <v/>
      </c>
      <c r="Y284" s="1069" t="str">
        <f t="shared" ca="1" si="16"/>
        <v/>
      </c>
      <c r="Z284" s="1069" t="str">
        <f t="shared" ca="1" si="16"/>
        <v/>
      </c>
      <c r="AA284" s="1069" t="str">
        <f t="shared" ca="1" si="16"/>
        <v/>
      </c>
    </row>
    <row r="285" spans="1:27" ht="9.9499999999999993" customHeight="1">
      <c r="A285" s="598">
        <v>68</v>
      </c>
      <c r="C285" s="598" t="s">
        <v>2225</v>
      </c>
      <c r="D285" s="1069" t="str">
        <f t="shared" ca="1" si="15"/>
        <v/>
      </c>
      <c r="E285" s="1069" t="str">
        <f t="shared" ca="1" si="15"/>
        <v/>
      </c>
      <c r="F285" s="1069" t="str">
        <f t="shared" ca="1" si="15"/>
        <v/>
      </c>
      <c r="G285" s="1069" t="str">
        <f t="shared" ca="1" si="15"/>
        <v/>
      </c>
      <c r="H285" s="1069" t="str">
        <f t="shared" ca="1" si="15"/>
        <v/>
      </c>
      <c r="I285" s="1069" t="str">
        <f t="shared" ca="1" si="15"/>
        <v/>
      </c>
      <c r="J285" s="1069" t="str">
        <f t="shared" ca="1" si="15"/>
        <v/>
      </c>
      <c r="K285" s="1069" t="str">
        <f t="shared" ca="1" si="15"/>
        <v/>
      </c>
      <c r="L285" s="1069" t="str">
        <f t="shared" ca="1" si="15"/>
        <v>Monster:Faery (Un-Seelie)</v>
      </c>
      <c r="M285" s="1069" t="str">
        <f t="shared" ca="1" si="15"/>
        <v>Monster:Saurian (Dragon Kin) (Ancient)</v>
      </c>
      <c r="N285" s="1069" t="str">
        <f t="shared" ca="1" si="16"/>
        <v>Cult. Lore:Triton</v>
      </c>
      <c r="O285" s="1069" t="str">
        <f t="shared" ca="1" si="16"/>
        <v/>
      </c>
      <c r="P285" s="1069" t="str">
        <f t="shared" ca="1" si="16"/>
        <v>Magical Research</v>
      </c>
      <c r="Q285" s="1069" t="str">
        <f t="shared" ca="1" si="16"/>
        <v/>
      </c>
      <c r="R285" s="1069" t="str">
        <f t="shared" ca="1" si="16"/>
        <v/>
      </c>
      <c r="S285" s="1069" t="str">
        <f t="shared" ca="1" si="16"/>
        <v/>
      </c>
      <c r="T285" s="1069" t="str">
        <f t="shared" ca="1" si="16"/>
        <v/>
      </c>
      <c r="U285" s="1069" t="str">
        <f t="shared" ca="1" si="16"/>
        <v/>
      </c>
      <c r="V285" s="1069" t="str">
        <f t="shared" ca="1" si="16"/>
        <v/>
      </c>
      <c r="W285" s="1069" t="str">
        <f t="shared" ca="1" si="16"/>
        <v/>
      </c>
      <c r="X285" s="1069" t="str">
        <f t="shared" ca="1" si="16"/>
        <v/>
      </c>
      <c r="Y285" s="1069" t="str">
        <f t="shared" ca="1" si="16"/>
        <v/>
      </c>
      <c r="Z285" s="1069" t="str">
        <f t="shared" ca="1" si="16"/>
        <v/>
      </c>
      <c r="AA285" s="1069" t="str">
        <f t="shared" ca="1" si="16"/>
        <v/>
      </c>
    </row>
    <row r="286" spans="1:27" ht="9.9499999999999993" customHeight="1">
      <c r="A286" s="598">
        <v>69</v>
      </c>
      <c r="C286" s="598" t="s">
        <v>2225</v>
      </c>
      <c r="D286" s="1069" t="str">
        <f t="shared" ca="1" si="15"/>
        <v/>
      </c>
      <c r="E286" s="1069" t="str">
        <f t="shared" ca="1" si="15"/>
        <v/>
      </c>
      <c r="F286" s="1069" t="str">
        <f t="shared" ca="1" si="15"/>
        <v/>
      </c>
      <c r="G286" s="1069" t="str">
        <f t="shared" ca="1" si="15"/>
        <v/>
      </c>
      <c r="H286" s="1069" t="str">
        <f t="shared" ca="1" si="15"/>
        <v/>
      </c>
      <c r="I286" s="1069" t="str">
        <f t="shared" ca="1" si="15"/>
        <v/>
      </c>
      <c r="J286" s="1069" t="str">
        <f t="shared" ca="1" si="15"/>
        <v/>
      </c>
      <c r="K286" s="1069" t="str">
        <f t="shared" ca="1" si="15"/>
        <v/>
      </c>
      <c r="L286" s="1069" t="str">
        <f t="shared" ca="1" si="15"/>
        <v>Monster:Giant</v>
      </c>
      <c r="M286" s="1069" t="str">
        <f t="shared" ca="1" si="15"/>
        <v>Monster:Saurian (Salamons) (Common)</v>
      </c>
      <c r="N286" s="1069" t="str">
        <f t="shared" ca="1" si="16"/>
        <v>Cult. Lore:Trollish</v>
      </c>
      <c r="O286" s="1069" t="str">
        <f t="shared" ca="1" si="16"/>
        <v/>
      </c>
      <c r="P286" s="1069" t="str">
        <f t="shared" ca="1" si="16"/>
        <v>Magical Ethics</v>
      </c>
      <c r="Q286" s="1069" t="str">
        <f t="shared" ca="1" si="16"/>
        <v/>
      </c>
      <c r="R286" s="1069" t="str">
        <f t="shared" ca="1" si="16"/>
        <v/>
      </c>
      <c r="S286" s="1069" t="str">
        <f t="shared" ca="1" si="16"/>
        <v/>
      </c>
      <c r="T286" s="1069" t="str">
        <f t="shared" ca="1" si="16"/>
        <v/>
      </c>
      <c r="U286" s="1069" t="str">
        <f t="shared" ca="1" si="16"/>
        <v/>
      </c>
      <c r="V286" s="1069" t="str">
        <f t="shared" ca="1" si="16"/>
        <v/>
      </c>
      <c r="W286" s="1069" t="str">
        <f t="shared" ca="1" si="16"/>
        <v/>
      </c>
      <c r="X286" s="1069" t="str">
        <f t="shared" ca="1" si="16"/>
        <v/>
      </c>
      <c r="Y286" s="1069" t="str">
        <f t="shared" ca="1" si="16"/>
        <v/>
      </c>
      <c r="Z286" s="1069" t="str">
        <f t="shared" ca="1" si="16"/>
        <v/>
      </c>
      <c r="AA286" s="1069" t="str">
        <f t="shared" ca="1" si="16"/>
        <v/>
      </c>
    </row>
    <row r="287" spans="1:27" ht="9.9499999999999993" customHeight="1">
      <c r="A287" s="598">
        <v>70</v>
      </c>
      <c r="C287" s="598" t="s">
        <v>2225</v>
      </c>
      <c r="D287" s="1069" t="str">
        <f t="shared" ca="1" si="15"/>
        <v/>
      </c>
      <c r="E287" s="1069" t="str">
        <f t="shared" ca="1" si="15"/>
        <v/>
      </c>
      <c r="F287" s="1069" t="str">
        <f t="shared" ca="1" si="15"/>
        <v/>
      </c>
      <c r="G287" s="1069" t="str">
        <f t="shared" ca="1" si="15"/>
        <v/>
      </c>
      <c r="H287" s="1069" t="str">
        <f t="shared" ca="1" si="15"/>
        <v/>
      </c>
      <c r="I287" s="1069" t="str">
        <f t="shared" ca="1" si="15"/>
        <v/>
      </c>
      <c r="J287" s="1069" t="str">
        <f t="shared" ca="1" si="15"/>
        <v/>
      </c>
      <c r="K287" s="1069" t="str">
        <f t="shared" ca="1" si="15"/>
        <v/>
      </c>
      <c r="L287" s="1069" t="str">
        <f t="shared" ca="1" si="15"/>
        <v>Monster:Goblin</v>
      </c>
      <c r="M287" s="1069" t="str">
        <f t="shared" ca="1" si="15"/>
        <v>Monster:Saurian (Salamons) (Native)</v>
      </c>
      <c r="N287" s="1069" t="str">
        <f t="shared" ca="1" si="16"/>
        <v>Cult. Lore:Wyvern</v>
      </c>
      <c r="O287" s="1069" t="str">
        <f t="shared" ca="1" si="16"/>
        <v/>
      </c>
      <c r="P287" s="1069" t="str">
        <f t="shared" ca="1" si="16"/>
        <v xml:space="preserve">Magical Philosophy </v>
      </c>
      <c r="Q287" s="1069" t="str">
        <f t="shared" ca="1" si="16"/>
        <v/>
      </c>
      <c r="R287" s="1069" t="str">
        <f t="shared" ca="1" si="16"/>
        <v/>
      </c>
      <c r="S287" s="1069" t="str">
        <f t="shared" ca="1" si="16"/>
        <v/>
      </c>
      <c r="T287" s="1069" t="str">
        <f t="shared" ca="1" si="16"/>
        <v/>
      </c>
      <c r="U287" s="1069" t="str">
        <f t="shared" ca="1" si="16"/>
        <v/>
      </c>
      <c r="V287" s="1069" t="str">
        <f t="shared" ca="1" si="16"/>
        <v/>
      </c>
      <c r="W287" s="1069" t="str">
        <f t="shared" ca="1" si="16"/>
        <v/>
      </c>
      <c r="X287" s="1069" t="str">
        <f t="shared" ca="1" si="16"/>
        <v/>
      </c>
      <c r="Y287" s="1069" t="str">
        <f t="shared" ca="1" si="16"/>
        <v/>
      </c>
      <c r="Z287" s="1069" t="str">
        <f t="shared" ca="1" si="16"/>
        <v/>
      </c>
      <c r="AA287" s="1069" t="str">
        <f t="shared" ca="1" si="16"/>
        <v/>
      </c>
    </row>
    <row r="288" spans="1:27" ht="9.9499999999999993" customHeight="1">
      <c r="A288" s="598">
        <v>71</v>
      </c>
      <c r="C288" s="598" t="s">
        <v>2225</v>
      </c>
      <c r="D288" s="1069" t="str">
        <f t="shared" ca="1" si="15"/>
        <v/>
      </c>
      <c r="E288" s="1069" t="str">
        <f t="shared" ca="1" si="15"/>
        <v/>
      </c>
      <c r="F288" s="1069" t="str">
        <f t="shared" ca="1" si="15"/>
        <v/>
      </c>
      <c r="G288" s="1069" t="str">
        <f t="shared" ca="1" si="15"/>
        <v/>
      </c>
      <c r="H288" s="1069" t="str">
        <f t="shared" ca="1" si="15"/>
        <v/>
      </c>
      <c r="I288" s="1069" t="str">
        <f t="shared" ca="1" si="15"/>
        <v/>
      </c>
      <c r="J288" s="1069" t="str">
        <f t="shared" ca="1" si="15"/>
        <v/>
      </c>
      <c r="K288" s="1069" t="str">
        <f t="shared" ca="1" si="15"/>
        <v/>
      </c>
      <c r="L288" s="1069" t="str">
        <f t="shared" ca="1" si="15"/>
        <v>Monster:Hobgoblin</v>
      </c>
      <c r="M288" s="1069" t="str">
        <f t="shared" ca="1" si="15"/>
        <v>Monster:Saurian (Salamons) (Ancient)</v>
      </c>
      <c r="N288" s="1069" t="str">
        <f t="shared" ca="1" si="16"/>
        <v>Language of Fans</v>
      </c>
      <c r="O288" s="1069" t="str">
        <f t="shared" ca="1" si="16"/>
        <v/>
      </c>
      <c r="P288" s="1069" t="str">
        <f t="shared" ca="1" si="16"/>
        <v>Magical Theory</v>
      </c>
      <c r="Q288" s="1069" t="str">
        <f t="shared" ca="1" si="16"/>
        <v/>
      </c>
      <c r="R288" s="1069" t="str">
        <f t="shared" ca="1" si="16"/>
        <v/>
      </c>
      <c r="S288" s="1069" t="str">
        <f t="shared" ca="1" si="16"/>
        <v/>
      </c>
      <c r="T288" s="1069" t="str">
        <f t="shared" ca="1" si="16"/>
        <v/>
      </c>
      <c r="U288" s="1069" t="str">
        <f t="shared" ca="1" si="16"/>
        <v/>
      </c>
      <c r="V288" s="1069" t="str">
        <f t="shared" ca="1" si="16"/>
        <v/>
      </c>
      <c r="W288" s="1069" t="str">
        <f t="shared" ca="1" si="16"/>
        <v/>
      </c>
      <c r="X288" s="1069" t="str">
        <f t="shared" ca="1" si="16"/>
        <v/>
      </c>
      <c r="Y288" s="1069" t="str">
        <f t="shared" ca="1" si="16"/>
        <v/>
      </c>
      <c r="Z288" s="1069" t="str">
        <f t="shared" ca="1" si="16"/>
        <v/>
      </c>
      <c r="AA288" s="1069" t="str">
        <f t="shared" ca="1" si="16"/>
        <v/>
      </c>
    </row>
    <row r="289" spans="1:27" ht="9.9499999999999993" customHeight="1">
      <c r="A289" s="598">
        <v>72</v>
      </c>
      <c r="C289" s="598" t="s">
        <v>2225</v>
      </c>
      <c r="D289" s="1069" t="str">
        <f t="shared" ref="D289:M298" ca="1" si="17">IF(ISNUMBER(INDEX($D$526:$AA$725,ROW()-ROW($D$218),COLUMN()-COLUMN($C$219))),INDEX(Skills_Table,INDEX($D$526:$AA$725,ROW()-ROW($D$218),COLUMN()-COLUMN($C$219))-4,HLOOKUP("Skill Name",Skill_Columns,2,0)),"")</f>
        <v/>
      </c>
      <c r="E289" s="1069" t="str">
        <f t="shared" ca="1" si="17"/>
        <v/>
      </c>
      <c r="F289" s="1069" t="str">
        <f t="shared" ca="1" si="17"/>
        <v/>
      </c>
      <c r="G289" s="1069" t="str">
        <f t="shared" ca="1" si="17"/>
        <v/>
      </c>
      <c r="H289" s="1069" t="str">
        <f t="shared" ca="1" si="17"/>
        <v/>
      </c>
      <c r="I289" s="1069" t="str">
        <f t="shared" ca="1" si="17"/>
        <v/>
      </c>
      <c r="J289" s="1069" t="str">
        <f t="shared" ca="1" si="17"/>
        <v/>
      </c>
      <c r="K289" s="1069" t="str">
        <f t="shared" ca="1" si="17"/>
        <v/>
      </c>
      <c r="L289" s="1069" t="str">
        <f t="shared" ca="1" si="17"/>
        <v>Monster:Mer Folk</v>
      </c>
      <c r="M289" s="1069" t="str">
        <f t="shared" ca="1" si="17"/>
        <v>Monster:Scorpion Men</v>
      </c>
      <c r="N289" s="1069" t="str">
        <f t="shared" ref="N289:AA298" ca="1" si="18">IF(ISNUMBER(INDEX($D$526:$AA$725,ROW()-ROW($D$218),COLUMN()-COLUMN($C$219))),INDEX(Skills_Table,INDEX($D$526:$AA$725,ROW()-ROW($D$218),COLUMN()-COLUMN($C$219))-4,HLOOKUP("Skill Name",Skill_Columns,2,0)),"")</f>
        <v>Language of Flowers (Selam)</v>
      </c>
      <c r="O289" s="1069" t="str">
        <f t="shared" ca="1" si="18"/>
        <v/>
      </c>
      <c r="P289" s="1069" t="str">
        <f t="shared" ca="1" si="18"/>
        <v>History of Magick</v>
      </c>
      <c r="Q289" s="1069" t="str">
        <f t="shared" ca="1" si="18"/>
        <v/>
      </c>
      <c r="R289" s="1069" t="str">
        <f t="shared" ca="1" si="18"/>
        <v/>
      </c>
      <c r="S289" s="1069" t="str">
        <f t="shared" ca="1" si="18"/>
        <v/>
      </c>
      <c r="T289" s="1069" t="str">
        <f t="shared" ca="1" si="18"/>
        <v/>
      </c>
      <c r="U289" s="1069" t="str">
        <f t="shared" ca="1" si="18"/>
        <v/>
      </c>
      <c r="V289" s="1069" t="str">
        <f t="shared" ca="1" si="18"/>
        <v/>
      </c>
      <c r="W289" s="1069" t="str">
        <f t="shared" ca="1" si="18"/>
        <v/>
      </c>
      <c r="X289" s="1069" t="str">
        <f t="shared" ca="1" si="18"/>
        <v/>
      </c>
      <c r="Y289" s="1069" t="str">
        <f t="shared" ca="1" si="18"/>
        <v/>
      </c>
      <c r="Z289" s="1069" t="str">
        <f t="shared" ca="1" si="18"/>
        <v/>
      </c>
      <c r="AA289" s="1069" t="str">
        <f t="shared" ca="1" si="18"/>
        <v/>
      </c>
    </row>
    <row r="290" spans="1:27" ht="9.9499999999999993" customHeight="1">
      <c r="A290" s="598">
        <v>73</v>
      </c>
      <c r="C290" s="598" t="s">
        <v>2225</v>
      </c>
      <c r="D290" s="1069" t="str">
        <f t="shared" ca="1" si="17"/>
        <v/>
      </c>
      <c r="E290" s="1069" t="str">
        <f t="shared" ca="1" si="17"/>
        <v/>
      </c>
      <c r="F290" s="1069" t="str">
        <f t="shared" ca="1" si="17"/>
        <v/>
      </c>
      <c r="G290" s="1069" t="str">
        <f t="shared" ca="1" si="17"/>
        <v/>
      </c>
      <c r="H290" s="1069" t="str">
        <f t="shared" ca="1" si="17"/>
        <v/>
      </c>
      <c r="I290" s="1069" t="str">
        <f t="shared" ca="1" si="17"/>
        <v/>
      </c>
      <c r="J290" s="1069" t="str">
        <f t="shared" ca="1" si="17"/>
        <v/>
      </c>
      <c r="K290" s="1069" t="str">
        <f t="shared" ca="1" si="17"/>
        <v/>
      </c>
      <c r="L290" s="1069" t="str">
        <f t="shared" ca="1" si="17"/>
        <v>Monster:Minotaur</v>
      </c>
      <c r="M290" s="1069" t="str">
        <f t="shared" ca="1" si="17"/>
        <v>Monster:Triton</v>
      </c>
      <c r="N290" s="1069" t="str">
        <f t="shared" ca="1" si="18"/>
        <v>Language of Lapidary (Stones)</v>
      </c>
      <c r="O290" s="1069" t="str">
        <f t="shared" ca="1" si="18"/>
        <v/>
      </c>
      <c r="P290" s="1069" t="str">
        <f t="shared" ca="1" si="18"/>
        <v xml:space="preserve">Relationship Between Magick &amp; the World </v>
      </c>
      <c r="Q290" s="1069" t="str">
        <f t="shared" ca="1" si="18"/>
        <v/>
      </c>
      <c r="R290" s="1069" t="str">
        <f t="shared" ca="1" si="18"/>
        <v/>
      </c>
      <c r="S290" s="1069" t="str">
        <f t="shared" ca="1" si="18"/>
        <v/>
      </c>
      <c r="T290" s="1069" t="str">
        <f t="shared" ca="1" si="18"/>
        <v/>
      </c>
      <c r="U290" s="1069" t="str">
        <f t="shared" ca="1" si="18"/>
        <v/>
      </c>
      <c r="V290" s="1069" t="str">
        <f t="shared" ca="1" si="18"/>
        <v/>
      </c>
      <c r="W290" s="1069" t="str">
        <f t="shared" ca="1" si="18"/>
        <v/>
      </c>
      <c r="X290" s="1069" t="str">
        <f t="shared" ca="1" si="18"/>
        <v/>
      </c>
      <c r="Y290" s="1069" t="str">
        <f t="shared" ca="1" si="18"/>
        <v/>
      </c>
      <c r="Z290" s="1069" t="str">
        <f t="shared" ca="1" si="18"/>
        <v/>
      </c>
      <c r="AA290" s="1069" t="str">
        <f t="shared" ca="1" si="18"/>
        <v/>
      </c>
    </row>
    <row r="291" spans="1:27" ht="9.9499999999999993" customHeight="1">
      <c r="A291" s="598">
        <v>74</v>
      </c>
      <c r="C291" s="598" t="s">
        <v>2225</v>
      </c>
      <c r="D291" s="1069" t="str">
        <f t="shared" ca="1" si="17"/>
        <v/>
      </c>
      <c r="E291" s="1069" t="str">
        <f t="shared" ca="1" si="17"/>
        <v/>
      </c>
      <c r="F291" s="1069" t="str">
        <f t="shared" ca="1" si="17"/>
        <v/>
      </c>
      <c r="G291" s="1069" t="str">
        <f t="shared" ca="1" si="17"/>
        <v/>
      </c>
      <c r="H291" s="1069" t="str">
        <f t="shared" ca="1" si="17"/>
        <v/>
      </c>
      <c r="I291" s="1069" t="str">
        <f t="shared" ca="1" si="17"/>
        <v/>
      </c>
      <c r="J291" s="1069" t="str">
        <f t="shared" ca="1" si="17"/>
        <v/>
      </c>
      <c r="K291" s="1069" t="str">
        <f t="shared" ca="1" si="17"/>
        <v/>
      </c>
      <c r="L291" s="1069" t="str">
        <f t="shared" ca="1" si="17"/>
        <v>Monster:Nagas (Black)</v>
      </c>
      <c r="M291" s="1069" t="str">
        <f t="shared" ca="1" si="17"/>
        <v>Monster:Trollish</v>
      </c>
      <c r="N291" s="1069" t="str">
        <f t="shared" ca="1" si="18"/>
        <v>Military Historical Lore</v>
      </c>
      <c r="O291" s="1069" t="str">
        <f t="shared" ca="1" si="18"/>
        <v/>
      </c>
      <c r="P291" s="1069" t="str">
        <f t="shared" ca="1" si="18"/>
        <v xml:space="preserve">Advanced Magick </v>
      </c>
      <c r="Q291" s="1069" t="str">
        <f t="shared" ca="1" si="18"/>
        <v/>
      </c>
      <c r="R291" s="1069" t="str">
        <f t="shared" ca="1" si="18"/>
        <v/>
      </c>
      <c r="S291" s="1069" t="str">
        <f t="shared" ca="1" si="18"/>
        <v/>
      </c>
      <c r="T291" s="1069" t="str">
        <f t="shared" ca="1" si="18"/>
        <v/>
      </c>
      <c r="U291" s="1069" t="str">
        <f t="shared" ca="1" si="18"/>
        <v/>
      </c>
      <c r="V291" s="1069" t="str">
        <f t="shared" ca="1" si="18"/>
        <v/>
      </c>
      <c r="W291" s="1069" t="str">
        <f t="shared" ca="1" si="18"/>
        <v/>
      </c>
      <c r="X291" s="1069" t="str">
        <f t="shared" ca="1" si="18"/>
        <v/>
      </c>
      <c r="Y291" s="1069" t="str">
        <f t="shared" ca="1" si="18"/>
        <v/>
      </c>
      <c r="Z291" s="1069" t="str">
        <f t="shared" ca="1" si="18"/>
        <v/>
      </c>
      <c r="AA291" s="1069" t="str">
        <f t="shared" ca="1" si="18"/>
        <v/>
      </c>
    </row>
    <row r="292" spans="1:27" ht="9.9499999999999993" customHeight="1">
      <c r="A292" s="598">
        <v>75</v>
      </c>
      <c r="C292" s="598" t="s">
        <v>2225</v>
      </c>
      <c r="D292" s="1069" t="str">
        <f t="shared" ca="1" si="17"/>
        <v/>
      </c>
      <c r="E292" s="1069" t="str">
        <f t="shared" ca="1" si="17"/>
        <v/>
      </c>
      <c r="F292" s="1069" t="str">
        <f t="shared" ca="1" si="17"/>
        <v/>
      </c>
      <c r="G292" s="1069" t="str">
        <f t="shared" ca="1" si="17"/>
        <v/>
      </c>
      <c r="H292" s="1069" t="str">
        <f t="shared" ca="1" si="17"/>
        <v/>
      </c>
      <c r="I292" s="1069" t="str">
        <f t="shared" ca="1" si="17"/>
        <v/>
      </c>
      <c r="J292" s="1069" t="str">
        <f t="shared" ca="1" si="17"/>
        <v/>
      </c>
      <c r="K292" s="1069" t="str">
        <f t="shared" ca="1" si="17"/>
        <v/>
      </c>
      <c r="L292" s="1069" t="str">
        <f t="shared" ca="1" si="17"/>
        <v>Monster:Nagas (White)</v>
      </c>
      <c r="M292" s="1069" t="str">
        <f t="shared" ca="1" si="17"/>
        <v>Music (Read/Write)</v>
      </c>
      <c r="N292" s="1069" t="str">
        <f t="shared" ca="1" si="18"/>
        <v/>
      </c>
      <c r="O292" s="1069" t="str">
        <f t="shared" ca="1" si="18"/>
        <v/>
      </c>
      <c r="P292" s="1069" t="str">
        <f t="shared" ca="1" si="18"/>
        <v>Spell Enhancement</v>
      </c>
      <c r="Q292" s="1069" t="str">
        <f t="shared" ca="1" si="18"/>
        <v/>
      </c>
      <c r="R292" s="1069" t="str">
        <f t="shared" ca="1" si="18"/>
        <v/>
      </c>
      <c r="S292" s="1069" t="str">
        <f t="shared" ca="1" si="18"/>
        <v/>
      </c>
      <c r="T292" s="1069" t="str">
        <f t="shared" ca="1" si="18"/>
        <v/>
      </c>
      <c r="U292" s="1069" t="str">
        <f t="shared" ca="1" si="18"/>
        <v/>
      </c>
      <c r="V292" s="1069" t="str">
        <f t="shared" ca="1" si="18"/>
        <v/>
      </c>
      <c r="W292" s="1069" t="str">
        <f t="shared" ca="1" si="18"/>
        <v/>
      </c>
      <c r="X292" s="1069" t="str">
        <f t="shared" ca="1" si="18"/>
        <v/>
      </c>
      <c r="Y292" s="1069" t="str">
        <f t="shared" ca="1" si="18"/>
        <v/>
      </c>
      <c r="Z292" s="1069" t="str">
        <f t="shared" ca="1" si="18"/>
        <v/>
      </c>
      <c r="AA292" s="1069" t="str">
        <f t="shared" ca="1" si="18"/>
        <v/>
      </c>
    </row>
    <row r="293" spans="1:27" ht="9.9499999999999993" customHeight="1">
      <c r="A293" s="598">
        <v>76</v>
      </c>
      <c r="C293" s="598" t="s">
        <v>2225</v>
      </c>
      <c r="D293" s="1069" t="str">
        <f t="shared" ca="1" si="17"/>
        <v/>
      </c>
      <c r="E293" s="1069" t="str">
        <f t="shared" ca="1" si="17"/>
        <v/>
      </c>
      <c r="F293" s="1069" t="str">
        <f t="shared" ca="1" si="17"/>
        <v/>
      </c>
      <c r="G293" s="1069" t="str">
        <f t="shared" ca="1" si="17"/>
        <v/>
      </c>
      <c r="H293" s="1069" t="str">
        <f t="shared" ca="1" si="17"/>
        <v/>
      </c>
      <c r="I293" s="1069" t="str">
        <f t="shared" ca="1" si="17"/>
        <v/>
      </c>
      <c r="J293" s="1069" t="str">
        <f t="shared" ca="1" si="17"/>
        <v/>
      </c>
      <c r="K293" s="1069" t="str">
        <f t="shared" ca="1" si="17"/>
        <v/>
      </c>
      <c r="L293" s="1069" t="str">
        <f t="shared" ca="1" si="17"/>
        <v>Monster:Ogre</v>
      </c>
      <c r="M293" s="1069" t="str">
        <f t="shared" ca="1" si="17"/>
        <v/>
      </c>
      <c r="N293" s="1069" t="str">
        <f t="shared" ca="1" si="18"/>
        <v/>
      </c>
      <c r="O293" s="1069" t="str">
        <f t="shared" ca="1" si="18"/>
        <v/>
      </c>
      <c r="P293" s="1069" t="str">
        <f t="shared" ca="1" si="18"/>
        <v>Spell Research</v>
      </c>
      <c r="Q293" s="1069" t="str">
        <f t="shared" ca="1" si="18"/>
        <v/>
      </c>
      <c r="R293" s="1069" t="str">
        <f t="shared" ca="1" si="18"/>
        <v/>
      </c>
      <c r="S293" s="1069" t="str">
        <f t="shared" ca="1" si="18"/>
        <v/>
      </c>
      <c r="T293" s="1069" t="str">
        <f t="shared" ca="1" si="18"/>
        <v/>
      </c>
      <c r="U293" s="1069" t="str">
        <f t="shared" ca="1" si="18"/>
        <v/>
      </c>
      <c r="V293" s="1069" t="str">
        <f t="shared" ca="1" si="18"/>
        <v/>
      </c>
      <c r="W293" s="1069" t="str">
        <f t="shared" ca="1" si="18"/>
        <v/>
      </c>
      <c r="X293" s="1069" t="str">
        <f t="shared" ca="1" si="18"/>
        <v/>
      </c>
      <c r="Y293" s="1069" t="str">
        <f t="shared" ca="1" si="18"/>
        <v/>
      </c>
      <c r="Z293" s="1069" t="str">
        <f t="shared" ca="1" si="18"/>
        <v/>
      </c>
      <c r="AA293" s="1069" t="str">
        <f t="shared" ca="1" si="18"/>
        <v/>
      </c>
    </row>
    <row r="294" spans="1:27" ht="9.9499999999999993" customHeight="1">
      <c r="A294" s="598">
        <v>77</v>
      </c>
      <c r="C294" s="598" t="s">
        <v>2225</v>
      </c>
      <c r="D294" s="1069" t="str">
        <f t="shared" ca="1" si="17"/>
        <v/>
      </c>
      <c r="E294" s="1069" t="str">
        <f t="shared" ca="1" si="17"/>
        <v/>
      </c>
      <c r="F294" s="1069" t="str">
        <f t="shared" ca="1" si="17"/>
        <v/>
      </c>
      <c r="G294" s="1069" t="str">
        <f t="shared" ca="1" si="17"/>
        <v/>
      </c>
      <c r="H294" s="1069" t="str">
        <f t="shared" ca="1" si="17"/>
        <v/>
      </c>
      <c r="I294" s="1069" t="str">
        <f t="shared" ca="1" si="17"/>
        <v/>
      </c>
      <c r="J294" s="1069" t="str">
        <f t="shared" ca="1" si="17"/>
        <v/>
      </c>
      <c r="K294" s="1069" t="str">
        <f t="shared" ca="1" si="17"/>
        <v/>
      </c>
      <c r="L294" s="1069" t="str">
        <f t="shared" ca="1" si="17"/>
        <v>Monster:Orc</v>
      </c>
      <c r="M294" s="1069" t="str">
        <f t="shared" ca="1" si="17"/>
        <v/>
      </c>
      <c r="N294" s="1069" t="str">
        <f t="shared" ca="1" si="18"/>
        <v/>
      </c>
      <c r="O294" s="1069" t="str">
        <f t="shared" ca="1" si="18"/>
        <v/>
      </c>
      <c r="P294" s="1069" t="str">
        <f t="shared" ca="1" si="18"/>
        <v>Word of Guard</v>
      </c>
      <c r="Q294" s="1069" t="str">
        <f t="shared" ca="1" si="18"/>
        <v/>
      </c>
      <c r="R294" s="1069" t="str">
        <f t="shared" ca="1" si="18"/>
        <v/>
      </c>
      <c r="S294" s="1069" t="str">
        <f t="shared" ca="1" si="18"/>
        <v/>
      </c>
      <c r="T294" s="1069" t="str">
        <f t="shared" ca="1" si="18"/>
        <v/>
      </c>
      <c r="U294" s="1069" t="str">
        <f t="shared" ca="1" si="18"/>
        <v/>
      </c>
      <c r="V294" s="1069" t="str">
        <f t="shared" ca="1" si="18"/>
        <v/>
      </c>
      <c r="W294" s="1069" t="str">
        <f t="shared" ca="1" si="18"/>
        <v/>
      </c>
      <c r="X294" s="1069" t="str">
        <f t="shared" ca="1" si="18"/>
        <v/>
      </c>
      <c r="Y294" s="1069" t="str">
        <f t="shared" ca="1" si="18"/>
        <v/>
      </c>
      <c r="Z294" s="1069" t="str">
        <f t="shared" ca="1" si="18"/>
        <v/>
      </c>
      <c r="AA294" s="1069" t="str">
        <f t="shared" ca="1" si="18"/>
        <v/>
      </c>
    </row>
    <row r="295" spans="1:27" ht="9.9499999999999993" customHeight="1">
      <c r="A295" s="598">
        <v>78</v>
      </c>
      <c r="C295" s="598" t="s">
        <v>2225</v>
      </c>
      <c r="D295" s="1069" t="str">
        <f t="shared" ca="1" si="17"/>
        <v/>
      </c>
      <c r="E295" s="1069" t="str">
        <f t="shared" ca="1" si="17"/>
        <v/>
      </c>
      <c r="F295" s="1069" t="str">
        <f t="shared" ca="1" si="17"/>
        <v/>
      </c>
      <c r="G295" s="1069" t="str">
        <f t="shared" ca="1" si="17"/>
        <v/>
      </c>
      <c r="H295" s="1069" t="str">
        <f t="shared" ca="1" si="17"/>
        <v/>
      </c>
      <c r="I295" s="1069" t="str">
        <f t="shared" ca="1" si="17"/>
        <v/>
      </c>
      <c r="J295" s="1069" t="str">
        <f t="shared" ca="1" si="17"/>
        <v/>
      </c>
      <c r="K295" s="1069" t="str">
        <f t="shared" ca="1" si="17"/>
        <v/>
      </c>
      <c r="L295" s="1069" t="str">
        <f t="shared" ca="1" si="17"/>
        <v>Monster:Saurian (Lizardmen)</v>
      </c>
      <c r="M295" s="1069" t="str">
        <f t="shared" ca="1" si="17"/>
        <v/>
      </c>
      <c r="N295" s="1069" t="str">
        <f t="shared" ca="1" si="18"/>
        <v/>
      </c>
      <c r="O295" s="1069" t="str">
        <f t="shared" ca="1" si="18"/>
        <v/>
      </c>
      <c r="P295" s="1069" t="str">
        <f t="shared" ca="1" si="18"/>
        <v>Astrologer</v>
      </c>
      <c r="Q295" s="1069" t="str">
        <f t="shared" ca="1" si="18"/>
        <v/>
      </c>
      <c r="R295" s="1069" t="str">
        <f t="shared" ca="1" si="18"/>
        <v/>
      </c>
      <c r="S295" s="1069" t="str">
        <f t="shared" ca="1" si="18"/>
        <v/>
      </c>
      <c r="T295" s="1069" t="str">
        <f t="shared" ca="1" si="18"/>
        <v/>
      </c>
      <c r="U295" s="1069" t="str">
        <f t="shared" ca="1" si="18"/>
        <v/>
      </c>
      <c r="V295" s="1069" t="str">
        <f t="shared" ca="1" si="18"/>
        <v/>
      </c>
      <c r="W295" s="1069" t="str">
        <f t="shared" ca="1" si="18"/>
        <v/>
      </c>
      <c r="X295" s="1069" t="str">
        <f t="shared" ca="1" si="18"/>
        <v/>
      </c>
      <c r="Y295" s="1069" t="str">
        <f t="shared" ca="1" si="18"/>
        <v/>
      </c>
      <c r="Z295" s="1069" t="str">
        <f t="shared" ca="1" si="18"/>
        <v/>
      </c>
      <c r="AA295" s="1069" t="str">
        <f t="shared" ca="1" si="18"/>
        <v/>
      </c>
    </row>
    <row r="296" spans="1:27" ht="9.9499999999999993" customHeight="1">
      <c r="A296" s="598">
        <v>79</v>
      </c>
      <c r="C296" s="598" t="s">
        <v>2225</v>
      </c>
      <c r="D296" s="1069" t="str">
        <f t="shared" ca="1" si="17"/>
        <v/>
      </c>
      <c r="E296" s="1069" t="str">
        <f t="shared" ca="1" si="17"/>
        <v/>
      </c>
      <c r="F296" s="1069" t="str">
        <f t="shared" ca="1" si="17"/>
        <v/>
      </c>
      <c r="G296" s="1069" t="str">
        <f t="shared" ca="1" si="17"/>
        <v/>
      </c>
      <c r="H296" s="1069" t="str">
        <f t="shared" ca="1" si="17"/>
        <v/>
      </c>
      <c r="I296" s="1069" t="str">
        <f t="shared" ca="1" si="17"/>
        <v/>
      </c>
      <c r="J296" s="1069" t="str">
        <f t="shared" ca="1" si="17"/>
        <v/>
      </c>
      <c r="K296" s="1069" t="str">
        <f t="shared" ca="1" si="17"/>
        <v/>
      </c>
      <c r="L296" s="1069" t="str">
        <f t="shared" ca="1" si="17"/>
        <v>Monster:Saurian  (Dragon Kin) (Common)</v>
      </c>
      <c r="M296" s="1069" t="str">
        <f t="shared" ca="1" si="17"/>
        <v/>
      </c>
      <c r="N296" s="1069" t="str">
        <f t="shared" ca="1" si="18"/>
        <v/>
      </c>
      <c r="O296" s="1069" t="str">
        <f t="shared" ca="1" si="18"/>
        <v/>
      </c>
      <c r="P296" s="1069" t="str">
        <f t="shared" ca="1" si="18"/>
        <v>Jewelsmith</v>
      </c>
      <c r="Q296" s="1069" t="str">
        <f t="shared" ca="1" si="18"/>
        <v/>
      </c>
      <c r="R296" s="1069" t="str">
        <f t="shared" ca="1" si="18"/>
        <v/>
      </c>
      <c r="S296" s="1069" t="str">
        <f t="shared" ca="1" si="18"/>
        <v/>
      </c>
      <c r="T296" s="1069" t="str">
        <f t="shared" ca="1" si="18"/>
        <v/>
      </c>
      <c r="U296" s="1069" t="str">
        <f t="shared" ca="1" si="18"/>
        <v/>
      </c>
      <c r="V296" s="1069" t="str">
        <f t="shared" ca="1" si="18"/>
        <v/>
      </c>
      <c r="W296" s="1069" t="str">
        <f t="shared" ca="1" si="18"/>
        <v/>
      </c>
      <c r="X296" s="1069" t="str">
        <f t="shared" ca="1" si="18"/>
        <v/>
      </c>
      <c r="Y296" s="1069" t="str">
        <f t="shared" ca="1" si="18"/>
        <v/>
      </c>
      <c r="Z296" s="1069" t="str">
        <f t="shared" ca="1" si="18"/>
        <v/>
      </c>
      <c r="AA296" s="1069" t="str">
        <f t="shared" ca="1" si="18"/>
        <v/>
      </c>
    </row>
    <row r="297" spans="1:27" ht="9.9499999999999993" customHeight="1">
      <c r="A297" s="598">
        <v>80</v>
      </c>
      <c r="C297" s="598" t="s">
        <v>2225</v>
      </c>
      <c r="D297" s="1069" t="str">
        <f t="shared" ca="1" si="17"/>
        <v/>
      </c>
      <c r="E297" s="1069" t="str">
        <f t="shared" ca="1" si="17"/>
        <v/>
      </c>
      <c r="F297" s="1069" t="str">
        <f t="shared" ca="1" si="17"/>
        <v/>
      </c>
      <c r="G297" s="1069" t="str">
        <f t="shared" ca="1" si="17"/>
        <v/>
      </c>
      <c r="H297" s="1069" t="str">
        <f t="shared" ca="1" si="17"/>
        <v/>
      </c>
      <c r="I297" s="1069" t="str">
        <f t="shared" ca="1" si="17"/>
        <v/>
      </c>
      <c r="J297" s="1069" t="str">
        <f t="shared" ca="1" si="17"/>
        <v/>
      </c>
      <c r="K297" s="1069" t="str">
        <f t="shared" ca="1" si="17"/>
        <v/>
      </c>
      <c r="L297" s="1069" t="str">
        <f t="shared" ca="1" si="17"/>
        <v>Monster:Saurian (Dragon Kin) (Native)</v>
      </c>
      <c r="M297" s="1069" t="str">
        <f t="shared" ca="1" si="17"/>
        <v/>
      </c>
      <c r="N297" s="1069" t="str">
        <f t="shared" ca="1" si="18"/>
        <v/>
      </c>
      <c r="O297" s="1069" t="str">
        <f t="shared" ca="1" si="18"/>
        <v/>
      </c>
      <c r="P297" s="1069" t="str">
        <f t="shared" ca="1" si="18"/>
        <v>Joiner</v>
      </c>
      <c r="Q297" s="1069" t="str">
        <f t="shared" ca="1" si="18"/>
        <v/>
      </c>
      <c r="R297" s="1069" t="str">
        <f t="shared" ca="1" si="18"/>
        <v/>
      </c>
      <c r="S297" s="1069" t="str">
        <f t="shared" ca="1" si="18"/>
        <v/>
      </c>
      <c r="T297" s="1069" t="str">
        <f t="shared" ca="1" si="18"/>
        <v/>
      </c>
      <c r="U297" s="1069" t="str">
        <f t="shared" ca="1" si="18"/>
        <v/>
      </c>
      <c r="V297" s="1069" t="str">
        <f t="shared" ca="1" si="18"/>
        <v/>
      </c>
      <c r="W297" s="1069" t="str">
        <f t="shared" ca="1" si="18"/>
        <v/>
      </c>
      <c r="X297" s="1069" t="str">
        <f t="shared" ca="1" si="18"/>
        <v/>
      </c>
      <c r="Y297" s="1069" t="str">
        <f t="shared" ca="1" si="18"/>
        <v/>
      </c>
      <c r="Z297" s="1069" t="str">
        <f t="shared" ca="1" si="18"/>
        <v/>
      </c>
      <c r="AA297" s="1069" t="str">
        <f t="shared" ca="1" si="18"/>
        <v/>
      </c>
    </row>
    <row r="298" spans="1:27" ht="9.9499999999999993" customHeight="1">
      <c r="A298" s="598">
        <v>81</v>
      </c>
      <c r="C298" s="598" t="s">
        <v>2225</v>
      </c>
      <c r="D298" s="1069" t="str">
        <f t="shared" ca="1" si="17"/>
        <v/>
      </c>
      <c r="E298" s="1069" t="str">
        <f t="shared" ca="1" si="17"/>
        <v/>
      </c>
      <c r="F298" s="1069" t="str">
        <f t="shared" ca="1" si="17"/>
        <v/>
      </c>
      <c r="G298" s="1069" t="str">
        <f t="shared" ca="1" si="17"/>
        <v/>
      </c>
      <c r="H298" s="1069" t="str">
        <f t="shared" ca="1" si="17"/>
        <v/>
      </c>
      <c r="I298" s="1069" t="str">
        <f t="shared" ca="1" si="17"/>
        <v/>
      </c>
      <c r="J298" s="1069" t="str">
        <f t="shared" ca="1" si="17"/>
        <v/>
      </c>
      <c r="K298" s="1069" t="str">
        <f t="shared" ca="1" si="17"/>
        <v/>
      </c>
      <c r="L298" s="1069" t="str">
        <f t="shared" ca="1" si="17"/>
        <v>Monster:Saurian (Dragon Kin) (Ancient)</v>
      </c>
      <c r="M298" s="1069" t="str">
        <f t="shared" ca="1" si="17"/>
        <v/>
      </c>
      <c r="N298" s="1069" t="str">
        <f t="shared" ca="1" si="18"/>
        <v/>
      </c>
      <c r="O298" s="1069" t="str">
        <f t="shared" ca="1" si="18"/>
        <v/>
      </c>
      <c r="P298" s="1069" t="str">
        <f t="shared" ca="1" si="18"/>
        <v>Mason</v>
      </c>
      <c r="Q298" s="1069" t="str">
        <f t="shared" ca="1" si="18"/>
        <v/>
      </c>
      <c r="R298" s="1069" t="str">
        <f t="shared" ca="1" si="18"/>
        <v/>
      </c>
      <c r="S298" s="1069" t="str">
        <f t="shared" ca="1" si="18"/>
        <v/>
      </c>
      <c r="T298" s="1069" t="str">
        <f t="shared" ca="1" si="18"/>
        <v/>
      </c>
      <c r="U298" s="1069" t="str">
        <f t="shared" ca="1" si="18"/>
        <v/>
      </c>
      <c r="V298" s="1069" t="str">
        <f t="shared" ca="1" si="18"/>
        <v/>
      </c>
      <c r="W298" s="1069" t="str">
        <f t="shared" ca="1" si="18"/>
        <v/>
      </c>
      <c r="X298" s="1069" t="str">
        <f t="shared" ca="1" si="18"/>
        <v/>
      </c>
      <c r="Y298" s="1069" t="str">
        <f t="shared" ca="1" si="18"/>
        <v/>
      </c>
      <c r="Z298" s="1069" t="str">
        <f t="shared" ca="1" si="18"/>
        <v/>
      </c>
      <c r="AA298" s="1069" t="str">
        <f t="shared" ca="1" si="18"/>
        <v/>
      </c>
    </row>
    <row r="299" spans="1:27" ht="9.9499999999999993" customHeight="1">
      <c r="A299" s="598">
        <v>82</v>
      </c>
      <c r="C299" s="598" t="s">
        <v>2225</v>
      </c>
      <c r="D299" s="1069" t="str">
        <f t="shared" ref="D299:M308" ca="1" si="19">IF(ISNUMBER(INDEX($D$526:$AA$725,ROW()-ROW($D$218),COLUMN()-COLUMN($C$219))),INDEX(Skills_Table,INDEX($D$526:$AA$725,ROW()-ROW($D$218),COLUMN()-COLUMN($C$219))-4,HLOOKUP("Skill Name",Skill_Columns,2,0)),"")</f>
        <v/>
      </c>
      <c r="E299" s="1069" t="str">
        <f t="shared" ca="1" si="19"/>
        <v/>
      </c>
      <c r="F299" s="1069" t="str">
        <f t="shared" ca="1" si="19"/>
        <v/>
      </c>
      <c r="G299" s="1069" t="str">
        <f t="shared" ca="1" si="19"/>
        <v/>
      </c>
      <c r="H299" s="1069" t="str">
        <f t="shared" ca="1" si="19"/>
        <v/>
      </c>
      <c r="I299" s="1069" t="str">
        <f t="shared" ca="1" si="19"/>
        <v/>
      </c>
      <c r="J299" s="1069" t="str">
        <f t="shared" ca="1" si="19"/>
        <v/>
      </c>
      <c r="K299" s="1069" t="str">
        <f t="shared" ca="1" si="19"/>
        <v/>
      </c>
      <c r="L299" s="1069" t="str">
        <f t="shared" ca="1" si="19"/>
        <v>Monster:Saurian (Salamons) (Common)</v>
      </c>
      <c r="M299" s="1069" t="str">
        <f t="shared" ca="1" si="19"/>
        <v/>
      </c>
      <c r="N299" s="1069" t="str">
        <f t="shared" ref="N299:AA308" ca="1" si="20">IF(ISNUMBER(INDEX($D$526:$AA$725,ROW()-ROW($D$218),COLUMN()-COLUMN($C$219))),INDEX(Skills_Table,INDEX($D$526:$AA$725,ROW()-ROW($D$218),COLUMN()-COLUMN($C$219))-4,HLOOKUP("Skill Name",Skill_Columns,2,0)),"")</f>
        <v/>
      </c>
      <c r="O299" s="1069" t="str">
        <f t="shared" ca="1" si="20"/>
        <v/>
      </c>
      <c r="P299" s="1069" t="str">
        <f t="shared" ca="1" si="20"/>
        <v>Metalsmith</v>
      </c>
      <c r="Q299" s="1069" t="str">
        <f t="shared" ca="1" si="20"/>
        <v/>
      </c>
      <c r="R299" s="1069" t="str">
        <f t="shared" ca="1" si="20"/>
        <v/>
      </c>
      <c r="S299" s="1069" t="str">
        <f t="shared" ca="1" si="20"/>
        <v/>
      </c>
      <c r="T299" s="1069" t="str">
        <f t="shared" ca="1" si="20"/>
        <v/>
      </c>
      <c r="U299" s="1069" t="str">
        <f t="shared" ca="1" si="20"/>
        <v/>
      </c>
      <c r="V299" s="1069" t="str">
        <f t="shared" ca="1" si="20"/>
        <v/>
      </c>
      <c r="W299" s="1069" t="str">
        <f t="shared" ca="1" si="20"/>
        <v/>
      </c>
      <c r="X299" s="1069" t="str">
        <f t="shared" ca="1" si="20"/>
        <v/>
      </c>
      <c r="Y299" s="1069" t="str">
        <f t="shared" ca="1" si="20"/>
        <v/>
      </c>
      <c r="Z299" s="1069" t="str">
        <f t="shared" ca="1" si="20"/>
        <v/>
      </c>
      <c r="AA299" s="1069" t="str">
        <f t="shared" ca="1" si="20"/>
        <v/>
      </c>
    </row>
    <row r="300" spans="1:27" ht="9.9499999999999993" customHeight="1">
      <c r="A300" s="598">
        <v>83</v>
      </c>
      <c r="C300" s="598" t="s">
        <v>2225</v>
      </c>
      <c r="D300" s="1069" t="str">
        <f t="shared" ca="1" si="19"/>
        <v/>
      </c>
      <c r="E300" s="1069" t="str">
        <f t="shared" ca="1" si="19"/>
        <v/>
      </c>
      <c r="F300" s="1069" t="str">
        <f t="shared" ca="1" si="19"/>
        <v/>
      </c>
      <c r="G300" s="1069" t="str">
        <f t="shared" ca="1" si="19"/>
        <v/>
      </c>
      <c r="H300" s="1069" t="str">
        <f t="shared" ca="1" si="19"/>
        <v/>
      </c>
      <c r="I300" s="1069" t="str">
        <f t="shared" ca="1" si="19"/>
        <v/>
      </c>
      <c r="J300" s="1069" t="str">
        <f t="shared" ca="1" si="19"/>
        <v/>
      </c>
      <c r="K300" s="1069" t="str">
        <f t="shared" ca="1" si="19"/>
        <v/>
      </c>
      <c r="L300" s="1069" t="str">
        <f t="shared" ca="1" si="19"/>
        <v>Monster:Saurian (Salamons) (Native)</v>
      </c>
      <c r="M300" s="1069" t="str">
        <f t="shared" ca="1" si="19"/>
        <v/>
      </c>
      <c r="N300" s="1069" t="str">
        <f t="shared" ca="1" si="20"/>
        <v/>
      </c>
      <c r="O300" s="1069" t="str">
        <f t="shared" ca="1" si="20"/>
        <v/>
      </c>
      <c r="P300" s="1069" t="str">
        <f t="shared" ca="1" si="20"/>
        <v>Mechanical</v>
      </c>
      <c r="Q300" s="1069" t="str">
        <f t="shared" ca="1" si="20"/>
        <v/>
      </c>
      <c r="R300" s="1069" t="str">
        <f t="shared" ca="1" si="20"/>
        <v/>
      </c>
      <c r="S300" s="1069" t="str">
        <f t="shared" ca="1" si="20"/>
        <v/>
      </c>
      <c r="T300" s="1069" t="str">
        <f t="shared" ca="1" si="20"/>
        <v/>
      </c>
      <c r="U300" s="1069" t="str">
        <f t="shared" ca="1" si="20"/>
        <v/>
      </c>
      <c r="V300" s="1069" t="str">
        <f t="shared" ca="1" si="20"/>
        <v/>
      </c>
      <c r="W300" s="1069" t="str">
        <f t="shared" ca="1" si="20"/>
        <v/>
      </c>
      <c r="X300" s="1069" t="str">
        <f t="shared" ca="1" si="20"/>
        <v/>
      </c>
      <c r="Y300" s="1069" t="str">
        <f t="shared" ca="1" si="20"/>
        <v/>
      </c>
      <c r="Z300" s="1069" t="str">
        <f t="shared" ca="1" si="20"/>
        <v/>
      </c>
      <c r="AA300" s="1069" t="str">
        <f t="shared" ca="1" si="20"/>
        <v/>
      </c>
    </row>
    <row r="301" spans="1:27" ht="9.9499999999999993" customHeight="1">
      <c r="A301" s="598">
        <v>84</v>
      </c>
      <c r="C301" s="598" t="s">
        <v>2225</v>
      </c>
      <c r="D301" s="1069" t="str">
        <f t="shared" ca="1" si="19"/>
        <v/>
      </c>
      <c r="E301" s="1069" t="str">
        <f t="shared" ca="1" si="19"/>
        <v/>
      </c>
      <c r="F301" s="1069" t="str">
        <f t="shared" ca="1" si="19"/>
        <v/>
      </c>
      <c r="G301" s="1069" t="str">
        <f t="shared" ca="1" si="19"/>
        <v/>
      </c>
      <c r="H301" s="1069" t="str">
        <f t="shared" ca="1" si="19"/>
        <v/>
      </c>
      <c r="I301" s="1069" t="str">
        <f t="shared" ca="1" si="19"/>
        <v/>
      </c>
      <c r="J301" s="1069" t="str">
        <f t="shared" ca="1" si="19"/>
        <v/>
      </c>
      <c r="K301" s="1069" t="str">
        <f t="shared" ca="1" si="19"/>
        <v/>
      </c>
      <c r="L301" s="1069" t="str">
        <f t="shared" ca="1" si="19"/>
        <v>Monster:Saurian (Salamons) (Ancient)</v>
      </c>
      <c r="M301" s="1069" t="str">
        <f t="shared" ca="1" si="19"/>
        <v/>
      </c>
      <c r="N301" s="1069" t="str">
        <f t="shared" ca="1" si="20"/>
        <v/>
      </c>
      <c r="O301" s="1069" t="str">
        <f t="shared" ca="1" si="20"/>
        <v/>
      </c>
      <c r="P301" s="1069" t="str">
        <f t="shared" ca="1" si="20"/>
        <v>Blade Dancer</v>
      </c>
      <c r="Q301" s="1069" t="str">
        <f t="shared" ca="1" si="20"/>
        <v/>
      </c>
      <c r="R301" s="1069" t="str">
        <f t="shared" ca="1" si="20"/>
        <v/>
      </c>
      <c r="S301" s="1069" t="str">
        <f t="shared" ca="1" si="20"/>
        <v/>
      </c>
      <c r="T301" s="1069" t="str">
        <f t="shared" ca="1" si="20"/>
        <v/>
      </c>
      <c r="U301" s="1069" t="str">
        <f t="shared" ca="1" si="20"/>
        <v/>
      </c>
      <c r="V301" s="1069" t="str">
        <f t="shared" ca="1" si="20"/>
        <v/>
      </c>
      <c r="W301" s="1069" t="str">
        <f t="shared" ca="1" si="20"/>
        <v/>
      </c>
      <c r="X301" s="1069" t="str">
        <f t="shared" ca="1" si="20"/>
        <v/>
      </c>
      <c r="Y301" s="1069" t="str">
        <f t="shared" ca="1" si="20"/>
        <v/>
      </c>
      <c r="Z301" s="1069" t="str">
        <f t="shared" ca="1" si="20"/>
        <v/>
      </c>
      <c r="AA301" s="1069" t="str">
        <f t="shared" ca="1" si="20"/>
        <v/>
      </c>
    </row>
    <row r="302" spans="1:27" ht="9.9499999999999993" customHeight="1">
      <c r="A302" s="598">
        <v>85</v>
      </c>
      <c r="C302" s="598" t="s">
        <v>2225</v>
      </c>
      <c r="D302" s="1069" t="str">
        <f t="shared" ca="1" si="19"/>
        <v/>
      </c>
      <c r="E302" s="1069" t="str">
        <f t="shared" ca="1" si="19"/>
        <v/>
      </c>
      <c r="F302" s="1069" t="str">
        <f t="shared" ca="1" si="19"/>
        <v/>
      </c>
      <c r="G302" s="1069" t="str">
        <f t="shared" ca="1" si="19"/>
        <v/>
      </c>
      <c r="H302" s="1069" t="str">
        <f t="shared" ca="1" si="19"/>
        <v/>
      </c>
      <c r="I302" s="1069" t="str">
        <f t="shared" ca="1" si="19"/>
        <v/>
      </c>
      <c r="J302" s="1069" t="str">
        <f t="shared" ca="1" si="19"/>
        <v/>
      </c>
      <c r="K302" s="1069" t="str">
        <f t="shared" ca="1" si="19"/>
        <v/>
      </c>
      <c r="L302" s="1069" t="str">
        <f t="shared" ca="1" si="19"/>
        <v>Monster:Scorpion Men</v>
      </c>
      <c r="M302" s="1069" t="str">
        <f t="shared" ca="1" si="19"/>
        <v/>
      </c>
      <c r="N302" s="1069" t="str">
        <f t="shared" ca="1" si="20"/>
        <v/>
      </c>
      <c r="O302" s="1069" t="str">
        <f t="shared" ca="1" si="20"/>
        <v/>
      </c>
      <c r="P302" s="1069" t="str">
        <f t="shared" ca="1" si="20"/>
        <v>Conjuration</v>
      </c>
      <c r="Q302" s="1069" t="str">
        <f t="shared" ca="1" si="20"/>
        <v/>
      </c>
      <c r="R302" s="1069" t="str">
        <f t="shared" ca="1" si="20"/>
        <v/>
      </c>
      <c r="S302" s="1069" t="str">
        <f t="shared" ca="1" si="20"/>
        <v/>
      </c>
      <c r="T302" s="1069" t="str">
        <f t="shared" ca="1" si="20"/>
        <v/>
      </c>
      <c r="U302" s="1069" t="str">
        <f t="shared" ca="1" si="20"/>
        <v/>
      </c>
      <c r="V302" s="1069" t="str">
        <f t="shared" ca="1" si="20"/>
        <v/>
      </c>
      <c r="W302" s="1069" t="str">
        <f t="shared" ca="1" si="20"/>
        <v/>
      </c>
      <c r="X302" s="1069" t="str">
        <f t="shared" ca="1" si="20"/>
        <v/>
      </c>
      <c r="Y302" s="1069" t="str">
        <f t="shared" ca="1" si="20"/>
        <v/>
      </c>
      <c r="Z302" s="1069" t="str">
        <f t="shared" ca="1" si="20"/>
        <v/>
      </c>
      <c r="AA302" s="1069" t="str">
        <f t="shared" ca="1" si="20"/>
        <v/>
      </c>
    </row>
    <row r="303" spans="1:27" ht="9.9499999999999993" customHeight="1">
      <c r="A303" s="598">
        <v>86</v>
      </c>
      <c r="C303" s="598" t="s">
        <v>2225</v>
      </c>
      <c r="D303" s="1069" t="str">
        <f t="shared" ca="1" si="19"/>
        <v/>
      </c>
      <c r="E303" s="1069" t="str">
        <f t="shared" ca="1" si="19"/>
        <v/>
      </c>
      <c r="F303" s="1069" t="str">
        <f t="shared" ca="1" si="19"/>
        <v/>
      </c>
      <c r="G303" s="1069" t="str">
        <f t="shared" ca="1" si="19"/>
        <v/>
      </c>
      <c r="H303" s="1069" t="str">
        <f t="shared" ca="1" si="19"/>
        <v/>
      </c>
      <c r="I303" s="1069" t="str">
        <f t="shared" ca="1" si="19"/>
        <v/>
      </c>
      <c r="J303" s="1069" t="str">
        <f t="shared" ca="1" si="19"/>
        <v/>
      </c>
      <c r="K303" s="1069" t="str">
        <f t="shared" ca="1" si="19"/>
        <v/>
      </c>
      <c r="L303" s="1069" t="str">
        <f t="shared" ca="1" si="19"/>
        <v>Monster:Triton</v>
      </c>
      <c r="M303" s="1069" t="str">
        <f t="shared" ca="1" si="19"/>
        <v/>
      </c>
      <c r="N303" s="1069" t="str">
        <f t="shared" ca="1" si="20"/>
        <v/>
      </c>
      <c r="O303" s="1069" t="str">
        <f t="shared" ca="1" si="20"/>
        <v/>
      </c>
      <c r="P303" s="1069" t="str">
        <f t="shared" ca="1" si="20"/>
        <v>Dance</v>
      </c>
      <c r="Q303" s="1069" t="str">
        <f t="shared" ca="1" si="20"/>
        <v/>
      </c>
      <c r="R303" s="1069" t="str">
        <f t="shared" ca="1" si="20"/>
        <v/>
      </c>
      <c r="S303" s="1069" t="str">
        <f t="shared" ca="1" si="20"/>
        <v/>
      </c>
      <c r="T303" s="1069" t="str">
        <f t="shared" ca="1" si="20"/>
        <v/>
      </c>
      <c r="U303" s="1069" t="str">
        <f t="shared" ca="1" si="20"/>
        <v/>
      </c>
      <c r="V303" s="1069" t="str">
        <f t="shared" ca="1" si="20"/>
        <v/>
      </c>
      <c r="W303" s="1069" t="str">
        <f t="shared" ca="1" si="20"/>
        <v/>
      </c>
      <c r="X303" s="1069" t="str">
        <f t="shared" ca="1" si="20"/>
        <v/>
      </c>
      <c r="Y303" s="1069" t="str">
        <f t="shared" ca="1" si="20"/>
        <v/>
      </c>
      <c r="Z303" s="1069" t="str">
        <f t="shared" ca="1" si="20"/>
        <v/>
      </c>
      <c r="AA303" s="1069" t="str">
        <f t="shared" ca="1" si="20"/>
        <v/>
      </c>
    </row>
    <row r="304" spans="1:27" ht="9.9499999999999993" customHeight="1">
      <c r="A304" s="598">
        <v>87</v>
      </c>
      <c r="C304" s="598" t="s">
        <v>2225</v>
      </c>
      <c r="D304" s="1069" t="str">
        <f t="shared" ca="1" si="19"/>
        <v/>
      </c>
      <c r="E304" s="1069" t="str">
        <f t="shared" ca="1" si="19"/>
        <v/>
      </c>
      <c r="F304" s="1069" t="str">
        <f t="shared" ca="1" si="19"/>
        <v/>
      </c>
      <c r="G304" s="1069" t="str">
        <f t="shared" ca="1" si="19"/>
        <v/>
      </c>
      <c r="H304" s="1069" t="str">
        <f t="shared" ca="1" si="19"/>
        <v/>
      </c>
      <c r="I304" s="1069" t="str">
        <f t="shared" ca="1" si="19"/>
        <v/>
      </c>
      <c r="J304" s="1069" t="str">
        <f t="shared" ca="1" si="19"/>
        <v/>
      </c>
      <c r="K304" s="1069" t="str">
        <f t="shared" ca="1" si="19"/>
        <v/>
      </c>
      <c r="L304" s="1069" t="str">
        <f t="shared" ca="1" si="19"/>
        <v>Monster:Trollish</v>
      </c>
      <c r="M304" s="1069" t="str">
        <f t="shared" ca="1" si="19"/>
        <v/>
      </c>
      <c r="N304" s="1069" t="str">
        <f t="shared" ca="1" si="20"/>
        <v/>
      </c>
      <c r="O304" s="1069" t="str">
        <f t="shared" ca="1" si="20"/>
        <v/>
      </c>
      <c r="P304" s="1069" t="str">
        <f t="shared" ca="1" si="20"/>
        <v>Divination</v>
      </c>
      <c r="Q304" s="1069" t="str">
        <f t="shared" ca="1" si="20"/>
        <v/>
      </c>
      <c r="R304" s="1069" t="str">
        <f t="shared" ca="1" si="20"/>
        <v/>
      </c>
      <c r="S304" s="1069" t="str">
        <f t="shared" ca="1" si="20"/>
        <v/>
      </c>
      <c r="T304" s="1069" t="str">
        <f t="shared" ca="1" si="20"/>
        <v/>
      </c>
      <c r="U304" s="1069" t="str">
        <f t="shared" ca="1" si="20"/>
        <v/>
      </c>
      <c r="V304" s="1069" t="str">
        <f t="shared" ca="1" si="20"/>
        <v/>
      </c>
      <c r="W304" s="1069" t="str">
        <f t="shared" ca="1" si="20"/>
        <v/>
      </c>
      <c r="X304" s="1069" t="str">
        <f t="shared" ca="1" si="20"/>
        <v/>
      </c>
      <c r="Y304" s="1069" t="str">
        <f t="shared" ca="1" si="20"/>
        <v/>
      </c>
      <c r="Z304" s="1069" t="str">
        <f t="shared" ca="1" si="20"/>
        <v/>
      </c>
      <c r="AA304" s="1069" t="str">
        <f t="shared" ca="1" si="20"/>
        <v/>
      </c>
    </row>
    <row r="305" spans="1:27" ht="9.9499999999999993" customHeight="1">
      <c r="A305" s="598">
        <v>88</v>
      </c>
      <c r="C305" s="598" t="s">
        <v>2225</v>
      </c>
      <c r="D305" s="1069" t="str">
        <f t="shared" ca="1" si="19"/>
        <v/>
      </c>
      <c r="E305" s="1069" t="str">
        <f t="shared" ca="1" si="19"/>
        <v/>
      </c>
      <c r="F305" s="1069" t="str">
        <f t="shared" ca="1" si="19"/>
        <v/>
      </c>
      <c r="G305" s="1069" t="str">
        <f t="shared" ca="1" si="19"/>
        <v/>
      </c>
      <c r="H305" s="1069" t="str">
        <f t="shared" ca="1" si="19"/>
        <v/>
      </c>
      <c r="I305" s="1069" t="str">
        <f t="shared" ca="1" si="19"/>
        <v/>
      </c>
      <c r="J305" s="1069" t="str">
        <f t="shared" ca="1" si="19"/>
        <v/>
      </c>
      <c r="K305" s="1069" t="str">
        <f t="shared" ca="1" si="19"/>
        <v/>
      </c>
      <c r="L305" s="1069" t="str">
        <f t="shared" ca="1" si="19"/>
        <v>Monster:Wyvern</v>
      </c>
      <c r="M305" s="1069" t="str">
        <f t="shared" ca="1" si="19"/>
        <v/>
      </c>
      <c r="N305" s="1069" t="str">
        <f t="shared" ca="1" si="20"/>
        <v/>
      </c>
      <c r="O305" s="1069" t="str">
        <f t="shared" ca="1" si="20"/>
        <v/>
      </c>
      <c r="P305" s="1069" t="str">
        <f t="shared" ca="1" si="20"/>
        <v>Hexmaster</v>
      </c>
      <c r="Q305" s="1069" t="str">
        <f t="shared" ca="1" si="20"/>
        <v/>
      </c>
      <c r="R305" s="1069" t="str">
        <f t="shared" ca="1" si="20"/>
        <v/>
      </c>
      <c r="S305" s="1069" t="str">
        <f t="shared" ca="1" si="20"/>
        <v/>
      </c>
      <c r="T305" s="1069" t="str">
        <f t="shared" ca="1" si="20"/>
        <v/>
      </c>
      <c r="U305" s="1069" t="str">
        <f t="shared" ca="1" si="20"/>
        <v/>
      </c>
      <c r="V305" s="1069" t="str">
        <f t="shared" ca="1" si="20"/>
        <v/>
      </c>
      <c r="W305" s="1069" t="str">
        <f t="shared" ca="1" si="20"/>
        <v/>
      </c>
      <c r="X305" s="1069" t="str">
        <f t="shared" ca="1" si="20"/>
        <v/>
      </c>
      <c r="Y305" s="1069" t="str">
        <f t="shared" ca="1" si="20"/>
        <v/>
      </c>
      <c r="Z305" s="1069" t="str">
        <f t="shared" ca="1" si="20"/>
        <v/>
      </c>
      <c r="AA305" s="1069" t="str">
        <f t="shared" ca="1" si="20"/>
        <v/>
      </c>
    </row>
    <row r="306" spans="1:27" ht="9.9499999999999993" customHeight="1">
      <c r="A306" s="598">
        <v>89</v>
      </c>
      <c r="C306" s="598" t="s">
        <v>2225</v>
      </c>
      <c r="D306" s="1069" t="str">
        <f t="shared" ca="1" si="19"/>
        <v/>
      </c>
      <c r="E306" s="1069" t="str">
        <f t="shared" ca="1" si="19"/>
        <v/>
      </c>
      <c r="F306" s="1069" t="str">
        <f t="shared" ca="1" si="19"/>
        <v/>
      </c>
      <c r="G306" s="1069" t="str">
        <f t="shared" ca="1" si="19"/>
        <v/>
      </c>
      <c r="H306" s="1069" t="str">
        <f t="shared" ca="1" si="19"/>
        <v/>
      </c>
      <c r="I306" s="1069" t="str">
        <f t="shared" ca="1" si="19"/>
        <v/>
      </c>
      <c r="J306" s="1069" t="str">
        <f t="shared" ca="1" si="19"/>
        <v/>
      </c>
      <c r="K306" s="1069" t="str">
        <f t="shared" ca="1" si="19"/>
        <v/>
      </c>
      <c r="L306" s="1069" t="str">
        <f t="shared" ca="1" si="19"/>
        <v/>
      </c>
      <c r="M306" s="1069" t="str">
        <f t="shared" ca="1" si="19"/>
        <v/>
      </c>
      <c r="N306" s="1069" t="str">
        <f t="shared" ca="1" si="20"/>
        <v/>
      </c>
      <c r="O306" s="1069" t="str">
        <f t="shared" ca="1" si="20"/>
        <v/>
      </c>
      <c r="P306" s="1069" t="str">
        <f t="shared" ca="1" si="20"/>
        <v>Armourer Magus</v>
      </c>
      <c r="Q306" s="1069" t="str">
        <f t="shared" ca="1" si="20"/>
        <v/>
      </c>
      <c r="R306" s="1069" t="str">
        <f t="shared" ca="1" si="20"/>
        <v/>
      </c>
      <c r="S306" s="1069" t="str">
        <f t="shared" ca="1" si="20"/>
        <v/>
      </c>
      <c r="T306" s="1069" t="str">
        <f t="shared" ca="1" si="20"/>
        <v/>
      </c>
      <c r="U306" s="1069" t="str">
        <f t="shared" ca="1" si="20"/>
        <v/>
      </c>
      <c r="V306" s="1069" t="str">
        <f t="shared" ca="1" si="20"/>
        <v/>
      </c>
      <c r="W306" s="1069" t="str">
        <f t="shared" ca="1" si="20"/>
        <v/>
      </c>
      <c r="X306" s="1069" t="str">
        <f t="shared" ca="1" si="20"/>
        <v/>
      </c>
      <c r="Y306" s="1069" t="str">
        <f t="shared" ca="1" si="20"/>
        <v/>
      </c>
      <c r="Z306" s="1069" t="str">
        <f t="shared" ca="1" si="20"/>
        <v/>
      </c>
      <c r="AA306" s="1069" t="str">
        <f t="shared" ca="1" si="20"/>
        <v/>
      </c>
    </row>
    <row r="307" spans="1:27" ht="9.9499999999999993" customHeight="1">
      <c r="A307" s="598">
        <v>90</v>
      </c>
      <c r="C307" s="598" t="s">
        <v>2225</v>
      </c>
      <c r="D307" s="1069" t="str">
        <f t="shared" ca="1" si="19"/>
        <v/>
      </c>
      <c r="E307" s="1069" t="str">
        <f t="shared" ca="1" si="19"/>
        <v/>
      </c>
      <c r="F307" s="1069" t="str">
        <f t="shared" ca="1" si="19"/>
        <v/>
      </c>
      <c r="G307" s="1069" t="str">
        <f t="shared" ca="1" si="19"/>
        <v/>
      </c>
      <c r="H307" s="1069" t="str">
        <f t="shared" ca="1" si="19"/>
        <v/>
      </c>
      <c r="I307" s="1069" t="str">
        <f t="shared" ca="1" si="19"/>
        <v/>
      </c>
      <c r="J307" s="1069" t="str">
        <f t="shared" ca="1" si="19"/>
        <v/>
      </c>
      <c r="K307" s="1069" t="str">
        <f t="shared" ca="1" si="19"/>
        <v/>
      </c>
      <c r="L307" s="1069" t="str">
        <f t="shared" ca="1" si="19"/>
        <v/>
      </c>
      <c r="M307" s="1069" t="str">
        <f t="shared" ca="1" si="19"/>
        <v/>
      </c>
      <c r="N307" s="1069" t="str">
        <f t="shared" ca="1" si="20"/>
        <v/>
      </c>
      <c r="O307" s="1069" t="str">
        <f t="shared" ca="1" si="20"/>
        <v/>
      </c>
      <c r="P307" s="1069" t="str">
        <f t="shared" ca="1" si="20"/>
        <v>Weaponsmith Magus</v>
      </c>
      <c r="Q307" s="1069" t="str">
        <f t="shared" ca="1" si="20"/>
        <v/>
      </c>
      <c r="R307" s="1069" t="str">
        <f t="shared" ca="1" si="20"/>
        <v/>
      </c>
      <c r="S307" s="1069" t="str">
        <f t="shared" ca="1" si="20"/>
        <v/>
      </c>
      <c r="T307" s="1069" t="str">
        <f t="shared" ca="1" si="20"/>
        <v/>
      </c>
      <c r="U307" s="1069" t="str">
        <f t="shared" ca="1" si="20"/>
        <v/>
      </c>
      <c r="V307" s="1069" t="str">
        <f t="shared" ca="1" si="20"/>
        <v/>
      </c>
      <c r="W307" s="1069" t="str">
        <f t="shared" ca="1" si="20"/>
        <v/>
      </c>
      <c r="X307" s="1069" t="str">
        <f t="shared" ca="1" si="20"/>
        <v/>
      </c>
      <c r="Y307" s="1069" t="str">
        <f t="shared" ca="1" si="20"/>
        <v/>
      </c>
      <c r="Z307" s="1069" t="str">
        <f t="shared" ca="1" si="20"/>
        <v/>
      </c>
      <c r="AA307" s="1069" t="str">
        <f t="shared" ca="1" si="20"/>
        <v/>
      </c>
    </row>
    <row r="308" spans="1:27" ht="9.9499999999999993" customHeight="1">
      <c r="A308" s="598">
        <v>91</v>
      </c>
      <c r="C308" s="598" t="s">
        <v>2225</v>
      </c>
      <c r="D308" s="1069" t="str">
        <f t="shared" ca="1" si="19"/>
        <v/>
      </c>
      <c r="E308" s="1069" t="str">
        <f t="shared" ca="1" si="19"/>
        <v/>
      </c>
      <c r="F308" s="1069" t="str">
        <f t="shared" ca="1" si="19"/>
        <v/>
      </c>
      <c r="G308" s="1069" t="str">
        <f t="shared" ca="1" si="19"/>
        <v/>
      </c>
      <c r="H308" s="1069" t="str">
        <f t="shared" ca="1" si="19"/>
        <v/>
      </c>
      <c r="I308" s="1069" t="str">
        <f t="shared" ca="1" si="19"/>
        <v/>
      </c>
      <c r="J308" s="1069" t="str">
        <f t="shared" ca="1" si="19"/>
        <v/>
      </c>
      <c r="K308" s="1069" t="str">
        <f t="shared" ca="1" si="19"/>
        <v/>
      </c>
      <c r="L308" s="1069" t="str">
        <f t="shared" ca="1" si="19"/>
        <v/>
      </c>
      <c r="M308" s="1069" t="str">
        <f t="shared" ca="1" si="19"/>
        <v/>
      </c>
      <c r="N308" s="1069" t="str">
        <f t="shared" ca="1" si="20"/>
        <v/>
      </c>
      <c r="O308" s="1069" t="str">
        <f t="shared" ca="1" si="20"/>
        <v/>
      </c>
      <c r="P308" s="1069" t="str">
        <f t="shared" ca="1" si="20"/>
        <v>Enchantment</v>
      </c>
      <c r="Q308" s="1069" t="str">
        <f t="shared" ca="1" si="20"/>
        <v/>
      </c>
      <c r="R308" s="1069" t="str">
        <f t="shared" ca="1" si="20"/>
        <v/>
      </c>
      <c r="S308" s="1069" t="str">
        <f t="shared" ca="1" si="20"/>
        <v/>
      </c>
      <c r="T308" s="1069" t="str">
        <f t="shared" ca="1" si="20"/>
        <v/>
      </c>
      <c r="U308" s="1069" t="str">
        <f t="shared" ca="1" si="20"/>
        <v/>
      </c>
      <c r="V308" s="1069" t="str">
        <f t="shared" ca="1" si="20"/>
        <v/>
      </c>
      <c r="W308" s="1069" t="str">
        <f t="shared" ca="1" si="20"/>
        <v/>
      </c>
      <c r="X308" s="1069" t="str">
        <f t="shared" ca="1" si="20"/>
        <v/>
      </c>
      <c r="Y308" s="1069" t="str">
        <f t="shared" ca="1" si="20"/>
        <v/>
      </c>
      <c r="Z308" s="1069" t="str">
        <f t="shared" ca="1" si="20"/>
        <v/>
      </c>
      <c r="AA308" s="1069" t="str">
        <f t="shared" ca="1" si="20"/>
        <v/>
      </c>
    </row>
    <row r="309" spans="1:27" ht="9.9499999999999993" customHeight="1">
      <c r="A309" s="598">
        <v>92</v>
      </c>
      <c r="C309" s="598" t="s">
        <v>2225</v>
      </c>
      <c r="D309" s="1069" t="str">
        <f t="shared" ref="D309:M318" ca="1" si="21">IF(ISNUMBER(INDEX($D$526:$AA$725,ROW()-ROW($D$218),COLUMN()-COLUMN($C$219))),INDEX(Skills_Table,INDEX($D$526:$AA$725,ROW()-ROW($D$218),COLUMN()-COLUMN($C$219))-4,HLOOKUP("Skill Name",Skill_Columns,2,0)),"")</f>
        <v/>
      </c>
      <c r="E309" s="1069" t="str">
        <f t="shared" ca="1" si="21"/>
        <v/>
      </c>
      <c r="F309" s="1069" t="str">
        <f t="shared" ca="1" si="21"/>
        <v/>
      </c>
      <c r="G309" s="1069" t="str">
        <f t="shared" ca="1" si="21"/>
        <v/>
      </c>
      <c r="H309" s="1069" t="str">
        <f t="shared" ca="1" si="21"/>
        <v/>
      </c>
      <c r="I309" s="1069" t="str">
        <f t="shared" ca="1" si="21"/>
        <v/>
      </c>
      <c r="J309" s="1069" t="str">
        <f t="shared" ca="1" si="21"/>
        <v/>
      </c>
      <c r="K309" s="1069" t="str">
        <f t="shared" ca="1" si="21"/>
        <v/>
      </c>
      <c r="L309" s="1069" t="str">
        <f t="shared" ca="1" si="21"/>
        <v/>
      </c>
      <c r="M309" s="1069" t="str">
        <f t="shared" ca="1" si="21"/>
        <v/>
      </c>
      <c r="N309" s="1069" t="str">
        <f t="shared" ref="N309:AA318" ca="1" si="22">IF(ISNUMBER(INDEX($D$526:$AA$725,ROW()-ROW($D$218),COLUMN()-COLUMN($C$219))),INDEX(Skills_Table,INDEX($D$526:$AA$725,ROW()-ROW($D$218),COLUMN()-COLUMN($C$219))-4,HLOOKUP("Skill Name",Skill_Columns,2,0)),"")</f>
        <v/>
      </c>
      <c r="O309" s="1069" t="str">
        <f t="shared" ca="1" si="22"/>
        <v/>
      </c>
      <c r="P309" s="1069" t="str">
        <f t="shared" ca="1" si="22"/>
        <v>Elementalist:Air</v>
      </c>
      <c r="Q309" s="1069" t="str">
        <f t="shared" ca="1" si="22"/>
        <v/>
      </c>
      <c r="R309" s="1069" t="str">
        <f t="shared" ca="1" si="22"/>
        <v/>
      </c>
      <c r="S309" s="1069" t="str">
        <f t="shared" ca="1" si="22"/>
        <v/>
      </c>
      <c r="T309" s="1069" t="str">
        <f t="shared" ca="1" si="22"/>
        <v/>
      </c>
      <c r="U309" s="1069" t="str">
        <f t="shared" ca="1" si="22"/>
        <v/>
      </c>
      <c r="V309" s="1069" t="str">
        <f t="shared" ca="1" si="22"/>
        <v/>
      </c>
      <c r="W309" s="1069" t="str">
        <f t="shared" ca="1" si="22"/>
        <v/>
      </c>
      <c r="X309" s="1069" t="str">
        <f t="shared" ca="1" si="22"/>
        <v/>
      </c>
      <c r="Y309" s="1069" t="str">
        <f t="shared" ca="1" si="22"/>
        <v/>
      </c>
      <c r="Z309" s="1069" t="str">
        <f t="shared" ca="1" si="22"/>
        <v/>
      </c>
      <c r="AA309" s="1069" t="str">
        <f t="shared" ca="1" si="22"/>
        <v/>
      </c>
    </row>
    <row r="310" spans="1:27" ht="9.9499999999999993" customHeight="1">
      <c r="A310" s="598">
        <v>93</v>
      </c>
      <c r="C310" s="598" t="s">
        <v>2225</v>
      </c>
      <c r="D310" s="1069" t="str">
        <f t="shared" ca="1" si="21"/>
        <v/>
      </c>
      <c r="E310" s="1069" t="str">
        <f t="shared" ca="1" si="21"/>
        <v/>
      </c>
      <c r="F310" s="1069" t="str">
        <f t="shared" ca="1" si="21"/>
        <v/>
      </c>
      <c r="G310" s="1069" t="str">
        <f t="shared" ca="1" si="21"/>
        <v/>
      </c>
      <c r="H310" s="1069" t="str">
        <f t="shared" ca="1" si="21"/>
        <v/>
      </c>
      <c r="I310" s="1069" t="str">
        <f t="shared" ca="1" si="21"/>
        <v/>
      </c>
      <c r="J310" s="1069" t="str">
        <f t="shared" ca="1" si="21"/>
        <v/>
      </c>
      <c r="K310" s="1069" t="str">
        <f t="shared" ca="1" si="21"/>
        <v/>
      </c>
      <c r="L310" s="1069" t="str">
        <f t="shared" ca="1" si="21"/>
        <v/>
      </c>
      <c r="M310" s="1069" t="str">
        <f t="shared" ca="1" si="21"/>
        <v/>
      </c>
      <c r="N310" s="1069" t="str">
        <f t="shared" ca="1" si="22"/>
        <v/>
      </c>
      <c r="O310" s="1069" t="str">
        <f t="shared" ca="1" si="22"/>
        <v/>
      </c>
      <c r="P310" s="1069" t="str">
        <f t="shared" ca="1" si="22"/>
        <v>Elementalist:Earth</v>
      </c>
      <c r="Q310" s="1069" t="str">
        <f t="shared" ca="1" si="22"/>
        <v/>
      </c>
      <c r="R310" s="1069" t="str">
        <f t="shared" ca="1" si="22"/>
        <v/>
      </c>
      <c r="S310" s="1069" t="str">
        <f t="shared" ca="1" si="22"/>
        <v/>
      </c>
      <c r="T310" s="1069" t="str">
        <f t="shared" ca="1" si="22"/>
        <v/>
      </c>
      <c r="U310" s="1069" t="str">
        <f t="shared" ca="1" si="22"/>
        <v/>
      </c>
      <c r="V310" s="1069" t="str">
        <f t="shared" ca="1" si="22"/>
        <v/>
      </c>
      <c r="W310" s="1069" t="str">
        <f t="shared" ca="1" si="22"/>
        <v/>
      </c>
      <c r="X310" s="1069" t="str">
        <f t="shared" ca="1" si="22"/>
        <v/>
      </c>
      <c r="Y310" s="1069" t="str">
        <f t="shared" ca="1" si="22"/>
        <v/>
      </c>
      <c r="Z310" s="1069" t="str">
        <f t="shared" ca="1" si="22"/>
        <v/>
      </c>
      <c r="AA310" s="1069" t="str">
        <f t="shared" ca="1" si="22"/>
        <v/>
      </c>
    </row>
    <row r="311" spans="1:27" ht="9.9499999999999993" customHeight="1">
      <c r="A311" s="598">
        <v>94</v>
      </c>
      <c r="C311" s="598" t="s">
        <v>2225</v>
      </c>
      <c r="D311" s="1069" t="str">
        <f t="shared" ca="1" si="21"/>
        <v/>
      </c>
      <c r="E311" s="1069" t="str">
        <f t="shared" ca="1" si="21"/>
        <v/>
      </c>
      <c r="F311" s="1069" t="str">
        <f t="shared" ca="1" si="21"/>
        <v/>
      </c>
      <c r="G311" s="1069" t="str">
        <f t="shared" ca="1" si="21"/>
        <v/>
      </c>
      <c r="H311" s="1069" t="str">
        <f t="shared" ca="1" si="21"/>
        <v/>
      </c>
      <c r="I311" s="1069" t="str">
        <f t="shared" ca="1" si="21"/>
        <v/>
      </c>
      <c r="J311" s="1069" t="str">
        <f t="shared" ca="1" si="21"/>
        <v/>
      </c>
      <c r="K311" s="1069" t="str">
        <f t="shared" ca="1" si="21"/>
        <v/>
      </c>
      <c r="L311" s="1069" t="str">
        <f t="shared" ca="1" si="21"/>
        <v/>
      </c>
      <c r="M311" s="1069" t="str">
        <f t="shared" ca="1" si="21"/>
        <v/>
      </c>
      <c r="N311" s="1069" t="str">
        <f t="shared" ca="1" si="22"/>
        <v/>
      </c>
      <c r="O311" s="1069" t="str">
        <f t="shared" ca="1" si="22"/>
        <v/>
      </c>
      <c r="P311" s="1069" t="str">
        <f t="shared" ca="1" si="22"/>
        <v>Elementalist:Fire</v>
      </c>
      <c r="Q311" s="1069" t="str">
        <f t="shared" ca="1" si="22"/>
        <v/>
      </c>
      <c r="R311" s="1069" t="str">
        <f t="shared" ca="1" si="22"/>
        <v/>
      </c>
      <c r="S311" s="1069" t="str">
        <f t="shared" ca="1" si="22"/>
        <v/>
      </c>
      <c r="T311" s="1069" t="str">
        <f t="shared" ca="1" si="22"/>
        <v/>
      </c>
      <c r="U311" s="1069" t="str">
        <f t="shared" ca="1" si="22"/>
        <v/>
      </c>
      <c r="V311" s="1069" t="str">
        <f t="shared" ca="1" si="22"/>
        <v/>
      </c>
      <c r="W311" s="1069" t="str">
        <f t="shared" ca="1" si="22"/>
        <v/>
      </c>
      <c r="X311" s="1069" t="str">
        <f t="shared" ca="1" si="22"/>
        <v/>
      </c>
      <c r="Y311" s="1069" t="str">
        <f t="shared" ca="1" si="22"/>
        <v/>
      </c>
      <c r="Z311" s="1069" t="str">
        <f t="shared" ca="1" si="22"/>
        <v/>
      </c>
      <c r="AA311" s="1069" t="str">
        <f t="shared" ca="1" si="22"/>
        <v/>
      </c>
    </row>
    <row r="312" spans="1:27" ht="9.9499999999999993" customHeight="1">
      <c r="A312" s="598">
        <v>95</v>
      </c>
      <c r="C312" s="598" t="s">
        <v>2225</v>
      </c>
      <c r="D312" s="1069" t="str">
        <f t="shared" ca="1" si="21"/>
        <v/>
      </c>
      <c r="E312" s="1069" t="str">
        <f t="shared" ca="1" si="21"/>
        <v/>
      </c>
      <c r="F312" s="1069" t="str">
        <f t="shared" ca="1" si="21"/>
        <v/>
      </c>
      <c r="G312" s="1069" t="str">
        <f t="shared" ca="1" si="21"/>
        <v/>
      </c>
      <c r="H312" s="1069" t="str">
        <f t="shared" ca="1" si="21"/>
        <v/>
      </c>
      <c r="I312" s="1069" t="str">
        <f t="shared" ca="1" si="21"/>
        <v/>
      </c>
      <c r="J312" s="1069" t="str">
        <f t="shared" ca="1" si="21"/>
        <v/>
      </c>
      <c r="K312" s="1069" t="str">
        <f t="shared" ca="1" si="21"/>
        <v/>
      </c>
      <c r="L312" s="1069" t="str">
        <f t="shared" ca="1" si="21"/>
        <v/>
      </c>
      <c r="M312" s="1069" t="str">
        <f t="shared" ca="1" si="21"/>
        <v/>
      </c>
      <c r="N312" s="1069" t="str">
        <f t="shared" ca="1" si="22"/>
        <v/>
      </c>
      <c r="O312" s="1069" t="str">
        <f t="shared" ca="1" si="22"/>
        <v/>
      </c>
      <c r="P312" s="1069" t="str">
        <f t="shared" ca="1" si="22"/>
        <v>Elementalist:Water</v>
      </c>
      <c r="Q312" s="1069" t="str">
        <f t="shared" ca="1" si="22"/>
        <v/>
      </c>
      <c r="R312" s="1069" t="str">
        <f t="shared" ca="1" si="22"/>
        <v/>
      </c>
      <c r="S312" s="1069" t="str">
        <f t="shared" ca="1" si="22"/>
        <v/>
      </c>
      <c r="T312" s="1069" t="str">
        <f t="shared" ca="1" si="22"/>
        <v/>
      </c>
      <c r="U312" s="1069" t="str">
        <f t="shared" ca="1" si="22"/>
        <v/>
      </c>
      <c r="V312" s="1069" t="str">
        <f t="shared" ca="1" si="22"/>
        <v/>
      </c>
      <c r="W312" s="1069" t="str">
        <f t="shared" ca="1" si="22"/>
        <v/>
      </c>
      <c r="X312" s="1069" t="str">
        <f t="shared" ca="1" si="22"/>
        <v/>
      </c>
      <c r="Y312" s="1069" t="str">
        <f t="shared" ca="1" si="22"/>
        <v/>
      </c>
      <c r="Z312" s="1069" t="str">
        <f t="shared" ca="1" si="22"/>
        <v/>
      </c>
      <c r="AA312" s="1069" t="str">
        <f t="shared" ca="1" si="22"/>
        <v/>
      </c>
    </row>
    <row r="313" spans="1:27" ht="9.9499999999999993" customHeight="1">
      <c r="A313" s="598">
        <v>96</v>
      </c>
      <c r="C313" s="598" t="s">
        <v>2225</v>
      </c>
      <c r="D313" s="1069" t="str">
        <f t="shared" ca="1" si="21"/>
        <v/>
      </c>
      <c r="E313" s="1069" t="str">
        <f t="shared" ca="1" si="21"/>
        <v/>
      </c>
      <c r="F313" s="1069" t="str">
        <f t="shared" ca="1" si="21"/>
        <v/>
      </c>
      <c r="G313" s="1069" t="str">
        <f t="shared" ca="1" si="21"/>
        <v/>
      </c>
      <c r="H313" s="1069" t="str">
        <f t="shared" ca="1" si="21"/>
        <v/>
      </c>
      <c r="I313" s="1069" t="str">
        <f t="shared" ca="1" si="21"/>
        <v/>
      </c>
      <c r="J313" s="1069" t="str">
        <f t="shared" ca="1" si="21"/>
        <v/>
      </c>
      <c r="K313" s="1069" t="str">
        <f t="shared" ca="1" si="21"/>
        <v/>
      </c>
      <c r="L313" s="1069" t="str">
        <f t="shared" ca="1" si="21"/>
        <v/>
      </c>
      <c r="M313" s="1069" t="str">
        <f t="shared" ca="1" si="21"/>
        <v/>
      </c>
      <c r="N313" s="1069" t="str">
        <f t="shared" ca="1" si="22"/>
        <v/>
      </c>
      <c r="O313" s="1069" t="str">
        <f t="shared" ca="1" si="22"/>
        <v/>
      </c>
      <c r="P313" s="1069" t="str">
        <f t="shared" ca="1" si="22"/>
        <v>Master of All Elements</v>
      </c>
      <c r="Q313" s="1069" t="str">
        <f t="shared" ca="1" si="22"/>
        <v/>
      </c>
      <c r="R313" s="1069" t="str">
        <f t="shared" ca="1" si="22"/>
        <v/>
      </c>
      <c r="S313" s="1069" t="str">
        <f t="shared" ca="1" si="22"/>
        <v/>
      </c>
      <c r="T313" s="1069" t="str">
        <f t="shared" ca="1" si="22"/>
        <v/>
      </c>
      <c r="U313" s="1069" t="str">
        <f t="shared" ca="1" si="22"/>
        <v/>
      </c>
      <c r="V313" s="1069" t="str">
        <f t="shared" ca="1" si="22"/>
        <v/>
      </c>
      <c r="W313" s="1069" t="str">
        <f t="shared" ca="1" si="22"/>
        <v/>
      </c>
      <c r="X313" s="1069" t="str">
        <f t="shared" ca="1" si="22"/>
        <v/>
      </c>
      <c r="Y313" s="1069" t="str">
        <f t="shared" ca="1" si="22"/>
        <v/>
      </c>
      <c r="Z313" s="1069" t="str">
        <f t="shared" ca="1" si="22"/>
        <v/>
      </c>
      <c r="AA313" s="1069" t="str">
        <f t="shared" ca="1" si="22"/>
        <v/>
      </c>
    </row>
    <row r="314" spans="1:27" ht="9.9499999999999993" customHeight="1">
      <c r="A314" s="598">
        <v>97</v>
      </c>
      <c r="C314" s="598" t="s">
        <v>2225</v>
      </c>
      <c r="D314" s="1069" t="str">
        <f t="shared" ca="1" si="21"/>
        <v/>
      </c>
      <c r="E314" s="1069" t="str">
        <f t="shared" ca="1" si="21"/>
        <v/>
      </c>
      <c r="F314" s="1069" t="str">
        <f t="shared" ca="1" si="21"/>
        <v/>
      </c>
      <c r="G314" s="1069" t="str">
        <f t="shared" ca="1" si="21"/>
        <v/>
      </c>
      <c r="H314" s="1069" t="str">
        <f t="shared" ca="1" si="21"/>
        <v/>
      </c>
      <c r="I314" s="1069" t="str">
        <f t="shared" ca="1" si="21"/>
        <v/>
      </c>
      <c r="J314" s="1069" t="str">
        <f t="shared" ca="1" si="21"/>
        <v/>
      </c>
      <c r="K314" s="1069" t="str">
        <f t="shared" ca="1" si="21"/>
        <v/>
      </c>
      <c r="L314" s="1069" t="str">
        <f t="shared" ca="1" si="21"/>
        <v/>
      </c>
      <c r="M314" s="1069" t="str">
        <f t="shared" ca="1" si="21"/>
        <v/>
      </c>
      <c r="N314" s="1069" t="str">
        <f t="shared" ca="1" si="22"/>
        <v/>
      </c>
      <c r="O314" s="1069" t="str">
        <f t="shared" ca="1" si="22"/>
        <v/>
      </c>
      <c r="P314" s="1069" t="str">
        <f t="shared" ca="1" si="22"/>
        <v>Elven Magus</v>
      </c>
      <c r="Q314" s="1069" t="str">
        <f t="shared" ca="1" si="22"/>
        <v/>
      </c>
      <c r="R314" s="1069" t="str">
        <f t="shared" ca="1" si="22"/>
        <v/>
      </c>
      <c r="S314" s="1069" t="str">
        <f t="shared" ca="1" si="22"/>
        <v/>
      </c>
      <c r="T314" s="1069" t="str">
        <f t="shared" ca="1" si="22"/>
        <v/>
      </c>
      <c r="U314" s="1069" t="str">
        <f t="shared" ca="1" si="22"/>
        <v/>
      </c>
      <c r="V314" s="1069" t="str">
        <f t="shared" ca="1" si="22"/>
        <v/>
      </c>
      <c r="W314" s="1069" t="str">
        <f t="shared" ca="1" si="22"/>
        <v/>
      </c>
      <c r="X314" s="1069" t="str">
        <f t="shared" ca="1" si="22"/>
        <v/>
      </c>
      <c r="Y314" s="1069" t="str">
        <f t="shared" ca="1" si="22"/>
        <v/>
      </c>
      <c r="Z314" s="1069" t="str">
        <f t="shared" ca="1" si="22"/>
        <v/>
      </c>
      <c r="AA314" s="1069" t="str">
        <f t="shared" ca="1" si="22"/>
        <v/>
      </c>
    </row>
    <row r="315" spans="1:27" ht="9.9499999999999993" customHeight="1">
      <c r="A315" s="598">
        <v>98</v>
      </c>
      <c r="C315" s="598" t="s">
        <v>2225</v>
      </c>
      <c r="D315" s="1069" t="str">
        <f t="shared" ca="1" si="21"/>
        <v/>
      </c>
      <c r="E315" s="1069" t="str">
        <f t="shared" ca="1" si="21"/>
        <v/>
      </c>
      <c r="F315" s="1069" t="str">
        <f t="shared" ca="1" si="21"/>
        <v/>
      </c>
      <c r="G315" s="1069" t="str">
        <f t="shared" ca="1" si="21"/>
        <v/>
      </c>
      <c r="H315" s="1069" t="str">
        <f t="shared" ca="1" si="21"/>
        <v/>
      </c>
      <c r="I315" s="1069" t="str">
        <f t="shared" ca="1" si="21"/>
        <v/>
      </c>
      <c r="J315" s="1069" t="str">
        <f t="shared" ca="1" si="21"/>
        <v/>
      </c>
      <c r="K315" s="1069" t="str">
        <f t="shared" ca="1" si="21"/>
        <v/>
      </c>
      <c r="L315" s="1069" t="str">
        <f t="shared" ca="1" si="21"/>
        <v/>
      </c>
      <c r="M315" s="1069" t="str">
        <f t="shared" ca="1" si="21"/>
        <v/>
      </c>
      <c r="N315" s="1069" t="str">
        <f t="shared" ca="1" si="22"/>
        <v/>
      </c>
      <c r="O315" s="1069" t="str">
        <f t="shared" ca="1" si="22"/>
        <v/>
      </c>
      <c r="P315" s="1069" t="str">
        <f t="shared" ca="1" si="22"/>
        <v>Bowyer Magus</v>
      </c>
      <c r="Q315" s="1069" t="str">
        <f t="shared" ca="1" si="22"/>
        <v/>
      </c>
      <c r="R315" s="1069" t="str">
        <f t="shared" ca="1" si="22"/>
        <v/>
      </c>
      <c r="S315" s="1069" t="str">
        <f t="shared" ca="1" si="22"/>
        <v/>
      </c>
      <c r="T315" s="1069" t="str">
        <f t="shared" ca="1" si="22"/>
        <v/>
      </c>
      <c r="U315" s="1069" t="str">
        <f t="shared" ca="1" si="22"/>
        <v/>
      </c>
      <c r="V315" s="1069" t="str">
        <f t="shared" ca="1" si="22"/>
        <v/>
      </c>
      <c r="W315" s="1069" t="str">
        <f t="shared" ca="1" si="22"/>
        <v/>
      </c>
      <c r="X315" s="1069" t="str">
        <f t="shared" ca="1" si="22"/>
        <v/>
      </c>
      <c r="Y315" s="1069" t="str">
        <f t="shared" ca="1" si="22"/>
        <v/>
      </c>
      <c r="Z315" s="1069" t="str">
        <f t="shared" ca="1" si="22"/>
        <v/>
      </c>
      <c r="AA315" s="1069" t="str">
        <f t="shared" ca="1" si="22"/>
        <v/>
      </c>
    </row>
    <row r="316" spans="1:27" ht="9.9499999999999993" customHeight="1">
      <c r="A316" s="598">
        <v>99</v>
      </c>
      <c r="C316" s="598" t="s">
        <v>2225</v>
      </c>
      <c r="D316" s="1069" t="str">
        <f t="shared" ca="1" si="21"/>
        <v/>
      </c>
      <c r="E316" s="1069" t="str">
        <f t="shared" ca="1" si="21"/>
        <v/>
      </c>
      <c r="F316" s="1069" t="str">
        <f t="shared" ca="1" si="21"/>
        <v/>
      </c>
      <c r="G316" s="1069" t="str">
        <f t="shared" ca="1" si="21"/>
        <v/>
      </c>
      <c r="H316" s="1069" t="str">
        <f t="shared" ca="1" si="21"/>
        <v/>
      </c>
      <c r="I316" s="1069" t="str">
        <f t="shared" ca="1" si="21"/>
        <v/>
      </c>
      <c r="J316" s="1069" t="str">
        <f t="shared" ca="1" si="21"/>
        <v/>
      </c>
      <c r="K316" s="1069" t="str">
        <f t="shared" ca="1" si="21"/>
        <v/>
      </c>
      <c r="L316" s="1069" t="str">
        <f t="shared" ca="1" si="21"/>
        <v/>
      </c>
      <c r="M316" s="1069" t="str">
        <f t="shared" ca="1" si="21"/>
        <v/>
      </c>
      <c r="N316" s="1069" t="str">
        <f t="shared" ca="1" si="22"/>
        <v/>
      </c>
      <c r="O316" s="1069" t="str">
        <f t="shared" ca="1" si="22"/>
        <v/>
      </c>
      <c r="P316" s="1069" t="str">
        <f t="shared" ca="1" si="22"/>
        <v>Warden Mage</v>
      </c>
      <c r="Q316" s="1069" t="str">
        <f t="shared" ca="1" si="22"/>
        <v/>
      </c>
      <c r="R316" s="1069" t="str">
        <f t="shared" ca="1" si="22"/>
        <v/>
      </c>
      <c r="S316" s="1069" t="str">
        <f t="shared" ca="1" si="22"/>
        <v/>
      </c>
      <c r="T316" s="1069" t="str">
        <f t="shared" ca="1" si="22"/>
        <v/>
      </c>
      <c r="U316" s="1069" t="str">
        <f t="shared" ca="1" si="22"/>
        <v/>
      </c>
      <c r="V316" s="1069" t="str">
        <f t="shared" ca="1" si="22"/>
        <v/>
      </c>
      <c r="W316" s="1069" t="str">
        <f t="shared" ca="1" si="22"/>
        <v/>
      </c>
      <c r="X316" s="1069" t="str">
        <f t="shared" ca="1" si="22"/>
        <v/>
      </c>
      <c r="Y316" s="1069" t="str">
        <f t="shared" ca="1" si="22"/>
        <v/>
      </c>
      <c r="Z316" s="1069" t="str">
        <f t="shared" ca="1" si="22"/>
        <v/>
      </c>
      <c r="AA316" s="1069" t="str">
        <f t="shared" ca="1" si="22"/>
        <v/>
      </c>
    </row>
    <row r="317" spans="1:27" ht="9.9499999999999993" customHeight="1">
      <c r="A317" s="598">
        <v>100</v>
      </c>
      <c r="C317" s="598" t="s">
        <v>2225</v>
      </c>
      <c r="D317" s="1069" t="str">
        <f t="shared" ca="1" si="21"/>
        <v/>
      </c>
      <c r="E317" s="1069" t="str">
        <f t="shared" ca="1" si="21"/>
        <v/>
      </c>
      <c r="F317" s="1069" t="str">
        <f t="shared" ca="1" si="21"/>
        <v/>
      </c>
      <c r="G317" s="1069" t="str">
        <f t="shared" ca="1" si="21"/>
        <v/>
      </c>
      <c r="H317" s="1069" t="str">
        <f t="shared" ca="1" si="21"/>
        <v/>
      </c>
      <c r="I317" s="1069" t="str">
        <f t="shared" ca="1" si="21"/>
        <v/>
      </c>
      <c r="J317" s="1069" t="str">
        <f t="shared" ca="1" si="21"/>
        <v/>
      </c>
      <c r="K317" s="1069" t="str">
        <f t="shared" ca="1" si="21"/>
        <v/>
      </c>
      <c r="L317" s="1069" t="str">
        <f t="shared" ca="1" si="21"/>
        <v/>
      </c>
      <c r="M317" s="1069" t="str">
        <f t="shared" ca="1" si="21"/>
        <v/>
      </c>
      <c r="N317" s="1069" t="str">
        <f t="shared" ca="1" si="22"/>
        <v/>
      </c>
      <c r="O317" s="1069" t="str">
        <f t="shared" ca="1" si="22"/>
        <v/>
      </c>
      <c r="P317" s="1069" t="str">
        <f t="shared" ca="1" si="22"/>
        <v>Gardener Mage</v>
      </c>
      <c r="Q317" s="1069" t="str">
        <f t="shared" ca="1" si="22"/>
        <v/>
      </c>
      <c r="R317" s="1069" t="str">
        <f t="shared" ca="1" si="22"/>
        <v/>
      </c>
      <c r="S317" s="1069" t="str">
        <f t="shared" ca="1" si="22"/>
        <v/>
      </c>
      <c r="T317" s="1069" t="str">
        <f t="shared" ca="1" si="22"/>
        <v/>
      </c>
      <c r="U317" s="1069" t="str">
        <f t="shared" ca="1" si="22"/>
        <v/>
      </c>
      <c r="V317" s="1069" t="str">
        <f t="shared" ca="1" si="22"/>
        <v/>
      </c>
      <c r="W317" s="1069" t="str">
        <f t="shared" ca="1" si="22"/>
        <v/>
      </c>
      <c r="X317" s="1069" t="str">
        <f t="shared" ca="1" si="22"/>
        <v/>
      </c>
      <c r="Y317" s="1069" t="str">
        <f t="shared" ca="1" si="22"/>
        <v/>
      </c>
      <c r="Z317" s="1069" t="str">
        <f t="shared" ca="1" si="22"/>
        <v/>
      </c>
      <c r="AA317" s="1069" t="str">
        <f t="shared" ca="1" si="22"/>
        <v/>
      </c>
    </row>
    <row r="318" spans="1:27" s="1069" customFormat="1" ht="9.9499999999999993" customHeight="1">
      <c r="A318" s="1069">
        <v>101</v>
      </c>
      <c r="D318" s="1069" t="str">
        <f t="shared" ca="1" si="21"/>
        <v/>
      </c>
      <c r="E318" s="1069" t="str">
        <f t="shared" ca="1" si="21"/>
        <v/>
      </c>
      <c r="F318" s="1069" t="str">
        <f t="shared" ca="1" si="21"/>
        <v/>
      </c>
      <c r="G318" s="1069" t="str">
        <f t="shared" ca="1" si="21"/>
        <v/>
      </c>
      <c r="H318" s="1069" t="str">
        <f t="shared" ca="1" si="21"/>
        <v/>
      </c>
      <c r="I318" s="1069" t="str">
        <f t="shared" ca="1" si="21"/>
        <v/>
      </c>
      <c r="J318" s="1069" t="str">
        <f t="shared" ca="1" si="21"/>
        <v/>
      </c>
      <c r="K318" s="1069" t="str">
        <f t="shared" ca="1" si="21"/>
        <v/>
      </c>
      <c r="L318" s="1069" t="str">
        <f t="shared" ca="1" si="21"/>
        <v/>
      </c>
      <c r="M318" s="1069" t="str">
        <f t="shared" ca="1" si="21"/>
        <v/>
      </c>
      <c r="N318" s="1069" t="str">
        <f t="shared" ca="1" si="22"/>
        <v/>
      </c>
      <c r="O318" s="1069" t="str">
        <f t="shared" ca="1" si="22"/>
        <v/>
      </c>
      <c r="P318" s="1069" t="str">
        <f t="shared" ca="1" si="22"/>
        <v>Haeflin Master Magus</v>
      </c>
      <c r="Q318" s="1069" t="str">
        <f t="shared" ca="1" si="22"/>
        <v/>
      </c>
      <c r="R318" s="1069" t="str">
        <f t="shared" ca="1" si="22"/>
        <v/>
      </c>
      <c r="S318" s="1069" t="str">
        <f t="shared" ca="1" si="22"/>
        <v/>
      </c>
      <c r="T318" s="1069" t="str">
        <f t="shared" ca="1" si="22"/>
        <v/>
      </c>
      <c r="U318" s="1069" t="str">
        <f t="shared" ca="1" si="22"/>
        <v/>
      </c>
      <c r="V318" s="1069" t="str">
        <f t="shared" ca="1" si="22"/>
        <v/>
      </c>
      <c r="W318" s="1069" t="str">
        <f t="shared" ca="1" si="22"/>
        <v/>
      </c>
      <c r="X318" s="1069" t="str">
        <f t="shared" ca="1" si="22"/>
        <v/>
      </c>
      <c r="Y318" s="1069" t="str">
        <f t="shared" ca="1" si="22"/>
        <v/>
      </c>
      <c r="Z318" s="1069" t="str">
        <f t="shared" ca="1" si="22"/>
        <v/>
      </c>
      <c r="AA318" s="1069" t="str">
        <f t="shared" ca="1" si="22"/>
        <v/>
      </c>
    </row>
    <row r="319" spans="1:27" s="1069" customFormat="1" ht="9.9499999999999993" customHeight="1">
      <c r="A319" s="1069">
        <v>102</v>
      </c>
      <c r="D319" s="1069" t="str">
        <f t="shared" ref="D319:M328" ca="1" si="23">IF(ISNUMBER(INDEX($D$526:$AA$725,ROW()-ROW($D$218),COLUMN()-COLUMN($C$219))),INDEX(Skills_Table,INDEX($D$526:$AA$725,ROW()-ROW($D$218),COLUMN()-COLUMN($C$219))-4,HLOOKUP("Skill Name",Skill_Columns,2,0)),"")</f>
        <v/>
      </c>
      <c r="E319" s="1069" t="str">
        <f t="shared" ca="1" si="23"/>
        <v/>
      </c>
      <c r="F319" s="1069" t="str">
        <f t="shared" ca="1" si="23"/>
        <v/>
      </c>
      <c r="G319" s="1069" t="str">
        <f t="shared" ca="1" si="23"/>
        <v/>
      </c>
      <c r="H319" s="1069" t="str">
        <f t="shared" ca="1" si="23"/>
        <v/>
      </c>
      <c r="I319" s="1069" t="str">
        <f t="shared" ca="1" si="23"/>
        <v/>
      </c>
      <c r="J319" s="1069" t="str">
        <f t="shared" ca="1" si="23"/>
        <v/>
      </c>
      <c r="K319" s="1069" t="str">
        <f t="shared" ca="1" si="23"/>
        <v/>
      </c>
      <c r="L319" s="1069" t="str">
        <f t="shared" ca="1" si="23"/>
        <v/>
      </c>
      <c r="M319" s="1069" t="str">
        <f t="shared" ca="1" si="23"/>
        <v/>
      </c>
      <c r="N319" s="1069" t="str">
        <f t="shared" ref="N319:AA328" ca="1" si="24">IF(ISNUMBER(INDEX($D$526:$AA$725,ROW()-ROW($D$218),COLUMN()-COLUMN($C$219))),INDEX(Skills_Table,INDEX($D$526:$AA$725,ROW()-ROW($D$218),COLUMN()-COLUMN($C$219))-4,HLOOKUP("Skill Name",Skill_Columns,2,0)),"")</f>
        <v/>
      </c>
      <c r="O319" s="1069" t="str">
        <f t="shared" ca="1" si="24"/>
        <v/>
      </c>
      <c r="P319" s="1069" t="str">
        <f t="shared" ca="1" si="24"/>
        <v>Hexmaster</v>
      </c>
      <c r="Q319" s="1069" t="str">
        <f t="shared" ca="1" si="24"/>
        <v/>
      </c>
      <c r="R319" s="1069" t="str">
        <f t="shared" ca="1" si="24"/>
        <v/>
      </c>
      <c r="S319" s="1069" t="str">
        <f t="shared" ca="1" si="24"/>
        <v/>
      </c>
      <c r="T319" s="1069" t="str">
        <f t="shared" ca="1" si="24"/>
        <v/>
      </c>
      <c r="U319" s="1069" t="str">
        <f t="shared" ca="1" si="24"/>
        <v/>
      </c>
      <c r="V319" s="1069" t="str">
        <f t="shared" ca="1" si="24"/>
        <v/>
      </c>
      <c r="W319" s="1069" t="str">
        <f t="shared" ca="1" si="24"/>
        <v/>
      </c>
      <c r="X319" s="1069" t="str">
        <f t="shared" ca="1" si="24"/>
        <v/>
      </c>
      <c r="Y319" s="1069" t="str">
        <f t="shared" ca="1" si="24"/>
        <v/>
      </c>
      <c r="Z319" s="1069" t="str">
        <f t="shared" ca="1" si="24"/>
        <v/>
      </c>
      <c r="AA319" s="1069" t="str">
        <f t="shared" ca="1" si="24"/>
        <v/>
      </c>
    </row>
    <row r="320" spans="1:27" s="1069" customFormat="1" ht="9.9499999999999993" customHeight="1">
      <c r="A320" s="1069">
        <v>103</v>
      </c>
      <c r="D320" s="1069" t="str">
        <f t="shared" ca="1" si="23"/>
        <v/>
      </c>
      <c r="E320" s="1069" t="str">
        <f t="shared" ca="1" si="23"/>
        <v/>
      </c>
      <c r="F320" s="1069" t="str">
        <f t="shared" ca="1" si="23"/>
        <v/>
      </c>
      <c r="G320" s="1069" t="str">
        <f t="shared" ca="1" si="23"/>
        <v/>
      </c>
      <c r="H320" s="1069" t="str">
        <f t="shared" ca="1" si="23"/>
        <v/>
      </c>
      <c r="I320" s="1069" t="str">
        <f t="shared" ca="1" si="23"/>
        <v/>
      </c>
      <c r="J320" s="1069" t="str">
        <f t="shared" ca="1" si="23"/>
        <v/>
      </c>
      <c r="K320" s="1069" t="str">
        <f t="shared" ca="1" si="23"/>
        <v/>
      </c>
      <c r="L320" s="1069" t="str">
        <f t="shared" ca="1" si="23"/>
        <v/>
      </c>
      <c r="M320" s="1069" t="str">
        <f t="shared" ca="1" si="23"/>
        <v/>
      </c>
      <c r="N320" s="1069" t="str">
        <f t="shared" ca="1" si="24"/>
        <v/>
      </c>
      <c r="O320" s="1069" t="str">
        <f t="shared" ca="1" si="24"/>
        <v/>
      </c>
      <c r="P320" s="1069" t="str">
        <f t="shared" ca="1" si="24"/>
        <v>Master Armourer Magus</v>
      </c>
      <c r="Q320" s="1069" t="str">
        <f t="shared" ca="1" si="24"/>
        <v/>
      </c>
      <c r="R320" s="1069" t="str">
        <f t="shared" ca="1" si="24"/>
        <v/>
      </c>
      <c r="S320" s="1069" t="str">
        <f t="shared" ca="1" si="24"/>
        <v/>
      </c>
      <c r="T320" s="1069" t="str">
        <f t="shared" ca="1" si="24"/>
        <v/>
      </c>
      <c r="U320" s="1069" t="str">
        <f t="shared" ca="1" si="24"/>
        <v/>
      </c>
      <c r="V320" s="1069" t="str">
        <f t="shared" ca="1" si="24"/>
        <v/>
      </c>
      <c r="W320" s="1069" t="str">
        <f t="shared" ca="1" si="24"/>
        <v/>
      </c>
      <c r="X320" s="1069" t="str">
        <f t="shared" ca="1" si="24"/>
        <v/>
      </c>
      <c r="Y320" s="1069" t="str">
        <f t="shared" ca="1" si="24"/>
        <v/>
      </c>
      <c r="Z320" s="1069" t="str">
        <f t="shared" ca="1" si="24"/>
        <v/>
      </c>
      <c r="AA320" s="1069" t="str">
        <f t="shared" ca="1" si="24"/>
        <v/>
      </c>
    </row>
    <row r="321" spans="1:27" s="1069" customFormat="1" ht="9.9499999999999993" customHeight="1">
      <c r="A321" s="1069">
        <v>104</v>
      </c>
      <c r="D321" s="1069" t="str">
        <f t="shared" ca="1" si="23"/>
        <v/>
      </c>
      <c r="E321" s="1069" t="str">
        <f t="shared" ca="1" si="23"/>
        <v/>
      </c>
      <c r="F321" s="1069" t="str">
        <f t="shared" ca="1" si="23"/>
        <v/>
      </c>
      <c r="G321" s="1069" t="str">
        <f t="shared" ca="1" si="23"/>
        <v/>
      </c>
      <c r="H321" s="1069" t="str">
        <f t="shared" ca="1" si="23"/>
        <v/>
      </c>
      <c r="I321" s="1069" t="str">
        <f t="shared" ca="1" si="23"/>
        <v/>
      </c>
      <c r="J321" s="1069" t="str">
        <f t="shared" ca="1" si="23"/>
        <v/>
      </c>
      <c r="K321" s="1069" t="str">
        <f t="shared" ca="1" si="23"/>
        <v/>
      </c>
      <c r="L321" s="1069" t="str">
        <f t="shared" ca="1" si="23"/>
        <v/>
      </c>
      <c r="M321" s="1069" t="str">
        <f t="shared" ca="1" si="23"/>
        <v/>
      </c>
      <c r="N321" s="1069" t="str">
        <f t="shared" ca="1" si="24"/>
        <v/>
      </c>
      <c r="O321" s="1069" t="str">
        <f t="shared" ca="1" si="24"/>
        <v/>
      </c>
      <c r="P321" s="1069" t="str">
        <f t="shared" ca="1" si="24"/>
        <v>Mathematics</v>
      </c>
      <c r="Q321" s="1069" t="str">
        <f t="shared" ca="1" si="24"/>
        <v/>
      </c>
      <c r="R321" s="1069" t="str">
        <f t="shared" ca="1" si="24"/>
        <v/>
      </c>
      <c r="S321" s="1069" t="str">
        <f t="shared" ca="1" si="24"/>
        <v/>
      </c>
      <c r="T321" s="1069" t="str">
        <f t="shared" ca="1" si="24"/>
        <v/>
      </c>
      <c r="U321" s="1069" t="str">
        <f t="shared" ca="1" si="24"/>
        <v/>
      </c>
      <c r="V321" s="1069" t="str">
        <f t="shared" ca="1" si="24"/>
        <v/>
      </c>
      <c r="W321" s="1069" t="str">
        <f t="shared" ca="1" si="24"/>
        <v/>
      </c>
      <c r="X321" s="1069" t="str">
        <f t="shared" ca="1" si="24"/>
        <v/>
      </c>
      <c r="Y321" s="1069" t="str">
        <f t="shared" ca="1" si="24"/>
        <v/>
      </c>
      <c r="Z321" s="1069" t="str">
        <f t="shared" ca="1" si="24"/>
        <v/>
      </c>
      <c r="AA321" s="1069" t="str">
        <f t="shared" ca="1" si="24"/>
        <v/>
      </c>
    </row>
    <row r="322" spans="1:27" s="1069" customFormat="1" ht="9.9499999999999993" customHeight="1">
      <c r="A322" s="1069">
        <v>105</v>
      </c>
      <c r="D322" s="1069" t="str">
        <f t="shared" ca="1" si="23"/>
        <v/>
      </c>
      <c r="E322" s="1069" t="str">
        <f t="shared" ca="1" si="23"/>
        <v/>
      </c>
      <c r="F322" s="1069" t="str">
        <f t="shared" ca="1" si="23"/>
        <v/>
      </c>
      <c r="G322" s="1069" t="str">
        <f t="shared" ca="1" si="23"/>
        <v/>
      </c>
      <c r="H322" s="1069" t="str">
        <f t="shared" ca="1" si="23"/>
        <v/>
      </c>
      <c r="I322" s="1069" t="str">
        <f t="shared" ca="1" si="23"/>
        <v/>
      </c>
      <c r="J322" s="1069" t="str">
        <f t="shared" ca="1" si="23"/>
        <v/>
      </c>
      <c r="K322" s="1069" t="str">
        <f t="shared" ca="1" si="23"/>
        <v/>
      </c>
      <c r="L322" s="1069" t="str">
        <f t="shared" ca="1" si="23"/>
        <v/>
      </c>
      <c r="M322" s="1069" t="str">
        <f t="shared" ca="1" si="23"/>
        <v/>
      </c>
      <c r="N322" s="1069" t="str">
        <f t="shared" ca="1" si="24"/>
        <v/>
      </c>
      <c r="O322" s="1069" t="str">
        <f t="shared" ca="1" si="24"/>
        <v/>
      </c>
      <c r="P322" s="1069" t="str">
        <f t="shared" ca="1" si="24"/>
        <v>Medium</v>
      </c>
      <c r="Q322" s="1069" t="str">
        <f t="shared" ca="1" si="24"/>
        <v/>
      </c>
      <c r="R322" s="1069" t="str">
        <f t="shared" ca="1" si="24"/>
        <v/>
      </c>
      <c r="S322" s="1069" t="str">
        <f t="shared" ca="1" si="24"/>
        <v/>
      </c>
      <c r="T322" s="1069" t="str">
        <f t="shared" ca="1" si="24"/>
        <v/>
      </c>
      <c r="U322" s="1069" t="str">
        <f t="shared" ca="1" si="24"/>
        <v/>
      </c>
      <c r="V322" s="1069" t="str">
        <f t="shared" ca="1" si="24"/>
        <v/>
      </c>
      <c r="W322" s="1069" t="str">
        <f t="shared" ca="1" si="24"/>
        <v/>
      </c>
      <c r="X322" s="1069" t="str">
        <f t="shared" ca="1" si="24"/>
        <v/>
      </c>
      <c r="Y322" s="1069" t="str">
        <f t="shared" ca="1" si="24"/>
        <v/>
      </c>
      <c r="Z322" s="1069" t="str">
        <f t="shared" ca="1" si="24"/>
        <v/>
      </c>
      <c r="AA322" s="1069" t="str">
        <f t="shared" ca="1" si="24"/>
        <v/>
      </c>
    </row>
    <row r="323" spans="1:27" s="1069" customFormat="1" ht="9.9499999999999993" customHeight="1">
      <c r="A323" s="1069">
        <v>106</v>
      </c>
      <c r="D323" s="1069" t="str">
        <f t="shared" ca="1" si="23"/>
        <v/>
      </c>
      <c r="E323" s="1069" t="str">
        <f t="shared" ca="1" si="23"/>
        <v/>
      </c>
      <c r="F323" s="1069" t="str">
        <f t="shared" ca="1" si="23"/>
        <v/>
      </c>
      <c r="G323" s="1069" t="str">
        <f t="shared" ca="1" si="23"/>
        <v/>
      </c>
      <c r="H323" s="1069" t="str">
        <f t="shared" ca="1" si="23"/>
        <v/>
      </c>
      <c r="I323" s="1069" t="str">
        <f t="shared" ca="1" si="23"/>
        <v/>
      </c>
      <c r="J323" s="1069" t="str">
        <f t="shared" ca="1" si="23"/>
        <v/>
      </c>
      <c r="K323" s="1069" t="str">
        <f t="shared" ca="1" si="23"/>
        <v/>
      </c>
      <c r="L323" s="1069" t="str">
        <f t="shared" ca="1" si="23"/>
        <v/>
      </c>
      <c r="M323" s="1069" t="str">
        <f t="shared" ca="1" si="23"/>
        <v/>
      </c>
      <c r="N323" s="1069" t="str">
        <f t="shared" ca="1" si="24"/>
        <v/>
      </c>
      <c r="O323" s="1069" t="str">
        <f t="shared" ca="1" si="24"/>
        <v/>
      </c>
      <c r="P323" s="1069" t="str">
        <f t="shared" ca="1" si="24"/>
        <v>Necromancy</v>
      </c>
      <c r="Q323" s="1069" t="str">
        <f t="shared" ca="1" si="24"/>
        <v/>
      </c>
      <c r="R323" s="1069" t="str">
        <f t="shared" ca="1" si="24"/>
        <v/>
      </c>
      <c r="S323" s="1069" t="str">
        <f t="shared" ca="1" si="24"/>
        <v/>
      </c>
      <c r="T323" s="1069" t="str">
        <f t="shared" ca="1" si="24"/>
        <v/>
      </c>
      <c r="U323" s="1069" t="str">
        <f t="shared" ca="1" si="24"/>
        <v/>
      </c>
      <c r="V323" s="1069" t="str">
        <f t="shared" ca="1" si="24"/>
        <v/>
      </c>
      <c r="W323" s="1069" t="str">
        <f t="shared" ca="1" si="24"/>
        <v/>
      </c>
      <c r="X323" s="1069" t="str">
        <f t="shared" ca="1" si="24"/>
        <v/>
      </c>
      <c r="Y323" s="1069" t="str">
        <f t="shared" ca="1" si="24"/>
        <v/>
      </c>
      <c r="Z323" s="1069" t="str">
        <f t="shared" ca="1" si="24"/>
        <v/>
      </c>
      <c r="AA323" s="1069" t="str">
        <f t="shared" ca="1" si="24"/>
        <v/>
      </c>
    </row>
    <row r="324" spans="1:27" s="1069" customFormat="1" ht="9.9499999999999993" customHeight="1">
      <c r="A324" s="1069">
        <v>107</v>
      </c>
      <c r="D324" s="1069" t="str">
        <f t="shared" ca="1" si="23"/>
        <v/>
      </c>
      <c r="E324" s="1069" t="str">
        <f t="shared" ca="1" si="23"/>
        <v/>
      </c>
      <c r="F324" s="1069" t="str">
        <f t="shared" ca="1" si="23"/>
        <v/>
      </c>
      <c r="G324" s="1069" t="str">
        <f t="shared" ca="1" si="23"/>
        <v/>
      </c>
      <c r="H324" s="1069" t="str">
        <f t="shared" ca="1" si="23"/>
        <v/>
      </c>
      <c r="I324" s="1069" t="str">
        <f t="shared" ca="1" si="23"/>
        <v/>
      </c>
      <c r="J324" s="1069" t="str">
        <f t="shared" ca="1" si="23"/>
        <v/>
      </c>
      <c r="K324" s="1069" t="str">
        <f t="shared" ca="1" si="23"/>
        <v/>
      </c>
      <c r="L324" s="1069" t="str">
        <f t="shared" ca="1" si="23"/>
        <v/>
      </c>
      <c r="M324" s="1069" t="str">
        <f t="shared" ca="1" si="23"/>
        <v/>
      </c>
      <c r="N324" s="1069" t="str">
        <f t="shared" ca="1" si="24"/>
        <v/>
      </c>
      <c r="O324" s="1069" t="str">
        <f t="shared" ca="1" si="24"/>
        <v/>
      </c>
      <c r="P324" s="1069" t="str">
        <f t="shared" ca="1" si="24"/>
        <v>Power Word</v>
      </c>
      <c r="Q324" s="1069" t="str">
        <f t="shared" ca="1" si="24"/>
        <v/>
      </c>
      <c r="R324" s="1069" t="str">
        <f t="shared" ca="1" si="24"/>
        <v/>
      </c>
      <c r="S324" s="1069" t="str">
        <f t="shared" ca="1" si="24"/>
        <v/>
      </c>
      <c r="T324" s="1069" t="str">
        <f t="shared" ca="1" si="24"/>
        <v/>
      </c>
      <c r="U324" s="1069" t="str">
        <f t="shared" ca="1" si="24"/>
        <v/>
      </c>
      <c r="V324" s="1069" t="str">
        <f t="shared" ca="1" si="24"/>
        <v/>
      </c>
      <c r="W324" s="1069" t="str">
        <f t="shared" ca="1" si="24"/>
        <v/>
      </c>
      <c r="X324" s="1069" t="str">
        <f t="shared" ca="1" si="24"/>
        <v/>
      </c>
      <c r="Y324" s="1069" t="str">
        <f t="shared" ca="1" si="24"/>
        <v/>
      </c>
      <c r="Z324" s="1069" t="str">
        <f t="shared" ca="1" si="24"/>
        <v/>
      </c>
      <c r="AA324" s="1069" t="str">
        <f t="shared" ca="1" si="24"/>
        <v/>
      </c>
    </row>
    <row r="325" spans="1:27" s="1069" customFormat="1" ht="9.9499999999999993" customHeight="1">
      <c r="A325" s="1069">
        <v>108</v>
      </c>
      <c r="D325" s="1069" t="str">
        <f t="shared" ca="1" si="23"/>
        <v/>
      </c>
      <c r="E325" s="1069" t="str">
        <f t="shared" ca="1" si="23"/>
        <v/>
      </c>
      <c r="F325" s="1069" t="str">
        <f t="shared" ca="1" si="23"/>
        <v/>
      </c>
      <c r="G325" s="1069" t="str">
        <f t="shared" ca="1" si="23"/>
        <v/>
      </c>
      <c r="H325" s="1069" t="str">
        <f t="shared" ca="1" si="23"/>
        <v/>
      </c>
      <c r="I325" s="1069" t="str">
        <f t="shared" ca="1" si="23"/>
        <v/>
      </c>
      <c r="J325" s="1069" t="str">
        <f t="shared" ca="1" si="23"/>
        <v/>
      </c>
      <c r="K325" s="1069" t="str">
        <f t="shared" ca="1" si="23"/>
        <v/>
      </c>
      <c r="L325" s="1069" t="str">
        <f t="shared" ca="1" si="23"/>
        <v/>
      </c>
      <c r="M325" s="1069" t="str">
        <f t="shared" ca="1" si="23"/>
        <v/>
      </c>
      <c r="N325" s="1069" t="str">
        <f t="shared" ca="1" si="24"/>
        <v/>
      </c>
      <c r="O325" s="1069" t="str">
        <f t="shared" ca="1" si="24"/>
        <v/>
      </c>
      <c r="P325" s="1069" t="str">
        <f t="shared" ca="1" si="24"/>
        <v>Rune Mage (Vitkir)</v>
      </c>
      <c r="Q325" s="1069" t="str">
        <f t="shared" ca="1" si="24"/>
        <v/>
      </c>
      <c r="R325" s="1069" t="str">
        <f t="shared" ca="1" si="24"/>
        <v/>
      </c>
      <c r="S325" s="1069" t="str">
        <f t="shared" ca="1" si="24"/>
        <v/>
      </c>
      <c r="T325" s="1069" t="str">
        <f t="shared" ca="1" si="24"/>
        <v/>
      </c>
      <c r="U325" s="1069" t="str">
        <f t="shared" ca="1" si="24"/>
        <v/>
      </c>
      <c r="V325" s="1069" t="str">
        <f t="shared" ca="1" si="24"/>
        <v/>
      </c>
      <c r="W325" s="1069" t="str">
        <f t="shared" ca="1" si="24"/>
        <v/>
      </c>
      <c r="X325" s="1069" t="str">
        <f t="shared" ca="1" si="24"/>
        <v/>
      </c>
      <c r="Y325" s="1069" t="str">
        <f t="shared" ca="1" si="24"/>
        <v/>
      </c>
      <c r="Z325" s="1069" t="str">
        <f t="shared" ca="1" si="24"/>
        <v/>
      </c>
      <c r="AA325" s="1069" t="str">
        <f t="shared" ca="1" si="24"/>
        <v/>
      </c>
    </row>
    <row r="326" spans="1:27" s="1069" customFormat="1" ht="9.9499999999999993" customHeight="1">
      <c r="A326" s="1069">
        <v>109</v>
      </c>
      <c r="D326" s="1069" t="str">
        <f t="shared" ca="1" si="23"/>
        <v/>
      </c>
      <c r="E326" s="1069" t="str">
        <f t="shared" ca="1" si="23"/>
        <v/>
      </c>
      <c r="F326" s="1069" t="str">
        <f t="shared" ca="1" si="23"/>
        <v/>
      </c>
      <c r="G326" s="1069" t="str">
        <f t="shared" ca="1" si="23"/>
        <v/>
      </c>
      <c r="H326" s="1069" t="str">
        <f t="shared" ca="1" si="23"/>
        <v/>
      </c>
      <c r="I326" s="1069" t="str">
        <f t="shared" ca="1" si="23"/>
        <v/>
      </c>
      <c r="J326" s="1069" t="str">
        <f t="shared" ca="1" si="23"/>
        <v/>
      </c>
      <c r="K326" s="1069" t="str">
        <f t="shared" ca="1" si="23"/>
        <v/>
      </c>
      <c r="L326" s="1069" t="str">
        <f t="shared" ca="1" si="23"/>
        <v/>
      </c>
      <c r="M326" s="1069" t="str">
        <f t="shared" ca="1" si="23"/>
        <v/>
      </c>
      <c r="N326" s="1069" t="str">
        <f t="shared" ca="1" si="24"/>
        <v/>
      </c>
      <c r="O326" s="1069" t="str">
        <f t="shared" ca="1" si="24"/>
        <v/>
      </c>
      <c r="P326" s="1069" t="str">
        <f t="shared" ca="1" si="24"/>
        <v>Spinner</v>
      </c>
      <c r="Q326" s="1069" t="str">
        <f t="shared" ca="1" si="24"/>
        <v/>
      </c>
      <c r="R326" s="1069" t="str">
        <f t="shared" ca="1" si="24"/>
        <v/>
      </c>
      <c r="S326" s="1069" t="str">
        <f t="shared" ca="1" si="24"/>
        <v/>
      </c>
      <c r="T326" s="1069" t="str">
        <f t="shared" ca="1" si="24"/>
        <v/>
      </c>
      <c r="U326" s="1069" t="str">
        <f t="shared" ca="1" si="24"/>
        <v/>
      </c>
      <c r="V326" s="1069" t="str">
        <f t="shared" ca="1" si="24"/>
        <v/>
      </c>
      <c r="W326" s="1069" t="str">
        <f t="shared" ca="1" si="24"/>
        <v/>
      </c>
      <c r="X326" s="1069" t="str">
        <f t="shared" ca="1" si="24"/>
        <v/>
      </c>
      <c r="Y326" s="1069" t="str">
        <f t="shared" ca="1" si="24"/>
        <v/>
      </c>
      <c r="Z326" s="1069" t="str">
        <f t="shared" ca="1" si="24"/>
        <v/>
      </c>
      <c r="AA326" s="1069" t="str">
        <f t="shared" ca="1" si="24"/>
        <v/>
      </c>
    </row>
    <row r="327" spans="1:27" s="1069" customFormat="1" ht="9.9499999999999993" customHeight="1">
      <c r="A327" s="1069">
        <v>110</v>
      </c>
      <c r="D327" s="1069" t="str">
        <f t="shared" ca="1" si="23"/>
        <v/>
      </c>
      <c r="E327" s="1069" t="str">
        <f t="shared" ca="1" si="23"/>
        <v/>
      </c>
      <c r="F327" s="1069" t="str">
        <f t="shared" ca="1" si="23"/>
        <v/>
      </c>
      <c r="G327" s="1069" t="str">
        <f t="shared" ca="1" si="23"/>
        <v/>
      </c>
      <c r="H327" s="1069" t="str">
        <f t="shared" ca="1" si="23"/>
        <v/>
      </c>
      <c r="I327" s="1069" t="str">
        <f t="shared" ca="1" si="23"/>
        <v/>
      </c>
      <c r="J327" s="1069" t="str">
        <f t="shared" ca="1" si="23"/>
        <v/>
      </c>
      <c r="K327" s="1069" t="str">
        <f t="shared" ca="1" si="23"/>
        <v/>
      </c>
      <c r="L327" s="1069" t="str">
        <f t="shared" ca="1" si="23"/>
        <v/>
      </c>
      <c r="M327" s="1069" t="str">
        <f t="shared" ca="1" si="23"/>
        <v/>
      </c>
      <c r="N327" s="1069" t="str">
        <f t="shared" ca="1" si="24"/>
        <v/>
      </c>
      <c r="O327" s="1069" t="str">
        <f t="shared" ca="1" si="24"/>
        <v/>
      </c>
      <c r="P327" s="1069" t="str">
        <f t="shared" ca="1" si="24"/>
        <v>Symbolist</v>
      </c>
      <c r="Q327" s="1069" t="str">
        <f t="shared" ca="1" si="24"/>
        <v/>
      </c>
      <c r="R327" s="1069" t="str">
        <f t="shared" ca="1" si="24"/>
        <v/>
      </c>
      <c r="S327" s="1069" t="str">
        <f t="shared" ca="1" si="24"/>
        <v/>
      </c>
      <c r="T327" s="1069" t="str">
        <f t="shared" ca="1" si="24"/>
        <v/>
      </c>
      <c r="U327" s="1069" t="str">
        <f t="shared" ca="1" si="24"/>
        <v/>
      </c>
      <c r="V327" s="1069" t="str">
        <f t="shared" ca="1" si="24"/>
        <v/>
      </c>
      <c r="W327" s="1069" t="str">
        <f t="shared" ca="1" si="24"/>
        <v/>
      </c>
      <c r="X327" s="1069" t="str">
        <f t="shared" ca="1" si="24"/>
        <v/>
      </c>
      <c r="Y327" s="1069" t="str">
        <f t="shared" ca="1" si="24"/>
        <v/>
      </c>
      <c r="Z327" s="1069" t="str">
        <f t="shared" ca="1" si="24"/>
        <v/>
      </c>
      <c r="AA327" s="1069" t="str">
        <f t="shared" ca="1" si="24"/>
        <v/>
      </c>
    </row>
    <row r="328" spans="1:27" s="1069" customFormat="1" ht="9.9499999999999993" customHeight="1">
      <c r="A328" s="1069">
        <v>111</v>
      </c>
      <c r="D328" s="1069" t="str">
        <f t="shared" ca="1" si="23"/>
        <v/>
      </c>
      <c r="E328" s="1069" t="str">
        <f t="shared" ca="1" si="23"/>
        <v/>
      </c>
      <c r="F328" s="1069" t="str">
        <f t="shared" ca="1" si="23"/>
        <v/>
      </c>
      <c r="G328" s="1069" t="str">
        <f t="shared" ca="1" si="23"/>
        <v/>
      </c>
      <c r="H328" s="1069" t="str">
        <f t="shared" ca="1" si="23"/>
        <v/>
      </c>
      <c r="I328" s="1069" t="str">
        <f t="shared" ca="1" si="23"/>
        <v/>
      </c>
      <c r="J328" s="1069" t="str">
        <f t="shared" ca="1" si="23"/>
        <v/>
      </c>
      <c r="K328" s="1069" t="str">
        <f t="shared" ca="1" si="23"/>
        <v/>
      </c>
      <c r="L328" s="1069" t="str">
        <f t="shared" ca="1" si="23"/>
        <v/>
      </c>
      <c r="M328" s="1069" t="str">
        <f t="shared" ca="1" si="23"/>
        <v/>
      </c>
      <c r="N328" s="1069" t="str">
        <f t="shared" ca="1" si="24"/>
        <v/>
      </c>
      <c r="O328" s="1069" t="str">
        <f t="shared" ca="1" si="24"/>
        <v/>
      </c>
      <c r="P328" s="1069" t="str">
        <f t="shared" ca="1" si="24"/>
        <v>Tarocchi (Tarock)</v>
      </c>
      <c r="Q328" s="1069" t="str">
        <f t="shared" ca="1" si="24"/>
        <v/>
      </c>
      <c r="R328" s="1069" t="str">
        <f t="shared" ca="1" si="24"/>
        <v/>
      </c>
      <c r="S328" s="1069" t="str">
        <f t="shared" ca="1" si="24"/>
        <v/>
      </c>
      <c r="T328" s="1069" t="str">
        <f t="shared" ca="1" si="24"/>
        <v/>
      </c>
      <c r="U328" s="1069" t="str">
        <f t="shared" ca="1" si="24"/>
        <v/>
      </c>
      <c r="V328" s="1069" t="str">
        <f t="shared" ca="1" si="24"/>
        <v/>
      </c>
      <c r="W328" s="1069" t="str">
        <f t="shared" ca="1" si="24"/>
        <v/>
      </c>
      <c r="X328" s="1069" t="str">
        <f t="shared" ca="1" si="24"/>
        <v/>
      </c>
      <c r="Y328" s="1069" t="str">
        <f t="shared" ca="1" si="24"/>
        <v/>
      </c>
      <c r="Z328" s="1069" t="str">
        <f t="shared" ca="1" si="24"/>
        <v/>
      </c>
      <c r="AA328" s="1069" t="str">
        <f t="shared" ca="1" si="24"/>
        <v/>
      </c>
    </row>
    <row r="329" spans="1:27" s="1069" customFormat="1" ht="9.9499999999999993" customHeight="1">
      <c r="A329" s="1069">
        <v>112</v>
      </c>
      <c r="D329" s="1069" t="str">
        <f t="shared" ref="D329:M338" ca="1" si="25">IF(ISNUMBER(INDEX($D$526:$AA$725,ROW()-ROW($D$218),COLUMN()-COLUMN($C$219))),INDEX(Skills_Table,INDEX($D$526:$AA$725,ROW()-ROW($D$218),COLUMN()-COLUMN($C$219))-4,HLOOKUP("Skill Name",Skill_Columns,2,0)),"")</f>
        <v/>
      </c>
      <c r="E329" s="1069" t="str">
        <f t="shared" ca="1" si="25"/>
        <v/>
      </c>
      <c r="F329" s="1069" t="str">
        <f t="shared" ca="1" si="25"/>
        <v/>
      </c>
      <c r="G329" s="1069" t="str">
        <f t="shared" ca="1" si="25"/>
        <v/>
      </c>
      <c r="H329" s="1069" t="str">
        <f t="shared" ca="1" si="25"/>
        <v/>
      </c>
      <c r="I329" s="1069" t="str">
        <f t="shared" ca="1" si="25"/>
        <v/>
      </c>
      <c r="J329" s="1069" t="str">
        <f t="shared" ca="1" si="25"/>
        <v/>
      </c>
      <c r="K329" s="1069" t="str">
        <f t="shared" ca="1" si="25"/>
        <v/>
      </c>
      <c r="L329" s="1069" t="str">
        <f t="shared" ca="1" si="25"/>
        <v/>
      </c>
      <c r="M329" s="1069" t="str">
        <f t="shared" ca="1" si="25"/>
        <v/>
      </c>
      <c r="N329" s="1069" t="str">
        <f t="shared" ref="N329:AA338" ca="1" si="26">IF(ISNUMBER(INDEX($D$526:$AA$725,ROW()-ROW($D$218),COLUMN()-COLUMN($C$219))),INDEX(Skills_Table,INDEX($D$526:$AA$725,ROW()-ROW($D$218),COLUMN()-COLUMN($C$219))-4,HLOOKUP("Skill Name",Skill_Columns,2,0)),"")</f>
        <v/>
      </c>
      <c r="O329" s="1069" t="str">
        <f t="shared" ca="1" si="26"/>
        <v/>
      </c>
      <c r="P329" s="1069" t="str">
        <f t="shared" ca="1" si="26"/>
        <v>Tatoo/Painted</v>
      </c>
      <c r="Q329" s="1069" t="str">
        <f t="shared" ca="1" si="26"/>
        <v/>
      </c>
      <c r="R329" s="1069" t="str">
        <f t="shared" ca="1" si="26"/>
        <v/>
      </c>
      <c r="S329" s="1069" t="str">
        <f t="shared" ca="1" si="26"/>
        <v/>
      </c>
      <c r="T329" s="1069" t="str">
        <f t="shared" ca="1" si="26"/>
        <v/>
      </c>
      <c r="U329" s="1069" t="str">
        <f t="shared" ca="1" si="26"/>
        <v/>
      </c>
      <c r="V329" s="1069" t="str">
        <f t="shared" ca="1" si="26"/>
        <v/>
      </c>
      <c r="W329" s="1069" t="str">
        <f t="shared" ca="1" si="26"/>
        <v/>
      </c>
      <c r="X329" s="1069" t="str">
        <f t="shared" ca="1" si="26"/>
        <v/>
      </c>
      <c r="Y329" s="1069" t="str">
        <f t="shared" ca="1" si="26"/>
        <v/>
      </c>
      <c r="Z329" s="1069" t="str">
        <f t="shared" ca="1" si="26"/>
        <v/>
      </c>
      <c r="AA329" s="1069" t="str">
        <f t="shared" ca="1" si="26"/>
        <v/>
      </c>
    </row>
    <row r="330" spans="1:27" s="1069" customFormat="1" ht="9.9499999999999993" customHeight="1">
      <c r="A330" s="1069">
        <v>113</v>
      </c>
      <c r="D330" s="1069" t="str">
        <f t="shared" ca="1" si="25"/>
        <v/>
      </c>
      <c r="E330" s="1069" t="str">
        <f t="shared" ca="1" si="25"/>
        <v/>
      </c>
      <c r="F330" s="1069" t="str">
        <f t="shared" ca="1" si="25"/>
        <v/>
      </c>
      <c r="G330" s="1069" t="str">
        <f t="shared" ca="1" si="25"/>
        <v/>
      </c>
      <c r="H330" s="1069" t="str">
        <f t="shared" ca="1" si="25"/>
        <v/>
      </c>
      <c r="I330" s="1069" t="str">
        <f t="shared" ca="1" si="25"/>
        <v/>
      </c>
      <c r="J330" s="1069" t="str">
        <f t="shared" ca="1" si="25"/>
        <v/>
      </c>
      <c r="K330" s="1069" t="str">
        <f t="shared" ca="1" si="25"/>
        <v/>
      </c>
      <c r="L330" s="1069" t="str">
        <f t="shared" ca="1" si="25"/>
        <v/>
      </c>
      <c r="M330" s="1069" t="str">
        <f t="shared" ca="1" si="25"/>
        <v/>
      </c>
      <c r="N330" s="1069" t="str">
        <f t="shared" ca="1" si="26"/>
        <v/>
      </c>
      <c r="O330" s="1069" t="str">
        <f t="shared" ca="1" si="26"/>
        <v/>
      </c>
      <c r="P330" s="1069" t="str">
        <f t="shared" ca="1" si="26"/>
        <v>Thaumaturgy</v>
      </c>
      <c r="Q330" s="1069" t="str">
        <f t="shared" ca="1" si="26"/>
        <v/>
      </c>
      <c r="R330" s="1069" t="str">
        <f t="shared" ca="1" si="26"/>
        <v/>
      </c>
      <c r="S330" s="1069" t="str">
        <f t="shared" ca="1" si="26"/>
        <v/>
      </c>
      <c r="T330" s="1069" t="str">
        <f t="shared" ca="1" si="26"/>
        <v/>
      </c>
      <c r="U330" s="1069" t="str">
        <f t="shared" ca="1" si="26"/>
        <v/>
      </c>
      <c r="V330" s="1069" t="str">
        <f t="shared" ca="1" si="26"/>
        <v/>
      </c>
      <c r="W330" s="1069" t="str">
        <f t="shared" ca="1" si="26"/>
        <v/>
      </c>
      <c r="X330" s="1069" t="str">
        <f t="shared" ca="1" si="26"/>
        <v/>
      </c>
      <c r="Y330" s="1069" t="str">
        <f t="shared" ca="1" si="26"/>
        <v/>
      </c>
      <c r="Z330" s="1069" t="str">
        <f t="shared" ca="1" si="26"/>
        <v/>
      </c>
      <c r="AA330" s="1069" t="str">
        <f t="shared" ca="1" si="26"/>
        <v/>
      </c>
    </row>
    <row r="331" spans="1:27" s="1069" customFormat="1" ht="9.9499999999999993" customHeight="1">
      <c r="A331" s="1069">
        <v>114</v>
      </c>
      <c r="D331" s="1069" t="str">
        <f t="shared" ca="1" si="25"/>
        <v/>
      </c>
      <c r="E331" s="1069" t="str">
        <f t="shared" ca="1" si="25"/>
        <v/>
      </c>
      <c r="F331" s="1069" t="str">
        <f t="shared" ca="1" si="25"/>
        <v/>
      </c>
      <c r="G331" s="1069" t="str">
        <f t="shared" ca="1" si="25"/>
        <v/>
      </c>
      <c r="H331" s="1069" t="str">
        <f t="shared" ca="1" si="25"/>
        <v/>
      </c>
      <c r="I331" s="1069" t="str">
        <f t="shared" ca="1" si="25"/>
        <v/>
      </c>
      <c r="J331" s="1069" t="str">
        <f t="shared" ca="1" si="25"/>
        <v/>
      </c>
      <c r="K331" s="1069" t="str">
        <f t="shared" ca="1" si="25"/>
        <v/>
      </c>
      <c r="L331" s="1069" t="str">
        <f t="shared" ca="1" si="25"/>
        <v/>
      </c>
      <c r="M331" s="1069" t="str">
        <f t="shared" ca="1" si="25"/>
        <v/>
      </c>
      <c r="N331" s="1069" t="str">
        <f t="shared" ca="1" si="26"/>
        <v/>
      </c>
      <c r="O331" s="1069" t="str">
        <f t="shared" ca="1" si="26"/>
        <v/>
      </c>
      <c r="P331" s="1069" t="str">
        <f t="shared" ca="1" si="26"/>
        <v>Weaponsmith Magus</v>
      </c>
      <c r="Q331" s="1069" t="str">
        <f t="shared" ca="1" si="26"/>
        <v/>
      </c>
      <c r="R331" s="1069" t="str">
        <f t="shared" ca="1" si="26"/>
        <v/>
      </c>
      <c r="S331" s="1069" t="str">
        <f t="shared" ca="1" si="26"/>
        <v/>
      </c>
      <c r="T331" s="1069" t="str">
        <f t="shared" ca="1" si="26"/>
        <v/>
      </c>
      <c r="U331" s="1069" t="str">
        <f t="shared" ca="1" si="26"/>
        <v/>
      </c>
      <c r="V331" s="1069" t="str">
        <f t="shared" ca="1" si="26"/>
        <v/>
      </c>
      <c r="W331" s="1069" t="str">
        <f t="shared" ca="1" si="26"/>
        <v/>
      </c>
      <c r="X331" s="1069" t="str">
        <f t="shared" ca="1" si="26"/>
        <v/>
      </c>
      <c r="Y331" s="1069" t="str">
        <f t="shared" ca="1" si="26"/>
        <v/>
      </c>
      <c r="Z331" s="1069" t="str">
        <f t="shared" ca="1" si="26"/>
        <v/>
      </c>
      <c r="AA331" s="1069" t="str">
        <f t="shared" ca="1" si="26"/>
        <v/>
      </c>
    </row>
    <row r="332" spans="1:27" s="1069" customFormat="1" ht="9.9499999999999993" customHeight="1">
      <c r="A332" s="1069">
        <v>115</v>
      </c>
      <c r="D332" s="1069" t="str">
        <f t="shared" ca="1" si="25"/>
        <v/>
      </c>
      <c r="E332" s="1069" t="str">
        <f t="shared" ca="1" si="25"/>
        <v/>
      </c>
      <c r="F332" s="1069" t="str">
        <f t="shared" ca="1" si="25"/>
        <v/>
      </c>
      <c r="G332" s="1069" t="str">
        <f t="shared" ca="1" si="25"/>
        <v/>
      </c>
      <c r="H332" s="1069" t="str">
        <f t="shared" ca="1" si="25"/>
        <v/>
      </c>
      <c r="I332" s="1069" t="str">
        <f t="shared" ca="1" si="25"/>
        <v/>
      </c>
      <c r="J332" s="1069" t="str">
        <f t="shared" ca="1" si="25"/>
        <v/>
      </c>
      <c r="K332" s="1069" t="str">
        <f t="shared" ca="1" si="25"/>
        <v/>
      </c>
      <c r="L332" s="1069" t="str">
        <f t="shared" ca="1" si="25"/>
        <v/>
      </c>
      <c r="M332" s="1069" t="str">
        <f t="shared" ca="1" si="25"/>
        <v/>
      </c>
      <c r="N332" s="1069" t="str">
        <f t="shared" ca="1" si="26"/>
        <v/>
      </c>
      <c r="O332" s="1069" t="str">
        <f t="shared" ca="1" si="26"/>
        <v/>
      </c>
      <c r="P332" s="1069" t="str">
        <f t="shared" ca="1" si="26"/>
        <v>Weaver</v>
      </c>
      <c r="Q332" s="1069" t="str">
        <f t="shared" ca="1" si="26"/>
        <v/>
      </c>
      <c r="R332" s="1069" t="str">
        <f t="shared" ca="1" si="26"/>
        <v/>
      </c>
      <c r="S332" s="1069" t="str">
        <f t="shared" ca="1" si="26"/>
        <v/>
      </c>
      <c r="T332" s="1069" t="str">
        <f t="shared" ca="1" si="26"/>
        <v/>
      </c>
      <c r="U332" s="1069" t="str">
        <f t="shared" ca="1" si="26"/>
        <v/>
      </c>
      <c r="V332" s="1069" t="str">
        <f t="shared" ca="1" si="26"/>
        <v/>
      </c>
      <c r="W332" s="1069" t="str">
        <f t="shared" ca="1" si="26"/>
        <v/>
      </c>
      <c r="X332" s="1069" t="str">
        <f t="shared" ca="1" si="26"/>
        <v/>
      </c>
      <c r="Y332" s="1069" t="str">
        <f t="shared" ca="1" si="26"/>
        <v/>
      </c>
      <c r="Z332" s="1069" t="str">
        <f t="shared" ca="1" si="26"/>
        <v/>
      </c>
      <c r="AA332" s="1069" t="str">
        <f t="shared" ca="1" si="26"/>
        <v/>
      </c>
    </row>
    <row r="333" spans="1:27" s="1069" customFormat="1" ht="9.9499999999999993" customHeight="1">
      <c r="A333" s="1069">
        <v>116</v>
      </c>
      <c r="D333" s="1069" t="str">
        <f t="shared" ca="1" si="25"/>
        <v/>
      </c>
      <c r="E333" s="1069" t="str">
        <f t="shared" ca="1" si="25"/>
        <v/>
      </c>
      <c r="F333" s="1069" t="str">
        <f t="shared" ca="1" si="25"/>
        <v/>
      </c>
      <c r="G333" s="1069" t="str">
        <f t="shared" ca="1" si="25"/>
        <v/>
      </c>
      <c r="H333" s="1069" t="str">
        <f t="shared" ca="1" si="25"/>
        <v/>
      </c>
      <c r="I333" s="1069" t="str">
        <f t="shared" ca="1" si="25"/>
        <v/>
      </c>
      <c r="J333" s="1069" t="str">
        <f t="shared" ca="1" si="25"/>
        <v/>
      </c>
      <c r="K333" s="1069" t="str">
        <f t="shared" ca="1" si="25"/>
        <v/>
      </c>
      <c r="L333" s="1069" t="str">
        <f t="shared" ca="1" si="25"/>
        <v/>
      </c>
      <c r="M333" s="1069" t="str">
        <f t="shared" ca="1" si="25"/>
        <v/>
      </c>
      <c r="N333" s="1069" t="str">
        <f t="shared" ca="1" si="26"/>
        <v/>
      </c>
      <c r="O333" s="1069" t="str">
        <f t="shared" ca="1" si="26"/>
        <v/>
      </c>
      <c r="P333" s="1069" t="str">
        <f t="shared" ca="1" si="26"/>
        <v>Artificer</v>
      </c>
      <c r="Q333" s="1069" t="str">
        <f t="shared" ca="1" si="26"/>
        <v/>
      </c>
      <c r="R333" s="1069" t="str">
        <f t="shared" ca="1" si="26"/>
        <v/>
      </c>
      <c r="S333" s="1069" t="str">
        <f t="shared" ca="1" si="26"/>
        <v/>
      </c>
      <c r="T333" s="1069" t="str">
        <f t="shared" ca="1" si="26"/>
        <v/>
      </c>
      <c r="U333" s="1069" t="str">
        <f t="shared" ca="1" si="26"/>
        <v/>
      </c>
      <c r="V333" s="1069" t="str">
        <f t="shared" ca="1" si="26"/>
        <v/>
      </c>
      <c r="W333" s="1069" t="str">
        <f t="shared" ca="1" si="26"/>
        <v/>
      </c>
      <c r="X333" s="1069" t="str">
        <f t="shared" ca="1" si="26"/>
        <v/>
      </c>
      <c r="Y333" s="1069" t="str">
        <f t="shared" ca="1" si="26"/>
        <v/>
      </c>
      <c r="Z333" s="1069" t="str">
        <f t="shared" ca="1" si="26"/>
        <v/>
      </c>
      <c r="AA333" s="1069" t="str">
        <f t="shared" ca="1" si="26"/>
        <v/>
      </c>
    </row>
    <row r="334" spans="1:27" s="1069" customFormat="1" ht="9.9499999999999993" customHeight="1">
      <c r="A334" s="1069">
        <v>117</v>
      </c>
      <c r="D334" s="1069" t="str">
        <f t="shared" ca="1" si="25"/>
        <v/>
      </c>
      <c r="E334" s="1069" t="str">
        <f t="shared" ca="1" si="25"/>
        <v/>
      </c>
      <c r="F334" s="1069" t="str">
        <f t="shared" ca="1" si="25"/>
        <v/>
      </c>
      <c r="G334" s="1069" t="str">
        <f t="shared" ca="1" si="25"/>
        <v/>
      </c>
      <c r="H334" s="1069" t="str">
        <f t="shared" ca="1" si="25"/>
        <v/>
      </c>
      <c r="I334" s="1069" t="str">
        <f t="shared" ca="1" si="25"/>
        <v/>
      </c>
      <c r="J334" s="1069" t="str">
        <f t="shared" ca="1" si="25"/>
        <v/>
      </c>
      <c r="K334" s="1069" t="str">
        <f t="shared" ca="1" si="25"/>
        <v/>
      </c>
      <c r="L334" s="1069" t="str">
        <f t="shared" ca="1" si="25"/>
        <v/>
      </c>
      <c r="M334" s="1069" t="str">
        <f t="shared" ca="1" si="25"/>
        <v/>
      </c>
      <c r="N334" s="1069" t="str">
        <f t="shared" ca="1" si="26"/>
        <v/>
      </c>
      <c r="O334" s="1069" t="str">
        <f t="shared" ca="1" si="26"/>
        <v/>
      </c>
      <c r="P334" s="1069" t="str">
        <f t="shared" ca="1" si="26"/>
        <v>Cantor</v>
      </c>
      <c r="Q334" s="1069" t="str">
        <f t="shared" ca="1" si="26"/>
        <v/>
      </c>
      <c r="R334" s="1069" t="str">
        <f t="shared" ca="1" si="26"/>
        <v/>
      </c>
      <c r="S334" s="1069" t="str">
        <f t="shared" ca="1" si="26"/>
        <v/>
      </c>
      <c r="T334" s="1069" t="str">
        <f t="shared" ca="1" si="26"/>
        <v/>
      </c>
      <c r="U334" s="1069" t="str">
        <f t="shared" ca="1" si="26"/>
        <v/>
      </c>
      <c r="V334" s="1069" t="str">
        <f t="shared" ca="1" si="26"/>
        <v/>
      </c>
      <c r="W334" s="1069" t="str">
        <f t="shared" ca="1" si="26"/>
        <v/>
      </c>
      <c r="X334" s="1069" t="str">
        <f t="shared" ca="1" si="26"/>
        <v/>
      </c>
      <c r="Y334" s="1069" t="str">
        <f t="shared" ca="1" si="26"/>
        <v/>
      </c>
      <c r="Z334" s="1069" t="str">
        <f t="shared" ca="1" si="26"/>
        <v/>
      </c>
      <c r="AA334" s="1069" t="str">
        <f t="shared" ca="1" si="26"/>
        <v/>
      </c>
    </row>
    <row r="335" spans="1:27" s="1069" customFormat="1" ht="9.9499999999999993" customHeight="1">
      <c r="A335" s="1069">
        <v>118</v>
      </c>
      <c r="D335" s="1069" t="str">
        <f t="shared" ca="1" si="25"/>
        <v/>
      </c>
      <c r="E335" s="1069" t="str">
        <f t="shared" ca="1" si="25"/>
        <v/>
      </c>
      <c r="F335" s="1069" t="str">
        <f t="shared" ca="1" si="25"/>
        <v/>
      </c>
      <c r="G335" s="1069" t="str">
        <f t="shared" ca="1" si="25"/>
        <v/>
      </c>
      <c r="H335" s="1069" t="str">
        <f t="shared" ca="1" si="25"/>
        <v/>
      </c>
      <c r="I335" s="1069" t="str">
        <f t="shared" ca="1" si="25"/>
        <v/>
      </c>
      <c r="J335" s="1069" t="str">
        <f t="shared" ca="1" si="25"/>
        <v/>
      </c>
      <c r="K335" s="1069" t="str">
        <f t="shared" ca="1" si="25"/>
        <v/>
      </c>
      <c r="L335" s="1069" t="str">
        <f t="shared" ca="1" si="25"/>
        <v/>
      </c>
      <c r="M335" s="1069" t="str">
        <f t="shared" ca="1" si="25"/>
        <v/>
      </c>
      <c r="N335" s="1069" t="str">
        <f t="shared" ca="1" si="26"/>
        <v/>
      </c>
      <c r="O335" s="1069" t="str">
        <f t="shared" ca="1" si="26"/>
        <v/>
      </c>
      <c r="P335" s="1069" t="str">
        <f t="shared" ca="1" si="26"/>
        <v>Dance</v>
      </c>
      <c r="Q335" s="1069" t="str">
        <f t="shared" ca="1" si="26"/>
        <v/>
      </c>
      <c r="R335" s="1069" t="str">
        <f t="shared" ca="1" si="26"/>
        <v/>
      </c>
      <c r="S335" s="1069" t="str">
        <f t="shared" ca="1" si="26"/>
        <v/>
      </c>
      <c r="T335" s="1069" t="str">
        <f t="shared" ca="1" si="26"/>
        <v/>
      </c>
      <c r="U335" s="1069" t="str">
        <f t="shared" ca="1" si="26"/>
        <v/>
      </c>
      <c r="V335" s="1069" t="str">
        <f t="shared" ca="1" si="26"/>
        <v/>
      </c>
      <c r="W335" s="1069" t="str">
        <f t="shared" ca="1" si="26"/>
        <v/>
      </c>
      <c r="X335" s="1069" t="str">
        <f t="shared" ca="1" si="26"/>
        <v/>
      </c>
      <c r="Y335" s="1069" t="str">
        <f t="shared" ca="1" si="26"/>
        <v/>
      </c>
      <c r="Z335" s="1069" t="str">
        <f t="shared" ca="1" si="26"/>
        <v/>
      </c>
      <c r="AA335" s="1069" t="str">
        <f t="shared" ca="1" si="26"/>
        <v/>
      </c>
    </row>
    <row r="336" spans="1:27" s="1069" customFormat="1" ht="9.9499999999999993" customHeight="1">
      <c r="A336" s="1069">
        <v>119</v>
      </c>
      <c r="D336" s="1069" t="str">
        <f t="shared" ca="1" si="25"/>
        <v/>
      </c>
      <c r="E336" s="1069" t="str">
        <f t="shared" ca="1" si="25"/>
        <v/>
      </c>
      <c r="F336" s="1069" t="str">
        <f t="shared" ca="1" si="25"/>
        <v/>
      </c>
      <c r="G336" s="1069" t="str">
        <f t="shared" ca="1" si="25"/>
        <v/>
      </c>
      <c r="H336" s="1069" t="str">
        <f t="shared" ca="1" si="25"/>
        <v/>
      </c>
      <c r="I336" s="1069" t="str">
        <f t="shared" ca="1" si="25"/>
        <v/>
      </c>
      <c r="J336" s="1069" t="str">
        <f t="shared" ca="1" si="25"/>
        <v/>
      </c>
      <c r="K336" s="1069" t="str">
        <f t="shared" ca="1" si="25"/>
        <v/>
      </c>
      <c r="L336" s="1069" t="str">
        <f t="shared" ca="1" si="25"/>
        <v/>
      </c>
      <c r="M336" s="1069" t="str">
        <f t="shared" ca="1" si="25"/>
        <v/>
      </c>
      <c r="N336" s="1069" t="str">
        <f t="shared" ca="1" si="26"/>
        <v/>
      </c>
      <c r="O336" s="1069" t="str">
        <f t="shared" ca="1" si="26"/>
        <v/>
      </c>
      <c r="P336" s="1069" t="str">
        <f t="shared" ca="1" si="26"/>
        <v>Druid</v>
      </c>
      <c r="Q336" s="1069" t="str">
        <f t="shared" ca="1" si="26"/>
        <v/>
      </c>
      <c r="R336" s="1069" t="str">
        <f t="shared" ca="1" si="26"/>
        <v/>
      </c>
      <c r="S336" s="1069" t="str">
        <f t="shared" ca="1" si="26"/>
        <v/>
      </c>
      <c r="T336" s="1069" t="str">
        <f t="shared" ca="1" si="26"/>
        <v/>
      </c>
      <c r="U336" s="1069" t="str">
        <f t="shared" ca="1" si="26"/>
        <v/>
      </c>
      <c r="V336" s="1069" t="str">
        <f t="shared" ca="1" si="26"/>
        <v/>
      </c>
      <c r="W336" s="1069" t="str">
        <f t="shared" ca="1" si="26"/>
        <v/>
      </c>
      <c r="X336" s="1069" t="str">
        <f t="shared" ca="1" si="26"/>
        <v/>
      </c>
      <c r="Y336" s="1069" t="str">
        <f t="shared" ca="1" si="26"/>
        <v/>
      </c>
      <c r="Z336" s="1069" t="str">
        <f t="shared" ca="1" si="26"/>
        <v/>
      </c>
      <c r="AA336" s="1069" t="str">
        <f t="shared" ca="1" si="26"/>
        <v/>
      </c>
    </row>
    <row r="337" spans="1:27" s="1069" customFormat="1" ht="9.9499999999999993" customHeight="1">
      <c r="A337" s="1069">
        <v>120</v>
      </c>
      <c r="D337" s="1069" t="str">
        <f t="shared" ca="1" si="25"/>
        <v/>
      </c>
      <c r="E337" s="1069" t="str">
        <f t="shared" ca="1" si="25"/>
        <v/>
      </c>
      <c r="F337" s="1069" t="str">
        <f t="shared" ca="1" si="25"/>
        <v/>
      </c>
      <c r="G337" s="1069" t="str">
        <f t="shared" ca="1" si="25"/>
        <v/>
      </c>
      <c r="H337" s="1069" t="str">
        <f t="shared" ca="1" si="25"/>
        <v/>
      </c>
      <c r="I337" s="1069" t="str">
        <f t="shared" ca="1" si="25"/>
        <v/>
      </c>
      <c r="J337" s="1069" t="str">
        <f t="shared" ca="1" si="25"/>
        <v/>
      </c>
      <c r="K337" s="1069" t="str">
        <f t="shared" ca="1" si="25"/>
        <v/>
      </c>
      <c r="L337" s="1069" t="str">
        <f t="shared" ca="1" si="25"/>
        <v/>
      </c>
      <c r="M337" s="1069" t="str">
        <f t="shared" ca="1" si="25"/>
        <v/>
      </c>
      <c r="N337" s="1069" t="str">
        <f t="shared" ca="1" si="26"/>
        <v/>
      </c>
      <c r="O337" s="1069" t="str">
        <f t="shared" ca="1" si="26"/>
        <v/>
      </c>
      <c r="P337" s="1069" t="str">
        <f t="shared" ca="1" si="26"/>
        <v>Hermit</v>
      </c>
      <c r="Q337" s="1069" t="str">
        <f t="shared" ca="1" si="26"/>
        <v/>
      </c>
      <c r="R337" s="1069" t="str">
        <f t="shared" ca="1" si="26"/>
        <v/>
      </c>
      <c r="S337" s="1069" t="str">
        <f t="shared" ca="1" si="26"/>
        <v/>
      </c>
      <c r="T337" s="1069" t="str">
        <f t="shared" ca="1" si="26"/>
        <v/>
      </c>
      <c r="U337" s="1069" t="str">
        <f t="shared" ca="1" si="26"/>
        <v/>
      </c>
      <c r="V337" s="1069" t="str">
        <f t="shared" ca="1" si="26"/>
        <v/>
      </c>
      <c r="W337" s="1069" t="str">
        <f t="shared" ca="1" si="26"/>
        <v/>
      </c>
      <c r="X337" s="1069" t="str">
        <f t="shared" ca="1" si="26"/>
        <v/>
      </c>
      <c r="Y337" s="1069" t="str">
        <f t="shared" ca="1" si="26"/>
        <v/>
      </c>
      <c r="Z337" s="1069" t="str">
        <f t="shared" ca="1" si="26"/>
        <v/>
      </c>
      <c r="AA337" s="1069" t="str">
        <f t="shared" ca="1" si="26"/>
        <v/>
      </c>
    </row>
    <row r="338" spans="1:27" s="1069" customFormat="1" ht="9.9499999999999993" customHeight="1">
      <c r="A338" s="1069">
        <v>121</v>
      </c>
      <c r="D338" s="1069" t="str">
        <f t="shared" ca="1" si="25"/>
        <v/>
      </c>
      <c r="E338" s="1069" t="str">
        <f t="shared" ca="1" si="25"/>
        <v/>
      </c>
      <c r="F338" s="1069" t="str">
        <f t="shared" ca="1" si="25"/>
        <v/>
      </c>
      <c r="G338" s="1069" t="str">
        <f t="shared" ca="1" si="25"/>
        <v/>
      </c>
      <c r="H338" s="1069" t="str">
        <f t="shared" ca="1" si="25"/>
        <v/>
      </c>
      <c r="I338" s="1069" t="str">
        <f t="shared" ca="1" si="25"/>
        <v/>
      </c>
      <c r="J338" s="1069" t="str">
        <f t="shared" ca="1" si="25"/>
        <v/>
      </c>
      <c r="K338" s="1069" t="str">
        <f t="shared" ca="1" si="25"/>
        <v/>
      </c>
      <c r="L338" s="1069" t="str">
        <f t="shared" ca="1" si="25"/>
        <v/>
      </c>
      <c r="M338" s="1069" t="str">
        <f t="shared" ca="1" si="25"/>
        <v/>
      </c>
      <c r="N338" s="1069" t="str">
        <f t="shared" ca="1" si="26"/>
        <v/>
      </c>
      <c r="O338" s="1069" t="str">
        <f t="shared" ca="1" si="26"/>
        <v/>
      </c>
      <c r="P338" s="1069" t="str">
        <f t="shared" ca="1" si="26"/>
        <v>Orphic</v>
      </c>
      <c r="Q338" s="1069" t="str">
        <f t="shared" ca="1" si="26"/>
        <v/>
      </c>
      <c r="R338" s="1069" t="str">
        <f t="shared" ca="1" si="26"/>
        <v/>
      </c>
      <c r="S338" s="1069" t="str">
        <f t="shared" ca="1" si="26"/>
        <v/>
      </c>
      <c r="T338" s="1069" t="str">
        <f t="shared" ca="1" si="26"/>
        <v/>
      </c>
      <c r="U338" s="1069" t="str">
        <f t="shared" ca="1" si="26"/>
        <v/>
      </c>
      <c r="V338" s="1069" t="str">
        <f t="shared" ca="1" si="26"/>
        <v/>
      </c>
      <c r="W338" s="1069" t="str">
        <f t="shared" ca="1" si="26"/>
        <v/>
      </c>
      <c r="X338" s="1069" t="str">
        <f t="shared" ca="1" si="26"/>
        <v/>
      </c>
      <c r="Y338" s="1069" t="str">
        <f t="shared" ca="1" si="26"/>
        <v/>
      </c>
      <c r="Z338" s="1069" t="str">
        <f t="shared" ca="1" si="26"/>
        <v/>
      </c>
      <c r="AA338" s="1069" t="str">
        <f t="shared" ca="1" si="26"/>
        <v/>
      </c>
    </row>
    <row r="339" spans="1:27" s="1069" customFormat="1" ht="9.9499999999999993" customHeight="1">
      <c r="A339" s="1069">
        <v>122</v>
      </c>
      <c r="D339" s="1069" t="str">
        <f t="shared" ref="D339:M348" ca="1" si="27">IF(ISNUMBER(INDEX($D$526:$AA$725,ROW()-ROW($D$218),COLUMN()-COLUMN($C$219))),INDEX(Skills_Table,INDEX($D$526:$AA$725,ROW()-ROW($D$218),COLUMN()-COLUMN($C$219))-4,HLOOKUP("Skill Name",Skill_Columns,2,0)),"")</f>
        <v/>
      </c>
      <c r="E339" s="1069" t="str">
        <f t="shared" ca="1" si="27"/>
        <v/>
      </c>
      <c r="F339" s="1069" t="str">
        <f t="shared" ca="1" si="27"/>
        <v/>
      </c>
      <c r="G339" s="1069" t="str">
        <f t="shared" ca="1" si="27"/>
        <v/>
      </c>
      <c r="H339" s="1069" t="str">
        <f t="shared" ca="1" si="27"/>
        <v/>
      </c>
      <c r="I339" s="1069" t="str">
        <f t="shared" ca="1" si="27"/>
        <v/>
      </c>
      <c r="J339" s="1069" t="str">
        <f t="shared" ca="1" si="27"/>
        <v/>
      </c>
      <c r="K339" s="1069" t="str">
        <f t="shared" ca="1" si="27"/>
        <v/>
      </c>
      <c r="L339" s="1069" t="str">
        <f t="shared" ca="1" si="27"/>
        <v/>
      </c>
      <c r="M339" s="1069" t="str">
        <f t="shared" ca="1" si="27"/>
        <v/>
      </c>
      <c r="N339" s="1069" t="str">
        <f t="shared" ref="N339:AA348" ca="1" si="28">IF(ISNUMBER(INDEX($D$526:$AA$725,ROW()-ROW($D$218),COLUMN()-COLUMN($C$219))),INDEX(Skills_Table,INDEX($D$526:$AA$725,ROW()-ROW($D$218),COLUMN()-COLUMN($C$219))-4,HLOOKUP("Skill Name",Skill_Columns,2,0)),"")</f>
        <v/>
      </c>
      <c r="O339" s="1069" t="str">
        <f t="shared" ca="1" si="28"/>
        <v/>
      </c>
      <c r="P339" s="1069" t="str">
        <f t="shared" ca="1" si="28"/>
        <v>Shaman</v>
      </c>
      <c r="Q339" s="1069" t="str">
        <f t="shared" ca="1" si="28"/>
        <v/>
      </c>
      <c r="R339" s="1069" t="str">
        <f t="shared" ca="1" si="28"/>
        <v/>
      </c>
      <c r="S339" s="1069" t="str">
        <f t="shared" ca="1" si="28"/>
        <v/>
      </c>
      <c r="T339" s="1069" t="str">
        <f t="shared" ca="1" si="28"/>
        <v/>
      </c>
      <c r="U339" s="1069" t="str">
        <f t="shared" ca="1" si="28"/>
        <v/>
      </c>
      <c r="V339" s="1069" t="str">
        <f t="shared" ca="1" si="28"/>
        <v/>
      </c>
      <c r="W339" s="1069" t="str">
        <f t="shared" ca="1" si="28"/>
        <v/>
      </c>
      <c r="X339" s="1069" t="str">
        <f t="shared" ca="1" si="28"/>
        <v/>
      </c>
      <c r="Y339" s="1069" t="str">
        <f t="shared" ca="1" si="28"/>
        <v/>
      </c>
      <c r="Z339" s="1069" t="str">
        <f t="shared" ca="1" si="28"/>
        <v/>
      </c>
      <c r="AA339" s="1069" t="str">
        <f t="shared" ca="1" si="28"/>
        <v/>
      </c>
    </row>
    <row r="340" spans="1:27" s="1069" customFormat="1" ht="9.9499999999999993" customHeight="1">
      <c r="A340" s="1069">
        <v>123</v>
      </c>
      <c r="D340" s="1069" t="str">
        <f t="shared" ca="1" si="27"/>
        <v/>
      </c>
      <c r="E340" s="1069" t="str">
        <f t="shared" ca="1" si="27"/>
        <v/>
      </c>
      <c r="F340" s="1069" t="str">
        <f t="shared" ca="1" si="27"/>
        <v/>
      </c>
      <c r="G340" s="1069" t="str">
        <f t="shared" ca="1" si="27"/>
        <v/>
      </c>
      <c r="H340" s="1069" t="str">
        <f t="shared" ca="1" si="27"/>
        <v/>
      </c>
      <c r="I340" s="1069" t="str">
        <f t="shared" ca="1" si="27"/>
        <v/>
      </c>
      <c r="J340" s="1069" t="str">
        <f t="shared" ca="1" si="27"/>
        <v/>
      </c>
      <c r="K340" s="1069" t="str">
        <f t="shared" ca="1" si="27"/>
        <v/>
      </c>
      <c r="L340" s="1069" t="str">
        <f t="shared" ca="1" si="27"/>
        <v/>
      </c>
      <c r="M340" s="1069" t="str">
        <f t="shared" ca="1" si="27"/>
        <v/>
      </c>
      <c r="N340" s="1069" t="str">
        <f t="shared" ca="1" si="28"/>
        <v/>
      </c>
      <c r="O340" s="1069" t="str">
        <f t="shared" ca="1" si="28"/>
        <v/>
      </c>
      <c r="P340" s="1069" t="str">
        <f t="shared" ca="1" si="28"/>
        <v>Witchcraft</v>
      </c>
      <c r="Q340" s="1069" t="str">
        <f t="shared" ca="1" si="28"/>
        <v/>
      </c>
      <c r="R340" s="1069" t="str">
        <f t="shared" ca="1" si="28"/>
        <v/>
      </c>
      <c r="S340" s="1069" t="str">
        <f t="shared" ca="1" si="28"/>
        <v/>
      </c>
      <c r="T340" s="1069" t="str">
        <f t="shared" ca="1" si="28"/>
        <v/>
      </c>
      <c r="U340" s="1069" t="str">
        <f t="shared" ca="1" si="28"/>
        <v/>
      </c>
      <c r="V340" s="1069" t="str">
        <f t="shared" ca="1" si="28"/>
        <v/>
      </c>
      <c r="W340" s="1069" t="str">
        <f t="shared" ca="1" si="28"/>
        <v/>
      </c>
      <c r="X340" s="1069" t="str">
        <f t="shared" ca="1" si="28"/>
        <v/>
      </c>
      <c r="Y340" s="1069" t="str">
        <f t="shared" ca="1" si="28"/>
        <v/>
      </c>
      <c r="Z340" s="1069" t="str">
        <f t="shared" ca="1" si="28"/>
        <v/>
      </c>
      <c r="AA340" s="1069" t="str">
        <f t="shared" ca="1" si="28"/>
        <v/>
      </c>
    </row>
    <row r="341" spans="1:27" s="1069" customFormat="1" ht="9.9499999999999993" customHeight="1">
      <c r="A341" s="1069">
        <v>124</v>
      </c>
      <c r="D341" s="1069" t="str">
        <f t="shared" ca="1" si="27"/>
        <v/>
      </c>
      <c r="E341" s="1069" t="str">
        <f t="shared" ca="1" si="27"/>
        <v/>
      </c>
      <c r="F341" s="1069" t="str">
        <f t="shared" ca="1" si="27"/>
        <v/>
      </c>
      <c r="G341" s="1069" t="str">
        <f t="shared" ca="1" si="27"/>
        <v/>
      </c>
      <c r="H341" s="1069" t="str">
        <f t="shared" ca="1" si="27"/>
        <v/>
      </c>
      <c r="I341" s="1069" t="str">
        <f t="shared" ca="1" si="27"/>
        <v/>
      </c>
      <c r="J341" s="1069" t="str">
        <f t="shared" ca="1" si="27"/>
        <v/>
      </c>
      <c r="K341" s="1069" t="str">
        <f t="shared" ca="1" si="27"/>
        <v/>
      </c>
      <c r="L341" s="1069" t="str">
        <f t="shared" ca="1" si="27"/>
        <v/>
      </c>
      <c r="M341" s="1069" t="str">
        <f t="shared" ca="1" si="27"/>
        <v/>
      </c>
      <c r="N341" s="1069" t="str">
        <f t="shared" ca="1" si="28"/>
        <v/>
      </c>
      <c r="O341" s="1069" t="str">
        <f t="shared" ca="1" si="28"/>
        <v/>
      </c>
      <c r="P341" s="1069" t="str">
        <f t="shared" ca="1" si="28"/>
        <v>Method:Arcane</v>
      </c>
      <c r="Q341" s="1069" t="str">
        <f t="shared" ca="1" si="28"/>
        <v/>
      </c>
      <c r="R341" s="1069" t="str">
        <f t="shared" ca="1" si="28"/>
        <v/>
      </c>
      <c r="S341" s="1069" t="str">
        <f t="shared" ca="1" si="28"/>
        <v/>
      </c>
      <c r="T341" s="1069" t="str">
        <f t="shared" ca="1" si="28"/>
        <v/>
      </c>
      <c r="U341" s="1069" t="str">
        <f t="shared" ca="1" si="28"/>
        <v/>
      </c>
      <c r="V341" s="1069" t="str">
        <f t="shared" ca="1" si="28"/>
        <v/>
      </c>
      <c r="W341" s="1069" t="str">
        <f t="shared" ca="1" si="28"/>
        <v/>
      </c>
      <c r="X341" s="1069" t="str">
        <f t="shared" ca="1" si="28"/>
        <v/>
      </c>
      <c r="Y341" s="1069" t="str">
        <f t="shared" ca="1" si="28"/>
        <v/>
      </c>
      <c r="Z341" s="1069" t="str">
        <f t="shared" ca="1" si="28"/>
        <v/>
      </c>
      <c r="AA341" s="1069" t="str">
        <f t="shared" ca="1" si="28"/>
        <v/>
      </c>
    </row>
    <row r="342" spans="1:27" s="1069" customFormat="1" ht="9.9499999999999993" customHeight="1">
      <c r="A342" s="1069">
        <v>125</v>
      </c>
      <c r="D342" s="1069" t="str">
        <f t="shared" ca="1" si="27"/>
        <v/>
      </c>
      <c r="E342" s="1069" t="str">
        <f t="shared" ca="1" si="27"/>
        <v/>
      </c>
      <c r="F342" s="1069" t="str">
        <f t="shared" ca="1" si="27"/>
        <v/>
      </c>
      <c r="G342" s="1069" t="str">
        <f t="shared" ca="1" si="27"/>
        <v/>
      </c>
      <c r="H342" s="1069" t="str">
        <f t="shared" ca="1" si="27"/>
        <v/>
      </c>
      <c r="I342" s="1069" t="str">
        <f t="shared" ca="1" si="27"/>
        <v/>
      </c>
      <c r="J342" s="1069" t="str">
        <f t="shared" ca="1" si="27"/>
        <v/>
      </c>
      <c r="K342" s="1069" t="str">
        <f t="shared" ca="1" si="27"/>
        <v/>
      </c>
      <c r="L342" s="1069" t="str">
        <f t="shared" ca="1" si="27"/>
        <v/>
      </c>
      <c r="M342" s="1069" t="str">
        <f t="shared" ca="1" si="27"/>
        <v/>
      </c>
      <c r="N342" s="1069" t="str">
        <f t="shared" ca="1" si="28"/>
        <v/>
      </c>
      <c r="O342" s="1069" t="str">
        <f t="shared" ca="1" si="28"/>
        <v/>
      </c>
      <c r="P342" s="1069" t="str">
        <f t="shared" ca="1" si="28"/>
        <v>Basic Magick: Air</v>
      </c>
      <c r="Q342" s="1069" t="str">
        <f t="shared" ca="1" si="28"/>
        <v/>
      </c>
      <c r="R342" s="1069" t="str">
        <f t="shared" ca="1" si="28"/>
        <v/>
      </c>
      <c r="S342" s="1069" t="str">
        <f t="shared" ca="1" si="28"/>
        <v/>
      </c>
      <c r="T342" s="1069" t="str">
        <f t="shared" ca="1" si="28"/>
        <v/>
      </c>
      <c r="U342" s="1069" t="str">
        <f t="shared" ca="1" si="28"/>
        <v/>
      </c>
      <c r="V342" s="1069" t="str">
        <f t="shared" ca="1" si="28"/>
        <v/>
      </c>
      <c r="W342" s="1069" t="str">
        <f t="shared" ca="1" si="28"/>
        <v/>
      </c>
      <c r="X342" s="1069" t="str">
        <f t="shared" ca="1" si="28"/>
        <v/>
      </c>
      <c r="Y342" s="1069" t="str">
        <f t="shared" ca="1" si="28"/>
        <v/>
      </c>
      <c r="Z342" s="1069" t="str">
        <f t="shared" ca="1" si="28"/>
        <v/>
      </c>
      <c r="AA342" s="1069" t="str">
        <f t="shared" ca="1" si="28"/>
        <v/>
      </c>
    </row>
    <row r="343" spans="1:27" s="1069" customFormat="1" ht="9.9499999999999993" customHeight="1">
      <c r="A343" s="1069">
        <v>126</v>
      </c>
      <c r="D343" s="1069" t="str">
        <f t="shared" ca="1" si="27"/>
        <v/>
      </c>
      <c r="E343" s="1069" t="str">
        <f t="shared" ca="1" si="27"/>
        <v/>
      </c>
      <c r="F343" s="1069" t="str">
        <f t="shared" ca="1" si="27"/>
        <v/>
      </c>
      <c r="G343" s="1069" t="str">
        <f t="shared" ca="1" si="27"/>
        <v/>
      </c>
      <c r="H343" s="1069" t="str">
        <f t="shared" ca="1" si="27"/>
        <v/>
      </c>
      <c r="I343" s="1069" t="str">
        <f t="shared" ca="1" si="27"/>
        <v/>
      </c>
      <c r="J343" s="1069" t="str">
        <f t="shared" ca="1" si="27"/>
        <v/>
      </c>
      <c r="K343" s="1069" t="str">
        <f t="shared" ca="1" si="27"/>
        <v/>
      </c>
      <c r="L343" s="1069" t="str">
        <f t="shared" ca="1" si="27"/>
        <v/>
      </c>
      <c r="M343" s="1069" t="str">
        <f t="shared" ca="1" si="27"/>
        <v/>
      </c>
      <c r="N343" s="1069" t="str">
        <f t="shared" ca="1" si="28"/>
        <v/>
      </c>
      <c r="O343" s="1069" t="str">
        <f t="shared" ca="1" si="28"/>
        <v/>
      </c>
      <c r="P343" s="1069" t="str">
        <f t="shared" ca="1" si="28"/>
        <v>Basic Magick: Earth</v>
      </c>
      <c r="Q343" s="1069" t="str">
        <f t="shared" ca="1" si="28"/>
        <v/>
      </c>
      <c r="R343" s="1069" t="str">
        <f t="shared" ca="1" si="28"/>
        <v/>
      </c>
      <c r="S343" s="1069" t="str">
        <f t="shared" ca="1" si="28"/>
        <v/>
      </c>
      <c r="T343" s="1069" t="str">
        <f t="shared" ca="1" si="28"/>
        <v/>
      </c>
      <c r="U343" s="1069" t="str">
        <f t="shared" ca="1" si="28"/>
        <v/>
      </c>
      <c r="V343" s="1069" t="str">
        <f t="shared" ca="1" si="28"/>
        <v/>
      </c>
      <c r="W343" s="1069" t="str">
        <f t="shared" ca="1" si="28"/>
        <v/>
      </c>
      <c r="X343" s="1069" t="str">
        <f t="shared" ca="1" si="28"/>
        <v/>
      </c>
      <c r="Y343" s="1069" t="str">
        <f t="shared" ca="1" si="28"/>
        <v/>
      </c>
      <c r="Z343" s="1069" t="str">
        <f t="shared" ca="1" si="28"/>
        <v/>
      </c>
      <c r="AA343" s="1069" t="str">
        <f t="shared" ca="1" si="28"/>
        <v/>
      </c>
    </row>
    <row r="344" spans="1:27" s="1069" customFormat="1" ht="9.9499999999999993" customHeight="1">
      <c r="A344" s="1069">
        <v>127</v>
      </c>
      <c r="D344" s="1069" t="str">
        <f t="shared" ca="1" si="27"/>
        <v/>
      </c>
      <c r="E344" s="1069" t="str">
        <f t="shared" ca="1" si="27"/>
        <v/>
      </c>
      <c r="F344" s="1069" t="str">
        <f t="shared" ca="1" si="27"/>
        <v/>
      </c>
      <c r="G344" s="1069" t="str">
        <f t="shared" ca="1" si="27"/>
        <v/>
      </c>
      <c r="H344" s="1069" t="str">
        <f t="shared" ca="1" si="27"/>
        <v/>
      </c>
      <c r="I344" s="1069" t="str">
        <f t="shared" ca="1" si="27"/>
        <v/>
      </c>
      <c r="J344" s="1069" t="str">
        <f t="shared" ca="1" si="27"/>
        <v/>
      </c>
      <c r="K344" s="1069" t="str">
        <f t="shared" ca="1" si="27"/>
        <v/>
      </c>
      <c r="L344" s="1069" t="str">
        <f t="shared" ca="1" si="27"/>
        <v/>
      </c>
      <c r="M344" s="1069" t="str">
        <f t="shared" ca="1" si="27"/>
        <v/>
      </c>
      <c r="N344" s="1069" t="str">
        <f t="shared" ca="1" si="28"/>
        <v/>
      </c>
      <c r="O344" s="1069" t="str">
        <f t="shared" ca="1" si="28"/>
        <v/>
      </c>
      <c r="P344" s="1069" t="str">
        <f t="shared" ca="1" si="28"/>
        <v>Basic Magick: Fire</v>
      </c>
      <c r="Q344" s="1069" t="str">
        <f t="shared" ca="1" si="28"/>
        <v/>
      </c>
      <c r="R344" s="1069" t="str">
        <f t="shared" ca="1" si="28"/>
        <v/>
      </c>
      <c r="S344" s="1069" t="str">
        <f t="shared" ca="1" si="28"/>
        <v/>
      </c>
      <c r="T344" s="1069" t="str">
        <f t="shared" ca="1" si="28"/>
        <v/>
      </c>
      <c r="U344" s="1069" t="str">
        <f t="shared" ca="1" si="28"/>
        <v/>
      </c>
      <c r="V344" s="1069" t="str">
        <f t="shared" ca="1" si="28"/>
        <v/>
      </c>
      <c r="W344" s="1069" t="str">
        <f t="shared" ca="1" si="28"/>
        <v/>
      </c>
      <c r="X344" s="1069" t="str">
        <f t="shared" ca="1" si="28"/>
        <v/>
      </c>
      <c r="Y344" s="1069" t="str">
        <f t="shared" ca="1" si="28"/>
        <v/>
      </c>
      <c r="Z344" s="1069" t="str">
        <f t="shared" ca="1" si="28"/>
        <v/>
      </c>
      <c r="AA344" s="1069" t="str">
        <f t="shared" ca="1" si="28"/>
        <v/>
      </c>
    </row>
    <row r="345" spans="1:27" s="1069" customFormat="1" ht="9.9499999999999993" customHeight="1">
      <c r="A345" s="1069">
        <v>128</v>
      </c>
      <c r="D345" s="1069" t="str">
        <f t="shared" ca="1" si="27"/>
        <v/>
      </c>
      <c r="E345" s="1069" t="str">
        <f t="shared" ca="1" si="27"/>
        <v/>
      </c>
      <c r="F345" s="1069" t="str">
        <f t="shared" ca="1" si="27"/>
        <v/>
      </c>
      <c r="G345" s="1069" t="str">
        <f t="shared" ca="1" si="27"/>
        <v/>
      </c>
      <c r="H345" s="1069" t="str">
        <f t="shared" ca="1" si="27"/>
        <v/>
      </c>
      <c r="I345" s="1069" t="str">
        <f t="shared" ca="1" si="27"/>
        <v/>
      </c>
      <c r="J345" s="1069" t="str">
        <f t="shared" ca="1" si="27"/>
        <v/>
      </c>
      <c r="K345" s="1069" t="str">
        <f t="shared" ca="1" si="27"/>
        <v/>
      </c>
      <c r="L345" s="1069" t="str">
        <f t="shared" ca="1" si="27"/>
        <v/>
      </c>
      <c r="M345" s="1069" t="str">
        <f t="shared" ca="1" si="27"/>
        <v/>
      </c>
      <c r="N345" s="1069" t="str">
        <f t="shared" ca="1" si="28"/>
        <v/>
      </c>
      <c r="O345" s="1069" t="str">
        <f t="shared" ca="1" si="28"/>
        <v/>
      </c>
      <c r="P345" s="1069" t="str">
        <f t="shared" ca="1" si="28"/>
        <v>Basic Magick: Water</v>
      </c>
      <c r="Q345" s="1069" t="str">
        <f t="shared" ca="1" si="28"/>
        <v/>
      </c>
      <c r="R345" s="1069" t="str">
        <f t="shared" ca="1" si="28"/>
        <v/>
      </c>
      <c r="S345" s="1069" t="str">
        <f t="shared" ca="1" si="28"/>
        <v/>
      </c>
      <c r="T345" s="1069" t="str">
        <f t="shared" ca="1" si="28"/>
        <v/>
      </c>
      <c r="U345" s="1069" t="str">
        <f t="shared" ca="1" si="28"/>
        <v/>
      </c>
      <c r="V345" s="1069" t="str">
        <f t="shared" ca="1" si="28"/>
        <v/>
      </c>
      <c r="W345" s="1069" t="str">
        <f t="shared" ca="1" si="28"/>
        <v/>
      </c>
      <c r="X345" s="1069" t="str">
        <f t="shared" ca="1" si="28"/>
        <v/>
      </c>
      <c r="Y345" s="1069" t="str">
        <f t="shared" ca="1" si="28"/>
        <v/>
      </c>
      <c r="Z345" s="1069" t="str">
        <f t="shared" ca="1" si="28"/>
        <v/>
      </c>
      <c r="AA345" s="1069" t="str">
        <f t="shared" ca="1" si="28"/>
        <v/>
      </c>
    </row>
    <row r="346" spans="1:27" s="1069" customFormat="1" ht="9.9499999999999993" customHeight="1">
      <c r="A346" s="1069">
        <v>129</v>
      </c>
      <c r="D346" s="1069" t="str">
        <f t="shared" ca="1" si="27"/>
        <v/>
      </c>
      <c r="E346" s="1069" t="str">
        <f t="shared" ca="1" si="27"/>
        <v/>
      </c>
      <c r="F346" s="1069" t="str">
        <f t="shared" ca="1" si="27"/>
        <v/>
      </c>
      <c r="G346" s="1069" t="str">
        <f t="shared" ca="1" si="27"/>
        <v/>
      </c>
      <c r="H346" s="1069" t="str">
        <f t="shared" ca="1" si="27"/>
        <v/>
      </c>
      <c r="I346" s="1069" t="str">
        <f t="shared" ca="1" si="27"/>
        <v/>
      </c>
      <c r="J346" s="1069" t="str">
        <f t="shared" ca="1" si="27"/>
        <v/>
      </c>
      <c r="K346" s="1069" t="str">
        <f t="shared" ca="1" si="27"/>
        <v/>
      </c>
      <c r="L346" s="1069" t="str">
        <f t="shared" ca="1" si="27"/>
        <v/>
      </c>
      <c r="M346" s="1069" t="str">
        <f t="shared" ca="1" si="27"/>
        <v/>
      </c>
      <c r="N346" s="1069" t="str">
        <f t="shared" ca="1" si="28"/>
        <v/>
      </c>
      <c r="O346" s="1069" t="str">
        <f t="shared" ca="1" si="28"/>
        <v/>
      </c>
      <c r="P346" s="1069" t="str">
        <f t="shared" ca="1" si="28"/>
        <v>Method:Bow</v>
      </c>
      <c r="Q346" s="1069" t="str">
        <f t="shared" ca="1" si="28"/>
        <v/>
      </c>
      <c r="R346" s="1069" t="str">
        <f t="shared" ca="1" si="28"/>
        <v/>
      </c>
      <c r="S346" s="1069" t="str">
        <f t="shared" ca="1" si="28"/>
        <v/>
      </c>
      <c r="T346" s="1069" t="str">
        <f t="shared" ca="1" si="28"/>
        <v/>
      </c>
      <c r="U346" s="1069" t="str">
        <f t="shared" ca="1" si="28"/>
        <v/>
      </c>
      <c r="V346" s="1069" t="str">
        <f t="shared" ca="1" si="28"/>
        <v/>
      </c>
      <c r="W346" s="1069" t="str">
        <f t="shared" ca="1" si="28"/>
        <v/>
      </c>
      <c r="X346" s="1069" t="str">
        <f t="shared" ca="1" si="28"/>
        <v/>
      </c>
      <c r="Y346" s="1069" t="str">
        <f t="shared" ca="1" si="28"/>
        <v/>
      </c>
      <c r="Z346" s="1069" t="str">
        <f t="shared" ca="1" si="28"/>
        <v/>
      </c>
      <c r="AA346" s="1069" t="str">
        <f t="shared" ca="1" si="28"/>
        <v/>
      </c>
    </row>
    <row r="347" spans="1:27" s="1069" customFormat="1" ht="9.9499999999999993" customHeight="1">
      <c r="A347" s="1069">
        <v>130</v>
      </c>
      <c r="D347" s="1069" t="str">
        <f t="shared" ca="1" si="27"/>
        <v/>
      </c>
      <c r="E347" s="1069" t="str">
        <f t="shared" ca="1" si="27"/>
        <v/>
      </c>
      <c r="F347" s="1069" t="str">
        <f t="shared" ca="1" si="27"/>
        <v/>
      </c>
      <c r="G347" s="1069" t="str">
        <f t="shared" ca="1" si="27"/>
        <v/>
      </c>
      <c r="H347" s="1069" t="str">
        <f t="shared" ca="1" si="27"/>
        <v/>
      </c>
      <c r="I347" s="1069" t="str">
        <f t="shared" ca="1" si="27"/>
        <v/>
      </c>
      <c r="J347" s="1069" t="str">
        <f t="shared" ca="1" si="27"/>
        <v/>
      </c>
      <c r="K347" s="1069" t="str">
        <f t="shared" ca="1" si="27"/>
        <v/>
      </c>
      <c r="L347" s="1069" t="str">
        <f t="shared" ca="1" si="27"/>
        <v/>
      </c>
      <c r="M347" s="1069" t="str">
        <f t="shared" ca="1" si="27"/>
        <v/>
      </c>
      <c r="N347" s="1069" t="str">
        <f t="shared" ca="1" si="28"/>
        <v/>
      </c>
      <c r="O347" s="1069" t="str">
        <f t="shared" ca="1" si="28"/>
        <v/>
      </c>
      <c r="P347" s="1069" t="str">
        <f t="shared" ca="1" si="28"/>
        <v>Method:Command</v>
      </c>
      <c r="Q347" s="1069" t="str">
        <f t="shared" ca="1" si="28"/>
        <v/>
      </c>
      <c r="R347" s="1069" t="str">
        <f t="shared" ca="1" si="28"/>
        <v/>
      </c>
      <c r="S347" s="1069" t="str">
        <f t="shared" ca="1" si="28"/>
        <v/>
      </c>
      <c r="T347" s="1069" t="str">
        <f t="shared" ca="1" si="28"/>
        <v/>
      </c>
      <c r="U347" s="1069" t="str">
        <f t="shared" ca="1" si="28"/>
        <v/>
      </c>
      <c r="V347" s="1069" t="str">
        <f t="shared" ca="1" si="28"/>
        <v/>
      </c>
      <c r="W347" s="1069" t="str">
        <f t="shared" ca="1" si="28"/>
        <v/>
      </c>
      <c r="X347" s="1069" t="str">
        <f t="shared" ca="1" si="28"/>
        <v/>
      </c>
      <c r="Y347" s="1069" t="str">
        <f t="shared" ca="1" si="28"/>
        <v/>
      </c>
      <c r="Z347" s="1069" t="str">
        <f t="shared" ca="1" si="28"/>
        <v/>
      </c>
      <c r="AA347" s="1069" t="str">
        <f t="shared" ca="1" si="28"/>
        <v/>
      </c>
    </row>
    <row r="348" spans="1:27" s="1069" customFormat="1" ht="9.9499999999999993" customHeight="1">
      <c r="A348" s="1069">
        <v>131</v>
      </c>
      <c r="D348" s="1069" t="str">
        <f t="shared" ca="1" si="27"/>
        <v/>
      </c>
      <c r="E348" s="1069" t="str">
        <f t="shared" ca="1" si="27"/>
        <v/>
      </c>
      <c r="F348" s="1069" t="str">
        <f t="shared" ca="1" si="27"/>
        <v/>
      </c>
      <c r="G348" s="1069" t="str">
        <f t="shared" ca="1" si="27"/>
        <v/>
      </c>
      <c r="H348" s="1069" t="str">
        <f t="shared" ca="1" si="27"/>
        <v/>
      </c>
      <c r="I348" s="1069" t="str">
        <f t="shared" ca="1" si="27"/>
        <v/>
      </c>
      <c r="J348" s="1069" t="str">
        <f t="shared" ca="1" si="27"/>
        <v/>
      </c>
      <c r="K348" s="1069" t="str">
        <f t="shared" ca="1" si="27"/>
        <v/>
      </c>
      <c r="L348" s="1069" t="str">
        <f t="shared" ca="1" si="27"/>
        <v/>
      </c>
      <c r="M348" s="1069" t="str">
        <f t="shared" ca="1" si="27"/>
        <v/>
      </c>
      <c r="N348" s="1069" t="str">
        <f t="shared" ca="1" si="28"/>
        <v/>
      </c>
      <c r="O348" s="1069" t="str">
        <f t="shared" ca="1" si="28"/>
        <v/>
      </c>
      <c r="P348" s="1069" t="str">
        <f t="shared" ca="1" si="28"/>
        <v>Method:Divination</v>
      </c>
      <c r="Q348" s="1069" t="str">
        <f t="shared" ca="1" si="28"/>
        <v/>
      </c>
      <c r="R348" s="1069" t="str">
        <f t="shared" ca="1" si="28"/>
        <v/>
      </c>
      <c r="S348" s="1069" t="str">
        <f t="shared" ca="1" si="28"/>
        <v/>
      </c>
      <c r="T348" s="1069" t="str">
        <f t="shared" ca="1" si="28"/>
        <v/>
      </c>
      <c r="U348" s="1069" t="str">
        <f t="shared" ca="1" si="28"/>
        <v/>
      </c>
      <c r="V348" s="1069" t="str">
        <f t="shared" ca="1" si="28"/>
        <v/>
      </c>
      <c r="W348" s="1069" t="str">
        <f t="shared" ca="1" si="28"/>
        <v/>
      </c>
      <c r="X348" s="1069" t="str">
        <f t="shared" ca="1" si="28"/>
        <v/>
      </c>
      <c r="Y348" s="1069" t="str">
        <f t="shared" ca="1" si="28"/>
        <v/>
      </c>
      <c r="Z348" s="1069" t="str">
        <f t="shared" ca="1" si="28"/>
        <v/>
      </c>
      <c r="AA348" s="1069" t="str">
        <f t="shared" ca="1" si="28"/>
        <v/>
      </c>
    </row>
    <row r="349" spans="1:27" s="1069" customFormat="1" ht="9.9499999999999993" customHeight="1">
      <c r="A349" s="1069">
        <v>132</v>
      </c>
      <c r="D349" s="1069" t="str">
        <f t="shared" ref="D349:M358" ca="1" si="29">IF(ISNUMBER(INDEX($D$526:$AA$725,ROW()-ROW($D$218),COLUMN()-COLUMN($C$219))),INDEX(Skills_Table,INDEX($D$526:$AA$725,ROW()-ROW($D$218),COLUMN()-COLUMN($C$219))-4,HLOOKUP("Skill Name",Skill_Columns,2,0)),"")</f>
        <v/>
      </c>
      <c r="E349" s="1069" t="str">
        <f t="shared" ca="1" si="29"/>
        <v/>
      </c>
      <c r="F349" s="1069" t="str">
        <f t="shared" ca="1" si="29"/>
        <v/>
      </c>
      <c r="G349" s="1069" t="str">
        <f t="shared" ca="1" si="29"/>
        <v/>
      </c>
      <c r="H349" s="1069" t="str">
        <f t="shared" ca="1" si="29"/>
        <v/>
      </c>
      <c r="I349" s="1069" t="str">
        <f t="shared" ca="1" si="29"/>
        <v/>
      </c>
      <c r="J349" s="1069" t="str">
        <f t="shared" ca="1" si="29"/>
        <v/>
      </c>
      <c r="K349" s="1069" t="str">
        <f t="shared" ca="1" si="29"/>
        <v/>
      </c>
      <c r="L349" s="1069" t="str">
        <f t="shared" ca="1" si="29"/>
        <v/>
      </c>
      <c r="M349" s="1069" t="str">
        <f t="shared" ca="1" si="29"/>
        <v/>
      </c>
      <c r="N349" s="1069" t="str">
        <f t="shared" ref="N349:AA358" ca="1" si="30">IF(ISNUMBER(INDEX($D$526:$AA$725,ROW()-ROW($D$218),COLUMN()-COLUMN($C$219))),INDEX(Skills_Table,INDEX($D$526:$AA$725,ROW()-ROW($D$218),COLUMN()-COLUMN($C$219))-4,HLOOKUP("Skill Name",Skill_Columns,2,0)),"")</f>
        <v/>
      </c>
      <c r="O349" s="1069" t="str">
        <f t="shared" ca="1" si="30"/>
        <v/>
      </c>
      <c r="P349" s="1069" t="str">
        <f t="shared" ca="1" si="30"/>
        <v>Method:Forge</v>
      </c>
      <c r="Q349" s="1069" t="str">
        <f t="shared" ca="1" si="30"/>
        <v/>
      </c>
      <c r="R349" s="1069" t="str">
        <f t="shared" ca="1" si="30"/>
        <v/>
      </c>
      <c r="S349" s="1069" t="str">
        <f t="shared" ca="1" si="30"/>
        <v/>
      </c>
      <c r="T349" s="1069" t="str">
        <f t="shared" ca="1" si="30"/>
        <v/>
      </c>
      <c r="U349" s="1069" t="str">
        <f t="shared" ca="1" si="30"/>
        <v/>
      </c>
      <c r="V349" s="1069" t="str">
        <f t="shared" ca="1" si="30"/>
        <v/>
      </c>
      <c r="W349" s="1069" t="str">
        <f t="shared" ca="1" si="30"/>
        <v/>
      </c>
      <c r="X349" s="1069" t="str">
        <f t="shared" ca="1" si="30"/>
        <v/>
      </c>
      <c r="Y349" s="1069" t="str">
        <f t="shared" ca="1" si="30"/>
        <v/>
      </c>
      <c r="Z349" s="1069" t="str">
        <f t="shared" ca="1" si="30"/>
        <v/>
      </c>
      <c r="AA349" s="1069" t="str">
        <f t="shared" ca="1" si="30"/>
        <v/>
      </c>
    </row>
    <row r="350" spans="1:27" s="1069" customFormat="1" ht="9.9499999999999993" customHeight="1">
      <c r="A350" s="1069">
        <v>133</v>
      </c>
      <c r="D350" s="1069" t="str">
        <f t="shared" ca="1" si="29"/>
        <v/>
      </c>
      <c r="E350" s="1069" t="str">
        <f t="shared" ca="1" si="29"/>
        <v/>
      </c>
      <c r="F350" s="1069" t="str">
        <f t="shared" ca="1" si="29"/>
        <v/>
      </c>
      <c r="G350" s="1069" t="str">
        <f t="shared" ca="1" si="29"/>
        <v/>
      </c>
      <c r="H350" s="1069" t="str">
        <f t="shared" ca="1" si="29"/>
        <v/>
      </c>
      <c r="I350" s="1069" t="str">
        <f t="shared" ca="1" si="29"/>
        <v/>
      </c>
      <c r="J350" s="1069" t="str">
        <f t="shared" ca="1" si="29"/>
        <v/>
      </c>
      <c r="K350" s="1069" t="str">
        <f t="shared" ca="1" si="29"/>
        <v/>
      </c>
      <c r="L350" s="1069" t="str">
        <f t="shared" ca="1" si="29"/>
        <v/>
      </c>
      <c r="M350" s="1069" t="str">
        <f t="shared" ca="1" si="29"/>
        <v/>
      </c>
      <c r="N350" s="1069" t="str">
        <f t="shared" ca="1" si="30"/>
        <v/>
      </c>
      <c r="O350" s="1069" t="str">
        <f t="shared" ca="1" si="30"/>
        <v/>
      </c>
      <c r="P350" s="1069" t="str">
        <f t="shared" ca="1" si="30"/>
        <v>Method:Illusion</v>
      </c>
      <c r="Q350" s="1069" t="str">
        <f t="shared" ca="1" si="30"/>
        <v/>
      </c>
      <c r="R350" s="1069" t="str">
        <f t="shared" ca="1" si="30"/>
        <v/>
      </c>
      <c r="S350" s="1069" t="str">
        <f t="shared" ca="1" si="30"/>
        <v/>
      </c>
      <c r="T350" s="1069" t="str">
        <f t="shared" ca="1" si="30"/>
        <v/>
      </c>
      <c r="U350" s="1069" t="str">
        <f t="shared" ca="1" si="30"/>
        <v/>
      </c>
      <c r="V350" s="1069" t="str">
        <f t="shared" ca="1" si="30"/>
        <v/>
      </c>
      <c r="W350" s="1069" t="str">
        <f t="shared" ca="1" si="30"/>
        <v/>
      </c>
      <c r="X350" s="1069" t="str">
        <f t="shared" ca="1" si="30"/>
        <v/>
      </c>
      <c r="Y350" s="1069" t="str">
        <f t="shared" ca="1" si="30"/>
        <v/>
      </c>
      <c r="Z350" s="1069" t="str">
        <f t="shared" ca="1" si="30"/>
        <v/>
      </c>
      <c r="AA350" s="1069" t="str">
        <f t="shared" ca="1" si="30"/>
        <v/>
      </c>
    </row>
    <row r="351" spans="1:27" s="1069" customFormat="1" ht="9.9499999999999993" customHeight="1">
      <c r="A351" s="1069">
        <v>134</v>
      </c>
      <c r="D351" s="1069" t="str">
        <f t="shared" ca="1" si="29"/>
        <v/>
      </c>
      <c r="E351" s="1069" t="str">
        <f t="shared" ca="1" si="29"/>
        <v/>
      </c>
      <c r="F351" s="1069" t="str">
        <f t="shared" ca="1" si="29"/>
        <v/>
      </c>
      <c r="G351" s="1069" t="str">
        <f t="shared" ca="1" si="29"/>
        <v/>
      </c>
      <c r="H351" s="1069" t="str">
        <f t="shared" ca="1" si="29"/>
        <v/>
      </c>
      <c r="I351" s="1069" t="str">
        <f t="shared" ca="1" si="29"/>
        <v/>
      </c>
      <c r="J351" s="1069" t="str">
        <f t="shared" ca="1" si="29"/>
        <v/>
      </c>
      <c r="K351" s="1069" t="str">
        <f t="shared" ca="1" si="29"/>
        <v/>
      </c>
      <c r="L351" s="1069" t="str">
        <f t="shared" ca="1" si="29"/>
        <v/>
      </c>
      <c r="M351" s="1069" t="str">
        <f t="shared" ca="1" si="29"/>
        <v/>
      </c>
      <c r="N351" s="1069" t="str">
        <f t="shared" ca="1" si="30"/>
        <v/>
      </c>
      <c r="O351" s="1069" t="str">
        <f t="shared" ca="1" si="30"/>
        <v/>
      </c>
      <c r="P351" s="1069" t="str">
        <f t="shared" ca="1" si="30"/>
        <v>Method:Plant</v>
      </c>
      <c r="Q351" s="1069" t="str">
        <f t="shared" ca="1" si="30"/>
        <v/>
      </c>
      <c r="R351" s="1069" t="str">
        <f t="shared" ca="1" si="30"/>
        <v/>
      </c>
      <c r="S351" s="1069" t="str">
        <f t="shared" ca="1" si="30"/>
        <v/>
      </c>
      <c r="T351" s="1069" t="str">
        <f t="shared" ca="1" si="30"/>
        <v/>
      </c>
      <c r="U351" s="1069" t="str">
        <f t="shared" ca="1" si="30"/>
        <v/>
      </c>
      <c r="V351" s="1069" t="str">
        <f t="shared" ca="1" si="30"/>
        <v/>
      </c>
      <c r="W351" s="1069" t="str">
        <f t="shared" ca="1" si="30"/>
        <v/>
      </c>
      <c r="X351" s="1069" t="str">
        <f t="shared" ca="1" si="30"/>
        <v/>
      </c>
      <c r="Y351" s="1069" t="str">
        <f t="shared" ca="1" si="30"/>
        <v/>
      </c>
      <c r="Z351" s="1069" t="str">
        <f t="shared" ca="1" si="30"/>
        <v/>
      </c>
      <c r="AA351" s="1069" t="str">
        <f t="shared" ca="1" si="30"/>
        <v/>
      </c>
    </row>
    <row r="352" spans="1:27" s="1069" customFormat="1" ht="9.9499999999999993" customHeight="1">
      <c r="A352" s="1069">
        <v>135</v>
      </c>
      <c r="D352" s="1069" t="str">
        <f t="shared" ca="1" si="29"/>
        <v/>
      </c>
      <c r="E352" s="1069" t="str">
        <f t="shared" ca="1" si="29"/>
        <v/>
      </c>
      <c r="F352" s="1069" t="str">
        <f t="shared" ca="1" si="29"/>
        <v/>
      </c>
      <c r="G352" s="1069" t="str">
        <f t="shared" ca="1" si="29"/>
        <v/>
      </c>
      <c r="H352" s="1069" t="str">
        <f t="shared" ca="1" si="29"/>
        <v/>
      </c>
      <c r="I352" s="1069" t="str">
        <f t="shared" ca="1" si="29"/>
        <v/>
      </c>
      <c r="J352" s="1069" t="str">
        <f t="shared" ca="1" si="29"/>
        <v/>
      </c>
      <c r="K352" s="1069" t="str">
        <f t="shared" ca="1" si="29"/>
        <v/>
      </c>
      <c r="L352" s="1069" t="str">
        <f t="shared" ca="1" si="29"/>
        <v/>
      </c>
      <c r="M352" s="1069" t="str">
        <f t="shared" ca="1" si="29"/>
        <v/>
      </c>
      <c r="N352" s="1069" t="str">
        <f t="shared" ca="1" si="30"/>
        <v/>
      </c>
      <c r="O352" s="1069" t="str">
        <f t="shared" ca="1" si="30"/>
        <v/>
      </c>
      <c r="P352" s="1069" t="str">
        <f t="shared" ca="1" si="30"/>
        <v>Rune Carving in Stone</v>
      </c>
      <c r="Q352" s="1069" t="str">
        <f t="shared" ca="1" si="30"/>
        <v/>
      </c>
      <c r="R352" s="1069" t="str">
        <f t="shared" ca="1" si="30"/>
        <v/>
      </c>
      <c r="S352" s="1069" t="str">
        <f t="shared" ca="1" si="30"/>
        <v/>
      </c>
      <c r="T352" s="1069" t="str">
        <f t="shared" ca="1" si="30"/>
        <v/>
      </c>
      <c r="U352" s="1069" t="str">
        <f t="shared" ca="1" si="30"/>
        <v/>
      </c>
      <c r="V352" s="1069" t="str">
        <f t="shared" ca="1" si="30"/>
        <v/>
      </c>
      <c r="W352" s="1069" t="str">
        <f t="shared" ca="1" si="30"/>
        <v/>
      </c>
      <c r="X352" s="1069" t="str">
        <f t="shared" ca="1" si="30"/>
        <v/>
      </c>
      <c r="Y352" s="1069" t="str">
        <f t="shared" ca="1" si="30"/>
        <v/>
      </c>
      <c r="Z352" s="1069" t="str">
        <f t="shared" ca="1" si="30"/>
        <v/>
      </c>
      <c r="AA352" s="1069" t="str">
        <f t="shared" ca="1" si="30"/>
        <v/>
      </c>
    </row>
    <row r="353" spans="1:27" s="1069" customFormat="1" ht="9.9499999999999993" customHeight="1">
      <c r="A353" s="1069">
        <v>136</v>
      </c>
      <c r="D353" s="1069" t="str">
        <f t="shared" ca="1" si="29"/>
        <v/>
      </c>
      <c r="E353" s="1069" t="str">
        <f t="shared" ca="1" si="29"/>
        <v/>
      </c>
      <c r="F353" s="1069" t="str">
        <f t="shared" ca="1" si="29"/>
        <v/>
      </c>
      <c r="G353" s="1069" t="str">
        <f t="shared" ca="1" si="29"/>
        <v/>
      </c>
      <c r="H353" s="1069" t="str">
        <f t="shared" ca="1" si="29"/>
        <v/>
      </c>
      <c r="I353" s="1069" t="str">
        <f t="shared" ca="1" si="29"/>
        <v/>
      </c>
      <c r="J353" s="1069" t="str">
        <f t="shared" ca="1" si="29"/>
        <v/>
      </c>
      <c r="K353" s="1069" t="str">
        <f t="shared" ca="1" si="29"/>
        <v/>
      </c>
      <c r="L353" s="1069" t="str">
        <f t="shared" ca="1" si="29"/>
        <v/>
      </c>
      <c r="M353" s="1069" t="str">
        <f t="shared" ca="1" si="29"/>
        <v/>
      </c>
      <c r="N353" s="1069" t="str">
        <f t="shared" ca="1" si="30"/>
        <v/>
      </c>
      <c r="O353" s="1069" t="str">
        <f t="shared" ca="1" si="30"/>
        <v/>
      </c>
      <c r="P353" s="1069" t="str">
        <f t="shared" ca="1" si="30"/>
        <v>Rune Carving in Wood</v>
      </c>
      <c r="Q353" s="1069" t="str">
        <f t="shared" ca="1" si="30"/>
        <v/>
      </c>
      <c r="R353" s="1069" t="str">
        <f t="shared" ca="1" si="30"/>
        <v/>
      </c>
      <c r="S353" s="1069" t="str">
        <f t="shared" ca="1" si="30"/>
        <v/>
      </c>
      <c r="T353" s="1069" t="str">
        <f t="shared" ca="1" si="30"/>
        <v/>
      </c>
      <c r="U353" s="1069" t="str">
        <f t="shared" ca="1" si="30"/>
        <v/>
      </c>
      <c r="V353" s="1069" t="str">
        <f t="shared" ca="1" si="30"/>
        <v/>
      </c>
      <c r="W353" s="1069" t="str">
        <f t="shared" ca="1" si="30"/>
        <v/>
      </c>
      <c r="X353" s="1069" t="str">
        <f t="shared" ca="1" si="30"/>
        <v/>
      </c>
      <c r="Y353" s="1069" t="str">
        <f t="shared" ca="1" si="30"/>
        <v/>
      </c>
      <c r="Z353" s="1069" t="str">
        <f t="shared" ca="1" si="30"/>
        <v/>
      </c>
      <c r="AA353" s="1069" t="str">
        <f t="shared" ca="1" si="30"/>
        <v/>
      </c>
    </row>
    <row r="354" spans="1:27" s="1069" customFormat="1" ht="9.9499999999999993" customHeight="1">
      <c r="A354" s="1069">
        <v>137</v>
      </c>
      <c r="D354" s="1069" t="str">
        <f t="shared" ca="1" si="29"/>
        <v/>
      </c>
      <c r="E354" s="1069" t="str">
        <f t="shared" ca="1" si="29"/>
        <v/>
      </c>
      <c r="F354" s="1069" t="str">
        <f t="shared" ca="1" si="29"/>
        <v/>
      </c>
      <c r="G354" s="1069" t="str">
        <f t="shared" ca="1" si="29"/>
        <v/>
      </c>
      <c r="H354" s="1069" t="str">
        <f t="shared" ca="1" si="29"/>
        <v/>
      </c>
      <c r="I354" s="1069" t="str">
        <f t="shared" ca="1" si="29"/>
        <v/>
      </c>
      <c r="J354" s="1069" t="str">
        <f t="shared" ca="1" si="29"/>
        <v/>
      </c>
      <c r="K354" s="1069" t="str">
        <f t="shared" ca="1" si="29"/>
        <v/>
      </c>
      <c r="L354" s="1069" t="str">
        <f t="shared" ca="1" si="29"/>
        <v/>
      </c>
      <c r="M354" s="1069" t="str">
        <f t="shared" ca="1" si="29"/>
        <v/>
      </c>
      <c r="N354" s="1069" t="str">
        <f t="shared" ca="1" si="30"/>
        <v/>
      </c>
      <c r="O354" s="1069" t="str">
        <f t="shared" ca="1" si="30"/>
        <v/>
      </c>
      <c r="P354" s="1069" t="str">
        <f t="shared" ca="1" si="30"/>
        <v>Rune Chants</v>
      </c>
      <c r="Q354" s="1069" t="str">
        <f t="shared" ca="1" si="30"/>
        <v/>
      </c>
      <c r="R354" s="1069" t="str">
        <f t="shared" ca="1" si="30"/>
        <v/>
      </c>
      <c r="S354" s="1069" t="str">
        <f t="shared" ca="1" si="30"/>
        <v/>
      </c>
      <c r="T354" s="1069" t="str">
        <f t="shared" ca="1" si="30"/>
        <v/>
      </c>
      <c r="U354" s="1069" t="str">
        <f t="shared" ca="1" si="30"/>
        <v/>
      </c>
      <c r="V354" s="1069" t="str">
        <f t="shared" ca="1" si="30"/>
        <v/>
      </c>
      <c r="W354" s="1069" t="str">
        <f t="shared" ca="1" si="30"/>
        <v/>
      </c>
      <c r="X354" s="1069" t="str">
        <f t="shared" ca="1" si="30"/>
        <v/>
      </c>
      <c r="Y354" s="1069" t="str">
        <f t="shared" ca="1" si="30"/>
        <v/>
      </c>
      <c r="Z354" s="1069" t="str">
        <f t="shared" ca="1" si="30"/>
        <v/>
      </c>
      <c r="AA354" s="1069" t="str">
        <f t="shared" ca="1" si="30"/>
        <v/>
      </c>
    </row>
    <row r="355" spans="1:27" s="1069" customFormat="1" ht="9.9499999999999993" customHeight="1">
      <c r="A355" s="1069">
        <v>138</v>
      </c>
      <c r="D355" s="1069" t="str">
        <f t="shared" ca="1" si="29"/>
        <v/>
      </c>
      <c r="E355" s="1069" t="str">
        <f t="shared" ca="1" si="29"/>
        <v/>
      </c>
      <c r="F355" s="1069" t="str">
        <f t="shared" ca="1" si="29"/>
        <v/>
      </c>
      <c r="G355" s="1069" t="str">
        <f t="shared" ca="1" si="29"/>
        <v/>
      </c>
      <c r="H355" s="1069" t="str">
        <f t="shared" ca="1" si="29"/>
        <v/>
      </c>
      <c r="I355" s="1069" t="str">
        <f t="shared" ca="1" si="29"/>
        <v/>
      </c>
      <c r="J355" s="1069" t="str">
        <f t="shared" ca="1" si="29"/>
        <v/>
      </c>
      <c r="K355" s="1069" t="str">
        <f t="shared" ca="1" si="29"/>
        <v/>
      </c>
      <c r="L355" s="1069" t="str">
        <f t="shared" ca="1" si="29"/>
        <v/>
      </c>
      <c r="M355" s="1069" t="str">
        <f t="shared" ca="1" si="29"/>
        <v/>
      </c>
      <c r="N355" s="1069" t="str">
        <f t="shared" ca="1" si="30"/>
        <v/>
      </c>
      <c r="O355" s="1069" t="str">
        <f t="shared" ca="1" si="30"/>
        <v/>
      </c>
      <c r="P355" s="1069" t="str">
        <f t="shared" ca="1" si="30"/>
        <v>Method:Summoning</v>
      </c>
      <c r="Q355" s="1069" t="str">
        <f t="shared" ca="1" si="30"/>
        <v/>
      </c>
      <c r="R355" s="1069" t="str">
        <f t="shared" ca="1" si="30"/>
        <v/>
      </c>
      <c r="S355" s="1069" t="str">
        <f t="shared" ca="1" si="30"/>
        <v/>
      </c>
      <c r="T355" s="1069" t="str">
        <f t="shared" ca="1" si="30"/>
        <v/>
      </c>
      <c r="U355" s="1069" t="str">
        <f t="shared" ca="1" si="30"/>
        <v/>
      </c>
      <c r="V355" s="1069" t="str">
        <f t="shared" ca="1" si="30"/>
        <v/>
      </c>
      <c r="W355" s="1069" t="str">
        <f t="shared" ca="1" si="30"/>
        <v/>
      </c>
      <c r="X355" s="1069" t="str">
        <f t="shared" ca="1" si="30"/>
        <v/>
      </c>
      <c r="Y355" s="1069" t="str">
        <f t="shared" ca="1" si="30"/>
        <v/>
      </c>
      <c r="Z355" s="1069" t="str">
        <f t="shared" ca="1" si="30"/>
        <v/>
      </c>
      <c r="AA355" s="1069" t="str">
        <f t="shared" ca="1" si="30"/>
        <v/>
      </c>
    </row>
    <row r="356" spans="1:27" s="1069" customFormat="1" ht="9.9499999999999993" customHeight="1">
      <c r="A356" s="1069">
        <v>139</v>
      </c>
      <c r="D356" s="1069" t="str">
        <f t="shared" ca="1" si="29"/>
        <v/>
      </c>
      <c r="E356" s="1069" t="str">
        <f t="shared" ca="1" si="29"/>
        <v/>
      </c>
      <c r="F356" s="1069" t="str">
        <f t="shared" ca="1" si="29"/>
        <v/>
      </c>
      <c r="G356" s="1069" t="str">
        <f t="shared" ca="1" si="29"/>
        <v/>
      </c>
      <c r="H356" s="1069" t="str">
        <f t="shared" ca="1" si="29"/>
        <v/>
      </c>
      <c r="I356" s="1069" t="str">
        <f t="shared" ca="1" si="29"/>
        <v/>
      </c>
      <c r="J356" s="1069" t="str">
        <f t="shared" ca="1" si="29"/>
        <v/>
      </c>
      <c r="K356" s="1069" t="str">
        <f t="shared" ca="1" si="29"/>
        <v/>
      </c>
      <c r="L356" s="1069" t="str">
        <f t="shared" ca="1" si="29"/>
        <v/>
      </c>
      <c r="M356" s="1069" t="str">
        <f t="shared" ca="1" si="29"/>
        <v/>
      </c>
      <c r="N356" s="1069" t="str">
        <f t="shared" ca="1" si="30"/>
        <v/>
      </c>
      <c r="O356" s="1069" t="str">
        <f t="shared" ca="1" si="30"/>
        <v/>
      </c>
      <c r="P356" s="1069" t="str">
        <f t="shared" ca="1" si="30"/>
        <v>Method:Transcendental</v>
      </c>
      <c r="Q356" s="1069" t="str">
        <f t="shared" ca="1" si="30"/>
        <v/>
      </c>
      <c r="R356" s="1069" t="str">
        <f t="shared" ca="1" si="30"/>
        <v/>
      </c>
      <c r="S356" s="1069" t="str">
        <f t="shared" ca="1" si="30"/>
        <v/>
      </c>
      <c r="T356" s="1069" t="str">
        <f t="shared" ca="1" si="30"/>
        <v/>
      </c>
      <c r="U356" s="1069" t="str">
        <f t="shared" ca="1" si="30"/>
        <v/>
      </c>
      <c r="V356" s="1069" t="str">
        <f t="shared" ca="1" si="30"/>
        <v/>
      </c>
      <c r="W356" s="1069" t="str">
        <f t="shared" ca="1" si="30"/>
        <v/>
      </c>
      <c r="X356" s="1069" t="str">
        <f t="shared" ca="1" si="30"/>
        <v/>
      </c>
      <c r="Y356" s="1069" t="str">
        <f t="shared" ca="1" si="30"/>
        <v/>
      </c>
      <c r="Z356" s="1069" t="str">
        <f t="shared" ca="1" si="30"/>
        <v/>
      </c>
      <c r="AA356" s="1069" t="str">
        <f t="shared" ca="1" si="30"/>
        <v/>
      </c>
    </row>
    <row r="357" spans="1:27" s="1069" customFormat="1" ht="9.9499999999999993" customHeight="1">
      <c r="A357" s="1069">
        <v>140</v>
      </c>
      <c r="D357" s="1069" t="str">
        <f t="shared" ca="1" si="29"/>
        <v/>
      </c>
      <c r="E357" s="1069" t="str">
        <f t="shared" ca="1" si="29"/>
        <v/>
      </c>
      <c r="F357" s="1069" t="str">
        <f t="shared" ca="1" si="29"/>
        <v/>
      </c>
      <c r="G357" s="1069" t="str">
        <f t="shared" ca="1" si="29"/>
        <v/>
      </c>
      <c r="H357" s="1069" t="str">
        <f t="shared" ca="1" si="29"/>
        <v/>
      </c>
      <c r="I357" s="1069" t="str">
        <f t="shared" ca="1" si="29"/>
        <v/>
      </c>
      <c r="J357" s="1069" t="str">
        <f t="shared" ca="1" si="29"/>
        <v/>
      </c>
      <c r="K357" s="1069" t="str">
        <f t="shared" ca="1" si="29"/>
        <v/>
      </c>
      <c r="L357" s="1069" t="str">
        <f t="shared" ca="1" si="29"/>
        <v/>
      </c>
      <c r="M357" s="1069" t="str">
        <f t="shared" ca="1" si="29"/>
        <v/>
      </c>
      <c r="N357" s="1069" t="str">
        <f t="shared" ca="1" si="30"/>
        <v/>
      </c>
      <c r="O357" s="1069" t="str">
        <f t="shared" ca="1" si="30"/>
        <v/>
      </c>
      <c r="P357" s="1069" t="str">
        <f t="shared" ca="1" si="30"/>
        <v>Method:Transmutation</v>
      </c>
      <c r="Q357" s="1069" t="str">
        <f t="shared" ca="1" si="30"/>
        <v/>
      </c>
      <c r="R357" s="1069" t="str">
        <f t="shared" ca="1" si="30"/>
        <v/>
      </c>
      <c r="S357" s="1069" t="str">
        <f t="shared" ca="1" si="30"/>
        <v/>
      </c>
      <c r="T357" s="1069" t="str">
        <f t="shared" ca="1" si="30"/>
        <v/>
      </c>
      <c r="U357" s="1069" t="str">
        <f t="shared" ca="1" si="30"/>
        <v/>
      </c>
      <c r="V357" s="1069" t="str">
        <f t="shared" ca="1" si="30"/>
        <v/>
      </c>
      <c r="W357" s="1069" t="str">
        <f t="shared" ca="1" si="30"/>
        <v/>
      </c>
      <c r="X357" s="1069" t="str">
        <f t="shared" ca="1" si="30"/>
        <v/>
      </c>
      <c r="Y357" s="1069" t="str">
        <f t="shared" ca="1" si="30"/>
        <v/>
      </c>
      <c r="Z357" s="1069" t="str">
        <f t="shared" ca="1" si="30"/>
        <v/>
      </c>
      <c r="AA357" s="1069" t="str">
        <f t="shared" ca="1" si="30"/>
        <v/>
      </c>
    </row>
    <row r="358" spans="1:27" s="1069" customFormat="1" ht="9.9499999999999993" customHeight="1">
      <c r="A358" s="1069">
        <v>141</v>
      </c>
      <c r="D358" s="1069" t="str">
        <f t="shared" ca="1" si="29"/>
        <v/>
      </c>
      <c r="E358" s="1069" t="str">
        <f t="shared" ca="1" si="29"/>
        <v/>
      </c>
      <c r="F358" s="1069" t="str">
        <f t="shared" ca="1" si="29"/>
        <v/>
      </c>
      <c r="G358" s="1069" t="str">
        <f t="shared" ca="1" si="29"/>
        <v/>
      </c>
      <c r="H358" s="1069" t="str">
        <f t="shared" ca="1" si="29"/>
        <v/>
      </c>
      <c r="I358" s="1069" t="str">
        <f t="shared" ca="1" si="29"/>
        <v/>
      </c>
      <c r="J358" s="1069" t="str">
        <f t="shared" ca="1" si="29"/>
        <v/>
      </c>
      <c r="K358" s="1069" t="str">
        <f t="shared" ca="1" si="29"/>
        <v/>
      </c>
      <c r="L358" s="1069" t="str">
        <f t="shared" ca="1" si="29"/>
        <v/>
      </c>
      <c r="M358" s="1069" t="str">
        <f t="shared" ca="1" si="29"/>
        <v/>
      </c>
      <c r="N358" s="1069" t="str">
        <f t="shared" ca="1" si="30"/>
        <v/>
      </c>
      <c r="O358" s="1069" t="str">
        <f t="shared" ca="1" si="30"/>
        <v/>
      </c>
      <c r="P358" s="1069" t="str">
        <f t="shared" ca="1" si="30"/>
        <v>Method:Troll</v>
      </c>
      <c r="Q358" s="1069" t="str">
        <f t="shared" ca="1" si="30"/>
        <v/>
      </c>
      <c r="R358" s="1069" t="str">
        <f t="shared" ca="1" si="30"/>
        <v/>
      </c>
      <c r="S358" s="1069" t="str">
        <f t="shared" ca="1" si="30"/>
        <v/>
      </c>
      <c r="T358" s="1069" t="str">
        <f t="shared" ca="1" si="30"/>
        <v/>
      </c>
      <c r="U358" s="1069" t="str">
        <f t="shared" ca="1" si="30"/>
        <v/>
      </c>
      <c r="V358" s="1069" t="str">
        <f t="shared" ca="1" si="30"/>
        <v/>
      </c>
      <c r="W358" s="1069" t="str">
        <f t="shared" ca="1" si="30"/>
        <v/>
      </c>
      <c r="X358" s="1069" t="str">
        <f t="shared" ca="1" si="30"/>
        <v/>
      </c>
      <c r="Y358" s="1069" t="str">
        <f t="shared" ca="1" si="30"/>
        <v/>
      </c>
      <c r="Z358" s="1069" t="str">
        <f t="shared" ca="1" si="30"/>
        <v/>
      </c>
      <c r="AA358" s="1069" t="str">
        <f t="shared" ca="1" si="30"/>
        <v/>
      </c>
    </row>
    <row r="359" spans="1:27" s="1069" customFormat="1" ht="9.9499999999999993" customHeight="1">
      <c r="A359" s="1069">
        <v>142</v>
      </c>
      <c r="D359" s="1069" t="str">
        <f t="shared" ref="D359:M368" ca="1" si="31">IF(ISNUMBER(INDEX($D$526:$AA$725,ROW()-ROW($D$218),COLUMN()-COLUMN($C$219))),INDEX(Skills_Table,INDEX($D$526:$AA$725,ROW()-ROW($D$218),COLUMN()-COLUMN($C$219))-4,HLOOKUP("Skill Name",Skill_Columns,2,0)),"")</f>
        <v/>
      </c>
      <c r="E359" s="1069" t="str">
        <f t="shared" ca="1" si="31"/>
        <v/>
      </c>
      <c r="F359" s="1069" t="str">
        <f t="shared" ca="1" si="31"/>
        <v/>
      </c>
      <c r="G359" s="1069" t="str">
        <f t="shared" ca="1" si="31"/>
        <v/>
      </c>
      <c r="H359" s="1069" t="str">
        <f t="shared" ca="1" si="31"/>
        <v/>
      </c>
      <c r="I359" s="1069" t="str">
        <f t="shared" ca="1" si="31"/>
        <v/>
      </c>
      <c r="J359" s="1069" t="str">
        <f t="shared" ca="1" si="31"/>
        <v/>
      </c>
      <c r="K359" s="1069" t="str">
        <f t="shared" ca="1" si="31"/>
        <v/>
      </c>
      <c r="L359" s="1069" t="str">
        <f t="shared" ca="1" si="31"/>
        <v/>
      </c>
      <c r="M359" s="1069" t="str">
        <f t="shared" ca="1" si="31"/>
        <v/>
      </c>
      <c r="N359" s="1069" t="str">
        <f t="shared" ref="N359:AA368" ca="1" si="32">IF(ISNUMBER(INDEX($D$526:$AA$725,ROW()-ROW($D$218),COLUMN()-COLUMN($C$219))),INDEX(Skills_Table,INDEX($D$526:$AA$725,ROW()-ROW($D$218),COLUMN()-COLUMN($C$219))-4,HLOOKUP("Skill Name",Skill_Columns,2,0)),"")</f>
        <v/>
      </c>
      <c r="O359" s="1069" t="str">
        <f t="shared" ca="1" si="32"/>
        <v/>
      </c>
      <c r="P359" s="1069" t="str">
        <f t="shared" ca="1" si="32"/>
        <v>Method:Wards</v>
      </c>
      <c r="Q359" s="1069" t="str">
        <f t="shared" ca="1" si="32"/>
        <v/>
      </c>
      <c r="R359" s="1069" t="str">
        <f t="shared" ca="1" si="32"/>
        <v/>
      </c>
      <c r="S359" s="1069" t="str">
        <f t="shared" ca="1" si="32"/>
        <v/>
      </c>
      <c r="T359" s="1069" t="str">
        <f t="shared" ca="1" si="32"/>
        <v/>
      </c>
      <c r="U359" s="1069" t="str">
        <f t="shared" ca="1" si="32"/>
        <v/>
      </c>
      <c r="V359" s="1069" t="str">
        <f t="shared" ca="1" si="32"/>
        <v/>
      </c>
      <c r="W359" s="1069" t="str">
        <f t="shared" ca="1" si="32"/>
        <v/>
      </c>
      <c r="X359" s="1069" t="str">
        <f t="shared" ca="1" si="32"/>
        <v/>
      </c>
      <c r="Y359" s="1069" t="str">
        <f t="shared" ca="1" si="32"/>
        <v/>
      </c>
      <c r="Z359" s="1069" t="str">
        <f t="shared" ca="1" si="32"/>
        <v/>
      </c>
      <c r="AA359" s="1069" t="str">
        <f t="shared" ca="1" si="32"/>
        <v/>
      </c>
    </row>
    <row r="360" spans="1:27" s="1069" customFormat="1" ht="9.9499999999999993" customHeight="1">
      <c r="A360" s="1069">
        <v>143</v>
      </c>
      <c r="D360" s="1069" t="str">
        <f t="shared" ca="1" si="31"/>
        <v/>
      </c>
      <c r="E360" s="1069" t="str">
        <f t="shared" ca="1" si="31"/>
        <v/>
      </c>
      <c r="F360" s="1069" t="str">
        <f t="shared" ca="1" si="31"/>
        <v/>
      </c>
      <c r="G360" s="1069" t="str">
        <f t="shared" ca="1" si="31"/>
        <v/>
      </c>
      <c r="H360" s="1069" t="str">
        <f t="shared" ca="1" si="31"/>
        <v/>
      </c>
      <c r="I360" s="1069" t="str">
        <f t="shared" ca="1" si="31"/>
        <v/>
      </c>
      <c r="J360" s="1069" t="str">
        <f t="shared" ca="1" si="31"/>
        <v/>
      </c>
      <c r="K360" s="1069" t="str">
        <f t="shared" ca="1" si="31"/>
        <v/>
      </c>
      <c r="L360" s="1069" t="str">
        <f t="shared" ca="1" si="31"/>
        <v/>
      </c>
      <c r="M360" s="1069" t="str">
        <f t="shared" ca="1" si="31"/>
        <v/>
      </c>
      <c r="N360" s="1069" t="str">
        <f t="shared" ca="1" si="32"/>
        <v/>
      </c>
      <c r="O360" s="1069" t="str">
        <f t="shared" ca="1" si="32"/>
        <v/>
      </c>
      <c r="P360" s="1069" t="str">
        <f t="shared" ca="1" si="32"/>
        <v/>
      </c>
      <c r="Q360" s="1069" t="str">
        <f t="shared" ca="1" si="32"/>
        <v/>
      </c>
      <c r="R360" s="1069" t="str">
        <f t="shared" ca="1" si="32"/>
        <v/>
      </c>
      <c r="S360" s="1069" t="str">
        <f t="shared" ca="1" si="32"/>
        <v/>
      </c>
      <c r="T360" s="1069" t="str">
        <f t="shared" ca="1" si="32"/>
        <v/>
      </c>
      <c r="U360" s="1069" t="str">
        <f t="shared" ca="1" si="32"/>
        <v/>
      </c>
      <c r="V360" s="1069" t="str">
        <f t="shared" ca="1" si="32"/>
        <v/>
      </c>
      <c r="W360" s="1069" t="str">
        <f t="shared" ca="1" si="32"/>
        <v/>
      </c>
      <c r="X360" s="1069" t="str">
        <f t="shared" ca="1" si="32"/>
        <v/>
      </c>
      <c r="Y360" s="1069" t="str">
        <f t="shared" ca="1" si="32"/>
        <v/>
      </c>
      <c r="Z360" s="1069" t="str">
        <f t="shared" ca="1" si="32"/>
        <v/>
      </c>
      <c r="AA360" s="1069" t="str">
        <f t="shared" ca="1" si="32"/>
        <v/>
      </c>
    </row>
    <row r="361" spans="1:27" s="1069" customFormat="1" ht="9.9499999999999993" customHeight="1">
      <c r="A361" s="1069">
        <v>144</v>
      </c>
      <c r="D361" s="1069" t="str">
        <f t="shared" ca="1" si="31"/>
        <v/>
      </c>
      <c r="E361" s="1069" t="str">
        <f t="shared" ca="1" si="31"/>
        <v/>
      </c>
      <c r="F361" s="1069" t="str">
        <f t="shared" ca="1" si="31"/>
        <v/>
      </c>
      <c r="G361" s="1069" t="str">
        <f t="shared" ca="1" si="31"/>
        <v/>
      </c>
      <c r="H361" s="1069" t="str">
        <f t="shared" ca="1" si="31"/>
        <v/>
      </c>
      <c r="I361" s="1069" t="str">
        <f t="shared" ca="1" si="31"/>
        <v/>
      </c>
      <c r="J361" s="1069" t="str">
        <f t="shared" ca="1" si="31"/>
        <v/>
      </c>
      <c r="K361" s="1069" t="str">
        <f t="shared" ca="1" si="31"/>
        <v/>
      </c>
      <c r="L361" s="1069" t="str">
        <f t="shared" ca="1" si="31"/>
        <v/>
      </c>
      <c r="M361" s="1069" t="str">
        <f t="shared" ca="1" si="31"/>
        <v/>
      </c>
      <c r="N361" s="1069" t="str">
        <f t="shared" ca="1" si="32"/>
        <v/>
      </c>
      <c r="O361" s="1069" t="str">
        <f t="shared" ca="1" si="32"/>
        <v/>
      </c>
      <c r="P361" s="1069" t="str">
        <f t="shared" ca="1" si="32"/>
        <v/>
      </c>
      <c r="Q361" s="1069" t="str">
        <f t="shared" ca="1" si="32"/>
        <v/>
      </c>
      <c r="R361" s="1069" t="str">
        <f t="shared" ca="1" si="32"/>
        <v/>
      </c>
      <c r="S361" s="1069" t="str">
        <f t="shared" ca="1" si="32"/>
        <v/>
      </c>
      <c r="T361" s="1069" t="str">
        <f t="shared" ca="1" si="32"/>
        <v/>
      </c>
      <c r="U361" s="1069" t="str">
        <f t="shared" ca="1" si="32"/>
        <v/>
      </c>
      <c r="V361" s="1069" t="str">
        <f t="shared" ca="1" si="32"/>
        <v/>
      </c>
      <c r="W361" s="1069" t="str">
        <f t="shared" ca="1" si="32"/>
        <v/>
      </c>
      <c r="X361" s="1069" t="str">
        <f t="shared" ca="1" si="32"/>
        <v/>
      </c>
      <c r="Y361" s="1069" t="str">
        <f t="shared" ca="1" si="32"/>
        <v/>
      </c>
      <c r="Z361" s="1069" t="str">
        <f t="shared" ca="1" si="32"/>
        <v/>
      </c>
      <c r="AA361" s="1069" t="str">
        <f t="shared" ca="1" si="32"/>
        <v/>
      </c>
    </row>
    <row r="362" spans="1:27" s="1069" customFormat="1" ht="9.9499999999999993" customHeight="1">
      <c r="A362" s="1069">
        <v>145</v>
      </c>
      <c r="D362" s="1069" t="str">
        <f t="shared" ca="1" si="31"/>
        <v/>
      </c>
      <c r="E362" s="1069" t="str">
        <f t="shared" ca="1" si="31"/>
        <v/>
      </c>
      <c r="F362" s="1069" t="str">
        <f t="shared" ca="1" si="31"/>
        <v/>
      </c>
      <c r="G362" s="1069" t="str">
        <f t="shared" ca="1" si="31"/>
        <v/>
      </c>
      <c r="H362" s="1069" t="str">
        <f t="shared" ca="1" si="31"/>
        <v/>
      </c>
      <c r="I362" s="1069" t="str">
        <f t="shared" ca="1" si="31"/>
        <v/>
      </c>
      <c r="J362" s="1069" t="str">
        <f t="shared" ca="1" si="31"/>
        <v/>
      </c>
      <c r="K362" s="1069" t="str">
        <f t="shared" ca="1" si="31"/>
        <v/>
      </c>
      <c r="L362" s="1069" t="str">
        <f t="shared" ca="1" si="31"/>
        <v/>
      </c>
      <c r="M362" s="1069" t="str">
        <f t="shared" ca="1" si="31"/>
        <v/>
      </c>
      <c r="N362" s="1069" t="str">
        <f t="shared" ca="1" si="32"/>
        <v/>
      </c>
      <c r="O362" s="1069" t="str">
        <f t="shared" ca="1" si="32"/>
        <v/>
      </c>
      <c r="P362" s="1069" t="str">
        <f t="shared" ca="1" si="32"/>
        <v/>
      </c>
      <c r="Q362" s="1069" t="str">
        <f t="shared" ca="1" si="32"/>
        <v/>
      </c>
      <c r="R362" s="1069" t="str">
        <f t="shared" ca="1" si="32"/>
        <v/>
      </c>
      <c r="S362" s="1069" t="str">
        <f t="shared" ca="1" si="32"/>
        <v/>
      </c>
      <c r="T362" s="1069" t="str">
        <f t="shared" ca="1" si="32"/>
        <v/>
      </c>
      <c r="U362" s="1069" t="str">
        <f t="shared" ca="1" si="32"/>
        <v/>
      </c>
      <c r="V362" s="1069" t="str">
        <f t="shared" ca="1" si="32"/>
        <v/>
      </c>
      <c r="W362" s="1069" t="str">
        <f t="shared" ca="1" si="32"/>
        <v/>
      </c>
      <c r="X362" s="1069" t="str">
        <f t="shared" ca="1" si="32"/>
        <v/>
      </c>
      <c r="Y362" s="1069" t="str">
        <f t="shared" ca="1" si="32"/>
        <v/>
      </c>
      <c r="Z362" s="1069" t="str">
        <f t="shared" ca="1" si="32"/>
        <v/>
      </c>
      <c r="AA362" s="1069" t="str">
        <f t="shared" ca="1" si="32"/>
        <v/>
      </c>
    </row>
    <row r="363" spans="1:27" s="1069" customFormat="1" ht="9.9499999999999993" customHeight="1">
      <c r="A363" s="1069">
        <v>146</v>
      </c>
      <c r="D363" s="1069" t="str">
        <f t="shared" ca="1" si="31"/>
        <v/>
      </c>
      <c r="E363" s="1069" t="str">
        <f t="shared" ca="1" si="31"/>
        <v/>
      </c>
      <c r="F363" s="1069" t="str">
        <f t="shared" ca="1" si="31"/>
        <v/>
      </c>
      <c r="G363" s="1069" t="str">
        <f t="shared" ca="1" si="31"/>
        <v/>
      </c>
      <c r="H363" s="1069" t="str">
        <f t="shared" ca="1" si="31"/>
        <v/>
      </c>
      <c r="I363" s="1069" t="str">
        <f t="shared" ca="1" si="31"/>
        <v/>
      </c>
      <c r="J363" s="1069" t="str">
        <f t="shared" ca="1" si="31"/>
        <v/>
      </c>
      <c r="K363" s="1069" t="str">
        <f t="shared" ca="1" si="31"/>
        <v/>
      </c>
      <c r="L363" s="1069" t="str">
        <f t="shared" ca="1" si="31"/>
        <v/>
      </c>
      <c r="M363" s="1069" t="str">
        <f t="shared" ca="1" si="31"/>
        <v/>
      </c>
      <c r="N363" s="1069" t="str">
        <f t="shared" ca="1" si="32"/>
        <v/>
      </c>
      <c r="O363" s="1069" t="str">
        <f t="shared" ca="1" si="32"/>
        <v/>
      </c>
      <c r="P363" s="1069" t="str">
        <f t="shared" ca="1" si="32"/>
        <v/>
      </c>
      <c r="Q363" s="1069" t="str">
        <f t="shared" ca="1" si="32"/>
        <v/>
      </c>
      <c r="R363" s="1069" t="str">
        <f t="shared" ca="1" si="32"/>
        <v/>
      </c>
      <c r="S363" s="1069" t="str">
        <f t="shared" ca="1" si="32"/>
        <v/>
      </c>
      <c r="T363" s="1069" t="str">
        <f t="shared" ca="1" si="32"/>
        <v/>
      </c>
      <c r="U363" s="1069" t="str">
        <f t="shared" ca="1" si="32"/>
        <v/>
      </c>
      <c r="V363" s="1069" t="str">
        <f t="shared" ca="1" si="32"/>
        <v/>
      </c>
      <c r="W363" s="1069" t="str">
        <f t="shared" ca="1" si="32"/>
        <v/>
      </c>
      <c r="X363" s="1069" t="str">
        <f t="shared" ca="1" si="32"/>
        <v/>
      </c>
      <c r="Y363" s="1069" t="str">
        <f t="shared" ca="1" si="32"/>
        <v/>
      </c>
      <c r="Z363" s="1069" t="str">
        <f t="shared" ca="1" si="32"/>
        <v/>
      </c>
      <c r="AA363" s="1069" t="str">
        <f t="shared" ca="1" si="32"/>
        <v/>
      </c>
    </row>
    <row r="364" spans="1:27" s="1069" customFormat="1" ht="9.9499999999999993" customHeight="1">
      <c r="A364" s="1069">
        <v>147</v>
      </c>
      <c r="D364" s="1069" t="str">
        <f t="shared" ca="1" si="31"/>
        <v/>
      </c>
      <c r="E364" s="1069" t="str">
        <f t="shared" ca="1" si="31"/>
        <v/>
      </c>
      <c r="F364" s="1069" t="str">
        <f t="shared" ca="1" si="31"/>
        <v/>
      </c>
      <c r="G364" s="1069" t="str">
        <f t="shared" ca="1" si="31"/>
        <v/>
      </c>
      <c r="H364" s="1069" t="str">
        <f t="shared" ca="1" si="31"/>
        <v/>
      </c>
      <c r="I364" s="1069" t="str">
        <f t="shared" ca="1" si="31"/>
        <v/>
      </c>
      <c r="J364" s="1069" t="str">
        <f t="shared" ca="1" si="31"/>
        <v/>
      </c>
      <c r="K364" s="1069" t="str">
        <f t="shared" ca="1" si="31"/>
        <v/>
      </c>
      <c r="L364" s="1069" t="str">
        <f t="shared" ca="1" si="31"/>
        <v/>
      </c>
      <c r="M364" s="1069" t="str">
        <f t="shared" ca="1" si="31"/>
        <v/>
      </c>
      <c r="N364" s="1069" t="str">
        <f t="shared" ca="1" si="32"/>
        <v/>
      </c>
      <c r="O364" s="1069" t="str">
        <f t="shared" ca="1" si="32"/>
        <v/>
      </c>
      <c r="P364" s="1069" t="str">
        <f t="shared" ca="1" si="32"/>
        <v/>
      </c>
      <c r="Q364" s="1069" t="str">
        <f t="shared" ca="1" si="32"/>
        <v/>
      </c>
      <c r="R364" s="1069" t="str">
        <f t="shared" ca="1" si="32"/>
        <v/>
      </c>
      <c r="S364" s="1069" t="str">
        <f t="shared" ca="1" si="32"/>
        <v/>
      </c>
      <c r="T364" s="1069" t="str">
        <f t="shared" ca="1" si="32"/>
        <v/>
      </c>
      <c r="U364" s="1069" t="str">
        <f t="shared" ca="1" si="32"/>
        <v/>
      </c>
      <c r="V364" s="1069" t="str">
        <f t="shared" ca="1" si="32"/>
        <v/>
      </c>
      <c r="W364" s="1069" t="str">
        <f t="shared" ca="1" si="32"/>
        <v/>
      </c>
      <c r="X364" s="1069" t="str">
        <f t="shared" ca="1" si="32"/>
        <v/>
      </c>
      <c r="Y364" s="1069" t="str">
        <f t="shared" ca="1" si="32"/>
        <v/>
      </c>
      <c r="Z364" s="1069" t="str">
        <f t="shared" ca="1" si="32"/>
        <v/>
      </c>
      <c r="AA364" s="1069" t="str">
        <f t="shared" ca="1" si="32"/>
        <v/>
      </c>
    </row>
    <row r="365" spans="1:27" s="1069" customFormat="1" ht="9.9499999999999993" customHeight="1">
      <c r="A365" s="1069">
        <v>148</v>
      </c>
      <c r="D365" s="1069" t="str">
        <f t="shared" ca="1" si="31"/>
        <v/>
      </c>
      <c r="E365" s="1069" t="str">
        <f t="shared" ca="1" si="31"/>
        <v/>
      </c>
      <c r="F365" s="1069" t="str">
        <f t="shared" ca="1" si="31"/>
        <v/>
      </c>
      <c r="G365" s="1069" t="str">
        <f t="shared" ca="1" si="31"/>
        <v/>
      </c>
      <c r="H365" s="1069" t="str">
        <f t="shared" ca="1" si="31"/>
        <v/>
      </c>
      <c r="I365" s="1069" t="str">
        <f t="shared" ca="1" si="31"/>
        <v/>
      </c>
      <c r="J365" s="1069" t="str">
        <f t="shared" ca="1" si="31"/>
        <v/>
      </c>
      <c r="K365" s="1069" t="str">
        <f t="shared" ca="1" si="31"/>
        <v/>
      </c>
      <c r="L365" s="1069" t="str">
        <f t="shared" ca="1" si="31"/>
        <v/>
      </c>
      <c r="M365" s="1069" t="str">
        <f t="shared" ca="1" si="31"/>
        <v/>
      </c>
      <c r="N365" s="1069" t="str">
        <f t="shared" ca="1" si="32"/>
        <v/>
      </c>
      <c r="O365" s="1069" t="str">
        <f t="shared" ca="1" si="32"/>
        <v/>
      </c>
      <c r="P365" s="1069" t="str">
        <f t="shared" ca="1" si="32"/>
        <v/>
      </c>
      <c r="Q365" s="1069" t="str">
        <f t="shared" ca="1" si="32"/>
        <v/>
      </c>
      <c r="R365" s="1069" t="str">
        <f t="shared" ca="1" si="32"/>
        <v/>
      </c>
      <c r="S365" s="1069" t="str">
        <f t="shared" ca="1" si="32"/>
        <v/>
      </c>
      <c r="T365" s="1069" t="str">
        <f t="shared" ca="1" si="32"/>
        <v/>
      </c>
      <c r="U365" s="1069" t="str">
        <f t="shared" ca="1" si="32"/>
        <v/>
      </c>
      <c r="V365" s="1069" t="str">
        <f t="shared" ca="1" si="32"/>
        <v/>
      </c>
      <c r="W365" s="1069" t="str">
        <f t="shared" ca="1" si="32"/>
        <v/>
      </c>
      <c r="X365" s="1069" t="str">
        <f t="shared" ca="1" si="32"/>
        <v/>
      </c>
      <c r="Y365" s="1069" t="str">
        <f t="shared" ca="1" si="32"/>
        <v/>
      </c>
      <c r="Z365" s="1069" t="str">
        <f t="shared" ca="1" si="32"/>
        <v/>
      </c>
      <c r="AA365" s="1069" t="str">
        <f t="shared" ca="1" si="32"/>
        <v/>
      </c>
    </row>
    <row r="366" spans="1:27" s="1069" customFormat="1" ht="9.9499999999999993" customHeight="1">
      <c r="A366" s="1069">
        <v>149</v>
      </c>
      <c r="D366" s="1069" t="str">
        <f t="shared" ca="1" si="31"/>
        <v/>
      </c>
      <c r="E366" s="1069" t="str">
        <f t="shared" ca="1" si="31"/>
        <v/>
      </c>
      <c r="F366" s="1069" t="str">
        <f t="shared" ca="1" si="31"/>
        <v/>
      </c>
      <c r="G366" s="1069" t="str">
        <f t="shared" ca="1" si="31"/>
        <v/>
      </c>
      <c r="H366" s="1069" t="str">
        <f t="shared" ca="1" si="31"/>
        <v/>
      </c>
      <c r="I366" s="1069" t="str">
        <f t="shared" ca="1" si="31"/>
        <v/>
      </c>
      <c r="J366" s="1069" t="str">
        <f t="shared" ca="1" si="31"/>
        <v/>
      </c>
      <c r="K366" s="1069" t="str">
        <f t="shared" ca="1" si="31"/>
        <v/>
      </c>
      <c r="L366" s="1069" t="str">
        <f t="shared" ca="1" si="31"/>
        <v/>
      </c>
      <c r="M366" s="1069" t="str">
        <f t="shared" ca="1" si="31"/>
        <v/>
      </c>
      <c r="N366" s="1069" t="str">
        <f t="shared" ca="1" si="32"/>
        <v/>
      </c>
      <c r="O366" s="1069" t="str">
        <f t="shared" ca="1" si="32"/>
        <v/>
      </c>
      <c r="P366" s="1069" t="str">
        <f t="shared" ca="1" si="32"/>
        <v/>
      </c>
      <c r="Q366" s="1069" t="str">
        <f t="shared" ca="1" si="32"/>
        <v/>
      </c>
      <c r="R366" s="1069" t="str">
        <f t="shared" ca="1" si="32"/>
        <v/>
      </c>
      <c r="S366" s="1069" t="str">
        <f t="shared" ca="1" si="32"/>
        <v/>
      </c>
      <c r="T366" s="1069" t="str">
        <f t="shared" ca="1" si="32"/>
        <v/>
      </c>
      <c r="U366" s="1069" t="str">
        <f t="shared" ca="1" si="32"/>
        <v/>
      </c>
      <c r="V366" s="1069" t="str">
        <f t="shared" ca="1" si="32"/>
        <v/>
      </c>
      <c r="W366" s="1069" t="str">
        <f t="shared" ca="1" si="32"/>
        <v/>
      </c>
      <c r="X366" s="1069" t="str">
        <f t="shared" ca="1" si="32"/>
        <v/>
      </c>
      <c r="Y366" s="1069" t="str">
        <f t="shared" ca="1" si="32"/>
        <v/>
      </c>
      <c r="Z366" s="1069" t="str">
        <f t="shared" ca="1" si="32"/>
        <v/>
      </c>
      <c r="AA366" s="1069" t="str">
        <f t="shared" ca="1" si="32"/>
        <v/>
      </c>
    </row>
    <row r="367" spans="1:27" s="1069" customFormat="1" ht="9.9499999999999993" customHeight="1">
      <c r="A367" s="1069">
        <v>150</v>
      </c>
      <c r="D367" s="1069" t="str">
        <f t="shared" ca="1" si="31"/>
        <v/>
      </c>
      <c r="E367" s="1069" t="str">
        <f t="shared" ca="1" si="31"/>
        <v/>
      </c>
      <c r="F367" s="1069" t="str">
        <f t="shared" ca="1" si="31"/>
        <v/>
      </c>
      <c r="G367" s="1069" t="str">
        <f t="shared" ca="1" si="31"/>
        <v/>
      </c>
      <c r="H367" s="1069" t="str">
        <f t="shared" ca="1" si="31"/>
        <v/>
      </c>
      <c r="I367" s="1069" t="str">
        <f t="shared" ca="1" si="31"/>
        <v/>
      </c>
      <c r="J367" s="1069" t="str">
        <f t="shared" ca="1" si="31"/>
        <v/>
      </c>
      <c r="K367" s="1069" t="str">
        <f t="shared" ca="1" si="31"/>
        <v/>
      </c>
      <c r="L367" s="1069" t="str">
        <f t="shared" ca="1" si="31"/>
        <v/>
      </c>
      <c r="M367" s="1069" t="str">
        <f t="shared" ca="1" si="31"/>
        <v/>
      </c>
      <c r="N367" s="1069" t="str">
        <f t="shared" ca="1" si="32"/>
        <v/>
      </c>
      <c r="O367" s="1069" t="str">
        <f t="shared" ca="1" si="32"/>
        <v/>
      </c>
      <c r="P367" s="1069" t="str">
        <f t="shared" ca="1" si="32"/>
        <v/>
      </c>
      <c r="Q367" s="1069" t="str">
        <f t="shared" ca="1" si="32"/>
        <v/>
      </c>
      <c r="R367" s="1069" t="str">
        <f t="shared" ca="1" si="32"/>
        <v/>
      </c>
      <c r="S367" s="1069" t="str">
        <f t="shared" ca="1" si="32"/>
        <v/>
      </c>
      <c r="T367" s="1069" t="str">
        <f t="shared" ca="1" si="32"/>
        <v/>
      </c>
      <c r="U367" s="1069" t="str">
        <f t="shared" ca="1" si="32"/>
        <v/>
      </c>
      <c r="V367" s="1069" t="str">
        <f t="shared" ca="1" si="32"/>
        <v/>
      </c>
      <c r="W367" s="1069" t="str">
        <f t="shared" ca="1" si="32"/>
        <v/>
      </c>
      <c r="X367" s="1069" t="str">
        <f t="shared" ca="1" si="32"/>
        <v/>
      </c>
      <c r="Y367" s="1069" t="str">
        <f t="shared" ca="1" si="32"/>
        <v/>
      </c>
      <c r="Z367" s="1069" t="str">
        <f t="shared" ca="1" si="32"/>
        <v/>
      </c>
      <c r="AA367" s="1069" t="str">
        <f t="shared" ca="1" si="32"/>
        <v/>
      </c>
    </row>
    <row r="368" spans="1:27" s="1069" customFormat="1" ht="9.9499999999999993" customHeight="1">
      <c r="A368" s="1069">
        <v>151</v>
      </c>
      <c r="D368" s="1069" t="str">
        <f t="shared" ca="1" si="31"/>
        <v/>
      </c>
      <c r="E368" s="1069" t="str">
        <f t="shared" ca="1" si="31"/>
        <v/>
      </c>
      <c r="F368" s="1069" t="str">
        <f t="shared" ca="1" si="31"/>
        <v/>
      </c>
      <c r="G368" s="1069" t="str">
        <f t="shared" ca="1" si="31"/>
        <v/>
      </c>
      <c r="H368" s="1069" t="str">
        <f t="shared" ca="1" si="31"/>
        <v/>
      </c>
      <c r="I368" s="1069" t="str">
        <f t="shared" ca="1" si="31"/>
        <v/>
      </c>
      <c r="J368" s="1069" t="str">
        <f t="shared" ca="1" si="31"/>
        <v/>
      </c>
      <c r="K368" s="1069" t="str">
        <f t="shared" ca="1" si="31"/>
        <v/>
      </c>
      <c r="L368" s="1069" t="str">
        <f t="shared" ca="1" si="31"/>
        <v/>
      </c>
      <c r="M368" s="1069" t="str">
        <f t="shared" ca="1" si="31"/>
        <v/>
      </c>
      <c r="N368" s="1069" t="str">
        <f t="shared" ca="1" si="32"/>
        <v/>
      </c>
      <c r="O368" s="1069" t="str">
        <f t="shared" ca="1" si="32"/>
        <v/>
      </c>
      <c r="P368" s="1069" t="str">
        <f t="shared" ca="1" si="32"/>
        <v/>
      </c>
      <c r="Q368" s="1069" t="str">
        <f t="shared" ca="1" si="32"/>
        <v/>
      </c>
      <c r="R368" s="1069" t="str">
        <f t="shared" ca="1" si="32"/>
        <v/>
      </c>
      <c r="S368" s="1069" t="str">
        <f t="shared" ca="1" si="32"/>
        <v/>
      </c>
      <c r="T368" s="1069" t="str">
        <f t="shared" ca="1" si="32"/>
        <v/>
      </c>
      <c r="U368" s="1069" t="str">
        <f t="shared" ca="1" si="32"/>
        <v/>
      </c>
      <c r="V368" s="1069" t="str">
        <f t="shared" ca="1" si="32"/>
        <v/>
      </c>
      <c r="W368" s="1069" t="str">
        <f t="shared" ca="1" si="32"/>
        <v/>
      </c>
      <c r="X368" s="1069" t="str">
        <f t="shared" ca="1" si="32"/>
        <v/>
      </c>
      <c r="Y368" s="1069" t="str">
        <f t="shared" ca="1" si="32"/>
        <v/>
      </c>
      <c r="Z368" s="1069" t="str">
        <f t="shared" ca="1" si="32"/>
        <v/>
      </c>
      <c r="AA368" s="1069" t="str">
        <f t="shared" ca="1" si="32"/>
        <v/>
      </c>
    </row>
    <row r="369" spans="1:27" s="1069" customFormat="1" ht="9.9499999999999993" customHeight="1">
      <c r="A369" s="1069">
        <v>152</v>
      </c>
      <c r="D369" s="1069" t="str">
        <f t="shared" ref="D369:M378" ca="1" si="33">IF(ISNUMBER(INDEX($D$526:$AA$725,ROW()-ROW($D$218),COLUMN()-COLUMN($C$219))),INDEX(Skills_Table,INDEX($D$526:$AA$725,ROW()-ROW($D$218),COLUMN()-COLUMN($C$219))-4,HLOOKUP("Skill Name",Skill_Columns,2,0)),"")</f>
        <v/>
      </c>
      <c r="E369" s="1069" t="str">
        <f t="shared" ca="1" si="33"/>
        <v/>
      </c>
      <c r="F369" s="1069" t="str">
        <f t="shared" ca="1" si="33"/>
        <v/>
      </c>
      <c r="G369" s="1069" t="str">
        <f t="shared" ca="1" si="33"/>
        <v/>
      </c>
      <c r="H369" s="1069" t="str">
        <f t="shared" ca="1" si="33"/>
        <v/>
      </c>
      <c r="I369" s="1069" t="str">
        <f t="shared" ca="1" si="33"/>
        <v/>
      </c>
      <c r="J369" s="1069" t="str">
        <f t="shared" ca="1" si="33"/>
        <v/>
      </c>
      <c r="K369" s="1069" t="str">
        <f t="shared" ca="1" si="33"/>
        <v/>
      </c>
      <c r="L369" s="1069" t="str">
        <f t="shared" ca="1" si="33"/>
        <v/>
      </c>
      <c r="M369" s="1069" t="str">
        <f t="shared" ca="1" si="33"/>
        <v/>
      </c>
      <c r="N369" s="1069" t="str">
        <f t="shared" ref="N369:AA378" ca="1" si="34">IF(ISNUMBER(INDEX($D$526:$AA$725,ROW()-ROW($D$218),COLUMN()-COLUMN($C$219))),INDEX(Skills_Table,INDEX($D$526:$AA$725,ROW()-ROW($D$218),COLUMN()-COLUMN($C$219))-4,HLOOKUP("Skill Name",Skill_Columns,2,0)),"")</f>
        <v/>
      </c>
      <c r="O369" s="1069" t="str">
        <f t="shared" ca="1" si="34"/>
        <v/>
      </c>
      <c r="P369" s="1069" t="str">
        <f t="shared" ca="1" si="34"/>
        <v/>
      </c>
      <c r="Q369" s="1069" t="str">
        <f t="shared" ca="1" si="34"/>
        <v/>
      </c>
      <c r="R369" s="1069" t="str">
        <f t="shared" ca="1" si="34"/>
        <v/>
      </c>
      <c r="S369" s="1069" t="str">
        <f t="shared" ca="1" si="34"/>
        <v/>
      </c>
      <c r="T369" s="1069" t="str">
        <f t="shared" ca="1" si="34"/>
        <v/>
      </c>
      <c r="U369" s="1069" t="str">
        <f t="shared" ca="1" si="34"/>
        <v/>
      </c>
      <c r="V369" s="1069" t="str">
        <f t="shared" ca="1" si="34"/>
        <v/>
      </c>
      <c r="W369" s="1069" t="str">
        <f t="shared" ca="1" si="34"/>
        <v/>
      </c>
      <c r="X369" s="1069" t="str">
        <f t="shared" ca="1" si="34"/>
        <v/>
      </c>
      <c r="Y369" s="1069" t="str">
        <f t="shared" ca="1" si="34"/>
        <v/>
      </c>
      <c r="Z369" s="1069" t="str">
        <f t="shared" ca="1" si="34"/>
        <v/>
      </c>
      <c r="AA369" s="1069" t="str">
        <f t="shared" ca="1" si="34"/>
        <v/>
      </c>
    </row>
    <row r="370" spans="1:27" s="1069" customFormat="1" ht="9.9499999999999993" customHeight="1">
      <c r="A370" s="1069">
        <v>153</v>
      </c>
      <c r="D370" s="1069" t="str">
        <f t="shared" ca="1" si="33"/>
        <v/>
      </c>
      <c r="E370" s="1069" t="str">
        <f t="shared" ca="1" si="33"/>
        <v/>
      </c>
      <c r="F370" s="1069" t="str">
        <f t="shared" ca="1" si="33"/>
        <v/>
      </c>
      <c r="G370" s="1069" t="str">
        <f t="shared" ca="1" si="33"/>
        <v/>
      </c>
      <c r="H370" s="1069" t="str">
        <f t="shared" ca="1" si="33"/>
        <v/>
      </c>
      <c r="I370" s="1069" t="str">
        <f t="shared" ca="1" si="33"/>
        <v/>
      </c>
      <c r="J370" s="1069" t="str">
        <f t="shared" ca="1" si="33"/>
        <v/>
      </c>
      <c r="K370" s="1069" t="str">
        <f t="shared" ca="1" si="33"/>
        <v/>
      </c>
      <c r="L370" s="1069" t="str">
        <f t="shared" ca="1" si="33"/>
        <v/>
      </c>
      <c r="M370" s="1069" t="str">
        <f t="shared" ca="1" si="33"/>
        <v/>
      </c>
      <c r="N370" s="1069" t="str">
        <f t="shared" ca="1" si="34"/>
        <v/>
      </c>
      <c r="O370" s="1069" t="str">
        <f t="shared" ca="1" si="34"/>
        <v/>
      </c>
      <c r="P370" s="1069" t="str">
        <f t="shared" ca="1" si="34"/>
        <v/>
      </c>
      <c r="Q370" s="1069" t="str">
        <f t="shared" ca="1" si="34"/>
        <v/>
      </c>
      <c r="R370" s="1069" t="str">
        <f t="shared" ca="1" si="34"/>
        <v/>
      </c>
      <c r="S370" s="1069" t="str">
        <f t="shared" ca="1" si="34"/>
        <v/>
      </c>
      <c r="T370" s="1069" t="str">
        <f t="shared" ca="1" si="34"/>
        <v/>
      </c>
      <c r="U370" s="1069" t="str">
        <f t="shared" ca="1" si="34"/>
        <v/>
      </c>
      <c r="V370" s="1069" t="str">
        <f t="shared" ca="1" si="34"/>
        <v/>
      </c>
      <c r="W370" s="1069" t="str">
        <f t="shared" ca="1" si="34"/>
        <v/>
      </c>
      <c r="X370" s="1069" t="str">
        <f t="shared" ca="1" si="34"/>
        <v/>
      </c>
      <c r="Y370" s="1069" t="str">
        <f t="shared" ca="1" si="34"/>
        <v/>
      </c>
      <c r="Z370" s="1069" t="str">
        <f t="shared" ca="1" si="34"/>
        <v/>
      </c>
      <c r="AA370" s="1069" t="str">
        <f t="shared" ca="1" si="34"/>
        <v/>
      </c>
    </row>
    <row r="371" spans="1:27" s="1069" customFormat="1" ht="9.9499999999999993" customHeight="1">
      <c r="A371" s="1069">
        <v>154</v>
      </c>
      <c r="D371" s="1069" t="str">
        <f t="shared" ca="1" si="33"/>
        <v/>
      </c>
      <c r="E371" s="1069" t="str">
        <f t="shared" ca="1" si="33"/>
        <v/>
      </c>
      <c r="F371" s="1069" t="str">
        <f t="shared" ca="1" si="33"/>
        <v/>
      </c>
      <c r="G371" s="1069" t="str">
        <f t="shared" ca="1" si="33"/>
        <v/>
      </c>
      <c r="H371" s="1069" t="str">
        <f t="shared" ca="1" si="33"/>
        <v/>
      </c>
      <c r="I371" s="1069" t="str">
        <f t="shared" ca="1" si="33"/>
        <v/>
      </c>
      <c r="J371" s="1069" t="str">
        <f t="shared" ca="1" si="33"/>
        <v/>
      </c>
      <c r="K371" s="1069" t="str">
        <f t="shared" ca="1" si="33"/>
        <v/>
      </c>
      <c r="L371" s="1069" t="str">
        <f t="shared" ca="1" si="33"/>
        <v/>
      </c>
      <c r="M371" s="1069" t="str">
        <f t="shared" ca="1" si="33"/>
        <v/>
      </c>
      <c r="N371" s="1069" t="str">
        <f t="shared" ca="1" si="34"/>
        <v/>
      </c>
      <c r="O371" s="1069" t="str">
        <f t="shared" ca="1" si="34"/>
        <v/>
      </c>
      <c r="P371" s="1069" t="str">
        <f t="shared" ca="1" si="34"/>
        <v/>
      </c>
      <c r="Q371" s="1069" t="str">
        <f t="shared" ca="1" si="34"/>
        <v/>
      </c>
      <c r="R371" s="1069" t="str">
        <f t="shared" ca="1" si="34"/>
        <v/>
      </c>
      <c r="S371" s="1069" t="str">
        <f t="shared" ca="1" si="34"/>
        <v/>
      </c>
      <c r="T371" s="1069" t="str">
        <f t="shared" ca="1" si="34"/>
        <v/>
      </c>
      <c r="U371" s="1069" t="str">
        <f t="shared" ca="1" si="34"/>
        <v/>
      </c>
      <c r="V371" s="1069" t="str">
        <f t="shared" ca="1" si="34"/>
        <v/>
      </c>
      <c r="W371" s="1069" t="str">
        <f t="shared" ca="1" si="34"/>
        <v/>
      </c>
      <c r="X371" s="1069" t="str">
        <f t="shared" ca="1" si="34"/>
        <v/>
      </c>
      <c r="Y371" s="1069" t="str">
        <f t="shared" ca="1" si="34"/>
        <v/>
      </c>
      <c r="Z371" s="1069" t="str">
        <f t="shared" ca="1" si="34"/>
        <v/>
      </c>
      <c r="AA371" s="1069" t="str">
        <f t="shared" ca="1" si="34"/>
        <v/>
      </c>
    </row>
    <row r="372" spans="1:27" s="1069" customFormat="1" ht="9.9499999999999993" customHeight="1">
      <c r="A372" s="1069">
        <v>155</v>
      </c>
      <c r="D372" s="1069" t="str">
        <f t="shared" ca="1" si="33"/>
        <v/>
      </c>
      <c r="E372" s="1069" t="str">
        <f t="shared" ca="1" si="33"/>
        <v/>
      </c>
      <c r="F372" s="1069" t="str">
        <f t="shared" ca="1" si="33"/>
        <v/>
      </c>
      <c r="G372" s="1069" t="str">
        <f t="shared" ca="1" si="33"/>
        <v/>
      </c>
      <c r="H372" s="1069" t="str">
        <f t="shared" ca="1" si="33"/>
        <v/>
      </c>
      <c r="I372" s="1069" t="str">
        <f t="shared" ca="1" si="33"/>
        <v/>
      </c>
      <c r="J372" s="1069" t="str">
        <f t="shared" ca="1" si="33"/>
        <v/>
      </c>
      <c r="K372" s="1069" t="str">
        <f t="shared" ca="1" si="33"/>
        <v/>
      </c>
      <c r="L372" s="1069" t="str">
        <f t="shared" ca="1" si="33"/>
        <v/>
      </c>
      <c r="M372" s="1069" t="str">
        <f t="shared" ca="1" si="33"/>
        <v/>
      </c>
      <c r="N372" s="1069" t="str">
        <f t="shared" ca="1" si="34"/>
        <v/>
      </c>
      <c r="O372" s="1069" t="str">
        <f t="shared" ca="1" si="34"/>
        <v/>
      </c>
      <c r="P372" s="1069" t="str">
        <f t="shared" ca="1" si="34"/>
        <v/>
      </c>
      <c r="Q372" s="1069" t="str">
        <f t="shared" ca="1" si="34"/>
        <v/>
      </c>
      <c r="R372" s="1069" t="str">
        <f t="shared" ca="1" si="34"/>
        <v/>
      </c>
      <c r="S372" s="1069" t="str">
        <f t="shared" ca="1" si="34"/>
        <v/>
      </c>
      <c r="T372" s="1069" t="str">
        <f t="shared" ca="1" si="34"/>
        <v/>
      </c>
      <c r="U372" s="1069" t="str">
        <f t="shared" ca="1" si="34"/>
        <v/>
      </c>
      <c r="V372" s="1069" t="str">
        <f t="shared" ca="1" si="34"/>
        <v/>
      </c>
      <c r="W372" s="1069" t="str">
        <f t="shared" ca="1" si="34"/>
        <v/>
      </c>
      <c r="X372" s="1069" t="str">
        <f t="shared" ca="1" si="34"/>
        <v/>
      </c>
      <c r="Y372" s="1069" t="str">
        <f t="shared" ca="1" si="34"/>
        <v/>
      </c>
      <c r="Z372" s="1069" t="str">
        <f t="shared" ca="1" si="34"/>
        <v/>
      </c>
      <c r="AA372" s="1069" t="str">
        <f t="shared" ca="1" si="34"/>
        <v/>
      </c>
    </row>
    <row r="373" spans="1:27" s="1069" customFormat="1" ht="9.9499999999999993" customHeight="1">
      <c r="A373" s="1069">
        <v>156</v>
      </c>
      <c r="D373" s="1069" t="str">
        <f t="shared" ca="1" si="33"/>
        <v/>
      </c>
      <c r="E373" s="1069" t="str">
        <f t="shared" ca="1" si="33"/>
        <v/>
      </c>
      <c r="F373" s="1069" t="str">
        <f t="shared" ca="1" si="33"/>
        <v/>
      </c>
      <c r="G373" s="1069" t="str">
        <f t="shared" ca="1" si="33"/>
        <v/>
      </c>
      <c r="H373" s="1069" t="str">
        <f t="shared" ca="1" si="33"/>
        <v/>
      </c>
      <c r="I373" s="1069" t="str">
        <f t="shared" ca="1" si="33"/>
        <v/>
      </c>
      <c r="J373" s="1069" t="str">
        <f t="shared" ca="1" si="33"/>
        <v/>
      </c>
      <c r="K373" s="1069" t="str">
        <f t="shared" ca="1" si="33"/>
        <v/>
      </c>
      <c r="L373" s="1069" t="str">
        <f t="shared" ca="1" si="33"/>
        <v/>
      </c>
      <c r="M373" s="1069" t="str">
        <f t="shared" ca="1" si="33"/>
        <v/>
      </c>
      <c r="N373" s="1069" t="str">
        <f t="shared" ca="1" si="34"/>
        <v/>
      </c>
      <c r="O373" s="1069" t="str">
        <f t="shared" ca="1" si="34"/>
        <v/>
      </c>
      <c r="P373" s="1069" t="str">
        <f t="shared" ca="1" si="34"/>
        <v/>
      </c>
      <c r="Q373" s="1069" t="str">
        <f t="shared" ca="1" si="34"/>
        <v/>
      </c>
      <c r="R373" s="1069" t="str">
        <f t="shared" ca="1" si="34"/>
        <v/>
      </c>
      <c r="S373" s="1069" t="str">
        <f t="shared" ca="1" si="34"/>
        <v/>
      </c>
      <c r="T373" s="1069" t="str">
        <f t="shared" ca="1" si="34"/>
        <v/>
      </c>
      <c r="U373" s="1069" t="str">
        <f t="shared" ca="1" si="34"/>
        <v/>
      </c>
      <c r="V373" s="1069" t="str">
        <f t="shared" ca="1" si="34"/>
        <v/>
      </c>
      <c r="W373" s="1069" t="str">
        <f t="shared" ca="1" si="34"/>
        <v/>
      </c>
      <c r="X373" s="1069" t="str">
        <f t="shared" ca="1" si="34"/>
        <v/>
      </c>
      <c r="Y373" s="1069" t="str">
        <f t="shared" ca="1" si="34"/>
        <v/>
      </c>
      <c r="Z373" s="1069" t="str">
        <f t="shared" ca="1" si="34"/>
        <v/>
      </c>
      <c r="AA373" s="1069" t="str">
        <f t="shared" ca="1" si="34"/>
        <v/>
      </c>
    </row>
    <row r="374" spans="1:27" s="1069" customFormat="1" ht="9.9499999999999993" customHeight="1">
      <c r="A374" s="1069">
        <v>157</v>
      </c>
      <c r="D374" s="1069" t="str">
        <f t="shared" ca="1" si="33"/>
        <v/>
      </c>
      <c r="E374" s="1069" t="str">
        <f t="shared" ca="1" si="33"/>
        <v/>
      </c>
      <c r="F374" s="1069" t="str">
        <f t="shared" ca="1" si="33"/>
        <v/>
      </c>
      <c r="G374" s="1069" t="str">
        <f t="shared" ca="1" si="33"/>
        <v/>
      </c>
      <c r="H374" s="1069" t="str">
        <f t="shared" ca="1" si="33"/>
        <v/>
      </c>
      <c r="I374" s="1069" t="str">
        <f t="shared" ca="1" si="33"/>
        <v/>
      </c>
      <c r="J374" s="1069" t="str">
        <f t="shared" ca="1" si="33"/>
        <v/>
      </c>
      <c r="K374" s="1069" t="str">
        <f t="shared" ca="1" si="33"/>
        <v/>
      </c>
      <c r="L374" s="1069" t="str">
        <f t="shared" ca="1" si="33"/>
        <v/>
      </c>
      <c r="M374" s="1069" t="str">
        <f t="shared" ca="1" si="33"/>
        <v/>
      </c>
      <c r="N374" s="1069" t="str">
        <f t="shared" ca="1" si="34"/>
        <v/>
      </c>
      <c r="O374" s="1069" t="str">
        <f t="shared" ca="1" si="34"/>
        <v/>
      </c>
      <c r="P374" s="1069" t="str">
        <f t="shared" ca="1" si="34"/>
        <v/>
      </c>
      <c r="Q374" s="1069" t="str">
        <f t="shared" ca="1" si="34"/>
        <v/>
      </c>
      <c r="R374" s="1069" t="str">
        <f t="shared" ca="1" si="34"/>
        <v/>
      </c>
      <c r="S374" s="1069" t="str">
        <f t="shared" ca="1" si="34"/>
        <v/>
      </c>
      <c r="T374" s="1069" t="str">
        <f t="shared" ca="1" si="34"/>
        <v/>
      </c>
      <c r="U374" s="1069" t="str">
        <f t="shared" ca="1" si="34"/>
        <v/>
      </c>
      <c r="V374" s="1069" t="str">
        <f t="shared" ca="1" si="34"/>
        <v/>
      </c>
      <c r="W374" s="1069" t="str">
        <f t="shared" ca="1" si="34"/>
        <v/>
      </c>
      <c r="X374" s="1069" t="str">
        <f t="shared" ca="1" si="34"/>
        <v/>
      </c>
      <c r="Y374" s="1069" t="str">
        <f t="shared" ca="1" si="34"/>
        <v/>
      </c>
      <c r="Z374" s="1069" t="str">
        <f t="shared" ca="1" si="34"/>
        <v/>
      </c>
      <c r="AA374" s="1069" t="str">
        <f t="shared" ca="1" si="34"/>
        <v/>
      </c>
    </row>
    <row r="375" spans="1:27" s="1069" customFormat="1" ht="9.9499999999999993" customHeight="1">
      <c r="A375" s="1069">
        <v>158</v>
      </c>
      <c r="D375" s="1069" t="str">
        <f t="shared" ca="1" si="33"/>
        <v/>
      </c>
      <c r="E375" s="1069" t="str">
        <f t="shared" ca="1" si="33"/>
        <v/>
      </c>
      <c r="F375" s="1069" t="str">
        <f t="shared" ca="1" si="33"/>
        <v/>
      </c>
      <c r="G375" s="1069" t="str">
        <f t="shared" ca="1" si="33"/>
        <v/>
      </c>
      <c r="H375" s="1069" t="str">
        <f t="shared" ca="1" si="33"/>
        <v/>
      </c>
      <c r="I375" s="1069" t="str">
        <f t="shared" ca="1" si="33"/>
        <v/>
      </c>
      <c r="J375" s="1069" t="str">
        <f t="shared" ca="1" si="33"/>
        <v/>
      </c>
      <c r="K375" s="1069" t="str">
        <f t="shared" ca="1" si="33"/>
        <v/>
      </c>
      <c r="L375" s="1069" t="str">
        <f t="shared" ca="1" si="33"/>
        <v/>
      </c>
      <c r="M375" s="1069" t="str">
        <f t="shared" ca="1" si="33"/>
        <v/>
      </c>
      <c r="N375" s="1069" t="str">
        <f t="shared" ca="1" si="34"/>
        <v/>
      </c>
      <c r="O375" s="1069" t="str">
        <f t="shared" ca="1" si="34"/>
        <v/>
      </c>
      <c r="P375" s="1069" t="str">
        <f t="shared" ca="1" si="34"/>
        <v/>
      </c>
      <c r="Q375" s="1069" t="str">
        <f t="shared" ca="1" si="34"/>
        <v/>
      </c>
      <c r="R375" s="1069" t="str">
        <f t="shared" ca="1" si="34"/>
        <v/>
      </c>
      <c r="S375" s="1069" t="str">
        <f t="shared" ca="1" si="34"/>
        <v/>
      </c>
      <c r="T375" s="1069" t="str">
        <f t="shared" ca="1" si="34"/>
        <v/>
      </c>
      <c r="U375" s="1069" t="str">
        <f t="shared" ca="1" si="34"/>
        <v/>
      </c>
      <c r="V375" s="1069" t="str">
        <f t="shared" ca="1" si="34"/>
        <v/>
      </c>
      <c r="W375" s="1069" t="str">
        <f t="shared" ca="1" si="34"/>
        <v/>
      </c>
      <c r="X375" s="1069" t="str">
        <f t="shared" ca="1" si="34"/>
        <v/>
      </c>
      <c r="Y375" s="1069" t="str">
        <f t="shared" ca="1" si="34"/>
        <v/>
      </c>
      <c r="Z375" s="1069" t="str">
        <f t="shared" ca="1" si="34"/>
        <v/>
      </c>
      <c r="AA375" s="1069" t="str">
        <f t="shared" ca="1" si="34"/>
        <v/>
      </c>
    </row>
    <row r="376" spans="1:27" s="1069" customFormat="1" ht="9.9499999999999993" customHeight="1">
      <c r="A376" s="1069">
        <v>159</v>
      </c>
      <c r="D376" s="1069" t="str">
        <f t="shared" ca="1" si="33"/>
        <v/>
      </c>
      <c r="E376" s="1069" t="str">
        <f t="shared" ca="1" si="33"/>
        <v/>
      </c>
      <c r="F376" s="1069" t="str">
        <f t="shared" ca="1" si="33"/>
        <v/>
      </c>
      <c r="G376" s="1069" t="str">
        <f t="shared" ca="1" si="33"/>
        <v/>
      </c>
      <c r="H376" s="1069" t="str">
        <f t="shared" ca="1" si="33"/>
        <v/>
      </c>
      <c r="I376" s="1069" t="str">
        <f t="shared" ca="1" si="33"/>
        <v/>
      </c>
      <c r="J376" s="1069" t="str">
        <f t="shared" ca="1" si="33"/>
        <v/>
      </c>
      <c r="K376" s="1069" t="str">
        <f t="shared" ca="1" si="33"/>
        <v/>
      </c>
      <c r="L376" s="1069" t="str">
        <f t="shared" ca="1" si="33"/>
        <v/>
      </c>
      <c r="M376" s="1069" t="str">
        <f t="shared" ca="1" si="33"/>
        <v/>
      </c>
      <c r="N376" s="1069" t="str">
        <f t="shared" ca="1" si="34"/>
        <v/>
      </c>
      <c r="O376" s="1069" t="str">
        <f t="shared" ca="1" si="34"/>
        <v/>
      </c>
      <c r="P376" s="1069" t="str">
        <f t="shared" ca="1" si="34"/>
        <v/>
      </c>
      <c r="Q376" s="1069" t="str">
        <f t="shared" ca="1" si="34"/>
        <v/>
      </c>
      <c r="R376" s="1069" t="str">
        <f t="shared" ca="1" si="34"/>
        <v/>
      </c>
      <c r="S376" s="1069" t="str">
        <f t="shared" ca="1" si="34"/>
        <v/>
      </c>
      <c r="T376" s="1069" t="str">
        <f t="shared" ca="1" si="34"/>
        <v/>
      </c>
      <c r="U376" s="1069" t="str">
        <f t="shared" ca="1" si="34"/>
        <v/>
      </c>
      <c r="V376" s="1069" t="str">
        <f t="shared" ca="1" si="34"/>
        <v/>
      </c>
      <c r="W376" s="1069" t="str">
        <f t="shared" ca="1" si="34"/>
        <v/>
      </c>
      <c r="X376" s="1069" t="str">
        <f t="shared" ca="1" si="34"/>
        <v/>
      </c>
      <c r="Y376" s="1069" t="str">
        <f t="shared" ca="1" si="34"/>
        <v/>
      </c>
      <c r="Z376" s="1069" t="str">
        <f t="shared" ca="1" si="34"/>
        <v/>
      </c>
      <c r="AA376" s="1069" t="str">
        <f t="shared" ca="1" si="34"/>
        <v/>
      </c>
    </row>
    <row r="377" spans="1:27" s="1069" customFormat="1" ht="9.9499999999999993" customHeight="1">
      <c r="A377" s="1069">
        <v>160</v>
      </c>
      <c r="D377" s="1069" t="str">
        <f t="shared" ca="1" si="33"/>
        <v/>
      </c>
      <c r="E377" s="1069" t="str">
        <f t="shared" ca="1" si="33"/>
        <v/>
      </c>
      <c r="F377" s="1069" t="str">
        <f t="shared" ca="1" si="33"/>
        <v/>
      </c>
      <c r="G377" s="1069" t="str">
        <f t="shared" ca="1" si="33"/>
        <v/>
      </c>
      <c r="H377" s="1069" t="str">
        <f t="shared" ca="1" si="33"/>
        <v/>
      </c>
      <c r="I377" s="1069" t="str">
        <f t="shared" ca="1" si="33"/>
        <v/>
      </c>
      <c r="J377" s="1069" t="str">
        <f t="shared" ca="1" si="33"/>
        <v/>
      </c>
      <c r="K377" s="1069" t="str">
        <f t="shared" ca="1" si="33"/>
        <v/>
      </c>
      <c r="L377" s="1069" t="str">
        <f t="shared" ca="1" si="33"/>
        <v/>
      </c>
      <c r="M377" s="1069" t="str">
        <f t="shared" ca="1" si="33"/>
        <v/>
      </c>
      <c r="N377" s="1069" t="str">
        <f t="shared" ca="1" si="34"/>
        <v/>
      </c>
      <c r="O377" s="1069" t="str">
        <f t="shared" ca="1" si="34"/>
        <v/>
      </c>
      <c r="P377" s="1069" t="str">
        <f t="shared" ca="1" si="34"/>
        <v/>
      </c>
      <c r="Q377" s="1069" t="str">
        <f t="shared" ca="1" si="34"/>
        <v/>
      </c>
      <c r="R377" s="1069" t="str">
        <f t="shared" ca="1" si="34"/>
        <v/>
      </c>
      <c r="S377" s="1069" t="str">
        <f t="shared" ca="1" si="34"/>
        <v/>
      </c>
      <c r="T377" s="1069" t="str">
        <f t="shared" ca="1" si="34"/>
        <v/>
      </c>
      <c r="U377" s="1069" t="str">
        <f t="shared" ca="1" si="34"/>
        <v/>
      </c>
      <c r="V377" s="1069" t="str">
        <f t="shared" ca="1" si="34"/>
        <v/>
      </c>
      <c r="W377" s="1069" t="str">
        <f t="shared" ca="1" si="34"/>
        <v/>
      </c>
      <c r="X377" s="1069" t="str">
        <f t="shared" ca="1" si="34"/>
        <v/>
      </c>
      <c r="Y377" s="1069" t="str">
        <f t="shared" ca="1" si="34"/>
        <v/>
      </c>
      <c r="Z377" s="1069" t="str">
        <f t="shared" ca="1" si="34"/>
        <v/>
      </c>
      <c r="AA377" s="1069" t="str">
        <f t="shared" ca="1" si="34"/>
        <v/>
      </c>
    </row>
    <row r="378" spans="1:27" s="1069" customFormat="1" ht="9.9499999999999993" customHeight="1">
      <c r="A378" s="1069">
        <v>161</v>
      </c>
      <c r="D378" s="1069" t="str">
        <f t="shared" ca="1" si="33"/>
        <v/>
      </c>
      <c r="E378" s="1069" t="str">
        <f t="shared" ca="1" si="33"/>
        <v/>
      </c>
      <c r="F378" s="1069" t="str">
        <f t="shared" ca="1" si="33"/>
        <v/>
      </c>
      <c r="G378" s="1069" t="str">
        <f t="shared" ca="1" si="33"/>
        <v/>
      </c>
      <c r="H378" s="1069" t="str">
        <f t="shared" ca="1" si="33"/>
        <v/>
      </c>
      <c r="I378" s="1069" t="str">
        <f t="shared" ca="1" si="33"/>
        <v/>
      </c>
      <c r="J378" s="1069" t="str">
        <f t="shared" ca="1" si="33"/>
        <v/>
      </c>
      <c r="K378" s="1069" t="str">
        <f t="shared" ca="1" si="33"/>
        <v/>
      </c>
      <c r="L378" s="1069" t="str">
        <f t="shared" ca="1" si="33"/>
        <v/>
      </c>
      <c r="M378" s="1069" t="str">
        <f t="shared" ca="1" si="33"/>
        <v/>
      </c>
      <c r="N378" s="1069" t="str">
        <f t="shared" ca="1" si="34"/>
        <v/>
      </c>
      <c r="O378" s="1069" t="str">
        <f t="shared" ca="1" si="34"/>
        <v/>
      </c>
      <c r="P378" s="1069" t="str">
        <f t="shared" ca="1" si="34"/>
        <v/>
      </c>
      <c r="Q378" s="1069" t="str">
        <f t="shared" ca="1" si="34"/>
        <v/>
      </c>
      <c r="R378" s="1069" t="str">
        <f t="shared" ca="1" si="34"/>
        <v/>
      </c>
      <c r="S378" s="1069" t="str">
        <f t="shared" ca="1" si="34"/>
        <v/>
      </c>
      <c r="T378" s="1069" t="str">
        <f t="shared" ca="1" si="34"/>
        <v/>
      </c>
      <c r="U378" s="1069" t="str">
        <f t="shared" ca="1" si="34"/>
        <v/>
      </c>
      <c r="V378" s="1069" t="str">
        <f t="shared" ca="1" si="34"/>
        <v/>
      </c>
      <c r="W378" s="1069" t="str">
        <f t="shared" ca="1" si="34"/>
        <v/>
      </c>
      <c r="X378" s="1069" t="str">
        <f t="shared" ca="1" si="34"/>
        <v/>
      </c>
      <c r="Y378" s="1069" t="str">
        <f t="shared" ca="1" si="34"/>
        <v/>
      </c>
      <c r="Z378" s="1069" t="str">
        <f t="shared" ca="1" si="34"/>
        <v/>
      </c>
      <c r="AA378" s="1069" t="str">
        <f t="shared" ca="1" si="34"/>
        <v/>
      </c>
    </row>
    <row r="379" spans="1:27" s="1069" customFormat="1" ht="9.9499999999999993" customHeight="1">
      <c r="A379" s="1069">
        <v>162</v>
      </c>
      <c r="D379" s="1069" t="str">
        <f t="shared" ref="D379:M388" ca="1" si="35">IF(ISNUMBER(INDEX($D$526:$AA$725,ROW()-ROW($D$218),COLUMN()-COLUMN($C$219))),INDEX(Skills_Table,INDEX($D$526:$AA$725,ROW()-ROW($D$218),COLUMN()-COLUMN($C$219))-4,HLOOKUP("Skill Name",Skill_Columns,2,0)),"")</f>
        <v/>
      </c>
      <c r="E379" s="1069" t="str">
        <f t="shared" ca="1" si="35"/>
        <v/>
      </c>
      <c r="F379" s="1069" t="str">
        <f t="shared" ca="1" si="35"/>
        <v/>
      </c>
      <c r="G379" s="1069" t="str">
        <f t="shared" ca="1" si="35"/>
        <v/>
      </c>
      <c r="H379" s="1069" t="str">
        <f t="shared" ca="1" si="35"/>
        <v/>
      </c>
      <c r="I379" s="1069" t="str">
        <f t="shared" ca="1" si="35"/>
        <v/>
      </c>
      <c r="J379" s="1069" t="str">
        <f t="shared" ca="1" si="35"/>
        <v/>
      </c>
      <c r="K379" s="1069" t="str">
        <f t="shared" ca="1" si="35"/>
        <v/>
      </c>
      <c r="L379" s="1069" t="str">
        <f t="shared" ca="1" si="35"/>
        <v/>
      </c>
      <c r="M379" s="1069" t="str">
        <f t="shared" ca="1" si="35"/>
        <v/>
      </c>
      <c r="N379" s="1069" t="str">
        <f t="shared" ref="N379:AA388" ca="1" si="36">IF(ISNUMBER(INDEX($D$526:$AA$725,ROW()-ROW($D$218),COLUMN()-COLUMN($C$219))),INDEX(Skills_Table,INDEX($D$526:$AA$725,ROW()-ROW($D$218),COLUMN()-COLUMN($C$219))-4,HLOOKUP("Skill Name",Skill_Columns,2,0)),"")</f>
        <v/>
      </c>
      <c r="O379" s="1069" t="str">
        <f t="shared" ca="1" si="36"/>
        <v/>
      </c>
      <c r="P379" s="1069" t="str">
        <f t="shared" ca="1" si="36"/>
        <v/>
      </c>
      <c r="Q379" s="1069" t="str">
        <f t="shared" ca="1" si="36"/>
        <v/>
      </c>
      <c r="R379" s="1069" t="str">
        <f t="shared" ca="1" si="36"/>
        <v/>
      </c>
      <c r="S379" s="1069" t="str">
        <f t="shared" ca="1" si="36"/>
        <v/>
      </c>
      <c r="T379" s="1069" t="str">
        <f t="shared" ca="1" si="36"/>
        <v/>
      </c>
      <c r="U379" s="1069" t="str">
        <f t="shared" ca="1" si="36"/>
        <v/>
      </c>
      <c r="V379" s="1069" t="str">
        <f t="shared" ca="1" si="36"/>
        <v/>
      </c>
      <c r="W379" s="1069" t="str">
        <f t="shared" ca="1" si="36"/>
        <v/>
      </c>
      <c r="X379" s="1069" t="str">
        <f t="shared" ca="1" si="36"/>
        <v/>
      </c>
      <c r="Y379" s="1069" t="str">
        <f t="shared" ca="1" si="36"/>
        <v/>
      </c>
      <c r="Z379" s="1069" t="str">
        <f t="shared" ca="1" si="36"/>
        <v/>
      </c>
      <c r="AA379" s="1069" t="str">
        <f t="shared" ca="1" si="36"/>
        <v/>
      </c>
    </row>
    <row r="380" spans="1:27" s="1069" customFormat="1" ht="9.9499999999999993" customHeight="1">
      <c r="A380" s="1069">
        <v>163</v>
      </c>
      <c r="D380" s="1069" t="str">
        <f t="shared" ca="1" si="35"/>
        <v/>
      </c>
      <c r="E380" s="1069" t="str">
        <f t="shared" ca="1" si="35"/>
        <v/>
      </c>
      <c r="F380" s="1069" t="str">
        <f t="shared" ca="1" si="35"/>
        <v/>
      </c>
      <c r="G380" s="1069" t="str">
        <f t="shared" ca="1" si="35"/>
        <v/>
      </c>
      <c r="H380" s="1069" t="str">
        <f t="shared" ca="1" si="35"/>
        <v/>
      </c>
      <c r="I380" s="1069" t="str">
        <f t="shared" ca="1" si="35"/>
        <v/>
      </c>
      <c r="J380" s="1069" t="str">
        <f t="shared" ca="1" si="35"/>
        <v/>
      </c>
      <c r="K380" s="1069" t="str">
        <f t="shared" ca="1" si="35"/>
        <v/>
      </c>
      <c r="L380" s="1069" t="str">
        <f t="shared" ca="1" si="35"/>
        <v/>
      </c>
      <c r="M380" s="1069" t="str">
        <f t="shared" ca="1" si="35"/>
        <v/>
      </c>
      <c r="N380" s="1069" t="str">
        <f t="shared" ca="1" si="36"/>
        <v/>
      </c>
      <c r="O380" s="1069" t="str">
        <f t="shared" ca="1" si="36"/>
        <v/>
      </c>
      <c r="P380" s="1069" t="str">
        <f t="shared" ca="1" si="36"/>
        <v/>
      </c>
      <c r="Q380" s="1069" t="str">
        <f t="shared" ca="1" si="36"/>
        <v/>
      </c>
      <c r="R380" s="1069" t="str">
        <f t="shared" ca="1" si="36"/>
        <v/>
      </c>
      <c r="S380" s="1069" t="str">
        <f t="shared" ca="1" si="36"/>
        <v/>
      </c>
      <c r="T380" s="1069" t="str">
        <f t="shared" ca="1" si="36"/>
        <v/>
      </c>
      <c r="U380" s="1069" t="str">
        <f t="shared" ca="1" si="36"/>
        <v/>
      </c>
      <c r="V380" s="1069" t="str">
        <f t="shared" ca="1" si="36"/>
        <v/>
      </c>
      <c r="W380" s="1069" t="str">
        <f t="shared" ca="1" si="36"/>
        <v/>
      </c>
      <c r="X380" s="1069" t="str">
        <f t="shared" ca="1" si="36"/>
        <v/>
      </c>
      <c r="Y380" s="1069" t="str">
        <f t="shared" ca="1" si="36"/>
        <v/>
      </c>
      <c r="Z380" s="1069" t="str">
        <f t="shared" ca="1" si="36"/>
        <v/>
      </c>
      <c r="AA380" s="1069" t="str">
        <f t="shared" ca="1" si="36"/>
        <v/>
      </c>
    </row>
    <row r="381" spans="1:27" s="1069" customFormat="1" ht="9.9499999999999993" customHeight="1">
      <c r="A381" s="1069">
        <v>164</v>
      </c>
      <c r="D381" s="1069" t="str">
        <f t="shared" ca="1" si="35"/>
        <v/>
      </c>
      <c r="E381" s="1069" t="str">
        <f t="shared" ca="1" si="35"/>
        <v/>
      </c>
      <c r="F381" s="1069" t="str">
        <f t="shared" ca="1" si="35"/>
        <v/>
      </c>
      <c r="G381" s="1069" t="str">
        <f t="shared" ca="1" si="35"/>
        <v/>
      </c>
      <c r="H381" s="1069" t="str">
        <f t="shared" ca="1" si="35"/>
        <v/>
      </c>
      <c r="I381" s="1069" t="str">
        <f t="shared" ca="1" si="35"/>
        <v/>
      </c>
      <c r="J381" s="1069" t="str">
        <f t="shared" ca="1" si="35"/>
        <v/>
      </c>
      <c r="K381" s="1069" t="str">
        <f t="shared" ca="1" si="35"/>
        <v/>
      </c>
      <c r="L381" s="1069" t="str">
        <f t="shared" ca="1" si="35"/>
        <v/>
      </c>
      <c r="M381" s="1069" t="str">
        <f t="shared" ca="1" si="35"/>
        <v/>
      </c>
      <c r="N381" s="1069" t="str">
        <f t="shared" ca="1" si="36"/>
        <v/>
      </c>
      <c r="O381" s="1069" t="str">
        <f t="shared" ca="1" si="36"/>
        <v/>
      </c>
      <c r="P381" s="1069" t="str">
        <f t="shared" ca="1" si="36"/>
        <v/>
      </c>
      <c r="Q381" s="1069" t="str">
        <f t="shared" ca="1" si="36"/>
        <v/>
      </c>
      <c r="R381" s="1069" t="str">
        <f t="shared" ca="1" si="36"/>
        <v/>
      </c>
      <c r="S381" s="1069" t="str">
        <f t="shared" ca="1" si="36"/>
        <v/>
      </c>
      <c r="T381" s="1069" t="str">
        <f t="shared" ca="1" si="36"/>
        <v/>
      </c>
      <c r="U381" s="1069" t="str">
        <f t="shared" ca="1" si="36"/>
        <v/>
      </c>
      <c r="V381" s="1069" t="str">
        <f t="shared" ca="1" si="36"/>
        <v/>
      </c>
      <c r="W381" s="1069" t="str">
        <f t="shared" ca="1" si="36"/>
        <v/>
      </c>
      <c r="X381" s="1069" t="str">
        <f t="shared" ca="1" si="36"/>
        <v/>
      </c>
      <c r="Y381" s="1069" t="str">
        <f t="shared" ca="1" si="36"/>
        <v/>
      </c>
      <c r="Z381" s="1069" t="str">
        <f t="shared" ca="1" si="36"/>
        <v/>
      </c>
      <c r="AA381" s="1069" t="str">
        <f t="shared" ca="1" si="36"/>
        <v/>
      </c>
    </row>
    <row r="382" spans="1:27" s="1069" customFormat="1" ht="9.9499999999999993" customHeight="1">
      <c r="A382" s="1069">
        <v>165</v>
      </c>
      <c r="D382" s="1069" t="str">
        <f t="shared" ca="1" si="35"/>
        <v/>
      </c>
      <c r="E382" s="1069" t="str">
        <f t="shared" ca="1" si="35"/>
        <v/>
      </c>
      <c r="F382" s="1069" t="str">
        <f t="shared" ca="1" si="35"/>
        <v/>
      </c>
      <c r="G382" s="1069" t="str">
        <f t="shared" ca="1" si="35"/>
        <v/>
      </c>
      <c r="H382" s="1069" t="str">
        <f t="shared" ca="1" si="35"/>
        <v/>
      </c>
      <c r="I382" s="1069" t="str">
        <f t="shared" ca="1" si="35"/>
        <v/>
      </c>
      <c r="J382" s="1069" t="str">
        <f t="shared" ca="1" si="35"/>
        <v/>
      </c>
      <c r="K382" s="1069" t="str">
        <f t="shared" ca="1" si="35"/>
        <v/>
      </c>
      <c r="L382" s="1069" t="str">
        <f t="shared" ca="1" si="35"/>
        <v/>
      </c>
      <c r="M382" s="1069" t="str">
        <f t="shared" ca="1" si="35"/>
        <v/>
      </c>
      <c r="N382" s="1069" t="str">
        <f t="shared" ca="1" si="36"/>
        <v/>
      </c>
      <c r="O382" s="1069" t="str">
        <f t="shared" ca="1" si="36"/>
        <v/>
      </c>
      <c r="P382" s="1069" t="str">
        <f t="shared" ca="1" si="36"/>
        <v/>
      </c>
      <c r="Q382" s="1069" t="str">
        <f t="shared" ca="1" si="36"/>
        <v/>
      </c>
      <c r="R382" s="1069" t="str">
        <f t="shared" ca="1" si="36"/>
        <v/>
      </c>
      <c r="S382" s="1069" t="str">
        <f t="shared" ca="1" si="36"/>
        <v/>
      </c>
      <c r="T382" s="1069" t="str">
        <f t="shared" ca="1" si="36"/>
        <v/>
      </c>
      <c r="U382" s="1069" t="str">
        <f t="shared" ca="1" si="36"/>
        <v/>
      </c>
      <c r="V382" s="1069" t="str">
        <f t="shared" ca="1" si="36"/>
        <v/>
      </c>
      <c r="W382" s="1069" t="str">
        <f t="shared" ca="1" si="36"/>
        <v/>
      </c>
      <c r="X382" s="1069" t="str">
        <f t="shared" ca="1" si="36"/>
        <v/>
      </c>
      <c r="Y382" s="1069" t="str">
        <f t="shared" ca="1" si="36"/>
        <v/>
      </c>
      <c r="Z382" s="1069" t="str">
        <f t="shared" ca="1" si="36"/>
        <v/>
      </c>
      <c r="AA382" s="1069" t="str">
        <f t="shared" ca="1" si="36"/>
        <v/>
      </c>
    </row>
    <row r="383" spans="1:27" s="1069" customFormat="1" ht="9.9499999999999993" customHeight="1">
      <c r="A383" s="1069">
        <v>166</v>
      </c>
      <c r="D383" s="1069" t="str">
        <f t="shared" ca="1" si="35"/>
        <v/>
      </c>
      <c r="E383" s="1069" t="str">
        <f t="shared" ca="1" si="35"/>
        <v/>
      </c>
      <c r="F383" s="1069" t="str">
        <f t="shared" ca="1" si="35"/>
        <v/>
      </c>
      <c r="G383" s="1069" t="str">
        <f t="shared" ca="1" si="35"/>
        <v/>
      </c>
      <c r="H383" s="1069" t="str">
        <f t="shared" ca="1" si="35"/>
        <v/>
      </c>
      <c r="I383" s="1069" t="str">
        <f t="shared" ca="1" si="35"/>
        <v/>
      </c>
      <c r="J383" s="1069" t="str">
        <f t="shared" ca="1" si="35"/>
        <v/>
      </c>
      <c r="K383" s="1069" t="str">
        <f t="shared" ca="1" si="35"/>
        <v/>
      </c>
      <c r="L383" s="1069" t="str">
        <f t="shared" ca="1" si="35"/>
        <v/>
      </c>
      <c r="M383" s="1069" t="str">
        <f t="shared" ca="1" si="35"/>
        <v/>
      </c>
      <c r="N383" s="1069" t="str">
        <f t="shared" ca="1" si="36"/>
        <v/>
      </c>
      <c r="O383" s="1069" t="str">
        <f t="shared" ca="1" si="36"/>
        <v/>
      </c>
      <c r="P383" s="1069" t="str">
        <f t="shared" ca="1" si="36"/>
        <v/>
      </c>
      <c r="Q383" s="1069" t="str">
        <f t="shared" ca="1" si="36"/>
        <v/>
      </c>
      <c r="R383" s="1069" t="str">
        <f t="shared" ca="1" si="36"/>
        <v/>
      </c>
      <c r="S383" s="1069" t="str">
        <f t="shared" ca="1" si="36"/>
        <v/>
      </c>
      <c r="T383" s="1069" t="str">
        <f t="shared" ca="1" si="36"/>
        <v/>
      </c>
      <c r="U383" s="1069" t="str">
        <f t="shared" ca="1" si="36"/>
        <v/>
      </c>
      <c r="V383" s="1069" t="str">
        <f t="shared" ca="1" si="36"/>
        <v/>
      </c>
      <c r="W383" s="1069" t="str">
        <f t="shared" ca="1" si="36"/>
        <v/>
      </c>
      <c r="X383" s="1069" t="str">
        <f t="shared" ca="1" si="36"/>
        <v/>
      </c>
      <c r="Y383" s="1069" t="str">
        <f t="shared" ca="1" si="36"/>
        <v/>
      </c>
      <c r="Z383" s="1069" t="str">
        <f t="shared" ca="1" si="36"/>
        <v/>
      </c>
      <c r="AA383" s="1069" t="str">
        <f t="shared" ca="1" si="36"/>
        <v/>
      </c>
    </row>
    <row r="384" spans="1:27" s="1069" customFormat="1" ht="9.9499999999999993" customHeight="1">
      <c r="A384" s="1069">
        <v>167</v>
      </c>
      <c r="D384" s="1069" t="str">
        <f t="shared" ca="1" si="35"/>
        <v/>
      </c>
      <c r="E384" s="1069" t="str">
        <f t="shared" ca="1" si="35"/>
        <v/>
      </c>
      <c r="F384" s="1069" t="str">
        <f t="shared" ca="1" si="35"/>
        <v/>
      </c>
      <c r="G384" s="1069" t="str">
        <f t="shared" ca="1" si="35"/>
        <v/>
      </c>
      <c r="H384" s="1069" t="str">
        <f t="shared" ca="1" si="35"/>
        <v/>
      </c>
      <c r="I384" s="1069" t="str">
        <f t="shared" ca="1" si="35"/>
        <v/>
      </c>
      <c r="J384" s="1069" t="str">
        <f t="shared" ca="1" si="35"/>
        <v/>
      </c>
      <c r="K384" s="1069" t="str">
        <f t="shared" ca="1" si="35"/>
        <v/>
      </c>
      <c r="L384" s="1069" t="str">
        <f t="shared" ca="1" si="35"/>
        <v/>
      </c>
      <c r="M384" s="1069" t="str">
        <f t="shared" ca="1" si="35"/>
        <v/>
      </c>
      <c r="N384" s="1069" t="str">
        <f t="shared" ca="1" si="36"/>
        <v/>
      </c>
      <c r="O384" s="1069" t="str">
        <f t="shared" ca="1" si="36"/>
        <v/>
      </c>
      <c r="P384" s="1069" t="str">
        <f t="shared" ca="1" si="36"/>
        <v/>
      </c>
      <c r="Q384" s="1069" t="str">
        <f t="shared" ca="1" si="36"/>
        <v/>
      </c>
      <c r="R384" s="1069" t="str">
        <f t="shared" ca="1" si="36"/>
        <v/>
      </c>
      <c r="S384" s="1069" t="str">
        <f t="shared" ca="1" si="36"/>
        <v/>
      </c>
      <c r="T384" s="1069" t="str">
        <f t="shared" ca="1" si="36"/>
        <v/>
      </c>
      <c r="U384" s="1069" t="str">
        <f t="shared" ca="1" si="36"/>
        <v/>
      </c>
      <c r="V384" s="1069" t="str">
        <f t="shared" ca="1" si="36"/>
        <v/>
      </c>
      <c r="W384" s="1069" t="str">
        <f t="shared" ca="1" si="36"/>
        <v/>
      </c>
      <c r="X384" s="1069" t="str">
        <f t="shared" ca="1" si="36"/>
        <v/>
      </c>
      <c r="Y384" s="1069" t="str">
        <f t="shared" ca="1" si="36"/>
        <v/>
      </c>
      <c r="Z384" s="1069" t="str">
        <f t="shared" ca="1" si="36"/>
        <v/>
      </c>
      <c r="AA384" s="1069" t="str">
        <f t="shared" ca="1" si="36"/>
        <v/>
      </c>
    </row>
    <row r="385" spans="1:27" s="1069" customFormat="1" ht="9.9499999999999993" customHeight="1">
      <c r="A385" s="1069">
        <v>168</v>
      </c>
      <c r="D385" s="1069" t="str">
        <f t="shared" ca="1" si="35"/>
        <v/>
      </c>
      <c r="E385" s="1069" t="str">
        <f t="shared" ca="1" si="35"/>
        <v/>
      </c>
      <c r="F385" s="1069" t="str">
        <f t="shared" ca="1" si="35"/>
        <v/>
      </c>
      <c r="G385" s="1069" t="str">
        <f t="shared" ca="1" si="35"/>
        <v/>
      </c>
      <c r="H385" s="1069" t="str">
        <f t="shared" ca="1" si="35"/>
        <v/>
      </c>
      <c r="I385" s="1069" t="str">
        <f t="shared" ca="1" si="35"/>
        <v/>
      </c>
      <c r="J385" s="1069" t="str">
        <f t="shared" ca="1" si="35"/>
        <v/>
      </c>
      <c r="K385" s="1069" t="str">
        <f t="shared" ca="1" si="35"/>
        <v/>
      </c>
      <c r="L385" s="1069" t="str">
        <f t="shared" ca="1" si="35"/>
        <v/>
      </c>
      <c r="M385" s="1069" t="str">
        <f t="shared" ca="1" si="35"/>
        <v/>
      </c>
      <c r="N385" s="1069" t="str">
        <f t="shared" ca="1" si="36"/>
        <v/>
      </c>
      <c r="O385" s="1069" t="str">
        <f t="shared" ca="1" si="36"/>
        <v/>
      </c>
      <c r="P385" s="1069" t="str">
        <f t="shared" ca="1" si="36"/>
        <v/>
      </c>
      <c r="Q385" s="1069" t="str">
        <f t="shared" ca="1" si="36"/>
        <v/>
      </c>
      <c r="R385" s="1069" t="str">
        <f t="shared" ca="1" si="36"/>
        <v/>
      </c>
      <c r="S385" s="1069" t="str">
        <f t="shared" ca="1" si="36"/>
        <v/>
      </c>
      <c r="T385" s="1069" t="str">
        <f t="shared" ca="1" si="36"/>
        <v/>
      </c>
      <c r="U385" s="1069" t="str">
        <f t="shared" ca="1" si="36"/>
        <v/>
      </c>
      <c r="V385" s="1069" t="str">
        <f t="shared" ca="1" si="36"/>
        <v/>
      </c>
      <c r="W385" s="1069" t="str">
        <f t="shared" ca="1" si="36"/>
        <v/>
      </c>
      <c r="X385" s="1069" t="str">
        <f t="shared" ca="1" si="36"/>
        <v/>
      </c>
      <c r="Y385" s="1069" t="str">
        <f t="shared" ca="1" si="36"/>
        <v/>
      </c>
      <c r="Z385" s="1069" t="str">
        <f t="shared" ca="1" si="36"/>
        <v/>
      </c>
      <c r="AA385" s="1069" t="str">
        <f t="shared" ca="1" si="36"/>
        <v/>
      </c>
    </row>
    <row r="386" spans="1:27" s="1069" customFormat="1" ht="9.9499999999999993" customHeight="1">
      <c r="A386" s="1069">
        <v>169</v>
      </c>
      <c r="D386" s="1069" t="str">
        <f t="shared" ca="1" si="35"/>
        <v/>
      </c>
      <c r="E386" s="1069" t="str">
        <f t="shared" ca="1" si="35"/>
        <v/>
      </c>
      <c r="F386" s="1069" t="str">
        <f t="shared" ca="1" si="35"/>
        <v/>
      </c>
      <c r="G386" s="1069" t="str">
        <f t="shared" ca="1" si="35"/>
        <v/>
      </c>
      <c r="H386" s="1069" t="str">
        <f t="shared" ca="1" si="35"/>
        <v/>
      </c>
      <c r="I386" s="1069" t="str">
        <f t="shared" ca="1" si="35"/>
        <v/>
      </c>
      <c r="J386" s="1069" t="str">
        <f t="shared" ca="1" si="35"/>
        <v/>
      </c>
      <c r="K386" s="1069" t="str">
        <f t="shared" ca="1" si="35"/>
        <v/>
      </c>
      <c r="L386" s="1069" t="str">
        <f t="shared" ca="1" si="35"/>
        <v/>
      </c>
      <c r="M386" s="1069" t="str">
        <f t="shared" ca="1" si="35"/>
        <v/>
      </c>
      <c r="N386" s="1069" t="str">
        <f t="shared" ca="1" si="36"/>
        <v/>
      </c>
      <c r="O386" s="1069" t="str">
        <f t="shared" ca="1" si="36"/>
        <v/>
      </c>
      <c r="P386" s="1069" t="str">
        <f t="shared" ca="1" si="36"/>
        <v/>
      </c>
      <c r="Q386" s="1069" t="str">
        <f t="shared" ca="1" si="36"/>
        <v/>
      </c>
      <c r="R386" s="1069" t="str">
        <f t="shared" ca="1" si="36"/>
        <v/>
      </c>
      <c r="S386" s="1069" t="str">
        <f t="shared" ca="1" si="36"/>
        <v/>
      </c>
      <c r="T386" s="1069" t="str">
        <f t="shared" ca="1" si="36"/>
        <v/>
      </c>
      <c r="U386" s="1069" t="str">
        <f t="shared" ca="1" si="36"/>
        <v/>
      </c>
      <c r="V386" s="1069" t="str">
        <f t="shared" ca="1" si="36"/>
        <v/>
      </c>
      <c r="W386" s="1069" t="str">
        <f t="shared" ca="1" si="36"/>
        <v/>
      </c>
      <c r="X386" s="1069" t="str">
        <f t="shared" ca="1" si="36"/>
        <v/>
      </c>
      <c r="Y386" s="1069" t="str">
        <f t="shared" ca="1" si="36"/>
        <v/>
      </c>
      <c r="Z386" s="1069" t="str">
        <f t="shared" ca="1" si="36"/>
        <v/>
      </c>
      <c r="AA386" s="1069" t="str">
        <f t="shared" ca="1" si="36"/>
        <v/>
      </c>
    </row>
    <row r="387" spans="1:27" s="1069" customFormat="1" ht="9.9499999999999993" customHeight="1">
      <c r="A387" s="1069">
        <v>170</v>
      </c>
      <c r="D387" s="1069" t="str">
        <f t="shared" ca="1" si="35"/>
        <v/>
      </c>
      <c r="E387" s="1069" t="str">
        <f t="shared" ca="1" si="35"/>
        <v/>
      </c>
      <c r="F387" s="1069" t="str">
        <f t="shared" ca="1" si="35"/>
        <v/>
      </c>
      <c r="G387" s="1069" t="str">
        <f t="shared" ca="1" si="35"/>
        <v/>
      </c>
      <c r="H387" s="1069" t="str">
        <f t="shared" ca="1" si="35"/>
        <v/>
      </c>
      <c r="I387" s="1069" t="str">
        <f t="shared" ca="1" si="35"/>
        <v/>
      </c>
      <c r="J387" s="1069" t="str">
        <f t="shared" ca="1" si="35"/>
        <v/>
      </c>
      <c r="K387" s="1069" t="str">
        <f t="shared" ca="1" si="35"/>
        <v/>
      </c>
      <c r="L387" s="1069" t="str">
        <f t="shared" ca="1" si="35"/>
        <v/>
      </c>
      <c r="M387" s="1069" t="str">
        <f t="shared" ca="1" si="35"/>
        <v/>
      </c>
      <c r="N387" s="1069" t="str">
        <f t="shared" ca="1" si="36"/>
        <v/>
      </c>
      <c r="O387" s="1069" t="str">
        <f t="shared" ca="1" si="36"/>
        <v/>
      </c>
      <c r="P387" s="1069" t="str">
        <f t="shared" ca="1" si="36"/>
        <v/>
      </c>
      <c r="Q387" s="1069" t="str">
        <f t="shared" ca="1" si="36"/>
        <v/>
      </c>
      <c r="R387" s="1069" t="str">
        <f t="shared" ca="1" si="36"/>
        <v/>
      </c>
      <c r="S387" s="1069" t="str">
        <f t="shared" ca="1" si="36"/>
        <v/>
      </c>
      <c r="T387" s="1069" t="str">
        <f t="shared" ca="1" si="36"/>
        <v/>
      </c>
      <c r="U387" s="1069" t="str">
        <f t="shared" ca="1" si="36"/>
        <v/>
      </c>
      <c r="V387" s="1069" t="str">
        <f t="shared" ca="1" si="36"/>
        <v/>
      </c>
      <c r="W387" s="1069" t="str">
        <f t="shared" ca="1" si="36"/>
        <v/>
      </c>
      <c r="X387" s="1069" t="str">
        <f t="shared" ca="1" si="36"/>
        <v/>
      </c>
      <c r="Y387" s="1069" t="str">
        <f t="shared" ca="1" si="36"/>
        <v/>
      </c>
      <c r="Z387" s="1069" t="str">
        <f t="shared" ca="1" si="36"/>
        <v/>
      </c>
      <c r="AA387" s="1069" t="str">
        <f t="shared" ca="1" si="36"/>
        <v/>
      </c>
    </row>
    <row r="388" spans="1:27" s="1069" customFormat="1" ht="9.9499999999999993" customHeight="1">
      <c r="A388" s="1069">
        <v>171</v>
      </c>
      <c r="D388" s="1069" t="str">
        <f t="shared" ca="1" si="35"/>
        <v/>
      </c>
      <c r="E388" s="1069" t="str">
        <f t="shared" ca="1" si="35"/>
        <v/>
      </c>
      <c r="F388" s="1069" t="str">
        <f t="shared" ca="1" si="35"/>
        <v/>
      </c>
      <c r="G388" s="1069" t="str">
        <f t="shared" ca="1" si="35"/>
        <v/>
      </c>
      <c r="H388" s="1069" t="str">
        <f t="shared" ca="1" si="35"/>
        <v/>
      </c>
      <c r="I388" s="1069" t="str">
        <f t="shared" ca="1" si="35"/>
        <v/>
      </c>
      <c r="J388" s="1069" t="str">
        <f t="shared" ca="1" si="35"/>
        <v/>
      </c>
      <c r="K388" s="1069" t="str">
        <f t="shared" ca="1" si="35"/>
        <v/>
      </c>
      <c r="L388" s="1069" t="str">
        <f t="shared" ca="1" si="35"/>
        <v/>
      </c>
      <c r="M388" s="1069" t="str">
        <f t="shared" ca="1" si="35"/>
        <v/>
      </c>
      <c r="N388" s="1069" t="str">
        <f t="shared" ca="1" si="36"/>
        <v/>
      </c>
      <c r="O388" s="1069" t="str">
        <f t="shared" ca="1" si="36"/>
        <v/>
      </c>
      <c r="P388" s="1069" t="str">
        <f t="shared" ca="1" si="36"/>
        <v/>
      </c>
      <c r="Q388" s="1069" t="str">
        <f t="shared" ca="1" si="36"/>
        <v/>
      </c>
      <c r="R388" s="1069" t="str">
        <f t="shared" ca="1" si="36"/>
        <v/>
      </c>
      <c r="S388" s="1069" t="str">
        <f t="shared" ca="1" si="36"/>
        <v/>
      </c>
      <c r="T388" s="1069" t="str">
        <f t="shared" ca="1" si="36"/>
        <v/>
      </c>
      <c r="U388" s="1069" t="str">
        <f t="shared" ca="1" si="36"/>
        <v/>
      </c>
      <c r="V388" s="1069" t="str">
        <f t="shared" ca="1" si="36"/>
        <v/>
      </c>
      <c r="W388" s="1069" t="str">
        <f t="shared" ca="1" si="36"/>
        <v/>
      </c>
      <c r="X388" s="1069" t="str">
        <f t="shared" ca="1" si="36"/>
        <v/>
      </c>
      <c r="Y388" s="1069" t="str">
        <f t="shared" ca="1" si="36"/>
        <v/>
      </c>
      <c r="Z388" s="1069" t="str">
        <f t="shared" ca="1" si="36"/>
        <v/>
      </c>
      <c r="AA388" s="1069" t="str">
        <f t="shared" ca="1" si="36"/>
        <v/>
      </c>
    </row>
    <row r="389" spans="1:27" s="1069" customFormat="1" ht="9.9499999999999993" customHeight="1">
      <c r="A389" s="1069">
        <v>172</v>
      </c>
      <c r="D389" s="1069" t="str">
        <f t="shared" ref="D389:M398" ca="1" si="37">IF(ISNUMBER(INDEX($D$526:$AA$725,ROW()-ROW($D$218),COLUMN()-COLUMN($C$219))),INDEX(Skills_Table,INDEX($D$526:$AA$725,ROW()-ROW($D$218),COLUMN()-COLUMN($C$219))-4,HLOOKUP("Skill Name",Skill_Columns,2,0)),"")</f>
        <v/>
      </c>
      <c r="E389" s="1069" t="str">
        <f t="shared" ca="1" si="37"/>
        <v/>
      </c>
      <c r="F389" s="1069" t="str">
        <f t="shared" ca="1" si="37"/>
        <v/>
      </c>
      <c r="G389" s="1069" t="str">
        <f t="shared" ca="1" si="37"/>
        <v/>
      </c>
      <c r="H389" s="1069" t="str">
        <f t="shared" ca="1" si="37"/>
        <v/>
      </c>
      <c r="I389" s="1069" t="str">
        <f t="shared" ca="1" si="37"/>
        <v/>
      </c>
      <c r="J389" s="1069" t="str">
        <f t="shared" ca="1" si="37"/>
        <v/>
      </c>
      <c r="K389" s="1069" t="str">
        <f t="shared" ca="1" si="37"/>
        <v/>
      </c>
      <c r="L389" s="1069" t="str">
        <f t="shared" ca="1" si="37"/>
        <v/>
      </c>
      <c r="M389" s="1069" t="str">
        <f t="shared" ca="1" si="37"/>
        <v/>
      </c>
      <c r="N389" s="1069" t="str">
        <f t="shared" ref="N389:AA398" ca="1" si="38">IF(ISNUMBER(INDEX($D$526:$AA$725,ROW()-ROW($D$218),COLUMN()-COLUMN($C$219))),INDEX(Skills_Table,INDEX($D$526:$AA$725,ROW()-ROW($D$218),COLUMN()-COLUMN($C$219))-4,HLOOKUP("Skill Name",Skill_Columns,2,0)),"")</f>
        <v/>
      </c>
      <c r="O389" s="1069" t="str">
        <f t="shared" ca="1" si="38"/>
        <v/>
      </c>
      <c r="P389" s="1069" t="str">
        <f t="shared" ca="1" si="38"/>
        <v/>
      </c>
      <c r="Q389" s="1069" t="str">
        <f t="shared" ca="1" si="38"/>
        <v/>
      </c>
      <c r="R389" s="1069" t="str">
        <f t="shared" ca="1" si="38"/>
        <v/>
      </c>
      <c r="S389" s="1069" t="str">
        <f t="shared" ca="1" si="38"/>
        <v/>
      </c>
      <c r="T389" s="1069" t="str">
        <f t="shared" ca="1" si="38"/>
        <v/>
      </c>
      <c r="U389" s="1069" t="str">
        <f t="shared" ca="1" si="38"/>
        <v/>
      </c>
      <c r="V389" s="1069" t="str">
        <f t="shared" ca="1" si="38"/>
        <v/>
      </c>
      <c r="W389" s="1069" t="str">
        <f t="shared" ca="1" si="38"/>
        <v/>
      </c>
      <c r="X389" s="1069" t="str">
        <f t="shared" ca="1" si="38"/>
        <v/>
      </c>
      <c r="Y389" s="1069" t="str">
        <f t="shared" ca="1" si="38"/>
        <v/>
      </c>
      <c r="Z389" s="1069" t="str">
        <f t="shared" ca="1" si="38"/>
        <v/>
      </c>
      <c r="AA389" s="1069" t="str">
        <f t="shared" ca="1" si="38"/>
        <v/>
      </c>
    </row>
    <row r="390" spans="1:27" s="1069" customFormat="1" ht="9.9499999999999993" customHeight="1">
      <c r="A390" s="1069">
        <v>173</v>
      </c>
      <c r="D390" s="1069" t="str">
        <f t="shared" ca="1" si="37"/>
        <v/>
      </c>
      <c r="E390" s="1069" t="str">
        <f t="shared" ca="1" si="37"/>
        <v/>
      </c>
      <c r="F390" s="1069" t="str">
        <f t="shared" ca="1" si="37"/>
        <v/>
      </c>
      <c r="G390" s="1069" t="str">
        <f t="shared" ca="1" si="37"/>
        <v/>
      </c>
      <c r="H390" s="1069" t="str">
        <f t="shared" ca="1" si="37"/>
        <v/>
      </c>
      <c r="I390" s="1069" t="str">
        <f t="shared" ca="1" si="37"/>
        <v/>
      </c>
      <c r="J390" s="1069" t="str">
        <f t="shared" ca="1" si="37"/>
        <v/>
      </c>
      <c r="K390" s="1069" t="str">
        <f t="shared" ca="1" si="37"/>
        <v/>
      </c>
      <c r="L390" s="1069" t="str">
        <f t="shared" ca="1" si="37"/>
        <v/>
      </c>
      <c r="M390" s="1069" t="str">
        <f t="shared" ca="1" si="37"/>
        <v/>
      </c>
      <c r="N390" s="1069" t="str">
        <f t="shared" ca="1" si="38"/>
        <v/>
      </c>
      <c r="O390" s="1069" t="str">
        <f t="shared" ca="1" si="38"/>
        <v/>
      </c>
      <c r="P390" s="1069" t="str">
        <f t="shared" ca="1" si="38"/>
        <v/>
      </c>
      <c r="Q390" s="1069" t="str">
        <f t="shared" ca="1" si="38"/>
        <v/>
      </c>
      <c r="R390" s="1069" t="str">
        <f t="shared" ca="1" si="38"/>
        <v/>
      </c>
      <c r="S390" s="1069" t="str">
        <f t="shared" ca="1" si="38"/>
        <v/>
      </c>
      <c r="T390" s="1069" t="str">
        <f t="shared" ca="1" si="38"/>
        <v/>
      </c>
      <c r="U390" s="1069" t="str">
        <f t="shared" ca="1" si="38"/>
        <v/>
      </c>
      <c r="V390" s="1069" t="str">
        <f t="shared" ca="1" si="38"/>
        <v/>
      </c>
      <c r="W390" s="1069" t="str">
        <f t="shared" ca="1" si="38"/>
        <v/>
      </c>
      <c r="X390" s="1069" t="str">
        <f t="shared" ca="1" si="38"/>
        <v/>
      </c>
      <c r="Y390" s="1069" t="str">
        <f t="shared" ca="1" si="38"/>
        <v/>
      </c>
      <c r="Z390" s="1069" t="str">
        <f t="shared" ca="1" si="38"/>
        <v/>
      </c>
      <c r="AA390" s="1069" t="str">
        <f t="shared" ca="1" si="38"/>
        <v/>
      </c>
    </row>
    <row r="391" spans="1:27" s="1069" customFormat="1" ht="9.9499999999999993" customHeight="1">
      <c r="A391" s="1069">
        <v>174</v>
      </c>
      <c r="D391" s="1069" t="str">
        <f t="shared" ca="1" si="37"/>
        <v/>
      </c>
      <c r="E391" s="1069" t="str">
        <f t="shared" ca="1" si="37"/>
        <v/>
      </c>
      <c r="F391" s="1069" t="str">
        <f t="shared" ca="1" si="37"/>
        <v/>
      </c>
      <c r="G391" s="1069" t="str">
        <f t="shared" ca="1" si="37"/>
        <v/>
      </c>
      <c r="H391" s="1069" t="str">
        <f t="shared" ca="1" si="37"/>
        <v/>
      </c>
      <c r="I391" s="1069" t="str">
        <f t="shared" ca="1" si="37"/>
        <v/>
      </c>
      <c r="J391" s="1069" t="str">
        <f t="shared" ca="1" si="37"/>
        <v/>
      </c>
      <c r="K391" s="1069" t="str">
        <f t="shared" ca="1" si="37"/>
        <v/>
      </c>
      <c r="L391" s="1069" t="str">
        <f t="shared" ca="1" si="37"/>
        <v/>
      </c>
      <c r="M391" s="1069" t="str">
        <f t="shared" ca="1" si="37"/>
        <v/>
      </c>
      <c r="N391" s="1069" t="str">
        <f t="shared" ca="1" si="38"/>
        <v/>
      </c>
      <c r="O391" s="1069" t="str">
        <f t="shared" ca="1" si="38"/>
        <v/>
      </c>
      <c r="P391" s="1069" t="str">
        <f t="shared" ca="1" si="38"/>
        <v/>
      </c>
      <c r="Q391" s="1069" t="str">
        <f t="shared" ca="1" si="38"/>
        <v/>
      </c>
      <c r="R391" s="1069" t="str">
        <f t="shared" ca="1" si="38"/>
        <v/>
      </c>
      <c r="S391" s="1069" t="str">
        <f t="shared" ca="1" si="38"/>
        <v/>
      </c>
      <c r="T391" s="1069" t="str">
        <f t="shared" ca="1" si="38"/>
        <v/>
      </c>
      <c r="U391" s="1069" t="str">
        <f t="shared" ca="1" si="38"/>
        <v/>
      </c>
      <c r="V391" s="1069" t="str">
        <f t="shared" ca="1" si="38"/>
        <v/>
      </c>
      <c r="W391" s="1069" t="str">
        <f t="shared" ca="1" si="38"/>
        <v/>
      </c>
      <c r="X391" s="1069" t="str">
        <f t="shared" ca="1" si="38"/>
        <v/>
      </c>
      <c r="Y391" s="1069" t="str">
        <f t="shared" ca="1" si="38"/>
        <v/>
      </c>
      <c r="Z391" s="1069" t="str">
        <f t="shared" ca="1" si="38"/>
        <v/>
      </c>
      <c r="AA391" s="1069" t="str">
        <f t="shared" ca="1" si="38"/>
        <v/>
      </c>
    </row>
    <row r="392" spans="1:27" s="1069" customFormat="1" ht="9.9499999999999993" customHeight="1">
      <c r="A392" s="1069">
        <v>175</v>
      </c>
      <c r="D392" s="1069" t="str">
        <f t="shared" ca="1" si="37"/>
        <v/>
      </c>
      <c r="E392" s="1069" t="str">
        <f t="shared" ca="1" si="37"/>
        <v/>
      </c>
      <c r="F392" s="1069" t="str">
        <f t="shared" ca="1" si="37"/>
        <v/>
      </c>
      <c r="G392" s="1069" t="str">
        <f t="shared" ca="1" si="37"/>
        <v/>
      </c>
      <c r="H392" s="1069" t="str">
        <f t="shared" ca="1" si="37"/>
        <v/>
      </c>
      <c r="I392" s="1069" t="str">
        <f t="shared" ca="1" si="37"/>
        <v/>
      </c>
      <c r="J392" s="1069" t="str">
        <f t="shared" ca="1" si="37"/>
        <v/>
      </c>
      <c r="K392" s="1069" t="str">
        <f t="shared" ca="1" si="37"/>
        <v/>
      </c>
      <c r="L392" s="1069" t="str">
        <f t="shared" ca="1" si="37"/>
        <v/>
      </c>
      <c r="M392" s="1069" t="str">
        <f t="shared" ca="1" si="37"/>
        <v/>
      </c>
      <c r="N392" s="1069" t="str">
        <f t="shared" ca="1" si="38"/>
        <v/>
      </c>
      <c r="O392" s="1069" t="str">
        <f t="shared" ca="1" si="38"/>
        <v/>
      </c>
      <c r="P392" s="1069" t="str">
        <f t="shared" ca="1" si="38"/>
        <v/>
      </c>
      <c r="Q392" s="1069" t="str">
        <f t="shared" ca="1" si="38"/>
        <v/>
      </c>
      <c r="R392" s="1069" t="str">
        <f t="shared" ca="1" si="38"/>
        <v/>
      </c>
      <c r="S392" s="1069" t="str">
        <f t="shared" ca="1" si="38"/>
        <v/>
      </c>
      <c r="T392" s="1069" t="str">
        <f t="shared" ca="1" si="38"/>
        <v/>
      </c>
      <c r="U392" s="1069" t="str">
        <f t="shared" ca="1" si="38"/>
        <v/>
      </c>
      <c r="V392" s="1069" t="str">
        <f t="shared" ca="1" si="38"/>
        <v/>
      </c>
      <c r="W392" s="1069" t="str">
        <f t="shared" ca="1" si="38"/>
        <v/>
      </c>
      <c r="X392" s="1069" t="str">
        <f t="shared" ca="1" si="38"/>
        <v/>
      </c>
      <c r="Y392" s="1069" t="str">
        <f t="shared" ca="1" si="38"/>
        <v/>
      </c>
      <c r="Z392" s="1069" t="str">
        <f t="shared" ca="1" si="38"/>
        <v/>
      </c>
      <c r="AA392" s="1069" t="str">
        <f t="shared" ca="1" si="38"/>
        <v/>
      </c>
    </row>
    <row r="393" spans="1:27" s="1069" customFormat="1" ht="9.9499999999999993" customHeight="1">
      <c r="A393" s="1069">
        <v>176</v>
      </c>
      <c r="D393" s="1069" t="str">
        <f t="shared" ca="1" si="37"/>
        <v/>
      </c>
      <c r="E393" s="1069" t="str">
        <f t="shared" ca="1" si="37"/>
        <v/>
      </c>
      <c r="F393" s="1069" t="str">
        <f t="shared" ca="1" si="37"/>
        <v/>
      </c>
      <c r="G393" s="1069" t="str">
        <f t="shared" ca="1" si="37"/>
        <v/>
      </c>
      <c r="H393" s="1069" t="str">
        <f t="shared" ca="1" si="37"/>
        <v/>
      </c>
      <c r="I393" s="1069" t="str">
        <f t="shared" ca="1" si="37"/>
        <v/>
      </c>
      <c r="J393" s="1069" t="str">
        <f t="shared" ca="1" si="37"/>
        <v/>
      </c>
      <c r="K393" s="1069" t="str">
        <f t="shared" ca="1" si="37"/>
        <v/>
      </c>
      <c r="L393" s="1069" t="str">
        <f t="shared" ca="1" si="37"/>
        <v/>
      </c>
      <c r="M393" s="1069" t="str">
        <f t="shared" ca="1" si="37"/>
        <v/>
      </c>
      <c r="N393" s="1069" t="str">
        <f t="shared" ca="1" si="38"/>
        <v/>
      </c>
      <c r="O393" s="1069" t="str">
        <f t="shared" ca="1" si="38"/>
        <v/>
      </c>
      <c r="P393" s="1069" t="str">
        <f t="shared" ca="1" si="38"/>
        <v/>
      </c>
      <c r="Q393" s="1069" t="str">
        <f t="shared" ca="1" si="38"/>
        <v/>
      </c>
      <c r="R393" s="1069" t="str">
        <f t="shared" ca="1" si="38"/>
        <v/>
      </c>
      <c r="S393" s="1069" t="str">
        <f t="shared" ca="1" si="38"/>
        <v/>
      </c>
      <c r="T393" s="1069" t="str">
        <f t="shared" ca="1" si="38"/>
        <v/>
      </c>
      <c r="U393" s="1069" t="str">
        <f t="shared" ca="1" si="38"/>
        <v/>
      </c>
      <c r="V393" s="1069" t="str">
        <f t="shared" ca="1" si="38"/>
        <v/>
      </c>
      <c r="W393" s="1069" t="str">
        <f t="shared" ca="1" si="38"/>
        <v/>
      </c>
      <c r="X393" s="1069" t="str">
        <f t="shared" ca="1" si="38"/>
        <v/>
      </c>
      <c r="Y393" s="1069" t="str">
        <f t="shared" ca="1" si="38"/>
        <v/>
      </c>
      <c r="Z393" s="1069" t="str">
        <f t="shared" ca="1" si="38"/>
        <v/>
      </c>
      <c r="AA393" s="1069" t="str">
        <f t="shared" ca="1" si="38"/>
        <v/>
      </c>
    </row>
    <row r="394" spans="1:27" s="1069" customFormat="1" ht="9.9499999999999993" customHeight="1">
      <c r="A394" s="1069">
        <v>177</v>
      </c>
      <c r="D394" s="1069" t="str">
        <f t="shared" ca="1" si="37"/>
        <v/>
      </c>
      <c r="E394" s="1069" t="str">
        <f t="shared" ca="1" si="37"/>
        <v/>
      </c>
      <c r="F394" s="1069" t="str">
        <f t="shared" ca="1" si="37"/>
        <v/>
      </c>
      <c r="G394" s="1069" t="str">
        <f t="shared" ca="1" si="37"/>
        <v/>
      </c>
      <c r="H394" s="1069" t="str">
        <f t="shared" ca="1" si="37"/>
        <v/>
      </c>
      <c r="I394" s="1069" t="str">
        <f t="shared" ca="1" si="37"/>
        <v/>
      </c>
      <c r="J394" s="1069" t="str">
        <f t="shared" ca="1" si="37"/>
        <v/>
      </c>
      <c r="K394" s="1069" t="str">
        <f t="shared" ca="1" si="37"/>
        <v/>
      </c>
      <c r="L394" s="1069" t="str">
        <f t="shared" ca="1" si="37"/>
        <v/>
      </c>
      <c r="M394" s="1069" t="str">
        <f t="shared" ca="1" si="37"/>
        <v/>
      </c>
      <c r="N394" s="1069" t="str">
        <f t="shared" ca="1" si="38"/>
        <v/>
      </c>
      <c r="O394" s="1069" t="str">
        <f t="shared" ca="1" si="38"/>
        <v/>
      </c>
      <c r="P394" s="1069" t="str">
        <f t="shared" ca="1" si="38"/>
        <v/>
      </c>
      <c r="Q394" s="1069" t="str">
        <f t="shared" ca="1" si="38"/>
        <v/>
      </c>
      <c r="R394" s="1069" t="str">
        <f t="shared" ca="1" si="38"/>
        <v/>
      </c>
      <c r="S394" s="1069" t="str">
        <f t="shared" ca="1" si="38"/>
        <v/>
      </c>
      <c r="T394" s="1069" t="str">
        <f t="shared" ca="1" si="38"/>
        <v/>
      </c>
      <c r="U394" s="1069" t="str">
        <f t="shared" ca="1" si="38"/>
        <v/>
      </c>
      <c r="V394" s="1069" t="str">
        <f t="shared" ca="1" si="38"/>
        <v/>
      </c>
      <c r="W394" s="1069" t="str">
        <f t="shared" ca="1" si="38"/>
        <v/>
      </c>
      <c r="X394" s="1069" t="str">
        <f t="shared" ca="1" si="38"/>
        <v/>
      </c>
      <c r="Y394" s="1069" t="str">
        <f t="shared" ca="1" si="38"/>
        <v/>
      </c>
      <c r="Z394" s="1069" t="str">
        <f t="shared" ca="1" si="38"/>
        <v/>
      </c>
      <c r="AA394" s="1069" t="str">
        <f t="shared" ca="1" si="38"/>
        <v/>
      </c>
    </row>
    <row r="395" spans="1:27" s="1069" customFormat="1" ht="9.9499999999999993" customHeight="1">
      <c r="A395" s="1069">
        <v>178</v>
      </c>
      <c r="D395" s="1069" t="str">
        <f t="shared" ca="1" si="37"/>
        <v/>
      </c>
      <c r="E395" s="1069" t="str">
        <f t="shared" ca="1" si="37"/>
        <v/>
      </c>
      <c r="F395" s="1069" t="str">
        <f t="shared" ca="1" si="37"/>
        <v/>
      </c>
      <c r="G395" s="1069" t="str">
        <f t="shared" ca="1" si="37"/>
        <v/>
      </c>
      <c r="H395" s="1069" t="str">
        <f t="shared" ca="1" si="37"/>
        <v/>
      </c>
      <c r="I395" s="1069" t="str">
        <f t="shared" ca="1" si="37"/>
        <v/>
      </c>
      <c r="J395" s="1069" t="str">
        <f t="shared" ca="1" si="37"/>
        <v/>
      </c>
      <c r="K395" s="1069" t="str">
        <f t="shared" ca="1" si="37"/>
        <v/>
      </c>
      <c r="L395" s="1069" t="str">
        <f t="shared" ca="1" si="37"/>
        <v/>
      </c>
      <c r="M395" s="1069" t="str">
        <f t="shared" ca="1" si="37"/>
        <v/>
      </c>
      <c r="N395" s="1069" t="str">
        <f t="shared" ca="1" si="38"/>
        <v/>
      </c>
      <c r="O395" s="1069" t="str">
        <f t="shared" ca="1" si="38"/>
        <v/>
      </c>
      <c r="P395" s="1069" t="str">
        <f t="shared" ca="1" si="38"/>
        <v/>
      </c>
      <c r="Q395" s="1069" t="str">
        <f t="shared" ca="1" si="38"/>
        <v/>
      </c>
      <c r="R395" s="1069" t="str">
        <f t="shared" ca="1" si="38"/>
        <v/>
      </c>
      <c r="S395" s="1069" t="str">
        <f t="shared" ca="1" si="38"/>
        <v/>
      </c>
      <c r="T395" s="1069" t="str">
        <f t="shared" ca="1" si="38"/>
        <v/>
      </c>
      <c r="U395" s="1069" t="str">
        <f t="shared" ca="1" si="38"/>
        <v/>
      </c>
      <c r="V395" s="1069" t="str">
        <f t="shared" ca="1" si="38"/>
        <v/>
      </c>
      <c r="W395" s="1069" t="str">
        <f t="shared" ca="1" si="38"/>
        <v/>
      </c>
      <c r="X395" s="1069" t="str">
        <f t="shared" ca="1" si="38"/>
        <v/>
      </c>
      <c r="Y395" s="1069" t="str">
        <f t="shared" ca="1" si="38"/>
        <v/>
      </c>
      <c r="Z395" s="1069" t="str">
        <f t="shared" ca="1" si="38"/>
        <v/>
      </c>
      <c r="AA395" s="1069" t="str">
        <f t="shared" ca="1" si="38"/>
        <v/>
      </c>
    </row>
    <row r="396" spans="1:27" s="1069" customFormat="1" ht="9.9499999999999993" customHeight="1">
      <c r="A396" s="1069">
        <v>179</v>
      </c>
      <c r="D396" s="1069" t="str">
        <f t="shared" ca="1" si="37"/>
        <v/>
      </c>
      <c r="E396" s="1069" t="str">
        <f t="shared" ca="1" si="37"/>
        <v/>
      </c>
      <c r="F396" s="1069" t="str">
        <f t="shared" ca="1" si="37"/>
        <v/>
      </c>
      <c r="G396" s="1069" t="str">
        <f t="shared" ca="1" si="37"/>
        <v/>
      </c>
      <c r="H396" s="1069" t="str">
        <f t="shared" ca="1" si="37"/>
        <v/>
      </c>
      <c r="I396" s="1069" t="str">
        <f t="shared" ca="1" si="37"/>
        <v/>
      </c>
      <c r="J396" s="1069" t="str">
        <f t="shared" ca="1" si="37"/>
        <v/>
      </c>
      <c r="K396" s="1069" t="str">
        <f t="shared" ca="1" si="37"/>
        <v/>
      </c>
      <c r="L396" s="1069" t="str">
        <f t="shared" ca="1" si="37"/>
        <v/>
      </c>
      <c r="M396" s="1069" t="str">
        <f t="shared" ca="1" si="37"/>
        <v/>
      </c>
      <c r="N396" s="1069" t="str">
        <f t="shared" ca="1" si="38"/>
        <v/>
      </c>
      <c r="O396" s="1069" t="str">
        <f t="shared" ca="1" si="38"/>
        <v/>
      </c>
      <c r="P396" s="1069" t="str">
        <f t="shared" ca="1" si="38"/>
        <v/>
      </c>
      <c r="Q396" s="1069" t="str">
        <f t="shared" ca="1" si="38"/>
        <v/>
      </c>
      <c r="R396" s="1069" t="str">
        <f t="shared" ca="1" si="38"/>
        <v/>
      </c>
      <c r="S396" s="1069" t="str">
        <f t="shared" ca="1" si="38"/>
        <v/>
      </c>
      <c r="T396" s="1069" t="str">
        <f t="shared" ca="1" si="38"/>
        <v/>
      </c>
      <c r="U396" s="1069" t="str">
        <f t="shared" ca="1" si="38"/>
        <v/>
      </c>
      <c r="V396" s="1069" t="str">
        <f t="shared" ca="1" si="38"/>
        <v/>
      </c>
      <c r="W396" s="1069" t="str">
        <f t="shared" ca="1" si="38"/>
        <v/>
      </c>
      <c r="X396" s="1069" t="str">
        <f t="shared" ca="1" si="38"/>
        <v/>
      </c>
      <c r="Y396" s="1069" t="str">
        <f t="shared" ca="1" si="38"/>
        <v/>
      </c>
      <c r="Z396" s="1069" t="str">
        <f t="shared" ca="1" si="38"/>
        <v/>
      </c>
      <c r="AA396" s="1069" t="str">
        <f t="shared" ca="1" si="38"/>
        <v/>
      </c>
    </row>
    <row r="397" spans="1:27" s="1069" customFormat="1" ht="9.9499999999999993" customHeight="1">
      <c r="A397" s="1069">
        <v>180</v>
      </c>
      <c r="D397" s="1069" t="str">
        <f t="shared" ca="1" si="37"/>
        <v/>
      </c>
      <c r="E397" s="1069" t="str">
        <f t="shared" ca="1" si="37"/>
        <v/>
      </c>
      <c r="F397" s="1069" t="str">
        <f t="shared" ca="1" si="37"/>
        <v/>
      </c>
      <c r="G397" s="1069" t="str">
        <f t="shared" ca="1" si="37"/>
        <v/>
      </c>
      <c r="H397" s="1069" t="str">
        <f t="shared" ca="1" si="37"/>
        <v/>
      </c>
      <c r="I397" s="1069" t="str">
        <f t="shared" ca="1" si="37"/>
        <v/>
      </c>
      <c r="J397" s="1069" t="str">
        <f t="shared" ca="1" si="37"/>
        <v/>
      </c>
      <c r="K397" s="1069" t="str">
        <f t="shared" ca="1" si="37"/>
        <v/>
      </c>
      <c r="L397" s="1069" t="str">
        <f t="shared" ca="1" si="37"/>
        <v/>
      </c>
      <c r="M397" s="1069" t="str">
        <f t="shared" ca="1" si="37"/>
        <v/>
      </c>
      <c r="N397" s="1069" t="str">
        <f t="shared" ca="1" si="38"/>
        <v/>
      </c>
      <c r="O397" s="1069" t="str">
        <f t="shared" ca="1" si="38"/>
        <v/>
      </c>
      <c r="P397" s="1069" t="str">
        <f t="shared" ca="1" si="38"/>
        <v/>
      </c>
      <c r="Q397" s="1069" t="str">
        <f t="shared" ca="1" si="38"/>
        <v/>
      </c>
      <c r="R397" s="1069" t="str">
        <f t="shared" ca="1" si="38"/>
        <v/>
      </c>
      <c r="S397" s="1069" t="str">
        <f t="shared" ca="1" si="38"/>
        <v/>
      </c>
      <c r="T397" s="1069" t="str">
        <f t="shared" ca="1" si="38"/>
        <v/>
      </c>
      <c r="U397" s="1069" t="str">
        <f t="shared" ca="1" si="38"/>
        <v/>
      </c>
      <c r="V397" s="1069" t="str">
        <f t="shared" ca="1" si="38"/>
        <v/>
      </c>
      <c r="W397" s="1069" t="str">
        <f t="shared" ca="1" si="38"/>
        <v/>
      </c>
      <c r="X397" s="1069" t="str">
        <f t="shared" ca="1" si="38"/>
        <v/>
      </c>
      <c r="Y397" s="1069" t="str">
        <f t="shared" ca="1" si="38"/>
        <v/>
      </c>
      <c r="Z397" s="1069" t="str">
        <f t="shared" ca="1" si="38"/>
        <v/>
      </c>
      <c r="AA397" s="1069" t="str">
        <f t="shared" ca="1" si="38"/>
        <v/>
      </c>
    </row>
    <row r="398" spans="1:27" s="1069" customFormat="1" ht="9.9499999999999993" customHeight="1">
      <c r="A398" s="1069">
        <v>181</v>
      </c>
      <c r="D398" s="1069" t="str">
        <f t="shared" ca="1" si="37"/>
        <v/>
      </c>
      <c r="E398" s="1069" t="str">
        <f t="shared" ca="1" si="37"/>
        <v/>
      </c>
      <c r="F398" s="1069" t="str">
        <f t="shared" ca="1" si="37"/>
        <v/>
      </c>
      <c r="G398" s="1069" t="str">
        <f t="shared" ca="1" si="37"/>
        <v/>
      </c>
      <c r="H398" s="1069" t="str">
        <f t="shared" ca="1" si="37"/>
        <v/>
      </c>
      <c r="I398" s="1069" t="str">
        <f t="shared" ca="1" si="37"/>
        <v/>
      </c>
      <c r="J398" s="1069" t="str">
        <f t="shared" ca="1" si="37"/>
        <v/>
      </c>
      <c r="K398" s="1069" t="str">
        <f t="shared" ca="1" si="37"/>
        <v/>
      </c>
      <c r="L398" s="1069" t="str">
        <f t="shared" ca="1" si="37"/>
        <v/>
      </c>
      <c r="M398" s="1069" t="str">
        <f t="shared" ca="1" si="37"/>
        <v/>
      </c>
      <c r="N398" s="1069" t="str">
        <f t="shared" ca="1" si="38"/>
        <v/>
      </c>
      <c r="O398" s="1069" t="str">
        <f t="shared" ca="1" si="38"/>
        <v/>
      </c>
      <c r="P398" s="1069" t="str">
        <f t="shared" ca="1" si="38"/>
        <v/>
      </c>
      <c r="Q398" s="1069" t="str">
        <f t="shared" ca="1" si="38"/>
        <v/>
      </c>
      <c r="R398" s="1069" t="str">
        <f t="shared" ca="1" si="38"/>
        <v/>
      </c>
      <c r="S398" s="1069" t="str">
        <f t="shared" ca="1" si="38"/>
        <v/>
      </c>
      <c r="T398" s="1069" t="str">
        <f t="shared" ca="1" si="38"/>
        <v/>
      </c>
      <c r="U398" s="1069" t="str">
        <f t="shared" ca="1" si="38"/>
        <v/>
      </c>
      <c r="V398" s="1069" t="str">
        <f t="shared" ca="1" si="38"/>
        <v/>
      </c>
      <c r="W398" s="1069" t="str">
        <f t="shared" ca="1" si="38"/>
        <v/>
      </c>
      <c r="X398" s="1069" t="str">
        <f t="shared" ca="1" si="38"/>
        <v/>
      </c>
      <c r="Y398" s="1069" t="str">
        <f t="shared" ca="1" si="38"/>
        <v/>
      </c>
      <c r="Z398" s="1069" t="str">
        <f t="shared" ca="1" si="38"/>
        <v/>
      </c>
      <c r="AA398" s="1069" t="str">
        <f t="shared" ca="1" si="38"/>
        <v/>
      </c>
    </row>
    <row r="399" spans="1:27" s="1069" customFormat="1" ht="9.9499999999999993" customHeight="1">
      <c r="A399" s="1069">
        <v>182</v>
      </c>
      <c r="D399" s="1069" t="str">
        <f t="shared" ref="D399:M408" ca="1" si="39">IF(ISNUMBER(INDEX($D$526:$AA$725,ROW()-ROW($D$218),COLUMN()-COLUMN($C$219))),INDEX(Skills_Table,INDEX($D$526:$AA$725,ROW()-ROW($D$218),COLUMN()-COLUMN($C$219))-4,HLOOKUP("Skill Name",Skill_Columns,2,0)),"")</f>
        <v/>
      </c>
      <c r="E399" s="1069" t="str">
        <f t="shared" ca="1" si="39"/>
        <v/>
      </c>
      <c r="F399" s="1069" t="str">
        <f t="shared" ca="1" si="39"/>
        <v/>
      </c>
      <c r="G399" s="1069" t="str">
        <f t="shared" ca="1" si="39"/>
        <v/>
      </c>
      <c r="H399" s="1069" t="str">
        <f t="shared" ca="1" si="39"/>
        <v/>
      </c>
      <c r="I399" s="1069" t="str">
        <f t="shared" ca="1" si="39"/>
        <v/>
      </c>
      <c r="J399" s="1069" t="str">
        <f t="shared" ca="1" si="39"/>
        <v/>
      </c>
      <c r="K399" s="1069" t="str">
        <f t="shared" ca="1" si="39"/>
        <v/>
      </c>
      <c r="L399" s="1069" t="str">
        <f t="shared" ca="1" si="39"/>
        <v/>
      </c>
      <c r="M399" s="1069" t="str">
        <f t="shared" ca="1" si="39"/>
        <v/>
      </c>
      <c r="N399" s="1069" t="str">
        <f t="shared" ref="N399:AA408" ca="1" si="40">IF(ISNUMBER(INDEX($D$526:$AA$725,ROW()-ROW($D$218),COLUMN()-COLUMN($C$219))),INDEX(Skills_Table,INDEX($D$526:$AA$725,ROW()-ROW($D$218),COLUMN()-COLUMN($C$219))-4,HLOOKUP("Skill Name",Skill_Columns,2,0)),"")</f>
        <v/>
      </c>
      <c r="O399" s="1069" t="str">
        <f t="shared" ca="1" si="40"/>
        <v/>
      </c>
      <c r="P399" s="1069" t="str">
        <f t="shared" ca="1" si="40"/>
        <v/>
      </c>
      <c r="Q399" s="1069" t="str">
        <f t="shared" ca="1" si="40"/>
        <v/>
      </c>
      <c r="R399" s="1069" t="str">
        <f t="shared" ca="1" si="40"/>
        <v/>
      </c>
      <c r="S399" s="1069" t="str">
        <f t="shared" ca="1" si="40"/>
        <v/>
      </c>
      <c r="T399" s="1069" t="str">
        <f t="shared" ca="1" si="40"/>
        <v/>
      </c>
      <c r="U399" s="1069" t="str">
        <f t="shared" ca="1" si="40"/>
        <v/>
      </c>
      <c r="V399" s="1069" t="str">
        <f t="shared" ca="1" si="40"/>
        <v/>
      </c>
      <c r="W399" s="1069" t="str">
        <f t="shared" ca="1" si="40"/>
        <v/>
      </c>
      <c r="X399" s="1069" t="str">
        <f t="shared" ca="1" si="40"/>
        <v/>
      </c>
      <c r="Y399" s="1069" t="str">
        <f t="shared" ca="1" si="40"/>
        <v/>
      </c>
      <c r="Z399" s="1069" t="str">
        <f t="shared" ca="1" si="40"/>
        <v/>
      </c>
      <c r="AA399" s="1069" t="str">
        <f t="shared" ca="1" si="40"/>
        <v/>
      </c>
    </row>
    <row r="400" spans="1:27" s="1069" customFormat="1" ht="9.9499999999999993" customHeight="1">
      <c r="A400" s="1069">
        <v>183</v>
      </c>
      <c r="D400" s="1069" t="str">
        <f t="shared" ca="1" si="39"/>
        <v/>
      </c>
      <c r="E400" s="1069" t="str">
        <f t="shared" ca="1" si="39"/>
        <v/>
      </c>
      <c r="F400" s="1069" t="str">
        <f t="shared" ca="1" si="39"/>
        <v/>
      </c>
      <c r="G400" s="1069" t="str">
        <f t="shared" ca="1" si="39"/>
        <v/>
      </c>
      <c r="H400" s="1069" t="str">
        <f t="shared" ca="1" si="39"/>
        <v/>
      </c>
      <c r="I400" s="1069" t="str">
        <f t="shared" ca="1" si="39"/>
        <v/>
      </c>
      <c r="J400" s="1069" t="str">
        <f t="shared" ca="1" si="39"/>
        <v/>
      </c>
      <c r="K400" s="1069" t="str">
        <f t="shared" ca="1" si="39"/>
        <v/>
      </c>
      <c r="L400" s="1069" t="str">
        <f t="shared" ca="1" si="39"/>
        <v/>
      </c>
      <c r="M400" s="1069" t="str">
        <f t="shared" ca="1" si="39"/>
        <v/>
      </c>
      <c r="N400" s="1069" t="str">
        <f t="shared" ca="1" si="40"/>
        <v/>
      </c>
      <c r="O400" s="1069" t="str">
        <f t="shared" ca="1" si="40"/>
        <v/>
      </c>
      <c r="P400" s="1069" t="str">
        <f t="shared" ca="1" si="40"/>
        <v/>
      </c>
      <c r="Q400" s="1069" t="str">
        <f t="shared" ca="1" si="40"/>
        <v/>
      </c>
      <c r="R400" s="1069" t="str">
        <f t="shared" ca="1" si="40"/>
        <v/>
      </c>
      <c r="S400" s="1069" t="str">
        <f t="shared" ca="1" si="40"/>
        <v/>
      </c>
      <c r="T400" s="1069" t="str">
        <f t="shared" ca="1" si="40"/>
        <v/>
      </c>
      <c r="U400" s="1069" t="str">
        <f t="shared" ca="1" si="40"/>
        <v/>
      </c>
      <c r="V400" s="1069" t="str">
        <f t="shared" ca="1" si="40"/>
        <v/>
      </c>
      <c r="W400" s="1069" t="str">
        <f t="shared" ca="1" si="40"/>
        <v/>
      </c>
      <c r="X400" s="1069" t="str">
        <f t="shared" ca="1" si="40"/>
        <v/>
      </c>
      <c r="Y400" s="1069" t="str">
        <f t="shared" ca="1" si="40"/>
        <v/>
      </c>
      <c r="Z400" s="1069" t="str">
        <f t="shared" ca="1" si="40"/>
        <v/>
      </c>
      <c r="AA400" s="1069" t="str">
        <f t="shared" ca="1" si="40"/>
        <v/>
      </c>
    </row>
    <row r="401" spans="1:27" s="1069" customFormat="1" ht="9.9499999999999993" customHeight="1">
      <c r="A401" s="1069">
        <v>184</v>
      </c>
      <c r="D401" s="1069" t="str">
        <f t="shared" ca="1" si="39"/>
        <v/>
      </c>
      <c r="E401" s="1069" t="str">
        <f t="shared" ca="1" si="39"/>
        <v/>
      </c>
      <c r="F401" s="1069" t="str">
        <f t="shared" ca="1" si="39"/>
        <v/>
      </c>
      <c r="G401" s="1069" t="str">
        <f t="shared" ca="1" si="39"/>
        <v/>
      </c>
      <c r="H401" s="1069" t="str">
        <f t="shared" ca="1" si="39"/>
        <v/>
      </c>
      <c r="I401" s="1069" t="str">
        <f t="shared" ca="1" si="39"/>
        <v/>
      </c>
      <c r="J401" s="1069" t="str">
        <f t="shared" ca="1" si="39"/>
        <v/>
      </c>
      <c r="K401" s="1069" t="str">
        <f t="shared" ca="1" si="39"/>
        <v/>
      </c>
      <c r="L401" s="1069" t="str">
        <f t="shared" ca="1" si="39"/>
        <v/>
      </c>
      <c r="M401" s="1069" t="str">
        <f t="shared" ca="1" si="39"/>
        <v/>
      </c>
      <c r="N401" s="1069" t="str">
        <f t="shared" ca="1" si="40"/>
        <v/>
      </c>
      <c r="O401" s="1069" t="str">
        <f t="shared" ca="1" si="40"/>
        <v/>
      </c>
      <c r="P401" s="1069" t="str">
        <f t="shared" ca="1" si="40"/>
        <v/>
      </c>
      <c r="Q401" s="1069" t="str">
        <f t="shared" ca="1" si="40"/>
        <v/>
      </c>
      <c r="R401" s="1069" t="str">
        <f t="shared" ca="1" si="40"/>
        <v/>
      </c>
      <c r="S401" s="1069" t="str">
        <f t="shared" ca="1" si="40"/>
        <v/>
      </c>
      <c r="T401" s="1069" t="str">
        <f t="shared" ca="1" si="40"/>
        <v/>
      </c>
      <c r="U401" s="1069" t="str">
        <f t="shared" ca="1" si="40"/>
        <v/>
      </c>
      <c r="V401" s="1069" t="str">
        <f t="shared" ca="1" si="40"/>
        <v/>
      </c>
      <c r="W401" s="1069" t="str">
        <f t="shared" ca="1" si="40"/>
        <v/>
      </c>
      <c r="X401" s="1069" t="str">
        <f t="shared" ca="1" si="40"/>
        <v/>
      </c>
      <c r="Y401" s="1069" t="str">
        <f t="shared" ca="1" si="40"/>
        <v/>
      </c>
      <c r="Z401" s="1069" t="str">
        <f t="shared" ca="1" si="40"/>
        <v/>
      </c>
      <c r="AA401" s="1069" t="str">
        <f t="shared" ca="1" si="40"/>
        <v/>
      </c>
    </row>
    <row r="402" spans="1:27" s="1069" customFormat="1" ht="9.9499999999999993" customHeight="1">
      <c r="A402" s="1069">
        <v>185</v>
      </c>
      <c r="D402" s="1069" t="str">
        <f t="shared" ca="1" si="39"/>
        <v/>
      </c>
      <c r="E402" s="1069" t="str">
        <f t="shared" ca="1" si="39"/>
        <v/>
      </c>
      <c r="F402" s="1069" t="str">
        <f t="shared" ca="1" si="39"/>
        <v/>
      </c>
      <c r="G402" s="1069" t="str">
        <f t="shared" ca="1" si="39"/>
        <v/>
      </c>
      <c r="H402" s="1069" t="str">
        <f t="shared" ca="1" si="39"/>
        <v/>
      </c>
      <c r="I402" s="1069" t="str">
        <f t="shared" ca="1" si="39"/>
        <v/>
      </c>
      <c r="J402" s="1069" t="str">
        <f t="shared" ca="1" si="39"/>
        <v/>
      </c>
      <c r="K402" s="1069" t="str">
        <f t="shared" ca="1" si="39"/>
        <v/>
      </c>
      <c r="L402" s="1069" t="str">
        <f t="shared" ca="1" si="39"/>
        <v/>
      </c>
      <c r="M402" s="1069" t="str">
        <f t="shared" ca="1" si="39"/>
        <v/>
      </c>
      <c r="N402" s="1069" t="str">
        <f t="shared" ca="1" si="40"/>
        <v/>
      </c>
      <c r="O402" s="1069" t="str">
        <f t="shared" ca="1" si="40"/>
        <v/>
      </c>
      <c r="P402" s="1069" t="str">
        <f t="shared" ca="1" si="40"/>
        <v/>
      </c>
      <c r="Q402" s="1069" t="str">
        <f t="shared" ca="1" si="40"/>
        <v/>
      </c>
      <c r="R402" s="1069" t="str">
        <f t="shared" ca="1" si="40"/>
        <v/>
      </c>
      <c r="S402" s="1069" t="str">
        <f t="shared" ca="1" si="40"/>
        <v/>
      </c>
      <c r="T402" s="1069" t="str">
        <f t="shared" ca="1" si="40"/>
        <v/>
      </c>
      <c r="U402" s="1069" t="str">
        <f t="shared" ca="1" si="40"/>
        <v/>
      </c>
      <c r="V402" s="1069" t="str">
        <f t="shared" ca="1" si="40"/>
        <v/>
      </c>
      <c r="W402" s="1069" t="str">
        <f t="shared" ca="1" si="40"/>
        <v/>
      </c>
      <c r="X402" s="1069" t="str">
        <f t="shared" ca="1" si="40"/>
        <v/>
      </c>
      <c r="Y402" s="1069" t="str">
        <f t="shared" ca="1" si="40"/>
        <v/>
      </c>
      <c r="Z402" s="1069" t="str">
        <f t="shared" ca="1" si="40"/>
        <v/>
      </c>
      <c r="AA402" s="1069" t="str">
        <f t="shared" ca="1" si="40"/>
        <v/>
      </c>
    </row>
    <row r="403" spans="1:27" s="1069" customFormat="1" ht="9.9499999999999993" customHeight="1">
      <c r="A403" s="1069">
        <v>186</v>
      </c>
      <c r="D403" s="1069" t="str">
        <f t="shared" ca="1" si="39"/>
        <v/>
      </c>
      <c r="E403" s="1069" t="str">
        <f t="shared" ca="1" si="39"/>
        <v/>
      </c>
      <c r="F403" s="1069" t="str">
        <f t="shared" ca="1" si="39"/>
        <v/>
      </c>
      <c r="G403" s="1069" t="str">
        <f t="shared" ca="1" si="39"/>
        <v/>
      </c>
      <c r="H403" s="1069" t="str">
        <f t="shared" ca="1" si="39"/>
        <v/>
      </c>
      <c r="I403" s="1069" t="str">
        <f t="shared" ca="1" si="39"/>
        <v/>
      </c>
      <c r="J403" s="1069" t="str">
        <f t="shared" ca="1" si="39"/>
        <v/>
      </c>
      <c r="K403" s="1069" t="str">
        <f t="shared" ca="1" si="39"/>
        <v/>
      </c>
      <c r="L403" s="1069" t="str">
        <f t="shared" ca="1" si="39"/>
        <v/>
      </c>
      <c r="M403" s="1069" t="str">
        <f t="shared" ca="1" si="39"/>
        <v/>
      </c>
      <c r="N403" s="1069" t="str">
        <f t="shared" ca="1" si="40"/>
        <v/>
      </c>
      <c r="O403" s="1069" t="str">
        <f t="shared" ca="1" si="40"/>
        <v/>
      </c>
      <c r="P403" s="1069" t="str">
        <f t="shared" ca="1" si="40"/>
        <v/>
      </c>
      <c r="Q403" s="1069" t="str">
        <f t="shared" ca="1" si="40"/>
        <v/>
      </c>
      <c r="R403" s="1069" t="str">
        <f t="shared" ca="1" si="40"/>
        <v/>
      </c>
      <c r="S403" s="1069" t="str">
        <f t="shared" ca="1" si="40"/>
        <v/>
      </c>
      <c r="T403" s="1069" t="str">
        <f t="shared" ca="1" si="40"/>
        <v/>
      </c>
      <c r="U403" s="1069" t="str">
        <f t="shared" ca="1" si="40"/>
        <v/>
      </c>
      <c r="V403" s="1069" t="str">
        <f t="shared" ca="1" si="40"/>
        <v/>
      </c>
      <c r="W403" s="1069" t="str">
        <f t="shared" ca="1" si="40"/>
        <v/>
      </c>
      <c r="X403" s="1069" t="str">
        <f t="shared" ca="1" si="40"/>
        <v/>
      </c>
      <c r="Y403" s="1069" t="str">
        <f t="shared" ca="1" si="40"/>
        <v/>
      </c>
      <c r="Z403" s="1069" t="str">
        <f t="shared" ca="1" si="40"/>
        <v/>
      </c>
      <c r="AA403" s="1069" t="str">
        <f t="shared" ca="1" si="40"/>
        <v/>
      </c>
    </row>
    <row r="404" spans="1:27" s="1069" customFormat="1" ht="9.9499999999999993" customHeight="1">
      <c r="A404" s="1069">
        <v>187</v>
      </c>
      <c r="D404" s="1069" t="str">
        <f t="shared" ca="1" si="39"/>
        <v/>
      </c>
      <c r="E404" s="1069" t="str">
        <f t="shared" ca="1" si="39"/>
        <v/>
      </c>
      <c r="F404" s="1069" t="str">
        <f t="shared" ca="1" si="39"/>
        <v/>
      </c>
      <c r="G404" s="1069" t="str">
        <f t="shared" ca="1" si="39"/>
        <v/>
      </c>
      <c r="H404" s="1069" t="str">
        <f t="shared" ca="1" si="39"/>
        <v/>
      </c>
      <c r="I404" s="1069" t="str">
        <f t="shared" ca="1" si="39"/>
        <v/>
      </c>
      <c r="J404" s="1069" t="str">
        <f t="shared" ca="1" si="39"/>
        <v/>
      </c>
      <c r="K404" s="1069" t="str">
        <f t="shared" ca="1" si="39"/>
        <v/>
      </c>
      <c r="L404" s="1069" t="str">
        <f t="shared" ca="1" si="39"/>
        <v/>
      </c>
      <c r="M404" s="1069" t="str">
        <f t="shared" ca="1" si="39"/>
        <v/>
      </c>
      <c r="N404" s="1069" t="str">
        <f t="shared" ca="1" si="40"/>
        <v/>
      </c>
      <c r="O404" s="1069" t="str">
        <f t="shared" ca="1" si="40"/>
        <v/>
      </c>
      <c r="P404" s="1069" t="str">
        <f t="shared" ca="1" si="40"/>
        <v/>
      </c>
      <c r="Q404" s="1069" t="str">
        <f t="shared" ca="1" si="40"/>
        <v/>
      </c>
      <c r="R404" s="1069" t="str">
        <f t="shared" ca="1" si="40"/>
        <v/>
      </c>
      <c r="S404" s="1069" t="str">
        <f t="shared" ca="1" si="40"/>
        <v/>
      </c>
      <c r="T404" s="1069" t="str">
        <f t="shared" ca="1" si="40"/>
        <v/>
      </c>
      <c r="U404" s="1069" t="str">
        <f t="shared" ca="1" si="40"/>
        <v/>
      </c>
      <c r="V404" s="1069" t="str">
        <f t="shared" ca="1" si="40"/>
        <v/>
      </c>
      <c r="W404" s="1069" t="str">
        <f t="shared" ca="1" si="40"/>
        <v/>
      </c>
      <c r="X404" s="1069" t="str">
        <f t="shared" ca="1" si="40"/>
        <v/>
      </c>
      <c r="Y404" s="1069" t="str">
        <f t="shared" ca="1" si="40"/>
        <v/>
      </c>
      <c r="Z404" s="1069" t="str">
        <f t="shared" ca="1" si="40"/>
        <v/>
      </c>
      <c r="AA404" s="1069" t="str">
        <f t="shared" ca="1" si="40"/>
        <v/>
      </c>
    </row>
    <row r="405" spans="1:27" s="1069" customFormat="1" ht="9.9499999999999993" customHeight="1">
      <c r="A405" s="1069">
        <v>188</v>
      </c>
      <c r="D405" s="1069" t="str">
        <f t="shared" ca="1" si="39"/>
        <v/>
      </c>
      <c r="E405" s="1069" t="str">
        <f t="shared" ca="1" si="39"/>
        <v/>
      </c>
      <c r="F405" s="1069" t="str">
        <f t="shared" ca="1" si="39"/>
        <v/>
      </c>
      <c r="G405" s="1069" t="str">
        <f t="shared" ca="1" si="39"/>
        <v/>
      </c>
      <c r="H405" s="1069" t="str">
        <f t="shared" ca="1" si="39"/>
        <v/>
      </c>
      <c r="I405" s="1069" t="str">
        <f t="shared" ca="1" si="39"/>
        <v/>
      </c>
      <c r="J405" s="1069" t="str">
        <f t="shared" ca="1" si="39"/>
        <v/>
      </c>
      <c r="K405" s="1069" t="str">
        <f t="shared" ca="1" si="39"/>
        <v/>
      </c>
      <c r="L405" s="1069" t="str">
        <f t="shared" ca="1" si="39"/>
        <v/>
      </c>
      <c r="M405" s="1069" t="str">
        <f t="shared" ca="1" si="39"/>
        <v/>
      </c>
      <c r="N405" s="1069" t="str">
        <f t="shared" ca="1" si="40"/>
        <v/>
      </c>
      <c r="O405" s="1069" t="str">
        <f t="shared" ca="1" si="40"/>
        <v/>
      </c>
      <c r="P405" s="1069" t="str">
        <f t="shared" ca="1" si="40"/>
        <v/>
      </c>
      <c r="Q405" s="1069" t="str">
        <f t="shared" ca="1" si="40"/>
        <v/>
      </c>
      <c r="R405" s="1069" t="str">
        <f t="shared" ca="1" si="40"/>
        <v/>
      </c>
      <c r="S405" s="1069" t="str">
        <f t="shared" ca="1" si="40"/>
        <v/>
      </c>
      <c r="T405" s="1069" t="str">
        <f t="shared" ca="1" si="40"/>
        <v/>
      </c>
      <c r="U405" s="1069" t="str">
        <f t="shared" ca="1" si="40"/>
        <v/>
      </c>
      <c r="V405" s="1069" t="str">
        <f t="shared" ca="1" si="40"/>
        <v/>
      </c>
      <c r="W405" s="1069" t="str">
        <f t="shared" ca="1" si="40"/>
        <v/>
      </c>
      <c r="X405" s="1069" t="str">
        <f t="shared" ca="1" si="40"/>
        <v/>
      </c>
      <c r="Y405" s="1069" t="str">
        <f t="shared" ca="1" si="40"/>
        <v/>
      </c>
      <c r="Z405" s="1069" t="str">
        <f t="shared" ca="1" si="40"/>
        <v/>
      </c>
      <c r="AA405" s="1069" t="str">
        <f t="shared" ca="1" si="40"/>
        <v/>
      </c>
    </row>
    <row r="406" spans="1:27" s="1069" customFormat="1" ht="9.9499999999999993" customHeight="1">
      <c r="A406" s="1069">
        <v>189</v>
      </c>
      <c r="D406" s="1069" t="str">
        <f t="shared" ca="1" si="39"/>
        <v/>
      </c>
      <c r="E406" s="1069" t="str">
        <f t="shared" ca="1" si="39"/>
        <v/>
      </c>
      <c r="F406" s="1069" t="str">
        <f t="shared" ca="1" si="39"/>
        <v/>
      </c>
      <c r="G406" s="1069" t="str">
        <f t="shared" ca="1" si="39"/>
        <v/>
      </c>
      <c r="H406" s="1069" t="str">
        <f t="shared" ca="1" si="39"/>
        <v/>
      </c>
      <c r="I406" s="1069" t="str">
        <f t="shared" ca="1" si="39"/>
        <v/>
      </c>
      <c r="J406" s="1069" t="str">
        <f t="shared" ca="1" si="39"/>
        <v/>
      </c>
      <c r="K406" s="1069" t="str">
        <f t="shared" ca="1" si="39"/>
        <v/>
      </c>
      <c r="L406" s="1069" t="str">
        <f t="shared" ca="1" si="39"/>
        <v/>
      </c>
      <c r="M406" s="1069" t="str">
        <f t="shared" ca="1" si="39"/>
        <v/>
      </c>
      <c r="N406" s="1069" t="str">
        <f t="shared" ca="1" si="40"/>
        <v/>
      </c>
      <c r="O406" s="1069" t="str">
        <f t="shared" ca="1" si="40"/>
        <v/>
      </c>
      <c r="P406" s="1069" t="str">
        <f t="shared" ca="1" si="40"/>
        <v/>
      </c>
      <c r="Q406" s="1069" t="str">
        <f t="shared" ca="1" si="40"/>
        <v/>
      </c>
      <c r="R406" s="1069" t="str">
        <f t="shared" ca="1" si="40"/>
        <v/>
      </c>
      <c r="S406" s="1069" t="str">
        <f t="shared" ca="1" si="40"/>
        <v/>
      </c>
      <c r="T406" s="1069" t="str">
        <f t="shared" ca="1" si="40"/>
        <v/>
      </c>
      <c r="U406" s="1069" t="str">
        <f t="shared" ca="1" si="40"/>
        <v/>
      </c>
      <c r="V406" s="1069" t="str">
        <f t="shared" ca="1" si="40"/>
        <v/>
      </c>
      <c r="W406" s="1069" t="str">
        <f t="shared" ca="1" si="40"/>
        <v/>
      </c>
      <c r="X406" s="1069" t="str">
        <f t="shared" ca="1" si="40"/>
        <v/>
      </c>
      <c r="Y406" s="1069" t="str">
        <f t="shared" ca="1" si="40"/>
        <v/>
      </c>
      <c r="Z406" s="1069" t="str">
        <f t="shared" ca="1" si="40"/>
        <v/>
      </c>
      <c r="AA406" s="1069" t="str">
        <f t="shared" ca="1" si="40"/>
        <v/>
      </c>
    </row>
    <row r="407" spans="1:27" s="1069" customFormat="1" ht="9.9499999999999993" customHeight="1">
      <c r="A407" s="1069">
        <v>190</v>
      </c>
      <c r="D407" s="1069" t="str">
        <f t="shared" ca="1" si="39"/>
        <v/>
      </c>
      <c r="E407" s="1069" t="str">
        <f t="shared" ca="1" si="39"/>
        <v/>
      </c>
      <c r="F407" s="1069" t="str">
        <f t="shared" ca="1" si="39"/>
        <v/>
      </c>
      <c r="G407" s="1069" t="str">
        <f t="shared" ca="1" si="39"/>
        <v/>
      </c>
      <c r="H407" s="1069" t="str">
        <f t="shared" ca="1" si="39"/>
        <v/>
      </c>
      <c r="I407" s="1069" t="str">
        <f t="shared" ca="1" si="39"/>
        <v/>
      </c>
      <c r="J407" s="1069" t="str">
        <f t="shared" ca="1" si="39"/>
        <v/>
      </c>
      <c r="K407" s="1069" t="str">
        <f t="shared" ca="1" si="39"/>
        <v/>
      </c>
      <c r="L407" s="1069" t="str">
        <f t="shared" ca="1" si="39"/>
        <v/>
      </c>
      <c r="M407" s="1069" t="str">
        <f t="shared" ca="1" si="39"/>
        <v/>
      </c>
      <c r="N407" s="1069" t="str">
        <f t="shared" ca="1" si="40"/>
        <v/>
      </c>
      <c r="O407" s="1069" t="str">
        <f t="shared" ca="1" si="40"/>
        <v/>
      </c>
      <c r="P407" s="1069" t="str">
        <f t="shared" ca="1" si="40"/>
        <v/>
      </c>
      <c r="Q407" s="1069" t="str">
        <f t="shared" ca="1" si="40"/>
        <v/>
      </c>
      <c r="R407" s="1069" t="str">
        <f t="shared" ca="1" si="40"/>
        <v/>
      </c>
      <c r="S407" s="1069" t="str">
        <f t="shared" ca="1" si="40"/>
        <v/>
      </c>
      <c r="T407" s="1069" t="str">
        <f t="shared" ca="1" si="40"/>
        <v/>
      </c>
      <c r="U407" s="1069" t="str">
        <f t="shared" ca="1" si="40"/>
        <v/>
      </c>
      <c r="V407" s="1069" t="str">
        <f t="shared" ca="1" si="40"/>
        <v/>
      </c>
      <c r="W407" s="1069" t="str">
        <f t="shared" ca="1" si="40"/>
        <v/>
      </c>
      <c r="X407" s="1069" t="str">
        <f t="shared" ca="1" si="40"/>
        <v/>
      </c>
      <c r="Y407" s="1069" t="str">
        <f t="shared" ca="1" si="40"/>
        <v/>
      </c>
      <c r="Z407" s="1069" t="str">
        <f t="shared" ca="1" si="40"/>
        <v/>
      </c>
      <c r="AA407" s="1069" t="str">
        <f t="shared" ca="1" si="40"/>
        <v/>
      </c>
    </row>
    <row r="408" spans="1:27" s="1069" customFormat="1" ht="9.9499999999999993" customHeight="1">
      <c r="A408" s="1069">
        <v>191</v>
      </c>
      <c r="D408" s="1069" t="str">
        <f t="shared" ca="1" si="39"/>
        <v/>
      </c>
      <c r="E408" s="1069" t="str">
        <f t="shared" ca="1" si="39"/>
        <v/>
      </c>
      <c r="F408" s="1069" t="str">
        <f t="shared" ca="1" si="39"/>
        <v/>
      </c>
      <c r="G408" s="1069" t="str">
        <f t="shared" ca="1" si="39"/>
        <v/>
      </c>
      <c r="H408" s="1069" t="str">
        <f t="shared" ca="1" si="39"/>
        <v/>
      </c>
      <c r="I408" s="1069" t="str">
        <f t="shared" ca="1" si="39"/>
        <v/>
      </c>
      <c r="J408" s="1069" t="str">
        <f t="shared" ca="1" si="39"/>
        <v/>
      </c>
      <c r="K408" s="1069" t="str">
        <f t="shared" ca="1" si="39"/>
        <v/>
      </c>
      <c r="L408" s="1069" t="str">
        <f t="shared" ca="1" si="39"/>
        <v/>
      </c>
      <c r="M408" s="1069" t="str">
        <f t="shared" ca="1" si="39"/>
        <v/>
      </c>
      <c r="N408" s="1069" t="str">
        <f t="shared" ca="1" si="40"/>
        <v/>
      </c>
      <c r="O408" s="1069" t="str">
        <f t="shared" ca="1" si="40"/>
        <v/>
      </c>
      <c r="P408" s="1069" t="str">
        <f t="shared" ca="1" si="40"/>
        <v/>
      </c>
      <c r="Q408" s="1069" t="str">
        <f t="shared" ca="1" si="40"/>
        <v/>
      </c>
      <c r="R408" s="1069" t="str">
        <f t="shared" ca="1" si="40"/>
        <v/>
      </c>
      <c r="S408" s="1069" t="str">
        <f t="shared" ca="1" si="40"/>
        <v/>
      </c>
      <c r="T408" s="1069" t="str">
        <f t="shared" ca="1" si="40"/>
        <v/>
      </c>
      <c r="U408" s="1069" t="str">
        <f t="shared" ca="1" si="40"/>
        <v/>
      </c>
      <c r="V408" s="1069" t="str">
        <f t="shared" ca="1" si="40"/>
        <v/>
      </c>
      <c r="W408" s="1069" t="str">
        <f t="shared" ca="1" si="40"/>
        <v/>
      </c>
      <c r="X408" s="1069" t="str">
        <f t="shared" ca="1" si="40"/>
        <v/>
      </c>
      <c r="Y408" s="1069" t="str">
        <f t="shared" ca="1" si="40"/>
        <v/>
      </c>
      <c r="Z408" s="1069" t="str">
        <f t="shared" ca="1" si="40"/>
        <v/>
      </c>
      <c r="AA408" s="1069" t="str">
        <f t="shared" ca="1" si="40"/>
        <v/>
      </c>
    </row>
    <row r="409" spans="1:27" s="1069" customFormat="1" ht="9.9499999999999993" customHeight="1">
      <c r="A409" s="1069">
        <v>192</v>
      </c>
      <c r="D409" s="1069" t="str">
        <f t="shared" ref="D409:M417" ca="1" si="41">IF(ISNUMBER(INDEX($D$526:$AA$725,ROW()-ROW($D$218),COLUMN()-COLUMN($C$219))),INDEX(Skills_Table,INDEX($D$526:$AA$725,ROW()-ROW($D$218),COLUMN()-COLUMN($C$219))-4,HLOOKUP("Skill Name",Skill_Columns,2,0)),"")</f>
        <v/>
      </c>
      <c r="E409" s="1069" t="str">
        <f t="shared" ca="1" si="41"/>
        <v/>
      </c>
      <c r="F409" s="1069" t="str">
        <f t="shared" ca="1" si="41"/>
        <v/>
      </c>
      <c r="G409" s="1069" t="str">
        <f t="shared" ca="1" si="41"/>
        <v/>
      </c>
      <c r="H409" s="1069" t="str">
        <f t="shared" ca="1" si="41"/>
        <v/>
      </c>
      <c r="I409" s="1069" t="str">
        <f t="shared" ca="1" si="41"/>
        <v/>
      </c>
      <c r="J409" s="1069" t="str">
        <f t="shared" ca="1" si="41"/>
        <v/>
      </c>
      <c r="K409" s="1069" t="str">
        <f t="shared" ca="1" si="41"/>
        <v/>
      </c>
      <c r="L409" s="1069" t="str">
        <f t="shared" ca="1" si="41"/>
        <v/>
      </c>
      <c r="M409" s="1069" t="str">
        <f t="shared" ca="1" si="41"/>
        <v/>
      </c>
      <c r="N409" s="1069" t="str">
        <f t="shared" ref="N409:AA417" ca="1" si="42">IF(ISNUMBER(INDEX($D$526:$AA$725,ROW()-ROW($D$218),COLUMN()-COLUMN($C$219))),INDEX(Skills_Table,INDEX($D$526:$AA$725,ROW()-ROW($D$218),COLUMN()-COLUMN($C$219))-4,HLOOKUP("Skill Name",Skill_Columns,2,0)),"")</f>
        <v/>
      </c>
      <c r="O409" s="1069" t="str">
        <f t="shared" ca="1" si="42"/>
        <v/>
      </c>
      <c r="P409" s="1069" t="str">
        <f t="shared" ca="1" si="42"/>
        <v/>
      </c>
      <c r="Q409" s="1069" t="str">
        <f t="shared" ca="1" si="42"/>
        <v/>
      </c>
      <c r="R409" s="1069" t="str">
        <f t="shared" ca="1" si="42"/>
        <v/>
      </c>
      <c r="S409" s="1069" t="str">
        <f t="shared" ca="1" si="42"/>
        <v/>
      </c>
      <c r="T409" s="1069" t="str">
        <f t="shared" ca="1" si="42"/>
        <v/>
      </c>
      <c r="U409" s="1069" t="str">
        <f t="shared" ca="1" si="42"/>
        <v/>
      </c>
      <c r="V409" s="1069" t="str">
        <f t="shared" ca="1" si="42"/>
        <v/>
      </c>
      <c r="W409" s="1069" t="str">
        <f t="shared" ca="1" si="42"/>
        <v/>
      </c>
      <c r="X409" s="1069" t="str">
        <f t="shared" ca="1" si="42"/>
        <v/>
      </c>
      <c r="Y409" s="1069" t="str">
        <f t="shared" ca="1" si="42"/>
        <v/>
      </c>
      <c r="Z409" s="1069" t="str">
        <f t="shared" ca="1" si="42"/>
        <v/>
      </c>
      <c r="AA409" s="1069" t="str">
        <f t="shared" ca="1" si="42"/>
        <v/>
      </c>
    </row>
    <row r="410" spans="1:27" s="1069" customFormat="1" ht="9.9499999999999993" customHeight="1">
      <c r="A410" s="1069">
        <v>193</v>
      </c>
      <c r="D410" s="1069" t="str">
        <f t="shared" ca="1" si="41"/>
        <v/>
      </c>
      <c r="E410" s="1069" t="str">
        <f t="shared" ca="1" si="41"/>
        <v/>
      </c>
      <c r="F410" s="1069" t="str">
        <f t="shared" ca="1" si="41"/>
        <v/>
      </c>
      <c r="G410" s="1069" t="str">
        <f t="shared" ca="1" si="41"/>
        <v/>
      </c>
      <c r="H410" s="1069" t="str">
        <f t="shared" ca="1" si="41"/>
        <v/>
      </c>
      <c r="I410" s="1069" t="str">
        <f t="shared" ca="1" si="41"/>
        <v/>
      </c>
      <c r="J410" s="1069" t="str">
        <f t="shared" ca="1" si="41"/>
        <v/>
      </c>
      <c r="K410" s="1069" t="str">
        <f t="shared" ca="1" si="41"/>
        <v/>
      </c>
      <c r="L410" s="1069" t="str">
        <f t="shared" ca="1" si="41"/>
        <v/>
      </c>
      <c r="M410" s="1069" t="str">
        <f t="shared" ca="1" si="41"/>
        <v/>
      </c>
      <c r="N410" s="1069" t="str">
        <f t="shared" ca="1" si="42"/>
        <v/>
      </c>
      <c r="O410" s="1069" t="str">
        <f t="shared" ca="1" si="42"/>
        <v/>
      </c>
      <c r="P410" s="1069" t="str">
        <f t="shared" ca="1" si="42"/>
        <v/>
      </c>
      <c r="Q410" s="1069" t="str">
        <f t="shared" ca="1" si="42"/>
        <v/>
      </c>
      <c r="R410" s="1069" t="str">
        <f t="shared" ca="1" si="42"/>
        <v/>
      </c>
      <c r="S410" s="1069" t="str">
        <f t="shared" ca="1" si="42"/>
        <v/>
      </c>
      <c r="T410" s="1069" t="str">
        <f t="shared" ca="1" si="42"/>
        <v/>
      </c>
      <c r="U410" s="1069" t="str">
        <f t="shared" ca="1" si="42"/>
        <v/>
      </c>
      <c r="V410" s="1069" t="str">
        <f t="shared" ca="1" si="42"/>
        <v/>
      </c>
      <c r="W410" s="1069" t="str">
        <f t="shared" ca="1" si="42"/>
        <v/>
      </c>
      <c r="X410" s="1069" t="str">
        <f t="shared" ca="1" si="42"/>
        <v/>
      </c>
      <c r="Y410" s="1069" t="str">
        <f t="shared" ca="1" si="42"/>
        <v/>
      </c>
      <c r="Z410" s="1069" t="str">
        <f t="shared" ca="1" si="42"/>
        <v/>
      </c>
      <c r="AA410" s="1069" t="str">
        <f t="shared" ca="1" si="42"/>
        <v/>
      </c>
    </row>
    <row r="411" spans="1:27" s="1069" customFormat="1" ht="9.9499999999999993" customHeight="1">
      <c r="A411" s="1069">
        <v>194</v>
      </c>
      <c r="D411" s="1069" t="str">
        <f t="shared" ca="1" si="41"/>
        <v/>
      </c>
      <c r="E411" s="1069" t="str">
        <f t="shared" ca="1" si="41"/>
        <v/>
      </c>
      <c r="F411" s="1069" t="str">
        <f t="shared" ca="1" si="41"/>
        <v/>
      </c>
      <c r="G411" s="1069" t="str">
        <f t="shared" ca="1" si="41"/>
        <v/>
      </c>
      <c r="H411" s="1069" t="str">
        <f t="shared" ca="1" si="41"/>
        <v/>
      </c>
      <c r="I411" s="1069" t="str">
        <f t="shared" ca="1" si="41"/>
        <v/>
      </c>
      <c r="J411" s="1069" t="str">
        <f t="shared" ca="1" si="41"/>
        <v/>
      </c>
      <c r="K411" s="1069" t="str">
        <f t="shared" ca="1" si="41"/>
        <v/>
      </c>
      <c r="L411" s="1069" t="str">
        <f t="shared" ca="1" si="41"/>
        <v/>
      </c>
      <c r="M411" s="1069" t="str">
        <f t="shared" ca="1" si="41"/>
        <v/>
      </c>
      <c r="N411" s="1069" t="str">
        <f t="shared" ca="1" si="42"/>
        <v/>
      </c>
      <c r="O411" s="1069" t="str">
        <f t="shared" ca="1" si="42"/>
        <v/>
      </c>
      <c r="P411" s="1069" t="str">
        <f t="shared" ca="1" si="42"/>
        <v/>
      </c>
      <c r="Q411" s="1069" t="str">
        <f t="shared" ca="1" si="42"/>
        <v/>
      </c>
      <c r="R411" s="1069" t="str">
        <f t="shared" ca="1" si="42"/>
        <v/>
      </c>
      <c r="S411" s="1069" t="str">
        <f t="shared" ca="1" si="42"/>
        <v/>
      </c>
      <c r="T411" s="1069" t="str">
        <f t="shared" ca="1" si="42"/>
        <v/>
      </c>
      <c r="U411" s="1069" t="str">
        <f t="shared" ca="1" si="42"/>
        <v/>
      </c>
      <c r="V411" s="1069" t="str">
        <f t="shared" ca="1" si="42"/>
        <v/>
      </c>
      <c r="W411" s="1069" t="str">
        <f t="shared" ca="1" si="42"/>
        <v/>
      </c>
      <c r="X411" s="1069" t="str">
        <f t="shared" ca="1" si="42"/>
        <v/>
      </c>
      <c r="Y411" s="1069" t="str">
        <f t="shared" ca="1" si="42"/>
        <v/>
      </c>
      <c r="Z411" s="1069" t="str">
        <f t="shared" ca="1" si="42"/>
        <v/>
      </c>
      <c r="AA411" s="1069" t="str">
        <f t="shared" ca="1" si="42"/>
        <v/>
      </c>
    </row>
    <row r="412" spans="1:27" s="1069" customFormat="1" ht="9.9499999999999993" customHeight="1">
      <c r="A412" s="1069">
        <v>195</v>
      </c>
      <c r="D412" s="1069" t="str">
        <f t="shared" ca="1" si="41"/>
        <v/>
      </c>
      <c r="E412" s="1069" t="str">
        <f t="shared" ca="1" si="41"/>
        <v/>
      </c>
      <c r="F412" s="1069" t="str">
        <f t="shared" ca="1" si="41"/>
        <v/>
      </c>
      <c r="G412" s="1069" t="str">
        <f t="shared" ca="1" si="41"/>
        <v/>
      </c>
      <c r="H412" s="1069" t="str">
        <f t="shared" ca="1" si="41"/>
        <v/>
      </c>
      <c r="I412" s="1069" t="str">
        <f t="shared" ca="1" si="41"/>
        <v/>
      </c>
      <c r="J412" s="1069" t="str">
        <f t="shared" ca="1" si="41"/>
        <v/>
      </c>
      <c r="K412" s="1069" t="str">
        <f t="shared" ca="1" si="41"/>
        <v/>
      </c>
      <c r="L412" s="1069" t="str">
        <f t="shared" ca="1" si="41"/>
        <v/>
      </c>
      <c r="M412" s="1069" t="str">
        <f t="shared" ca="1" si="41"/>
        <v/>
      </c>
      <c r="N412" s="1069" t="str">
        <f t="shared" ca="1" si="42"/>
        <v/>
      </c>
      <c r="O412" s="1069" t="str">
        <f t="shared" ca="1" si="42"/>
        <v/>
      </c>
      <c r="P412" s="1069" t="str">
        <f t="shared" ca="1" si="42"/>
        <v/>
      </c>
      <c r="Q412" s="1069" t="str">
        <f t="shared" ca="1" si="42"/>
        <v/>
      </c>
      <c r="R412" s="1069" t="str">
        <f t="shared" ca="1" si="42"/>
        <v/>
      </c>
      <c r="S412" s="1069" t="str">
        <f t="shared" ca="1" si="42"/>
        <v/>
      </c>
      <c r="T412" s="1069" t="str">
        <f t="shared" ca="1" si="42"/>
        <v/>
      </c>
      <c r="U412" s="1069" t="str">
        <f t="shared" ca="1" si="42"/>
        <v/>
      </c>
      <c r="V412" s="1069" t="str">
        <f t="shared" ca="1" si="42"/>
        <v/>
      </c>
      <c r="W412" s="1069" t="str">
        <f t="shared" ca="1" si="42"/>
        <v/>
      </c>
      <c r="X412" s="1069" t="str">
        <f t="shared" ca="1" si="42"/>
        <v/>
      </c>
      <c r="Y412" s="1069" t="str">
        <f t="shared" ca="1" si="42"/>
        <v/>
      </c>
      <c r="Z412" s="1069" t="str">
        <f t="shared" ca="1" si="42"/>
        <v/>
      </c>
      <c r="AA412" s="1069" t="str">
        <f t="shared" ca="1" si="42"/>
        <v/>
      </c>
    </row>
    <row r="413" spans="1:27" s="1069" customFormat="1" ht="9.9499999999999993" customHeight="1">
      <c r="A413" s="1069">
        <v>196</v>
      </c>
      <c r="D413" s="1069" t="str">
        <f t="shared" ca="1" si="41"/>
        <v/>
      </c>
      <c r="E413" s="1069" t="str">
        <f t="shared" ca="1" si="41"/>
        <v/>
      </c>
      <c r="F413" s="1069" t="str">
        <f t="shared" ca="1" si="41"/>
        <v/>
      </c>
      <c r="G413" s="1069" t="str">
        <f t="shared" ca="1" si="41"/>
        <v/>
      </c>
      <c r="H413" s="1069" t="str">
        <f t="shared" ca="1" si="41"/>
        <v/>
      </c>
      <c r="I413" s="1069" t="str">
        <f t="shared" ca="1" si="41"/>
        <v/>
      </c>
      <c r="J413" s="1069" t="str">
        <f t="shared" ca="1" si="41"/>
        <v/>
      </c>
      <c r="K413" s="1069" t="str">
        <f t="shared" ca="1" si="41"/>
        <v/>
      </c>
      <c r="L413" s="1069" t="str">
        <f t="shared" ca="1" si="41"/>
        <v/>
      </c>
      <c r="M413" s="1069" t="str">
        <f t="shared" ca="1" si="41"/>
        <v/>
      </c>
      <c r="N413" s="1069" t="str">
        <f t="shared" ca="1" si="42"/>
        <v/>
      </c>
      <c r="O413" s="1069" t="str">
        <f t="shared" ca="1" si="42"/>
        <v/>
      </c>
      <c r="P413" s="1069" t="str">
        <f t="shared" ca="1" si="42"/>
        <v/>
      </c>
      <c r="Q413" s="1069" t="str">
        <f t="shared" ca="1" si="42"/>
        <v/>
      </c>
      <c r="R413" s="1069" t="str">
        <f t="shared" ca="1" si="42"/>
        <v/>
      </c>
      <c r="S413" s="1069" t="str">
        <f t="shared" ca="1" si="42"/>
        <v/>
      </c>
      <c r="T413" s="1069" t="str">
        <f t="shared" ca="1" si="42"/>
        <v/>
      </c>
      <c r="U413" s="1069" t="str">
        <f t="shared" ca="1" si="42"/>
        <v/>
      </c>
      <c r="V413" s="1069" t="str">
        <f t="shared" ca="1" si="42"/>
        <v/>
      </c>
      <c r="W413" s="1069" t="str">
        <f t="shared" ca="1" si="42"/>
        <v/>
      </c>
      <c r="X413" s="1069" t="str">
        <f t="shared" ca="1" si="42"/>
        <v/>
      </c>
      <c r="Y413" s="1069" t="str">
        <f t="shared" ca="1" si="42"/>
        <v/>
      </c>
      <c r="Z413" s="1069" t="str">
        <f t="shared" ca="1" si="42"/>
        <v/>
      </c>
      <c r="AA413" s="1069" t="str">
        <f t="shared" ca="1" si="42"/>
        <v/>
      </c>
    </row>
    <row r="414" spans="1:27" s="1069" customFormat="1" ht="9.9499999999999993" customHeight="1">
      <c r="A414" s="1069">
        <v>197</v>
      </c>
      <c r="D414" s="1069" t="str">
        <f t="shared" ca="1" si="41"/>
        <v/>
      </c>
      <c r="E414" s="1069" t="str">
        <f t="shared" ca="1" si="41"/>
        <v/>
      </c>
      <c r="F414" s="1069" t="str">
        <f t="shared" ca="1" si="41"/>
        <v/>
      </c>
      <c r="G414" s="1069" t="str">
        <f t="shared" ca="1" si="41"/>
        <v/>
      </c>
      <c r="H414" s="1069" t="str">
        <f t="shared" ca="1" si="41"/>
        <v/>
      </c>
      <c r="I414" s="1069" t="str">
        <f t="shared" ca="1" si="41"/>
        <v/>
      </c>
      <c r="J414" s="1069" t="str">
        <f t="shared" ca="1" si="41"/>
        <v/>
      </c>
      <c r="K414" s="1069" t="str">
        <f t="shared" ca="1" si="41"/>
        <v/>
      </c>
      <c r="L414" s="1069" t="str">
        <f t="shared" ca="1" si="41"/>
        <v/>
      </c>
      <c r="M414" s="1069" t="str">
        <f t="shared" ca="1" si="41"/>
        <v/>
      </c>
      <c r="N414" s="1069" t="str">
        <f t="shared" ca="1" si="42"/>
        <v/>
      </c>
      <c r="O414" s="1069" t="str">
        <f t="shared" ca="1" si="42"/>
        <v/>
      </c>
      <c r="P414" s="1069" t="str">
        <f t="shared" ca="1" si="42"/>
        <v/>
      </c>
      <c r="Q414" s="1069" t="str">
        <f t="shared" ca="1" si="42"/>
        <v/>
      </c>
      <c r="R414" s="1069" t="str">
        <f t="shared" ca="1" si="42"/>
        <v/>
      </c>
      <c r="S414" s="1069" t="str">
        <f t="shared" ca="1" si="42"/>
        <v/>
      </c>
      <c r="T414" s="1069" t="str">
        <f t="shared" ca="1" si="42"/>
        <v/>
      </c>
      <c r="U414" s="1069" t="str">
        <f t="shared" ca="1" si="42"/>
        <v/>
      </c>
      <c r="V414" s="1069" t="str">
        <f t="shared" ca="1" si="42"/>
        <v/>
      </c>
      <c r="W414" s="1069" t="str">
        <f t="shared" ca="1" si="42"/>
        <v/>
      </c>
      <c r="X414" s="1069" t="str">
        <f t="shared" ca="1" si="42"/>
        <v/>
      </c>
      <c r="Y414" s="1069" t="str">
        <f t="shared" ca="1" si="42"/>
        <v/>
      </c>
      <c r="Z414" s="1069" t="str">
        <f t="shared" ca="1" si="42"/>
        <v/>
      </c>
      <c r="AA414" s="1069" t="str">
        <f t="shared" ca="1" si="42"/>
        <v/>
      </c>
    </row>
    <row r="415" spans="1:27" s="1069" customFormat="1" ht="9.9499999999999993" customHeight="1">
      <c r="A415" s="1069">
        <v>198</v>
      </c>
      <c r="D415" s="1069" t="str">
        <f t="shared" ca="1" si="41"/>
        <v/>
      </c>
      <c r="E415" s="1069" t="str">
        <f t="shared" ca="1" si="41"/>
        <v/>
      </c>
      <c r="F415" s="1069" t="str">
        <f t="shared" ca="1" si="41"/>
        <v/>
      </c>
      <c r="G415" s="1069" t="str">
        <f t="shared" ca="1" si="41"/>
        <v/>
      </c>
      <c r="H415" s="1069" t="str">
        <f t="shared" ca="1" si="41"/>
        <v/>
      </c>
      <c r="I415" s="1069" t="str">
        <f t="shared" ca="1" si="41"/>
        <v/>
      </c>
      <c r="J415" s="1069" t="str">
        <f t="shared" ca="1" si="41"/>
        <v/>
      </c>
      <c r="K415" s="1069" t="str">
        <f t="shared" ca="1" si="41"/>
        <v/>
      </c>
      <c r="L415" s="1069" t="str">
        <f t="shared" ca="1" si="41"/>
        <v/>
      </c>
      <c r="M415" s="1069" t="str">
        <f t="shared" ca="1" si="41"/>
        <v/>
      </c>
      <c r="N415" s="1069" t="str">
        <f t="shared" ca="1" si="42"/>
        <v/>
      </c>
      <c r="O415" s="1069" t="str">
        <f t="shared" ca="1" si="42"/>
        <v/>
      </c>
      <c r="P415" s="1069" t="str">
        <f t="shared" ca="1" si="42"/>
        <v/>
      </c>
      <c r="Q415" s="1069" t="str">
        <f t="shared" ca="1" si="42"/>
        <v/>
      </c>
      <c r="R415" s="1069" t="str">
        <f t="shared" ca="1" si="42"/>
        <v/>
      </c>
      <c r="S415" s="1069" t="str">
        <f t="shared" ca="1" si="42"/>
        <v/>
      </c>
      <c r="T415" s="1069" t="str">
        <f t="shared" ca="1" si="42"/>
        <v/>
      </c>
      <c r="U415" s="1069" t="str">
        <f t="shared" ca="1" si="42"/>
        <v/>
      </c>
      <c r="V415" s="1069" t="str">
        <f t="shared" ca="1" si="42"/>
        <v/>
      </c>
      <c r="W415" s="1069" t="str">
        <f t="shared" ca="1" si="42"/>
        <v/>
      </c>
      <c r="X415" s="1069" t="str">
        <f t="shared" ca="1" si="42"/>
        <v/>
      </c>
      <c r="Y415" s="1069" t="str">
        <f t="shared" ca="1" si="42"/>
        <v/>
      </c>
      <c r="Z415" s="1069" t="str">
        <f t="shared" ca="1" si="42"/>
        <v/>
      </c>
      <c r="AA415" s="1069" t="str">
        <f t="shared" ca="1" si="42"/>
        <v/>
      </c>
    </row>
    <row r="416" spans="1:27" s="1069" customFormat="1" ht="9.9499999999999993" customHeight="1">
      <c r="A416" s="1069">
        <v>199</v>
      </c>
      <c r="D416" s="1069" t="str">
        <f t="shared" ca="1" si="41"/>
        <v/>
      </c>
      <c r="E416" s="1069" t="str">
        <f t="shared" ca="1" si="41"/>
        <v/>
      </c>
      <c r="F416" s="1069" t="str">
        <f t="shared" ca="1" si="41"/>
        <v/>
      </c>
      <c r="G416" s="1069" t="str">
        <f t="shared" ca="1" si="41"/>
        <v/>
      </c>
      <c r="H416" s="1069" t="str">
        <f t="shared" ca="1" si="41"/>
        <v/>
      </c>
      <c r="I416" s="1069" t="str">
        <f t="shared" ca="1" si="41"/>
        <v/>
      </c>
      <c r="J416" s="1069" t="str">
        <f t="shared" ca="1" si="41"/>
        <v/>
      </c>
      <c r="K416" s="1069" t="str">
        <f t="shared" ca="1" si="41"/>
        <v/>
      </c>
      <c r="L416" s="1069" t="str">
        <f t="shared" ca="1" si="41"/>
        <v/>
      </c>
      <c r="M416" s="1069" t="str">
        <f t="shared" ca="1" si="41"/>
        <v/>
      </c>
      <c r="N416" s="1069" t="str">
        <f t="shared" ca="1" si="42"/>
        <v/>
      </c>
      <c r="O416" s="1069" t="str">
        <f t="shared" ca="1" si="42"/>
        <v/>
      </c>
      <c r="P416" s="1069" t="str">
        <f t="shared" ca="1" si="42"/>
        <v/>
      </c>
      <c r="Q416" s="1069" t="str">
        <f t="shared" ca="1" si="42"/>
        <v/>
      </c>
      <c r="R416" s="1069" t="str">
        <f t="shared" ca="1" si="42"/>
        <v/>
      </c>
      <c r="S416" s="1069" t="str">
        <f t="shared" ca="1" si="42"/>
        <v/>
      </c>
      <c r="T416" s="1069" t="str">
        <f t="shared" ca="1" si="42"/>
        <v/>
      </c>
      <c r="U416" s="1069" t="str">
        <f t="shared" ca="1" si="42"/>
        <v/>
      </c>
      <c r="V416" s="1069" t="str">
        <f t="shared" ca="1" si="42"/>
        <v/>
      </c>
      <c r="W416" s="1069" t="str">
        <f t="shared" ca="1" si="42"/>
        <v/>
      </c>
      <c r="X416" s="1069" t="str">
        <f t="shared" ca="1" si="42"/>
        <v/>
      </c>
      <c r="Y416" s="1069" t="str">
        <f t="shared" ca="1" si="42"/>
        <v/>
      </c>
      <c r="Z416" s="1069" t="str">
        <f t="shared" ca="1" si="42"/>
        <v/>
      </c>
      <c r="AA416" s="1069" t="str">
        <f t="shared" ca="1" si="42"/>
        <v/>
      </c>
    </row>
    <row r="417" spans="1:95" s="1069" customFormat="1" ht="9.9499999999999993" customHeight="1">
      <c r="A417" s="1069">
        <v>200</v>
      </c>
      <c r="D417" s="1069" t="str">
        <f t="shared" ca="1" si="41"/>
        <v/>
      </c>
      <c r="E417" s="1069" t="str">
        <f t="shared" ca="1" si="41"/>
        <v/>
      </c>
      <c r="F417" s="1069" t="str">
        <f t="shared" ca="1" si="41"/>
        <v/>
      </c>
      <c r="G417" s="1069" t="str">
        <f t="shared" ca="1" si="41"/>
        <v/>
      </c>
      <c r="H417" s="1069" t="str">
        <f t="shared" ca="1" si="41"/>
        <v/>
      </c>
      <c r="I417" s="1069" t="str">
        <f t="shared" ca="1" si="41"/>
        <v/>
      </c>
      <c r="J417" s="1069" t="str">
        <f t="shared" ca="1" si="41"/>
        <v/>
      </c>
      <c r="K417" s="1069" t="str">
        <f t="shared" ca="1" si="41"/>
        <v/>
      </c>
      <c r="L417" s="1069" t="str">
        <f t="shared" ca="1" si="41"/>
        <v/>
      </c>
      <c r="M417" s="1069" t="str">
        <f t="shared" ca="1" si="41"/>
        <v/>
      </c>
      <c r="N417" s="1069" t="str">
        <f t="shared" ca="1" si="42"/>
        <v/>
      </c>
      <c r="O417" s="1069" t="str">
        <f t="shared" ca="1" si="42"/>
        <v/>
      </c>
      <c r="P417" s="1069" t="str">
        <f t="shared" ca="1" si="42"/>
        <v/>
      </c>
      <c r="Q417" s="1069" t="str">
        <f t="shared" ca="1" si="42"/>
        <v/>
      </c>
      <c r="R417" s="1069" t="str">
        <f t="shared" ca="1" si="42"/>
        <v/>
      </c>
      <c r="S417" s="1069" t="str">
        <f t="shared" ca="1" si="42"/>
        <v/>
      </c>
      <c r="T417" s="1069" t="str">
        <f t="shared" ca="1" si="42"/>
        <v/>
      </c>
      <c r="U417" s="1069" t="str">
        <f t="shared" ca="1" si="42"/>
        <v/>
      </c>
      <c r="V417" s="1069" t="str">
        <f t="shared" ca="1" si="42"/>
        <v/>
      </c>
      <c r="W417" s="1069" t="str">
        <f t="shared" ca="1" si="42"/>
        <v/>
      </c>
      <c r="X417" s="1069" t="str">
        <f t="shared" ca="1" si="42"/>
        <v/>
      </c>
      <c r="Y417" s="1069" t="str">
        <f t="shared" ca="1" si="42"/>
        <v/>
      </c>
      <c r="Z417" s="1069" t="str">
        <f t="shared" ca="1" si="42"/>
        <v/>
      </c>
      <c r="AA417" s="1069" t="str">
        <f t="shared" ca="1" si="42"/>
        <v/>
      </c>
    </row>
    <row r="419" spans="1:95" ht="9.9499999999999993" customHeight="1">
      <c r="B419" s="598">
        <f t="shared" ref="B419:AU419" ca="1" si="43">HLOOKUP(B$421,Skill_References,B$420+1)</f>
        <v>554</v>
      </c>
      <c r="C419" s="598">
        <f t="shared" ca="1" si="43"/>
        <v>301</v>
      </c>
      <c r="D419" s="598">
        <f t="shared" ca="1" si="43"/>
        <v>12</v>
      </c>
      <c r="E419" s="598">
        <f t="shared" si="43"/>
        <v>0</v>
      </c>
      <c r="F419" s="598">
        <f t="shared" si="43"/>
        <v>0</v>
      </c>
      <c r="G419" s="598">
        <f t="shared" si="43"/>
        <v>0</v>
      </c>
      <c r="H419" s="598">
        <f t="shared" si="43"/>
        <v>0</v>
      </c>
      <c r="I419" s="598">
        <f t="shared" si="43"/>
        <v>0</v>
      </c>
      <c r="J419" s="598">
        <f t="shared" si="43"/>
        <v>0</v>
      </c>
      <c r="K419" s="598">
        <f t="shared" si="43"/>
        <v>0</v>
      </c>
      <c r="L419" s="598">
        <f>HLOOKUP(L$421,Skill_References,L$420+1)</f>
        <v>0</v>
      </c>
      <c r="M419" s="598">
        <f ca="1">HLOOKUP(M$421,Skill_References,M$420+1)</f>
        <v>837</v>
      </c>
      <c r="N419" s="598">
        <f t="shared" ca="1" si="43"/>
        <v>553</v>
      </c>
      <c r="O419" s="598">
        <f t="shared" si="43"/>
        <v>0</v>
      </c>
      <c r="P419" s="598">
        <f t="shared" si="43"/>
        <v>0</v>
      </c>
      <c r="Q419" s="598">
        <f t="shared" si="43"/>
        <v>0</v>
      </c>
      <c r="R419" s="598">
        <f t="shared" si="43"/>
        <v>0</v>
      </c>
      <c r="S419" s="598">
        <f t="shared" si="43"/>
        <v>0</v>
      </c>
      <c r="T419" s="598">
        <f t="shared" si="43"/>
        <v>0</v>
      </c>
      <c r="U419" s="598">
        <f t="shared" si="43"/>
        <v>0</v>
      </c>
      <c r="V419" s="598">
        <f t="shared" si="43"/>
        <v>0</v>
      </c>
      <c r="W419" s="598">
        <f t="shared" si="43"/>
        <v>0</v>
      </c>
      <c r="X419" s="598">
        <f t="shared" si="43"/>
        <v>0</v>
      </c>
      <c r="Y419" s="598">
        <f t="shared" si="43"/>
        <v>0</v>
      </c>
      <c r="Z419" s="598">
        <f t="shared" si="43"/>
        <v>0</v>
      </c>
      <c r="AA419" s="598">
        <f t="shared" si="43"/>
        <v>0</v>
      </c>
      <c r="AB419" s="598">
        <f t="shared" ca="1" si="43"/>
        <v>393</v>
      </c>
      <c r="AC419" s="598">
        <f t="shared" ca="1" si="43"/>
        <v>395</v>
      </c>
      <c r="AD419" s="598">
        <f t="shared" si="43"/>
        <v>0</v>
      </c>
      <c r="AE419" s="598">
        <f t="shared" si="43"/>
        <v>0</v>
      </c>
      <c r="AF419" s="598">
        <f t="shared" si="43"/>
        <v>0</v>
      </c>
      <c r="AG419" s="598">
        <f t="shared" si="43"/>
        <v>0</v>
      </c>
      <c r="AH419" s="598">
        <f t="shared" si="43"/>
        <v>0</v>
      </c>
      <c r="AI419" s="598">
        <f t="shared" si="43"/>
        <v>0</v>
      </c>
      <c r="AJ419" s="598">
        <f t="shared" si="43"/>
        <v>0</v>
      </c>
      <c r="AK419" s="598">
        <f t="shared" si="43"/>
        <v>0</v>
      </c>
      <c r="AL419" s="598">
        <f t="shared" si="43"/>
        <v>0</v>
      </c>
      <c r="AM419" s="598">
        <f t="shared" si="43"/>
        <v>0</v>
      </c>
      <c r="AN419" s="598">
        <f t="shared" si="43"/>
        <v>0</v>
      </c>
      <c r="AO419" s="598">
        <f t="shared" si="43"/>
        <v>0</v>
      </c>
      <c r="AP419" s="598">
        <f t="shared" si="43"/>
        <v>0</v>
      </c>
      <c r="AQ419" s="598">
        <f t="shared" si="43"/>
        <v>0</v>
      </c>
      <c r="AR419" s="598">
        <f t="shared" si="43"/>
        <v>0</v>
      </c>
      <c r="AS419" s="598">
        <f t="shared" si="43"/>
        <v>0</v>
      </c>
      <c r="AT419" s="598">
        <f t="shared" si="43"/>
        <v>0</v>
      </c>
      <c r="AU419" s="598">
        <f t="shared" si="43"/>
        <v>0</v>
      </c>
      <c r="AW419" s="598">
        <f t="shared" ref="AW419:CQ419" si="44">HLOOKUP(AW$421,Skill_References,AW$420+1)</f>
        <v>0</v>
      </c>
      <c r="AX419" s="598">
        <f t="shared" si="44"/>
        <v>0</v>
      </c>
      <c r="AY419" s="598">
        <f t="shared" si="44"/>
        <v>0</v>
      </c>
      <c r="AZ419" s="598">
        <f t="shared" si="44"/>
        <v>0</v>
      </c>
      <c r="BA419" s="598">
        <f t="shared" si="44"/>
        <v>0</v>
      </c>
      <c r="BB419" s="598">
        <f t="shared" si="44"/>
        <v>0</v>
      </c>
      <c r="BC419" s="598">
        <f t="shared" si="44"/>
        <v>0</v>
      </c>
      <c r="BD419" s="598">
        <f t="shared" si="44"/>
        <v>0</v>
      </c>
      <c r="BE419" s="598">
        <f t="shared" si="44"/>
        <v>0</v>
      </c>
      <c r="BF419" s="598">
        <f t="shared" si="44"/>
        <v>0</v>
      </c>
      <c r="BG419" s="598">
        <f t="shared" si="44"/>
        <v>0</v>
      </c>
      <c r="BH419" s="598">
        <f t="shared" si="44"/>
        <v>0</v>
      </c>
      <c r="BI419" s="598">
        <f t="shared" si="44"/>
        <v>0</v>
      </c>
      <c r="BJ419" s="598">
        <f t="shared" si="44"/>
        <v>0</v>
      </c>
      <c r="BK419" s="598">
        <f t="shared" si="44"/>
        <v>0</v>
      </c>
      <c r="BL419" s="598">
        <f t="shared" si="44"/>
        <v>0</v>
      </c>
      <c r="BM419" s="598">
        <f t="shared" si="44"/>
        <v>0</v>
      </c>
      <c r="BN419" s="598">
        <f t="shared" si="44"/>
        <v>0</v>
      </c>
      <c r="BO419" s="598">
        <f t="shared" si="44"/>
        <v>0</v>
      </c>
      <c r="BP419" s="598">
        <f t="shared" si="44"/>
        <v>0</v>
      </c>
      <c r="BQ419" s="598">
        <f t="shared" si="44"/>
        <v>0</v>
      </c>
      <c r="BR419" s="598">
        <f t="shared" si="44"/>
        <v>0</v>
      </c>
      <c r="BS419" s="598">
        <f t="shared" si="44"/>
        <v>0</v>
      </c>
      <c r="BT419" s="598">
        <f t="shared" si="44"/>
        <v>0</v>
      </c>
      <c r="BU419" s="598">
        <f t="shared" si="44"/>
        <v>0</v>
      </c>
      <c r="BV419" s="598">
        <f t="shared" si="44"/>
        <v>0</v>
      </c>
      <c r="BW419" s="598">
        <f t="shared" si="44"/>
        <v>0</v>
      </c>
      <c r="BX419" s="598">
        <f t="shared" si="44"/>
        <v>0</v>
      </c>
      <c r="BY419" s="598">
        <f t="shared" si="44"/>
        <v>0</v>
      </c>
      <c r="BZ419" s="598">
        <f t="shared" si="44"/>
        <v>0</v>
      </c>
      <c r="CA419" s="598">
        <f t="shared" si="44"/>
        <v>0</v>
      </c>
      <c r="CB419" s="598">
        <f t="shared" si="44"/>
        <v>0</v>
      </c>
      <c r="CC419" s="598">
        <f t="shared" si="44"/>
        <v>0</v>
      </c>
      <c r="CD419" s="598">
        <f t="shared" si="44"/>
        <v>0</v>
      </c>
      <c r="CE419" s="598">
        <f t="shared" si="44"/>
        <v>0</v>
      </c>
      <c r="CF419" s="598">
        <f t="shared" si="44"/>
        <v>0</v>
      </c>
      <c r="CG419" s="598">
        <f t="shared" si="44"/>
        <v>0</v>
      </c>
      <c r="CH419" s="598">
        <f t="shared" si="44"/>
        <v>0</v>
      </c>
      <c r="CI419" s="598">
        <f t="shared" si="44"/>
        <v>0</v>
      </c>
      <c r="CJ419" s="598">
        <f t="shared" si="44"/>
        <v>0</v>
      </c>
      <c r="CK419" s="598">
        <f t="shared" si="44"/>
        <v>0</v>
      </c>
      <c r="CL419" s="598">
        <f t="shared" si="44"/>
        <v>0</v>
      </c>
      <c r="CM419" s="598">
        <f t="shared" si="44"/>
        <v>0</v>
      </c>
      <c r="CN419" s="598">
        <f t="shared" si="44"/>
        <v>0</v>
      </c>
      <c r="CO419" s="598">
        <f t="shared" si="44"/>
        <v>0</v>
      </c>
      <c r="CP419" s="598">
        <f t="shared" si="44"/>
        <v>0</v>
      </c>
      <c r="CQ419" s="598">
        <f t="shared" ca="1" si="44"/>
        <v>7</v>
      </c>
    </row>
    <row r="420" spans="1:95" ht="9.9499999999999993" customHeight="1">
      <c r="B420" s="598">
        <f>'Character Sheet'!$K$66</f>
        <v>2</v>
      </c>
      <c r="C420" s="598">
        <f>'Character Sheet'!$K$67</f>
        <v>3</v>
      </c>
      <c r="D420" s="598">
        <f>'Character Sheet'!$K$68</f>
        <v>8</v>
      </c>
      <c r="E420" s="598">
        <f>'Character Sheet'!$K$69</f>
        <v>1</v>
      </c>
      <c r="F420" s="598">
        <f>'Character Sheet'!$K$70</f>
        <v>1</v>
      </c>
      <c r="G420" s="598">
        <f>'Character Sheet'!$K$71</f>
        <v>1</v>
      </c>
      <c r="H420" s="598">
        <f>'Character Sheet'!$K$72</f>
        <v>1</v>
      </c>
      <c r="I420" s="598">
        <f>'Character Sheet'!$K$73</f>
        <v>1</v>
      </c>
      <c r="J420" s="598">
        <f>'Character Sheet'!$K$74</f>
        <v>1</v>
      </c>
      <c r="K420" s="598">
        <f>'Character Sheet'!$K$75</f>
        <v>1</v>
      </c>
      <c r="L420" s="598">
        <f>'Character Sheet'!$K$76</f>
        <v>1</v>
      </c>
      <c r="M420" s="598">
        <f>'Character Sheet'!$K$77</f>
        <v>1</v>
      </c>
      <c r="N420" s="598">
        <f>'Character Sheet'!$K$78</f>
        <v>1</v>
      </c>
      <c r="O420" s="598">
        <f>'Character Sheet'!$K$79</f>
        <v>1</v>
      </c>
      <c r="P420" s="598">
        <f>'Character Sheet'!$K$80</f>
        <v>1</v>
      </c>
      <c r="Q420" s="598">
        <f>'Character Sheet'!$K$81</f>
        <v>1</v>
      </c>
      <c r="R420" s="598">
        <f>'Character Sheet'!$K$82</f>
        <v>1</v>
      </c>
      <c r="S420" s="598">
        <f>'Character Sheet'!$K$83</f>
        <v>1</v>
      </c>
      <c r="T420" s="598">
        <f>'Character Sheet'!$K$84</f>
        <v>1</v>
      </c>
      <c r="U420" s="598">
        <f>'Character Sheet'!$K$85</f>
        <v>1</v>
      </c>
      <c r="V420" s="598">
        <f>'Character Sheet'!$K$86</f>
        <v>1</v>
      </c>
      <c r="W420" s="598">
        <f>'Character Sheet'!$K$87</f>
        <v>1</v>
      </c>
      <c r="X420" s="598">
        <f>'Character Sheet'!$K$88</f>
        <v>1</v>
      </c>
      <c r="Y420" s="598">
        <f>'Character Sheet'!$K$89</f>
        <v>1</v>
      </c>
      <c r="Z420" s="598">
        <f>'Character Sheet'!$K$90</f>
        <v>1</v>
      </c>
      <c r="AA420" s="598">
        <f>'Character Sheet'!$K$91</f>
        <v>1</v>
      </c>
      <c r="AB420" s="598">
        <f>'Character Sheet'!$K$92</f>
        <v>2</v>
      </c>
      <c r="AC420" s="598">
        <f>'Character Sheet'!$K$93</f>
        <v>4</v>
      </c>
      <c r="AD420" s="598">
        <f>'Character Sheet'!$K$94</f>
        <v>1</v>
      </c>
      <c r="AE420" s="598">
        <f>'Character Sheet'!$K$95</f>
        <v>1</v>
      </c>
      <c r="AF420" s="598">
        <f>'Character Sheet'!$K$96</f>
        <v>1</v>
      </c>
      <c r="AG420" s="598">
        <f>'Character Sheet'!$K$97</f>
        <v>1</v>
      </c>
      <c r="AH420" s="598">
        <f>'Character Sheet'!$K$98</f>
        <v>1</v>
      </c>
      <c r="AI420" s="598">
        <f>'Character Sheet'!$K$99</f>
        <v>1</v>
      </c>
      <c r="AJ420" s="598">
        <f>'Character Sheet'!$K$100</f>
        <v>1</v>
      </c>
      <c r="AK420" s="598">
        <f>'Character Sheet'!$K$101</f>
        <v>1</v>
      </c>
      <c r="AL420" s="598">
        <f>'Character Sheet'!$K$102</f>
        <v>1</v>
      </c>
      <c r="AM420" s="598">
        <f>'Character Sheet'!$K$103</f>
        <v>1</v>
      </c>
      <c r="AN420" s="598">
        <f>'Character Sheet'!$K$104</f>
        <v>1</v>
      </c>
      <c r="AO420" s="598">
        <f>'Character Sheet'!$K$105</f>
        <v>31</v>
      </c>
      <c r="AP420" s="598">
        <f>'Character Sheet'!$K$106</f>
        <v>1</v>
      </c>
      <c r="AQ420" s="598">
        <f>'Character Sheet'!$K$107</f>
        <v>1</v>
      </c>
      <c r="AR420" s="598">
        <f>'Character Sheet'!$K$108</f>
        <v>1</v>
      </c>
      <c r="AS420" s="598">
        <f>'Character Sheet'!$K$109</f>
        <v>1</v>
      </c>
      <c r="AT420" s="598">
        <f>'Character Sheet'!$K$110</f>
        <v>1</v>
      </c>
      <c r="AU420" s="598">
        <f>'Character Sheet'!$K$111</f>
        <v>1</v>
      </c>
      <c r="AW420" s="598">
        <f>'Character Sheet'!$AQ$66</f>
        <v>1</v>
      </c>
      <c r="AX420" s="598">
        <f>'Character Sheet'!$AQ$67</f>
        <v>1</v>
      </c>
      <c r="AY420" s="598">
        <f>'Character Sheet'!$AQ$68</f>
        <v>1</v>
      </c>
      <c r="AZ420" s="598">
        <f>'Character Sheet'!$AQ$69</f>
        <v>1</v>
      </c>
      <c r="BA420" s="598">
        <f>'Character Sheet'!$AQ$70</f>
        <v>1</v>
      </c>
      <c r="BB420" s="598">
        <f>'Character Sheet'!$AQ$71</f>
        <v>1</v>
      </c>
      <c r="BC420" s="598">
        <f>'Character Sheet'!$AQ$72</f>
        <v>1</v>
      </c>
      <c r="BD420" s="598">
        <f>'Character Sheet'!$AQ$73</f>
        <v>1</v>
      </c>
      <c r="BE420" s="598">
        <f>'Character Sheet'!$AQ$74</f>
        <v>1</v>
      </c>
      <c r="BF420" s="598">
        <f>'Character Sheet'!$AQ$75</f>
        <v>1</v>
      </c>
      <c r="BG420" s="598">
        <f>'Character Sheet'!$AQ$76</f>
        <v>1</v>
      </c>
      <c r="BH420" s="598">
        <f>'Character Sheet'!$AQ$77</f>
        <v>1</v>
      </c>
      <c r="BI420" s="598">
        <f>'Character Sheet'!$AQ$78</f>
        <v>1</v>
      </c>
      <c r="BJ420" s="598">
        <f>'Character Sheet'!$AQ$79</f>
        <v>1</v>
      </c>
      <c r="BK420" s="598">
        <f>'Character Sheet'!$AQ$80</f>
        <v>1</v>
      </c>
      <c r="BL420" s="598">
        <f>'Character Sheet'!$AQ$81</f>
        <v>1</v>
      </c>
      <c r="BM420" s="598">
        <f>'Character Sheet'!$AQ$82</f>
        <v>1</v>
      </c>
      <c r="BN420" s="598">
        <f>'Character Sheet'!$AQ$83</f>
        <v>1</v>
      </c>
      <c r="BO420" s="598">
        <f>'Character Sheet'!$AQ$84</f>
        <v>1</v>
      </c>
      <c r="BP420" s="598">
        <f>'Character Sheet'!$AQ$85</f>
        <v>1</v>
      </c>
      <c r="BQ420" s="598">
        <f>'Character Sheet'!$AQ$86</f>
        <v>1</v>
      </c>
      <c r="BR420" s="598">
        <f>'Character Sheet'!$AQ$87</f>
        <v>1</v>
      </c>
      <c r="BS420" s="598">
        <f>'Character Sheet'!$AQ$88</f>
        <v>1</v>
      </c>
      <c r="BT420" s="598">
        <f>'Character Sheet'!$AQ$89</f>
        <v>1</v>
      </c>
      <c r="BU420" s="598">
        <f>'Character Sheet'!$AQ$90</f>
        <v>1</v>
      </c>
      <c r="BV420" s="598">
        <f>'Character Sheet'!$AQ$91</f>
        <v>1</v>
      </c>
      <c r="BW420" s="598">
        <f>'Character Sheet'!$AQ$92</f>
        <v>1</v>
      </c>
      <c r="BX420" s="598">
        <f>'Character Sheet'!$AQ$93</f>
        <v>1</v>
      </c>
      <c r="BY420" s="598">
        <f>'Character Sheet'!$AQ$94</f>
        <v>1</v>
      </c>
      <c r="BZ420" s="598">
        <f>'Character Sheet'!$AQ$95</f>
        <v>1</v>
      </c>
      <c r="CA420" s="598">
        <f>'Character Sheet'!$AQ$96</f>
        <v>1</v>
      </c>
      <c r="CB420" s="598">
        <f>'Character Sheet'!$AQ$97</f>
        <v>1</v>
      </c>
      <c r="CC420" s="598">
        <f>'Character Sheet'!$AQ$98</f>
        <v>1</v>
      </c>
      <c r="CD420" s="598">
        <f>'Character Sheet'!$AQ$99</f>
        <v>1</v>
      </c>
      <c r="CE420" s="598">
        <f>'Character Sheet'!$AQ$100</f>
        <v>1</v>
      </c>
      <c r="CF420" s="598">
        <f>'Character Sheet'!$AQ$101</f>
        <v>1</v>
      </c>
      <c r="CG420" s="598">
        <f>'Character Sheet'!$AQ$102</f>
        <v>1</v>
      </c>
      <c r="CH420" s="598">
        <f>'Character Sheet'!$AQ$103</f>
        <v>1</v>
      </c>
      <c r="CI420" s="598">
        <f>'Character Sheet'!$AQ$104</f>
        <v>1</v>
      </c>
      <c r="CJ420" s="598">
        <f>'Character Sheet'!$AQ$105</f>
        <v>1</v>
      </c>
      <c r="CK420" s="598">
        <f>'Character Sheet'!$AQ$106</f>
        <v>1</v>
      </c>
      <c r="CL420" s="598">
        <f>'Character Sheet'!$AQ$107</f>
        <v>1</v>
      </c>
      <c r="CM420" s="598">
        <f>'Character Sheet'!$AQ$108</f>
        <v>1</v>
      </c>
      <c r="CN420" s="598">
        <f>'Character Sheet'!$AQ$109</f>
        <v>1</v>
      </c>
      <c r="CO420" s="598">
        <f>'Character Sheet'!$AQ$110</f>
        <v>1</v>
      </c>
      <c r="CP420" s="598">
        <f>'Character Sheet'!$AQ$111</f>
        <v>1</v>
      </c>
      <c r="CQ420" s="598">
        <f>Experience!$E$65</f>
        <v>3</v>
      </c>
    </row>
    <row r="421" spans="1:95" ht="9.9499999999999993" customHeight="1">
      <c r="B421" s="598">
        <f>'Character Sheet'!$A$66</f>
        <v>13</v>
      </c>
      <c r="C421" s="598">
        <f>'Character Sheet'!$A$67</f>
        <v>10</v>
      </c>
      <c r="D421" s="598">
        <f>'Character Sheet'!$A$68</f>
        <v>2</v>
      </c>
      <c r="E421" s="598">
        <f>'Character Sheet'!$A$69</f>
        <v>1</v>
      </c>
      <c r="F421" s="598">
        <f>'Character Sheet'!$A$70</f>
        <v>1</v>
      </c>
      <c r="G421" s="598">
        <f>'Character Sheet'!$A$71</f>
        <v>1</v>
      </c>
      <c r="H421" s="598">
        <f>'Character Sheet'!$A$72</f>
        <v>1</v>
      </c>
      <c r="I421" s="598">
        <f>'Character Sheet'!$A$73</f>
        <v>1</v>
      </c>
      <c r="J421" s="598">
        <f>'Character Sheet'!$A$74</f>
        <v>1</v>
      </c>
      <c r="K421" s="598">
        <f>'Character Sheet'!$A$75</f>
        <v>1</v>
      </c>
      <c r="L421" s="598">
        <f>'Character Sheet'!$A$76</f>
        <v>1</v>
      </c>
      <c r="M421" s="598">
        <f>'Character Sheet'!$A$77</f>
        <v>20</v>
      </c>
      <c r="N421" s="598">
        <f>'Character Sheet'!$A$78</f>
        <v>13</v>
      </c>
      <c r="O421" s="598">
        <f>'Character Sheet'!$A$79</f>
        <v>1</v>
      </c>
      <c r="P421" s="598">
        <f>'Character Sheet'!$A$80</f>
        <v>1</v>
      </c>
      <c r="Q421" s="598">
        <f>'Character Sheet'!$A$81</f>
        <v>1</v>
      </c>
      <c r="R421" s="598">
        <f>'Character Sheet'!$A$82</f>
        <v>1</v>
      </c>
      <c r="S421" s="598">
        <f>'Character Sheet'!$A$83</f>
        <v>1</v>
      </c>
      <c r="T421" s="598">
        <f>'Character Sheet'!$A$84</f>
        <v>1</v>
      </c>
      <c r="U421" s="598">
        <f>'Character Sheet'!$A$85</f>
        <v>1</v>
      </c>
      <c r="V421" s="598">
        <f>'Character Sheet'!$A$86</f>
        <v>1</v>
      </c>
      <c r="W421" s="598">
        <f>'Character Sheet'!$A$87</f>
        <v>1</v>
      </c>
      <c r="X421" s="598">
        <f>'Character Sheet'!$A$88</f>
        <v>1</v>
      </c>
      <c r="Y421" s="598">
        <f>'Character Sheet'!$A$89</f>
        <v>1</v>
      </c>
      <c r="Z421" s="598">
        <f>'Character Sheet'!$A$90</f>
        <v>1</v>
      </c>
      <c r="AA421" s="598">
        <f>'Character Sheet'!$A$91</f>
        <v>1</v>
      </c>
      <c r="AB421" s="598">
        <f>'Character Sheet'!$A$92</f>
        <v>11</v>
      </c>
      <c r="AC421" s="598">
        <f>'Character Sheet'!$A$93</f>
        <v>11</v>
      </c>
      <c r="AD421" s="598">
        <f>'Character Sheet'!$A$94</f>
        <v>1</v>
      </c>
      <c r="AE421" s="598">
        <f>'Character Sheet'!$A$95</f>
        <v>1</v>
      </c>
      <c r="AF421" s="598">
        <f>'Character Sheet'!$A$96</f>
        <v>1</v>
      </c>
      <c r="AG421" s="598">
        <f>'Character Sheet'!$A$97</f>
        <v>1</v>
      </c>
      <c r="AH421" s="598">
        <f>'Character Sheet'!$A$98</f>
        <v>1</v>
      </c>
      <c r="AI421" s="598">
        <f>'Character Sheet'!$A$99</f>
        <v>1</v>
      </c>
      <c r="AJ421" s="598">
        <f>'Character Sheet'!$A$100</f>
        <v>1</v>
      </c>
      <c r="AK421" s="598">
        <f>'Character Sheet'!$A$101</f>
        <v>1</v>
      </c>
      <c r="AL421" s="598">
        <f>'Character Sheet'!$A$102</f>
        <v>1</v>
      </c>
      <c r="AM421" s="598">
        <f>'Character Sheet'!$A$103</f>
        <v>1</v>
      </c>
      <c r="AN421" s="598">
        <f>'Character Sheet'!$A$104</f>
        <v>1</v>
      </c>
      <c r="AO421" s="598">
        <f>'Character Sheet'!$A$105</f>
        <v>1</v>
      </c>
      <c r="AP421" s="598">
        <f>'Character Sheet'!$A$106</f>
        <v>1</v>
      </c>
      <c r="AQ421" s="598">
        <f>'Character Sheet'!$A$107</f>
        <v>1</v>
      </c>
      <c r="AR421" s="598">
        <f>'Character Sheet'!$A$108</f>
        <v>1</v>
      </c>
      <c r="AS421" s="598">
        <f>'Character Sheet'!$A$109</f>
        <v>1</v>
      </c>
      <c r="AT421" s="598">
        <f>'Character Sheet'!$A$110</f>
        <v>1</v>
      </c>
      <c r="AU421" s="598">
        <f>'Character Sheet'!$A$111</f>
        <v>1</v>
      </c>
      <c r="AW421" s="598">
        <f>'Character Sheet'!$AG$66</f>
        <v>1</v>
      </c>
      <c r="AX421" s="598">
        <f>'Character Sheet'!$AG$67</f>
        <v>1</v>
      </c>
      <c r="AY421" s="598">
        <f>'Character Sheet'!$AG$68</f>
        <v>1</v>
      </c>
      <c r="AZ421" s="598">
        <f>'Character Sheet'!$AG$69</f>
        <v>1</v>
      </c>
      <c r="BA421" s="598">
        <f>'Character Sheet'!$AG$70</f>
        <v>1</v>
      </c>
      <c r="BB421" s="598">
        <f>'Character Sheet'!$AG$71</f>
        <v>1</v>
      </c>
      <c r="BC421" s="598">
        <f>'Character Sheet'!$AG$72</f>
        <v>1</v>
      </c>
      <c r="BD421" s="598">
        <f>'Character Sheet'!$AG$73</f>
        <v>1</v>
      </c>
      <c r="BE421" s="598">
        <f>'Character Sheet'!$AG$74</f>
        <v>1</v>
      </c>
      <c r="BF421" s="598">
        <f>'Character Sheet'!$AG$75</f>
        <v>1</v>
      </c>
      <c r="BG421" s="598">
        <f>'Character Sheet'!$AG$76</f>
        <v>1</v>
      </c>
      <c r="BH421" s="598">
        <f>'Character Sheet'!$AG$77</f>
        <v>1</v>
      </c>
      <c r="BI421" s="598">
        <f>'Character Sheet'!$AG$78</f>
        <v>1</v>
      </c>
      <c r="BJ421" s="598">
        <f>'Character Sheet'!$AG$79</f>
        <v>1</v>
      </c>
      <c r="BK421" s="598">
        <f>'Character Sheet'!$AG$80</f>
        <v>1</v>
      </c>
      <c r="BL421" s="598">
        <f>'Character Sheet'!$AG$81</f>
        <v>1</v>
      </c>
      <c r="BM421" s="598">
        <f>'Character Sheet'!$AG$82</f>
        <v>1</v>
      </c>
      <c r="BN421" s="598">
        <f>'Character Sheet'!$AG$83</f>
        <v>1</v>
      </c>
      <c r="BO421" s="598">
        <f>'Character Sheet'!$AG$84</f>
        <v>1</v>
      </c>
      <c r="BP421" s="598">
        <f>'Character Sheet'!$AG$85</f>
        <v>1</v>
      </c>
      <c r="BQ421" s="598">
        <f>'Character Sheet'!$AG$86</f>
        <v>1</v>
      </c>
      <c r="BR421" s="598">
        <f>'Character Sheet'!$AG$87</f>
        <v>1</v>
      </c>
      <c r="BS421" s="598">
        <f>'Character Sheet'!$AG$88</f>
        <v>1</v>
      </c>
      <c r="BT421" s="598">
        <f>'Character Sheet'!$AG$89</f>
        <v>1</v>
      </c>
      <c r="BU421" s="598">
        <f>'Character Sheet'!$AG$90</f>
        <v>1</v>
      </c>
      <c r="BV421" s="598">
        <f>'Character Sheet'!$AG$91</f>
        <v>1</v>
      </c>
      <c r="BW421" s="598">
        <f>'Character Sheet'!$AG$92</f>
        <v>1</v>
      </c>
      <c r="BX421" s="598">
        <f>'Character Sheet'!$AG$93</f>
        <v>1</v>
      </c>
      <c r="BY421" s="598">
        <f>'Character Sheet'!$AG$94</f>
        <v>1</v>
      </c>
      <c r="BZ421" s="598">
        <f>'Character Sheet'!$AG$95</f>
        <v>1</v>
      </c>
      <c r="CA421" s="598">
        <f>'Character Sheet'!$AG$96</f>
        <v>1</v>
      </c>
      <c r="CB421" s="598">
        <f>'Character Sheet'!$AG$97</f>
        <v>1</v>
      </c>
      <c r="CC421" s="598">
        <f>'Character Sheet'!$AG$98</f>
        <v>1</v>
      </c>
      <c r="CD421" s="598">
        <f>'Character Sheet'!$AG$99</f>
        <v>1</v>
      </c>
      <c r="CE421" s="598">
        <f>'Character Sheet'!$AG$100</f>
        <v>1</v>
      </c>
      <c r="CF421" s="598">
        <f>'Character Sheet'!$AG$101</f>
        <v>1</v>
      </c>
      <c r="CG421" s="598">
        <f>'Character Sheet'!$AG$102</f>
        <v>1</v>
      </c>
      <c r="CH421" s="598">
        <f>'Character Sheet'!$AG$103</f>
        <v>1</v>
      </c>
      <c r="CI421" s="598">
        <f>'Character Sheet'!$AG$104</f>
        <v>1</v>
      </c>
      <c r="CJ421" s="598">
        <f>'Character Sheet'!$AG$105</f>
        <v>1</v>
      </c>
      <c r="CK421" s="598">
        <f>'Character Sheet'!$AG$106</f>
        <v>1</v>
      </c>
      <c r="CL421" s="598">
        <f>'Character Sheet'!$AG$107</f>
        <v>1</v>
      </c>
      <c r="CM421" s="598">
        <f>'Character Sheet'!$AG$108</f>
        <v>1</v>
      </c>
      <c r="CN421" s="598">
        <f>'Character Sheet'!$AG$109</f>
        <v>1</v>
      </c>
      <c r="CO421" s="598">
        <f>'Character Sheet'!$AG$110</f>
        <v>1</v>
      </c>
      <c r="CP421" s="598">
        <f>'Character Sheet'!$AG$111</f>
        <v>1</v>
      </c>
      <c r="CQ421" s="598">
        <f>Experience!$A$65</f>
        <v>2</v>
      </c>
    </row>
    <row r="422" spans="1:95" ht="9.9499999999999993" customHeight="1">
      <c r="A422" s="598">
        <v>1</v>
      </c>
    </row>
    <row r="423" spans="1:95" ht="9.9499999999999993" customHeight="1">
      <c r="A423" s="598">
        <v>2</v>
      </c>
      <c r="B423" s="598" t="str">
        <f t="shared" ref="B423:AU428" ca="1" si="45">HLOOKUP(B$421,$C$217:$Z$317,$A423+1)</f>
        <v>Accurate Counting</v>
      </c>
      <c r="C423" s="598" t="str">
        <f t="shared" ca="1" si="45"/>
        <v>Own Language (Ancient)</v>
      </c>
      <c r="D423" s="598" t="str">
        <f t="shared" ca="1" si="45"/>
        <v>Aquaculture: Plant</v>
      </c>
      <c r="E423" s="598" t="str">
        <f t="shared" si="45"/>
        <v xml:space="preserve"> </v>
      </c>
      <c r="F423" s="598" t="str">
        <f t="shared" si="45"/>
        <v xml:space="preserve"> </v>
      </c>
      <c r="G423" s="598" t="str">
        <f t="shared" si="45"/>
        <v xml:space="preserve"> </v>
      </c>
      <c r="H423" s="598" t="str">
        <f t="shared" si="45"/>
        <v xml:space="preserve"> </v>
      </c>
      <c r="I423" s="598" t="str">
        <f t="shared" si="45"/>
        <v xml:space="preserve"> </v>
      </c>
      <c r="J423" s="598" t="str">
        <f t="shared" si="45"/>
        <v xml:space="preserve"> </v>
      </c>
      <c r="K423" s="598" t="str">
        <f t="shared" si="45"/>
        <v xml:space="preserve"> </v>
      </c>
      <c r="L423" s="598" t="str">
        <f t="shared" ref="L423:M442" si="46">HLOOKUP(L$421,$C$217:$Z$317,$A423+1)</f>
        <v xml:space="preserve"> </v>
      </c>
      <c r="M423" s="598" t="str">
        <f t="shared" ca="1" si="46"/>
        <v>Detect Lie</v>
      </c>
      <c r="N423" s="598" t="str">
        <f t="shared" ca="1" si="45"/>
        <v>Accurate Counting</v>
      </c>
      <c r="O423" s="598" t="str">
        <f t="shared" si="45"/>
        <v xml:space="preserve"> </v>
      </c>
      <c r="P423" s="598" t="str">
        <f t="shared" si="45"/>
        <v xml:space="preserve"> </v>
      </c>
      <c r="Q423" s="598" t="str">
        <f t="shared" si="45"/>
        <v xml:space="preserve"> </v>
      </c>
      <c r="R423" s="598" t="str">
        <f t="shared" si="45"/>
        <v xml:space="preserve"> </v>
      </c>
      <c r="S423" s="598" t="str">
        <f t="shared" si="45"/>
        <v xml:space="preserve"> </v>
      </c>
      <c r="T423" s="598" t="str">
        <f t="shared" si="45"/>
        <v xml:space="preserve"> </v>
      </c>
      <c r="U423" s="598" t="str">
        <f t="shared" si="45"/>
        <v xml:space="preserve"> </v>
      </c>
      <c r="V423" s="598" t="str">
        <f t="shared" si="45"/>
        <v xml:space="preserve"> </v>
      </c>
      <c r="W423" s="598" t="str">
        <f t="shared" si="45"/>
        <v xml:space="preserve"> </v>
      </c>
      <c r="X423" s="598" t="str">
        <f t="shared" si="45"/>
        <v xml:space="preserve"> </v>
      </c>
      <c r="Y423" s="598" t="str">
        <f t="shared" si="45"/>
        <v xml:space="preserve"> </v>
      </c>
      <c r="Z423" s="598" t="str">
        <f t="shared" si="45"/>
        <v xml:space="preserve"> </v>
      </c>
      <c r="AA423" s="598" t="str">
        <f t="shared" si="45"/>
        <v xml:space="preserve"> </v>
      </c>
      <c r="AB423" s="598" t="str">
        <f t="shared" ca="1" si="45"/>
        <v>OWN LANGUAGE</v>
      </c>
      <c r="AC423" s="598" t="str">
        <f t="shared" ca="1" si="45"/>
        <v>OWN LANGUAGE</v>
      </c>
      <c r="AD423" s="598" t="str">
        <f t="shared" si="45"/>
        <v xml:space="preserve"> </v>
      </c>
      <c r="AE423" s="598" t="str">
        <f t="shared" si="45"/>
        <v xml:space="preserve"> </v>
      </c>
      <c r="AF423" s="598" t="str">
        <f t="shared" si="45"/>
        <v xml:space="preserve"> </v>
      </c>
      <c r="AG423" s="598" t="str">
        <f t="shared" si="45"/>
        <v xml:space="preserve"> </v>
      </c>
      <c r="AH423" s="598" t="str">
        <f t="shared" si="45"/>
        <v xml:space="preserve"> </v>
      </c>
      <c r="AI423" s="598" t="str">
        <f t="shared" si="45"/>
        <v xml:space="preserve"> </v>
      </c>
      <c r="AJ423" s="598" t="str">
        <f t="shared" si="45"/>
        <v xml:space="preserve"> </v>
      </c>
      <c r="AK423" s="598" t="str">
        <f t="shared" si="45"/>
        <v xml:space="preserve"> </v>
      </c>
      <c r="AL423" s="598" t="str">
        <f t="shared" si="45"/>
        <v xml:space="preserve"> </v>
      </c>
      <c r="AM423" s="598" t="str">
        <f t="shared" si="45"/>
        <v xml:space="preserve"> </v>
      </c>
      <c r="AN423" s="598" t="str">
        <f t="shared" si="45"/>
        <v xml:space="preserve"> </v>
      </c>
      <c r="AO423" s="598" t="str">
        <f t="shared" si="45"/>
        <v xml:space="preserve"> </v>
      </c>
      <c r="AP423" s="598" t="str">
        <f t="shared" si="45"/>
        <v xml:space="preserve"> </v>
      </c>
      <c r="AQ423" s="598" t="str">
        <f t="shared" si="45"/>
        <v xml:space="preserve"> </v>
      </c>
      <c r="AR423" s="598" t="str">
        <f t="shared" si="45"/>
        <v xml:space="preserve"> </v>
      </c>
      <c r="AS423" s="598" t="str">
        <f t="shared" si="45"/>
        <v xml:space="preserve"> </v>
      </c>
      <c r="AT423" s="598" t="str">
        <f t="shared" si="45"/>
        <v xml:space="preserve"> </v>
      </c>
      <c r="AU423" s="598" t="str">
        <f t="shared" si="45"/>
        <v xml:space="preserve"> </v>
      </c>
      <c r="AW423" s="598" t="str">
        <f t="shared" ref="AW423:BL438" si="47">HLOOKUP(AW$421,$C$217:$Z$317,$A423+1)</f>
        <v xml:space="preserve"> </v>
      </c>
      <c r="AX423" s="598" t="str">
        <f t="shared" si="47"/>
        <v xml:space="preserve"> </v>
      </c>
      <c r="AY423" s="598" t="str">
        <f t="shared" si="47"/>
        <v xml:space="preserve"> </v>
      </c>
      <c r="AZ423" s="598" t="str">
        <f t="shared" si="47"/>
        <v xml:space="preserve"> </v>
      </c>
      <c r="BA423" s="598" t="str">
        <f t="shared" si="47"/>
        <v xml:space="preserve"> </v>
      </c>
      <c r="BB423" s="598" t="str">
        <f t="shared" si="47"/>
        <v xml:space="preserve"> </v>
      </c>
      <c r="BC423" s="598" t="str">
        <f t="shared" si="47"/>
        <v xml:space="preserve"> </v>
      </c>
      <c r="BD423" s="598" t="str">
        <f t="shared" si="47"/>
        <v xml:space="preserve"> </v>
      </c>
      <c r="BE423" s="598" t="str">
        <f t="shared" si="47"/>
        <v xml:space="preserve"> </v>
      </c>
      <c r="BF423" s="598" t="str">
        <f t="shared" si="47"/>
        <v xml:space="preserve"> </v>
      </c>
      <c r="BG423" s="598" t="str">
        <f t="shared" si="47"/>
        <v xml:space="preserve"> </v>
      </c>
      <c r="BH423" s="598" t="str">
        <f t="shared" si="47"/>
        <v xml:space="preserve"> </v>
      </c>
      <c r="BI423" s="598" t="str">
        <f t="shared" si="47"/>
        <v xml:space="preserve"> </v>
      </c>
      <c r="BJ423" s="598" t="str">
        <f t="shared" si="47"/>
        <v xml:space="preserve"> </v>
      </c>
      <c r="BK423" s="598" t="str">
        <f t="shared" si="47"/>
        <v xml:space="preserve"> </v>
      </c>
      <c r="BL423" s="598" t="str">
        <f t="shared" si="47"/>
        <v xml:space="preserve"> </v>
      </c>
      <c r="BM423" s="598" t="str">
        <f t="shared" ref="BM423:CB438" si="48">HLOOKUP(BM$421,$C$217:$Z$317,$A423+1)</f>
        <v xml:space="preserve"> </v>
      </c>
      <c r="BN423" s="598" t="str">
        <f t="shared" si="48"/>
        <v xml:space="preserve"> </v>
      </c>
      <c r="BO423" s="598" t="str">
        <f t="shared" si="48"/>
        <v xml:space="preserve"> </v>
      </c>
      <c r="BP423" s="598" t="str">
        <f t="shared" si="48"/>
        <v xml:space="preserve"> </v>
      </c>
      <c r="BQ423" s="598" t="str">
        <f t="shared" si="48"/>
        <v xml:space="preserve"> </v>
      </c>
      <c r="BR423" s="598" t="str">
        <f t="shared" si="48"/>
        <v xml:space="preserve"> </v>
      </c>
      <c r="BS423" s="598" t="str">
        <f t="shared" si="48"/>
        <v xml:space="preserve"> </v>
      </c>
      <c r="BT423" s="598" t="str">
        <f t="shared" si="48"/>
        <v xml:space="preserve"> </v>
      </c>
      <c r="BU423" s="598" t="str">
        <f t="shared" si="48"/>
        <v xml:space="preserve"> </v>
      </c>
      <c r="BV423" s="598" t="str">
        <f t="shared" si="48"/>
        <v xml:space="preserve"> </v>
      </c>
      <c r="BW423" s="598" t="str">
        <f t="shared" si="48"/>
        <v xml:space="preserve"> </v>
      </c>
      <c r="BX423" s="598" t="str">
        <f t="shared" si="48"/>
        <v xml:space="preserve"> </v>
      </c>
      <c r="BY423" s="598" t="str">
        <f t="shared" si="48"/>
        <v xml:space="preserve"> </v>
      </c>
      <c r="BZ423" s="598" t="str">
        <f t="shared" si="48"/>
        <v xml:space="preserve"> </v>
      </c>
      <c r="CA423" s="598" t="str">
        <f t="shared" si="48"/>
        <v xml:space="preserve"> </v>
      </c>
      <c r="CB423" s="598" t="str">
        <f t="shared" si="48"/>
        <v xml:space="preserve"> </v>
      </c>
      <c r="CC423" s="598" t="str">
        <f t="shared" ref="CC423:CQ438" si="49">HLOOKUP(CC$421,$C$217:$Z$317,$A423+1)</f>
        <v xml:space="preserve"> </v>
      </c>
      <c r="CD423" s="598" t="str">
        <f t="shared" si="49"/>
        <v xml:space="preserve"> </v>
      </c>
      <c r="CE423" s="598" t="str">
        <f t="shared" si="49"/>
        <v xml:space="preserve"> </v>
      </c>
      <c r="CF423" s="598" t="str">
        <f t="shared" si="49"/>
        <v xml:space="preserve"> </v>
      </c>
      <c r="CG423" s="598" t="str">
        <f t="shared" si="49"/>
        <v xml:space="preserve"> </v>
      </c>
      <c r="CH423" s="598" t="str">
        <f t="shared" si="49"/>
        <v xml:space="preserve"> </v>
      </c>
      <c r="CI423" s="598" t="str">
        <f t="shared" si="49"/>
        <v xml:space="preserve"> </v>
      </c>
      <c r="CJ423" s="598" t="str">
        <f t="shared" si="49"/>
        <v xml:space="preserve"> </v>
      </c>
      <c r="CK423" s="598" t="str">
        <f t="shared" si="49"/>
        <v xml:space="preserve"> </v>
      </c>
      <c r="CL423" s="598" t="str">
        <f t="shared" si="49"/>
        <v xml:space="preserve"> </v>
      </c>
      <c r="CM423" s="598" t="str">
        <f t="shared" si="49"/>
        <v xml:space="preserve"> </v>
      </c>
      <c r="CN423" s="598" t="str">
        <f t="shared" si="49"/>
        <v xml:space="preserve"> </v>
      </c>
      <c r="CO423" s="598" t="str">
        <f t="shared" si="49"/>
        <v xml:space="preserve"> </v>
      </c>
      <c r="CP423" s="598" t="str">
        <f t="shared" si="49"/>
        <v xml:space="preserve"> </v>
      </c>
      <c r="CQ423" s="598" t="str">
        <f ca="1">HLOOKUP(CQ$421,$C$217:$Z$317,$A423+1)</f>
        <v>Aquaculture: Plant</v>
      </c>
    </row>
    <row r="424" spans="1:95" ht="9.9499999999999993" customHeight="1">
      <c r="A424" s="598">
        <v>3</v>
      </c>
      <c r="B424" s="598" t="str">
        <f t="shared" ca="1" si="45"/>
        <v>Archeology</v>
      </c>
      <c r="C424" s="598" t="str">
        <f t="shared" ca="1" si="45"/>
        <v>Trade Tongue</v>
      </c>
      <c r="D424" s="598" t="str">
        <f t="shared" ca="1" si="45"/>
        <v>Field Crops</v>
      </c>
      <c r="E424" s="598" t="str">
        <f t="shared" si="45"/>
        <v xml:space="preserve"> </v>
      </c>
      <c r="F424" s="598" t="str">
        <f t="shared" si="45"/>
        <v xml:space="preserve"> </v>
      </c>
      <c r="G424" s="598" t="str">
        <f t="shared" si="45"/>
        <v xml:space="preserve"> </v>
      </c>
      <c r="H424" s="598" t="str">
        <f t="shared" si="45"/>
        <v xml:space="preserve"> </v>
      </c>
      <c r="I424" s="598" t="str">
        <f t="shared" si="45"/>
        <v xml:space="preserve"> </v>
      </c>
      <c r="J424" s="598" t="str">
        <f t="shared" si="45"/>
        <v xml:space="preserve"> </v>
      </c>
      <c r="K424" s="598" t="str">
        <f t="shared" si="45"/>
        <v xml:space="preserve"> </v>
      </c>
      <c r="L424" s="598" t="str">
        <f t="shared" si="46"/>
        <v xml:space="preserve"> </v>
      </c>
      <c r="M424" s="598" t="str">
        <f t="shared" ca="1" si="46"/>
        <v>Read Body Language</v>
      </c>
      <c r="N424" s="598" t="str">
        <f t="shared" ca="1" si="45"/>
        <v>Archeology</v>
      </c>
      <c r="O424" s="598" t="str">
        <f t="shared" si="45"/>
        <v xml:space="preserve"> </v>
      </c>
      <c r="P424" s="598" t="str">
        <f t="shared" si="45"/>
        <v xml:space="preserve"> </v>
      </c>
      <c r="Q424" s="598" t="str">
        <f t="shared" si="45"/>
        <v xml:space="preserve"> </v>
      </c>
      <c r="R424" s="598" t="str">
        <f t="shared" si="45"/>
        <v xml:space="preserve"> </v>
      </c>
      <c r="S424" s="598" t="str">
        <f t="shared" si="45"/>
        <v xml:space="preserve"> </v>
      </c>
      <c r="T424" s="598" t="str">
        <f t="shared" si="45"/>
        <v xml:space="preserve"> </v>
      </c>
      <c r="U424" s="598" t="str">
        <f t="shared" si="45"/>
        <v xml:space="preserve"> </v>
      </c>
      <c r="V424" s="598" t="str">
        <f t="shared" si="45"/>
        <v xml:space="preserve"> </v>
      </c>
      <c r="W424" s="598" t="str">
        <f t="shared" si="45"/>
        <v xml:space="preserve"> </v>
      </c>
      <c r="X424" s="598" t="str">
        <f t="shared" si="45"/>
        <v xml:space="preserve"> </v>
      </c>
      <c r="Y424" s="598" t="str">
        <f t="shared" si="45"/>
        <v xml:space="preserve"> </v>
      </c>
      <c r="Z424" s="598" t="str">
        <f t="shared" si="45"/>
        <v xml:space="preserve"> </v>
      </c>
      <c r="AA424" s="598" t="str">
        <f t="shared" si="45"/>
        <v xml:space="preserve"> </v>
      </c>
      <c r="AB424" s="598" t="str">
        <f t="shared" ca="1" si="45"/>
        <v>Own Language (Ancient)</v>
      </c>
      <c r="AC424" s="598" t="str">
        <f t="shared" ca="1" si="45"/>
        <v>Own Language (Ancient)</v>
      </c>
      <c r="AD424" s="598" t="str">
        <f t="shared" si="45"/>
        <v xml:space="preserve"> </v>
      </c>
      <c r="AE424" s="598" t="str">
        <f t="shared" si="45"/>
        <v xml:space="preserve"> </v>
      </c>
      <c r="AF424" s="598" t="str">
        <f t="shared" si="45"/>
        <v xml:space="preserve"> </v>
      </c>
      <c r="AG424" s="598" t="str">
        <f t="shared" si="45"/>
        <v xml:space="preserve"> </v>
      </c>
      <c r="AH424" s="598" t="str">
        <f t="shared" si="45"/>
        <v xml:space="preserve"> </v>
      </c>
      <c r="AI424" s="598" t="str">
        <f t="shared" si="45"/>
        <v xml:space="preserve"> </v>
      </c>
      <c r="AJ424" s="598" t="str">
        <f t="shared" si="45"/>
        <v xml:space="preserve"> </v>
      </c>
      <c r="AK424" s="598" t="str">
        <f t="shared" si="45"/>
        <v xml:space="preserve"> </v>
      </c>
      <c r="AL424" s="598" t="str">
        <f t="shared" si="45"/>
        <v xml:space="preserve"> </v>
      </c>
      <c r="AM424" s="598" t="str">
        <f t="shared" si="45"/>
        <v xml:space="preserve"> </v>
      </c>
      <c r="AN424" s="598" t="str">
        <f t="shared" si="45"/>
        <v xml:space="preserve"> </v>
      </c>
      <c r="AO424" s="598" t="str">
        <f t="shared" si="45"/>
        <v xml:space="preserve"> </v>
      </c>
      <c r="AP424" s="598" t="str">
        <f t="shared" si="45"/>
        <v xml:space="preserve"> </v>
      </c>
      <c r="AQ424" s="598" t="str">
        <f t="shared" si="45"/>
        <v xml:space="preserve"> </v>
      </c>
      <c r="AR424" s="598" t="str">
        <f t="shared" si="45"/>
        <v xml:space="preserve"> </v>
      </c>
      <c r="AS424" s="598" t="str">
        <f t="shared" si="45"/>
        <v xml:space="preserve"> </v>
      </c>
      <c r="AT424" s="598" t="str">
        <f t="shared" si="45"/>
        <v xml:space="preserve"> </v>
      </c>
      <c r="AU424" s="598" t="str">
        <f t="shared" si="45"/>
        <v xml:space="preserve"> </v>
      </c>
      <c r="AW424" s="598" t="str">
        <f t="shared" si="47"/>
        <v xml:space="preserve"> </v>
      </c>
      <c r="AX424" s="598" t="str">
        <f t="shared" si="47"/>
        <v xml:space="preserve"> </v>
      </c>
      <c r="AY424" s="598" t="str">
        <f t="shared" si="47"/>
        <v xml:space="preserve"> </v>
      </c>
      <c r="AZ424" s="598" t="str">
        <f t="shared" si="47"/>
        <v xml:space="preserve"> </v>
      </c>
      <c r="BA424" s="598" t="str">
        <f t="shared" si="47"/>
        <v xml:space="preserve"> </v>
      </c>
      <c r="BB424" s="598" t="str">
        <f t="shared" si="47"/>
        <v xml:space="preserve"> </v>
      </c>
      <c r="BC424" s="598" t="str">
        <f t="shared" si="47"/>
        <v xml:space="preserve"> </v>
      </c>
      <c r="BD424" s="598" t="str">
        <f t="shared" si="47"/>
        <v xml:space="preserve"> </v>
      </c>
      <c r="BE424" s="598" t="str">
        <f t="shared" si="47"/>
        <v xml:space="preserve"> </v>
      </c>
      <c r="BF424" s="598" t="str">
        <f t="shared" si="47"/>
        <v xml:space="preserve"> </v>
      </c>
      <c r="BG424" s="598" t="str">
        <f t="shared" si="47"/>
        <v xml:space="preserve"> </v>
      </c>
      <c r="BH424" s="598" t="str">
        <f t="shared" si="47"/>
        <v xml:space="preserve"> </v>
      </c>
      <c r="BI424" s="598" t="str">
        <f t="shared" si="47"/>
        <v xml:space="preserve"> </v>
      </c>
      <c r="BJ424" s="598" t="str">
        <f t="shared" si="47"/>
        <v xml:space="preserve"> </v>
      </c>
      <c r="BK424" s="598" t="str">
        <f t="shared" si="47"/>
        <v xml:space="preserve"> </v>
      </c>
      <c r="BL424" s="598" t="str">
        <f t="shared" si="47"/>
        <v xml:space="preserve"> </v>
      </c>
      <c r="BM424" s="598" t="str">
        <f t="shared" si="48"/>
        <v xml:space="preserve"> </v>
      </c>
      <c r="BN424" s="598" t="str">
        <f t="shared" si="48"/>
        <v xml:space="preserve"> </v>
      </c>
      <c r="BO424" s="598" t="str">
        <f t="shared" si="48"/>
        <v xml:space="preserve"> </v>
      </c>
      <c r="BP424" s="598" t="str">
        <f t="shared" si="48"/>
        <v xml:space="preserve"> </v>
      </c>
      <c r="BQ424" s="598" t="str">
        <f t="shared" si="48"/>
        <v xml:space="preserve"> </v>
      </c>
      <c r="BR424" s="598" t="str">
        <f t="shared" si="48"/>
        <v xml:space="preserve"> </v>
      </c>
      <c r="BS424" s="598" t="str">
        <f t="shared" si="48"/>
        <v xml:space="preserve"> </v>
      </c>
      <c r="BT424" s="598" t="str">
        <f t="shared" si="48"/>
        <v xml:space="preserve"> </v>
      </c>
      <c r="BU424" s="598" t="str">
        <f t="shared" si="48"/>
        <v xml:space="preserve"> </v>
      </c>
      <c r="BV424" s="598" t="str">
        <f t="shared" si="48"/>
        <v xml:space="preserve"> </v>
      </c>
      <c r="BW424" s="598" t="str">
        <f t="shared" si="48"/>
        <v xml:space="preserve"> </v>
      </c>
      <c r="BX424" s="598" t="str">
        <f t="shared" si="48"/>
        <v xml:space="preserve"> </v>
      </c>
      <c r="BY424" s="598" t="str">
        <f t="shared" si="48"/>
        <v xml:space="preserve"> </v>
      </c>
      <c r="BZ424" s="598" t="str">
        <f t="shared" si="48"/>
        <v xml:space="preserve"> </v>
      </c>
      <c r="CA424" s="598" t="str">
        <f t="shared" si="48"/>
        <v xml:space="preserve"> </v>
      </c>
      <c r="CB424" s="598" t="str">
        <f t="shared" si="48"/>
        <v xml:space="preserve"> </v>
      </c>
      <c r="CC424" s="598" t="str">
        <f t="shared" si="49"/>
        <v xml:space="preserve"> </v>
      </c>
      <c r="CD424" s="598" t="str">
        <f t="shared" si="49"/>
        <v xml:space="preserve"> </v>
      </c>
      <c r="CE424" s="598" t="str">
        <f t="shared" si="49"/>
        <v xml:space="preserve"> </v>
      </c>
      <c r="CF424" s="598" t="str">
        <f t="shared" si="49"/>
        <v xml:space="preserve"> </v>
      </c>
      <c r="CG424" s="598" t="str">
        <f t="shared" si="49"/>
        <v xml:space="preserve"> </v>
      </c>
      <c r="CH424" s="598" t="str">
        <f t="shared" si="49"/>
        <v xml:space="preserve"> </v>
      </c>
      <c r="CI424" s="598" t="str">
        <f t="shared" si="49"/>
        <v xml:space="preserve"> </v>
      </c>
      <c r="CJ424" s="598" t="str">
        <f t="shared" si="49"/>
        <v xml:space="preserve"> </v>
      </c>
      <c r="CK424" s="598" t="str">
        <f t="shared" si="49"/>
        <v xml:space="preserve"> </v>
      </c>
      <c r="CL424" s="598" t="str">
        <f t="shared" si="49"/>
        <v xml:space="preserve"> </v>
      </c>
      <c r="CM424" s="598" t="str">
        <f t="shared" si="49"/>
        <v xml:space="preserve"> </v>
      </c>
      <c r="CN424" s="598" t="str">
        <f t="shared" si="49"/>
        <v xml:space="preserve"> </v>
      </c>
      <c r="CO424" s="598" t="str">
        <f t="shared" si="49"/>
        <v xml:space="preserve"> </v>
      </c>
      <c r="CP424" s="598" t="str">
        <f t="shared" si="49"/>
        <v xml:space="preserve"> </v>
      </c>
      <c r="CQ424" s="598" t="str">
        <f t="shared" ca="1" si="49"/>
        <v>Field Crops</v>
      </c>
    </row>
    <row r="425" spans="1:95" ht="9.9499999999999993" customHeight="1">
      <c r="A425" s="598">
        <v>4</v>
      </c>
      <c r="B425" s="598" t="str">
        <f t="shared" ca="1" si="45"/>
        <v>Architecture &amp; Engineering</v>
      </c>
      <c r="C425" s="598" t="str">
        <f t="shared" ca="1" si="45"/>
        <v>Dwarven Tongue (Usage)</v>
      </c>
      <c r="D425" s="598" t="str">
        <f t="shared" ca="1" si="45"/>
        <v>Fruit Crops</v>
      </c>
      <c r="E425" s="598" t="str">
        <f t="shared" si="45"/>
        <v xml:space="preserve"> </v>
      </c>
      <c r="F425" s="598" t="str">
        <f t="shared" si="45"/>
        <v xml:space="preserve"> </v>
      </c>
      <c r="G425" s="598" t="str">
        <f t="shared" si="45"/>
        <v xml:space="preserve"> </v>
      </c>
      <c r="H425" s="598" t="str">
        <f t="shared" si="45"/>
        <v xml:space="preserve"> </v>
      </c>
      <c r="I425" s="598" t="str">
        <f t="shared" si="45"/>
        <v xml:space="preserve"> </v>
      </c>
      <c r="J425" s="598" t="str">
        <f t="shared" si="45"/>
        <v xml:space="preserve"> </v>
      </c>
      <c r="K425" s="598" t="str">
        <f t="shared" si="45"/>
        <v xml:space="preserve"> </v>
      </c>
      <c r="L425" s="598" t="str">
        <f t="shared" si="46"/>
        <v xml:space="preserve"> </v>
      </c>
      <c r="M425" s="598" t="str">
        <f t="shared" ca="1" si="46"/>
        <v>Read Character</v>
      </c>
      <c r="N425" s="598" t="str">
        <f t="shared" ca="1" si="45"/>
        <v>Architecture &amp; Engineering</v>
      </c>
      <c r="O425" s="598" t="str">
        <f t="shared" si="45"/>
        <v xml:space="preserve"> </v>
      </c>
      <c r="P425" s="598" t="str">
        <f t="shared" si="45"/>
        <v xml:space="preserve"> </v>
      </c>
      <c r="Q425" s="598" t="str">
        <f t="shared" si="45"/>
        <v xml:space="preserve"> </v>
      </c>
      <c r="R425" s="598" t="str">
        <f t="shared" si="45"/>
        <v xml:space="preserve"> </v>
      </c>
      <c r="S425" s="598" t="str">
        <f t="shared" si="45"/>
        <v xml:space="preserve"> </v>
      </c>
      <c r="T425" s="598" t="str">
        <f t="shared" si="45"/>
        <v xml:space="preserve"> </v>
      </c>
      <c r="U425" s="598" t="str">
        <f t="shared" si="45"/>
        <v xml:space="preserve"> </v>
      </c>
      <c r="V425" s="598" t="str">
        <f t="shared" si="45"/>
        <v xml:space="preserve"> </v>
      </c>
      <c r="W425" s="598" t="str">
        <f t="shared" si="45"/>
        <v xml:space="preserve"> </v>
      </c>
      <c r="X425" s="598" t="str">
        <f t="shared" si="45"/>
        <v xml:space="preserve"> </v>
      </c>
      <c r="Y425" s="598" t="str">
        <f t="shared" si="45"/>
        <v xml:space="preserve"> </v>
      </c>
      <c r="Z425" s="598" t="str">
        <f t="shared" si="45"/>
        <v xml:space="preserve"> </v>
      </c>
      <c r="AA425" s="598" t="str">
        <f t="shared" si="45"/>
        <v xml:space="preserve"> </v>
      </c>
      <c r="AB425" s="598" t="str">
        <f t="shared" ca="1" si="45"/>
        <v>Trade Tongue</v>
      </c>
      <c r="AC425" s="598" t="str">
        <f t="shared" ca="1" si="45"/>
        <v>Trade Tongue</v>
      </c>
      <c r="AD425" s="598" t="str">
        <f t="shared" si="45"/>
        <v xml:space="preserve"> </v>
      </c>
      <c r="AE425" s="598" t="str">
        <f t="shared" si="45"/>
        <v xml:space="preserve"> </v>
      </c>
      <c r="AF425" s="598" t="str">
        <f t="shared" si="45"/>
        <v xml:space="preserve"> </v>
      </c>
      <c r="AG425" s="598" t="str">
        <f t="shared" si="45"/>
        <v xml:space="preserve"> </v>
      </c>
      <c r="AH425" s="598" t="str">
        <f t="shared" si="45"/>
        <v xml:space="preserve"> </v>
      </c>
      <c r="AI425" s="598" t="str">
        <f t="shared" si="45"/>
        <v xml:space="preserve"> </v>
      </c>
      <c r="AJ425" s="598" t="str">
        <f t="shared" si="45"/>
        <v xml:space="preserve"> </v>
      </c>
      <c r="AK425" s="598" t="str">
        <f t="shared" si="45"/>
        <v xml:space="preserve"> </v>
      </c>
      <c r="AL425" s="598" t="str">
        <f t="shared" si="45"/>
        <v xml:space="preserve"> </v>
      </c>
      <c r="AM425" s="598" t="str">
        <f t="shared" si="45"/>
        <v xml:space="preserve"> </v>
      </c>
      <c r="AN425" s="598" t="str">
        <f t="shared" si="45"/>
        <v xml:space="preserve"> </v>
      </c>
      <c r="AO425" s="598" t="str">
        <f t="shared" si="45"/>
        <v xml:space="preserve"> </v>
      </c>
      <c r="AP425" s="598" t="str">
        <f t="shared" si="45"/>
        <v xml:space="preserve"> </v>
      </c>
      <c r="AQ425" s="598" t="str">
        <f t="shared" si="45"/>
        <v xml:space="preserve"> </v>
      </c>
      <c r="AR425" s="598" t="str">
        <f t="shared" si="45"/>
        <v xml:space="preserve"> </v>
      </c>
      <c r="AS425" s="598" t="str">
        <f t="shared" si="45"/>
        <v xml:space="preserve"> </v>
      </c>
      <c r="AT425" s="598" t="str">
        <f t="shared" si="45"/>
        <v xml:space="preserve"> </v>
      </c>
      <c r="AU425" s="598" t="str">
        <f t="shared" si="45"/>
        <v xml:space="preserve"> </v>
      </c>
      <c r="AW425" s="598" t="str">
        <f t="shared" si="47"/>
        <v xml:space="preserve"> </v>
      </c>
      <c r="AX425" s="598" t="str">
        <f t="shared" si="47"/>
        <v xml:space="preserve"> </v>
      </c>
      <c r="AY425" s="598" t="str">
        <f t="shared" si="47"/>
        <v xml:space="preserve"> </v>
      </c>
      <c r="AZ425" s="598" t="str">
        <f t="shared" si="47"/>
        <v xml:space="preserve"> </v>
      </c>
      <c r="BA425" s="598" t="str">
        <f t="shared" si="47"/>
        <v xml:space="preserve"> </v>
      </c>
      <c r="BB425" s="598" t="str">
        <f t="shared" si="47"/>
        <v xml:space="preserve"> </v>
      </c>
      <c r="BC425" s="598" t="str">
        <f t="shared" si="47"/>
        <v xml:space="preserve"> </v>
      </c>
      <c r="BD425" s="598" t="str">
        <f t="shared" si="47"/>
        <v xml:space="preserve"> </v>
      </c>
      <c r="BE425" s="598" t="str">
        <f t="shared" si="47"/>
        <v xml:space="preserve"> </v>
      </c>
      <c r="BF425" s="598" t="str">
        <f t="shared" si="47"/>
        <v xml:space="preserve"> </v>
      </c>
      <c r="BG425" s="598" t="str">
        <f t="shared" si="47"/>
        <v xml:space="preserve"> </v>
      </c>
      <c r="BH425" s="598" t="str">
        <f t="shared" si="47"/>
        <v xml:space="preserve"> </v>
      </c>
      <c r="BI425" s="598" t="str">
        <f t="shared" si="47"/>
        <v xml:space="preserve"> </v>
      </c>
      <c r="BJ425" s="598" t="str">
        <f t="shared" si="47"/>
        <v xml:space="preserve"> </v>
      </c>
      <c r="BK425" s="598" t="str">
        <f t="shared" si="47"/>
        <v xml:space="preserve"> </v>
      </c>
      <c r="BL425" s="598" t="str">
        <f t="shared" si="47"/>
        <v xml:space="preserve"> </v>
      </c>
      <c r="BM425" s="598" t="str">
        <f t="shared" si="48"/>
        <v xml:space="preserve"> </v>
      </c>
      <c r="BN425" s="598" t="str">
        <f t="shared" si="48"/>
        <v xml:space="preserve"> </v>
      </c>
      <c r="BO425" s="598" t="str">
        <f t="shared" si="48"/>
        <v xml:space="preserve"> </v>
      </c>
      <c r="BP425" s="598" t="str">
        <f t="shared" si="48"/>
        <v xml:space="preserve"> </v>
      </c>
      <c r="BQ425" s="598" t="str">
        <f t="shared" si="48"/>
        <v xml:space="preserve"> </v>
      </c>
      <c r="BR425" s="598" t="str">
        <f t="shared" si="48"/>
        <v xml:space="preserve"> </v>
      </c>
      <c r="BS425" s="598" t="str">
        <f t="shared" si="48"/>
        <v xml:space="preserve"> </v>
      </c>
      <c r="BT425" s="598" t="str">
        <f t="shared" si="48"/>
        <v xml:space="preserve"> </v>
      </c>
      <c r="BU425" s="598" t="str">
        <f t="shared" si="48"/>
        <v xml:space="preserve"> </v>
      </c>
      <c r="BV425" s="598" t="str">
        <f t="shared" si="48"/>
        <v xml:space="preserve"> </v>
      </c>
      <c r="BW425" s="598" t="str">
        <f t="shared" si="48"/>
        <v xml:space="preserve"> </v>
      </c>
      <c r="BX425" s="598" t="str">
        <f t="shared" si="48"/>
        <v xml:space="preserve"> </v>
      </c>
      <c r="BY425" s="598" t="str">
        <f t="shared" si="48"/>
        <v xml:space="preserve"> </v>
      </c>
      <c r="BZ425" s="598" t="str">
        <f t="shared" si="48"/>
        <v xml:space="preserve"> </v>
      </c>
      <c r="CA425" s="598" t="str">
        <f t="shared" si="48"/>
        <v xml:space="preserve"> </v>
      </c>
      <c r="CB425" s="598" t="str">
        <f t="shared" si="48"/>
        <v xml:space="preserve"> </v>
      </c>
      <c r="CC425" s="598" t="str">
        <f t="shared" si="49"/>
        <v xml:space="preserve"> </v>
      </c>
      <c r="CD425" s="598" t="str">
        <f t="shared" si="49"/>
        <v xml:space="preserve"> </v>
      </c>
      <c r="CE425" s="598" t="str">
        <f t="shared" si="49"/>
        <v xml:space="preserve"> </v>
      </c>
      <c r="CF425" s="598" t="str">
        <f t="shared" si="49"/>
        <v xml:space="preserve"> </v>
      </c>
      <c r="CG425" s="598" t="str">
        <f t="shared" si="49"/>
        <v xml:space="preserve"> </v>
      </c>
      <c r="CH425" s="598" t="str">
        <f t="shared" si="49"/>
        <v xml:space="preserve"> </v>
      </c>
      <c r="CI425" s="598" t="str">
        <f t="shared" si="49"/>
        <v xml:space="preserve"> </v>
      </c>
      <c r="CJ425" s="598" t="str">
        <f t="shared" si="49"/>
        <v xml:space="preserve"> </v>
      </c>
      <c r="CK425" s="598" t="str">
        <f t="shared" si="49"/>
        <v xml:space="preserve"> </v>
      </c>
      <c r="CL425" s="598" t="str">
        <f t="shared" si="49"/>
        <v xml:space="preserve"> </v>
      </c>
      <c r="CM425" s="598" t="str">
        <f t="shared" si="49"/>
        <v xml:space="preserve"> </v>
      </c>
      <c r="CN425" s="598" t="str">
        <f t="shared" si="49"/>
        <v xml:space="preserve"> </v>
      </c>
      <c r="CO425" s="598" t="str">
        <f t="shared" si="49"/>
        <v xml:space="preserve"> </v>
      </c>
      <c r="CP425" s="598" t="str">
        <f t="shared" si="49"/>
        <v xml:space="preserve"> </v>
      </c>
      <c r="CQ425" s="598" t="str">
        <f t="shared" ca="1" si="49"/>
        <v>Fruit Crops</v>
      </c>
    </row>
    <row r="426" spans="1:95" ht="9.9499999999999993" customHeight="1">
      <c r="A426" s="598">
        <v>5</v>
      </c>
      <c r="B426" s="598" t="str">
        <f t="shared" ca="1" si="45"/>
        <v>Arithmetic &amp; Mathematical Lore</v>
      </c>
      <c r="C426" s="598" t="str">
        <f t="shared" ca="1" si="45"/>
        <v>Dwarven Tongue (Formal)</v>
      </c>
      <c r="D426" s="598" t="str">
        <f t="shared" ca="1" si="45"/>
        <v>Grafting</v>
      </c>
      <c r="E426" s="598" t="str">
        <f t="shared" si="45"/>
        <v xml:space="preserve"> </v>
      </c>
      <c r="F426" s="598" t="str">
        <f t="shared" si="45"/>
        <v xml:space="preserve"> </v>
      </c>
      <c r="G426" s="598" t="str">
        <f t="shared" si="45"/>
        <v xml:space="preserve"> </v>
      </c>
      <c r="H426" s="598" t="str">
        <f t="shared" si="45"/>
        <v xml:space="preserve"> </v>
      </c>
      <c r="I426" s="598" t="str">
        <f t="shared" si="45"/>
        <v xml:space="preserve"> </v>
      </c>
      <c r="J426" s="598" t="str">
        <f t="shared" si="45"/>
        <v xml:space="preserve"> </v>
      </c>
      <c r="K426" s="598" t="str">
        <f t="shared" si="45"/>
        <v xml:space="preserve"> </v>
      </c>
      <c r="L426" s="598" t="str">
        <f t="shared" si="46"/>
        <v xml:space="preserve"> </v>
      </c>
      <c r="M426" s="598" t="str">
        <f t="shared" ca="1" si="46"/>
        <v>Read Lips</v>
      </c>
      <c r="N426" s="598" t="str">
        <f t="shared" ca="1" si="45"/>
        <v>Arithmetic &amp; Mathematical Lore</v>
      </c>
      <c r="O426" s="598" t="str">
        <f t="shared" si="45"/>
        <v xml:space="preserve"> </v>
      </c>
      <c r="P426" s="598" t="str">
        <f t="shared" si="45"/>
        <v xml:space="preserve"> </v>
      </c>
      <c r="Q426" s="598" t="str">
        <f t="shared" si="45"/>
        <v xml:space="preserve"> </v>
      </c>
      <c r="R426" s="598" t="str">
        <f t="shared" si="45"/>
        <v xml:space="preserve"> </v>
      </c>
      <c r="S426" s="598" t="str">
        <f t="shared" si="45"/>
        <v xml:space="preserve"> </v>
      </c>
      <c r="T426" s="598" t="str">
        <f t="shared" si="45"/>
        <v xml:space="preserve"> </v>
      </c>
      <c r="U426" s="598" t="str">
        <f t="shared" si="45"/>
        <v xml:space="preserve"> </v>
      </c>
      <c r="V426" s="598" t="str">
        <f t="shared" si="45"/>
        <v xml:space="preserve"> </v>
      </c>
      <c r="W426" s="598" t="str">
        <f t="shared" si="45"/>
        <v xml:space="preserve"> </v>
      </c>
      <c r="X426" s="598" t="str">
        <f t="shared" si="45"/>
        <v xml:space="preserve"> </v>
      </c>
      <c r="Y426" s="598" t="str">
        <f t="shared" si="45"/>
        <v xml:space="preserve"> </v>
      </c>
      <c r="Z426" s="598" t="str">
        <f t="shared" si="45"/>
        <v xml:space="preserve"> </v>
      </c>
      <c r="AA426" s="598" t="str">
        <f t="shared" si="45"/>
        <v xml:space="preserve"> </v>
      </c>
      <c r="AB426" s="598" t="str">
        <f t="shared" ca="1" si="45"/>
        <v>Dwarven Tongue (Usage)</v>
      </c>
      <c r="AC426" s="598" t="str">
        <f t="shared" ca="1" si="45"/>
        <v>Dwarven Tongue (Usage)</v>
      </c>
      <c r="AD426" s="598" t="str">
        <f t="shared" si="45"/>
        <v xml:space="preserve"> </v>
      </c>
      <c r="AE426" s="598" t="str">
        <f t="shared" si="45"/>
        <v xml:space="preserve"> </v>
      </c>
      <c r="AF426" s="598" t="str">
        <f t="shared" si="45"/>
        <v xml:space="preserve"> </v>
      </c>
      <c r="AG426" s="598" t="str">
        <f t="shared" si="45"/>
        <v xml:space="preserve"> </v>
      </c>
      <c r="AH426" s="598" t="str">
        <f t="shared" si="45"/>
        <v xml:space="preserve"> </v>
      </c>
      <c r="AI426" s="598" t="str">
        <f t="shared" si="45"/>
        <v xml:space="preserve"> </v>
      </c>
      <c r="AJ426" s="598" t="str">
        <f t="shared" si="45"/>
        <v xml:space="preserve"> </v>
      </c>
      <c r="AK426" s="598" t="str">
        <f t="shared" si="45"/>
        <v xml:space="preserve"> </v>
      </c>
      <c r="AL426" s="598" t="str">
        <f t="shared" si="45"/>
        <v xml:space="preserve"> </v>
      </c>
      <c r="AM426" s="598" t="str">
        <f t="shared" si="45"/>
        <v xml:space="preserve"> </v>
      </c>
      <c r="AN426" s="598" t="str">
        <f t="shared" si="45"/>
        <v xml:space="preserve"> </v>
      </c>
      <c r="AO426" s="598" t="str">
        <f t="shared" si="45"/>
        <v xml:space="preserve"> </v>
      </c>
      <c r="AP426" s="598" t="str">
        <f t="shared" si="45"/>
        <v xml:space="preserve"> </v>
      </c>
      <c r="AQ426" s="598" t="str">
        <f t="shared" si="45"/>
        <v xml:space="preserve"> </v>
      </c>
      <c r="AR426" s="598" t="str">
        <f t="shared" si="45"/>
        <v xml:space="preserve"> </v>
      </c>
      <c r="AS426" s="598" t="str">
        <f t="shared" si="45"/>
        <v xml:space="preserve"> </v>
      </c>
      <c r="AT426" s="598" t="str">
        <f t="shared" si="45"/>
        <v xml:space="preserve"> </v>
      </c>
      <c r="AU426" s="598" t="str">
        <f t="shared" si="45"/>
        <v xml:space="preserve"> </v>
      </c>
      <c r="AW426" s="598" t="str">
        <f t="shared" si="47"/>
        <v xml:space="preserve"> </v>
      </c>
      <c r="AX426" s="598" t="str">
        <f t="shared" si="47"/>
        <v xml:space="preserve"> </v>
      </c>
      <c r="AY426" s="598" t="str">
        <f t="shared" si="47"/>
        <v xml:space="preserve"> </v>
      </c>
      <c r="AZ426" s="598" t="str">
        <f t="shared" si="47"/>
        <v xml:space="preserve"> </v>
      </c>
      <c r="BA426" s="598" t="str">
        <f t="shared" si="47"/>
        <v xml:space="preserve"> </v>
      </c>
      <c r="BB426" s="598" t="str">
        <f t="shared" si="47"/>
        <v xml:space="preserve"> </v>
      </c>
      <c r="BC426" s="598" t="str">
        <f t="shared" si="47"/>
        <v xml:space="preserve"> </v>
      </c>
      <c r="BD426" s="598" t="str">
        <f t="shared" si="47"/>
        <v xml:space="preserve"> </v>
      </c>
      <c r="BE426" s="598" t="str">
        <f t="shared" si="47"/>
        <v xml:space="preserve"> </v>
      </c>
      <c r="BF426" s="598" t="str">
        <f t="shared" si="47"/>
        <v xml:space="preserve"> </v>
      </c>
      <c r="BG426" s="598" t="str">
        <f t="shared" si="47"/>
        <v xml:space="preserve"> </v>
      </c>
      <c r="BH426" s="598" t="str">
        <f t="shared" si="47"/>
        <v xml:space="preserve"> </v>
      </c>
      <c r="BI426" s="598" t="str">
        <f t="shared" si="47"/>
        <v xml:space="preserve"> </v>
      </c>
      <c r="BJ426" s="598" t="str">
        <f t="shared" si="47"/>
        <v xml:space="preserve"> </v>
      </c>
      <c r="BK426" s="598" t="str">
        <f t="shared" si="47"/>
        <v xml:space="preserve"> </v>
      </c>
      <c r="BL426" s="598" t="str">
        <f t="shared" si="47"/>
        <v xml:space="preserve"> </v>
      </c>
      <c r="BM426" s="598" t="str">
        <f t="shared" si="48"/>
        <v xml:space="preserve"> </v>
      </c>
      <c r="BN426" s="598" t="str">
        <f t="shared" si="48"/>
        <v xml:space="preserve"> </v>
      </c>
      <c r="BO426" s="598" t="str">
        <f t="shared" si="48"/>
        <v xml:space="preserve"> </v>
      </c>
      <c r="BP426" s="598" t="str">
        <f t="shared" si="48"/>
        <v xml:space="preserve"> </v>
      </c>
      <c r="BQ426" s="598" t="str">
        <f t="shared" si="48"/>
        <v xml:space="preserve"> </v>
      </c>
      <c r="BR426" s="598" t="str">
        <f t="shared" si="48"/>
        <v xml:space="preserve"> </v>
      </c>
      <c r="BS426" s="598" t="str">
        <f t="shared" si="48"/>
        <v xml:space="preserve"> </v>
      </c>
      <c r="BT426" s="598" t="str">
        <f t="shared" si="48"/>
        <v xml:space="preserve"> </v>
      </c>
      <c r="BU426" s="598" t="str">
        <f t="shared" si="48"/>
        <v xml:space="preserve"> </v>
      </c>
      <c r="BV426" s="598" t="str">
        <f t="shared" si="48"/>
        <v xml:space="preserve"> </v>
      </c>
      <c r="BW426" s="598" t="str">
        <f t="shared" si="48"/>
        <v xml:space="preserve"> </v>
      </c>
      <c r="BX426" s="598" t="str">
        <f t="shared" si="48"/>
        <v xml:space="preserve"> </v>
      </c>
      <c r="BY426" s="598" t="str">
        <f t="shared" si="48"/>
        <v xml:space="preserve"> </v>
      </c>
      <c r="BZ426" s="598" t="str">
        <f t="shared" si="48"/>
        <v xml:space="preserve"> </v>
      </c>
      <c r="CA426" s="598" t="str">
        <f t="shared" si="48"/>
        <v xml:space="preserve"> </v>
      </c>
      <c r="CB426" s="598" t="str">
        <f t="shared" si="48"/>
        <v xml:space="preserve"> </v>
      </c>
      <c r="CC426" s="598" t="str">
        <f t="shared" si="49"/>
        <v xml:space="preserve"> </v>
      </c>
      <c r="CD426" s="598" t="str">
        <f t="shared" si="49"/>
        <v xml:space="preserve"> </v>
      </c>
      <c r="CE426" s="598" t="str">
        <f t="shared" si="49"/>
        <v xml:space="preserve"> </v>
      </c>
      <c r="CF426" s="598" t="str">
        <f t="shared" si="49"/>
        <v xml:space="preserve"> </v>
      </c>
      <c r="CG426" s="598" t="str">
        <f t="shared" si="49"/>
        <v xml:space="preserve"> </v>
      </c>
      <c r="CH426" s="598" t="str">
        <f t="shared" si="49"/>
        <v xml:space="preserve"> </v>
      </c>
      <c r="CI426" s="598" t="str">
        <f t="shared" si="49"/>
        <v xml:space="preserve"> </v>
      </c>
      <c r="CJ426" s="598" t="str">
        <f t="shared" si="49"/>
        <v xml:space="preserve"> </v>
      </c>
      <c r="CK426" s="598" t="str">
        <f t="shared" si="49"/>
        <v xml:space="preserve"> </v>
      </c>
      <c r="CL426" s="598" t="str">
        <f t="shared" si="49"/>
        <v xml:space="preserve"> </v>
      </c>
      <c r="CM426" s="598" t="str">
        <f t="shared" si="49"/>
        <v xml:space="preserve"> </v>
      </c>
      <c r="CN426" s="598" t="str">
        <f t="shared" si="49"/>
        <v xml:space="preserve"> </v>
      </c>
      <c r="CO426" s="598" t="str">
        <f t="shared" si="49"/>
        <v xml:space="preserve"> </v>
      </c>
      <c r="CP426" s="598" t="str">
        <f t="shared" si="49"/>
        <v xml:space="preserve"> </v>
      </c>
      <c r="CQ426" s="598" t="str">
        <f t="shared" ca="1" si="49"/>
        <v>Grafting</v>
      </c>
    </row>
    <row r="427" spans="1:95" ht="9.9499999999999993" customHeight="1">
      <c r="A427" s="598">
        <v>6</v>
      </c>
      <c r="B427" s="598" t="str">
        <f t="shared" ca="1" si="45"/>
        <v>Astronomical Lore</v>
      </c>
      <c r="C427" s="598" t="str">
        <f t="shared" ca="1" si="45"/>
        <v>Dwarven Tongue (Ancient)</v>
      </c>
      <c r="D427" s="598" t="str">
        <f t="shared" ca="1" si="45"/>
        <v>Hybrid Creation</v>
      </c>
      <c r="E427" s="598" t="str">
        <f t="shared" si="45"/>
        <v xml:space="preserve"> </v>
      </c>
      <c r="F427" s="598" t="str">
        <f t="shared" si="45"/>
        <v xml:space="preserve"> </v>
      </c>
      <c r="G427" s="598" t="str">
        <f t="shared" si="45"/>
        <v xml:space="preserve"> </v>
      </c>
      <c r="H427" s="598" t="str">
        <f t="shared" si="45"/>
        <v xml:space="preserve"> </v>
      </c>
      <c r="I427" s="598" t="str">
        <f t="shared" si="45"/>
        <v xml:space="preserve"> </v>
      </c>
      <c r="J427" s="598" t="str">
        <f t="shared" si="45"/>
        <v xml:space="preserve"> </v>
      </c>
      <c r="K427" s="598" t="str">
        <f t="shared" si="45"/>
        <v xml:space="preserve"> </v>
      </c>
      <c r="L427" s="598" t="str">
        <f t="shared" si="46"/>
        <v xml:space="preserve"> </v>
      </c>
      <c r="M427" s="598" t="str">
        <f t="shared" ca="1" si="46"/>
        <v/>
      </c>
      <c r="N427" s="598" t="str">
        <f t="shared" ca="1" si="45"/>
        <v>Astronomical Lore</v>
      </c>
      <c r="O427" s="598" t="str">
        <f t="shared" si="45"/>
        <v xml:space="preserve"> </v>
      </c>
      <c r="P427" s="598" t="str">
        <f t="shared" si="45"/>
        <v xml:space="preserve"> </v>
      </c>
      <c r="Q427" s="598" t="str">
        <f t="shared" si="45"/>
        <v xml:space="preserve"> </v>
      </c>
      <c r="R427" s="598" t="str">
        <f t="shared" si="45"/>
        <v xml:space="preserve"> </v>
      </c>
      <c r="S427" s="598" t="str">
        <f t="shared" si="45"/>
        <v xml:space="preserve"> </v>
      </c>
      <c r="T427" s="598" t="str">
        <f t="shared" si="45"/>
        <v xml:space="preserve"> </v>
      </c>
      <c r="U427" s="598" t="str">
        <f t="shared" si="45"/>
        <v xml:space="preserve"> </v>
      </c>
      <c r="V427" s="598" t="str">
        <f t="shared" si="45"/>
        <v xml:space="preserve"> </v>
      </c>
      <c r="W427" s="598" t="str">
        <f t="shared" si="45"/>
        <v xml:space="preserve"> </v>
      </c>
      <c r="X427" s="598" t="str">
        <f t="shared" si="45"/>
        <v xml:space="preserve"> </v>
      </c>
      <c r="Y427" s="598" t="str">
        <f t="shared" si="45"/>
        <v xml:space="preserve"> </v>
      </c>
      <c r="Z427" s="598" t="str">
        <f t="shared" si="45"/>
        <v xml:space="preserve"> </v>
      </c>
      <c r="AA427" s="598" t="str">
        <f t="shared" si="45"/>
        <v xml:space="preserve"> </v>
      </c>
      <c r="AB427" s="598" t="str">
        <f t="shared" ca="1" si="45"/>
        <v>Dwarven Tongue (Formal)</v>
      </c>
      <c r="AC427" s="598" t="str">
        <f t="shared" ca="1" si="45"/>
        <v>Dwarven Tongue (Formal)</v>
      </c>
      <c r="AD427" s="598" t="str">
        <f t="shared" si="45"/>
        <v xml:space="preserve"> </v>
      </c>
      <c r="AE427" s="598" t="str">
        <f t="shared" si="45"/>
        <v xml:space="preserve"> </v>
      </c>
      <c r="AF427" s="598" t="str">
        <f t="shared" si="45"/>
        <v xml:space="preserve"> </v>
      </c>
      <c r="AG427" s="598" t="str">
        <f t="shared" si="45"/>
        <v xml:space="preserve"> </v>
      </c>
      <c r="AH427" s="598" t="str">
        <f t="shared" si="45"/>
        <v xml:space="preserve"> </v>
      </c>
      <c r="AI427" s="598" t="str">
        <f t="shared" si="45"/>
        <v xml:space="preserve"> </v>
      </c>
      <c r="AJ427" s="598" t="str">
        <f t="shared" si="45"/>
        <v xml:space="preserve"> </v>
      </c>
      <c r="AK427" s="598" t="str">
        <f t="shared" si="45"/>
        <v xml:space="preserve"> </v>
      </c>
      <c r="AL427" s="598" t="str">
        <f t="shared" si="45"/>
        <v xml:space="preserve"> </v>
      </c>
      <c r="AM427" s="598" t="str">
        <f t="shared" si="45"/>
        <v xml:space="preserve"> </v>
      </c>
      <c r="AN427" s="598" t="str">
        <f t="shared" si="45"/>
        <v xml:space="preserve"> </v>
      </c>
      <c r="AO427" s="598" t="str">
        <f t="shared" si="45"/>
        <v xml:space="preserve"> </v>
      </c>
      <c r="AP427" s="598" t="str">
        <f t="shared" si="45"/>
        <v xml:space="preserve"> </v>
      </c>
      <c r="AQ427" s="598" t="str">
        <f t="shared" si="45"/>
        <v xml:space="preserve"> </v>
      </c>
      <c r="AR427" s="598" t="str">
        <f t="shared" si="45"/>
        <v xml:space="preserve"> </v>
      </c>
      <c r="AS427" s="598" t="str">
        <f t="shared" si="45"/>
        <v xml:space="preserve"> </v>
      </c>
      <c r="AT427" s="598" t="str">
        <f t="shared" si="45"/>
        <v xml:space="preserve"> </v>
      </c>
      <c r="AU427" s="598" t="str">
        <f t="shared" si="45"/>
        <v xml:space="preserve"> </v>
      </c>
      <c r="AW427" s="598" t="str">
        <f t="shared" si="47"/>
        <v xml:space="preserve"> </v>
      </c>
      <c r="AX427" s="598" t="str">
        <f t="shared" si="47"/>
        <v xml:space="preserve"> </v>
      </c>
      <c r="AY427" s="598" t="str">
        <f t="shared" si="47"/>
        <v xml:space="preserve"> </v>
      </c>
      <c r="AZ427" s="598" t="str">
        <f t="shared" si="47"/>
        <v xml:space="preserve"> </v>
      </c>
      <c r="BA427" s="598" t="str">
        <f t="shared" si="47"/>
        <v xml:space="preserve"> </v>
      </c>
      <c r="BB427" s="598" t="str">
        <f t="shared" si="47"/>
        <v xml:space="preserve"> </v>
      </c>
      <c r="BC427" s="598" t="str">
        <f t="shared" si="47"/>
        <v xml:space="preserve"> </v>
      </c>
      <c r="BD427" s="598" t="str">
        <f t="shared" si="47"/>
        <v xml:space="preserve"> </v>
      </c>
      <c r="BE427" s="598" t="str">
        <f t="shared" si="47"/>
        <v xml:space="preserve"> </v>
      </c>
      <c r="BF427" s="598" t="str">
        <f t="shared" si="47"/>
        <v xml:space="preserve"> </v>
      </c>
      <c r="BG427" s="598" t="str">
        <f t="shared" si="47"/>
        <v xml:space="preserve"> </v>
      </c>
      <c r="BH427" s="598" t="str">
        <f t="shared" si="47"/>
        <v xml:space="preserve"> </v>
      </c>
      <c r="BI427" s="598" t="str">
        <f t="shared" si="47"/>
        <v xml:space="preserve"> </v>
      </c>
      <c r="BJ427" s="598" t="str">
        <f t="shared" si="47"/>
        <v xml:space="preserve"> </v>
      </c>
      <c r="BK427" s="598" t="str">
        <f t="shared" si="47"/>
        <v xml:space="preserve"> </v>
      </c>
      <c r="BL427" s="598" t="str">
        <f t="shared" si="47"/>
        <v xml:space="preserve"> </v>
      </c>
      <c r="BM427" s="598" t="str">
        <f t="shared" si="48"/>
        <v xml:space="preserve"> </v>
      </c>
      <c r="BN427" s="598" t="str">
        <f t="shared" si="48"/>
        <v xml:space="preserve"> </v>
      </c>
      <c r="BO427" s="598" t="str">
        <f t="shared" si="48"/>
        <v xml:space="preserve"> </v>
      </c>
      <c r="BP427" s="598" t="str">
        <f t="shared" si="48"/>
        <v xml:space="preserve"> </v>
      </c>
      <c r="BQ427" s="598" t="str">
        <f t="shared" si="48"/>
        <v xml:space="preserve"> </v>
      </c>
      <c r="BR427" s="598" t="str">
        <f t="shared" si="48"/>
        <v xml:space="preserve"> </v>
      </c>
      <c r="BS427" s="598" t="str">
        <f t="shared" si="48"/>
        <v xml:space="preserve"> </v>
      </c>
      <c r="BT427" s="598" t="str">
        <f t="shared" si="48"/>
        <v xml:space="preserve"> </v>
      </c>
      <c r="BU427" s="598" t="str">
        <f t="shared" si="48"/>
        <v xml:space="preserve"> </v>
      </c>
      <c r="BV427" s="598" t="str">
        <f t="shared" si="48"/>
        <v xml:space="preserve"> </v>
      </c>
      <c r="BW427" s="598" t="str">
        <f t="shared" si="48"/>
        <v xml:space="preserve"> </v>
      </c>
      <c r="BX427" s="598" t="str">
        <f t="shared" si="48"/>
        <v xml:space="preserve"> </v>
      </c>
      <c r="BY427" s="598" t="str">
        <f t="shared" si="48"/>
        <v xml:space="preserve"> </v>
      </c>
      <c r="BZ427" s="598" t="str">
        <f t="shared" si="48"/>
        <v xml:space="preserve"> </v>
      </c>
      <c r="CA427" s="598" t="str">
        <f t="shared" si="48"/>
        <v xml:space="preserve"> </v>
      </c>
      <c r="CB427" s="598" t="str">
        <f t="shared" si="48"/>
        <v xml:space="preserve"> </v>
      </c>
      <c r="CC427" s="598" t="str">
        <f t="shared" si="49"/>
        <v xml:space="preserve"> </v>
      </c>
      <c r="CD427" s="598" t="str">
        <f t="shared" si="49"/>
        <v xml:space="preserve"> </v>
      </c>
      <c r="CE427" s="598" t="str">
        <f t="shared" si="49"/>
        <v xml:space="preserve"> </v>
      </c>
      <c r="CF427" s="598" t="str">
        <f t="shared" si="49"/>
        <v xml:space="preserve"> </v>
      </c>
      <c r="CG427" s="598" t="str">
        <f t="shared" si="49"/>
        <v xml:space="preserve"> </v>
      </c>
      <c r="CH427" s="598" t="str">
        <f t="shared" si="49"/>
        <v xml:space="preserve"> </v>
      </c>
      <c r="CI427" s="598" t="str">
        <f t="shared" si="49"/>
        <v xml:space="preserve"> </v>
      </c>
      <c r="CJ427" s="598" t="str">
        <f t="shared" si="49"/>
        <v xml:space="preserve"> </v>
      </c>
      <c r="CK427" s="598" t="str">
        <f t="shared" si="49"/>
        <v xml:space="preserve"> </v>
      </c>
      <c r="CL427" s="598" t="str">
        <f t="shared" si="49"/>
        <v xml:space="preserve"> </v>
      </c>
      <c r="CM427" s="598" t="str">
        <f t="shared" si="49"/>
        <v xml:space="preserve"> </v>
      </c>
      <c r="CN427" s="598" t="str">
        <f t="shared" si="49"/>
        <v xml:space="preserve"> </v>
      </c>
      <c r="CO427" s="598" t="str">
        <f t="shared" si="49"/>
        <v xml:space="preserve"> </v>
      </c>
      <c r="CP427" s="598" t="str">
        <f t="shared" si="49"/>
        <v xml:space="preserve"> </v>
      </c>
      <c r="CQ427" s="598" t="str">
        <f t="shared" ca="1" si="49"/>
        <v>Hybrid Creation</v>
      </c>
    </row>
    <row r="428" spans="1:95" ht="9.9499999999999993" customHeight="1">
      <c r="A428" s="598">
        <v>7</v>
      </c>
      <c r="B428" s="598" t="str">
        <f t="shared" ca="1" si="45"/>
        <v>Bestiary Lore</v>
      </c>
      <c r="C428" s="598" t="str">
        <f t="shared" ca="1" si="45"/>
        <v>Elven Tongue (Western)</v>
      </c>
      <c r="D428" s="598" t="str">
        <f t="shared" ca="1" si="45"/>
        <v>Plant Training</v>
      </c>
      <c r="E428" s="598" t="str">
        <f t="shared" si="45"/>
        <v xml:space="preserve"> </v>
      </c>
      <c r="F428" s="598" t="str">
        <f t="shared" si="45"/>
        <v xml:space="preserve"> </v>
      </c>
      <c r="G428" s="598" t="str">
        <f t="shared" si="45"/>
        <v xml:space="preserve"> </v>
      </c>
      <c r="H428" s="598" t="str">
        <f t="shared" si="45"/>
        <v xml:space="preserve"> </v>
      </c>
      <c r="I428" s="598" t="str">
        <f t="shared" si="45"/>
        <v xml:space="preserve"> </v>
      </c>
      <c r="J428" s="598" t="str">
        <f t="shared" si="45"/>
        <v xml:space="preserve"> </v>
      </c>
      <c r="K428" s="598" t="str">
        <f t="shared" si="45"/>
        <v xml:space="preserve"> </v>
      </c>
      <c r="L428" s="598" t="str">
        <f t="shared" si="46"/>
        <v xml:space="preserve"> </v>
      </c>
      <c r="M428" s="598" t="str">
        <f t="shared" ca="1" si="46"/>
        <v/>
      </c>
      <c r="N428" s="598" t="str">
        <f t="shared" ca="1" si="45"/>
        <v>Bestiary Lore</v>
      </c>
      <c r="O428" s="598" t="str">
        <f t="shared" si="45"/>
        <v xml:space="preserve"> </v>
      </c>
      <c r="P428" s="598" t="str">
        <f t="shared" si="45"/>
        <v xml:space="preserve"> </v>
      </c>
      <c r="Q428" s="598" t="str">
        <f t="shared" si="45"/>
        <v xml:space="preserve"> </v>
      </c>
      <c r="R428" s="598" t="str">
        <f t="shared" si="45"/>
        <v xml:space="preserve"> </v>
      </c>
      <c r="S428" s="598" t="str">
        <f t="shared" si="45"/>
        <v xml:space="preserve"> </v>
      </c>
      <c r="T428" s="598" t="str">
        <f t="shared" si="45"/>
        <v xml:space="preserve"> </v>
      </c>
      <c r="U428" s="598" t="str">
        <f t="shared" si="45"/>
        <v xml:space="preserve"> </v>
      </c>
      <c r="V428" s="598" t="str">
        <f t="shared" si="45"/>
        <v xml:space="preserve"> </v>
      </c>
      <c r="W428" s="598" t="str">
        <f t="shared" si="45"/>
        <v xml:space="preserve"> </v>
      </c>
      <c r="X428" s="598" t="str">
        <f t="shared" si="45"/>
        <v xml:space="preserve"> </v>
      </c>
      <c r="Y428" s="598" t="str">
        <f t="shared" si="45"/>
        <v xml:space="preserve"> </v>
      </c>
      <c r="Z428" s="598" t="str">
        <f t="shared" si="45"/>
        <v xml:space="preserve"> </v>
      </c>
      <c r="AA428" s="598" t="str">
        <f t="shared" ref="AA428:AU428" si="50">HLOOKUP(AA$421,$C$217:$Z$317,$A428+1)</f>
        <v xml:space="preserve"> </v>
      </c>
      <c r="AB428" s="598" t="str">
        <f t="shared" ca="1" si="50"/>
        <v>Dwarven Tongue (Ancient)</v>
      </c>
      <c r="AC428" s="598" t="str">
        <f t="shared" ca="1" si="50"/>
        <v>Dwarven Tongue (Ancient)</v>
      </c>
      <c r="AD428" s="598" t="str">
        <f t="shared" si="50"/>
        <v xml:space="preserve"> </v>
      </c>
      <c r="AE428" s="598" t="str">
        <f t="shared" si="50"/>
        <v xml:space="preserve"> </v>
      </c>
      <c r="AF428" s="598" t="str">
        <f t="shared" si="50"/>
        <v xml:space="preserve"> </v>
      </c>
      <c r="AG428" s="598" t="str">
        <f t="shared" si="50"/>
        <v xml:space="preserve"> </v>
      </c>
      <c r="AH428" s="598" t="str">
        <f t="shared" si="50"/>
        <v xml:space="preserve"> </v>
      </c>
      <c r="AI428" s="598" t="str">
        <f t="shared" si="50"/>
        <v xml:space="preserve"> </v>
      </c>
      <c r="AJ428" s="598" t="str">
        <f t="shared" si="50"/>
        <v xml:space="preserve"> </v>
      </c>
      <c r="AK428" s="598" t="str">
        <f t="shared" si="50"/>
        <v xml:space="preserve"> </v>
      </c>
      <c r="AL428" s="598" t="str">
        <f t="shared" si="50"/>
        <v xml:space="preserve"> </v>
      </c>
      <c r="AM428" s="598" t="str">
        <f t="shared" si="50"/>
        <v xml:space="preserve"> </v>
      </c>
      <c r="AN428" s="598" t="str">
        <f t="shared" si="50"/>
        <v xml:space="preserve"> </v>
      </c>
      <c r="AO428" s="598" t="str">
        <f t="shared" si="50"/>
        <v xml:space="preserve"> </v>
      </c>
      <c r="AP428" s="598" t="str">
        <f t="shared" si="50"/>
        <v xml:space="preserve"> </v>
      </c>
      <c r="AQ428" s="598" t="str">
        <f t="shared" si="50"/>
        <v xml:space="preserve"> </v>
      </c>
      <c r="AR428" s="598" t="str">
        <f t="shared" si="50"/>
        <v xml:space="preserve"> </v>
      </c>
      <c r="AS428" s="598" t="str">
        <f t="shared" si="50"/>
        <v xml:space="preserve"> </v>
      </c>
      <c r="AT428" s="598" t="str">
        <f t="shared" si="50"/>
        <v xml:space="preserve"> </v>
      </c>
      <c r="AU428" s="598" t="str">
        <f t="shared" si="50"/>
        <v xml:space="preserve"> </v>
      </c>
      <c r="AW428" s="598" t="str">
        <f t="shared" si="47"/>
        <v xml:space="preserve"> </v>
      </c>
      <c r="AX428" s="598" t="str">
        <f t="shared" si="47"/>
        <v xml:space="preserve"> </v>
      </c>
      <c r="AY428" s="598" t="str">
        <f t="shared" si="47"/>
        <v xml:space="preserve"> </v>
      </c>
      <c r="AZ428" s="598" t="str">
        <f t="shared" si="47"/>
        <v xml:space="preserve"> </v>
      </c>
      <c r="BA428" s="598" t="str">
        <f t="shared" si="47"/>
        <v xml:space="preserve"> </v>
      </c>
      <c r="BB428" s="598" t="str">
        <f t="shared" si="47"/>
        <v xml:space="preserve"> </v>
      </c>
      <c r="BC428" s="598" t="str">
        <f t="shared" si="47"/>
        <v xml:space="preserve"> </v>
      </c>
      <c r="BD428" s="598" t="str">
        <f t="shared" si="47"/>
        <v xml:space="preserve"> </v>
      </c>
      <c r="BE428" s="598" t="str">
        <f t="shared" si="47"/>
        <v xml:space="preserve"> </v>
      </c>
      <c r="BF428" s="598" t="str">
        <f t="shared" si="47"/>
        <v xml:space="preserve"> </v>
      </c>
      <c r="BG428" s="598" t="str">
        <f t="shared" si="47"/>
        <v xml:space="preserve"> </v>
      </c>
      <c r="BH428" s="598" t="str">
        <f t="shared" si="47"/>
        <v xml:space="preserve"> </v>
      </c>
      <c r="BI428" s="598" t="str">
        <f t="shared" si="47"/>
        <v xml:space="preserve"> </v>
      </c>
      <c r="BJ428" s="598" t="str">
        <f t="shared" si="47"/>
        <v xml:space="preserve"> </v>
      </c>
      <c r="BK428" s="598" t="str">
        <f t="shared" si="47"/>
        <v xml:space="preserve"> </v>
      </c>
      <c r="BL428" s="598" t="str">
        <f t="shared" si="47"/>
        <v xml:space="preserve"> </v>
      </c>
      <c r="BM428" s="598" t="str">
        <f t="shared" si="48"/>
        <v xml:space="preserve"> </v>
      </c>
      <c r="BN428" s="598" t="str">
        <f t="shared" si="48"/>
        <v xml:space="preserve"> </v>
      </c>
      <c r="BO428" s="598" t="str">
        <f t="shared" si="48"/>
        <v xml:space="preserve"> </v>
      </c>
      <c r="BP428" s="598" t="str">
        <f t="shared" si="48"/>
        <v xml:space="preserve"> </v>
      </c>
      <c r="BQ428" s="598" t="str">
        <f t="shared" si="48"/>
        <v xml:space="preserve"> </v>
      </c>
      <c r="BR428" s="598" t="str">
        <f t="shared" si="48"/>
        <v xml:space="preserve"> </v>
      </c>
      <c r="BS428" s="598" t="str">
        <f t="shared" si="48"/>
        <v xml:space="preserve"> </v>
      </c>
      <c r="BT428" s="598" t="str">
        <f t="shared" si="48"/>
        <v xml:space="preserve"> </v>
      </c>
      <c r="BU428" s="598" t="str">
        <f t="shared" si="48"/>
        <v xml:space="preserve"> </v>
      </c>
      <c r="BV428" s="598" t="str">
        <f t="shared" si="48"/>
        <v xml:space="preserve"> </v>
      </c>
      <c r="BW428" s="598" t="str">
        <f t="shared" si="48"/>
        <v xml:space="preserve"> </v>
      </c>
      <c r="BX428" s="598" t="str">
        <f t="shared" si="48"/>
        <v xml:space="preserve"> </v>
      </c>
      <c r="BY428" s="598" t="str">
        <f t="shared" si="48"/>
        <v xml:space="preserve"> </v>
      </c>
      <c r="BZ428" s="598" t="str">
        <f t="shared" si="48"/>
        <v xml:space="preserve"> </v>
      </c>
      <c r="CA428" s="598" t="str">
        <f t="shared" si="48"/>
        <v xml:space="preserve"> </v>
      </c>
      <c r="CB428" s="598" t="str">
        <f t="shared" si="48"/>
        <v xml:space="preserve"> </v>
      </c>
      <c r="CC428" s="598" t="str">
        <f t="shared" si="49"/>
        <v xml:space="preserve"> </v>
      </c>
      <c r="CD428" s="598" t="str">
        <f t="shared" si="49"/>
        <v xml:space="preserve"> </v>
      </c>
      <c r="CE428" s="598" t="str">
        <f t="shared" si="49"/>
        <v xml:space="preserve"> </v>
      </c>
      <c r="CF428" s="598" t="str">
        <f t="shared" si="49"/>
        <v xml:space="preserve"> </v>
      </c>
      <c r="CG428" s="598" t="str">
        <f t="shared" si="49"/>
        <v xml:space="preserve"> </v>
      </c>
      <c r="CH428" s="598" t="str">
        <f t="shared" si="49"/>
        <v xml:space="preserve"> </v>
      </c>
      <c r="CI428" s="598" t="str">
        <f t="shared" si="49"/>
        <v xml:space="preserve"> </v>
      </c>
      <c r="CJ428" s="598" t="str">
        <f t="shared" si="49"/>
        <v xml:space="preserve"> </v>
      </c>
      <c r="CK428" s="598" t="str">
        <f t="shared" si="49"/>
        <v xml:space="preserve"> </v>
      </c>
      <c r="CL428" s="598" t="str">
        <f t="shared" si="49"/>
        <v xml:space="preserve"> </v>
      </c>
      <c r="CM428" s="598" t="str">
        <f t="shared" si="49"/>
        <v xml:space="preserve"> </v>
      </c>
      <c r="CN428" s="598" t="str">
        <f t="shared" si="49"/>
        <v xml:space="preserve"> </v>
      </c>
      <c r="CO428" s="598" t="str">
        <f t="shared" si="49"/>
        <v xml:space="preserve"> </v>
      </c>
      <c r="CP428" s="598" t="str">
        <f t="shared" si="49"/>
        <v xml:space="preserve"> </v>
      </c>
      <c r="CQ428" s="598" t="str">
        <f t="shared" ca="1" si="49"/>
        <v>Plant Training</v>
      </c>
    </row>
    <row r="429" spans="1:95" ht="9.9499999999999993" customHeight="1">
      <c r="A429" s="598">
        <v>8</v>
      </c>
      <c r="B429" s="598" t="str">
        <f t="shared" ref="B429:AU434" ca="1" si="51">HLOOKUP(B$421,$C$217:$Z$317,$A429+1)</f>
        <v>Botany Lore</v>
      </c>
      <c r="C429" s="598" t="str">
        <f t="shared" ca="1" si="51"/>
        <v>Elven Tongue (Eastern)</v>
      </c>
      <c r="D429" s="598" t="str">
        <f t="shared" ca="1" si="51"/>
        <v>Vegetable Crops</v>
      </c>
      <c r="E429" s="598" t="str">
        <f t="shared" si="51"/>
        <v xml:space="preserve"> </v>
      </c>
      <c r="F429" s="598" t="str">
        <f t="shared" si="51"/>
        <v xml:space="preserve"> </v>
      </c>
      <c r="G429" s="598" t="str">
        <f t="shared" si="51"/>
        <v xml:space="preserve"> </v>
      </c>
      <c r="H429" s="598" t="str">
        <f t="shared" si="51"/>
        <v xml:space="preserve"> </v>
      </c>
      <c r="I429" s="598" t="str">
        <f t="shared" si="51"/>
        <v xml:space="preserve"> </v>
      </c>
      <c r="J429" s="598" t="str">
        <f t="shared" si="51"/>
        <v xml:space="preserve"> </v>
      </c>
      <c r="K429" s="598" t="str">
        <f t="shared" si="51"/>
        <v xml:space="preserve"> </v>
      </c>
      <c r="L429" s="598" t="str">
        <f t="shared" si="46"/>
        <v xml:space="preserve"> </v>
      </c>
      <c r="M429" s="598" t="str">
        <f t="shared" ca="1" si="46"/>
        <v/>
      </c>
      <c r="N429" s="598" t="str">
        <f t="shared" ca="1" si="51"/>
        <v>Botany Lore</v>
      </c>
      <c r="O429" s="598" t="str">
        <f t="shared" si="51"/>
        <v xml:space="preserve"> </v>
      </c>
      <c r="P429" s="598" t="str">
        <f t="shared" si="51"/>
        <v xml:space="preserve"> </v>
      </c>
      <c r="Q429" s="598" t="str">
        <f t="shared" si="51"/>
        <v xml:space="preserve"> </v>
      </c>
      <c r="R429" s="598" t="str">
        <f t="shared" si="51"/>
        <v xml:space="preserve"> </v>
      </c>
      <c r="S429" s="598" t="str">
        <f t="shared" si="51"/>
        <v xml:space="preserve"> </v>
      </c>
      <c r="T429" s="598" t="str">
        <f t="shared" si="51"/>
        <v xml:space="preserve"> </v>
      </c>
      <c r="U429" s="598" t="str">
        <f t="shared" si="51"/>
        <v xml:space="preserve"> </v>
      </c>
      <c r="V429" s="598" t="str">
        <f t="shared" si="51"/>
        <v xml:space="preserve"> </v>
      </c>
      <c r="W429" s="598" t="str">
        <f t="shared" si="51"/>
        <v xml:space="preserve"> </v>
      </c>
      <c r="X429" s="598" t="str">
        <f t="shared" si="51"/>
        <v xml:space="preserve"> </v>
      </c>
      <c r="Y429" s="598" t="str">
        <f t="shared" si="51"/>
        <v xml:space="preserve"> </v>
      </c>
      <c r="Z429" s="598" t="str">
        <f t="shared" si="51"/>
        <v xml:space="preserve"> </v>
      </c>
      <c r="AA429" s="598" t="str">
        <f t="shared" si="51"/>
        <v xml:space="preserve"> </v>
      </c>
      <c r="AB429" s="598" t="str">
        <f t="shared" ca="1" si="51"/>
        <v>Elven Tongue (Western)</v>
      </c>
      <c r="AC429" s="598" t="str">
        <f t="shared" ca="1" si="51"/>
        <v>Elven Tongue (Western)</v>
      </c>
      <c r="AD429" s="598" t="str">
        <f t="shared" si="51"/>
        <v xml:space="preserve"> </v>
      </c>
      <c r="AE429" s="598" t="str">
        <f t="shared" si="51"/>
        <v xml:space="preserve"> </v>
      </c>
      <c r="AF429" s="598" t="str">
        <f t="shared" si="51"/>
        <v xml:space="preserve"> </v>
      </c>
      <c r="AG429" s="598" t="str">
        <f t="shared" si="51"/>
        <v xml:space="preserve"> </v>
      </c>
      <c r="AH429" s="598" t="str">
        <f t="shared" si="51"/>
        <v xml:space="preserve"> </v>
      </c>
      <c r="AI429" s="598" t="str">
        <f t="shared" si="51"/>
        <v xml:space="preserve"> </v>
      </c>
      <c r="AJ429" s="598" t="str">
        <f t="shared" si="51"/>
        <v xml:space="preserve"> </v>
      </c>
      <c r="AK429" s="598" t="str">
        <f t="shared" si="51"/>
        <v xml:space="preserve"> </v>
      </c>
      <c r="AL429" s="598" t="str">
        <f t="shared" si="51"/>
        <v xml:space="preserve"> </v>
      </c>
      <c r="AM429" s="598" t="str">
        <f t="shared" si="51"/>
        <v xml:space="preserve"> </v>
      </c>
      <c r="AN429" s="598" t="str">
        <f t="shared" si="51"/>
        <v xml:space="preserve"> </v>
      </c>
      <c r="AO429" s="598" t="str">
        <f t="shared" si="51"/>
        <v xml:space="preserve"> </v>
      </c>
      <c r="AP429" s="598" t="str">
        <f t="shared" si="51"/>
        <v xml:space="preserve"> </v>
      </c>
      <c r="AQ429" s="598" t="str">
        <f t="shared" si="51"/>
        <v xml:space="preserve"> </v>
      </c>
      <c r="AR429" s="598" t="str">
        <f t="shared" si="51"/>
        <v xml:space="preserve"> </v>
      </c>
      <c r="AS429" s="598" t="str">
        <f t="shared" si="51"/>
        <v xml:space="preserve"> </v>
      </c>
      <c r="AT429" s="598" t="str">
        <f t="shared" si="51"/>
        <v xml:space="preserve"> </v>
      </c>
      <c r="AU429" s="598" t="str">
        <f t="shared" si="51"/>
        <v xml:space="preserve"> </v>
      </c>
      <c r="AW429" s="598" t="str">
        <f t="shared" si="47"/>
        <v xml:space="preserve"> </v>
      </c>
      <c r="AX429" s="598" t="str">
        <f t="shared" si="47"/>
        <v xml:space="preserve"> </v>
      </c>
      <c r="AY429" s="598" t="str">
        <f t="shared" si="47"/>
        <v xml:space="preserve"> </v>
      </c>
      <c r="AZ429" s="598" t="str">
        <f t="shared" si="47"/>
        <v xml:space="preserve"> </v>
      </c>
      <c r="BA429" s="598" t="str">
        <f t="shared" si="47"/>
        <v xml:space="preserve"> </v>
      </c>
      <c r="BB429" s="598" t="str">
        <f t="shared" si="47"/>
        <v xml:space="preserve"> </v>
      </c>
      <c r="BC429" s="598" t="str">
        <f t="shared" si="47"/>
        <v xml:space="preserve"> </v>
      </c>
      <c r="BD429" s="598" t="str">
        <f t="shared" si="47"/>
        <v xml:space="preserve"> </v>
      </c>
      <c r="BE429" s="598" t="str">
        <f t="shared" si="47"/>
        <v xml:space="preserve"> </v>
      </c>
      <c r="BF429" s="598" t="str">
        <f t="shared" si="47"/>
        <v xml:space="preserve"> </v>
      </c>
      <c r="BG429" s="598" t="str">
        <f t="shared" si="47"/>
        <v xml:space="preserve"> </v>
      </c>
      <c r="BH429" s="598" t="str">
        <f t="shared" si="47"/>
        <v xml:space="preserve"> </v>
      </c>
      <c r="BI429" s="598" t="str">
        <f t="shared" si="47"/>
        <v xml:space="preserve"> </v>
      </c>
      <c r="BJ429" s="598" t="str">
        <f t="shared" si="47"/>
        <v xml:space="preserve"> </v>
      </c>
      <c r="BK429" s="598" t="str">
        <f t="shared" si="47"/>
        <v xml:space="preserve"> </v>
      </c>
      <c r="BL429" s="598" t="str">
        <f t="shared" si="47"/>
        <v xml:space="preserve"> </v>
      </c>
      <c r="BM429" s="598" t="str">
        <f t="shared" si="48"/>
        <v xml:space="preserve"> </v>
      </c>
      <c r="BN429" s="598" t="str">
        <f t="shared" si="48"/>
        <v xml:space="preserve"> </v>
      </c>
      <c r="BO429" s="598" t="str">
        <f t="shared" si="48"/>
        <v xml:space="preserve"> </v>
      </c>
      <c r="BP429" s="598" t="str">
        <f t="shared" si="48"/>
        <v xml:space="preserve"> </v>
      </c>
      <c r="BQ429" s="598" t="str">
        <f t="shared" si="48"/>
        <v xml:space="preserve"> </v>
      </c>
      <c r="BR429" s="598" t="str">
        <f t="shared" si="48"/>
        <v xml:space="preserve"> </v>
      </c>
      <c r="BS429" s="598" t="str">
        <f t="shared" si="48"/>
        <v xml:space="preserve"> </v>
      </c>
      <c r="BT429" s="598" t="str">
        <f t="shared" si="48"/>
        <v xml:space="preserve"> </v>
      </c>
      <c r="BU429" s="598" t="str">
        <f t="shared" si="48"/>
        <v xml:space="preserve"> </v>
      </c>
      <c r="BV429" s="598" t="str">
        <f t="shared" si="48"/>
        <v xml:space="preserve"> </v>
      </c>
      <c r="BW429" s="598" t="str">
        <f t="shared" si="48"/>
        <v xml:space="preserve"> </v>
      </c>
      <c r="BX429" s="598" t="str">
        <f t="shared" si="48"/>
        <v xml:space="preserve"> </v>
      </c>
      <c r="BY429" s="598" t="str">
        <f t="shared" si="48"/>
        <v xml:space="preserve"> </v>
      </c>
      <c r="BZ429" s="598" t="str">
        <f t="shared" si="48"/>
        <v xml:space="preserve"> </v>
      </c>
      <c r="CA429" s="598" t="str">
        <f t="shared" si="48"/>
        <v xml:space="preserve"> </v>
      </c>
      <c r="CB429" s="598" t="str">
        <f t="shared" si="48"/>
        <v xml:space="preserve"> </v>
      </c>
      <c r="CC429" s="598" t="str">
        <f t="shared" si="49"/>
        <v xml:space="preserve"> </v>
      </c>
      <c r="CD429" s="598" t="str">
        <f t="shared" si="49"/>
        <v xml:space="preserve"> </v>
      </c>
      <c r="CE429" s="598" t="str">
        <f t="shared" si="49"/>
        <v xml:space="preserve"> </v>
      </c>
      <c r="CF429" s="598" t="str">
        <f t="shared" si="49"/>
        <v xml:space="preserve"> </v>
      </c>
      <c r="CG429" s="598" t="str">
        <f t="shared" si="49"/>
        <v xml:space="preserve"> </v>
      </c>
      <c r="CH429" s="598" t="str">
        <f t="shared" si="49"/>
        <v xml:space="preserve"> </v>
      </c>
      <c r="CI429" s="598" t="str">
        <f t="shared" si="49"/>
        <v xml:space="preserve"> </v>
      </c>
      <c r="CJ429" s="598" t="str">
        <f t="shared" si="49"/>
        <v xml:space="preserve"> </v>
      </c>
      <c r="CK429" s="598" t="str">
        <f t="shared" si="49"/>
        <v xml:space="preserve"> </v>
      </c>
      <c r="CL429" s="598" t="str">
        <f t="shared" si="49"/>
        <v xml:space="preserve"> </v>
      </c>
      <c r="CM429" s="598" t="str">
        <f t="shared" si="49"/>
        <v xml:space="preserve"> </v>
      </c>
      <c r="CN429" s="598" t="str">
        <f t="shared" si="49"/>
        <v xml:space="preserve"> </v>
      </c>
      <c r="CO429" s="598" t="str">
        <f t="shared" si="49"/>
        <v xml:space="preserve"> </v>
      </c>
      <c r="CP429" s="598" t="str">
        <f t="shared" si="49"/>
        <v xml:space="preserve"> </v>
      </c>
      <c r="CQ429" s="598" t="str">
        <f t="shared" ca="1" si="49"/>
        <v>Vegetable Crops</v>
      </c>
    </row>
    <row r="430" spans="1:95" ht="9.9499999999999993" customHeight="1">
      <c r="A430" s="598">
        <v>9</v>
      </c>
      <c r="B430" s="598" t="str">
        <f t="shared" ca="1" si="51"/>
        <v>Cartography</v>
      </c>
      <c r="C430" s="598" t="str">
        <f t="shared" ca="1" si="51"/>
        <v>Elven Tongue (Ancient)</v>
      </c>
      <c r="D430" s="598" t="str">
        <f t="shared" ca="1" si="51"/>
        <v>Viniculture</v>
      </c>
      <c r="E430" s="598" t="str">
        <f t="shared" si="51"/>
        <v xml:space="preserve"> </v>
      </c>
      <c r="F430" s="598" t="str">
        <f t="shared" si="51"/>
        <v xml:space="preserve"> </v>
      </c>
      <c r="G430" s="598" t="str">
        <f t="shared" si="51"/>
        <v xml:space="preserve"> </v>
      </c>
      <c r="H430" s="598" t="str">
        <f t="shared" si="51"/>
        <v xml:space="preserve"> </v>
      </c>
      <c r="I430" s="598" t="str">
        <f t="shared" si="51"/>
        <v xml:space="preserve"> </v>
      </c>
      <c r="J430" s="598" t="str">
        <f t="shared" si="51"/>
        <v xml:space="preserve"> </v>
      </c>
      <c r="K430" s="598" t="str">
        <f t="shared" si="51"/>
        <v xml:space="preserve"> </v>
      </c>
      <c r="L430" s="598" t="str">
        <f t="shared" si="46"/>
        <v xml:space="preserve"> </v>
      </c>
      <c r="M430" s="598" t="str">
        <f t="shared" ca="1" si="46"/>
        <v/>
      </c>
      <c r="N430" s="598" t="str">
        <f t="shared" ca="1" si="51"/>
        <v>Cartography</v>
      </c>
      <c r="O430" s="598" t="str">
        <f t="shared" si="51"/>
        <v xml:space="preserve"> </v>
      </c>
      <c r="P430" s="598" t="str">
        <f t="shared" si="51"/>
        <v xml:space="preserve"> </v>
      </c>
      <c r="Q430" s="598" t="str">
        <f t="shared" si="51"/>
        <v xml:space="preserve"> </v>
      </c>
      <c r="R430" s="598" t="str">
        <f t="shared" si="51"/>
        <v xml:space="preserve"> </v>
      </c>
      <c r="S430" s="598" t="str">
        <f t="shared" si="51"/>
        <v xml:space="preserve"> </v>
      </c>
      <c r="T430" s="598" t="str">
        <f t="shared" si="51"/>
        <v xml:space="preserve"> </v>
      </c>
      <c r="U430" s="598" t="str">
        <f t="shared" si="51"/>
        <v xml:space="preserve"> </v>
      </c>
      <c r="V430" s="598" t="str">
        <f t="shared" si="51"/>
        <v xml:space="preserve"> </v>
      </c>
      <c r="W430" s="598" t="str">
        <f t="shared" si="51"/>
        <v xml:space="preserve"> </v>
      </c>
      <c r="X430" s="598" t="str">
        <f t="shared" si="51"/>
        <v xml:space="preserve"> </v>
      </c>
      <c r="Y430" s="598" t="str">
        <f t="shared" si="51"/>
        <v xml:space="preserve"> </v>
      </c>
      <c r="Z430" s="598" t="str">
        <f t="shared" si="51"/>
        <v xml:space="preserve"> </v>
      </c>
      <c r="AA430" s="598" t="str">
        <f t="shared" si="51"/>
        <v xml:space="preserve"> </v>
      </c>
      <c r="AB430" s="598" t="str">
        <f t="shared" ca="1" si="51"/>
        <v>Elven Tongue (Eastern)</v>
      </c>
      <c r="AC430" s="598" t="str">
        <f t="shared" ca="1" si="51"/>
        <v>Elven Tongue (Eastern)</v>
      </c>
      <c r="AD430" s="598" t="str">
        <f t="shared" si="51"/>
        <v xml:space="preserve"> </v>
      </c>
      <c r="AE430" s="598" t="str">
        <f t="shared" si="51"/>
        <v xml:space="preserve"> </v>
      </c>
      <c r="AF430" s="598" t="str">
        <f t="shared" si="51"/>
        <v xml:space="preserve"> </v>
      </c>
      <c r="AG430" s="598" t="str">
        <f t="shared" si="51"/>
        <v xml:space="preserve"> </v>
      </c>
      <c r="AH430" s="598" t="str">
        <f t="shared" si="51"/>
        <v xml:space="preserve"> </v>
      </c>
      <c r="AI430" s="598" t="str">
        <f t="shared" si="51"/>
        <v xml:space="preserve"> </v>
      </c>
      <c r="AJ430" s="598" t="str">
        <f t="shared" si="51"/>
        <v xml:space="preserve"> </v>
      </c>
      <c r="AK430" s="598" t="str">
        <f t="shared" si="51"/>
        <v xml:space="preserve"> </v>
      </c>
      <c r="AL430" s="598" t="str">
        <f t="shared" si="51"/>
        <v xml:space="preserve"> </v>
      </c>
      <c r="AM430" s="598" t="str">
        <f t="shared" si="51"/>
        <v xml:space="preserve"> </v>
      </c>
      <c r="AN430" s="598" t="str">
        <f t="shared" si="51"/>
        <v xml:space="preserve"> </v>
      </c>
      <c r="AO430" s="598" t="str">
        <f t="shared" si="51"/>
        <v xml:space="preserve"> </v>
      </c>
      <c r="AP430" s="598" t="str">
        <f t="shared" si="51"/>
        <v xml:space="preserve"> </v>
      </c>
      <c r="AQ430" s="598" t="str">
        <f t="shared" si="51"/>
        <v xml:space="preserve"> </v>
      </c>
      <c r="AR430" s="598" t="str">
        <f t="shared" si="51"/>
        <v xml:space="preserve"> </v>
      </c>
      <c r="AS430" s="598" t="str">
        <f t="shared" si="51"/>
        <v xml:space="preserve"> </v>
      </c>
      <c r="AT430" s="598" t="str">
        <f t="shared" si="51"/>
        <v xml:space="preserve"> </v>
      </c>
      <c r="AU430" s="598" t="str">
        <f t="shared" si="51"/>
        <v xml:space="preserve"> </v>
      </c>
      <c r="AW430" s="598" t="str">
        <f t="shared" si="47"/>
        <v xml:space="preserve"> </v>
      </c>
      <c r="AX430" s="598" t="str">
        <f t="shared" si="47"/>
        <v xml:space="preserve"> </v>
      </c>
      <c r="AY430" s="598" t="str">
        <f t="shared" si="47"/>
        <v xml:space="preserve"> </v>
      </c>
      <c r="AZ430" s="598" t="str">
        <f t="shared" si="47"/>
        <v xml:space="preserve"> </v>
      </c>
      <c r="BA430" s="598" t="str">
        <f t="shared" si="47"/>
        <v xml:space="preserve"> </v>
      </c>
      <c r="BB430" s="598" t="str">
        <f t="shared" si="47"/>
        <v xml:space="preserve"> </v>
      </c>
      <c r="BC430" s="598" t="str">
        <f t="shared" si="47"/>
        <v xml:space="preserve"> </v>
      </c>
      <c r="BD430" s="598" t="str">
        <f t="shared" si="47"/>
        <v xml:space="preserve"> </v>
      </c>
      <c r="BE430" s="598" t="str">
        <f t="shared" si="47"/>
        <v xml:space="preserve"> </v>
      </c>
      <c r="BF430" s="598" t="str">
        <f t="shared" si="47"/>
        <v xml:space="preserve"> </v>
      </c>
      <c r="BG430" s="598" t="str">
        <f t="shared" si="47"/>
        <v xml:space="preserve"> </v>
      </c>
      <c r="BH430" s="598" t="str">
        <f t="shared" si="47"/>
        <v xml:space="preserve"> </v>
      </c>
      <c r="BI430" s="598" t="str">
        <f t="shared" si="47"/>
        <v xml:space="preserve"> </v>
      </c>
      <c r="BJ430" s="598" t="str">
        <f t="shared" si="47"/>
        <v xml:space="preserve"> </v>
      </c>
      <c r="BK430" s="598" t="str">
        <f t="shared" si="47"/>
        <v xml:space="preserve"> </v>
      </c>
      <c r="BL430" s="598" t="str">
        <f t="shared" si="47"/>
        <v xml:space="preserve"> </v>
      </c>
      <c r="BM430" s="598" t="str">
        <f t="shared" si="48"/>
        <v xml:space="preserve"> </v>
      </c>
      <c r="BN430" s="598" t="str">
        <f t="shared" si="48"/>
        <v xml:space="preserve"> </v>
      </c>
      <c r="BO430" s="598" t="str">
        <f t="shared" si="48"/>
        <v xml:space="preserve"> </v>
      </c>
      <c r="BP430" s="598" t="str">
        <f t="shared" si="48"/>
        <v xml:space="preserve"> </v>
      </c>
      <c r="BQ430" s="598" t="str">
        <f t="shared" si="48"/>
        <v xml:space="preserve"> </v>
      </c>
      <c r="BR430" s="598" t="str">
        <f t="shared" si="48"/>
        <v xml:space="preserve"> </v>
      </c>
      <c r="BS430" s="598" t="str">
        <f t="shared" si="48"/>
        <v xml:space="preserve"> </v>
      </c>
      <c r="BT430" s="598" t="str">
        <f t="shared" si="48"/>
        <v xml:space="preserve"> </v>
      </c>
      <c r="BU430" s="598" t="str">
        <f t="shared" si="48"/>
        <v xml:space="preserve"> </v>
      </c>
      <c r="BV430" s="598" t="str">
        <f t="shared" si="48"/>
        <v xml:space="preserve"> </v>
      </c>
      <c r="BW430" s="598" t="str">
        <f t="shared" si="48"/>
        <v xml:space="preserve"> </v>
      </c>
      <c r="BX430" s="598" t="str">
        <f t="shared" si="48"/>
        <v xml:space="preserve"> </v>
      </c>
      <c r="BY430" s="598" t="str">
        <f t="shared" si="48"/>
        <v xml:space="preserve"> </v>
      </c>
      <c r="BZ430" s="598" t="str">
        <f t="shared" si="48"/>
        <v xml:space="preserve"> </v>
      </c>
      <c r="CA430" s="598" t="str">
        <f t="shared" si="48"/>
        <v xml:space="preserve"> </v>
      </c>
      <c r="CB430" s="598" t="str">
        <f t="shared" si="48"/>
        <v xml:space="preserve"> </v>
      </c>
      <c r="CC430" s="598" t="str">
        <f t="shared" si="49"/>
        <v xml:space="preserve"> </v>
      </c>
      <c r="CD430" s="598" t="str">
        <f t="shared" si="49"/>
        <v xml:space="preserve"> </v>
      </c>
      <c r="CE430" s="598" t="str">
        <f t="shared" si="49"/>
        <v xml:space="preserve"> </v>
      </c>
      <c r="CF430" s="598" t="str">
        <f t="shared" si="49"/>
        <v xml:space="preserve"> </v>
      </c>
      <c r="CG430" s="598" t="str">
        <f t="shared" si="49"/>
        <v xml:space="preserve"> </v>
      </c>
      <c r="CH430" s="598" t="str">
        <f t="shared" si="49"/>
        <v xml:space="preserve"> </v>
      </c>
      <c r="CI430" s="598" t="str">
        <f t="shared" si="49"/>
        <v xml:space="preserve"> </v>
      </c>
      <c r="CJ430" s="598" t="str">
        <f t="shared" si="49"/>
        <v xml:space="preserve"> </v>
      </c>
      <c r="CK430" s="598" t="str">
        <f t="shared" si="49"/>
        <v xml:space="preserve"> </v>
      </c>
      <c r="CL430" s="598" t="str">
        <f t="shared" si="49"/>
        <v xml:space="preserve"> </v>
      </c>
      <c r="CM430" s="598" t="str">
        <f t="shared" si="49"/>
        <v xml:space="preserve"> </v>
      </c>
      <c r="CN430" s="598" t="str">
        <f t="shared" si="49"/>
        <v xml:space="preserve"> </v>
      </c>
      <c r="CO430" s="598" t="str">
        <f t="shared" si="49"/>
        <v xml:space="preserve"> </v>
      </c>
      <c r="CP430" s="598" t="str">
        <f t="shared" si="49"/>
        <v xml:space="preserve"> </v>
      </c>
      <c r="CQ430" s="598" t="str">
        <f t="shared" ca="1" si="49"/>
        <v>Viniculture</v>
      </c>
    </row>
    <row r="431" spans="1:95" ht="9.9499999999999993" customHeight="1">
      <c r="A431" s="598">
        <v>10</v>
      </c>
      <c r="B431" s="598" t="str">
        <f t="shared" ca="1" si="51"/>
        <v>Encoding and Decoding</v>
      </c>
      <c r="C431" s="598" t="str">
        <f t="shared" ca="1" si="51"/>
        <v>Haeflin Tongue</v>
      </c>
      <c r="D431" s="598" t="str">
        <f t="shared" ca="1" si="51"/>
        <v/>
      </c>
      <c r="E431" s="598" t="str">
        <f t="shared" si="51"/>
        <v xml:space="preserve"> </v>
      </c>
      <c r="F431" s="598" t="str">
        <f t="shared" si="51"/>
        <v xml:space="preserve"> </v>
      </c>
      <c r="G431" s="598" t="str">
        <f t="shared" si="51"/>
        <v xml:space="preserve"> </v>
      </c>
      <c r="H431" s="598" t="str">
        <f t="shared" si="51"/>
        <v xml:space="preserve"> </v>
      </c>
      <c r="I431" s="598" t="str">
        <f t="shared" si="51"/>
        <v xml:space="preserve"> </v>
      </c>
      <c r="J431" s="598" t="str">
        <f t="shared" si="51"/>
        <v xml:space="preserve"> </v>
      </c>
      <c r="K431" s="598" t="str">
        <f t="shared" si="51"/>
        <v xml:space="preserve"> </v>
      </c>
      <c r="L431" s="598" t="str">
        <f t="shared" si="46"/>
        <v xml:space="preserve"> </v>
      </c>
      <c r="M431" s="598" t="str">
        <f t="shared" ca="1" si="46"/>
        <v/>
      </c>
      <c r="N431" s="598" t="str">
        <f t="shared" ca="1" si="51"/>
        <v>Encoding and Decoding</v>
      </c>
      <c r="O431" s="598" t="str">
        <f t="shared" si="51"/>
        <v xml:space="preserve"> </v>
      </c>
      <c r="P431" s="598" t="str">
        <f t="shared" si="51"/>
        <v xml:space="preserve"> </v>
      </c>
      <c r="Q431" s="598" t="str">
        <f t="shared" si="51"/>
        <v xml:space="preserve"> </v>
      </c>
      <c r="R431" s="598" t="str">
        <f t="shared" si="51"/>
        <v xml:space="preserve"> </v>
      </c>
      <c r="S431" s="598" t="str">
        <f t="shared" si="51"/>
        <v xml:space="preserve"> </v>
      </c>
      <c r="T431" s="598" t="str">
        <f t="shared" si="51"/>
        <v xml:space="preserve"> </v>
      </c>
      <c r="U431" s="598" t="str">
        <f t="shared" si="51"/>
        <v xml:space="preserve"> </v>
      </c>
      <c r="V431" s="598" t="str">
        <f t="shared" si="51"/>
        <v xml:space="preserve"> </v>
      </c>
      <c r="W431" s="598" t="str">
        <f t="shared" si="51"/>
        <v xml:space="preserve"> </v>
      </c>
      <c r="X431" s="598" t="str">
        <f t="shared" si="51"/>
        <v xml:space="preserve"> </v>
      </c>
      <c r="Y431" s="598" t="str">
        <f t="shared" si="51"/>
        <v xml:space="preserve"> </v>
      </c>
      <c r="Z431" s="598" t="str">
        <f t="shared" si="51"/>
        <v xml:space="preserve"> </v>
      </c>
      <c r="AA431" s="598" t="str">
        <f t="shared" si="51"/>
        <v xml:space="preserve"> </v>
      </c>
      <c r="AB431" s="598" t="str">
        <f t="shared" ca="1" si="51"/>
        <v>Elven Tongue (Ancient)</v>
      </c>
      <c r="AC431" s="598" t="str">
        <f t="shared" ca="1" si="51"/>
        <v>Elven Tongue (Ancient)</v>
      </c>
      <c r="AD431" s="598" t="str">
        <f t="shared" si="51"/>
        <v xml:space="preserve"> </v>
      </c>
      <c r="AE431" s="598" t="str">
        <f t="shared" si="51"/>
        <v xml:space="preserve"> </v>
      </c>
      <c r="AF431" s="598" t="str">
        <f t="shared" si="51"/>
        <v xml:space="preserve"> </v>
      </c>
      <c r="AG431" s="598" t="str">
        <f t="shared" si="51"/>
        <v xml:space="preserve"> </v>
      </c>
      <c r="AH431" s="598" t="str">
        <f t="shared" si="51"/>
        <v xml:space="preserve"> </v>
      </c>
      <c r="AI431" s="598" t="str">
        <f t="shared" si="51"/>
        <v xml:space="preserve"> </v>
      </c>
      <c r="AJ431" s="598" t="str">
        <f t="shared" si="51"/>
        <v xml:space="preserve"> </v>
      </c>
      <c r="AK431" s="598" t="str">
        <f t="shared" si="51"/>
        <v xml:space="preserve"> </v>
      </c>
      <c r="AL431" s="598" t="str">
        <f t="shared" si="51"/>
        <v xml:space="preserve"> </v>
      </c>
      <c r="AM431" s="598" t="str">
        <f t="shared" si="51"/>
        <v xml:space="preserve"> </v>
      </c>
      <c r="AN431" s="598" t="str">
        <f t="shared" si="51"/>
        <v xml:space="preserve"> </v>
      </c>
      <c r="AO431" s="598" t="str">
        <f t="shared" si="51"/>
        <v xml:space="preserve"> </v>
      </c>
      <c r="AP431" s="598" t="str">
        <f t="shared" si="51"/>
        <v xml:space="preserve"> </v>
      </c>
      <c r="AQ431" s="598" t="str">
        <f t="shared" si="51"/>
        <v xml:space="preserve"> </v>
      </c>
      <c r="AR431" s="598" t="str">
        <f t="shared" si="51"/>
        <v xml:space="preserve"> </v>
      </c>
      <c r="AS431" s="598" t="str">
        <f t="shared" si="51"/>
        <v xml:space="preserve"> </v>
      </c>
      <c r="AT431" s="598" t="str">
        <f t="shared" si="51"/>
        <v xml:space="preserve"> </v>
      </c>
      <c r="AU431" s="598" t="str">
        <f t="shared" si="51"/>
        <v xml:space="preserve"> </v>
      </c>
      <c r="AW431" s="598" t="str">
        <f t="shared" si="47"/>
        <v xml:space="preserve"> </v>
      </c>
      <c r="AX431" s="598" t="str">
        <f t="shared" si="47"/>
        <v xml:space="preserve"> </v>
      </c>
      <c r="AY431" s="598" t="str">
        <f t="shared" si="47"/>
        <v xml:space="preserve"> </v>
      </c>
      <c r="AZ431" s="598" t="str">
        <f t="shared" si="47"/>
        <v xml:space="preserve"> </v>
      </c>
      <c r="BA431" s="598" t="str">
        <f t="shared" si="47"/>
        <v xml:space="preserve"> </v>
      </c>
      <c r="BB431" s="598" t="str">
        <f t="shared" si="47"/>
        <v xml:space="preserve"> </v>
      </c>
      <c r="BC431" s="598" t="str">
        <f t="shared" si="47"/>
        <v xml:space="preserve"> </v>
      </c>
      <c r="BD431" s="598" t="str">
        <f t="shared" si="47"/>
        <v xml:space="preserve"> </v>
      </c>
      <c r="BE431" s="598" t="str">
        <f t="shared" si="47"/>
        <v xml:space="preserve"> </v>
      </c>
      <c r="BF431" s="598" t="str">
        <f t="shared" si="47"/>
        <v xml:space="preserve"> </v>
      </c>
      <c r="BG431" s="598" t="str">
        <f t="shared" si="47"/>
        <v xml:space="preserve"> </v>
      </c>
      <c r="BH431" s="598" t="str">
        <f t="shared" si="47"/>
        <v xml:space="preserve"> </v>
      </c>
      <c r="BI431" s="598" t="str">
        <f t="shared" si="47"/>
        <v xml:space="preserve"> </v>
      </c>
      <c r="BJ431" s="598" t="str">
        <f t="shared" si="47"/>
        <v xml:space="preserve"> </v>
      </c>
      <c r="BK431" s="598" t="str">
        <f t="shared" si="47"/>
        <v xml:space="preserve"> </v>
      </c>
      <c r="BL431" s="598" t="str">
        <f t="shared" si="47"/>
        <v xml:space="preserve"> </v>
      </c>
      <c r="BM431" s="598" t="str">
        <f t="shared" si="48"/>
        <v xml:space="preserve"> </v>
      </c>
      <c r="BN431" s="598" t="str">
        <f t="shared" si="48"/>
        <v xml:space="preserve"> </v>
      </c>
      <c r="BO431" s="598" t="str">
        <f t="shared" si="48"/>
        <v xml:space="preserve"> </v>
      </c>
      <c r="BP431" s="598" t="str">
        <f t="shared" si="48"/>
        <v xml:space="preserve"> </v>
      </c>
      <c r="BQ431" s="598" t="str">
        <f t="shared" si="48"/>
        <v xml:space="preserve"> </v>
      </c>
      <c r="BR431" s="598" t="str">
        <f t="shared" si="48"/>
        <v xml:space="preserve"> </v>
      </c>
      <c r="BS431" s="598" t="str">
        <f t="shared" si="48"/>
        <v xml:space="preserve"> </v>
      </c>
      <c r="BT431" s="598" t="str">
        <f t="shared" si="48"/>
        <v xml:space="preserve"> </v>
      </c>
      <c r="BU431" s="598" t="str">
        <f t="shared" si="48"/>
        <v xml:space="preserve"> </v>
      </c>
      <c r="BV431" s="598" t="str">
        <f t="shared" si="48"/>
        <v xml:space="preserve"> </v>
      </c>
      <c r="BW431" s="598" t="str">
        <f t="shared" si="48"/>
        <v xml:space="preserve"> </v>
      </c>
      <c r="BX431" s="598" t="str">
        <f t="shared" si="48"/>
        <v xml:space="preserve"> </v>
      </c>
      <c r="BY431" s="598" t="str">
        <f t="shared" si="48"/>
        <v xml:space="preserve"> </v>
      </c>
      <c r="BZ431" s="598" t="str">
        <f t="shared" si="48"/>
        <v xml:space="preserve"> </v>
      </c>
      <c r="CA431" s="598" t="str">
        <f t="shared" si="48"/>
        <v xml:space="preserve"> </v>
      </c>
      <c r="CB431" s="598" t="str">
        <f t="shared" si="48"/>
        <v xml:space="preserve"> </v>
      </c>
      <c r="CC431" s="598" t="str">
        <f t="shared" si="49"/>
        <v xml:space="preserve"> </v>
      </c>
      <c r="CD431" s="598" t="str">
        <f t="shared" si="49"/>
        <v xml:space="preserve"> </v>
      </c>
      <c r="CE431" s="598" t="str">
        <f t="shared" si="49"/>
        <v xml:space="preserve"> </v>
      </c>
      <c r="CF431" s="598" t="str">
        <f t="shared" si="49"/>
        <v xml:space="preserve"> </v>
      </c>
      <c r="CG431" s="598" t="str">
        <f t="shared" si="49"/>
        <v xml:space="preserve"> </v>
      </c>
      <c r="CH431" s="598" t="str">
        <f t="shared" si="49"/>
        <v xml:space="preserve"> </v>
      </c>
      <c r="CI431" s="598" t="str">
        <f t="shared" si="49"/>
        <v xml:space="preserve"> </v>
      </c>
      <c r="CJ431" s="598" t="str">
        <f t="shared" si="49"/>
        <v xml:space="preserve"> </v>
      </c>
      <c r="CK431" s="598" t="str">
        <f t="shared" si="49"/>
        <v xml:space="preserve"> </v>
      </c>
      <c r="CL431" s="598" t="str">
        <f t="shared" si="49"/>
        <v xml:space="preserve"> </v>
      </c>
      <c r="CM431" s="598" t="str">
        <f t="shared" si="49"/>
        <v xml:space="preserve"> </v>
      </c>
      <c r="CN431" s="598" t="str">
        <f t="shared" si="49"/>
        <v xml:space="preserve"> </v>
      </c>
      <c r="CO431" s="598" t="str">
        <f t="shared" si="49"/>
        <v xml:space="preserve"> </v>
      </c>
      <c r="CP431" s="598" t="str">
        <f t="shared" si="49"/>
        <v xml:space="preserve"> </v>
      </c>
      <c r="CQ431" s="598" t="str">
        <f t="shared" ca="1" si="49"/>
        <v/>
      </c>
    </row>
    <row r="432" spans="1:95" ht="9.9499999999999993" customHeight="1">
      <c r="A432" s="598">
        <v>11</v>
      </c>
      <c r="B432" s="598" t="str">
        <f t="shared" ca="1" si="51"/>
        <v>E&amp;D:Mechanical Cipher</v>
      </c>
      <c r="C432" s="598" t="str">
        <f t="shared" ca="1" si="51"/>
        <v>Haeflin Tongue (Ancient)</v>
      </c>
      <c r="D432" s="598" t="str">
        <f t="shared" ca="1" si="51"/>
        <v/>
      </c>
      <c r="E432" s="598" t="str">
        <f t="shared" si="51"/>
        <v xml:space="preserve"> </v>
      </c>
      <c r="F432" s="598" t="str">
        <f t="shared" si="51"/>
        <v xml:space="preserve"> </v>
      </c>
      <c r="G432" s="598" t="str">
        <f t="shared" si="51"/>
        <v xml:space="preserve"> </v>
      </c>
      <c r="H432" s="598" t="str">
        <f t="shared" si="51"/>
        <v xml:space="preserve"> </v>
      </c>
      <c r="I432" s="598" t="str">
        <f t="shared" si="51"/>
        <v xml:space="preserve"> </v>
      </c>
      <c r="J432" s="598" t="str">
        <f t="shared" si="51"/>
        <v xml:space="preserve"> </v>
      </c>
      <c r="K432" s="598" t="str">
        <f t="shared" si="51"/>
        <v xml:space="preserve"> </v>
      </c>
      <c r="L432" s="598" t="str">
        <f t="shared" si="46"/>
        <v xml:space="preserve"> </v>
      </c>
      <c r="M432" s="598" t="str">
        <f t="shared" ca="1" si="46"/>
        <v/>
      </c>
      <c r="N432" s="598" t="str">
        <f t="shared" ca="1" si="51"/>
        <v>E&amp;D:Mechanical Cipher</v>
      </c>
      <c r="O432" s="598" t="str">
        <f t="shared" si="51"/>
        <v xml:space="preserve"> </v>
      </c>
      <c r="P432" s="598" t="str">
        <f t="shared" si="51"/>
        <v xml:space="preserve"> </v>
      </c>
      <c r="Q432" s="598" t="str">
        <f t="shared" si="51"/>
        <v xml:space="preserve"> </v>
      </c>
      <c r="R432" s="598" t="str">
        <f t="shared" si="51"/>
        <v xml:space="preserve"> </v>
      </c>
      <c r="S432" s="598" t="str">
        <f t="shared" si="51"/>
        <v xml:space="preserve"> </v>
      </c>
      <c r="T432" s="598" t="str">
        <f t="shared" si="51"/>
        <v xml:space="preserve"> </v>
      </c>
      <c r="U432" s="598" t="str">
        <f t="shared" si="51"/>
        <v xml:space="preserve"> </v>
      </c>
      <c r="V432" s="598" t="str">
        <f t="shared" si="51"/>
        <v xml:space="preserve"> </v>
      </c>
      <c r="W432" s="598" t="str">
        <f t="shared" si="51"/>
        <v xml:space="preserve"> </v>
      </c>
      <c r="X432" s="598" t="str">
        <f t="shared" si="51"/>
        <v xml:space="preserve"> </v>
      </c>
      <c r="Y432" s="598" t="str">
        <f t="shared" si="51"/>
        <v xml:space="preserve"> </v>
      </c>
      <c r="Z432" s="598" t="str">
        <f t="shared" si="51"/>
        <v xml:space="preserve"> </v>
      </c>
      <c r="AA432" s="598" t="str">
        <f t="shared" si="51"/>
        <v xml:space="preserve"> </v>
      </c>
      <c r="AB432" s="598" t="str">
        <f t="shared" ca="1" si="51"/>
        <v>Haeflin Tongue</v>
      </c>
      <c r="AC432" s="598" t="str">
        <f t="shared" ca="1" si="51"/>
        <v>Haeflin Tongue</v>
      </c>
      <c r="AD432" s="598" t="str">
        <f t="shared" si="51"/>
        <v xml:space="preserve"> </v>
      </c>
      <c r="AE432" s="598" t="str">
        <f t="shared" si="51"/>
        <v xml:space="preserve"> </v>
      </c>
      <c r="AF432" s="598" t="str">
        <f t="shared" si="51"/>
        <v xml:space="preserve"> </v>
      </c>
      <c r="AG432" s="598" t="str">
        <f t="shared" si="51"/>
        <v xml:space="preserve"> </v>
      </c>
      <c r="AH432" s="598" t="str">
        <f t="shared" si="51"/>
        <v xml:space="preserve"> </v>
      </c>
      <c r="AI432" s="598" t="str">
        <f t="shared" si="51"/>
        <v xml:space="preserve"> </v>
      </c>
      <c r="AJ432" s="598" t="str">
        <f t="shared" si="51"/>
        <v xml:space="preserve"> </v>
      </c>
      <c r="AK432" s="598" t="str">
        <f t="shared" si="51"/>
        <v xml:space="preserve"> </v>
      </c>
      <c r="AL432" s="598" t="str">
        <f t="shared" si="51"/>
        <v xml:space="preserve"> </v>
      </c>
      <c r="AM432" s="598" t="str">
        <f t="shared" si="51"/>
        <v xml:space="preserve"> </v>
      </c>
      <c r="AN432" s="598" t="str">
        <f t="shared" si="51"/>
        <v xml:space="preserve"> </v>
      </c>
      <c r="AO432" s="598" t="str">
        <f t="shared" si="51"/>
        <v xml:space="preserve"> </v>
      </c>
      <c r="AP432" s="598" t="str">
        <f t="shared" si="51"/>
        <v xml:space="preserve"> </v>
      </c>
      <c r="AQ432" s="598" t="str">
        <f t="shared" si="51"/>
        <v xml:space="preserve"> </v>
      </c>
      <c r="AR432" s="598" t="str">
        <f t="shared" si="51"/>
        <v xml:space="preserve"> </v>
      </c>
      <c r="AS432" s="598" t="str">
        <f t="shared" si="51"/>
        <v xml:space="preserve"> </v>
      </c>
      <c r="AT432" s="598" t="str">
        <f t="shared" si="51"/>
        <v xml:space="preserve"> </v>
      </c>
      <c r="AU432" s="598" t="str">
        <f t="shared" si="51"/>
        <v xml:space="preserve"> </v>
      </c>
      <c r="AW432" s="598" t="str">
        <f t="shared" si="47"/>
        <v xml:space="preserve"> </v>
      </c>
      <c r="AX432" s="598" t="str">
        <f t="shared" si="47"/>
        <v xml:space="preserve"> </v>
      </c>
      <c r="AY432" s="598" t="str">
        <f t="shared" si="47"/>
        <v xml:space="preserve"> </v>
      </c>
      <c r="AZ432" s="598" t="str">
        <f t="shared" si="47"/>
        <v xml:space="preserve"> </v>
      </c>
      <c r="BA432" s="598" t="str">
        <f t="shared" si="47"/>
        <v xml:space="preserve"> </v>
      </c>
      <c r="BB432" s="598" t="str">
        <f t="shared" si="47"/>
        <v xml:space="preserve"> </v>
      </c>
      <c r="BC432" s="598" t="str">
        <f t="shared" si="47"/>
        <v xml:space="preserve"> </v>
      </c>
      <c r="BD432" s="598" t="str">
        <f t="shared" si="47"/>
        <v xml:space="preserve"> </v>
      </c>
      <c r="BE432" s="598" t="str">
        <f t="shared" si="47"/>
        <v xml:space="preserve"> </v>
      </c>
      <c r="BF432" s="598" t="str">
        <f t="shared" si="47"/>
        <v xml:space="preserve"> </v>
      </c>
      <c r="BG432" s="598" t="str">
        <f t="shared" si="47"/>
        <v xml:space="preserve"> </v>
      </c>
      <c r="BH432" s="598" t="str">
        <f t="shared" si="47"/>
        <v xml:space="preserve"> </v>
      </c>
      <c r="BI432" s="598" t="str">
        <f t="shared" si="47"/>
        <v xml:space="preserve"> </v>
      </c>
      <c r="BJ432" s="598" t="str">
        <f t="shared" si="47"/>
        <v xml:space="preserve"> </v>
      </c>
      <c r="BK432" s="598" t="str">
        <f t="shared" si="47"/>
        <v xml:space="preserve"> </v>
      </c>
      <c r="BL432" s="598" t="str">
        <f t="shared" si="47"/>
        <v xml:space="preserve"> </v>
      </c>
      <c r="BM432" s="598" t="str">
        <f t="shared" si="48"/>
        <v xml:space="preserve"> </v>
      </c>
      <c r="BN432" s="598" t="str">
        <f t="shared" si="48"/>
        <v xml:space="preserve"> </v>
      </c>
      <c r="BO432" s="598" t="str">
        <f t="shared" si="48"/>
        <v xml:space="preserve"> </v>
      </c>
      <c r="BP432" s="598" t="str">
        <f t="shared" si="48"/>
        <v xml:space="preserve"> </v>
      </c>
      <c r="BQ432" s="598" t="str">
        <f t="shared" si="48"/>
        <v xml:space="preserve"> </v>
      </c>
      <c r="BR432" s="598" t="str">
        <f t="shared" si="48"/>
        <v xml:space="preserve"> </v>
      </c>
      <c r="BS432" s="598" t="str">
        <f t="shared" si="48"/>
        <v xml:space="preserve"> </v>
      </c>
      <c r="BT432" s="598" t="str">
        <f t="shared" si="48"/>
        <v xml:space="preserve"> </v>
      </c>
      <c r="BU432" s="598" t="str">
        <f t="shared" si="48"/>
        <v xml:space="preserve"> </v>
      </c>
      <c r="BV432" s="598" t="str">
        <f t="shared" si="48"/>
        <v xml:space="preserve"> </v>
      </c>
      <c r="BW432" s="598" t="str">
        <f t="shared" si="48"/>
        <v xml:space="preserve"> </v>
      </c>
      <c r="BX432" s="598" t="str">
        <f t="shared" si="48"/>
        <v xml:space="preserve"> </v>
      </c>
      <c r="BY432" s="598" t="str">
        <f t="shared" si="48"/>
        <v xml:space="preserve"> </v>
      </c>
      <c r="BZ432" s="598" t="str">
        <f t="shared" si="48"/>
        <v xml:space="preserve"> </v>
      </c>
      <c r="CA432" s="598" t="str">
        <f t="shared" si="48"/>
        <v xml:space="preserve"> </v>
      </c>
      <c r="CB432" s="598" t="str">
        <f t="shared" si="48"/>
        <v xml:space="preserve"> </v>
      </c>
      <c r="CC432" s="598" t="str">
        <f t="shared" si="49"/>
        <v xml:space="preserve"> </v>
      </c>
      <c r="CD432" s="598" t="str">
        <f t="shared" si="49"/>
        <v xml:space="preserve"> </v>
      </c>
      <c r="CE432" s="598" t="str">
        <f t="shared" si="49"/>
        <v xml:space="preserve"> </v>
      </c>
      <c r="CF432" s="598" t="str">
        <f t="shared" si="49"/>
        <v xml:space="preserve"> </v>
      </c>
      <c r="CG432" s="598" t="str">
        <f t="shared" si="49"/>
        <v xml:space="preserve"> </v>
      </c>
      <c r="CH432" s="598" t="str">
        <f t="shared" si="49"/>
        <v xml:space="preserve"> </v>
      </c>
      <c r="CI432" s="598" t="str">
        <f t="shared" si="49"/>
        <v xml:space="preserve"> </v>
      </c>
      <c r="CJ432" s="598" t="str">
        <f t="shared" si="49"/>
        <v xml:space="preserve"> </v>
      </c>
      <c r="CK432" s="598" t="str">
        <f t="shared" si="49"/>
        <v xml:space="preserve"> </v>
      </c>
      <c r="CL432" s="598" t="str">
        <f t="shared" si="49"/>
        <v xml:space="preserve"> </v>
      </c>
      <c r="CM432" s="598" t="str">
        <f t="shared" si="49"/>
        <v xml:space="preserve"> </v>
      </c>
      <c r="CN432" s="598" t="str">
        <f t="shared" si="49"/>
        <v xml:space="preserve"> </v>
      </c>
      <c r="CO432" s="598" t="str">
        <f t="shared" si="49"/>
        <v xml:space="preserve"> </v>
      </c>
      <c r="CP432" s="598" t="str">
        <f t="shared" si="49"/>
        <v xml:space="preserve"> </v>
      </c>
      <c r="CQ432" s="598" t="str">
        <f t="shared" ca="1" si="49"/>
        <v/>
      </c>
    </row>
    <row r="433" spans="1:95" ht="9.9499999999999993" customHeight="1">
      <c r="A433" s="598">
        <v>12</v>
      </c>
      <c r="B433" s="598" t="str">
        <f t="shared" ca="1" si="51"/>
        <v>E&amp;D:Polyalphabetic Cipher</v>
      </c>
      <c r="C433" s="598" t="str">
        <f t="shared" ca="1" si="51"/>
        <v>Mage Speech (Coniron)</v>
      </c>
      <c r="D433" s="598" t="str">
        <f t="shared" ca="1" si="51"/>
        <v/>
      </c>
      <c r="E433" s="598" t="str">
        <f t="shared" si="51"/>
        <v xml:space="preserve"> </v>
      </c>
      <c r="F433" s="598" t="str">
        <f t="shared" si="51"/>
        <v xml:space="preserve"> </v>
      </c>
      <c r="G433" s="598" t="str">
        <f t="shared" si="51"/>
        <v xml:space="preserve"> </v>
      </c>
      <c r="H433" s="598" t="str">
        <f t="shared" si="51"/>
        <v xml:space="preserve"> </v>
      </c>
      <c r="I433" s="598" t="str">
        <f t="shared" si="51"/>
        <v xml:space="preserve"> </v>
      </c>
      <c r="J433" s="598" t="str">
        <f t="shared" si="51"/>
        <v xml:space="preserve"> </v>
      </c>
      <c r="K433" s="598" t="str">
        <f t="shared" si="51"/>
        <v xml:space="preserve"> </v>
      </c>
      <c r="L433" s="598" t="str">
        <f t="shared" si="46"/>
        <v xml:space="preserve"> </v>
      </c>
      <c r="M433" s="598" t="str">
        <f t="shared" ca="1" si="46"/>
        <v/>
      </c>
      <c r="N433" s="598" t="str">
        <f t="shared" ca="1" si="51"/>
        <v>E&amp;D:Polyalphabetic Cipher</v>
      </c>
      <c r="O433" s="598" t="str">
        <f t="shared" si="51"/>
        <v xml:space="preserve"> </v>
      </c>
      <c r="P433" s="598" t="str">
        <f t="shared" si="51"/>
        <v xml:space="preserve"> </v>
      </c>
      <c r="Q433" s="598" t="str">
        <f t="shared" si="51"/>
        <v xml:space="preserve"> </v>
      </c>
      <c r="R433" s="598" t="str">
        <f t="shared" si="51"/>
        <v xml:space="preserve"> </v>
      </c>
      <c r="S433" s="598" t="str">
        <f t="shared" si="51"/>
        <v xml:space="preserve"> </v>
      </c>
      <c r="T433" s="598" t="str">
        <f t="shared" si="51"/>
        <v xml:space="preserve"> </v>
      </c>
      <c r="U433" s="598" t="str">
        <f t="shared" si="51"/>
        <v xml:space="preserve"> </v>
      </c>
      <c r="V433" s="598" t="str">
        <f t="shared" si="51"/>
        <v xml:space="preserve"> </v>
      </c>
      <c r="W433" s="598" t="str">
        <f t="shared" si="51"/>
        <v xml:space="preserve"> </v>
      </c>
      <c r="X433" s="598" t="str">
        <f t="shared" si="51"/>
        <v xml:space="preserve"> </v>
      </c>
      <c r="Y433" s="598" t="str">
        <f t="shared" si="51"/>
        <v xml:space="preserve"> </v>
      </c>
      <c r="Z433" s="598" t="str">
        <f t="shared" si="51"/>
        <v xml:space="preserve"> </v>
      </c>
      <c r="AA433" s="598" t="str">
        <f t="shared" si="51"/>
        <v xml:space="preserve"> </v>
      </c>
      <c r="AB433" s="598" t="str">
        <f t="shared" ca="1" si="51"/>
        <v>Haeflin Tongue (Ancient)</v>
      </c>
      <c r="AC433" s="598" t="str">
        <f t="shared" ca="1" si="51"/>
        <v>Haeflin Tongue (Ancient)</v>
      </c>
      <c r="AD433" s="598" t="str">
        <f t="shared" si="51"/>
        <v xml:space="preserve"> </v>
      </c>
      <c r="AE433" s="598" t="str">
        <f t="shared" si="51"/>
        <v xml:space="preserve"> </v>
      </c>
      <c r="AF433" s="598" t="str">
        <f t="shared" si="51"/>
        <v xml:space="preserve"> </v>
      </c>
      <c r="AG433" s="598" t="str">
        <f t="shared" si="51"/>
        <v xml:space="preserve"> </v>
      </c>
      <c r="AH433" s="598" t="str">
        <f t="shared" si="51"/>
        <v xml:space="preserve"> </v>
      </c>
      <c r="AI433" s="598" t="str">
        <f t="shared" si="51"/>
        <v xml:space="preserve"> </v>
      </c>
      <c r="AJ433" s="598" t="str">
        <f t="shared" si="51"/>
        <v xml:space="preserve"> </v>
      </c>
      <c r="AK433" s="598" t="str">
        <f t="shared" si="51"/>
        <v xml:space="preserve"> </v>
      </c>
      <c r="AL433" s="598" t="str">
        <f t="shared" si="51"/>
        <v xml:space="preserve"> </v>
      </c>
      <c r="AM433" s="598" t="str">
        <f t="shared" si="51"/>
        <v xml:space="preserve"> </v>
      </c>
      <c r="AN433" s="598" t="str">
        <f t="shared" si="51"/>
        <v xml:space="preserve"> </v>
      </c>
      <c r="AO433" s="598" t="str">
        <f t="shared" si="51"/>
        <v xml:space="preserve"> </v>
      </c>
      <c r="AP433" s="598" t="str">
        <f t="shared" si="51"/>
        <v xml:space="preserve"> </v>
      </c>
      <c r="AQ433" s="598" t="str">
        <f t="shared" si="51"/>
        <v xml:space="preserve"> </v>
      </c>
      <c r="AR433" s="598" t="str">
        <f t="shared" si="51"/>
        <v xml:space="preserve"> </v>
      </c>
      <c r="AS433" s="598" t="str">
        <f t="shared" si="51"/>
        <v xml:space="preserve"> </v>
      </c>
      <c r="AT433" s="598" t="str">
        <f t="shared" si="51"/>
        <v xml:space="preserve"> </v>
      </c>
      <c r="AU433" s="598" t="str">
        <f t="shared" si="51"/>
        <v xml:space="preserve"> </v>
      </c>
      <c r="AW433" s="598" t="str">
        <f t="shared" si="47"/>
        <v xml:space="preserve"> </v>
      </c>
      <c r="AX433" s="598" t="str">
        <f t="shared" si="47"/>
        <v xml:space="preserve"> </v>
      </c>
      <c r="AY433" s="598" t="str">
        <f t="shared" si="47"/>
        <v xml:space="preserve"> </v>
      </c>
      <c r="AZ433" s="598" t="str">
        <f t="shared" si="47"/>
        <v xml:space="preserve"> </v>
      </c>
      <c r="BA433" s="598" t="str">
        <f t="shared" si="47"/>
        <v xml:space="preserve"> </v>
      </c>
      <c r="BB433" s="598" t="str">
        <f t="shared" si="47"/>
        <v xml:space="preserve"> </v>
      </c>
      <c r="BC433" s="598" t="str">
        <f t="shared" si="47"/>
        <v xml:space="preserve"> </v>
      </c>
      <c r="BD433" s="598" t="str">
        <f t="shared" si="47"/>
        <v xml:space="preserve"> </v>
      </c>
      <c r="BE433" s="598" t="str">
        <f t="shared" si="47"/>
        <v xml:space="preserve"> </v>
      </c>
      <c r="BF433" s="598" t="str">
        <f t="shared" si="47"/>
        <v xml:space="preserve"> </v>
      </c>
      <c r="BG433" s="598" t="str">
        <f t="shared" si="47"/>
        <v xml:space="preserve"> </v>
      </c>
      <c r="BH433" s="598" t="str">
        <f t="shared" si="47"/>
        <v xml:space="preserve"> </v>
      </c>
      <c r="BI433" s="598" t="str">
        <f t="shared" si="47"/>
        <v xml:space="preserve"> </v>
      </c>
      <c r="BJ433" s="598" t="str">
        <f t="shared" si="47"/>
        <v xml:space="preserve"> </v>
      </c>
      <c r="BK433" s="598" t="str">
        <f t="shared" si="47"/>
        <v xml:space="preserve"> </v>
      </c>
      <c r="BL433" s="598" t="str">
        <f t="shared" si="47"/>
        <v xml:space="preserve"> </v>
      </c>
      <c r="BM433" s="598" t="str">
        <f t="shared" si="48"/>
        <v xml:space="preserve"> </v>
      </c>
      <c r="BN433" s="598" t="str">
        <f t="shared" si="48"/>
        <v xml:space="preserve"> </v>
      </c>
      <c r="BO433" s="598" t="str">
        <f t="shared" si="48"/>
        <v xml:space="preserve"> </v>
      </c>
      <c r="BP433" s="598" t="str">
        <f t="shared" si="48"/>
        <v xml:space="preserve"> </v>
      </c>
      <c r="BQ433" s="598" t="str">
        <f t="shared" si="48"/>
        <v xml:space="preserve"> </v>
      </c>
      <c r="BR433" s="598" t="str">
        <f t="shared" si="48"/>
        <v xml:space="preserve"> </v>
      </c>
      <c r="BS433" s="598" t="str">
        <f t="shared" si="48"/>
        <v xml:space="preserve"> </v>
      </c>
      <c r="BT433" s="598" t="str">
        <f t="shared" si="48"/>
        <v xml:space="preserve"> </v>
      </c>
      <c r="BU433" s="598" t="str">
        <f t="shared" si="48"/>
        <v xml:space="preserve"> </v>
      </c>
      <c r="BV433" s="598" t="str">
        <f t="shared" si="48"/>
        <v xml:space="preserve"> </v>
      </c>
      <c r="BW433" s="598" t="str">
        <f t="shared" si="48"/>
        <v xml:space="preserve"> </v>
      </c>
      <c r="BX433" s="598" t="str">
        <f t="shared" si="48"/>
        <v xml:space="preserve"> </v>
      </c>
      <c r="BY433" s="598" t="str">
        <f t="shared" si="48"/>
        <v xml:space="preserve"> </v>
      </c>
      <c r="BZ433" s="598" t="str">
        <f t="shared" si="48"/>
        <v xml:space="preserve"> </v>
      </c>
      <c r="CA433" s="598" t="str">
        <f t="shared" si="48"/>
        <v xml:space="preserve"> </v>
      </c>
      <c r="CB433" s="598" t="str">
        <f t="shared" si="48"/>
        <v xml:space="preserve"> </v>
      </c>
      <c r="CC433" s="598" t="str">
        <f t="shared" si="49"/>
        <v xml:space="preserve"> </v>
      </c>
      <c r="CD433" s="598" t="str">
        <f t="shared" si="49"/>
        <v xml:space="preserve"> </v>
      </c>
      <c r="CE433" s="598" t="str">
        <f t="shared" si="49"/>
        <v xml:space="preserve"> </v>
      </c>
      <c r="CF433" s="598" t="str">
        <f t="shared" si="49"/>
        <v xml:space="preserve"> </v>
      </c>
      <c r="CG433" s="598" t="str">
        <f t="shared" si="49"/>
        <v xml:space="preserve"> </v>
      </c>
      <c r="CH433" s="598" t="str">
        <f t="shared" si="49"/>
        <v xml:space="preserve"> </v>
      </c>
      <c r="CI433" s="598" t="str">
        <f t="shared" si="49"/>
        <v xml:space="preserve"> </v>
      </c>
      <c r="CJ433" s="598" t="str">
        <f t="shared" si="49"/>
        <v xml:space="preserve"> </v>
      </c>
      <c r="CK433" s="598" t="str">
        <f t="shared" si="49"/>
        <v xml:space="preserve"> </v>
      </c>
      <c r="CL433" s="598" t="str">
        <f t="shared" si="49"/>
        <v xml:space="preserve"> </v>
      </c>
      <c r="CM433" s="598" t="str">
        <f t="shared" si="49"/>
        <v xml:space="preserve"> </v>
      </c>
      <c r="CN433" s="598" t="str">
        <f t="shared" si="49"/>
        <v xml:space="preserve"> </v>
      </c>
      <c r="CO433" s="598" t="str">
        <f t="shared" si="49"/>
        <v xml:space="preserve"> </v>
      </c>
      <c r="CP433" s="598" t="str">
        <f t="shared" si="49"/>
        <v xml:space="preserve"> </v>
      </c>
      <c r="CQ433" s="598" t="str">
        <f t="shared" ca="1" si="49"/>
        <v/>
      </c>
    </row>
    <row r="434" spans="1:95" ht="9.9499999999999993" customHeight="1">
      <c r="A434" s="598">
        <v>13</v>
      </c>
      <c r="B434" s="598" t="str">
        <f t="shared" ca="1" si="51"/>
        <v>E&amp;D:Substitution Cipher</v>
      </c>
      <c r="C434" s="598" t="str">
        <f t="shared" ca="1" si="51"/>
        <v>Mage Speech (Ancient)</v>
      </c>
      <c r="D434" s="598" t="str">
        <f t="shared" ca="1" si="51"/>
        <v/>
      </c>
      <c r="E434" s="598" t="str">
        <f t="shared" si="51"/>
        <v xml:space="preserve"> </v>
      </c>
      <c r="F434" s="598" t="str">
        <f t="shared" si="51"/>
        <v xml:space="preserve"> </v>
      </c>
      <c r="G434" s="598" t="str">
        <f t="shared" si="51"/>
        <v xml:space="preserve"> </v>
      </c>
      <c r="H434" s="598" t="str">
        <f t="shared" si="51"/>
        <v xml:space="preserve"> </v>
      </c>
      <c r="I434" s="598" t="str">
        <f t="shared" si="51"/>
        <v xml:space="preserve"> </v>
      </c>
      <c r="J434" s="598" t="str">
        <f t="shared" si="51"/>
        <v xml:space="preserve"> </v>
      </c>
      <c r="K434" s="598" t="str">
        <f t="shared" si="51"/>
        <v xml:space="preserve"> </v>
      </c>
      <c r="L434" s="598" t="str">
        <f t="shared" si="46"/>
        <v xml:space="preserve"> </v>
      </c>
      <c r="M434" s="598" t="str">
        <f t="shared" ca="1" si="46"/>
        <v/>
      </c>
      <c r="N434" s="598" t="str">
        <f t="shared" ca="1" si="51"/>
        <v>E&amp;D:Substitution Cipher</v>
      </c>
      <c r="O434" s="598" t="str">
        <f t="shared" si="51"/>
        <v xml:space="preserve"> </v>
      </c>
      <c r="P434" s="598" t="str">
        <f t="shared" si="51"/>
        <v xml:space="preserve"> </v>
      </c>
      <c r="Q434" s="598" t="str">
        <f t="shared" si="51"/>
        <v xml:space="preserve"> </v>
      </c>
      <c r="R434" s="598" t="str">
        <f t="shared" si="51"/>
        <v xml:space="preserve"> </v>
      </c>
      <c r="S434" s="598" t="str">
        <f t="shared" si="51"/>
        <v xml:space="preserve"> </v>
      </c>
      <c r="T434" s="598" t="str">
        <f t="shared" si="51"/>
        <v xml:space="preserve"> </v>
      </c>
      <c r="U434" s="598" t="str">
        <f t="shared" si="51"/>
        <v xml:space="preserve"> </v>
      </c>
      <c r="V434" s="598" t="str">
        <f t="shared" si="51"/>
        <v xml:space="preserve"> </v>
      </c>
      <c r="W434" s="598" t="str">
        <f t="shared" si="51"/>
        <v xml:space="preserve"> </v>
      </c>
      <c r="X434" s="598" t="str">
        <f t="shared" si="51"/>
        <v xml:space="preserve"> </v>
      </c>
      <c r="Y434" s="598" t="str">
        <f t="shared" si="51"/>
        <v xml:space="preserve"> </v>
      </c>
      <c r="Z434" s="598" t="str">
        <f t="shared" si="51"/>
        <v xml:space="preserve"> </v>
      </c>
      <c r="AA434" s="598" t="str">
        <f t="shared" ref="AA434:AU434" si="52">HLOOKUP(AA$421,$C$217:$Z$317,$A434+1)</f>
        <v xml:space="preserve"> </v>
      </c>
      <c r="AB434" s="598" t="str">
        <f t="shared" ca="1" si="52"/>
        <v>Foreign Languages</v>
      </c>
      <c r="AC434" s="598" t="str">
        <f t="shared" ca="1" si="52"/>
        <v>Foreign Languages</v>
      </c>
      <c r="AD434" s="598" t="str">
        <f t="shared" si="52"/>
        <v xml:space="preserve"> </v>
      </c>
      <c r="AE434" s="598" t="str">
        <f t="shared" si="52"/>
        <v xml:space="preserve"> </v>
      </c>
      <c r="AF434" s="598" t="str">
        <f t="shared" si="52"/>
        <v xml:space="preserve"> </v>
      </c>
      <c r="AG434" s="598" t="str">
        <f t="shared" si="52"/>
        <v xml:space="preserve"> </v>
      </c>
      <c r="AH434" s="598" t="str">
        <f t="shared" si="52"/>
        <v xml:space="preserve"> </v>
      </c>
      <c r="AI434" s="598" t="str">
        <f t="shared" si="52"/>
        <v xml:space="preserve"> </v>
      </c>
      <c r="AJ434" s="598" t="str">
        <f t="shared" si="52"/>
        <v xml:space="preserve"> </v>
      </c>
      <c r="AK434" s="598" t="str">
        <f t="shared" si="52"/>
        <v xml:space="preserve"> </v>
      </c>
      <c r="AL434" s="598" t="str">
        <f t="shared" si="52"/>
        <v xml:space="preserve"> </v>
      </c>
      <c r="AM434" s="598" t="str">
        <f t="shared" si="52"/>
        <v xml:space="preserve"> </v>
      </c>
      <c r="AN434" s="598" t="str">
        <f t="shared" si="52"/>
        <v xml:space="preserve"> </v>
      </c>
      <c r="AO434" s="598" t="str">
        <f t="shared" si="52"/>
        <v xml:space="preserve"> </v>
      </c>
      <c r="AP434" s="598" t="str">
        <f t="shared" si="52"/>
        <v xml:space="preserve"> </v>
      </c>
      <c r="AQ434" s="598" t="str">
        <f t="shared" si="52"/>
        <v xml:space="preserve"> </v>
      </c>
      <c r="AR434" s="598" t="str">
        <f t="shared" si="52"/>
        <v xml:space="preserve"> </v>
      </c>
      <c r="AS434" s="598" t="str">
        <f t="shared" si="52"/>
        <v xml:space="preserve"> </v>
      </c>
      <c r="AT434" s="598" t="str">
        <f t="shared" si="52"/>
        <v xml:space="preserve"> </v>
      </c>
      <c r="AU434" s="598" t="str">
        <f t="shared" si="52"/>
        <v xml:space="preserve"> </v>
      </c>
      <c r="AW434" s="598" t="str">
        <f t="shared" si="47"/>
        <v xml:space="preserve"> </v>
      </c>
      <c r="AX434" s="598" t="str">
        <f t="shared" si="47"/>
        <v xml:space="preserve"> </v>
      </c>
      <c r="AY434" s="598" t="str">
        <f t="shared" si="47"/>
        <v xml:space="preserve"> </v>
      </c>
      <c r="AZ434" s="598" t="str">
        <f t="shared" si="47"/>
        <v xml:space="preserve"> </v>
      </c>
      <c r="BA434" s="598" t="str">
        <f t="shared" si="47"/>
        <v xml:space="preserve"> </v>
      </c>
      <c r="BB434" s="598" t="str">
        <f t="shared" si="47"/>
        <v xml:space="preserve"> </v>
      </c>
      <c r="BC434" s="598" t="str">
        <f t="shared" si="47"/>
        <v xml:space="preserve"> </v>
      </c>
      <c r="BD434" s="598" t="str">
        <f t="shared" si="47"/>
        <v xml:space="preserve"> </v>
      </c>
      <c r="BE434" s="598" t="str">
        <f t="shared" si="47"/>
        <v xml:space="preserve"> </v>
      </c>
      <c r="BF434" s="598" t="str">
        <f t="shared" si="47"/>
        <v xml:space="preserve"> </v>
      </c>
      <c r="BG434" s="598" t="str">
        <f t="shared" si="47"/>
        <v xml:space="preserve"> </v>
      </c>
      <c r="BH434" s="598" t="str">
        <f t="shared" si="47"/>
        <v xml:space="preserve"> </v>
      </c>
      <c r="BI434" s="598" t="str">
        <f t="shared" si="47"/>
        <v xml:space="preserve"> </v>
      </c>
      <c r="BJ434" s="598" t="str">
        <f t="shared" si="47"/>
        <v xml:space="preserve"> </v>
      </c>
      <c r="BK434" s="598" t="str">
        <f t="shared" si="47"/>
        <v xml:space="preserve"> </v>
      </c>
      <c r="BL434" s="598" t="str">
        <f t="shared" si="47"/>
        <v xml:space="preserve"> </v>
      </c>
      <c r="BM434" s="598" t="str">
        <f t="shared" si="48"/>
        <v xml:space="preserve"> </v>
      </c>
      <c r="BN434" s="598" t="str">
        <f t="shared" si="48"/>
        <v xml:space="preserve"> </v>
      </c>
      <c r="BO434" s="598" t="str">
        <f t="shared" si="48"/>
        <v xml:space="preserve"> </v>
      </c>
      <c r="BP434" s="598" t="str">
        <f t="shared" si="48"/>
        <v xml:space="preserve"> </v>
      </c>
      <c r="BQ434" s="598" t="str">
        <f t="shared" si="48"/>
        <v xml:space="preserve"> </v>
      </c>
      <c r="BR434" s="598" t="str">
        <f t="shared" si="48"/>
        <v xml:space="preserve"> </v>
      </c>
      <c r="BS434" s="598" t="str">
        <f t="shared" si="48"/>
        <v xml:space="preserve"> </v>
      </c>
      <c r="BT434" s="598" t="str">
        <f t="shared" si="48"/>
        <v xml:space="preserve"> </v>
      </c>
      <c r="BU434" s="598" t="str">
        <f t="shared" si="48"/>
        <v xml:space="preserve"> </v>
      </c>
      <c r="BV434" s="598" t="str">
        <f t="shared" si="48"/>
        <v xml:space="preserve"> </v>
      </c>
      <c r="BW434" s="598" t="str">
        <f t="shared" si="48"/>
        <v xml:space="preserve"> </v>
      </c>
      <c r="BX434" s="598" t="str">
        <f t="shared" si="48"/>
        <v xml:space="preserve"> </v>
      </c>
      <c r="BY434" s="598" t="str">
        <f t="shared" si="48"/>
        <v xml:space="preserve"> </v>
      </c>
      <c r="BZ434" s="598" t="str">
        <f t="shared" si="48"/>
        <v xml:space="preserve"> </v>
      </c>
      <c r="CA434" s="598" t="str">
        <f t="shared" si="48"/>
        <v xml:space="preserve"> </v>
      </c>
      <c r="CB434" s="598" t="str">
        <f t="shared" si="48"/>
        <v xml:space="preserve"> </v>
      </c>
      <c r="CC434" s="598" t="str">
        <f t="shared" si="49"/>
        <v xml:space="preserve"> </v>
      </c>
      <c r="CD434" s="598" t="str">
        <f t="shared" si="49"/>
        <v xml:space="preserve"> </v>
      </c>
      <c r="CE434" s="598" t="str">
        <f t="shared" si="49"/>
        <v xml:space="preserve"> </v>
      </c>
      <c r="CF434" s="598" t="str">
        <f t="shared" si="49"/>
        <v xml:space="preserve"> </v>
      </c>
      <c r="CG434" s="598" t="str">
        <f t="shared" si="49"/>
        <v xml:space="preserve"> </v>
      </c>
      <c r="CH434" s="598" t="str">
        <f t="shared" si="49"/>
        <v xml:space="preserve"> </v>
      </c>
      <c r="CI434" s="598" t="str">
        <f t="shared" si="49"/>
        <v xml:space="preserve"> </v>
      </c>
      <c r="CJ434" s="598" t="str">
        <f t="shared" si="49"/>
        <v xml:space="preserve"> </v>
      </c>
      <c r="CK434" s="598" t="str">
        <f t="shared" si="49"/>
        <v xml:space="preserve"> </v>
      </c>
      <c r="CL434" s="598" t="str">
        <f t="shared" si="49"/>
        <v xml:space="preserve"> </v>
      </c>
      <c r="CM434" s="598" t="str">
        <f t="shared" si="49"/>
        <v xml:space="preserve"> </v>
      </c>
      <c r="CN434" s="598" t="str">
        <f t="shared" si="49"/>
        <v xml:space="preserve"> </v>
      </c>
      <c r="CO434" s="598" t="str">
        <f t="shared" si="49"/>
        <v xml:space="preserve"> </v>
      </c>
      <c r="CP434" s="598" t="str">
        <f t="shared" si="49"/>
        <v xml:space="preserve"> </v>
      </c>
      <c r="CQ434" s="598" t="str">
        <f t="shared" ca="1" si="49"/>
        <v/>
      </c>
    </row>
    <row r="435" spans="1:95" ht="9.9499999999999993" customHeight="1">
      <c r="A435" s="598">
        <v>14</v>
      </c>
      <c r="B435" s="598" t="str">
        <f t="shared" ref="B435:AU440" ca="1" si="53">HLOOKUP(B$421,$C$217:$Z$317,$A435+1)</f>
        <v>Fortifications: Advanced</v>
      </c>
      <c r="C435" s="598" t="str">
        <f t="shared" ca="1" si="53"/>
        <v>Signed Communication</v>
      </c>
      <c r="D435" s="598" t="str">
        <f t="shared" ca="1" si="53"/>
        <v/>
      </c>
      <c r="E435" s="598" t="str">
        <f t="shared" si="53"/>
        <v xml:space="preserve"> </v>
      </c>
      <c r="F435" s="598" t="str">
        <f t="shared" si="53"/>
        <v xml:space="preserve"> </v>
      </c>
      <c r="G435" s="598" t="str">
        <f t="shared" si="53"/>
        <v xml:space="preserve"> </v>
      </c>
      <c r="H435" s="598" t="str">
        <f t="shared" si="53"/>
        <v xml:space="preserve"> </v>
      </c>
      <c r="I435" s="598" t="str">
        <f t="shared" si="53"/>
        <v xml:space="preserve"> </v>
      </c>
      <c r="J435" s="598" t="str">
        <f t="shared" si="53"/>
        <v xml:space="preserve"> </v>
      </c>
      <c r="K435" s="598" t="str">
        <f t="shared" si="53"/>
        <v xml:space="preserve"> </v>
      </c>
      <c r="L435" s="598" t="str">
        <f t="shared" si="46"/>
        <v xml:space="preserve"> </v>
      </c>
      <c r="M435" s="598" t="str">
        <f t="shared" ca="1" si="46"/>
        <v/>
      </c>
      <c r="N435" s="598" t="str">
        <f t="shared" ca="1" si="53"/>
        <v>Fortifications: Advanced</v>
      </c>
      <c r="O435" s="598" t="str">
        <f t="shared" si="53"/>
        <v xml:space="preserve"> </v>
      </c>
      <c r="P435" s="598" t="str">
        <f t="shared" si="53"/>
        <v xml:space="preserve"> </v>
      </c>
      <c r="Q435" s="598" t="str">
        <f t="shared" si="53"/>
        <v xml:space="preserve"> </v>
      </c>
      <c r="R435" s="598" t="str">
        <f t="shared" si="53"/>
        <v xml:space="preserve"> </v>
      </c>
      <c r="S435" s="598" t="str">
        <f t="shared" si="53"/>
        <v xml:space="preserve"> </v>
      </c>
      <c r="T435" s="598" t="str">
        <f t="shared" si="53"/>
        <v xml:space="preserve"> </v>
      </c>
      <c r="U435" s="598" t="str">
        <f t="shared" si="53"/>
        <v xml:space="preserve"> </v>
      </c>
      <c r="V435" s="598" t="str">
        <f t="shared" si="53"/>
        <v xml:space="preserve"> </v>
      </c>
      <c r="W435" s="598" t="str">
        <f t="shared" si="53"/>
        <v xml:space="preserve"> </v>
      </c>
      <c r="X435" s="598" t="str">
        <f t="shared" si="53"/>
        <v xml:space="preserve"> </v>
      </c>
      <c r="Y435" s="598" t="str">
        <f t="shared" si="53"/>
        <v xml:space="preserve"> </v>
      </c>
      <c r="Z435" s="598" t="str">
        <f t="shared" si="53"/>
        <v xml:space="preserve"> </v>
      </c>
      <c r="AA435" s="598" t="str">
        <f t="shared" si="53"/>
        <v xml:space="preserve"> </v>
      </c>
      <c r="AB435" s="598" t="str">
        <f t="shared" ca="1" si="53"/>
        <v>Foreign:Azarian</v>
      </c>
      <c r="AC435" s="598" t="str">
        <f t="shared" ca="1" si="53"/>
        <v>Foreign:Azarian</v>
      </c>
      <c r="AD435" s="598" t="str">
        <f t="shared" si="53"/>
        <v xml:space="preserve"> </v>
      </c>
      <c r="AE435" s="598" t="str">
        <f t="shared" si="53"/>
        <v xml:space="preserve"> </v>
      </c>
      <c r="AF435" s="598" t="str">
        <f t="shared" si="53"/>
        <v xml:space="preserve"> </v>
      </c>
      <c r="AG435" s="598" t="str">
        <f t="shared" si="53"/>
        <v xml:space="preserve"> </v>
      </c>
      <c r="AH435" s="598" t="str">
        <f t="shared" si="53"/>
        <v xml:space="preserve"> </v>
      </c>
      <c r="AI435" s="598" t="str">
        <f t="shared" si="53"/>
        <v xml:space="preserve"> </v>
      </c>
      <c r="AJ435" s="598" t="str">
        <f t="shared" si="53"/>
        <v xml:space="preserve"> </v>
      </c>
      <c r="AK435" s="598" t="str">
        <f t="shared" si="53"/>
        <v xml:space="preserve"> </v>
      </c>
      <c r="AL435" s="598" t="str">
        <f t="shared" si="53"/>
        <v xml:space="preserve"> </v>
      </c>
      <c r="AM435" s="598" t="str">
        <f t="shared" si="53"/>
        <v xml:space="preserve"> </v>
      </c>
      <c r="AN435" s="598" t="str">
        <f t="shared" si="53"/>
        <v xml:space="preserve"> </v>
      </c>
      <c r="AO435" s="598" t="str">
        <f t="shared" si="53"/>
        <v xml:space="preserve"> </v>
      </c>
      <c r="AP435" s="598" t="str">
        <f t="shared" si="53"/>
        <v xml:space="preserve"> </v>
      </c>
      <c r="AQ435" s="598" t="str">
        <f t="shared" si="53"/>
        <v xml:space="preserve"> </v>
      </c>
      <c r="AR435" s="598" t="str">
        <f t="shared" si="53"/>
        <v xml:space="preserve"> </v>
      </c>
      <c r="AS435" s="598" t="str">
        <f t="shared" si="53"/>
        <v xml:space="preserve"> </v>
      </c>
      <c r="AT435" s="598" t="str">
        <f t="shared" si="53"/>
        <v xml:space="preserve"> </v>
      </c>
      <c r="AU435" s="598" t="str">
        <f t="shared" si="53"/>
        <v xml:space="preserve"> </v>
      </c>
      <c r="AW435" s="598" t="str">
        <f t="shared" si="47"/>
        <v xml:space="preserve"> </v>
      </c>
      <c r="AX435" s="598" t="str">
        <f t="shared" si="47"/>
        <v xml:space="preserve"> </v>
      </c>
      <c r="AY435" s="598" t="str">
        <f t="shared" si="47"/>
        <v xml:space="preserve"> </v>
      </c>
      <c r="AZ435" s="598" t="str">
        <f t="shared" si="47"/>
        <v xml:space="preserve"> </v>
      </c>
      <c r="BA435" s="598" t="str">
        <f t="shared" si="47"/>
        <v xml:space="preserve"> </v>
      </c>
      <c r="BB435" s="598" t="str">
        <f t="shared" si="47"/>
        <v xml:space="preserve"> </v>
      </c>
      <c r="BC435" s="598" t="str">
        <f t="shared" si="47"/>
        <v xml:space="preserve"> </v>
      </c>
      <c r="BD435" s="598" t="str">
        <f t="shared" si="47"/>
        <v xml:space="preserve"> </v>
      </c>
      <c r="BE435" s="598" t="str">
        <f t="shared" si="47"/>
        <v xml:space="preserve"> </v>
      </c>
      <c r="BF435" s="598" t="str">
        <f t="shared" si="47"/>
        <v xml:space="preserve"> </v>
      </c>
      <c r="BG435" s="598" t="str">
        <f t="shared" si="47"/>
        <v xml:space="preserve"> </v>
      </c>
      <c r="BH435" s="598" t="str">
        <f t="shared" si="47"/>
        <v xml:space="preserve"> </v>
      </c>
      <c r="BI435" s="598" t="str">
        <f t="shared" si="47"/>
        <v xml:space="preserve"> </v>
      </c>
      <c r="BJ435" s="598" t="str">
        <f t="shared" si="47"/>
        <v xml:space="preserve"> </v>
      </c>
      <c r="BK435" s="598" t="str">
        <f t="shared" si="47"/>
        <v xml:space="preserve"> </v>
      </c>
      <c r="BL435" s="598" t="str">
        <f t="shared" si="47"/>
        <v xml:space="preserve"> </v>
      </c>
      <c r="BM435" s="598" t="str">
        <f t="shared" si="48"/>
        <v xml:space="preserve"> </v>
      </c>
      <c r="BN435" s="598" t="str">
        <f t="shared" si="48"/>
        <v xml:space="preserve"> </v>
      </c>
      <c r="BO435" s="598" t="str">
        <f t="shared" si="48"/>
        <v xml:space="preserve"> </v>
      </c>
      <c r="BP435" s="598" t="str">
        <f t="shared" si="48"/>
        <v xml:space="preserve"> </v>
      </c>
      <c r="BQ435" s="598" t="str">
        <f t="shared" si="48"/>
        <v xml:space="preserve"> </v>
      </c>
      <c r="BR435" s="598" t="str">
        <f t="shared" si="48"/>
        <v xml:space="preserve"> </v>
      </c>
      <c r="BS435" s="598" t="str">
        <f t="shared" si="48"/>
        <v xml:space="preserve"> </v>
      </c>
      <c r="BT435" s="598" t="str">
        <f t="shared" si="48"/>
        <v xml:space="preserve"> </v>
      </c>
      <c r="BU435" s="598" t="str">
        <f t="shared" si="48"/>
        <v xml:space="preserve"> </v>
      </c>
      <c r="BV435" s="598" t="str">
        <f t="shared" si="48"/>
        <v xml:space="preserve"> </v>
      </c>
      <c r="BW435" s="598" t="str">
        <f t="shared" si="48"/>
        <v xml:space="preserve"> </v>
      </c>
      <c r="BX435" s="598" t="str">
        <f t="shared" si="48"/>
        <v xml:space="preserve"> </v>
      </c>
      <c r="BY435" s="598" t="str">
        <f t="shared" si="48"/>
        <v xml:space="preserve"> </v>
      </c>
      <c r="BZ435" s="598" t="str">
        <f t="shared" si="48"/>
        <v xml:space="preserve"> </v>
      </c>
      <c r="CA435" s="598" t="str">
        <f t="shared" si="48"/>
        <v xml:space="preserve"> </v>
      </c>
      <c r="CB435" s="598" t="str">
        <f t="shared" si="48"/>
        <v xml:space="preserve"> </v>
      </c>
      <c r="CC435" s="598" t="str">
        <f t="shared" si="49"/>
        <v xml:space="preserve"> </v>
      </c>
      <c r="CD435" s="598" t="str">
        <f t="shared" si="49"/>
        <v xml:space="preserve"> </v>
      </c>
      <c r="CE435" s="598" t="str">
        <f t="shared" si="49"/>
        <v xml:space="preserve"> </v>
      </c>
      <c r="CF435" s="598" t="str">
        <f t="shared" si="49"/>
        <v xml:space="preserve"> </v>
      </c>
      <c r="CG435" s="598" t="str">
        <f t="shared" si="49"/>
        <v xml:space="preserve"> </v>
      </c>
      <c r="CH435" s="598" t="str">
        <f t="shared" si="49"/>
        <v xml:space="preserve"> </v>
      </c>
      <c r="CI435" s="598" t="str">
        <f t="shared" si="49"/>
        <v xml:space="preserve"> </v>
      </c>
      <c r="CJ435" s="598" t="str">
        <f t="shared" si="49"/>
        <v xml:space="preserve"> </v>
      </c>
      <c r="CK435" s="598" t="str">
        <f t="shared" si="49"/>
        <v xml:space="preserve"> </v>
      </c>
      <c r="CL435" s="598" t="str">
        <f t="shared" si="49"/>
        <v xml:space="preserve"> </v>
      </c>
      <c r="CM435" s="598" t="str">
        <f t="shared" si="49"/>
        <v xml:space="preserve"> </v>
      </c>
      <c r="CN435" s="598" t="str">
        <f t="shared" si="49"/>
        <v xml:space="preserve"> </v>
      </c>
      <c r="CO435" s="598" t="str">
        <f t="shared" si="49"/>
        <v xml:space="preserve"> </v>
      </c>
      <c r="CP435" s="598" t="str">
        <f t="shared" si="49"/>
        <v xml:space="preserve"> </v>
      </c>
      <c r="CQ435" s="598" t="str">
        <f t="shared" ca="1" si="49"/>
        <v/>
      </c>
    </row>
    <row r="436" spans="1:95" ht="9.9499999999999993" customHeight="1">
      <c r="A436" s="598">
        <v>15</v>
      </c>
      <c r="B436" s="598" t="str">
        <f t="shared" ca="1" si="53"/>
        <v>Fortifications: Basic</v>
      </c>
      <c r="C436" s="598" t="str">
        <f t="shared" ca="1" si="53"/>
        <v>Foreign Languages</v>
      </c>
      <c r="D436" s="598" t="str">
        <f t="shared" ca="1" si="53"/>
        <v/>
      </c>
      <c r="E436" s="598" t="str">
        <f t="shared" si="53"/>
        <v xml:space="preserve"> </v>
      </c>
      <c r="F436" s="598" t="str">
        <f t="shared" si="53"/>
        <v xml:space="preserve"> </v>
      </c>
      <c r="G436" s="598" t="str">
        <f t="shared" si="53"/>
        <v xml:space="preserve"> </v>
      </c>
      <c r="H436" s="598" t="str">
        <f t="shared" si="53"/>
        <v xml:space="preserve"> </v>
      </c>
      <c r="I436" s="598" t="str">
        <f t="shared" si="53"/>
        <v xml:space="preserve"> </v>
      </c>
      <c r="J436" s="598" t="str">
        <f t="shared" si="53"/>
        <v xml:space="preserve"> </v>
      </c>
      <c r="K436" s="598" t="str">
        <f t="shared" si="53"/>
        <v xml:space="preserve"> </v>
      </c>
      <c r="L436" s="598" t="str">
        <f t="shared" si="46"/>
        <v xml:space="preserve"> </v>
      </c>
      <c r="M436" s="598" t="str">
        <f t="shared" ca="1" si="46"/>
        <v/>
      </c>
      <c r="N436" s="598" t="str">
        <f t="shared" ca="1" si="53"/>
        <v>Fortifications: Basic</v>
      </c>
      <c r="O436" s="598" t="str">
        <f t="shared" si="53"/>
        <v xml:space="preserve"> </v>
      </c>
      <c r="P436" s="598" t="str">
        <f t="shared" si="53"/>
        <v xml:space="preserve"> </v>
      </c>
      <c r="Q436" s="598" t="str">
        <f t="shared" si="53"/>
        <v xml:space="preserve"> </v>
      </c>
      <c r="R436" s="598" t="str">
        <f t="shared" si="53"/>
        <v xml:space="preserve"> </v>
      </c>
      <c r="S436" s="598" t="str">
        <f t="shared" si="53"/>
        <v xml:space="preserve"> </v>
      </c>
      <c r="T436" s="598" t="str">
        <f t="shared" si="53"/>
        <v xml:space="preserve"> </v>
      </c>
      <c r="U436" s="598" t="str">
        <f t="shared" si="53"/>
        <v xml:space="preserve"> </v>
      </c>
      <c r="V436" s="598" t="str">
        <f t="shared" si="53"/>
        <v xml:space="preserve"> </v>
      </c>
      <c r="W436" s="598" t="str">
        <f t="shared" si="53"/>
        <v xml:space="preserve"> </v>
      </c>
      <c r="X436" s="598" t="str">
        <f t="shared" si="53"/>
        <v xml:space="preserve"> </v>
      </c>
      <c r="Y436" s="598" t="str">
        <f t="shared" si="53"/>
        <v xml:space="preserve"> </v>
      </c>
      <c r="Z436" s="598" t="str">
        <f t="shared" si="53"/>
        <v xml:space="preserve"> </v>
      </c>
      <c r="AA436" s="598" t="str">
        <f t="shared" si="53"/>
        <v xml:space="preserve"> </v>
      </c>
      <c r="AB436" s="598" t="str">
        <f t="shared" ca="1" si="53"/>
        <v>Foreign:Pacfin</v>
      </c>
      <c r="AC436" s="598" t="str">
        <f t="shared" ca="1" si="53"/>
        <v>Foreign:Pacfin</v>
      </c>
      <c r="AD436" s="598" t="str">
        <f t="shared" si="53"/>
        <v xml:space="preserve"> </v>
      </c>
      <c r="AE436" s="598" t="str">
        <f t="shared" si="53"/>
        <v xml:space="preserve"> </v>
      </c>
      <c r="AF436" s="598" t="str">
        <f t="shared" si="53"/>
        <v xml:space="preserve"> </v>
      </c>
      <c r="AG436" s="598" t="str">
        <f t="shared" si="53"/>
        <v xml:space="preserve"> </v>
      </c>
      <c r="AH436" s="598" t="str">
        <f t="shared" si="53"/>
        <v xml:space="preserve"> </v>
      </c>
      <c r="AI436" s="598" t="str">
        <f t="shared" si="53"/>
        <v xml:space="preserve"> </v>
      </c>
      <c r="AJ436" s="598" t="str">
        <f t="shared" si="53"/>
        <v xml:space="preserve"> </v>
      </c>
      <c r="AK436" s="598" t="str">
        <f t="shared" si="53"/>
        <v xml:space="preserve"> </v>
      </c>
      <c r="AL436" s="598" t="str">
        <f t="shared" si="53"/>
        <v xml:space="preserve"> </v>
      </c>
      <c r="AM436" s="598" t="str">
        <f t="shared" si="53"/>
        <v xml:space="preserve"> </v>
      </c>
      <c r="AN436" s="598" t="str">
        <f t="shared" si="53"/>
        <v xml:space="preserve"> </v>
      </c>
      <c r="AO436" s="598" t="str">
        <f t="shared" si="53"/>
        <v xml:space="preserve"> </v>
      </c>
      <c r="AP436" s="598" t="str">
        <f t="shared" si="53"/>
        <v xml:space="preserve"> </v>
      </c>
      <c r="AQ436" s="598" t="str">
        <f t="shared" si="53"/>
        <v xml:space="preserve"> </v>
      </c>
      <c r="AR436" s="598" t="str">
        <f t="shared" si="53"/>
        <v xml:space="preserve"> </v>
      </c>
      <c r="AS436" s="598" t="str">
        <f t="shared" si="53"/>
        <v xml:space="preserve"> </v>
      </c>
      <c r="AT436" s="598" t="str">
        <f t="shared" si="53"/>
        <v xml:space="preserve"> </v>
      </c>
      <c r="AU436" s="598" t="str">
        <f t="shared" si="53"/>
        <v xml:space="preserve"> </v>
      </c>
      <c r="AW436" s="598" t="str">
        <f t="shared" si="47"/>
        <v xml:space="preserve"> </v>
      </c>
      <c r="AX436" s="598" t="str">
        <f t="shared" si="47"/>
        <v xml:space="preserve"> </v>
      </c>
      <c r="AY436" s="598" t="str">
        <f t="shared" si="47"/>
        <v xml:space="preserve"> </v>
      </c>
      <c r="AZ436" s="598" t="str">
        <f t="shared" si="47"/>
        <v xml:space="preserve"> </v>
      </c>
      <c r="BA436" s="598" t="str">
        <f t="shared" si="47"/>
        <v xml:space="preserve"> </v>
      </c>
      <c r="BB436" s="598" t="str">
        <f t="shared" si="47"/>
        <v xml:space="preserve"> </v>
      </c>
      <c r="BC436" s="598" t="str">
        <f t="shared" si="47"/>
        <v xml:space="preserve"> </v>
      </c>
      <c r="BD436" s="598" t="str">
        <f t="shared" si="47"/>
        <v xml:space="preserve"> </v>
      </c>
      <c r="BE436" s="598" t="str">
        <f t="shared" si="47"/>
        <v xml:space="preserve"> </v>
      </c>
      <c r="BF436" s="598" t="str">
        <f t="shared" si="47"/>
        <v xml:space="preserve"> </v>
      </c>
      <c r="BG436" s="598" t="str">
        <f t="shared" si="47"/>
        <v xml:space="preserve"> </v>
      </c>
      <c r="BH436" s="598" t="str">
        <f t="shared" si="47"/>
        <v xml:space="preserve"> </v>
      </c>
      <c r="BI436" s="598" t="str">
        <f t="shared" si="47"/>
        <v xml:space="preserve"> </v>
      </c>
      <c r="BJ436" s="598" t="str">
        <f t="shared" si="47"/>
        <v xml:space="preserve"> </v>
      </c>
      <c r="BK436" s="598" t="str">
        <f t="shared" si="47"/>
        <v xml:space="preserve"> </v>
      </c>
      <c r="BL436" s="598" t="str">
        <f t="shared" si="47"/>
        <v xml:space="preserve"> </v>
      </c>
      <c r="BM436" s="598" t="str">
        <f t="shared" si="48"/>
        <v xml:space="preserve"> </v>
      </c>
      <c r="BN436" s="598" t="str">
        <f t="shared" si="48"/>
        <v xml:space="preserve"> </v>
      </c>
      <c r="BO436" s="598" t="str">
        <f t="shared" si="48"/>
        <v xml:space="preserve"> </v>
      </c>
      <c r="BP436" s="598" t="str">
        <f t="shared" si="48"/>
        <v xml:space="preserve"> </v>
      </c>
      <c r="BQ436" s="598" t="str">
        <f t="shared" si="48"/>
        <v xml:space="preserve"> </v>
      </c>
      <c r="BR436" s="598" t="str">
        <f t="shared" si="48"/>
        <v xml:space="preserve"> </v>
      </c>
      <c r="BS436" s="598" t="str">
        <f t="shared" si="48"/>
        <v xml:space="preserve"> </v>
      </c>
      <c r="BT436" s="598" t="str">
        <f t="shared" si="48"/>
        <v xml:space="preserve"> </v>
      </c>
      <c r="BU436" s="598" t="str">
        <f t="shared" si="48"/>
        <v xml:space="preserve"> </v>
      </c>
      <c r="BV436" s="598" t="str">
        <f t="shared" si="48"/>
        <v xml:space="preserve"> </v>
      </c>
      <c r="BW436" s="598" t="str">
        <f t="shared" si="48"/>
        <v xml:space="preserve"> </v>
      </c>
      <c r="BX436" s="598" t="str">
        <f t="shared" si="48"/>
        <v xml:space="preserve"> </v>
      </c>
      <c r="BY436" s="598" t="str">
        <f t="shared" si="48"/>
        <v xml:space="preserve"> </v>
      </c>
      <c r="BZ436" s="598" t="str">
        <f t="shared" si="48"/>
        <v xml:space="preserve"> </v>
      </c>
      <c r="CA436" s="598" t="str">
        <f t="shared" si="48"/>
        <v xml:space="preserve"> </v>
      </c>
      <c r="CB436" s="598" t="str">
        <f t="shared" si="48"/>
        <v xml:space="preserve"> </v>
      </c>
      <c r="CC436" s="598" t="str">
        <f t="shared" si="49"/>
        <v xml:space="preserve"> </v>
      </c>
      <c r="CD436" s="598" t="str">
        <f t="shared" si="49"/>
        <v xml:space="preserve"> </v>
      </c>
      <c r="CE436" s="598" t="str">
        <f t="shared" si="49"/>
        <v xml:space="preserve"> </v>
      </c>
      <c r="CF436" s="598" t="str">
        <f t="shared" si="49"/>
        <v xml:space="preserve"> </v>
      </c>
      <c r="CG436" s="598" t="str">
        <f t="shared" si="49"/>
        <v xml:space="preserve"> </v>
      </c>
      <c r="CH436" s="598" t="str">
        <f t="shared" si="49"/>
        <v xml:space="preserve"> </v>
      </c>
      <c r="CI436" s="598" t="str">
        <f t="shared" si="49"/>
        <v xml:space="preserve"> </v>
      </c>
      <c r="CJ436" s="598" t="str">
        <f t="shared" si="49"/>
        <v xml:space="preserve"> </v>
      </c>
      <c r="CK436" s="598" t="str">
        <f t="shared" si="49"/>
        <v xml:space="preserve"> </v>
      </c>
      <c r="CL436" s="598" t="str">
        <f t="shared" si="49"/>
        <v xml:space="preserve"> </v>
      </c>
      <c r="CM436" s="598" t="str">
        <f t="shared" si="49"/>
        <v xml:space="preserve"> </v>
      </c>
      <c r="CN436" s="598" t="str">
        <f t="shared" si="49"/>
        <v xml:space="preserve"> </v>
      </c>
      <c r="CO436" s="598" t="str">
        <f t="shared" si="49"/>
        <v xml:space="preserve"> </v>
      </c>
      <c r="CP436" s="598" t="str">
        <f t="shared" si="49"/>
        <v xml:space="preserve"> </v>
      </c>
      <c r="CQ436" s="598" t="str">
        <f t="shared" ca="1" si="49"/>
        <v/>
      </c>
    </row>
    <row r="437" spans="1:95" ht="9.9499999999999993" customHeight="1">
      <c r="A437" s="598">
        <v>16</v>
      </c>
      <c r="B437" s="598" t="str">
        <f t="shared" ca="1" si="53"/>
        <v>Geological Lore</v>
      </c>
      <c r="C437" s="598" t="str">
        <f t="shared" ca="1" si="53"/>
        <v>Foreign:Azarian</v>
      </c>
      <c r="D437" s="598" t="str">
        <f t="shared" ca="1" si="53"/>
        <v/>
      </c>
      <c r="E437" s="598" t="str">
        <f t="shared" si="53"/>
        <v xml:space="preserve"> </v>
      </c>
      <c r="F437" s="598" t="str">
        <f t="shared" si="53"/>
        <v xml:space="preserve"> </v>
      </c>
      <c r="G437" s="598" t="str">
        <f t="shared" si="53"/>
        <v xml:space="preserve"> </v>
      </c>
      <c r="H437" s="598" t="str">
        <f t="shared" si="53"/>
        <v xml:space="preserve"> </v>
      </c>
      <c r="I437" s="598" t="str">
        <f t="shared" si="53"/>
        <v xml:space="preserve"> </v>
      </c>
      <c r="J437" s="598" t="str">
        <f t="shared" si="53"/>
        <v xml:space="preserve"> </v>
      </c>
      <c r="K437" s="598" t="str">
        <f t="shared" si="53"/>
        <v xml:space="preserve"> </v>
      </c>
      <c r="L437" s="598" t="str">
        <f t="shared" si="46"/>
        <v xml:space="preserve"> </v>
      </c>
      <c r="M437" s="598" t="str">
        <f t="shared" ca="1" si="46"/>
        <v/>
      </c>
      <c r="N437" s="598" t="str">
        <f t="shared" ca="1" si="53"/>
        <v>Geological Lore</v>
      </c>
      <c r="O437" s="598" t="str">
        <f t="shared" si="53"/>
        <v xml:space="preserve"> </v>
      </c>
      <c r="P437" s="598" t="str">
        <f t="shared" si="53"/>
        <v xml:space="preserve"> </v>
      </c>
      <c r="Q437" s="598" t="str">
        <f t="shared" si="53"/>
        <v xml:space="preserve"> </v>
      </c>
      <c r="R437" s="598" t="str">
        <f t="shared" si="53"/>
        <v xml:space="preserve"> </v>
      </c>
      <c r="S437" s="598" t="str">
        <f t="shared" si="53"/>
        <v xml:space="preserve"> </v>
      </c>
      <c r="T437" s="598" t="str">
        <f t="shared" si="53"/>
        <v xml:space="preserve"> </v>
      </c>
      <c r="U437" s="598" t="str">
        <f t="shared" si="53"/>
        <v xml:space="preserve"> </v>
      </c>
      <c r="V437" s="598" t="str">
        <f t="shared" si="53"/>
        <v xml:space="preserve"> </v>
      </c>
      <c r="W437" s="598" t="str">
        <f t="shared" si="53"/>
        <v xml:space="preserve"> </v>
      </c>
      <c r="X437" s="598" t="str">
        <f t="shared" si="53"/>
        <v xml:space="preserve"> </v>
      </c>
      <c r="Y437" s="598" t="str">
        <f t="shared" si="53"/>
        <v xml:space="preserve"> </v>
      </c>
      <c r="Z437" s="598" t="str">
        <f t="shared" si="53"/>
        <v xml:space="preserve"> </v>
      </c>
      <c r="AA437" s="598" t="str">
        <f t="shared" si="53"/>
        <v xml:space="preserve"> </v>
      </c>
      <c r="AB437" s="598" t="str">
        <f t="shared" ca="1" si="53"/>
        <v>Foreign:Utan</v>
      </c>
      <c r="AC437" s="598" t="str">
        <f t="shared" ca="1" si="53"/>
        <v>Foreign:Utan</v>
      </c>
      <c r="AD437" s="598" t="str">
        <f t="shared" si="53"/>
        <v xml:space="preserve"> </v>
      </c>
      <c r="AE437" s="598" t="str">
        <f t="shared" si="53"/>
        <v xml:space="preserve"> </v>
      </c>
      <c r="AF437" s="598" t="str">
        <f t="shared" si="53"/>
        <v xml:space="preserve"> </v>
      </c>
      <c r="AG437" s="598" t="str">
        <f t="shared" si="53"/>
        <v xml:space="preserve"> </v>
      </c>
      <c r="AH437" s="598" t="str">
        <f t="shared" si="53"/>
        <v xml:space="preserve"> </v>
      </c>
      <c r="AI437" s="598" t="str">
        <f t="shared" si="53"/>
        <v xml:space="preserve"> </v>
      </c>
      <c r="AJ437" s="598" t="str">
        <f t="shared" si="53"/>
        <v xml:space="preserve"> </v>
      </c>
      <c r="AK437" s="598" t="str">
        <f t="shared" si="53"/>
        <v xml:space="preserve"> </v>
      </c>
      <c r="AL437" s="598" t="str">
        <f t="shared" si="53"/>
        <v xml:space="preserve"> </v>
      </c>
      <c r="AM437" s="598" t="str">
        <f t="shared" si="53"/>
        <v xml:space="preserve"> </v>
      </c>
      <c r="AN437" s="598" t="str">
        <f t="shared" si="53"/>
        <v xml:space="preserve"> </v>
      </c>
      <c r="AO437" s="598" t="str">
        <f t="shared" si="53"/>
        <v xml:space="preserve"> </v>
      </c>
      <c r="AP437" s="598" t="str">
        <f t="shared" si="53"/>
        <v xml:space="preserve"> </v>
      </c>
      <c r="AQ437" s="598" t="str">
        <f t="shared" si="53"/>
        <v xml:space="preserve"> </v>
      </c>
      <c r="AR437" s="598" t="str">
        <f t="shared" si="53"/>
        <v xml:space="preserve"> </v>
      </c>
      <c r="AS437" s="598" t="str">
        <f t="shared" si="53"/>
        <v xml:space="preserve"> </v>
      </c>
      <c r="AT437" s="598" t="str">
        <f t="shared" si="53"/>
        <v xml:space="preserve"> </v>
      </c>
      <c r="AU437" s="598" t="str">
        <f t="shared" si="53"/>
        <v xml:space="preserve"> </v>
      </c>
      <c r="AW437" s="598" t="str">
        <f t="shared" si="47"/>
        <v xml:space="preserve"> </v>
      </c>
      <c r="AX437" s="598" t="str">
        <f t="shared" si="47"/>
        <v xml:space="preserve"> </v>
      </c>
      <c r="AY437" s="598" t="str">
        <f t="shared" si="47"/>
        <v xml:space="preserve"> </v>
      </c>
      <c r="AZ437" s="598" t="str">
        <f t="shared" si="47"/>
        <v xml:space="preserve"> </v>
      </c>
      <c r="BA437" s="598" t="str">
        <f t="shared" si="47"/>
        <v xml:space="preserve"> </v>
      </c>
      <c r="BB437" s="598" t="str">
        <f t="shared" si="47"/>
        <v xml:space="preserve"> </v>
      </c>
      <c r="BC437" s="598" t="str">
        <f t="shared" si="47"/>
        <v xml:space="preserve"> </v>
      </c>
      <c r="BD437" s="598" t="str">
        <f t="shared" si="47"/>
        <v xml:space="preserve"> </v>
      </c>
      <c r="BE437" s="598" t="str">
        <f t="shared" si="47"/>
        <v xml:space="preserve"> </v>
      </c>
      <c r="BF437" s="598" t="str">
        <f t="shared" si="47"/>
        <v xml:space="preserve"> </v>
      </c>
      <c r="BG437" s="598" t="str">
        <f t="shared" si="47"/>
        <v xml:space="preserve"> </v>
      </c>
      <c r="BH437" s="598" t="str">
        <f t="shared" si="47"/>
        <v xml:space="preserve"> </v>
      </c>
      <c r="BI437" s="598" t="str">
        <f t="shared" si="47"/>
        <v xml:space="preserve"> </v>
      </c>
      <c r="BJ437" s="598" t="str">
        <f t="shared" si="47"/>
        <v xml:space="preserve"> </v>
      </c>
      <c r="BK437" s="598" t="str">
        <f t="shared" si="47"/>
        <v xml:space="preserve"> </v>
      </c>
      <c r="BL437" s="598" t="str">
        <f t="shared" si="47"/>
        <v xml:space="preserve"> </v>
      </c>
      <c r="BM437" s="598" t="str">
        <f t="shared" si="48"/>
        <v xml:space="preserve"> </v>
      </c>
      <c r="BN437" s="598" t="str">
        <f t="shared" si="48"/>
        <v xml:space="preserve"> </v>
      </c>
      <c r="BO437" s="598" t="str">
        <f t="shared" si="48"/>
        <v xml:space="preserve"> </v>
      </c>
      <c r="BP437" s="598" t="str">
        <f t="shared" si="48"/>
        <v xml:space="preserve"> </v>
      </c>
      <c r="BQ437" s="598" t="str">
        <f t="shared" si="48"/>
        <v xml:space="preserve"> </v>
      </c>
      <c r="BR437" s="598" t="str">
        <f t="shared" si="48"/>
        <v xml:space="preserve"> </v>
      </c>
      <c r="BS437" s="598" t="str">
        <f t="shared" si="48"/>
        <v xml:space="preserve"> </v>
      </c>
      <c r="BT437" s="598" t="str">
        <f t="shared" si="48"/>
        <v xml:space="preserve"> </v>
      </c>
      <c r="BU437" s="598" t="str">
        <f t="shared" si="48"/>
        <v xml:space="preserve"> </v>
      </c>
      <c r="BV437" s="598" t="str">
        <f t="shared" si="48"/>
        <v xml:space="preserve"> </v>
      </c>
      <c r="BW437" s="598" t="str">
        <f t="shared" si="48"/>
        <v xml:space="preserve"> </v>
      </c>
      <c r="BX437" s="598" t="str">
        <f t="shared" si="48"/>
        <v xml:space="preserve"> </v>
      </c>
      <c r="BY437" s="598" t="str">
        <f t="shared" si="48"/>
        <v xml:space="preserve"> </v>
      </c>
      <c r="BZ437" s="598" t="str">
        <f t="shared" si="48"/>
        <v xml:space="preserve"> </v>
      </c>
      <c r="CA437" s="598" t="str">
        <f t="shared" si="48"/>
        <v xml:space="preserve"> </v>
      </c>
      <c r="CB437" s="598" t="str">
        <f t="shared" si="48"/>
        <v xml:space="preserve"> </v>
      </c>
      <c r="CC437" s="598" t="str">
        <f t="shared" si="49"/>
        <v xml:space="preserve"> </v>
      </c>
      <c r="CD437" s="598" t="str">
        <f t="shared" si="49"/>
        <v xml:space="preserve"> </v>
      </c>
      <c r="CE437" s="598" t="str">
        <f t="shared" si="49"/>
        <v xml:space="preserve"> </v>
      </c>
      <c r="CF437" s="598" t="str">
        <f t="shared" si="49"/>
        <v xml:space="preserve"> </v>
      </c>
      <c r="CG437" s="598" t="str">
        <f t="shared" si="49"/>
        <v xml:space="preserve"> </v>
      </c>
      <c r="CH437" s="598" t="str">
        <f t="shared" si="49"/>
        <v xml:space="preserve"> </v>
      </c>
      <c r="CI437" s="598" t="str">
        <f t="shared" si="49"/>
        <v xml:space="preserve"> </v>
      </c>
      <c r="CJ437" s="598" t="str">
        <f t="shared" si="49"/>
        <v xml:space="preserve"> </v>
      </c>
      <c r="CK437" s="598" t="str">
        <f t="shared" si="49"/>
        <v xml:space="preserve"> </v>
      </c>
      <c r="CL437" s="598" t="str">
        <f t="shared" si="49"/>
        <v xml:space="preserve"> </v>
      </c>
      <c r="CM437" s="598" t="str">
        <f t="shared" si="49"/>
        <v xml:space="preserve"> </v>
      </c>
      <c r="CN437" s="598" t="str">
        <f t="shared" si="49"/>
        <v xml:space="preserve"> </v>
      </c>
      <c r="CO437" s="598" t="str">
        <f t="shared" si="49"/>
        <v xml:space="preserve"> </v>
      </c>
      <c r="CP437" s="598" t="str">
        <f t="shared" si="49"/>
        <v xml:space="preserve"> </v>
      </c>
      <c r="CQ437" s="598" t="str">
        <f t="shared" ca="1" si="49"/>
        <v/>
      </c>
    </row>
    <row r="438" spans="1:95" ht="9.9499999999999993" customHeight="1">
      <c r="A438" s="598">
        <v>17</v>
      </c>
      <c r="B438" s="598" t="str">
        <f t="shared" ca="1" si="53"/>
        <v>Handwriting Analysis</v>
      </c>
      <c r="C438" s="598" t="str">
        <f t="shared" ca="1" si="53"/>
        <v>Foreign:Pacfin</v>
      </c>
      <c r="D438" s="598" t="str">
        <f t="shared" ca="1" si="53"/>
        <v/>
      </c>
      <c r="E438" s="598" t="str">
        <f t="shared" si="53"/>
        <v xml:space="preserve"> </v>
      </c>
      <c r="F438" s="598" t="str">
        <f t="shared" si="53"/>
        <v xml:space="preserve"> </v>
      </c>
      <c r="G438" s="598" t="str">
        <f t="shared" si="53"/>
        <v xml:space="preserve"> </v>
      </c>
      <c r="H438" s="598" t="str">
        <f t="shared" si="53"/>
        <v xml:space="preserve"> </v>
      </c>
      <c r="I438" s="598" t="str">
        <f t="shared" si="53"/>
        <v xml:space="preserve"> </v>
      </c>
      <c r="J438" s="598" t="str">
        <f t="shared" si="53"/>
        <v xml:space="preserve"> </v>
      </c>
      <c r="K438" s="598" t="str">
        <f t="shared" si="53"/>
        <v xml:space="preserve"> </v>
      </c>
      <c r="L438" s="598" t="str">
        <f t="shared" si="46"/>
        <v xml:space="preserve"> </v>
      </c>
      <c r="M438" s="598" t="str">
        <f t="shared" ca="1" si="46"/>
        <v/>
      </c>
      <c r="N438" s="598" t="str">
        <f t="shared" ca="1" si="53"/>
        <v>Handwriting Analysis</v>
      </c>
      <c r="O438" s="598" t="str">
        <f t="shared" si="53"/>
        <v xml:space="preserve"> </v>
      </c>
      <c r="P438" s="598" t="str">
        <f t="shared" si="53"/>
        <v xml:space="preserve"> </v>
      </c>
      <c r="Q438" s="598" t="str">
        <f t="shared" si="53"/>
        <v xml:space="preserve"> </v>
      </c>
      <c r="R438" s="598" t="str">
        <f t="shared" si="53"/>
        <v xml:space="preserve"> </v>
      </c>
      <c r="S438" s="598" t="str">
        <f t="shared" si="53"/>
        <v xml:space="preserve"> </v>
      </c>
      <c r="T438" s="598" t="str">
        <f t="shared" si="53"/>
        <v xml:space="preserve"> </v>
      </c>
      <c r="U438" s="598" t="str">
        <f t="shared" si="53"/>
        <v xml:space="preserve"> </v>
      </c>
      <c r="V438" s="598" t="str">
        <f t="shared" si="53"/>
        <v xml:space="preserve"> </v>
      </c>
      <c r="W438" s="598" t="str">
        <f t="shared" si="53"/>
        <v xml:space="preserve"> </v>
      </c>
      <c r="X438" s="598" t="str">
        <f t="shared" si="53"/>
        <v xml:space="preserve"> </v>
      </c>
      <c r="Y438" s="598" t="str">
        <f t="shared" si="53"/>
        <v xml:space="preserve"> </v>
      </c>
      <c r="Z438" s="598" t="str">
        <f t="shared" si="53"/>
        <v xml:space="preserve"> </v>
      </c>
      <c r="AA438" s="598" t="str">
        <f t="shared" si="53"/>
        <v xml:space="preserve"> </v>
      </c>
      <c r="AB438" s="598" t="str">
        <f t="shared" ca="1" si="53"/>
        <v>Foreign:Kingdom</v>
      </c>
      <c r="AC438" s="598" t="str">
        <f t="shared" ca="1" si="53"/>
        <v>Foreign:Kingdom</v>
      </c>
      <c r="AD438" s="598" t="str">
        <f t="shared" si="53"/>
        <v xml:space="preserve"> </v>
      </c>
      <c r="AE438" s="598" t="str">
        <f t="shared" si="53"/>
        <v xml:space="preserve"> </v>
      </c>
      <c r="AF438" s="598" t="str">
        <f t="shared" si="53"/>
        <v xml:space="preserve"> </v>
      </c>
      <c r="AG438" s="598" t="str">
        <f t="shared" si="53"/>
        <v xml:space="preserve"> </v>
      </c>
      <c r="AH438" s="598" t="str">
        <f t="shared" si="53"/>
        <v xml:space="preserve"> </v>
      </c>
      <c r="AI438" s="598" t="str">
        <f t="shared" si="53"/>
        <v xml:space="preserve"> </v>
      </c>
      <c r="AJ438" s="598" t="str">
        <f t="shared" si="53"/>
        <v xml:space="preserve"> </v>
      </c>
      <c r="AK438" s="598" t="str">
        <f t="shared" si="53"/>
        <v xml:space="preserve"> </v>
      </c>
      <c r="AL438" s="598" t="str">
        <f t="shared" si="53"/>
        <v xml:space="preserve"> </v>
      </c>
      <c r="AM438" s="598" t="str">
        <f t="shared" si="53"/>
        <v xml:space="preserve"> </v>
      </c>
      <c r="AN438" s="598" t="str">
        <f t="shared" si="53"/>
        <v xml:space="preserve"> </v>
      </c>
      <c r="AO438" s="598" t="str">
        <f t="shared" si="53"/>
        <v xml:space="preserve"> </v>
      </c>
      <c r="AP438" s="598" t="str">
        <f t="shared" si="53"/>
        <v xml:space="preserve"> </v>
      </c>
      <c r="AQ438" s="598" t="str">
        <f t="shared" si="53"/>
        <v xml:space="preserve"> </v>
      </c>
      <c r="AR438" s="598" t="str">
        <f t="shared" si="53"/>
        <v xml:space="preserve"> </v>
      </c>
      <c r="AS438" s="598" t="str">
        <f t="shared" si="53"/>
        <v xml:space="preserve"> </v>
      </c>
      <c r="AT438" s="598" t="str">
        <f t="shared" si="53"/>
        <v xml:space="preserve"> </v>
      </c>
      <c r="AU438" s="598" t="str">
        <f t="shared" si="53"/>
        <v xml:space="preserve"> </v>
      </c>
      <c r="AW438" s="598" t="str">
        <f t="shared" si="47"/>
        <v xml:space="preserve"> </v>
      </c>
      <c r="AX438" s="598" t="str">
        <f t="shared" si="47"/>
        <v xml:space="preserve"> </v>
      </c>
      <c r="AY438" s="598" t="str">
        <f t="shared" si="47"/>
        <v xml:space="preserve"> </v>
      </c>
      <c r="AZ438" s="598" t="str">
        <f t="shared" si="47"/>
        <v xml:space="preserve"> </v>
      </c>
      <c r="BA438" s="598" t="str">
        <f t="shared" si="47"/>
        <v xml:space="preserve"> </v>
      </c>
      <c r="BB438" s="598" t="str">
        <f t="shared" si="47"/>
        <v xml:space="preserve"> </v>
      </c>
      <c r="BC438" s="598" t="str">
        <f t="shared" si="47"/>
        <v xml:space="preserve"> </v>
      </c>
      <c r="BD438" s="598" t="str">
        <f t="shared" si="47"/>
        <v xml:space="preserve"> </v>
      </c>
      <c r="BE438" s="598" t="str">
        <f t="shared" si="47"/>
        <v xml:space="preserve"> </v>
      </c>
      <c r="BF438" s="598" t="str">
        <f t="shared" si="47"/>
        <v xml:space="preserve"> </v>
      </c>
      <c r="BG438" s="598" t="str">
        <f t="shared" si="47"/>
        <v xml:space="preserve"> </v>
      </c>
      <c r="BH438" s="598" t="str">
        <f t="shared" si="47"/>
        <v xml:space="preserve"> </v>
      </c>
      <c r="BI438" s="598" t="str">
        <f t="shared" si="47"/>
        <v xml:space="preserve"> </v>
      </c>
      <c r="BJ438" s="598" t="str">
        <f t="shared" si="47"/>
        <v xml:space="preserve"> </v>
      </c>
      <c r="BK438" s="598" t="str">
        <f t="shared" si="47"/>
        <v xml:space="preserve"> </v>
      </c>
      <c r="BL438" s="598" t="str">
        <f t="shared" ref="BL438:CA453" si="54">HLOOKUP(BL$421,$C$217:$Z$317,$A438+1)</f>
        <v xml:space="preserve"> </v>
      </c>
      <c r="BM438" s="598" t="str">
        <f t="shared" si="48"/>
        <v xml:space="preserve"> </v>
      </c>
      <c r="BN438" s="598" t="str">
        <f t="shared" si="48"/>
        <v xml:space="preserve"> </v>
      </c>
      <c r="BO438" s="598" t="str">
        <f t="shared" si="48"/>
        <v xml:space="preserve"> </v>
      </c>
      <c r="BP438" s="598" t="str">
        <f t="shared" si="48"/>
        <v xml:space="preserve"> </v>
      </c>
      <c r="BQ438" s="598" t="str">
        <f t="shared" si="48"/>
        <v xml:space="preserve"> </v>
      </c>
      <c r="BR438" s="598" t="str">
        <f t="shared" si="48"/>
        <v xml:space="preserve"> </v>
      </c>
      <c r="BS438" s="598" t="str">
        <f t="shared" si="48"/>
        <v xml:space="preserve"> </v>
      </c>
      <c r="BT438" s="598" t="str">
        <f t="shared" si="48"/>
        <v xml:space="preserve"> </v>
      </c>
      <c r="BU438" s="598" t="str">
        <f t="shared" si="48"/>
        <v xml:space="preserve"> </v>
      </c>
      <c r="BV438" s="598" t="str">
        <f t="shared" si="48"/>
        <v xml:space="preserve"> </v>
      </c>
      <c r="BW438" s="598" t="str">
        <f t="shared" si="48"/>
        <v xml:space="preserve"> </v>
      </c>
      <c r="BX438" s="598" t="str">
        <f t="shared" si="48"/>
        <v xml:space="preserve"> </v>
      </c>
      <c r="BY438" s="598" t="str">
        <f t="shared" si="48"/>
        <v xml:space="preserve"> </v>
      </c>
      <c r="BZ438" s="598" t="str">
        <f t="shared" si="48"/>
        <v xml:space="preserve"> </v>
      </c>
      <c r="CA438" s="598" t="str">
        <f t="shared" si="48"/>
        <v xml:space="preserve"> </v>
      </c>
      <c r="CB438" s="598" t="str">
        <f t="shared" ref="CB438:CQ453" si="55">HLOOKUP(CB$421,$C$217:$Z$317,$A438+1)</f>
        <v xml:space="preserve"> </v>
      </c>
      <c r="CC438" s="598" t="str">
        <f t="shared" si="49"/>
        <v xml:space="preserve"> </v>
      </c>
      <c r="CD438" s="598" t="str">
        <f t="shared" si="49"/>
        <v xml:space="preserve"> </v>
      </c>
      <c r="CE438" s="598" t="str">
        <f t="shared" si="49"/>
        <v xml:space="preserve"> </v>
      </c>
      <c r="CF438" s="598" t="str">
        <f t="shared" si="49"/>
        <v xml:space="preserve"> </v>
      </c>
      <c r="CG438" s="598" t="str">
        <f t="shared" si="49"/>
        <v xml:space="preserve"> </v>
      </c>
      <c r="CH438" s="598" t="str">
        <f t="shared" si="49"/>
        <v xml:space="preserve"> </v>
      </c>
      <c r="CI438" s="598" t="str">
        <f t="shared" si="49"/>
        <v xml:space="preserve"> </v>
      </c>
      <c r="CJ438" s="598" t="str">
        <f t="shared" si="49"/>
        <v xml:space="preserve"> </v>
      </c>
      <c r="CK438" s="598" t="str">
        <f t="shared" si="49"/>
        <v xml:space="preserve"> </v>
      </c>
      <c r="CL438" s="598" t="str">
        <f t="shared" si="49"/>
        <v xml:space="preserve"> </v>
      </c>
      <c r="CM438" s="598" t="str">
        <f t="shared" si="49"/>
        <v xml:space="preserve"> </v>
      </c>
      <c r="CN438" s="598" t="str">
        <f t="shared" si="49"/>
        <v xml:space="preserve"> </v>
      </c>
      <c r="CO438" s="598" t="str">
        <f t="shared" si="49"/>
        <v xml:space="preserve"> </v>
      </c>
      <c r="CP438" s="598" t="str">
        <f t="shared" si="49"/>
        <v xml:space="preserve"> </v>
      </c>
      <c r="CQ438" s="598" t="str">
        <f t="shared" ca="1" si="49"/>
        <v/>
      </c>
    </row>
    <row r="439" spans="1:95" ht="9.9499999999999993" customHeight="1">
      <c r="A439" s="598">
        <v>18</v>
      </c>
      <c r="B439" s="598" t="str">
        <f t="shared" ca="1" si="53"/>
        <v>Land Lore</v>
      </c>
      <c r="C439" s="598" t="str">
        <f t="shared" ca="1" si="53"/>
        <v>Foreign:Utan</v>
      </c>
      <c r="D439" s="598" t="str">
        <f t="shared" ca="1" si="53"/>
        <v/>
      </c>
      <c r="E439" s="598" t="str">
        <f t="shared" si="53"/>
        <v xml:space="preserve"> </v>
      </c>
      <c r="F439" s="598" t="str">
        <f t="shared" si="53"/>
        <v xml:space="preserve"> </v>
      </c>
      <c r="G439" s="598" t="str">
        <f t="shared" si="53"/>
        <v xml:space="preserve"> </v>
      </c>
      <c r="H439" s="598" t="str">
        <f t="shared" si="53"/>
        <v xml:space="preserve"> </v>
      </c>
      <c r="I439" s="598" t="str">
        <f t="shared" si="53"/>
        <v xml:space="preserve"> </v>
      </c>
      <c r="J439" s="598" t="str">
        <f t="shared" si="53"/>
        <v xml:space="preserve"> </v>
      </c>
      <c r="K439" s="598" t="str">
        <f t="shared" si="53"/>
        <v xml:space="preserve"> </v>
      </c>
      <c r="L439" s="598" t="str">
        <f t="shared" si="46"/>
        <v xml:space="preserve"> </v>
      </c>
      <c r="M439" s="598" t="str">
        <f t="shared" ca="1" si="46"/>
        <v/>
      </c>
      <c r="N439" s="598" t="str">
        <f t="shared" ca="1" si="53"/>
        <v>Land Lore</v>
      </c>
      <c r="O439" s="598" t="str">
        <f t="shared" si="53"/>
        <v xml:space="preserve"> </v>
      </c>
      <c r="P439" s="598" t="str">
        <f t="shared" si="53"/>
        <v xml:space="preserve"> </v>
      </c>
      <c r="Q439" s="598" t="str">
        <f t="shared" si="53"/>
        <v xml:space="preserve"> </v>
      </c>
      <c r="R439" s="598" t="str">
        <f t="shared" si="53"/>
        <v xml:space="preserve"> </v>
      </c>
      <c r="S439" s="598" t="str">
        <f t="shared" si="53"/>
        <v xml:space="preserve"> </v>
      </c>
      <c r="T439" s="598" t="str">
        <f t="shared" si="53"/>
        <v xml:space="preserve"> </v>
      </c>
      <c r="U439" s="598" t="str">
        <f t="shared" si="53"/>
        <v xml:space="preserve"> </v>
      </c>
      <c r="V439" s="598" t="str">
        <f t="shared" si="53"/>
        <v xml:space="preserve"> </v>
      </c>
      <c r="W439" s="598" t="str">
        <f t="shared" si="53"/>
        <v xml:space="preserve"> </v>
      </c>
      <c r="X439" s="598" t="str">
        <f t="shared" si="53"/>
        <v xml:space="preserve"> </v>
      </c>
      <c r="Y439" s="598" t="str">
        <f t="shared" si="53"/>
        <v xml:space="preserve"> </v>
      </c>
      <c r="Z439" s="598" t="str">
        <f t="shared" si="53"/>
        <v xml:space="preserve"> </v>
      </c>
      <c r="AA439" s="598" t="str">
        <f t="shared" si="53"/>
        <v xml:space="preserve"> </v>
      </c>
      <c r="AB439" s="598" t="str">
        <f t="shared" ca="1" si="53"/>
        <v>Foreign:Finnish</v>
      </c>
      <c r="AC439" s="598" t="str">
        <f t="shared" ca="1" si="53"/>
        <v>Foreign:Finnish</v>
      </c>
      <c r="AD439" s="598" t="str">
        <f t="shared" si="53"/>
        <v xml:space="preserve"> </v>
      </c>
      <c r="AE439" s="598" t="str">
        <f t="shared" si="53"/>
        <v xml:space="preserve"> </v>
      </c>
      <c r="AF439" s="598" t="str">
        <f t="shared" si="53"/>
        <v xml:space="preserve"> </v>
      </c>
      <c r="AG439" s="598" t="str">
        <f t="shared" si="53"/>
        <v xml:space="preserve"> </v>
      </c>
      <c r="AH439" s="598" t="str">
        <f t="shared" si="53"/>
        <v xml:space="preserve"> </v>
      </c>
      <c r="AI439" s="598" t="str">
        <f t="shared" si="53"/>
        <v xml:space="preserve"> </v>
      </c>
      <c r="AJ439" s="598" t="str">
        <f t="shared" si="53"/>
        <v xml:space="preserve"> </v>
      </c>
      <c r="AK439" s="598" t="str">
        <f t="shared" si="53"/>
        <v xml:space="preserve"> </v>
      </c>
      <c r="AL439" s="598" t="str">
        <f t="shared" si="53"/>
        <v xml:space="preserve"> </v>
      </c>
      <c r="AM439" s="598" t="str">
        <f t="shared" si="53"/>
        <v xml:space="preserve"> </v>
      </c>
      <c r="AN439" s="598" t="str">
        <f t="shared" si="53"/>
        <v xml:space="preserve"> </v>
      </c>
      <c r="AO439" s="598" t="str">
        <f t="shared" si="53"/>
        <v xml:space="preserve"> </v>
      </c>
      <c r="AP439" s="598" t="str">
        <f t="shared" si="53"/>
        <v xml:space="preserve"> </v>
      </c>
      <c r="AQ439" s="598" t="str">
        <f t="shared" si="53"/>
        <v xml:space="preserve"> </v>
      </c>
      <c r="AR439" s="598" t="str">
        <f t="shared" si="53"/>
        <v xml:space="preserve"> </v>
      </c>
      <c r="AS439" s="598" t="str">
        <f t="shared" si="53"/>
        <v xml:space="preserve"> </v>
      </c>
      <c r="AT439" s="598" t="str">
        <f t="shared" si="53"/>
        <v xml:space="preserve"> </v>
      </c>
      <c r="AU439" s="598" t="str">
        <f t="shared" si="53"/>
        <v xml:space="preserve"> </v>
      </c>
      <c r="AW439" s="598" t="str">
        <f t="shared" ref="AW439:BL454" si="56">HLOOKUP(AW$421,$C$217:$Z$317,$A439+1)</f>
        <v xml:space="preserve"> </v>
      </c>
      <c r="AX439" s="598" t="str">
        <f t="shared" si="56"/>
        <v xml:space="preserve"> </v>
      </c>
      <c r="AY439" s="598" t="str">
        <f t="shared" si="56"/>
        <v xml:space="preserve"> </v>
      </c>
      <c r="AZ439" s="598" t="str">
        <f t="shared" si="56"/>
        <v xml:space="preserve"> </v>
      </c>
      <c r="BA439" s="598" t="str">
        <f t="shared" si="56"/>
        <v xml:space="preserve"> </v>
      </c>
      <c r="BB439" s="598" t="str">
        <f t="shared" si="56"/>
        <v xml:space="preserve"> </v>
      </c>
      <c r="BC439" s="598" t="str">
        <f t="shared" si="56"/>
        <v xml:space="preserve"> </v>
      </c>
      <c r="BD439" s="598" t="str">
        <f t="shared" si="56"/>
        <v xml:space="preserve"> </v>
      </c>
      <c r="BE439" s="598" t="str">
        <f t="shared" si="56"/>
        <v xml:space="preserve"> </v>
      </c>
      <c r="BF439" s="598" t="str">
        <f t="shared" si="56"/>
        <v xml:space="preserve"> </v>
      </c>
      <c r="BG439" s="598" t="str">
        <f t="shared" si="56"/>
        <v xml:space="preserve"> </v>
      </c>
      <c r="BH439" s="598" t="str">
        <f t="shared" si="56"/>
        <v xml:space="preserve"> </v>
      </c>
      <c r="BI439" s="598" t="str">
        <f t="shared" si="56"/>
        <v xml:space="preserve"> </v>
      </c>
      <c r="BJ439" s="598" t="str">
        <f t="shared" si="56"/>
        <v xml:space="preserve"> </v>
      </c>
      <c r="BK439" s="598" t="str">
        <f t="shared" si="56"/>
        <v xml:space="preserve"> </v>
      </c>
      <c r="BL439" s="598" t="str">
        <f t="shared" si="54"/>
        <v xml:space="preserve"> </v>
      </c>
      <c r="BM439" s="598" t="str">
        <f t="shared" si="54"/>
        <v xml:space="preserve"> </v>
      </c>
      <c r="BN439" s="598" t="str">
        <f t="shared" si="54"/>
        <v xml:space="preserve"> </v>
      </c>
      <c r="BO439" s="598" t="str">
        <f t="shared" si="54"/>
        <v xml:space="preserve"> </v>
      </c>
      <c r="BP439" s="598" t="str">
        <f t="shared" si="54"/>
        <v xml:space="preserve"> </v>
      </c>
      <c r="BQ439" s="598" t="str">
        <f t="shared" si="54"/>
        <v xml:space="preserve"> </v>
      </c>
      <c r="BR439" s="598" t="str">
        <f t="shared" si="54"/>
        <v xml:space="preserve"> </v>
      </c>
      <c r="BS439" s="598" t="str">
        <f t="shared" si="54"/>
        <v xml:space="preserve"> </v>
      </c>
      <c r="BT439" s="598" t="str">
        <f t="shared" si="54"/>
        <v xml:space="preserve"> </v>
      </c>
      <c r="BU439" s="598" t="str">
        <f t="shared" si="54"/>
        <v xml:space="preserve"> </v>
      </c>
      <c r="BV439" s="598" t="str">
        <f t="shared" si="54"/>
        <v xml:space="preserve"> </v>
      </c>
      <c r="BW439" s="598" t="str">
        <f t="shared" si="54"/>
        <v xml:space="preserve"> </v>
      </c>
      <c r="BX439" s="598" t="str">
        <f t="shared" si="54"/>
        <v xml:space="preserve"> </v>
      </c>
      <c r="BY439" s="598" t="str">
        <f t="shared" si="54"/>
        <v xml:space="preserve"> </v>
      </c>
      <c r="BZ439" s="598" t="str">
        <f t="shared" si="54"/>
        <v xml:space="preserve"> </v>
      </c>
      <c r="CA439" s="598" t="str">
        <f t="shared" si="54"/>
        <v xml:space="preserve"> </v>
      </c>
      <c r="CB439" s="598" t="str">
        <f t="shared" si="55"/>
        <v xml:space="preserve"> </v>
      </c>
      <c r="CC439" s="598" t="str">
        <f t="shared" si="55"/>
        <v xml:space="preserve"> </v>
      </c>
      <c r="CD439" s="598" t="str">
        <f t="shared" si="55"/>
        <v xml:space="preserve"> </v>
      </c>
      <c r="CE439" s="598" t="str">
        <f t="shared" si="55"/>
        <v xml:space="preserve"> </v>
      </c>
      <c r="CF439" s="598" t="str">
        <f t="shared" si="55"/>
        <v xml:space="preserve"> </v>
      </c>
      <c r="CG439" s="598" t="str">
        <f t="shared" si="55"/>
        <v xml:space="preserve"> </v>
      </c>
      <c r="CH439" s="598" t="str">
        <f t="shared" si="55"/>
        <v xml:space="preserve"> </v>
      </c>
      <c r="CI439" s="598" t="str">
        <f t="shared" si="55"/>
        <v xml:space="preserve"> </v>
      </c>
      <c r="CJ439" s="598" t="str">
        <f t="shared" si="55"/>
        <v xml:space="preserve"> </v>
      </c>
      <c r="CK439" s="598" t="str">
        <f t="shared" si="55"/>
        <v xml:space="preserve"> </v>
      </c>
      <c r="CL439" s="598" t="str">
        <f t="shared" si="55"/>
        <v xml:space="preserve"> </v>
      </c>
      <c r="CM439" s="598" t="str">
        <f t="shared" si="55"/>
        <v xml:space="preserve"> </v>
      </c>
      <c r="CN439" s="598" t="str">
        <f t="shared" si="55"/>
        <v xml:space="preserve"> </v>
      </c>
      <c r="CO439" s="598" t="str">
        <f t="shared" si="55"/>
        <v xml:space="preserve"> </v>
      </c>
      <c r="CP439" s="598" t="str">
        <f t="shared" si="55"/>
        <v xml:space="preserve"> </v>
      </c>
      <c r="CQ439" s="598" t="str">
        <f t="shared" ca="1" si="55"/>
        <v/>
      </c>
    </row>
    <row r="440" spans="1:95" ht="9.9499999999999993" customHeight="1">
      <c r="A440" s="598">
        <v>19</v>
      </c>
      <c r="B440" s="598" t="str">
        <f t="shared" ca="1" si="53"/>
        <v>L L:Coastal Waters</v>
      </c>
      <c r="C440" s="598" t="str">
        <f t="shared" ca="1" si="53"/>
        <v>Foreign:Kingdom</v>
      </c>
      <c r="D440" s="598" t="str">
        <f t="shared" ca="1" si="53"/>
        <v/>
      </c>
      <c r="E440" s="598" t="str">
        <f t="shared" si="53"/>
        <v xml:space="preserve"> </v>
      </c>
      <c r="F440" s="598" t="str">
        <f t="shared" si="53"/>
        <v xml:space="preserve"> </v>
      </c>
      <c r="G440" s="598" t="str">
        <f t="shared" si="53"/>
        <v xml:space="preserve"> </v>
      </c>
      <c r="H440" s="598" t="str">
        <f t="shared" si="53"/>
        <v xml:space="preserve"> </v>
      </c>
      <c r="I440" s="598" t="str">
        <f t="shared" si="53"/>
        <v xml:space="preserve"> </v>
      </c>
      <c r="J440" s="598" t="str">
        <f t="shared" si="53"/>
        <v xml:space="preserve"> </v>
      </c>
      <c r="K440" s="598" t="str">
        <f t="shared" si="53"/>
        <v xml:space="preserve"> </v>
      </c>
      <c r="L440" s="598" t="str">
        <f t="shared" si="46"/>
        <v xml:space="preserve"> </v>
      </c>
      <c r="M440" s="598" t="str">
        <f t="shared" ca="1" si="46"/>
        <v/>
      </c>
      <c r="N440" s="598" t="str">
        <f t="shared" ca="1" si="53"/>
        <v>L L:Coastal Waters</v>
      </c>
      <c r="O440" s="598" t="str">
        <f t="shared" si="53"/>
        <v xml:space="preserve"> </v>
      </c>
      <c r="P440" s="598" t="str">
        <f t="shared" si="53"/>
        <v xml:space="preserve"> </v>
      </c>
      <c r="Q440" s="598" t="str">
        <f t="shared" si="53"/>
        <v xml:space="preserve"> </v>
      </c>
      <c r="R440" s="598" t="str">
        <f t="shared" si="53"/>
        <v xml:space="preserve"> </v>
      </c>
      <c r="S440" s="598" t="str">
        <f t="shared" si="53"/>
        <v xml:space="preserve"> </v>
      </c>
      <c r="T440" s="598" t="str">
        <f t="shared" si="53"/>
        <v xml:space="preserve"> </v>
      </c>
      <c r="U440" s="598" t="str">
        <f t="shared" si="53"/>
        <v xml:space="preserve"> </v>
      </c>
      <c r="V440" s="598" t="str">
        <f t="shared" si="53"/>
        <v xml:space="preserve"> </v>
      </c>
      <c r="W440" s="598" t="str">
        <f t="shared" si="53"/>
        <v xml:space="preserve"> </v>
      </c>
      <c r="X440" s="598" t="str">
        <f t="shared" si="53"/>
        <v xml:space="preserve"> </v>
      </c>
      <c r="Y440" s="598" t="str">
        <f t="shared" si="53"/>
        <v xml:space="preserve"> </v>
      </c>
      <c r="Z440" s="598" t="str">
        <f t="shared" si="53"/>
        <v xml:space="preserve"> </v>
      </c>
      <c r="AA440" s="598" t="str">
        <f t="shared" ref="AA440:AU440" si="57">HLOOKUP(AA$421,$C$217:$Z$317,$A440+1)</f>
        <v xml:space="preserve"> </v>
      </c>
      <c r="AB440" s="598" t="str">
        <f t="shared" ca="1" si="57"/>
        <v>Foreign:Larton</v>
      </c>
      <c r="AC440" s="598" t="str">
        <f t="shared" ca="1" si="57"/>
        <v>Foreign:Larton</v>
      </c>
      <c r="AD440" s="598" t="str">
        <f t="shared" si="57"/>
        <v xml:space="preserve"> </v>
      </c>
      <c r="AE440" s="598" t="str">
        <f t="shared" si="57"/>
        <v xml:space="preserve"> </v>
      </c>
      <c r="AF440" s="598" t="str">
        <f t="shared" si="57"/>
        <v xml:space="preserve"> </v>
      </c>
      <c r="AG440" s="598" t="str">
        <f t="shared" si="57"/>
        <v xml:space="preserve"> </v>
      </c>
      <c r="AH440" s="598" t="str">
        <f t="shared" si="57"/>
        <v xml:space="preserve"> </v>
      </c>
      <c r="AI440" s="598" t="str">
        <f t="shared" si="57"/>
        <v xml:space="preserve"> </v>
      </c>
      <c r="AJ440" s="598" t="str">
        <f t="shared" si="57"/>
        <v xml:space="preserve"> </v>
      </c>
      <c r="AK440" s="598" t="str">
        <f t="shared" si="57"/>
        <v xml:space="preserve"> </v>
      </c>
      <c r="AL440" s="598" t="str">
        <f t="shared" si="57"/>
        <v xml:space="preserve"> </v>
      </c>
      <c r="AM440" s="598" t="str">
        <f t="shared" si="57"/>
        <v xml:space="preserve"> </v>
      </c>
      <c r="AN440" s="598" t="str">
        <f t="shared" si="57"/>
        <v xml:space="preserve"> </v>
      </c>
      <c r="AO440" s="598" t="str">
        <f t="shared" si="57"/>
        <v xml:space="preserve"> </v>
      </c>
      <c r="AP440" s="598" t="str">
        <f t="shared" si="57"/>
        <v xml:space="preserve"> </v>
      </c>
      <c r="AQ440" s="598" t="str">
        <f t="shared" si="57"/>
        <v xml:space="preserve"> </v>
      </c>
      <c r="AR440" s="598" t="str">
        <f t="shared" si="57"/>
        <v xml:space="preserve"> </v>
      </c>
      <c r="AS440" s="598" t="str">
        <f t="shared" si="57"/>
        <v xml:space="preserve"> </v>
      </c>
      <c r="AT440" s="598" t="str">
        <f t="shared" si="57"/>
        <v xml:space="preserve"> </v>
      </c>
      <c r="AU440" s="598" t="str">
        <f t="shared" si="57"/>
        <v xml:space="preserve"> </v>
      </c>
      <c r="AW440" s="598" t="str">
        <f t="shared" si="56"/>
        <v xml:space="preserve"> </v>
      </c>
      <c r="AX440" s="598" t="str">
        <f t="shared" si="56"/>
        <v xml:space="preserve"> </v>
      </c>
      <c r="AY440" s="598" t="str">
        <f t="shared" si="56"/>
        <v xml:space="preserve"> </v>
      </c>
      <c r="AZ440" s="598" t="str">
        <f t="shared" si="56"/>
        <v xml:space="preserve"> </v>
      </c>
      <c r="BA440" s="598" t="str">
        <f t="shared" si="56"/>
        <v xml:space="preserve"> </v>
      </c>
      <c r="BB440" s="598" t="str">
        <f t="shared" si="56"/>
        <v xml:space="preserve"> </v>
      </c>
      <c r="BC440" s="598" t="str">
        <f t="shared" si="56"/>
        <v xml:space="preserve"> </v>
      </c>
      <c r="BD440" s="598" t="str">
        <f t="shared" si="56"/>
        <v xml:space="preserve"> </v>
      </c>
      <c r="BE440" s="598" t="str">
        <f t="shared" si="56"/>
        <v xml:space="preserve"> </v>
      </c>
      <c r="BF440" s="598" t="str">
        <f t="shared" si="56"/>
        <v xml:space="preserve"> </v>
      </c>
      <c r="BG440" s="598" t="str">
        <f t="shared" si="56"/>
        <v xml:space="preserve"> </v>
      </c>
      <c r="BH440" s="598" t="str">
        <f t="shared" si="56"/>
        <v xml:space="preserve"> </v>
      </c>
      <c r="BI440" s="598" t="str">
        <f t="shared" si="56"/>
        <v xml:space="preserve"> </v>
      </c>
      <c r="BJ440" s="598" t="str">
        <f t="shared" si="56"/>
        <v xml:space="preserve"> </v>
      </c>
      <c r="BK440" s="598" t="str">
        <f t="shared" si="56"/>
        <v xml:space="preserve"> </v>
      </c>
      <c r="BL440" s="598" t="str">
        <f t="shared" si="54"/>
        <v xml:space="preserve"> </v>
      </c>
      <c r="BM440" s="598" t="str">
        <f t="shared" si="54"/>
        <v xml:space="preserve"> </v>
      </c>
      <c r="BN440" s="598" t="str">
        <f t="shared" si="54"/>
        <v xml:space="preserve"> </v>
      </c>
      <c r="BO440" s="598" t="str">
        <f t="shared" si="54"/>
        <v xml:space="preserve"> </v>
      </c>
      <c r="BP440" s="598" t="str">
        <f t="shared" si="54"/>
        <v xml:space="preserve"> </v>
      </c>
      <c r="BQ440" s="598" t="str">
        <f t="shared" si="54"/>
        <v xml:space="preserve"> </v>
      </c>
      <c r="BR440" s="598" t="str">
        <f t="shared" si="54"/>
        <v xml:space="preserve"> </v>
      </c>
      <c r="BS440" s="598" t="str">
        <f t="shared" si="54"/>
        <v xml:space="preserve"> </v>
      </c>
      <c r="BT440" s="598" t="str">
        <f t="shared" si="54"/>
        <v xml:space="preserve"> </v>
      </c>
      <c r="BU440" s="598" t="str">
        <f t="shared" si="54"/>
        <v xml:space="preserve"> </v>
      </c>
      <c r="BV440" s="598" t="str">
        <f t="shared" si="54"/>
        <v xml:space="preserve"> </v>
      </c>
      <c r="BW440" s="598" t="str">
        <f t="shared" si="54"/>
        <v xml:space="preserve"> </v>
      </c>
      <c r="BX440" s="598" t="str">
        <f t="shared" si="54"/>
        <v xml:space="preserve"> </v>
      </c>
      <c r="BY440" s="598" t="str">
        <f t="shared" si="54"/>
        <v xml:space="preserve"> </v>
      </c>
      <c r="BZ440" s="598" t="str">
        <f t="shared" si="54"/>
        <v xml:space="preserve"> </v>
      </c>
      <c r="CA440" s="598" t="str">
        <f t="shared" si="54"/>
        <v xml:space="preserve"> </v>
      </c>
      <c r="CB440" s="598" t="str">
        <f t="shared" si="55"/>
        <v xml:space="preserve"> </v>
      </c>
      <c r="CC440" s="598" t="str">
        <f t="shared" si="55"/>
        <v xml:space="preserve"> </v>
      </c>
      <c r="CD440" s="598" t="str">
        <f t="shared" si="55"/>
        <v xml:space="preserve"> </v>
      </c>
      <c r="CE440" s="598" t="str">
        <f t="shared" si="55"/>
        <v xml:space="preserve"> </v>
      </c>
      <c r="CF440" s="598" t="str">
        <f t="shared" si="55"/>
        <v xml:space="preserve"> </v>
      </c>
      <c r="CG440" s="598" t="str">
        <f t="shared" si="55"/>
        <v xml:space="preserve"> </v>
      </c>
      <c r="CH440" s="598" t="str">
        <f t="shared" si="55"/>
        <v xml:space="preserve"> </v>
      </c>
      <c r="CI440" s="598" t="str">
        <f t="shared" si="55"/>
        <v xml:space="preserve"> </v>
      </c>
      <c r="CJ440" s="598" t="str">
        <f t="shared" si="55"/>
        <v xml:space="preserve"> </v>
      </c>
      <c r="CK440" s="598" t="str">
        <f t="shared" si="55"/>
        <v xml:space="preserve"> </v>
      </c>
      <c r="CL440" s="598" t="str">
        <f t="shared" si="55"/>
        <v xml:space="preserve"> </v>
      </c>
      <c r="CM440" s="598" t="str">
        <f t="shared" si="55"/>
        <v xml:space="preserve"> </v>
      </c>
      <c r="CN440" s="598" t="str">
        <f t="shared" si="55"/>
        <v xml:space="preserve"> </v>
      </c>
      <c r="CO440" s="598" t="str">
        <f t="shared" si="55"/>
        <v xml:space="preserve"> </v>
      </c>
      <c r="CP440" s="598" t="str">
        <f t="shared" si="55"/>
        <v xml:space="preserve"> </v>
      </c>
      <c r="CQ440" s="598" t="str">
        <f t="shared" ca="1" si="55"/>
        <v/>
      </c>
    </row>
    <row r="441" spans="1:95" ht="9.9499999999999993" customHeight="1">
      <c r="A441" s="598">
        <v>20</v>
      </c>
      <c r="B441" s="598" t="str">
        <f t="shared" ref="B441:AU446" ca="1" si="58">HLOOKUP(B$421,$C$217:$Z$317,$A441+1)</f>
        <v>L L:Desert</v>
      </c>
      <c r="C441" s="598" t="str">
        <f t="shared" ca="1" si="58"/>
        <v>Foreign:Nortar</v>
      </c>
      <c r="D441" s="598" t="str">
        <f t="shared" ca="1" si="58"/>
        <v/>
      </c>
      <c r="E441" s="598" t="str">
        <f t="shared" si="58"/>
        <v xml:space="preserve"> </v>
      </c>
      <c r="F441" s="598" t="str">
        <f t="shared" si="58"/>
        <v xml:space="preserve"> </v>
      </c>
      <c r="G441" s="598" t="str">
        <f t="shared" si="58"/>
        <v xml:space="preserve"> </v>
      </c>
      <c r="H441" s="598" t="str">
        <f t="shared" si="58"/>
        <v xml:space="preserve"> </v>
      </c>
      <c r="I441" s="598" t="str">
        <f t="shared" si="58"/>
        <v xml:space="preserve"> </v>
      </c>
      <c r="J441" s="598" t="str">
        <f t="shared" si="58"/>
        <v xml:space="preserve"> </v>
      </c>
      <c r="K441" s="598" t="str">
        <f t="shared" si="58"/>
        <v xml:space="preserve"> </v>
      </c>
      <c r="L441" s="598" t="str">
        <f t="shared" si="46"/>
        <v xml:space="preserve"> </v>
      </c>
      <c r="M441" s="598" t="str">
        <f t="shared" ca="1" si="46"/>
        <v/>
      </c>
      <c r="N441" s="598" t="str">
        <f t="shared" ca="1" si="58"/>
        <v>L L:Desert</v>
      </c>
      <c r="O441" s="598" t="str">
        <f t="shared" si="58"/>
        <v xml:space="preserve"> </v>
      </c>
      <c r="P441" s="598" t="str">
        <f t="shared" si="58"/>
        <v xml:space="preserve"> </v>
      </c>
      <c r="Q441" s="598" t="str">
        <f t="shared" si="58"/>
        <v xml:space="preserve"> </v>
      </c>
      <c r="R441" s="598" t="str">
        <f t="shared" si="58"/>
        <v xml:space="preserve"> </v>
      </c>
      <c r="S441" s="598" t="str">
        <f t="shared" si="58"/>
        <v xml:space="preserve"> </v>
      </c>
      <c r="T441" s="598" t="str">
        <f t="shared" si="58"/>
        <v xml:space="preserve"> </v>
      </c>
      <c r="U441" s="598" t="str">
        <f t="shared" si="58"/>
        <v xml:space="preserve"> </v>
      </c>
      <c r="V441" s="598" t="str">
        <f t="shared" si="58"/>
        <v xml:space="preserve"> </v>
      </c>
      <c r="W441" s="598" t="str">
        <f t="shared" si="58"/>
        <v xml:space="preserve"> </v>
      </c>
      <c r="X441" s="598" t="str">
        <f t="shared" si="58"/>
        <v xml:space="preserve"> </v>
      </c>
      <c r="Y441" s="598" t="str">
        <f t="shared" si="58"/>
        <v xml:space="preserve"> </v>
      </c>
      <c r="Z441" s="598" t="str">
        <f t="shared" si="58"/>
        <v xml:space="preserve"> </v>
      </c>
      <c r="AA441" s="598" t="str">
        <f t="shared" si="58"/>
        <v xml:space="preserve"> </v>
      </c>
      <c r="AB441" s="598" t="str">
        <f t="shared" ca="1" si="58"/>
        <v>Foreign:Gaelic (Irish)</v>
      </c>
      <c r="AC441" s="598" t="str">
        <f t="shared" ca="1" si="58"/>
        <v>Foreign:Gaelic (Irish)</v>
      </c>
      <c r="AD441" s="598" t="str">
        <f t="shared" si="58"/>
        <v xml:space="preserve"> </v>
      </c>
      <c r="AE441" s="598" t="str">
        <f t="shared" si="58"/>
        <v xml:space="preserve"> </v>
      </c>
      <c r="AF441" s="598" t="str">
        <f t="shared" si="58"/>
        <v xml:space="preserve"> </v>
      </c>
      <c r="AG441" s="598" t="str">
        <f t="shared" si="58"/>
        <v xml:space="preserve"> </v>
      </c>
      <c r="AH441" s="598" t="str">
        <f t="shared" si="58"/>
        <v xml:space="preserve"> </v>
      </c>
      <c r="AI441" s="598" t="str">
        <f t="shared" si="58"/>
        <v xml:space="preserve"> </v>
      </c>
      <c r="AJ441" s="598" t="str">
        <f t="shared" si="58"/>
        <v xml:space="preserve"> </v>
      </c>
      <c r="AK441" s="598" t="str">
        <f t="shared" si="58"/>
        <v xml:space="preserve"> </v>
      </c>
      <c r="AL441" s="598" t="str">
        <f t="shared" si="58"/>
        <v xml:space="preserve"> </v>
      </c>
      <c r="AM441" s="598" t="str">
        <f t="shared" si="58"/>
        <v xml:space="preserve"> </v>
      </c>
      <c r="AN441" s="598" t="str">
        <f t="shared" si="58"/>
        <v xml:space="preserve"> </v>
      </c>
      <c r="AO441" s="598" t="str">
        <f t="shared" si="58"/>
        <v xml:space="preserve"> </v>
      </c>
      <c r="AP441" s="598" t="str">
        <f t="shared" si="58"/>
        <v xml:space="preserve"> </v>
      </c>
      <c r="AQ441" s="598" t="str">
        <f t="shared" si="58"/>
        <v xml:space="preserve"> </v>
      </c>
      <c r="AR441" s="598" t="str">
        <f t="shared" si="58"/>
        <v xml:space="preserve"> </v>
      </c>
      <c r="AS441" s="598" t="str">
        <f t="shared" si="58"/>
        <v xml:space="preserve"> </v>
      </c>
      <c r="AT441" s="598" t="str">
        <f t="shared" si="58"/>
        <v xml:space="preserve"> </v>
      </c>
      <c r="AU441" s="598" t="str">
        <f t="shared" si="58"/>
        <v xml:space="preserve"> </v>
      </c>
      <c r="AW441" s="598" t="str">
        <f t="shared" si="56"/>
        <v xml:space="preserve"> </v>
      </c>
      <c r="AX441" s="598" t="str">
        <f t="shared" si="56"/>
        <v xml:space="preserve"> </v>
      </c>
      <c r="AY441" s="598" t="str">
        <f t="shared" si="56"/>
        <v xml:space="preserve"> </v>
      </c>
      <c r="AZ441" s="598" t="str">
        <f t="shared" si="56"/>
        <v xml:space="preserve"> </v>
      </c>
      <c r="BA441" s="598" t="str">
        <f t="shared" si="56"/>
        <v xml:space="preserve"> </v>
      </c>
      <c r="BB441" s="598" t="str">
        <f t="shared" si="56"/>
        <v xml:space="preserve"> </v>
      </c>
      <c r="BC441" s="598" t="str">
        <f t="shared" si="56"/>
        <v xml:space="preserve"> </v>
      </c>
      <c r="BD441" s="598" t="str">
        <f t="shared" si="56"/>
        <v xml:space="preserve"> </v>
      </c>
      <c r="BE441" s="598" t="str">
        <f t="shared" si="56"/>
        <v xml:space="preserve"> </v>
      </c>
      <c r="BF441" s="598" t="str">
        <f t="shared" si="56"/>
        <v xml:space="preserve"> </v>
      </c>
      <c r="BG441" s="598" t="str">
        <f t="shared" si="56"/>
        <v xml:space="preserve"> </v>
      </c>
      <c r="BH441" s="598" t="str">
        <f t="shared" si="56"/>
        <v xml:space="preserve"> </v>
      </c>
      <c r="BI441" s="598" t="str">
        <f t="shared" si="56"/>
        <v xml:space="preserve"> </v>
      </c>
      <c r="BJ441" s="598" t="str">
        <f t="shared" si="56"/>
        <v xml:space="preserve"> </v>
      </c>
      <c r="BK441" s="598" t="str">
        <f t="shared" si="56"/>
        <v xml:space="preserve"> </v>
      </c>
      <c r="BL441" s="598" t="str">
        <f t="shared" si="54"/>
        <v xml:space="preserve"> </v>
      </c>
      <c r="BM441" s="598" t="str">
        <f t="shared" si="54"/>
        <v xml:space="preserve"> </v>
      </c>
      <c r="BN441" s="598" t="str">
        <f t="shared" si="54"/>
        <v xml:space="preserve"> </v>
      </c>
      <c r="BO441" s="598" t="str">
        <f t="shared" si="54"/>
        <v xml:space="preserve"> </v>
      </c>
      <c r="BP441" s="598" t="str">
        <f t="shared" si="54"/>
        <v xml:space="preserve"> </v>
      </c>
      <c r="BQ441" s="598" t="str">
        <f t="shared" si="54"/>
        <v xml:space="preserve"> </v>
      </c>
      <c r="BR441" s="598" t="str">
        <f t="shared" si="54"/>
        <v xml:space="preserve"> </v>
      </c>
      <c r="BS441" s="598" t="str">
        <f t="shared" si="54"/>
        <v xml:space="preserve"> </v>
      </c>
      <c r="BT441" s="598" t="str">
        <f t="shared" si="54"/>
        <v xml:space="preserve"> </v>
      </c>
      <c r="BU441" s="598" t="str">
        <f t="shared" si="54"/>
        <v xml:space="preserve"> </v>
      </c>
      <c r="BV441" s="598" t="str">
        <f t="shared" si="54"/>
        <v xml:space="preserve"> </v>
      </c>
      <c r="BW441" s="598" t="str">
        <f t="shared" si="54"/>
        <v xml:space="preserve"> </v>
      </c>
      <c r="BX441" s="598" t="str">
        <f t="shared" si="54"/>
        <v xml:space="preserve"> </v>
      </c>
      <c r="BY441" s="598" t="str">
        <f t="shared" si="54"/>
        <v xml:space="preserve"> </v>
      </c>
      <c r="BZ441" s="598" t="str">
        <f t="shared" si="54"/>
        <v xml:space="preserve"> </v>
      </c>
      <c r="CA441" s="598" t="str">
        <f t="shared" si="54"/>
        <v xml:space="preserve"> </v>
      </c>
      <c r="CB441" s="598" t="str">
        <f t="shared" si="55"/>
        <v xml:space="preserve"> </v>
      </c>
      <c r="CC441" s="598" t="str">
        <f t="shared" si="55"/>
        <v xml:space="preserve"> </v>
      </c>
      <c r="CD441" s="598" t="str">
        <f t="shared" si="55"/>
        <v xml:space="preserve"> </v>
      </c>
      <c r="CE441" s="598" t="str">
        <f t="shared" si="55"/>
        <v xml:space="preserve"> </v>
      </c>
      <c r="CF441" s="598" t="str">
        <f t="shared" si="55"/>
        <v xml:space="preserve"> </v>
      </c>
      <c r="CG441" s="598" t="str">
        <f t="shared" si="55"/>
        <v xml:space="preserve"> </v>
      </c>
      <c r="CH441" s="598" t="str">
        <f t="shared" si="55"/>
        <v xml:space="preserve"> </v>
      </c>
      <c r="CI441" s="598" t="str">
        <f t="shared" si="55"/>
        <v xml:space="preserve"> </v>
      </c>
      <c r="CJ441" s="598" t="str">
        <f t="shared" si="55"/>
        <v xml:space="preserve"> </v>
      </c>
      <c r="CK441" s="598" t="str">
        <f t="shared" si="55"/>
        <v xml:space="preserve"> </v>
      </c>
      <c r="CL441" s="598" t="str">
        <f t="shared" si="55"/>
        <v xml:space="preserve"> </v>
      </c>
      <c r="CM441" s="598" t="str">
        <f t="shared" si="55"/>
        <v xml:space="preserve"> </v>
      </c>
      <c r="CN441" s="598" t="str">
        <f t="shared" si="55"/>
        <v xml:space="preserve"> </v>
      </c>
      <c r="CO441" s="598" t="str">
        <f t="shared" si="55"/>
        <v xml:space="preserve"> </v>
      </c>
      <c r="CP441" s="598" t="str">
        <f t="shared" si="55"/>
        <v xml:space="preserve"> </v>
      </c>
      <c r="CQ441" s="598" t="str">
        <f t="shared" ca="1" si="55"/>
        <v/>
      </c>
    </row>
    <row r="442" spans="1:95" ht="9.9499999999999993" customHeight="1">
      <c r="A442" s="598">
        <v>21</v>
      </c>
      <c r="B442" s="598" t="str">
        <f t="shared" ca="1" si="58"/>
        <v>L L:Forest</v>
      </c>
      <c r="C442" s="598" t="str">
        <f t="shared" ca="1" si="58"/>
        <v>Foreign:Larton</v>
      </c>
      <c r="D442" s="598" t="str">
        <f t="shared" ca="1" si="58"/>
        <v/>
      </c>
      <c r="E442" s="598" t="str">
        <f t="shared" si="58"/>
        <v xml:space="preserve"> </v>
      </c>
      <c r="F442" s="598" t="str">
        <f t="shared" si="58"/>
        <v xml:space="preserve"> </v>
      </c>
      <c r="G442" s="598" t="str">
        <f t="shared" si="58"/>
        <v xml:space="preserve"> </v>
      </c>
      <c r="H442" s="598" t="str">
        <f t="shared" si="58"/>
        <v xml:space="preserve"> </v>
      </c>
      <c r="I442" s="598" t="str">
        <f t="shared" si="58"/>
        <v xml:space="preserve"> </v>
      </c>
      <c r="J442" s="598" t="str">
        <f t="shared" si="58"/>
        <v xml:space="preserve"> </v>
      </c>
      <c r="K442" s="598" t="str">
        <f t="shared" si="58"/>
        <v xml:space="preserve"> </v>
      </c>
      <c r="L442" s="598" t="str">
        <f t="shared" si="46"/>
        <v xml:space="preserve"> </v>
      </c>
      <c r="M442" s="598" t="str">
        <f t="shared" ca="1" si="46"/>
        <v/>
      </c>
      <c r="N442" s="598" t="str">
        <f t="shared" ca="1" si="58"/>
        <v>L L:Forest</v>
      </c>
      <c r="O442" s="598" t="str">
        <f t="shared" si="58"/>
        <v xml:space="preserve"> </v>
      </c>
      <c r="P442" s="598" t="str">
        <f t="shared" si="58"/>
        <v xml:space="preserve"> </v>
      </c>
      <c r="Q442" s="598" t="str">
        <f t="shared" si="58"/>
        <v xml:space="preserve"> </v>
      </c>
      <c r="R442" s="598" t="str">
        <f t="shared" si="58"/>
        <v xml:space="preserve"> </v>
      </c>
      <c r="S442" s="598" t="str">
        <f t="shared" si="58"/>
        <v xml:space="preserve"> </v>
      </c>
      <c r="T442" s="598" t="str">
        <f t="shared" si="58"/>
        <v xml:space="preserve"> </v>
      </c>
      <c r="U442" s="598" t="str">
        <f t="shared" si="58"/>
        <v xml:space="preserve"> </v>
      </c>
      <c r="V442" s="598" t="str">
        <f t="shared" si="58"/>
        <v xml:space="preserve"> </v>
      </c>
      <c r="W442" s="598" t="str">
        <f t="shared" si="58"/>
        <v xml:space="preserve"> </v>
      </c>
      <c r="X442" s="598" t="str">
        <f t="shared" si="58"/>
        <v xml:space="preserve"> </v>
      </c>
      <c r="Y442" s="598" t="str">
        <f t="shared" si="58"/>
        <v xml:space="preserve"> </v>
      </c>
      <c r="Z442" s="598" t="str">
        <f t="shared" si="58"/>
        <v xml:space="preserve"> </v>
      </c>
      <c r="AA442" s="598" t="str">
        <f t="shared" si="58"/>
        <v xml:space="preserve"> </v>
      </c>
      <c r="AB442" s="598" t="str">
        <f t="shared" ca="1" si="58"/>
        <v>Foreign:Gaelic (Scots)</v>
      </c>
      <c r="AC442" s="598" t="str">
        <f t="shared" ca="1" si="58"/>
        <v>Foreign:Gaelic (Scots)</v>
      </c>
      <c r="AD442" s="598" t="str">
        <f t="shared" si="58"/>
        <v xml:space="preserve"> </v>
      </c>
      <c r="AE442" s="598" t="str">
        <f t="shared" si="58"/>
        <v xml:space="preserve"> </v>
      </c>
      <c r="AF442" s="598" t="str">
        <f t="shared" si="58"/>
        <v xml:space="preserve"> </v>
      </c>
      <c r="AG442" s="598" t="str">
        <f t="shared" si="58"/>
        <v xml:space="preserve"> </v>
      </c>
      <c r="AH442" s="598" t="str">
        <f t="shared" si="58"/>
        <v xml:space="preserve"> </v>
      </c>
      <c r="AI442" s="598" t="str">
        <f t="shared" si="58"/>
        <v xml:space="preserve"> </v>
      </c>
      <c r="AJ442" s="598" t="str">
        <f t="shared" si="58"/>
        <v xml:space="preserve"> </v>
      </c>
      <c r="AK442" s="598" t="str">
        <f t="shared" si="58"/>
        <v xml:space="preserve"> </v>
      </c>
      <c r="AL442" s="598" t="str">
        <f t="shared" si="58"/>
        <v xml:space="preserve"> </v>
      </c>
      <c r="AM442" s="598" t="str">
        <f t="shared" si="58"/>
        <v xml:space="preserve"> </v>
      </c>
      <c r="AN442" s="598" t="str">
        <f t="shared" si="58"/>
        <v xml:space="preserve"> </v>
      </c>
      <c r="AO442" s="598" t="str">
        <f t="shared" si="58"/>
        <v xml:space="preserve"> </v>
      </c>
      <c r="AP442" s="598" t="str">
        <f t="shared" si="58"/>
        <v xml:space="preserve"> </v>
      </c>
      <c r="AQ442" s="598" t="str">
        <f t="shared" si="58"/>
        <v xml:space="preserve"> </v>
      </c>
      <c r="AR442" s="598" t="str">
        <f t="shared" si="58"/>
        <v xml:space="preserve"> </v>
      </c>
      <c r="AS442" s="598" t="str">
        <f t="shared" si="58"/>
        <v xml:space="preserve"> </v>
      </c>
      <c r="AT442" s="598" t="str">
        <f t="shared" si="58"/>
        <v xml:space="preserve"> </v>
      </c>
      <c r="AU442" s="598" t="str">
        <f t="shared" si="58"/>
        <v xml:space="preserve"> </v>
      </c>
      <c r="AW442" s="598" t="str">
        <f t="shared" si="56"/>
        <v xml:space="preserve"> </v>
      </c>
      <c r="AX442" s="598" t="str">
        <f t="shared" si="56"/>
        <v xml:space="preserve"> </v>
      </c>
      <c r="AY442" s="598" t="str">
        <f t="shared" si="56"/>
        <v xml:space="preserve"> </v>
      </c>
      <c r="AZ442" s="598" t="str">
        <f t="shared" si="56"/>
        <v xml:space="preserve"> </v>
      </c>
      <c r="BA442" s="598" t="str">
        <f t="shared" si="56"/>
        <v xml:space="preserve"> </v>
      </c>
      <c r="BB442" s="598" t="str">
        <f t="shared" si="56"/>
        <v xml:space="preserve"> </v>
      </c>
      <c r="BC442" s="598" t="str">
        <f t="shared" si="56"/>
        <v xml:space="preserve"> </v>
      </c>
      <c r="BD442" s="598" t="str">
        <f t="shared" si="56"/>
        <v xml:space="preserve"> </v>
      </c>
      <c r="BE442" s="598" t="str">
        <f t="shared" si="56"/>
        <v xml:space="preserve"> </v>
      </c>
      <c r="BF442" s="598" t="str">
        <f t="shared" si="56"/>
        <v xml:space="preserve"> </v>
      </c>
      <c r="BG442" s="598" t="str">
        <f t="shared" si="56"/>
        <v xml:space="preserve"> </v>
      </c>
      <c r="BH442" s="598" t="str">
        <f t="shared" si="56"/>
        <v xml:space="preserve"> </v>
      </c>
      <c r="BI442" s="598" t="str">
        <f t="shared" si="56"/>
        <v xml:space="preserve"> </v>
      </c>
      <c r="BJ442" s="598" t="str">
        <f t="shared" si="56"/>
        <v xml:space="preserve"> </v>
      </c>
      <c r="BK442" s="598" t="str">
        <f t="shared" si="56"/>
        <v xml:space="preserve"> </v>
      </c>
      <c r="BL442" s="598" t="str">
        <f t="shared" si="54"/>
        <v xml:space="preserve"> </v>
      </c>
      <c r="BM442" s="598" t="str">
        <f t="shared" si="54"/>
        <v xml:space="preserve"> </v>
      </c>
      <c r="BN442" s="598" t="str">
        <f t="shared" si="54"/>
        <v xml:space="preserve"> </v>
      </c>
      <c r="BO442" s="598" t="str">
        <f t="shared" si="54"/>
        <v xml:space="preserve"> </v>
      </c>
      <c r="BP442" s="598" t="str">
        <f t="shared" si="54"/>
        <v xml:space="preserve"> </v>
      </c>
      <c r="BQ442" s="598" t="str">
        <f t="shared" si="54"/>
        <v xml:space="preserve"> </v>
      </c>
      <c r="BR442" s="598" t="str">
        <f t="shared" si="54"/>
        <v xml:space="preserve"> </v>
      </c>
      <c r="BS442" s="598" t="str">
        <f t="shared" si="54"/>
        <v xml:space="preserve"> </v>
      </c>
      <c r="BT442" s="598" t="str">
        <f t="shared" si="54"/>
        <v xml:space="preserve"> </v>
      </c>
      <c r="BU442" s="598" t="str">
        <f t="shared" si="54"/>
        <v xml:space="preserve"> </v>
      </c>
      <c r="BV442" s="598" t="str">
        <f t="shared" si="54"/>
        <v xml:space="preserve"> </v>
      </c>
      <c r="BW442" s="598" t="str">
        <f t="shared" si="54"/>
        <v xml:space="preserve"> </v>
      </c>
      <c r="BX442" s="598" t="str">
        <f t="shared" si="54"/>
        <v xml:space="preserve"> </v>
      </c>
      <c r="BY442" s="598" t="str">
        <f t="shared" si="54"/>
        <v xml:space="preserve"> </v>
      </c>
      <c r="BZ442" s="598" t="str">
        <f t="shared" si="54"/>
        <v xml:space="preserve"> </v>
      </c>
      <c r="CA442" s="598" t="str">
        <f t="shared" si="54"/>
        <v xml:space="preserve"> </v>
      </c>
      <c r="CB442" s="598" t="str">
        <f t="shared" si="55"/>
        <v xml:space="preserve"> </v>
      </c>
      <c r="CC442" s="598" t="str">
        <f t="shared" si="55"/>
        <v xml:space="preserve"> </v>
      </c>
      <c r="CD442" s="598" t="str">
        <f t="shared" si="55"/>
        <v xml:space="preserve"> </v>
      </c>
      <c r="CE442" s="598" t="str">
        <f t="shared" si="55"/>
        <v xml:space="preserve"> </v>
      </c>
      <c r="CF442" s="598" t="str">
        <f t="shared" si="55"/>
        <v xml:space="preserve"> </v>
      </c>
      <c r="CG442" s="598" t="str">
        <f t="shared" si="55"/>
        <v xml:space="preserve"> </v>
      </c>
      <c r="CH442" s="598" t="str">
        <f t="shared" si="55"/>
        <v xml:space="preserve"> </v>
      </c>
      <c r="CI442" s="598" t="str">
        <f t="shared" si="55"/>
        <v xml:space="preserve"> </v>
      </c>
      <c r="CJ442" s="598" t="str">
        <f t="shared" si="55"/>
        <v xml:space="preserve"> </v>
      </c>
      <c r="CK442" s="598" t="str">
        <f t="shared" si="55"/>
        <v xml:space="preserve"> </v>
      </c>
      <c r="CL442" s="598" t="str">
        <f t="shared" si="55"/>
        <v xml:space="preserve"> </v>
      </c>
      <c r="CM442" s="598" t="str">
        <f t="shared" si="55"/>
        <v xml:space="preserve"> </v>
      </c>
      <c r="CN442" s="598" t="str">
        <f t="shared" si="55"/>
        <v xml:space="preserve"> </v>
      </c>
      <c r="CO442" s="598" t="str">
        <f t="shared" si="55"/>
        <v xml:space="preserve"> </v>
      </c>
      <c r="CP442" s="598" t="str">
        <f t="shared" si="55"/>
        <v xml:space="preserve"> </v>
      </c>
      <c r="CQ442" s="598" t="str">
        <f t="shared" ca="1" si="55"/>
        <v/>
      </c>
    </row>
    <row r="443" spans="1:95" ht="9.9499999999999993" customHeight="1">
      <c r="A443" s="598">
        <v>22</v>
      </c>
      <c r="B443" s="598" t="str">
        <f t="shared" ca="1" si="58"/>
        <v>L L:Magical and Enchanted Realms</v>
      </c>
      <c r="C443" s="598" t="str">
        <f t="shared" ca="1" si="58"/>
        <v>Foreign:Gaelic (Irish)</v>
      </c>
      <c r="D443" s="598" t="str">
        <f t="shared" ca="1" si="58"/>
        <v/>
      </c>
      <c r="E443" s="598" t="str">
        <f t="shared" si="58"/>
        <v xml:space="preserve"> </v>
      </c>
      <c r="F443" s="598" t="str">
        <f t="shared" si="58"/>
        <v xml:space="preserve"> </v>
      </c>
      <c r="G443" s="598" t="str">
        <f t="shared" si="58"/>
        <v xml:space="preserve"> </v>
      </c>
      <c r="H443" s="598" t="str">
        <f t="shared" si="58"/>
        <v xml:space="preserve"> </v>
      </c>
      <c r="I443" s="598" t="str">
        <f t="shared" si="58"/>
        <v xml:space="preserve"> </v>
      </c>
      <c r="J443" s="598" t="str">
        <f t="shared" si="58"/>
        <v xml:space="preserve"> </v>
      </c>
      <c r="K443" s="598" t="str">
        <f t="shared" si="58"/>
        <v xml:space="preserve"> </v>
      </c>
      <c r="L443" s="598" t="str">
        <f t="shared" si="58"/>
        <v xml:space="preserve"> </v>
      </c>
      <c r="M443" s="598" t="str">
        <f t="shared" ca="1" si="58"/>
        <v/>
      </c>
      <c r="N443" s="598" t="str">
        <f t="shared" ca="1" si="58"/>
        <v>L L:Magical and Enchanted Realms</v>
      </c>
      <c r="O443" s="598" t="str">
        <f t="shared" si="58"/>
        <v xml:space="preserve"> </v>
      </c>
      <c r="P443" s="598" t="str">
        <f t="shared" si="58"/>
        <v xml:space="preserve"> </v>
      </c>
      <c r="Q443" s="598" t="str">
        <f t="shared" si="58"/>
        <v xml:space="preserve"> </v>
      </c>
      <c r="R443" s="598" t="str">
        <f t="shared" si="58"/>
        <v xml:space="preserve"> </v>
      </c>
      <c r="S443" s="598" t="str">
        <f t="shared" si="58"/>
        <v xml:space="preserve"> </v>
      </c>
      <c r="T443" s="598" t="str">
        <f t="shared" si="58"/>
        <v xml:space="preserve"> </v>
      </c>
      <c r="U443" s="598" t="str">
        <f t="shared" si="58"/>
        <v xml:space="preserve"> </v>
      </c>
      <c r="V443" s="598" t="str">
        <f t="shared" si="58"/>
        <v xml:space="preserve"> </v>
      </c>
      <c r="W443" s="598" t="str">
        <f t="shared" si="58"/>
        <v xml:space="preserve"> </v>
      </c>
      <c r="X443" s="598" t="str">
        <f t="shared" si="58"/>
        <v xml:space="preserve"> </v>
      </c>
      <c r="Y443" s="598" t="str">
        <f t="shared" si="58"/>
        <v xml:space="preserve"> </v>
      </c>
      <c r="Z443" s="598" t="str">
        <f t="shared" si="58"/>
        <v xml:space="preserve"> </v>
      </c>
      <c r="AA443" s="598" t="str">
        <f t="shared" si="58"/>
        <v xml:space="preserve"> </v>
      </c>
      <c r="AB443" s="598" t="str">
        <f t="shared" ca="1" si="58"/>
        <v>Foreign:Highlands</v>
      </c>
      <c r="AC443" s="598" t="str">
        <f t="shared" ca="1" si="58"/>
        <v>Foreign:Highlands</v>
      </c>
      <c r="AD443" s="598" t="str">
        <f t="shared" si="58"/>
        <v xml:space="preserve"> </v>
      </c>
      <c r="AE443" s="598" t="str">
        <f t="shared" si="58"/>
        <v xml:space="preserve"> </v>
      </c>
      <c r="AF443" s="598" t="str">
        <f t="shared" si="58"/>
        <v xml:space="preserve"> </v>
      </c>
      <c r="AG443" s="598" t="str">
        <f t="shared" si="58"/>
        <v xml:space="preserve"> </v>
      </c>
      <c r="AH443" s="598" t="str">
        <f t="shared" si="58"/>
        <v xml:space="preserve"> </v>
      </c>
      <c r="AI443" s="598" t="str">
        <f t="shared" si="58"/>
        <v xml:space="preserve"> </v>
      </c>
      <c r="AJ443" s="598" t="str">
        <f t="shared" si="58"/>
        <v xml:space="preserve"> </v>
      </c>
      <c r="AK443" s="598" t="str">
        <f t="shared" si="58"/>
        <v xml:space="preserve"> </v>
      </c>
      <c r="AL443" s="598" t="str">
        <f t="shared" si="58"/>
        <v xml:space="preserve"> </v>
      </c>
      <c r="AM443" s="598" t="str">
        <f t="shared" si="58"/>
        <v xml:space="preserve"> </v>
      </c>
      <c r="AN443" s="598" t="str">
        <f t="shared" si="58"/>
        <v xml:space="preserve"> </v>
      </c>
      <c r="AO443" s="598" t="str">
        <f t="shared" si="58"/>
        <v xml:space="preserve"> </v>
      </c>
      <c r="AP443" s="598" t="str">
        <f t="shared" si="58"/>
        <v xml:space="preserve"> </v>
      </c>
      <c r="AQ443" s="598" t="str">
        <f t="shared" si="58"/>
        <v xml:space="preserve"> </v>
      </c>
      <c r="AR443" s="598" t="str">
        <f t="shared" si="58"/>
        <v xml:space="preserve"> </v>
      </c>
      <c r="AS443" s="598" t="str">
        <f t="shared" si="58"/>
        <v xml:space="preserve"> </v>
      </c>
      <c r="AT443" s="598" t="str">
        <f t="shared" si="58"/>
        <v xml:space="preserve"> </v>
      </c>
      <c r="AU443" s="598" t="str">
        <f t="shared" si="58"/>
        <v xml:space="preserve"> </v>
      </c>
      <c r="AW443" s="598" t="str">
        <f t="shared" si="56"/>
        <v xml:space="preserve"> </v>
      </c>
      <c r="AX443" s="598" t="str">
        <f t="shared" si="56"/>
        <v xml:space="preserve"> </v>
      </c>
      <c r="AY443" s="598" t="str">
        <f t="shared" si="56"/>
        <v xml:space="preserve"> </v>
      </c>
      <c r="AZ443" s="598" t="str">
        <f t="shared" si="56"/>
        <v xml:space="preserve"> </v>
      </c>
      <c r="BA443" s="598" t="str">
        <f t="shared" si="56"/>
        <v xml:space="preserve"> </v>
      </c>
      <c r="BB443" s="598" t="str">
        <f t="shared" si="56"/>
        <v xml:space="preserve"> </v>
      </c>
      <c r="BC443" s="598" t="str">
        <f t="shared" si="56"/>
        <v xml:space="preserve"> </v>
      </c>
      <c r="BD443" s="598" t="str">
        <f t="shared" si="56"/>
        <v xml:space="preserve"> </v>
      </c>
      <c r="BE443" s="598" t="str">
        <f t="shared" si="56"/>
        <v xml:space="preserve"> </v>
      </c>
      <c r="BF443" s="598" t="str">
        <f t="shared" si="56"/>
        <v xml:space="preserve"> </v>
      </c>
      <c r="BG443" s="598" t="str">
        <f t="shared" si="56"/>
        <v xml:space="preserve"> </v>
      </c>
      <c r="BH443" s="598" t="str">
        <f t="shared" si="56"/>
        <v xml:space="preserve"> </v>
      </c>
      <c r="BI443" s="598" t="str">
        <f t="shared" si="56"/>
        <v xml:space="preserve"> </v>
      </c>
      <c r="BJ443" s="598" t="str">
        <f t="shared" si="56"/>
        <v xml:space="preserve"> </v>
      </c>
      <c r="BK443" s="598" t="str">
        <f t="shared" si="56"/>
        <v xml:space="preserve"> </v>
      </c>
      <c r="BL443" s="598" t="str">
        <f t="shared" si="54"/>
        <v xml:space="preserve"> </v>
      </c>
      <c r="BM443" s="598" t="str">
        <f t="shared" si="54"/>
        <v xml:space="preserve"> </v>
      </c>
      <c r="BN443" s="598" t="str">
        <f t="shared" si="54"/>
        <v xml:space="preserve"> </v>
      </c>
      <c r="BO443" s="598" t="str">
        <f t="shared" si="54"/>
        <v xml:space="preserve"> </v>
      </c>
      <c r="BP443" s="598" t="str">
        <f t="shared" si="54"/>
        <v xml:space="preserve"> </v>
      </c>
      <c r="BQ443" s="598" t="str">
        <f t="shared" si="54"/>
        <v xml:space="preserve"> </v>
      </c>
      <c r="BR443" s="598" t="str">
        <f t="shared" si="54"/>
        <v xml:space="preserve"> </v>
      </c>
      <c r="BS443" s="598" t="str">
        <f t="shared" si="54"/>
        <v xml:space="preserve"> </v>
      </c>
      <c r="BT443" s="598" t="str">
        <f t="shared" si="54"/>
        <v xml:space="preserve"> </v>
      </c>
      <c r="BU443" s="598" t="str">
        <f t="shared" si="54"/>
        <v xml:space="preserve"> </v>
      </c>
      <c r="BV443" s="598" t="str">
        <f t="shared" si="54"/>
        <v xml:space="preserve"> </v>
      </c>
      <c r="BW443" s="598" t="str">
        <f t="shared" si="54"/>
        <v xml:space="preserve"> </v>
      </c>
      <c r="BX443" s="598" t="str">
        <f t="shared" si="54"/>
        <v xml:space="preserve"> </v>
      </c>
      <c r="BY443" s="598" t="str">
        <f t="shared" si="54"/>
        <v xml:space="preserve"> </v>
      </c>
      <c r="BZ443" s="598" t="str">
        <f t="shared" si="54"/>
        <v xml:space="preserve"> </v>
      </c>
      <c r="CA443" s="598" t="str">
        <f t="shared" si="54"/>
        <v xml:space="preserve"> </v>
      </c>
      <c r="CB443" s="598" t="str">
        <f t="shared" si="55"/>
        <v xml:space="preserve"> </v>
      </c>
      <c r="CC443" s="598" t="str">
        <f t="shared" si="55"/>
        <v xml:space="preserve"> </v>
      </c>
      <c r="CD443" s="598" t="str">
        <f t="shared" si="55"/>
        <v xml:space="preserve"> </v>
      </c>
      <c r="CE443" s="598" t="str">
        <f t="shared" si="55"/>
        <v xml:space="preserve"> </v>
      </c>
      <c r="CF443" s="598" t="str">
        <f t="shared" si="55"/>
        <v xml:space="preserve"> </v>
      </c>
      <c r="CG443" s="598" t="str">
        <f t="shared" si="55"/>
        <v xml:space="preserve"> </v>
      </c>
      <c r="CH443" s="598" t="str">
        <f t="shared" si="55"/>
        <v xml:space="preserve"> </v>
      </c>
      <c r="CI443" s="598" t="str">
        <f t="shared" si="55"/>
        <v xml:space="preserve"> </v>
      </c>
      <c r="CJ443" s="598" t="str">
        <f t="shared" si="55"/>
        <v xml:space="preserve"> </v>
      </c>
      <c r="CK443" s="598" t="str">
        <f t="shared" si="55"/>
        <v xml:space="preserve"> </v>
      </c>
      <c r="CL443" s="598" t="str">
        <f t="shared" si="55"/>
        <v xml:space="preserve"> </v>
      </c>
      <c r="CM443" s="598" t="str">
        <f t="shared" si="55"/>
        <v xml:space="preserve"> </v>
      </c>
      <c r="CN443" s="598" t="str">
        <f t="shared" si="55"/>
        <v xml:space="preserve"> </v>
      </c>
      <c r="CO443" s="598" t="str">
        <f t="shared" si="55"/>
        <v xml:space="preserve"> </v>
      </c>
      <c r="CP443" s="598" t="str">
        <f t="shared" si="55"/>
        <v xml:space="preserve"> </v>
      </c>
      <c r="CQ443" s="598" t="str">
        <f t="shared" ca="1" si="55"/>
        <v/>
      </c>
    </row>
    <row r="444" spans="1:95" ht="9.9499999999999993" customHeight="1">
      <c r="A444" s="598">
        <v>23</v>
      </c>
      <c r="B444" s="598" t="str">
        <f t="shared" ca="1" si="58"/>
        <v>L L:Mountains</v>
      </c>
      <c r="C444" s="598" t="str">
        <f t="shared" ca="1" si="58"/>
        <v>Foreign:Gaelic (Scots)</v>
      </c>
      <c r="D444" s="598" t="str">
        <f t="shared" ca="1" si="58"/>
        <v/>
      </c>
      <c r="E444" s="598" t="str">
        <f t="shared" si="58"/>
        <v xml:space="preserve"> </v>
      </c>
      <c r="F444" s="598" t="str">
        <f t="shared" si="58"/>
        <v xml:space="preserve"> </v>
      </c>
      <c r="G444" s="598" t="str">
        <f t="shared" si="58"/>
        <v xml:space="preserve"> </v>
      </c>
      <c r="H444" s="598" t="str">
        <f t="shared" si="58"/>
        <v xml:space="preserve"> </v>
      </c>
      <c r="I444" s="598" t="str">
        <f t="shared" si="58"/>
        <v xml:space="preserve"> </v>
      </c>
      <c r="J444" s="598" t="str">
        <f t="shared" si="58"/>
        <v xml:space="preserve"> </v>
      </c>
      <c r="K444" s="598" t="str">
        <f t="shared" si="58"/>
        <v xml:space="preserve"> </v>
      </c>
      <c r="L444" s="598" t="str">
        <f t="shared" si="58"/>
        <v xml:space="preserve"> </v>
      </c>
      <c r="M444" s="598" t="str">
        <f t="shared" ca="1" si="58"/>
        <v/>
      </c>
      <c r="N444" s="598" t="str">
        <f t="shared" ca="1" si="58"/>
        <v>L L:Mountains</v>
      </c>
      <c r="O444" s="598" t="str">
        <f t="shared" si="58"/>
        <v xml:space="preserve"> </v>
      </c>
      <c r="P444" s="598" t="str">
        <f t="shared" si="58"/>
        <v xml:space="preserve"> </v>
      </c>
      <c r="Q444" s="598" t="str">
        <f t="shared" si="58"/>
        <v xml:space="preserve"> </v>
      </c>
      <c r="R444" s="598" t="str">
        <f t="shared" si="58"/>
        <v xml:space="preserve"> </v>
      </c>
      <c r="S444" s="598" t="str">
        <f t="shared" si="58"/>
        <v xml:space="preserve"> </v>
      </c>
      <c r="T444" s="598" t="str">
        <f t="shared" si="58"/>
        <v xml:space="preserve"> </v>
      </c>
      <c r="U444" s="598" t="str">
        <f t="shared" si="58"/>
        <v xml:space="preserve"> </v>
      </c>
      <c r="V444" s="598" t="str">
        <f t="shared" si="58"/>
        <v xml:space="preserve"> </v>
      </c>
      <c r="W444" s="598" t="str">
        <f t="shared" si="58"/>
        <v xml:space="preserve"> </v>
      </c>
      <c r="X444" s="598" t="str">
        <f t="shared" si="58"/>
        <v xml:space="preserve"> </v>
      </c>
      <c r="Y444" s="598" t="str">
        <f t="shared" si="58"/>
        <v xml:space="preserve"> </v>
      </c>
      <c r="Z444" s="598" t="str">
        <f t="shared" si="58"/>
        <v xml:space="preserve"> </v>
      </c>
      <c r="AA444" s="598" t="str">
        <f t="shared" si="58"/>
        <v xml:space="preserve"> </v>
      </c>
      <c r="AB444" s="598" t="str">
        <f t="shared" ca="1" si="58"/>
        <v>Foreign:Lowlands</v>
      </c>
      <c r="AC444" s="598" t="str">
        <f t="shared" ca="1" si="58"/>
        <v>Foreign:Lowlands</v>
      </c>
      <c r="AD444" s="598" t="str">
        <f t="shared" si="58"/>
        <v xml:space="preserve"> </v>
      </c>
      <c r="AE444" s="598" t="str">
        <f t="shared" si="58"/>
        <v xml:space="preserve"> </v>
      </c>
      <c r="AF444" s="598" t="str">
        <f t="shared" si="58"/>
        <v xml:space="preserve"> </v>
      </c>
      <c r="AG444" s="598" t="str">
        <f t="shared" si="58"/>
        <v xml:space="preserve"> </v>
      </c>
      <c r="AH444" s="598" t="str">
        <f t="shared" si="58"/>
        <v xml:space="preserve"> </v>
      </c>
      <c r="AI444" s="598" t="str">
        <f t="shared" si="58"/>
        <v xml:space="preserve"> </v>
      </c>
      <c r="AJ444" s="598" t="str">
        <f t="shared" si="58"/>
        <v xml:space="preserve"> </v>
      </c>
      <c r="AK444" s="598" t="str">
        <f t="shared" si="58"/>
        <v xml:space="preserve"> </v>
      </c>
      <c r="AL444" s="598" t="str">
        <f t="shared" si="58"/>
        <v xml:space="preserve"> </v>
      </c>
      <c r="AM444" s="598" t="str">
        <f t="shared" si="58"/>
        <v xml:space="preserve"> </v>
      </c>
      <c r="AN444" s="598" t="str">
        <f t="shared" si="58"/>
        <v xml:space="preserve"> </v>
      </c>
      <c r="AO444" s="598" t="str">
        <f t="shared" si="58"/>
        <v xml:space="preserve"> </v>
      </c>
      <c r="AP444" s="598" t="str">
        <f t="shared" si="58"/>
        <v xml:space="preserve"> </v>
      </c>
      <c r="AQ444" s="598" t="str">
        <f t="shared" si="58"/>
        <v xml:space="preserve"> </v>
      </c>
      <c r="AR444" s="598" t="str">
        <f t="shared" si="58"/>
        <v xml:space="preserve"> </v>
      </c>
      <c r="AS444" s="598" t="str">
        <f t="shared" si="58"/>
        <v xml:space="preserve"> </v>
      </c>
      <c r="AT444" s="598" t="str">
        <f t="shared" si="58"/>
        <v xml:space="preserve"> </v>
      </c>
      <c r="AU444" s="598" t="str">
        <f t="shared" si="58"/>
        <v xml:space="preserve"> </v>
      </c>
      <c r="AW444" s="598" t="str">
        <f t="shared" si="56"/>
        <v xml:space="preserve"> </v>
      </c>
      <c r="AX444" s="598" t="str">
        <f t="shared" si="56"/>
        <v xml:space="preserve"> </v>
      </c>
      <c r="AY444" s="598" t="str">
        <f t="shared" si="56"/>
        <v xml:space="preserve"> </v>
      </c>
      <c r="AZ444" s="598" t="str">
        <f t="shared" si="56"/>
        <v xml:space="preserve"> </v>
      </c>
      <c r="BA444" s="598" t="str">
        <f t="shared" si="56"/>
        <v xml:space="preserve"> </v>
      </c>
      <c r="BB444" s="598" t="str">
        <f t="shared" si="56"/>
        <v xml:space="preserve"> </v>
      </c>
      <c r="BC444" s="598" t="str">
        <f t="shared" si="56"/>
        <v xml:space="preserve"> </v>
      </c>
      <c r="BD444" s="598" t="str">
        <f t="shared" si="56"/>
        <v xml:space="preserve"> </v>
      </c>
      <c r="BE444" s="598" t="str">
        <f t="shared" si="56"/>
        <v xml:space="preserve"> </v>
      </c>
      <c r="BF444" s="598" t="str">
        <f t="shared" si="56"/>
        <v xml:space="preserve"> </v>
      </c>
      <c r="BG444" s="598" t="str">
        <f t="shared" si="56"/>
        <v xml:space="preserve"> </v>
      </c>
      <c r="BH444" s="598" t="str">
        <f t="shared" si="56"/>
        <v xml:space="preserve"> </v>
      </c>
      <c r="BI444" s="598" t="str">
        <f t="shared" si="56"/>
        <v xml:space="preserve"> </v>
      </c>
      <c r="BJ444" s="598" t="str">
        <f t="shared" si="56"/>
        <v xml:space="preserve"> </v>
      </c>
      <c r="BK444" s="598" t="str">
        <f t="shared" si="56"/>
        <v xml:space="preserve"> </v>
      </c>
      <c r="BL444" s="598" t="str">
        <f t="shared" si="54"/>
        <v xml:space="preserve"> </v>
      </c>
      <c r="BM444" s="598" t="str">
        <f t="shared" si="54"/>
        <v xml:space="preserve"> </v>
      </c>
      <c r="BN444" s="598" t="str">
        <f t="shared" si="54"/>
        <v xml:space="preserve"> </v>
      </c>
      <c r="BO444" s="598" t="str">
        <f t="shared" si="54"/>
        <v xml:space="preserve"> </v>
      </c>
      <c r="BP444" s="598" t="str">
        <f t="shared" si="54"/>
        <v xml:space="preserve"> </v>
      </c>
      <c r="BQ444" s="598" t="str">
        <f t="shared" si="54"/>
        <v xml:space="preserve"> </v>
      </c>
      <c r="BR444" s="598" t="str">
        <f t="shared" si="54"/>
        <v xml:space="preserve"> </v>
      </c>
      <c r="BS444" s="598" t="str">
        <f t="shared" si="54"/>
        <v xml:space="preserve"> </v>
      </c>
      <c r="BT444" s="598" t="str">
        <f t="shared" si="54"/>
        <v xml:space="preserve"> </v>
      </c>
      <c r="BU444" s="598" t="str">
        <f t="shared" si="54"/>
        <v xml:space="preserve"> </v>
      </c>
      <c r="BV444" s="598" t="str">
        <f t="shared" si="54"/>
        <v xml:space="preserve"> </v>
      </c>
      <c r="BW444" s="598" t="str">
        <f t="shared" si="54"/>
        <v xml:space="preserve"> </v>
      </c>
      <c r="BX444" s="598" t="str">
        <f t="shared" si="54"/>
        <v xml:space="preserve"> </v>
      </c>
      <c r="BY444" s="598" t="str">
        <f t="shared" si="54"/>
        <v xml:space="preserve"> </v>
      </c>
      <c r="BZ444" s="598" t="str">
        <f t="shared" si="54"/>
        <v xml:space="preserve"> </v>
      </c>
      <c r="CA444" s="598" t="str">
        <f t="shared" si="54"/>
        <v xml:space="preserve"> </v>
      </c>
      <c r="CB444" s="598" t="str">
        <f t="shared" si="55"/>
        <v xml:space="preserve"> </v>
      </c>
      <c r="CC444" s="598" t="str">
        <f t="shared" si="55"/>
        <v xml:space="preserve"> </v>
      </c>
      <c r="CD444" s="598" t="str">
        <f t="shared" si="55"/>
        <v xml:space="preserve"> </v>
      </c>
      <c r="CE444" s="598" t="str">
        <f t="shared" si="55"/>
        <v xml:space="preserve"> </v>
      </c>
      <c r="CF444" s="598" t="str">
        <f t="shared" si="55"/>
        <v xml:space="preserve"> </v>
      </c>
      <c r="CG444" s="598" t="str">
        <f t="shared" si="55"/>
        <v xml:space="preserve"> </v>
      </c>
      <c r="CH444" s="598" t="str">
        <f t="shared" si="55"/>
        <v xml:space="preserve"> </v>
      </c>
      <c r="CI444" s="598" t="str">
        <f t="shared" si="55"/>
        <v xml:space="preserve"> </v>
      </c>
      <c r="CJ444" s="598" t="str">
        <f t="shared" si="55"/>
        <v xml:space="preserve"> </v>
      </c>
      <c r="CK444" s="598" t="str">
        <f t="shared" si="55"/>
        <v xml:space="preserve"> </v>
      </c>
      <c r="CL444" s="598" t="str">
        <f t="shared" si="55"/>
        <v xml:space="preserve"> </v>
      </c>
      <c r="CM444" s="598" t="str">
        <f t="shared" si="55"/>
        <v xml:space="preserve"> </v>
      </c>
      <c r="CN444" s="598" t="str">
        <f t="shared" si="55"/>
        <v xml:space="preserve"> </v>
      </c>
      <c r="CO444" s="598" t="str">
        <f t="shared" si="55"/>
        <v xml:space="preserve"> </v>
      </c>
      <c r="CP444" s="598" t="str">
        <f t="shared" si="55"/>
        <v xml:space="preserve"> </v>
      </c>
      <c r="CQ444" s="598" t="str">
        <f t="shared" ca="1" si="55"/>
        <v/>
      </c>
    </row>
    <row r="445" spans="1:95" ht="9.9499999999999993" customHeight="1">
      <c r="A445" s="598">
        <v>24</v>
      </c>
      <c r="B445" s="598" t="str">
        <f t="shared" ca="1" si="58"/>
        <v>L L:River Valleys</v>
      </c>
      <c r="C445" s="598" t="str">
        <f t="shared" ca="1" si="58"/>
        <v>Foreign:Highlands</v>
      </c>
      <c r="D445" s="598" t="str">
        <f t="shared" ca="1" si="58"/>
        <v/>
      </c>
      <c r="E445" s="598" t="str">
        <f t="shared" si="58"/>
        <v xml:space="preserve"> </v>
      </c>
      <c r="F445" s="598" t="str">
        <f t="shared" si="58"/>
        <v xml:space="preserve"> </v>
      </c>
      <c r="G445" s="598" t="str">
        <f t="shared" si="58"/>
        <v xml:space="preserve"> </v>
      </c>
      <c r="H445" s="598" t="str">
        <f t="shared" si="58"/>
        <v xml:space="preserve"> </v>
      </c>
      <c r="I445" s="598" t="str">
        <f t="shared" si="58"/>
        <v xml:space="preserve"> </v>
      </c>
      <c r="J445" s="598" t="str">
        <f t="shared" si="58"/>
        <v xml:space="preserve"> </v>
      </c>
      <c r="K445" s="598" t="str">
        <f t="shared" si="58"/>
        <v xml:space="preserve"> </v>
      </c>
      <c r="L445" s="598" t="str">
        <f t="shared" si="58"/>
        <v xml:space="preserve"> </v>
      </c>
      <c r="M445" s="598" t="str">
        <f t="shared" ca="1" si="58"/>
        <v/>
      </c>
      <c r="N445" s="598" t="str">
        <f t="shared" ca="1" si="58"/>
        <v>L L:River Valleys</v>
      </c>
      <c r="O445" s="598" t="str">
        <f t="shared" si="58"/>
        <v xml:space="preserve"> </v>
      </c>
      <c r="P445" s="598" t="str">
        <f t="shared" si="58"/>
        <v xml:space="preserve"> </v>
      </c>
      <c r="Q445" s="598" t="str">
        <f t="shared" si="58"/>
        <v xml:space="preserve"> </v>
      </c>
      <c r="R445" s="598" t="str">
        <f t="shared" si="58"/>
        <v xml:space="preserve"> </v>
      </c>
      <c r="S445" s="598" t="str">
        <f t="shared" si="58"/>
        <v xml:space="preserve"> </v>
      </c>
      <c r="T445" s="598" t="str">
        <f t="shared" si="58"/>
        <v xml:space="preserve"> </v>
      </c>
      <c r="U445" s="598" t="str">
        <f t="shared" si="58"/>
        <v xml:space="preserve"> </v>
      </c>
      <c r="V445" s="598" t="str">
        <f t="shared" si="58"/>
        <v xml:space="preserve"> </v>
      </c>
      <c r="W445" s="598" t="str">
        <f t="shared" si="58"/>
        <v xml:space="preserve"> </v>
      </c>
      <c r="X445" s="598" t="str">
        <f t="shared" si="58"/>
        <v xml:space="preserve"> </v>
      </c>
      <c r="Y445" s="598" t="str">
        <f t="shared" si="58"/>
        <v xml:space="preserve"> </v>
      </c>
      <c r="Z445" s="598" t="str">
        <f t="shared" si="58"/>
        <v xml:space="preserve"> </v>
      </c>
      <c r="AA445" s="598" t="str">
        <f t="shared" si="58"/>
        <v xml:space="preserve"> </v>
      </c>
      <c r="AB445" s="598" t="str">
        <f t="shared" ca="1" si="58"/>
        <v>Foreign:German (Middle)</v>
      </c>
      <c r="AC445" s="598" t="str">
        <f t="shared" ca="1" si="58"/>
        <v>Foreign:German (Middle)</v>
      </c>
      <c r="AD445" s="598" t="str">
        <f t="shared" si="58"/>
        <v xml:space="preserve"> </v>
      </c>
      <c r="AE445" s="598" t="str">
        <f t="shared" si="58"/>
        <v xml:space="preserve"> </v>
      </c>
      <c r="AF445" s="598" t="str">
        <f t="shared" si="58"/>
        <v xml:space="preserve"> </v>
      </c>
      <c r="AG445" s="598" t="str">
        <f t="shared" si="58"/>
        <v xml:space="preserve"> </v>
      </c>
      <c r="AH445" s="598" t="str">
        <f t="shared" si="58"/>
        <v xml:space="preserve"> </v>
      </c>
      <c r="AI445" s="598" t="str">
        <f t="shared" si="58"/>
        <v xml:space="preserve"> </v>
      </c>
      <c r="AJ445" s="598" t="str">
        <f t="shared" si="58"/>
        <v xml:space="preserve"> </v>
      </c>
      <c r="AK445" s="598" t="str">
        <f t="shared" si="58"/>
        <v xml:space="preserve"> </v>
      </c>
      <c r="AL445" s="598" t="str">
        <f t="shared" si="58"/>
        <v xml:space="preserve"> </v>
      </c>
      <c r="AM445" s="598" t="str">
        <f t="shared" si="58"/>
        <v xml:space="preserve"> </v>
      </c>
      <c r="AN445" s="598" t="str">
        <f t="shared" si="58"/>
        <v xml:space="preserve"> </v>
      </c>
      <c r="AO445" s="598" t="str">
        <f t="shared" si="58"/>
        <v xml:space="preserve"> </v>
      </c>
      <c r="AP445" s="598" t="str">
        <f t="shared" si="58"/>
        <v xml:space="preserve"> </v>
      </c>
      <c r="AQ445" s="598" t="str">
        <f t="shared" si="58"/>
        <v xml:space="preserve"> </v>
      </c>
      <c r="AR445" s="598" t="str">
        <f t="shared" si="58"/>
        <v xml:space="preserve"> </v>
      </c>
      <c r="AS445" s="598" t="str">
        <f t="shared" si="58"/>
        <v xml:space="preserve"> </v>
      </c>
      <c r="AT445" s="598" t="str">
        <f t="shared" si="58"/>
        <v xml:space="preserve"> </v>
      </c>
      <c r="AU445" s="598" t="str">
        <f t="shared" si="58"/>
        <v xml:space="preserve"> </v>
      </c>
      <c r="AW445" s="598" t="str">
        <f t="shared" si="56"/>
        <v xml:space="preserve"> </v>
      </c>
      <c r="AX445" s="598" t="str">
        <f t="shared" si="56"/>
        <v xml:space="preserve"> </v>
      </c>
      <c r="AY445" s="598" t="str">
        <f t="shared" si="56"/>
        <v xml:space="preserve"> </v>
      </c>
      <c r="AZ445" s="598" t="str">
        <f t="shared" si="56"/>
        <v xml:space="preserve"> </v>
      </c>
      <c r="BA445" s="598" t="str">
        <f t="shared" si="56"/>
        <v xml:space="preserve"> </v>
      </c>
      <c r="BB445" s="598" t="str">
        <f t="shared" si="56"/>
        <v xml:space="preserve"> </v>
      </c>
      <c r="BC445" s="598" t="str">
        <f t="shared" si="56"/>
        <v xml:space="preserve"> </v>
      </c>
      <c r="BD445" s="598" t="str">
        <f t="shared" si="56"/>
        <v xml:space="preserve"> </v>
      </c>
      <c r="BE445" s="598" t="str">
        <f t="shared" si="56"/>
        <v xml:space="preserve"> </v>
      </c>
      <c r="BF445" s="598" t="str">
        <f t="shared" si="56"/>
        <v xml:space="preserve"> </v>
      </c>
      <c r="BG445" s="598" t="str">
        <f t="shared" si="56"/>
        <v xml:space="preserve"> </v>
      </c>
      <c r="BH445" s="598" t="str">
        <f t="shared" si="56"/>
        <v xml:space="preserve"> </v>
      </c>
      <c r="BI445" s="598" t="str">
        <f t="shared" si="56"/>
        <v xml:space="preserve"> </v>
      </c>
      <c r="BJ445" s="598" t="str">
        <f t="shared" si="56"/>
        <v xml:space="preserve"> </v>
      </c>
      <c r="BK445" s="598" t="str">
        <f t="shared" si="56"/>
        <v xml:space="preserve"> </v>
      </c>
      <c r="BL445" s="598" t="str">
        <f t="shared" si="54"/>
        <v xml:space="preserve"> </v>
      </c>
      <c r="BM445" s="598" t="str">
        <f t="shared" si="54"/>
        <v xml:space="preserve"> </v>
      </c>
      <c r="BN445" s="598" t="str">
        <f t="shared" si="54"/>
        <v xml:space="preserve"> </v>
      </c>
      <c r="BO445" s="598" t="str">
        <f t="shared" si="54"/>
        <v xml:space="preserve"> </v>
      </c>
      <c r="BP445" s="598" t="str">
        <f t="shared" si="54"/>
        <v xml:space="preserve"> </v>
      </c>
      <c r="BQ445" s="598" t="str">
        <f t="shared" si="54"/>
        <v xml:space="preserve"> </v>
      </c>
      <c r="BR445" s="598" t="str">
        <f t="shared" si="54"/>
        <v xml:space="preserve"> </v>
      </c>
      <c r="BS445" s="598" t="str">
        <f t="shared" si="54"/>
        <v xml:space="preserve"> </v>
      </c>
      <c r="BT445" s="598" t="str">
        <f t="shared" si="54"/>
        <v xml:space="preserve"> </v>
      </c>
      <c r="BU445" s="598" t="str">
        <f t="shared" si="54"/>
        <v xml:space="preserve"> </v>
      </c>
      <c r="BV445" s="598" t="str">
        <f t="shared" si="54"/>
        <v xml:space="preserve"> </v>
      </c>
      <c r="BW445" s="598" t="str">
        <f t="shared" si="54"/>
        <v xml:space="preserve"> </v>
      </c>
      <c r="BX445" s="598" t="str">
        <f t="shared" si="54"/>
        <v xml:space="preserve"> </v>
      </c>
      <c r="BY445" s="598" t="str">
        <f t="shared" si="54"/>
        <v xml:space="preserve"> </v>
      </c>
      <c r="BZ445" s="598" t="str">
        <f t="shared" si="54"/>
        <v xml:space="preserve"> </v>
      </c>
      <c r="CA445" s="598" t="str">
        <f t="shared" si="54"/>
        <v xml:space="preserve"> </v>
      </c>
      <c r="CB445" s="598" t="str">
        <f t="shared" si="55"/>
        <v xml:space="preserve"> </v>
      </c>
      <c r="CC445" s="598" t="str">
        <f t="shared" si="55"/>
        <v xml:space="preserve"> </v>
      </c>
      <c r="CD445" s="598" t="str">
        <f t="shared" si="55"/>
        <v xml:space="preserve"> </v>
      </c>
      <c r="CE445" s="598" t="str">
        <f t="shared" si="55"/>
        <v xml:space="preserve"> </v>
      </c>
      <c r="CF445" s="598" t="str">
        <f t="shared" si="55"/>
        <v xml:space="preserve"> </v>
      </c>
      <c r="CG445" s="598" t="str">
        <f t="shared" si="55"/>
        <v xml:space="preserve"> </v>
      </c>
      <c r="CH445" s="598" t="str">
        <f t="shared" si="55"/>
        <v xml:space="preserve"> </v>
      </c>
      <c r="CI445" s="598" t="str">
        <f t="shared" si="55"/>
        <v xml:space="preserve"> </v>
      </c>
      <c r="CJ445" s="598" t="str">
        <f t="shared" si="55"/>
        <v xml:space="preserve"> </v>
      </c>
      <c r="CK445" s="598" t="str">
        <f t="shared" si="55"/>
        <v xml:space="preserve"> </v>
      </c>
      <c r="CL445" s="598" t="str">
        <f t="shared" si="55"/>
        <v xml:space="preserve"> </v>
      </c>
      <c r="CM445" s="598" t="str">
        <f t="shared" si="55"/>
        <v xml:space="preserve"> </v>
      </c>
      <c r="CN445" s="598" t="str">
        <f t="shared" si="55"/>
        <v xml:space="preserve"> </v>
      </c>
      <c r="CO445" s="598" t="str">
        <f t="shared" si="55"/>
        <v xml:space="preserve"> </v>
      </c>
      <c r="CP445" s="598" t="str">
        <f t="shared" si="55"/>
        <v xml:space="preserve"> </v>
      </c>
      <c r="CQ445" s="598" t="str">
        <f t="shared" ca="1" si="55"/>
        <v/>
      </c>
    </row>
    <row r="446" spans="1:95" ht="9.9499999999999993" customHeight="1">
      <c r="A446" s="598">
        <v>25</v>
      </c>
      <c r="B446" s="598" t="str">
        <f t="shared" ca="1" si="58"/>
        <v>L L:Steppes</v>
      </c>
      <c r="C446" s="598" t="str">
        <f t="shared" ca="1" si="58"/>
        <v>Foreign:Shortlands</v>
      </c>
      <c r="D446" s="598" t="str">
        <f t="shared" ca="1" si="58"/>
        <v/>
      </c>
      <c r="E446" s="598" t="str">
        <f t="shared" si="58"/>
        <v xml:space="preserve"> </v>
      </c>
      <c r="F446" s="598" t="str">
        <f t="shared" si="58"/>
        <v xml:space="preserve"> </v>
      </c>
      <c r="G446" s="598" t="str">
        <f t="shared" si="58"/>
        <v xml:space="preserve"> </v>
      </c>
      <c r="H446" s="598" t="str">
        <f t="shared" si="58"/>
        <v xml:space="preserve"> </v>
      </c>
      <c r="I446" s="598" t="str">
        <f t="shared" si="58"/>
        <v xml:space="preserve"> </v>
      </c>
      <c r="J446" s="598" t="str">
        <f t="shared" si="58"/>
        <v xml:space="preserve"> </v>
      </c>
      <c r="K446" s="598" t="str">
        <f t="shared" si="58"/>
        <v xml:space="preserve"> </v>
      </c>
      <c r="L446" s="598" t="str">
        <f t="shared" si="58"/>
        <v xml:space="preserve"> </v>
      </c>
      <c r="M446" s="598" t="str">
        <f t="shared" ca="1" si="58"/>
        <v/>
      </c>
      <c r="N446" s="598" t="str">
        <f t="shared" ca="1" si="58"/>
        <v>L L:Steppes</v>
      </c>
      <c r="O446" s="598" t="str">
        <f t="shared" si="58"/>
        <v xml:space="preserve"> </v>
      </c>
      <c r="P446" s="598" t="str">
        <f t="shared" si="58"/>
        <v xml:space="preserve"> </v>
      </c>
      <c r="Q446" s="598" t="str">
        <f t="shared" si="58"/>
        <v xml:space="preserve"> </v>
      </c>
      <c r="R446" s="598" t="str">
        <f t="shared" si="58"/>
        <v xml:space="preserve"> </v>
      </c>
      <c r="S446" s="598" t="str">
        <f t="shared" si="58"/>
        <v xml:space="preserve"> </v>
      </c>
      <c r="T446" s="598" t="str">
        <f t="shared" si="58"/>
        <v xml:space="preserve"> </v>
      </c>
      <c r="U446" s="598" t="str">
        <f t="shared" si="58"/>
        <v xml:space="preserve"> </v>
      </c>
      <c r="V446" s="598" t="str">
        <f t="shared" si="58"/>
        <v xml:space="preserve"> </v>
      </c>
      <c r="W446" s="598" t="str">
        <f t="shared" si="58"/>
        <v xml:space="preserve"> </v>
      </c>
      <c r="X446" s="598" t="str">
        <f t="shared" si="58"/>
        <v xml:space="preserve"> </v>
      </c>
      <c r="Y446" s="598" t="str">
        <f t="shared" si="58"/>
        <v xml:space="preserve"> </v>
      </c>
      <c r="Z446" s="598" t="str">
        <f t="shared" si="58"/>
        <v xml:space="preserve"> </v>
      </c>
      <c r="AA446" s="598" t="str">
        <f t="shared" ref="AA446:AU446" si="59">HLOOKUP(AA$421,$C$217:$Z$317,$A446+1)</f>
        <v xml:space="preserve"> </v>
      </c>
      <c r="AB446" s="598" t="str">
        <f t="shared" ca="1" si="59"/>
        <v>Foreign:Greek (Medieval)</v>
      </c>
      <c r="AC446" s="598" t="str">
        <f t="shared" ca="1" si="59"/>
        <v>Foreign:Greek (Medieval)</v>
      </c>
      <c r="AD446" s="598" t="str">
        <f t="shared" si="59"/>
        <v xml:space="preserve"> </v>
      </c>
      <c r="AE446" s="598" t="str">
        <f t="shared" si="59"/>
        <v xml:space="preserve"> </v>
      </c>
      <c r="AF446" s="598" t="str">
        <f t="shared" si="59"/>
        <v xml:space="preserve"> </v>
      </c>
      <c r="AG446" s="598" t="str">
        <f t="shared" si="59"/>
        <v xml:space="preserve"> </v>
      </c>
      <c r="AH446" s="598" t="str">
        <f t="shared" si="59"/>
        <v xml:space="preserve"> </v>
      </c>
      <c r="AI446" s="598" t="str">
        <f t="shared" si="59"/>
        <v xml:space="preserve"> </v>
      </c>
      <c r="AJ446" s="598" t="str">
        <f t="shared" si="59"/>
        <v xml:space="preserve"> </v>
      </c>
      <c r="AK446" s="598" t="str">
        <f t="shared" si="59"/>
        <v xml:space="preserve"> </v>
      </c>
      <c r="AL446" s="598" t="str">
        <f t="shared" si="59"/>
        <v xml:space="preserve"> </v>
      </c>
      <c r="AM446" s="598" t="str">
        <f t="shared" si="59"/>
        <v xml:space="preserve"> </v>
      </c>
      <c r="AN446" s="598" t="str">
        <f t="shared" si="59"/>
        <v xml:space="preserve"> </v>
      </c>
      <c r="AO446" s="598" t="str">
        <f t="shared" si="59"/>
        <v xml:space="preserve"> </v>
      </c>
      <c r="AP446" s="598" t="str">
        <f t="shared" si="59"/>
        <v xml:space="preserve"> </v>
      </c>
      <c r="AQ446" s="598" t="str">
        <f t="shared" si="59"/>
        <v xml:space="preserve"> </v>
      </c>
      <c r="AR446" s="598" t="str">
        <f t="shared" si="59"/>
        <v xml:space="preserve"> </v>
      </c>
      <c r="AS446" s="598" t="str">
        <f t="shared" si="59"/>
        <v xml:space="preserve"> </v>
      </c>
      <c r="AT446" s="598" t="str">
        <f t="shared" si="59"/>
        <v xml:space="preserve"> </v>
      </c>
      <c r="AU446" s="598" t="str">
        <f t="shared" si="59"/>
        <v xml:space="preserve"> </v>
      </c>
      <c r="AW446" s="598" t="str">
        <f t="shared" si="56"/>
        <v xml:space="preserve"> </v>
      </c>
      <c r="AX446" s="598" t="str">
        <f t="shared" si="56"/>
        <v xml:space="preserve"> </v>
      </c>
      <c r="AY446" s="598" t="str">
        <f t="shared" si="56"/>
        <v xml:space="preserve"> </v>
      </c>
      <c r="AZ446" s="598" t="str">
        <f t="shared" si="56"/>
        <v xml:space="preserve"> </v>
      </c>
      <c r="BA446" s="598" t="str">
        <f t="shared" si="56"/>
        <v xml:space="preserve"> </v>
      </c>
      <c r="BB446" s="598" t="str">
        <f t="shared" si="56"/>
        <v xml:space="preserve"> </v>
      </c>
      <c r="BC446" s="598" t="str">
        <f t="shared" si="56"/>
        <v xml:space="preserve"> </v>
      </c>
      <c r="BD446" s="598" t="str">
        <f t="shared" si="56"/>
        <v xml:space="preserve"> </v>
      </c>
      <c r="BE446" s="598" t="str">
        <f t="shared" si="56"/>
        <v xml:space="preserve"> </v>
      </c>
      <c r="BF446" s="598" t="str">
        <f t="shared" si="56"/>
        <v xml:space="preserve"> </v>
      </c>
      <c r="BG446" s="598" t="str">
        <f t="shared" si="56"/>
        <v xml:space="preserve"> </v>
      </c>
      <c r="BH446" s="598" t="str">
        <f t="shared" si="56"/>
        <v xml:space="preserve"> </v>
      </c>
      <c r="BI446" s="598" t="str">
        <f t="shared" si="56"/>
        <v xml:space="preserve"> </v>
      </c>
      <c r="BJ446" s="598" t="str">
        <f t="shared" si="56"/>
        <v xml:space="preserve"> </v>
      </c>
      <c r="BK446" s="598" t="str">
        <f t="shared" si="56"/>
        <v xml:space="preserve"> </v>
      </c>
      <c r="BL446" s="598" t="str">
        <f t="shared" si="54"/>
        <v xml:space="preserve"> </v>
      </c>
      <c r="BM446" s="598" t="str">
        <f t="shared" si="54"/>
        <v xml:space="preserve"> </v>
      </c>
      <c r="BN446" s="598" t="str">
        <f t="shared" si="54"/>
        <v xml:space="preserve"> </v>
      </c>
      <c r="BO446" s="598" t="str">
        <f t="shared" si="54"/>
        <v xml:space="preserve"> </v>
      </c>
      <c r="BP446" s="598" t="str">
        <f t="shared" si="54"/>
        <v xml:space="preserve"> </v>
      </c>
      <c r="BQ446" s="598" t="str">
        <f t="shared" si="54"/>
        <v xml:space="preserve"> </v>
      </c>
      <c r="BR446" s="598" t="str">
        <f t="shared" si="54"/>
        <v xml:space="preserve"> </v>
      </c>
      <c r="BS446" s="598" t="str">
        <f t="shared" si="54"/>
        <v xml:space="preserve"> </v>
      </c>
      <c r="BT446" s="598" t="str">
        <f t="shared" si="54"/>
        <v xml:space="preserve"> </v>
      </c>
      <c r="BU446" s="598" t="str">
        <f t="shared" si="54"/>
        <v xml:space="preserve"> </v>
      </c>
      <c r="BV446" s="598" t="str">
        <f t="shared" si="54"/>
        <v xml:space="preserve"> </v>
      </c>
      <c r="BW446" s="598" t="str">
        <f t="shared" si="54"/>
        <v xml:space="preserve"> </v>
      </c>
      <c r="BX446" s="598" t="str">
        <f t="shared" si="54"/>
        <v xml:space="preserve"> </v>
      </c>
      <c r="BY446" s="598" t="str">
        <f t="shared" si="54"/>
        <v xml:space="preserve"> </v>
      </c>
      <c r="BZ446" s="598" t="str">
        <f t="shared" si="54"/>
        <v xml:space="preserve"> </v>
      </c>
      <c r="CA446" s="598" t="str">
        <f t="shared" si="54"/>
        <v xml:space="preserve"> </v>
      </c>
      <c r="CB446" s="598" t="str">
        <f t="shared" si="55"/>
        <v xml:space="preserve"> </v>
      </c>
      <c r="CC446" s="598" t="str">
        <f t="shared" si="55"/>
        <v xml:space="preserve"> </v>
      </c>
      <c r="CD446" s="598" t="str">
        <f t="shared" si="55"/>
        <v xml:space="preserve"> </v>
      </c>
      <c r="CE446" s="598" t="str">
        <f t="shared" si="55"/>
        <v xml:space="preserve"> </v>
      </c>
      <c r="CF446" s="598" t="str">
        <f t="shared" si="55"/>
        <v xml:space="preserve"> </v>
      </c>
      <c r="CG446" s="598" t="str">
        <f t="shared" si="55"/>
        <v xml:space="preserve"> </v>
      </c>
      <c r="CH446" s="598" t="str">
        <f t="shared" si="55"/>
        <v xml:space="preserve"> </v>
      </c>
      <c r="CI446" s="598" t="str">
        <f t="shared" si="55"/>
        <v xml:space="preserve"> </v>
      </c>
      <c r="CJ446" s="598" t="str">
        <f t="shared" si="55"/>
        <v xml:space="preserve"> </v>
      </c>
      <c r="CK446" s="598" t="str">
        <f t="shared" si="55"/>
        <v xml:space="preserve"> </v>
      </c>
      <c r="CL446" s="598" t="str">
        <f t="shared" si="55"/>
        <v xml:space="preserve"> </v>
      </c>
      <c r="CM446" s="598" t="str">
        <f t="shared" si="55"/>
        <v xml:space="preserve"> </v>
      </c>
      <c r="CN446" s="598" t="str">
        <f t="shared" si="55"/>
        <v xml:space="preserve"> </v>
      </c>
      <c r="CO446" s="598" t="str">
        <f t="shared" si="55"/>
        <v xml:space="preserve"> </v>
      </c>
      <c r="CP446" s="598" t="str">
        <f t="shared" si="55"/>
        <v xml:space="preserve"> </v>
      </c>
      <c r="CQ446" s="598" t="str">
        <f t="shared" ca="1" si="55"/>
        <v/>
      </c>
    </row>
    <row r="447" spans="1:95" ht="9.9499999999999993" customHeight="1">
      <c r="A447" s="598">
        <v>26</v>
      </c>
      <c r="B447" s="598" t="str">
        <f t="shared" ref="B447:AU452" ca="1" si="60">HLOOKUP(B$421,$C$217:$Z$317,$A447+1)</f>
        <v>L L:Swamps</v>
      </c>
      <c r="C447" s="598" t="str">
        <f t="shared" ca="1" si="60"/>
        <v>Foreign:German (Middle)</v>
      </c>
      <c r="D447" s="598" t="str">
        <f t="shared" ca="1" si="60"/>
        <v/>
      </c>
      <c r="E447" s="598" t="str">
        <f t="shared" si="60"/>
        <v xml:space="preserve"> </v>
      </c>
      <c r="F447" s="598" t="str">
        <f t="shared" si="60"/>
        <v xml:space="preserve"> </v>
      </c>
      <c r="G447" s="598" t="str">
        <f t="shared" si="60"/>
        <v xml:space="preserve"> </v>
      </c>
      <c r="H447" s="598" t="str">
        <f t="shared" si="60"/>
        <v xml:space="preserve"> </v>
      </c>
      <c r="I447" s="598" t="str">
        <f t="shared" si="60"/>
        <v xml:space="preserve"> </v>
      </c>
      <c r="J447" s="598" t="str">
        <f t="shared" si="60"/>
        <v xml:space="preserve"> </v>
      </c>
      <c r="K447" s="598" t="str">
        <f t="shared" si="60"/>
        <v xml:space="preserve"> </v>
      </c>
      <c r="L447" s="598" t="str">
        <f t="shared" si="60"/>
        <v xml:space="preserve"> </v>
      </c>
      <c r="M447" s="598" t="str">
        <f t="shared" ca="1" si="60"/>
        <v/>
      </c>
      <c r="N447" s="598" t="str">
        <f t="shared" ca="1" si="60"/>
        <v>L L:Swamps</v>
      </c>
      <c r="O447" s="598" t="str">
        <f t="shared" si="60"/>
        <v xml:space="preserve"> </v>
      </c>
      <c r="P447" s="598" t="str">
        <f t="shared" si="60"/>
        <v xml:space="preserve"> </v>
      </c>
      <c r="Q447" s="598" t="str">
        <f t="shared" si="60"/>
        <v xml:space="preserve"> </v>
      </c>
      <c r="R447" s="598" t="str">
        <f t="shared" si="60"/>
        <v xml:space="preserve"> </v>
      </c>
      <c r="S447" s="598" t="str">
        <f t="shared" si="60"/>
        <v xml:space="preserve"> </v>
      </c>
      <c r="T447" s="598" t="str">
        <f t="shared" si="60"/>
        <v xml:space="preserve"> </v>
      </c>
      <c r="U447" s="598" t="str">
        <f t="shared" si="60"/>
        <v xml:space="preserve"> </v>
      </c>
      <c r="V447" s="598" t="str">
        <f t="shared" si="60"/>
        <v xml:space="preserve"> </v>
      </c>
      <c r="W447" s="598" t="str">
        <f t="shared" si="60"/>
        <v xml:space="preserve"> </v>
      </c>
      <c r="X447" s="598" t="str">
        <f t="shared" si="60"/>
        <v xml:space="preserve"> </v>
      </c>
      <c r="Y447" s="598" t="str">
        <f t="shared" si="60"/>
        <v xml:space="preserve"> </v>
      </c>
      <c r="Z447" s="598" t="str">
        <f t="shared" si="60"/>
        <v xml:space="preserve"> </v>
      </c>
      <c r="AA447" s="598" t="str">
        <f t="shared" si="60"/>
        <v xml:space="preserve"> </v>
      </c>
      <c r="AB447" s="598" t="str">
        <f t="shared" ca="1" si="60"/>
        <v>Foreign:Italian</v>
      </c>
      <c r="AC447" s="598" t="str">
        <f t="shared" ca="1" si="60"/>
        <v>Foreign:Italian</v>
      </c>
      <c r="AD447" s="598" t="str">
        <f t="shared" si="60"/>
        <v xml:space="preserve"> </v>
      </c>
      <c r="AE447" s="598" t="str">
        <f t="shared" si="60"/>
        <v xml:space="preserve"> </v>
      </c>
      <c r="AF447" s="598" t="str">
        <f t="shared" si="60"/>
        <v xml:space="preserve"> </v>
      </c>
      <c r="AG447" s="598" t="str">
        <f t="shared" si="60"/>
        <v xml:space="preserve"> </v>
      </c>
      <c r="AH447" s="598" t="str">
        <f t="shared" si="60"/>
        <v xml:space="preserve"> </v>
      </c>
      <c r="AI447" s="598" t="str">
        <f t="shared" si="60"/>
        <v xml:space="preserve"> </v>
      </c>
      <c r="AJ447" s="598" t="str">
        <f t="shared" si="60"/>
        <v xml:space="preserve"> </v>
      </c>
      <c r="AK447" s="598" t="str">
        <f t="shared" si="60"/>
        <v xml:space="preserve"> </v>
      </c>
      <c r="AL447" s="598" t="str">
        <f t="shared" si="60"/>
        <v xml:space="preserve"> </v>
      </c>
      <c r="AM447" s="598" t="str">
        <f t="shared" si="60"/>
        <v xml:space="preserve"> </v>
      </c>
      <c r="AN447" s="598" t="str">
        <f t="shared" si="60"/>
        <v xml:space="preserve"> </v>
      </c>
      <c r="AO447" s="598" t="str">
        <f t="shared" si="60"/>
        <v xml:space="preserve"> </v>
      </c>
      <c r="AP447" s="598" t="str">
        <f t="shared" si="60"/>
        <v xml:space="preserve"> </v>
      </c>
      <c r="AQ447" s="598" t="str">
        <f t="shared" si="60"/>
        <v xml:space="preserve"> </v>
      </c>
      <c r="AR447" s="598" t="str">
        <f t="shared" si="60"/>
        <v xml:space="preserve"> </v>
      </c>
      <c r="AS447" s="598" t="str">
        <f t="shared" si="60"/>
        <v xml:space="preserve"> </v>
      </c>
      <c r="AT447" s="598" t="str">
        <f t="shared" si="60"/>
        <v xml:space="preserve"> </v>
      </c>
      <c r="AU447" s="598" t="str">
        <f t="shared" si="60"/>
        <v xml:space="preserve"> </v>
      </c>
      <c r="AW447" s="598" t="str">
        <f t="shared" si="56"/>
        <v xml:space="preserve"> </v>
      </c>
      <c r="AX447" s="598" t="str">
        <f t="shared" si="56"/>
        <v xml:space="preserve"> </v>
      </c>
      <c r="AY447" s="598" t="str">
        <f t="shared" si="56"/>
        <v xml:space="preserve"> </v>
      </c>
      <c r="AZ447" s="598" t="str">
        <f t="shared" si="56"/>
        <v xml:space="preserve"> </v>
      </c>
      <c r="BA447" s="598" t="str">
        <f t="shared" si="56"/>
        <v xml:space="preserve"> </v>
      </c>
      <c r="BB447" s="598" t="str">
        <f t="shared" si="56"/>
        <v xml:space="preserve"> </v>
      </c>
      <c r="BC447" s="598" t="str">
        <f t="shared" si="56"/>
        <v xml:space="preserve"> </v>
      </c>
      <c r="BD447" s="598" t="str">
        <f t="shared" si="56"/>
        <v xml:space="preserve"> </v>
      </c>
      <c r="BE447" s="598" t="str">
        <f t="shared" si="56"/>
        <v xml:space="preserve"> </v>
      </c>
      <c r="BF447" s="598" t="str">
        <f t="shared" si="56"/>
        <v xml:space="preserve"> </v>
      </c>
      <c r="BG447" s="598" t="str">
        <f t="shared" si="56"/>
        <v xml:space="preserve"> </v>
      </c>
      <c r="BH447" s="598" t="str">
        <f t="shared" si="56"/>
        <v xml:space="preserve"> </v>
      </c>
      <c r="BI447" s="598" t="str">
        <f t="shared" si="56"/>
        <v xml:space="preserve"> </v>
      </c>
      <c r="BJ447" s="598" t="str">
        <f t="shared" si="56"/>
        <v xml:space="preserve"> </v>
      </c>
      <c r="BK447" s="598" t="str">
        <f t="shared" si="56"/>
        <v xml:space="preserve"> </v>
      </c>
      <c r="BL447" s="598" t="str">
        <f t="shared" si="54"/>
        <v xml:space="preserve"> </v>
      </c>
      <c r="BM447" s="598" t="str">
        <f t="shared" si="54"/>
        <v xml:space="preserve"> </v>
      </c>
      <c r="BN447" s="598" t="str">
        <f t="shared" si="54"/>
        <v xml:space="preserve"> </v>
      </c>
      <c r="BO447" s="598" t="str">
        <f t="shared" si="54"/>
        <v xml:space="preserve"> </v>
      </c>
      <c r="BP447" s="598" t="str">
        <f t="shared" si="54"/>
        <v xml:space="preserve"> </v>
      </c>
      <c r="BQ447" s="598" t="str">
        <f t="shared" si="54"/>
        <v xml:space="preserve"> </v>
      </c>
      <c r="BR447" s="598" t="str">
        <f t="shared" si="54"/>
        <v xml:space="preserve"> </v>
      </c>
      <c r="BS447" s="598" t="str">
        <f t="shared" si="54"/>
        <v xml:space="preserve"> </v>
      </c>
      <c r="BT447" s="598" t="str">
        <f t="shared" si="54"/>
        <v xml:space="preserve"> </v>
      </c>
      <c r="BU447" s="598" t="str">
        <f t="shared" si="54"/>
        <v xml:space="preserve"> </v>
      </c>
      <c r="BV447" s="598" t="str">
        <f t="shared" si="54"/>
        <v xml:space="preserve"> </v>
      </c>
      <c r="BW447" s="598" t="str">
        <f t="shared" si="54"/>
        <v xml:space="preserve"> </v>
      </c>
      <c r="BX447" s="598" t="str">
        <f t="shared" si="54"/>
        <v xml:space="preserve"> </v>
      </c>
      <c r="BY447" s="598" t="str">
        <f t="shared" si="54"/>
        <v xml:space="preserve"> </v>
      </c>
      <c r="BZ447" s="598" t="str">
        <f t="shared" si="54"/>
        <v xml:space="preserve"> </v>
      </c>
      <c r="CA447" s="598" t="str">
        <f t="shared" si="54"/>
        <v xml:space="preserve"> </v>
      </c>
      <c r="CB447" s="598" t="str">
        <f t="shared" si="55"/>
        <v xml:space="preserve"> </v>
      </c>
      <c r="CC447" s="598" t="str">
        <f t="shared" si="55"/>
        <v xml:space="preserve"> </v>
      </c>
      <c r="CD447" s="598" t="str">
        <f t="shared" si="55"/>
        <v xml:space="preserve"> </v>
      </c>
      <c r="CE447" s="598" t="str">
        <f t="shared" si="55"/>
        <v xml:space="preserve"> </v>
      </c>
      <c r="CF447" s="598" t="str">
        <f t="shared" si="55"/>
        <v xml:space="preserve"> </v>
      </c>
      <c r="CG447" s="598" t="str">
        <f t="shared" si="55"/>
        <v xml:space="preserve"> </v>
      </c>
      <c r="CH447" s="598" t="str">
        <f t="shared" si="55"/>
        <v xml:space="preserve"> </v>
      </c>
      <c r="CI447" s="598" t="str">
        <f t="shared" si="55"/>
        <v xml:space="preserve"> </v>
      </c>
      <c r="CJ447" s="598" t="str">
        <f t="shared" si="55"/>
        <v xml:space="preserve"> </v>
      </c>
      <c r="CK447" s="598" t="str">
        <f t="shared" si="55"/>
        <v xml:space="preserve"> </v>
      </c>
      <c r="CL447" s="598" t="str">
        <f t="shared" si="55"/>
        <v xml:space="preserve"> </v>
      </c>
      <c r="CM447" s="598" t="str">
        <f t="shared" si="55"/>
        <v xml:space="preserve"> </v>
      </c>
      <c r="CN447" s="598" t="str">
        <f t="shared" si="55"/>
        <v xml:space="preserve"> </v>
      </c>
      <c r="CO447" s="598" t="str">
        <f t="shared" si="55"/>
        <v xml:space="preserve"> </v>
      </c>
      <c r="CP447" s="598" t="str">
        <f t="shared" si="55"/>
        <v xml:space="preserve"> </v>
      </c>
      <c r="CQ447" s="598" t="str">
        <f t="shared" ca="1" si="55"/>
        <v/>
      </c>
    </row>
    <row r="448" spans="1:95" ht="9.9499999999999993" customHeight="1">
      <c r="A448" s="598">
        <v>27</v>
      </c>
      <c r="B448" s="598" t="str">
        <f t="shared" ca="1" si="60"/>
        <v>L L:Tundra</v>
      </c>
      <c r="C448" s="598" t="str">
        <f t="shared" ca="1" si="60"/>
        <v>Foreign:Tilosian</v>
      </c>
      <c r="D448" s="598" t="str">
        <f t="shared" ca="1" si="60"/>
        <v/>
      </c>
      <c r="E448" s="598" t="str">
        <f t="shared" si="60"/>
        <v xml:space="preserve"> </v>
      </c>
      <c r="F448" s="598" t="str">
        <f t="shared" si="60"/>
        <v xml:space="preserve"> </v>
      </c>
      <c r="G448" s="598" t="str">
        <f t="shared" si="60"/>
        <v xml:space="preserve"> </v>
      </c>
      <c r="H448" s="598" t="str">
        <f t="shared" si="60"/>
        <v xml:space="preserve"> </v>
      </c>
      <c r="I448" s="598" t="str">
        <f t="shared" si="60"/>
        <v xml:space="preserve"> </v>
      </c>
      <c r="J448" s="598" t="str">
        <f t="shared" si="60"/>
        <v xml:space="preserve"> </v>
      </c>
      <c r="K448" s="598" t="str">
        <f t="shared" si="60"/>
        <v xml:space="preserve"> </v>
      </c>
      <c r="L448" s="598" t="str">
        <f t="shared" si="60"/>
        <v xml:space="preserve"> </v>
      </c>
      <c r="M448" s="598" t="str">
        <f t="shared" ca="1" si="60"/>
        <v/>
      </c>
      <c r="N448" s="598" t="str">
        <f t="shared" ca="1" si="60"/>
        <v>L L:Tundra</v>
      </c>
      <c r="O448" s="598" t="str">
        <f t="shared" si="60"/>
        <v xml:space="preserve"> </v>
      </c>
      <c r="P448" s="598" t="str">
        <f t="shared" si="60"/>
        <v xml:space="preserve"> </v>
      </c>
      <c r="Q448" s="598" t="str">
        <f t="shared" si="60"/>
        <v xml:space="preserve"> </v>
      </c>
      <c r="R448" s="598" t="str">
        <f t="shared" si="60"/>
        <v xml:space="preserve"> </v>
      </c>
      <c r="S448" s="598" t="str">
        <f t="shared" si="60"/>
        <v xml:space="preserve"> </v>
      </c>
      <c r="T448" s="598" t="str">
        <f t="shared" si="60"/>
        <v xml:space="preserve"> </v>
      </c>
      <c r="U448" s="598" t="str">
        <f t="shared" si="60"/>
        <v xml:space="preserve"> </v>
      </c>
      <c r="V448" s="598" t="str">
        <f t="shared" si="60"/>
        <v xml:space="preserve"> </v>
      </c>
      <c r="W448" s="598" t="str">
        <f t="shared" si="60"/>
        <v xml:space="preserve"> </v>
      </c>
      <c r="X448" s="598" t="str">
        <f t="shared" si="60"/>
        <v xml:space="preserve"> </v>
      </c>
      <c r="Y448" s="598" t="str">
        <f t="shared" si="60"/>
        <v xml:space="preserve"> </v>
      </c>
      <c r="Z448" s="598" t="str">
        <f t="shared" si="60"/>
        <v xml:space="preserve"> </v>
      </c>
      <c r="AA448" s="598" t="str">
        <f t="shared" si="60"/>
        <v xml:space="preserve"> </v>
      </c>
      <c r="AB448" s="598" t="str">
        <f t="shared" ca="1" si="60"/>
        <v>Foreign:Japanese</v>
      </c>
      <c r="AC448" s="598" t="str">
        <f t="shared" ca="1" si="60"/>
        <v>Foreign:Japanese</v>
      </c>
      <c r="AD448" s="598" t="str">
        <f t="shared" si="60"/>
        <v xml:space="preserve"> </v>
      </c>
      <c r="AE448" s="598" t="str">
        <f t="shared" si="60"/>
        <v xml:space="preserve"> </v>
      </c>
      <c r="AF448" s="598" t="str">
        <f t="shared" si="60"/>
        <v xml:space="preserve"> </v>
      </c>
      <c r="AG448" s="598" t="str">
        <f t="shared" si="60"/>
        <v xml:space="preserve"> </v>
      </c>
      <c r="AH448" s="598" t="str">
        <f t="shared" si="60"/>
        <v xml:space="preserve"> </v>
      </c>
      <c r="AI448" s="598" t="str">
        <f t="shared" si="60"/>
        <v xml:space="preserve"> </v>
      </c>
      <c r="AJ448" s="598" t="str">
        <f t="shared" si="60"/>
        <v xml:space="preserve"> </v>
      </c>
      <c r="AK448" s="598" t="str">
        <f t="shared" si="60"/>
        <v xml:space="preserve"> </v>
      </c>
      <c r="AL448" s="598" t="str">
        <f t="shared" si="60"/>
        <v xml:space="preserve"> </v>
      </c>
      <c r="AM448" s="598" t="str">
        <f t="shared" si="60"/>
        <v xml:space="preserve"> </v>
      </c>
      <c r="AN448" s="598" t="str">
        <f t="shared" si="60"/>
        <v xml:space="preserve"> </v>
      </c>
      <c r="AO448" s="598" t="str">
        <f t="shared" si="60"/>
        <v xml:space="preserve"> </v>
      </c>
      <c r="AP448" s="598" t="str">
        <f t="shared" si="60"/>
        <v xml:space="preserve"> </v>
      </c>
      <c r="AQ448" s="598" t="str">
        <f t="shared" si="60"/>
        <v xml:space="preserve"> </v>
      </c>
      <c r="AR448" s="598" t="str">
        <f t="shared" si="60"/>
        <v xml:space="preserve"> </v>
      </c>
      <c r="AS448" s="598" t="str">
        <f t="shared" si="60"/>
        <v xml:space="preserve"> </v>
      </c>
      <c r="AT448" s="598" t="str">
        <f t="shared" si="60"/>
        <v xml:space="preserve"> </v>
      </c>
      <c r="AU448" s="598" t="str">
        <f t="shared" si="60"/>
        <v xml:space="preserve"> </v>
      </c>
      <c r="AW448" s="598" t="str">
        <f t="shared" si="56"/>
        <v xml:space="preserve"> </v>
      </c>
      <c r="AX448" s="598" t="str">
        <f t="shared" si="56"/>
        <v xml:space="preserve"> </v>
      </c>
      <c r="AY448" s="598" t="str">
        <f t="shared" si="56"/>
        <v xml:space="preserve"> </v>
      </c>
      <c r="AZ448" s="598" t="str">
        <f t="shared" si="56"/>
        <v xml:space="preserve"> </v>
      </c>
      <c r="BA448" s="598" t="str">
        <f t="shared" si="56"/>
        <v xml:space="preserve"> </v>
      </c>
      <c r="BB448" s="598" t="str">
        <f t="shared" si="56"/>
        <v xml:space="preserve"> </v>
      </c>
      <c r="BC448" s="598" t="str">
        <f t="shared" si="56"/>
        <v xml:space="preserve"> </v>
      </c>
      <c r="BD448" s="598" t="str">
        <f t="shared" si="56"/>
        <v xml:space="preserve"> </v>
      </c>
      <c r="BE448" s="598" t="str">
        <f t="shared" si="56"/>
        <v xml:space="preserve"> </v>
      </c>
      <c r="BF448" s="598" t="str">
        <f t="shared" si="56"/>
        <v xml:space="preserve"> </v>
      </c>
      <c r="BG448" s="598" t="str">
        <f t="shared" si="56"/>
        <v xml:space="preserve"> </v>
      </c>
      <c r="BH448" s="598" t="str">
        <f t="shared" si="56"/>
        <v xml:space="preserve"> </v>
      </c>
      <c r="BI448" s="598" t="str">
        <f t="shared" si="56"/>
        <v xml:space="preserve"> </v>
      </c>
      <c r="BJ448" s="598" t="str">
        <f t="shared" si="56"/>
        <v xml:space="preserve"> </v>
      </c>
      <c r="BK448" s="598" t="str">
        <f t="shared" si="56"/>
        <v xml:space="preserve"> </v>
      </c>
      <c r="BL448" s="598" t="str">
        <f t="shared" si="54"/>
        <v xml:space="preserve"> </v>
      </c>
      <c r="BM448" s="598" t="str">
        <f t="shared" si="54"/>
        <v xml:space="preserve"> </v>
      </c>
      <c r="BN448" s="598" t="str">
        <f t="shared" si="54"/>
        <v xml:space="preserve"> </v>
      </c>
      <c r="BO448" s="598" t="str">
        <f t="shared" si="54"/>
        <v xml:space="preserve"> </v>
      </c>
      <c r="BP448" s="598" t="str">
        <f t="shared" si="54"/>
        <v xml:space="preserve"> </v>
      </c>
      <c r="BQ448" s="598" t="str">
        <f t="shared" si="54"/>
        <v xml:space="preserve"> </v>
      </c>
      <c r="BR448" s="598" t="str">
        <f t="shared" si="54"/>
        <v xml:space="preserve"> </v>
      </c>
      <c r="BS448" s="598" t="str">
        <f t="shared" si="54"/>
        <v xml:space="preserve"> </v>
      </c>
      <c r="BT448" s="598" t="str">
        <f t="shared" si="54"/>
        <v xml:space="preserve"> </v>
      </c>
      <c r="BU448" s="598" t="str">
        <f t="shared" si="54"/>
        <v xml:space="preserve"> </v>
      </c>
      <c r="BV448" s="598" t="str">
        <f t="shared" si="54"/>
        <v xml:space="preserve"> </v>
      </c>
      <c r="BW448" s="598" t="str">
        <f t="shared" si="54"/>
        <v xml:space="preserve"> </v>
      </c>
      <c r="BX448" s="598" t="str">
        <f t="shared" si="54"/>
        <v xml:space="preserve"> </v>
      </c>
      <c r="BY448" s="598" t="str">
        <f t="shared" si="54"/>
        <v xml:space="preserve"> </v>
      </c>
      <c r="BZ448" s="598" t="str">
        <f t="shared" si="54"/>
        <v xml:space="preserve"> </v>
      </c>
      <c r="CA448" s="598" t="str">
        <f t="shared" si="54"/>
        <v xml:space="preserve"> </v>
      </c>
      <c r="CB448" s="598" t="str">
        <f t="shared" si="55"/>
        <v xml:space="preserve"> </v>
      </c>
      <c r="CC448" s="598" t="str">
        <f t="shared" si="55"/>
        <v xml:space="preserve"> </v>
      </c>
      <c r="CD448" s="598" t="str">
        <f t="shared" si="55"/>
        <v xml:space="preserve"> </v>
      </c>
      <c r="CE448" s="598" t="str">
        <f t="shared" si="55"/>
        <v xml:space="preserve"> </v>
      </c>
      <c r="CF448" s="598" t="str">
        <f t="shared" si="55"/>
        <v xml:space="preserve"> </v>
      </c>
      <c r="CG448" s="598" t="str">
        <f t="shared" si="55"/>
        <v xml:space="preserve"> </v>
      </c>
      <c r="CH448" s="598" t="str">
        <f t="shared" si="55"/>
        <v xml:space="preserve"> </v>
      </c>
      <c r="CI448" s="598" t="str">
        <f t="shared" si="55"/>
        <v xml:space="preserve"> </v>
      </c>
      <c r="CJ448" s="598" t="str">
        <f t="shared" si="55"/>
        <v xml:space="preserve"> </v>
      </c>
      <c r="CK448" s="598" t="str">
        <f t="shared" si="55"/>
        <v xml:space="preserve"> </v>
      </c>
      <c r="CL448" s="598" t="str">
        <f t="shared" si="55"/>
        <v xml:space="preserve"> </v>
      </c>
      <c r="CM448" s="598" t="str">
        <f t="shared" si="55"/>
        <v xml:space="preserve"> </v>
      </c>
      <c r="CN448" s="598" t="str">
        <f t="shared" si="55"/>
        <v xml:space="preserve"> </v>
      </c>
      <c r="CO448" s="598" t="str">
        <f t="shared" si="55"/>
        <v xml:space="preserve"> </v>
      </c>
      <c r="CP448" s="598" t="str">
        <f t="shared" si="55"/>
        <v xml:space="preserve"> </v>
      </c>
      <c r="CQ448" s="598" t="str">
        <f t="shared" ca="1" si="55"/>
        <v/>
      </c>
    </row>
    <row r="449" spans="1:95" ht="9.9499999999999993" customHeight="1">
      <c r="A449" s="598">
        <v>28</v>
      </c>
      <c r="B449" s="598" t="str">
        <f t="shared" ca="1" si="60"/>
        <v>Map Reading</v>
      </c>
      <c r="C449" s="598" t="str">
        <f t="shared" ca="1" si="60"/>
        <v>Foreign:Hindran</v>
      </c>
      <c r="D449" s="598" t="str">
        <f t="shared" ca="1" si="60"/>
        <v/>
      </c>
      <c r="E449" s="598" t="str">
        <f t="shared" si="60"/>
        <v xml:space="preserve"> </v>
      </c>
      <c r="F449" s="598" t="str">
        <f t="shared" si="60"/>
        <v xml:space="preserve"> </v>
      </c>
      <c r="G449" s="598" t="str">
        <f t="shared" si="60"/>
        <v xml:space="preserve"> </v>
      </c>
      <c r="H449" s="598" t="str">
        <f t="shared" si="60"/>
        <v xml:space="preserve"> </v>
      </c>
      <c r="I449" s="598" t="str">
        <f t="shared" si="60"/>
        <v xml:space="preserve"> </v>
      </c>
      <c r="J449" s="598" t="str">
        <f t="shared" si="60"/>
        <v xml:space="preserve"> </v>
      </c>
      <c r="K449" s="598" t="str">
        <f t="shared" si="60"/>
        <v xml:space="preserve"> </v>
      </c>
      <c r="L449" s="598" t="str">
        <f t="shared" si="60"/>
        <v xml:space="preserve"> </v>
      </c>
      <c r="M449" s="598" t="str">
        <f t="shared" ca="1" si="60"/>
        <v/>
      </c>
      <c r="N449" s="598" t="str">
        <f t="shared" ca="1" si="60"/>
        <v>Map Reading</v>
      </c>
      <c r="O449" s="598" t="str">
        <f t="shared" si="60"/>
        <v xml:space="preserve"> </v>
      </c>
      <c r="P449" s="598" t="str">
        <f t="shared" si="60"/>
        <v xml:space="preserve"> </v>
      </c>
      <c r="Q449" s="598" t="str">
        <f t="shared" si="60"/>
        <v xml:space="preserve"> </v>
      </c>
      <c r="R449" s="598" t="str">
        <f t="shared" si="60"/>
        <v xml:space="preserve"> </v>
      </c>
      <c r="S449" s="598" t="str">
        <f t="shared" si="60"/>
        <v xml:space="preserve"> </v>
      </c>
      <c r="T449" s="598" t="str">
        <f t="shared" si="60"/>
        <v xml:space="preserve"> </v>
      </c>
      <c r="U449" s="598" t="str">
        <f t="shared" si="60"/>
        <v xml:space="preserve"> </v>
      </c>
      <c r="V449" s="598" t="str">
        <f t="shared" si="60"/>
        <v xml:space="preserve"> </v>
      </c>
      <c r="W449" s="598" t="str">
        <f t="shared" si="60"/>
        <v xml:space="preserve"> </v>
      </c>
      <c r="X449" s="598" t="str">
        <f t="shared" si="60"/>
        <v xml:space="preserve"> </v>
      </c>
      <c r="Y449" s="598" t="str">
        <f t="shared" si="60"/>
        <v xml:space="preserve"> </v>
      </c>
      <c r="Z449" s="598" t="str">
        <f t="shared" si="60"/>
        <v xml:space="preserve"> </v>
      </c>
      <c r="AA449" s="598" t="str">
        <f t="shared" si="60"/>
        <v xml:space="preserve"> </v>
      </c>
      <c r="AB449" s="598" t="str">
        <f t="shared" ca="1" si="60"/>
        <v>Foreign:Caben</v>
      </c>
      <c r="AC449" s="598" t="str">
        <f t="shared" ca="1" si="60"/>
        <v>Foreign:Caben</v>
      </c>
      <c r="AD449" s="598" t="str">
        <f t="shared" si="60"/>
        <v xml:space="preserve"> </v>
      </c>
      <c r="AE449" s="598" t="str">
        <f t="shared" si="60"/>
        <v xml:space="preserve"> </v>
      </c>
      <c r="AF449" s="598" t="str">
        <f t="shared" si="60"/>
        <v xml:space="preserve"> </v>
      </c>
      <c r="AG449" s="598" t="str">
        <f t="shared" si="60"/>
        <v xml:space="preserve"> </v>
      </c>
      <c r="AH449" s="598" t="str">
        <f t="shared" si="60"/>
        <v xml:space="preserve"> </v>
      </c>
      <c r="AI449" s="598" t="str">
        <f t="shared" si="60"/>
        <v xml:space="preserve"> </v>
      </c>
      <c r="AJ449" s="598" t="str">
        <f t="shared" si="60"/>
        <v xml:space="preserve"> </v>
      </c>
      <c r="AK449" s="598" t="str">
        <f t="shared" si="60"/>
        <v xml:space="preserve"> </v>
      </c>
      <c r="AL449" s="598" t="str">
        <f t="shared" si="60"/>
        <v xml:space="preserve"> </v>
      </c>
      <c r="AM449" s="598" t="str">
        <f t="shared" si="60"/>
        <v xml:space="preserve"> </v>
      </c>
      <c r="AN449" s="598" t="str">
        <f t="shared" si="60"/>
        <v xml:space="preserve"> </v>
      </c>
      <c r="AO449" s="598" t="str">
        <f t="shared" si="60"/>
        <v xml:space="preserve"> </v>
      </c>
      <c r="AP449" s="598" t="str">
        <f t="shared" si="60"/>
        <v xml:space="preserve"> </v>
      </c>
      <c r="AQ449" s="598" t="str">
        <f t="shared" si="60"/>
        <v xml:space="preserve"> </v>
      </c>
      <c r="AR449" s="598" t="str">
        <f t="shared" si="60"/>
        <v xml:space="preserve"> </v>
      </c>
      <c r="AS449" s="598" t="str">
        <f t="shared" si="60"/>
        <v xml:space="preserve"> </v>
      </c>
      <c r="AT449" s="598" t="str">
        <f t="shared" si="60"/>
        <v xml:space="preserve"> </v>
      </c>
      <c r="AU449" s="598" t="str">
        <f t="shared" si="60"/>
        <v xml:space="preserve"> </v>
      </c>
      <c r="AW449" s="598" t="str">
        <f t="shared" si="56"/>
        <v xml:space="preserve"> </v>
      </c>
      <c r="AX449" s="598" t="str">
        <f t="shared" si="56"/>
        <v xml:space="preserve"> </v>
      </c>
      <c r="AY449" s="598" t="str">
        <f t="shared" si="56"/>
        <v xml:space="preserve"> </v>
      </c>
      <c r="AZ449" s="598" t="str">
        <f t="shared" si="56"/>
        <v xml:space="preserve"> </v>
      </c>
      <c r="BA449" s="598" t="str">
        <f t="shared" si="56"/>
        <v xml:space="preserve"> </v>
      </c>
      <c r="BB449" s="598" t="str">
        <f t="shared" si="56"/>
        <v xml:space="preserve"> </v>
      </c>
      <c r="BC449" s="598" t="str">
        <f t="shared" si="56"/>
        <v xml:space="preserve"> </v>
      </c>
      <c r="BD449" s="598" t="str">
        <f t="shared" si="56"/>
        <v xml:space="preserve"> </v>
      </c>
      <c r="BE449" s="598" t="str">
        <f t="shared" si="56"/>
        <v xml:space="preserve"> </v>
      </c>
      <c r="BF449" s="598" t="str">
        <f t="shared" si="56"/>
        <v xml:space="preserve"> </v>
      </c>
      <c r="BG449" s="598" t="str">
        <f t="shared" si="56"/>
        <v xml:space="preserve"> </v>
      </c>
      <c r="BH449" s="598" t="str">
        <f t="shared" si="56"/>
        <v xml:space="preserve"> </v>
      </c>
      <c r="BI449" s="598" t="str">
        <f t="shared" si="56"/>
        <v xml:space="preserve"> </v>
      </c>
      <c r="BJ449" s="598" t="str">
        <f t="shared" si="56"/>
        <v xml:space="preserve"> </v>
      </c>
      <c r="BK449" s="598" t="str">
        <f t="shared" si="56"/>
        <v xml:space="preserve"> </v>
      </c>
      <c r="BL449" s="598" t="str">
        <f t="shared" si="54"/>
        <v xml:space="preserve"> </v>
      </c>
      <c r="BM449" s="598" t="str">
        <f t="shared" si="54"/>
        <v xml:space="preserve"> </v>
      </c>
      <c r="BN449" s="598" t="str">
        <f t="shared" si="54"/>
        <v xml:space="preserve"> </v>
      </c>
      <c r="BO449" s="598" t="str">
        <f t="shared" si="54"/>
        <v xml:space="preserve"> </v>
      </c>
      <c r="BP449" s="598" t="str">
        <f t="shared" si="54"/>
        <v xml:space="preserve"> </v>
      </c>
      <c r="BQ449" s="598" t="str">
        <f t="shared" si="54"/>
        <v xml:space="preserve"> </v>
      </c>
      <c r="BR449" s="598" t="str">
        <f t="shared" si="54"/>
        <v xml:space="preserve"> </v>
      </c>
      <c r="BS449" s="598" t="str">
        <f t="shared" si="54"/>
        <v xml:space="preserve"> </v>
      </c>
      <c r="BT449" s="598" t="str">
        <f t="shared" si="54"/>
        <v xml:space="preserve"> </v>
      </c>
      <c r="BU449" s="598" t="str">
        <f t="shared" si="54"/>
        <v xml:space="preserve"> </v>
      </c>
      <c r="BV449" s="598" t="str">
        <f t="shared" si="54"/>
        <v xml:space="preserve"> </v>
      </c>
      <c r="BW449" s="598" t="str">
        <f t="shared" si="54"/>
        <v xml:space="preserve"> </v>
      </c>
      <c r="BX449" s="598" t="str">
        <f t="shared" si="54"/>
        <v xml:space="preserve"> </v>
      </c>
      <c r="BY449" s="598" t="str">
        <f t="shared" si="54"/>
        <v xml:space="preserve"> </v>
      </c>
      <c r="BZ449" s="598" t="str">
        <f t="shared" si="54"/>
        <v xml:space="preserve"> </v>
      </c>
      <c r="CA449" s="598" t="str">
        <f t="shared" si="54"/>
        <v xml:space="preserve"> </v>
      </c>
      <c r="CB449" s="598" t="str">
        <f t="shared" si="55"/>
        <v xml:space="preserve"> </v>
      </c>
      <c r="CC449" s="598" t="str">
        <f t="shared" si="55"/>
        <v xml:space="preserve"> </v>
      </c>
      <c r="CD449" s="598" t="str">
        <f t="shared" si="55"/>
        <v xml:space="preserve"> </v>
      </c>
      <c r="CE449" s="598" t="str">
        <f t="shared" si="55"/>
        <v xml:space="preserve"> </v>
      </c>
      <c r="CF449" s="598" t="str">
        <f t="shared" si="55"/>
        <v xml:space="preserve"> </v>
      </c>
      <c r="CG449" s="598" t="str">
        <f t="shared" si="55"/>
        <v xml:space="preserve"> </v>
      </c>
      <c r="CH449" s="598" t="str">
        <f t="shared" si="55"/>
        <v xml:space="preserve"> </v>
      </c>
      <c r="CI449" s="598" t="str">
        <f t="shared" si="55"/>
        <v xml:space="preserve"> </v>
      </c>
      <c r="CJ449" s="598" t="str">
        <f t="shared" si="55"/>
        <v xml:space="preserve"> </v>
      </c>
      <c r="CK449" s="598" t="str">
        <f t="shared" si="55"/>
        <v xml:space="preserve"> </v>
      </c>
      <c r="CL449" s="598" t="str">
        <f t="shared" si="55"/>
        <v xml:space="preserve"> </v>
      </c>
      <c r="CM449" s="598" t="str">
        <f t="shared" si="55"/>
        <v xml:space="preserve"> </v>
      </c>
      <c r="CN449" s="598" t="str">
        <f t="shared" si="55"/>
        <v xml:space="preserve"> </v>
      </c>
      <c r="CO449" s="598" t="str">
        <f t="shared" si="55"/>
        <v xml:space="preserve"> </v>
      </c>
      <c r="CP449" s="598" t="str">
        <f t="shared" si="55"/>
        <v xml:space="preserve"> </v>
      </c>
      <c r="CQ449" s="598" t="str">
        <f t="shared" ca="1" si="55"/>
        <v/>
      </c>
    </row>
    <row r="450" spans="1:95" ht="9.9499999999999993" customHeight="1">
      <c r="A450" s="598">
        <v>29</v>
      </c>
      <c r="B450" s="598" t="str">
        <f t="shared" ca="1" si="60"/>
        <v>Naturalism</v>
      </c>
      <c r="C450" s="598" t="str">
        <f t="shared" ca="1" si="60"/>
        <v>Foreign:Kindren</v>
      </c>
      <c r="D450" s="598" t="str">
        <f t="shared" ca="1" si="60"/>
        <v/>
      </c>
      <c r="E450" s="598" t="str">
        <f t="shared" si="60"/>
        <v xml:space="preserve"> </v>
      </c>
      <c r="F450" s="598" t="str">
        <f t="shared" si="60"/>
        <v xml:space="preserve"> </v>
      </c>
      <c r="G450" s="598" t="str">
        <f t="shared" si="60"/>
        <v xml:space="preserve"> </v>
      </c>
      <c r="H450" s="598" t="str">
        <f t="shared" si="60"/>
        <v xml:space="preserve"> </v>
      </c>
      <c r="I450" s="598" t="str">
        <f t="shared" si="60"/>
        <v xml:space="preserve"> </v>
      </c>
      <c r="J450" s="598" t="str">
        <f t="shared" si="60"/>
        <v xml:space="preserve"> </v>
      </c>
      <c r="K450" s="598" t="str">
        <f t="shared" si="60"/>
        <v xml:space="preserve"> </v>
      </c>
      <c r="L450" s="598" t="str">
        <f t="shared" si="60"/>
        <v xml:space="preserve"> </v>
      </c>
      <c r="M450" s="598" t="str">
        <f t="shared" ca="1" si="60"/>
        <v/>
      </c>
      <c r="N450" s="598" t="str">
        <f t="shared" ca="1" si="60"/>
        <v>Naturalism</v>
      </c>
      <c r="O450" s="598" t="str">
        <f t="shared" si="60"/>
        <v xml:space="preserve"> </v>
      </c>
      <c r="P450" s="598" t="str">
        <f t="shared" si="60"/>
        <v xml:space="preserve"> </v>
      </c>
      <c r="Q450" s="598" t="str">
        <f t="shared" si="60"/>
        <v xml:space="preserve"> </v>
      </c>
      <c r="R450" s="598" t="str">
        <f t="shared" si="60"/>
        <v xml:space="preserve"> </v>
      </c>
      <c r="S450" s="598" t="str">
        <f t="shared" si="60"/>
        <v xml:space="preserve"> </v>
      </c>
      <c r="T450" s="598" t="str">
        <f t="shared" si="60"/>
        <v xml:space="preserve"> </v>
      </c>
      <c r="U450" s="598" t="str">
        <f t="shared" si="60"/>
        <v xml:space="preserve"> </v>
      </c>
      <c r="V450" s="598" t="str">
        <f t="shared" si="60"/>
        <v xml:space="preserve"> </v>
      </c>
      <c r="W450" s="598" t="str">
        <f t="shared" si="60"/>
        <v xml:space="preserve"> </v>
      </c>
      <c r="X450" s="598" t="str">
        <f t="shared" si="60"/>
        <v xml:space="preserve"> </v>
      </c>
      <c r="Y450" s="598" t="str">
        <f t="shared" si="60"/>
        <v xml:space="preserve"> </v>
      </c>
      <c r="Z450" s="598" t="str">
        <f t="shared" si="60"/>
        <v xml:space="preserve"> </v>
      </c>
      <c r="AA450" s="598" t="str">
        <f t="shared" si="60"/>
        <v xml:space="preserve"> </v>
      </c>
      <c r="AB450" s="598" t="str">
        <f t="shared" ca="1" si="60"/>
        <v>Foreign:Russian/Cyrillic</v>
      </c>
      <c r="AC450" s="598" t="str">
        <f t="shared" ca="1" si="60"/>
        <v>Foreign:Russian/Cyrillic</v>
      </c>
      <c r="AD450" s="598" t="str">
        <f t="shared" si="60"/>
        <v xml:space="preserve"> </v>
      </c>
      <c r="AE450" s="598" t="str">
        <f t="shared" si="60"/>
        <v xml:space="preserve"> </v>
      </c>
      <c r="AF450" s="598" t="str">
        <f t="shared" si="60"/>
        <v xml:space="preserve"> </v>
      </c>
      <c r="AG450" s="598" t="str">
        <f t="shared" si="60"/>
        <v xml:space="preserve"> </v>
      </c>
      <c r="AH450" s="598" t="str">
        <f t="shared" si="60"/>
        <v xml:space="preserve"> </v>
      </c>
      <c r="AI450" s="598" t="str">
        <f t="shared" si="60"/>
        <v xml:space="preserve"> </v>
      </c>
      <c r="AJ450" s="598" t="str">
        <f t="shared" si="60"/>
        <v xml:space="preserve"> </v>
      </c>
      <c r="AK450" s="598" t="str">
        <f t="shared" si="60"/>
        <v xml:space="preserve"> </v>
      </c>
      <c r="AL450" s="598" t="str">
        <f t="shared" si="60"/>
        <v xml:space="preserve"> </v>
      </c>
      <c r="AM450" s="598" t="str">
        <f t="shared" si="60"/>
        <v xml:space="preserve"> </v>
      </c>
      <c r="AN450" s="598" t="str">
        <f t="shared" si="60"/>
        <v xml:space="preserve"> </v>
      </c>
      <c r="AO450" s="598" t="str">
        <f t="shared" si="60"/>
        <v xml:space="preserve"> </v>
      </c>
      <c r="AP450" s="598" t="str">
        <f t="shared" si="60"/>
        <v xml:space="preserve"> </v>
      </c>
      <c r="AQ450" s="598" t="str">
        <f t="shared" si="60"/>
        <v xml:space="preserve"> </v>
      </c>
      <c r="AR450" s="598" t="str">
        <f t="shared" si="60"/>
        <v xml:space="preserve"> </v>
      </c>
      <c r="AS450" s="598" t="str">
        <f t="shared" si="60"/>
        <v xml:space="preserve"> </v>
      </c>
      <c r="AT450" s="598" t="str">
        <f t="shared" si="60"/>
        <v xml:space="preserve"> </v>
      </c>
      <c r="AU450" s="598" t="str">
        <f t="shared" si="60"/>
        <v xml:space="preserve"> </v>
      </c>
      <c r="AW450" s="598" t="str">
        <f t="shared" si="56"/>
        <v xml:space="preserve"> </v>
      </c>
      <c r="AX450" s="598" t="str">
        <f t="shared" si="56"/>
        <v xml:space="preserve"> </v>
      </c>
      <c r="AY450" s="598" t="str">
        <f t="shared" si="56"/>
        <v xml:space="preserve"> </v>
      </c>
      <c r="AZ450" s="598" t="str">
        <f t="shared" si="56"/>
        <v xml:space="preserve"> </v>
      </c>
      <c r="BA450" s="598" t="str">
        <f t="shared" si="56"/>
        <v xml:space="preserve"> </v>
      </c>
      <c r="BB450" s="598" t="str">
        <f t="shared" si="56"/>
        <v xml:space="preserve"> </v>
      </c>
      <c r="BC450" s="598" t="str">
        <f t="shared" si="56"/>
        <v xml:space="preserve"> </v>
      </c>
      <c r="BD450" s="598" t="str">
        <f t="shared" si="56"/>
        <v xml:space="preserve"> </v>
      </c>
      <c r="BE450" s="598" t="str">
        <f t="shared" si="56"/>
        <v xml:space="preserve"> </v>
      </c>
      <c r="BF450" s="598" t="str">
        <f t="shared" si="56"/>
        <v xml:space="preserve"> </v>
      </c>
      <c r="BG450" s="598" t="str">
        <f t="shared" si="56"/>
        <v xml:space="preserve"> </v>
      </c>
      <c r="BH450" s="598" t="str">
        <f t="shared" si="56"/>
        <v xml:space="preserve"> </v>
      </c>
      <c r="BI450" s="598" t="str">
        <f t="shared" si="56"/>
        <v xml:space="preserve"> </v>
      </c>
      <c r="BJ450" s="598" t="str">
        <f t="shared" si="56"/>
        <v xml:space="preserve"> </v>
      </c>
      <c r="BK450" s="598" t="str">
        <f t="shared" si="56"/>
        <v xml:space="preserve"> </v>
      </c>
      <c r="BL450" s="598" t="str">
        <f t="shared" si="54"/>
        <v xml:space="preserve"> </v>
      </c>
      <c r="BM450" s="598" t="str">
        <f t="shared" si="54"/>
        <v xml:space="preserve"> </v>
      </c>
      <c r="BN450" s="598" t="str">
        <f t="shared" si="54"/>
        <v xml:space="preserve"> </v>
      </c>
      <c r="BO450" s="598" t="str">
        <f t="shared" si="54"/>
        <v xml:space="preserve"> </v>
      </c>
      <c r="BP450" s="598" t="str">
        <f t="shared" si="54"/>
        <v xml:space="preserve"> </v>
      </c>
      <c r="BQ450" s="598" t="str">
        <f t="shared" si="54"/>
        <v xml:space="preserve"> </v>
      </c>
      <c r="BR450" s="598" t="str">
        <f t="shared" si="54"/>
        <v xml:space="preserve"> </v>
      </c>
      <c r="BS450" s="598" t="str">
        <f t="shared" si="54"/>
        <v xml:space="preserve"> </v>
      </c>
      <c r="BT450" s="598" t="str">
        <f t="shared" si="54"/>
        <v xml:space="preserve"> </v>
      </c>
      <c r="BU450" s="598" t="str">
        <f t="shared" si="54"/>
        <v xml:space="preserve"> </v>
      </c>
      <c r="BV450" s="598" t="str">
        <f t="shared" si="54"/>
        <v xml:space="preserve"> </v>
      </c>
      <c r="BW450" s="598" t="str">
        <f t="shared" si="54"/>
        <v xml:space="preserve"> </v>
      </c>
      <c r="BX450" s="598" t="str">
        <f t="shared" si="54"/>
        <v xml:space="preserve"> </v>
      </c>
      <c r="BY450" s="598" t="str">
        <f t="shared" si="54"/>
        <v xml:space="preserve"> </v>
      </c>
      <c r="BZ450" s="598" t="str">
        <f t="shared" si="54"/>
        <v xml:space="preserve"> </v>
      </c>
      <c r="CA450" s="598" t="str">
        <f t="shared" si="54"/>
        <v xml:space="preserve"> </v>
      </c>
      <c r="CB450" s="598" t="str">
        <f t="shared" si="55"/>
        <v xml:space="preserve"> </v>
      </c>
      <c r="CC450" s="598" t="str">
        <f t="shared" si="55"/>
        <v xml:space="preserve"> </v>
      </c>
      <c r="CD450" s="598" t="str">
        <f t="shared" si="55"/>
        <v xml:space="preserve"> </v>
      </c>
      <c r="CE450" s="598" t="str">
        <f t="shared" si="55"/>
        <v xml:space="preserve"> </v>
      </c>
      <c r="CF450" s="598" t="str">
        <f t="shared" si="55"/>
        <v xml:space="preserve"> </v>
      </c>
      <c r="CG450" s="598" t="str">
        <f t="shared" si="55"/>
        <v xml:space="preserve"> </v>
      </c>
      <c r="CH450" s="598" t="str">
        <f t="shared" si="55"/>
        <v xml:space="preserve"> </v>
      </c>
      <c r="CI450" s="598" t="str">
        <f t="shared" si="55"/>
        <v xml:space="preserve"> </v>
      </c>
      <c r="CJ450" s="598" t="str">
        <f t="shared" si="55"/>
        <v xml:space="preserve"> </v>
      </c>
      <c r="CK450" s="598" t="str">
        <f t="shared" si="55"/>
        <v xml:space="preserve"> </v>
      </c>
      <c r="CL450" s="598" t="str">
        <f t="shared" si="55"/>
        <v xml:space="preserve"> </v>
      </c>
      <c r="CM450" s="598" t="str">
        <f t="shared" si="55"/>
        <v xml:space="preserve"> </v>
      </c>
      <c r="CN450" s="598" t="str">
        <f t="shared" si="55"/>
        <v xml:space="preserve"> </v>
      </c>
      <c r="CO450" s="598" t="str">
        <f t="shared" si="55"/>
        <v xml:space="preserve"> </v>
      </c>
      <c r="CP450" s="598" t="str">
        <f t="shared" si="55"/>
        <v xml:space="preserve"> </v>
      </c>
      <c r="CQ450" s="598" t="str">
        <f t="shared" ca="1" si="55"/>
        <v/>
      </c>
    </row>
    <row r="451" spans="1:95" ht="9.9499999999999993" customHeight="1">
      <c r="A451" s="598">
        <v>30</v>
      </c>
      <c r="B451" s="598" t="str">
        <f t="shared" ca="1" si="60"/>
        <v>Scientific Research (Research Methods of Understanding )</v>
      </c>
      <c r="C451" s="598" t="str">
        <f t="shared" ca="1" si="60"/>
        <v>Foreign:Gonson</v>
      </c>
      <c r="D451" s="598" t="str">
        <f t="shared" ca="1" si="60"/>
        <v/>
      </c>
      <c r="E451" s="598" t="str">
        <f t="shared" si="60"/>
        <v xml:space="preserve"> </v>
      </c>
      <c r="F451" s="598" t="str">
        <f t="shared" si="60"/>
        <v xml:space="preserve"> </v>
      </c>
      <c r="G451" s="598" t="str">
        <f t="shared" si="60"/>
        <v xml:space="preserve"> </v>
      </c>
      <c r="H451" s="598" t="str">
        <f t="shared" si="60"/>
        <v xml:space="preserve"> </v>
      </c>
      <c r="I451" s="598" t="str">
        <f t="shared" si="60"/>
        <v xml:space="preserve"> </v>
      </c>
      <c r="J451" s="598" t="str">
        <f t="shared" si="60"/>
        <v xml:space="preserve"> </v>
      </c>
      <c r="K451" s="598" t="str">
        <f t="shared" si="60"/>
        <v xml:space="preserve"> </v>
      </c>
      <c r="L451" s="598" t="str">
        <f t="shared" si="60"/>
        <v xml:space="preserve"> </v>
      </c>
      <c r="M451" s="598" t="str">
        <f t="shared" ca="1" si="60"/>
        <v/>
      </c>
      <c r="N451" s="598" t="str">
        <f t="shared" ca="1" si="60"/>
        <v>Scientific Research (Research Methods of Understanding )</v>
      </c>
      <c r="O451" s="598" t="str">
        <f t="shared" si="60"/>
        <v xml:space="preserve"> </v>
      </c>
      <c r="P451" s="598" t="str">
        <f t="shared" si="60"/>
        <v xml:space="preserve"> </v>
      </c>
      <c r="Q451" s="598" t="str">
        <f t="shared" si="60"/>
        <v xml:space="preserve"> </v>
      </c>
      <c r="R451" s="598" t="str">
        <f t="shared" si="60"/>
        <v xml:space="preserve"> </v>
      </c>
      <c r="S451" s="598" t="str">
        <f t="shared" si="60"/>
        <v xml:space="preserve"> </v>
      </c>
      <c r="T451" s="598" t="str">
        <f t="shared" si="60"/>
        <v xml:space="preserve"> </v>
      </c>
      <c r="U451" s="598" t="str">
        <f t="shared" si="60"/>
        <v xml:space="preserve"> </v>
      </c>
      <c r="V451" s="598" t="str">
        <f t="shared" si="60"/>
        <v xml:space="preserve"> </v>
      </c>
      <c r="W451" s="598" t="str">
        <f t="shared" si="60"/>
        <v xml:space="preserve"> </v>
      </c>
      <c r="X451" s="598" t="str">
        <f t="shared" si="60"/>
        <v xml:space="preserve"> </v>
      </c>
      <c r="Y451" s="598" t="str">
        <f t="shared" si="60"/>
        <v xml:space="preserve"> </v>
      </c>
      <c r="Z451" s="598" t="str">
        <f t="shared" si="60"/>
        <v xml:space="preserve"> </v>
      </c>
      <c r="AA451" s="598" t="str">
        <f t="shared" si="60"/>
        <v xml:space="preserve"> </v>
      </c>
      <c r="AB451" s="598" t="str">
        <f t="shared" ca="1" si="60"/>
        <v>Foreign:Sanskrit</v>
      </c>
      <c r="AC451" s="598" t="str">
        <f t="shared" ca="1" si="60"/>
        <v>Foreign:Sanskrit</v>
      </c>
      <c r="AD451" s="598" t="str">
        <f t="shared" si="60"/>
        <v xml:space="preserve"> </v>
      </c>
      <c r="AE451" s="598" t="str">
        <f t="shared" si="60"/>
        <v xml:space="preserve"> </v>
      </c>
      <c r="AF451" s="598" t="str">
        <f t="shared" si="60"/>
        <v xml:space="preserve"> </v>
      </c>
      <c r="AG451" s="598" t="str">
        <f t="shared" si="60"/>
        <v xml:space="preserve"> </v>
      </c>
      <c r="AH451" s="598" t="str">
        <f t="shared" si="60"/>
        <v xml:space="preserve"> </v>
      </c>
      <c r="AI451" s="598" t="str">
        <f t="shared" si="60"/>
        <v xml:space="preserve"> </v>
      </c>
      <c r="AJ451" s="598" t="str">
        <f t="shared" si="60"/>
        <v xml:space="preserve"> </v>
      </c>
      <c r="AK451" s="598" t="str">
        <f t="shared" si="60"/>
        <v xml:space="preserve"> </v>
      </c>
      <c r="AL451" s="598" t="str">
        <f t="shared" si="60"/>
        <v xml:space="preserve"> </v>
      </c>
      <c r="AM451" s="598" t="str">
        <f t="shared" si="60"/>
        <v xml:space="preserve"> </v>
      </c>
      <c r="AN451" s="598" t="str">
        <f t="shared" si="60"/>
        <v xml:space="preserve"> </v>
      </c>
      <c r="AO451" s="598" t="str">
        <f t="shared" si="60"/>
        <v xml:space="preserve"> </v>
      </c>
      <c r="AP451" s="598" t="str">
        <f t="shared" si="60"/>
        <v xml:space="preserve"> </v>
      </c>
      <c r="AQ451" s="598" t="str">
        <f t="shared" si="60"/>
        <v xml:space="preserve"> </v>
      </c>
      <c r="AR451" s="598" t="str">
        <f t="shared" si="60"/>
        <v xml:space="preserve"> </v>
      </c>
      <c r="AS451" s="598" t="str">
        <f t="shared" si="60"/>
        <v xml:space="preserve"> </v>
      </c>
      <c r="AT451" s="598" t="str">
        <f t="shared" si="60"/>
        <v xml:space="preserve"> </v>
      </c>
      <c r="AU451" s="598" t="str">
        <f t="shared" si="60"/>
        <v xml:space="preserve"> </v>
      </c>
      <c r="AW451" s="598" t="str">
        <f t="shared" si="56"/>
        <v xml:space="preserve"> </v>
      </c>
      <c r="AX451" s="598" t="str">
        <f t="shared" si="56"/>
        <v xml:space="preserve"> </v>
      </c>
      <c r="AY451" s="598" t="str">
        <f t="shared" si="56"/>
        <v xml:space="preserve"> </v>
      </c>
      <c r="AZ451" s="598" t="str">
        <f t="shared" si="56"/>
        <v xml:space="preserve"> </v>
      </c>
      <c r="BA451" s="598" t="str">
        <f t="shared" si="56"/>
        <v xml:space="preserve"> </v>
      </c>
      <c r="BB451" s="598" t="str">
        <f t="shared" si="56"/>
        <v xml:space="preserve"> </v>
      </c>
      <c r="BC451" s="598" t="str">
        <f t="shared" si="56"/>
        <v xml:space="preserve"> </v>
      </c>
      <c r="BD451" s="598" t="str">
        <f t="shared" si="56"/>
        <v xml:space="preserve"> </v>
      </c>
      <c r="BE451" s="598" t="str">
        <f t="shared" si="56"/>
        <v xml:space="preserve"> </v>
      </c>
      <c r="BF451" s="598" t="str">
        <f t="shared" si="56"/>
        <v xml:space="preserve"> </v>
      </c>
      <c r="BG451" s="598" t="str">
        <f t="shared" si="56"/>
        <v xml:space="preserve"> </v>
      </c>
      <c r="BH451" s="598" t="str">
        <f t="shared" si="56"/>
        <v xml:space="preserve"> </v>
      </c>
      <c r="BI451" s="598" t="str">
        <f t="shared" si="56"/>
        <v xml:space="preserve"> </v>
      </c>
      <c r="BJ451" s="598" t="str">
        <f t="shared" si="56"/>
        <v xml:space="preserve"> </v>
      </c>
      <c r="BK451" s="598" t="str">
        <f t="shared" si="56"/>
        <v xml:space="preserve"> </v>
      </c>
      <c r="BL451" s="598" t="str">
        <f t="shared" si="54"/>
        <v xml:space="preserve"> </v>
      </c>
      <c r="BM451" s="598" t="str">
        <f t="shared" si="54"/>
        <v xml:space="preserve"> </v>
      </c>
      <c r="BN451" s="598" t="str">
        <f t="shared" si="54"/>
        <v xml:space="preserve"> </v>
      </c>
      <c r="BO451" s="598" t="str">
        <f t="shared" si="54"/>
        <v xml:space="preserve"> </v>
      </c>
      <c r="BP451" s="598" t="str">
        <f t="shared" si="54"/>
        <v xml:space="preserve"> </v>
      </c>
      <c r="BQ451" s="598" t="str">
        <f t="shared" si="54"/>
        <v xml:space="preserve"> </v>
      </c>
      <c r="BR451" s="598" t="str">
        <f t="shared" si="54"/>
        <v xml:space="preserve"> </v>
      </c>
      <c r="BS451" s="598" t="str">
        <f t="shared" si="54"/>
        <v xml:space="preserve"> </v>
      </c>
      <c r="BT451" s="598" t="str">
        <f t="shared" si="54"/>
        <v xml:space="preserve"> </v>
      </c>
      <c r="BU451" s="598" t="str">
        <f t="shared" si="54"/>
        <v xml:space="preserve"> </v>
      </c>
      <c r="BV451" s="598" t="str">
        <f t="shared" si="54"/>
        <v xml:space="preserve"> </v>
      </c>
      <c r="BW451" s="598" t="str">
        <f t="shared" si="54"/>
        <v xml:space="preserve"> </v>
      </c>
      <c r="BX451" s="598" t="str">
        <f t="shared" si="54"/>
        <v xml:space="preserve"> </v>
      </c>
      <c r="BY451" s="598" t="str">
        <f t="shared" si="54"/>
        <v xml:space="preserve"> </v>
      </c>
      <c r="BZ451" s="598" t="str">
        <f t="shared" si="54"/>
        <v xml:space="preserve"> </v>
      </c>
      <c r="CA451" s="598" t="str">
        <f t="shared" si="54"/>
        <v xml:space="preserve"> </v>
      </c>
      <c r="CB451" s="598" t="str">
        <f t="shared" si="55"/>
        <v xml:space="preserve"> </v>
      </c>
      <c r="CC451" s="598" t="str">
        <f t="shared" si="55"/>
        <v xml:space="preserve"> </v>
      </c>
      <c r="CD451" s="598" t="str">
        <f t="shared" si="55"/>
        <v xml:space="preserve"> </v>
      </c>
      <c r="CE451" s="598" t="str">
        <f t="shared" si="55"/>
        <v xml:space="preserve"> </v>
      </c>
      <c r="CF451" s="598" t="str">
        <f t="shared" si="55"/>
        <v xml:space="preserve"> </v>
      </c>
      <c r="CG451" s="598" t="str">
        <f t="shared" si="55"/>
        <v xml:space="preserve"> </v>
      </c>
      <c r="CH451" s="598" t="str">
        <f t="shared" si="55"/>
        <v xml:space="preserve"> </v>
      </c>
      <c r="CI451" s="598" t="str">
        <f t="shared" si="55"/>
        <v xml:space="preserve"> </v>
      </c>
      <c r="CJ451" s="598" t="str">
        <f t="shared" si="55"/>
        <v xml:space="preserve"> </v>
      </c>
      <c r="CK451" s="598" t="str">
        <f t="shared" si="55"/>
        <v xml:space="preserve"> </v>
      </c>
      <c r="CL451" s="598" t="str">
        <f t="shared" si="55"/>
        <v xml:space="preserve"> </v>
      </c>
      <c r="CM451" s="598" t="str">
        <f t="shared" si="55"/>
        <v xml:space="preserve"> </v>
      </c>
      <c r="CN451" s="598" t="str">
        <f t="shared" si="55"/>
        <v xml:space="preserve"> </v>
      </c>
      <c r="CO451" s="598" t="str">
        <f t="shared" si="55"/>
        <v xml:space="preserve"> </v>
      </c>
      <c r="CP451" s="598" t="str">
        <f t="shared" si="55"/>
        <v xml:space="preserve"> </v>
      </c>
      <c r="CQ451" s="598" t="str">
        <f t="shared" ca="1" si="55"/>
        <v/>
      </c>
    </row>
    <row r="452" spans="1:95" ht="9.9499999999999993" customHeight="1">
      <c r="A452" s="598">
        <v>31</v>
      </c>
      <c r="B452" s="598" t="str">
        <f t="shared" ca="1" si="60"/>
        <v>Siege Engine Construction</v>
      </c>
      <c r="C452" s="598" t="str">
        <f t="shared" ca="1" si="60"/>
        <v>Foreign:Caben</v>
      </c>
      <c r="D452" s="598" t="str">
        <f t="shared" ca="1" si="60"/>
        <v/>
      </c>
      <c r="E452" s="598" t="str">
        <f t="shared" si="60"/>
        <v xml:space="preserve"> </v>
      </c>
      <c r="F452" s="598" t="str">
        <f t="shared" si="60"/>
        <v xml:space="preserve"> </v>
      </c>
      <c r="G452" s="598" t="str">
        <f t="shared" si="60"/>
        <v xml:space="preserve"> </v>
      </c>
      <c r="H452" s="598" t="str">
        <f t="shared" si="60"/>
        <v xml:space="preserve"> </v>
      </c>
      <c r="I452" s="598" t="str">
        <f t="shared" si="60"/>
        <v xml:space="preserve"> </v>
      </c>
      <c r="J452" s="598" t="str">
        <f t="shared" si="60"/>
        <v xml:space="preserve"> </v>
      </c>
      <c r="K452" s="598" t="str">
        <f t="shared" si="60"/>
        <v xml:space="preserve"> </v>
      </c>
      <c r="L452" s="598" t="str">
        <f t="shared" si="60"/>
        <v xml:space="preserve"> </v>
      </c>
      <c r="M452" s="598" t="str">
        <f t="shared" ca="1" si="60"/>
        <v/>
      </c>
      <c r="N452" s="598" t="str">
        <f t="shared" ca="1" si="60"/>
        <v>Siege Engine Construction</v>
      </c>
      <c r="O452" s="598" t="str">
        <f t="shared" si="60"/>
        <v xml:space="preserve"> </v>
      </c>
      <c r="P452" s="598" t="str">
        <f t="shared" si="60"/>
        <v xml:space="preserve"> </v>
      </c>
      <c r="Q452" s="598" t="str">
        <f t="shared" si="60"/>
        <v xml:space="preserve"> </v>
      </c>
      <c r="R452" s="598" t="str">
        <f t="shared" si="60"/>
        <v xml:space="preserve"> </v>
      </c>
      <c r="S452" s="598" t="str">
        <f t="shared" si="60"/>
        <v xml:space="preserve"> </v>
      </c>
      <c r="T452" s="598" t="str">
        <f t="shared" si="60"/>
        <v xml:space="preserve"> </v>
      </c>
      <c r="U452" s="598" t="str">
        <f t="shared" si="60"/>
        <v xml:space="preserve"> </v>
      </c>
      <c r="V452" s="598" t="str">
        <f t="shared" si="60"/>
        <v xml:space="preserve"> </v>
      </c>
      <c r="W452" s="598" t="str">
        <f t="shared" si="60"/>
        <v xml:space="preserve"> </v>
      </c>
      <c r="X452" s="598" t="str">
        <f t="shared" si="60"/>
        <v xml:space="preserve"> </v>
      </c>
      <c r="Y452" s="598" t="str">
        <f t="shared" si="60"/>
        <v xml:space="preserve"> </v>
      </c>
      <c r="Z452" s="598" t="str">
        <f t="shared" si="60"/>
        <v xml:space="preserve"> </v>
      </c>
      <c r="AA452" s="598" t="str">
        <f t="shared" ref="AA452:AU452" si="61">HLOOKUP(AA$421,$C$217:$Z$317,$A452+1)</f>
        <v xml:space="preserve"> </v>
      </c>
      <c r="AB452" s="598" t="str">
        <f t="shared" ca="1" si="61"/>
        <v>Foreign:Slaven</v>
      </c>
      <c r="AC452" s="598" t="str">
        <f t="shared" ca="1" si="61"/>
        <v>Foreign:Slaven</v>
      </c>
      <c r="AD452" s="598" t="str">
        <f t="shared" si="61"/>
        <v xml:space="preserve"> </v>
      </c>
      <c r="AE452" s="598" t="str">
        <f t="shared" si="61"/>
        <v xml:space="preserve"> </v>
      </c>
      <c r="AF452" s="598" t="str">
        <f t="shared" si="61"/>
        <v xml:space="preserve"> </v>
      </c>
      <c r="AG452" s="598" t="str">
        <f t="shared" si="61"/>
        <v xml:space="preserve"> </v>
      </c>
      <c r="AH452" s="598" t="str">
        <f t="shared" si="61"/>
        <v xml:space="preserve"> </v>
      </c>
      <c r="AI452" s="598" t="str">
        <f t="shared" si="61"/>
        <v xml:space="preserve"> </v>
      </c>
      <c r="AJ452" s="598" t="str">
        <f t="shared" si="61"/>
        <v xml:space="preserve"> </v>
      </c>
      <c r="AK452" s="598" t="str">
        <f t="shared" si="61"/>
        <v xml:space="preserve"> </v>
      </c>
      <c r="AL452" s="598" t="str">
        <f t="shared" si="61"/>
        <v xml:space="preserve"> </v>
      </c>
      <c r="AM452" s="598" t="str">
        <f t="shared" si="61"/>
        <v xml:space="preserve"> </v>
      </c>
      <c r="AN452" s="598" t="str">
        <f t="shared" si="61"/>
        <v xml:space="preserve"> </v>
      </c>
      <c r="AO452" s="598" t="str">
        <f t="shared" si="61"/>
        <v xml:space="preserve"> </v>
      </c>
      <c r="AP452" s="598" t="str">
        <f t="shared" si="61"/>
        <v xml:space="preserve"> </v>
      </c>
      <c r="AQ452" s="598" t="str">
        <f t="shared" si="61"/>
        <v xml:space="preserve"> </v>
      </c>
      <c r="AR452" s="598" t="str">
        <f t="shared" si="61"/>
        <v xml:space="preserve"> </v>
      </c>
      <c r="AS452" s="598" t="str">
        <f t="shared" si="61"/>
        <v xml:space="preserve"> </v>
      </c>
      <c r="AT452" s="598" t="str">
        <f t="shared" si="61"/>
        <v xml:space="preserve"> </v>
      </c>
      <c r="AU452" s="598" t="str">
        <f t="shared" si="61"/>
        <v xml:space="preserve"> </v>
      </c>
      <c r="AW452" s="598" t="str">
        <f t="shared" si="56"/>
        <v xml:space="preserve"> </v>
      </c>
      <c r="AX452" s="598" t="str">
        <f t="shared" si="56"/>
        <v xml:space="preserve"> </v>
      </c>
      <c r="AY452" s="598" t="str">
        <f t="shared" si="56"/>
        <v xml:space="preserve"> </v>
      </c>
      <c r="AZ452" s="598" t="str">
        <f t="shared" si="56"/>
        <v xml:space="preserve"> </v>
      </c>
      <c r="BA452" s="598" t="str">
        <f t="shared" si="56"/>
        <v xml:space="preserve"> </v>
      </c>
      <c r="BB452" s="598" t="str">
        <f t="shared" si="56"/>
        <v xml:space="preserve"> </v>
      </c>
      <c r="BC452" s="598" t="str">
        <f t="shared" si="56"/>
        <v xml:space="preserve"> </v>
      </c>
      <c r="BD452" s="598" t="str">
        <f t="shared" si="56"/>
        <v xml:space="preserve"> </v>
      </c>
      <c r="BE452" s="598" t="str">
        <f t="shared" si="56"/>
        <v xml:space="preserve"> </v>
      </c>
      <c r="BF452" s="598" t="str">
        <f t="shared" si="56"/>
        <v xml:space="preserve"> </v>
      </c>
      <c r="BG452" s="598" t="str">
        <f t="shared" si="56"/>
        <v xml:space="preserve"> </v>
      </c>
      <c r="BH452" s="598" t="str">
        <f t="shared" si="56"/>
        <v xml:space="preserve"> </v>
      </c>
      <c r="BI452" s="598" t="str">
        <f t="shared" si="56"/>
        <v xml:space="preserve"> </v>
      </c>
      <c r="BJ452" s="598" t="str">
        <f t="shared" si="56"/>
        <v xml:space="preserve"> </v>
      </c>
      <c r="BK452" s="598" t="str">
        <f t="shared" si="56"/>
        <v xml:space="preserve"> </v>
      </c>
      <c r="BL452" s="598" t="str">
        <f t="shared" si="54"/>
        <v xml:space="preserve"> </v>
      </c>
      <c r="BM452" s="598" t="str">
        <f t="shared" si="54"/>
        <v xml:space="preserve"> </v>
      </c>
      <c r="BN452" s="598" t="str">
        <f t="shared" si="54"/>
        <v xml:space="preserve"> </v>
      </c>
      <c r="BO452" s="598" t="str">
        <f t="shared" si="54"/>
        <v xml:space="preserve"> </v>
      </c>
      <c r="BP452" s="598" t="str">
        <f t="shared" si="54"/>
        <v xml:space="preserve"> </v>
      </c>
      <c r="BQ452" s="598" t="str">
        <f t="shared" si="54"/>
        <v xml:space="preserve"> </v>
      </c>
      <c r="BR452" s="598" t="str">
        <f t="shared" si="54"/>
        <v xml:space="preserve"> </v>
      </c>
      <c r="BS452" s="598" t="str">
        <f t="shared" si="54"/>
        <v xml:space="preserve"> </v>
      </c>
      <c r="BT452" s="598" t="str">
        <f t="shared" si="54"/>
        <v xml:space="preserve"> </v>
      </c>
      <c r="BU452" s="598" t="str">
        <f t="shared" si="54"/>
        <v xml:space="preserve"> </v>
      </c>
      <c r="BV452" s="598" t="str">
        <f t="shared" si="54"/>
        <v xml:space="preserve"> </v>
      </c>
      <c r="BW452" s="598" t="str">
        <f t="shared" si="54"/>
        <v xml:space="preserve"> </v>
      </c>
      <c r="BX452" s="598" t="str">
        <f t="shared" si="54"/>
        <v xml:space="preserve"> </v>
      </c>
      <c r="BY452" s="598" t="str">
        <f t="shared" si="54"/>
        <v xml:space="preserve"> </v>
      </c>
      <c r="BZ452" s="598" t="str">
        <f t="shared" si="54"/>
        <v xml:space="preserve"> </v>
      </c>
      <c r="CA452" s="598" t="str">
        <f t="shared" si="54"/>
        <v xml:space="preserve"> </v>
      </c>
      <c r="CB452" s="598" t="str">
        <f t="shared" si="55"/>
        <v xml:space="preserve"> </v>
      </c>
      <c r="CC452" s="598" t="str">
        <f t="shared" si="55"/>
        <v xml:space="preserve"> </v>
      </c>
      <c r="CD452" s="598" t="str">
        <f t="shared" si="55"/>
        <v xml:space="preserve"> </v>
      </c>
      <c r="CE452" s="598" t="str">
        <f t="shared" si="55"/>
        <v xml:space="preserve"> </v>
      </c>
      <c r="CF452" s="598" t="str">
        <f t="shared" si="55"/>
        <v xml:space="preserve"> </v>
      </c>
      <c r="CG452" s="598" t="str">
        <f t="shared" si="55"/>
        <v xml:space="preserve"> </v>
      </c>
      <c r="CH452" s="598" t="str">
        <f t="shared" si="55"/>
        <v xml:space="preserve"> </v>
      </c>
      <c r="CI452" s="598" t="str">
        <f t="shared" si="55"/>
        <v xml:space="preserve"> </v>
      </c>
      <c r="CJ452" s="598" t="str">
        <f t="shared" si="55"/>
        <v xml:space="preserve"> </v>
      </c>
      <c r="CK452" s="598" t="str">
        <f t="shared" si="55"/>
        <v xml:space="preserve"> </v>
      </c>
      <c r="CL452" s="598" t="str">
        <f t="shared" si="55"/>
        <v xml:space="preserve"> </v>
      </c>
      <c r="CM452" s="598" t="str">
        <f t="shared" si="55"/>
        <v xml:space="preserve"> </v>
      </c>
      <c r="CN452" s="598" t="str">
        <f t="shared" si="55"/>
        <v xml:space="preserve"> </v>
      </c>
      <c r="CO452" s="598" t="str">
        <f t="shared" si="55"/>
        <v xml:space="preserve"> </v>
      </c>
      <c r="CP452" s="598" t="str">
        <f t="shared" si="55"/>
        <v xml:space="preserve"> </v>
      </c>
      <c r="CQ452" s="598" t="str">
        <f t="shared" ca="1" si="55"/>
        <v/>
      </c>
    </row>
    <row r="453" spans="1:95" ht="9.9499999999999993" customHeight="1">
      <c r="A453" s="598">
        <v>32</v>
      </c>
      <c r="B453" s="598" t="str">
        <f t="shared" ref="B453:AU458" ca="1" si="62">HLOOKUP(B$421,$C$217:$Z$317,$A453+1)</f>
        <v>Weather Lore</v>
      </c>
      <c r="C453" s="598" t="str">
        <f t="shared" ca="1" si="62"/>
        <v>Foreign:Mednan</v>
      </c>
      <c r="D453" s="598" t="str">
        <f t="shared" ca="1" si="62"/>
        <v/>
      </c>
      <c r="E453" s="598" t="str">
        <f t="shared" si="62"/>
        <v xml:space="preserve"> </v>
      </c>
      <c r="F453" s="598" t="str">
        <f t="shared" si="62"/>
        <v xml:space="preserve"> </v>
      </c>
      <c r="G453" s="598" t="str">
        <f t="shared" si="62"/>
        <v xml:space="preserve"> </v>
      </c>
      <c r="H453" s="598" t="str">
        <f t="shared" si="62"/>
        <v xml:space="preserve"> </v>
      </c>
      <c r="I453" s="598" t="str">
        <f t="shared" si="62"/>
        <v xml:space="preserve"> </v>
      </c>
      <c r="J453" s="598" t="str">
        <f t="shared" si="62"/>
        <v xml:space="preserve"> </v>
      </c>
      <c r="K453" s="598" t="str">
        <f t="shared" si="62"/>
        <v xml:space="preserve"> </v>
      </c>
      <c r="L453" s="598" t="str">
        <f t="shared" si="62"/>
        <v xml:space="preserve"> </v>
      </c>
      <c r="M453" s="598" t="str">
        <f t="shared" ca="1" si="62"/>
        <v/>
      </c>
      <c r="N453" s="598" t="str">
        <f t="shared" ca="1" si="62"/>
        <v>Weather Lore</v>
      </c>
      <c r="O453" s="598" t="str">
        <f t="shared" si="62"/>
        <v xml:space="preserve"> </v>
      </c>
      <c r="P453" s="598" t="str">
        <f t="shared" si="62"/>
        <v xml:space="preserve"> </v>
      </c>
      <c r="Q453" s="598" t="str">
        <f t="shared" si="62"/>
        <v xml:space="preserve"> </v>
      </c>
      <c r="R453" s="598" t="str">
        <f t="shared" si="62"/>
        <v xml:space="preserve"> </v>
      </c>
      <c r="S453" s="598" t="str">
        <f t="shared" si="62"/>
        <v xml:space="preserve"> </v>
      </c>
      <c r="T453" s="598" t="str">
        <f t="shared" si="62"/>
        <v xml:space="preserve"> </v>
      </c>
      <c r="U453" s="598" t="str">
        <f t="shared" si="62"/>
        <v xml:space="preserve"> </v>
      </c>
      <c r="V453" s="598" t="str">
        <f t="shared" si="62"/>
        <v xml:space="preserve"> </v>
      </c>
      <c r="W453" s="598" t="str">
        <f t="shared" si="62"/>
        <v xml:space="preserve"> </v>
      </c>
      <c r="X453" s="598" t="str">
        <f t="shared" si="62"/>
        <v xml:space="preserve"> </v>
      </c>
      <c r="Y453" s="598" t="str">
        <f t="shared" si="62"/>
        <v xml:space="preserve"> </v>
      </c>
      <c r="Z453" s="598" t="str">
        <f t="shared" si="62"/>
        <v xml:space="preserve"> </v>
      </c>
      <c r="AA453" s="598" t="str">
        <f t="shared" si="62"/>
        <v xml:space="preserve"> </v>
      </c>
      <c r="AB453" s="598" t="str">
        <f t="shared" ca="1" si="62"/>
        <v>Foreign:Spanish</v>
      </c>
      <c r="AC453" s="598" t="str">
        <f t="shared" ca="1" si="62"/>
        <v>Foreign:Spanish</v>
      </c>
      <c r="AD453" s="598" t="str">
        <f t="shared" si="62"/>
        <v xml:space="preserve"> </v>
      </c>
      <c r="AE453" s="598" t="str">
        <f t="shared" si="62"/>
        <v xml:space="preserve"> </v>
      </c>
      <c r="AF453" s="598" t="str">
        <f t="shared" si="62"/>
        <v xml:space="preserve"> </v>
      </c>
      <c r="AG453" s="598" t="str">
        <f t="shared" si="62"/>
        <v xml:space="preserve"> </v>
      </c>
      <c r="AH453" s="598" t="str">
        <f t="shared" si="62"/>
        <v xml:space="preserve"> </v>
      </c>
      <c r="AI453" s="598" t="str">
        <f t="shared" si="62"/>
        <v xml:space="preserve"> </v>
      </c>
      <c r="AJ453" s="598" t="str">
        <f t="shared" si="62"/>
        <v xml:space="preserve"> </v>
      </c>
      <c r="AK453" s="598" t="str">
        <f t="shared" si="62"/>
        <v xml:space="preserve"> </v>
      </c>
      <c r="AL453" s="598" t="str">
        <f t="shared" si="62"/>
        <v xml:space="preserve"> </v>
      </c>
      <c r="AM453" s="598" t="str">
        <f t="shared" si="62"/>
        <v xml:space="preserve"> </v>
      </c>
      <c r="AN453" s="598" t="str">
        <f t="shared" si="62"/>
        <v xml:space="preserve"> </v>
      </c>
      <c r="AO453" s="598" t="str">
        <f t="shared" si="62"/>
        <v xml:space="preserve"> </v>
      </c>
      <c r="AP453" s="598" t="str">
        <f t="shared" si="62"/>
        <v xml:space="preserve"> </v>
      </c>
      <c r="AQ453" s="598" t="str">
        <f t="shared" si="62"/>
        <v xml:space="preserve"> </v>
      </c>
      <c r="AR453" s="598" t="str">
        <f t="shared" si="62"/>
        <v xml:space="preserve"> </v>
      </c>
      <c r="AS453" s="598" t="str">
        <f t="shared" si="62"/>
        <v xml:space="preserve"> </v>
      </c>
      <c r="AT453" s="598" t="str">
        <f t="shared" si="62"/>
        <v xml:space="preserve"> </v>
      </c>
      <c r="AU453" s="598" t="str">
        <f t="shared" si="62"/>
        <v xml:space="preserve"> </v>
      </c>
      <c r="AW453" s="598" t="str">
        <f t="shared" si="56"/>
        <v xml:space="preserve"> </v>
      </c>
      <c r="AX453" s="598" t="str">
        <f t="shared" si="56"/>
        <v xml:space="preserve"> </v>
      </c>
      <c r="AY453" s="598" t="str">
        <f t="shared" si="56"/>
        <v xml:space="preserve"> </v>
      </c>
      <c r="AZ453" s="598" t="str">
        <f t="shared" si="56"/>
        <v xml:space="preserve"> </v>
      </c>
      <c r="BA453" s="598" t="str">
        <f t="shared" si="56"/>
        <v xml:space="preserve"> </v>
      </c>
      <c r="BB453" s="598" t="str">
        <f t="shared" si="56"/>
        <v xml:space="preserve"> </v>
      </c>
      <c r="BC453" s="598" t="str">
        <f t="shared" si="56"/>
        <v xml:space="preserve"> </v>
      </c>
      <c r="BD453" s="598" t="str">
        <f t="shared" si="56"/>
        <v xml:space="preserve"> </v>
      </c>
      <c r="BE453" s="598" t="str">
        <f t="shared" si="56"/>
        <v xml:space="preserve"> </v>
      </c>
      <c r="BF453" s="598" t="str">
        <f t="shared" si="56"/>
        <v xml:space="preserve"> </v>
      </c>
      <c r="BG453" s="598" t="str">
        <f t="shared" si="56"/>
        <v xml:space="preserve"> </v>
      </c>
      <c r="BH453" s="598" t="str">
        <f t="shared" si="56"/>
        <v xml:space="preserve"> </v>
      </c>
      <c r="BI453" s="598" t="str">
        <f t="shared" si="56"/>
        <v xml:space="preserve"> </v>
      </c>
      <c r="BJ453" s="598" t="str">
        <f t="shared" si="56"/>
        <v xml:space="preserve"> </v>
      </c>
      <c r="BK453" s="598" t="str">
        <f t="shared" si="56"/>
        <v xml:space="preserve"> </v>
      </c>
      <c r="BL453" s="598" t="str">
        <f t="shared" si="54"/>
        <v xml:space="preserve"> </v>
      </c>
      <c r="BM453" s="598" t="str">
        <f t="shared" si="54"/>
        <v xml:space="preserve"> </v>
      </c>
      <c r="BN453" s="598" t="str">
        <f t="shared" si="54"/>
        <v xml:space="preserve"> </v>
      </c>
      <c r="BO453" s="598" t="str">
        <f t="shared" si="54"/>
        <v xml:space="preserve"> </v>
      </c>
      <c r="BP453" s="598" t="str">
        <f t="shared" si="54"/>
        <v xml:space="preserve"> </v>
      </c>
      <c r="BQ453" s="598" t="str">
        <f t="shared" si="54"/>
        <v xml:space="preserve"> </v>
      </c>
      <c r="BR453" s="598" t="str">
        <f t="shared" si="54"/>
        <v xml:space="preserve"> </v>
      </c>
      <c r="BS453" s="598" t="str">
        <f t="shared" si="54"/>
        <v xml:space="preserve"> </v>
      </c>
      <c r="BT453" s="598" t="str">
        <f t="shared" si="54"/>
        <v xml:space="preserve"> </v>
      </c>
      <c r="BU453" s="598" t="str">
        <f t="shared" si="54"/>
        <v xml:space="preserve"> </v>
      </c>
      <c r="BV453" s="598" t="str">
        <f t="shared" si="54"/>
        <v xml:space="preserve"> </v>
      </c>
      <c r="BW453" s="598" t="str">
        <f t="shared" si="54"/>
        <v xml:space="preserve"> </v>
      </c>
      <c r="BX453" s="598" t="str">
        <f t="shared" si="54"/>
        <v xml:space="preserve"> </v>
      </c>
      <c r="BY453" s="598" t="str">
        <f t="shared" si="54"/>
        <v xml:space="preserve"> </v>
      </c>
      <c r="BZ453" s="598" t="str">
        <f t="shared" si="54"/>
        <v xml:space="preserve"> </v>
      </c>
      <c r="CA453" s="598" t="str">
        <f t="shared" si="54"/>
        <v xml:space="preserve"> </v>
      </c>
      <c r="CB453" s="598" t="str">
        <f t="shared" si="55"/>
        <v xml:space="preserve"> </v>
      </c>
      <c r="CC453" s="598" t="str">
        <f t="shared" si="55"/>
        <v xml:space="preserve"> </v>
      </c>
      <c r="CD453" s="598" t="str">
        <f t="shared" si="55"/>
        <v xml:space="preserve"> </v>
      </c>
      <c r="CE453" s="598" t="str">
        <f t="shared" si="55"/>
        <v xml:space="preserve"> </v>
      </c>
      <c r="CF453" s="598" t="str">
        <f t="shared" si="55"/>
        <v xml:space="preserve"> </v>
      </c>
      <c r="CG453" s="598" t="str">
        <f t="shared" si="55"/>
        <v xml:space="preserve"> </v>
      </c>
      <c r="CH453" s="598" t="str">
        <f t="shared" si="55"/>
        <v xml:space="preserve"> </v>
      </c>
      <c r="CI453" s="598" t="str">
        <f t="shared" si="55"/>
        <v xml:space="preserve"> </v>
      </c>
      <c r="CJ453" s="598" t="str">
        <f t="shared" si="55"/>
        <v xml:space="preserve"> </v>
      </c>
      <c r="CK453" s="598" t="str">
        <f t="shared" si="55"/>
        <v xml:space="preserve"> </v>
      </c>
      <c r="CL453" s="598" t="str">
        <f t="shared" si="55"/>
        <v xml:space="preserve"> </v>
      </c>
      <c r="CM453" s="598" t="str">
        <f t="shared" si="55"/>
        <v xml:space="preserve"> </v>
      </c>
      <c r="CN453" s="598" t="str">
        <f t="shared" si="55"/>
        <v xml:space="preserve"> </v>
      </c>
      <c r="CO453" s="598" t="str">
        <f t="shared" si="55"/>
        <v xml:space="preserve"> </v>
      </c>
      <c r="CP453" s="598" t="str">
        <f t="shared" si="55"/>
        <v xml:space="preserve"> </v>
      </c>
      <c r="CQ453" s="598" t="str">
        <f t="shared" ca="1" si="55"/>
        <v/>
      </c>
    </row>
    <row r="454" spans="1:95" ht="9.9499999999999993" customHeight="1">
      <c r="A454" s="598">
        <v>33</v>
      </c>
      <c r="B454" s="598" t="str">
        <f t="shared" ca="1" si="62"/>
        <v/>
      </c>
      <c r="C454" s="598" t="str">
        <f t="shared" ca="1" si="62"/>
        <v>Foreign:Slaven</v>
      </c>
      <c r="D454" s="598" t="str">
        <f t="shared" ca="1" si="62"/>
        <v/>
      </c>
      <c r="E454" s="598" t="str">
        <f t="shared" si="62"/>
        <v xml:space="preserve"> </v>
      </c>
      <c r="F454" s="598" t="str">
        <f t="shared" si="62"/>
        <v xml:space="preserve"> </v>
      </c>
      <c r="G454" s="598" t="str">
        <f t="shared" si="62"/>
        <v xml:space="preserve"> </v>
      </c>
      <c r="H454" s="598" t="str">
        <f t="shared" si="62"/>
        <v xml:space="preserve"> </v>
      </c>
      <c r="I454" s="598" t="str">
        <f t="shared" si="62"/>
        <v xml:space="preserve"> </v>
      </c>
      <c r="J454" s="598" t="str">
        <f t="shared" si="62"/>
        <v xml:space="preserve"> </v>
      </c>
      <c r="K454" s="598" t="str">
        <f t="shared" si="62"/>
        <v xml:space="preserve"> </v>
      </c>
      <c r="L454" s="598" t="str">
        <f t="shared" si="62"/>
        <v xml:space="preserve"> </v>
      </c>
      <c r="M454" s="598" t="str">
        <f t="shared" ca="1" si="62"/>
        <v/>
      </c>
      <c r="N454" s="598" t="str">
        <f t="shared" ca="1" si="62"/>
        <v/>
      </c>
      <c r="O454" s="598" t="str">
        <f t="shared" si="62"/>
        <v xml:space="preserve"> </v>
      </c>
      <c r="P454" s="598" t="str">
        <f t="shared" si="62"/>
        <v xml:space="preserve"> </v>
      </c>
      <c r="Q454" s="598" t="str">
        <f t="shared" si="62"/>
        <v xml:space="preserve"> </v>
      </c>
      <c r="R454" s="598" t="str">
        <f t="shared" si="62"/>
        <v xml:space="preserve"> </v>
      </c>
      <c r="S454" s="598" t="str">
        <f t="shared" si="62"/>
        <v xml:space="preserve"> </v>
      </c>
      <c r="T454" s="598" t="str">
        <f t="shared" si="62"/>
        <v xml:space="preserve"> </v>
      </c>
      <c r="U454" s="598" t="str">
        <f t="shared" si="62"/>
        <v xml:space="preserve"> </v>
      </c>
      <c r="V454" s="598" t="str">
        <f t="shared" si="62"/>
        <v xml:space="preserve"> </v>
      </c>
      <c r="W454" s="598" t="str">
        <f t="shared" si="62"/>
        <v xml:space="preserve"> </v>
      </c>
      <c r="X454" s="598" t="str">
        <f t="shared" si="62"/>
        <v xml:space="preserve"> </v>
      </c>
      <c r="Y454" s="598" t="str">
        <f t="shared" si="62"/>
        <v xml:space="preserve"> </v>
      </c>
      <c r="Z454" s="598" t="str">
        <f t="shared" si="62"/>
        <v xml:space="preserve"> </v>
      </c>
      <c r="AA454" s="598" t="str">
        <f t="shared" si="62"/>
        <v xml:space="preserve"> </v>
      </c>
      <c r="AB454" s="598" t="str">
        <f t="shared" ca="1" si="62"/>
        <v>Foreign:Telnar</v>
      </c>
      <c r="AC454" s="598" t="str">
        <f t="shared" ca="1" si="62"/>
        <v>Foreign:Telnar</v>
      </c>
      <c r="AD454" s="598" t="str">
        <f t="shared" si="62"/>
        <v xml:space="preserve"> </v>
      </c>
      <c r="AE454" s="598" t="str">
        <f t="shared" si="62"/>
        <v xml:space="preserve"> </v>
      </c>
      <c r="AF454" s="598" t="str">
        <f t="shared" si="62"/>
        <v xml:space="preserve"> </v>
      </c>
      <c r="AG454" s="598" t="str">
        <f t="shared" si="62"/>
        <v xml:space="preserve"> </v>
      </c>
      <c r="AH454" s="598" t="str">
        <f t="shared" si="62"/>
        <v xml:space="preserve"> </v>
      </c>
      <c r="AI454" s="598" t="str">
        <f t="shared" si="62"/>
        <v xml:space="preserve"> </v>
      </c>
      <c r="AJ454" s="598" t="str">
        <f t="shared" si="62"/>
        <v xml:space="preserve"> </v>
      </c>
      <c r="AK454" s="598" t="str">
        <f t="shared" si="62"/>
        <v xml:space="preserve"> </v>
      </c>
      <c r="AL454" s="598" t="str">
        <f t="shared" si="62"/>
        <v xml:space="preserve"> </v>
      </c>
      <c r="AM454" s="598" t="str">
        <f t="shared" si="62"/>
        <v xml:space="preserve"> </v>
      </c>
      <c r="AN454" s="598" t="str">
        <f t="shared" si="62"/>
        <v xml:space="preserve"> </v>
      </c>
      <c r="AO454" s="598" t="str">
        <f t="shared" si="62"/>
        <v xml:space="preserve"> </v>
      </c>
      <c r="AP454" s="598" t="str">
        <f t="shared" si="62"/>
        <v xml:space="preserve"> </v>
      </c>
      <c r="AQ454" s="598" t="str">
        <f t="shared" si="62"/>
        <v xml:space="preserve"> </v>
      </c>
      <c r="AR454" s="598" t="str">
        <f t="shared" si="62"/>
        <v xml:space="preserve"> </v>
      </c>
      <c r="AS454" s="598" t="str">
        <f t="shared" si="62"/>
        <v xml:space="preserve"> </v>
      </c>
      <c r="AT454" s="598" t="str">
        <f t="shared" si="62"/>
        <v xml:space="preserve"> </v>
      </c>
      <c r="AU454" s="598" t="str">
        <f t="shared" si="62"/>
        <v xml:space="preserve"> </v>
      </c>
      <c r="AW454" s="598" t="str">
        <f t="shared" si="56"/>
        <v xml:space="preserve"> </v>
      </c>
      <c r="AX454" s="598" t="str">
        <f t="shared" si="56"/>
        <v xml:space="preserve"> </v>
      </c>
      <c r="AY454" s="598" t="str">
        <f t="shared" si="56"/>
        <v xml:space="preserve"> </v>
      </c>
      <c r="AZ454" s="598" t="str">
        <f t="shared" si="56"/>
        <v xml:space="preserve"> </v>
      </c>
      <c r="BA454" s="598" t="str">
        <f t="shared" si="56"/>
        <v xml:space="preserve"> </v>
      </c>
      <c r="BB454" s="598" t="str">
        <f t="shared" si="56"/>
        <v xml:space="preserve"> </v>
      </c>
      <c r="BC454" s="598" t="str">
        <f t="shared" si="56"/>
        <v xml:space="preserve"> </v>
      </c>
      <c r="BD454" s="598" t="str">
        <f t="shared" si="56"/>
        <v xml:space="preserve"> </v>
      </c>
      <c r="BE454" s="598" t="str">
        <f t="shared" si="56"/>
        <v xml:space="preserve"> </v>
      </c>
      <c r="BF454" s="598" t="str">
        <f t="shared" si="56"/>
        <v xml:space="preserve"> </v>
      </c>
      <c r="BG454" s="598" t="str">
        <f t="shared" si="56"/>
        <v xml:space="preserve"> </v>
      </c>
      <c r="BH454" s="598" t="str">
        <f t="shared" si="56"/>
        <v xml:space="preserve"> </v>
      </c>
      <c r="BI454" s="598" t="str">
        <f t="shared" si="56"/>
        <v xml:space="preserve"> </v>
      </c>
      <c r="BJ454" s="598" t="str">
        <f t="shared" si="56"/>
        <v xml:space="preserve"> </v>
      </c>
      <c r="BK454" s="598" t="str">
        <f t="shared" si="56"/>
        <v xml:space="preserve"> </v>
      </c>
      <c r="BL454" s="598" t="str">
        <f t="shared" si="56"/>
        <v xml:space="preserve"> </v>
      </c>
      <c r="BM454" s="598" t="str">
        <f t="shared" ref="BM454:CB469" si="63">HLOOKUP(BM$421,$C$217:$Z$317,$A454+1)</f>
        <v xml:space="preserve"> </v>
      </c>
      <c r="BN454" s="598" t="str">
        <f t="shared" si="63"/>
        <v xml:space="preserve"> </v>
      </c>
      <c r="BO454" s="598" t="str">
        <f t="shared" si="63"/>
        <v xml:space="preserve"> </v>
      </c>
      <c r="BP454" s="598" t="str">
        <f t="shared" si="63"/>
        <v xml:space="preserve"> </v>
      </c>
      <c r="BQ454" s="598" t="str">
        <f t="shared" si="63"/>
        <v xml:space="preserve"> </v>
      </c>
      <c r="BR454" s="598" t="str">
        <f t="shared" si="63"/>
        <v xml:space="preserve"> </v>
      </c>
      <c r="BS454" s="598" t="str">
        <f t="shared" si="63"/>
        <v xml:space="preserve"> </v>
      </c>
      <c r="BT454" s="598" t="str">
        <f t="shared" si="63"/>
        <v xml:space="preserve"> </v>
      </c>
      <c r="BU454" s="598" t="str">
        <f t="shared" si="63"/>
        <v xml:space="preserve"> </v>
      </c>
      <c r="BV454" s="598" t="str">
        <f t="shared" si="63"/>
        <v xml:space="preserve"> </v>
      </c>
      <c r="BW454" s="598" t="str">
        <f t="shared" si="63"/>
        <v xml:space="preserve"> </v>
      </c>
      <c r="BX454" s="598" t="str">
        <f t="shared" si="63"/>
        <v xml:space="preserve"> </v>
      </c>
      <c r="BY454" s="598" t="str">
        <f t="shared" si="63"/>
        <v xml:space="preserve"> </v>
      </c>
      <c r="BZ454" s="598" t="str">
        <f t="shared" si="63"/>
        <v xml:space="preserve"> </v>
      </c>
      <c r="CA454" s="598" t="str">
        <f t="shared" si="63"/>
        <v xml:space="preserve"> </v>
      </c>
      <c r="CB454" s="598" t="str">
        <f t="shared" si="63"/>
        <v xml:space="preserve"> </v>
      </c>
      <c r="CC454" s="598" t="str">
        <f t="shared" ref="CC454:CQ469" si="64">HLOOKUP(CC$421,$C$217:$Z$317,$A454+1)</f>
        <v xml:space="preserve"> </v>
      </c>
      <c r="CD454" s="598" t="str">
        <f t="shared" si="64"/>
        <v xml:space="preserve"> </v>
      </c>
      <c r="CE454" s="598" t="str">
        <f t="shared" si="64"/>
        <v xml:space="preserve"> </v>
      </c>
      <c r="CF454" s="598" t="str">
        <f t="shared" si="64"/>
        <v xml:space="preserve"> </v>
      </c>
      <c r="CG454" s="598" t="str">
        <f t="shared" si="64"/>
        <v xml:space="preserve"> </v>
      </c>
      <c r="CH454" s="598" t="str">
        <f t="shared" si="64"/>
        <v xml:space="preserve"> </v>
      </c>
      <c r="CI454" s="598" t="str">
        <f t="shared" si="64"/>
        <v xml:space="preserve"> </v>
      </c>
      <c r="CJ454" s="598" t="str">
        <f t="shared" si="64"/>
        <v xml:space="preserve"> </v>
      </c>
      <c r="CK454" s="598" t="str">
        <f t="shared" si="64"/>
        <v xml:space="preserve"> </v>
      </c>
      <c r="CL454" s="598" t="str">
        <f t="shared" si="64"/>
        <v xml:space="preserve"> </v>
      </c>
      <c r="CM454" s="598" t="str">
        <f t="shared" si="64"/>
        <v xml:space="preserve"> </v>
      </c>
      <c r="CN454" s="598" t="str">
        <f t="shared" si="64"/>
        <v xml:space="preserve"> </v>
      </c>
      <c r="CO454" s="598" t="str">
        <f t="shared" si="64"/>
        <v xml:space="preserve"> </v>
      </c>
      <c r="CP454" s="598" t="str">
        <f t="shared" si="64"/>
        <v xml:space="preserve"> </v>
      </c>
      <c r="CQ454" s="598" t="str">
        <f t="shared" ca="1" si="64"/>
        <v/>
      </c>
    </row>
    <row r="455" spans="1:95" ht="9.9499999999999993" customHeight="1">
      <c r="A455" s="598">
        <v>34</v>
      </c>
      <c r="B455" s="598" t="str">
        <f t="shared" ca="1" si="62"/>
        <v/>
      </c>
      <c r="C455" s="598" t="str">
        <f t="shared" ca="1" si="62"/>
        <v>Foreign:Spanish</v>
      </c>
      <c r="D455" s="598" t="str">
        <f t="shared" ca="1" si="62"/>
        <v/>
      </c>
      <c r="E455" s="598" t="str">
        <f t="shared" si="62"/>
        <v xml:space="preserve">  </v>
      </c>
      <c r="F455" s="598" t="str">
        <f t="shared" si="62"/>
        <v xml:space="preserve">  </v>
      </c>
      <c r="G455" s="598" t="str">
        <f t="shared" si="62"/>
        <v xml:space="preserve">  </v>
      </c>
      <c r="H455" s="598" t="str">
        <f t="shared" si="62"/>
        <v xml:space="preserve">  </v>
      </c>
      <c r="I455" s="598" t="str">
        <f t="shared" si="62"/>
        <v xml:space="preserve">  </v>
      </c>
      <c r="J455" s="598" t="str">
        <f t="shared" si="62"/>
        <v xml:space="preserve">  </v>
      </c>
      <c r="K455" s="598" t="str">
        <f t="shared" si="62"/>
        <v xml:space="preserve">  </v>
      </c>
      <c r="L455" s="598" t="str">
        <f t="shared" si="62"/>
        <v xml:space="preserve">  </v>
      </c>
      <c r="M455" s="598" t="str">
        <f t="shared" ca="1" si="62"/>
        <v/>
      </c>
      <c r="N455" s="598" t="str">
        <f t="shared" ca="1" si="62"/>
        <v/>
      </c>
      <c r="O455" s="598" t="str">
        <f t="shared" si="62"/>
        <v xml:space="preserve">  </v>
      </c>
      <c r="P455" s="598" t="str">
        <f t="shared" si="62"/>
        <v xml:space="preserve">  </v>
      </c>
      <c r="Q455" s="598" t="str">
        <f t="shared" si="62"/>
        <v xml:space="preserve">  </v>
      </c>
      <c r="R455" s="598" t="str">
        <f t="shared" si="62"/>
        <v xml:space="preserve">  </v>
      </c>
      <c r="S455" s="598" t="str">
        <f t="shared" si="62"/>
        <v xml:space="preserve">  </v>
      </c>
      <c r="T455" s="598" t="str">
        <f t="shared" si="62"/>
        <v xml:space="preserve">  </v>
      </c>
      <c r="U455" s="598" t="str">
        <f t="shared" si="62"/>
        <v xml:space="preserve">  </v>
      </c>
      <c r="V455" s="598" t="str">
        <f t="shared" si="62"/>
        <v xml:space="preserve">  </v>
      </c>
      <c r="W455" s="598" t="str">
        <f t="shared" si="62"/>
        <v xml:space="preserve">  </v>
      </c>
      <c r="X455" s="598" t="str">
        <f t="shared" si="62"/>
        <v xml:space="preserve">  </v>
      </c>
      <c r="Y455" s="598" t="str">
        <f t="shared" si="62"/>
        <v xml:space="preserve">  </v>
      </c>
      <c r="Z455" s="598" t="str">
        <f t="shared" si="62"/>
        <v xml:space="preserve">  </v>
      </c>
      <c r="AA455" s="598" t="str">
        <f t="shared" si="62"/>
        <v xml:space="preserve">  </v>
      </c>
      <c r="AB455" s="598" t="str">
        <f t="shared" ca="1" si="62"/>
        <v>Foreign:Welsh</v>
      </c>
      <c r="AC455" s="598" t="str">
        <f t="shared" ca="1" si="62"/>
        <v>Foreign:Welsh</v>
      </c>
      <c r="AD455" s="598" t="str">
        <f t="shared" si="62"/>
        <v xml:space="preserve">  </v>
      </c>
      <c r="AE455" s="598" t="str">
        <f t="shared" si="62"/>
        <v xml:space="preserve">  </v>
      </c>
      <c r="AF455" s="598" t="str">
        <f t="shared" si="62"/>
        <v xml:space="preserve">  </v>
      </c>
      <c r="AG455" s="598" t="str">
        <f t="shared" si="62"/>
        <v xml:space="preserve">  </v>
      </c>
      <c r="AH455" s="598" t="str">
        <f t="shared" si="62"/>
        <v xml:space="preserve">  </v>
      </c>
      <c r="AI455" s="598" t="str">
        <f t="shared" si="62"/>
        <v xml:space="preserve">  </v>
      </c>
      <c r="AJ455" s="598" t="str">
        <f t="shared" si="62"/>
        <v xml:space="preserve">  </v>
      </c>
      <c r="AK455" s="598" t="str">
        <f t="shared" si="62"/>
        <v xml:space="preserve">  </v>
      </c>
      <c r="AL455" s="598" t="str">
        <f t="shared" si="62"/>
        <v xml:space="preserve">  </v>
      </c>
      <c r="AM455" s="598" t="str">
        <f t="shared" si="62"/>
        <v xml:space="preserve">  </v>
      </c>
      <c r="AN455" s="598" t="str">
        <f t="shared" si="62"/>
        <v xml:space="preserve">  </v>
      </c>
      <c r="AO455" s="598" t="str">
        <f t="shared" si="62"/>
        <v xml:space="preserve">  </v>
      </c>
      <c r="AP455" s="598" t="str">
        <f t="shared" si="62"/>
        <v xml:space="preserve">  </v>
      </c>
      <c r="AQ455" s="598" t="str">
        <f t="shared" si="62"/>
        <v xml:space="preserve">  </v>
      </c>
      <c r="AR455" s="598" t="str">
        <f t="shared" si="62"/>
        <v xml:space="preserve">  </v>
      </c>
      <c r="AS455" s="598" t="str">
        <f t="shared" si="62"/>
        <v xml:space="preserve">  </v>
      </c>
      <c r="AT455" s="598" t="str">
        <f t="shared" si="62"/>
        <v xml:space="preserve">  </v>
      </c>
      <c r="AU455" s="598" t="str">
        <f t="shared" si="62"/>
        <v xml:space="preserve">  </v>
      </c>
      <c r="AW455" s="598" t="str">
        <f t="shared" ref="AW455:BL470" si="65">HLOOKUP(AW$421,$C$217:$Z$317,$A455+1)</f>
        <v xml:space="preserve">  </v>
      </c>
      <c r="AX455" s="598" t="str">
        <f t="shared" si="65"/>
        <v xml:space="preserve">  </v>
      </c>
      <c r="AY455" s="598" t="str">
        <f t="shared" si="65"/>
        <v xml:space="preserve">  </v>
      </c>
      <c r="AZ455" s="598" t="str">
        <f t="shared" si="65"/>
        <v xml:space="preserve">  </v>
      </c>
      <c r="BA455" s="598" t="str">
        <f t="shared" si="65"/>
        <v xml:space="preserve">  </v>
      </c>
      <c r="BB455" s="598" t="str">
        <f t="shared" si="65"/>
        <v xml:space="preserve">  </v>
      </c>
      <c r="BC455" s="598" t="str">
        <f t="shared" si="65"/>
        <v xml:space="preserve">  </v>
      </c>
      <c r="BD455" s="598" t="str">
        <f t="shared" si="65"/>
        <v xml:space="preserve">  </v>
      </c>
      <c r="BE455" s="598" t="str">
        <f t="shared" si="65"/>
        <v xml:space="preserve">  </v>
      </c>
      <c r="BF455" s="598" t="str">
        <f t="shared" si="65"/>
        <v xml:space="preserve">  </v>
      </c>
      <c r="BG455" s="598" t="str">
        <f t="shared" si="65"/>
        <v xml:space="preserve">  </v>
      </c>
      <c r="BH455" s="598" t="str">
        <f t="shared" si="65"/>
        <v xml:space="preserve">  </v>
      </c>
      <c r="BI455" s="598" t="str">
        <f t="shared" si="65"/>
        <v xml:space="preserve">  </v>
      </c>
      <c r="BJ455" s="598" t="str">
        <f t="shared" si="65"/>
        <v xml:space="preserve">  </v>
      </c>
      <c r="BK455" s="598" t="str">
        <f t="shared" si="65"/>
        <v xml:space="preserve">  </v>
      </c>
      <c r="BL455" s="598" t="str">
        <f t="shared" si="65"/>
        <v xml:space="preserve">  </v>
      </c>
      <c r="BM455" s="598" t="str">
        <f t="shared" si="63"/>
        <v xml:space="preserve">  </v>
      </c>
      <c r="BN455" s="598" t="str">
        <f t="shared" si="63"/>
        <v xml:space="preserve">  </v>
      </c>
      <c r="BO455" s="598" t="str">
        <f t="shared" si="63"/>
        <v xml:space="preserve">  </v>
      </c>
      <c r="BP455" s="598" t="str">
        <f t="shared" si="63"/>
        <v xml:space="preserve">  </v>
      </c>
      <c r="BQ455" s="598" t="str">
        <f t="shared" si="63"/>
        <v xml:space="preserve">  </v>
      </c>
      <c r="BR455" s="598" t="str">
        <f t="shared" si="63"/>
        <v xml:space="preserve">  </v>
      </c>
      <c r="BS455" s="598" t="str">
        <f t="shared" si="63"/>
        <v xml:space="preserve">  </v>
      </c>
      <c r="BT455" s="598" t="str">
        <f t="shared" si="63"/>
        <v xml:space="preserve">  </v>
      </c>
      <c r="BU455" s="598" t="str">
        <f t="shared" si="63"/>
        <v xml:space="preserve">  </v>
      </c>
      <c r="BV455" s="598" t="str">
        <f t="shared" si="63"/>
        <v xml:space="preserve">  </v>
      </c>
      <c r="BW455" s="598" t="str">
        <f t="shared" si="63"/>
        <v xml:space="preserve">  </v>
      </c>
      <c r="BX455" s="598" t="str">
        <f t="shared" si="63"/>
        <v xml:space="preserve">  </v>
      </c>
      <c r="BY455" s="598" t="str">
        <f t="shared" si="63"/>
        <v xml:space="preserve">  </v>
      </c>
      <c r="BZ455" s="598" t="str">
        <f t="shared" si="63"/>
        <v xml:space="preserve">  </v>
      </c>
      <c r="CA455" s="598" t="str">
        <f t="shared" si="63"/>
        <v xml:space="preserve">  </v>
      </c>
      <c r="CB455" s="598" t="str">
        <f t="shared" si="63"/>
        <v xml:space="preserve">  </v>
      </c>
      <c r="CC455" s="598" t="str">
        <f t="shared" si="64"/>
        <v xml:space="preserve">  </v>
      </c>
      <c r="CD455" s="598" t="str">
        <f t="shared" si="64"/>
        <v xml:space="preserve">  </v>
      </c>
      <c r="CE455" s="598" t="str">
        <f t="shared" si="64"/>
        <v xml:space="preserve">  </v>
      </c>
      <c r="CF455" s="598" t="str">
        <f t="shared" si="64"/>
        <v xml:space="preserve">  </v>
      </c>
      <c r="CG455" s="598" t="str">
        <f t="shared" si="64"/>
        <v xml:space="preserve">  </v>
      </c>
      <c r="CH455" s="598" t="str">
        <f t="shared" si="64"/>
        <v xml:space="preserve">  </v>
      </c>
      <c r="CI455" s="598" t="str">
        <f t="shared" si="64"/>
        <v xml:space="preserve">  </v>
      </c>
      <c r="CJ455" s="598" t="str">
        <f t="shared" si="64"/>
        <v xml:space="preserve">  </v>
      </c>
      <c r="CK455" s="598" t="str">
        <f t="shared" si="64"/>
        <v xml:space="preserve">  </v>
      </c>
      <c r="CL455" s="598" t="str">
        <f t="shared" si="64"/>
        <v xml:space="preserve">  </v>
      </c>
      <c r="CM455" s="598" t="str">
        <f t="shared" si="64"/>
        <v xml:space="preserve">  </v>
      </c>
      <c r="CN455" s="598" t="str">
        <f t="shared" si="64"/>
        <v xml:space="preserve">  </v>
      </c>
      <c r="CO455" s="598" t="str">
        <f t="shared" si="64"/>
        <v xml:space="preserve">  </v>
      </c>
      <c r="CP455" s="598" t="str">
        <f t="shared" si="64"/>
        <v xml:space="preserve">  </v>
      </c>
      <c r="CQ455" s="598" t="str">
        <f t="shared" ca="1" si="64"/>
        <v/>
      </c>
    </row>
    <row r="456" spans="1:95" ht="9.9499999999999993" customHeight="1">
      <c r="A456" s="598">
        <v>35</v>
      </c>
      <c r="B456" s="598" t="str">
        <f t="shared" ca="1" si="62"/>
        <v/>
      </c>
      <c r="C456" s="598" t="str">
        <f t="shared" ca="1" si="62"/>
        <v>Foreign:Telnar</v>
      </c>
      <c r="D456" s="598" t="str">
        <f t="shared" ca="1" si="62"/>
        <v/>
      </c>
      <c r="E456" s="598" t="str">
        <f t="shared" si="62"/>
        <v xml:space="preserve"> </v>
      </c>
      <c r="F456" s="598" t="str">
        <f t="shared" si="62"/>
        <v xml:space="preserve"> </v>
      </c>
      <c r="G456" s="598" t="str">
        <f t="shared" si="62"/>
        <v xml:space="preserve"> </v>
      </c>
      <c r="H456" s="598" t="str">
        <f t="shared" si="62"/>
        <v xml:space="preserve"> </v>
      </c>
      <c r="I456" s="598" t="str">
        <f t="shared" si="62"/>
        <v xml:space="preserve"> </v>
      </c>
      <c r="J456" s="598" t="str">
        <f t="shared" si="62"/>
        <v xml:space="preserve"> </v>
      </c>
      <c r="K456" s="598" t="str">
        <f t="shared" si="62"/>
        <v xml:space="preserve"> </v>
      </c>
      <c r="L456" s="598" t="str">
        <f t="shared" si="62"/>
        <v xml:space="preserve"> </v>
      </c>
      <c r="M456" s="598" t="str">
        <f t="shared" ca="1" si="62"/>
        <v/>
      </c>
      <c r="N456" s="598" t="str">
        <f t="shared" ca="1" si="62"/>
        <v/>
      </c>
      <c r="O456" s="598" t="str">
        <f t="shared" si="62"/>
        <v xml:space="preserve"> </v>
      </c>
      <c r="P456" s="598" t="str">
        <f t="shared" si="62"/>
        <v xml:space="preserve"> </v>
      </c>
      <c r="Q456" s="598" t="str">
        <f t="shared" si="62"/>
        <v xml:space="preserve"> </v>
      </c>
      <c r="R456" s="598" t="str">
        <f t="shared" si="62"/>
        <v xml:space="preserve"> </v>
      </c>
      <c r="S456" s="598" t="str">
        <f t="shared" si="62"/>
        <v xml:space="preserve"> </v>
      </c>
      <c r="T456" s="598" t="str">
        <f t="shared" si="62"/>
        <v xml:space="preserve"> </v>
      </c>
      <c r="U456" s="598" t="str">
        <f t="shared" si="62"/>
        <v xml:space="preserve"> </v>
      </c>
      <c r="V456" s="598" t="str">
        <f t="shared" si="62"/>
        <v xml:space="preserve"> </v>
      </c>
      <c r="W456" s="598" t="str">
        <f t="shared" si="62"/>
        <v xml:space="preserve"> </v>
      </c>
      <c r="X456" s="598" t="str">
        <f t="shared" si="62"/>
        <v xml:space="preserve"> </v>
      </c>
      <c r="Y456" s="598" t="str">
        <f t="shared" si="62"/>
        <v xml:space="preserve"> </v>
      </c>
      <c r="Z456" s="598" t="str">
        <f t="shared" si="62"/>
        <v xml:space="preserve"> </v>
      </c>
      <c r="AA456" s="598" t="str">
        <f t="shared" si="62"/>
        <v xml:space="preserve"> </v>
      </c>
      <c r="AB456" s="598" t="str">
        <f t="shared" ca="1" si="62"/>
        <v>Foreign Languages (Ancient)</v>
      </c>
      <c r="AC456" s="598" t="str">
        <f t="shared" ca="1" si="62"/>
        <v>Foreign Languages (Ancient)</v>
      </c>
      <c r="AD456" s="598" t="str">
        <f t="shared" si="62"/>
        <v xml:space="preserve"> </v>
      </c>
      <c r="AE456" s="598" t="str">
        <f t="shared" si="62"/>
        <v xml:space="preserve"> </v>
      </c>
      <c r="AF456" s="598" t="str">
        <f t="shared" si="62"/>
        <v xml:space="preserve"> </v>
      </c>
      <c r="AG456" s="598" t="str">
        <f t="shared" si="62"/>
        <v xml:space="preserve"> </v>
      </c>
      <c r="AH456" s="598" t="str">
        <f t="shared" si="62"/>
        <v xml:space="preserve"> </v>
      </c>
      <c r="AI456" s="598" t="str">
        <f t="shared" si="62"/>
        <v xml:space="preserve"> </v>
      </c>
      <c r="AJ456" s="598" t="str">
        <f t="shared" si="62"/>
        <v xml:space="preserve"> </v>
      </c>
      <c r="AK456" s="598" t="str">
        <f t="shared" si="62"/>
        <v xml:space="preserve"> </v>
      </c>
      <c r="AL456" s="598" t="str">
        <f t="shared" si="62"/>
        <v xml:space="preserve"> </v>
      </c>
      <c r="AM456" s="598" t="str">
        <f t="shared" si="62"/>
        <v xml:space="preserve"> </v>
      </c>
      <c r="AN456" s="598" t="str">
        <f t="shared" si="62"/>
        <v xml:space="preserve"> </v>
      </c>
      <c r="AO456" s="598" t="str">
        <f t="shared" si="62"/>
        <v xml:space="preserve"> </v>
      </c>
      <c r="AP456" s="598" t="str">
        <f t="shared" si="62"/>
        <v xml:space="preserve"> </v>
      </c>
      <c r="AQ456" s="598" t="str">
        <f t="shared" si="62"/>
        <v xml:space="preserve"> </v>
      </c>
      <c r="AR456" s="598" t="str">
        <f t="shared" si="62"/>
        <v xml:space="preserve"> </v>
      </c>
      <c r="AS456" s="598" t="str">
        <f t="shared" si="62"/>
        <v xml:space="preserve"> </v>
      </c>
      <c r="AT456" s="598" t="str">
        <f t="shared" si="62"/>
        <v xml:space="preserve"> </v>
      </c>
      <c r="AU456" s="598" t="str">
        <f t="shared" si="62"/>
        <v xml:space="preserve"> </v>
      </c>
      <c r="AW456" s="598" t="str">
        <f t="shared" si="65"/>
        <v xml:space="preserve"> </v>
      </c>
      <c r="AX456" s="598" t="str">
        <f t="shared" si="65"/>
        <v xml:space="preserve"> </v>
      </c>
      <c r="AY456" s="598" t="str">
        <f t="shared" si="65"/>
        <v xml:space="preserve"> </v>
      </c>
      <c r="AZ456" s="598" t="str">
        <f t="shared" si="65"/>
        <v xml:space="preserve"> </v>
      </c>
      <c r="BA456" s="598" t="str">
        <f t="shared" si="65"/>
        <v xml:space="preserve"> </v>
      </c>
      <c r="BB456" s="598" t="str">
        <f t="shared" si="65"/>
        <v xml:space="preserve"> </v>
      </c>
      <c r="BC456" s="598" t="str">
        <f t="shared" si="65"/>
        <v xml:space="preserve"> </v>
      </c>
      <c r="BD456" s="598" t="str">
        <f t="shared" si="65"/>
        <v xml:space="preserve"> </v>
      </c>
      <c r="BE456" s="598" t="str">
        <f t="shared" si="65"/>
        <v xml:space="preserve"> </v>
      </c>
      <c r="BF456" s="598" t="str">
        <f t="shared" si="65"/>
        <v xml:space="preserve"> </v>
      </c>
      <c r="BG456" s="598" t="str">
        <f t="shared" si="65"/>
        <v xml:space="preserve"> </v>
      </c>
      <c r="BH456" s="598" t="str">
        <f t="shared" si="65"/>
        <v xml:space="preserve"> </v>
      </c>
      <c r="BI456" s="598" t="str">
        <f t="shared" si="65"/>
        <v xml:space="preserve"> </v>
      </c>
      <c r="BJ456" s="598" t="str">
        <f t="shared" si="65"/>
        <v xml:space="preserve"> </v>
      </c>
      <c r="BK456" s="598" t="str">
        <f t="shared" si="65"/>
        <v xml:space="preserve"> </v>
      </c>
      <c r="BL456" s="598" t="str">
        <f t="shared" si="65"/>
        <v xml:space="preserve"> </v>
      </c>
      <c r="BM456" s="598" t="str">
        <f t="shared" si="63"/>
        <v xml:space="preserve"> </v>
      </c>
      <c r="BN456" s="598" t="str">
        <f t="shared" si="63"/>
        <v xml:space="preserve"> </v>
      </c>
      <c r="BO456" s="598" t="str">
        <f t="shared" si="63"/>
        <v xml:space="preserve"> </v>
      </c>
      <c r="BP456" s="598" t="str">
        <f t="shared" si="63"/>
        <v xml:space="preserve"> </v>
      </c>
      <c r="BQ456" s="598" t="str">
        <f t="shared" si="63"/>
        <v xml:space="preserve"> </v>
      </c>
      <c r="BR456" s="598" t="str">
        <f t="shared" si="63"/>
        <v xml:space="preserve"> </v>
      </c>
      <c r="BS456" s="598" t="str">
        <f t="shared" si="63"/>
        <v xml:space="preserve"> </v>
      </c>
      <c r="BT456" s="598" t="str">
        <f t="shared" si="63"/>
        <v xml:space="preserve"> </v>
      </c>
      <c r="BU456" s="598" t="str">
        <f t="shared" si="63"/>
        <v xml:space="preserve"> </v>
      </c>
      <c r="BV456" s="598" t="str">
        <f t="shared" si="63"/>
        <v xml:space="preserve"> </v>
      </c>
      <c r="BW456" s="598" t="str">
        <f t="shared" si="63"/>
        <v xml:space="preserve"> </v>
      </c>
      <c r="BX456" s="598" t="str">
        <f t="shared" si="63"/>
        <v xml:space="preserve"> </v>
      </c>
      <c r="BY456" s="598" t="str">
        <f t="shared" si="63"/>
        <v xml:space="preserve"> </v>
      </c>
      <c r="BZ456" s="598" t="str">
        <f t="shared" si="63"/>
        <v xml:space="preserve"> </v>
      </c>
      <c r="CA456" s="598" t="str">
        <f t="shared" si="63"/>
        <v xml:space="preserve"> </v>
      </c>
      <c r="CB456" s="598" t="str">
        <f t="shared" si="63"/>
        <v xml:space="preserve"> </v>
      </c>
      <c r="CC456" s="598" t="str">
        <f t="shared" si="64"/>
        <v xml:space="preserve"> </v>
      </c>
      <c r="CD456" s="598" t="str">
        <f t="shared" si="64"/>
        <v xml:space="preserve"> </v>
      </c>
      <c r="CE456" s="598" t="str">
        <f t="shared" si="64"/>
        <v xml:space="preserve"> </v>
      </c>
      <c r="CF456" s="598" t="str">
        <f t="shared" si="64"/>
        <v xml:space="preserve"> </v>
      </c>
      <c r="CG456" s="598" t="str">
        <f t="shared" si="64"/>
        <v xml:space="preserve"> </v>
      </c>
      <c r="CH456" s="598" t="str">
        <f t="shared" si="64"/>
        <v xml:space="preserve"> </v>
      </c>
      <c r="CI456" s="598" t="str">
        <f t="shared" si="64"/>
        <v xml:space="preserve"> </v>
      </c>
      <c r="CJ456" s="598" t="str">
        <f t="shared" si="64"/>
        <v xml:space="preserve"> </v>
      </c>
      <c r="CK456" s="598" t="str">
        <f t="shared" si="64"/>
        <v xml:space="preserve"> </v>
      </c>
      <c r="CL456" s="598" t="str">
        <f t="shared" si="64"/>
        <v xml:space="preserve"> </v>
      </c>
      <c r="CM456" s="598" t="str">
        <f t="shared" si="64"/>
        <v xml:space="preserve"> </v>
      </c>
      <c r="CN456" s="598" t="str">
        <f t="shared" si="64"/>
        <v xml:space="preserve"> </v>
      </c>
      <c r="CO456" s="598" t="str">
        <f t="shared" si="64"/>
        <v xml:space="preserve"> </v>
      </c>
      <c r="CP456" s="598" t="str">
        <f t="shared" si="64"/>
        <v xml:space="preserve"> </v>
      </c>
      <c r="CQ456" s="598" t="str">
        <f t="shared" ca="1" si="64"/>
        <v/>
      </c>
    </row>
    <row r="457" spans="1:95" ht="9.9499999999999993" customHeight="1">
      <c r="A457" s="598">
        <v>36</v>
      </c>
      <c r="B457" s="598" t="str">
        <f t="shared" ca="1" si="62"/>
        <v/>
      </c>
      <c r="C457" s="598" t="str">
        <f t="shared" ca="1" si="62"/>
        <v>Foreign:Welsh</v>
      </c>
      <c r="D457" s="598" t="str">
        <f t="shared" ca="1" si="62"/>
        <v/>
      </c>
      <c r="E457" s="598" t="str">
        <f t="shared" si="62"/>
        <v xml:space="preserve"> </v>
      </c>
      <c r="F457" s="598" t="str">
        <f t="shared" si="62"/>
        <v xml:space="preserve"> </v>
      </c>
      <c r="G457" s="598" t="str">
        <f t="shared" si="62"/>
        <v xml:space="preserve"> </v>
      </c>
      <c r="H457" s="598" t="str">
        <f t="shared" si="62"/>
        <v xml:space="preserve"> </v>
      </c>
      <c r="I457" s="598" t="str">
        <f t="shared" si="62"/>
        <v xml:space="preserve"> </v>
      </c>
      <c r="J457" s="598" t="str">
        <f t="shared" si="62"/>
        <v xml:space="preserve"> </v>
      </c>
      <c r="K457" s="598" t="str">
        <f t="shared" si="62"/>
        <v xml:space="preserve"> </v>
      </c>
      <c r="L457" s="598" t="str">
        <f t="shared" si="62"/>
        <v xml:space="preserve"> </v>
      </c>
      <c r="M457" s="598" t="str">
        <f t="shared" ca="1" si="62"/>
        <v/>
      </c>
      <c r="N457" s="598" t="str">
        <f t="shared" ca="1" si="62"/>
        <v/>
      </c>
      <c r="O457" s="598" t="str">
        <f t="shared" si="62"/>
        <v xml:space="preserve"> </v>
      </c>
      <c r="P457" s="598" t="str">
        <f t="shared" si="62"/>
        <v xml:space="preserve"> </v>
      </c>
      <c r="Q457" s="598" t="str">
        <f t="shared" si="62"/>
        <v xml:space="preserve"> </v>
      </c>
      <c r="R457" s="598" t="str">
        <f t="shared" si="62"/>
        <v xml:space="preserve"> </v>
      </c>
      <c r="S457" s="598" t="str">
        <f t="shared" si="62"/>
        <v xml:space="preserve"> </v>
      </c>
      <c r="T457" s="598" t="str">
        <f t="shared" si="62"/>
        <v xml:space="preserve"> </v>
      </c>
      <c r="U457" s="598" t="str">
        <f t="shared" si="62"/>
        <v xml:space="preserve"> </v>
      </c>
      <c r="V457" s="598" t="str">
        <f t="shared" si="62"/>
        <v xml:space="preserve"> </v>
      </c>
      <c r="W457" s="598" t="str">
        <f t="shared" si="62"/>
        <v xml:space="preserve"> </v>
      </c>
      <c r="X457" s="598" t="str">
        <f t="shared" si="62"/>
        <v xml:space="preserve"> </v>
      </c>
      <c r="Y457" s="598" t="str">
        <f t="shared" si="62"/>
        <v xml:space="preserve"> </v>
      </c>
      <c r="Z457" s="598" t="str">
        <f t="shared" si="62"/>
        <v xml:space="preserve"> </v>
      </c>
      <c r="AA457" s="598" t="str">
        <f t="shared" si="62"/>
        <v xml:space="preserve"> </v>
      </c>
      <c r="AB457" s="598" t="str">
        <f t="shared" ca="1" si="62"/>
        <v>Foreign (Anc.):Kingdom</v>
      </c>
      <c r="AC457" s="598" t="str">
        <f t="shared" ca="1" si="62"/>
        <v>Foreign (Anc.):Kingdom</v>
      </c>
      <c r="AD457" s="598" t="str">
        <f t="shared" si="62"/>
        <v xml:space="preserve"> </v>
      </c>
      <c r="AE457" s="598" t="str">
        <f t="shared" si="62"/>
        <v xml:space="preserve"> </v>
      </c>
      <c r="AF457" s="598" t="str">
        <f t="shared" si="62"/>
        <v xml:space="preserve"> </v>
      </c>
      <c r="AG457" s="598" t="str">
        <f t="shared" si="62"/>
        <v xml:space="preserve"> </v>
      </c>
      <c r="AH457" s="598" t="str">
        <f t="shared" si="62"/>
        <v xml:space="preserve"> </v>
      </c>
      <c r="AI457" s="598" t="str">
        <f t="shared" si="62"/>
        <v xml:space="preserve"> </v>
      </c>
      <c r="AJ457" s="598" t="str">
        <f t="shared" si="62"/>
        <v xml:space="preserve"> </v>
      </c>
      <c r="AK457" s="598" t="str">
        <f t="shared" si="62"/>
        <v xml:space="preserve"> </v>
      </c>
      <c r="AL457" s="598" t="str">
        <f t="shared" si="62"/>
        <v xml:space="preserve"> </v>
      </c>
      <c r="AM457" s="598" t="str">
        <f t="shared" si="62"/>
        <v xml:space="preserve"> </v>
      </c>
      <c r="AN457" s="598" t="str">
        <f t="shared" si="62"/>
        <v xml:space="preserve"> </v>
      </c>
      <c r="AO457" s="598" t="str">
        <f t="shared" si="62"/>
        <v xml:space="preserve"> </v>
      </c>
      <c r="AP457" s="598" t="str">
        <f t="shared" si="62"/>
        <v xml:space="preserve"> </v>
      </c>
      <c r="AQ457" s="598" t="str">
        <f t="shared" si="62"/>
        <v xml:space="preserve"> </v>
      </c>
      <c r="AR457" s="598" t="str">
        <f t="shared" si="62"/>
        <v xml:space="preserve"> </v>
      </c>
      <c r="AS457" s="598" t="str">
        <f t="shared" si="62"/>
        <v xml:space="preserve"> </v>
      </c>
      <c r="AT457" s="598" t="str">
        <f t="shared" si="62"/>
        <v xml:space="preserve"> </v>
      </c>
      <c r="AU457" s="598" t="str">
        <f t="shared" si="62"/>
        <v xml:space="preserve"> </v>
      </c>
      <c r="AW457" s="598" t="str">
        <f t="shared" si="65"/>
        <v xml:space="preserve"> </v>
      </c>
      <c r="AX457" s="598" t="str">
        <f t="shared" si="65"/>
        <v xml:space="preserve"> </v>
      </c>
      <c r="AY457" s="598" t="str">
        <f t="shared" si="65"/>
        <v xml:space="preserve"> </v>
      </c>
      <c r="AZ457" s="598" t="str">
        <f t="shared" si="65"/>
        <v xml:space="preserve"> </v>
      </c>
      <c r="BA457" s="598" t="str">
        <f t="shared" si="65"/>
        <v xml:space="preserve"> </v>
      </c>
      <c r="BB457" s="598" t="str">
        <f t="shared" si="65"/>
        <v xml:space="preserve"> </v>
      </c>
      <c r="BC457" s="598" t="str">
        <f t="shared" si="65"/>
        <v xml:space="preserve"> </v>
      </c>
      <c r="BD457" s="598" t="str">
        <f t="shared" si="65"/>
        <v xml:space="preserve"> </v>
      </c>
      <c r="BE457" s="598" t="str">
        <f t="shared" si="65"/>
        <v xml:space="preserve"> </v>
      </c>
      <c r="BF457" s="598" t="str">
        <f t="shared" si="65"/>
        <v xml:space="preserve"> </v>
      </c>
      <c r="BG457" s="598" t="str">
        <f t="shared" si="65"/>
        <v xml:space="preserve"> </v>
      </c>
      <c r="BH457" s="598" t="str">
        <f t="shared" si="65"/>
        <v xml:space="preserve"> </v>
      </c>
      <c r="BI457" s="598" t="str">
        <f t="shared" si="65"/>
        <v xml:space="preserve"> </v>
      </c>
      <c r="BJ457" s="598" t="str">
        <f t="shared" si="65"/>
        <v xml:space="preserve"> </v>
      </c>
      <c r="BK457" s="598" t="str">
        <f t="shared" si="65"/>
        <v xml:space="preserve"> </v>
      </c>
      <c r="BL457" s="598" t="str">
        <f t="shared" si="65"/>
        <v xml:space="preserve"> </v>
      </c>
      <c r="BM457" s="598" t="str">
        <f t="shared" si="63"/>
        <v xml:space="preserve"> </v>
      </c>
      <c r="BN457" s="598" t="str">
        <f t="shared" si="63"/>
        <v xml:space="preserve"> </v>
      </c>
      <c r="BO457" s="598" t="str">
        <f t="shared" si="63"/>
        <v xml:space="preserve"> </v>
      </c>
      <c r="BP457" s="598" t="str">
        <f t="shared" si="63"/>
        <v xml:space="preserve"> </v>
      </c>
      <c r="BQ457" s="598" t="str">
        <f t="shared" si="63"/>
        <v xml:space="preserve"> </v>
      </c>
      <c r="BR457" s="598" t="str">
        <f t="shared" si="63"/>
        <v xml:space="preserve"> </v>
      </c>
      <c r="BS457" s="598" t="str">
        <f t="shared" si="63"/>
        <v xml:space="preserve"> </v>
      </c>
      <c r="BT457" s="598" t="str">
        <f t="shared" si="63"/>
        <v xml:space="preserve"> </v>
      </c>
      <c r="BU457" s="598" t="str">
        <f t="shared" si="63"/>
        <v xml:space="preserve"> </v>
      </c>
      <c r="BV457" s="598" t="str">
        <f t="shared" si="63"/>
        <v xml:space="preserve"> </v>
      </c>
      <c r="BW457" s="598" t="str">
        <f t="shared" si="63"/>
        <v xml:space="preserve"> </v>
      </c>
      <c r="BX457" s="598" t="str">
        <f t="shared" si="63"/>
        <v xml:space="preserve"> </v>
      </c>
      <c r="BY457" s="598" t="str">
        <f t="shared" si="63"/>
        <v xml:space="preserve"> </v>
      </c>
      <c r="BZ457" s="598" t="str">
        <f t="shared" si="63"/>
        <v xml:space="preserve"> </v>
      </c>
      <c r="CA457" s="598" t="str">
        <f t="shared" si="63"/>
        <v xml:space="preserve"> </v>
      </c>
      <c r="CB457" s="598" t="str">
        <f t="shared" si="63"/>
        <v xml:space="preserve"> </v>
      </c>
      <c r="CC457" s="598" t="str">
        <f t="shared" si="64"/>
        <v xml:space="preserve"> </v>
      </c>
      <c r="CD457" s="598" t="str">
        <f t="shared" si="64"/>
        <v xml:space="preserve"> </v>
      </c>
      <c r="CE457" s="598" t="str">
        <f t="shared" si="64"/>
        <v xml:space="preserve"> </v>
      </c>
      <c r="CF457" s="598" t="str">
        <f t="shared" si="64"/>
        <v xml:space="preserve"> </v>
      </c>
      <c r="CG457" s="598" t="str">
        <f t="shared" si="64"/>
        <v xml:space="preserve"> </v>
      </c>
      <c r="CH457" s="598" t="str">
        <f t="shared" si="64"/>
        <v xml:space="preserve"> </v>
      </c>
      <c r="CI457" s="598" t="str">
        <f t="shared" si="64"/>
        <v xml:space="preserve"> </v>
      </c>
      <c r="CJ457" s="598" t="str">
        <f t="shared" si="64"/>
        <v xml:space="preserve"> </v>
      </c>
      <c r="CK457" s="598" t="str">
        <f t="shared" si="64"/>
        <v xml:space="preserve"> </v>
      </c>
      <c r="CL457" s="598" t="str">
        <f t="shared" si="64"/>
        <v xml:space="preserve"> </v>
      </c>
      <c r="CM457" s="598" t="str">
        <f t="shared" si="64"/>
        <v xml:space="preserve"> </v>
      </c>
      <c r="CN457" s="598" t="str">
        <f t="shared" si="64"/>
        <v xml:space="preserve"> </v>
      </c>
      <c r="CO457" s="598" t="str">
        <f t="shared" si="64"/>
        <v xml:space="preserve"> </v>
      </c>
      <c r="CP457" s="598" t="str">
        <f t="shared" si="64"/>
        <v xml:space="preserve"> </v>
      </c>
      <c r="CQ457" s="598" t="str">
        <f t="shared" ca="1" si="64"/>
        <v/>
      </c>
    </row>
    <row r="458" spans="1:95" ht="9.9499999999999993" customHeight="1">
      <c r="A458" s="598">
        <v>37</v>
      </c>
      <c r="B458" s="598" t="str">
        <f t="shared" ca="1" si="62"/>
        <v/>
      </c>
      <c r="C458" s="598" t="str">
        <f t="shared" ca="1" si="62"/>
        <v>Foreign Languages (Ancient)</v>
      </c>
      <c r="D458" s="598" t="str">
        <f t="shared" ca="1" si="62"/>
        <v/>
      </c>
      <c r="E458" s="598" t="str">
        <f t="shared" si="62"/>
        <v xml:space="preserve"> </v>
      </c>
      <c r="F458" s="598" t="str">
        <f t="shared" si="62"/>
        <v xml:space="preserve"> </v>
      </c>
      <c r="G458" s="598" t="str">
        <f t="shared" si="62"/>
        <v xml:space="preserve"> </v>
      </c>
      <c r="H458" s="598" t="str">
        <f t="shared" si="62"/>
        <v xml:space="preserve"> </v>
      </c>
      <c r="I458" s="598" t="str">
        <f t="shared" si="62"/>
        <v xml:space="preserve"> </v>
      </c>
      <c r="J458" s="598" t="str">
        <f t="shared" si="62"/>
        <v xml:space="preserve"> </v>
      </c>
      <c r="K458" s="598" t="str">
        <f t="shared" si="62"/>
        <v xml:space="preserve"> </v>
      </c>
      <c r="L458" s="598" t="str">
        <f t="shared" si="62"/>
        <v xml:space="preserve"> </v>
      </c>
      <c r="M458" s="598" t="str">
        <f t="shared" ca="1" si="62"/>
        <v/>
      </c>
      <c r="N458" s="598" t="str">
        <f t="shared" ca="1" si="62"/>
        <v/>
      </c>
      <c r="O458" s="598" t="str">
        <f t="shared" si="62"/>
        <v xml:space="preserve"> </v>
      </c>
      <c r="P458" s="598" t="str">
        <f t="shared" si="62"/>
        <v xml:space="preserve"> </v>
      </c>
      <c r="Q458" s="598" t="str">
        <f t="shared" si="62"/>
        <v xml:space="preserve"> </v>
      </c>
      <c r="R458" s="598" t="str">
        <f t="shared" si="62"/>
        <v xml:space="preserve"> </v>
      </c>
      <c r="S458" s="598" t="str">
        <f t="shared" si="62"/>
        <v xml:space="preserve"> </v>
      </c>
      <c r="T458" s="598" t="str">
        <f t="shared" si="62"/>
        <v xml:space="preserve"> </v>
      </c>
      <c r="U458" s="598" t="str">
        <f t="shared" si="62"/>
        <v xml:space="preserve"> </v>
      </c>
      <c r="V458" s="598" t="str">
        <f t="shared" si="62"/>
        <v xml:space="preserve"> </v>
      </c>
      <c r="W458" s="598" t="str">
        <f t="shared" si="62"/>
        <v xml:space="preserve"> </v>
      </c>
      <c r="X458" s="598" t="str">
        <f t="shared" si="62"/>
        <v xml:space="preserve"> </v>
      </c>
      <c r="Y458" s="598" t="str">
        <f t="shared" si="62"/>
        <v xml:space="preserve"> </v>
      </c>
      <c r="Z458" s="598" t="str">
        <f t="shared" si="62"/>
        <v xml:space="preserve"> </v>
      </c>
      <c r="AA458" s="598" t="str">
        <f t="shared" ref="AA458:AU458" si="66">HLOOKUP(AA$421,$C$217:$Z$317,$A458+1)</f>
        <v xml:space="preserve"> </v>
      </c>
      <c r="AB458" s="598" t="str">
        <f t="shared" ca="1" si="66"/>
        <v>Foreign (Anc.):Rule</v>
      </c>
      <c r="AC458" s="598" t="str">
        <f t="shared" ca="1" si="66"/>
        <v>Foreign (Anc.):Rule</v>
      </c>
      <c r="AD458" s="598" t="str">
        <f t="shared" si="66"/>
        <v xml:space="preserve"> </v>
      </c>
      <c r="AE458" s="598" t="str">
        <f t="shared" si="66"/>
        <v xml:space="preserve"> </v>
      </c>
      <c r="AF458" s="598" t="str">
        <f t="shared" si="66"/>
        <v xml:space="preserve"> </v>
      </c>
      <c r="AG458" s="598" t="str">
        <f t="shared" si="66"/>
        <v xml:space="preserve"> </v>
      </c>
      <c r="AH458" s="598" t="str">
        <f t="shared" si="66"/>
        <v xml:space="preserve"> </v>
      </c>
      <c r="AI458" s="598" t="str">
        <f t="shared" si="66"/>
        <v xml:space="preserve"> </v>
      </c>
      <c r="AJ458" s="598" t="str">
        <f t="shared" si="66"/>
        <v xml:space="preserve"> </v>
      </c>
      <c r="AK458" s="598" t="str">
        <f t="shared" si="66"/>
        <v xml:space="preserve"> </v>
      </c>
      <c r="AL458" s="598" t="str">
        <f t="shared" si="66"/>
        <v xml:space="preserve"> </v>
      </c>
      <c r="AM458" s="598" t="str">
        <f t="shared" si="66"/>
        <v xml:space="preserve"> </v>
      </c>
      <c r="AN458" s="598" t="str">
        <f t="shared" si="66"/>
        <v xml:space="preserve"> </v>
      </c>
      <c r="AO458" s="598" t="str">
        <f t="shared" si="66"/>
        <v xml:space="preserve"> </v>
      </c>
      <c r="AP458" s="598" t="str">
        <f t="shared" si="66"/>
        <v xml:space="preserve"> </v>
      </c>
      <c r="AQ458" s="598" t="str">
        <f t="shared" si="66"/>
        <v xml:space="preserve"> </v>
      </c>
      <c r="AR458" s="598" t="str">
        <f t="shared" si="66"/>
        <v xml:space="preserve"> </v>
      </c>
      <c r="AS458" s="598" t="str">
        <f t="shared" si="66"/>
        <v xml:space="preserve"> </v>
      </c>
      <c r="AT458" s="598" t="str">
        <f t="shared" si="66"/>
        <v xml:space="preserve"> </v>
      </c>
      <c r="AU458" s="598" t="str">
        <f t="shared" si="66"/>
        <v xml:space="preserve"> </v>
      </c>
      <c r="AW458" s="598" t="str">
        <f t="shared" si="65"/>
        <v xml:space="preserve"> </v>
      </c>
      <c r="AX458" s="598" t="str">
        <f t="shared" si="65"/>
        <v xml:space="preserve"> </v>
      </c>
      <c r="AY458" s="598" t="str">
        <f t="shared" si="65"/>
        <v xml:space="preserve"> </v>
      </c>
      <c r="AZ458" s="598" t="str">
        <f t="shared" si="65"/>
        <v xml:space="preserve"> </v>
      </c>
      <c r="BA458" s="598" t="str">
        <f t="shared" si="65"/>
        <v xml:space="preserve"> </v>
      </c>
      <c r="BB458" s="598" t="str">
        <f t="shared" si="65"/>
        <v xml:space="preserve"> </v>
      </c>
      <c r="BC458" s="598" t="str">
        <f t="shared" si="65"/>
        <v xml:space="preserve"> </v>
      </c>
      <c r="BD458" s="598" t="str">
        <f t="shared" si="65"/>
        <v xml:space="preserve"> </v>
      </c>
      <c r="BE458" s="598" t="str">
        <f t="shared" si="65"/>
        <v xml:space="preserve"> </v>
      </c>
      <c r="BF458" s="598" t="str">
        <f t="shared" si="65"/>
        <v xml:space="preserve"> </v>
      </c>
      <c r="BG458" s="598" t="str">
        <f t="shared" si="65"/>
        <v xml:space="preserve"> </v>
      </c>
      <c r="BH458" s="598" t="str">
        <f t="shared" si="65"/>
        <v xml:space="preserve"> </v>
      </c>
      <c r="BI458" s="598" t="str">
        <f t="shared" si="65"/>
        <v xml:space="preserve"> </v>
      </c>
      <c r="BJ458" s="598" t="str">
        <f t="shared" si="65"/>
        <v xml:space="preserve"> </v>
      </c>
      <c r="BK458" s="598" t="str">
        <f t="shared" si="65"/>
        <v xml:space="preserve"> </v>
      </c>
      <c r="BL458" s="598" t="str">
        <f t="shared" si="65"/>
        <v xml:space="preserve"> </v>
      </c>
      <c r="BM458" s="598" t="str">
        <f t="shared" si="63"/>
        <v xml:space="preserve"> </v>
      </c>
      <c r="BN458" s="598" t="str">
        <f t="shared" si="63"/>
        <v xml:space="preserve"> </v>
      </c>
      <c r="BO458" s="598" t="str">
        <f t="shared" si="63"/>
        <v xml:space="preserve"> </v>
      </c>
      <c r="BP458" s="598" t="str">
        <f t="shared" si="63"/>
        <v xml:space="preserve"> </v>
      </c>
      <c r="BQ458" s="598" t="str">
        <f t="shared" si="63"/>
        <v xml:space="preserve"> </v>
      </c>
      <c r="BR458" s="598" t="str">
        <f t="shared" si="63"/>
        <v xml:space="preserve"> </v>
      </c>
      <c r="BS458" s="598" t="str">
        <f t="shared" si="63"/>
        <v xml:space="preserve"> </v>
      </c>
      <c r="BT458" s="598" t="str">
        <f t="shared" si="63"/>
        <v xml:space="preserve"> </v>
      </c>
      <c r="BU458" s="598" t="str">
        <f t="shared" si="63"/>
        <v xml:space="preserve"> </v>
      </c>
      <c r="BV458" s="598" t="str">
        <f t="shared" si="63"/>
        <v xml:space="preserve"> </v>
      </c>
      <c r="BW458" s="598" t="str">
        <f t="shared" si="63"/>
        <v xml:space="preserve"> </v>
      </c>
      <c r="BX458" s="598" t="str">
        <f t="shared" si="63"/>
        <v xml:space="preserve"> </v>
      </c>
      <c r="BY458" s="598" t="str">
        <f t="shared" si="63"/>
        <v xml:space="preserve"> </v>
      </c>
      <c r="BZ458" s="598" t="str">
        <f t="shared" si="63"/>
        <v xml:space="preserve"> </v>
      </c>
      <c r="CA458" s="598" t="str">
        <f t="shared" si="63"/>
        <v xml:space="preserve"> </v>
      </c>
      <c r="CB458" s="598" t="str">
        <f t="shared" si="63"/>
        <v xml:space="preserve"> </v>
      </c>
      <c r="CC458" s="598" t="str">
        <f t="shared" si="64"/>
        <v xml:space="preserve"> </v>
      </c>
      <c r="CD458" s="598" t="str">
        <f t="shared" si="64"/>
        <v xml:space="preserve"> </v>
      </c>
      <c r="CE458" s="598" t="str">
        <f t="shared" si="64"/>
        <v xml:space="preserve"> </v>
      </c>
      <c r="CF458" s="598" t="str">
        <f t="shared" si="64"/>
        <v xml:space="preserve"> </v>
      </c>
      <c r="CG458" s="598" t="str">
        <f t="shared" si="64"/>
        <v xml:space="preserve"> </v>
      </c>
      <c r="CH458" s="598" t="str">
        <f t="shared" si="64"/>
        <v xml:space="preserve"> </v>
      </c>
      <c r="CI458" s="598" t="str">
        <f t="shared" si="64"/>
        <v xml:space="preserve"> </v>
      </c>
      <c r="CJ458" s="598" t="str">
        <f t="shared" si="64"/>
        <v xml:space="preserve"> </v>
      </c>
      <c r="CK458" s="598" t="str">
        <f t="shared" si="64"/>
        <v xml:space="preserve"> </v>
      </c>
      <c r="CL458" s="598" t="str">
        <f t="shared" si="64"/>
        <v xml:space="preserve"> </v>
      </c>
      <c r="CM458" s="598" t="str">
        <f t="shared" si="64"/>
        <v xml:space="preserve"> </v>
      </c>
      <c r="CN458" s="598" t="str">
        <f t="shared" si="64"/>
        <v xml:space="preserve"> </v>
      </c>
      <c r="CO458" s="598" t="str">
        <f t="shared" si="64"/>
        <v xml:space="preserve"> </v>
      </c>
      <c r="CP458" s="598" t="str">
        <f t="shared" si="64"/>
        <v xml:space="preserve"> </v>
      </c>
      <c r="CQ458" s="598" t="str">
        <f t="shared" ca="1" si="64"/>
        <v/>
      </c>
    </row>
    <row r="459" spans="1:95" ht="9.9499999999999993" customHeight="1">
      <c r="A459" s="598">
        <v>38</v>
      </c>
      <c r="B459" s="598" t="str">
        <f t="shared" ref="B459:AU464" ca="1" si="67">HLOOKUP(B$421,$C$217:$Z$317,$A459+1)</f>
        <v/>
      </c>
      <c r="C459" s="598" t="str">
        <f t="shared" ca="1" si="67"/>
        <v>Foreign (Anc.):Kingdom</v>
      </c>
      <c r="D459" s="598" t="str">
        <f t="shared" ca="1" si="67"/>
        <v/>
      </c>
      <c r="E459" s="598" t="str">
        <f t="shared" si="67"/>
        <v xml:space="preserve"> </v>
      </c>
      <c r="F459" s="598" t="str">
        <f t="shared" si="67"/>
        <v xml:space="preserve"> </v>
      </c>
      <c r="G459" s="598" t="str">
        <f t="shared" si="67"/>
        <v xml:space="preserve"> </v>
      </c>
      <c r="H459" s="598" t="str">
        <f t="shared" si="67"/>
        <v xml:space="preserve"> </v>
      </c>
      <c r="I459" s="598" t="str">
        <f t="shared" si="67"/>
        <v xml:space="preserve"> </v>
      </c>
      <c r="J459" s="598" t="str">
        <f t="shared" si="67"/>
        <v xml:space="preserve"> </v>
      </c>
      <c r="K459" s="598" t="str">
        <f t="shared" si="67"/>
        <v xml:space="preserve"> </v>
      </c>
      <c r="L459" s="598" t="str">
        <f t="shared" si="67"/>
        <v xml:space="preserve"> </v>
      </c>
      <c r="M459" s="598" t="str">
        <f t="shared" ca="1" si="67"/>
        <v/>
      </c>
      <c r="N459" s="598" t="str">
        <f t="shared" ca="1" si="67"/>
        <v/>
      </c>
      <c r="O459" s="598" t="str">
        <f t="shared" si="67"/>
        <v xml:space="preserve"> </v>
      </c>
      <c r="P459" s="598" t="str">
        <f t="shared" si="67"/>
        <v xml:space="preserve"> </v>
      </c>
      <c r="Q459" s="598" t="str">
        <f t="shared" si="67"/>
        <v xml:space="preserve"> </v>
      </c>
      <c r="R459" s="598" t="str">
        <f t="shared" si="67"/>
        <v xml:space="preserve"> </v>
      </c>
      <c r="S459" s="598" t="str">
        <f t="shared" si="67"/>
        <v xml:space="preserve"> </v>
      </c>
      <c r="T459" s="598" t="str">
        <f t="shared" si="67"/>
        <v xml:space="preserve"> </v>
      </c>
      <c r="U459" s="598" t="str">
        <f t="shared" si="67"/>
        <v xml:space="preserve"> </v>
      </c>
      <c r="V459" s="598" t="str">
        <f t="shared" si="67"/>
        <v xml:space="preserve"> </v>
      </c>
      <c r="W459" s="598" t="str">
        <f t="shared" si="67"/>
        <v xml:space="preserve"> </v>
      </c>
      <c r="X459" s="598" t="str">
        <f t="shared" si="67"/>
        <v xml:space="preserve"> </v>
      </c>
      <c r="Y459" s="598" t="str">
        <f t="shared" si="67"/>
        <v xml:space="preserve"> </v>
      </c>
      <c r="Z459" s="598" t="str">
        <f t="shared" si="67"/>
        <v xml:space="preserve"> </v>
      </c>
      <c r="AA459" s="598" t="str">
        <f t="shared" si="67"/>
        <v xml:space="preserve"> </v>
      </c>
      <c r="AB459" s="598" t="str">
        <f t="shared" ca="1" si="67"/>
        <v>Foreign (Anc.):Bidden</v>
      </c>
      <c r="AC459" s="598" t="str">
        <f t="shared" ca="1" si="67"/>
        <v>Foreign (Anc.):Bidden</v>
      </c>
      <c r="AD459" s="598" t="str">
        <f t="shared" si="67"/>
        <v xml:space="preserve"> </v>
      </c>
      <c r="AE459" s="598" t="str">
        <f t="shared" si="67"/>
        <v xml:space="preserve"> </v>
      </c>
      <c r="AF459" s="598" t="str">
        <f t="shared" si="67"/>
        <v xml:space="preserve"> </v>
      </c>
      <c r="AG459" s="598" t="str">
        <f t="shared" si="67"/>
        <v xml:space="preserve"> </v>
      </c>
      <c r="AH459" s="598" t="str">
        <f t="shared" si="67"/>
        <v xml:space="preserve"> </v>
      </c>
      <c r="AI459" s="598" t="str">
        <f t="shared" si="67"/>
        <v xml:space="preserve"> </v>
      </c>
      <c r="AJ459" s="598" t="str">
        <f t="shared" si="67"/>
        <v xml:space="preserve"> </v>
      </c>
      <c r="AK459" s="598" t="str">
        <f t="shared" si="67"/>
        <v xml:space="preserve"> </v>
      </c>
      <c r="AL459" s="598" t="str">
        <f t="shared" si="67"/>
        <v xml:space="preserve"> </v>
      </c>
      <c r="AM459" s="598" t="str">
        <f t="shared" si="67"/>
        <v xml:space="preserve"> </v>
      </c>
      <c r="AN459" s="598" t="str">
        <f t="shared" si="67"/>
        <v xml:space="preserve"> </v>
      </c>
      <c r="AO459" s="598" t="str">
        <f t="shared" si="67"/>
        <v xml:space="preserve"> </v>
      </c>
      <c r="AP459" s="598" t="str">
        <f t="shared" si="67"/>
        <v xml:space="preserve"> </v>
      </c>
      <c r="AQ459" s="598" t="str">
        <f t="shared" si="67"/>
        <v xml:space="preserve"> </v>
      </c>
      <c r="AR459" s="598" t="str">
        <f t="shared" si="67"/>
        <v xml:space="preserve"> </v>
      </c>
      <c r="AS459" s="598" t="str">
        <f t="shared" si="67"/>
        <v xml:space="preserve"> </v>
      </c>
      <c r="AT459" s="598" t="str">
        <f t="shared" si="67"/>
        <v xml:space="preserve"> </v>
      </c>
      <c r="AU459" s="598" t="str">
        <f t="shared" si="67"/>
        <v xml:space="preserve"> </v>
      </c>
      <c r="AW459" s="598" t="str">
        <f t="shared" si="65"/>
        <v xml:space="preserve"> </v>
      </c>
      <c r="AX459" s="598" t="str">
        <f t="shared" si="65"/>
        <v xml:space="preserve"> </v>
      </c>
      <c r="AY459" s="598" t="str">
        <f t="shared" si="65"/>
        <v xml:space="preserve"> </v>
      </c>
      <c r="AZ459" s="598" t="str">
        <f t="shared" si="65"/>
        <v xml:space="preserve"> </v>
      </c>
      <c r="BA459" s="598" t="str">
        <f t="shared" si="65"/>
        <v xml:space="preserve"> </v>
      </c>
      <c r="BB459" s="598" t="str">
        <f t="shared" si="65"/>
        <v xml:space="preserve"> </v>
      </c>
      <c r="BC459" s="598" t="str">
        <f t="shared" si="65"/>
        <v xml:space="preserve"> </v>
      </c>
      <c r="BD459" s="598" t="str">
        <f t="shared" si="65"/>
        <v xml:space="preserve"> </v>
      </c>
      <c r="BE459" s="598" t="str">
        <f t="shared" si="65"/>
        <v xml:space="preserve"> </v>
      </c>
      <c r="BF459" s="598" t="str">
        <f t="shared" si="65"/>
        <v xml:space="preserve"> </v>
      </c>
      <c r="BG459" s="598" t="str">
        <f t="shared" si="65"/>
        <v xml:space="preserve"> </v>
      </c>
      <c r="BH459" s="598" t="str">
        <f t="shared" si="65"/>
        <v xml:space="preserve"> </v>
      </c>
      <c r="BI459" s="598" t="str">
        <f t="shared" si="65"/>
        <v xml:space="preserve"> </v>
      </c>
      <c r="BJ459" s="598" t="str">
        <f t="shared" si="65"/>
        <v xml:space="preserve"> </v>
      </c>
      <c r="BK459" s="598" t="str">
        <f t="shared" si="65"/>
        <v xml:space="preserve"> </v>
      </c>
      <c r="BL459" s="598" t="str">
        <f t="shared" si="65"/>
        <v xml:space="preserve"> </v>
      </c>
      <c r="BM459" s="598" t="str">
        <f t="shared" si="63"/>
        <v xml:space="preserve"> </v>
      </c>
      <c r="BN459" s="598" t="str">
        <f t="shared" si="63"/>
        <v xml:space="preserve"> </v>
      </c>
      <c r="BO459" s="598" t="str">
        <f t="shared" si="63"/>
        <v xml:space="preserve"> </v>
      </c>
      <c r="BP459" s="598" t="str">
        <f t="shared" si="63"/>
        <v xml:space="preserve"> </v>
      </c>
      <c r="BQ459" s="598" t="str">
        <f t="shared" si="63"/>
        <v xml:space="preserve"> </v>
      </c>
      <c r="BR459" s="598" t="str">
        <f t="shared" si="63"/>
        <v xml:space="preserve"> </v>
      </c>
      <c r="BS459" s="598" t="str">
        <f t="shared" si="63"/>
        <v xml:space="preserve"> </v>
      </c>
      <c r="BT459" s="598" t="str">
        <f t="shared" si="63"/>
        <v xml:space="preserve"> </v>
      </c>
      <c r="BU459" s="598" t="str">
        <f t="shared" si="63"/>
        <v xml:space="preserve"> </v>
      </c>
      <c r="BV459" s="598" t="str">
        <f t="shared" si="63"/>
        <v xml:space="preserve"> </v>
      </c>
      <c r="BW459" s="598" t="str">
        <f t="shared" si="63"/>
        <v xml:space="preserve"> </v>
      </c>
      <c r="BX459" s="598" t="str">
        <f t="shared" si="63"/>
        <v xml:space="preserve"> </v>
      </c>
      <c r="BY459" s="598" t="str">
        <f t="shared" si="63"/>
        <v xml:space="preserve"> </v>
      </c>
      <c r="BZ459" s="598" t="str">
        <f t="shared" si="63"/>
        <v xml:space="preserve"> </v>
      </c>
      <c r="CA459" s="598" t="str">
        <f t="shared" si="63"/>
        <v xml:space="preserve"> </v>
      </c>
      <c r="CB459" s="598" t="str">
        <f t="shared" si="63"/>
        <v xml:space="preserve"> </v>
      </c>
      <c r="CC459" s="598" t="str">
        <f t="shared" si="64"/>
        <v xml:space="preserve"> </v>
      </c>
      <c r="CD459" s="598" t="str">
        <f t="shared" si="64"/>
        <v xml:space="preserve"> </v>
      </c>
      <c r="CE459" s="598" t="str">
        <f t="shared" si="64"/>
        <v xml:space="preserve"> </v>
      </c>
      <c r="CF459" s="598" t="str">
        <f t="shared" si="64"/>
        <v xml:space="preserve"> </v>
      </c>
      <c r="CG459" s="598" t="str">
        <f t="shared" si="64"/>
        <v xml:space="preserve"> </v>
      </c>
      <c r="CH459" s="598" t="str">
        <f t="shared" si="64"/>
        <v xml:space="preserve"> </v>
      </c>
      <c r="CI459" s="598" t="str">
        <f t="shared" si="64"/>
        <v xml:space="preserve"> </v>
      </c>
      <c r="CJ459" s="598" t="str">
        <f t="shared" si="64"/>
        <v xml:space="preserve"> </v>
      </c>
      <c r="CK459" s="598" t="str">
        <f t="shared" si="64"/>
        <v xml:space="preserve"> </v>
      </c>
      <c r="CL459" s="598" t="str">
        <f t="shared" si="64"/>
        <v xml:space="preserve"> </v>
      </c>
      <c r="CM459" s="598" t="str">
        <f t="shared" si="64"/>
        <v xml:space="preserve"> </v>
      </c>
      <c r="CN459" s="598" t="str">
        <f t="shared" si="64"/>
        <v xml:space="preserve"> </v>
      </c>
      <c r="CO459" s="598" t="str">
        <f t="shared" si="64"/>
        <v xml:space="preserve"> </v>
      </c>
      <c r="CP459" s="598" t="str">
        <f t="shared" si="64"/>
        <v xml:space="preserve"> </v>
      </c>
      <c r="CQ459" s="598" t="str">
        <f t="shared" ca="1" si="64"/>
        <v/>
      </c>
    </row>
    <row r="460" spans="1:95" ht="9.9499999999999993" customHeight="1">
      <c r="A460" s="598">
        <v>39</v>
      </c>
      <c r="B460" s="598" t="str">
        <f t="shared" ca="1" si="67"/>
        <v/>
      </c>
      <c r="C460" s="598" t="str">
        <f t="shared" ca="1" si="67"/>
        <v>Foreign (Anc.):Rule</v>
      </c>
      <c r="D460" s="598" t="str">
        <f t="shared" ca="1" si="67"/>
        <v/>
      </c>
      <c r="E460" s="598" t="str">
        <f t="shared" si="67"/>
        <v xml:space="preserve"> </v>
      </c>
      <c r="F460" s="598" t="str">
        <f t="shared" si="67"/>
        <v xml:space="preserve"> </v>
      </c>
      <c r="G460" s="598" t="str">
        <f t="shared" si="67"/>
        <v xml:space="preserve"> </v>
      </c>
      <c r="H460" s="598" t="str">
        <f t="shared" si="67"/>
        <v xml:space="preserve"> </v>
      </c>
      <c r="I460" s="598" t="str">
        <f t="shared" si="67"/>
        <v xml:space="preserve"> </v>
      </c>
      <c r="J460" s="598" t="str">
        <f t="shared" si="67"/>
        <v xml:space="preserve"> </v>
      </c>
      <c r="K460" s="598" t="str">
        <f t="shared" si="67"/>
        <v xml:space="preserve"> </v>
      </c>
      <c r="L460" s="598" t="str">
        <f t="shared" si="67"/>
        <v xml:space="preserve"> </v>
      </c>
      <c r="M460" s="598" t="str">
        <f t="shared" ca="1" si="67"/>
        <v/>
      </c>
      <c r="N460" s="598" t="str">
        <f t="shared" ca="1" si="67"/>
        <v/>
      </c>
      <c r="O460" s="598" t="str">
        <f t="shared" si="67"/>
        <v xml:space="preserve"> </v>
      </c>
      <c r="P460" s="598" t="str">
        <f t="shared" si="67"/>
        <v xml:space="preserve"> </v>
      </c>
      <c r="Q460" s="598" t="str">
        <f t="shared" si="67"/>
        <v xml:space="preserve"> </v>
      </c>
      <c r="R460" s="598" t="str">
        <f t="shared" si="67"/>
        <v xml:space="preserve"> </v>
      </c>
      <c r="S460" s="598" t="str">
        <f t="shared" si="67"/>
        <v xml:space="preserve"> </v>
      </c>
      <c r="T460" s="598" t="str">
        <f t="shared" si="67"/>
        <v xml:space="preserve"> </v>
      </c>
      <c r="U460" s="598" t="str">
        <f t="shared" si="67"/>
        <v xml:space="preserve"> </v>
      </c>
      <c r="V460" s="598" t="str">
        <f t="shared" si="67"/>
        <v xml:space="preserve"> </v>
      </c>
      <c r="W460" s="598" t="str">
        <f t="shared" si="67"/>
        <v xml:space="preserve"> </v>
      </c>
      <c r="X460" s="598" t="str">
        <f t="shared" si="67"/>
        <v xml:space="preserve"> </v>
      </c>
      <c r="Y460" s="598" t="str">
        <f t="shared" si="67"/>
        <v xml:space="preserve"> </v>
      </c>
      <c r="Z460" s="598" t="str">
        <f t="shared" si="67"/>
        <v xml:space="preserve"> </v>
      </c>
      <c r="AA460" s="598" t="str">
        <f t="shared" si="67"/>
        <v xml:space="preserve"> </v>
      </c>
      <c r="AB460" s="598" t="str">
        <f t="shared" ca="1" si="67"/>
        <v>Foreign (Anc.):Cobolan (Demotic)</v>
      </c>
      <c r="AC460" s="598" t="str">
        <f t="shared" ca="1" si="67"/>
        <v>Foreign (Anc.):Cobolan (Demotic)</v>
      </c>
      <c r="AD460" s="598" t="str">
        <f t="shared" si="67"/>
        <v xml:space="preserve"> </v>
      </c>
      <c r="AE460" s="598" t="str">
        <f t="shared" si="67"/>
        <v xml:space="preserve"> </v>
      </c>
      <c r="AF460" s="598" t="str">
        <f t="shared" si="67"/>
        <v xml:space="preserve"> </v>
      </c>
      <c r="AG460" s="598" t="str">
        <f t="shared" si="67"/>
        <v xml:space="preserve"> </v>
      </c>
      <c r="AH460" s="598" t="str">
        <f t="shared" si="67"/>
        <v xml:space="preserve"> </v>
      </c>
      <c r="AI460" s="598" t="str">
        <f t="shared" si="67"/>
        <v xml:space="preserve"> </v>
      </c>
      <c r="AJ460" s="598" t="str">
        <f t="shared" si="67"/>
        <v xml:space="preserve"> </v>
      </c>
      <c r="AK460" s="598" t="str">
        <f t="shared" si="67"/>
        <v xml:space="preserve"> </v>
      </c>
      <c r="AL460" s="598" t="str">
        <f t="shared" si="67"/>
        <v xml:space="preserve"> </v>
      </c>
      <c r="AM460" s="598" t="str">
        <f t="shared" si="67"/>
        <v xml:space="preserve"> </v>
      </c>
      <c r="AN460" s="598" t="str">
        <f t="shared" si="67"/>
        <v xml:space="preserve"> </v>
      </c>
      <c r="AO460" s="598" t="str">
        <f t="shared" si="67"/>
        <v xml:space="preserve"> </v>
      </c>
      <c r="AP460" s="598" t="str">
        <f t="shared" si="67"/>
        <v xml:space="preserve"> </v>
      </c>
      <c r="AQ460" s="598" t="str">
        <f t="shared" si="67"/>
        <v xml:space="preserve"> </v>
      </c>
      <c r="AR460" s="598" t="str">
        <f t="shared" si="67"/>
        <v xml:space="preserve"> </v>
      </c>
      <c r="AS460" s="598" t="str">
        <f t="shared" si="67"/>
        <v xml:space="preserve"> </v>
      </c>
      <c r="AT460" s="598" t="str">
        <f t="shared" si="67"/>
        <v xml:space="preserve"> </v>
      </c>
      <c r="AU460" s="598" t="str">
        <f t="shared" si="67"/>
        <v xml:space="preserve"> </v>
      </c>
      <c r="AW460" s="598" t="str">
        <f t="shared" si="65"/>
        <v xml:space="preserve"> </v>
      </c>
      <c r="AX460" s="598" t="str">
        <f t="shared" si="65"/>
        <v xml:space="preserve"> </v>
      </c>
      <c r="AY460" s="598" t="str">
        <f t="shared" si="65"/>
        <v xml:space="preserve"> </v>
      </c>
      <c r="AZ460" s="598" t="str">
        <f t="shared" si="65"/>
        <v xml:space="preserve"> </v>
      </c>
      <c r="BA460" s="598" t="str">
        <f t="shared" si="65"/>
        <v xml:space="preserve"> </v>
      </c>
      <c r="BB460" s="598" t="str">
        <f t="shared" si="65"/>
        <v xml:space="preserve"> </v>
      </c>
      <c r="BC460" s="598" t="str">
        <f t="shared" si="65"/>
        <v xml:space="preserve"> </v>
      </c>
      <c r="BD460" s="598" t="str">
        <f t="shared" si="65"/>
        <v xml:space="preserve"> </v>
      </c>
      <c r="BE460" s="598" t="str">
        <f t="shared" si="65"/>
        <v xml:space="preserve"> </v>
      </c>
      <c r="BF460" s="598" t="str">
        <f t="shared" si="65"/>
        <v xml:space="preserve"> </v>
      </c>
      <c r="BG460" s="598" t="str">
        <f t="shared" si="65"/>
        <v xml:space="preserve"> </v>
      </c>
      <c r="BH460" s="598" t="str">
        <f t="shared" si="65"/>
        <v xml:space="preserve"> </v>
      </c>
      <c r="BI460" s="598" t="str">
        <f t="shared" si="65"/>
        <v xml:space="preserve"> </v>
      </c>
      <c r="BJ460" s="598" t="str">
        <f t="shared" si="65"/>
        <v xml:space="preserve"> </v>
      </c>
      <c r="BK460" s="598" t="str">
        <f t="shared" si="65"/>
        <v xml:space="preserve"> </v>
      </c>
      <c r="BL460" s="598" t="str">
        <f t="shared" si="65"/>
        <v xml:space="preserve"> </v>
      </c>
      <c r="BM460" s="598" t="str">
        <f t="shared" si="63"/>
        <v xml:space="preserve"> </v>
      </c>
      <c r="BN460" s="598" t="str">
        <f t="shared" si="63"/>
        <v xml:space="preserve"> </v>
      </c>
      <c r="BO460" s="598" t="str">
        <f t="shared" si="63"/>
        <v xml:space="preserve"> </v>
      </c>
      <c r="BP460" s="598" t="str">
        <f t="shared" si="63"/>
        <v xml:space="preserve"> </v>
      </c>
      <c r="BQ460" s="598" t="str">
        <f t="shared" si="63"/>
        <v xml:space="preserve"> </v>
      </c>
      <c r="BR460" s="598" t="str">
        <f t="shared" si="63"/>
        <v xml:space="preserve"> </v>
      </c>
      <c r="BS460" s="598" t="str">
        <f t="shared" si="63"/>
        <v xml:space="preserve"> </v>
      </c>
      <c r="BT460" s="598" t="str">
        <f t="shared" si="63"/>
        <v xml:space="preserve"> </v>
      </c>
      <c r="BU460" s="598" t="str">
        <f t="shared" si="63"/>
        <v xml:space="preserve"> </v>
      </c>
      <c r="BV460" s="598" t="str">
        <f t="shared" si="63"/>
        <v xml:space="preserve"> </v>
      </c>
      <c r="BW460" s="598" t="str">
        <f t="shared" si="63"/>
        <v xml:space="preserve"> </v>
      </c>
      <c r="BX460" s="598" t="str">
        <f t="shared" si="63"/>
        <v xml:space="preserve"> </v>
      </c>
      <c r="BY460" s="598" t="str">
        <f t="shared" si="63"/>
        <v xml:space="preserve"> </v>
      </c>
      <c r="BZ460" s="598" t="str">
        <f t="shared" si="63"/>
        <v xml:space="preserve"> </v>
      </c>
      <c r="CA460" s="598" t="str">
        <f t="shared" si="63"/>
        <v xml:space="preserve"> </v>
      </c>
      <c r="CB460" s="598" t="str">
        <f t="shared" si="63"/>
        <v xml:space="preserve"> </v>
      </c>
      <c r="CC460" s="598" t="str">
        <f t="shared" si="64"/>
        <v xml:space="preserve"> </v>
      </c>
      <c r="CD460" s="598" t="str">
        <f t="shared" si="64"/>
        <v xml:space="preserve"> </v>
      </c>
      <c r="CE460" s="598" t="str">
        <f t="shared" si="64"/>
        <v xml:space="preserve"> </v>
      </c>
      <c r="CF460" s="598" t="str">
        <f t="shared" si="64"/>
        <v xml:space="preserve"> </v>
      </c>
      <c r="CG460" s="598" t="str">
        <f t="shared" si="64"/>
        <v xml:space="preserve"> </v>
      </c>
      <c r="CH460" s="598" t="str">
        <f t="shared" si="64"/>
        <v xml:space="preserve"> </v>
      </c>
      <c r="CI460" s="598" t="str">
        <f t="shared" si="64"/>
        <v xml:space="preserve"> </v>
      </c>
      <c r="CJ460" s="598" t="str">
        <f t="shared" si="64"/>
        <v xml:space="preserve"> </v>
      </c>
      <c r="CK460" s="598" t="str">
        <f t="shared" si="64"/>
        <v xml:space="preserve"> </v>
      </c>
      <c r="CL460" s="598" t="str">
        <f t="shared" si="64"/>
        <v xml:space="preserve"> </v>
      </c>
      <c r="CM460" s="598" t="str">
        <f t="shared" si="64"/>
        <v xml:space="preserve"> </v>
      </c>
      <c r="CN460" s="598" t="str">
        <f t="shared" si="64"/>
        <v xml:space="preserve"> </v>
      </c>
      <c r="CO460" s="598" t="str">
        <f t="shared" si="64"/>
        <v xml:space="preserve"> </v>
      </c>
      <c r="CP460" s="598" t="str">
        <f t="shared" si="64"/>
        <v xml:space="preserve"> </v>
      </c>
      <c r="CQ460" s="598" t="str">
        <f t="shared" ca="1" si="64"/>
        <v/>
      </c>
    </row>
    <row r="461" spans="1:95" ht="9.9499999999999993" customHeight="1">
      <c r="A461" s="598">
        <v>40</v>
      </c>
      <c r="B461" s="598" t="str">
        <f t="shared" ca="1" si="67"/>
        <v/>
      </c>
      <c r="C461" s="598" t="str">
        <f t="shared" ca="1" si="67"/>
        <v>Foreign (Anc.):Bidden</v>
      </c>
      <c r="D461" s="598" t="str">
        <f t="shared" ca="1" si="67"/>
        <v/>
      </c>
      <c r="E461" s="598" t="str">
        <f t="shared" si="67"/>
        <v xml:space="preserve"> </v>
      </c>
      <c r="F461" s="598" t="str">
        <f t="shared" si="67"/>
        <v xml:space="preserve"> </v>
      </c>
      <c r="G461" s="598" t="str">
        <f t="shared" si="67"/>
        <v xml:space="preserve"> </v>
      </c>
      <c r="H461" s="598" t="str">
        <f t="shared" si="67"/>
        <v xml:space="preserve"> </v>
      </c>
      <c r="I461" s="598" t="str">
        <f t="shared" si="67"/>
        <v xml:space="preserve"> </v>
      </c>
      <c r="J461" s="598" t="str">
        <f t="shared" si="67"/>
        <v xml:space="preserve"> </v>
      </c>
      <c r="K461" s="598" t="str">
        <f t="shared" si="67"/>
        <v xml:space="preserve"> </v>
      </c>
      <c r="L461" s="598" t="str">
        <f t="shared" si="67"/>
        <v xml:space="preserve"> </v>
      </c>
      <c r="M461" s="598" t="str">
        <f t="shared" ca="1" si="67"/>
        <v/>
      </c>
      <c r="N461" s="598" t="str">
        <f t="shared" ca="1" si="67"/>
        <v/>
      </c>
      <c r="O461" s="598" t="str">
        <f t="shared" si="67"/>
        <v xml:space="preserve"> </v>
      </c>
      <c r="P461" s="598" t="str">
        <f t="shared" si="67"/>
        <v xml:space="preserve"> </v>
      </c>
      <c r="Q461" s="598" t="str">
        <f t="shared" si="67"/>
        <v xml:space="preserve"> </v>
      </c>
      <c r="R461" s="598" t="str">
        <f t="shared" si="67"/>
        <v xml:space="preserve"> </v>
      </c>
      <c r="S461" s="598" t="str">
        <f t="shared" si="67"/>
        <v xml:space="preserve"> </v>
      </c>
      <c r="T461" s="598" t="str">
        <f t="shared" si="67"/>
        <v xml:space="preserve"> </v>
      </c>
      <c r="U461" s="598" t="str">
        <f t="shared" si="67"/>
        <v xml:space="preserve"> </v>
      </c>
      <c r="V461" s="598" t="str">
        <f t="shared" si="67"/>
        <v xml:space="preserve"> </v>
      </c>
      <c r="W461" s="598" t="str">
        <f t="shared" si="67"/>
        <v xml:space="preserve"> </v>
      </c>
      <c r="X461" s="598" t="str">
        <f t="shared" si="67"/>
        <v xml:space="preserve"> </v>
      </c>
      <c r="Y461" s="598" t="str">
        <f t="shared" si="67"/>
        <v xml:space="preserve"> </v>
      </c>
      <c r="Z461" s="598" t="str">
        <f t="shared" si="67"/>
        <v xml:space="preserve"> </v>
      </c>
      <c r="AA461" s="598" t="str">
        <f t="shared" si="67"/>
        <v xml:space="preserve"> </v>
      </c>
      <c r="AB461" s="598" t="str">
        <f t="shared" ca="1" si="67"/>
        <v>Foreign (Anc.):Cobolan (Hieroglyphic)</v>
      </c>
      <c r="AC461" s="598" t="str">
        <f t="shared" ca="1" si="67"/>
        <v>Foreign (Anc.):Cobolan (Hieroglyphic)</v>
      </c>
      <c r="AD461" s="598" t="str">
        <f t="shared" si="67"/>
        <v xml:space="preserve"> </v>
      </c>
      <c r="AE461" s="598" t="str">
        <f t="shared" si="67"/>
        <v xml:space="preserve"> </v>
      </c>
      <c r="AF461" s="598" t="str">
        <f t="shared" si="67"/>
        <v xml:space="preserve"> </v>
      </c>
      <c r="AG461" s="598" t="str">
        <f t="shared" si="67"/>
        <v xml:space="preserve"> </v>
      </c>
      <c r="AH461" s="598" t="str">
        <f t="shared" si="67"/>
        <v xml:space="preserve"> </v>
      </c>
      <c r="AI461" s="598" t="str">
        <f t="shared" si="67"/>
        <v xml:space="preserve"> </v>
      </c>
      <c r="AJ461" s="598" t="str">
        <f t="shared" si="67"/>
        <v xml:space="preserve"> </v>
      </c>
      <c r="AK461" s="598" t="str">
        <f t="shared" si="67"/>
        <v xml:space="preserve"> </v>
      </c>
      <c r="AL461" s="598" t="str">
        <f t="shared" si="67"/>
        <v xml:space="preserve"> </v>
      </c>
      <c r="AM461" s="598" t="str">
        <f t="shared" si="67"/>
        <v xml:space="preserve"> </v>
      </c>
      <c r="AN461" s="598" t="str">
        <f t="shared" si="67"/>
        <v xml:space="preserve"> </v>
      </c>
      <c r="AO461" s="598" t="str">
        <f t="shared" si="67"/>
        <v xml:space="preserve"> </v>
      </c>
      <c r="AP461" s="598" t="str">
        <f t="shared" si="67"/>
        <v xml:space="preserve"> </v>
      </c>
      <c r="AQ461" s="598" t="str">
        <f t="shared" si="67"/>
        <v xml:space="preserve"> </v>
      </c>
      <c r="AR461" s="598" t="str">
        <f t="shared" si="67"/>
        <v xml:space="preserve"> </v>
      </c>
      <c r="AS461" s="598" t="str">
        <f t="shared" si="67"/>
        <v xml:space="preserve"> </v>
      </c>
      <c r="AT461" s="598" t="str">
        <f t="shared" si="67"/>
        <v xml:space="preserve"> </v>
      </c>
      <c r="AU461" s="598" t="str">
        <f t="shared" si="67"/>
        <v xml:space="preserve"> </v>
      </c>
      <c r="AW461" s="598" t="str">
        <f t="shared" si="65"/>
        <v xml:space="preserve"> </v>
      </c>
      <c r="AX461" s="598" t="str">
        <f t="shared" si="65"/>
        <v xml:space="preserve"> </v>
      </c>
      <c r="AY461" s="598" t="str">
        <f t="shared" si="65"/>
        <v xml:space="preserve"> </v>
      </c>
      <c r="AZ461" s="598" t="str">
        <f t="shared" si="65"/>
        <v xml:space="preserve"> </v>
      </c>
      <c r="BA461" s="598" t="str">
        <f t="shared" si="65"/>
        <v xml:space="preserve"> </v>
      </c>
      <c r="BB461" s="598" t="str">
        <f t="shared" si="65"/>
        <v xml:space="preserve"> </v>
      </c>
      <c r="BC461" s="598" t="str">
        <f t="shared" si="65"/>
        <v xml:space="preserve"> </v>
      </c>
      <c r="BD461" s="598" t="str">
        <f t="shared" si="65"/>
        <v xml:space="preserve"> </v>
      </c>
      <c r="BE461" s="598" t="str">
        <f t="shared" si="65"/>
        <v xml:space="preserve"> </v>
      </c>
      <c r="BF461" s="598" t="str">
        <f t="shared" si="65"/>
        <v xml:space="preserve"> </v>
      </c>
      <c r="BG461" s="598" t="str">
        <f t="shared" si="65"/>
        <v xml:space="preserve"> </v>
      </c>
      <c r="BH461" s="598" t="str">
        <f t="shared" si="65"/>
        <v xml:space="preserve"> </v>
      </c>
      <c r="BI461" s="598" t="str">
        <f t="shared" si="65"/>
        <v xml:space="preserve"> </v>
      </c>
      <c r="BJ461" s="598" t="str">
        <f t="shared" si="65"/>
        <v xml:space="preserve"> </v>
      </c>
      <c r="BK461" s="598" t="str">
        <f t="shared" si="65"/>
        <v xml:space="preserve"> </v>
      </c>
      <c r="BL461" s="598" t="str">
        <f t="shared" si="65"/>
        <v xml:space="preserve"> </v>
      </c>
      <c r="BM461" s="598" t="str">
        <f t="shared" si="63"/>
        <v xml:space="preserve"> </v>
      </c>
      <c r="BN461" s="598" t="str">
        <f t="shared" si="63"/>
        <v xml:space="preserve"> </v>
      </c>
      <c r="BO461" s="598" t="str">
        <f t="shared" si="63"/>
        <v xml:space="preserve"> </v>
      </c>
      <c r="BP461" s="598" t="str">
        <f t="shared" si="63"/>
        <v xml:space="preserve"> </v>
      </c>
      <c r="BQ461" s="598" t="str">
        <f t="shared" si="63"/>
        <v xml:space="preserve"> </v>
      </c>
      <c r="BR461" s="598" t="str">
        <f t="shared" si="63"/>
        <v xml:space="preserve"> </v>
      </c>
      <c r="BS461" s="598" t="str">
        <f t="shared" si="63"/>
        <v xml:space="preserve"> </v>
      </c>
      <c r="BT461" s="598" t="str">
        <f t="shared" si="63"/>
        <v xml:space="preserve"> </v>
      </c>
      <c r="BU461" s="598" t="str">
        <f t="shared" si="63"/>
        <v xml:space="preserve"> </v>
      </c>
      <c r="BV461" s="598" t="str">
        <f t="shared" si="63"/>
        <v xml:space="preserve"> </v>
      </c>
      <c r="BW461" s="598" t="str">
        <f t="shared" si="63"/>
        <v xml:space="preserve"> </v>
      </c>
      <c r="BX461" s="598" t="str">
        <f t="shared" si="63"/>
        <v xml:space="preserve"> </v>
      </c>
      <c r="BY461" s="598" t="str">
        <f t="shared" si="63"/>
        <v xml:space="preserve"> </v>
      </c>
      <c r="BZ461" s="598" t="str">
        <f t="shared" si="63"/>
        <v xml:space="preserve"> </v>
      </c>
      <c r="CA461" s="598" t="str">
        <f t="shared" si="63"/>
        <v xml:space="preserve"> </v>
      </c>
      <c r="CB461" s="598" t="str">
        <f t="shared" si="63"/>
        <v xml:space="preserve"> </v>
      </c>
      <c r="CC461" s="598" t="str">
        <f t="shared" si="64"/>
        <v xml:space="preserve"> </v>
      </c>
      <c r="CD461" s="598" t="str">
        <f t="shared" si="64"/>
        <v xml:space="preserve"> </v>
      </c>
      <c r="CE461" s="598" t="str">
        <f t="shared" si="64"/>
        <v xml:space="preserve"> </v>
      </c>
      <c r="CF461" s="598" t="str">
        <f t="shared" si="64"/>
        <v xml:space="preserve"> </v>
      </c>
      <c r="CG461" s="598" t="str">
        <f t="shared" si="64"/>
        <v xml:space="preserve"> </v>
      </c>
      <c r="CH461" s="598" t="str">
        <f t="shared" si="64"/>
        <v xml:space="preserve"> </v>
      </c>
      <c r="CI461" s="598" t="str">
        <f t="shared" si="64"/>
        <v xml:space="preserve"> </v>
      </c>
      <c r="CJ461" s="598" t="str">
        <f t="shared" si="64"/>
        <v xml:space="preserve"> </v>
      </c>
      <c r="CK461" s="598" t="str">
        <f t="shared" si="64"/>
        <v xml:space="preserve"> </v>
      </c>
      <c r="CL461" s="598" t="str">
        <f t="shared" si="64"/>
        <v xml:space="preserve"> </v>
      </c>
      <c r="CM461" s="598" t="str">
        <f t="shared" si="64"/>
        <v xml:space="preserve"> </v>
      </c>
      <c r="CN461" s="598" t="str">
        <f t="shared" si="64"/>
        <v xml:space="preserve"> </v>
      </c>
      <c r="CO461" s="598" t="str">
        <f t="shared" si="64"/>
        <v xml:space="preserve"> </v>
      </c>
      <c r="CP461" s="598" t="str">
        <f t="shared" si="64"/>
        <v xml:space="preserve"> </v>
      </c>
      <c r="CQ461" s="598" t="str">
        <f t="shared" ca="1" si="64"/>
        <v/>
      </c>
    </row>
    <row r="462" spans="1:95" ht="9.9499999999999993" customHeight="1">
      <c r="A462" s="598">
        <v>41</v>
      </c>
      <c r="B462" s="598" t="str">
        <f t="shared" ca="1" si="67"/>
        <v/>
      </c>
      <c r="C462" s="598" t="str">
        <f t="shared" ca="1" si="67"/>
        <v>Foreign (Anc.):Cobolan</v>
      </c>
      <c r="D462" s="598" t="str">
        <f t="shared" ca="1" si="67"/>
        <v/>
      </c>
      <c r="E462" s="598" t="str">
        <f t="shared" si="67"/>
        <v xml:space="preserve"> </v>
      </c>
      <c r="F462" s="598" t="str">
        <f t="shared" si="67"/>
        <v xml:space="preserve"> </v>
      </c>
      <c r="G462" s="598" t="str">
        <f t="shared" si="67"/>
        <v xml:space="preserve"> </v>
      </c>
      <c r="H462" s="598" t="str">
        <f t="shared" si="67"/>
        <v xml:space="preserve"> </v>
      </c>
      <c r="I462" s="598" t="str">
        <f t="shared" si="67"/>
        <v xml:space="preserve"> </v>
      </c>
      <c r="J462" s="598" t="str">
        <f t="shared" si="67"/>
        <v xml:space="preserve"> </v>
      </c>
      <c r="K462" s="598" t="str">
        <f t="shared" si="67"/>
        <v xml:space="preserve"> </v>
      </c>
      <c r="L462" s="598" t="str">
        <f t="shared" si="67"/>
        <v xml:space="preserve"> </v>
      </c>
      <c r="M462" s="598" t="str">
        <f t="shared" ca="1" si="67"/>
        <v/>
      </c>
      <c r="N462" s="598" t="str">
        <f t="shared" ca="1" si="67"/>
        <v/>
      </c>
      <c r="O462" s="598" t="str">
        <f t="shared" si="67"/>
        <v xml:space="preserve"> </v>
      </c>
      <c r="P462" s="598" t="str">
        <f t="shared" si="67"/>
        <v xml:space="preserve"> </v>
      </c>
      <c r="Q462" s="598" t="str">
        <f t="shared" si="67"/>
        <v xml:space="preserve"> </v>
      </c>
      <c r="R462" s="598" t="str">
        <f t="shared" si="67"/>
        <v xml:space="preserve"> </v>
      </c>
      <c r="S462" s="598" t="str">
        <f t="shared" si="67"/>
        <v xml:space="preserve"> </v>
      </c>
      <c r="T462" s="598" t="str">
        <f t="shared" si="67"/>
        <v xml:space="preserve"> </v>
      </c>
      <c r="U462" s="598" t="str">
        <f t="shared" si="67"/>
        <v xml:space="preserve"> </v>
      </c>
      <c r="V462" s="598" t="str">
        <f t="shared" si="67"/>
        <v xml:space="preserve"> </v>
      </c>
      <c r="W462" s="598" t="str">
        <f t="shared" si="67"/>
        <v xml:space="preserve"> </v>
      </c>
      <c r="X462" s="598" t="str">
        <f t="shared" si="67"/>
        <v xml:space="preserve"> </v>
      </c>
      <c r="Y462" s="598" t="str">
        <f t="shared" si="67"/>
        <v xml:space="preserve"> </v>
      </c>
      <c r="Z462" s="598" t="str">
        <f t="shared" si="67"/>
        <v xml:space="preserve"> </v>
      </c>
      <c r="AA462" s="598" t="str">
        <f t="shared" si="67"/>
        <v xml:space="preserve"> </v>
      </c>
      <c r="AB462" s="598" t="str">
        <f t="shared" ca="1" si="67"/>
        <v>Foreign (Anc.):Mednan</v>
      </c>
      <c r="AC462" s="598" t="str">
        <f t="shared" ca="1" si="67"/>
        <v>Foreign (Anc.):Mednan</v>
      </c>
      <c r="AD462" s="598" t="str">
        <f t="shared" si="67"/>
        <v xml:space="preserve"> </v>
      </c>
      <c r="AE462" s="598" t="str">
        <f t="shared" si="67"/>
        <v xml:space="preserve"> </v>
      </c>
      <c r="AF462" s="598" t="str">
        <f t="shared" si="67"/>
        <v xml:space="preserve"> </v>
      </c>
      <c r="AG462" s="598" t="str">
        <f t="shared" si="67"/>
        <v xml:space="preserve"> </v>
      </c>
      <c r="AH462" s="598" t="str">
        <f t="shared" si="67"/>
        <v xml:space="preserve"> </v>
      </c>
      <c r="AI462" s="598" t="str">
        <f t="shared" si="67"/>
        <v xml:space="preserve"> </v>
      </c>
      <c r="AJ462" s="598" t="str">
        <f t="shared" si="67"/>
        <v xml:space="preserve"> </v>
      </c>
      <c r="AK462" s="598" t="str">
        <f t="shared" si="67"/>
        <v xml:space="preserve"> </v>
      </c>
      <c r="AL462" s="598" t="str">
        <f t="shared" si="67"/>
        <v xml:space="preserve"> </v>
      </c>
      <c r="AM462" s="598" t="str">
        <f t="shared" si="67"/>
        <v xml:space="preserve"> </v>
      </c>
      <c r="AN462" s="598" t="str">
        <f t="shared" si="67"/>
        <v xml:space="preserve"> </v>
      </c>
      <c r="AO462" s="598" t="str">
        <f t="shared" si="67"/>
        <v xml:space="preserve"> </v>
      </c>
      <c r="AP462" s="598" t="str">
        <f t="shared" si="67"/>
        <v xml:space="preserve"> </v>
      </c>
      <c r="AQ462" s="598" t="str">
        <f t="shared" si="67"/>
        <v xml:space="preserve"> </v>
      </c>
      <c r="AR462" s="598" t="str">
        <f t="shared" si="67"/>
        <v xml:space="preserve"> </v>
      </c>
      <c r="AS462" s="598" t="str">
        <f t="shared" si="67"/>
        <v xml:space="preserve"> </v>
      </c>
      <c r="AT462" s="598" t="str">
        <f t="shared" si="67"/>
        <v xml:space="preserve"> </v>
      </c>
      <c r="AU462" s="598" t="str">
        <f t="shared" si="67"/>
        <v xml:space="preserve"> </v>
      </c>
      <c r="AW462" s="598" t="str">
        <f t="shared" si="65"/>
        <v xml:space="preserve"> </v>
      </c>
      <c r="AX462" s="598" t="str">
        <f t="shared" si="65"/>
        <v xml:space="preserve"> </v>
      </c>
      <c r="AY462" s="598" t="str">
        <f t="shared" si="65"/>
        <v xml:space="preserve"> </v>
      </c>
      <c r="AZ462" s="598" t="str">
        <f t="shared" si="65"/>
        <v xml:space="preserve"> </v>
      </c>
      <c r="BA462" s="598" t="str">
        <f t="shared" si="65"/>
        <v xml:space="preserve"> </v>
      </c>
      <c r="BB462" s="598" t="str">
        <f t="shared" si="65"/>
        <v xml:space="preserve"> </v>
      </c>
      <c r="BC462" s="598" t="str">
        <f t="shared" si="65"/>
        <v xml:space="preserve"> </v>
      </c>
      <c r="BD462" s="598" t="str">
        <f t="shared" si="65"/>
        <v xml:space="preserve"> </v>
      </c>
      <c r="BE462" s="598" t="str">
        <f t="shared" si="65"/>
        <v xml:space="preserve"> </v>
      </c>
      <c r="BF462" s="598" t="str">
        <f t="shared" si="65"/>
        <v xml:space="preserve"> </v>
      </c>
      <c r="BG462" s="598" t="str">
        <f t="shared" si="65"/>
        <v xml:space="preserve"> </v>
      </c>
      <c r="BH462" s="598" t="str">
        <f t="shared" si="65"/>
        <v xml:space="preserve"> </v>
      </c>
      <c r="BI462" s="598" t="str">
        <f t="shared" si="65"/>
        <v xml:space="preserve"> </v>
      </c>
      <c r="BJ462" s="598" t="str">
        <f t="shared" si="65"/>
        <v xml:space="preserve"> </v>
      </c>
      <c r="BK462" s="598" t="str">
        <f t="shared" si="65"/>
        <v xml:space="preserve"> </v>
      </c>
      <c r="BL462" s="598" t="str">
        <f t="shared" si="65"/>
        <v xml:space="preserve"> </v>
      </c>
      <c r="BM462" s="598" t="str">
        <f t="shared" si="63"/>
        <v xml:space="preserve"> </v>
      </c>
      <c r="BN462" s="598" t="str">
        <f t="shared" si="63"/>
        <v xml:space="preserve"> </v>
      </c>
      <c r="BO462" s="598" t="str">
        <f t="shared" si="63"/>
        <v xml:space="preserve"> </v>
      </c>
      <c r="BP462" s="598" t="str">
        <f t="shared" si="63"/>
        <v xml:space="preserve"> </v>
      </c>
      <c r="BQ462" s="598" t="str">
        <f t="shared" si="63"/>
        <v xml:space="preserve"> </v>
      </c>
      <c r="BR462" s="598" t="str">
        <f t="shared" si="63"/>
        <v xml:space="preserve"> </v>
      </c>
      <c r="BS462" s="598" t="str">
        <f t="shared" si="63"/>
        <v xml:space="preserve"> </v>
      </c>
      <c r="BT462" s="598" t="str">
        <f t="shared" si="63"/>
        <v xml:space="preserve"> </v>
      </c>
      <c r="BU462" s="598" t="str">
        <f t="shared" si="63"/>
        <v xml:space="preserve"> </v>
      </c>
      <c r="BV462" s="598" t="str">
        <f t="shared" si="63"/>
        <v xml:space="preserve"> </v>
      </c>
      <c r="BW462" s="598" t="str">
        <f t="shared" si="63"/>
        <v xml:space="preserve"> </v>
      </c>
      <c r="BX462" s="598" t="str">
        <f t="shared" si="63"/>
        <v xml:space="preserve"> </v>
      </c>
      <c r="BY462" s="598" t="str">
        <f t="shared" si="63"/>
        <v xml:space="preserve"> </v>
      </c>
      <c r="BZ462" s="598" t="str">
        <f t="shared" si="63"/>
        <v xml:space="preserve"> </v>
      </c>
      <c r="CA462" s="598" t="str">
        <f t="shared" si="63"/>
        <v xml:space="preserve"> </v>
      </c>
      <c r="CB462" s="598" t="str">
        <f t="shared" si="63"/>
        <v xml:space="preserve"> </v>
      </c>
      <c r="CC462" s="598" t="str">
        <f t="shared" si="64"/>
        <v xml:space="preserve"> </v>
      </c>
      <c r="CD462" s="598" t="str">
        <f t="shared" si="64"/>
        <v xml:space="preserve"> </v>
      </c>
      <c r="CE462" s="598" t="str">
        <f t="shared" si="64"/>
        <v xml:space="preserve"> </v>
      </c>
      <c r="CF462" s="598" t="str">
        <f t="shared" si="64"/>
        <v xml:space="preserve"> </v>
      </c>
      <c r="CG462" s="598" t="str">
        <f t="shared" si="64"/>
        <v xml:space="preserve"> </v>
      </c>
      <c r="CH462" s="598" t="str">
        <f t="shared" si="64"/>
        <v xml:space="preserve"> </v>
      </c>
      <c r="CI462" s="598" t="str">
        <f t="shared" si="64"/>
        <v xml:space="preserve"> </v>
      </c>
      <c r="CJ462" s="598" t="str">
        <f t="shared" si="64"/>
        <v xml:space="preserve"> </v>
      </c>
      <c r="CK462" s="598" t="str">
        <f t="shared" si="64"/>
        <v xml:space="preserve"> </v>
      </c>
      <c r="CL462" s="598" t="str">
        <f t="shared" si="64"/>
        <v xml:space="preserve"> </v>
      </c>
      <c r="CM462" s="598" t="str">
        <f t="shared" si="64"/>
        <v xml:space="preserve"> </v>
      </c>
      <c r="CN462" s="598" t="str">
        <f t="shared" si="64"/>
        <v xml:space="preserve"> </v>
      </c>
      <c r="CO462" s="598" t="str">
        <f t="shared" si="64"/>
        <v xml:space="preserve"> </v>
      </c>
      <c r="CP462" s="598" t="str">
        <f t="shared" si="64"/>
        <v xml:space="preserve"> </v>
      </c>
      <c r="CQ462" s="598" t="str">
        <f t="shared" ca="1" si="64"/>
        <v/>
      </c>
    </row>
    <row r="463" spans="1:95" ht="9.9499999999999993" customHeight="1">
      <c r="A463" s="598">
        <v>42</v>
      </c>
      <c r="B463" s="598" t="str">
        <f t="shared" ca="1" si="67"/>
        <v/>
      </c>
      <c r="C463" s="598" t="str">
        <f t="shared" ca="1" si="67"/>
        <v>Foreign (Anc.):Mednan</v>
      </c>
      <c r="D463" s="598" t="str">
        <f t="shared" ca="1" si="67"/>
        <v/>
      </c>
      <c r="E463" s="598" t="str">
        <f t="shared" si="67"/>
        <v xml:space="preserve"> </v>
      </c>
      <c r="F463" s="598" t="str">
        <f t="shared" si="67"/>
        <v xml:space="preserve"> </v>
      </c>
      <c r="G463" s="598" t="str">
        <f t="shared" si="67"/>
        <v xml:space="preserve"> </v>
      </c>
      <c r="H463" s="598" t="str">
        <f t="shared" si="67"/>
        <v xml:space="preserve"> </v>
      </c>
      <c r="I463" s="598" t="str">
        <f t="shared" si="67"/>
        <v xml:space="preserve"> </v>
      </c>
      <c r="J463" s="598" t="str">
        <f t="shared" si="67"/>
        <v xml:space="preserve"> </v>
      </c>
      <c r="K463" s="598" t="str">
        <f t="shared" si="67"/>
        <v xml:space="preserve"> </v>
      </c>
      <c r="L463" s="598" t="str">
        <f t="shared" si="67"/>
        <v xml:space="preserve"> </v>
      </c>
      <c r="M463" s="598" t="str">
        <f t="shared" ca="1" si="67"/>
        <v/>
      </c>
      <c r="N463" s="598" t="str">
        <f t="shared" ca="1" si="67"/>
        <v/>
      </c>
      <c r="O463" s="598" t="str">
        <f t="shared" si="67"/>
        <v xml:space="preserve"> </v>
      </c>
      <c r="P463" s="598" t="str">
        <f t="shared" si="67"/>
        <v xml:space="preserve"> </v>
      </c>
      <c r="Q463" s="598" t="str">
        <f t="shared" si="67"/>
        <v xml:space="preserve"> </v>
      </c>
      <c r="R463" s="598" t="str">
        <f t="shared" si="67"/>
        <v xml:space="preserve"> </v>
      </c>
      <c r="S463" s="598" t="str">
        <f t="shared" si="67"/>
        <v xml:space="preserve"> </v>
      </c>
      <c r="T463" s="598" t="str">
        <f t="shared" si="67"/>
        <v xml:space="preserve"> </v>
      </c>
      <c r="U463" s="598" t="str">
        <f t="shared" si="67"/>
        <v xml:space="preserve"> </v>
      </c>
      <c r="V463" s="598" t="str">
        <f t="shared" si="67"/>
        <v xml:space="preserve"> </v>
      </c>
      <c r="W463" s="598" t="str">
        <f t="shared" si="67"/>
        <v xml:space="preserve"> </v>
      </c>
      <c r="X463" s="598" t="str">
        <f t="shared" si="67"/>
        <v xml:space="preserve"> </v>
      </c>
      <c r="Y463" s="598" t="str">
        <f t="shared" si="67"/>
        <v xml:space="preserve"> </v>
      </c>
      <c r="Z463" s="598" t="str">
        <f t="shared" si="67"/>
        <v xml:space="preserve"> </v>
      </c>
      <c r="AA463" s="598" t="str">
        <f t="shared" si="67"/>
        <v xml:space="preserve"> </v>
      </c>
      <c r="AB463" s="598" t="str">
        <f t="shared" ca="1" si="67"/>
        <v>Foreign (Anc.):Slaven</v>
      </c>
      <c r="AC463" s="598" t="str">
        <f t="shared" ca="1" si="67"/>
        <v>Foreign (Anc.):Slaven</v>
      </c>
      <c r="AD463" s="598" t="str">
        <f t="shared" si="67"/>
        <v xml:space="preserve"> </v>
      </c>
      <c r="AE463" s="598" t="str">
        <f t="shared" si="67"/>
        <v xml:space="preserve"> </v>
      </c>
      <c r="AF463" s="598" t="str">
        <f t="shared" si="67"/>
        <v xml:space="preserve"> </v>
      </c>
      <c r="AG463" s="598" t="str">
        <f t="shared" si="67"/>
        <v xml:space="preserve"> </v>
      </c>
      <c r="AH463" s="598" t="str">
        <f t="shared" si="67"/>
        <v xml:space="preserve"> </v>
      </c>
      <c r="AI463" s="598" t="str">
        <f t="shared" si="67"/>
        <v xml:space="preserve"> </v>
      </c>
      <c r="AJ463" s="598" t="str">
        <f t="shared" si="67"/>
        <v xml:space="preserve"> </v>
      </c>
      <c r="AK463" s="598" t="str">
        <f t="shared" si="67"/>
        <v xml:space="preserve"> </v>
      </c>
      <c r="AL463" s="598" t="str">
        <f t="shared" si="67"/>
        <v xml:space="preserve"> </v>
      </c>
      <c r="AM463" s="598" t="str">
        <f t="shared" si="67"/>
        <v xml:space="preserve"> </v>
      </c>
      <c r="AN463" s="598" t="str">
        <f t="shared" si="67"/>
        <v xml:space="preserve"> </v>
      </c>
      <c r="AO463" s="598" t="str">
        <f t="shared" si="67"/>
        <v xml:space="preserve"> </v>
      </c>
      <c r="AP463" s="598" t="str">
        <f t="shared" si="67"/>
        <v xml:space="preserve"> </v>
      </c>
      <c r="AQ463" s="598" t="str">
        <f t="shared" si="67"/>
        <v xml:space="preserve"> </v>
      </c>
      <c r="AR463" s="598" t="str">
        <f t="shared" si="67"/>
        <v xml:space="preserve"> </v>
      </c>
      <c r="AS463" s="598" t="str">
        <f t="shared" si="67"/>
        <v xml:space="preserve"> </v>
      </c>
      <c r="AT463" s="598" t="str">
        <f t="shared" si="67"/>
        <v xml:space="preserve"> </v>
      </c>
      <c r="AU463" s="598" t="str">
        <f t="shared" si="67"/>
        <v xml:space="preserve"> </v>
      </c>
      <c r="AW463" s="598" t="str">
        <f t="shared" si="65"/>
        <v xml:space="preserve"> </v>
      </c>
      <c r="AX463" s="598" t="str">
        <f t="shared" si="65"/>
        <v xml:space="preserve"> </v>
      </c>
      <c r="AY463" s="598" t="str">
        <f t="shared" si="65"/>
        <v xml:space="preserve"> </v>
      </c>
      <c r="AZ463" s="598" t="str">
        <f t="shared" si="65"/>
        <v xml:space="preserve"> </v>
      </c>
      <c r="BA463" s="598" t="str">
        <f t="shared" si="65"/>
        <v xml:space="preserve"> </v>
      </c>
      <c r="BB463" s="598" t="str">
        <f t="shared" si="65"/>
        <v xml:space="preserve"> </v>
      </c>
      <c r="BC463" s="598" t="str">
        <f t="shared" si="65"/>
        <v xml:space="preserve"> </v>
      </c>
      <c r="BD463" s="598" t="str">
        <f t="shared" si="65"/>
        <v xml:space="preserve"> </v>
      </c>
      <c r="BE463" s="598" t="str">
        <f t="shared" si="65"/>
        <v xml:space="preserve"> </v>
      </c>
      <c r="BF463" s="598" t="str">
        <f t="shared" si="65"/>
        <v xml:space="preserve"> </v>
      </c>
      <c r="BG463" s="598" t="str">
        <f t="shared" si="65"/>
        <v xml:space="preserve"> </v>
      </c>
      <c r="BH463" s="598" t="str">
        <f t="shared" si="65"/>
        <v xml:space="preserve"> </v>
      </c>
      <c r="BI463" s="598" t="str">
        <f t="shared" si="65"/>
        <v xml:space="preserve"> </v>
      </c>
      <c r="BJ463" s="598" t="str">
        <f t="shared" si="65"/>
        <v xml:space="preserve"> </v>
      </c>
      <c r="BK463" s="598" t="str">
        <f t="shared" si="65"/>
        <v xml:space="preserve"> </v>
      </c>
      <c r="BL463" s="598" t="str">
        <f t="shared" si="65"/>
        <v xml:space="preserve"> </v>
      </c>
      <c r="BM463" s="598" t="str">
        <f t="shared" si="63"/>
        <v xml:space="preserve"> </v>
      </c>
      <c r="BN463" s="598" t="str">
        <f t="shared" si="63"/>
        <v xml:space="preserve"> </v>
      </c>
      <c r="BO463" s="598" t="str">
        <f t="shared" si="63"/>
        <v xml:space="preserve"> </v>
      </c>
      <c r="BP463" s="598" t="str">
        <f t="shared" si="63"/>
        <v xml:space="preserve"> </v>
      </c>
      <c r="BQ463" s="598" t="str">
        <f t="shared" si="63"/>
        <v xml:space="preserve"> </v>
      </c>
      <c r="BR463" s="598" t="str">
        <f t="shared" si="63"/>
        <v xml:space="preserve"> </v>
      </c>
      <c r="BS463" s="598" t="str">
        <f t="shared" si="63"/>
        <v xml:space="preserve"> </v>
      </c>
      <c r="BT463" s="598" t="str">
        <f t="shared" si="63"/>
        <v xml:space="preserve"> </v>
      </c>
      <c r="BU463" s="598" t="str">
        <f t="shared" si="63"/>
        <v xml:space="preserve"> </v>
      </c>
      <c r="BV463" s="598" t="str">
        <f t="shared" si="63"/>
        <v xml:space="preserve"> </v>
      </c>
      <c r="BW463" s="598" t="str">
        <f t="shared" si="63"/>
        <v xml:space="preserve"> </v>
      </c>
      <c r="BX463" s="598" t="str">
        <f t="shared" si="63"/>
        <v xml:space="preserve"> </v>
      </c>
      <c r="BY463" s="598" t="str">
        <f t="shared" si="63"/>
        <v xml:space="preserve"> </v>
      </c>
      <c r="BZ463" s="598" t="str">
        <f t="shared" si="63"/>
        <v xml:space="preserve"> </v>
      </c>
      <c r="CA463" s="598" t="str">
        <f t="shared" si="63"/>
        <v xml:space="preserve"> </v>
      </c>
      <c r="CB463" s="598" t="str">
        <f t="shared" si="63"/>
        <v xml:space="preserve"> </v>
      </c>
      <c r="CC463" s="598" t="str">
        <f t="shared" si="64"/>
        <v xml:space="preserve"> </v>
      </c>
      <c r="CD463" s="598" t="str">
        <f t="shared" si="64"/>
        <v xml:space="preserve"> </v>
      </c>
      <c r="CE463" s="598" t="str">
        <f t="shared" si="64"/>
        <v xml:space="preserve"> </v>
      </c>
      <c r="CF463" s="598" t="str">
        <f t="shared" si="64"/>
        <v xml:space="preserve"> </v>
      </c>
      <c r="CG463" s="598" t="str">
        <f t="shared" si="64"/>
        <v xml:space="preserve"> </v>
      </c>
      <c r="CH463" s="598" t="str">
        <f t="shared" si="64"/>
        <v xml:space="preserve"> </v>
      </c>
      <c r="CI463" s="598" t="str">
        <f t="shared" si="64"/>
        <v xml:space="preserve"> </v>
      </c>
      <c r="CJ463" s="598" t="str">
        <f t="shared" si="64"/>
        <v xml:space="preserve"> </v>
      </c>
      <c r="CK463" s="598" t="str">
        <f t="shared" si="64"/>
        <v xml:space="preserve"> </v>
      </c>
      <c r="CL463" s="598" t="str">
        <f t="shared" si="64"/>
        <v xml:space="preserve"> </v>
      </c>
      <c r="CM463" s="598" t="str">
        <f t="shared" si="64"/>
        <v xml:space="preserve"> </v>
      </c>
      <c r="CN463" s="598" t="str">
        <f t="shared" si="64"/>
        <v xml:space="preserve"> </v>
      </c>
      <c r="CO463" s="598" t="str">
        <f t="shared" si="64"/>
        <v xml:space="preserve"> </v>
      </c>
      <c r="CP463" s="598" t="str">
        <f t="shared" si="64"/>
        <v xml:space="preserve"> </v>
      </c>
      <c r="CQ463" s="598" t="str">
        <f t="shared" ca="1" si="64"/>
        <v/>
      </c>
    </row>
    <row r="464" spans="1:95" ht="9.9499999999999993" customHeight="1">
      <c r="A464" s="598">
        <v>43</v>
      </c>
      <c r="B464" s="598" t="str">
        <f t="shared" ca="1" si="67"/>
        <v/>
      </c>
      <c r="C464" s="598" t="str">
        <f t="shared" ca="1" si="67"/>
        <v>Foreign (Anc.):Slaven</v>
      </c>
      <c r="D464" s="598" t="str">
        <f t="shared" ca="1" si="67"/>
        <v/>
      </c>
      <c r="E464" s="598" t="str">
        <f t="shared" si="67"/>
        <v xml:space="preserve"> </v>
      </c>
      <c r="F464" s="598" t="str">
        <f t="shared" si="67"/>
        <v xml:space="preserve"> </v>
      </c>
      <c r="G464" s="598" t="str">
        <f t="shared" si="67"/>
        <v xml:space="preserve"> </v>
      </c>
      <c r="H464" s="598" t="str">
        <f t="shared" si="67"/>
        <v xml:space="preserve"> </v>
      </c>
      <c r="I464" s="598" t="str">
        <f t="shared" si="67"/>
        <v xml:space="preserve"> </v>
      </c>
      <c r="J464" s="598" t="str">
        <f t="shared" si="67"/>
        <v xml:space="preserve"> </v>
      </c>
      <c r="K464" s="598" t="str">
        <f t="shared" si="67"/>
        <v xml:space="preserve"> </v>
      </c>
      <c r="L464" s="598" t="str">
        <f t="shared" si="67"/>
        <v xml:space="preserve"> </v>
      </c>
      <c r="M464" s="598" t="str">
        <f t="shared" ca="1" si="67"/>
        <v/>
      </c>
      <c r="N464" s="598" t="str">
        <f t="shared" ca="1" si="67"/>
        <v/>
      </c>
      <c r="O464" s="598" t="str">
        <f t="shared" si="67"/>
        <v xml:space="preserve"> </v>
      </c>
      <c r="P464" s="598" t="str">
        <f t="shared" si="67"/>
        <v xml:space="preserve"> </v>
      </c>
      <c r="Q464" s="598" t="str">
        <f t="shared" si="67"/>
        <v xml:space="preserve"> </v>
      </c>
      <c r="R464" s="598" t="str">
        <f t="shared" si="67"/>
        <v xml:space="preserve"> </v>
      </c>
      <c r="S464" s="598" t="str">
        <f t="shared" si="67"/>
        <v xml:space="preserve"> </v>
      </c>
      <c r="T464" s="598" t="str">
        <f t="shared" si="67"/>
        <v xml:space="preserve"> </v>
      </c>
      <c r="U464" s="598" t="str">
        <f t="shared" si="67"/>
        <v xml:space="preserve"> </v>
      </c>
      <c r="V464" s="598" t="str">
        <f t="shared" si="67"/>
        <v xml:space="preserve"> </v>
      </c>
      <c r="W464" s="598" t="str">
        <f t="shared" si="67"/>
        <v xml:space="preserve"> </v>
      </c>
      <c r="X464" s="598" t="str">
        <f t="shared" si="67"/>
        <v xml:space="preserve"> </v>
      </c>
      <c r="Y464" s="598" t="str">
        <f t="shared" si="67"/>
        <v xml:space="preserve"> </v>
      </c>
      <c r="Z464" s="598" t="str">
        <f t="shared" si="67"/>
        <v xml:space="preserve"> </v>
      </c>
      <c r="AA464" s="598" t="str">
        <f t="shared" ref="AA464:AU464" si="68">HLOOKUP(AA$421,$C$217:$Z$317,$A464+1)</f>
        <v xml:space="preserve"> </v>
      </c>
      <c r="AB464" s="598" t="str">
        <f t="shared" ca="1" si="68"/>
        <v>Foreign (Anc.):Lorn</v>
      </c>
      <c r="AC464" s="598" t="str">
        <f t="shared" ca="1" si="68"/>
        <v>Foreign (Anc.):Lorn</v>
      </c>
      <c r="AD464" s="598" t="str">
        <f t="shared" si="68"/>
        <v xml:space="preserve"> </v>
      </c>
      <c r="AE464" s="598" t="str">
        <f t="shared" si="68"/>
        <v xml:space="preserve"> </v>
      </c>
      <c r="AF464" s="598" t="str">
        <f t="shared" si="68"/>
        <v xml:space="preserve"> </v>
      </c>
      <c r="AG464" s="598" t="str">
        <f t="shared" si="68"/>
        <v xml:space="preserve"> </v>
      </c>
      <c r="AH464" s="598" t="str">
        <f t="shared" si="68"/>
        <v xml:space="preserve"> </v>
      </c>
      <c r="AI464" s="598" t="str">
        <f t="shared" si="68"/>
        <v xml:space="preserve"> </v>
      </c>
      <c r="AJ464" s="598" t="str">
        <f t="shared" si="68"/>
        <v xml:space="preserve"> </v>
      </c>
      <c r="AK464" s="598" t="str">
        <f t="shared" si="68"/>
        <v xml:space="preserve"> </v>
      </c>
      <c r="AL464" s="598" t="str">
        <f t="shared" si="68"/>
        <v xml:space="preserve"> </v>
      </c>
      <c r="AM464" s="598" t="str">
        <f t="shared" si="68"/>
        <v xml:space="preserve"> </v>
      </c>
      <c r="AN464" s="598" t="str">
        <f t="shared" si="68"/>
        <v xml:space="preserve"> </v>
      </c>
      <c r="AO464" s="598" t="str">
        <f t="shared" si="68"/>
        <v xml:space="preserve"> </v>
      </c>
      <c r="AP464" s="598" t="str">
        <f t="shared" si="68"/>
        <v xml:space="preserve"> </v>
      </c>
      <c r="AQ464" s="598" t="str">
        <f t="shared" si="68"/>
        <v xml:space="preserve"> </v>
      </c>
      <c r="AR464" s="598" t="str">
        <f t="shared" si="68"/>
        <v xml:space="preserve"> </v>
      </c>
      <c r="AS464" s="598" t="str">
        <f t="shared" si="68"/>
        <v xml:space="preserve"> </v>
      </c>
      <c r="AT464" s="598" t="str">
        <f t="shared" si="68"/>
        <v xml:space="preserve"> </v>
      </c>
      <c r="AU464" s="598" t="str">
        <f t="shared" si="68"/>
        <v xml:space="preserve"> </v>
      </c>
      <c r="AW464" s="598" t="str">
        <f t="shared" si="65"/>
        <v xml:space="preserve"> </v>
      </c>
      <c r="AX464" s="598" t="str">
        <f t="shared" si="65"/>
        <v xml:space="preserve"> </v>
      </c>
      <c r="AY464" s="598" t="str">
        <f t="shared" si="65"/>
        <v xml:space="preserve"> </v>
      </c>
      <c r="AZ464" s="598" t="str">
        <f t="shared" si="65"/>
        <v xml:space="preserve"> </v>
      </c>
      <c r="BA464" s="598" t="str">
        <f t="shared" si="65"/>
        <v xml:space="preserve"> </v>
      </c>
      <c r="BB464" s="598" t="str">
        <f t="shared" si="65"/>
        <v xml:space="preserve"> </v>
      </c>
      <c r="BC464" s="598" t="str">
        <f t="shared" si="65"/>
        <v xml:space="preserve"> </v>
      </c>
      <c r="BD464" s="598" t="str">
        <f t="shared" si="65"/>
        <v xml:space="preserve"> </v>
      </c>
      <c r="BE464" s="598" t="str">
        <f t="shared" si="65"/>
        <v xml:space="preserve"> </v>
      </c>
      <c r="BF464" s="598" t="str">
        <f t="shared" si="65"/>
        <v xml:space="preserve"> </v>
      </c>
      <c r="BG464" s="598" t="str">
        <f t="shared" si="65"/>
        <v xml:space="preserve"> </v>
      </c>
      <c r="BH464" s="598" t="str">
        <f t="shared" si="65"/>
        <v xml:space="preserve"> </v>
      </c>
      <c r="BI464" s="598" t="str">
        <f t="shared" si="65"/>
        <v xml:space="preserve"> </v>
      </c>
      <c r="BJ464" s="598" t="str">
        <f t="shared" si="65"/>
        <v xml:space="preserve"> </v>
      </c>
      <c r="BK464" s="598" t="str">
        <f t="shared" si="65"/>
        <v xml:space="preserve"> </v>
      </c>
      <c r="BL464" s="598" t="str">
        <f t="shared" si="65"/>
        <v xml:space="preserve"> </v>
      </c>
      <c r="BM464" s="598" t="str">
        <f t="shared" si="63"/>
        <v xml:space="preserve"> </v>
      </c>
      <c r="BN464" s="598" t="str">
        <f t="shared" si="63"/>
        <v xml:space="preserve"> </v>
      </c>
      <c r="BO464" s="598" t="str">
        <f t="shared" si="63"/>
        <v xml:space="preserve"> </v>
      </c>
      <c r="BP464" s="598" t="str">
        <f t="shared" si="63"/>
        <v xml:space="preserve"> </v>
      </c>
      <c r="BQ464" s="598" t="str">
        <f t="shared" si="63"/>
        <v xml:space="preserve"> </v>
      </c>
      <c r="BR464" s="598" t="str">
        <f t="shared" si="63"/>
        <v xml:space="preserve"> </v>
      </c>
      <c r="BS464" s="598" t="str">
        <f t="shared" si="63"/>
        <v xml:space="preserve"> </v>
      </c>
      <c r="BT464" s="598" t="str">
        <f t="shared" si="63"/>
        <v xml:space="preserve"> </v>
      </c>
      <c r="BU464" s="598" t="str">
        <f t="shared" si="63"/>
        <v xml:space="preserve"> </v>
      </c>
      <c r="BV464" s="598" t="str">
        <f t="shared" si="63"/>
        <v xml:space="preserve"> </v>
      </c>
      <c r="BW464" s="598" t="str">
        <f t="shared" si="63"/>
        <v xml:space="preserve"> </v>
      </c>
      <c r="BX464" s="598" t="str">
        <f t="shared" si="63"/>
        <v xml:space="preserve"> </v>
      </c>
      <c r="BY464" s="598" t="str">
        <f t="shared" si="63"/>
        <v xml:space="preserve"> </v>
      </c>
      <c r="BZ464" s="598" t="str">
        <f t="shared" si="63"/>
        <v xml:space="preserve"> </v>
      </c>
      <c r="CA464" s="598" t="str">
        <f t="shared" si="63"/>
        <v xml:space="preserve"> </v>
      </c>
      <c r="CB464" s="598" t="str">
        <f t="shared" si="63"/>
        <v xml:space="preserve"> </v>
      </c>
      <c r="CC464" s="598" t="str">
        <f t="shared" si="64"/>
        <v xml:space="preserve"> </v>
      </c>
      <c r="CD464" s="598" t="str">
        <f t="shared" si="64"/>
        <v xml:space="preserve"> </v>
      </c>
      <c r="CE464" s="598" t="str">
        <f t="shared" si="64"/>
        <v xml:space="preserve"> </v>
      </c>
      <c r="CF464" s="598" t="str">
        <f t="shared" si="64"/>
        <v xml:space="preserve"> </v>
      </c>
      <c r="CG464" s="598" t="str">
        <f t="shared" si="64"/>
        <v xml:space="preserve"> </v>
      </c>
      <c r="CH464" s="598" t="str">
        <f t="shared" si="64"/>
        <v xml:space="preserve"> </v>
      </c>
      <c r="CI464" s="598" t="str">
        <f t="shared" si="64"/>
        <v xml:space="preserve"> </v>
      </c>
      <c r="CJ464" s="598" t="str">
        <f t="shared" si="64"/>
        <v xml:space="preserve"> </v>
      </c>
      <c r="CK464" s="598" t="str">
        <f t="shared" si="64"/>
        <v xml:space="preserve"> </v>
      </c>
      <c r="CL464" s="598" t="str">
        <f t="shared" si="64"/>
        <v xml:space="preserve"> </v>
      </c>
      <c r="CM464" s="598" t="str">
        <f t="shared" si="64"/>
        <v xml:space="preserve"> </v>
      </c>
      <c r="CN464" s="598" t="str">
        <f t="shared" si="64"/>
        <v xml:space="preserve"> </v>
      </c>
      <c r="CO464" s="598" t="str">
        <f t="shared" si="64"/>
        <v xml:space="preserve"> </v>
      </c>
      <c r="CP464" s="598" t="str">
        <f t="shared" si="64"/>
        <v xml:space="preserve"> </v>
      </c>
      <c r="CQ464" s="598" t="str">
        <f t="shared" ca="1" si="64"/>
        <v/>
      </c>
    </row>
    <row r="465" spans="1:95" ht="9.9499999999999993" customHeight="1">
      <c r="A465" s="598">
        <v>44</v>
      </c>
      <c r="B465" s="598" t="str">
        <f t="shared" ref="B465:AU470" ca="1" si="69">HLOOKUP(B$421,$C$217:$Z$317,$A465+1)</f>
        <v/>
      </c>
      <c r="C465" s="598" t="str">
        <f t="shared" ca="1" si="69"/>
        <v>Foreign (Anc.):Lorn</v>
      </c>
      <c r="D465" s="598" t="str">
        <f t="shared" ca="1" si="69"/>
        <v/>
      </c>
      <c r="E465" s="598" t="str">
        <f t="shared" si="69"/>
        <v xml:space="preserve"> </v>
      </c>
      <c r="F465" s="598" t="str">
        <f t="shared" si="69"/>
        <v xml:space="preserve"> </v>
      </c>
      <c r="G465" s="598" t="str">
        <f t="shared" si="69"/>
        <v xml:space="preserve"> </v>
      </c>
      <c r="H465" s="598" t="str">
        <f t="shared" si="69"/>
        <v xml:space="preserve"> </v>
      </c>
      <c r="I465" s="598" t="str">
        <f t="shared" si="69"/>
        <v xml:space="preserve"> </v>
      </c>
      <c r="J465" s="598" t="str">
        <f t="shared" si="69"/>
        <v xml:space="preserve"> </v>
      </c>
      <c r="K465" s="598" t="str">
        <f t="shared" si="69"/>
        <v xml:space="preserve"> </v>
      </c>
      <c r="L465" s="598" t="str">
        <f t="shared" si="69"/>
        <v xml:space="preserve"> </v>
      </c>
      <c r="M465" s="598" t="str">
        <f t="shared" ca="1" si="69"/>
        <v/>
      </c>
      <c r="N465" s="598" t="str">
        <f t="shared" ca="1" si="69"/>
        <v/>
      </c>
      <c r="O465" s="598" t="str">
        <f t="shared" si="69"/>
        <v xml:space="preserve"> </v>
      </c>
      <c r="P465" s="598" t="str">
        <f t="shared" si="69"/>
        <v xml:space="preserve"> </v>
      </c>
      <c r="Q465" s="598" t="str">
        <f t="shared" si="69"/>
        <v xml:space="preserve"> </v>
      </c>
      <c r="R465" s="598" t="str">
        <f t="shared" si="69"/>
        <v xml:space="preserve"> </v>
      </c>
      <c r="S465" s="598" t="str">
        <f t="shared" si="69"/>
        <v xml:space="preserve"> </v>
      </c>
      <c r="T465" s="598" t="str">
        <f t="shared" si="69"/>
        <v xml:space="preserve"> </v>
      </c>
      <c r="U465" s="598" t="str">
        <f t="shared" si="69"/>
        <v xml:space="preserve"> </v>
      </c>
      <c r="V465" s="598" t="str">
        <f t="shared" si="69"/>
        <v xml:space="preserve"> </v>
      </c>
      <c r="W465" s="598" t="str">
        <f t="shared" si="69"/>
        <v xml:space="preserve"> </v>
      </c>
      <c r="X465" s="598" t="str">
        <f t="shared" si="69"/>
        <v xml:space="preserve"> </v>
      </c>
      <c r="Y465" s="598" t="str">
        <f t="shared" si="69"/>
        <v xml:space="preserve"> </v>
      </c>
      <c r="Z465" s="598" t="str">
        <f t="shared" si="69"/>
        <v xml:space="preserve"> </v>
      </c>
      <c r="AA465" s="598" t="str">
        <f t="shared" si="69"/>
        <v xml:space="preserve"> </v>
      </c>
      <c r="AB465" s="598" t="str">
        <f t="shared" ca="1" si="69"/>
        <v>Foreign (Anc.):Ancient Lands</v>
      </c>
      <c r="AC465" s="598" t="str">
        <f t="shared" ca="1" si="69"/>
        <v>Foreign (Anc.):Ancient Lands</v>
      </c>
      <c r="AD465" s="598" t="str">
        <f t="shared" si="69"/>
        <v xml:space="preserve"> </v>
      </c>
      <c r="AE465" s="598" t="str">
        <f t="shared" si="69"/>
        <v xml:space="preserve"> </v>
      </c>
      <c r="AF465" s="598" t="str">
        <f t="shared" si="69"/>
        <v xml:space="preserve"> </v>
      </c>
      <c r="AG465" s="598" t="str">
        <f t="shared" si="69"/>
        <v xml:space="preserve"> </v>
      </c>
      <c r="AH465" s="598" t="str">
        <f t="shared" si="69"/>
        <v xml:space="preserve"> </v>
      </c>
      <c r="AI465" s="598" t="str">
        <f t="shared" si="69"/>
        <v xml:space="preserve"> </v>
      </c>
      <c r="AJ465" s="598" t="str">
        <f t="shared" si="69"/>
        <v xml:space="preserve"> </v>
      </c>
      <c r="AK465" s="598" t="str">
        <f t="shared" si="69"/>
        <v xml:space="preserve"> </v>
      </c>
      <c r="AL465" s="598" t="str">
        <f t="shared" si="69"/>
        <v xml:space="preserve"> </v>
      </c>
      <c r="AM465" s="598" t="str">
        <f t="shared" si="69"/>
        <v xml:space="preserve"> </v>
      </c>
      <c r="AN465" s="598" t="str">
        <f t="shared" si="69"/>
        <v xml:space="preserve"> </v>
      </c>
      <c r="AO465" s="598" t="str">
        <f t="shared" si="69"/>
        <v xml:space="preserve"> </v>
      </c>
      <c r="AP465" s="598" t="str">
        <f t="shared" si="69"/>
        <v xml:space="preserve"> </v>
      </c>
      <c r="AQ465" s="598" t="str">
        <f t="shared" si="69"/>
        <v xml:space="preserve"> </v>
      </c>
      <c r="AR465" s="598" t="str">
        <f t="shared" si="69"/>
        <v xml:space="preserve"> </v>
      </c>
      <c r="AS465" s="598" t="str">
        <f t="shared" si="69"/>
        <v xml:space="preserve"> </v>
      </c>
      <c r="AT465" s="598" t="str">
        <f t="shared" si="69"/>
        <v xml:space="preserve"> </v>
      </c>
      <c r="AU465" s="598" t="str">
        <f t="shared" si="69"/>
        <v xml:space="preserve"> </v>
      </c>
      <c r="AW465" s="598" t="str">
        <f t="shared" si="65"/>
        <v xml:space="preserve"> </v>
      </c>
      <c r="AX465" s="598" t="str">
        <f t="shared" si="65"/>
        <v xml:space="preserve"> </v>
      </c>
      <c r="AY465" s="598" t="str">
        <f t="shared" si="65"/>
        <v xml:space="preserve"> </v>
      </c>
      <c r="AZ465" s="598" t="str">
        <f t="shared" si="65"/>
        <v xml:space="preserve"> </v>
      </c>
      <c r="BA465" s="598" t="str">
        <f t="shared" si="65"/>
        <v xml:space="preserve"> </v>
      </c>
      <c r="BB465" s="598" t="str">
        <f t="shared" si="65"/>
        <v xml:space="preserve"> </v>
      </c>
      <c r="BC465" s="598" t="str">
        <f t="shared" si="65"/>
        <v xml:space="preserve"> </v>
      </c>
      <c r="BD465" s="598" t="str">
        <f t="shared" si="65"/>
        <v xml:space="preserve"> </v>
      </c>
      <c r="BE465" s="598" t="str">
        <f t="shared" si="65"/>
        <v xml:space="preserve"> </v>
      </c>
      <c r="BF465" s="598" t="str">
        <f t="shared" si="65"/>
        <v xml:space="preserve"> </v>
      </c>
      <c r="BG465" s="598" t="str">
        <f t="shared" si="65"/>
        <v xml:space="preserve"> </v>
      </c>
      <c r="BH465" s="598" t="str">
        <f t="shared" si="65"/>
        <v xml:space="preserve"> </v>
      </c>
      <c r="BI465" s="598" t="str">
        <f t="shared" si="65"/>
        <v xml:space="preserve"> </v>
      </c>
      <c r="BJ465" s="598" t="str">
        <f t="shared" si="65"/>
        <v xml:space="preserve"> </v>
      </c>
      <c r="BK465" s="598" t="str">
        <f t="shared" si="65"/>
        <v xml:space="preserve"> </v>
      </c>
      <c r="BL465" s="598" t="str">
        <f t="shared" si="65"/>
        <v xml:space="preserve"> </v>
      </c>
      <c r="BM465" s="598" t="str">
        <f t="shared" si="63"/>
        <v xml:space="preserve"> </v>
      </c>
      <c r="BN465" s="598" t="str">
        <f t="shared" si="63"/>
        <v xml:space="preserve"> </v>
      </c>
      <c r="BO465" s="598" t="str">
        <f t="shared" si="63"/>
        <v xml:space="preserve"> </v>
      </c>
      <c r="BP465" s="598" t="str">
        <f t="shared" si="63"/>
        <v xml:space="preserve"> </v>
      </c>
      <c r="BQ465" s="598" t="str">
        <f t="shared" si="63"/>
        <v xml:space="preserve"> </v>
      </c>
      <c r="BR465" s="598" t="str">
        <f t="shared" si="63"/>
        <v xml:space="preserve"> </v>
      </c>
      <c r="BS465" s="598" t="str">
        <f t="shared" si="63"/>
        <v xml:space="preserve"> </v>
      </c>
      <c r="BT465" s="598" t="str">
        <f t="shared" si="63"/>
        <v xml:space="preserve"> </v>
      </c>
      <c r="BU465" s="598" t="str">
        <f t="shared" si="63"/>
        <v xml:space="preserve"> </v>
      </c>
      <c r="BV465" s="598" t="str">
        <f t="shared" si="63"/>
        <v xml:space="preserve"> </v>
      </c>
      <c r="BW465" s="598" t="str">
        <f t="shared" si="63"/>
        <v xml:space="preserve"> </v>
      </c>
      <c r="BX465" s="598" t="str">
        <f t="shared" si="63"/>
        <v xml:space="preserve"> </v>
      </c>
      <c r="BY465" s="598" t="str">
        <f t="shared" si="63"/>
        <v xml:space="preserve"> </v>
      </c>
      <c r="BZ465" s="598" t="str">
        <f t="shared" si="63"/>
        <v xml:space="preserve"> </v>
      </c>
      <c r="CA465" s="598" t="str">
        <f t="shared" si="63"/>
        <v xml:space="preserve"> </v>
      </c>
      <c r="CB465" s="598" t="str">
        <f t="shared" si="63"/>
        <v xml:space="preserve"> </v>
      </c>
      <c r="CC465" s="598" t="str">
        <f t="shared" si="64"/>
        <v xml:space="preserve"> </v>
      </c>
      <c r="CD465" s="598" t="str">
        <f t="shared" si="64"/>
        <v xml:space="preserve"> </v>
      </c>
      <c r="CE465" s="598" t="str">
        <f t="shared" si="64"/>
        <v xml:space="preserve"> </v>
      </c>
      <c r="CF465" s="598" t="str">
        <f t="shared" si="64"/>
        <v xml:space="preserve"> </v>
      </c>
      <c r="CG465" s="598" t="str">
        <f t="shared" si="64"/>
        <v xml:space="preserve"> </v>
      </c>
      <c r="CH465" s="598" t="str">
        <f t="shared" si="64"/>
        <v xml:space="preserve"> </v>
      </c>
      <c r="CI465" s="598" t="str">
        <f t="shared" si="64"/>
        <v xml:space="preserve"> </v>
      </c>
      <c r="CJ465" s="598" t="str">
        <f t="shared" si="64"/>
        <v xml:space="preserve"> </v>
      </c>
      <c r="CK465" s="598" t="str">
        <f t="shared" si="64"/>
        <v xml:space="preserve"> </v>
      </c>
      <c r="CL465" s="598" t="str">
        <f t="shared" si="64"/>
        <v xml:space="preserve"> </v>
      </c>
      <c r="CM465" s="598" t="str">
        <f t="shared" si="64"/>
        <v xml:space="preserve"> </v>
      </c>
      <c r="CN465" s="598" t="str">
        <f t="shared" si="64"/>
        <v xml:space="preserve"> </v>
      </c>
      <c r="CO465" s="598" t="str">
        <f t="shared" si="64"/>
        <v xml:space="preserve"> </v>
      </c>
      <c r="CP465" s="598" t="str">
        <f t="shared" si="64"/>
        <v xml:space="preserve"> </v>
      </c>
      <c r="CQ465" s="598" t="str">
        <f t="shared" ca="1" si="64"/>
        <v/>
      </c>
    </row>
    <row r="466" spans="1:95" ht="9.9499999999999993" customHeight="1">
      <c r="A466" s="598">
        <v>45</v>
      </c>
      <c r="B466" s="598" t="str">
        <f t="shared" ca="1" si="69"/>
        <v/>
      </c>
      <c r="C466" s="598" t="str">
        <f t="shared" ca="1" si="69"/>
        <v>Foreign (Anc.):Ancient Lands</v>
      </c>
      <c r="D466" s="598" t="str">
        <f t="shared" ca="1" si="69"/>
        <v/>
      </c>
      <c r="E466" s="598" t="str">
        <f t="shared" si="69"/>
        <v xml:space="preserve"> </v>
      </c>
      <c r="F466" s="598" t="str">
        <f t="shared" si="69"/>
        <v xml:space="preserve"> </v>
      </c>
      <c r="G466" s="598" t="str">
        <f t="shared" si="69"/>
        <v xml:space="preserve"> </v>
      </c>
      <c r="H466" s="598" t="str">
        <f t="shared" si="69"/>
        <v xml:space="preserve"> </v>
      </c>
      <c r="I466" s="598" t="str">
        <f t="shared" si="69"/>
        <v xml:space="preserve"> </v>
      </c>
      <c r="J466" s="598" t="str">
        <f t="shared" si="69"/>
        <v xml:space="preserve"> </v>
      </c>
      <c r="K466" s="598" t="str">
        <f t="shared" si="69"/>
        <v xml:space="preserve"> </v>
      </c>
      <c r="L466" s="598" t="str">
        <f t="shared" si="69"/>
        <v xml:space="preserve"> </v>
      </c>
      <c r="M466" s="598" t="str">
        <f t="shared" ca="1" si="69"/>
        <v/>
      </c>
      <c r="N466" s="598" t="str">
        <f t="shared" ca="1" si="69"/>
        <v/>
      </c>
      <c r="O466" s="598" t="str">
        <f t="shared" si="69"/>
        <v xml:space="preserve"> </v>
      </c>
      <c r="P466" s="598" t="str">
        <f t="shared" si="69"/>
        <v xml:space="preserve"> </v>
      </c>
      <c r="Q466" s="598" t="str">
        <f t="shared" si="69"/>
        <v xml:space="preserve"> </v>
      </c>
      <c r="R466" s="598" t="str">
        <f t="shared" si="69"/>
        <v xml:space="preserve"> </v>
      </c>
      <c r="S466" s="598" t="str">
        <f t="shared" si="69"/>
        <v xml:space="preserve"> </v>
      </c>
      <c r="T466" s="598" t="str">
        <f t="shared" si="69"/>
        <v xml:space="preserve"> </v>
      </c>
      <c r="U466" s="598" t="str">
        <f t="shared" si="69"/>
        <v xml:space="preserve"> </v>
      </c>
      <c r="V466" s="598" t="str">
        <f t="shared" si="69"/>
        <v xml:space="preserve"> </v>
      </c>
      <c r="W466" s="598" t="str">
        <f t="shared" si="69"/>
        <v xml:space="preserve"> </v>
      </c>
      <c r="X466" s="598" t="str">
        <f t="shared" si="69"/>
        <v xml:space="preserve"> </v>
      </c>
      <c r="Y466" s="598" t="str">
        <f t="shared" si="69"/>
        <v xml:space="preserve"> </v>
      </c>
      <c r="Z466" s="598" t="str">
        <f t="shared" si="69"/>
        <v xml:space="preserve"> </v>
      </c>
      <c r="AA466" s="598" t="str">
        <f t="shared" si="69"/>
        <v xml:space="preserve"> </v>
      </c>
      <c r="AB466" s="598" t="str">
        <f t="shared" ca="1" si="69"/>
        <v>Foreign (Anc.):Telnar</v>
      </c>
      <c r="AC466" s="598" t="str">
        <f t="shared" ca="1" si="69"/>
        <v>Foreign (Anc.):Telnar</v>
      </c>
      <c r="AD466" s="598" t="str">
        <f t="shared" si="69"/>
        <v xml:space="preserve"> </v>
      </c>
      <c r="AE466" s="598" t="str">
        <f t="shared" si="69"/>
        <v xml:space="preserve"> </v>
      </c>
      <c r="AF466" s="598" t="str">
        <f t="shared" si="69"/>
        <v xml:space="preserve"> </v>
      </c>
      <c r="AG466" s="598" t="str">
        <f t="shared" si="69"/>
        <v xml:space="preserve"> </v>
      </c>
      <c r="AH466" s="598" t="str">
        <f t="shared" si="69"/>
        <v xml:space="preserve"> </v>
      </c>
      <c r="AI466" s="598" t="str">
        <f t="shared" si="69"/>
        <v xml:space="preserve"> </v>
      </c>
      <c r="AJ466" s="598" t="str">
        <f t="shared" si="69"/>
        <v xml:space="preserve"> </v>
      </c>
      <c r="AK466" s="598" t="str">
        <f t="shared" si="69"/>
        <v xml:space="preserve"> </v>
      </c>
      <c r="AL466" s="598" t="str">
        <f t="shared" si="69"/>
        <v xml:space="preserve"> </v>
      </c>
      <c r="AM466" s="598" t="str">
        <f t="shared" si="69"/>
        <v xml:space="preserve"> </v>
      </c>
      <c r="AN466" s="598" t="str">
        <f t="shared" si="69"/>
        <v xml:space="preserve"> </v>
      </c>
      <c r="AO466" s="598" t="str">
        <f t="shared" si="69"/>
        <v xml:space="preserve"> </v>
      </c>
      <c r="AP466" s="598" t="str">
        <f t="shared" si="69"/>
        <v xml:space="preserve"> </v>
      </c>
      <c r="AQ466" s="598" t="str">
        <f t="shared" si="69"/>
        <v xml:space="preserve"> </v>
      </c>
      <c r="AR466" s="598" t="str">
        <f t="shared" si="69"/>
        <v xml:space="preserve"> </v>
      </c>
      <c r="AS466" s="598" t="str">
        <f t="shared" si="69"/>
        <v xml:space="preserve"> </v>
      </c>
      <c r="AT466" s="598" t="str">
        <f t="shared" si="69"/>
        <v xml:space="preserve"> </v>
      </c>
      <c r="AU466" s="598" t="str">
        <f t="shared" si="69"/>
        <v xml:space="preserve"> </v>
      </c>
      <c r="AW466" s="598" t="str">
        <f t="shared" si="65"/>
        <v xml:space="preserve"> </v>
      </c>
      <c r="AX466" s="598" t="str">
        <f t="shared" si="65"/>
        <v xml:space="preserve"> </v>
      </c>
      <c r="AY466" s="598" t="str">
        <f t="shared" si="65"/>
        <v xml:space="preserve"> </v>
      </c>
      <c r="AZ466" s="598" t="str">
        <f t="shared" si="65"/>
        <v xml:space="preserve"> </v>
      </c>
      <c r="BA466" s="598" t="str">
        <f t="shared" si="65"/>
        <v xml:space="preserve"> </v>
      </c>
      <c r="BB466" s="598" t="str">
        <f t="shared" si="65"/>
        <v xml:space="preserve"> </v>
      </c>
      <c r="BC466" s="598" t="str">
        <f t="shared" si="65"/>
        <v xml:space="preserve"> </v>
      </c>
      <c r="BD466" s="598" t="str">
        <f t="shared" si="65"/>
        <v xml:space="preserve"> </v>
      </c>
      <c r="BE466" s="598" t="str">
        <f t="shared" si="65"/>
        <v xml:space="preserve"> </v>
      </c>
      <c r="BF466" s="598" t="str">
        <f t="shared" si="65"/>
        <v xml:space="preserve"> </v>
      </c>
      <c r="BG466" s="598" t="str">
        <f t="shared" si="65"/>
        <v xml:space="preserve"> </v>
      </c>
      <c r="BH466" s="598" t="str">
        <f t="shared" si="65"/>
        <v xml:space="preserve"> </v>
      </c>
      <c r="BI466" s="598" t="str">
        <f t="shared" si="65"/>
        <v xml:space="preserve"> </v>
      </c>
      <c r="BJ466" s="598" t="str">
        <f t="shared" si="65"/>
        <v xml:space="preserve"> </v>
      </c>
      <c r="BK466" s="598" t="str">
        <f t="shared" si="65"/>
        <v xml:space="preserve"> </v>
      </c>
      <c r="BL466" s="598" t="str">
        <f t="shared" si="65"/>
        <v xml:space="preserve"> </v>
      </c>
      <c r="BM466" s="598" t="str">
        <f t="shared" si="63"/>
        <v xml:space="preserve"> </v>
      </c>
      <c r="BN466" s="598" t="str">
        <f t="shared" si="63"/>
        <v xml:space="preserve"> </v>
      </c>
      <c r="BO466" s="598" t="str">
        <f t="shared" si="63"/>
        <v xml:space="preserve"> </v>
      </c>
      <c r="BP466" s="598" t="str">
        <f t="shared" si="63"/>
        <v xml:space="preserve"> </v>
      </c>
      <c r="BQ466" s="598" t="str">
        <f t="shared" si="63"/>
        <v xml:space="preserve"> </v>
      </c>
      <c r="BR466" s="598" t="str">
        <f t="shared" si="63"/>
        <v xml:space="preserve"> </v>
      </c>
      <c r="BS466" s="598" t="str">
        <f t="shared" si="63"/>
        <v xml:space="preserve"> </v>
      </c>
      <c r="BT466" s="598" t="str">
        <f t="shared" si="63"/>
        <v xml:space="preserve"> </v>
      </c>
      <c r="BU466" s="598" t="str">
        <f t="shared" si="63"/>
        <v xml:space="preserve"> </v>
      </c>
      <c r="BV466" s="598" t="str">
        <f t="shared" si="63"/>
        <v xml:space="preserve"> </v>
      </c>
      <c r="BW466" s="598" t="str">
        <f t="shared" si="63"/>
        <v xml:space="preserve"> </v>
      </c>
      <c r="BX466" s="598" t="str">
        <f t="shared" si="63"/>
        <v xml:space="preserve"> </v>
      </c>
      <c r="BY466" s="598" t="str">
        <f t="shared" si="63"/>
        <v xml:space="preserve"> </v>
      </c>
      <c r="BZ466" s="598" t="str">
        <f t="shared" si="63"/>
        <v xml:space="preserve"> </v>
      </c>
      <c r="CA466" s="598" t="str">
        <f t="shared" si="63"/>
        <v xml:space="preserve"> </v>
      </c>
      <c r="CB466" s="598" t="str">
        <f t="shared" si="63"/>
        <v xml:space="preserve"> </v>
      </c>
      <c r="CC466" s="598" t="str">
        <f t="shared" si="64"/>
        <v xml:space="preserve"> </v>
      </c>
      <c r="CD466" s="598" t="str">
        <f t="shared" si="64"/>
        <v xml:space="preserve"> </v>
      </c>
      <c r="CE466" s="598" t="str">
        <f t="shared" si="64"/>
        <v xml:space="preserve"> </v>
      </c>
      <c r="CF466" s="598" t="str">
        <f t="shared" si="64"/>
        <v xml:space="preserve"> </v>
      </c>
      <c r="CG466" s="598" t="str">
        <f t="shared" si="64"/>
        <v xml:space="preserve"> </v>
      </c>
      <c r="CH466" s="598" t="str">
        <f t="shared" si="64"/>
        <v xml:space="preserve"> </v>
      </c>
      <c r="CI466" s="598" t="str">
        <f t="shared" si="64"/>
        <v xml:space="preserve"> </v>
      </c>
      <c r="CJ466" s="598" t="str">
        <f t="shared" si="64"/>
        <v xml:space="preserve"> </v>
      </c>
      <c r="CK466" s="598" t="str">
        <f t="shared" si="64"/>
        <v xml:space="preserve"> </v>
      </c>
      <c r="CL466" s="598" t="str">
        <f t="shared" si="64"/>
        <v xml:space="preserve"> </v>
      </c>
      <c r="CM466" s="598" t="str">
        <f t="shared" si="64"/>
        <v xml:space="preserve"> </v>
      </c>
      <c r="CN466" s="598" t="str">
        <f t="shared" si="64"/>
        <v xml:space="preserve"> </v>
      </c>
      <c r="CO466" s="598" t="str">
        <f t="shared" si="64"/>
        <v xml:space="preserve"> </v>
      </c>
      <c r="CP466" s="598" t="str">
        <f t="shared" si="64"/>
        <v xml:space="preserve"> </v>
      </c>
      <c r="CQ466" s="598" t="str">
        <f t="shared" ca="1" si="64"/>
        <v/>
      </c>
    </row>
    <row r="467" spans="1:95" ht="9.9499999999999993" customHeight="1">
      <c r="A467" s="598">
        <v>46</v>
      </c>
      <c r="B467" s="598" t="str">
        <f t="shared" ca="1" si="69"/>
        <v/>
      </c>
      <c r="C467" s="598" t="str">
        <f t="shared" ca="1" si="69"/>
        <v>Foreign (Anc.):Telnar</v>
      </c>
      <c r="D467" s="598" t="str">
        <f t="shared" ca="1" si="69"/>
        <v/>
      </c>
      <c r="E467" s="598" t="str">
        <f t="shared" si="69"/>
        <v xml:space="preserve"> </v>
      </c>
      <c r="F467" s="598" t="str">
        <f t="shared" si="69"/>
        <v xml:space="preserve"> </v>
      </c>
      <c r="G467" s="598" t="str">
        <f t="shared" si="69"/>
        <v xml:space="preserve"> </v>
      </c>
      <c r="H467" s="598" t="str">
        <f t="shared" si="69"/>
        <v xml:space="preserve"> </v>
      </c>
      <c r="I467" s="598" t="str">
        <f t="shared" si="69"/>
        <v xml:space="preserve"> </v>
      </c>
      <c r="J467" s="598" t="str">
        <f t="shared" si="69"/>
        <v xml:space="preserve"> </v>
      </c>
      <c r="K467" s="598" t="str">
        <f t="shared" si="69"/>
        <v xml:space="preserve"> </v>
      </c>
      <c r="L467" s="598" t="str">
        <f t="shared" si="69"/>
        <v xml:space="preserve"> </v>
      </c>
      <c r="M467" s="598" t="str">
        <f t="shared" ca="1" si="69"/>
        <v/>
      </c>
      <c r="N467" s="598" t="str">
        <f t="shared" ca="1" si="69"/>
        <v/>
      </c>
      <c r="O467" s="598" t="str">
        <f t="shared" si="69"/>
        <v xml:space="preserve"> </v>
      </c>
      <c r="P467" s="598" t="str">
        <f t="shared" si="69"/>
        <v xml:space="preserve"> </v>
      </c>
      <c r="Q467" s="598" t="str">
        <f t="shared" si="69"/>
        <v xml:space="preserve"> </v>
      </c>
      <c r="R467" s="598" t="str">
        <f t="shared" si="69"/>
        <v xml:space="preserve"> </v>
      </c>
      <c r="S467" s="598" t="str">
        <f t="shared" si="69"/>
        <v xml:space="preserve"> </v>
      </c>
      <c r="T467" s="598" t="str">
        <f t="shared" si="69"/>
        <v xml:space="preserve"> </v>
      </c>
      <c r="U467" s="598" t="str">
        <f t="shared" si="69"/>
        <v xml:space="preserve"> </v>
      </c>
      <c r="V467" s="598" t="str">
        <f t="shared" si="69"/>
        <v xml:space="preserve"> </v>
      </c>
      <c r="W467" s="598" t="str">
        <f t="shared" si="69"/>
        <v xml:space="preserve"> </v>
      </c>
      <c r="X467" s="598" t="str">
        <f t="shared" si="69"/>
        <v xml:space="preserve"> </v>
      </c>
      <c r="Y467" s="598" t="str">
        <f t="shared" si="69"/>
        <v xml:space="preserve"> </v>
      </c>
      <c r="Z467" s="598" t="str">
        <f t="shared" si="69"/>
        <v xml:space="preserve"> </v>
      </c>
      <c r="AA467" s="598" t="str">
        <f t="shared" si="69"/>
        <v xml:space="preserve"> </v>
      </c>
      <c r="AB467" s="598" t="str">
        <f t="shared" ca="1" si="69"/>
        <v>Mage Speech (Coniron)</v>
      </c>
      <c r="AC467" s="598" t="str">
        <f t="shared" ca="1" si="69"/>
        <v>Mage Speech (Coniron)</v>
      </c>
      <c r="AD467" s="598" t="str">
        <f t="shared" si="69"/>
        <v xml:space="preserve"> </v>
      </c>
      <c r="AE467" s="598" t="str">
        <f t="shared" si="69"/>
        <v xml:space="preserve"> </v>
      </c>
      <c r="AF467" s="598" t="str">
        <f t="shared" si="69"/>
        <v xml:space="preserve"> </v>
      </c>
      <c r="AG467" s="598" t="str">
        <f t="shared" si="69"/>
        <v xml:space="preserve"> </v>
      </c>
      <c r="AH467" s="598" t="str">
        <f t="shared" si="69"/>
        <v xml:space="preserve"> </v>
      </c>
      <c r="AI467" s="598" t="str">
        <f t="shared" si="69"/>
        <v xml:space="preserve"> </v>
      </c>
      <c r="AJ467" s="598" t="str">
        <f t="shared" si="69"/>
        <v xml:space="preserve"> </v>
      </c>
      <c r="AK467" s="598" t="str">
        <f t="shared" si="69"/>
        <v xml:space="preserve"> </v>
      </c>
      <c r="AL467" s="598" t="str">
        <f t="shared" si="69"/>
        <v xml:space="preserve"> </v>
      </c>
      <c r="AM467" s="598" t="str">
        <f t="shared" si="69"/>
        <v xml:space="preserve"> </v>
      </c>
      <c r="AN467" s="598" t="str">
        <f t="shared" si="69"/>
        <v xml:space="preserve"> </v>
      </c>
      <c r="AO467" s="598" t="str">
        <f t="shared" si="69"/>
        <v xml:space="preserve"> </v>
      </c>
      <c r="AP467" s="598" t="str">
        <f t="shared" si="69"/>
        <v xml:space="preserve"> </v>
      </c>
      <c r="AQ467" s="598" t="str">
        <f t="shared" si="69"/>
        <v xml:space="preserve"> </v>
      </c>
      <c r="AR467" s="598" t="str">
        <f t="shared" si="69"/>
        <v xml:space="preserve"> </v>
      </c>
      <c r="AS467" s="598" t="str">
        <f t="shared" si="69"/>
        <v xml:space="preserve"> </v>
      </c>
      <c r="AT467" s="598" t="str">
        <f t="shared" si="69"/>
        <v xml:space="preserve"> </v>
      </c>
      <c r="AU467" s="598" t="str">
        <f t="shared" si="69"/>
        <v xml:space="preserve"> </v>
      </c>
      <c r="AW467" s="598" t="str">
        <f t="shared" si="65"/>
        <v xml:space="preserve"> </v>
      </c>
      <c r="AX467" s="598" t="str">
        <f t="shared" si="65"/>
        <v xml:space="preserve"> </v>
      </c>
      <c r="AY467" s="598" t="str">
        <f t="shared" si="65"/>
        <v xml:space="preserve"> </v>
      </c>
      <c r="AZ467" s="598" t="str">
        <f t="shared" si="65"/>
        <v xml:space="preserve"> </v>
      </c>
      <c r="BA467" s="598" t="str">
        <f t="shared" si="65"/>
        <v xml:space="preserve"> </v>
      </c>
      <c r="BB467" s="598" t="str">
        <f t="shared" si="65"/>
        <v xml:space="preserve"> </v>
      </c>
      <c r="BC467" s="598" t="str">
        <f t="shared" si="65"/>
        <v xml:space="preserve"> </v>
      </c>
      <c r="BD467" s="598" t="str">
        <f t="shared" si="65"/>
        <v xml:space="preserve"> </v>
      </c>
      <c r="BE467" s="598" t="str">
        <f t="shared" si="65"/>
        <v xml:space="preserve"> </v>
      </c>
      <c r="BF467" s="598" t="str">
        <f t="shared" si="65"/>
        <v xml:space="preserve"> </v>
      </c>
      <c r="BG467" s="598" t="str">
        <f t="shared" si="65"/>
        <v xml:space="preserve"> </v>
      </c>
      <c r="BH467" s="598" t="str">
        <f t="shared" si="65"/>
        <v xml:space="preserve"> </v>
      </c>
      <c r="BI467" s="598" t="str">
        <f t="shared" si="65"/>
        <v xml:space="preserve"> </v>
      </c>
      <c r="BJ467" s="598" t="str">
        <f t="shared" si="65"/>
        <v xml:space="preserve"> </v>
      </c>
      <c r="BK467" s="598" t="str">
        <f t="shared" si="65"/>
        <v xml:space="preserve"> </v>
      </c>
      <c r="BL467" s="598" t="str">
        <f t="shared" si="65"/>
        <v xml:space="preserve"> </v>
      </c>
      <c r="BM467" s="598" t="str">
        <f t="shared" si="63"/>
        <v xml:space="preserve"> </v>
      </c>
      <c r="BN467" s="598" t="str">
        <f t="shared" si="63"/>
        <v xml:space="preserve"> </v>
      </c>
      <c r="BO467" s="598" t="str">
        <f t="shared" si="63"/>
        <v xml:space="preserve"> </v>
      </c>
      <c r="BP467" s="598" t="str">
        <f t="shared" si="63"/>
        <v xml:space="preserve"> </v>
      </c>
      <c r="BQ467" s="598" t="str">
        <f t="shared" si="63"/>
        <v xml:space="preserve"> </v>
      </c>
      <c r="BR467" s="598" t="str">
        <f t="shared" si="63"/>
        <v xml:space="preserve"> </v>
      </c>
      <c r="BS467" s="598" t="str">
        <f t="shared" si="63"/>
        <v xml:space="preserve"> </v>
      </c>
      <c r="BT467" s="598" t="str">
        <f t="shared" si="63"/>
        <v xml:space="preserve"> </v>
      </c>
      <c r="BU467" s="598" t="str">
        <f t="shared" si="63"/>
        <v xml:space="preserve"> </v>
      </c>
      <c r="BV467" s="598" t="str">
        <f t="shared" si="63"/>
        <v xml:space="preserve"> </v>
      </c>
      <c r="BW467" s="598" t="str">
        <f t="shared" si="63"/>
        <v xml:space="preserve"> </v>
      </c>
      <c r="BX467" s="598" t="str">
        <f t="shared" si="63"/>
        <v xml:space="preserve"> </v>
      </c>
      <c r="BY467" s="598" t="str">
        <f t="shared" si="63"/>
        <v xml:space="preserve"> </v>
      </c>
      <c r="BZ467" s="598" t="str">
        <f t="shared" si="63"/>
        <v xml:space="preserve"> </v>
      </c>
      <c r="CA467" s="598" t="str">
        <f t="shared" si="63"/>
        <v xml:space="preserve"> </v>
      </c>
      <c r="CB467" s="598" t="str">
        <f t="shared" si="63"/>
        <v xml:space="preserve"> </v>
      </c>
      <c r="CC467" s="598" t="str">
        <f t="shared" si="64"/>
        <v xml:space="preserve"> </v>
      </c>
      <c r="CD467" s="598" t="str">
        <f t="shared" si="64"/>
        <v xml:space="preserve"> </v>
      </c>
      <c r="CE467" s="598" t="str">
        <f t="shared" si="64"/>
        <v xml:space="preserve"> </v>
      </c>
      <c r="CF467" s="598" t="str">
        <f t="shared" si="64"/>
        <v xml:space="preserve"> </v>
      </c>
      <c r="CG467" s="598" t="str">
        <f t="shared" si="64"/>
        <v xml:space="preserve"> </v>
      </c>
      <c r="CH467" s="598" t="str">
        <f t="shared" si="64"/>
        <v xml:space="preserve"> </v>
      </c>
      <c r="CI467" s="598" t="str">
        <f t="shared" si="64"/>
        <v xml:space="preserve"> </v>
      </c>
      <c r="CJ467" s="598" t="str">
        <f t="shared" si="64"/>
        <v xml:space="preserve"> </v>
      </c>
      <c r="CK467" s="598" t="str">
        <f t="shared" si="64"/>
        <v xml:space="preserve"> </v>
      </c>
      <c r="CL467" s="598" t="str">
        <f t="shared" si="64"/>
        <v xml:space="preserve"> </v>
      </c>
      <c r="CM467" s="598" t="str">
        <f t="shared" si="64"/>
        <v xml:space="preserve"> </v>
      </c>
      <c r="CN467" s="598" t="str">
        <f t="shared" si="64"/>
        <v xml:space="preserve"> </v>
      </c>
      <c r="CO467" s="598" t="str">
        <f t="shared" si="64"/>
        <v xml:space="preserve"> </v>
      </c>
      <c r="CP467" s="598" t="str">
        <f t="shared" si="64"/>
        <v xml:space="preserve"> </v>
      </c>
      <c r="CQ467" s="598" t="str">
        <f t="shared" ca="1" si="64"/>
        <v/>
      </c>
    </row>
    <row r="468" spans="1:95" ht="9.9499999999999993" customHeight="1">
      <c r="A468" s="598">
        <v>47</v>
      </c>
      <c r="B468" s="598" t="str">
        <f t="shared" ca="1" si="69"/>
        <v/>
      </c>
      <c r="C468" s="598" t="str">
        <f t="shared" ca="1" si="69"/>
        <v>Beast:Arachnids</v>
      </c>
      <c r="D468" s="598" t="str">
        <f t="shared" ca="1" si="69"/>
        <v/>
      </c>
      <c r="E468" s="598" t="str">
        <f t="shared" si="69"/>
        <v xml:space="preserve"> </v>
      </c>
      <c r="F468" s="598" t="str">
        <f t="shared" si="69"/>
        <v xml:space="preserve"> </v>
      </c>
      <c r="G468" s="598" t="str">
        <f t="shared" si="69"/>
        <v xml:space="preserve"> </v>
      </c>
      <c r="H468" s="598" t="str">
        <f t="shared" si="69"/>
        <v xml:space="preserve"> </v>
      </c>
      <c r="I468" s="598" t="str">
        <f t="shared" si="69"/>
        <v xml:space="preserve"> </v>
      </c>
      <c r="J468" s="598" t="str">
        <f t="shared" si="69"/>
        <v xml:space="preserve"> </v>
      </c>
      <c r="K468" s="598" t="str">
        <f t="shared" si="69"/>
        <v xml:space="preserve"> </v>
      </c>
      <c r="L468" s="598" t="str">
        <f t="shared" si="69"/>
        <v xml:space="preserve"> </v>
      </c>
      <c r="M468" s="598" t="str">
        <f t="shared" ca="1" si="69"/>
        <v/>
      </c>
      <c r="N468" s="598" t="str">
        <f t="shared" ca="1" si="69"/>
        <v/>
      </c>
      <c r="O468" s="598" t="str">
        <f t="shared" si="69"/>
        <v xml:space="preserve"> </v>
      </c>
      <c r="P468" s="598" t="str">
        <f t="shared" si="69"/>
        <v xml:space="preserve"> </v>
      </c>
      <c r="Q468" s="598" t="str">
        <f t="shared" si="69"/>
        <v xml:space="preserve"> </v>
      </c>
      <c r="R468" s="598" t="str">
        <f t="shared" si="69"/>
        <v xml:space="preserve"> </v>
      </c>
      <c r="S468" s="598" t="str">
        <f t="shared" si="69"/>
        <v xml:space="preserve"> </v>
      </c>
      <c r="T468" s="598" t="str">
        <f t="shared" si="69"/>
        <v xml:space="preserve"> </v>
      </c>
      <c r="U468" s="598" t="str">
        <f t="shared" si="69"/>
        <v xml:space="preserve"> </v>
      </c>
      <c r="V468" s="598" t="str">
        <f t="shared" si="69"/>
        <v xml:space="preserve"> </v>
      </c>
      <c r="W468" s="598" t="str">
        <f t="shared" si="69"/>
        <v xml:space="preserve"> </v>
      </c>
      <c r="X468" s="598" t="str">
        <f t="shared" si="69"/>
        <v xml:space="preserve"> </v>
      </c>
      <c r="Y468" s="598" t="str">
        <f t="shared" si="69"/>
        <v xml:space="preserve"> </v>
      </c>
      <c r="Z468" s="598" t="str">
        <f t="shared" si="69"/>
        <v xml:space="preserve"> </v>
      </c>
      <c r="AA468" s="598" t="str">
        <f t="shared" si="69"/>
        <v xml:space="preserve"> </v>
      </c>
      <c r="AB468" s="598" t="str">
        <f t="shared" ca="1" si="69"/>
        <v>Mage Speech (Ancient)</v>
      </c>
      <c r="AC468" s="598" t="str">
        <f t="shared" ca="1" si="69"/>
        <v>Mage Speech (Ancient)</v>
      </c>
      <c r="AD468" s="598" t="str">
        <f t="shared" si="69"/>
        <v xml:space="preserve"> </v>
      </c>
      <c r="AE468" s="598" t="str">
        <f t="shared" si="69"/>
        <v xml:space="preserve"> </v>
      </c>
      <c r="AF468" s="598" t="str">
        <f t="shared" si="69"/>
        <v xml:space="preserve"> </v>
      </c>
      <c r="AG468" s="598" t="str">
        <f t="shared" si="69"/>
        <v xml:space="preserve"> </v>
      </c>
      <c r="AH468" s="598" t="str">
        <f t="shared" si="69"/>
        <v xml:space="preserve"> </v>
      </c>
      <c r="AI468" s="598" t="str">
        <f t="shared" si="69"/>
        <v xml:space="preserve"> </v>
      </c>
      <c r="AJ468" s="598" t="str">
        <f t="shared" si="69"/>
        <v xml:space="preserve"> </v>
      </c>
      <c r="AK468" s="598" t="str">
        <f t="shared" si="69"/>
        <v xml:space="preserve"> </v>
      </c>
      <c r="AL468" s="598" t="str">
        <f t="shared" si="69"/>
        <v xml:space="preserve"> </v>
      </c>
      <c r="AM468" s="598" t="str">
        <f t="shared" si="69"/>
        <v xml:space="preserve"> </v>
      </c>
      <c r="AN468" s="598" t="str">
        <f t="shared" si="69"/>
        <v xml:space="preserve"> </v>
      </c>
      <c r="AO468" s="598" t="str">
        <f t="shared" si="69"/>
        <v xml:space="preserve"> </v>
      </c>
      <c r="AP468" s="598" t="str">
        <f t="shared" si="69"/>
        <v xml:space="preserve"> </v>
      </c>
      <c r="AQ468" s="598" t="str">
        <f t="shared" si="69"/>
        <v xml:space="preserve"> </v>
      </c>
      <c r="AR468" s="598" t="str">
        <f t="shared" si="69"/>
        <v xml:space="preserve"> </v>
      </c>
      <c r="AS468" s="598" t="str">
        <f t="shared" si="69"/>
        <v xml:space="preserve"> </v>
      </c>
      <c r="AT468" s="598" t="str">
        <f t="shared" si="69"/>
        <v xml:space="preserve"> </v>
      </c>
      <c r="AU468" s="598" t="str">
        <f t="shared" si="69"/>
        <v xml:space="preserve"> </v>
      </c>
      <c r="AW468" s="598" t="str">
        <f t="shared" si="65"/>
        <v xml:space="preserve"> </v>
      </c>
      <c r="AX468" s="598" t="str">
        <f t="shared" si="65"/>
        <v xml:space="preserve"> </v>
      </c>
      <c r="AY468" s="598" t="str">
        <f t="shared" si="65"/>
        <v xml:space="preserve"> </v>
      </c>
      <c r="AZ468" s="598" t="str">
        <f t="shared" si="65"/>
        <v xml:space="preserve"> </v>
      </c>
      <c r="BA468" s="598" t="str">
        <f t="shared" si="65"/>
        <v xml:space="preserve"> </v>
      </c>
      <c r="BB468" s="598" t="str">
        <f t="shared" si="65"/>
        <v xml:space="preserve"> </v>
      </c>
      <c r="BC468" s="598" t="str">
        <f t="shared" si="65"/>
        <v xml:space="preserve"> </v>
      </c>
      <c r="BD468" s="598" t="str">
        <f t="shared" si="65"/>
        <v xml:space="preserve"> </v>
      </c>
      <c r="BE468" s="598" t="str">
        <f t="shared" si="65"/>
        <v xml:space="preserve"> </v>
      </c>
      <c r="BF468" s="598" t="str">
        <f t="shared" si="65"/>
        <v xml:space="preserve"> </v>
      </c>
      <c r="BG468" s="598" t="str">
        <f t="shared" si="65"/>
        <v xml:space="preserve"> </v>
      </c>
      <c r="BH468" s="598" t="str">
        <f t="shared" si="65"/>
        <v xml:space="preserve"> </v>
      </c>
      <c r="BI468" s="598" t="str">
        <f t="shared" si="65"/>
        <v xml:space="preserve"> </v>
      </c>
      <c r="BJ468" s="598" t="str">
        <f t="shared" si="65"/>
        <v xml:space="preserve"> </v>
      </c>
      <c r="BK468" s="598" t="str">
        <f t="shared" si="65"/>
        <v xml:space="preserve"> </v>
      </c>
      <c r="BL468" s="598" t="str">
        <f t="shared" si="65"/>
        <v xml:space="preserve"> </v>
      </c>
      <c r="BM468" s="598" t="str">
        <f t="shared" si="63"/>
        <v xml:space="preserve"> </v>
      </c>
      <c r="BN468" s="598" t="str">
        <f t="shared" si="63"/>
        <v xml:space="preserve"> </v>
      </c>
      <c r="BO468" s="598" t="str">
        <f t="shared" si="63"/>
        <v xml:space="preserve"> </v>
      </c>
      <c r="BP468" s="598" t="str">
        <f t="shared" si="63"/>
        <v xml:space="preserve"> </v>
      </c>
      <c r="BQ468" s="598" t="str">
        <f t="shared" si="63"/>
        <v xml:space="preserve"> </v>
      </c>
      <c r="BR468" s="598" t="str">
        <f t="shared" si="63"/>
        <v xml:space="preserve"> </v>
      </c>
      <c r="BS468" s="598" t="str">
        <f t="shared" si="63"/>
        <v xml:space="preserve"> </v>
      </c>
      <c r="BT468" s="598" t="str">
        <f t="shared" si="63"/>
        <v xml:space="preserve"> </v>
      </c>
      <c r="BU468" s="598" t="str">
        <f t="shared" si="63"/>
        <v xml:space="preserve"> </v>
      </c>
      <c r="BV468" s="598" t="str">
        <f t="shared" si="63"/>
        <v xml:space="preserve"> </v>
      </c>
      <c r="BW468" s="598" t="str">
        <f t="shared" si="63"/>
        <v xml:space="preserve"> </v>
      </c>
      <c r="BX468" s="598" t="str">
        <f t="shared" si="63"/>
        <v xml:space="preserve"> </v>
      </c>
      <c r="BY468" s="598" t="str">
        <f t="shared" si="63"/>
        <v xml:space="preserve"> </v>
      </c>
      <c r="BZ468" s="598" t="str">
        <f t="shared" si="63"/>
        <v xml:space="preserve"> </v>
      </c>
      <c r="CA468" s="598" t="str">
        <f t="shared" si="63"/>
        <v xml:space="preserve"> </v>
      </c>
      <c r="CB468" s="598" t="str">
        <f t="shared" si="63"/>
        <v xml:space="preserve"> </v>
      </c>
      <c r="CC468" s="598" t="str">
        <f t="shared" si="64"/>
        <v xml:space="preserve"> </v>
      </c>
      <c r="CD468" s="598" t="str">
        <f t="shared" si="64"/>
        <v xml:space="preserve"> </v>
      </c>
      <c r="CE468" s="598" t="str">
        <f t="shared" si="64"/>
        <v xml:space="preserve"> </v>
      </c>
      <c r="CF468" s="598" t="str">
        <f t="shared" si="64"/>
        <v xml:space="preserve"> </v>
      </c>
      <c r="CG468" s="598" t="str">
        <f t="shared" si="64"/>
        <v xml:space="preserve"> </v>
      </c>
      <c r="CH468" s="598" t="str">
        <f t="shared" si="64"/>
        <v xml:space="preserve"> </v>
      </c>
      <c r="CI468" s="598" t="str">
        <f t="shared" si="64"/>
        <v xml:space="preserve"> </v>
      </c>
      <c r="CJ468" s="598" t="str">
        <f t="shared" si="64"/>
        <v xml:space="preserve"> </v>
      </c>
      <c r="CK468" s="598" t="str">
        <f t="shared" si="64"/>
        <v xml:space="preserve"> </v>
      </c>
      <c r="CL468" s="598" t="str">
        <f t="shared" si="64"/>
        <v xml:space="preserve"> </v>
      </c>
      <c r="CM468" s="598" t="str">
        <f t="shared" si="64"/>
        <v xml:space="preserve"> </v>
      </c>
      <c r="CN468" s="598" t="str">
        <f t="shared" si="64"/>
        <v xml:space="preserve"> </v>
      </c>
      <c r="CO468" s="598" t="str">
        <f t="shared" si="64"/>
        <v xml:space="preserve"> </v>
      </c>
      <c r="CP468" s="598" t="str">
        <f t="shared" si="64"/>
        <v xml:space="preserve"> </v>
      </c>
      <c r="CQ468" s="598" t="str">
        <f t="shared" ca="1" si="64"/>
        <v/>
      </c>
    </row>
    <row r="469" spans="1:95" ht="9.9499999999999993" customHeight="1">
      <c r="A469" s="598">
        <v>48</v>
      </c>
      <c r="B469" s="598" t="str">
        <f t="shared" ca="1" si="69"/>
        <v/>
      </c>
      <c r="C469" s="598" t="str">
        <f t="shared" ca="1" si="69"/>
        <v>Beast:Avian</v>
      </c>
      <c r="D469" s="598" t="str">
        <f t="shared" ca="1" si="69"/>
        <v/>
      </c>
      <c r="E469" s="598" t="str">
        <f t="shared" si="69"/>
        <v xml:space="preserve"> </v>
      </c>
      <c r="F469" s="598" t="str">
        <f t="shared" si="69"/>
        <v xml:space="preserve"> </v>
      </c>
      <c r="G469" s="598" t="str">
        <f t="shared" si="69"/>
        <v xml:space="preserve"> </v>
      </c>
      <c r="H469" s="598" t="str">
        <f t="shared" si="69"/>
        <v xml:space="preserve"> </v>
      </c>
      <c r="I469" s="598" t="str">
        <f t="shared" si="69"/>
        <v xml:space="preserve"> </v>
      </c>
      <c r="J469" s="598" t="str">
        <f t="shared" si="69"/>
        <v xml:space="preserve"> </v>
      </c>
      <c r="K469" s="598" t="str">
        <f t="shared" si="69"/>
        <v xml:space="preserve"> </v>
      </c>
      <c r="L469" s="598" t="str">
        <f t="shared" si="69"/>
        <v xml:space="preserve"> </v>
      </c>
      <c r="M469" s="598" t="str">
        <f t="shared" ca="1" si="69"/>
        <v/>
      </c>
      <c r="N469" s="598" t="str">
        <f t="shared" ca="1" si="69"/>
        <v/>
      </c>
      <c r="O469" s="598" t="str">
        <f t="shared" si="69"/>
        <v xml:space="preserve"> </v>
      </c>
      <c r="P469" s="598" t="str">
        <f t="shared" si="69"/>
        <v xml:space="preserve"> </v>
      </c>
      <c r="Q469" s="598" t="str">
        <f t="shared" si="69"/>
        <v xml:space="preserve"> </v>
      </c>
      <c r="R469" s="598" t="str">
        <f t="shared" si="69"/>
        <v xml:space="preserve"> </v>
      </c>
      <c r="S469" s="598" t="str">
        <f t="shared" si="69"/>
        <v xml:space="preserve"> </v>
      </c>
      <c r="T469" s="598" t="str">
        <f t="shared" si="69"/>
        <v xml:space="preserve"> </v>
      </c>
      <c r="U469" s="598" t="str">
        <f t="shared" si="69"/>
        <v xml:space="preserve"> </v>
      </c>
      <c r="V469" s="598" t="str">
        <f t="shared" si="69"/>
        <v xml:space="preserve"> </v>
      </c>
      <c r="W469" s="598" t="str">
        <f t="shared" si="69"/>
        <v xml:space="preserve"> </v>
      </c>
      <c r="X469" s="598" t="str">
        <f t="shared" si="69"/>
        <v xml:space="preserve"> </v>
      </c>
      <c r="Y469" s="598" t="str">
        <f t="shared" si="69"/>
        <v xml:space="preserve"> </v>
      </c>
      <c r="Z469" s="598" t="str">
        <f t="shared" si="69"/>
        <v xml:space="preserve"> </v>
      </c>
      <c r="AA469" s="598" t="str">
        <f t="shared" si="69"/>
        <v xml:space="preserve"> </v>
      </c>
      <c r="AB469" s="598" t="str">
        <f t="shared" ca="1" si="69"/>
        <v>Monster:Arkon</v>
      </c>
      <c r="AC469" s="598" t="str">
        <f t="shared" ca="1" si="69"/>
        <v>Monster:Arkon</v>
      </c>
      <c r="AD469" s="598" t="str">
        <f t="shared" si="69"/>
        <v xml:space="preserve"> </v>
      </c>
      <c r="AE469" s="598" t="str">
        <f t="shared" si="69"/>
        <v xml:space="preserve"> </v>
      </c>
      <c r="AF469" s="598" t="str">
        <f t="shared" si="69"/>
        <v xml:space="preserve"> </v>
      </c>
      <c r="AG469" s="598" t="str">
        <f t="shared" si="69"/>
        <v xml:space="preserve"> </v>
      </c>
      <c r="AH469" s="598" t="str">
        <f t="shared" si="69"/>
        <v xml:space="preserve"> </v>
      </c>
      <c r="AI469" s="598" t="str">
        <f t="shared" si="69"/>
        <v xml:space="preserve"> </v>
      </c>
      <c r="AJ469" s="598" t="str">
        <f t="shared" si="69"/>
        <v xml:space="preserve"> </v>
      </c>
      <c r="AK469" s="598" t="str">
        <f t="shared" si="69"/>
        <v xml:space="preserve"> </v>
      </c>
      <c r="AL469" s="598" t="str">
        <f t="shared" si="69"/>
        <v xml:space="preserve"> </v>
      </c>
      <c r="AM469" s="598" t="str">
        <f t="shared" si="69"/>
        <v xml:space="preserve"> </v>
      </c>
      <c r="AN469" s="598" t="str">
        <f t="shared" si="69"/>
        <v xml:space="preserve"> </v>
      </c>
      <c r="AO469" s="598" t="str">
        <f t="shared" si="69"/>
        <v xml:space="preserve"> </v>
      </c>
      <c r="AP469" s="598" t="str">
        <f t="shared" si="69"/>
        <v xml:space="preserve"> </v>
      </c>
      <c r="AQ469" s="598" t="str">
        <f t="shared" si="69"/>
        <v xml:space="preserve"> </v>
      </c>
      <c r="AR469" s="598" t="str">
        <f t="shared" si="69"/>
        <v xml:space="preserve"> </v>
      </c>
      <c r="AS469" s="598" t="str">
        <f t="shared" si="69"/>
        <v xml:space="preserve"> </v>
      </c>
      <c r="AT469" s="598" t="str">
        <f t="shared" si="69"/>
        <v xml:space="preserve"> </v>
      </c>
      <c r="AU469" s="598" t="str">
        <f t="shared" si="69"/>
        <v xml:space="preserve"> </v>
      </c>
      <c r="AW469" s="598" t="str">
        <f t="shared" si="65"/>
        <v xml:space="preserve"> </v>
      </c>
      <c r="AX469" s="598" t="str">
        <f t="shared" si="65"/>
        <v xml:space="preserve"> </v>
      </c>
      <c r="AY469" s="598" t="str">
        <f t="shared" si="65"/>
        <v xml:space="preserve"> </v>
      </c>
      <c r="AZ469" s="598" t="str">
        <f t="shared" si="65"/>
        <v xml:space="preserve"> </v>
      </c>
      <c r="BA469" s="598" t="str">
        <f t="shared" si="65"/>
        <v xml:space="preserve"> </v>
      </c>
      <c r="BB469" s="598" t="str">
        <f t="shared" si="65"/>
        <v xml:space="preserve"> </v>
      </c>
      <c r="BC469" s="598" t="str">
        <f t="shared" si="65"/>
        <v xml:space="preserve"> </v>
      </c>
      <c r="BD469" s="598" t="str">
        <f t="shared" si="65"/>
        <v xml:space="preserve"> </v>
      </c>
      <c r="BE469" s="598" t="str">
        <f t="shared" si="65"/>
        <v xml:space="preserve"> </v>
      </c>
      <c r="BF469" s="598" t="str">
        <f t="shared" si="65"/>
        <v xml:space="preserve"> </v>
      </c>
      <c r="BG469" s="598" t="str">
        <f t="shared" si="65"/>
        <v xml:space="preserve"> </v>
      </c>
      <c r="BH469" s="598" t="str">
        <f t="shared" si="65"/>
        <v xml:space="preserve"> </v>
      </c>
      <c r="BI469" s="598" t="str">
        <f t="shared" si="65"/>
        <v xml:space="preserve"> </v>
      </c>
      <c r="BJ469" s="598" t="str">
        <f t="shared" si="65"/>
        <v xml:space="preserve"> </v>
      </c>
      <c r="BK469" s="598" t="str">
        <f t="shared" si="65"/>
        <v xml:space="preserve"> </v>
      </c>
      <c r="BL469" s="598" t="str">
        <f t="shared" si="65"/>
        <v xml:space="preserve"> </v>
      </c>
      <c r="BM469" s="598" t="str">
        <f t="shared" si="63"/>
        <v xml:space="preserve"> </v>
      </c>
      <c r="BN469" s="598" t="str">
        <f t="shared" si="63"/>
        <v xml:space="preserve"> </v>
      </c>
      <c r="BO469" s="598" t="str">
        <f t="shared" si="63"/>
        <v xml:space="preserve"> </v>
      </c>
      <c r="BP469" s="598" t="str">
        <f t="shared" si="63"/>
        <v xml:space="preserve"> </v>
      </c>
      <c r="BQ469" s="598" t="str">
        <f t="shared" si="63"/>
        <v xml:space="preserve"> </v>
      </c>
      <c r="BR469" s="598" t="str">
        <f t="shared" si="63"/>
        <v xml:space="preserve"> </v>
      </c>
      <c r="BS469" s="598" t="str">
        <f t="shared" si="63"/>
        <v xml:space="preserve"> </v>
      </c>
      <c r="BT469" s="598" t="str">
        <f t="shared" si="63"/>
        <v xml:space="preserve"> </v>
      </c>
      <c r="BU469" s="598" t="str">
        <f t="shared" si="63"/>
        <v xml:space="preserve"> </v>
      </c>
      <c r="BV469" s="598" t="str">
        <f t="shared" si="63"/>
        <v xml:space="preserve"> </v>
      </c>
      <c r="BW469" s="598" t="str">
        <f t="shared" si="63"/>
        <v xml:space="preserve"> </v>
      </c>
      <c r="BX469" s="598" t="str">
        <f t="shared" si="63"/>
        <v xml:space="preserve"> </v>
      </c>
      <c r="BY469" s="598" t="str">
        <f t="shared" si="63"/>
        <v xml:space="preserve"> </v>
      </c>
      <c r="BZ469" s="598" t="str">
        <f t="shared" si="63"/>
        <v xml:space="preserve"> </v>
      </c>
      <c r="CA469" s="598" t="str">
        <f t="shared" si="63"/>
        <v xml:space="preserve"> </v>
      </c>
      <c r="CB469" s="598" t="str">
        <f t="shared" ref="CB469:CQ484" si="70">HLOOKUP(CB$421,$C$217:$Z$317,$A469+1)</f>
        <v xml:space="preserve"> </v>
      </c>
      <c r="CC469" s="598" t="str">
        <f t="shared" si="64"/>
        <v xml:space="preserve"> </v>
      </c>
      <c r="CD469" s="598" t="str">
        <f t="shared" si="64"/>
        <v xml:space="preserve"> </v>
      </c>
      <c r="CE469" s="598" t="str">
        <f t="shared" si="64"/>
        <v xml:space="preserve"> </v>
      </c>
      <c r="CF469" s="598" t="str">
        <f t="shared" si="64"/>
        <v xml:space="preserve"> </v>
      </c>
      <c r="CG469" s="598" t="str">
        <f t="shared" si="64"/>
        <v xml:space="preserve"> </v>
      </c>
      <c r="CH469" s="598" t="str">
        <f t="shared" si="64"/>
        <v xml:space="preserve"> </v>
      </c>
      <c r="CI469" s="598" t="str">
        <f t="shared" si="64"/>
        <v xml:space="preserve"> </v>
      </c>
      <c r="CJ469" s="598" t="str">
        <f t="shared" si="64"/>
        <v xml:space="preserve"> </v>
      </c>
      <c r="CK469" s="598" t="str">
        <f t="shared" si="64"/>
        <v xml:space="preserve"> </v>
      </c>
      <c r="CL469" s="598" t="str">
        <f t="shared" si="64"/>
        <v xml:space="preserve"> </v>
      </c>
      <c r="CM469" s="598" t="str">
        <f t="shared" si="64"/>
        <v xml:space="preserve"> </v>
      </c>
      <c r="CN469" s="598" t="str">
        <f t="shared" si="64"/>
        <v xml:space="preserve"> </v>
      </c>
      <c r="CO469" s="598" t="str">
        <f t="shared" si="64"/>
        <v xml:space="preserve"> </v>
      </c>
      <c r="CP469" s="598" t="str">
        <f t="shared" si="64"/>
        <v xml:space="preserve"> </v>
      </c>
      <c r="CQ469" s="598" t="str">
        <f t="shared" ca="1" si="64"/>
        <v/>
      </c>
    </row>
    <row r="470" spans="1:95" ht="9.9499999999999993" customHeight="1">
      <c r="A470" s="598">
        <v>49</v>
      </c>
      <c r="B470" s="598" t="str">
        <f t="shared" ca="1" si="69"/>
        <v/>
      </c>
      <c r="C470" s="598" t="str">
        <f t="shared" ca="1" si="69"/>
        <v>Beast:Bovine</v>
      </c>
      <c r="D470" s="598" t="str">
        <f t="shared" ca="1" si="69"/>
        <v/>
      </c>
      <c r="E470" s="598" t="str">
        <f t="shared" si="69"/>
        <v xml:space="preserve"> </v>
      </c>
      <c r="F470" s="598" t="str">
        <f t="shared" si="69"/>
        <v xml:space="preserve"> </v>
      </c>
      <c r="G470" s="598" t="str">
        <f t="shared" si="69"/>
        <v xml:space="preserve"> </v>
      </c>
      <c r="H470" s="598" t="str">
        <f t="shared" si="69"/>
        <v xml:space="preserve"> </v>
      </c>
      <c r="I470" s="598" t="str">
        <f t="shared" si="69"/>
        <v xml:space="preserve"> </v>
      </c>
      <c r="J470" s="598" t="str">
        <f t="shared" si="69"/>
        <v xml:space="preserve"> </v>
      </c>
      <c r="K470" s="598" t="str">
        <f t="shared" si="69"/>
        <v xml:space="preserve"> </v>
      </c>
      <c r="L470" s="598" t="str">
        <f t="shared" si="69"/>
        <v xml:space="preserve"> </v>
      </c>
      <c r="M470" s="598" t="str">
        <f t="shared" ca="1" si="69"/>
        <v/>
      </c>
      <c r="N470" s="598" t="str">
        <f t="shared" ca="1" si="69"/>
        <v/>
      </c>
      <c r="O470" s="598" t="str">
        <f t="shared" si="69"/>
        <v xml:space="preserve"> </v>
      </c>
      <c r="P470" s="598" t="str">
        <f t="shared" si="69"/>
        <v xml:space="preserve"> </v>
      </c>
      <c r="Q470" s="598" t="str">
        <f t="shared" si="69"/>
        <v xml:space="preserve"> </v>
      </c>
      <c r="R470" s="598" t="str">
        <f t="shared" si="69"/>
        <v xml:space="preserve"> </v>
      </c>
      <c r="S470" s="598" t="str">
        <f t="shared" si="69"/>
        <v xml:space="preserve"> </v>
      </c>
      <c r="T470" s="598" t="str">
        <f t="shared" si="69"/>
        <v xml:space="preserve"> </v>
      </c>
      <c r="U470" s="598" t="str">
        <f t="shared" si="69"/>
        <v xml:space="preserve"> </v>
      </c>
      <c r="V470" s="598" t="str">
        <f t="shared" si="69"/>
        <v xml:space="preserve"> </v>
      </c>
      <c r="W470" s="598" t="str">
        <f t="shared" si="69"/>
        <v xml:space="preserve"> </v>
      </c>
      <c r="X470" s="598" t="str">
        <f t="shared" si="69"/>
        <v xml:space="preserve"> </v>
      </c>
      <c r="Y470" s="598" t="str">
        <f t="shared" si="69"/>
        <v xml:space="preserve"> </v>
      </c>
      <c r="Z470" s="598" t="str">
        <f t="shared" si="69"/>
        <v xml:space="preserve"> </v>
      </c>
      <c r="AA470" s="598" t="str">
        <f t="shared" ref="AA470:AU470" si="71">HLOOKUP(AA$421,$C$217:$Z$317,$A470+1)</f>
        <v xml:space="preserve"> </v>
      </c>
      <c r="AB470" s="598" t="str">
        <f t="shared" ca="1" si="71"/>
        <v>Monster:Centaur</v>
      </c>
      <c r="AC470" s="598" t="str">
        <f t="shared" ca="1" si="71"/>
        <v>Monster:Centaur</v>
      </c>
      <c r="AD470" s="598" t="str">
        <f t="shared" si="71"/>
        <v xml:space="preserve"> </v>
      </c>
      <c r="AE470" s="598" t="str">
        <f t="shared" si="71"/>
        <v xml:space="preserve"> </v>
      </c>
      <c r="AF470" s="598" t="str">
        <f t="shared" si="71"/>
        <v xml:space="preserve"> </v>
      </c>
      <c r="AG470" s="598" t="str">
        <f t="shared" si="71"/>
        <v xml:space="preserve"> </v>
      </c>
      <c r="AH470" s="598" t="str">
        <f t="shared" si="71"/>
        <v xml:space="preserve"> </v>
      </c>
      <c r="AI470" s="598" t="str">
        <f t="shared" si="71"/>
        <v xml:space="preserve"> </v>
      </c>
      <c r="AJ470" s="598" t="str">
        <f t="shared" si="71"/>
        <v xml:space="preserve"> </v>
      </c>
      <c r="AK470" s="598" t="str">
        <f t="shared" si="71"/>
        <v xml:space="preserve"> </v>
      </c>
      <c r="AL470" s="598" t="str">
        <f t="shared" si="71"/>
        <v xml:space="preserve"> </v>
      </c>
      <c r="AM470" s="598" t="str">
        <f t="shared" si="71"/>
        <v xml:space="preserve"> </v>
      </c>
      <c r="AN470" s="598" t="str">
        <f t="shared" si="71"/>
        <v xml:space="preserve"> </v>
      </c>
      <c r="AO470" s="598" t="str">
        <f t="shared" si="71"/>
        <v xml:space="preserve"> </v>
      </c>
      <c r="AP470" s="598" t="str">
        <f t="shared" si="71"/>
        <v xml:space="preserve"> </v>
      </c>
      <c r="AQ470" s="598" t="str">
        <f t="shared" si="71"/>
        <v xml:space="preserve"> </v>
      </c>
      <c r="AR470" s="598" t="str">
        <f t="shared" si="71"/>
        <v xml:space="preserve"> </v>
      </c>
      <c r="AS470" s="598" t="str">
        <f t="shared" si="71"/>
        <v xml:space="preserve"> </v>
      </c>
      <c r="AT470" s="598" t="str">
        <f t="shared" si="71"/>
        <v xml:space="preserve"> </v>
      </c>
      <c r="AU470" s="598" t="str">
        <f t="shared" si="71"/>
        <v xml:space="preserve"> </v>
      </c>
      <c r="AW470" s="598" t="str">
        <f t="shared" si="65"/>
        <v xml:space="preserve"> </v>
      </c>
      <c r="AX470" s="598" t="str">
        <f t="shared" si="65"/>
        <v xml:space="preserve"> </v>
      </c>
      <c r="AY470" s="598" t="str">
        <f t="shared" si="65"/>
        <v xml:space="preserve"> </v>
      </c>
      <c r="AZ470" s="598" t="str">
        <f t="shared" si="65"/>
        <v xml:space="preserve"> </v>
      </c>
      <c r="BA470" s="598" t="str">
        <f t="shared" si="65"/>
        <v xml:space="preserve"> </v>
      </c>
      <c r="BB470" s="598" t="str">
        <f t="shared" si="65"/>
        <v xml:space="preserve"> </v>
      </c>
      <c r="BC470" s="598" t="str">
        <f t="shared" si="65"/>
        <v xml:space="preserve"> </v>
      </c>
      <c r="BD470" s="598" t="str">
        <f t="shared" si="65"/>
        <v xml:space="preserve"> </v>
      </c>
      <c r="BE470" s="598" t="str">
        <f t="shared" si="65"/>
        <v xml:space="preserve"> </v>
      </c>
      <c r="BF470" s="598" t="str">
        <f t="shared" si="65"/>
        <v xml:space="preserve"> </v>
      </c>
      <c r="BG470" s="598" t="str">
        <f t="shared" si="65"/>
        <v xml:space="preserve"> </v>
      </c>
      <c r="BH470" s="598" t="str">
        <f t="shared" si="65"/>
        <v xml:space="preserve"> </v>
      </c>
      <c r="BI470" s="598" t="str">
        <f t="shared" si="65"/>
        <v xml:space="preserve"> </v>
      </c>
      <c r="BJ470" s="598" t="str">
        <f t="shared" si="65"/>
        <v xml:space="preserve"> </v>
      </c>
      <c r="BK470" s="598" t="str">
        <f t="shared" si="65"/>
        <v xml:space="preserve"> </v>
      </c>
      <c r="BL470" s="598" t="str">
        <f t="shared" ref="BL470:CA485" si="72">HLOOKUP(BL$421,$C$217:$Z$317,$A470+1)</f>
        <v xml:space="preserve"> </v>
      </c>
      <c r="BM470" s="598" t="str">
        <f t="shared" si="72"/>
        <v xml:space="preserve"> </v>
      </c>
      <c r="BN470" s="598" t="str">
        <f t="shared" si="72"/>
        <v xml:space="preserve"> </v>
      </c>
      <c r="BO470" s="598" t="str">
        <f t="shared" si="72"/>
        <v xml:space="preserve"> </v>
      </c>
      <c r="BP470" s="598" t="str">
        <f t="shared" si="72"/>
        <v xml:space="preserve"> </v>
      </c>
      <c r="BQ470" s="598" t="str">
        <f t="shared" si="72"/>
        <v xml:space="preserve"> </v>
      </c>
      <c r="BR470" s="598" t="str">
        <f t="shared" si="72"/>
        <v xml:space="preserve"> </v>
      </c>
      <c r="BS470" s="598" t="str">
        <f t="shared" si="72"/>
        <v xml:space="preserve"> </v>
      </c>
      <c r="BT470" s="598" t="str">
        <f t="shared" si="72"/>
        <v xml:space="preserve"> </v>
      </c>
      <c r="BU470" s="598" t="str">
        <f t="shared" si="72"/>
        <v xml:space="preserve"> </v>
      </c>
      <c r="BV470" s="598" t="str">
        <f t="shared" si="72"/>
        <v xml:space="preserve"> </v>
      </c>
      <c r="BW470" s="598" t="str">
        <f t="shared" si="72"/>
        <v xml:space="preserve"> </v>
      </c>
      <c r="BX470" s="598" t="str">
        <f t="shared" si="72"/>
        <v xml:space="preserve"> </v>
      </c>
      <c r="BY470" s="598" t="str">
        <f t="shared" si="72"/>
        <v xml:space="preserve"> </v>
      </c>
      <c r="BZ470" s="598" t="str">
        <f t="shared" si="72"/>
        <v xml:space="preserve"> </v>
      </c>
      <c r="CA470" s="598" t="str">
        <f t="shared" si="72"/>
        <v xml:space="preserve"> </v>
      </c>
      <c r="CB470" s="598" t="str">
        <f t="shared" si="70"/>
        <v xml:space="preserve"> </v>
      </c>
      <c r="CC470" s="598" t="str">
        <f t="shared" si="70"/>
        <v xml:space="preserve"> </v>
      </c>
      <c r="CD470" s="598" t="str">
        <f t="shared" si="70"/>
        <v xml:space="preserve"> </v>
      </c>
      <c r="CE470" s="598" t="str">
        <f t="shared" si="70"/>
        <v xml:space="preserve"> </v>
      </c>
      <c r="CF470" s="598" t="str">
        <f t="shared" si="70"/>
        <v xml:space="preserve"> </v>
      </c>
      <c r="CG470" s="598" t="str">
        <f t="shared" si="70"/>
        <v xml:space="preserve"> </v>
      </c>
      <c r="CH470" s="598" t="str">
        <f t="shared" si="70"/>
        <v xml:space="preserve"> </v>
      </c>
      <c r="CI470" s="598" t="str">
        <f t="shared" si="70"/>
        <v xml:space="preserve"> </v>
      </c>
      <c r="CJ470" s="598" t="str">
        <f t="shared" si="70"/>
        <v xml:space="preserve"> </v>
      </c>
      <c r="CK470" s="598" t="str">
        <f t="shared" si="70"/>
        <v xml:space="preserve"> </v>
      </c>
      <c r="CL470" s="598" t="str">
        <f t="shared" si="70"/>
        <v xml:space="preserve"> </v>
      </c>
      <c r="CM470" s="598" t="str">
        <f t="shared" si="70"/>
        <v xml:space="preserve"> </v>
      </c>
      <c r="CN470" s="598" t="str">
        <f t="shared" si="70"/>
        <v xml:space="preserve"> </v>
      </c>
      <c r="CO470" s="598" t="str">
        <f t="shared" si="70"/>
        <v xml:space="preserve"> </v>
      </c>
      <c r="CP470" s="598" t="str">
        <f t="shared" si="70"/>
        <v xml:space="preserve"> </v>
      </c>
      <c r="CQ470" s="598" t="str">
        <f t="shared" ca="1" si="70"/>
        <v/>
      </c>
    </row>
    <row r="471" spans="1:95" ht="9.9499999999999993" customHeight="1">
      <c r="A471" s="598">
        <v>50</v>
      </c>
      <c r="B471" s="598" t="str">
        <f t="shared" ref="B471:AU476" ca="1" si="73">HLOOKUP(B$421,$C$217:$Z$317,$A471+1)</f>
        <v/>
      </c>
      <c r="C471" s="598" t="str">
        <f t="shared" ca="1" si="73"/>
        <v>Beast:Canine</v>
      </c>
      <c r="D471" s="598" t="str">
        <f t="shared" ca="1" si="73"/>
        <v/>
      </c>
      <c r="E471" s="598" t="str">
        <f t="shared" si="73"/>
        <v xml:space="preserve"> </v>
      </c>
      <c r="F471" s="598" t="str">
        <f t="shared" si="73"/>
        <v xml:space="preserve"> </v>
      </c>
      <c r="G471" s="598" t="str">
        <f t="shared" si="73"/>
        <v xml:space="preserve"> </v>
      </c>
      <c r="H471" s="598" t="str">
        <f t="shared" si="73"/>
        <v xml:space="preserve"> </v>
      </c>
      <c r="I471" s="598" t="str">
        <f t="shared" si="73"/>
        <v xml:space="preserve"> </v>
      </c>
      <c r="J471" s="598" t="str">
        <f t="shared" si="73"/>
        <v xml:space="preserve"> </v>
      </c>
      <c r="K471" s="598" t="str">
        <f t="shared" si="73"/>
        <v xml:space="preserve"> </v>
      </c>
      <c r="L471" s="598" t="str">
        <f t="shared" si="73"/>
        <v xml:space="preserve"> </v>
      </c>
      <c r="M471" s="598" t="str">
        <f t="shared" ca="1" si="73"/>
        <v/>
      </c>
      <c r="N471" s="598" t="str">
        <f t="shared" ca="1" si="73"/>
        <v/>
      </c>
      <c r="O471" s="598" t="str">
        <f t="shared" si="73"/>
        <v xml:space="preserve"> </v>
      </c>
      <c r="P471" s="598" t="str">
        <f t="shared" si="73"/>
        <v xml:space="preserve"> </v>
      </c>
      <c r="Q471" s="598" t="str">
        <f t="shared" si="73"/>
        <v xml:space="preserve"> </v>
      </c>
      <c r="R471" s="598" t="str">
        <f t="shared" si="73"/>
        <v xml:space="preserve"> </v>
      </c>
      <c r="S471" s="598" t="str">
        <f t="shared" si="73"/>
        <v xml:space="preserve"> </v>
      </c>
      <c r="T471" s="598" t="str">
        <f t="shared" si="73"/>
        <v xml:space="preserve"> </v>
      </c>
      <c r="U471" s="598" t="str">
        <f t="shared" si="73"/>
        <v xml:space="preserve"> </v>
      </c>
      <c r="V471" s="598" t="str">
        <f t="shared" si="73"/>
        <v xml:space="preserve"> </v>
      </c>
      <c r="W471" s="598" t="str">
        <f t="shared" si="73"/>
        <v xml:space="preserve"> </v>
      </c>
      <c r="X471" s="598" t="str">
        <f t="shared" si="73"/>
        <v xml:space="preserve"> </v>
      </c>
      <c r="Y471" s="598" t="str">
        <f t="shared" si="73"/>
        <v xml:space="preserve"> </v>
      </c>
      <c r="Z471" s="598" t="str">
        <f t="shared" si="73"/>
        <v xml:space="preserve"> </v>
      </c>
      <c r="AA471" s="598" t="str">
        <f t="shared" si="73"/>
        <v xml:space="preserve"> </v>
      </c>
      <c r="AB471" s="598" t="str">
        <f t="shared" ca="1" si="73"/>
        <v>Monster:Demonic (Common)</v>
      </c>
      <c r="AC471" s="598" t="str">
        <f t="shared" ca="1" si="73"/>
        <v>Monster:Demonic (Common)</v>
      </c>
      <c r="AD471" s="598" t="str">
        <f t="shared" si="73"/>
        <v xml:space="preserve"> </v>
      </c>
      <c r="AE471" s="598" t="str">
        <f t="shared" si="73"/>
        <v xml:space="preserve"> </v>
      </c>
      <c r="AF471" s="598" t="str">
        <f t="shared" si="73"/>
        <v xml:space="preserve"> </v>
      </c>
      <c r="AG471" s="598" t="str">
        <f t="shared" si="73"/>
        <v xml:space="preserve"> </v>
      </c>
      <c r="AH471" s="598" t="str">
        <f t="shared" si="73"/>
        <v xml:space="preserve"> </v>
      </c>
      <c r="AI471" s="598" t="str">
        <f t="shared" si="73"/>
        <v xml:space="preserve"> </v>
      </c>
      <c r="AJ471" s="598" t="str">
        <f t="shared" si="73"/>
        <v xml:space="preserve"> </v>
      </c>
      <c r="AK471" s="598" t="str">
        <f t="shared" si="73"/>
        <v xml:space="preserve"> </v>
      </c>
      <c r="AL471" s="598" t="str">
        <f t="shared" si="73"/>
        <v xml:space="preserve"> </v>
      </c>
      <c r="AM471" s="598" t="str">
        <f t="shared" si="73"/>
        <v xml:space="preserve"> </v>
      </c>
      <c r="AN471" s="598" t="str">
        <f t="shared" si="73"/>
        <v xml:space="preserve"> </v>
      </c>
      <c r="AO471" s="598" t="str">
        <f t="shared" si="73"/>
        <v xml:space="preserve"> </v>
      </c>
      <c r="AP471" s="598" t="str">
        <f t="shared" si="73"/>
        <v xml:space="preserve"> </v>
      </c>
      <c r="AQ471" s="598" t="str">
        <f t="shared" si="73"/>
        <v xml:space="preserve"> </v>
      </c>
      <c r="AR471" s="598" t="str">
        <f t="shared" si="73"/>
        <v xml:space="preserve"> </v>
      </c>
      <c r="AS471" s="598" t="str">
        <f t="shared" si="73"/>
        <v xml:space="preserve"> </v>
      </c>
      <c r="AT471" s="598" t="str">
        <f t="shared" si="73"/>
        <v xml:space="preserve"> </v>
      </c>
      <c r="AU471" s="598" t="str">
        <f t="shared" si="73"/>
        <v xml:space="preserve"> </v>
      </c>
      <c r="AW471" s="598" t="str">
        <f t="shared" ref="AW471:BL486" si="74">HLOOKUP(AW$421,$C$217:$Z$317,$A471+1)</f>
        <v xml:space="preserve"> </v>
      </c>
      <c r="AX471" s="598" t="str">
        <f t="shared" si="74"/>
        <v xml:space="preserve"> </v>
      </c>
      <c r="AY471" s="598" t="str">
        <f t="shared" si="74"/>
        <v xml:space="preserve"> </v>
      </c>
      <c r="AZ471" s="598" t="str">
        <f t="shared" si="74"/>
        <v xml:space="preserve"> </v>
      </c>
      <c r="BA471" s="598" t="str">
        <f t="shared" si="74"/>
        <v xml:space="preserve"> </v>
      </c>
      <c r="BB471" s="598" t="str">
        <f t="shared" si="74"/>
        <v xml:space="preserve"> </v>
      </c>
      <c r="BC471" s="598" t="str">
        <f t="shared" si="74"/>
        <v xml:space="preserve"> </v>
      </c>
      <c r="BD471" s="598" t="str">
        <f t="shared" si="74"/>
        <v xml:space="preserve"> </v>
      </c>
      <c r="BE471" s="598" t="str">
        <f t="shared" si="74"/>
        <v xml:space="preserve"> </v>
      </c>
      <c r="BF471" s="598" t="str">
        <f t="shared" si="74"/>
        <v xml:space="preserve"> </v>
      </c>
      <c r="BG471" s="598" t="str">
        <f t="shared" si="74"/>
        <v xml:space="preserve"> </v>
      </c>
      <c r="BH471" s="598" t="str">
        <f t="shared" si="74"/>
        <v xml:space="preserve"> </v>
      </c>
      <c r="BI471" s="598" t="str">
        <f t="shared" si="74"/>
        <v xml:space="preserve"> </v>
      </c>
      <c r="BJ471" s="598" t="str">
        <f t="shared" si="74"/>
        <v xml:space="preserve"> </v>
      </c>
      <c r="BK471" s="598" t="str">
        <f t="shared" si="74"/>
        <v xml:space="preserve"> </v>
      </c>
      <c r="BL471" s="598" t="str">
        <f t="shared" si="72"/>
        <v xml:space="preserve"> </v>
      </c>
      <c r="BM471" s="598" t="str">
        <f t="shared" si="72"/>
        <v xml:space="preserve"> </v>
      </c>
      <c r="BN471" s="598" t="str">
        <f t="shared" si="72"/>
        <v xml:space="preserve"> </v>
      </c>
      <c r="BO471" s="598" t="str">
        <f t="shared" si="72"/>
        <v xml:space="preserve"> </v>
      </c>
      <c r="BP471" s="598" t="str">
        <f t="shared" si="72"/>
        <v xml:space="preserve"> </v>
      </c>
      <c r="BQ471" s="598" t="str">
        <f t="shared" si="72"/>
        <v xml:space="preserve"> </v>
      </c>
      <c r="BR471" s="598" t="str">
        <f t="shared" si="72"/>
        <v xml:space="preserve"> </v>
      </c>
      <c r="BS471" s="598" t="str">
        <f t="shared" si="72"/>
        <v xml:space="preserve"> </v>
      </c>
      <c r="BT471" s="598" t="str">
        <f t="shared" si="72"/>
        <v xml:space="preserve"> </v>
      </c>
      <c r="BU471" s="598" t="str">
        <f t="shared" si="72"/>
        <v xml:space="preserve"> </v>
      </c>
      <c r="BV471" s="598" t="str">
        <f t="shared" si="72"/>
        <v xml:space="preserve"> </v>
      </c>
      <c r="BW471" s="598" t="str">
        <f t="shared" si="72"/>
        <v xml:space="preserve"> </v>
      </c>
      <c r="BX471" s="598" t="str">
        <f t="shared" si="72"/>
        <v xml:space="preserve"> </v>
      </c>
      <c r="BY471" s="598" t="str">
        <f t="shared" si="72"/>
        <v xml:space="preserve"> </v>
      </c>
      <c r="BZ471" s="598" t="str">
        <f t="shared" si="72"/>
        <v xml:space="preserve"> </v>
      </c>
      <c r="CA471" s="598" t="str">
        <f t="shared" si="72"/>
        <v xml:space="preserve"> </v>
      </c>
      <c r="CB471" s="598" t="str">
        <f t="shared" si="70"/>
        <v xml:space="preserve"> </v>
      </c>
      <c r="CC471" s="598" t="str">
        <f t="shared" si="70"/>
        <v xml:space="preserve"> </v>
      </c>
      <c r="CD471" s="598" t="str">
        <f t="shared" si="70"/>
        <v xml:space="preserve"> </v>
      </c>
      <c r="CE471" s="598" t="str">
        <f t="shared" si="70"/>
        <v xml:space="preserve"> </v>
      </c>
      <c r="CF471" s="598" t="str">
        <f t="shared" si="70"/>
        <v xml:space="preserve"> </v>
      </c>
      <c r="CG471" s="598" t="str">
        <f t="shared" si="70"/>
        <v xml:space="preserve"> </v>
      </c>
      <c r="CH471" s="598" t="str">
        <f t="shared" si="70"/>
        <v xml:space="preserve"> </v>
      </c>
      <c r="CI471" s="598" t="str">
        <f t="shared" si="70"/>
        <v xml:space="preserve"> </v>
      </c>
      <c r="CJ471" s="598" t="str">
        <f t="shared" si="70"/>
        <v xml:space="preserve"> </v>
      </c>
      <c r="CK471" s="598" t="str">
        <f t="shared" si="70"/>
        <v xml:space="preserve"> </v>
      </c>
      <c r="CL471" s="598" t="str">
        <f t="shared" si="70"/>
        <v xml:space="preserve"> </v>
      </c>
      <c r="CM471" s="598" t="str">
        <f t="shared" si="70"/>
        <v xml:space="preserve"> </v>
      </c>
      <c r="CN471" s="598" t="str">
        <f t="shared" si="70"/>
        <v xml:space="preserve"> </v>
      </c>
      <c r="CO471" s="598" t="str">
        <f t="shared" si="70"/>
        <v xml:space="preserve"> </v>
      </c>
      <c r="CP471" s="598" t="str">
        <f t="shared" si="70"/>
        <v xml:space="preserve"> </v>
      </c>
      <c r="CQ471" s="598" t="str">
        <f t="shared" ca="1" si="70"/>
        <v/>
      </c>
    </row>
    <row r="472" spans="1:95" ht="9.9499999999999993" customHeight="1">
      <c r="A472" s="598">
        <v>51</v>
      </c>
      <c r="B472" s="598" t="str">
        <f t="shared" ca="1" si="73"/>
        <v/>
      </c>
      <c r="C472" s="598" t="str">
        <f t="shared" ca="1" si="73"/>
        <v>Beast:Cetacean</v>
      </c>
      <c r="D472" s="598" t="str">
        <f t="shared" ca="1" si="73"/>
        <v/>
      </c>
      <c r="E472" s="598" t="str">
        <f t="shared" si="73"/>
        <v xml:space="preserve"> </v>
      </c>
      <c r="F472" s="598" t="str">
        <f t="shared" si="73"/>
        <v xml:space="preserve"> </v>
      </c>
      <c r="G472" s="598" t="str">
        <f t="shared" si="73"/>
        <v xml:space="preserve"> </v>
      </c>
      <c r="H472" s="598" t="str">
        <f t="shared" si="73"/>
        <v xml:space="preserve"> </v>
      </c>
      <c r="I472" s="598" t="str">
        <f t="shared" si="73"/>
        <v xml:space="preserve"> </v>
      </c>
      <c r="J472" s="598" t="str">
        <f t="shared" si="73"/>
        <v xml:space="preserve"> </v>
      </c>
      <c r="K472" s="598" t="str">
        <f t="shared" si="73"/>
        <v xml:space="preserve"> </v>
      </c>
      <c r="L472" s="598" t="str">
        <f t="shared" si="73"/>
        <v xml:space="preserve"> </v>
      </c>
      <c r="M472" s="598" t="str">
        <f t="shared" ca="1" si="73"/>
        <v/>
      </c>
      <c r="N472" s="598" t="str">
        <f t="shared" ca="1" si="73"/>
        <v/>
      </c>
      <c r="O472" s="598" t="str">
        <f t="shared" si="73"/>
        <v xml:space="preserve"> </v>
      </c>
      <c r="P472" s="598" t="str">
        <f t="shared" si="73"/>
        <v xml:space="preserve"> </v>
      </c>
      <c r="Q472" s="598" t="str">
        <f t="shared" si="73"/>
        <v xml:space="preserve"> </v>
      </c>
      <c r="R472" s="598" t="str">
        <f t="shared" si="73"/>
        <v xml:space="preserve"> </v>
      </c>
      <c r="S472" s="598" t="str">
        <f t="shared" si="73"/>
        <v xml:space="preserve"> </v>
      </c>
      <c r="T472" s="598" t="str">
        <f t="shared" si="73"/>
        <v xml:space="preserve"> </v>
      </c>
      <c r="U472" s="598" t="str">
        <f t="shared" si="73"/>
        <v xml:space="preserve"> </v>
      </c>
      <c r="V472" s="598" t="str">
        <f t="shared" si="73"/>
        <v xml:space="preserve"> </v>
      </c>
      <c r="W472" s="598" t="str">
        <f t="shared" si="73"/>
        <v xml:space="preserve"> </v>
      </c>
      <c r="X472" s="598" t="str">
        <f t="shared" si="73"/>
        <v xml:space="preserve"> </v>
      </c>
      <c r="Y472" s="598" t="str">
        <f t="shared" si="73"/>
        <v xml:space="preserve"> </v>
      </c>
      <c r="Z472" s="598" t="str">
        <f t="shared" si="73"/>
        <v xml:space="preserve"> </v>
      </c>
      <c r="AA472" s="598" t="str">
        <f t="shared" si="73"/>
        <v xml:space="preserve"> </v>
      </c>
      <c r="AB472" s="598" t="str">
        <f t="shared" ca="1" si="73"/>
        <v>Monster:Demonic (Challenge)</v>
      </c>
      <c r="AC472" s="598" t="str">
        <f t="shared" ca="1" si="73"/>
        <v>Monster:Demonic (Challenge)</v>
      </c>
      <c r="AD472" s="598" t="str">
        <f t="shared" si="73"/>
        <v xml:space="preserve"> </v>
      </c>
      <c r="AE472" s="598" t="str">
        <f t="shared" si="73"/>
        <v xml:space="preserve"> </v>
      </c>
      <c r="AF472" s="598" t="str">
        <f t="shared" si="73"/>
        <v xml:space="preserve"> </v>
      </c>
      <c r="AG472" s="598" t="str">
        <f t="shared" si="73"/>
        <v xml:space="preserve"> </v>
      </c>
      <c r="AH472" s="598" t="str">
        <f t="shared" si="73"/>
        <v xml:space="preserve"> </v>
      </c>
      <c r="AI472" s="598" t="str">
        <f t="shared" si="73"/>
        <v xml:space="preserve"> </v>
      </c>
      <c r="AJ472" s="598" t="str">
        <f t="shared" si="73"/>
        <v xml:space="preserve"> </v>
      </c>
      <c r="AK472" s="598" t="str">
        <f t="shared" si="73"/>
        <v xml:space="preserve"> </v>
      </c>
      <c r="AL472" s="598" t="str">
        <f t="shared" si="73"/>
        <v xml:space="preserve"> </v>
      </c>
      <c r="AM472" s="598" t="str">
        <f t="shared" si="73"/>
        <v xml:space="preserve"> </v>
      </c>
      <c r="AN472" s="598" t="str">
        <f t="shared" si="73"/>
        <v xml:space="preserve"> </v>
      </c>
      <c r="AO472" s="598" t="str">
        <f t="shared" si="73"/>
        <v xml:space="preserve"> </v>
      </c>
      <c r="AP472" s="598" t="str">
        <f t="shared" si="73"/>
        <v xml:space="preserve"> </v>
      </c>
      <c r="AQ472" s="598" t="str">
        <f t="shared" si="73"/>
        <v xml:space="preserve"> </v>
      </c>
      <c r="AR472" s="598" t="str">
        <f t="shared" si="73"/>
        <v xml:space="preserve"> </v>
      </c>
      <c r="AS472" s="598" t="str">
        <f t="shared" si="73"/>
        <v xml:space="preserve"> </v>
      </c>
      <c r="AT472" s="598" t="str">
        <f t="shared" si="73"/>
        <v xml:space="preserve"> </v>
      </c>
      <c r="AU472" s="598" t="str">
        <f t="shared" si="73"/>
        <v xml:space="preserve"> </v>
      </c>
      <c r="AW472" s="598" t="str">
        <f t="shared" si="74"/>
        <v xml:space="preserve"> </v>
      </c>
      <c r="AX472" s="598" t="str">
        <f t="shared" si="74"/>
        <v xml:space="preserve"> </v>
      </c>
      <c r="AY472" s="598" t="str">
        <f t="shared" si="74"/>
        <v xml:space="preserve"> </v>
      </c>
      <c r="AZ472" s="598" t="str">
        <f t="shared" si="74"/>
        <v xml:space="preserve"> </v>
      </c>
      <c r="BA472" s="598" t="str">
        <f t="shared" si="74"/>
        <v xml:space="preserve"> </v>
      </c>
      <c r="BB472" s="598" t="str">
        <f t="shared" si="74"/>
        <v xml:space="preserve"> </v>
      </c>
      <c r="BC472" s="598" t="str">
        <f t="shared" si="74"/>
        <v xml:space="preserve"> </v>
      </c>
      <c r="BD472" s="598" t="str">
        <f t="shared" si="74"/>
        <v xml:space="preserve"> </v>
      </c>
      <c r="BE472" s="598" t="str">
        <f t="shared" si="74"/>
        <v xml:space="preserve"> </v>
      </c>
      <c r="BF472" s="598" t="str">
        <f t="shared" si="74"/>
        <v xml:space="preserve"> </v>
      </c>
      <c r="BG472" s="598" t="str">
        <f t="shared" si="74"/>
        <v xml:space="preserve"> </v>
      </c>
      <c r="BH472" s="598" t="str">
        <f t="shared" si="74"/>
        <v xml:space="preserve"> </v>
      </c>
      <c r="BI472" s="598" t="str">
        <f t="shared" si="74"/>
        <v xml:space="preserve"> </v>
      </c>
      <c r="BJ472" s="598" t="str">
        <f t="shared" si="74"/>
        <v xml:space="preserve"> </v>
      </c>
      <c r="BK472" s="598" t="str">
        <f t="shared" si="74"/>
        <v xml:space="preserve"> </v>
      </c>
      <c r="BL472" s="598" t="str">
        <f t="shared" si="72"/>
        <v xml:space="preserve"> </v>
      </c>
      <c r="BM472" s="598" t="str">
        <f t="shared" si="72"/>
        <v xml:space="preserve"> </v>
      </c>
      <c r="BN472" s="598" t="str">
        <f t="shared" si="72"/>
        <v xml:space="preserve"> </v>
      </c>
      <c r="BO472" s="598" t="str">
        <f t="shared" si="72"/>
        <v xml:space="preserve"> </v>
      </c>
      <c r="BP472" s="598" t="str">
        <f t="shared" si="72"/>
        <v xml:space="preserve"> </v>
      </c>
      <c r="BQ472" s="598" t="str">
        <f t="shared" si="72"/>
        <v xml:space="preserve"> </v>
      </c>
      <c r="BR472" s="598" t="str">
        <f t="shared" si="72"/>
        <v xml:space="preserve"> </v>
      </c>
      <c r="BS472" s="598" t="str">
        <f t="shared" si="72"/>
        <v xml:space="preserve"> </v>
      </c>
      <c r="BT472" s="598" t="str">
        <f t="shared" si="72"/>
        <v xml:space="preserve"> </v>
      </c>
      <c r="BU472" s="598" t="str">
        <f t="shared" si="72"/>
        <v xml:space="preserve"> </v>
      </c>
      <c r="BV472" s="598" t="str">
        <f t="shared" si="72"/>
        <v xml:space="preserve"> </v>
      </c>
      <c r="BW472" s="598" t="str">
        <f t="shared" si="72"/>
        <v xml:space="preserve"> </v>
      </c>
      <c r="BX472" s="598" t="str">
        <f t="shared" si="72"/>
        <v xml:space="preserve"> </v>
      </c>
      <c r="BY472" s="598" t="str">
        <f t="shared" si="72"/>
        <v xml:space="preserve"> </v>
      </c>
      <c r="BZ472" s="598" t="str">
        <f t="shared" si="72"/>
        <v xml:space="preserve"> </v>
      </c>
      <c r="CA472" s="598" t="str">
        <f t="shared" si="72"/>
        <v xml:space="preserve"> </v>
      </c>
      <c r="CB472" s="598" t="str">
        <f t="shared" si="70"/>
        <v xml:space="preserve"> </v>
      </c>
      <c r="CC472" s="598" t="str">
        <f t="shared" si="70"/>
        <v xml:space="preserve"> </v>
      </c>
      <c r="CD472" s="598" t="str">
        <f t="shared" si="70"/>
        <v xml:space="preserve"> </v>
      </c>
      <c r="CE472" s="598" t="str">
        <f t="shared" si="70"/>
        <v xml:space="preserve"> </v>
      </c>
      <c r="CF472" s="598" t="str">
        <f t="shared" si="70"/>
        <v xml:space="preserve"> </v>
      </c>
      <c r="CG472" s="598" t="str">
        <f t="shared" si="70"/>
        <v xml:space="preserve"> </v>
      </c>
      <c r="CH472" s="598" t="str">
        <f t="shared" si="70"/>
        <v xml:space="preserve"> </v>
      </c>
      <c r="CI472" s="598" t="str">
        <f t="shared" si="70"/>
        <v xml:space="preserve"> </v>
      </c>
      <c r="CJ472" s="598" t="str">
        <f t="shared" si="70"/>
        <v xml:space="preserve"> </v>
      </c>
      <c r="CK472" s="598" t="str">
        <f t="shared" si="70"/>
        <v xml:space="preserve"> </v>
      </c>
      <c r="CL472" s="598" t="str">
        <f t="shared" si="70"/>
        <v xml:space="preserve"> </v>
      </c>
      <c r="CM472" s="598" t="str">
        <f t="shared" si="70"/>
        <v xml:space="preserve"> </v>
      </c>
      <c r="CN472" s="598" t="str">
        <f t="shared" si="70"/>
        <v xml:space="preserve"> </v>
      </c>
      <c r="CO472" s="598" t="str">
        <f t="shared" si="70"/>
        <v xml:space="preserve"> </v>
      </c>
      <c r="CP472" s="598" t="str">
        <f t="shared" si="70"/>
        <v xml:space="preserve"> </v>
      </c>
      <c r="CQ472" s="598" t="str">
        <f t="shared" ca="1" si="70"/>
        <v/>
      </c>
    </row>
    <row r="473" spans="1:95" ht="9.9499999999999993" customHeight="1">
      <c r="A473" s="598">
        <v>52</v>
      </c>
      <c r="B473" s="598" t="str">
        <f t="shared" ca="1" si="73"/>
        <v/>
      </c>
      <c r="C473" s="598" t="str">
        <f t="shared" ca="1" si="73"/>
        <v>Beast:Equine</v>
      </c>
      <c r="D473" s="598" t="str">
        <f t="shared" ca="1" si="73"/>
        <v/>
      </c>
      <c r="E473" s="598" t="str">
        <f t="shared" si="73"/>
        <v xml:space="preserve"> </v>
      </c>
      <c r="F473" s="598" t="str">
        <f t="shared" si="73"/>
        <v xml:space="preserve"> </v>
      </c>
      <c r="G473" s="598" t="str">
        <f t="shared" si="73"/>
        <v xml:space="preserve"> </v>
      </c>
      <c r="H473" s="598" t="str">
        <f t="shared" si="73"/>
        <v xml:space="preserve"> </v>
      </c>
      <c r="I473" s="598" t="str">
        <f t="shared" si="73"/>
        <v xml:space="preserve"> </v>
      </c>
      <c r="J473" s="598" t="str">
        <f t="shared" si="73"/>
        <v xml:space="preserve"> </v>
      </c>
      <c r="K473" s="598" t="str">
        <f t="shared" si="73"/>
        <v xml:space="preserve"> </v>
      </c>
      <c r="L473" s="598" t="str">
        <f t="shared" si="73"/>
        <v xml:space="preserve"> </v>
      </c>
      <c r="M473" s="598" t="str">
        <f t="shared" ca="1" si="73"/>
        <v/>
      </c>
      <c r="N473" s="598" t="str">
        <f t="shared" ca="1" si="73"/>
        <v/>
      </c>
      <c r="O473" s="598" t="str">
        <f t="shared" si="73"/>
        <v xml:space="preserve"> </v>
      </c>
      <c r="P473" s="598" t="str">
        <f t="shared" si="73"/>
        <v xml:space="preserve"> </v>
      </c>
      <c r="Q473" s="598" t="str">
        <f t="shared" si="73"/>
        <v xml:space="preserve"> </v>
      </c>
      <c r="R473" s="598" t="str">
        <f t="shared" si="73"/>
        <v xml:space="preserve"> </v>
      </c>
      <c r="S473" s="598" t="str">
        <f t="shared" si="73"/>
        <v xml:space="preserve"> </v>
      </c>
      <c r="T473" s="598" t="str">
        <f t="shared" si="73"/>
        <v xml:space="preserve"> </v>
      </c>
      <c r="U473" s="598" t="str">
        <f t="shared" si="73"/>
        <v xml:space="preserve"> </v>
      </c>
      <c r="V473" s="598" t="str">
        <f t="shared" si="73"/>
        <v xml:space="preserve"> </v>
      </c>
      <c r="W473" s="598" t="str">
        <f t="shared" si="73"/>
        <v xml:space="preserve"> </v>
      </c>
      <c r="X473" s="598" t="str">
        <f t="shared" si="73"/>
        <v xml:space="preserve"> </v>
      </c>
      <c r="Y473" s="598" t="str">
        <f t="shared" si="73"/>
        <v xml:space="preserve"> </v>
      </c>
      <c r="Z473" s="598" t="str">
        <f t="shared" si="73"/>
        <v xml:space="preserve"> </v>
      </c>
      <c r="AA473" s="598" t="str">
        <f t="shared" si="73"/>
        <v xml:space="preserve"> </v>
      </c>
      <c r="AB473" s="598" t="str">
        <f t="shared" ca="1" si="73"/>
        <v>Monster:Draconic</v>
      </c>
      <c r="AC473" s="598" t="str">
        <f t="shared" ca="1" si="73"/>
        <v>Monster:Draconic</v>
      </c>
      <c r="AD473" s="598" t="str">
        <f t="shared" si="73"/>
        <v xml:space="preserve"> </v>
      </c>
      <c r="AE473" s="598" t="str">
        <f t="shared" si="73"/>
        <v xml:space="preserve"> </v>
      </c>
      <c r="AF473" s="598" t="str">
        <f t="shared" si="73"/>
        <v xml:space="preserve"> </v>
      </c>
      <c r="AG473" s="598" t="str">
        <f t="shared" si="73"/>
        <v xml:space="preserve"> </v>
      </c>
      <c r="AH473" s="598" t="str">
        <f t="shared" si="73"/>
        <v xml:space="preserve"> </v>
      </c>
      <c r="AI473" s="598" t="str">
        <f t="shared" si="73"/>
        <v xml:space="preserve"> </v>
      </c>
      <c r="AJ473" s="598" t="str">
        <f t="shared" si="73"/>
        <v xml:space="preserve"> </v>
      </c>
      <c r="AK473" s="598" t="str">
        <f t="shared" si="73"/>
        <v xml:space="preserve"> </v>
      </c>
      <c r="AL473" s="598" t="str">
        <f t="shared" si="73"/>
        <v xml:space="preserve"> </v>
      </c>
      <c r="AM473" s="598" t="str">
        <f t="shared" si="73"/>
        <v xml:space="preserve"> </v>
      </c>
      <c r="AN473" s="598" t="str">
        <f t="shared" si="73"/>
        <v xml:space="preserve"> </v>
      </c>
      <c r="AO473" s="598" t="str">
        <f t="shared" si="73"/>
        <v xml:space="preserve"> </v>
      </c>
      <c r="AP473" s="598" t="str">
        <f t="shared" si="73"/>
        <v xml:space="preserve"> </v>
      </c>
      <c r="AQ473" s="598" t="str">
        <f t="shared" si="73"/>
        <v xml:space="preserve"> </v>
      </c>
      <c r="AR473" s="598" t="str">
        <f t="shared" si="73"/>
        <v xml:space="preserve"> </v>
      </c>
      <c r="AS473" s="598" t="str">
        <f t="shared" si="73"/>
        <v xml:space="preserve"> </v>
      </c>
      <c r="AT473" s="598" t="str">
        <f t="shared" si="73"/>
        <v xml:space="preserve"> </v>
      </c>
      <c r="AU473" s="598" t="str">
        <f t="shared" si="73"/>
        <v xml:space="preserve"> </v>
      </c>
      <c r="AW473" s="598" t="str">
        <f t="shared" si="74"/>
        <v xml:space="preserve"> </v>
      </c>
      <c r="AX473" s="598" t="str">
        <f t="shared" si="74"/>
        <v xml:space="preserve"> </v>
      </c>
      <c r="AY473" s="598" t="str">
        <f t="shared" si="74"/>
        <v xml:space="preserve"> </v>
      </c>
      <c r="AZ473" s="598" t="str">
        <f t="shared" si="74"/>
        <v xml:space="preserve"> </v>
      </c>
      <c r="BA473" s="598" t="str">
        <f t="shared" si="74"/>
        <v xml:space="preserve"> </v>
      </c>
      <c r="BB473" s="598" t="str">
        <f t="shared" si="74"/>
        <v xml:space="preserve"> </v>
      </c>
      <c r="BC473" s="598" t="str">
        <f t="shared" si="74"/>
        <v xml:space="preserve"> </v>
      </c>
      <c r="BD473" s="598" t="str">
        <f t="shared" si="74"/>
        <v xml:space="preserve"> </v>
      </c>
      <c r="BE473" s="598" t="str">
        <f t="shared" si="74"/>
        <v xml:space="preserve"> </v>
      </c>
      <c r="BF473" s="598" t="str">
        <f t="shared" si="74"/>
        <v xml:space="preserve"> </v>
      </c>
      <c r="BG473" s="598" t="str">
        <f t="shared" si="74"/>
        <v xml:space="preserve"> </v>
      </c>
      <c r="BH473" s="598" t="str">
        <f t="shared" si="74"/>
        <v xml:space="preserve"> </v>
      </c>
      <c r="BI473" s="598" t="str">
        <f t="shared" si="74"/>
        <v xml:space="preserve"> </v>
      </c>
      <c r="BJ473" s="598" t="str">
        <f t="shared" si="74"/>
        <v xml:space="preserve"> </v>
      </c>
      <c r="BK473" s="598" t="str">
        <f t="shared" si="74"/>
        <v xml:space="preserve"> </v>
      </c>
      <c r="BL473" s="598" t="str">
        <f t="shared" si="72"/>
        <v xml:space="preserve"> </v>
      </c>
      <c r="BM473" s="598" t="str">
        <f t="shared" si="72"/>
        <v xml:space="preserve"> </v>
      </c>
      <c r="BN473" s="598" t="str">
        <f t="shared" si="72"/>
        <v xml:space="preserve"> </v>
      </c>
      <c r="BO473" s="598" t="str">
        <f t="shared" si="72"/>
        <v xml:space="preserve"> </v>
      </c>
      <c r="BP473" s="598" t="str">
        <f t="shared" si="72"/>
        <v xml:space="preserve"> </v>
      </c>
      <c r="BQ473" s="598" t="str">
        <f t="shared" si="72"/>
        <v xml:space="preserve"> </v>
      </c>
      <c r="BR473" s="598" t="str">
        <f t="shared" si="72"/>
        <v xml:space="preserve"> </v>
      </c>
      <c r="BS473" s="598" t="str">
        <f t="shared" si="72"/>
        <v xml:space="preserve"> </v>
      </c>
      <c r="BT473" s="598" t="str">
        <f t="shared" si="72"/>
        <v xml:space="preserve"> </v>
      </c>
      <c r="BU473" s="598" t="str">
        <f t="shared" si="72"/>
        <v xml:space="preserve"> </v>
      </c>
      <c r="BV473" s="598" t="str">
        <f t="shared" si="72"/>
        <v xml:space="preserve"> </v>
      </c>
      <c r="BW473" s="598" t="str">
        <f t="shared" si="72"/>
        <v xml:space="preserve"> </v>
      </c>
      <c r="BX473" s="598" t="str">
        <f t="shared" si="72"/>
        <v xml:space="preserve"> </v>
      </c>
      <c r="BY473" s="598" t="str">
        <f t="shared" si="72"/>
        <v xml:space="preserve"> </v>
      </c>
      <c r="BZ473" s="598" t="str">
        <f t="shared" si="72"/>
        <v xml:space="preserve"> </v>
      </c>
      <c r="CA473" s="598" t="str">
        <f t="shared" si="72"/>
        <v xml:space="preserve"> </v>
      </c>
      <c r="CB473" s="598" t="str">
        <f t="shared" si="70"/>
        <v xml:space="preserve"> </v>
      </c>
      <c r="CC473" s="598" t="str">
        <f t="shared" si="70"/>
        <v xml:space="preserve"> </v>
      </c>
      <c r="CD473" s="598" t="str">
        <f t="shared" si="70"/>
        <v xml:space="preserve"> </v>
      </c>
      <c r="CE473" s="598" t="str">
        <f t="shared" si="70"/>
        <v xml:space="preserve"> </v>
      </c>
      <c r="CF473" s="598" t="str">
        <f t="shared" si="70"/>
        <v xml:space="preserve"> </v>
      </c>
      <c r="CG473" s="598" t="str">
        <f t="shared" si="70"/>
        <v xml:space="preserve"> </v>
      </c>
      <c r="CH473" s="598" t="str">
        <f t="shared" si="70"/>
        <v xml:space="preserve"> </v>
      </c>
      <c r="CI473" s="598" t="str">
        <f t="shared" si="70"/>
        <v xml:space="preserve"> </v>
      </c>
      <c r="CJ473" s="598" t="str">
        <f t="shared" si="70"/>
        <v xml:space="preserve"> </v>
      </c>
      <c r="CK473" s="598" t="str">
        <f t="shared" si="70"/>
        <v xml:space="preserve"> </v>
      </c>
      <c r="CL473" s="598" t="str">
        <f t="shared" si="70"/>
        <v xml:space="preserve"> </v>
      </c>
      <c r="CM473" s="598" t="str">
        <f t="shared" si="70"/>
        <v xml:space="preserve"> </v>
      </c>
      <c r="CN473" s="598" t="str">
        <f t="shared" si="70"/>
        <v xml:space="preserve"> </v>
      </c>
      <c r="CO473" s="598" t="str">
        <f t="shared" si="70"/>
        <v xml:space="preserve"> </v>
      </c>
      <c r="CP473" s="598" t="str">
        <f t="shared" si="70"/>
        <v xml:space="preserve"> </v>
      </c>
      <c r="CQ473" s="598" t="str">
        <f t="shared" ca="1" si="70"/>
        <v/>
      </c>
    </row>
    <row r="474" spans="1:95" ht="9.9499999999999993" customHeight="1">
      <c r="A474" s="598">
        <v>53</v>
      </c>
      <c r="B474" s="598" t="str">
        <f t="shared" ca="1" si="73"/>
        <v/>
      </c>
      <c r="C474" s="598" t="str">
        <f t="shared" ca="1" si="73"/>
        <v>Beast:Feline</v>
      </c>
      <c r="D474" s="598" t="str">
        <f t="shared" ca="1" si="73"/>
        <v/>
      </c>
      <c r="E474" s="598" t="str">
        <f t="shared" si="73"/>
        <v xml:space="preserve"> </v>
      </c>
      <c r="F474" s="598" t="str">
        <f t="shared" si="73"/>
        <v xml:space="preserve"> </v>
      </c>
      <c r="G474" s="598" t="str">
        <f t="shared" si="73"/>
        <v xml:space="preserve"> </v>
      </c>
      <c r="H474" s="598" t="str">
        <f t="shared" si="73"/>
        <v xml:space="preserve"> </v>
      </c>
      <c r="I474" s="598" t="str">
        <f t="shared" si="73"/>
        <v xml:space="preserve"> </v>
      </c>
      <c r="J474" s="598" t="str">
        <f t="shared" si="73"/>
        <v xml:space="preserve"> </v>
      </c>
      <c r="K474" s="598" t="str">
        <f t="shared" si="73"/>
        <v xml:space="preserve"> </v>
      </c>
      <c r="L474" s="598" t="str">
        <f t="shared" si="73"/>
        <v xml:space="preserve"> </v>
      </c>
      <c r="M474" s="598" t="str">
        <f t="shared" ca="1" si="73"/>
        <v/>
      </c>
      <c r="N474" s="598" t="str">
        <f t="shared" ca="1" si="73"/>
        <v/>
      </c>
      <c r="O474" s="598" t="str">
        <f t="shared" si="73"/>
        <v xml:space="preserve"> </v>
      </c>
      <c r="P474" s="598" t="str">
        <f t="shared" si="73"/>
        <v xml:space="preserve"> </v>
      </c>
      <c r="Q474" s="598" t="str">
        <f t="shared" si="73"/>
        <v xml:space="preserve"> </v>
      </c>
      <c r="R474" s="598" t="str">
        <f t="shared" si="73"/>
        <v xml:space="preserve"> </v>
      </c>
      <c r="S474" s="598" t="str">
        <f t="shared" si="73"/>
        <v xml:space="preserve"> </v>
      </c>
      <c r="T474" s="598" t="str">
        <f t="shared" si="73"/>
        <v xml:space="preserve"> </v>
      </c>
      <c r="U474" s="598" t="str">
        <f t="shared" si="73"/>
        <v xml:space="preserve"> </v>
      </c>
      <c r="V474" s="598" t="str">
        <f t="shared" si="73"/>
        <v xml:space="preserve"> </v>
      </c>
      <c r="W474" s="598" t="str">
        <f t="shared" si="73"/>
        <v xml:space="preserve"> </v>
      </c>
      <c r="X474" s="598" t="str">
        <f t="shared" si="73"/>
        <v xml:space="preserve"> </v>
      </c>
      <c r="Y474" s="598" t="str">
        <f t="shared" si="73"/>
        <v xml:space="preserve"> </v>
      </c>
      <c r="Z474" s="598" t="str">
        <f t="shared" si="73"/>
        <v xml:space="preserve"> </v>
      </c>
      <c r="AA474" s="598" t="str">
        <f t="shared" si="73"/>
        <v xml:space="preserve"> </v>
      </c>
      <c r="AB474" s="598" t="str">
        <f t="shared" ca="1" si="73"/>
        <v>Monster:Draconic (Ancient)</v>
      </c>
      <c r="AC474" s="598" t="str">
        <f t="shared" ca="1" si="73"/>
        <v>Monster:Draconic (Ancient)</v>
      </c>
      <c r="AD474" s="598" t="str">
        <f t="shared" si="73"/>
        <v xml:space="preserve"> </v>
      </c>
      <c r="AE474" s="598" t="str">
        <f t="shared" si="73"/>
        <v xml:space="preserve"> </v>
      </c>
      <c r="AF474" s="598" t="str">
        <f t="shared" si="73"/>
        <v xml:space="preserve"> </v>
      </c>
      <c r="AG474" s="598" t="str">
        <f t="shared" si="73"/>
        <v xml:space="preserve"> </v>
      </c>
      <c r="AH474" s="598" t="str">
        <f t="shared" si="73"/>
        <v xml:space="preserve"> </v>
      </c>
      <c r="AI474" s="598" t="str">
        <f t="shared" si="73"/>
        <v xml:space="preserve"> </v>
      </c>
      <c r="AJ474" s="598" t="str">
        <f t="shared" si="73"/>
        <v xml:space="preserve"> </v>
      </c>
      <c r="AK474" s="598" t="str">
        <f t="shared" si="73"/>
        <v xml:space="preserve"> </v>
      </c>
      <c r="AL474" s="598" t="str">
        <f t="shared" si="73"/>
        <v xml:space="preserve"> </v>
      </c>
      <c r="AM474" s="598" t="str">
        <f t="shared" si="73"/>
        <v xml:space="preserve"> </v>
      </c>
      <c r="AN474" s="598" t="str">
        <f t="shared" si="73"/>
        <v xml:space="preserve"> </v>
      </c>
      <c r="AO474" s="598" t="str">
        <f t="shared" si="73"/>
        <v xml:space="preserve"> </v>
      </c>
      <c r="AP474" s="598" t="str">
        <f t="shared" si="73"/>
        <v xml:space="preserve"> </v>
      </c>
      <c r="AQ474" s="598" t="str">
        <f t="shared" si="73"/>
        <v xml:space="preserve"> </v>
      </c>
      <c r="AR474" s="598" t="str">
        <f t="shared" si="73"/>
        <v xml:space="preserve"> </v>
      </c>
      <c r="AS474" s="598" t="str">
        <f t="shared" si="73"/>
        <v xml:space="preserve"> </v>
      </c>
      <c r="AT474" s="598" t="str">
        <f t="shared" si="73"/>
        <v xml:space="preserve"> </v>
      </c>
      <c r="AU474" s="598" t="str">
        <f t="shared" si="73"/>
        <v xml:space="preserve"> </v>
      </c>
      <c r="AW474" s="598" t="str">
        <f t="shared" si="74"/>
        <v xml:space="preserve"> </v>
      </c>
      <c r="AX474" s="598" t="str">
        <f t="shared" si="74"/>
        <v xml:space="preserve"> </v>
      </c>
      <c r="AY474" s="598" t="str">
        <f t="shared" si="74"/>
        <v xml:space="preserve"> </v>
      </c>
      <c r="AZ474" s="598" t="str">
        <f t="shared" si="74"/>
        <v xml:space="preserve"> </v>
      </c>
      <c r="BA474" s="598" t="str">
        <f t="shared" si="74"/>
        <v xml:space="preserve"> </v>
      </c>
      <c r="BB474" s="598" t="str">
        <f t="shared" si="74"/>
        <v xml:space="preserve"> </v>
      </c>
      <c r="BC474" s="598" t="str">
        <f t="shared" si="74"/>
        <v xml:space="preserve"> </v>
      </c>
      <c r="BD474" s="598" t="str">
        <f t="shared" si="74"/>
        <v xml:space="preserve"> </v>
      </c>
      <c r="BE474" s="598" t="str">
        <f t="shared" si="74"/>
        <v xml:space="preserve"> </v>
      </c>
      <c r="BF474" s="598" t="str">
        <f t="shared" si="74"/>
        <v xml:space="preserve"> </v>
      </c>
      <c r="BG474" s="598" t="str">
        <f t="shared" si="74"/>
        <v xml:space="preserve"> </v>
      </c>
      <c r="BH474" s="598" t="str">
        <f t="shared" si="74"/>
        <v xml:space="preserve"> </v>
      </c>
      <c r="BI474" s="598" t="str">
        <f t="shared" si="74"/>
        <v xml:space="preserve"> </v>
      </c>
      <c r="BJ474" s="598" t="str">
        <f t="shared" si="74"/>
        <v xml:space="preserve"> </v>
      </c>
      <c r="BK474" s="598" t="str">
        <f t="shared" si="74"/>
        <v xml:space="preserve"> </v>
      </c>
      <c r="BL474" s="598" t="str">
        <f t="shared" si="72"/>
        <v xml:space="preserve"> </v>
      </c>
      <c r="BM474" s="598" t="str">
        <f t="shared" si="72"/>
        <v xml:space="preserve"> </v>
      </c>
      <c r="BN474" s="598" t="str">
        <f t="shared" si="72"/>
        <v xml:space="preserve"> </v>
      </c>
      <c r="BO474" s="598" t="str">
        <f t="shared" si="72"/>
        <v xml:space="preserve"> </v>
      </c>
      <c r="BP474" s="598" t="str">
        <f t="shared" si="72"/>
        <v xml:space="preserve"> </v>
      </c>
      <c r="BQ474" s="598" t="str">
        <f t="shared" si="72"/>
        <v xml:space="preserve"> </v>
      </c>
      <c r="BR474" s="598" t="str">
        <f t="shared" si="72"/>
        <v xml:space="preserve"> </v>
      </c>
      <c r="BS474" s="598" t="str">
        <f t="shared" si="72"/>
        <v xml:space="preserve"> </v>
      </c>
      <c r="BT474" s="598" t="str">
        <f t="shared" si="72"/>
        <v xml:space="preserve"> </v>
      </c>
      <c r="BU474" s="598" t="str">
        <f t="shared" si="72"/>
        <v xml:space="preserve"> </v>
      </c>
      <c r="BV474" s="598" t="str">
        <f t="shared" si="72"/>
        <v xml:space="preserve"> </v>
      </c>
      <c r="BW474" s="598" t="str">
        <f t="shared" si="72"/>
        <v xml:space="preserve"> </v>
      </c>
      <c r="BX474" s="598" t="str">
        <f t="shared" si="72"/>
        <v xml:space="preserve"> </v>
      </c>
      <c r="BY474" s="598" t="str">
        <f t="shared" si="72"/>
        <v xml:space="preserve"> </v>
      </c>
      <c r="BZ474" s="598" t="str">
        <f t="shared" si="72"/>
        <v xml:space="preserve"> </v>
      </c>
      <c r="CA474" s="598" t="str">
        <f t="shared" si="72"/>
        <v xml:space="preserve"> </v>
      </c>
      <c r="CB474" s="598" t="str">
        <f t="shared" si="70"/>
        <v xml:space="preserve"> </v>
      </c>
      <c r="CC474" s="598" t="str">
        <f t="shared" si="70"/>
        <v xml:space="preserve"> </v>
      </c>
      <c r="CD474" s="598" t="str">
        <f t="shared" si="70"/>
        <v xml:space="preserve"> </v>
      </c>
      <c r="CE474" s="598" t="str">
        <f t="shared" si="70"/>
        <v xml:space="preserve"> </v>
      </c>
      <c r="CF474" s="598" t="str">
        <f t="shared" si="70"/>
        <v xml:space="preserve"> </v>
      </c>
      <c r="CG474" s="598" t="str">
        <f t="shared" si="70"/>
        <v xml:space="preserve"> </v>
      </c>
      <c r="CH474" s="598" t="str">
        <f t="shared" si="70"/>
        <v xml:space="preserve"> </v>
      </c>
      <c r="CI474" s="598" t="str">
        <f t="shared" si="70"/>
        <v xml:space="preserve"> </v>
      </c>
      <c r="CJ474" s="598" t="str">
        <f t="shared" si="70"/>
        <v xml:space="preserve"> </v>
      </c>
      <c r="CK474" s="598" t="str">
        <f t="shared" si="70"/>
        <v xml:space="preserve"> </v>
      </c>
      <c r="CL474" s="598" t="str">
        <f t="shared" si="70"/>
        <v xml:space="preserve"> </v>
      </c>
      <c r="CM474" s="598" t="str">
        <f t="shared" si="70"/>
        <v xml:space="preserve"> </v>
      </c>
      <c r="CN474" s="598" t="str">
        <f t="shared" si="70"/>
        <v xml:space="preserve"> </v>
      </c>
      <c r="CO474" s="598" t="str">
        <f t="shared" si="70"/>
        <v xml:space="preserve"> </v>
      </c>
      <c r="CP474" s="598" t="str">
        <f t="shared" si="70"/>
        <v xml:space="preserve"> </v>
      </c>
      <c r="CQ474" s="598" t="str">
        <f t="shared" ca="1" si="70"/>
        <v/>
      </c>
    </row>
    <row r="475" spans="1:95" ht="9.9499999999999993" customHeight="1">
      <c r="A475" s="598">
        <v>54</v>
      </c>
      <c r="B475" s="598" t="str">
        <f t="shared" ca="1" si="73"/>
        <v/>
      </c>
      <c r="C475" s="598" t="str">
        <f t="shared" ca="1" si="73"/>
        <v>Beast:Hooven</v>
      </c>
      <c r="D475" s="598" t="str">
        <f t="shared" ca="1" si="73"/>
        <v/>
      </c>
      <c r="E475" s="598" t="str">
        <f t="shared" si="73"/>
        <v xml:space="preserve"> </v>
      </c>
      <c r="F475" s="598" t="str">
        <f t="shared" si="73"/>
        <v xml:space="preserve"> </v>
      </c>
      <c r="G475" s="598" t="str">
        <f t="shared" si="73"/>
        <v xml:space="preserve"> </v>
      </c>
      <c r="H475" s="598" t="str">
        <f t="shared" si="73"/>
        <v xml:space="preserve"> </v>
      </c>
      <c r="I475" s="598" t="str">
        <f t="shared" si="73"/>
        <v xml:space="preserve"> </v>
      </c>
      <c r="J475" s="598" t="str">
        <f t="shared" si="73"/>
        <v xml:space="preserve"> </v>
      </c>
      <c r="K475" s="598" t="str">
        <f t="shared" si="73"/>
        <v xml:space="preserve"> </v>
      </c>
      <c r="L475" s="598" t="str">
        <f t="shared" si="73"/>
        <v xml:space="preserve"> </v>
      </c>
      <c r="M475" s="598" t="str">
        <f t="shared" ca="1" si="73"/>
        <v/>
      </c>
      <c r="N475" s="598" t="str">
        <f t="shared" ca="1" si="73"/>
        <v/>
      </c>
      <c r="O475" s="598" t="str">
        <f t="shared" si="73"/>
        <v xml:space="preserve"> </v>
      </c>
      <c r="P475" s="598" t="str">
        <f t="shared" si="73"/>
        <v xml:space="preserve"> </v>
      </c>
      <c r="Q475" s="598" t="str">
        <f t="shared" si="73"/>
        <v xml:space="preserve"> </v>
      </c>
      <c r="R475" s="598" t="str">
        <f t="shared" si="73"/>
        <v xml:space="preserve"> </v>
      </c>
      <c r="S475" s="598" t="str">
        <f t="shared" si="73"/>
        <v xml:space="preserve"> </v>
      </c>
      <c r="T475" s="598" t="str">
        <f t="shared" si="73"/>
        <v xml:space="preserve"> </v>
      </c>
      <c r="U475" s="598" t="str">
        <f t="shared" si="73"/>
        <v xml:space="preserve"> </v>
      </c>
      <c r="V475" s="598" t="str">
        <f t="shared" si="73"/>
        <v xml:space="preserve"> </v>
      </c>
      <c r="W475" s="598" t="str">
        <f t="shared" si="73"/>
        <v xml:space="preserve"> </v>
      </c>
      <c r="X475" s="598" t="str">
        <f t="shared" si="73"/>
        <v xml:space="preserve"> </v>
      </c>
      <c r="Y475" s="598" t="str">
        <f t="shared" si="73"/>
        <v xml:space="preserve"> </v>
      </c>
      <c r="Z475" s="598" t="str">
        <f t="shared" si="73"/>
        <v xml:space="preserve"> </v>
      </c>
      <c r="AA475" s="598" t="str">
        <f t="shared" si="73"/>
        <v xml:space="preserve"> </v>
      </c>
      <c r="AB475" s="598" t="str">
        <f t="shared" ca="1" si="73"/>
        <v>Monster:Faery (Seelie)</v>
      </c>
      <c r="AC475" s="598" t="str">
        <f t="shared" ca="1" si="73"/>
        <v>Monster:Faery (Seelie)</v>
      </c>
      <c r="AD475" s="598" t="str">
        <f t="shared" si="73"/>
        <v xml:space="preserve"> </v>
      </c>
      <c r="AE475" s="598" t="str">
        <f t="shared" si="73"/>
        <v xml:space="preserve"> </v>
      </c>
      <c r="AF475" s="598" t="str">
        <f t="shared" si="73"/>
        <v xml:space="preserve"> </v>
      </c>
      <c r="AG475" s="598" t="str">
        <f t="shared" si="73"/>
        <v xml:space="preserve"> </v>
      </c>
      <c r="AH475" s="598" t="str">
        <f t="shared" si="73"/>
        <v xml:space="preserve"> </v>
      </c>
      <c r="AI475" s="598" t="str">
        <f t="shared" si="73"/>
        <v xml:space="preserve"> </v>
      </c>
      <c r="AJ475" s="598" t="str">
        <f t="shared" si="73"/>
        <v xml:space="preserve"> </v>
      </c>
      <c r="AK475" s="598" t="str">
        <f t="shared" si="73"/>
        <v xml:space="preserve"> </v>
      </c>
      <c r="AL475" s="598" t="str">
        <f t="shared" si="73"/>
        <v xml:space="preserve"> </v>
      </c>
      <c r="AM475" s="598" t="str">
        <f t="shared" si="73"/>
        <v xml:space="preserve"> </v>
      </c>
      <c r="AN475" s="598" t="str">
        <f t="shared" si="73"/>
        <v xml:space="preserve"> </v>
      </c>
      <c r="AO475" s="598" t="str">
        <f t="shared" si="73"/>
        <v xml:space="preserve"> </v>
      </c>
      <c r="AP475" s="598" t="str">
        <f t="shared" si="73"/>
        <v xml:space="preserve"> </v>
      </c>
      <c r="AQ475" s="598" t="str">
        <f t="shared" si="73"/>
        <v xml:space="preserve"> </v>
      </c>
      <c r="AR475" s="598" t="str">
        <f t="shared" si="73"/>
        <v xml:space="preserve"> </v>
      </c>
      <c r="AS475" s="598" t="str">
        <f t="shared" si="73"/>
        <v xml:space="preserve"> </v>
      </c>
      <c r="AT475" s="598" t="str">
        <f t="shared" si="73"/>
        <v xml:space="preserve"> </v>
      </c>
      <c r="AU475" s="598" t="str">
        <f t="shared" si="73"/>
        <v xml:space="preserve"> </v>
      </c>
      <c r="AW475" s="598" t="str">
        <f t="shared" si="74"/>
        <v xml:space="preserve"> </v>
      </c>
      <c r="AX475" s="598" t="str">
        <f t="shared" si="74"/>
        <v xml:space="preserve"> </v>
      </c>
      <c r="AY475" s="598" t="str">
        <f t="shared" si="74"/>
        <v xml:space="preserve"> </v>
      </c>
      <c r="AZ475" s="598" t="str">
        <f t="shared" si="74"/>
        <v xml:space="preserve"> </v>
      </c>
      <c r="BA475" s="598" t="str">
        <f t="shared" si="74"/>
        <v xml:space="preserve"> </v>
      </c>
      <c r="BB475" s="598" t="str">
        <f t="shared" si="74"/>
        <v xml:space="preserve"> </v>
      </c>
      <c r="BC475" s="598" t="str">
        <f t="shared" si="74"/>
        <v xml:space="preserve"> </v>
      </c>
      <c r="BD475" s="598" t="str">
        <f t="shared" si="74"/>
        <v xml:space="preserve"> </v>
      </c>
      <c r="BE475" s="598" t="str">
        <f t="shared" si="74"/>
        <v xml:space="preserve"> </v>
      </c>
      <c r="BF475" s="598" t="str">
        <f t="shared" si="74"/>
        <v xml:space="preserve"> </v>
      </c>
      <c r="BG475" s="598" t="str">
        <f t="shared" si="74"/>
        <v xml:space="preserve"> </v>
      </c>
      <c r="BH475" s="598" t="str">
        <f t="shared" si="74"/>
        <v xml:space="preserve"> </v>
      </c>
      <c r="BI475" s="598" t="str">
        <f t="shared" si="74"/>
        <v xml:space="preserve"> </v>
      </c>
      <c r="BJ475" s="598" t="str">
        <f t="shared" si="74"/>
        <v xml:space="preserve"> </v>
      </c>
      <c r="BK475" s="598" t="str">
        <f t="shared" si="74"/>
        <v xml:space="preserve"> </v>
      </c>
      <c r="BL475" s="598" t="str">
        <f t="shared" si="72"/>
        <v xml:space="preserve"> </v>
      </c>
      <c r="BM475" s="598" t="str">
        <f t="shared" si="72"/>
        <v xml:space="preserve"> </v>
      </c>
      <c r="BN475" s="598" t="str">
        <f t="shared" si="72"/>
        <v xml:space="preserve"> </v>
      </c>
      <c r="BO475" s="598" t="str">
        <f t="shared" si="72"/>
        <v xml:space="preserve"> </v>
      </c>
      <c r="BP475" s="598" t="str">
        <f t="shared" si="72"/>
        <v xml:space="preserve"> </v>
      </c>
      <c r="BQ475" s="598" t="str">
        <f t="shared" si="72"/>
        <v xml:space="preserve"> </v>
      </c>
      <c r="BR475" s="598" t="str">
        <f t="shared" si="72"/>
        <v xml:space="preserve"> </v>
      </c>
      <c r="BS475" s="598" t="str">
        <f t="shared" si="72"/>
        <v xml:space="preserve"> </v>
      </c>
      <c r="BT475" s="598" t="str">
        <f t="shared" si="72"/>
        <v xml:space="preserve"> </v>
      </c>
      <c r="BU475" s="598" t="str">
        <f t="shared" si="72"/>
        <v xml:space="preserve"> </v>
      </c>
      <c r="BV475" s="598" t="str">
        <f t="shared" si="72"/>
        <v xml:space="preserve"> </v>
      </c>
      <c r="BW475" s="598" t="str">
        <f t="shared" si="72"/>
        <v xml:space="preserve"> </v>
      </c>
      <c r="BX475" s="598" t="str">
        <f t="shared" si="72"/>
        <v xml:space="preserve"> </v>
      </c>
      <c r="BY475" s="598" t="str">
        <f t="shared" si="72"/>
        <v xml:space="preserve"> </v>
      </c>
      <c r="BZ475" s="598" t="str">
        <f t="shared" si="72"/>
        <v xml:space="preserve"> </v>
      </c>
      <c r="CA475" s="598" t="str">
        <f t="shared" si="72"/>
        <v xml:space="preserve"> </v>
      </c>
      <c r="CB475" s="598" t="str">
        <f t="shared" si="70"/>
        <v xml:space="preserve"> </v>
      </c>
      <c r="CC475" s="598" t="str">
        <f t="shared" si="70"/>
        <v xml:space="preserve"> </v>
      </c>
      <c r="CD475" s="598" t="str">
        <f t="shared" si="70"/>
        <v xml:space="preserve"> </v>
      </c>
      <c r="CE475" s="598" t="str">
        <f t="shared" si="70"/>
        <v xml:space="preserve"> </v>
      </c>
      <c r="CF475" s="598" t="str">
        <f t="shared" si="70"/>
        <v xml:space="preserve"> </v>
      </c>
      <c r="CG475" s="598" t="str">
        <f t="shared" si="70"/>
        <v xml:space="preserve"> </v>
      </c>
      <c r="CH475" s="598" t="str">
        <f t="shared" si="70"/>
        <v xml:space="preserve"> </v>
      </c>
      <c r="CI475" s="598" t="str">
        <f t="shared" si="70"/>
        <v xml:space="preserve"> </v>
      </c>
      <c r="CJ475" s="598" t="str">
        <f t="shared" si="70"/>
        <v xml:space="preserve"> </v>
      </c>
      <c r="CK475" s="598" t="str">
        <f t="shared" si="70"/>
        <v xml:space="preserve"> </v>
      </c>
      <c r="CL475" s="598" t="str">
        <f t="shared" si="70"/>
        <v xml:space="preserve"> </v>
      </c>
      <c r="CM475" s="598" t="str">
        <f t="shared" si="70"/>
        <v xml:space="preserve"> </v>
      </c>
      <c r="CN475" s="598" t="str">
        <f t="shared" si="70"/>
        <v xml:space="preserve"> </v>
      </c>
      <c r="CO475" s="598" t="str">
        <f t="shared" si="70"/>
        <v xml:space="preserve"> </v>
      </c>
      <c r="CP475" s="598" t="str">
        <f t="shared" si="70"/>
        <v xml:space="preserve"> </v>
      </c>
      <c r="CQ475" s="598" t="str">
        <f t="shared" ca="1" si="70"/>
        <v/>
      </c>
    </row>
    <row r="476" spans="1:95" ht="9.9499999999999993" customHeight="1">
      <c r="A476" s="598">
        <v>55</v>
      </c>
      <c r="B476" s="598" t="str">
        <f t="shared" ca="1" si="73"/>
        <v/>
      </c>
      <c r="C476" s="598" t="str">
        <f t="shared" ca="1" si="73"/>
        <v>Beast:Insects</v>
      </c>
      <c r="D476" s="598" t="str">
        <f t="shared" ca="1" si="73"/>
        <v/>
      </c>
      <c r="E476" s="598" t="str">
        <f t="shared" si="73"/>
        <v xml:space="preserve"> </v>
      </c>
      <c r="F476" s="598" t="str">
        <f t="shared" si="73"/>
        <v xml:space="preserve"> </v>
      </c>
      <c r="G476" s="598" t="str">
        <f t="shared" si="73"/>
        <v xml:space="preserve"> </v>
      </c>
      <c r="H476" s="598" t="str">
        <f t="shared" si="73"/>
        <v xml:space="preserve"> </v>
      </c>
      <c r="I476" s="598" t="str">
        <f t="shared" si="73"/>
        <v xml:space="preserve"> </v>
      </c>
      <c r="J476" s="598" t="str">
        <f t="shared" si="73"/>
        <v xml:space="preserve"> </v>
      </c>
      <c r="K476" s="598" t="str">
        <f t="shared" si="73"/>
        <v xml:space="preserve"> </v>
      </c>
      <c r="L476" s="598" t="str">
        <f t="shared" si="73"/>
        <v xml:space="preserve"> </v>
      </c>
      <c r="M476" s="598" t="str">
        <f t="shared" ca="1" si="73"/>
        <v/>
      </c>
      <c r="N476" s="598" t="str">
        <f t="shared" ca="1" si="73"/>
        <v/>
      </c>
      <c r="O476" s="598" t="str">
        <f t="shared" si="73"/>
        <v xml:space="preserve"> </v>
      </c>
      <c r="P476" s="598" t="str">
        <f t="shared" si="73"/>
        <v xml:space="preserve"> </v>
      </c>
      <c r="Q476" s="598" t="str">
        <f t="shared" si="73"/>
        <v xml:space="preserve"> </v>
      </c>
      <c r="R476" s="598" t="str">
        <f t="shared" si="73"/>
        <v xml:space="preserve"> </v>
      </c>
      <c r="S476" s="598" t="str">
        <f t="shared" si="73"/>
        <v xml:space="preserve"> </v>
      </c>
      <c r="T476" s="598" t="str">
        <f t="shared" si="73"/>
        <v xml:space="preserve"> </v>
      </c>
      <c r="U476" s="598" t="str">
        <f t="shared" si="73"/>
        <v xml:space="preserve"> </v>
      </c>
      <c r="V476" s="598" t="str">
        <f t="shared" si="73"/>
        <v xml:space="preserve"> </v>
      </c>
      <c r="W476" s="598" t="str">
        <f t="shared" si="73"/>
        <v xml:space="preserve"> </v>
      </c>
      <c r="X476" s="598" t="str">
        <f t="shared" si="73"/>
        <v xml:space="preserve"> </v>
      </c>
      <c r="Y476" s="598" t="str">
        <f t="shared" si="73"/>
        <v xml:space="preserve"> </v>
      </c>
      <c r="Z476" s="598" t="str">
        <f t="shared" si="73"/>
        <v xml:space="preserve"> </v>
      </c>
      <c r="AA476" s="598" t="str">
        <f t="shared" ref="AA476:AU476" si="75">HLOOKUP(AA$421,$C$217:$Z$317,$A476+1)</f>
        <v xml:space="preserve"> </v>
      </c>
      <c r="AB476" s="598" t="str">
        <f t="shared" ca="1" si="75"/>
        <v>Monster:Faery (Un-Seelie)</v>
      </c>
      <c r="AC476" s="598" t="str">
        <f t="shared" ca="1" si="75"/>
        <v>Monster:Faery (Un-Seelie)</v>
      </c>
      <c r="AD476" s="598" t="str">
        <f t="shared" si="75"/>
        <v xml:space="preserve"> </v>
      </c>
      <c r="AE476" s="598" t="str">
        <f t="shared" si="75"/>
        <v xml:space="preserve"> </v>
      </c>
      <c r="AF476" s="598" t="str">
        <f t="shared" si="75"/>
        <v xml:space="preserve"> </v>
      </c>
      <c r="AG476" s="598" t="str">
        <f t="shared" si="75"/>
        <v xml:space="preserve"> </v>
      </c>
      <c r="AH476" s="598" t="str">
        <f t="shared" si="75"/>
        <v xml:space="preserve"> </v>
      </c>
      <c r="AI476" s="598" t="str">
        <f t="shared" si="75"/>
        <v xml:space="preserve"> </v>
      </c>
      <c r="AJ476" s="598" t="str">
        <f t="shared" si="75"/>
        <v xml:space="preserve"> </v>
      </c>
      <c r="AK476" s="598" t="str">
        <f t="shared" si="75"/>
        <v xml:space="preserve"> </v>
      </c>
      <c r="AL476" s="598" t="str">
        <f t="shared" si="75"/>
        <v xml:space="preserve"> </v>
      </c>
      <c r="AM476" s="598" t="str">
        <f t="shared" si="75"/>
        <v xml:space="preserve"> </v>
      </c>
      <c r="AN476" s="598" t="str">
        <f t="shared" si="75"/>
        <v xml:space="preserve"> </v>
      </c>
      <c r="AO476" s="598" t="str">
        <f t="shared" si="75"/>
        <v xml:space="preserve"> </v>
      </c>
      <c r="AP476" s="598" t="str">
        <f t="shared" si="75"/>
        <v xml:space="preserve"> </v>
      </c>
      <c r="AQ476" s="598" t="str">
        <f t="shared" si="75"/>
        <v xml:space="preserve"> </v>
      </c>
      <c r="AR476" s="598" t="str">
        <f t="shared" si="75"/>
        <v xml:space="preserve"> </v>
      </c>
      <c r="AS476" s="598" t="str">
        <f t="shared" si="75"/>
        <v xml:space="preserve"> </v>
      </c>
      <c r="AT476" s="598" t="str">
        <f t="shared" si="75"/>
        <v xml:space="preserve"> </v>
      </c>
      <c r="AU476" s="598" t="str">
        <f t="shared" si="75"/>
        <v xml:space="preserve"> </v>
      </c>
      <c r="AW476" s="598" t="str">
        <f t="shared" si="74"/>
        <v xml:space="preserve"> </v>
      </c>
      <c r="AX476" s="598" t="str">
        <f t="shared" si="74"/>
        <v xml:space="preserve"> </v>
      </c>
      <c r="AY476" s="598" t="str">
        <f t="shared" si="74"/>
        <v xml:space="preserve"> </v>
      </c>
      <c r="AZ476" s="598" t="str">
        <f t="shared" si="74"/>
        <v xml:space="preserve"> </v>
      </c>
      <c r="BA476" s="598" t="str">
        <f t="shared" si="74"/>
        <v xml:space="preserve"> </v>
      </c>
      <c r="BB476" s="598" t="str">
        <f t="shared" si="74"/>
        <v xml:space="preserve"> </v>
      </c>
      <c r="BC476" s="598" t="str">
        <f t="shared" si="74"/>
        <v xml:space="preserve"> </v>
      </c>
      <c r="BD476" s="598" t="str">
        <f t="shared" si="74"/>
        <v xml:space="preserve"> </v>
      </c>
      <c r="BE476" s="598" t="str">
        <f t="shared" si="74"/>
        <v xml:space="preserve"> </v>
      </c>
      <c r="BF476" s="598" t="str">
        <f t="shared" si="74"/>
        <v xml:space="preserve"> </v>
      </c>
      <c r="BG476" s="598" t="str">
        <f t="shared" si="74"/>
        <v xml:space="preserve"> </v>
      </c>
      <c r="BH476" s="598" t="str">
        <f t="shared" si="74"/>
        <v xml:space="preserve"> </v>
      </c>
      <c r="BI476" s="598" t="str">
        <f t="shared" si="74"/>
        <v xml:space="preserve"> </v>
      </c>
      <c r="BJ476" s="598" t="str">
        <f t="shared" si="74"/>
        <v xml:space="preserve"> </v>
      </c>
      <c r="BK476" s="598" t="str">
        <f t="shared" si="74"/>
        <v xml:space="preserve"> </v>
      </c>
      <c r="BL476" s="598" t="str">
        <f t="shared" si="72"/>
        <v xml:space="preserve"> </v>
      </c>
      <c r="BM476" s="598" t="str">
        <f t="shared" si="72"/>
        <v xml:space="preserve"> </v>
      </c>
      <c r="BN476" s="598" t="str">
        <f t="shared" si="72"/>
        <v xml:space="preserve"> </v>
      </c>
      <c r="BO476" s="598" t="str">
        <f t="shared" si="72"/>
        <v xml:space="preserve"> </v>
      </c>
      <c r="BP476" s="598" t="str">
        <f t="shared" si="72"/>
        <v xml:space="preserve"> </v>
      </c>
      <c r="BQ476" s="598" t="str">
        <f t="shared" si="72"/>
        <v xml:space="preserve"> </v>
      </c>
      <c r="BR476" s="598" t="str">
        <f t="shared" si="72"/>
        <v xml:space="preserve"> </v>
      </c>
      <c r="BS476" s="598" t="str">
        <f t="shared" si="72"/>
        <v xml:space="preserve"> </v>
      </c>
      <c r="BT476" s="598" t="str">
        <f t="shared" si="72"/>
        <v xml:space="preserve"> </v>
      </c>
      <c r="BU476" s="598" t="str">
        <f t="shared" si="72"/>
        <v xml:space="preserve"> </v>
      </c>
      <c r="BV476" s="598" t="str">
        <f t="shared" si="72"/>
        <v xml:space="preserve"> </v>
      </c>
      <c r="BW476" s="598" t="str">
        <f t="shared" si="72"/>
        <v xml:space="preserve"> </v>
      </c>
      <c r="BX476" s="598" t="str">
        <f t="shared" si="72"/>
        <v xml:space="preserve"> </v>
      </c>
      <c r="BY476" s="598" t="str">
        <f t="shared" si="72"/>
        <v xml:space="preserve"> </v>
      </c>
      <c r="BZ476" s="598" t="str">
        <f t="shared" si="72"/>
        <v xml:space="preserve"> </v>
      </c>
      <c r="CA476" s="598" t="str">
        <f t="shared" si="72"/>
        <v xml:space="preserve"> </v>
      </c>
      <c r="CB476" s="598" t="str">
        <f t="shared" si="70"/>
        <v xml:space="preserve"> </v>
      </c>
      <c r="CC476" s="598" t="str">
        <f t="shared" si="70"/>
        <v xml:space="preserve"> </v>
      </c>
      <c r="CD476" s="598" t="str">
        <f t="shared" si="70"/>
        <v xml:space="preserve"> </v>
      </c>
      <c r="CE476" s="598" t="str">
        <f t="shared" si="70"/>
        <v xml:space="preserve"> </v>
      </c>
      <c r="CF476" s="598" t="str">
        <f t="shared" si="70"/>
        <v xml:space="preserve"> </v>
      </c>
      <c r="CG476" s="598" t="str">
        <f t="shared" si="70"/>
        <v xml:space="preserve"> </v>
      </c>
      <c r="CH476" s="598" t="str">
        <f t="shared" si="70"/>
        <v xml:space="preserve"> </v>
      </c>
      <c r="CI476" s="598" t="str">
        <f t="shared" si="70"/>
        <v xml:space="preserve"> </v>
      </c>
      <c r="CJ476" s="598" t="str">
        <f t="shared" si="70"/>
        <v xml:space="preserve"> </v>
      </c>
      <c r="CK476" s="598" t="str">
        <f t="shared" si="70"/>
        <v xml:space="preserve"> </v>
      </c>
      <c r="CL476" s="598" t="str">
        <f t="shared" si="70"/>
        <v xml:space="preserve"> </v>
      </c>
      <c r="CM476" s="598" t="str">
        <f t="shared" si="70"/>
        <v xml:space="preserve"> </v>
      </c>
      <c r="CN476" s="598" t="str">
        <f t="shared" si="70"/>
        <v xml:space="preserve"> </v>
      </c>
      <c r="CO476" s="598" t="str">
        <f t="shared" si="70"/>
        <v xml:space="preserve"> </v>
      </c>
      <c r="CP476" s="598" t="str">
        <f t="shared" si="70"/>
        <v xml:space="preserve"> </v>
      </c>
      <c r="CQ476" s="598" t="str">
        <f t="shared" ca="1" si="70"/>
        <v/>
      </c>
    </row>
    <row r="477" spans="1:95" ht="9.9499999999999993" customHeight="1">
      <c r="A477" s="598">
        <v>56</v>
      </c>
      <c r="B477" s="598" t="str">
        <f t="shared" ref="B477:AU482" ca="1" si="76">HLOOKUP(B$421,$C$217:$Z$317,$A477+1)</f>
        <v/>
      </c>
      <c r="C477" s="598" t="str">
        <f t="shared" ca="1" si="76"/>
        <v>Beast:Mustelid</v>
      </c>
      <c r="D477" s="598" t="str">
        <f t="shared" ca="1" si="76"/>
        <v/>
      </c>
      <c r="E477" s="598" t="str">
        <f t="shared" si="76"/>
        <v xml:space="preserve"> </v>
      </c>
      <c r="F477" s="598" t="str">
        <f t="shared" si="76"/>
        <v xml:space="preserve"> </v>
      </c>
      <c r="G477" s="598" t="str">
        <f t="shared" si="76"/>
        <v xml:space="preserve"> </v>
      </c>
      <c r="H477" s="598" t="str">
        <f t="shared" si="76"/>
        <v xml:space="preserve"> </v>
      </c>
      <c r="I477" s="598" t="str">
        <f t="shared" si="76"/>
        <v xml:space="preserve"> </v>
      </c>
      <c r="J477" s="598" t="str">
        <f t="shared" si="76"/>
        <v xml:space="preserve"> </v>
      </c>
      <c r="K477" s="598" t="str">
        <f t="shared" si="76"/>
        <v xml:space="preserve"> </v>
      </c>
      <c r="L477" s="598" t="str">
        <f t="shared" si="76"/>
        <v xml:space="preserve"> </v>
      </c>
      <c r="M477" s="598" t="str">
        <f t="shared" ca="1" si="76"/>
        <v/>
      </c>
      <c r="N477" s="598" t="str">
        <f t="shared" ca="1" si="76"/>
        <v/>
      </c>
      <c r="O477" s="598" t="str">
        <f t="shared" si="76"/>
        <v xml:space="preserve"> </v>
      </c>
      <c r="P477" s="598" t="str">
        <f t="shared" si="76"/>
        <v xml:space="preserve"> </v>
      </c>
      <c r="Q477" s="598" t="str">
        <f t="shared" si="76"/>
        <v xml:space="preserve"> </v>
      </c>
      <c r="R477" s="598" t="str">
        <f t="shared" si="76"/>
        <v xml:space="preserve"> </v>
      </c>
      <c r="S477" s="598" t="str">
        <f t="shared" si="76"/>
        <v xml:space="preserve"> </v>
      </c>
      <c r="T477" s="598" t="str">
        <f t="shared" si="76"/>
        <v xml:space="preserve"> </v>
      </c>
      <c r="U477" s="598" t="str">
        <f t="shared" si="76"/>
        <v xml:space="preserve"> </v>
      </c>
      <c r="V477" s="598" t="str">
        <f t="shared" si="76"/>
        <v xml:space="preserve"> </v>
      </c>
      <c r="W477" s="598" t="str">
        <f t="shared" si="76"/>
        <v xml:space="preserve"> </v>
      </c>
      <c r="X477" s="598" t="str">
        <f t="shared" si="76"/>
        <v xml:space="preserve"> </v>
      </c>
      <c r="Y477" s="598" t="str">
        <f t="shared" si="76"/>
        <v xml:space="preserve"> </v>
      </c>
      <c r="Z477" s="598" t="str">
        <f t="shared" si="76"/>
        <v xml:space="preserve"> </v>
      </c>
      <c r="AA477" s="598" t="str">
        <f t="shared" si="76"/>
        <v xml:space="preserve"> </v>
      </c>
      <c r="AB477" s="598" t="str">
        <f t="shared" ca="1" si="76"/>
        <v>Monster:Giant</v>
      </c>
      <c r="AC477" s="598" t="str">
        <f t="shared" ca="1" si="76"/>
        <v>Monster:Giant</v>
      </c>
      <c r="AD477" s="598" t="str">
        <f t="shared" si="76"/>
        <v xml:space="preserve"> </v>
      </c>
      <c r="AE477" s="598" t="str">
        <f t="shared" si="76"/>
        <v xml:space="preserve"> </v>
      </c>
      <c r="AF477" s="598" t="str">
        <f t="shared" si="76"/>
        <v xml:space="preserve"> </v>
      </c>
      <c r="AG477" s="598" t="str">
        <f t="shared" si="76"/>
        <v xml:space="preserve"> </v>
      </c>
      <c r="AH477" s="598" t="str">
        <f t="shared" si="76"/>
        <v xml:space="preserve"> </v>
      </c>
      <c r="AI477" s="598" t="str">
        <f t="shared" si="76"/>
        <v xml:space="preserve"> </v>
      </c>
      <c r="AJ477" s="598" t="str">
        <f t="shared" si="76"/>
        <v xml:space="preserve"> </v>
      </c>
      <c r="AK477" s="598" t="str">
        <f t="shared" si="76"/>
        <v xml:space="preserve"> </v>
      </c>
      <c r="AL477" s="598" t="str">
        <f t="shared" si="76"/>
        <v xml:space="preserve"> </v>
      </c>
      <c r="AM477" s="598" t="str">
        <f t="shared" si="76"/>
        <v xml:space="preserve"> </v>
      </c>
      <c r="AN477" s="598" t="str">
        <f t="shared" si="76"/>
        <v xml:space="preserve"> </v>
      </c>
      <c r="AO477" s="598" t="str">
        <f t="shared" si="76"/>
        <v xml:space="preserve"> </v>
      </c>
      <c r="AP477" s="598" t="str">
        <f t="shared" si="76"/>
        <v xml:space="preserve"> </v>
      </c>
      <c r="AQ477" s="598" t="str">
        <f t="shared" si="76"/>
        <v xml:space="preserve"> </v>
      </c>
      <c r="AR477" s="598" t="str">
        <f t="shared" si="76"/>
        <v xml:space="preserve"> </v>
      </c>
      <c r="AS477" s="598" t="str">
        <f t="shared" si="76"/>
        <v xml:space="preserve"> </v>
      </c>
      <c r="AT477" s="598" t="str">
        <f t="shared" si="76"/>
        <v xml:space="preserve"> </v>
      </c>
      <c r="AU477" s="598" t="str">
        <f t="shared" si="76"/>
        <v xml:space="preserve"> </v>
      </c>
      <c r="AW477" s="598" t="str">
        <f t="shared" si="74"/>
        <v xml:space="preserve"> </v>
      </c>
      <c r="AX477" s="598" t="str">
        <f t="shared" si="74"/>
        <v xml:space="preserve"> </v>
      </c>
      <c r="AY477" s="598" t="str">
        <f t="shared" si="74"/>
        <v xml:space="preserve"> </v>
      </c>
      <c r="AZ477" s="598" t="str">
        <f t="shared" si="74"/>
        <v xml:space="preserve"> </v>
      </c>
      <c r="BA477" s="598" t="str">
        <f t="shared" si="74"/>
        <v xml:space="preserve"> </v>
      </c>
      <c r="BB477" s="598" t="str">
        <f t="shared" si="74"/>
        <v xml:space="preserve"> </v>
      </c>
      <c r="BC477" s="598" t="str">
        <f t="shared" si="74"/>
        <v xml:space="preserve"> </v>
      </c>
      <c r="BD477" s="598" t="str">
        <f t="shared" si="74"/>
        <v xml:space="preserve"> </v>
      </c>
      <c r="BE477" s="598" t="str">
        <f t="shared" si="74"/>
        <v xml:space="preserve"> </v>
      </c>
      <c r="BF477" s="598" t="str">
        <f t="shared" si="74"/>
        <v xml:space="preserve"> </v>
      </c>
      <c r="BG477" s="598" t="str">
        <f t="shared" si="74"/>
        <v xml:space="preserve"> </v>
      </c>
      <c r="BH477" s="598" t="str">
        <f t="shared" si="74"/>
        <v xml:space="preserve"> </v>
      </c>
      <c r="BI477" s="598" t="str">
        <f t="shared" si="74"/>
        <v xml:space="preserve"> </v>
      </c>
      <c r="BJ477" s="598" t="str">
        <f t="shared" si="74"/>
        <v xml:space="preserve"> </v>
      </c>
      <c r="BK477" s="598" t="str">
        <f t="shared" si="74"/>
        <v xml:space="preserve"> </v>
      </c>
      <c r="BL477" s="598" t="str">
        <f t="shared" si="72"/>
        <v xml:space="preserve"> </v>
      </c>
      <c r="BM477" s="598" t="str">
        <f t="shared" si="72"/>
        <v xml:space="preserve"> </v>
      </c>
      <c r="BN477" s="598" t="str">
        <f t="shared" si="72"/>
        <v xml:space="preserve"> </v>
      </c>
      <c r="BO477" s="598" t="str">
        <f t="shared" si="72"/>
        <v xml:space="preserve"> </v>
      </c>
      <c r="BP477" s="598" t="str">
        <f t="shared" si="72"/>
        <v xml:space="preserve"> </v>
      </c>
      <c r="BQ477" s="598" t="str">
        <f t="shared" si="72"/>
        <v xml:space="preserve"> </v>
      </c>
      <c r="BR477" s="598" t="str">
        <f t="shared" si="72"/>
        <v xml:space="preserve"> </v>
      </c>
      <c r="BS477" s="598" t="str">
        <f t="shared" si="72"/>
        <v xml:space="preserve"> </v>
      </c>
      <c r="BT477" s="598" t="str">
        <f t="shared" si="72"/>
        <v xml:space="preserve"> </v>
      </c>
      <c r="BU477" s="598" t="str">
        <f t="shared" si="72"/>
        <v xml:space="preserve"> </v>
      </c>
      <c r="BV477" s="598" t="str">
        <f t="shared" si="72"/>
        <v xml:space="preserve"> </v>
      </c>
      <c r="BW477" s="598" t="str">
        <f t="shared" si="72"/>
        <v xml:space="preserve"> </v>
      </c>
      <c r="BX477" s="598" t="str">
        <f t="shared" si="72"/>
        <v xml:space="preserve"> </v>
      </c>
      <c r="BY477" s="598" t="str">
        <f t="shared" si="72"/>
        <v xml:space="preserve"> </v>
      </c>
      <c r="BZ477" s="598" t="str">
        <f t="shared" si="72"/>
        <v xml:space="preserve"> </v>
      </c>
      <c r="CA477" s="598" t="str">
        <f t="shared" si="72"/>
        <v xml:space="preserve"> </v>
      </c>
      <c r="CB477" s="598" t="str">
        <f t="shared" si="70"/>
        <v xml:space="preserve"> </v>
      </c>
      <c r="CC477" s="598" t="str">
        <f t="shared" si="70"/>
        <v xml:space="preserve"> </v>
      </c>
      <c r="CD477" s="598" t="str">
        <f t="shared" si="70"/>
        <v xml:space="preserve"> </v>
      </c>
      <c r="CE477" s="598" t="str">
        <f t="shared" si="70"/>
        <v xml:space="preserve"> </v>
      </c>
      <c r="CF477" s="598" t="str">
        <f t="shared" si="70"/>
        <v xml:space="preserve"> </v>
      </c>
      <c r="CG477" s="598" t="str">
        <f t="shared" si="70"/>
        <v xml:space="preserve"> </v>
      </c>
      <c r="CH477" s="598" t="str">
        <f t="shared" si="70"/>
        <v xml:space="preserve"> </v>
      </c>
      <c r="CI477" s="598" t="str">
        <f t="shared" si="70"/>
        <v xml:space="preserve"> </v>
      </c>
      <c r="CJ477" s="598" t="str">
        <f t="shared" si="70"/>
        <v xml:space="preserve"> </v>
      </c>
      <c r="CK477" s="598" t="str">
        <f t="shared" si="70"/>
        <v xml:space="preserve"> </v>
      </c>
      <c r="CL477" s="598" t="str">
        <f t="shared" si="70"/>
        <v xml:space="preserve"> </v>
      </c>
      <c r="CM477" s="598" t="str">
        <f t="shared" si="70"/>
        <v xml:space="preserve"> </v>
      </c>
      <c r="CN477" s="598" t="str">
        <f t="shared" si="70"/>
        <v xml:space="preserve"> </v>
      </c>
      <c r="CO477" s="598" t="str">
        <f t="shared" si="70"/>
        <v xml:space="preserve"> </v>
      </c>
      <c r="CP477" s="598" t="str">
        <f t="shared" si="70"/>
        <v xml:space="preserve"> </v>
      </c>
      <c r="CQ477" s="598" t="str">
        <f t="shared" ca="1" si="70"/>
        <v/>
      </c>
    </row>
    <row r="478" spans="1:95" ht="9.9499999999999993" customHeight="1">
      <c r="A478" s="598">
        <v>57</v>
      </c>
      <c r="B478" s="598" t="str">
        <f t="shared" ca="1" si="76"/>
        <v/>
      </c>
      <c r="C478" s="598" t="str">
        <f t="shared" ca="1" si="76"/>
        <v>Beast:Piscan</v>
      </c>
      <c r="D478" s="598" t="str">
        <f t="shared" ca="1" si="76"/>
        <v/>
      </c>
      <c r="E478" s="598" t="str">
        <f t="shared" si="76"/>
        <v xml:space="preserve"> </v>
      </c>
      <c r="F478" s="598" t="str">
        <f t="shared" si="76"/>
        <v xml:space="preserve"> </v>
      </c>
      <c r="G478" s="598" t="str">
        <f t="shared" si="76"/>
        <v xml:space="preserve"> </v>
      </c>
      <c r="H478" s="598" t="str">
        <f t="shared" si="76"/>
        <v xml:space="preserve"> </v>
      </c>
      <c r="I478" s="598" t="str">
        <f t="shared" si="76"/>
        <v xml:space="preserve"> </v>
      </c>
      <c r="J478" s="598" t="str">
        <f t="shared" si="76"/>
        <v xml:space="preserve"> </v>
      </c>
      <c r="K478" s="598" t="str">
        <f t="shared" si="76"/>
        <v xml:space="preserve"> </v>
      </c>
      <c r="L478" s="598" t="str">
        <f t="shared" si="76"/>
        <v xml:space="preserve"> </v>
      </c>
      <c r="M478" s="598" t="str">
        <f t="shared" ca="1" si="76"/>
        <v/>
      </c>
      <c r="N478" s="598" t="str">
        <f t="shared" ca="1" si="76"/>
        <v/>
      </c>
      <c r="O478" s="598" t="str">
        <f t="shared" si="76"/>
        <v xml:space="preserve"> </v>
      </c>
      <c r="P478" s="598" t="str">
        <f t="shared" si="76"/>
        <v xml:space="preserve"> </v>
      </c>
      <c r="Q478" s="598" t="str">
        <f t="shared" si="76"/>
        <v xml:space="preserve"> </v>
      </c>
      <c r="R478" s="598" t="str">
        <f t="shared" si="76"/>
        <v xml:space="preserve"> </v>
      </c>
      <c r="S478" s="598" t="str">
        <f t="shared" si="76"/>
        <v xml:space="preserve"> </v>
      </c>
      <c r="T478" s="598" t="str">
        <f t="shared" si="76"/>
        <v xml:space="preserve"> </v>
      </c>
      <c r="U478" s="598" t="str">
        <f t="shared" si="76"/>
        <v xml:space="preserve"> </v>
      </c>
      <c r="V478" s="598" t="str">
        <f t="shared" si="76"/>
        <v xml:space="preserve"> </v>
      </c>
      <c r="W478" s="598" t="str">
        <f t="shared" si="76"/>
        <v xml:space="preserve"> </v>
      </c>
      <c r="X478" s="598" t="str">
        <f t="shared" si="76"/>
        <v xml:space="preserve"> </v>
      </c>
      <c r="Y478" s="598" t="str">
        <f t="shared" si="76"/>
        <v xml:space="preserve"> </v>
      </c>
      <c r="Z478" s="598" t="str">
        <f t="shared" si="76"/>
        <v xml:space="preserve"> </v>
      </c>
      <c r="AA478" s="598" t="str">
        <f t="shared" si="76"/>
        <v xml:space="preserve"> </v>
      </c>
      <c r="AB478" s="598" t="str">
        <f t="shared" ca="1" si="76"/>
        <v>Monster:Goblin</v>
      </c>
      <c r="AC478" s="598" t="str">
        <f t="shared" ca="1" si="76"/>
        <v>Monster:Goblin</v>
      </c>
      <c r="AD478" s="598" t="str">
        <f t="shared" si="76"/>
        <v xml:space="preserve"> </v>
      </c>
      <c r="AE478" s="598" t="str">
        <f t="shared" si="76"/>
        <v xml:space="preserve"> </v>
      </c>
      <c r="AF478" s="598" t="str">
        <f t="shared" si="76"/>
        <v xml:space="preserve"> </v>
      </c>
      <c r="AG478" s="598" t="str">
        <f t="shared" si="76"/>
        <v xml:space="preserve"> </v>
      </c>
      <c r="AH478" s="598" t="str">
        <f t="shared" si="76"/>
        <v xml:space="preserve"> </v>
      </c>
      <c r="AI478" s="598" t="str">
        <f t="shared" si="76"/>
        <v xml:space="preserve"> </v>
      </c>
      <c r="AJ478" s="598" t="str">
        <f t="shared" si="76"/>
        <v xml:space="preserve"> </v>
      </c>
      <c r="AK478" s="598" t="str">
        <f t="shared" si="76"/>
        <v xml:space="preserve"> </v>
      </c>
      <c r="AL478" s="598" t="str">
        <f t="shared" si="76"/>
        <v xml:space="preserve"> </v>
      </c>
      <c r="AM478" s="598" t="str">
        <f t="shared" si="76"/>
        <v xml:space="preserve"> </v>
      </c>
      <c r="AN478" s="598" t="str">
        <f t="shared" si="76"/>
        <v xml:space="preserve"> </v>
      </c>
      <c r="AO478" s="598" t="str">
        <f t="shared" si="76"/>
        <v xml:space="preserve"> </v>
      </c>
      <c r="AP478" s="598" t="str">
        <f t="shared" si="76"/>
        <v xml:space="preserve"> </v>
      </c>
      <c r="AQ478" s="598" t="str">
        <f t="shared" si="76"/>
        <v xml:space="preserve"> </v>
      </c>
      <c r="AR478" s="598" t="str">
        <f t="shared" si="76"/>
        <v xml:space="preserve"> </v>
      </c>
      <c r="AS478" s="598" t="str">
        <f t="shared" si="76"/>
        <v xml:space="preserve"> </v>
      </c>
      <c r="AT478" s="598" t="str">
        <f t="shared" si="76"/>
        <v xml:space="preserve"> </v>
      </c>
      <c r="AU478" s="598" t="str">
        <f t="shared" si="76"/>
        <v xml:space="preserve"> </v>
      </c>
      <c r="AW478" s="598" t="str">
        <f t="shared" si="74"/>
        <v xml:space="preserve"> </v>
      </c>
      <c r="AX478" s="598" t="str">
        <f t="shared" si="74"/>
        <v xml:space="preserve"> </v>
      </c>
      <c r="AY478" s="598" t="str">
        <f t="shared" si="74"/>
        <v xml:space="preserve"> </v>
      </c>
      <c r="AZ478" s="598" t="str">
        <f t="shared" si="74"/>
        <v xml:space="preserve"> </v>
      </c>
      <c r="BA478" s="598" t="str">
        <f t="shared" si="74"/>
        <v xml:space="preserve"> </v>
      </c>
      <c r="BB478" s="598" t="str">
        <f t="shared" si="74"/>
        <v xml:space="preserve"> </v>
      </c>
      <c r="BC478" s="598" t="str">
        <f t="shared" si="74"/>
        <v xml:space="preserve"> </v>
      </c>
      <c r="BD478" s="598" t="str">
        <f t="shared" si="74"/>
        <v xml:space="preserve"> </v>
      </c>
      <c r="BE478" s="598" t="str">
        <f t="shared" si="74"/>
        <v xml:space="preserve"> </v>
      </c>
      <c r="BF478" s="598" t="str">
        <f t="shared" si="74"/>
        <v xml:space="preserve"> </v>
      </c>
      <c r="BG478" s="598" t="str">
        <f t="shared" si="74"/>
        <v xml:space="preserve"> </v>
      </c>
      <c r="BH478" s="598" t="str">
        <f t="shared" si="74"/>
        <v xml:space="preserve"> </v>
      </c>
      <c r="BI478" s="598" t="str">
        <f t="shared" si="74"/>
        <v xml:space="preserve"> </v>
      </c>
      <c r="BJ478" s="598" t="str">
        <f t="shared" si="74"/>
        <v xml:space="preserve"> </v>
      </c>
      <c r="BK478" s="598" t="str">
        <f t="shared" si="74"/>
        <v xml:space="preserve"> </v>
      </c>
      <c r="BL478" s="598" t="str">
        <f t="shared" si="72"/>
        <v xml:space="preserve"> </v>
      </c>
      <c r="BM478" s="598" t="str">
        <f t="shared" si="72"/>
        <v xml:space="preserve"> </v>
      </c>
      <c r="BN478" s="598" t="str">
        <f t="shared" si="72"/>
        <v xml:space="preserve"> </v>
      </c>
      <c r="BO478" s="598" t="str">
        <f t="shared" si="72"/>
        <v xml:space="preserve"> </v>
      </c>
      <c r="BP478" s="598" t="str">
        <f t="shared" si="72"/>
        <v xml:space="preserve"> </v>
      </c>
      <c r="BQ478" s="598" t="str">
        <f t="shared" si="72"/>
        <v xml:space="preserve"> </v>
      </c>
      <c r="BR478" s="598" t="str">
        <f t="shared" si="72"/>
        <v xml:space="preserve"> </v>
      </c>
      <c r="BS478" s="598" t="str">
        <f t="shared" si="72"/>
        <v xml:space="preserve"> </v>
      </c>
      <c r="BT478" s="598" t="str">
        <f t="shared" si="72"/>
        <v xml:space="preserve"> </v>
      </c>
      <c r="BU478" s="598" t="str">
        <f t="shared" si="72"/>
        <v xml:space="preserve"> </v>
      </c>
      <c r="BV478" s="598" t="str">
        <f t="shared" si="72"/>
        <v xml:space="preserve"> </v>
      </c>
      <c r="BW478" s="598" t="str">
        <f t="shared" si="72"/>
        <v xml:space="preserve"> </v>
      </c>
      <c r="BX478" s="598" t="str">
        <f t="shared" si="72"/>
        <v xml:space="preserve"> </v>
      </c>
      <c r="BY478" s="598" t="str">
        <f t="shared" si="72"/>
        <v xml:space="preserve"> </v>
      </c>
      <c r="BZ478" s="598" t="str">
        <f t="shared" si="72"/>
        <v xml:space="preserve"> </v>
      </c>
      <c r="CA478" s="598" t="str">
        <f t="shared" si="72"/>
        <v xml:space="preserve"> </v>
      </c>
      <c r="CB478" s="598" t="str">
        <f t="shared" si="70"/>
        <v xml:space="preserve"> </v>
      </c>
      <c r="CC478" s="598" t="str">
        <f t="shared" si="70"/>
        <v xml:space="preserve"> </v>
      </c>
      <c r="CD478" s="598" t="str">
        <f t="shared" si="70"/>
        <v xml:space="preserve"> </v>
      </c>
      <c r="CE478" s="598" t="str">
        <f t="shared" si="70"/>
        <v xml:space="preserve"> </v>
      </c>
      <c r="CF478" s="598" t="str">
        <f t="shared" si="70"/>
        <v xml:space="preserve"> </v>
      </c>
      <c r="CG478" s="598" t="str">
        <f t="shared" si="70"/>
        <v xml:space="preserve"> </v>
      </c>
      <c r="CH478" s="598" t="str">
        <f t="shared" si="70"/>
        <v xml:space="preserve"> </v>
      </c>
      <c r="CI478" s="598" t="str">
        <f t="shared" si="70"/>
        <v xml:space="preserve"> </v>
      </c>
      <c r="CJ478" s="598" t="str">
        <f t="shared" si="70"/>
        <v xml:space="preserve"> </v>
      </c>
      <c r="CK478" s="598" t="str">
        <f t="shared" si="70"/>
        <v xml:space="preserve"> </v>
      </c>
      <c r="CL478" s="598" t="str">
        <f t="shared" si="70"/>
        <v xml:space="preserve"> </v>
      </c>
      <c r="CM478" s="598" t="str">
        <f t="shared" si="70"/>
        <v xml:space="preserve"> </v>
      </c>
      <c r="CN478" s="598" t="str">
        <f t="shared" si="70"/>
        <v xml:space="preserve"> </v>
      </c>
      <c r="CO478" s="598" t="str">
        <f t="shared" si="70"/>
        <v xml:space="preserve"> </v>
      </c>
      <c r="CP478" s="598" t="str">
        <f t="shared" si="70"/>
        <v xml:space="preserve"> </v>
      </c>
      <c r="CQ478" s="598" t="str">
        <f t="shared" ca="1" si="70"/>
        <v/>
      </c>
    </row>
    <row r="479" spans="1:95" ht="9.9499999999999993" customHeight="1">
      <c r="A479" s="598">
        <v>58</v>
      </c>
      <c r="B479" s="598" t="str">
        <f t="shared" ca="1" si="76"/>
        <v/>
      </c>
      <c r="C479" s="598" t="str">
        <f t="shared" ca="1" si="76"/>
        <v>Beast:Primate</v>
      </c>
      <c r="D479" s="598" t="str">
        <f t="shared" ca="1" si="76"/>
        <v/>
      </c>
      <c r="E479" s="598" t="str">
        <f t="shared" si="76"/>
        <v xml:space="preserve"> </v>
      </c>
      <c r="F479" s="598" t="str">
        <f t="shared" si="76"/>
        <v xml:space="preserve"> </v>
      </c>
      <c r="G479" s="598" t="str">
        <f t="shared" si="76"/>
        <v xml:space="preserve"> </v>
      </c>
      <c r="H479" s="598" t="str">
        <f t="shared" si="76"/>
        <v xml:space="preserve"> </v>
      </c>
      <c r="I479" s="598" t="str">
        <f t="shared" si="76"/>
        <v xml:space="preserve"> </v>
      </c>
      <c r="J479" s="598" t="str">
        <f t="shared" si="76"/>
        <v xml:space="preserve"> </v>
      </c>
      <c r="K479" s="598" t="str">
        <f t="shared" si="76"/>
        <v xml:space="preserve"> </v>
      </c>
      <c r="L479" s="598" t="str">
        <f t="shared" si="76"/>
        <v xml:space="preserve"> </v>
      </c>
      <c r="M479" s="598" t="str">
        <f t="shared" ca="1" si="76"/>
        <v/>
      </c>
      <c r="N479" s="598" t="str">
        <f t="shared" ca="1" si="76"/>
        <v/>
      </c>
      <c r="O479" s="598" t="str">
        <f t="shared" si="76"/>
        <v xml:space="preserve"> </v>
      </c>
      <c r="P479" s="598" t="str">
        <f t="shared" si="76"/>
        <v xml:space="preserve"> </v>
      </c>
      <c r="Q479" s="598" t="str">
        <f t="shared" si="76"/>
        <v xml:space="preserve"> </v>
      </c>
      <c r="R479" s="598" t="str">
        <f t="shared" si="76"/>
        <v xml:space="preserve"> </v>
      </c>
      <c r="S479" s="598" t="str">
        <f t="shared" si="76"/>
        <v xml:space="preserve"> </v>
      </c>
      <c r="T479" s="598" t="str">
        <f t="shared" si="76"/>
        <v xml:space="preserve"> </v>
      </c>
      <c r="U479" s="598" t="str">
        <f t="shared" si="76"/>
        <v xml:space="preserve"> </v>
      </c>
      <c r="V479" s="598" t="str">
        <f t="shared" si="76"/>
        <v xml:space="preserve"> </v>
      </c>
      <c r="W479" s="598" t="str">
        <f t="shared" si="76"/>
        <v xml:space="preserve"> </v>
      </c>
      <c r="X479" s="598" t="str">
        <f t="shared" si="76"/>
        <v xml:space="preserve"> </v>
      </c>
      <c r="Y479" s="598" t="str">
        <f t="shared" si="76"/>
        <v xml:space="preserve"> </v>
      </c>
      <c r="Z479" s="598" t="str">
        <f t="shared" si="76"/>
        <v xml:space="preserve"> </v>
      </c>
      <c r="AA479" s="598" t="str">
        <f t="shared" si="76"/>
        <v xml:space="preserve"> </v>
      </c>
      <c r="AB479" s="598" t="str">
        <f t="shared" ca="1" si="76"/>
        <v>Monster:Hobgoblin</v>
      </c>
      <c r="AC479" s="598" t="str">
        <f t="shared" ca="1" si="76"/>
        <v>Monster:Hobgoblin</v>
      </c>
      <c r="AD479" s="598" t="str">
        <f t="shared" si="76"/>
        <v xml:space="preserve"> </v>
      </c>
      <c r="AE479" s="598" t="str">
        <f t="shared" si="76"/>
        <v xml:space="preserve"> </v>
      </c>
      <c r="AF479" s="598" t="str">
        <f t="shared" si="76"/>
        <v xml:space="preserve"> </v>
      </c>
      <c r="AG479" s="598" t="str">
        <f t="shared" si="76"/>
        <v xml:space="preserve"> </v>
      </c>
      <c r="AH479" s="598" t="str">
        <f t="shared" si="76"/>
        <v xml:space="preserve"> </v>
      </c>
      <c r="AI479" s="598" t="str">
        <f t="shared" si="76"/>
        <v xml:space="preserve"> </v>
      </c>
      <c r="AJ479" s="598" t="str">
        <f t="shared" si="76"/>
        <v xml:space="preserve"> </v>
      </c>
      <c r="AK479" s="598" t="str">
        <f t="shared" si="76"/>
        <v xml:space="preserve"> </v>
      </c>
      <c r="AL479" s="598" t="str">
        <f t="shared" si="76"/>
        <v xml:space="preserve"> </v>
      </c>
      <c r="AM479" s="598" t="str">
        <f t="shared" si="76"/>
        <v xml:space="preserve"> </v>
      </c>
      <c r="AN479" s="598" t="str">
        <f t="shared" si="76"/>
        <v xml:space="preserve"> </v>
      </c>
      <c r="AO479" s="598" t="str">
        <f t="shared" si="76"/>
        <v xml:space="preserve"> </v>
      </c>
      <c r="AP479" s="598" t="str">
        <f t="shared" si="76"/>
        <v xml:space="preserve"> </v>
      </c>
      <c r="AQ479" s="598" t="str">
        <f t="shared" si="76"/>
        <v xml:space="preserve"> </v>
      </c>
      <c r="AR479" s="598" t="str">
        <f t="shared" si="76"/>
        <v xml:space="preserve"> </v>
      </c>
      <c r="AS479" s="598" t="str">
        <f t="shared" si="76"/>
        <v xml:space="preserve"> </v>
      </c>
      <c r="AT479" s="598" t="str">
        <f t="shared" si="76"/>
        <v xml:space="preserve"> </v>
      </c>
      <c r="AU479" s="598" t="str">
        <f t="shared" si="76"/>
        <v xml:space="preserve"> </v>
      </c>
      <c r="AW479" s="598" t="str">
        <f t="shared" si="74"/>
        <v xml:space="preserve"> </v>
      </c>
      <c r="AX479" s="598" t="str">
        <f t="shared" si="74"/>
        <v xml:space="preserve"> </v>
      </c>
      <c r="AY479" s="598" t="str">
        <f t="shared" si="74"/>
        <v xml:space="preserve"> </v>
      </c>
      <c r="AZ479" s="598" t="str">
        <f t="shared" si="74"/>
        <v xml:space="preserve"> </v>
      </c>
      <c r="BA479" s="598" t="str">
        <f t="shared" si="74"/>
        <v xml:space="preserve"> </v>
      </c>
      <c r="BB479" s="598" t="str">
        <f t="shared" si="74"/>
        <v xml:space="preserve"> </v>
      </c>
      <c r="BC479" s="598" t="str">
        <f t="shared" si="74"/>
        <v xml:space="preserve"> </v>
      </c>
      <c r="BD479" s="598" t="str">
        <f t="shared" si="74"/>
        <v xml:space="preserve"> </v>
      </c>
      <c r="BE479" s="598" t="str">
        <f t="shared" si="74"/>
        <v xml:space="preserve"> </v>
      </c>
      <c r="BF479" s="598" t="str">
        <f t="shared" si="74"/>
        <v xml:space="preserve"> </v>
      </c>
      <c r="BG479" s="598" t="str">
        <f t="shared" si="74"/>
        <v xml:space="preserve"> </v>
      </c>
      <c r="BH479" s="598" t="str">
        <f t="shared" si="74"/>
        <v xml:space="preserve"> </v>
      </c>
      <c r="BI479" s="598" t="str">
        <f t="shared" si="74"/>
        <v xml:space="preserve"> </v>
      </c>
      <c r="BJ479" s="598" t="str">
        <f t="shared" si="74"/>
        <v xml:space="preserve"> </v>
      </c>
      <c r="BK479" s="598" t="str">
        <f t="shared" si="74"/>
        <v xml:space="preserve"> </v>
      </c>
      <c r="BL479" s="598" t="str">
        <f t="shared" si="72"/>
        <v xml:space="preserve"> </v>
      </c>
      <c r="BM479" s="598" t="str">
        <f t="shared" si="72"/>
        <v xml:space="preserve"> </v>
      </c>
      <c r="BN479" s="598" t="str">
        <f t="shared" si="72"/>
        <v xml:space="preserve"> </v>
      </c>
      <c r="BO479" s="598" t="str">
        <f t="shared" si="72"/>
        <v xml:space="preserve"> </v>
      </c>
      <c r="BP479" s="598" t="str">
        <f t="shared" si="72"/>
        <v xml:space="preserve"> </v>
      </c>
      <c r="BQ479" s="598" t="str">
        <f t="shared" si="72"/>
        <v xml:space="preserve"> </v>
      </c>
      <c r="BR479" s="598" t="str">
        <f t="shared" si="72"/>
        <v xml:space="preserve"> </v>
      </c>
      <c r="BS479" s="598" t="str">
        <f t="shared" si="72"/>
        <v xml:space="preserve"> </v>
      </c>
      <c r="BT479" s="598" t="str">
        <f t="shared" si="72"/>
        <v xml:space="preserve"> </v>
      </c>
      <c r="BU479" s="598" t="str">
        <f t="shared" si="72"/>
        <v xml:space="preserve"> </v>
      </c>
      <c r="BV479" s="598" t="str">
        <f t="shared" si="72"/>
        <v xml:space="preserve"> </v>
      </c>
      <c r="BW479" s="598" t="str">
        <f t="shared" si="72"/>
        <v xml:space="preserve"> </v>
      </c>
      <c r="BX479" s="598" t="str">
        <f t="shared" si="72"/>
        <v xml:space="preserve"> </v>
      </c>
      <c r="BY479" s="598" t="str">
        <f t="shared" si="72"/>
        <v xml:space="preserve"> </v>
      </c>
      <c r="BZ479" s="598" t="str">
        <f t="shared" si="72"/>
        <v xml:space="preserve"> </v>
      </c>
      <c r="CA479" s="598" t="str">
        <f t="shared" si="72"/>
        <v xml:space="preserve"> </v>
      </c>
      <c r="CB479" s="598" t="str">
        <f t="shared" si="70"/>
        <v xml:space="preserve"> </v>
      </c>
      <c r="CC479" s="598" t="str">
        <f t="shared" si="70"/>
        <v xml:space="preserve"> </v>
      </c>
      <c r="CD479" s="598" t="str">
        <f t="shared" si="70"/>
        <v xml:space="preserve"> </v>
      </c>
      <c r="CE479" s="598" t="str">
        <f t="shared" si="70"/>
        <v xml:space="preserve"> </v>
      </c>
      <c r="CF479" s="598" t="str">
        <f t="shared" si="70"/>
        <v xml:space="preserve"> </v>
      </c>
      <c r="CG479" s="598" t="str">
        <f t="shared" si="70"/>
        <v xml:space="preserve"> </v>
      </c>
      <c r="CH479" s="598" t="str">
        <f t="shared" si="70"/>
        <v xml:space="preserve"> </v>
      </c>
      <c r="CI479" s="598" t="str">
        <f t="shared" si="70"/>
        <v xml:space="preserve"> </v>
      </c>
      <c r="CJ479" s="598" t="str">
        <f t="shared" si="70"/>
        <v xml:space="preserve"> </v>
      </c>
      <c r="CK479" s="598" t="str">
        <f t="shared" si="70"/>
        <v xml:space="preserve"> </v>
      </c>
      <c r="CL479" s="598" t="str">
        <f t="shared" si="70"/>
        <v xml:space="preserve"> </v>
      </c>
      <c r="CM479" s="598" t="str">
        <f t="shared" si="70"/>
        <v xml:space="preserve"> </v>
      </c>
      <c r="CN479" s="598" t="str">
        <f t="shared" si="70"/>
        <v xml:space="preserve"> </v>
      </c>
      <c r="CO479" s="598" t="str">
        <f t="shared" si="70"/>
        <v xml:space="preserve"> </v>
      </c>
      <c r="CP479" s="598" t="str">
        <f t="shared" si="70"/>
        <v xml:space="preserve"> </v>
      </c>
      <c r="CQ479" s="598" t="str">
        <f t="shared" ca="1" si="70"/>
        <v/>
      </c>
    </row>
    <row r="480" spans="1:95" ht="9.9499999999999993" customHeight="1">
      <c r="A480" s="598">
        <v>59</v>
      </c>
      <c r="B480" s="598" t="str">
        <f t="shared" ca="1" si="76"/>
        <v/>
      </c>
      <c r="C480" s="598" t="str">
        <f t="shared" ca="1" si="76"/>
        <v>Beast:Reptilian</v>
      </c>
      <c r="D480" s="598" t="str">
        <f t="shared" ca="1" si="76"/>
        <v/>
      </c>
      <c r="E480" s="598" t="str">
        <f t="shared" si="76"/>
        <v xml:space="preserve"> </v>
      </c>
      <c r="F480" s="598" t="str">
        <f t="shared" si="76"/>
        <v xml:space="preserve"> </v>
      </c>
      <c r="G480" s="598" t="str">
        <f t="shared" si="76"/>
        <v xml:space="preserve"> </v>
      </c>
      <c r="H480" s="598" t="str">
        <f t="shared" si="76"/>
        <v xml:space="preserve"> </v>
      </c>
      <c r="I480" s="598" t="str">
        <f t="shared" si="76"/>
        <v xml:space="preserve"> </v>
      </c>
      <c r="J480" s="598" t="str">
        <f t="shared" si="76"/>
        <v xml:space="preserve"> </v>
      </c>
      <c r="K480" s="598" t="str">
        <f t="shared" si="76"/>
        <v xml:space="preserve"> </v>
      </c>
      <c r="L480" s="598" t="str">
        <f t="shared" si="76"/>
        <v xml:space="preserve"> </v>
      </c>
      <c r="M480" s="598" t="str">
        <f t="shared" ca="1" si="76"/>
        <v/>
      </c>
      <c r="N480" s="598" t="str">
        <f t="shared" ca="1" si="76"/>
        <v/>
      </c>
      <c r="O480" s="598" t="str">
        <f t="shared" si="76"/>
        <v xml:space="preserve"> </v>
      </c>
      <c r="P480" s="598" t="str">
        <f t="shared" si="76"/>
        <v xml:space="preserve"> </v>
      </c>
      <c r="Q480" s="598" t="str">
        <f t="shared" si="76"/>
        <v xml:space="preserve"> </v>
      </c>
      <c r="R480" s="598" t="str">
        <f t="shared" si="76"/>
        <v xml:space="preserve"> </v>
      </c>
      <c r="S480" s="598" t="str">
        <f t="shared" si="76"/>
        <v xml:space="preserve"> </v>
      </c>
      <c r="T480" s="598" t="str">
        <f t="shared" si="76"/>
        <v xml:space="preserve"> </v>
      </c>
      <c r="U480" s="598" t="str">
        <f t="shared" si="76"/>
        <v xml:space="preserve"> </v>
      </c>
      <c r="V480" s="598" t="str">
        <f t="shared" si="76"/>
        <v xml:space="preserve"> </v>
      </c>
      <c r="W480" s="598" t="str">
        <f t="shared" si="76"/>
        <v xml:space="preserve"> </v>
      </c>
      <c r="X480" s="598" t="str">
        <f t="shared" si="76"/>
        <v xml:space="preserve"> </v>
      </c>
      <c r="Y480" s="598" t="str">
        <f t="shared" si="76"/>
        <v xml:space="preserve"> </v>
      </c>
      <c r="Z480" s="598" t="str">
        <f t="shared" si="76"/>
        <v xml:space="preserve"> </v>
      </c>
      <c r="AA480" s="598" t="str">
        <f t="shared" si="76"/>
        <v xml:space="preserve"> </v>
      </c>
      <c r="AB480" s="598" t="str">
        <f t="shared" ca="1" si="76"/>
        <v>Monster:Mer Folk</v>
      </c>
      <c r="AC480" s="598" t="str">
        <f t="shared" ca="1" si="76"/>
        <v>Monster:Mer Folk</v>
      </c>
      <c r="AD480" s="598" t="str">
        <f t="shared" si="76"/>
        <v xml:space="preserve"> </v>
      </c>
      <c r="AE480" s="598" t="str">
        <f t="shared" si="76"/>
        <v xml:space="preserve"> </v>
      </c>
      <c r="AF480" s="598" t="str">
        <f t="shared" si="76"/>
        <v xml:space="preserve"> </v>
      </c>
      <c r="AG480" s="598" t="str">
        <f t="shared" si="76"/>
        <v xml:space="preserve"> </v>
      </c>
      <c r="AH480" s="598" t="str">
        <f t="shared" si="76"/>
        <v xml:space="preserve"> </v>
      </c>
      <c r="AI480" s="598" t="str">
        <f t="shared" si="76"/>
        <v xml:space="preserve"> </v>
      </c>
      <c r="AJ480" s="598" t="str">
        <f t="shared" si="76"/>
        <v xml:space="preserve"> </v>
      </c>
      <c r="AK480" s="598" t="str">
        <f t="shared" si="76"/>
        <v xml:space="preserve"> </v>
      </c>
      <c r="AL480" s="598" t="str">
        <f t="shared" si="76"/>
        <v xml:space="preserve"> </v>
      </c>
      <c r="AM480" s="598" t="str">
        <f t="shared" si="76"/>
        <v xml:space="preserve"> </v>
      </c>
      <c r="AN480" s="598" t="str">
        <f t="shared" si="76"/>
        <v xml:space="preserve"> </v>
      </c>
      <c r="AO480" s="598" t="str">
        <f t="shared" si="76"/>
        <v xml:space="preserve"> </v>
      </c>
      <c r="AP480" s="598" t="str">
        <f t="shared" si="76"/>
        <v xml:space="preserve"> </v>
      </c>
      <c r="AQ480" s="598" t="str">
        <f t="shared" si="76"/>
        <v xml:space="preserve"> </v>
      </c>
      <c r="AR480" s="598" t="str">
        <f t="shared" si="76"/>
        <v xml:space="preserve"> </v>
      </c>
      <c r="AS480" s="598" t="str">
        <f t="shared" si="76"/>
        <v xml:space="preserve"> </v>
      </c>
      <c r="AT480" s="598" t="str">
        <f t="shared" si="76"/>
        <v xml:space="preserve"> </v>
      </c>
      <c r="AU480" s="598" t="str">
        <f t="shared" si="76"/>
        <v xml:space="preserve"> </v>
      </c>
      <c r="AW480" s="598" t="str">
        <f t="shared" si="74"/>
        <v xml:space="preserve"> </v>
      </c>
      <c r="AX480" s="598" t="str">
        <f t="shared" si="74"/>
        <v xml:space="preserve"> </v>
      </c>
      <c r="AY480" s="598" t="str">
        <f t="shared" si="74"/>
        <v xml:space="preserve"> </v>
      </c>
      <c r="AZ480" s="598" t="str">
        <f t="shared" si="74"/>
        <v xml:space="preserve"> </v>
      </c>
      <c r="BA480" s="598" t="str">
        <f t="shared" si="74"/>
        <v xml:space="preserve"> </v>
      </c>
      <c r="BB480" s="598" t="str">
        <f t="shared" si="74"/>
        <v xml:space="preserve"> </v>
      </c>
      <c r="BC480" s="598" t="str">
        <f t="shared" si="74"/>
        <v xml:space="preserve"> </v>
      </c>
      <c r="BD480" s="598" t="str">
        <f t="shared" si="74"/>
        <v xml:space="preserve"> </v>
      </c>
      <c r="BE480" s="598" t="str">
        <f t="shared" si="74"/>
        <v xml:space="preserve"> </v>
      </c>
      <c r="BF480" s="598" t="str">
        <f t="shared" si="74"/>
        <v xml:space="preserve"> </v>
      </c>
      <c r="BG480" s="598" t="str">
        <f t="shared" si="74"/>
        <v xml:space="preserve"> </v>
      </c>
      <c r="BH480" s="598" t="str">
        <f t="shared" si="74"/>
        <v xml:space="preserve"> </v>
      </c>
      <c r="BI480" s="598" t="str">
        <f t="shared" si="74"/>
        <v xml:space="preserve"> </v>
      </c>
      <c r="BJ480" s="598" t="str">
        <f t="shared" si="74"/>
        <v xml:space="preserve"> </v>
      </c>
      <c r="BK480" s="598" t="str">
        <f t="shared" si="74"/>
        <v xml:space="preserve"> </v>
      </c>
      <c r="BL480" s="598" t="str">
        <f t="shared" si="72"/>
        <v xml:space="preserve"> </v>
      </c>
      <c r="BM480" s="598" t="str">
        <f t="shared" si="72"/>
        <v xml:space="preserve"> </v>
      </c>
      <c r="BN480" s="598" t="str">
        <f t="shared" si="72"/>
        <v xml:space="preserve"> </v>
      </c>
      <c r="BO480" s="598" t="str">
        <f t="shared" si="72"/>
        <v xml:space="preserve"> </v>
      </c>
      <c r="BP480" s="598" t="str">
        <f t="shared" si="72"/>
        <v xml:space="preserve"> </v>
      </c>
      <c r="BQ480" s="598" t="str">
        <f t="shared" si="72"/>
        <v xml:space="preserve"> </v>
      </c>
      <c r="BR480" s="598" t="str">
        <f t="shared" si="72"/>
        <v xml:space="preserve"> </v>
      </c>
      <c r="BS480" s="598" t="str">
        <f t="shared" si="72"/>
        <v xml:space="preserve"> </v>
      </c>
      <c r="BT480" s="598" t="str">
        <f t="shared" si="72"/>
        <v xml:space="preserve"> </v>
      </c>
      <c r="BU480" s="598" t="str">
        <f t="shared" si="72"/>
        <v xml:space="preserve"> </v>
      </c>
      <c r="BV480" s="598" t="str">
        <f t="shared" si="72"/>
        <v xml:space="preserve"> </v>
      </c>
      <c r="BW480" s="598" t="str">
        <f t="shared" si="72"/>
        <v xml:space="preserve"> </v>
      </c>
      <c r="BX480" s="598" t="str">
        <f t="shared" si="72"/>
        <v xml:space="preserve"> </v>
      </c>
      <c r="BY480" s="598" t="str">
        <f t="shared" si="72"/>
        <v xml:space="preserve"> </v>
      </c>
      <c r="BZ480" s="598" t="str">
        <f t="shared" si="72"/>
        <v xml:space="preserve"> </v>
      </c>
      <c r="CA480" s="598" t="str">
        <f t="shared" si="72"/>
        <v xml:space="preserve"> </v>
      </c>
      <c r="CB480" s="598" t="str">
        <f t="shared" si="70"/>
        <v xml:space="preserve"> </v>
      </c>
      <c r="CC480" s="598" t="str">
        <f t="shared" si="70"/>
        <v xml:space="preserve"> </v>
      </c>
      <c r="CD480" s="598" t="str">
        <f t="shared" si="70"/>
        <v xml:space="preserve"> </v>
      </c>
      <c r="CE480" s="598" t="str">
        <f t="shared" si="70"/>
        <v xml:space="preserve"> </v>
      </c>
      <c r="CF480" s="598" t="str">
        <f t="shared" si="70"/>
        <v xml:space="preserve"> </v>
      </c>
      <c r="CG480" s="598" t="str">
        <f t="shared" si="70"/>
        <v xml:space="preserve"> </v>
      </c>
      <c r="CH480" s="598" t="str">
        <f t="shared" si="70"/>
        <v xml:space="preserve"> </v>
      </c>
      <c r="CI480" s="598" t="str">
        <f t="shared" si="70"/>
        <v xml:space="preserve"> </v>
      </c>
      <c r="CJ480" s="598" t="str">
        <f t="shared" si="70"/>
        <v xml:space="preserve"> </v>
      </c>
      <c r="CK480" s="598" t="str">
        <f t="shared" si="70"/>
        <v xml:space="preserve"> </v>
      </c>
      <c r="CL480" s="598" t="str">
        <f t="shared" si="70"/>
        <v xml:space="preserve"> </v>
      </c>
      <c r="CM480" s="598" t="str">
        <f t="shared" si="70"/>
        <v xml:space="preserve"> </v>
      </c>
      <c r="CN480" s="598" t="str">
        <f t="shared" si="70"/>
        <v xml:space="preserve"> </v>
      </c>
      <c r="CO480" s="598" t="str">
        <f t="shared" si="70"/>
        <v xml:space="preserve"> </v>
      </c>
      <c r="CP480" s="598" t="str">
        <f t="shared" si="70"/>
        <v xml:space="preserve"> </v>
      </c>
      <c r="CQ480" s="598" t="str">
        <f t="shared" ca="1" si="70"/>
        <v/>
      </c>
    </row>
    <row r="481" spans="1:95" ht="9.9499999999999993" customHeight="1">
      <c r="A481" s="598">
        <v>60</v>
      </c>
      <c r="B481" s="598" t="str">
        <f t="shared" ca="1" si="76"/>
        <v/>
      </c>
      <c r="C481" s="598" t="str">
        <f t="shared" ca="1" si="76"/>
        <v>Beast:Rodent</v>
      </c>
      <c r="D481" s="598" t="str">
        <f t="shared" ca="1" si="76"/>
        <v/>
      </c>
      <c r="E481" s="598" t="str">
        <f t="shared" si="76"/>
        <v xml:space="preserve"> </v>
      </c>
      <c r="F481" s="598" t="str">
        <f t="shared" si="76"/>
        <v xml:space="preserve"> </v>
      </c>
      <c r="G481" s="598" t="str">
        <f t="shared" si="76"/>
        <v xml:space="preserve"> </v>
      </c>
      <c r="H481" s="598" t="str">
        <f t="shared" si="76"/>
        <v xml:space="preserve"> </v>
      </c>
      <c r="I481" s="598" t="str">
        <f t="shared" si="76"/>
        <v xml:space="preserve"> </v>
      </c>
      <c r="J481" s="598" t="str">
        <f t="shared" si="76"/>
        <v xml:space="preserve"> </v>
      </c>
      <c r="K481" s="598" t="str">
        <f t="shared" si="76"/>
        <v xml:space="preserve"> </v>
      </c>
      <c r="L481" s="598" t="str">
        <f t="shared" si="76"/>
        <v xml:space="preserve"> </v>
      </c>
      <c r="M481" s="598" t="str">
        <f t="shared" ca="1" si="76"/>
        <v/>
      </c>
      <c r="N481" s="598" t="str">
        <f t="shared" ca="1" si="76"/>
        <v/>
      </c>
      <c r="O481" s="598" t="str">
        <f t="shared" si="76"/>
        <v xml:space="preserve"> </v>
      </c>
      <c r="P481" s="598" t="str">
        <f t="shared" si="76"/>
        <v xml:space="preserve"> </v>
      </c>
      <c r="Q481" s="598" t="str">
        <f t="shared" si="76"/>
        <v xml:space="preserve"> </v>
      </c>
      <c r="R481" s="598" t="str">
        <f t="shared" si="76"/>
        <v xml:space="preserve"> </v>
      </c>
      <c r="S481" s="598" t="str">
        <f t="shared" si="76"/>
        <v xml:space="preserve"> </v>
      </c>
      <c r="T481" s="598" t="str">
        <f t="shared" si="76"/>
        <v xml:space="preserve"> </v>
      </c>
      <c r="U481" s="598" t="str">
        <f t="shared" si="76"/>
        <v xml:space="preserve"> </v>
      </c>
      <c r="V481" s="598" t="str">
        <f t="shared" si="76"/>
        <v xml:space="preserve"> </v>
      </c>
      <c r="W481" s="598" t="str">
        <f t="shared" si="76"/>
        <v xml:space="preserve"> </v>
      </c>
      <c r="X481" s="598" t="str">
        <f t="shared" si="76"/>
        <v xml:space="preserve"> </v>
      </c>
      <c r="Y481" s="598" t="str">
        <f t="shared" si="76"/>
        <v xml:space="preserve"> </v>
      </c>
      <c r="Z481" s="598" t="str">
        <f t="shared" si="76"/>
        <v xml:space="preserve"> </v>
      </c>
      <c r="AA481" s="598" t="str">
        <f t="shared" si="76"/>
        <v xml:space="preserve"> </v>
      </c>
      <c r="AB481" s="598" t="str">
        <f t="shared" ca="1" si="76"/>
        <v>Monster:Minotaur</v>
      </c>
      <c r="AC481" s="598" t="str">
        <f t="shared" ca="1" si="76"/>
        <v>Monster:Minotaur</v>
      </c>
      <c r="AD481" s="598" t="str">
        <f t="shared" si="76"/>
        <v xml:space="preserve"> </v>
      </c>
      <c r="AE481" s="598" t="str">
        <f t="shared" si="76"/>
        <v xml:space="preserve"> </v>
      </c>
      <c r="AF481" s="598" t="str">
        <f t="shared" si="76"/>
        <v xml:space="preserve"> </v>
      </c>
      <c r="AG481" s="598" t="str">
        <f t="shared" si="76"/>
        <v xml:space="preserve"> </v>
      </c>
      <c r="AH481" s="598" t="str">
        <f t="shared" si="76"/>
        <v xml:space="preserve"> </v>
      </c>
      <c r="AI481" s="598" t="str">
        <f t="shared" si="76"/>
        <v xml:space="preserve"> </v>
      </c>
      <c r="AJ481" s="598" t="str">
        <f t="shared" si="76"/>
        <v xml:space="preserve"> </v>
      </c>
      <c r="AK481" s="598" t="str">
        <f t="shared" si="76"/>
        <v xml:space="preserve"> </v>
      </c>
      <c r="AL481" s="598" t="str">
        <f t="shared" si="76"/>
        <v xml:space="preserve"> </v>
      </c>
      <c r="AM481" s="598" t="str">
        <f t="shared" si="76"/>
        <v xml:space="preserve"> </v>
      </c>
      <c r="AN481" s="598" t="str">
        <f t="shared" si="76"/>
        <v xml:space="preserve"> </v>
      </c>
      <c r="AO481" s="598" t="str">
        <f t="shared" si="76"/>
        <v xml:space="preserve"> </v>
      </c>
      <c r="AP481" s="598" t="str">
        <f t="shared" si="76"/>
        <v xml:space="preserve"> </v>
      </c>
      <c r="AQ481" s="598" t="str">
        <f t="shared" si="76"/>
        <v xml:space="preserve"> </v>
      </c>
      <c r="AR481" s="598" t="str">
        <f t="shared" si="76"/>
        <v xml:space="preserve"> </v>
      </c>
      <c r="AS481" s="598" t="str">
        <f t="shared" si="76"/>
        <v xml:space="preserve"> </v>
      </c>
      <c r="AT481" s="598" t="str">
        <f t="shared" si="76"/>
        <v xml:space="preserve"> </v>
      </c>
      <c r="AU481" s="598" t="str">
        <f t="shared" si="76"/>
        <v xml:space="preserve"> </v>
      </c>
      <c r="AW481" s="598" t="str">
        <f t="shared" si="74"/>
        <v xml:space="preserve"> </v>
      </c>
      <c r="AX481" s="598" t="str">
        <f t="shared" si="74"/>
        <v xml:space="preserve"> </v>
      </c>
      <c r="AY481" s="598" t="str">
        <f t="shared" si="74"/>
        <v xml:space="preserve"> </v>
      </c>
      <c r="AZ481" s="598" t="str">
        <f t="shared" si="74"/>
        <v xml:space="preserve"> </v>
      </c>
      <c r="BA481" s="598" t="str">
        <f t="shared" si="74"/>
        <v xml:space="preserve"> </v>
      </c>
      <c r="BB481" s="598" t="str">
        <f t="shared" si="74"/>
        <v xml:space="preserve"> </v>
      </c>
      <c r="BC481" s="598" t="str">
        <f t="shared" si="74"/>
        <v xml:space="preserve"> </v>
      </c>
      <c r="BD481" s="598" t="str">
        <f t="shared" si="74"/>
        <v xml:space="preserve"> </v>
      </c>
      <c r="BE481" s="598" t="str">
        <f t="shared" si="74"/>
        <v xml:space="preserve"> </v>
      </c>
      <c r="BF481" s="598" t="str">
        <f t="shared" si="74"/>
        <v xml:space="preserve"> </v>
      </c>
      <c r="BG481" s="598" t="str">
        <f t="shared" si="74"/>
        <v xml:space="preserve"> </v>
      </c>
      <c r="BH481" s="598" t="str">
        <f t="shared" si="74"/>
        <v xml:space="preserve"> </v>
      </c>
      <c r="BI481" s="598" t="str">
        <f t="shared" si="74"/>
        <v xml:space="preserve"> </v>
      </c>
      <c r="BJ481" s="598" t="str">
        <f t="shared" si="74"/>
        <v xml:space="preserve"> </v>
      </c>
      <c r="BK481" s="598" t="str">
        <f t="shared" si="74"/>
        <v xml:space="preserve"> </v>
      </c>
      <c r="BL481" s="598" t="str">
        <f t="shared" si="72"/>
        <v xml:space="preserve"> </v>
      </c>
      <c r="BM481" s="598" t="str">
        <f t="shared" si="72"/>
        <v xml:space="preserve"> </v>
      </c>
      <c r="BN481" s="598" t="str">
        <f t="shared" si="72"/>
        <v xml:space="preserve"> </v>
      </c>
      <c r="BO481" s="598" t="str">
        <f t="shared" si="72"/>
        <v xml:space="preserve"> </v>
      </c>
      <c r="BP481" s="598" t="str">
        <f t="shared" si="72"/>
        <v xml:space="preserve"> </v>
      </c>
      <c r="BQ481" s="598" t="str">
        <f t="shared" si="72"/>
        <v xml:space="preserve"> </v>
      </c>
      <c r="BR481" s="598" t="str">
        <f t="shared" si="72"/>
        <v xml:space="preserve"> </v>
      </c>
      <c r="BS481" s="598" t="str">
        <f t="shared" si="72"/>
        <v xml:space="preserve"> </v>
      </c>
      <c r="BT481" s="598" t="str">
        <f t="shared" si="72"/>
        <v xml:space="preserve"> </v>
      </c>
      <c r="BU481" s="598" t="str">
        <f t="shared" si="72"/>
        <v xml:space="preserve"> </v>
      </c>
      <c r="BV481" s="598" t="str">
        <f t="shared" si="72"/>
        <v xml:space="preserve"> </v>
      </c>
      <c r="BW481" s="598" t="str">
        <f t="shared" si="72"/>
        <v xml:space="preserve"> </v>
      </c>
      <c r="BX481" s="598" t="str">
        <f t="shared" si="72"/>
        <v xml:space="preserve"> </v>
      </c>
      <c r="BY481" s="598" t="str">
        <f t="shared" si="72"/>
        <v xml:space="preserve"> </v>
      </c>
      <c r="BZ481" s="598" t="str">
        <f t="shared" si="72"/>
        <v xml:space="preserve"> </v>
      </c>
      <c r="CA481" s="598" t="str">
        <f t="shared" si="72"/>
        <v xml:space="preserve"> </v>
      </c>
      <c r="CB481" s="598" t="str">
        <f t="shared" si="70"/>
        <v xml:space="preserve"> </v>
      </c>
      <c r="CC481" s="598" t="str">
        <f t="shared" si="70"/>
        <v xml:space="preserve"> </v>
      </c>
      <c r="CD481" s="598" t="str">
        <f t="shared" si="70"/>
        <v xml:space="preserve"> </v>
      </c>
      <c r="CE481" s="598" t="str">
        <f t="shared" si="70"/>
        <v xml:space="preserve"> </v>
      </c>
      <c r="CF481" s="598" t="str">
        <f t="shared" si="70"/>
        <v xml:space="preserve"> </v>
      </c>
      <c r="CG481" s="598" t="str">
        <f t="shared" si="70"/>
        <v xml:space="preserve"> </v>
      </c>
      <c r="CH481" s="598" t="str">
        <f t="shared" si="70"/>
        <v xml:space="preserve"> </v>
      </c>
      <c r="CI481" s="598" t="str">
        <f t="shared" si="70"/>
        <v xml:space="preserve"> </v>
      </c>
      <c r="CJ481" s="598" t="str">
        <f t="shared" si="70"/>
        <v xml:space="preserve"> </v>
      </c>
      <c r="CK481" s="598" t="str">
        <f t="shared" si="70"/>
        <v xml:space="preserve"> </v>
      </c>
      <c r="CL481" s="598" t="str">
        <f t="shared" si="70"/>
        <v xml:space="preserve"> </v>
      </c>
      <c r="CM481" s="598" t="str">
        <f t="shared" si="70"/>
        <v xml:space="preserve"> </v>
      </c>
      <c r="CN481" s="598" t="str">
        <f t="shared" si="70"/>
        <v xml:space="preserve"> </v>
      </c>
      <c r="CO481" s="598" t="str">
        <f t="shared" si="70"/>
        <v xml:space="preserve"> </v>
      </c>
      <c r="CP481" s="598" t="str">
        <f t="shared" si="70"/>
        <v xml:space="preserve"> </v>
      </c>
      <c r="CQ481" s="598" t="str">
        <f t="shared" ca="1" si="70"/>
        <v/>
      </c>
    </row>
    <row r="482" spans="1:95" ht="9.9499999999999993" customHeight="1">
      <c r="A482" s="598">
        <v>61</v>
      </c>
      <c r="B482" s="598" t="str">
        <f t="shared" ca="1" si="76"/>
        <v/>
      </c>
      <c r="C482" s="598" t="str">
        <f t="shared" ca="1" si="76"/>
        <v>Monster:Arkon</v>
      </c>
      <c r="D482" s="598" t="str">
        <f t="shared" ca="1" si="76"/>
        <v/>
      </c>
      <c r="E482" s="598" t="str">
        <f t="shared" si="76"/>
        <v xml:space="preserve"> </v>
      </c>
      <c r="F482" s="598" t="str">
        <f t="shared" si="76"/>
        <v xml:space="preserve"> </v>
      </c>
      <c r="G482" s="598" t="str">
        <f t="shared" si="76"/>
        <v xml:space="preserve"> </v>
      </c>
      <c r="H482" s="598" t="str">
        <f t="shared" si="76"/>
        <v xml:space="preserve"> </v>
      </c>
      <c r="I482" s="598" t="str">
        <f t="shared" si="76"/>
        <v xml:space="preserve"> </v>
      </c>
      <c r="J482" s="598" t="str">
        <f t="shared" si="76"/>
        <v xml:space="preserve"> </v>
      </c>
      <c r="K482" s="598" t="str">
        <f t="shared" si="76"/>
        <v xml:space="preserve"> </v>
      </c>
      <c r="L482" s="598" t="str">
        <f t="shared" si="76"/>
        <v xml:space="preserve"> </v>
      </c>
      <c r="M482" s="598" t="str">
        <f t="shared" ca="1" si="76"/>
        <v/>
      </c>
      <c r="N482" s="598" t="str">
        <f t="shared" ca="1" si="76"/>
        <v/>
      </c>
      <c r="O482" s="598" t="str">
        <f t="shared" si="76"/>
        <v xml:space="preserve"> </v>
      </c>
      <c r="P482" s="598" t="str">
        <f t="shared" si="76"/>
        <v xml:space="preserve"> </v>
      </c>
      <c r="Q482" s="598" t="str">
        <f t="shared" si="76"/>
        <v xml:space="preserve"> </v>
      </c>
      <c r="R482" s="598" t="str">
        <f t="shared" si="76"/>
        <v xml:space="preserve"> </v>
      </c>
      <c r="S482" s="598" t="str">
        <f t="shared" si="76"/>
        <v xml:space="preserve"> </v>
      </c>
      <c r="T482" s="598" t="str">
        <f t="shared" si="76"/>
        <v xml:space="preserve"> </v>
      </c>
      <c r="U482" s="598" t="str">
        <f t="shared" si="76"/>
        <v xml:space="preserve"> </v>
      </c>
      <c r="V482" s="598" t="str">
        <f t="shared" si="76"/>
        <v xml:space="preserve"> </v>
      </c>
      <c r="W482" s="598" t="str">
        <f t="shared" si="76"/>
        <v xml:space="preserve"> </v>
      </c>
      <c r="X482" s="598" t="str">
        <f t="shared" si="76"/>
        <v xml:space="preserve"> </v>
      </c>
      <c r="Y482" s="598" t="str">
        <f t="shared" si="76"/>
        <v xml:space="preserve"> </v>
      </c>
      <c r="Z482" s="598" t="str">
        <f t="shared" si="76"/>
        <v xml:space="preserve"> </v>
      </c>
      <c r="AA482" s="598" t="str">
        <f t="shared" ref="AA482:AU482" si="77">HLOOKUP(AA$421,$C$217:$Z$317,$A482+1)</f>
        <v xml:space="preserve"> </v>
      </c>
      <c r="AB482" s="598" t="str">
        <f t="shared" ca="1" si="77"/>
        <v>Monster:Nagas (Black)</v>
      </c>
      <c r="AC482" s="598" t="str">
        <f t="shared" ca="1" si="77"/>
        <v>Monster:Nagas (Black)</v>
      </c>
      <c r="AD482" s="598" t="str">
        <f t="shared" si="77"/>
        <v xml:space="preserve"> </v>
      </c>
      <c r="AE482" s="598" t="str">
        <f t="shared" si="77"/>
        <v xml:space="preserve"> </v>
      </c>
      <c r="AF482" s="598" t="str">
        <f t="shared" si="77"/>
        <v xml:space="preserve"> </v>
      </c>
      <c r="AG482" s="598" t="str">
        <f t="shared" si="77"/>
        <v xml:space="preserve"> </v>
      </c>
      <c r="AH482" s="598" t="str">
        <f t="shared" si="77"/>
        <v xml:space="preserve"> </v>
      </c>
      <c r="AI482" s="598" t="str">
        <f t="shared" si="77"/>
        <v xml:space="preserve"> </v>
      </c>
      <c r="AJ482" s="598" t="str">
        <f t="shared" si="77"/>
        <v xml:space="preserve"> </v>
      </c>
      <c r="AK482" s="598" t="str">
        <f t="shared" si="77"/>
        <v xml:space="preserve"> </v>
      </c>
      <c r="AL482" s="598" t="str">
        <f t="shared" si="77"/>
        <v xml:space="preserve"> </v>
      </c>
      <c r="AM482" s="598" t="str">
        <f t="shared" si="77"/>
        <v xml:space="preserve"> </v>
      </c>
      <c r="AN482" s="598" t="str">
        <f t="shared" si="77"/>
        <v xml:space="preserve"> </v>
      </c>
      <c r="AO482" s="598" t="str">
        <f t="shared" si="77"/>
        <v xml:space="preserve"> </v>
      </c>
      <c r="AP482" s="598" t="str">
        <f t="shared" si="77"/>
        <v xml:space="preserve"> </v>
      </c>
      <c r="AQ482" s="598" t="str">
        <f t="shared" si="77"/>
        <v xml:space="preserve"> </v>
      </c>
      <c r="AR482" s="598" t="str">
        <f t="shared" si="77"/>
        <v xml:space="preserve"> </v>
      </c>
      <c r="AS482" s="598" t="str">
        <f t="shared" si="77"/>
        <v xml:space="preserve"> </v>
      </c>
      <c r="AT482" s="598" t="str">
        <f t="shared" si="77"/>
        <v xml:space="preserve"> </v>
      </c>
      <c r="AU482" s="598" t="str">
        <f t="shared" si="77"/>
        <v xml:space="preserve"> </v>
      </c>
      <c r="AW482" s="598" t="str">
        <f t="shared" si="74"/>
        <v xml:space="preserve"> </v>
      </c>
      <c r="AX482" s="598" t="str">
        <f t="shared" si="74"/>
        <v xml:space="preserve"> </v>
      </c>
      <c r="AY482" s="598" t="str">
        <f t="shared" si="74"/>
        <v xml:space="preserve"> </v>
      </c>
      <c r="AZ482" s="598" t="str">
        <f t="shared" si="74"/>
        <v xml:space="preserve"> </v>
      </c>
      <c r="BA482" s="598" t="str">
        <f t="shared" si="74"/>
        <v xml:space="preserve"> </v>
      </c>
      <c r="BB482" s="598" t="str">
        <f t="shared" si="74"/>
        <v xml:space="preserve"> </v>
      </c>
      <c r="BC482" s="598" t="str">
        <f t="shared" si="74"/>
        <v xml:space="preserve"> </v>
      </c>
      <c r="BD482" s="598" t="str">
        <f t="shared" si="74"/>
        <v xml:space="preserve"> </v>
      </c>
      <c r="BE482" s="598" t="str">
        <f t="shared" si="74"/>
        <v xml:space="preserve"> </v>
      </c>
      <c r="BF482" s="598" t="str">
        <f t="shared" si="74"/>
        <v xml:space="preserve"> </v>
      </c>
      <c r="BG482" s="598" t="str">
        <f t="shared" si="74"/>
        <v xml:space="preserve"> </v>
      </c>
      <c r="BH482" s="598" t="str">
        <f t="shared" si="74"/>
        <v xml:space="preserve"> </v>
      </c>
      <c r="BI482" s="598" t="str">
        <f t="shared" si="74"/>
        <v xml:space="preserve"> </v>
      </c>
      <c r="BJ482" s="598" t="str">
        <f t="shared" si="74"/>
        <v xml:space="preserve"> </v>
      </c>
      <c r="BK482" s="598" t="str">
        <f t="shared" si="74"/>
        <v xml:space="preserve"> </v>
      </c>
      <c r="BL482" s="598" t="str">
        <f t="shared" si="72"/>
        <v xml:space="preserve"> </v>
      </c>
      <c r="BM482" s="598" t="str">
        <f t="shared" si="72"/>
        <v xml:space="preserve"> </v>
      </c>
      <c r="BN482" s="598" t="str">
        <f t="shared" si="72"/>
        <v xml:space="preserve"> </v>
      </c>
      <c r="BO482" s="598" t="str">
        <f t="shared" si="72"/>
        <v xml:space="preserve"> </v>
      </c>
      <c r="BP482" s="598" t="str">
        <f t="shared" si="72"/>
        <v xml:space="preserve"> </v>
      </c>
      <c r="BQ482" s="598" t="str">
        <f t="shared" si="72"/>
        <v xml:space="preserve"> </v>
      </c>
      <c r="BR482" s="598" t="str">
        <f t="shared" si="72"/>
        <v xml:space="preserve"> </v>
      </c>
      <c r="BS482" s="598" t="str">
        <f t="shared" si="72"/>
        <v xml:space="preserve"> </v>
      </c>
      <c r="BT482" s="598" t="str">
        <f t="shared" si="72"/>
        <v xml:space="preserve"> </v>
      </c>
      <c r="BU482" s="598" t="str">
        <f t="shared" si="72"/>
        <v xml:space="preserve"> </v>
      </c>
      <c r="BV482" s="598" t="str">
        <f t="shared" si="72"/>
        <v xml:space="preserve"> </v>
      </c>
      <c r="BW482" s="598" t="str">
        <f t="shared" si="72"/>
        <v xml:space="preserve"> </v>
      </c>
      <c r="BX482" s="598" t="str">
        <f t="shared" si="72"/>
        <v xml:space="preserve"> </v>
      </c>
      <c r="BY482" s="598" t="str">
        <f t="shared" si="72"/>
        <v xml:space="preserve"> </v>
      </c>
      <c r="BZ482" s="598" t="str">
        <f t="shared" si="72"/>
        <v xml:space="preserve"> </v>
      </c>
      <c r="CA482" s="598" t="str">
        <f t="shared" si="72"/>
        <v xml:space="preserve"> </v>
      </c>
      <c r="CB482" s="598" t="str">
        <f t="shared" si="70"/>
        <v xml:space="preserve"> </v>
      </c>
      <c r="CC482" s="598" t="str">
        <f t="shared" si="70"/>
        <v xml:space="preserve"> </v>
      </c>
      <c r="CD482" s="598" t="str">
        <f t="shared" si="70"/>
        <v xml:space="preserve"> </v>
      </c>
      <c r="CE482" s="598" t="str">
        <f t="shared" si="70"/>
        <v xml:space="preserve"> </v>
      </c>
      <c r="CF482" s="598" t="str">
        <f t="shared" si="70"/>
        <v xml:space="preserve"> </v>
      </c>
      <c r="CG482" s="598" t="str">
        <f t="shared" si="70"/>
        <v xml:space="preserve"> </v>
      </c>
      <c r="CH482" s="598" t="str">
        <f t="shared" si="70"/>
        <v xml:space="preserve"> </v>
      </c>
      <c r="CI482" s="598" t="str">
        <f t="shared" si="70"/>
        <v xml:space="preserve"> </v>
      </c>
      <c r="CJ482" s="598" t="str">
        <f t="shared" si="70"/>
        <v xml:space="preserve"> </v>
      </c>
      <c r="CK482" s="598" t="str">
        <f t="shared" si="70"/>
        <v xml:space="preserve"> </v>
      </c>
      <c r="CL482" s="598" t="str">
        <f t="shared" si="70"/>
        <v xml:space="preserve"> </v>
      </c>
      <c r="CM482" s="598" t="str">
        <f t="shared" si="70"/>
        <v xml:space="preserve"> </v>
      </c>
      <c r="CN482" s="598" t="str">
        <f t="shared" si="70"/>
        <v xml:space="preserve"> </v>
      </c>
      <c r="CO482" s="598" t="str">
        <f t="shared" si="70"/>
        <v xml:space="preserve"> </v>
      </c>
      <c r="CP482" s="598" t="str">
        <f t="shared" si="70"/>
        <v xml:space="preserve"> </v>
      </c>
      <c r="CQ482" s="598" t="str">
        <f t="shared" ca="1" si="70"/>
        <v/>
      </c>
    </row>
    <row r="483" spans="1:95" ht="9.9499999999999993" customHeight="1">
      <c r="A483" s="598">
        <v>62</v>
      </c>
      <c r="B483" s="598" t="str">
        <f t="shared" ref="B483:AU488" ca="1" si="78">HLOOKUP(B$421,$C$217:$Z$317,$A483+1)</f>
        <v/>
      </c>
      <c r="C483" s="598" t="str">
        <f t="shared" ca="1" si="78"/>
        <v>Monster:Centaur</v>
      </c>
      <c r="D483" s="598" t="str">
        <f t="shared" ca="1" si="78"/>
        <v/>
      </c>
      <c r="E483" s="598" t="str">
        <f t="shared" si="78"/>
        <v xml:space="preserve"> </v>
      </c>
      <c r="F483" s="598" t="str">
        <f t="shared" si="78"/>
        <v xml:space="preserve"> </v>
      </c>
      <c r="G483" s="598" t="str">
        <f t="shared" si="78"/>
        <v xml:space="preserve"> </v>
      </c>
      <c r="H483" s="598" t="str">
        <f t="shared" si="78"/>
        <v xml:space="preserve"> </v>
      </c>
      <c r="I483" s="598" t="str">
        <f t="shared" si="78"/>
        <v xml:space="preserve"> </v>
      </c>
      <c r="J483" s="598" t="str">
        <f t="shared" si="78"/>
        <v xml:space="preserve"> </v>
      </c>
      <c r="K483" s="598" t="str">
        <f t="shared" si="78"/>
        <v xml:space="preserve"> </v>
      </c>
      <c r="L483" s="598" t="str">
        <f t="shared" si="78"/>
        <v xml:space="preserve"> </v>
      </c>
      <c r="M483" s="598" t="str">
        <f t="shared" ca="1" si="78"/>
        <v/>
      </c>
      <c r="N483" s="598" t="str">
        <f t="shared" ca="1" si="78"/>
        <v/>
      </c>
      <c r="O483" s="598" t="str">
        <f t="shared" si="78"/>
        <v xml:space="preserve"> </v>
      </c>
      <c r="P483" s="598" t="str">
        <f t="shared" si="78"/>
        <v xml:space="preserve"> </v>
      </c>
      <c r="Q483" s="598" t="str">
        <f t="shared" si="78"/>
        <v xml:space="preserve"> </v>
      </c>
      <c r="R483" s="598" t="str">
        <f t="shared" si="78"/>
        <v xml:space="preserve"> </v>
      </c>
      <c r="S483" s="598" t="str">
        <f t="shared" si="78"/>
        <v xml:space="preserve"> </v>
      </c>
      <c r="T483" s="598" t="str">
        <f t="shared" si="78"/>
        <v xml:space="preserve"> </v>
      </c>
      <c r="U483" s="598" t="str">
        <f t="shared" si="78"/>
        <v xml:space="preserve"> </v>
      </c>
      <c r="V483" s="598" t="str">
        <f t="shared" si="78"/>
        <v xml:space="preserve"> </v>
      </c>
      <c r="W483" s="598" t="str">
        <f t="shared" si="78"/>
        <v xml:space="preserve"> </v>
      </c>
      <c r="X483" s="598" t="str">
        <f t="shared" si="78"/>
        <v xml:space="preserve"> </v>
      </c>
      <c r="Y483" s="598" t="str">
        <f t="shared" si="78"/>
        <v xml:space="preserve"> </v>
      </c>
      <c r="Z483" s="598" t="str">
        <f t="shared" si="78"/>
        <v xml:space="preserve"> </v>
      </c>
      <c r="AA483" s="598" t="str">
        <f t="shared" si="78"/>
        <v xml:space="preserve"> </v>
      </c>
      <c r="AB483" s="598" t="str">
        <f t="shared" ca="1" si="78"/>
        <v>Monster:Nagas (White)</v>
      </c>
      <c r="AC483" s="598" t="str">
        <f t="shared" ca="1" si="78"/>
        <v>Monster:Nagas (White)</v>
      </c>
      <c r="AD483" s="598" t="str">
        <f t="shared" si="78"/>
        <v xml:space="preserve"> </v>
      </c>
      <c r="AE483" s="598" t="str">
        <f t="shared" si="78"/>
        <v xml:space="preserve"> </v>
      </c>
      <c r="AF483" s="598" t="str">
        <f t="shared" si="78"/>
        <v xml:space="preserve"> </v>
      </c>
      <c r="AG483" s="598" t="str">
        <f t="shared" si="78"/>
        <v xml:space="preserve"> </v>
      </c>
      <c r="AH483" s="598" t="str">
        <f t="shared" si="78"/>
        <v xml:space="preserve"> </v>
      </c>
      <c r="AI483" s="598" t="str">
        <f t="shared" si="78"/>
        <v xml:space="preserve"> </v>
      </c>
      <c r="AJ483" s="598" t="str">
        <f t="shared" si="78"/>
        <v xml:space="preserve"> </v>
      </c>
      <c r="AK483" s="598" t="str">
        <f t="shared" si="78"/>
        <v xml:space="preserve"> </v>
      </c>
      <c r="AL483" s="598" t="str">
        <f t="shared" si="78"/>
        <v xml:space="preserve"> </v>
      </c>
      <c r="AM483" s="598" t="str">
        <f t="shared" si="78"/>
        <v xml:space="preserve"> </v>
      </c>
      <c r="AN483" s="598" t="str">
        <f t="shared" si="78"/>
        <v xml:space="preserve"> </v>
      </c>
      <c r="AO483" s="598" t="str">
        <f t="shared" si="78"/>
        <v xml:space="preserve"> </v>
      </c>
      <c r="AP483" s="598" t="str">
        <f t="shared" si="78"/>
        <v xml:space="preserve"> </v>
      </c>
      <c r="AQ483" s="598" t="str">
        <f t="shared" si="78"/>
        <v xml:space="preserve"> </v>
      </c>
      <c r="AR483" s="598" t="str">
        <f t="shared" si="78"/>
        <v xml:space="preserve"> </v>
      </c>
      <c r="AS483" s="598" t="str">
        <f t="shared" si="78"/>
        <v xml:space="preserve"> </v>
      </c>
      <c r="AT483" s="598" t="str">
        <f t="shared" si="78"/>
        <v xml:space="preserve"> </v>
      </c>
      <c r="AU483" s="598" t="str">
        <f t="shared" si="78"/>
        <v xml:space="preserve"> </v>
      </c>
      <c r="AW483" s="598" t="str">
        <f t="shared" si="74"/>
        <v xml:space="preserve"> </v>
      </c>
      <c r="AX483" s="598" t="str">
        <f t="shared" si="74"/>
        <v xml:space="preserve"> </v>
      </c>
      <c r="AY483" s="598" t="str">
        <f t="shared" si="74"/>
        <v xml:space="preserve"> </v>
      </c>
      <c r="AZ483" s="598" t="str">
        <f t="shared" si="74"/>
        <v xml:space="preserve"> </v>
      </c>
      <c r="BA483" s="598" t="str">
        <f t="shared" si="74"/>
        <v xml:space="preserve"> </v>
      </c>
      <c r="BB483" s="598" t="str">
        <f t="shared" si="74"/>
        <v xml:space="preserve"> </v>
      </c>
      <c r="BC483" s="598" t="str">
        <f t="shared" si="74"/>
        <v xml:space="preserve"> </v>
      </c>
      <c r="BD483" s="598" t="str">
        <f t="shared" si="74"/>
        <v xml:space="preserve"> </v>
      </c>
      <c r="BE483" s="598" t="str">
        <f t="shared" si="74"/>
        <v xml:space="preserve"> </v>
      </c>
      <c r="BF483" s="598" t="str">
        <f t="shared" si="74"/>
        <v xml:space="preserve"> </v>
      </c>
      <c r="BG483" s="598" t="str">
        <f t="shared" si="74"/>
        <v xml:space="preserve"> </v>
      </c>
      <c r="BH483" s="598" t="str">
        <f t="shared" si="74"/>
        <v xml:space="preserve"> </v>
      </c>
      <c r="BI483" s="598" t="str">
        <f t="shared" si="74"/>
        <v xml:space="preserve"> </v>
      </c>
      <c r="BJ483" s="598" t="str">
        <f t="shared" si="74"/>
        <v xml:space="preserve"> </v>
      </c>
      <c r="BK483" s="598" t="str">
        <f t="shared" si="74"/>
        <v xml:space="preserve"> </v>
      </c>
      <c r="BL483" s="598" t="str">
        <f t="shared" si="72"/>
        <v xml:space="preserve"> </v>
      </c>
      <c r="BM483" s="598" t="str">
        <f t="shared" si="72"/>
        <v xml:space="preserve"> </v>
      </c>
      <c r="BN483" s="598" t="str">
        <f t="shared" si="72"/>
        <v xml:space="preserve"> </v>
      </c>
      <c r="BO483" s="598" t="str">
        <f t="shared" si="72"/>
        <v xml:space="preserve"> </v>
      </c>
      <c r="BP483" s="598" t="str">
        <f t="shared" si="72"/>
        <v xml:space="preserve"> </v>
      </c>
      <c r="BQ483" s="598" t="str">
        <f t="shared" si="72"/>
        <v xml:space="preserve"> </v>
      </c>
      <c r="BR483" s="598" t="str">
        <f t="shared" si="72"/>
        <v xml:space="preserve"> </v>
      </c>
      <c r="BS483" s="598" t="str">
        <f t="shared" si="72"/>
        <v xml:space="preserve"> </v>
      </c>
      <c r="BT483" s="598" t="str">
        <f t="shared" si="72"/>
        <v xml:space="preserve"> </v>
      </c>
      <c r="BU483" s="598" t="str">
        <f t="shared" si="72"/>
        <v xml:space="preserve"> </v>
      </c>
      <c r="BV483" s="598" t="str">
        <f t="shared" si="72"/>
        <v xml:space="preserve"> </v>
      </c>
      <c r="BW483" s="598" t="str">
        <f t="shared" si="72"/>
        <v xml:space="preserve"> </v>
      </c>
      <c r="BX483" s="598" t="str">
        <f t="shared" si="72"/>
        <v xml:space="preserve"> </v>
      </c>
      <c r="BY483" s="598" t="str">
        <f t="shared" si="72"/>
        <v xml:space="preserve"> </v>
      </c>
      <c r="BZ483" s="598" t="str">
        <f t="shared" si="72"/>
        <v xml:space="preserve"> </v>
      </c>
      <c r="CA483" s="598" t="str">
        <f t="shared" si="72"/>
        <v xml:space="preserve"> </v>
      </c>
      <c r="CB483" s="598" t="str">
        <f t="shared" si="70"/>
        <v xml:space="preserve"> </v>
      </c>
      <c r="CC483" s="598" t="str">
        <f t="shared" si="70"/>
        <v xml:space="preserve"> </v>
      </c>
      <c r="CD483" s="598" t="str">
        <f t="shared" si="70"/>
        <v xml:space="preserve"> </v>
      </c>
      <c r="CE483" s="598" t="str">
        <f t="shared" si="70"/>
        <v xml:space="preserve"> </v>
      </c>
      <c r="CF483" s="598" t="str">
        <f t="shared" si="70"/>
        <v xml:space="preserve"> </v>
      </c>
      <c r="CG483" s="598" t="str">
        <f t="shared" si="70"/>
        <v xml:space="preserve"> </v>
      </c>
      <c r="CH483" s="598" t="str">
        <f t="shared" si="70"/>
        <v xml:space="preserve"> </v>
      </c>
      <c r="CI483" s="598" t="str">
        <f t="shared" si="70"/>
        <v xml:space="preserve"> </v>
      </c>
      <c r="CJ483" s="598" t="str">
        <f t="shared" si="70"/>
        <v xml:space="preserve"> </v>
      </c>
      <c r="CK483" s="598" t="str">
        <f t="shared" si="70"/>
        <v xml:space="preserve"> </v>
      </c>
      <c r="CL483" s="598" t="str">
        <f t="shared" si="70"/>
        <v xml:space="preserve"> </v>
      </c>
      <c r="CM483" s="598" t="str">
        <f t="shared" si="70"/>
        <v xml:space="preserve"> </v>
      </c>
      <c r="CN483" s="598" t="str">
        <f t="shared" si="70"/>
        <v xml:space="preserve"> </v>
      </c>
      <c r="CO483" s="598" t="str">
        <f t="shared" si="70"/>
        <v xml:space="preserve"> </v>
      </c>
      <c r="CP483" s="598" t="str">
        <f t="shared" si="70"/>
        <v xml:space="preserve"> </v>
      </c>
      <c r="CQ483" s="598" t="str">
        <f t="shared" ca="1" si="70"/>
        <v/>
      </c>
    </row>
    <row r="484" spans="1:95" ht="9.9499999999999993" customHeight="1">
      <c r="A484" s="598">
        <v>63</v>
      </c>
      <c r="B484" s="598" t="str">
        <f t="shared" ca="1" si="78"/>
        <v/>
      </c>
      <c r="C484" s="598" t="str">
        <f t="shared" ca="1" si="78"/>
        <v>Monster:Demonic (Common)</v>
      </c>
      <c r="D484" s="598" t="str">
        <f t="shared" ca="1" si="78"/>
        <v/>
      </c>
      <c r="E484" s="598" t="str">
        <f t="shared" si="78"/>
        <v xml:space="preserve"> </v>
      </c>
      <c r="F484" s="598" t="str">
        <f t="shared" si="78"/>
        <v xml:space="preserve"> </v>
      </c>
      <c r="G484" s="598" t="str">
        <f t="shared" si="78"/>
        <v xml:space="preserve"> </v>
      </c>
      <c r="H484" s="598" t="str">
        <f t="shared" si="78"/>
        <v xml:space="preserve"> </v>
      </c>
      <c r="I484" s="598" t="str">
        <f t="shared" si="78"/>
        <v xml:space="preserve"> </v>
      </c>
      <c r="J484" s="598" t="str">
        <f t="shared" si="78"/>
        <v xml:space="preserve"> </v>
      </c>
      <c r="K484" s="598" t="str">
        <f t="shared" si="78"/>
        <v xml:space="preserve"> </v>
      </c>
      <c r="L484" s="598" t="str">
        <f t="shared" si="78"/>
        <v xml:space="preserve"> </v>
      </c>
      <c r="M484" s="598" t="str">
        <f t="shared" ca="1" si="78"/>
        <v/>
      </c>
      <c r="N484" s="598" t="str">
        <f t="shared" ca="1" si="78"/>
        <v/>
      </c>
      <c r="O484" s="598" t="str">
        <f t="shared" si="78"/>
        <v xml:space="preserve"> </v>
      </c>
      <c r="P484" s="598" t="str">
        <f t="shared" si="78"/>
        <v xml:space="preserve"> </v>
      </c>
      <c r="Q484" s="598" t="str">
        <f t="shared" si="78"/>
        <v xml:space="preserve"> </v>
      </c>
      <c r="R484" s="598" t="str">
        <f t="shared" si="78"/>
        <v xml:space="preserve"> </v>
      </c>
      <c r="S484" s="598" t="str">
        <f t="shared" si="78"/>
        <v xml:space="preserve"> </v>
      </c>
      <c r="T484" s="598" t="str">
        <f t="shared" si="78"/>
        <v xml:space="preserve"> </v>
      </c>
      <c r="U484" s="598" t="str">
        <f t="shared" si="78"/>
        <v xml:space="preserve"> </v>
      </c>
      <c r="V484" s="598" t="str">
        <f t="shared" si="78"/>
        <v xml:space="preserve"> </v>
      </c>
      <c r="W484" s="598" t="str">
        <f t="shared" si="78"/>
        <v xml:space="preserve"> </v>
      </c>
      <c r="X484" s="598" t="str">
        <f t="shared" si="78"/>
        <v xml:space="preserve"> </v>
      </c>
      <c r="Y484" s="598" t="str">
        <f t="shared" si="78"/>
        <v xml:space="preserve"> </v>
      </c>
      <c r="Z484" s="598" t="str">
        <f t="shared" si="78"/>
        <v xml:space="preserve"> </v>
      </c>
      <c r="AA484" s="598" t="str">
        <f t="shared" si="78"/>
        <v xml:space="preserve"> </v>
      </c>
      <c r="AB484" s="598" t="str">
        <f t="shared" ca="1" si="78"/>
        <v>Monster:Ogre</v>
      </c>
      <c r="AC484" s="598" t="str">
        <f t="shared" ca="1" si="78"/>
        <v>Monster:Ogre</v>
      </c>
      <c r="AD484" s="598" t="str">
        <f t="shared" si="78"/>
        <v xml:space="preserve"> </v>
      </c>
      <c r="AE484" s="598" t="str">
        <f t="shared" si="78"/>
        <v xml:space="preserve"> </v>
      </c>
      <c r="AF484" s="598" t="str">
        <f t="shared" si="78"/>
        <v xml:space="preserve"> </v>
      </c>
      <c r="AG484" s="598" t="str">
        <f t="shared" si="78"/>
        <v xml:space="preserve"> </v>
      </c>
      <c r="AH484" s="598" t="str">
        <f t="shared" si="78"/>
        <v xml:space="preserve"> </v>
      </c>
      <c r="AI484" s="598" t="str">
        <f t="shared" si="78"/>
        <v xml:space="preserve"> </v>
      </c>
      <c r="AJ484" s="598" t="str">
        <f t="shared" si="78"/>
        <v xml:space="preserve"> </v>
      </c>
      <c r="AK484" s="598" t="str">
        <f t="shared" si="78"/>
        <v xml:space="preserve"> </v>
      </c>
      <c r="AL484" s="598" t="str">
        <f t="shared" si="78"/>
        <v xml:space="preserve"> </v>
      </c>
      <c r="AM484" s="598" t="str">
        <f t="shared" si="78"/>
        <v xml:space="preserve"> </v>
      </c>
      <c r="AN484" s="598" t="str">
        <f t="shared" si="78"/>
        <v xml:space="preserve"> </v>
      </c>
      <c r="AO484" s="598" t="str">
        <f t="shared" si="78"/>
        <v xml:space="preserve"> </v>
      </c>
      <c r="AP484" s="598" t="str">
        <f t="shared" si="78"/>
        <v xml:space="preserve"> </v>
      </c>
      <c r="AQ484" s="598" t="str">
        <f t="shared" si="78"/>
        <v xml:space="preserve"> </v>
      </c>
      <c r="AR484" s="598" t="str">
        <f t="shared" si="78"/>
        <v xml:space="preserve"> </v>
      </c>
      <c r="AS484" s="598" t="str">
        <f t="shared" si="78"/>
        <v xml:space="preserve"> </v>
      </c>
      <c r="AT484" s="598" t="str">
        <f t="shared" si="78"/>
        <v xml:space="preserve"> </v>
      </c>
      <c r="AU484" s="598" t="str">
        <f t="shared" si="78"/>
        <v xml:space="preserve"> </v>
      </c>
      <c r="AW484" s="598" t="str">
        <f t="shared" si="74"/>
        <v xml:space="preserve"> </v>
      </c>
      <c r="AX484" s="598" t="str">
        <f t="shared" si="74"/>
        <v xml:space="preserve"> </v>
      </c>
      <c r="AY484" s="598" t="str">
        <f t="shared" si="74"/>
        <v xml:space="preserve"> </v>
      </c>
      <c r="AZ484" s="598" t="str">
        <f t="shared" si="74"/>
        <v xml:space="preserve"> </v>
      </c>
      <c r="BA484" s="598" t="str">
        <f t="shared" si="74"/>
        <v xml:space="preserve"> </v>
      </c>
      <c r="BB484" s="598" t="str">
        <f t="shared" si="74"/>
        <v xml:space="preserve"> </v>
      </c>
      <c r="BC484" s="598" t="str">
        <f t="shared" si="74"/>
        <v xml:space="preserve"> </v>
      </c>
      <c r="BD484" s="598" t="str">
        <f t="shared" si="74"/>
        <v xml:space="preserve"> </v>
      </c>
      <c r="BE484" s="598" t="str">
        <f t="shared" si="74"/>
        <v xml:space="preserve"> </v>
      </c>
      <c r="BF484" s="598" t="str">
        <f t="shared" si="74"/>
        <v xml:space="preserve"> </v>
      </c>
      <c r="BG484" s="598" t="str">
        <f t="shared" si="74"/>
        <v xml:space="preserve"> </v>
      </c>
      <c r="BH484" s="598" t="str">
        <f t="shared" si="74"/>
        <v xml:space="preserve"> </v>
      </c>
      <c r="BI484" s="598" t="str">
        <f t="shared" si="74"/>
        <v xml:space="preserve"> </v>
      </c>
      <c r="BJ484" s="598" t="str">
        <f t="shared" si="74"/>
        <v xml:space="preserve"> </v>
      </c>
      <c r="BK484" s="598" t="str">
        <f t="shared" si="74"/>
        <v xml:space="preserve"> </v>
      </c>
      <c r="BL484" s="598" t="str">
        <f t="shared" si="72"/>
        <v xml:space="preserve"> </v>
      </c>
      <c r="BM484" s="598" t="str">
        <f t="shared" si="72"/>
        <v xml:space="preserve"> </v>
      </c>
      <c r="BN484" s="598" t="str">
        <f t="shared" si="72"/>
        <v xml:space="preserve"> </v>
      </c>
      <c r="BO484" s="598" t="str">
        <f t="shared" si="72"/>
        <v xml:space="preserve"> </v>
      </c>
      <c r="BP484" s="598" t="str">
        <f t="shared" si="72"/>
        <v xml:space="preserve"> </v>
      </c>
      <c r="BQ484" s="598" t="str">
        <f t="shared" si="72"/>
        <v xml:space="preserve"> </v>
      </c>
      <c r="BR484" s="598" t="str">
        <f t="shared" si="72"/>
        <v xml:space="preserve"> </v>
      </c>
      <c r="BS484" s="598" t="str">
        <f t="shared" si="72"/>
        <v xml:space="preserve"> </v>
      </c>
      <c r="BT484" s="598" t="str">
        <f t="shared" si="72"/>
        <v xml:space="preserve"> </v>
      </c>
      <c r="BU484" s="598" t="str">
        <f t="shared" si="72"/>
        <v xml:space="preserve"> </v>
      </c>
      <c r="BV484" s="598" t="str">
        <f t="shared" si="72"/>
        <v xml:space="preserve"> </v>
      </c>
      <c r="BW484" s="598" t="str">
        <f t="shared" si="72"/>
        <v xml:space="preserve"> </v>
      </c>
      <c r="BX484" s="598" t="str">
        <f t="shared" si="72"/>
        <v xml:space="preserve"> </v>
      </c>
      <c r="BY484" s="598" t="str">
        <f t="shared" si="72"/>
        <v xml:space="preserve"> </v>
      </c>
      <c r="BZ484" s="598" t="str">
        <f t="shared" si="72"/>
        <v xml:space="preserve"> </v>
      </c>
      <c r="CA484" s="598" t="str">
        <f t="shared" si="72"/>
        <v xml:space="preserve"> </v>
      </c>
      <c r="CB484" s="598" t="str">
        <f t="shared" si="70"/>
        <v xml:space="preserve"> </v>
      </c>
      <c r="CC484" s="598" t="str">
        <f t="shared" si="70"/>
        <v xml:space="preserve"> </v>
      </c>
      <c r="CD484" s="598" t="str">
        <f t="shared" si="70"/>
        <v xml:space="preserve"> </v>
      </c>
      <c r="CE484" s="598" t="str">
        <f t="shared" si="70"/>
        <v xml:space="preserve"> </v>
      </c>
      <c r="CF484" s="598" t="str">
        <f t="shared" si="70"/>
        <v xml:space="preserve"> </v>
      </c>
      <c r="CG484" s="598" t="str">
        <f t="shared" si="70"/>
        <v xml:space="preserve"> </v>
      </c>
      <c r="CH484" s="598" t="str">
        <f t="shared" si="70"/>
        <v xml:space="preserve"> </v>
      </c>
      <c r="CI484" s="598" t="str">
        <f t="shared" si="70"/>
        <v xml:space="preserve"> </v>
      </c>
      <c r="CJ484" s="598" t="str">
        <f t="shared" si="70"/>
        <v xml:space="preserve"> </v>
      </c>
      <c r="CK484" s="598" t="str">
        <f t="shared" si="70"/>
        <v xml:space="preserve"> </v>
      </c>
      <c r="CL484" s="598" t="str">
        <f t="shared" si="70"/>
        <v xml:space="preserve"> </v>
      </c>
      <c r="CM484" s="598" t="str">
        <f t="shared" si="70"/>
        <v xml:space="preserve"> </v>
      </c>
      <c r="CN484" s="598" t="str">
        <f t="shared" si="70"/>
        <v xml:space="preserve"> </v>
      </c>
      <c r="CO484" s="598" t="str">
        <f t="shared" si="70"/>
        <v xml:space="preserve"> </v>
      </c>
      <c r="CP484" s="598" t="str">
        <f t="shared" si="70"/>
        <v xml:space="preserve"> </v>
      </c>
      <c r="CQ484" s="598" t="str">
        <f t="shared" ca="1" si="70"/>
        <v/>
      </c>
    </row>
    <row r="485" spans="1:95" ht="9.9499999999999993" customHeight="1">
      <c r="A485" s="598">
        <v>64</v>
      </c>
      <c r="B485" s="598" t="str">
        <f t="shared" ca="1" si="78"/>
        <v/>
      </c>
      <c r="C485" s="598" t="str">
        <f t="shared" ca="1" si="78"/>
        <v>Monster:Demonic (Challenge)</v>
      </c>
      <c r="D485" s="598" t="str">
        <f t="shared" ca="1" si="78"/>
        <v/>
      </c>
      <c r="E485" s="598" t="str">
        <f t="shared" si="78"/>
        <v xml:space="preserve"> </v>
      </c>
      <c r="F485" s="598" t="str">
        <f t="shared" si="78"/>
        <v xml:space="preserve"> </v>
      </c>
      <c r="G485" s="598" t="str">
        <f t="shared" si="78"/>
        <v xml:space="preserve"> </v>
      </c>
      <c r="H485" s="598" t="str">
        <f t="shared" si="78"/>
        <v xml:space="preserve"> </v>
      </c>
      <c r="I485" s="598" t="str">
        <f t="shared" si="78"/>
        <v xml:space="preserve"> </v>
      </c>
      <c r="J485" s="598" t="str">
        <f t="shared" si="78"/>
        <v xml:space="preserve"> </v>
      </c>
      <c r="K485" s="598" t="str">
        <f t="shared" si="78"/>
        <v xml:space="preserve"> </v>
      </c>
      <c r="L485" s="598" t="str">
        <f t="shared" si="78"/>
        <v xml:space="preserve"> </v>
      </c>
      <c r="M485" s="598" t="str">
        <f t="shared" ca="1" si="78"/>
        <v/>
      </c>
      <c r="N485" s="598" t="str">
        <f t="shared" ca="1" si="78"/>
        <v/>
      </c>
      <c r="O485" s="598" t="str">
        <f t="shared" si="78"/>
        <v xml:space="preserve"> </v>
      </c>
      <c r="P485" s="598" t="str">
        <f t="shared" si="78"/>
        <v xml:space="preserve"> </v>
      </c>
      <c r="Q485" s="598" t="str">
        <f t="shared" si="78"/>
        <v xml:space="preserve"> </v>
      </c>
      <c r="R485" s="598" t="str">
        <f t="shared" si="78"/>
        <v xml:space="preserve"> </v>
      </c>
      <c r="S485" s="598" t="str">
        <f t="shared" si="78"/>
        <v xml:space="preserve"> </v>
      </c>
      <c r="T485" s="598" t="str">
        <f t="shared" si="78"/>
        <v xml:space="preserve"> </v>
      </c>
      <c r="U485" s="598" t="str">
        <f t="shared" si="78"/>
        <v xml:space="preserve"> </v>
      </c>
      <c r="V485" s="598" t="str">
        <f t="shared" si="78"/>
        <v xml:space="preserve"> </v>
      </c>
      <c r="W485" s="598" t="str">
        <f t="shared" si="78"/>
        <v xml:space="preserve"> </v>
      </c>
      <c r="X485" s="598" t="str">
        <f t="shared" si="78"/>
        <v xml:space="preserve"> </v>
      </c>
      <c r="Y485" s="598" t="str">
        <f t="shared" si="78"/>
        <v xml:space="preserve"> </v>
      </c>
      <c r="Z485" s="598" t="str">
        <f t="shared" si="78"/>
        <v xml:space="preserve"> </v>
      </c>
      <c r="AA485" s="598" t="str">
        <f t="shared" si="78"/>
        <v xml:space="preserve"> </v>
      </c>
      <c r="AB485" s="598" t="str">
        <f t="shared" ca="1" si="78"/>
        <v>Monster:Orc</v>
      </c>
      <c r="AC485" s="598" t="str">
        <f t="shared" ca="1" si="78"/>
        <v>Monster:Orc</v>
      </c>
      <c r="AD485" s="598" t="str">
        <f t="shared" si="78"/>
        <v xml:space="preserve"> </v>
      </c>
      <c r="AE485" s="598" t="str">
        <f t="shared" si="78"/>
        <v xml:space="preserve"> </v>
      </c>
      <c r="AF485" s="598" t="str">
        <f t="shared" si="78"/>
        <v xml:space="preserve"> </v>
      </c>
      <c r="AG485" s="598" t="str">
        <f t="shared" si="78"/>
        <v xml:space="preserve"> </v>
      </c>
      <c r="AH485" s="598" t="str">
        <f t="shared" si="78"/>
        <v xml:space="preserve"> </v>
      </c>
      <c r="AI485" s="598" t="str">
        <f t="shared" si="78"/>
        <v xml:space="preserve"> </v>
      </c>
      <c r="AJ485" s="598" t="str">
        <f t="shared" si="78"/>
        <v xml:space="preserve"> </v>
      </c>
      <c r="AK485" s="598" t="str">
        <f t="shared" si="78"/>
        <v xml:space="preserve"> </v>
      </c>
      <c r="AL485" s="598" t="str">
        <f t="shared" si="78"/>
        <v xml:space="preserve"> </v>
      </c>
      <c r="AM485" s="598" t="str">
        <f t="shared" si="78"/>
        <v xml:space="preserve"> </v>
      </c>
      <c r="AN485" s="598" t="str">
        <f t="shared" si="78"/>
        <v xml:space="preserve"> </v>
      </c>
      <c r="AO485" s="598" t="str">
        <f t="shared" si="78"/>
        <v xml:space="preserve"> </v>
      </c>
      <c r="AP485" s="598" t="str">
        <f t="shared" si="78"/>
        <v xml:space="preserve"> </v>
      </c>
      <c r="AQ485" s="598" t="str">
        <f t="shared" si="78"/>
        <v xml:space="preserve"> </v>
      </c>
      <c r="AR485" s="598" t="str">
        <f t="shared" si="78"/>
        <v xml:space="preserve"> </v>
      </c>
      <c r="AS485" s="598" t="str">
        <f t="shared" si="78"/>
        <v xml:space="preserve"> </v>
      </c>
      <c r="AT485" s="598" t="str">
        <f t="shared" si="78"/>
        <v xml:space="preserve"> </v>
      </c>
      <c r="AU485" s="598" t="str">
        <f t="shared" si="78"/>
        <v xml:space="preserve"> </v>
      </c>
      <c r="AW485" s="598" t="str">
        <f t="shared" si="74"/>
        <v xml:space="preserve"> </v>
      </c>
      <c r="AX485" s="598" t="str">
        <f t="shared" si="74"/>
        <v xml:space="preserve"> </v>
      </c>
      <c r="AY485" s="598" t="str">
        <f t="shared" si="74"/>
        <v xml:space="preserve"> </v>
      </c>
      <c r="AZ485" s="598" t="str">
        <f t="shared" si="74"/>
        <v xml:space="preserve"> </v>
      </c>
      <c r="BA485" s="598" t="str">
        <f t="shared" si="74"/>
        <v xml:space="preserve"> </v>
      </c>
      <c r="BB485" s="598" t="str">
        <f t="shared" si="74"/>
        <v xml:space="preserve"> </v>
      </c>
      <c r="BC485" s="598" t="str">
        <f t="shared" si="74"/>
        <v xml:space="preserve"> </v>
      </c>
      <c r="BD485" s="598" t="str">
        <f t="shared" si="74"/>
        <v xml:space="preserve"> </v>
      </c>
      <c r="BE485" s="598" t="str">
        <f t="shared" si="74"/>
        <v xml:space="preserve"> </v>
      </c>
      <c r="BF485" s="598" t="str">
        <f t="shared" si="74"/>
        <v xml:space="preserve"> </v>
      </c>
      <c r="BG485" s="598" t="str">
        <f t="shared" si="74"/>
        <v xml:space="preserve"> </v>
      </c>
      <c r="BH485" s="598" t="str">
        <f t="shared" si="74"/>
        <v xml:space="preserve"> </v>
      </c>
      <c r="BI485" s="598" t="str">
        <f t="shared" si="74"/>
        <v xml:space="preserve"> </v>
      </c>
      <c r="BJ485" s="598" t="str">
        <f t="shared" si="74"/>
        <v xml:space="preserve"> </v>
      </c>
      <c r="BK485" s="598" t="str">
        <f t="shared" si="74"/>
        <v xml:space="preserve"> </v>
      </c>
      <c r="BL485" s="598" t="str">
        <f t="shared" si="72"/>
        <v xml:space="preserve"> </v>
      </c>
      <c r="BM485" s="598" t="str">
        <f t="shared" si="72"/>
        <v xml:space="preserve"> </v>
      </c>
      <c r="BN485" s="598" t="str">
        <f t="shared" si="72"/>
        <v xml:space="preserve"> </v>
      </c>
      <c r="BO485" s="598" t="str">
        <f t="shared" si="72"/>
        <v xml:space="preserve"> </v>
      </c>
      <c r="BP485" s="598" t="str">
        <f t="shared" si="72"/>
        <v xml:space="preserve"> </v>
      </c>
      <c r="BQ485" s="598" t="str">
        <f t="shared" si="72"/>
        <v xml:space="preserve"> </v>
      </c>
      <c r="BR485" s="598" t="str">
        <f t="shared" si="72"/>
        <v xml:space="preserve"> </v>
      </c>
      <c r="BS485" s="598" t="str">
        <f t="shared" si="72"/>
        <v xml:space="preserve"> </v>
      </c>
      <c r="BT485" s="598" t="str">
        <f t="shared" si="72"/>
        <v xml:space="preserve"> </v>
      </c>
      <c r="BU485" s="598" t="str">
        <f t="shared" si="72"/>
        <v xml:space="preserve"> </v>
      </c>
      <c r="BV485" s="598" t="str">
        <f t="shared" si="72"/>
        <v xml:space="preserve"> </v>
      </c>
      <c r="BW485" s="598" t="str">
        <f t="shared" si="72"/>
        <v xml:space="preserve"> </v>
      </c>
      <c r="BX485" s="598" t="str">
        <f t="shared" si="72"/>
        <v xml:space="preserve"> </v>
      </c>
      <c r="BY485" s="598" t="str">
        <f t="shared" si="72"/>
        <v xml:space="preserve"> </v>
      </c>
      <c r="BZ485" s="598" t="str">
        <f t="shared" si="72"/>
        <v xml:space="preserve"> </v>
      </c>
      <c r="CA485" s="598" t="str">
        <f t="shared" ref="CA485:CP500" si="79">HLOOKUP(CA$421,$C$217:$Z$317,$A485+1)</f>
        <v xml:space="preserve"> </v>
      </c>
      <c r="CB485" s="598" t="str">
        <f t="shared" si="79"/>
        <v xml:space="preserve"> </v>
      </c>
      <c r="CC485" s="598" t="str">
        <f t="shared" si="79"/>
        <v xml:space="preserve"> </v>
      </c>
      <c r="CD485" s="598" t="str">
        <f t="shared" si="79"/>
        <v xml:space="preserve"> </v>
      </c>
      <c r="CE485" s="598" t="str">
        <f t="shared" si="79"/>
        <v xml:space="preserve"> </v>
      </c>
      <c r="CF485" s="598" t="str">
        <f t="shared" si="79"/>
        <v xml:space="preserve"> </v>
      </c>
      <c r="CG485" s="598" t="str">
        <f t="shared" si="79"/>
        <v xml:space="preserve"> </v>
      </c>
      <c r="CH485" s="598" t="str">
        <f t="shared" si="79"/>
        <v xml:space="preserve"> </v>
      </c>
      <c r="CI485" s="598" t="str">
        <f t="shared" si="79"/>
        <v xml:space="preserve"> </v>
      </c>
      <c r="CJ485" s="598" t="str">
        <f t="shared" si="79"/>
        <v xml:space="preserve"> </v>
      </c>
      <c r="CK485" s="598" t="str">
        <f t="shared" si="79"/>
        <v xml:space="preserve"> </v>
      </c>
      <c r="CL485" s="598" t="str">
        <f t="shared" si="79"/>
        <v xml:space="preserve"> </v>
      </c>
      <c r="CM485" s="598" t="str">
        <f t="shared" si="79"/>
        <v xml:space="preserve"> </v>
      </c>
      <c r="CN485" s="598" t="str">
        <f t="shared" si="79"/>
        <v xml:space="preserve"> </v>
      </c>
      <c r="CO485" s="598" t="str">
        <f t="shared" si="79"/>
        <v xml:space="preserve"> </v>
      </c>
      <c r="CP485" s="598" t="str">
        <f t="shared" si="79"/>
        <v xml:space="preserve"> </v>
      </c>
      <c r="CQ485" s="598" t="str">
        <f t="shared" ref="CQ485:CQ521" ca="1" si="80">HLOOKUP(CQ$421,$C$217:$Z$317,$A485+1)</f>
        <v/>
      </c>
    </row>
    <row r="486" spans="1:95" ht="9.9499999999999993" customHeight="1">
      <c r="A486" s="598">
        <v>65</v>
      </c>
      <c r="B486" s="598" t="str">
        <f t="shared" ca="1" si="78"/>
        <v/>
      </c>
      <c r="C486" s="598" t="str">
        <f t="shared" ca="1" si="78"/>
        <v>Monster:Draconic</v>
      </c>
      <c r="D486" s="598" t="str">
        <f t="shared" ca="1" si="78"/>
        <v/>
      </c>
      <c r="E486" s="598" t="str">
        <f t="shared" si="78"/>
        <v xml:space="preserve"> </v>
      </c>
      <c r="F486" s="598" t="str">
        <f t="shared" si="78"/>
        <v xml:space="preserve"> </v>
      </c>
      <c r="G486" s="598" t="str">
        <f t="shared" si="78"/>
        <v xml:space="preserve"> </v>
      </c>
      <c r="H486" s="598" t="str">
        <f t="shared" si="78"/>
        <v xml:space="preserve"> </v>
      </c>
      <c r="I486" s="598" t="str">
        <f t="shared" si="78"/>
        <v xml:space="preserve"> </v>
      </c>
      <c r="J486" s="598" t="str">
        <f t="shared" si="78"/>
        <v xml:space="preserve"> </v>
      </c>
      <c r="K486" s="598" t="str">
        <f t="shared" si="78"/>
        <v xml:space="preserve"> </v>
      </c>
      <c r="L486" s="598" t="str">
        <f t="shared" si="78"/>
        <v xml:space="preserve"> </v>
      </c>
      <c r="M486" s="598" t="str">
        <f t="shared" ca="1" si="78"/>
        <v/>
      </c>
      <c r="N486" s="598" t="str">
        <f t="shared" ca="1" si="78"/>
        <v/>
      </c>
      <c r="O486" s="598" t="str">
        <f t="shared" si="78"/>
        <v xml:space="preserve"> </v>
      </c>
      <c r="P486" s="598" t="str">
        <f t="shared" si="78"/>
        <v xml:space="preserve"> </v>
      </c>
      <c r="Q486" s="598" t="str">
        <f t="shared" si="78"/>
        <v xml:space="preserve"> </v>
      </c>
      <c r="R486" s="598" t="str">
        <f t="shared" si="78"/>
        <v xml:space="preserve"> </v>
      </c>
      <c r="S486" s="598" t="str">
        <f t="shared" si="78"/>
        <v xml:space="preserve"> </v>
      </c>
      <c r="T486" s="598" t="str">
        <f t="shared" si="78"/>
        <v xml:space="preserve"> </v>
      </c>
      <c r="U486" s="598" t="str">
        <f t="shared" si="78"/>
        <v xml:space="preserve"> </v>
      </c>
      <c r="V486" s="598" t="str">
        <f t="shared" si="78"/>
        <v xml:space="preserve"> </v>
      </c>
      <c r="W486" s="598" t="str">
        <f t="shared" si="78"/>
        <v xml:space="preserve"> </v>
      </c>
      <c r="X486" s="598" t="str">
        <f t="shared" si="78"/>
        <v xml:space="preserve"> </v>
      </c>
      <c r="Y486" s="598" t="str">
        <f t="shared" si="78"/>
        <v xml:space="preserve"> </v>
      </c>
      <c r="Z486" s="598" t="str">
        <f t="shared" si="78"/>
        <v xml:space="preserve"> </v>
      </c>
      <c r="AA486" s="598" t="str">
        <f t="shared" si="78"/>
        <v xml:space="preserve"> </v>
      </c>
      <c r="AB486" s="598" t="str">
        <f t="shared" ca="1" si="78"/>
        <v>Monster:Saurian (Lizardmen)</v>
      </c>
      <c r="AC486" s="598" t="str">
        <f t="shared" ca="1" si="78"/>
        <v>Monster:Saurian (Lizardmen)</v>
      </c>
      <c r="AD486" s="598" t="str">
        <f t="shared" si="78"/>
        <v xml:space="preserve"> </v>
      </c>
      <c r="AE486" s="598" t="str">
        <f t="shared" si="78"/>
        <v xml:space="preserve"> </v>
      </c>
      <c r="AF486" s="598" t="str">
        <f t="shared" si="78"/>
        <v xml:space="preserve"> </v>
      </c>
      <c r="AG486" s="598" t="str">
        <f t="shared" si="78"/>
        <v xml:space="preserve"> </v>
      </c>
      <c r="AH486" s="598" t="str">
        <f t="shared" si="78"/>
        <v xml:space="preserve"> </v>
      </c>
      <c r="AI486" s="598" t="str">
        <f t="shared" si="78"/>
        <v xml:space="preserve"> </v>
      </c>
      <c r="AJ486" s="598" t="str">
        <f t="shared" si="78"/>
        <v xml:space="preserve"> </v>
      </c>
      <c r="AK486" s="598" t="str">
        <f t="shared" si="78"/>
        <v xml:space="preserve"> </v>
      </c>
      <c r="AL486" s="598" t="str">
        <f t="shared" si="78"/>
        <v xml:space="preserve"> </v>
      </c>
      <c r="AM486" s="598" t="str">
        <f t="shared" si="78"/>
        <v xml:space="preserve"> </v>
      </c>
      <c r="AN486" s="598" t="str">
        <f t="shared" si="78"/>
        <v xml:space="preserve"> </v>
      </c>
      <c r="AO486" s="598" t="str">
        <f t="shared" si="78"/>
        <v xml:space="preserve"> </v>
      </c>
      <c r="AP486" s="598" t="str">
        <f t="shared" si="78"/>
        <v xml:space="preserve"> </v>
      </c>
      <c r="AQ486" s="598" t="str">
        <f t="shared" si="78"/>
        <v xml:space="preserve"> </v>
      </c>
      <c r="AR486" s="598" t="str">
        <f t="shared" si="78"/>
        <v xml:space="preserve"> </v>
      </c>
      <c r="AS486" s="598" t="str">
        <f t="shared" si="78"/>
        <v xml:space="preserve"> </v>
      </c>
      <c r="AT486" s="598" t="str">
        <f t="shared" si="78"/>
        <v xml:space="preserve"> </v>
      </c>
      <c r="AU486" s="598" t="str">
        <f t="shared" si="78"/>
        <v xml:space="preserve"> </v>
      </c>
      <c r="AW486" s="598" t="str">
        <f t="shared" si="74"/>
        <v xml:space="preserve"> </v>
      </c>
      <c r="AX486" s="598" t="str">
        <f t="shared" si="74"/>
        <v xml:space="preserve"> </v>
      </c>
      <c r="AY486" s="598" t="str">
        <f t="shared" si="74"/>
        <v xml:space="preserve"> </v>
      </c>
      <c r="AZ486" s="598" t="str">
        <f t="shared" si="74"/>
        <v xml:space="preserve"> </v>
      </c>
      <c r="BA486" s="598" t="str">
        <f t="shared" si="74"/>
        <v xml:space="preserve"> </v>
      </c>
      <c r="BB486" s="598" t="str">
        <f t="shared" si="74"/>
        <v xml:space="preserve"> </v>
      </c>
      <c r="BC486" s="598" t="str">
        <f t="shared" si="74"/>
        <v xml:space="preserve"> </v>
      </c>
      <c r="BD486" s="598" t="str">
        <f t="shared" si="74"/>
        <v xml:space="preserve"> </v>
      </c>
      <c r="BE486" s="598" t="str">
        <f t="shared" si="74"/>
        <v xml:space="preserve"> </v>
      </c>
      <c r="BF486" s="598" t="str">
        <f t="shared" si="74"/>
        <v xml:space="preserve"> </v>
      </c>
      <c r="BG486" s="598" t="str">
        <f t="shared" si="74"/>
        <v xml:space="preserve"> </v>
      </c>
      <c r="BH486" s="598" t="str">
        <f t="shared" si="74"/>
        <v xml:space="preserve"> </v>
      </c>
      <c r="BI486" s="598" t="str">
        <f t="shared" si="74"/>
        <v xml:space="preserve"> </v>
      </c>
      <c r="BJ486" s="598" t="str">
        <f t="shared" si="74"/>
        <v xml:space="preserve"> </v>
      </c>
      <c r="BK486" s="598" t="str">
        <f t="shared" si="74"/>
        <v xml:space="preserve"> </v>
      </c>
      <c r="BL486" s="598" t="str">
        <f t="shared" si="74"/>
        <v xml:space="preserve"> </v>
      </c>
      <c r="BM486" s="598" t="str">
        <f t="shared" ref="BM486:CB501" si="81">HLOOKUP(BM$421,$C$217:$Z$317,$A486+1)</f>
        <v xml:space="preserve"> </v>
      </c>
      <c r="BN486" s="598" t="str">
        <f t="shared" si="81"/>
        <v xml:space="preserve"> </v>
      </c>
      <c r="BO486" s="598" t="str">
        <f t="shared" si="81"/>
        <v xml:space="preserve"> </v>
      </c>
      <c r="BP486" s="598" t="str">
        <f t="shared" si="81"/>
        <v xml:space="preserve"> </v>
      </c>
      <c r="BQ486" s="598" t="str">
        <f t="shared" si="81"/>
        <v xml:space="preserve"> </v>
      </c>
      <c r="BR486" s="598" t="str">
        <f t="shared" si="81"/>
        <v xml:space="preserve"> </v>
      </c>
      <c r="BS486" s="598" t="str">
        <f t="shared" si="81"/>
        <v xml:space="preserve"> </v>
      </c>
      <c r="BT486" s="598" t="str">
        <f t="shared" si="81"/>
        <v xml:space="preserve"> </v>
      </c>
      <c r="BU486" s="598" t="str">
        <f t="shared" si="81"/>
        <v xml:space="preserve"> </v>
      </c>
      <c r="BV486" s="598" t="str">
        <f t="shared" si="81"/>
        <v xml:space="preserve"> </v>
      </c>
      <c r="BW486" s="598" t="str">
        <f t="shared" si="81"/>
        <v xml:space="preserve"> </v>
      </c>
      <c r="BX486" s="598" t="str">
        <f t="shared" si="81"/>
        <v xml:space="preserve"> </v>
      </c>
      <c r="BY486" s="598" t="str">
        <f t="shared" si="81"/>
        <v xml:space="preserve"> </v>
      </c>
      <c r="BZ486" s="598" t="str">
        <f t="shared" si="81"/>
        <v xml:space="preserve"> </v>
      </c>
      <c r="CA486" s="598" t="str">
        <f t="shared" si="79"/>
        <v xml:space="preserve"> </v>
      </c>
      <c r="CB486" s="598" t="str">
        <f t="shared" si="79"/>
        <v xml:space="preserve"> </v>
      </c>
      <c r="CC486" s="598" t="str">
        <f t="shared" si="79"/>
        <v xml:space="preserve"> </v>
      </c>
      <c r="CD486" s="598" t="str">
        <f t="shared" si="79"/>
        <v xml:space="preserve"> </v>
      </c>
      <c r="CE486" s="598" t="str">
        <f t="shared" si="79"/>
        <v xml:space="preserve"> </v>
      </c>
      <c r="CF486" s="598" t="str">
        <f t="shared" si="79"/>
        <v xml:space="preserve"> </v>
      </c>
      <c r="CG486" s="598" t="str">
        <f t="shared" si="79"/>
        <v xml:space="preserve"> </v>
      </c>
      <c r="CH486" s="598" t="str">
        <f t="shared" si="79"/>
        <v xml:space="preserve"> </v>
      </c>
      <c r="CI486" s="598" t="str">
        <f t="shared" si="79"/>
        <v xml:space="preserve"> </v>
      </c>
      <c r="CJ486" s="598" t="str">
        <f t="shared" si="79"/>
        <v xml:space="preserve"> </v>
      </c>
      <c r="CK486" s="598" t="str">
        <f t="shared" si="79"/>
        <v xml:space="preserve"> </v>
      </c>
      <c r="CL486" s="598" t="str">
        <f t="shared" si="79"/>
        <v xml:space="preserve"> </v>
      </c>
      <c r="CM486" s="598" t="str">
        <f t="shared" si="79"/>
        <v xml:space="preserve"> </v>
      </c>
      <c r="CN486" s="598" t="str">
        <f t="shared" si="79"/>
        <v xml:space="preserve"> </v>
      </c>
      <c r="CO486" s="598" t="str">
        <f t="shared" si="79"/>
        <v xml:space="preserve"> </v>
      </c>
      <c r="CP486" s="598" t="str">
        <f t="shared" si="79"/>
        <v xml:space="preserve"> </v>
      </c>
      <c r="CQ486" s="598" t="str">
        <f t="shared" ca="1" si="80"/>
        <v/>
      </c>
    </row>
    <row r="487" spans="1:95" ht="9.9499999999999993" customHeight="1">
      <c r="A487" s="598">
        <v>66</v>
      </c>
      <c r="B487" s="598" t="str">
        <f t="shared" ca="1" si="78"/>
        <v/>
      </c>
      <c r="C487" s="598" t="str">
        <f t="shared" ca="1" si="78"/>
        <v>Monster:Draconic (Ancient)</v>
      </c>
      <c r="D487" s="598" t="str">
        <f t="shared" ca="1" si="78"/>
        <v/>
      </c>
      <c r="E487" s="598" t="str">
        <f t="shared" si="78"/>
        <v xml:space="preserve"> </v>
      </c>
      <c r="F487" s="598" t="str">
        <f t="shared" si="78"/>
        <v xml:space="preserve"> </v>
      </c>
      <c r="G487" s="598" t="str">
        <f t="shared" si="78"/>
        <v xml:space="preserve"> </v>
      </c>
      <c r="H487" s="598" t="str">
        <f t="shared" si="78"/>
        <v xml:space="preserve"> </v>
      </c>
      <c r="I487" s="598" t="str">
        <f t="shared" si="78"/>
        <v xml:space="preserve"> </v>
      </c>
      <c r="J487" s="598" t="str">
        <f t="shared" si="78"/>
        <v xml:space="preserve"> </v>
      </c>
      <c r="K487" s="598" t="str">
        <f t="shared" si="78"/>
        <v xml:space="preserve"> </v>
      </c>
      <c r="L487" s="598" t="str">
        <f t="shared" si="78"/>
        <v xml:space="preserve"> </v>
      </c>
      <c r="M487" s="598" t="str">
        <f t="shared" ca="1" si="78"/>
        <v/>
      </c>
      <c r="N487" s="598" t="str">
        <f t="shared" ca="1" si="78"/>
        <v/>
      </c>
      <c r="O487" s="598" t="str">
        <f t="shared" si="78"/>
        <v xml:space="preserve"> </v>
      </c>
      <c r="P487" s="598" t="str">
        <f t="shared" si="78"/>
        <v xml:space="preserve"> </v>
      </c>
      <c r="Q487" s="598" t="str">
        <f t="shared" si="78"/>
        <v xml:space="preserve"> </v>
      </c>
      <c r="R487" s="598" t="str">
        <f t="shared" si="78"/>
        <v xml:space="preserve"> </v>
      </c>
      <c r="S487" s="598" t="str">
        <f t="shared" si="78"/>
        <v xml:space="preserve"> </v>
      </c>
      <c r="T487" s="598" t="str">
        <f t="shared" si="78"/>
        <v xml:space="preserve"> </v>
      </c>
      <c r="U487" s="598" t="str">
        <f t="shared" si="78"/>
        <v xml:space="preserve"> </v>
      </c>
      <c r="V487" s="598" t="str">
        <f t="shared" si="78"/>
        <v xml:space="preserve"> </v>
      </c>
      <c r="W487" s="598" t="str">
        <f t="shared" si="78"/>
        <v xml:space="preserve"> </v>
      </c>
      <c r="X487" s="598" t="str">
        <f t="shared" si="78"/>
        <v xml:space="preserve"> </v>
      </c>
      <c r="Y487" s="598" t="str">
        <f t="shared" si="78"/>
        <v xml:space="preserve"> </v>
      </c>
      <c r="Z487" s="598" t="str">
        <f t="shared" si="78"/>
        <v xml:space="preserve"> </v>
      </c>
      <c r="AA487" s="598" t="str">
        <f t="shared" si="78"/>
        <v xml:space="preserve"> </v>
      </c>
      <c r="AB487" s="598" t="str">
        <f t="shared" ca="1" si="78"/>
        <v>Monster:Saurian  (Dragon Kin) (Common)</v>
      </c>
      <c r="AC487" s="598" t="str">
        <f t="shared" ca="1" si="78"/>
        <v>Monster:Saurian  (Dragon Kin) (Common)</v>
      </c>
      <c r="AD487" s="598" t="str">
        <f t="shared" si="78"/>
        <v xml:space="preserve"> </v>
      </c>
      <c r="AE487" s="598" t="str">
        <f t="shared" si="78"/>
        <v xml:space="preserve"> </v>
      </c>
      <c r="AF487" s="598" t="str">
        <f t="shared" si="78"/>
        <v xml:space="preserve"> </v>
      </c>
      <c r="AG487" s="598" t="str">
        <f t="shared" si="78"/>
        <v xml:space="preserve"> </v>
      </c>
      <c r="AH487" s="598" t="str">
        <f t="shared" si="78"/>
        <v xml:space="preserve"> </v>
      </c>
      <c r="AI487" s="598" t="str">
        <f t="shared" si="78"/>
        <v xml:space="preserve"> </v>
      </c>
      <c r="AJ487" s="598" t="str">
        <f t="shared" si="78"/>
        <v xml:space="preserve"> </v>
      </c>
      <c r="AK487" s="598" t="str">
        <f t="shared" si="78"/>
        <v xml:space="preserve"> </v>
      </c>
      <c r="AL487" s="598" t="str">
        <f t="shared" si="78"/>
        <v xml:space="preserve"> </v>
      </c>
      <c r="AM487" s="598" t="str">
        <f t="shared" si="78"/>
        <v xml:space="preserve"> </v>
      </c>
      <c r="AN487" s="598" t="str">
        <f t="shared" si="78"/>
        <v xml:space="preserve"> </v>
      </c>
      <c r="AO487" s="598" t="str">
        <f t="shared" si="78"/>
        <v xml:space="preserve"> </v>
      </c>
      <c r="AP487" s="598" t="str">
        <f t="shared" si="78"/>
        <v xml:space="preserve"> </v>
      </c>
      <c r="AQ487" s="598" t="str">
        <f t="shared" si="78"/>
        <v xml:space="preserve"> </v>
      </c>
      <c r="AR487" s="598" t="str">
        <f t="shared" si="78"/>
        <v xml:space="preserve"> </v>
      </c>
      <c r="AS487" s="598" t="str">
        <f t="shared" si="78"/>
        <v xml:space="preserve"> </v>
      </c>
      <c r="AT487" s="598" t="str">
        <f t="shared" si="78"/>
        <v xml:space="preserve"> </v>
      </c>
      <c r="AU487" s="598" t="str">
        <f t="shared" si="78"/>
        <v xml:space="preserve"> </v>
      </c>
      <c r="AW487" s="598" t="str">
        <f t="shared" ref="AW487:BL502" si="82">HLOOKUP(AW$421,$C$217:$Z$317,$A487+1)</f>
        <v xml:space="preserve"> </v>
      </c>
      <c r="AX487" s="598" t="str">
        <f t="shared" si="82"/>
        <v xml:space="preserve"> </v>
      </c>
      <c r="AY487" s="598" t="str">
        <f t="shared" si="82"/>
        <v xml:space="preserve"> </v>
      </c>
      <c r="AZ487" s="598" t="str">
        <f t="shared" si="82"/>
        <v xml:space="preserve"> </v>
      </c>
      <c r="BA487" s="598" t="str">
        <f t="shared" si="82"/>
        <v xml:space="preserve"> </v>
      </c>
      <c r="BB487" s="598" t="str">
        <f t="shared" si="82"/>
        <v xml:space="preserve"> </v>
      </c>
      <c r="BC487" s="598" t="str">
        <f t="shared" si="82"/>
        <v xml:space="preserve"> </v>
      </c>
      <c r="BD487" s="598" t="str">
        <f t="shared" si="82"/>
        <v xml:space="preserve"> </v>
      </c>
      <c r="BE487" s="598" t="str">
        <f t="shared" si="82"/>
        <v xml:space="preserve"> </v>
      </c>
      <c r="BF487" s="598" t="str">
        <f t="shared" si="82"/>
        <v xml:space="preserve"> </v>
      </c>
      <c r="BG487" s="598" t="str">
        <f t="shared" si="82"/>
        <v xml:space="preserve"> </v>
      </c>
      <c r="BH487" s="598" t="str">
        <f t="shared" si="82"/>
        <v xml:space="preserve"> </v>
      </c>
      <c r="BI487" s="598" t="str">
        <f t="shared" si="82"/>
        <v xml:space="preserve"> </v>
      </c>
      <c r="BJ487" s="598" t="str">
        <f t="shared" si="82"/>
        <v xml:space="preserve"> </v>
      </c>
      <c r="BK487" s="598" t="str">
        <f t="shared" si="82"/>
        <v xml:space="preserve"> </v>
      </c>
      <c r="BL487" s="598" t="str">
        <f t="shared" si="82"/>
        <v xml:space="preserve"> </v>
      </c>
      <c r="BM487" s="598" t="str">
        <f t="shared" si="81"/>
        <v xml:space="preserve"> </v>
      </c>
      <c r="BN487" s="598" t="str">
        <f t="shared" si="81"/>
        <v xml:space="preserve"> </v>
      </c>
      <c r="BO487" s="598" t="str">
        <f t="shared" si="81"/>
        <v xml:space="preserve"> </v>
      </c>
      <c r="BP487" s="598" t="str">
        <f t="shared" si="81"/>
        <v xml:space="preserve"> </v>
      </c>
      <c r="BQ487" s="598" t="str">
        <f t="shared" si="81"/>
        <v xml:space="preserve"> </v>
      </c>
      <c r="BR487" s="598" t="str">
        <f t="shared" si="81"/>
        <v xml:space="preserve"> </v>
      </c>
      <c r="BS487" s="598" t="str">
        <f t="shared" si="81"/>
        <v xml:space="preserve"> </v>
      </c>
      <c r="BT487" s="598" t="str">
        <f t="shared" si="81"/>
        <v xml:space="preserve"> </v>
      </c>
      <c r="BU487" s="598" t="str">
        <f t="shared" si="81"/>
        <v xml:space="preserve"> </v>
      </c>
      <c r="BV487" s="598" t="str">
        <f t="shared" si="81"/>
        <v xml:space="preserve"> </v>
      </c>
      <c r="BW487" s="598" t="str">
        <f t="shared" si="81"/>
        <v xml:space="preserve"> </v>
      </c>
      <c r="BX487" s="598" t="str">
        <f t="shared" si="81"/>
        <v xml:space="preserve"> </v>
      </c>
      <c r="BY487" s="598" t="str">
        <f t="shared" si="81"/>
        <v xml:space="preserve"> </v>
      </c>
      <c r="BZ487" s="598" t="str">
        <f t="shared" si="81"/>
        <v xml:space="preserve"> </v>
      </c>
      <c r="CA487" s="598" t="str">
        <f t="shared" si="79"/>
        <v xml:space="preserve"> </v>
      </c>
      <c r="CB487" s="598" t="str">
        <f t="shared" si="79"/>
        <v xml:space="preserve"> </v>
      </c>
      <c r="CC487" s="598" t="str">
        <f t="shared" si="79"/>
        <v xml:space="preserve"> </v>
      </c>
      <c r="CD487" s="598" t="str">
        <f t="shared" si="79"/>
        <v xml:space="preserve"> </v>
      </c>
      <c r="CE487" s="598" t="str">
        <f t="shared" si="79"/>
        <v xml:space="preserve"> </v>
      </c>
      <c r="CF487" s="598" t="str">
        <f t="shared" si="79"/>
        <v xml:space="preserve"> </v>
      </c>
      <c r="CG487" s="598" t="str">
        <f t="shared" si="79"/>
        <v xml:space="preserve"> </v>
      </c>
      <c r="CH487" s="598" t="str">
        <f t="shared" si="79"/>
        <v xml:space="preserve"> </v>
      </c>
      <c r="CI487" s="598" t="str">
        <f t="shared" si="79"/>
        <v xml:space="preserve"> </v>
      </c>
      <c r="CJ487" s="598" t="str">
        <f t="shared" si="79"/>
        <v xml:space="preserve"> </v>
      </c>
      <c r="CK487" s="598" t="str">
        <f t="shared" si="79"/>
        <v xml:space="preserve"> </v>
      </c>
      <c r="CL487" s="598" t="str">
        <f t="shared" si="79"/>
        <v xml:space="preserve"> </v>
      </c>
      <c r="CM487" s="598" t="str">
        <f t="shared" si="79"/>
        <v xml:space="preserve"> </v>
      </c>
      <c r="CN487" s="598" t="str">
        <f t="shared" si="79"/>
        <v xml:space="preserve"> </v>
      </c>
      <c r="CO487" s="598" t="str">
        <f t="shared" si="79"/>
        <v xml:space="preserve"> </v>
      </c>
      <c r="CP487" s="598" t="str">
        <f t="shared" si="79"/>
        <v xml:space="preserve"> </v>
      </c>
      <c r="CQ487" s="598" t="str">
        <f t="shared" ca="1" si="80"/>
        <v/>
      </c>
    </row>
    <row r="488" spans="1:95" ht="9.9499999999999993" customHeight="1">
      <c r="A488" s="598">
        <v>67</v>
      </c>
      <c r="B488" s="598" t="str">
        <f t="shared" ca="1" si="78"/>
        <v/>
      </c>
      <c r="C488" s="598" t="str">
        <f t="shared" ca="1" si="78"/>
        <v>Monster:Faery (Seelie)</v>
      </c>
      <c r="D488" s="598" t="str">
        <f t="shared" ca="1" si="78"/>
        <v/>
      </c>
      <c r="E488" s="598" t="str">
        <f t="shared" si="78"/>
        <v xml:space="preserve"> </v>
      </c>
      <c r="F488" s="598" t="str">
        <f t="shared" si="78"/>
        <v xml:space="preserve"> </v>
      </c>
      <c r="G488" s="598" t="str">
        <f t="shared" si="78"/>
        <v xml:space="preserve"> </v>
      </c>
      <c r="H488" s="598" t="str">
        <f t="shared" si="78"/>
        <v xml:space="preserve"> </v>
      </c>
      <c r="I488" s="598" t="str">
        <f t="shared" si="78"/>
        <v xml:space="preserve"> </v>
      </c>
      <c r="J488" s="598" t="str">
        <f t="shared" si="78"/>
        <v xml:space="preserve"> </v>
      </c>
      <c r="K488" s="598" t="str">
        <f t="shared" si="78"/>
        <v xml:space="preserve"> </v>
      </c>
      <c r="L488" s="598" t="str">
        <f t="shared" si="78"/>
        <v xml:space="preserve"> </v>
      </c>
      <c r="M488" s="598" t="str">
        <f t="shared" ca="1" si="78"/>
        <v/>
      </c>
      <c r="N488" s="598" t="str">
        <f t="shared" ca="1" si="78"/>
        <v/>
      </c>
      <c r="O488" s="598" t="str">
        <f t="shared" si="78"/>
        <v xml:space="preserve"> </v>
      </c>
      <c r="P488" s="598" t="str">
        <f t="shared" si="78"/>
        <v xml:space="preserve"> </v>
      </c>
      <c r="Q488" s="598" t="str">
        <f t="shared" si="78"/>
        <v xml:space="preserve"> </v>
      </c>
      <c r="R488" s="598" t="str">
        <f t="shared" si="78"/>
        <v xml:space="preserve"> </v>
      </c>
      <c r="S488" s="598" t="str">
        <f t="shared" si="78"/>
        <v xml:space="preserve"> </v>
      </c>
      <c r="T488" s="598" t="str">
        <f t="shared" si="78"/>
        <v xml:space="preserve"> </v>
      </c>
      <c r="U488" s="598" t="str">
        <f t="shared" si="78"/>
        <v xml:space="preserve"> </v>
      </c>
      <c r="V488" s="598" t="str">
        <f t="shared" si="78"/>
        <v xml:space="preserve"> </v>
      </c>
      <c r="W488" s="598" t="str">
        <f t="shared" si="78"/>
        <v xml:space="preserve"> </v>
      </c>
      <c r="X488" s="598" t="str">
        <f t="shared" si="78"/>
        <v xml:space="preserve"> </v>
      </c>
      <c r="Y488" s="598" t="str">
        <f t="shared" si="78"/>
        <v xml:space="preserve"> </v>
      </c>
      <c r="Z488" s="598" t="str">
        <f t="shared" si="78"/>
        <v xml:space="preserve"> </v>
      </c>
      <c r="AA488" s="598" t="str">
        <f t="shared" ref="AA488:AU488" si="83">HLOOKUP(AA$421,$C$217:$Z$317,$A488+1)</f>
        <v xml:space="preserve"> </v>
      </c>
      <c r="AB488" s="598" t="str">
        <f t="shared" ca="1" si="83"/>
        <v>Monster:Saurian (Dragon Kin) (Native)</v>
      </c>
      <c r="AC488" s="598" t="str">
        <f t="shared" ca="1" si="83"/>
        <v>Monster:Saurian (Dragon Kin) (Native)</v>
      </c>
      <c r="AD488" s="598" t="str">
        <f t="shared" si="83"/>
        <v xml:space="preserve"> </v>
      </c>
      <c r="AE488" s="598" t="str">
        <f t="shared" si="83"/>
        <v xml:space="preserve"> </v>
      </c>
      <c r="AF488" s="598" t="str">
        <f t="shared" si="83"/>
        <v xml:space="preserve"> </v>
      </c>
      <c r="AG488" s="598" t="str">
        <f t="shared" si="83"/>
        <v xml:space="preserve"> </v>
      </c>
      <c r="AH488" s="598" t="str">
        <f t="shared" si="83"/>
        <v xml:space="preserve"> </v>
      </c>
      <c r="AI488" s="598" t="str">
        <f t="shared" si="83"/>
        <v xml:space="preserve"> </v>
      </c>
      <c r="AJ488" s="598" t="str">
        <f t="shared" si="83"/>
        <v xml:space="preserve"> </v>
      </c>
      <c r="AK488" s="598" t="str">
        <f t="shared" si="83"/>
        <v xml:space="preserve"> </v>
      </c>
      <c r="AL488" s="598" t="str">
        <f t="shared" si="83"/>
        <v xml:space="preserve"> </v>
      </c>
      <c r="AM488" s="598" t="str">
        <f t="shared" si="83"/>
        <v xml:space="preserve"> </v>
      </c>
      <c r="AN488" s="598" t="str">
        <f t="shared" si="83"/>
        <v xml:space="preserve"> </v>
      </c>
      <c r="AO488" s="598" t="str">
        <f t="shared" si="83"/>
        <v xml:space="preserve"> </v>
      </c>
      <c r="AP488" s="598" t="str">
        <f t="shared" si="83"/>
        <v xml:space="preserve"> </v>
      </c>
      <c r="AQ488" s="598" t="str">
        <f t="shared" si="83"/>
        <v xml:space="preserve"> </v>
      </c>
      <c r="AR488" s="598" t="str">
        <f t="shared" si="83"/>
        <v xml:space="preserve"> </v>
      </c>
      <c r="AS488" s="598" t="str">
        <f t="shared" si="83"/>
        <v xml:space="preserve"> </v>
      </c>
      <c r="AT488" s="598" t="str">
        <f t="shared" si="83"/>
        <v xml:space="preserve"> </v>
      </c>
      <c r="AU488" s="598" t="str">
        <f t="shared" si="83"/>
        <v xml:space="preserve"> </v>
      </c>
      <c r="AW488" s="598" t="str">
        <f t="shared" si="82"/>
        <v xml:space="preserve"> </v>
      </c>
      <c r="AX488" s="598" t="str">
        <f t="shared" si="82"/>
        <v xml:space="preserve"> </v>
      </c>
      <c r="AY488" s="598" t="str">
        <f t="shared" si="82"/>
        <v xml:space="preserve"> </v>
      </c>
      <c r="AZ488" s="598" t="str">
        <f t="shared" si="82"/>
        <v xml:space="preserve"> </v>
      </c>
      <c r="BA488" s="598" t="str">
        <f t="shared" si="82"/>
        <v xml:space="preserve"> </v>
      </c>
      <c r="BB488" s="598" t="str">
        <f t="shared" si="82"/>
        <v xml:space="preserve"> </v>
      </c>
      <c r="BC488" s="598" t="str">
        <f t="shared" si="82"/>
        <v xml:space="preserve"> </v>
      </c>
      <c r="BD488" s="598" t="str">
        <f t="shared" si="82"/>
        <v xml:space="preserve"> </v>
      </c>
      <c r="BE488" s="598" t="str">
        <f t="shared" si="82"/>
        <v xml:space="preserve"> </v>
      </c>
      <c r="BF488" s="598" t="str">
        <f t="shared" si="82"/>
        <v xml:space="preserve"> </v>
      </c>
      <c r="BG488" s="598" t="str">
        <f t="shared" si="82"/>
        <v xml:space="preserve"> </v>
      </c>
      <c r="BH488" s="598" t="str">
        <f t="shared" si="82"/>
        <v xml:space="preserve"> </v>
      </c>
      <c r="BI488" s="598" t="str">
        <f t="shared" si="82"/>
        <v xml:space="preserve"> </v>
      </c>
      <c r="BJ488" s="598" t="str">
        <f t="shared" si="82"/>
        <v xml:space="preserve"> </v>
      </c>
      <c r="BK488" s="598" t="str">
        <f t="shared" si="82"/>
        <v xml:space="preserve"> </v>
      </c>
      <c r="BL488" s="598" t="str">
        <f t="shared" si="82"/>
        <v xml:space="preserve"> </v>
      </c>
      <c r="BM488" s="598" t="str">
        <f t="shared" si="81"/>
        <v xml:space="preserve"> </v>
      </c>
      <c r="BN488" s="598" t="str">
        <f t="shared" si="81"/>
        <v xml:space="preserve"> </v>
      </c>
      <c r="BO488" s="598" t="str">
        <f t="shared" si="81"/>
        <v xml:space="preserve"> </v>
      </c>
      <c r="BP488" s="598" t="str">
        <f t="shared" si="81"/>
        <v xml:space="preserve"> </v>
      </c>
      <c r="BQ488" s="598" t="str">
        <f t="shared" si="81"/>
        <v xml:space="preserve"> </v>
      </c>
      <c r="BR488" s="598" t="str">
        <f t="shared" si="81"/>
        <v xml:space="preserve"> </v>
      </c>
      <c r="BS488" s="598" t="str">
        <f t="shared" si="81"/>
        <v xml:space="preserve"> </v>
      </c>
      <c r="BT488" s="598" t="str">
        <f t="shared" si="81"/>
        <v xml:space="preserve"> </v>
      </c>
      <c r="BU488" s="598" t="str">
        <f t="shared" si="81"/>
        <v xml:space="preserve"> </v>
      </c>
      <c r="BV488" s="598" t="str">
        <f t="shared" si="81"/>
        <v xml:space="preserve"> </v>
      </c>
      <c r="BW488" s="598" t="str">
        <f t="shared" si="81"/>
        <v xml:space="preserve"> </v>
      </c>
      <c r="BX488" s="598" t="str">
        <f t="shared" si="81"/>
        <v xml:space="preserve"> </v>
      </c>
      <c r="BY488" s="598" t="str">
        <f t="shared" si="81"/>
        <v xml:space="preserve"> </v>
      </c>
      <c r="BZ488" s="598" t="str">
        <f t="shared" si="81"/>
        <v xml:space="preserve"> </v>
      </c>
      <c r="CA488" s="598" t="str">
        <f t="shared" si="79"/>
        <v xml:space="preserve"> </v>
      </c>
      <c r="CB488" s="598" t="str">
        <f t="shared" si="79"/>
        <v xml:space="preserve"> </v>
      </c>
      <c r="CC488" s="598" t="str">
        <f t="shared" si="79"/>
        <v xml:space="preserve"> </v>
      </c>
      <c r="CD488" s="598" t="str">
        <f t="shared" si="79"/>
        <v xml:space="preserve"> </v>
      </c>
      <c r="CE488" s="598" t="str">
        <f t="shared" si="79"/>
        <v xml:space="preserve"> </v>
      </c>
      <c r="CF488" s="598" t="str">
        <f t="shared" si="79"/>
        <v xml:space="preserve"> </v>
      </c>
      <c r="CG488" s="598" t="str">
        <f t="shared" si="79"/>
        <v xml:space="preserve"> </v>
      </c>
      <c r="CH488" s="598" t="str">
        <f t="shared" si="79"/>
        <v xml:space="preserve"> </v>
      </c>
      <c r="CI488" s="598" t="str">
        <f t="shared" si="79"/>
        <v xml:space="preserve"> </v>
      </c>
      <c r="CJ488" s="598" t="str">
        <f t="shared" si="79"/>
        <v xml:space="preserve"> </v>
      </c>
      <c r="CK488" s="598" t="str">
        <f t="shared" si="79"/>
        <v xml:space="preserve"> </v>
      </c>
      <c r="CL488" s="598" t="str">
        <f t="shared" si="79"/>
        <v xml:space="preserve"> </v>
      </c>
      <c r="CM488" s="598" t="str">
        <f t="shared" si="79"/>
        <v xml:space="preserve"> </v>
      </c>
      <c r="CN488" s="598" t="str">
        <f t="shared" si="79"/>
        <v xml:space="preserve"> </v>
      </c>
      <c r="CO488" s="598" t="str">
        <f t="shared" si="79"/>
        <v xml:space="preserve"> </v>
      </c>
      <c r="CP488" s="598" t="str">
        <f t="shared" si="79"/>
        <v xml:space="preserve"> </v>
      </c>
      <c r="CQ488" s="598" t="str">
        <f t="shared" ca="1" si="80"/>
        <v/>
      </c>
    </row>
    <row r="489" spans="1:95" ht="9.9499999999999993" customHeight="1">
      <c r="A489" s="598">
        <v>68</v>
      </c>
      <c r="B489" s="598" t="str">
        <f t="shared" ref="B489:AU494" ca="1" si="84">HLOOKUP(B$421,$C$217:$Z$317,$A489+1)</f>
        <v/>
      </c>
      <c r="C489" s="598" t="str">
        <f t="shared" ca="1" si="84"/>
        <v>Monster:Faery (Un-Seelie)</v>
      </c>
      <c r="D489" s="598" t="str">
        <f t="shared" ca="1" si="84"/>
        <v/>
      </c>
      <c r="E489" s="598" t="str">
        <f t="shared" si="84"/>
        <v xml:space="preserve"> </v>
      </c>
      <c r="F489" s="598" t="str">
        <f t="shared" si="84"/>
        <v xml:space="preserve"> </v>
      </c>
      <c r="G489" s="598" t="str">
        <f t="shared" si="84"/>
        <v xml:space="preserve"> </v>
      </c>
      <c r="H489" s="598" t="str">
        <f t="shared" si="84"/>
        <v xml:space="preserve"> </v>
      </c>
      <c r="I489" s="598" t="str">
        <f t="shared" si="84"/>
        <v xml:space="preserve"> </v>
      </c>
      <c r="J489" s="598" t="str">
        <f t="shared" si="84"/>
        <v xml:space="preserve"> </v>
      </c>
      <c r="K489" s="598" t="str">
        <f t="shared" si="84"/>
        <v xml:space="preserve"> </v>
      </c>
      <c r="L489" s="598" t="str">
        <f t="shared" si="84"/>
        <v xml:space="preserve"> </v>
      </c>
      <c r="M489" s="598" t="str">
        <f t="shared" ca="1" si="84"/>
        <v/>
      </c>
      <c r="N489" s="598" t="str">
        <f t="shared" ca="1" si="84"/>
        <v/>
      </c>
      <c r="O489" s="598" t="str">
        <f t="shared" si="84"/>
        <v xml:space="preserve"> </v>
      </c>
      <c r="P489" s="598" t="str">
        <f t="shared" si="84"/>
        <v xml:space="preserve"> </v>
      </c>
      <c r="Q489" s="598" t="str">
        <f t="shared" si="84"/>
        <v xml:space="preserve"> </v>
      </c>
      <c r="R489" s="598" t="str">
        <f t="shared" si="84"/>
        <v xml:space="preserve"> </v>
      </c>
      <c r="S489" s="598" t="str">
        <f t="shared" si="84"/>
        <v xml:space="preserve"> </v>
      </c>
      <c r="T489" s="598" t="str">
        <f t="shared" si="84"/>
        <v xml:space="preserve"> </v>
      </c>
      <c r="U489" s="598" t="str">
        <f t="shared" si="84"/>
        <v xml:space="preserve"> </v>
      </c>
      <c r="V489" s="598" t="str">
        <f t="shared" si="84"/>
        <v xml:space="preserve"> </v>
      </c>
      <c r="W489" s="598" t="str">
        <f t="shared" si="84"/>
        <v xml:space="preserve"> </v>
      </c>
      <c r="X489" s="598" t="str">
        <f t="shared" si="84"/>
        <v xml:space="preserve"> </v>
      </c>
      <c r="Y489" s="598" t="str">
        <f t="shared" si="84"/>
        <v xml:space="preserve"> </v>
      </c>
      <c r="Z489" s="598" t="str">
        <f t="shared" si="84"/>
        <v xml:space="preserve"> </v>
      </c>
      <c r="AA489" s="598" t="str">
        <f t="shared" si="84"/>
        <v xml:space="preserve"> </v>
      </c>
      <c r="AB489" s="598" t="str">
        <f t="shared" ca="1" si="84"/>
        <v>Monster:Saurian (Dragon Kin) (Ancient)</v>
      </c>
      <c r="AC489" s="598" t="str">
        <f t="shared" ca="1" si="84"/>
        <v>Monster:Saurian (Dragon Kin) (Ancient)</v>
      </c>
      <c r="AD489" s="598" t="str">
        <f t="shared" si="84"/>
        <v xml:space="preserve"> </v>
      </c>
      <c r="AE489" s="598" t="str">
        <f t="shared" si="84"/>
        <v xml:space="preserve"> </v>
      </c>
      <c r="AF489" s="598" t="str">
        <f t="shared" si="84"/>
        <v xml:space="preserve"> </v>
      </c>
      <c r="AG489" s="598" t="str">
        <f t="shared" si="84"/>
        <v xml:space="preserve"> </v>
      </c>
      <c r="AH489" s="598" t="str">
        <f t="shared" si="84"/>
        <v xml:space="preserve"> </v>
      </c>
      <c r="AI489" s="598" t="str">
        <f t="shared" si="84"/>
        <v xml:space="preserve"> </v>
      </c>
      <c r="AJ489" s="598" t="str">
        <f t="shared" si="84"/>
        <v xml:space="preserve"> </v>
      </c>
      <c r="AK489" s="598" t="str">
        <f t="shared" si="84"/>
        <v xml:space="preserve"> </v>
      </c>
      <c r="AL489" s="598" t="str">
        <f t="shared" si="84"/>
        <v xml:space="preserve"> </v>
      </c>
      <c r="AM489" s="598" t="str">
        <f t="shared" si="84"/>
        <v xml:space="preserve"> </v>
      </c>
      <c r="AN489" s="598" t="str">
        <f t="shared" si="84"/>
        <v xml:space="preserve"> </v>
      </c>
      <c r="AO489" s="598" t="str">
        <f t="shared" si="84"/>
        <v xml:space="preserve"> </v>
      </c>
      <c r="AP489" s="598" t="str">
        <f t="shared" si="84"/>
        <v xml:space="preserve"> </v>
      </c>
      <c r="AQ489" s="598" t="str">
        <f t="shared" si="84"/>
        <v xml:space="preserve"> </v>
      </c>
      <c r="AR489" s="598" t="str">
        <f t="shared" si="84"/>
        <v xml:space="preserve"> </v>
      </c>
      <c r="AS489" s="598" t="str">
        <f t="shared" si="84"/>
        <v xml:space="preserve"> </v>
      </c>
      <c r="AT489" s="598" t="str">
        <f t="shared" si="84"/>
        <v xml:space="preserve"> </v>
      </c>
      <c r="AU489" s="598" t="str">
        <f t="shared" si="84"/>
        <v xml:space="preserve"> </v>
      </c>
      <c r="AW489" s="598" t="str">
        <f t="shared" si="82"/>
        <v xml:space="preserve"> </v>
      </c>
      <c r="AX489" s="598" t="str">
        <f t="shared" si="82"/>
        <v xml:space="preserve"> </v>
      </c>
      <c r="AY489" s="598" t="str">
        <f t="shared" si="82"/>
        <v xml:space="preserve"> </v>
      </c>
      <c r="AZ489" s="598" t="str">
        <f t="shared" si="82"/>
        <v xml:space="preserve"> </v>
      </c>
      <c r="BA489" s="598" t="str">
        <f t="shared" si="82"/>
        <v xml:space="preserve"> </v>
      </c>
      <c r="BB489" s="598" t="str">
        <f t="shared" si="82"/>
        <v xml:space="preserve"> </v>
      </c>
      <c r="BC489" s="598" t="str">
        <f t="shared" si="82"/>
        <v xml:space="preserve"> </v>
      </c>
      <c r="BD489" s="598" t="str">
        <f t="shared" si="82"/>
        <v xml:space="preserve"> </v>
      </c>
      <c r="BE489" s="598" t="str">
        <f t="shared" si="82"/>
        <v xml:space="preserve"> </v>
      </c>
      <c r="BF489" s="598" t="str">
        <f t="shared" si="82"/>
        <v xml:space="preserve"> </v>
      </c>
      <c r="BG489" s="598" t="str">
        <f t="shared" si="82"/>
        <v xml:space="preserve"> </v>
      </c>
      <c r="BH489" s="598" t="str">
        <f t="shared" si="82"/>
        <v xml:space="preserve"> </v>
      </c>
      <c r="BI489" s="598" t="str">
        <f t="shared" si="82"/>
        <v xml:space="preserve"> </v>
      </c>
      <c r="BJ489" s="598" t="str">
        <f t="shared" si="82"/>
        <v xml:space="preserve"> </v>
      </c>
      <c r="BK489" s="598" t="str">
        <f t="shared" si="82"/>
        <v xml:space="preserve"> </v>
      </c>
      <c r="BL489" s="598" t="str">
        <f t="shared" si="82"/>
        <v xml:space="preserve"> </v>
      </c>
      <c r="BM489" s="598" t="str">
        <f t="shared" si="81"/>
        <v xml:space="preserve"> </v>
      </c>
      <c r="BN489" s="598" t="str">
        <f t="shared" si="81"/>
        <v xml:space="preserve"> </v>
      </c>
      <c r="BO489" s="598" t="str">
        <f t="shared" si="81"/>
        <v xml:space="preserve"> </v>
      </c>
      <c r="BP489" s="598" t="str">
        <f t="shared" si="81"/>
        <v xml:space="preserve"> </v>
      </c>
      <c r="BQ489" s="598" t="str">
        <f t="shared" si="81"/>
        <v xml:space="preserve"> </v>
      </c>
      <c r="BR489" s="598" t="str">
        <f t="shared" si="81"/>
        <v xml:space="preserve"> </v>
      </c>
      <c r="BS489" s="598" t="str">
        <f t="shared" si="81"/>
        <v xml:space="preserve"> </v>
      </c>
      <c r="BT489" s="598" t="str">
        <f t="shared" si="81"/>
        <v xml:space="preserve"> </v>
      </c>
      <c r="BU489" s="598" t="str">
        <f t="shared" si="81"/>
        <v xml:space="preserve"> </v>
      </c>
      <c r="BV489" s="598" t="str">
        <f t="shared" si="81"/>
        <v xml:space="preserve"> </v>
      </c>
      <c r="BW489" s="598" t="str">
        <f t="shared" si="81"/>
        <v xml:space="preserve"> </v>
      </c>
      <c r="BX489" s="598" t="str">
        <f t="shared" si="81"/>
        <v xml:space="preserve"> </v>
      </c>
      <c r="BY489" s="598" t="str">
        <f t="shared" si="81"/>
        <v xml:space="preserve"> </v>
      </c>
      <c r="BZ489" s="598" t="str">
        <f t="shared" si="81"/>
        <v xml:space="preserve"> </v>
      </c>
      <c r="CA489" s="598" t="str">
        <f t="shared" si="79"/>
        <v xml:space="preserve"> </v>
      </c>
      <c r="CB489" s="598" t="str">
        <f t="shared" si="79"/>
        <v xml:space="preserve"> </v>
      </c>
      <c r="CC489" s="598" t="str">
        <f t="shared" si="79"/>
        <v xml:space="preserve"> </v>
      </c>
      <c r="CD489" s="598" t="str">
        <f t="shared" si="79"/>
        <v xml:space="preserve"> </v>
      </c>
      <c r="CE489" s="598" t="str">
        <f t="shared" si="79"/>
        <v xml:space="preserve"> </v>
      </c>
      <c r="CF489" s="598" t="str">
        <f t="shared" si="79"/>
        <v xml:space="preserve"> </v>
      </c>
      <c r="CG489" s="598" t="str">
        <f t="shared" si="79"/>
        <v xml:space="preserve"> </v>
      </c>
      <c r="CH489" s="598" t="str">
        <f t="shared" si="79"/>
        <v xml:space="preserve"> </v>
      </c>
      <c r="CI489" s="598" t="str">
        <f t="shared" si="79"/>
        <v xml:space="preserve"> </v>
      </c>
      <c r="CJ489" s="598" t="str">
        <f t="shared" si="79"/>
        <v xml:space="preserve"> </v>
      </c>
      <c r="CK489" s="598" t="str">
        <f t="shared" si="79"/>
        <v xml:space="preserve"> </v>
      </c>
      <c r="CL489" s="598" t="str">
        <f t="shared" si="79"/>
        <v xml:space="preserve"> </v>
      </c>
      <c r="CM489" s="598" t="str">
        <f t="shared" si="79"/>
        <v xml:space="preserve"> </v>
      </c>
      <c r="CN489" s="598" t="str">
        <f t="shared" si="79"/>
        <v xml:space="preserve"> </v>
      </c>
      <c r="CO489" s="598" t="str">
        <f t="shared" si="79"/>
        <v xml:space="preserve"> </v>
      </c>
      <c r="CP489" s="598" t="str">
        <f t="shared" si="79"/>
        <v xml:space="preserve"> </v>
      </c>
      <c r="CQ489" s="598" t="str">
        <f t="shared" ca="1" si="80"/>
        <v/>
      </c>
    </row>
    <row r="490" spans="1:95" ht="9.9499999999999993" customHeight="1">
      <c r="A490" s="598">
        <v>69</v>
      </c>
      <c r="B490" s="598" t="str">
        <f t="shared" ca="1" si="84"/>
        <v/>
      </c>
      <c r="C490" s="598" t="str">
        <f t="shared" ca="1" si="84"/>
        <v>Monster:Giant</v>
      </c>
      <c r="D490" s="598" t="str">
        <f t="shared" ca="1" si="84"/>
        <v/>
      </c>
      <c r="E490" s="598" t="str">
        <f t="shared" si="84"/>
        <v xml:space="preserve"> </v>
      </c>
      <c r="F490" s="598" t="str">
        <f t="shared" si="84"/>
        <v xml:space="preserve"> </v>
      </c>
      <c r="G490" s="598" t="str">
        <f t="shared" si="84"/>
        <v xml:space="preserve"> </v>
      </c>
      <c r="H490" s="598" t="str">
        <f t="shared" si="84"/>
        <v xml:space="preserve"> </v>
      </c>
      <c r="I490" s="598" t="str">
        <f t="shared" si="84"/>
        <v xml:space="preserve"> </v>
      </c>
      <c r="J490" s="598" t="str">
        <f t="shared" si="84"/>
        <v xml:space="preserve"> </v>
      </c>
      <c r="K490" s="598" t="str">
        <f t="shared" si="84"/>
        <v xml:space="preserve"> </v>
      </c>
      <c r="L490" s="598" t="str">
        <f t="shared" si="84"/>
        <v xml:space="preserve"> </v>
      </c>
      <c r="M490" s="598" t="str">
        <f t="shared" ca="1" si="84"/>
        <v/>
      </c>
      <c r="N490" s="598" t="str">
        <f t="shared" ca="1" si="84"/>
        <v/>
      </c>
      <c r="O490" s="598" t="str">
        <f t="shared" si="84"/>
        <v xml:space="preserve"> </v>
      </c>
      <c r="P490" s="598" t="str">
        <f t="shared" si="84"/>
        <v xml:space="preserve"> </v>
      </c>
      <c r="Q490" s="598" t="str">
        <f t="shared" si="84"/>
        <v xml:space="preserve"> </v>
      </c>
      <c r="R490" s="598" t="str">
        <f t="shared" si="84"/>
        <v xml:space="preserve"> </v>
      </c>
      <c r="S490" s="598" t="str">
        <f t="shared" si="84"/>
        <v xml:space="preserve"> </v>
      </c>
      <c r="T490" s="598" t="str">
        <f t="shared" si="84"/>
        <v xml:space="preserve"> </v>
      </c>
      <c r="U490" s="598" t="str">
        <f t="shared" si="84"/>
        <v xml:space="preserve"> </v>
      </c>
      <c r="V490" s="598" t="str">
        <f t="shared" si="84"/>
        <v xml:space="preserve"> </v>
      </c>
      <c r="W490" s="598" t="str">
        <f t="shared" si="84"/>
        <v xml:space="preserve"> </v>
      </c>
      <c r="X490" s="598" t="str">
        <f t="shared" si="84"/>
        <v xml:space="preserve"> </v>
      </c>
      <c r="Y490" s="598" t="str">
        <f t="shared" si="84"/>
        <v xml:space="preserve"> </v>
      </c>
      <c r="Z490" s="598" t="str">
        <f t="shared" si="84"/>
        <v xml:space="preserve"> </v>
      </c>
      <c r="AA490" s="598" t="str">
        <f t="shared" si="84"/>
        <v xml:space="preserve"> </v>
      </c>
      <c r="AB490" s="598" t="str">
        <f t="shared" ca="1" si="84"/>
        <v>Monster:Saurian (Salamons) (Common)</v>
      </c>
      <c r="AC490" s="598" t="str">
        <f t="shared" ca="1" si="84"/>
        <v>Monster:Saurian (Salamons) (Common)</v>
      </c>
      <c r="AD490" s="598" t="str">
        <f t="shared" si="84"/>
        <v xml:space="preserve"> </v>
      </c>
      <c r="AE490" s="598" t="str">
        <f t="shared" si="84"/>
        <v xml:space="preserve"> </v>
      </c>
      <c r="AF490" s="598" t="str">
        <f t="shared" si="84"/>
        <v xml:space="preserve"> </v>
      </c>
      <c r="AG490" s="598" t="str">
        <f t="shared" si="84"/>
        <v xml:space="preserve"> </v>
      </c>
      <c r="AH490" s="598" t="str">
        <f t="shared" si="84"/>
        <v xml:space="preserve"> </v>
      </c>
      <c r="AI490" s="598" t="str">
        <f t="shared" si="84"/>
        <v xml:space="preserve"> </v>
      </c>
      <c r="AJ490" s="598" t="str">
        <f t="shared" si="84"/>
        <v xml:space="preserve"> </v>
      </c>
      <c r="AK490" s="598" t="str">
        <f t="shared" si="84"/>
        <v xml:space="preserve"> </v>
      </c>
      <c r="AL490" s="598" t="str">
        <f t="shared" si="84"/>
        <v xml:space="preserve"> </v>
      </c>
      <c r="AM490" s="598" t="str">
        <f t="shared" si="84"/>
        <v xml:space="preserve"> </v>
      </c>
      <c r="AN490" s="598" t="str">
        <f t="shared" si="84"/>
        <v xml:space="preserve"> </v>
      </c>
      <c r="AO490" s="598" t="str">
        <f t="shared" si="84"/>
        <v xml:space="preserve"> </v>
      </c>
      <c r="AP490" s="598" t="str">
        <f t="shared" si="84"/>
        <v xml:space="preserve"> </v>
      </c>
      <c r="AQ490" s="598" t="str">
        <f t="shared" si="84"/>
        <v xml:space="preserve"> </v>
      </c>
      <c r="AR490" s="598" t="str">
        <f t="shared" si="84"/>
        <v xml:space="preserve"> </v>
      </c>
      <c r="AS490" s="598" t="str">
        <f t="shared" si="84"/>
        <v xml:space="preserve"> </v>
      </c>
      <c r="AT490" s="598" t="str">
        <f t="shared" si="84"/>
        <v xml:space="preserve"> </v>
      </c>
      <c r="AU490" s="598" t="str">
        <f t="shared" si="84"/>
        <v xml:space="preserve"> </v>
      </c>
      <c r="AW490" s="598" t="str">
        <f t="shared" si="82"/>
        <v xml:space="preserve"> </v>
      </c>
      <c r="AX490" s="598" t="str">
        <f t="shared" si="82"/>
        <v xml:space="preserve"> </v>
      </c>
      <c r="AY490" s="598" t="str">
        <f t="shared" si="82"/>
        <v xml:space="preserve"> </v>
      </c>
      <c r="AZ490" s="598" t="str">
        <f t="shared" si="82"/>
        <v xml:space="preserve"> </v>
      </c>
      <c r="BA490" s="598" t="str">
        <f t="shared" si="82"/>
        <v xml:space="preserve"> </v>
      </c>
      <c r="BB490" s="598" t="str">
        <f t="shared" si="82"/>
        <v xml:space="preserve"> </v>
      </c>
      <c r="BC490" s="598" t="str">
        <f t="shared" si="82"/>
        <v xml:space="preserve"> </v>
      </c>
      <c r="BD490" s="598" t="str">
        <f t="shared" si="82"/>
        <v xml:space="preserve"> </v>
      </c>
      <c r="BE490" s="598" t="str">
        <f t="shared" si="82"/>
        <v xml:space="preserve"> </v>
      </c>
      <c r="BF490" s="598" t="str">
        <f t="shared" si="82"/>
        <v xml:space="preserve"> </v>
      </c>
      <c r="BG490" s="598" t="str">
        <f t="shared" si="82"/>
        <v xml:space="preserve"> </v>
      </c>
      <c r="BH490" s="598" t="str">
        <f t="shared" si="82"/>
        <v xml:space="preserve"> </v>
      </c>
      <c r="BI490" s="598" t="str">
        <f t="shared" si="82"/>
        <v xml:space="preserve"> </v>
      </c>
      <c r="BJ490" s="598" t="str">
        <f t="shared" si="82"/>
        <v xml:space="preserve"> </v>
      </c>
      <c r="BK490" s="598" t="str">
        <f t="shared" si="82"/>
        <v xml:space="preserve"> </v>
      </c>
      <c r="BL490" s="598" t="str">
        <f t="shared" si="82"/>
        <v xml:space="preserve"> </v>
      </c>
      <c r="BM490" s="598" t="str">
        <f t="shared" si="81"/>
        <v xml:space="preserve"> </v>
      </c>
      <c r="BN490" s="598" t="str">
        <f t="shared" si="81"/>
        <v xml:space="preserve"> </v>
      </c>
      <c r="BO490" s="598" t="str">
        <f t="shared" si="81"/>
        <v xml:space="preserve"> </v>
      </c>
      <c r="BP490" s="598" t="str">
        <f t="shared" si="81"/>
        <v xml:space="preserve"> </v>
      </c>
      <c r="BQ490" s="598" t="str">
        <f t="shared" si="81"/>
        <v xml:space="preserve"> </v>
      </c>
      <c r="BR490" s="598" t="str">
        <f t="shared" si="81"/>
        <v xml:space="preserve"> </v>
      </c>
      <c r="BS490" s="598" t="str">
        <f t="shared" si="81"/>
        <v xml:space="preserve"> </v>
      </c>
      <c r="BT490" s="598" t="str">
        <f t="shared" si="81"/>
        <v xml:space="preserve"> </v>
      </c>
      <c r="BU490" s="598" t="str">
        <f t="shared" si="81"/>
        <v xml:space="preserve"> </v>
      </c>
      <c r="BV490" s="598" t="str">
        <f t="shared" si="81"/>
        <v xml:space="preserve"> </v>
      </c>
      <c r="BW490" s="598" t="str">
        <f t="shared" si="81"/>
        <v xml:space="preserve"> </v>
      </c>
      <c r="BX490" s="598" t="str">
        <f t="shared" si="81"/>
        <v xml:space="preserve"> </v>
      </c>
      <c r="BY490" s="598" t="str">
        <f t="shared" si="81"/>
        <v xml:space="preserve"> </v>
      </c>
      <c r="BZ490" s="598" t="str">
        <f t="shared" si="81"/>
        <v xml:space="preserve"> </v>
      </c>
      <c r="CA490" s="598" t="str">
        <f t="shared" si="79"/>
        <v xml:space="preserve"> </v>
      </c>
      <c r="CB490" s="598" t="str">
        <f t="shared" si="79"/>
        <v xml:space="preserve"> </v>
      </c>
      <c r="CC490" s="598" t="str">
        <f t="shared" si="79"/>
        <v xml:space="preserve"> </v>
      </c>
      <c r="CD490" s="598" t="str">
        <f t="shared" si="79"/>
        <v xml:space="preserve"> </v>
      </c>
      <c r="CE490" s="598" t="str">
        <f t="shared" si="79"/>
        <v xml:space="preserve"> </v>
      </c>
      <c r="CF490" s="598" t="str">
        <f t="shared" si="79"/>
        <v xml:space="preserve"> </v>
      </c>
      <c r="CG490" s="598" t="str">
        <f t="shared" si="79"/>
        <v xml:space="preserve"> </v>
      </c>
      <c r="CH490" s="598" t="str">
        <f t="shared" si="79"/>
        <v xml:space="preserve"> </v>
      </c>
      <c r="CI490" s="598" t="str">
        <f t="shared" si="79"/>
        <v xml:space="preserve"> </v>
      </c>
      <c r="CJ490" s="598" t="str">
        <f t="shared" si="79"/>
        <v xml:space="preserve"> </v>
      </c>
      <c r="CK490" s="598" t="str">
        <f t="shared" si="79"/>
        <v xml:space="preserve"> </v>
      </c>
      <c r="CL490" s="598" t="str">
        <f t="shared" si="79"/>
        <v xml:space="preserve"> </v>
      </c>
      <c r="CM490" s="598" t="str">
        <f t="shared" si="79"/>
        <v xml:space="preserve"> </v>
      </c>
      <c r="CN490" s="598" t="str">
        <f t="shared" si="79"/>
        <v xml:space="preserve"> </v>
      </c>
      <c r="CO490" s="598" t="str">
        <f t="shared" si="79"/>
        <v xml:space="preserve"> </v>
      </c>
      <c r="CP490" s="598" t="str">
        <f t="shared" si="79"/>
        <v xml:space="preserve"> </v>
      </c>
      <c r="CQ490" s="598" t="str">
        <f t="shared" ca="1" si="80"/>
        <v/>
      </c>
    </row>
    <row r="491" spans="1:95" ht="9.9499999999999993" customHeight="1">
      <c r="A491" s="598">
        <v>70</v>
      </c>
      <c r="B491" s="598" t="str">
        <f t="shared" ca="1" si="84"/>
        <v/>
      </c>
      <c r="C491" s="598" t="str">
        <f t="shared" ca="1" si="84"/>
        <v>Monster:Goblin</v>
      </c>
      <c r="D491" s="598" t="str">
        <f t="shared" ca="1" si="84"/>
        <v/>
      </c>
      <c r="E491" s="598" t="str">
        <f t="shared" si="84"/>
        <v xml:space="preserve"> </v>
      </c>
      <c r="F491" s="598" t="str">
        <f t="shared" si="84"/>
        <v xml:space="preserve"> </v>
      </c>
      <c r="G491" s="598" t="str">
        <f t="shared" si="84"/>
        <v xml:space="preserve"> </v>
      </c>
      <c r="H491" s="598" t="str">
        <f t="shared" si="84"/>
        <v xml:space="preserve"> </v>
      </c>
      <c r="I491" s="598" t="str">
        <f t="shared" si="84"/>
        <v xml:space="preserve"> </v>
      </c>
      <c r="J491" s="598" t="str">
        <f t="shared" si="84"/>
        <v xml:space="preserve"> </v>
      </c>
      <c r="K491" s="598" t="str">
        <f t="shared" si="84"/>
        <v xml:space="preserve"> </v>
      </c>
      <c r="L491" s="598" t="str">
        <f t="shared" si="84"/>
        <v xml:space="preserve"> </v>
      </c>
      <c r="M491" s="598" t="str">
        <f t="shared" ca="1" si="84"/>
        <v/>
      </c>
      <c r="N491" s="598" t="str">
        <f t="shared" ca="1" si="84"/>
        <v/>
      </c>
      <c r="O491" s="598" t="str">
        <f t="shared" si="84"/>
        <v xml:space="preserve"> </v>
      </c>
      <c r="P491" s="598" t="str">
        <f t="shared" si="84"/>
        <v xml:space="preserve"> </v>
      </c>
      <c r="Q491" s="598" t="str">
        <f t="shared" si="84"/>
        <v xml:space="preserve"> </v>
      </c>
      <c r="R491" s="598" t="str">
        <f t="shared" si="84"/>
        <v xml:space="preserve"> </v>
      </c>
      <c r="S491" s="598" t="str">
        <f t="shared" si="84"/>
        <v xml:space="preserve"> </v>
      </c>
      <c r="T491" s="598" t="str">
        <f t="shared" si="84"/>
        <v xml:space="preserve"> </v>
      </c>
      <c r="U491" s="598" t="str">
        <f t="shared" si="84"/>
        <v xml:space="preserve"> </v>
      </c>
      <c r="V491" s="598" t="str">
        <f t="shared" si="84"/>
        <v xml:space="preserve"> </v>
      </c>
      <c r="W491" s="598" t="str">
        <f t="shared" si="84"/>
        <v xml:space="preserve"> </v>
      </c>
      <c r="X491" s="598" t="str">
        <f t="shared" si="84"/>
        <v xml:space="preserve"> </v>
      </c>
      <c r="Y491" s="598" t="str">
        <f t="shared" si="84"/>
        <v xml:space="preserve"> </v>
      </c>
      <c r="Z491" s="598" t="str">
        <f t="shared" si="84"/>
        <v xml:space="preserve"> </v>
      </c>
      <c r="AA491" s="598" t="str">
        <f t="shared" si="84"/>
        <v xml:space="preserve"> </v>
      </c>
      <c r="AB491" s="598" t="str">
        <f t="shared" ca="1" si="84"/>
        <v>Monster:Saurian (Salamons) (Native)</v>
      </c>
      <c r="AC491" s="598" t="str">
        <f t="shared" ca="1" si="84"/>
        <v>Monster:Saurian (Salamons) (Native)</v>
      </c>
      <c r="AD491" s="598" t="str">
        <f t="shared" si="84"/>
        <v xml:space="preserve"> </v>
      </c>
      <c r="AE491" s="598" t="str">
        <f t="shared" si="84"/>
        <v xml:space="preserve"> </v>
      </c>
      <c r="AF491" s="598" t="str">
        <f t="shared" si="84"/>
        <v xml:space="preserve"> </v>
      </c>
      <c r="AG491" s="598" t="str">
        <f t="shared" si="84"/>
        <v xml:space="preserve"> </v>
      </c>
      <c r="AH491" s="598" t="str">
        <f t="shared" si="84"/>
        <v xml:space="preserve"> </v>
      </c>
      <c r="AI491" s="598" t="str">
        <f t="shared" si="84"/>
        <v xml:space="preserve"> </v>
      </c>
      <c r="AJ491" s="598" t="str">
        <f t="shared" si="84"/>
        <v xml:space="preserve"> </v>
      </c>
      <c r="AK491" s="598" t="str">
        <f t="shared" si="84"/>
        <v xml:space="preserve"> </v>
      </c>
      <c r="AL491" s="598" t="str">
        <f t="shared" si="84"/>
        <v xml:space="preserve"> </v>
      </c>
      <c r="AM491" s="598" t="str">
        <f t="shared" si="84"/>
        <v xml:space="preserve"> </v>
      </c>
      <c r="AN491" s="598" t="str">
        <f t="shared" si="84"/>
        <v xml:space="preserve"> </v>
      </c>
      <c r="AO491" s="598" t="str">
        <f t="shared" si="84"/>
        <v xml:space="preserve"> </v>
      </c>
      <c r="AP491" s="598" t="str">
        <f t="shared" si="84"/>
        <v xml:space="preserve"> </v>
      </c>
      <c r="AQ491" s="598" t="str">
        <f t="shared" si="84"/>
        <v xml:space="preserve"> </v>
      </c>
      <c r="AR491" s="598" t="str">
        <f t="shared" si="84"/>
        <v xml:space="preserve"> </v>
      </c>
      <c r="AS491" s="598" t="str">
        <f t="shared" si="84"/>
        <v xml:space="preserve"> </v>
      </c>
      <c r="AT491" s="598" t="str">
        <f t="shared" si="84"/>
        <v xml:space="preserve"> </v>
      </c>
      <c r="AU491" s="598" t="str">
        <f t="shared" si="84"/>
        <v xml:space="preserve"> </v>
      </c>
      <c r="AW491" s="598" t="str">
        <f t="shared" si="82"/>
        <v xml:space="preserve"> </v>
      </c>
      <c r="AX491" s="598" t="str">
        <f t="shared" si="82"/>
        <v xml:space="preserve"> </v>
      </c>
      <c r="AY491" s="598" t="str">
        <f t="shared" si="82"/>
        <v xml:space="preserve"> </v>
      </c>
      <c r="AZ491" s="598" t="str">
        <f t="shared" si="82"/>
        <v xml:space="preserve"> </v>
      </c>
      <c r="BA491" s="598" t="str">
        <f t="shared" si="82"/>
        <v xml:space="preserve"> </v>
      </c>
      <c r="BB491" s="598" t="str">
        <f t="shared" si="82"/>
        <v xml:space="preserve"> </v>
      </c>
      <c r="BC491" s="598" t="str">
        <f t="shared" si="82"/>
        <v xml:space="preserve"> </v>
      </c>
      <c r="BD491" s="598" t="str">
        <f t="shared" si="82"/>
        <v xml:space="preserve"> </v>
      </c>
      <c r="BE491" s="598" t="str">
        <f t="shared" si="82"/>
        <v xml:space="preserve"> </v>
      </c>
      <c r="BF491" s="598" t="str">
        <f t="shared" si="82"/>
        <v xml:space="preserve"> </v>
      </c>
      <c r="BG491" s="598" t="str">
        <f t="shared" si="82"/>
        <v xml:space="preserve"> </v>
      </c>
      <c r="BH491" s="598" t="str">
        <f t="shared" si="82"/>
        <v xml:space="preserve"> </v>
      </c>
      <c r="BI491" s="598" t="str">
        <f t="shared" si="82"/>
        <v xml:space="preserve"> </v>
      </c>
      <c r="BJ491" s="598" t="str">
        <f t="shared" si="82"/>
        <v xml:space="preserve"> </v>
      </c>
      <c r="BK491" s="598" t="str">
        <f t="shared" si="82"/>
        <v xml:space="preserve"> </v>
      </c>
      <c r="BL491" s="598" t="str">
        <f t="shared" si="82"/>
        <v xml:space="preserve"> </v>
      </c>
      <c r="BM491" s="598" t="str">
        <f t="shared" si="81"/>
        <v xml:space="preserve"> </v>
      </c>
      <c r="BN491" s="598" t="str">
        <f t="shared" si="81"/>
        <v xml:space="preserve"> </v>
      </c>
      <c r="BO491" s="598" t="str">
        <f t="shared" si="81"/>
        <v xml:space="preserve"> </v>
      </c>
      <c r="BP491" s="598" t="str">
        <f t="shared" si="81"/>
        <v xml:space="preserve"> </v>
      </c>
      <c r="BQ491" s="598" t="str">
        <f t="shared" si="81"/>
        <v xml:space="preserve"> </v>
      </c>
      <c r="BR491" s="598" t="str">
        <f t="shared" si="81"/>
        <v xml:space="preserve"> </v>
      </c>
      <c r="BS491" s="598" t="str">
        <f t="shared" si="81"/>
        <v xml:space="preserve"> </v>
      </c>
      <c r="BT491" s="598" t="str">
        <f t="shared" si="81"/>
        <v xml:space="preserve"> </v>
      </c>
      <c r="BU491" s="598" t="str">
        <f t="shared" si="81"/>
        <v xml:space="preserve"> </v>
      </c>
      <c r="BV491" s="598" t="str">
        <f t="shared" si="81"/>
        <v xml:space="preserve"> </v>
      </c>
      <c r="BW491" s="598" t="str">
        <f t="shared" si="81"/>
        <v xml:space="preserve"> </v>
      </c>
      <c r="BX491" s="598" t="str">
        <f t="shared" si="81"/>
        <v xml:space="preserve"> </v>
      </c>
      <c r="BY491" s="598" t="str">
        <f t="shared" si="81"/>
        <v xml:space="preserve"> </v>
      </c>
      <c r="BZ491" s="598" t="str">
        <f t="shared" si="81"/>
        <v xml:space="preserve"> </v>
      </c>
      <c r="CA491" s="598" t="str">
        <f t="shared" si="79"/>
        <v xml:space="preserve"> </v>
      </c>
      <c r="CB491" s="598" t="str">
        <f t="shared" si="79"/>
        <v xml:space="preserve"> </v>
      </c>
      <c r="CC491" s="598" t="str">
        <f t="shared" si="79"/>
        <v xml:space="preserve"> </v>
      </c>
      <c r="CD491" s="598" t="str">
        <f t="shared" si="79"/>
        <v xml:space="preserve"> </v>
      </c>
      <c r="CE491" s="598" t="str">
        <f t="shared" si="79"/>
        <v xml:space="preserve"> </v>
      </c>
      <c r="CF491" s="598" t="str">
        <f t="shared" si="79"/>
        <v xml:space="preserve"> </v>
      </c>
      <c r="CG491" s="598" t="str">
        <f t="shared" si="79"/>
        <v xml:space="preserve"> </v>
      </c>
      <c r="CH491" s="598" t="str">
        <f t="shared" si="79"/>
        <v xml:space="preserve"> </v>
      </c>
      <c r="CI491" s="598" t="str">
        <f t="shared" si="79"/>
        <v xml:space="preserve"> </v>
      </c>
      <c r="CJ491" s="598" t="str">
        <f t="shared" si="79"/>
        <v xml:space="preserve"> </v>
      </c>
      <c r="CK491" s="598" t="str">
        <f t="shared" si="79"/>
        <v xml:space="preserve"> </v>
      </c>
      <c r="CL491" s="598" t="str">
        <f t="shared" si="79"/>
        <v xml:space="preserve"> </v>
      </c>
      <c r="CM491" s="598" t="str">
        <f t="shared" si="79"/>
        <v xml:space="preserve"> </v>
      </c>
      <c r="CN491" s="598" t="str">
        <f t="shared" si="79"/>
        <v xml:space="preserve"> </v>
      </c>
      <c r="CO491" s="598" t="str">
        <f t="shared" si="79"/>
        <v xml:space="preserve"> </v>
      </c>
      <c r="CP491" s="598" t="str">
        <f t="shared" si="79"/>
        <v xml:space="preserve"> </v>
      </c>
      <c r="CQ491" s="598" t="str">
        <f t="shared" ca="1" si="80"/>
        <v/>
      </c>
    </row>
    <row r="492" spans="1:95" ht="9.9499999999999993" customHeight="1">
      <c r="A492" s="598">
        <v>71</v>
      </c>
      <c r="B492" s="598" t="str">
        <f t="shared" ca="1" si="84"/>
        <v/>
      </c>
      <c r="C492" s="598" t="str">
        <f t="shared" ca="1" si="84"/>
        <v>Monster:Hobgoblin</v>
      </c>
      <c r="D492" s="598" t="str">
        <f t="shared" ca="1" si="84"/>
        <v/>
      </c>
      <c r="E492" s="598" t="str">
        <f t="shared" si="84"/>
        <v xml:space="preserve"> </v>
      </c>
      <c r="F492" s="598" t="str">
        <f t="shared" si="84"/>
        <v xml:space="preserve"> </v>
      </c>
      <c r="G492" s="598" t="str">
        <f t="shared" si="84"/>
        <v xml:space="preserve"> </v>
      </c>
      <c r="H492" s="598" t="str">
        <f t="shared" si="84"/>
        <v xml:space="preserve"> </v>
      </c>
      <c r="I492" s="598" t="str">
        <f t="shared" si="84"/>
        <v xml:space="preserve"> </v>
      </c>
      <c r="J492" s="598" t="str">
        <f t="shared" si="84"/>
        <v xml:space="preserve"> </v>
      </c>
      <c r="K492" s="598" t="str">
        <f t="shared" si="84"/>
        <v xml:space="preserve"> </v>
      </c>
      <c r="L492" s="598" t="str">
        <f t="shared" si="84"/>
        <v xml:space="preserve"> </v>
      </c>
      <c r="M492" s="598" t="str">
        <f t="shared" ca="1" si="84"/>
        <v/>
      </c>
      <c r="N492" s="598" t="str">
        <f t="shared" ca="1" si="84"/>
        <v/>
      </c>
      <c r="O492" s="598" t="str">
        <f t="shared" si="84"/>
        <v xml:space="preserve"> </v>
      </c>
      <c r="P492" s="598" t="str">
        <f t="shared" si="84"/>
        <v xml:space="preserve"> </v>
      </c>
      <c r="Q492" s="598" t="str">
        <f t="shared" si="84"/>
        <v xml:space="preserve"> </v>
      </c>
      <c r="R492" s="598" t="str">
        <f t="shared" si="84"/>
        <v xml:space="preserve"> </v>
      </c>
      <c r="S492" s="598" t="str">
        <f t="shared" si="84"/>
        <v xml:space="preserve"> </v>
      </c>
      <c r="T492" s="598" t="str">
        <f t="shared" si="84"/>
        <v xml:space="preserve"> </v>
      </c>
      <c r="U492" s="598" t="str">
        <f t="shared" si="84"/>
        <v xml:space="preserve"> </v>
      </c>
      <c r="V492" s="598" t="str">
        <f t="shared" si="84"/>
        <v xml:space="preserve"> </v>
      </c>
      <c r="W492" s="598" t="str">
        <f t="shared" si="84"/>
        <v xml:space="preserve"> </v>
      </c>
      <c r="X492" s="598" t="str">
        <f t="shared" si="84"/>
        <v xml:space="preserve"> </v>
      </c>
      <c r="Y492" s="598" t="str">
        <f t="shared" si="84"/>
        <v xml:space="preserve"> </v>
      </c>
      <c r="Z492" s="598" t="str">
        <f t="shared" si="84"/>
        <v xml:space="preserve"> </v>
      </c>
      <c r="AA492" s="598" t="str">
        <f t="shared" si="84"/>
        <v xml:space="preserve"> </v>
      </c>
      <c r="AB492" s="598" t="str">
        <f t="shared" ca="1" si="84"/>
        <v>Monster:Saurian (Salamons) (Ancient)</v>
      </c>
      <c r="AC492" s="598" t="str">
        <f t="shared" ca="1" si="84"/>
        <v>Monster:Saurian (Salamons) (Ancient)</v>
      </c>
      <c r="AD492" s="598" t="str">
        <f t="shared" si="84"/>
        <v xml:space="preserve"> </v>
      </c>
      <c r="AE492" s="598" t="str">
        <f t="shared" si="84"/>
        <v xml:space="preserve"> </v>
      </c>
      <c r="AF492" s="598" t="str">
        <f t="shared" si="84"/>
        <v xml:space="preserve"> </v>
      </c>
      <c r="AG492" s="598" t="str">
        <f t="shared" si="84"/>
        <v xml:space="preserve"> </v>
      </c>
      <c r="AH492" s="598" t="str">
        <f t="shared" si="84"/>
        <v xml:space="preserve"> </v>
      </c>
      <c r="AI492" s="598" t="str">
        <f t="shared" si="84"/>
        <v xml:space="preserve"> </v>
      </c>
      <c r="AJ492" s="598" t="str">
        <f t="shared" si="84"/>
        <v xml:space="preserve"> </v>
      </c>
      <c r="AK492" s="598" t="str">
        <f t="shared" si="84"/>
        <v xml:space="preserve"> </v>
      </c>
      <c r="AL492" s="598" t="str">
        <f t="shared" si="84"/>
        <v xml:space="preserve"> </v>
      </c>
      <c r="AM492" s="598" t="str">
        <f t="shared" si="84"/>
        <v xml:space="preserve"> </v>
      </c>
      <c r="AN492" s="598" t="str">
        <f t="shared" si="84"/>
        <v xml:space="preserve"> </v>
      </c>
      <c r="AO492" s="598" t="str">
        <f t="shared" si="84"/>
        <v xml:space="preserve"> </v>
      </c>
      <c r="AP492" s="598" t="str">
        <f t="shared" si="84"/>
        <v xml:space="preserve"> </v>
      </c>
      <c r="AQ492" s="598" t="str">
        <f t="shared" si="84"/>
        <v xml:space="preserve"> </v>
      </c>
      <c r="AR492" s="598" t="str">
        <f t="shared" si="84"/>
        <v xml:space="preserve"> </v>
      </c>
      <c r="AS492" s="598" t="str">
        <f t="shared" si="84"/>
        <v xml:space="preserve"> </v>
      </c>
      <c r="AT492" s="598" t="str">
        <f t="shared" si="84"/>
        <v xml:space="preserve"> </v>
      </c>
      <c r="AU492" s="598" t="str">
        <f t="shared" si="84"/>
        <v xml:space="preserve"> </v>
      </c>
      <c r="AW492" s="598" t="str">
        <f t="shared" si="82"/>
        <v xml:space="preserve"> </v>
      </c>
      <c r="AX492" s="598" t="str">
        <f t="shared" si="82"/>
        <v xml:space="preserve"> </v>
      </c>
      <c r="AY492" s="598" t="str">
        <f t="shared" si="82"/>
        <v xml:space="preserve"> </v>
      </c>
      <c r="AZ492" s="598" t="str">
        <f t="shared" si="82"/>
        <v xml:space="preserve"> </v>
      </c>
      <c r="BA492" s="598" t="str">
        <f t="shared" si="82"/>
        <v xml:space="preserve"> </v>
      </c>
      <c r="BB492" s="598" t="str">
        <f t="shared" si="82"/>
        <v xml:space="preserve"> </v>
      </c>
      <c r="BC492" s="598" t="str">
        <f t="shared" si="82"/>
        <v xml:space="preserve"> </v>
      </c>
      <c r="BD492" s="598" t="str">
        <f t="shared" si="82"/>
        <v xml:space="preserve"> </v>
      </c>
      <c r="BE492" s="598" t="str">
        <f t="shared" si="82"/>
        <v xml:space="preserve"> </v>
      </c>
      <c r="BF492" s="598" t="str">
        <f t="shared" si="82"/>
        <v xml:space="preserve"> </v>
      </c>
      <c r="BG492" s="598" t="str">
        <f t="shared" si="82"/>
        <v xml:space="preserve"> </v>
      </c>
      <c r="BH492" s="598" t="str">
        <f t="shared" si="82"/>
        <v xml:space="preserve"> </v>
      </c>
      <c r="BI492" s="598" t="str">
        <f t="shared" si="82"/>
        <v xml:space="preserve"> </v>
      </c>
      <c r="BJ492" s="598" t="str">
        <f t="shared" si="82"/>
        <v xml:space="preserve"> </v>
      </c>
      <c r="BK492" s="598" t="str">
        <f t="shared" si="82"/>
        <v xml:space="preserve"> </v>
      </c>
      <c r="BL492" s="598" t="str">
        <f t="shared" si="82"/>
        <v xml:space="preserve"> </v>
      </c>
      <c r="BM492" s="598" t="str">
        <f t="shared" si="81"/>
        <v xml:space="preserve"> </v>
      </c>
      <c r="BN492" s="598" t="str">
        <f t="shared" si="81"/>
        <v xml:space="preserve"> </v>
      </c>
      <c r="BO492" s="598" t="str">
        <f t="shared" si="81"/>
        <v xml:space="preserve"> </v>
      </c>
      <c r="BP492" s="598" t="str">
        <f t="shared" si="81"/>
        <v xml:space="preserve"> </v>
      </c>
      <c r="BQ492" s="598" t="str">
        <f t="shared" si="81"/>
        <v xml:space="preserve"> </v>
      </c>
      <c r="BR492" s="598" t="str">
        <f t="shared" si="81"/>
        <v xml:space="preserve"> </v>
      </c>
      <c r="BS492" s="598" t="str">
        <f t="shared" si="81"/>
        <v xml:space="preserve"> </v>
      </c>
      <c r="BT492" s="598" t="str">
        <f t="shared" si="81"/>
        <v xml:space="preserve"> </v>
      </c>
      <c r="BU492" s="598" t="str">
        <f t="shared" si="81"/>
        <v xml:space="preserve"> </v>
      </c>
      <c r="BV492" s="598" t="str">
        <f t="shared" si="81"/>
        <v xml:space="preserve"> </v>
      </c>
      <c r="BW492" s="598" t="str">
        <f t="shared" si="81"/>
        <v xml:space="preserve"> </v>
      </c>
      <c r="BX492" s="598" t="str">
        <f t="shared" si="81"/>
        <v xml:space="preserve"> </v>
      </c>
      <c r="BY492" s="598" t="str">
        <f t="shared" si="81"/>
        <v xml:space="preserve"> </v>
      </c>
      <c r="BZ492" s="598" t="str">
        <f t="shared" si="81"/>
        <v xml:space="preserve"> </v>
      </c>
      <c r="CA492" s="598" t="str">
        <f t="shared" si="79"/>
        <v xml:space="preserve"> </v>
      </c>
      <c r="CB492" s="598" t="str">
        <f t="shared" si="79"/>
        <v xml:space="preserve"> </v>
      </c>
      <c r="CC492" s="598" t="str">
        <f t="shared" si="79"/>
        <v xml:space="preserve"> </v>
      </c>
      <c r="CD492" s="598" t="str">
        <f t="shared" si="79"/>
        <v xml:space="preserve"> </v>
      </c>
      <c r="CE492" s="598" t="str">
        <f t="shared" si="79"/>
        <v xml:space="preserve"> </v>
      </c>
      <c r="CF492" s="598" t="str">
        <f t="shared" si="79"/>
        <v xml:space="preserve"> </v>
      </c>
      <c r="CG492" s="598" t="str">
        <f t="shared" si="79"/>
        <v xml:space="preserve"> </v>
      </c>
      <c r="CH492" s="598" t="str">
        <f t="shared" si="79"/>
        <v xml:space="preserve"> </v>
      </c>
      <c r="CI492" s="598" t="str">
        <f t="shared" si="79"/>
        <v xml:space="preserve"> </v>
      </c>
      <c r="CJ492" s="598" t="str">
        <f t="shared" si="79"/>
        <v xml:space="preserve"> </v>
      </c>
      <c r="CK492" s="598" t="str">
        <f t="shared" si="79"/>
        <v xml:space="preserve"> </v>
      </c>
      <c r="CL492" s="598" t="str">
        <f t="shared" si="79"/>
        <v xml:space="preserve"> </v>
      </c>
      <c r="CM492" s="598" t="str">
        <f t="shared" si="79"/>
        <v xml:space="preserve"> </v>
      </c>
      <c r="CN492" s="598" t="str">
        <f t="shared" si="79"/>
        <v xml:space="preserve"> </v>
      </c>
      <c r="CO492" s="598" t="str">
        <f t="shared" si="79"/>
        <v xml:space="preserve"> </v>
      </c>
      <c r="CP492" s="598" t="str">
        <f t="shared" si="79"/>
        <v xml:space="preserve"> </v>
      </c>
      <c r="CQ492" s="598" t="str">
        <f t="shared" ca="1" si="80"/>
        <v/>
      </c>
    </row>
    <row r="493" spans="1:95" ht="9.9499999999999993" customHeight="1">
      <c r="A493" s="598">
        <v>72</v>
      </c>
      <c r="B493" s="598" t="str">
        <f t="shared" ca="1" si="84"/>
        <v/>
      </c>
      <c r="C493" s="598" t="str">
        <f t="shared" ca="1" si="84"/>
        <v>Monster:Mer Folk</v>
      </c>
      <c r="D493" s="598" t="str">
        <f t="shared" ca="1" si="84"/>
        <v/>
      </c>
      <c r="E493" s="598" t="str">
        <f t="shared" si="84"/>
        <v xml:space="preserve"> </v>
      </c>
      <c r="F493" s="598" t="str">
        <f t="shared" si="84"/>
        <v xml:space="preserve"> </v>
      </c>
      <c r="G493" s="598" t="str">
        <f t="shared" si="84"/>
        <v xml:space="preserve"> </v>
      </c>
      <c r="H493" s="598" t="str">
        <f t="shared" si="84"/>
        <v xml:space="preserve"> </v>
      </c>
      <c r="I493" s="598" t="str">
        <f t="shared" si="84"/>
        <v xml:space="preserve"> </v>
      </c>
      <c r="J493" s="598" t="str">
        <f t="shared" si="84"/>
        <v xml:space="preserve"> </v>
      </c>
      <c r="K493" s="598" t="str">
        <f t="shared" si="84"/>
        <v xml:space="preserve"> </v>
      </c>
      <c r="L493" s="598" t="str">
        <f t="shared" si="84"/>
        <v xml:space="preserve"> </v>
      </c>
      <c r="M493" s="598" t="str">
        <f t="shared" ca="1" si="84"/>
        <v/>
      </c>
      <c r="N493" s="598" t="str">
        <f t="shared" ca="1" si="84"/>
        <v/>
      </c>
      <c r="O493" s="598" t="str">
        <f t="shared" si="84"/>
        <v xml:space="preserve"> </v>
      </c>
      <c r="P493" s="598" t="str">
        <f t="shared" si="84"/>
        <v xml:space="preserve"> </v>
      </c>
      <c r="Q493" s="598" t="str">
        <f t="shared" si="84"/>
        <v xml:space="preserve"> </v>
      </c>
      <c r="R493" s="598" t="str">
        <f t="shared" si="84"/>
        <v xml:space="preserve"> </v>
      </c>
      <c r="S493" s="598" t="str">
        <f t="shared" si="84"/>
        <v xml:space="preserve"> </v>
      </c>
      <c r="T493" s="598" t="str">
        <f t="shared" si="84"/>
        <v xml:space="preserve"> </v>
      </c>
      <c r="U493" s="598" t="str">
        <f t="shared" si="84"/>
        <v xml:space="preserve"> </v>
      </c>
      <c r="V493" s="598" t="str">
        <f t="shared" si="84"/>
        <v xml:space="preserve"> </v>
      </c>
      <c r="W493" s="598" t="str">
        <f t="shared" si="84"/>
        <v xml:space="preserve"> </v>
      </c>
      <c r="X493" s="598" t="str">
        <f t="shared" si="84"/>
        <v xml:space="preserve"> </v>
      </c>
      <c r="Y493" s="598" t="str">
        <f t="shared" si="84"/>
        <v xml:space="preserve"> </v>
      </c>
      <c r="Z493" s="598" t="str">
        <f t="shared" si="84"/>
        <v xml:space="preserve"> </v>
      </c>
      <c r="AA493" s="598" t="str">
        <f t="shared" si="84"/>
        <v xml:space="preserve"> </v>
      </c>
      <c r="AB493" s="598" t="str">
        <f t="shared" ca="1" si="84"/>
        <v>Monster:Scorpion Men</v>
      </c>
      <c r="AC493" s="598" t="str">
        <f t="shared" ca="1" si="84"/>
        <v>Monster:Scorpion Men</v>
      </c>
      <c r="AD493" s="598" t="str">
        <f t="shared" si="84"/>
        <v xml:space="preserve"> </v>
      </c>
      <c r="AE493" s="598" t="str">
        <f t="shared" si="84"/>
        <v xml:space="preserve"> </v>
      </c>
      <c r="AF493" s="598" t="str">
        <f t="shared" si="84"/>
        <v xml:space="preserve"> </v>
      </c>
      <c r="AG493" s="598" t="str">
        <f t="shared" si="84"/>
        <v xml:space="preserve"> </v>
      </c>
      <c r="AH493" s="598" t="str">
        <f t="shared" si="84"/>
        <v xml:space="preserve"> </v>
      </c>
      <c r="AI493" s="598" t="str">
        <f t="shared" si="84"/>
        <v xml:space="preserve"> </v>
      </c>
      <c r="AJ493" s="598" t="str">
        <f t="shared" si="84"/>
        <v xml:space="preserve"> </v>
      </c>
      <c r="AK493" s="598" t="str">
        <f t="shared" si="84"/>
        <v xml:space="preserve"> </v>
      </c>
      <c r="AL493" s="598" t="str">
        <f t="shared" si="84"/>
        <v xml:space="preserve"> </v>
      </c>
      <c r="AM493" s="598" t="str">
        <f t="shared" si="84"/>
        <v xml:space="preserve"> </v>
      </c>
      <c r="AN493" s="598" t="str">
        <f t="shared" si="84"/>
        <v xml:space="preserve"> </v>
      </c>
      <c r="AO493" s="598" t="str">
        <f t="shared" si="84"/>
        <v xml:space="preserve"> </v>
      </c>
      <c r="AP493" s="598" t="str">
        <f t="shared" si="84"/>
        <v xml:space="preserve"> </v>
      </c>
      <c r="AQ493" s="598" t="str">
        <f t="shared" si="84"/>
        <v xml:space="preserve"> </v>
      </c>
      <c r="AR493" s="598" t="str">
        <f t="shared" si="84"/>
        <v xml:space="preserve"> </v>
      </c>
      <c r="AS493" s="598" t="str">
        <f t="shared" si="84"/>
        <v xml:space="preserve"> </v>
      </c>
      <c r="AT493" s="598" t="str">
        <f t="shared" si="84"/>
        <v xml:space="preserve"> </v>
      </c>
      <c r="AU493" s="598" t="str">
        <f t="shared" si="84"/>
        <v xml:space="preserve"> </v>
      </c>
      <c r="AW493" s="598" t="str">
        <f t="shared" si="82"/>
        <v xml:space="preserve"> </v>
      </c>
      <c r="AX493" s="598" t="str">
        <f t="shared" si="82"/>
        <v xml:space="preserve"> </v>
      </c>
      <c r="AY493" s="598" t="str">
        <f t="shared" si="82"/>
        <v xml:space="preserve"> </v>
      </c>
      <c r="AZ493" s="598" t="str">
        <f t="shared" si="82"/>
        <v xml:space="preserve"> </v>
      </c>
      <c r="BA493" s="598" t="str">
        <f t="shared" si="82"/>
        <v xml:space="preserve"> </v>
      </c>
      <c r="BB493" s="598" t="str">
        <f t="shared" si="82"/>
        <v xml:space="preserve"> </v>
      </c>
      <c r="BC493" s="598" t="str">
        <f t="shared" si="82"/>
        <v xml:space="preserve"> </v>
      </c>
      <c r="BD493" s="598" t="str">
        <f t="shared" si="82"/>
        <v xml:space="preserve"> </v>
      </c>
      <c r="BE493" s="598" t="str">
        <f t="shared" si="82"/>
        <v xml:space="preserve"> </v>
      </c>
      <c r="BF493" s="598" t="str">
        <f t="shared" si="82"/>
        <v xml:space="preserve"> </v>
      </c>
      <c r="BG493" s="598" t="str">
        <f t="shared" si="82"/>
        <v xml:space="preserve"> </v>
      </c>
      <c r="BH493" s="598" t="str">
        <f t="shared" si="82"/>
        <v xml:space="preserve"> </v>
      </c>
      <c r="BI493" s="598" t="str">
        <f t="shared" si="82"/>
        <v xml:space="preserve"> </v>
      </c>
      <c r="BJ493" s="598" t="str">
        <f t="shared" si="82"/>
        <v xml:space="preserve"> </v>
      </c>
      <c r="BK493" s="598" t="str">
        <f t="shared" si="82"/>
        <v xml:space="preserve"> </v>
      </c>
      <c r="BL493" s="598" t="str">
        <f t="shared" si="82"/>
        <v xml:space="preserve"> </v>
      </c>
      <c r="BM493" s="598" t="str">
        <f t="shared" si="81"/>
        <v xml:space="preserve"> </v>
      </c>
      <c r="BN493" s="598" t="str">
        <f t="shared" si="81"/>
        <v xml:space="preserve"> </v>
      </c>
      <c r="BO493" s="598" t="str">
        <f t="shared" si="81"/>
        <v xml:space="preserve"> </v>
      </c>
      <c r="BP493" s="598" t="str">
        <f t="shared" si="81"/>
        <v xml:space="preserve"> </v>
      </c>
      <c r="BQ493" s="598" t="str">
        <f t="shared" si="81"/>
        <v xml:space="preserve"> </v>
      </c>
      <c r="BR493" s="598" t="str">
        <f t="shared" si="81"/>
        <v xml:space="preserve"> </v>
      </c>
      <c r="BS493" s="598" t="str">
        <f t="shared" si="81"/>
        <v xml:space="preserve"> </v>
      </c>
      <c r="BT493" s="598" t="str">
        <f t="shared" si="81"/>
        <v xml:space="preserve"> </v>
      </c>
      <c r="BU493" s="598" t="str">
        <f t="shared" si="81"/>
        <v xml:space="preserve"> </v>
      </c>
      <c r="BV493" s="598" t="str">
        <f t="shared" si="81"/>
        <v xml:space="preserve"> </v>
      </c>
      <c r="BW493" s="598" t="str">
        <f t="shared" si="81"/>
        <v xml:space="preserve"> </v>
      </c>
      <c r="BX493" s="598" t="str">
        <f t="shared" si="81"/>
        <v xml:space="preserve"> </v>
      </c>
      <c r="BY493" s="598" t="str">
        <f t="shared" si="81"/>
        <v xml:space="preserve"> </v>
      </c>
      <c r="BZ493" s="598" t="str">
        <f t="shared" si="81"/>
        <v xml:space="preserve"> </v>
      </c>
      <c r="CA493" s="598" t="str">
        <f t="shared" si="79"/>
        <v xml:space="preserve"> </v>
      </c>
      <c r="CB493" s="598" t="str">
        <f t="shared" si="79"/>
        <v xml:space="preserve"> </v>
      </c>
      <c r="CC493" s="598" t="str">
        <f t="shared" si="79"/>
        <v xml:space="preserve"> </v>
      </c>
      <c r="CD493" s="598" t="str">
        <f t="shared" si="79"/>
        <v xml:space="preserve"> </v>
      </c>
      <c r="CE493" s="598" t="str">
        <f t="shared" si="79"/>
        <v xml:space="preserve"> </v>
      </c>
      <c r="CF493" s="598" t="str">
        <f t="shared" si="79"/>
        <v xml:space="preserve"> </v>
      </c>
      <c r="CG493" s="598" t="str">
        <f t="shared" si="79"/>
        <v xml:space="preserve"> </v>
      </c>
      <c r="CH493" s="598" t="str">
        <f t="shared" si="79"/>
        <v xml:space="preserve"> </v>
      </c>
      <c r="CI493" s="598" t="str">
        <f t="shared" si="79"/>
        <v xml:space="preserve"> </v>
      </c>
      <c r="CJ493" s="598" t="str">
        <f t="shared" si="79"/>
        <v xml:space="preserve"> </v>
      </c>
      <c r="CK493" s="598" t="str">
        <f t="shared" si="79"/>
        <v xml:space="preserve"> </v>
      </c>
      <c r="CL493" s="598" t="str">
        <f t="shared" si="79"/>
        <v xml:space="preserve"> </v>
      </c>
      <c r="CM493" s="598" t="str">
        <f t="shared" si="79"/>
        <v xml:space="preserve"> </v>
      </c>
      <c r="CN493" s="598" t="str">
        <f t="shared" si="79"/>
        <v xml:space="preserve"> </v>
      </c>
      <c r="CO493" s="598" t="str">
        <f t="shared" si="79"/>
        <v xml:space="preserve"> </v>
      </c>
      <c r="CP493" s="598" t="str">
        <f t="shared" si="79"/>
        <v xml:space="preserve"> </v>
      </c>
      <c r="CQ493" s="598" t="str">
        <f t="shared" ca="1" si="80"/>
        <v/>
      </c>
    </row>
    <row r="494" spans="1:95" ht="9.9499999999999993" customHeight="1">
      <c r="A494" s="598">
        <v>73</v>
      </c>
      <c r="B494" s="598" t="str">
        <f t="shared" ca="1" si="84"/>
        <v/>
      </c>
      <c r="C494" s="598" t="str">
        <f t="shared" ca="1" si="84"/>
        <v>Monster:Minotaur</v>
      </c>
      <c r="D494" s="598" t="str">
        <f t="shared" ca="1" si="84"/>
        <v/>
      </c>
      <c r="E494" s="598" t="str">
        <f t="shared" si="84"/>
        <v xml:space="preserve"> </v>
      </c>
      <c r="F494" s="598" t="str">
        <f t="shared" si="84"/>
        <v xml:space="preserve"> </v>
      </c>
      <c r="G494" s="598" t="str">
        <f t="shared" si="84"/>
        <v xml:space="preserve"> </v>
      </c>
      <c r="H494" s="598" t="str">
        <f t="shared" si="84"/>
        <v xml:space="preserve"> </v>
      </c>
      <c r="I494" s="598" t="str">
        <f t="shared" si="84"/>
        <v xml:space="preserve"> </v>
      </c>
      <c r="J494" s="598" t="str">
        <f t="shared" si="84"/>
        <v xml:space="preserve"> </v>
      </c>
      <c r="K494" s="598" t="str">
        <f t="shared" si="84"/>
        <v xml:space="preserve"> </v>
      </c>
      <c r="L494" s="598" t="str">
        <f t="shared" si="84"/>
        <v xml:space="preserve"> </v>
      </c>
      <c r="M494" s="598" t="str">
        <f t="shared" ca="1" si="84"/>
        <v/>
      </c>
      <c r="N494" s="598" t="str">
        <f t="shared" ca="1" si="84"/>
        <v/>
      </c>
      <c r="O494" s="598" t="str">
        <f t="shared" si="84"/>
        <v xml:space="preserve"> </v>
      </c>
      <c r="P494" s="598" t="str">
        <f t="shared" si="84"/>
        <v xml:space="preserve"> </v>
      </c>
      <c r="Q494" s="598" t="str">
        <f t="shared" si="84"/>
        <v xml:space="preserve"> </v>
      </c>
      <c r="R494" s="598" t="str">
        <f t="shared" si="84"/>
        <v xml:space="preserve"> </v>
      </c>
      <c r="S494" s="598" t="str">
        <f t="shared" si="84"/>
        <v xml:space="preserve"> </v>
      </c>
      <c r="T494" s="598" t="str">
        <f t="shared" si="84"/>
        <v xml:space="preserve"> </v>
      </c>
      <c r="U494" s="598" t="str">
        <f t="shared" si="84"/>
        <v xml:space="preserve"> </v>
      </c>
      <c r="V494" s="598" t="str">
        <f t="shared" si="84"/>
        <v xml:space="preserve"> </v>
      </c>
      <c r="W494" s="598" t="str">
        <f t="shared" si="84"/>
        <v xml:space="preserve"> </v>
      </c>
      <c r="X494" s="598" t="str">
        <f t="shared" si="84"/>
        <v xml:space="preserve"> </v>
      </c>
      <c r="Y494" s="598" t="str">
        <f t="shared" si="84"/>
        <v xml:space="preserve"> </v>
      </c>
      <c r="Z494" s="598" t="str">
        <f t="shared" si="84"/>
        <v xml:space="preserve"> </v>
      </c>
      <c r="AA494" s="598" t="str">
        <f t="shared" ref="AA494:AU494" si="85">HLOOKUP(AA$421,$C$217:$Z$317,$A494+1)</f>
        <v xml:space="preserve"> </v>
      </c>
      <c r="AB494" s="598" t="str">
        <f t="shared" ca="1" si="85"/>
        <v>Monster:Triton</v>
      </c>
      <c r="AC494" s="598" t="str">
        <f t="shared" ca="1" si="85"/>
        <v>Monster:Triton</v>
      </c>
      <c r="AD494" s="598" t="str">
        <f t="shared" si="85"/>
        <v xml:space="preserve"> </v>
      </c>
      <c r="AE494" s="598" t="str">
        <f t="shared" si="85"/>
        <v xml:space="preserve"> </v>
      </c>
      <c r="AF494" s="598" t="str">
        <f t="shared" si="85"/>
        <v xml:space="preserve"> </v>
      </c>
      <c r="AG494" s="598" t="str">
        <f t="shared" si="85"/>
        <v xml:space="preserve"> </v>
      </c>
      <c r="AH494" s="598" t="str">
        <f t="shared" si="85"/>
        <v xml:space="preserve"> </v>
      </c>
      <c r="AI494" s="598" t="str">
        <f t="shared" si="85"/>
        <v xml:space="preserve"> </v>
      </c>
      <c r="AJ494" s="598" t="str">
        <f t="shared" si="85"/>
        <v xml:space="preserve"> </v>
      </c>
      <c r="AK494" s="598" t="str">
        <f t="shared" si="85"/>
        <v xml:space="preserve"> </v>
      </c>
      <c r="AL494" s="598" t="str">
        <f t="shared" si="85"/>
        <v xml:space="preserve"> </v>
      </c>
      <c r="AM494" s="598" t="str">
        <f t="shared" si="85"/>
        <v xml:space="preserve"> </v>
      </c>
      <c r="AN494" s="598" t="str">
        <f t="shared" si="85"/>
        <v xml:space="preserve"> </v>
      </c>
      <c r="AO494" s="598" t="str">
        <f t="shared" si="85"/>
        <v xml:space="preserve"> </v>
      </c>
      <c r="AP494" s="598" t="str">
        <f t="shared" si="85"/>
        <v xml:space="preserve"> </v>
      </c>
      <c r="AQ494" s="598" t="str">
        <f t="shared" si="85"/>
        <v xml:space="preserve"> </v>
      </c>
      <c r="AR494" s="598" t="str">
        <f t="shared" si="85"/>
        <v xml:space="preserve"> </v>
      </c>
      <c r="AS494" s="598" t="str">
        <f t="shared" si="85"/>
        <v xml:space="preserve"> </v>
      </c>
      <c r="AT494" s="598" t="str">
        <f t="shared" si="85"/>
        <v xml:space="preserve"> </v>
      </c>
      <c r="AU494" s="598" t="str">
        <f t="shared" si="85"/>
        <v xml:space="preserve"> </v>
      </c>
      <c r="AW494" s="598" t="str">
        <f t="shared" si="82"/>
        <v xml:space="preserve"> </v>
      </c>
      <c r="AX494" s="598" t="str">
        <f t="shared" si="82"/>
        <v xml:space="preserve"> </v>
      </c>
      <c r="AY494" s="598" t="str">
        <f t="shared" si="82"/>
        <v xml:space="preserve"> </v>
      </c>
      <c r="AZ494" s="598" t="str">
        <f t="shared" si="82"/>
        <v xml:space="preserve"> </v>
      </c>
      <c r="BA494" s="598" t="str">
        <f t="shared" si="82"/>
        <v xml:space="preserve"> </v>
      </c>
      <c r="BB494" s="598" t="str">
        <f t="shared" si="82"/>
        <v xml:space="preserve"> </v>
      </c>
      <c r="BC494" s="598" t="str">
        <f t="shared" si="82"/>
        <v xml:space="preserve"> </v>
      </c>
      <c r="BD494" s="598" t="str">
        <f t="shared" si="82"/>
        <v xml:space="preserve"> </v>
      </c>
      <c r="BE494" s="598" t="str">
        <f t="shared" si="82"/>
        <v xml:space="preserve"> </v>
      </c>
      <c r="BF494" s="598" t="str">
        <f t="shared" si="82"/>
        <v xml:space="preserve"> </v>
      </c>
      <c r="BG494" s="598" t="str">
        <f t="shared" si="82"/>
        <v xml:space="preserve"> </v>
      </c>
      <c r="BH494" s="598" t="str">
        <f t="shared" si="82"/>
        <v xml:space="preserve"> </v>
      </c>
      <c r="BI494" s="598" t="str">
        <f t="shared" si="82"/>
        <v xml:space="preserve"> </v>
      </c>
      <c r="BJ494" s="598" t="str">
        <f t="shared" si="82"/>
        <v xml:space="preserve"> </v>
      </c>
      <c r="BK494" s="598" t="str">
        <f t="shared" si="82"/>
        <v xml:space="preserve"> </v>
      </c>
      <c r="BL494" s="598" t="str">
        <f t="shared" si="82"/>
        <v xml:space="preserve"> </v>
      </c>
      <c r="BM494" s="598" t="str">
        <f t="shared" si="81"/>
        <v xml:space="preserve"> </v>
      </c>
      <c r="BN494" s="598" t="str">
        <f t="shared" si="81"/>
        <v xml:space="preserve"> </v>
      </c>
      <c r="BO494" s="598" t="str">
        <f t="shared" si="81"/>
        <v xml:space="preserve"> </v>
      </c>
      <c r="BP494" s="598" t="str">
        <f t="shared" si="81"/>
        <v xml:space="preserve"> </v>
      </c>
      <c r="BQ494" s="598" t="str">
        <f t="shared" si="81"/>
        <v xml:space="preserve"> </v>
      </c>
      <c r="BR494" s="598" t="str">
        <f t="shared" si="81"/>
        <v xml:space="preserve"> </v>
      </c>
      <c r="BS494" s="598" t="str">
        <f t="shared" si="81"/>
        <v xml:space="preserve"> </v>
      </c>
      <c r="BT494" s="598" t="str">
        <f t="shared" si="81"/>
        <v xml:space="preserve"> </v>
      </c>
      <c r="BU494" s="598" t="str">
        <f t="shared" si="81"/>
        <v xml:space="preserve"> </v>
      </c>
      <c r="BV494" s="598" t="str">
        <f t="shared" si="81"/>
        <v xml:space="preserve"> </v>
      </c>
      <c r="BW494" s="598" t="str">
        <f t="shared" si="81"/>
        <v xml:space="preserve"> </v>
      </c>
      <c r="BX494" s="598" t="str">
        <f t="shared" si="81"/>
        <v xml:space="preserve"> </v>
      </c>
      <c r="BY494" s="598" t="str">
        <f t="shared" si="81"/>
        <v xml:space="preserve"> </v>
      </c>
      <c r="BZ494" s="598" t="str">
        <f t="shared" si="81"/>
        <v xml:space="preserve"> </v>
      </c>
      <c r="CA494" s="598" t="str">
        <f t="shared" si="79"/>
        <v xml:space="preserve"> </v>
      </c>
      <c r="CB494" s="598" t="str">
        <f t="shared" si="79"/>
        <v xml:space="preserve"> </v>
      </c>
      <c r="CC494" s="598" t="str">
        <f t="shared" si="79"/>
        <v xml:space="preserve"> </v>
      </c>
      <c r="CD494" s="598" t="str">
        <f t="shared" si="79"/>
        <v xml:space="preserve"> </v>
      </c>
      <c r="CE494" s="598" t="str">
        <f t="shared" si="79"/>
        <v xml:space="preserve"> </v>
      </c>
      <c r="CF494" s="598" t="str">
        <f t="shared" si="79"/>
        <v xml:space="preserve"> </v>
      </c>
      <c r="CG494" s="598" t="str">
        <f t="shared" si="79"/>
        <v xml:space="preserve"> </v>
      </c>
      <c r="CH494" s="598" t="str">
        <f t="shared" si="79"/>
        <v xml:space="preserve"> </v>
      </c>
      <c r="CI494" s="598" t="str">
        <f t="shared" si="79"/>
        <v xml:space="preserve"> </v>
      </c>
      <c r="CJ494" s="598" t="str">
        <f t="shared" si="79"/>
        <v xml:space="preserve"> </v>
      </c>
      <c r="CK494" s="598" t="str">
        <f t="shared" si="79"/>
        <v xml:space="preserve"> </v>
      </c>
      <c r="CL494" s="598" t="str">
        <f t="shared" si="79"/>
        <v xml:space="preserve"> </v>
      </c>
      <c r="CM494" s="598" t="str">
        <f t="shared" si="79"/>
        <v xml:space="preserve"> </v>
      </c>
      <c r="CN494" s="598" t="str">
        <f t="shared" si="79"/>
        <v xml:space="preserve"> </v>
      </c>
      <c r="CO494" s="598" t="str">
        <f t="shared" si="79"/>
        <v xml:space="preserve"> </v>
      </c>
      <c r="CP494" s="598" t="str">
        <f t="shared" si="79"/>
        <v xml:space="preserve"> </v>
      </c>
      <c r="CQ494" s="598" t="str">
        <f t="shared" ca="1" si="80"/>
        <v/>
      </c>
    </row>
    <row r="495" spans="1:95" ht="9.9499999999999993" customHeight="1">
      <c r="A495" s="598">
        <v>74</v>
      </c>
      <c r="B495" s="598" t="str">
        <f t="shared" ref="B495:AU500" ca="1" si="86">HLOOKUP(B$421,$C$217:$Z$317,$A495+1)</f>
        <v/>
      </c>
      <c r="C495" s="598" t="str">
        <f t="shared" ca="1" si="86"/>
        <v>Monster:Nagas (Black)</v>
      </c>
      <c r="D495" s="598" t="str">
        <f t="shared" ca="1" si="86"/>
        <v/>
      </c>
      <c r="E495" s="598" t="str">
        <f t="shared" si="86"/>
        <v xml:space="preserve"> </v>
      </c>
      <c r="F495" s="598" t="str">
        <f t="shared" si="86"/>
        <v xml:space="preserve"> </v>
      </c>
      <c r="G495" s="598" t="str">
        <f t="shared" si="86"/>
        <v xml:space="preserve"> </v>
      </c>
      <c r="H495" s="598" t="str">
        <f t="shared" si="86"/>
        <v xml:space="preserve"> </v>
      </c>
      <c r="I495" s="598" t="str">
        <f t="shared" si="86"/>
        <v xml:space="preserve"> </v>
      </c>
      <c r="J495" s="598" t="str">
        <f t="shared" si="86"/>
        <v xml:space="preserve"> </v>
      </c>
      <c r="K495" s="598" t="str">
        <f t="shared" si="86"/>
        <v xml:space="preserve"> </v>
      </c>
      <c r="L495" s="598" t="str">
        <f t="shared" si="86"/>
        <v xml:space="preserve"> </v>
      </c>
      <c r="M495" s="598" t="str">
        <f t="shared" ca="1" si="86"/>
        <v/>
      </c>
      <c r="N495" s="598" t="str">
        <f t="shared" ca="1" si="86"/>
        <v/>
      </c>
      <c r="O495" s="598" t="str">
        <f t="shared" si="86"/>
        <v xml:space="preserve"> </v>
      </c>
      <c r="P495" s="598" t="str">
        <f t="shared" si="86"/>
        <v xml:space="preserve"> </v>
      </c>
      <c r="Q495" s="598" t="str">
        <f t="shared" si="86"/>
        <v xml:space="preserve"> </v>
      </c>
      <c r="R495" s="598" t="str">
        <f t="shared" si="86"/>
        <v xml:space="preserve"> </v>
      </c>
      <c r="S495" s="598" t="str">
        <f t="shared" si="86"/>
        <v xml:space="preserve"> </v>
      </c>
      <c r="T495" s="598" t="str">
        <f t="shared" si="86"/>
        <v xml:space="preserve"> </v>
      </c>
      <c r="U495" s="598" t="str">
        <f t="shared" si="86"/>
        <v xml:space="preserve"> </v>
      </c>
      <c r="V495" s="598" t="str">
        <f t="shared" si="86"/>
        <v xml:space="preserve"> </v>
      </c>
      <c r="W495" s="598" t="str">
        <f t="shared" si="86"/>
        <v xml:space="preserve"> </v>
      </c>
      <c r="X495" s="598" t="str">
        <f t="shared" si="86"/>
        <v xml:space="preserve"> </v>
      </c>
      <c r="Y495" s="598" t="str">
        <f t="shared" si="86"/>
        <v xml:space="preserve"> </v>
      </c>
      <c r="Z495" s="598" t="str">
        <f t="shared" si="86"/>
        <v xml:space="preserve"> </v>
      </c>
      <c r="AA495" s="598" t="str">
        <f t="shared" si="86"/>
        <v xml:space="preserve"> </v>
      </c>
      <c r="AB495" s="598" t="str">
        <f t="shared" ca="1" si="86"/>
        <v>Monster:Trollish</v>
      </c>
      <c r="AC495" s="598" t="str">
        <f t="shared" ca="1" si="86"/>
        <v>Monster:Trollish</v>
      </c>
      <c r="AD495" s="598" t="str">
        <f t="shared" si="86"/>
        <v xml:space="preserve"> </v>
      </c>
      <c r="AE495" s="598" t="str">
        <f t="shared" si="86"/>
        <v xml:space="preserve"> </v>
      </c>
      <c r="AF495" s="598" t="str">
        <f t="shared" si="86"/>
        <v xml:space="preserve"> </v>
      </c>
      <c r="AG495" s="598" t="str">
        <f t="shared" si="86"/>
        <v xml:space="preserve"> </v>
      </c>
      <c r="AH495" s="598" t="str">
        <f t="shared" si="86"/>
        <v xml:space="preserve"> </v>
      </c>
      <c r="AI495" s="598" t="str">
        <f t="shared" si="86"/>
        <v xml:space="preserve"> </v>
      </c>
      <c r="AJ495" s="598" t="str">
        <f t="shared" si="86"/>
        <v xml:space="preserve"> </v>
      </c>
      <c r="AK495" s="598" t="str">
        <f t="shared" si="86"/>
        <v xml:space="preserve"> </v>
      </c>
      <c r="AL495" s="598" t="str">
        <f t="shared" si="86"/>
        <v xml:space="preserve"> </v>
      </c>
      <c r="AM495" s="598" t="str">
        <f t="shared" si="86"/>
        <v xml:space="preserve"> </v>
      </c>
      <c r="AN495" s="598" t="str">
        <f t="shared" si="86"/>
        <v xml:space="preserve"> </v>
      </c>
      <c r="AO495" s="598" t="str">
        <f t="shared" si="86"/>
        <v xml:space="preserve"> </v>
      </c>
      <c r="AP495" s="598" t="str">
        <f t="shared" si="86"/>
        <v xml:space="preserve"> </v>
      </c>
      <c r="AQ495" s="598" t="str">
        <f t="shared" si="86"/>
        <v xml:space="preserve"> </v>
      </c>
      <c r="AR495" s="598" t="str">
        <f t="shared" si="86"/>
        <v xml:space="preserve"> </v>
      </c>
      <c r="AS495" s="598" t="str">
        <f t="shared" si="86"/>
        <v xml:space="preserve"> </v>
      </c>
      <c r="AT495" s="598" t="str">
        <f t="shared" si="86"/>
        <v xml:space="preserve"> </v>
      </c>
      <c r="AU495" s="598" t="str">
        <f t="shared" si="86"/>
        <v xml:space="preserve"> </v>
      </c>
      <c r="AW495" s="598" t="str">
        <f t="shared" si="82"/>
        <v xml:space="preserve"> </v>
      </c>
      <c r="AX495" s="598" t="str">
        <f t="shared" si="82"/>
        <v xml:space="preserve"> </v>
      </c>
      <c r="AY495" s="598" t="str">
        <f t="shared" si="82"/>
        <v xml:space="preserve"> </v>
      </c>
      <c r="AZ495" s="598" t="str">
        <f t="shared" si="82"/>
        <v xml:space="preserve"> </v>
      </c>
      <c r="BA495" s="598" t="str">
        <f t="shared" si="82"/>
        <v xml:space="preserve"> </v>
      </c>
      <c r="BB495" s="598" t="str">
        <f t="shared" si="82"/>
        <v xml:space="preserve"> </v>
      </c>
      <c r="BC495" s="598" t="str">
        <f t="shared" si="82"/>
        <v xml:space="preserve"> </v>
      </c>
      <c r="BD495" s="598" t="str">
        <f t="shared" si="82"/>
        <v xml:space="preserve"> </v>
      </c>
      <c r="BE495" s="598" t="str">
        <f t="shared" si="82"/>
        <v xml:space="preserve"> </v>
      </c>
      <c r="BF495" s="598" t="str">
        <f t="shared" si="82"/>
        <v xml:space="preserve"> </v>
      </c>
      <c r="BG495" s="598" t="str">
        <f t="shared" si="82"/>
        <v xml:space="preserve"> </v>
      </c>
      <c r="BH495" s="598" t="str">
        <f t="shared" si="82"/>
        <v xml:space="preserve"> </v>
      </c>
      <c r="BI495" s="598" t="str">
        <f t="shared" si="82"/>
        <v xml:space="preserve"> </v>
      </c>
      <c r="BJ495" s="598" t="str">
        <f t="shared" si="82"/>
        <v xml:space="preserve"> </v>
      </c>
      <c r="BK495" s="598" t="str">
        <f t="shared" si="82"/>
        <v xml:space="preserve"> </v>
      </c>
      <c r="BL495" s="598" t="str">
        <f t="shared" si="82"/>
        <v xml:space="preserve"> </v>
      </c>
      <c r="BM495" s="598" t="str">
        <f t="shared" si="81"/>
        <v xml:space="preserve"> </v>
      </c>
      <c r="BN495" s="598" t="str">
        <f t="shared" si="81"/>
        <v xml:space="preserve"> </v>
      </c>
      <c r="BO495" s="598" t="str">
        <f t="shared" si="81"/>
        <v xml:space="preserve"> </v>
      </c>
      <c r="BP495" s="598" t="str">
        <f t="shared" si="81"/>
        <v xml:space="preserve"> </v>
      </c>
      <c r="BQ495" s="598" t="str">
        <f t="shared" si="81"/>
        <v xml:space="preserve"> </v>
      </c>
      <c r="BR495" s="598" t="str">
        <f t="shared" si="81"/>
        <v xml:space="preserve"> </v>
      </c>
      <c r="BS495" s="598" t="str">
        <f t="shared" si="81"/>
        <v xml:space="preserve"> </v>
      </c>
      <c r="BT495" s="598" t="str">
        <f t="shared" si="81"/>
        <v xml:space="preserve"> </v>
      </c>
      <c r="BU495" s="598" t="str">
        <f t="shared" si="81"/>
        <v xml:space="preserve"> </v>
      </c>
      <c r="BV495" s="598" t="str">
        <f t="shared" si="81"/>
        <v xml:space="preserve"> </v>
      </c>
      <c r="BW495" s="598" t="str">
        <f t="shared" si="81"/>
        <v xml:space="preserve"> </v>
      </c>
      <c r="BX495" s="598" t="str">
        <f t="shared" si="81"/>
        <v xml:space="preserve"> </v>
      </c>
      <c r="BY495" s="598" t="str">
        <f t="shared" si="81"/>
        <v xml:space="preserve"> </v>
      </c>
      <c r="BZ495" s="598" t="str">
        <f t="shared" si="81"/>
        <v xml:space="preserve"> </v>
      </c>
      <c r="CA495" s="598" t="str">
        <f t="shared" si="79"/>
        <v xml:space="preserve"> </v>
      </c>
      <c r="CB495" s="598" t="str">
        <f t="shared" si="79"/>
        <v xml:space="preserve"> </v>
      </c>
      <c r="CC495" s="598" t="str">
        <f t="shared" si="79"/>
        <v xml:space="preserve"> </v>
      </c>
      <c r="CD495" s="598" t="str">
        <f t="shared" si="79"/>
        <v xml:space="preserve"> </v>
      </c>
      <c r="CE495" s="598" t="str">
        <f t="shared" si="79"/>
        <v xml:space="preserve"> </v>
      </c>
      <c r="CF495" s="598" t="str">
        <f t="shared" si="79"/>
        <v xml:space="preserve"> </v>
      </c>
      <c r="CG495" s="598" t="str">
        <f t="shared" si="79"/>
        <v xml:space="preserve"> </v>
      </c>
      <c r="CH495" s="598" t="str">
        <f t="shared" si="79"/>
        <v xml:space="preserve"> </v>
      </c>
      <c r="CI495" s="598" t="str">
        <f t="shared" si="79"/>
        <v xml:space="preserve"> </v>
      </c>
      <c r="CJ495" s="598" t="str">
        <f t="shared" si="79"/>
        <v xml:space="preserve"> </v>
      </c>
      <c r="CK495" s="598" t="str">
        <f t="shared" si="79"/>
        <v xml:space="preserve"> </v>
      </c>
      <c r="CL495" s="598" t="str">
        <f t="shared" si="79"/>
        <v xml:space="preserve"> </v>
      </c>
      <c r="CM495" s="598" t="str">
        <f t="shared" si="79"/>
        <v xml:space="preserve"> </v>
      </c>
      <c r="CN495" s="598" t="str">
        <f t="shared" si="79"/>
        <v xml:space="preserve"> </v>
      </c>
      <c r="CO495" s="598" t="str">
        <f t="shared" si="79"/>
        <v xml:space="preserve"> </v>
      </c>
      <c r="CP495" s="598" t="str">
        <f t="shared" si="79"/>
        <v xml:space="preserve"> </v>
      </c>
      <c r="CQ495" s="598" t="str">
        <f t="shared" ca="1" si="80"/>
        <v/>
      </c>
    </row>
    <row r="496" spans="1:95" ht="9.9499999999999993" customHeight="1">
      <c r="A496" s="598">
        <v>75</v>
      </c>
      <c r="B496" s="598" t="str">
        <f t="shared" ca="1" si="86"/>
        <v/>
      </c>
      <c r="C496" s="598" t="str">
        <f t="shared" ca="1" si="86"/>
        <v>Monster:Nagas (White)</v>
      </c>
      <c r="D496" s="598" t="str">
        <f t="shared" ca="1" si="86"/>
        <v/>
      </c>
      <c r="E496" s="598" t="str">
        <f t="shared" si="86"/>
        <v xml:space="preserve"> </v>
      </c>
      <c r="F496" s="598" t="str">
        <f t="shared" si="86"/>
        <v xml:space="preserve"> </v>
      </c>
      <c r="G496" s="598" t="str">
        <f t="shared" si="86"/>
        <v xml:space="preserve"> </v>
      </c>
      <c r="H496" s="598" t="str">
        <f t="shared" si="86"/>
        <v xml:space="preserve"> </v>
      </c>
      <c r="I496" s="598" t="str">
        <f t="shared" si="86"/>
        <v xml:space="preserve"> </v>
      </c>
      <c r="J496" s="598" t="str">
        <f t="shared" si="86"/>
        <v xml:space="preserve"> </v>
      </c>
      <c r="K496" s="598" t="str">
        <f t="shared" si="86"/>
        <v xml:space="preserve"> </v>
      </c>
      <c r="L496" s="598" t="str">
        <f t="shared" si="86"/>
        <v xml:space="preserve"> </v>
      </c>
      <c r="M496" s="598" t="str">
        <f t="shared" ca="1" si="86"/>
        <v/>
      </c>
      <c r="N496" s="598" t="str">
        <f t="shared" ca="1" si="86"/>
        <v/>
      </c>
      <c r="O496" s="598" t="str">
        <f t="shared" si="86"/>
        <v xml:space="preserve"> </v>
      </c>
      <c r="P496" s="598" t="str">
        <f t="shared" si="86"/>
        <v xml:space="preserve"> </v>
      </c>
      <c r="Q496" s="598" t="str">
        <f t="shared" si="86"/>
        <v xml:space="preserve"> </v>
      </c>
      <c r="R496" s="598" t="str">
        <f t="shared" si="86"/>
        <v xml:space="preserve"> </v>
      </c>
      <c r="S496" s="598" t="str">
        <f t="shared" si="86"/>
        <v xml:space="preserve"> </v>
      </c>
      <c r="T496" s="598" t="str">
        <f t="shared" si="86"/>
        <v xml:space="preserve"> </v>
      </c>
      <c r="U496" s="598" t="str">
        <f t="shared" si="86"/>
        <v xml:space="preserve"> </v>
      </c>
      <c r="V496" s="598" t="str">
        <f t="shared" si="86"/>
        <v xml:space="preserve"> </v>
      </c>
      <c r="W496" s="598" t="str">
        <f t="shared" si="86"/>
        <v xml:space="preserve"> </v>
      </c>
      <c r="X496" s="598" t="str">
        <f t="shared" si="86"/>
        <v xml:space="preserve"> </v>
      </c>
      <c r="Y496" s="598" t="str">
        <f t="shared" si="86"/>
        <v xml:space="preserve"> </v>
      </c>
      <c r="Z496" s="598" t="str">
        <f t="shared" si="86"/>
        <v xml:space="preserve"> </v>
      </c>
      <c r="AA496" s="598" t="str">
        <f t="shared" si="86"/>
        <v xml:space="preserve"> </v>
      </c>
      <c r="AB496" s="598" t="str">
        <f t="shared" ca="1" si="86"/>
        <v>Music (Read/Write)</v>
      </c>
      <c r="AC496" s="598" t="str">
        <f t="shared" ca="1" si="86"/>
        <v>Music (Read/Write)</v>
      </c>
      <c r="AD496" s="598" t="str">
        <f t="shared" si="86"/>
        <v xml:space="preserve"> </v>
      </c>
      <c r="AE496" s="598" t="str">
        <f t="shared" si="86"/>
        <v xml:space="preserve"> </v>
      </c>
      <c r="AF496" s="598" t="str">
        <f t="shared" si="86"/>
        <v xml:space="preserve"> </v>
      </c>
      <c r="AG496" s="598" t="str">
        <f t="shared" si="86"/>
        <v xml:space="preserve"> </v>
      </c>
      <c r="AH496" s="598" t="str">
        <f t="shared" si="86"/>
        <v xml:space="preserve"> </v>
      </c>
      <c r="AI496" s="598" t="str">
        <f t="shared" si="86"/>
        <v xml:space="preserve"> </v>
      </c>
      <c r="AJ496" s="598" t="str">
        <f t="shared" si="86"/>
        <v xml:space="preserve"> </v>
      </c>
      <c r="AK496" s="598" t="str">
        <f t="shared" si="86"/>
        <v xml:space="preserve"> </v>
      </c>
      <c r="AL496" s="598" t="str">
        <f t="shared" si="86"/>
        <v xml:space="preserve"> </v>
      </c>
      <c r="AM496" s="598" t="str">
        <f t="shared" si="86"/>
        <v xml:space="preserve"> </v>
      </c>
      <c r="AN496" s="598" t="str">
        <f t="shared" si="86"/>
        <v xml:space="preserve"> </v>
      </c>
      <c r="AO496" s="598" t="str">
        <f t="shared" si="86"/>
        <v xml:space="preserve"> </v>
      </c>
      <c r="AP496" s="598" t="str">
        <f t="shared" si="86"/>
        <v xml:space="preserve"> </v>
      </c>
      <c r="AQ496" s="598" t="str">
        <f t="shared" si="86"/>
        <v xml:space="preserve"> </v>
      </c>
      <c r="AR496" s="598" t="str">
        <f t="shared" si="86"/>
        <v xml:space="preserve"> </v>
      </c>
      <c r="AS496" s="598" t="str">
        <f t="shared" si="86"/>
        <v xml:space="preserve"> </v>
      </c>
      <c r="AT496" s="598" t="str">
        <f t="shared" si="86"/>
        <v xml:space="preserve"> </v>
      </c>
      <c r="AU496" s="598" t="str">
        <f t="shared" si="86"/>
        <v xml:space="preserve"> </v>
      </c>
      <c r="AW496" s="598" t="str">
        <f t="shared" si="82"/>
        <v xml:space="preserve"> </v>
      </c>
      <c r="AX496" s="598" t="str">
        <f t="shared" si="82"/>
        <v xml:space="preserve"> </v>
      </c>
      <c r="AY496" s="598" t="str">
        <f t="shared" si="82"/>
        <v xml:space="preserve"> </v>
      </c>
      <c r="AZ496" s="598" t="str">
        <f t="shared" si="82"/>
        <v xml:space="preserve"> </v>
      </c>
      <c r="BA496" s="598" t="str">
        <f t="shared" si="82"/>
        <v xml:space="preserve"> </v>
      </c>
      <c r="BB496" s="598" t="str">
        <f t="shared" si="82"/>
        <v xml:space="preserve"> </v>
      </c>
      <c r="BC496" s="598" t="str">
        <f t="shared" si="82"/>
        <v xml:space="preserve"> </v>
      </c>
      <c r="BD496" s="598" t="str">
        <f t="shared" si="82"/>
        <v xml:space="preserve"> </v>
      </c>
      <c r="BE496" s="598" t="str">
        <f t="shared" si="82"/>
        <v xml:space="preserve"> </v>
      </c>
      <c r="BF496" s="598" t="str">
        <f t="shared" si="82"/>
        <v xml:space="preserve"> </v>
      </c>
      <c r="BG496" s="598" t="str">
        <f t="shared" si="82"/>
        <v xml:space="preserve"> </v>
      </c>
      <c r="BH496" s="598" t="str">
        <f t="shared" si="82"/>
        <v xml:space="preserve"> </v>
      </c>
      <c r="BI496" s="598" t="str">
        <f t="shared" si="82"/>
        <v xml:space="preserve"> </v>
      </c>
      <c r="BJ496" s="598" t="str">
        <f t="shared" si="82"/>
        <v xml:space="preserve"> </v>
      </c>
      <c r="BK496" s="598" t="str">
        <f t="shared" si="82"/>
        <v xml:space="preserve"> </v>
      </c>
      <c r="BL496" s="598" t="str">
        <f t="shared" si="82"/>
        <v xml:space="preserve"> </v>
      </c>
      <c r="BM496" s="598" t="str">
        <f t="shared" si="81"/>
        <v xml:space="preserve"> </v>
      </c>
      <c r="BN496" s="598" t="str">
        <f t="shared" si="81"/>
        <v xml:space="preserve"> </v>
      </c>
      <c r="BO496" s="598" t="str">
        <f t="shared" si="81"/>
        <v xml:space="preserve"> </v>
      </c>
      <c r="BP496" s="598" t="str">
        <f t="shared" si="81"/>
        <v xml:space="preserve"> </v>
      </c>
      <c r="BQ496" s="598" t="str">
        <f t="shared" si="81"/>
        <v xml:space="preserve"> </v>
      </c>
      <c r="BR496" s="598" t="str">
        <f t="shared" si="81"/>
        <v xml:space="preserve"> </v>
      </c>
      <c r="BS496" s="598" t="str">
        <f t="shared" si="81"/>
        <v xml:space="preserve"> </v>
      </c>
      <c r="BT496" s="598" t="str">
        <f t="shared" si="81"/>
        <v xml:space="preserve"> </v>
      </c>
      <c r="BU496" s="598" t="str">
        <f t="shared" si="81"/>
        <v xml:space="preserve"> </v>
      </c>
      <c r="BV496" s="598" t="str">
        <f t="shared" si="81"/>
        <v xml:space="preserve"> </v>
      </c>
      <c r="BW496" s="598" t="str">
        <f t="shared" si="81"/>
        <v xml:space="preserve"> </v>
      </c>
      <c r="BX496" s="598" t="str">
        <f t="shared" si="81"/>
        <v xml:space="preserve"> </v>
      </c>
      <c r="BY496" s="598" t="str">
        <f t="shared" si="81"/>
        <v xml:space="preserve"> </v>
      </c>
      <c r="BZ496" s="598" t="str">
        <f t="shared" si="81"/>
        <v xml:space="preserve"> </v>
      </c>
      <c r="CA496" s="598" t="str">
        <f t="shared" si="79"/>
        <v xml:space="preserve"> </v>
      </c>
      <c r="CB496" s="598" t="str">
        <f t="shared" si="79"/>
        <v xml:space="preserve"> </v>
      </c>
      <c r="CC496" s="598" t="str">
        <f t="shared" si="79"/>
        <v xml:space="preserve"> </v>
      </c>
      <c r="CD496" s="598" t="str">
        <f t="shared" si="79"/>
        <v xml:space="preserve"> </v>
      </c>
      <c r="CE496" s="598" t="str">
        <f t="shared" si="79"/>
        <v xml:space="preserve"> </v>
      </c>
      <c r="CF496" s="598" t="str">
        <f t="shared" si="79"/>
        <v xml:space="preserve"> </v>
      </c>
      <c r="CG496" s="598" t="str">
        <f t="shared" si="79"/>
        <v xml:space="preserve"> </v>
      </c>
      <c r="CH496" s="598" t="str">
        <f t="shared" si="79"/>
        <v xml:space="preserve"> </v>
      </c>
      <c r="CI496" s="598" t="str">
        <f t="shared" si="79"/>
        <v xml:space="preserve"> </v>
      </c>
      <c r="CJ496" s="598" t="str">
        <f t="shared" si="79"/>
        <v xml:space="preserve"> </v>
      </c>
      <c r="CK496" s="598" t="str">
        <f t="shared" si="79"/>
        <v xml:space="preserve"> </v>
      </c>
      <c r="CL496" s="598" t="str">
        <f t="shared" si="79"/>
        <v xml:space="preserve"> </v>
      </c>
      <c r="CM496" s="598" t="str">
        <f t="shared" si="79"/>
        <v xml:space="preserve"> </v>
      </c>
      <c r="CN496" s="598" t="str">
        <f t="shared" si="79"/>
        <v xml:space="preserve"> </v>
      </c>
      <c r="CO496" s="598" t="str">
        <f t="shared" si="79"/>
        <v xml:space="preserve"> </v>
      </c>
      <c r="CP496" s="598" t="str">
        <f t="shared" si="79"/>
        <v xml:space="preserve"> </v>
      </c>
      <c r="CQ496" s="598" t="str">
        <f t="shared" ca="1" si="80"/>
        <v/>
      </c>
    </row>
    <row r="497" spans="1:95" ht="9.9499999999999993" customHeight="1">
      <c r="A497" s="598">
        <v>76</v>
      </c>
      <c r="B497" s="598" t="str">
        <f t="shared" ca="1" si="86"/>
        <v/>
      </c>
      <c r="C497" s="598" t="str">
        <f t="shared" ca="1" si="86"/>
        <v>Monster:Ogre</v>
      </c>
      <c r="D497" s="598" t="str">
        <f t="shared" ca="1" si="86"/>
        <v/>
      </c>
      <c r="E497" s="598" t="str">
        <f t="shared" si="86"/>
        <v xml:space="preserve"> </v>
      </c>
      <c r="F497" s="598" t="str">
        <f t="shared" si="86"/>
        <v xml:space="preserve"> </v>
      </c>
      <c r="G497" s="598" t="str">
        <f t="shared" si="86"/>
        <v xml:space="preserve"> </v>
      </c>
      <c r="H497" s="598" t="str">
        <f t="shared" si="86"/>
        <v xml:space="preserve"> </v>
      </c>
      <c r="I497" s="598" t="str">
        <f t="shared" si="86"/>
        <v xml:space="preserve"> </v>
      </c>
      <c r="J497" s="598" t="str">
        <f t="shared" si="86"/>
        <v xml:space="preserve"> </v>
      </c>
      <c r="K497" s="598" t="str">
        <f t="shared" si="86"/>
        <v xml:space="preserve"> </v>
      </c>
      <c r="L497" s="598" t="str">
        <f t="shared" si="86"/>
        <v xml:space="preserve"> </v>
      </c>
      <c r="M497" s="598" t="str">
        <f t="shared" ca="1" si="86"/>
        <v/>
      </c>
      <c r="N497" s="598" t="str">
        <f t="shared" ca="1" si="86"/>
        <v/>
      </c>
      <c r="O497" s="598" t="str">
        <f t="shared" si="86"/>
        <v xml:space="preserve"> </v>
      </c>
      <c r="P497" s="598" t="str">
        <f t="shared" si="86"/>
        <v xml:space="preserve"> </v>
      </c>
      <c r="Q497" s="598" t="str">
        <f t="shared" si="86"/>
        <v xml:space="preserve"> </v>
      </c>
      <c r="R497" s="598" t="str">
        <f t="shared" si="86"/>
        <v xml:space="preserve"> </v>
      </c>
      <c r="S497" s="598" t="str">
        <f t="shared" si="86"/>
        <v xml:space="preserve"> </v>
      </c>
      <c r="T497" s="598" t="str">
        <f t="shared" si="86"/>
        <v xml:space="preserve"> </v>
      </c>
      <c r="U497" s="598" t="str">
        <f t="shared" si="86"/>
        <v xml:space="preserve"> </v>
      </c>
      <c r="V497" s="598" t="str">
        <f t="shared" si="86"/>
        <v xml:space="preserve"> </v>
      </c>
      <c r="W497" s="598" t="str">
        <f t="shared" si="86"/>
        <v xml:space="preserve"> </v>
      </c>
      <c r="X497" s="598" t="str">
        <f t="shared" si="86"/>
        <v xml:space="preserve"> </v>
      </c>
      <c r="Y497" s="598" t="str">
        <f t="shared" si="86"/>
        <v xml:space="preserve"> </v>
      </c>
      <c r="Z497" s="598" t="str">
        <f t="shared" si="86"/>
        <v xml:space="preserve"> </v>
      </c>
      <c r="AA497" s="598" t="str">
        <f t="shared" si="86"/>
        <v xml:space="preserve"> </v>
      </c>
      <c r="AB497" s="598" t="str">
        <f t="shared" ca="1" si="86"/>
        <v/>
      </c>
      <c r="AC497" s="598" t="str">
        <f t="shared" ca="1" si="86"/>
        <v/>
      </c>
      <c r="AD497" s="598" t="str">
        <f t="shared" si="86"/>
        <v xml:space="preserve"> </v>
      </c>
      <c r="AE497" s="598" t="str">
        <f t="shared" si="86"/>
        <v xml:space="preserve"> </v>
      </c>
      <c r="AF497" s="598" t="str">
        <f t="shared" si="86"/>
        <v xml:space="preserve"> </v>
      </c>
      <c r="AG497" s="598" t="str">
        <f t="shared" si="86"/>
        <v xml:space="preserve"> </v>
      </c>
      <c r="AH497" s="598" t="str">
        <f t="shared" si="86"/>
        <v xml:space="preserve"> </v>
      </c>
      <c r="AI497" s="598" t="str">
        <f t="shared" si="86"/>
        <v xml:space="preserve"> </v>
      </c>
      <c r="AJ497" s="598" t="str">
        <f t="shared" si="86"/>
        <v xml:space="preserve"> </v>
      </c>
      <c r="AK497" s="598" t="str">
        <f t="shared" si="86"/>
        <v xml:space="preserve"> </v>
      </c>
      <c r="AL497" s="598" t="str">
        <f t="shared" si="86"/>
        <v xml:space="preserve"> </v>
      </c>
      <c r="AM497" s="598" t="str">
        <f t="shared" si="86"/>
        <v xml:space="preserve"> </v>
      </c>
      <c r="AN497" s="598" t="str">
        <f t="shared" si="86"/>
        <v xml:space="preserve"> </v>
      </c>
      <c r="AO497" s="598" t="str">
        <f t="shared" si="86"/>
        <v xml:space="preserve"> </v>
      </c>
      <c r="AP497" s="598" t="str">
        <f t="shared" si="86"/>
        <v xml:space="preserve"> </v>
      </c>
      <c r="AQ497" s="598" t="str">
        <f t="shared" si="86"/>
        <v xml:space="preserve"> </v>
      </c>
      <c r="AR497" s="598" t="str">
        <f t="shared" si="86"/>
        <v xml:space="preserve"> </v>
      </c>
      <c r="AS497" s="598" t="str">
        <f t="shared" si="86"/>
        <v xml:space="preserve"> </v>
      </c>
      <c r="AT497" s="598" t="str">
        <f t="shared" si="86"/>
        <v xml:space="preserve"> </v>
      </c>
      <c r="AU497" s="598" t="str">
        <f t="shared" si="86"/>
        <v xml:space="preserve"> </v>
      </c>
      <c r="AW497" s="598" t="str">
        <f t="shared" si="82"/>
        <v xml:space="preserve"> </v>
      </c>
      <c r="AX497" s="598" t="str">
        <f t="shared" si="82"/>
        <v xml:space="preserve"> </v>
      </c>
      <c r="AY497" s="598" t="str">
        <f t="shared" si="82"/>
        <v xml:space="preserve"> </v>
      </c>
      <c r="AZ497" s="598" t="str">
        <f t="shared" si="82"/>
        <v xml:space="preserve"> </v>
      </c>
      <c r="BA497" s="598" t="str">
        <f t="shared" si="82"/>
        <v xml:space="preserve"> </v>
      </c>
      <c r="BB497" s="598" t="str">
        <f t="shared" si="82"/>
        <v xml:space="preserve"> </v>
      </c>
      <c r="BC497" s="598" t="str">
        <f t="shared" si="82"/>
        <v xml:space="preserve"> </v>
      </c>
      <c r="BD497" s="598" t="str">
        <f t="shared" si="82"/>
        <v xml:space="preserve"> </v>
      </c>
      <c r="BE497" s="598" t="str">
        <f t="shared" si="82"/>
        <v xml:space="preserve"> </v>
      </c>
      <c r="BF497" s="598" t="str">
        <f t="shared" si="82"/>
        <v xml:space="preserve"> </v>
      </c>
      <c r="BG497" s="598" t="str">
        <f t="shared" si="82"/>
        <v xml:space="preserve"> </v>
      </c>
      <c r="BH497" s="598" t="str">
        <f t="shared" si="82"/>
        <v xml:space="preserve"> </v>
      </c>
      <c r="BI497" s="598" t="str">
        <f t="shared" si="82"/>
        <v xml:space="preserve"> </v>
      </c>
      <c r="BJ497" s="598" t="str">
        <f t="shared" si="82"/>
        <v xml:space="preserve"> </v>
      </c>
      <c r="BK497" s="598" t="str">
        <f t="shared" si="82"/>
        <v xml:space="preserve"> </v>
      </c>
      <c r="BL497" s="598" t="str">
        <f t="shared" si="82"/>
        <v xml:space="preserve"> </v>
      </c>
      <c r="BM497" s="598" t="str">
        <f t="shared" si="81"/>
        <v xml:space="preserve"> </v>
      </c>
      <c r="BN497" s="598" t="str">
        <f t="shared" si="81"/>
        <v xml:space="preserve"> </v>
      </c>
      <c r="BO497" s="598" t="str">
        <f t="shared" si="81"/>
        <v xml:space="preserve"> </v>
      </c>
      <c r="BP497" s="598" t="str">
        <f t="shared" si="81"/>
        <v xml:space="preserve"> </v>
      </c>
      <c r="BQ497" s="598" t="str">
        <f t="shared" si="81"/>
        <v xml:space="preserve"> </v>
      </c>
      <c r="BR497" s="598" t="str">
        <f t="shared" si="81"/>
        <v xml:space="preserve"> </v>
      </c>
      <c r="BS497" s="598" t="str">
        <f t="shared" si="81"/>
        <v xml:space="preserve"> </v>
      </c>
      <c r="BT497" s="598" t="str">
        <f t="shared" si="81"/>
        <v xml:space="preserve"> </v>
      </c>
      <c r="BU497" s="598" t="str">
        <f t="shared" si="81"/>
        <v xml:space="preserve"> </v>
      </c>
      <c r="BV497" s="598" t="str">
        <f t="shared" si="81"/>
        <v xml:space="preserve"> </v>
      </c>
      <c r="BW497" s="598" t="str">
        <f t="shared" si="81"/>
        <v xml:space="preserve"> </v>
      </c>
      <c r="BX497" s="598" t="str">
        <f t="shared" si="81"/>
        <v xml:space="preserve"> </v>
      </c>
      <c r="BY497" s="598" t="str">
        <f t="shared" si="81"/>
        <v xml:space="preserve"> </v>
      </c>
      <c r="BZ497" s="598" t="str">
        <f t="shared" si="81"/>
        <v xml:space="preserve"> </v>
      </c>
      <c r="CA497" s="598" t="str">
        <f t="shared" si="79"/>
        <v xml:space="preserve"> </v>
      </c>
      <c r="CB497" s="598" t="str">
        <f t="shared" si="79"/>
        <v xml:space="preserve"> </v>
      </c>
      <c r="CC497" s="598" t="str">
        <f t="shared" si="79"/>
        <v xml:space="preserve"> </v>
      </c>
      <c r="CD497" s="598" t="str">
        <f t="shared" si="79"/>
        <v xml:space="preserve"> </v>
      </c>
      <c r="CE497" s="598" t="str">
        <f t="shared" si="79"/>
        <v xml:space="preserve"> </v>
      </c>
      <c r="CF497" s="598" t="str">
        <f t="shared" si="79"/>
        <v xml:space="preserve"> </v>
      </c>
      <c r="CG497" s="598" t="str">
        <f t="shared" si="79"/>
        <v xml:space="preserve"> </v>
      </c>
      <c r="CH497" s="598" t="str">
        <f t="shared" si="79"/>
        <v xml:space="preserve"> </v>
      </c>
      <c r="CI497" s="598" t="str">
        <f t="shared" si="79"/>
        <v xml:space="preserve"> </v>
      </c>
      <c r="CJ497" s="598" t="str">
        <f t="shared" si="79"/>
        <v xml:space="preserve"> </v>
      </c>
      <c r="CK497" s="598" t="str">
        <f t="shared" si="79"/>
        <v xml:space="preserve"> </v>
      </c>
      <c r="CL497" s="598" t="str">
        <f t="shared" si="79"/>
        <v xml:space="preserve"> </v>
      </c>
      <c r="CM497" s="598" t="str">
        <f t="shared" si="79"/>
        <v xml:space="preserve"> </v>
      </c>
      <c r="CN497" s="598" t="str">
        <f t="shared" si="79"/>
        <v xml:space="preserve"> </v>
      </c>
      <c r="CO497" s="598" t="str">
        <f t="shared" si="79"/>
        <v xml:space="preserve"> </v>
      </c>
      <c r="CP497" s="598" t="str">
        <f t="shared" si="79"/>
        <v xml:space="preserve"> </v>
      </c>
      <c r="CQ497" s="598" t="str">
        <f t="shared" ca="1" si="80"/>
        <v/>
      </c>
    </row>
    <row r="498" spans="1:95" ht="9.9499999999999993" customHeight="1">
      <c r="A498" s="598">
        <v>77</v>
      </c>
      <c r="B498" s="598" t="str">
        <f t="shared" ca="1" si="86"/>
        <v/>
      </c>
      <c r="C498" s="598" t="str">
        <f t="shared" ca="1" si="86"/>
        <v>Monster:Orc</v>
      </c>
      <c r="D498" s="598" t="str">
        <f t="shared" ca="1" si="86"/>
        <v/>
      </c>
      <c r="E498" s="598" t="str">
        <f t="shared" si="86"/>
        <v xml:space="preserve"> </v>
      </c>
      <c r="F498" s="598" t="str">
        <f t="shared" si="86"/>
        <v xml:space="preserve"> </v>
      </c>
      <c r="G498" s="598" t="str">
        <f t="shared" si="86"/>
        <v xml:space="preserve"> </v>
      </c>
      <c r="H498" s="598" t="str">
        <f t="shared" si="86"/>
        <v xml:space="preserve"> </v>
      </c>
      <c r="I498" s="598" t="str">
        <f t="shared" si="86"/>
        <v xml:space="preserve"> </v>
      </c>
      <c r="J498" s="598" t="str">
        <f t="shared" si="86"/>
        <v xml:space="preserve"> </v>
      </c>
      <c r="K498" s="598" t="str">
        <f t="shared" si="86"/>
        <v xml:space="preserve"> </v>
      </c>
      <c r="L498" s="598" t="str">
        <f t="shared" si="86"/>
        <v xml:space="preserve"> </v>
      </c>
      <c r="M498" s="598" t="str">
        <f t="shared" ca="1" si="86"/>
        <v/>
      </c>
      <c r="N498" s="598" t="str">
        <f t="shared" ca="1" si="86"/>
        <v/>
      </c>
      <c r="O498" s="598" t="str">
        <f t="shared" si="86"/>
        <v xml:space="preserve"> </v>
      </c>
      <c r="P498" s="598" t="str">
        <f t="shared" si="86"/>
        <v xml:space="preserve"> </v>
      </c>
      <c r="Q498" s="598" t="str">
        <f t="shared" si="86"/>
        <v xml:space="preserve"> </v>
      </c>
      <c r="R498" s="598" t="str">
        <f t="shared" si="86"/>
        <v xml:space="preserve"> </v>
      </c>
      <c r="S498" s="598" t="str">
        <f t="shared" si="86"/>
        <v xml:space="preserve"> </v>
      </c>
      <c r="T498" s="598" t="str">
        <f t="shared" si="86"/>
        <v xml:space="preserve"> </v>
      </c>
      <c r="U498" s="598" t="str">
        <f t="shared" si="86"/>
        <v xml:space="preserve"> </v>
      </c>
      <c r="V498" s="598" t="str">
        <f t="shared" si="86"/>
        <v xml:space="preserve"> </v>
      </c>
      <c r="W498" s="598" t="str">
        <f t="shared" si="86"/>
        <v xml:space="preserve"> </v>
      </c>
      <c r="X498" s="598" t="str">
        <f t="shared" si="86"/>
        <v xml:space="preserve"> </v>
      </c>
      <c r="Y498" s="598" t="str">
        <f t="shared" si="86"/>
        <v xml:space="preserve"> </v>
      </c>
      <c r="Z498" s="598" t="str">
        <f t="shared" si="86"/>
        <v xml:space="preserve"> </v>
      </c>
      <c r="AA498" s="598" t="str">
        <f t="shared" si="86"/>
        <v xml:space="preserve"> </v>
      </c>
      <c r="AB498" s="598" t="str">
        <f t="shared" ca="1" si="86"/>
        <v/>
      </c>
      <c r="AC498" s="598" t="str">
        <f t="shared" ca="1" si="86"/>
        <v/>
      </c>
      <c r="AD498" s="598" t="str">
        <f t="shared" si="86"/>
        <v xml:space="preserve"> </v>
      </c>
      <c r="AE498" s="598" t="str">
        <f t="shared" si="86"/>
        <v xml:space="preserve"> </v>
      </c>
      <c r="AF498" s="598" t="str">
        <f t="shared" si="86"/>
        <v xml:space="preserve"> </v>
      </c>
      <c r="AG498" s="598" t="str">
        <f t="shared" si="86"/>
        <v xml:space="preserve"> </v>
      </c>
      <c r="AH498" s="598" t="str">
        <f t="shared" si="86"/>
        <v xml:space="preserve"> </v>
      </c>
      <c r="AI498" s="598" t="str">
        <f t="shared" si="86"/>
        <v xml:space="preserve"> </v>
      </c>
      <c r="AJ498" s="598" t="str">
        <f t="shared" si="86"/>
        <v xml:space="preserve"> </v>
      </c>
      <c r="AK498" s="598" t="str">
        <f t="shared" si="86"/>
        <v xml:space="preserve"> </v>
      </c>
      <c r="AL498" s="598" t="str">
        <f t="shared" si="86"/>
        <v xml:space="preserve"> </v>
      </c>
      <c r="AM498" s="598" t="str">
        <f t="shared" si="86"/>
        <v xml:space="preserve"> </v>
      </c>
      <c r="AN498" s="598" t="str">
        <f t="shared" si="86"/>
        <v xml:space="preserve"> </v>
      </c>
      <c r="AO498" s="598" t="str">
        <f t="shared" si="86"/>
        <v xml:space="preserve"> </v>
      </c>
      <c r="AP498" s="598" t="str">
        <f t="shared" si="86"/>
        <v xml:space="preserve"> </v>
      </c>
      <c r="AQ498" s="598" t="str">
        <f t="shared" si="86"/>
        <v xml:space="preserve"> </v>
      </c>
      <c r="AR498" s="598" t="str">
        <f t="shared" si="86"/>
        <v xml:space="preserve"> </v>
      </c>
      <c r="AS498" s="598" t="str">
        <f t="shared" si="86"/>
        <v xml:space="preserve"> </v>
      </c>
      <c r="AT498" s="598" t="str">
        <f t="shared" si="86"/>
        <v xml:space="preserve"> </v>
      </c>
      <c r="AU498" s="598" t="str">
        <f t="shared" si="86"/>
        <v xml:space="preserve"> </v>
      </c>
      <c r="AW498" s="598" t="str">
        <f t="shared" si="82"/>
        <v xml:space="preserve"> </v>
      </c>
      <c r="AX498" s="598" t="str">
        <f t="shared" si="82"/>
        <v xml:space="preserve"> </v>
      </c>
      <c r="AY498" s="598" t="str">
        <f t="shared" si="82"/>
        <v xml:space="preserve"> </v>
      </c>
      <c r="AZ498" s="598" t="str">
        <f t="shared" si="82"/>
        <v xml:space="preserve"> </v>
      </c>
      <c r="BA498" s="598" t="str">
        <f t="shared" si="82"/>
        <v xml:space="preserve"> </v>
      </c>
      <c r="BB498" s="598" t="str">
        <f t="shared" si="82"/>
        <v xml:space="preserve"> </v>
      </c>
      <c r="BC498" s="598" t="str">
        <f t="shared" si="82"/>
        <v xml:space="preserve"> </v>
      </c>
      <c r="BD498" s="598" t="str">
        <f t="shared" si="82"/>
        <v xml:space="preserve"> </v>
      </c>
      <c r="BE498" s="598" t="str">
        <f t="shared" si="82"/>
        <v xml:space="preserve"> </v>
      </c>
      <c r="BF498" s="598" t="str">
        <f t="shared" si="82"/>
        <v xml:space="preserve"> </v>
      </c>
      <c r="BG498" s="598" t="str">
        <f t="shared" si="82"/>
        <v xml:space="preserve"> </v>
      </c>
      <c r="BH498" s="598" t="str">
        <f t="shared" si="82"/>
        <v xml:space="preserve"> </v>
      </c>
      <c r="BI498" s="598" t="str">
        <f t="shared" si="82"/>
        <v xml:space="preserve"> </v>
      </c>
      <c r="BJ498" s="598" t="str">
        <f t="shared" si="82"/>
        <v xml:space="preserve"> </v>
      </c>
      <c r="BK498" s="598" t="str">
        <f t="shared" si="82"/>
        <v xml:space="preserve"> </v>
      </c>
      <c r="BL498" s="598" t="str">
        <f t="shared" si="82"/>
        <v xml:space="preserve"> </v>
      </c>
      <c r="BM498" s="598" t="str">
        <f t="shared" si="81"/>
        <v xml:space="preserve"> </v>
      </c>
      <c r="BN498" s="598" t="str">
        <f t="shared" si="81"/>
        <v xml:space="preserve"> </v>
      </c>
      <c r="BO498" s="598" t="str">
        <f t="shared" si="81"/>
        <v xml:space="preserve"> </v>
      </c>
      <c r="BP498" s="598" t="str">
        <f t="shared" si="81"/>
        <v xml:space="preserve"> </v>
      </c>
      <c r="BQ498" s="598" t="str">
        <f t="shared" si="81"/>
        <v xml:space="preserve"> </v>
      </c>
      <c r="BR498" s="598" t="str">
        <f t="shared" si="81"/>
        <v xml:space="preserve"> </v>
      </c>
      <c r="BS498" s="598" t="str">
        <f t="shared" si="81"/>
        <v xml:space="preserve"> </v>
      </c>
      <c r="BT498" s="598" t="str">
        <f t="shared" si="81"/>
        <v xml:space="preserve"> </v>
      </c>
      <c r="BU498" s="598" t="str">
        <f t="shared" si="81"/>
        <v xml:space="preserve"> </v>
      </c>
      <c r="BV498" s="598" t="str">
        <f t="shared" si="81"/>
        <v xml:space="preserve"> </v>
      </c>
      <c r="BW498" s="598" t="str">
        <f t="shared" si="81"/>
        <v xml:space="preserve"> </v>
      </c>
      <c r="BX498" s="598" t="str">
        <f t="shared" si="81"/>
        <v xml:space="preserve"> </v>
      </c>
      <c r="BY498" s="598" t="str">
        <f t="shared" si="81"/>
        <v xml:space="preserve"> </v>
      </c>
      <c r="BZ498" s="598" t="str">
        <f t="shared" si="81"/>
        <v xml:space="preserve"> </v>
      </c>
      <c r="CA498" s="598" t="str">
        <f t="shared" si="79"/>
        <v xml:space="preserve"> </v>
      </c>
      <c r="CB498" s="598" t="str">
        <f t="shared" si="79"/>
        <v xml:space="preserve"> </v>
      </c>
      <c r="CC498" s="598" t="str">
        <f t="shared" si="79"/>
        <v xml:space="preserve"> </v>
      </c>
      <c r="CD498" s="598" t="str">
        <f t="shared" si="79"/>
        <v xml:space="preserve"> </v>
      </c>
      <c r="CE498" s="598" t="str">
        <f t="shared" si="79"/>
        <v xml:space="preserve"> </v>
      </c>
      <c r="CF498" s="598" t="str">
        <f t="shared" si="79"/>
        <v xml:space="preserve"> </v>
      </c>
      <c r="CG498" s="598" t="str">
        <f t="shared" si="79"/>
        <v xml:space="preserve"> </v>
      </c>
      <c r="CH498" s="598" t="str">
        <f t="shared" si="79"/>
        <v xml:space="preserve"> </v>
      </c>
      <c r="CI498" s="598" t="str">
        <f t="shared" si="79"/>
        <v xml:space="preserve"> </v>
      </c>
      <c r="CJ498" s="598" t="str">
        <f t="shared" si="79"/>
        <v xml:space="preserve"> </v>
      </c>
      <c r="CK498" s="598" t="str">
        <f t="shared" si="79"/>
        <v xml:space="preserve"> </v>
      </c>
      <c r="CL498" s="598" t="str">
        <f t="shared" si="79"/>
        <v xml:space="preserve"> </v>
      </c>
      <c r="CM498" s="598" t="str">
        <f t="shared" si="79"/>
        <v xml:space="preserve"> </v>
      </c>
      <c r="CN498" s="598" t="str">
        <f t="shared" si="79"/>
        <v xml:space="preserve"> </v>
      </c>
      <c r="CO498" s="598" t="str">
        <f t="shared" si="79"/>
        <v xml:space="preserve"> </v>
      </c>
      <c r="CP498" s="598" t="str">
        <f t="shared" si="79"/>
        <v xml:space="preserve"> </v>
      </c>
      <c r="CQ498" s="598" t="str">
        <f t="shared" ca="1" si="80"/>
        <v/>
      </c>
    </row>
    <row r="499" spans="1:95" ht="9.9499999999999993" customHeight="1">
      <c r="A499" s="598">
        <v>78</v>
      </c>
      <c r="B499" s="598" t="str">
        <f t="shared" ca="1" si="86"/>
        <v/>
      </c>
      <c r="C499" s="598" t="str">
        <f t="shared" ca="1" si="86"/>
        <v>Monster:Saurian (Lizardmen)</v>
      </c>
      <c r="D499" s="598" t="str">
        <f t="shared" ca="1" si="86"/>
        <v/>
      </c>
      <c r="E499" s="598" t="str">
        <f t="shared" si="86"/>
        <v xml:space="preserve"> </v>
      </c>
      <c r="F499" s="598" t="str">
        <f t="shared" si="86"/>
        <v xml:space="preserve"> </v>
      </c>
      <c r="G499" s="598" t="str">
        <f t="shared" si="86"/>
        <v xml:space="preserve"> </v>
      </c>
      <c r="H499" s="598" t="str">
        <f t="shared" si="86"/>
        <v xml:space="preserve"> </v>
      </c>
      <c r="I499" s="598" t="str">
        <f t="shared" si="86"/>
        <v xml:space="preserve"> </v>
      </c>
      <c r="J499" s="598" t="str">
        <f t="shared" si="86"/>
        <v xml:space="preserve"> </v>
      </c>
      <c r="K499" s="598" t="str">
        <f t="shared" si="86"/>
        <v xml:space="preserve"> </v>
      </c>
      <c r="L499" s="598" t="str">
        <f t="shared" si="86"/>
        <v xml:space="preserve"> </v>
      </c>
      <c r="M499" s="598" t="str">
        <f t="shared" ca="1" si="86"/>
        <v/>
      </c>
      <c r="N499" s="598" t="str">
        <f t="shared" ca="1" si="86"/>
        <v/>
      </c>
      <c r="O499" s="598" t="str">
        <f t="shared" si="86"/>
        <v xml:space="preserve"> </v>
      </c>
      <c r="P499" s="598" t="str">
        <f t="shared" si="86"/>
        <v xml:space="preserve"> </v>
      </c>
      <c r="Q499" s="598" t="str">
        <f t="shared" si="86"/>
        <v xml:space="preserve"> </v>
      </c>
      <c r="R499" s="598" t="str">
        <f t="shared" si="86"/>
        <v xml:space="preserve"> </v>
      </c>
      <c r="S499" s="598" t="str">
        <f t="shared" si="86"/>
        <v xml:space="preserve"> </v>
      </c>
      <c r="T499" s="598" t="str">
        <f t="shared" si="86"/>
        <v xml:space="preserve"> </v>
      </c>
      <c r="U499" s="598" t="str">
        <f t="shared" si="86"/>
        <v xml:space="preserve"> </v>
      </c>
      <c r="V499" s="598" t="str">
        <f t="shared" si="86"/>
        <v xml:space="preserve"> </v>
      </c>
      <c r="W499" s="598" t="str">
        <f t="shared" si="86"/>
        <v xml:space="preserve"> </v>
      </c>
      <c r="X499" s="598" t="str">
        <f t="shared" si="86"/>
        <v xml:space="preserve"> </v>
      </c>
      <c r="Y499" s="598" t="str">
        <f t="shared" si="86"/>
        <v xml:space="preserve"> </v>
      </c>
      <c r="Z499" s="598" t="str">
        <f t="shared" si="86"/>
        <v xml:space="preserve"> </v>
      </c>
      <c r="AA499" s="598" t="str">
        <f t="shared" si="86"/>
        <v xml:space="preserve"> </v>
      </c>
      <c r="AB499" s="598" t="str">
        <f t="shared" ca="1" si="86"/>
        <v/>
      </c>
      <c r="AC499" s="598" t="str">
        <f t="shared" ca="1" si="86"/>
        <v/>
      </c>
      <c r="AD499" s="598" t="str">
        <f t="shared" si="86"/>
        <v xml:space="preserve"> </v>
      </c>
      <c r="AE499" s="598" t="str">
        <f t="shared" si="86"/>
        <v xml:space="preserve"> </v>
      </c>
      <c r="AF499" s="598" t="str">
        <f t="shared" si="86"/>
        <v xml:space="preserve"> </v>
      </c>
      <c r="AG499" s="598" t="str">
        <f t="shared" si="86"/>
        <v xml:space="preserve"> </v>
      </c>
      <c r="AH499" s="598" t="str">
        <f t="shared" si="86"/>
        <v xml:space="preserve"> </v>
      </c>
      <c r="AI499" s="598" t="str">
        <f t="shared" si="86"/>
        <v xml:space="preserve"> </v>
      </c>
      <c r="AJ499" s="598" t="str">
        <f t="shared" si="86"/>
        <v xml:space="preserve"> </v>
      </c>
      <c r="AK499" s="598" t="str">
        <f t="shared" si="86"/>
        <v xml:space="preserve"> </v>
      </c>
      <c r="AL499" s="598" t="str">
        <f t="shared" si="86"/>
        <v xml:space="preserve"> </v>
      </c>
      <c r="AM499" s="598" t="str">
        <f t="shared" si="86"/>
        <v xml:space="preserve"> </v>
      </c>
      <c r="AN499" s="598" t="str">
        <f t="shared" si="86"/>
        <v xml:space="preserve"> </v>
      </c>
      <c r="AO499" s="598" t="str">
        <f t="shared" si="86"/>
        <v xml:space="preserve"> </v>
      </c>
      <c r="AP499" s="598" t="str">
        <f t="shared" si="86"/>
        <v xml:space="preserve"> </v>
      </c>
      <c r="AQ499" s="598" t="str">
        <f t="shared" si="86"/>
        <v xml:space="preserve"> </v>
      </c>
      <c r="AR499" s="598" t="str">
        <f t="shared" si="86"/>
        <v xml:space="preserve"> </v>
      </c>
      <c r="AS499" s="598" t="str">
        <f t="shared" si="86"/>
        <v xml:space="preserve"> </v>
      </c>
      <c r="AT499" s="598" t="str">
        <f t="shared" si="86"/>
        <v xml:space="preserve"> </v>
      </c>
      <c r="AU499" s="598" t="str">
        <f t="shared" si="86"/>
        <v xml:space="preserve"> </v>
      </c>
      <c r="AW499" s="598" t="str">
        <f t="shared" si="82"/>
        <v xml:space="preserve"> </v>
      </c>
      <c r="AX499" s="598" t="str">
        <f t="shared" si="82"/>
        <v xml:space="preserve"> </v>
      </c>
      <c r="AY499" s="598" t="str">
        <f t="shared" si="82"/>
        <v xml:space="preserve"> </v>
      </c>
      <c r="AZ499" s="598" t="str">
        <f t="shared" si="82"/>
        <v xml:space="preserve"> </v>
      </c>
      <c r="BA499" s="598" t="str">
        <f t="shared" si="82"/>
        <v xml:space="preserve"> </v>
      </c>
      <c r="BB499" s="598" t="str">
        <f t="shared" si="82"/>
        <v xml:space="preserve"> </v>
      </c>
      <c r="BC499" s="598" t="str">
        <f t="shared" si="82"/>
        <v xml:space="preserve"> </v>
      </c>
      <c r="BD499" s="598" t="str">
        <f t="shared" si="82"/>
        <v xml:space="preserve"> </v>
      </c>
      <c r="BE499" s="598" t="str">
        <f t="shared" si="82"/>
        <v xml:space="preserve"> </v>
      </c>
      <c r="BF499" s="598" t="str">
        <f t="shared" si="82"/>
        <v xml:space="preserve"> </v>
      </c>
      <c r="BG499" s="598" t="str">
        <f t="shared" si="82"/>
        <v xml:space="preserve"> </v>
      </c>
      <c r="BH499" s="598" t="str">
        <f t="shared" si="82"/>
        <v xml:space="preserve"> </v>
      </c>
      <c r="BI499" s="598" t="str">
        <f t="shared" si="82"/>
        <v xml:space="preserve"> </v>
      </c>
      <c r="BJ499" s="598" t="str">
        <f t="shared" si="82"/>
        <v xml:space="preserve"> </v>
      </c>
      <c r="BK499" s="598" t="str">
        <f t="shared" si="82"/>
        <v xml:space="preserve"> </v>
      </c>
      <c r="BL499" s="598" t="str">
        <f t="shared" si="82"/>
        <v xml:space="preserve"> </v>
      </c>
      <c r="BM499" s="598" t="str">
        <f t="shared" si="81"/>
        <v xml:space="preserve"> </v>
      </c>
      <c r="BN499" s="598" t="str">
        <f t="shared" si="81"/>
        <v xml:space="preserve"> </v>
      </c>
      <c r="BO499" s="598" t="str">
        <f t="shared" si="81"/>
        <v xml:space="preserve"> </v>
      </c>
      <c r="BP499" s="598" t="str">
        <f t="shared" si="81"/>
        <v xml:space="preserve"> </v>
      </c>
      <c r="BQ499" s="598" t="str">
        <f t="shared" si="81"/>
        <v xml:space="preserve"> </v>
      </c>
      <c r="BR499" s="598" t="str">
        <f t="shared" si="81"/>
        <v xml:space="preserve"> </v>
      </c>
      <c r="BS499" s="598" t="str">
        <f t="shared" si="81"/>
        <v xml:space="preserve"> </v>
      </c>
      <c r="BT499" s="598" t="str">
        <f t="shared" si="81"/>
        <v xml:space="preserve"> </v>
      </c>
      <c r="BU499" s="598" t="str">
        <f t="shared" si="81"/>
        <v xml:space="preserve"> </v>
      </c>
      <c r="BV499" s="598" t="str">
        <f t="shared" si="81"/>
        <v xml:space="preserve"> </v>
      </c>
      <c r="BW499" s="598" t="str">
        <f t="shared" si="81"/>
        <v xml:space="preserve"> </v>
      </c>
      <c r="BX499" s="598" t="str">
        <f t="shared" si="81"/>
        <v xml:space="preserve"> </v>
      </c>
      <c r="BY499" s="598" t="str">
        <f t="shared" si="81"/>
        <v xml:space="preserve"> </v>
      </c>
      <c r="BZ499" s="598" t="str">
        <f t="shared" si="81"/>
        <v xml:space="preserve"> </v>
      </c>
      <c r="CA499" s="598" t="str">
        <f t="shared" si="79"/>
        <v xml:space="preserve"> </v>
      </c>
      <c r="CB499" s="598" t="str">
        <f t="shared" si="79"/>
        <v xml:space="preserve"> </v>
      </c>
      <c r="CC499" s="598" t="str">
        <f t="shared" si="79"/>
        <v xml:space="preserve"> </v>
      </c>
      <c r="CD499" s="598" t="str">
        <f t="shared" si="79"/>
        <v xml:space="preserve"> </v>
      </c>
      <c r="CE499" s="598" t="str">
        <f t="shared" si="79"/>
        <v xml:space="preserve"> </v>
      </c>
      <c r="CF499" s="598" t="str">
        <f t="shared" si="79"/>
        <v xml:space="preserve"> </v>
      </c>
      <c r="CG499" s="598" t="str">
        <f t="shared" si="79"/>
        <v xml:space="preserve"> </v>
      </c>
      <c r="CH499" s="598" t="str">
        <f t="shared" si="79"/>
        <v xml:space="preserve"> </v>
      </c>
      <c r="CI499" s="598" t="str">
        <f t="shared" si="79"/>
        <v xml:space="preserve"> </v>
      </c>
      <c r="CJ499" s="598" t="str">
        <f t="shared" si="79"/>
        <v xml:space="preserve"> </v>
      </c>
      <c r="CK499" s="598" t="str">
        <f t="shared" si="79"/>
        <v xml:space="preserve"> </v>
      </c>
      <c r="CL499" s="598" t="str">
        <f t="shared" si="79"/>
        <v xml:space="preserve"> </v>
      </c>
      <c r="CM499" s="598" t="str">
        <f t="shared" si="79"/>
        <v xml:space="preserve"> </v>
      </c>
      <c r="CN499" s="598" t="str">
        <f t="shared" si="79"/>
        <v xml:space="preserve"> </v>
      </c>
      <c r="CO499" s="598" t="str">
        <f t="shared" si="79"/>
        <v xml:space="preserve"> </v>
      </c>
      <c r="CP499" s="598" t="str">
        <f t="shared" si="79"/>
        <v xml:space="preserve"> </v>
      </c>
      <c r="CQ499" s="598" t="str">
        <f t="shared" ca="1" si="80"/>
        <v/>
      </c>
    </row>
    <row r="500" spans="1:95" ht="9.9499999999999993" customHeight="1">
      <c r="A500" s="598">
        <v>79</v>
      </c>
      <c r="B500" s="598" t="str">
        <f t="shared" ca="1" si="86"/>
        <v/>
      </c>
      <c r="C500" s="598" t="str">
        <f t="shared" ca="1" si="86"/>
        <v>Monster:Saurian  (Dragon Kin) (Common)</v>
      </c>
      <c r="D500" s="598" t="str">
        <f t="shared" ca="1" si="86"/>
        <v/>
      </c>
      <c r="E500" s="598" t="str">
        <f t="shared" si="86"/>
        <v xml:space="preserve"> </v>
      </c>
      <c r="F500" s="598" t="str">
        <f t="shared" si="86"/>
        <v xml:space="preserve"> </v>
      </c>
      <c r="G500" s="598" t="str">
        <f t="shared" si="86"/>
        <v xml:space="preserve"> </v>
      </c>
      <c r="H500" s="598" t="str">
        <f t="shared" si="86"/>
        <v xml:space="preserve"> </v>
      </c>
      <c r="I500" s="598" t="str">
        <f t="shared" si="86"/>
        <v xml:space="preserve"> </v>
      </c>
      <c r="J500" s="598" t="str">
        <f t="shared" si="86"/>
        <v xml:space="preserve"> </v>
      </c>
      <c r="K500" s="598" t="str">
        <f t="shared" si="86"/>
        <v xml:space="preserve"> </v>
      </c>
      <c r="L500" s="598" t="str">
        <f t="shared" si="86"/>
        <v xml:space="preserve"> </v>
      </c>
      <c r="M500" s="598" t="str">
        <f t="shared" ca="1" si="86"/>
        <v/>
      </c>
      <c r="N500" s="598" t="str">
        <f t="shared" ca="1" si="86"/>
        <v/>
      </c>
      <c r="O500" s="598" t="str">
        <f t="shared" si="86"/>
        <v xml:space="preserve"> </v>
      </c>
      <c r="P500" s="598" t="str">
        <f t="shared" si="86"/>
        <v xml:space="preserve"> </v>
      </c>
      <c r="Q500" s="598" t="str">
        <f t="shared" si="86"/>
        <v xml:space="preserve"> </v>
      </c>
      <c r="R500" s="598" t="str">
        <f t="shared" si="86"/>
        <v xml:space="preserve"> </v>
      </c>
      <c r="S500" s="598" t="str">
        <f t="shared" si="86"/>
        <v xml:space="preserve"> </v>
      </c>
      <c r="T500" s="598" t="str">
        <f t="shared" si="86"/>
        <v xml:space="preserve"> </v>
      </c>
      <c r="U500" s="598" t="str">
        <f t="shared" si="86"/>
        <v xml:space="preserve"> </v>
      </c>
      <c r="V500" s="598" t="str">
        <f t="shared" si="86"/>
        <v xml:space="preserve"> </v>
      </c>
      <c r="W500" s="598" t="str">
        <f t="shared" si="86"/>
        <v xml:space="preserve"> </v>
      </c>
      <c r="X500" s="598" t="str">
        <f t="shared" si="86"/>
        <v xml:space="preserve"> </v>
      </c>
      <c r="Y500" s="598" t="str">
        <f t="shared" si="86"/>
        <v xml:space="preserve"> </v>
      </c>
      <c r="Z500" s="598" t="str">
        <f t="shared" si="86"/>
        <v xml:space="preserve"> </v>
      </c>
      <c r="AA500" s="598" t="str">
        <f t="shared" ref="AA500:AU500" si="87">HLOOKUP(AA$421,$C$217:$Z$317,$A500+1)</f>
        <v xml:space="preserve"> </v>
      </c>
      <c r="AB500" s="598" t="str">
        <f t="shared" ca="1" si="87"/>
        <v/>
      </c>
      <c r="AC500" s="598" t="str">
        <f t="shared" ca="1" si="87"/>
        <v/>
      </c>
      <c r="AD500" s="598" t="str">
        <f t="shared" si="87"/>
        <v xml:space="preserve"> </v>
      </c>
      <c r="AE500" s="598" t="str">
        <f t="shared" si="87"/>
        <v xml:space="preserve"> </v>
      </c>
      <c r="AF500" s="598" t="str">
        <f t="shared" si="87"/>
        <v xml:space="preserve"> </v>
      </c>
      <c r="AG500" s="598" t="str">
        <f t="shared" si="87"/>
        <v xml:space="preserve"> </v>
      </c>
      <c r="AH500" s="598" t="str">
        <f t="shared" si="87"/>
        <v xml:space="preserve"> </v>
      </c>
      <c r="AI500" s="598" t="str">
        <f t="shared" si="87"/>
        <v xml:space="preserve"> </v>
      </c>
      <c r="AJ500" s="598" t="str">
        <f t="shared" si="87"/>
        <v xml:space="preserve"> </v>
      </c>
      <c r="AK500" s="598" t="str">
        <f t="shared" si="87"/>
        <v xml:space="preserve"> </v>
      </c>
      <c r="AL500" s="598" t="str">
        <f t="shared" si="87"/>
        <v xml:space="preserve"> </v>
      </c>
      <c r="AM500" s="598" t="str">
        <f t="shared" si="87"/>
        <v xml:space="preserve"> </v>
      </c>
      <c r="AN500" s="598" t="str">
        <f t="shared" si="87"/>
        <v xml:space="preserve"> </v>
      </c>
      <c r="AO500" s="598" t="str">
        <f t="shared" si="87"/>
        <v xml:space="preserve"> </v>
      </c>
      <c r="AP500" s="598" t="str">
        <f t="shared" si="87"/>
        <v xml:space="preserve"> </v>
      </c>
      <c r="AQ500" s="598" t="str">
        <f t="shared" si="87"/>
        <v xml:space="preserve"> </v>
      </c>
      <c r="AR500" s="598" t="str">
        <f t="shared" si="87"/>
        <v xml:space="preserve"> </v>
      </c>
      <c r="AS500" s="598" t="str">
        <f t="shared" si="87"/>
        <v xml:space="preserve"> </v>
      </c>
      <c r="AT500" s="598" t="str">
        <f t="shared" si="87"/>
        <v xml:space="preserve"> </v>
      </c>
      <c r="AU500" s="598" t="str">
        <f t="shared" si="87"/>
        <v xml:space="preserve"> </v>
      </c>
      <c r="AW500" s="598" t="str">
        <f t="shared" si="82"/>
        <v xml:space="preserve"> </v>
      </c>
      <c r="AX500" s="598" t="str">
        <f t="shared" si="82"/>
        <v xml:space="preserve"> </v>
      </c>
      <c r="AY500" s="598" t="str">
        <f t="shared" si="82"/>
        <v xml:space="preserve"> </v>
      </c>
      <c r="AZ500" s="598" t="str">
        <f t="shared" si="82"/>
        <v xml:space="preserve"> </v>
      </c>
      <c r="BA500" s="598" t="str">
        <f t="shared" si="82"/>
        <v xml:space="preserve"> </v>
      </c>
      <c r="BB500" s="598" t="str">
        <f t="shared" si="82"/>
        <v xml:space="preserve"> </v>
      </c>
      <c r="BC500" s="598" t="str">
        <f t="shared" si="82"/>
        <v xml:space="preserve"> </v>
      </c>
      <c r="BD500" s="598" t="str">
        <f t="shared" si="82"/>
        <v xml:space="preserve"> </v>
      </c>
      <c r="BE500" s="598" t="str">
        <f t="shared" si="82"/>
        <v xml:space="preserve"> </v>
      </c>
      <c r="BF500" s="598" t="str">
        <f t="shared" si="82"/>
        <v xml:space="preserve"> </v>
      </c>
      <c r="BG500" s="598" t="str">
        <f t="shared" si="82"/>
        <v xml:space="preserve"> </v>
      </c>
      <c r="BH500" s="598" t="str">
        <f t="shared" si="82"/>
        <v xml:space="preserve"> </v>
      </c>
      <c r="BI500" s="598" t="str">
        <f t="shared" si="82"/>
        <v xml:space="preserve"> </v>
      </c>
      <c r="BJ500" s="598" t="str">
        <f t="shared" si="82"/>
        <v xml:space="preserve"> </v>
      </c>
      <c r="BK500" s="598" t="str">
        <f t="shared" si="82"/>
        <v xml:space="preserve"> </v>
      </c>
      <c r="BL500" s="598" t="str">
        <f t="shared" si="82"/>
        <v xml:space="preserve"> </v>
      </c>
      <c r="BM500" s="598" t="str">
        <f t="shared" si="81"/>
        <v xml:space="preserve"> </v>
      </c>
      <c r="BN500" s="598" t="str">
        <f t="shared" si="81"/>
        <v xml:space="preserve"> </v>
      </c>
      <c r="BO500" s="598" t="str">
        <f t="shared" si="81"/>
        <v xml:space="preserve"> </v>
      </c>
      <c r="BP500" s="598" t="str">
        <f t="shared" si="81"/>
        <v xml:space="preserve"> </v>
      </c>
      <c r="BQ500" s="598" t="str">
        <f t="shared" si="81"/>
        <v xml:space="preserve"> </v>
      </c>
      <c r="BR500" s="598" t="str">
        <f t="shared" si="81"/>
        <v xml:space="preserve"> </v>
      </c>
      <c r="BS500" s="598" t="str">
        <f t="shared" si="81"/>
        <v xml:space="preserve"> </v>
      </c>
      <c r="BT500" s="598" t="str">
        <f t="shared" si="81"/>
        <v xml:space="preserve"> </v>
      </c>
      <c r="BU500" s="598" t="str">
        <f t="shared" si="81"/>
        <v xml:space="preserve"> </v>
      </c>
      <c r="BV500" s="598" t="str">
        <f t="shared" si="81"/>
        <v xml:space="preserve"> </v>
      </c>
      <c r="BW500" s="598" t="str">
        <f t="shared" si="81"/>
        <v xml:space="preserve"> </v>
      </c>
      <c r="BX500" s="598" t="str">
        <f t="shared" si="81"/>
        <v xml:space="preserve"> </v>
      </c>
      <c r="BY500" s="598" t="str">
        <f t="shared" si="81"/>
        <v xml:space="preserve"> </v>
      </c>
      <c r="BZ500" s="598" t="str">
        <f t="shared" si="81"/>
        <v xml:space="preserve"> </v>
      </c>
      <c r="CA500" s="598" t="str">
        <f t="shared" si="79"/>
        <v xml:space="preserve"> </v>
      </c>
      <c r="CB500" s="598" t="str">
        <f t="shared" si="79"/>
        <v xml:space="preserve"> </v>
      </c>
      <c r="CC500" s="598" t="str">
        <f t="shared" si="79"/>
        <v xml:space="preserve"> </v>
      </c>
      <c r="CD500" s="598" t="str">
        <f t="shared" si="79"/>
        <v xml:space="preserve"> </v>
      </c>
      <c r="CE500" s="598" t="str">
        <f t="shared" si="79"/>
        <v xml:space="preserve"> </v>
      </c>
      <c r="CF500" s="598" t="str">
        <f t="shared" si="79"/>
        <v xml:space="preserve"> </v>
      </c>
      <c r="CG500" s="598" t="str">
        <f t="shared" si="79"/>
        <v xml:space="preserve"> </v>
      </c>
      <c r="CH500" s="598" t="str">
        <f t="shared" si="79"/>
        <v xml:space="preserve"> </v>
      </c>
      <c r="CI500" s="598" t="str">
        <f t="shared" si="79"/>
        <v xml:space="preserve"> </v>
      </c>
      <c r="CJ500" s="598" t="str">
        <f t="shared" si="79"/>
        <v xml:space="preserve"> </v>
      </c>
      <c r="CK500" s="598" t="str">
        <f t="shared" si="79"/>
        <v xml:space="preserve"> </v>
      </c>
      <c r="CL500" s="598" t="str">
        <f t="shared" si="79"/>
        <v xml:space="preserve"> </v>
      </c>
      <c r="CM500" s="598" t="str">
        <f t="shared" si="79"/>
        <v xml:space="preserve"> </v>
      </c>
      <c r="CN500" s="598" t="str">
        <f t="shared" si="79"/>
        <v xml:space="preserve"> </v>
      </c>
      <c r="CO500" s="598" t="str">
        <f t="shared" si="79"/>
        <v xml:space="preserve"> </v>
      </c>
      <c r="CP500" s="598" t="str">
        <f t="shared" ref="CP500:CP521" si="88">HLOOKUP(CP$421,$C$217:$Z$317,$A500+1)</f>
        <v xml:space="preserve"> </v>
      </c>
      <c r="CQ500" s="598" t="str">
        <f t="shared" ca="1" si="80"/>
        <v/>
      </c>
    </row>
    <row r="501" spans="1:95" ht="9.9499999999999993" customHeight="1">
      <c r="A501" s="598">
        <v>80</v>
      </c>
      <c r="B501" s="598" t="str">
        <f t="shared" ref="B501:AU506" ca="1" si="89">HLOOKUP(B$421,$C$217:$Z$317,$A501+1)</f>
        <v/>
      </c>
      <c r="C501" s="598" t="str">
        <f t="shared" ca="1" si="89"/>
        <v>Monster:Saurian (Dragon Kin) (Native)</v>
      </c>
      <c r="D501" s="598" t="str">
        <f t="shared" ca="1" si="89"/>
        <v/>
      </c>
      <c r="E501" s="598" t="str">
        <f t="shared" si="89"/>
        <v xml:space="preserve"> </v>
      </c>
      <c r="F501" s="598" t="str">
        <f t="shared" si="89"/>
        <v xml:space="preserve"> </v>
      </c>
      <c r="G501" s="598" t="str">
        <f t="shared" si="89"/>
        <v xml:space="preserve"> </v>
      </c>
      <c r="H501" s="598" t="str">
        <f t="shared" si="89"/>
        <v xml:space="preserve"> </v>
      </c>
      <c r="I501" s="598" t="str">
        <f t="shared" si="89"/>
        <v xml:space="preserve"> </v>
      </c>
      <c r="J501" s="598" t="str">
        <f t="shared" si="89"/>
        <v xml:space="preserve"> </v>
      </c>
      <c r="K501" s="598" t="str">
        <f t="shared" si="89"/>
        <v xml:space="preserve"> </v>
      </c>
      <c r="L501" s="598" t="str">
        <f t="shared" si="89"/>
        <v xml:space="preserve"> </v>
      </c>
      <c r="M501" s="598" t="str">
        <f t="shared" ca="1" si="89"/>
        <v/>
      </c>
      <c r="N501" s="598" t="str">
        <f t="shared" ca="1" si="89"/>
        <v/>
      </c>
      <c r="O501" s="598" t="str">
        <f t="shared" si="89"/>
        <v xml:space="preserve"> </v>
      </c>
      <c r="P501" s="598" t="str">
        <f t="shared" si="89"/>
        <v xml:space="preserve"> </v>
      </c>
      <c r="Q501" s="598" t="str">
        <f t="shared" si="89"/>
        <v xml:space="preserve"> </v>
      </c>
      <c r="R501" s="598" t="str">
        <f t="shared" si="89"/>
        <v xml:space="preserve"> </v>
      </c>
      <c r="S501" s="598" t="str">
        <f t="shared" si="89"/>
        <v xml:space="preserve"> </v>
      </c>
      <c r="T501" s="598" t="str">
        <f t="shared" si="89"/>
        <v xml:space="preserve"> </v>
      </c>
      <c r="U501" s="598" t="str">
        <f t="shared" si="89"/>
        <v xml:space="preserve"> </v>
      </c>
      <c r="V501" s="598" t="str">
        <f t="shared" si="89"/>
        <v xml:space="preserve"> </v>
      </c>
      <c r="W501" s="598" t="str">
        <f t="shared" si="89"/>
        <v xml:space="preserve"> </v>
      </c>
      <c r="X501" s="598" t="str">
        <f t="shared" si="89"/>
        <v xml:space="preserve"> </v>
      </c>
      <c r="Y501" s="598" t="str">
        <f t="shared" si="89"/>
        <v xml:space="preserve"> </v>
      </c>
      <c r="Z501" s="598" t="str">
        <f t="shared" si="89"/>
        <v xml:space="preserve"> </v>
      </c>
      <c r="AA501" s="598" t="str">
        <f t="shared" si="89"/>
        <v xml:space="preserve"> </v>
      </c>
      <c r="AB501" s="598" t="str">
        <f t="shared" ca="1" si="89"/>
        <v/>
      </c>
      <c r="AC501" s="598" t="str">
        <f t="shared" ca="1" si="89"/>
        <v/>
      </c>
      <c r="AD501" s="598" t="str">
        <f t="shared" si="89"/>
        <v xml:space="preserve"> </v>
      </c>
      <c r="AE501" s="598" t="str">
        <f t="shared" si="89"/>
        <v xml:space="preserve"> </v>
      </c>
      <c r="AF501" s="598" t="str">
        <f t="shared" si="89"/>
        <v xml:space="preserve"> </v>
      </c>
      <c r="AG501" s="598" t="str">
        <f t="shared" si="89"/>
        <v xml:space="preserve"> </v>
      </c>
      <c r="AH501" s="598" t="str">
        <f t="shared" si="89"/>
        <v xml:space="preserve"> </v>
      </c>
      <c r="AI501" s="598" t="str">
        <f t="shared" si="89"/>
        <v xml:space="preserve"> </v>
      </c>
      <c r="AJ501" s="598" t="str">
        <f t="shared" si="89"/>
        <v xml:space="preserve"> </v>
      </c>
      <c r="AK501" s="598" t="str">
        <f t="shared" si="89"/>
        <v xml:space="preserve"> </v>
      </c>
      <c r="AL501" s="598" t="str">
        <f t="shared" si="89"/>
        <v xml:space="preserve"> </v>
      </c>
      <c r="AM501" s="598" t="str">
        <f t="shared" si="89"/>
        <v xml:space="preserve"> </v>
      </c>
      <c r="AN501" s="598" t="str">
        <f t="shared" si="89"/>
        <v xml:space="preserve"> </v>
      </c>
      <c r="AO501" s="598" t="str">
        <f t="shared" si="89"/>
        <v xml:space="preserve"> </v>
      </c>
      <c r="AP501" s="598" t="str">
        <f t="shared" si="89"/>
        <v xml:space="preserve"> </v>
      </c>
      <c r="AQ501" s="598" t="str">
        <f t="shared" si="89"/>
        <v xml:space="preserve"> </v>
      </c>
      <c r="AR501" s="598" t="str">
        <f t="shared" si="89"/>
        <v xml:space="preserve"> </v>
      </c>
      <c r="AS501" s="598" t="str">
        <f t="shared" si="89"/>
        <v xml:space="preserve"> </v>
      </c>
      <c r="AT501" s="598" t="str">
        <f t="shared" si="89"/>
        <v xml:space="preserve"> </v>
      </c>
      <c r="AU501" s="598" t="str">
        <f t="shared" si="89"/>
        <v xml:space="preserve"> </v>
      </c>
      <c r="AW501" s="598" t="str">
        <f t="shared" si="82"/>
        <v xml:space="preserve"> </v>
      </c>
      <c r="AX501" s="598" t="str">
        <f t="shared" si="82"/>
        <v xml:space="preserve"> </v>
      </c>
      <c r="AY501" s="598" t="str">
        <f t="shared" si="82"/>
        <v xml:space="preserve"> </v>
      </c>
      <c r="AZ501" s="598" t="str">
        <f t="shared" si="82"/>
        <v xml:space="preserve"> </v>
      </c>
      <c r="BA501" s="598" t="str">
        <f t="shared" si="82"/>
        <v xml:space="preserve"> </v>
      </c>
      <c r="BB501" s="598" t="str">
        <f t="shared" si="82"/>
        <v xml:space="preserve"> </v>
      </c>
      <c r="BC501" s="598" t="str">
        <f t="shared" si="82"/>
        <v xml:space="preserve"> </v>
      </c>
      <c r="BD501" s="598" t="str">
        <f t="shared" si="82"/>
        <v xml:space="preserve"> </v>
      </c>
      <c r="BE501" s="598" t="str">
        <f t="shared" si="82"/>
        <v xml:space="preserve"> </v>
      </c>
      <c r="BF501" s="598" t="str">
        <f t="shared" si="82"/>
        <v xml:space="preserve"> </v>
      </c>
      <c r="BG501" s="598" t="str">
        <f t="shared" si="82"/>
        <v xml:space="preserve"> </v>
      </c>
      <c r="BH501" s="598" t="str">
        <f t="shared" si="82"/>
        <v xml:space="preserve"> </v>
      </c>
      <c r="BI501" s="598" t="str">
        <f t="shared" si="82"/>
        <v xml:space="preserve"> </v>
      </c>
      <c r="BJ501" s="598" t="str">
        <f t="shared" si="82"/>
        <v xml:space="preserve"> </v>
      </c>
      <c r="BK501" s="598" t="str">
        <f t="shared" si="82"/>
        <v xml:space="preserve"> </v>
      </c>
      <c r="BL501" s="598" t="str">
        <f t="shared" si="82"/>
        <v xml:space="preserve"> </v>
      </c>
      <c r="BM501" s="598" t="str">
        <f t="shared" si="81"/>
        <v xml:space="preserve"> </v>
      </c>
      <c r="BN501" s="598" t="str">
        <f t="shared" si="81"/>
        <v xml:space="preserve"> </v>
      </c>
      <c r="BO501" s="598" t="str">
        <f t="shared" si="81"/>
        <v xml:space="preserve"> </v>
      </c>
      <c r="BP501" s="598" t="str">
        <f t="shared" si="81"/>
        <v xml:space="preserve"> </v>
      </c>
      <c r="BQ501" s="598" t="str">
        <f t="shared" si="81"/>
        <v xml:space="preserve"> </v>
      </c>
      <c r="BR501" s="598" t="str">
        <f t="shared" si="81"/>
        <v xml:space="preserve"> </v>
      </c>
      <c r="BS501" s="598" t="str">
        <f t="shared" si="81"/>
        <v xml:space="preserve"> </v>
      </c>
      <c r="BT501" s="598" t="str">
        <f t="shared" si="81"/>
        <v xml:space="preserve"> </v>
      </c>
      <c r="BU501" s="598" t="str">
        <f t="shared" si="81"/>
        <v xml:space="preserve"> </v>
      </c>
      <c r="BV501" s="598" t="str">
        <f t="shared" si="81"/>
        <v xml:space="preserve"> </v>
      </c>
      <c r="BW501" s="598" t="str">
        <f t="shared" si="81"/>
        <v xml:space="preserve"> </v>
      </c>
      <c r="BX501" s="598" t="str">
        <f t="shared" si="81"/>
        <v xml:space="preserve"> </v>
      </c>
      <c r="BY501" s="598" t="str">
        <f t="shared" si="81"/>
        <v xml:space="preserve"> </v>
      </c>
      <c r="BZ501" s="598" t="str">
        <f t="shared" si="81"/>
        <v xml:space="preserve"> </v>
      </c>
      <c r="CA501" s="598" t="str">
        <f t="shared" si="81"/>
        <v xml:space="preserve"> </v>
      </c>
      <c r="CB501" s="598" t="str">
        <f t="shared" si="81"/>
        <v xml:space="preserve"> </v>
      </c>
      <c r="CC501" s="598" t="str">
        <f t="shared" ref="CC501:CO516" si="90">HLOOKUP(CC$421,$C$217:$Z$317,$A501+1)</f>
        <v xml:space="preserve"> </v>
      </c>
      <c r="CD501" s="598" t="str">
        <f t="shared" si="90"/>
        <v xml:space="preserve"> </v>
      </c>
      <c r="CE501" s="598" t="str">
        <f t="shared" si="90"/>
        <v xml:space="preserve"> </v>
      </c>
      <c r="CF501" s="598" t="str">
        <f t="shared" si="90"/>
        <v xml:space="preserve"> </v>
      </c>
      <c r="CG501" s="598" t="str">
        <f t="shared" si="90"/>
        <v xml:space="preserve"> </v>
      </c>
      <c r="CH501" s="598" t="str">
        <f t="shared" si="90"/>
        <v xml:space="preserve"> </v>
      </c>
      <c r="CI501" s="598" t="str">
        <f t="shared" si="90"/>
        <v xml:space="preserve"> </v>
      </c>
      <c r="CJ501" s="598" t="str">
        <f t="shared" si="90"/>
        <v xml:space="preserve"> </v>
      </c>
      <c r="CK501" s="598" t="str">
        <f t="shared" si="90"/>
        <v xml:space="preserve"> </v>
      </c>
      <c r="CL501" s="598" t="str">
        <f t="shared" si="90"/>
        <v xml:space="preserve"> </v>
      </c>
      <c r="CM501" s="598" t="str">
        <f t="shared" si="90"/>
        <v xml:space="preserve"> </v>
      </c>
      <c r="CN501" s="598" t="str">
        <f t="shared" si="90"/>
        <v xml:space="preserve"> </v>
      </c>
      <c r="CO501" s="598" t="str">
        <f t="shared" si="90"/>
        <v xml:space="preserve"> </v>
      </c>
      <c r="CP501" s="598" t="str">
        <f t="shared" si="88"/>
        <v xml:space="preserve"> </v>
      </c>
      <c r="CQ501" s="598" t="str">
        <f t="shared" ca="1" si="80"/>
        <v/>
      </c>
    </row>
    <row r="502" spans="1:95" ht="9.9499999999999993" customHeight="1">
      <c r="A502" s="598">
        <v>81</v>
      </c>
      <c r="B502" s="598" t="str">
        <f t="shared" ca="1" si="89"/>
        <v/>
      </c>
      <c r="C502" s="598" t="str">
        <f t="shared" ca="1" si="89"/>
        <v>Monster:Saurian (Dragon Kin) (Ancient)</v>
      </c>
      <c r="D502" s="598" t="str">
        <f t="shared" ca="1" si="89"/>
        <v/>
      </c>
      <c r="E502" s="598" t="str">
        <f t="shared" si="89"/>
        <v xml:space="preserve"> </v>
      </c>
      <c r="F502" s="598" t="str">
        <f t="shared" si="89"/>
        <v xml:space="preserve"> </v>
      </c>
      <c r="G502" s="598" t="str">
        <f t="shared" si="89"/>
        <v xml:space="preserve"> </v>
      </c>
      <c r="H502" s="598" t="str">
        <f t="shared" si="89"/>
        <v xml:space="preserve"> </v>
      </c>
      <c r="I502" s="598" t="str">
        <f t="shared" si="89"/>
        <v xml:space="preserve"> </v>
      </c>
      <c r="J502" s="598" t="str">
        <f t="shared" si="89"/>
        <v xml:space="preserve"> </v>
      </c>
      <c r="K502" s="598" t="str">
        <f t="shared" si="89"/>
        <v xml:space="preserve"> </v>
      </c>
      <c r="L502" s="598" t="str">
        <f t="shared" si="89"/>
        <v xml:space="preserve"> </v>
      </c>
      <c r="M502" s="598" t="str">
        <f t="shared" ca="1" si="89"/>
        <v/>
      </c>
      <c r="N502" s="598" t="str">
        <f t="shared" ca="1" si="89"/>
        <v/>
      </c>
      <c r="O502" s="598" t="str">
        <f t="shared" si="89"/>
        <v xml:space="preserve"> </v>
      </c>
      <c r="P502" s="598" t="str">
        <f t="shared" si="89"/>
        <v xml:space="preserve"> </v>
      </c>
      <c r="Q502" s="598" t="str">
        <f t="shared" si="89"/>
        <v xml:space="preserve"> </v>
      </c>
      <c r="R502" s="598" t="str">
        <f t="shared" si="89"/>
        <v xml:space="preserve"> </v>
      </c>
      <c r="S502" s="598" t="str">
        <f t="shared" si="89"/>
        <v xml:space="preserve"> </v>
      </c>
      <c r="T502" s="598" t="str">
        <f t="shared" si="89"/>
        <v xml:space="preserve"> </v>
      </c>
      <c r="U502" s="598" t="str">
        <f t="shared" si="89"/>
        <v xml:space="preserve"> </v>
      </c>
      <c r="V502" s="598" t="str">
        <f t="shared" si="89"/>
        <v xml:space="preserve"> </v>
      </c>
      <c r="W502" s="598" t="str">
        <f t="shared" si="89"/>
        <v xml:space="preserve"> </v>
      </c>
      <c r="X502" s="598" t="str">
        <f t="shared" si="89"/>
        <v xml:space="preserve"> </v>
      </c>
      <c r="Y502" s="598" t="str">
        <f t="shared" si="89"/>
        <v xml:space="preserve"> </v>
      </c>
      <c r="Z502" s="598" t="str">
        <f t="shared" si="89"/>
        <v xml:space="preserve"> </v>
      </c>
      <c r="AA502" s="598" t="str">
        <f t="shared" si="89"/>
        <v xml:space="preserve"> </v>
      </c>
      <c r="AB502" s="598" t="str">
        <f t="shared" ca="1" si="89"/>
        <v/>
      </c>
      <c r="AC502" s="598" t="str">
        <f t="shared" ca="1" si="89"/>
        <v/>
      </c>
      <c r="AD502" s="598" t="str">
        <f t="shared" si="89"/>
        <v xml:space="preserve"> </v>
      </c>
      <c r="AE502" s="598" t="str">
        <f t="shared" si="89"/>
        <v xml:space="preserve"> </v>
      </c>
      <c r="AF502" s="598" t="str">
        <f t="shared" si="89"/>
        <v xml:space="preserve"> </v>
      </c>
      <c r="AG502" s="598" t="str">
        <f t="shared" si="89"/>
        <v xml:space="preserve"> </v>
      </c>
      <c r="AH502" s="598" t="str">
        <f t="shared" si="89"/>
        <v xml:space="preserve"> </v>
      </c>
      <c r="AI502" s="598" t="str">
        <f t="shared" si="89"/>
        <v xml:space="preserve"> </v>
      </c>
      <c r="AJ502" s="598" t="str">
        <f t="shared" si="89"/>
        <v xml:space="preserve"> </v>
      </c>
      <c r="AK502" s="598" t="str">
        <f t="shared" si="89"/>
        <v xml:space="preserve"> </v>
      </c>
      <c r="AL502" s="598" t="str">
        <f t="shared" si="89"/>
        <v xml:space="preserve"> </v>
      </c>
      <c r="AM502" s="598" t="str">
        <f t="shared" si="89"/>
        <v xml:space="preserve"> </v>
      </c>
      <c r="AN502" s="598" t="str">
        <f t="shared" si="89"/>
        <v xml:space="preserve"> </v>
      </c>
      <c r="AO502" s="598" t="str">
        <f t="shared" si="89"/>
        <v xml:space="preserve"> </v>
      </c>
      <c r="AP502" s="598" t="str">
        <f t="shared" si="89"/>
        <v xml:space="preserve"> </v>
      </c>
      <c r="AQ502" s="598" t="str">
        <f t="shared" si="89"/>
        <v xml:space="preserve"> </v>
      </c>
      <c r="AR502" s="598" t="str">
        <f t="shared" si="89"/>
        <v xml:space="preserve"> </v>
      </c>
      <c r="AS502" s="598" t="str">
        <f t="shared" si="89"/>
        <v xml:space="preserve"> </v>
      </c>
      <c r="AT502" s="598" t="str">
        <f t="shared" si="89"/>
        <v xml:space="preserve"> </v>
      </c>
      <c r="AU502" s="598" t="str">
        <f t="shared" si="89"/>
        <v xml:space="preserve"> </v>
      </c>
      <c r="AW502" s="598" t="str">
        <f t="shared" si="82"/>
        <v xml:space="preserve"> </v>
      </c>
      <c r="AX502" s="598" t="str">
        <f t="shared" si="82"/>
        <v xml:space="preserve"> </v>
      </c>
      <c r="AY502" s="598" t="str">
        <f t="shared" si="82"/>
        <v xml:space="preserve"> </v>
      </c>
      <c r="AZ502" s="598" t="str">
        <f t="shared" si="82"/>
        <v xml:space="preserve"> </v>
      </c>
      <c r="BA502" s="598" t="str">
        <f t="shared" si="82"/>
        <v xml:space="preserve"> </v>
      </c>
      <c r="BB502" s="598" t="str">
        <f t="shared" si="82"/>
        <v xml:space="preserve"> </v>
      </c>
      <c r="BC502" s="598" t="str">
        <f t="shared" si="82"/>
        <v xml:space="preserve"> </v>
      </c>
      <c r="BD502" s="598" t="str">
        <f t="shared" si="82"/>
        <v xml:space="preserve"> </v>
      </c>
      <c r="BE502" s="598" t="str">
        <f t="shared" si="82"/>
        <v xml:space="preserve"> </v>
      </c>
      <c r="BF502" s="598" t="str">
        <f t="shared" si="82"/>
        <v xml:space="preserve"> </v>
      </c>
      <c r="BG502" s="598" t="str">
        <f t="shared" si="82"/>
        <v xml:space="preserve"> </v>
      </c>
      <c r="BH502" s="598" t="str">
        <f t="shared" si="82"/>
        <v xml:space="preserve"> </v>
      </c>
      <c r="BI502" s="598" t="str">
        <f t="shared" si="82"/>
        <v xml:space="preserve"> </v>
      </c>
      <c r="BJ502" s="598" t="str">
        <f t="shared" si="82"/>
        <v xml:space="preserve"> </v>
      </c>
      <c r="BK502" s="598" t="str">
        <f t="shared" si="82"/>
        <v xml:space="preserve"> </v>
      </c>
      <c r="BL502" s="598" t="str">
        <f t="shared" ref="BL502:CA517" si="91">HLOOKUP(BL$421,$C$217:$Z$317,$A502+1)</f>
        <v xml:space="preserve"> </v>
      </c>
      <c r="BM502" s="598" t="str">
        <f t="shared" si="91"/>
        <v xml:space="preserve"> </v>
      </c>
      <c r="BN502" s="598" t="str">
        <f t="shared" si="91"/>
        <v xml:space="preserve"> </v>
      </c>
      <c r="BO502" s="598" t="str">
        <f t="shared" si="91"/>
        <v xml:space="preserve"> </v>
      </c>
      <c r="BP502" s="598" t="str">
        <f t="shared" si="91"/>
        <v xml:space="preserve"> </v>
      </c>
      <c r="BQ502" s="598" t="str">
        <f t="shared" si="91"/>
        <v xml:space="preserve"> </v>
      </c>
      <c r="BR502" s="598" t="str">
        <f t="shared" si="91"/>
        <v xml:space="preserve"> </v>
      </c>
      <c r="BS502" s="598" t="str">
        <f t="shared" si="91"/>
        <v xml:space="preserve"> </v>
      </c>
      <c r="BT502" s="598" t="str">
        <f t="shared" si="91"/>
        <v xml:space="preserve"> </v>
      </c>
      <c r="BU502" s="598" t="str">
        <f t="shared" si="91"/>
        <v xml:space="preserve"> </v>
      </c>
      <c r="BV502" s="598" t="str">
        <f t="shared" si="91"/>
        <v xml:space="preserve"> </v>
      </c>
      <c r="BW502" s="598" t="str">
        <f t="shared" si="91"/>
        <v xml:space="preserve"> </v>
      </c>
      <c r="BX502" s="598" t="str">
        <f t="shared" si="91"/>
        <v xml:space="preserve"> </v>
      </c>
      <c r="BY502" s="598" t="str">
        <f t="shared" si="91"/>
        <v xml:space="preserve"> </v>
      </c>
      <c r="BZ502" s="598" t="str">
        <f t="shared" si="91"/>
        <v xml:space="preserve"> </v>
      </c>
      <c r="CA502" s="598" t="str">
        <f t="shared" si="91"/>
        <v xml:space="preserve"> </v>
      </c>
      <c r="CB502" s="598" t="str">
        <f t="shared" ref="CB502:CO517" si="92">HLOOKUP(CB$421,$C$217:$Z$317,$A502+1)</f>
        <v xml:space="preserve"> </v>
      </c>
      <c r="CC502" s="598" t="str">
        <f t="shared" si="90"/>
        <v xml:space="preserve"> </v>
      </c>
      <c r="CD502" s="598" t="str">
        <f t="shared" si="90"/>
        <v xml:space="preserve"> </v>
      </c>
      <c r="CE502" s="598" t="str">
        <f t="shared" si="90"/>
        <v xml:space="preserve"> </v>
      </c>
      <c r="CF502" s="598" t="str">
        <f t="shared" si="90"/>
        <v xml:space="preserve"> </v>
      </c>
      <c r="CG502" s="598" t="str">
        <f t="shared" si="90"/>
        <v xml:space="preserve"> </v>
      </c>
      <c r="CH502" s="598" t="str">
        <f t="shared" si="90"/>
        <v xml:space="preserve"> </v>
      </c>
      <c r="CI502" s="598" t="str">
        <f t="shared" si="90"/>
        <v xml:space="preserve"> </v>
      </c>
      <c r="CJ502" s="598" t="str">
        <f t="shared" si="90"/>
        <v xml:space="preserve"> </v>
      </c>
      <c r="CK502" s="598" t="str">
        <f t="shared" si="90"/>
        <v xml:space="preserve"> </v>
      </c>
      <c r="CL502" s="598" t="str">
        <f t="shared" si="90"/>
        <v xml:space="preserve"> </v>
      </c>
      <c r="CM502" s="598" t="str">
        <f t="shared" si="90"/>
        <v xml:space="preserve"> </v>
      </c>
      <c r="CN502" s="598" t="str">
        <f t="shared" si="90"/>
        <v xml:space="preserve"> </v>
      </c>
      <c r="CO502" s="598" t="str">
        <f t="shared" si="90"/>
        <v xml:space="preserve"> </v>
      </c>
      <c r="CP502" s="598" t="str">
        <f t="shared" si="88"/>
        <v xml:space="preserve"> </v>
      </c>
      <c r="CQ502" s="598" t="str">
        <f t="shared" ca="1" si="80"/>
        <v/>
      </c>
    </row>
    <row r="503" spans="1:95" ht="9.9499999999999993" customHeight="1">
      <c r="A503" s="598">
        <v>82</v>
      </c>
      <c r="B503" s="598" t="str">
        <f t="shared" ca="1" si="89"/>
        <v/>
      </c>
      <c r="C503" s="598" t="str">
        <f t="shared" ca="1" si="89"/>
        <v>Monster:Saurian (Salamons) (Common)</v>
      </c>
      <c r="D503" s="598" t="str">
        <f t="shared" ca="1" si="89"/>
        <v/>
      </c>
      <c r="E503" s="598" t="str">
        <f t="shared" si="89"/>
        <v xml:space="preserve"> </v>
      </c>
      <c r="F503" s="598" t="str">
        <f t="shared" si="89"/>
        <v xml:space="preserve"> </v>
      </c>
      <c r="G503" s="598" t="str">
        <f t="shared" si="89"/>
        <v xml:space="preserve"> </v>
      </c>
      <c r="H503" s="598" t="str">
        <f t="shared" si="89"/>
        <v xml:space="preserve"> </v>
      </c>
      <c r="I503" s="598" t="str">
        <f t="shared" si="89"/>
        <v xml:space="preserve"> </v>
      </c>
      <c r="J503" s="598" t="str">
        <f t="shared" si="89"/>
        <v xml:space="preserve"> </v>
      </c>
      <c r="K503" s="598" t="str">
        <f t="shared" si="89"/>
        <v xml:space="preserve"> </v>
      </c>
      <c r="L503" s="598" t="str">
        <f t="shared" si="89"/>
        <v xml:space="preserve"> </v>
      </c>
      <c r="M503" s="598" t="str">
        <f t="shared" ca="1" si="89"/>
        <v/>
      </c>
      <c r="N503" s="598" t="str">
        <f t="shared" ca="1" si="89"/>
        <v/>
      </c>
      <c r="O503" s="598" t="str">
        <f t="shared" si="89"/>
        <v xml:space="preserve"> </v>
      </c>
      <c r="P503" s="598" t="str">
        <f t="shared" si="89"/>
        <v xml:space="preserve"> </v>
      </c>
      <c r="Q503" s="598" t="str">
        <f t="shared" si="89"/>
        <v xml:space="preserve"> </v>
      </c>
      <c r="R503" s="598" t="str">
        <f t="shared" si="89"/>
        <v xml:space="preserve"> </v>
      </c>
      <c r="S503" s="598" t="str">
        <f t="shared" si="89"/>
        <v xml:space="preserve"> </v>
      </c>
      <c r="T503" s="598" t="str">
        <f t="shared" si="89"/>
        <v xml:space="preserve"> </v>
      </c>
      <c r="U503" s="598" t="str">
        <f t="shared" si="89"/>
        <v xml:space="preserve"> </v>
      </c>
      <c r="V503" s="598" t="str">
        <f t="shared" si="89"/>
        <v xml:space="preserve"> </v>
      </c>
      <c r="W503" s="598" t="str">
        <f t="shared" si="89"/>
        <v xml:space="preserve"> </v>
      </c>
      <c r="X503" s="598" t="str">
        <f t="shared" si="89"/>
        <v xml:space="preserve"> </v>
      </c>
      <c r="Y503" s="598" t="str">
        <f t="shared" si="89"/>
        <v xml:space="preserve"> </v>
      </c>
      <c r="Z503" s="598" t="str">
        <f t="shared" si="89"/>
        <v xml:space="preserve"> </v>
      </c>
      <c r="AA503" s="598" t="str">
        <f t="shared" si="89"/>
        <v xml:space="preserve"> </v>
      </c>
      <c r="AB503" s="598" t="str">
        <f t="shared" ca="1" si="89"/>
        <v/>
      </c>
      <c r="AC503" s="598" t="str">
        <f t="shared" ca="1" si="89"/>
        <v/>
      </c>
      <c r="AD503" s="598" t="str">
        <f t="shared" si="89"/>
        <v xml:space="preserve"> </v>
      </c>
      <c r="AE503" s="598" t="str">
        <f t="shared" si="89"/>
        <v xml:space="preserve"> </v>
      </c>
      <c r="AF503" s="598" t="str">
        <f t="shared" si="89"/>
        <v xml:space="preserve"> </v>
      </c>
      <c r="AG503" s="598" t="str">
        <f t="shared" si="89"/>
        <v xml:space="preserve"> </v>
      </c>
      <c r="AH503" s="598" t="str">
        <f t="shared" si="89"/>
        <v xml:space="preserve"> </v>
      </c>
      <c r="AI503" s="598" t="str">
        <f t="shared" si="89"/>
        <v xml:space="preserve"> </v>
      </c>
      <c r="AJ503" s="598" t="str">
        <f t="shared" si="89"/>
        <v xml:space="preserve"> </v>
      </c>
      <c r="AK503" s="598" t="str">
        <f t="shared" si="89"/>
        <v xml:space="preserve"> </v>
      </c>
      <c r="AL503" s="598" t="str">
        <f t="shared" si="89"/>
        <v xml:space="preserve"> </v>
      </c>
      <c r="AM503" s="598" t="str">
        <f t="shared" si="89"/>
        <v xml:space="preserve"> </v>
      </c>
      <c r="AN503" s="598" t="str">
        <f t="shared" si="89"/>
        <v xml:space="preserve"> </v>
      </c>
      <c r="AO503" s="598" t="str">
        <f t="shared" si="89"/>
        <v xml:space="preserve"> </v>
      </c>
      <c r="AP503" s="598" t="str">
        <f t="shared" si="89"/>
        <v xml:space="preserve"> </v>
      </c>
      <c r="AQ503" s="598" t="str">
        <f t="shared" si="89"/>
        <v xml:space="preserve"> </v>
      </c>
      <c r="AR503" s="598" t="str">
        <f t="shared" si="89"/>
        <v xml:space="preserve"> </v>
      </c>
      <c r="AS503" s="598" t="str">
        <f t="shared" si="89"/>
        <v xml:space="preserve"> </v>
      </c>
      <c r="AT503" s="598" t="str">
        <f t="shared" si="89"/>
        <v xml:space="preserve"> </v>
      </c>
      <c r="AU503" s="598" t="str">
        <f t="shared" si="89"/>
        <v xml:space="preserve"> </v>
      </c>
      <c r="AW503" s="598" t="str">
        <f t="shared" ref="AW503:BL518" si="93">HLOOKUP(AW$421,$C$217:$Z$317,$A503+1)</f>
        <v xml:space="preserve"> </v>
      </c>
      <c r="AX503" s="598" t="str">
        <f t="shared" si="93"/>
        <v xml:space="preserve"> </v>
      </c>
      <c r="AY503" s="598" t="str">
        <f t="shared" si="93"/>
        <v xml:space="preserve"> </v>
      </c>
      <c r="AZ503" s="598" t="str">
        <f t="shared" si="93"/>
        <v xml:space="preserve"> </v>
      </c>
      <c r="BA503" s="598" t="str">
        <f t="shared" si="93"/>
        <v xml:space="preserve"> </v>
      </c>
      <c r="BB503" s="598" t="str">
        <f t="shared" si="93"/>
        <v xml:space="preserve"> </v>
      </c>
      <c r="BC503" s="598" t="str">
        <f t="shared" si="93"/>
        <v xml:space="preserve"> </v>
      </c>
      <c r="BD503" s="598" t="str">
        <f t="shared" si="93"/>
        <v xml:space="preserve"> </v>
      </c>
      <c r="BE503" s="598" t="str">
        <f t="shared" si="93"/>
        <v xml:space="preserve"> </v>
      </c>
      <c r="BF503" s="598" t="str">
        <f t="shared" si="93"/>
        <v xml:space="preserve"> </v>
      </c>
      <c r="BG503" s="598" t="str">
        <f t="shared" si="93"/>
        <v xml:space="preserve"> </v>
      </c>
      <c r="BH503" s="598" t="str">
        <f t="shared" si="93"/>
        <v xml:space="preserve"> </v>
      </c>
      <c r="BI503" s="598" t="str">
        <f t="shared" si="93"/>
        <v xml:space="preserve"> </v>
      </c>
      <c r="BJ503" s="598" t="str">
        <f t="shared" si="93"/>
        <v xml:space="preserve"> </v>
      </c>
      <c r="BK503" s="598" t="str">
        <f t="shared" si="93"/>
        <v xml:space="preserve"> </v>
      </c>
      <c r="BL503" s="598" t="str">
        <f t="shared" si="91"/>
        <v xml:space="preserve"> </v>
      </c>
      <c r="BM503" s="598" t="str">
        <f t="shared" si="91"/>
        <v xml:space="preserve"> </v>
      </c>
      <c r="BN503" s="598" t="str">
        <f t="shared" si="91"/>
        <v xml:space="preserve"> </v>
      </c>
      <c r="BO503" s="598" t="str">
        <f t="shared" si="91"/>
        <v xml:space="preserve"> </v>
      </c>
      <c r="BP503" s="598" t="str">
        <f t="shared" si="91"/>
        <v xml:space="preserve"> </v>
      </c>
      <c r="BQ503" s="598" t="str">
        <f t="shared" si="91"/>
        <v xml:space="preserve"> </v>
      </c>
      <c r="BR503" s="598" t="str">
        <f t="shared" si="91"/>
        <v xml:space="preserve"> </v>
      </c>
      <c r="BS503" s="598" t="str">
        <f t="shared" si="91"/>
        <v xml:space="preserve"> </v>
      </c>
      <c r="BT503" s="598" t="str">
        <f t="shared" si="91"/>
        <v xml:space="preserve"> </v>
      </c>
      <c r="BU503" s="598" t="str">
        <f t="shared" si="91"/>
        <v xml:space="preserve"> </v>
      </c>
      <c r="BV503" s="598" t="str">
        <f t="shared" si="91"/>
        <v xml:space="preserve"> </v>
      </c>
      <c r="BW503" s="598" t="str">
        <f t="shared" si="91"/>
        <v xml:space="preserve"> </v>
      </c>
      <c r="BX503" s="598" t="str">
        <f t="shared" si="91"/>
        <v xml:space="preserve"> </v>
      </c>
      <c r="BY503" s="598" t="str">
        <f t="shared" si="91"/>
        <v xml:space="preserve"> </v>
      </c>
      <c r="BZ503" s="598" t="str">
        <f t="shared" si="91"/>
        <v xml:space="preserve"> </v>
      </c>
      <c r="CA503" s="598" t="str">
        <f t="shared" si="91"/>
        <v xml:space="preserve"> </v>
      </c>
      <c r="CB503" s="598" t="str">
        <f t="shared" si="92"/>
        <v xml:space="preserve"> </v>
      </c>
      <c r="CC503" s="598" t="str">
        <f t="shared" si="90"/>
        <v xml:space="preserve"> </v>
      </c>
      <c r="CD503" s="598" t="str">
        <f t="shared" si="90"/>
        <v xml:space="preserve"> </v>
      </c>
      <c r="CE503" s="598" t="str">
        <f t="shared" si="90"/>
        <v xml:space="preserve"> </v>
      </c>
      <c r="CF503" s="598" t="str">
        <f t="shared" si="90"/>
        <v xml:space="preserve"> </v>
      </c>
      <c r="CG503" s="598" t="str">
        <f t="shared" si="90"/>
        <v xml:space="preserve"> </v>
      </c>
      <c r="CH503" s="598" t="str">
        <f t="shared" si="90"/>
        <v xml:space="preserve"> </v>
      </c>
      <c r="CI503" s="598" t="str">
        <f t="shared" si="90"/>
        <v xml:space="preserve"> </v>
      </c>
      <c r="CJ503" s="598" t="str">
        <f t="shared" si="90"/>
        <v xml:space="preserve"> </v>
      </c>
      <c r="CK503" s="598" t="str">
        <f t="shared" si="90"/>
        <v xml:space="preserve"> </v>
      </c>
      <c r="CL503" s="598" t="str">
        <f t="shared" si="90"/>
        <v xml:space="preserve"> </v>
      </c>
      <c r="CM503" s="598" t="str">
        <f t="shared" si="90"/>
        <v xml:space="preserve"> </v>
      </c>
      <c r="CN503" s="598" t="str">
        <f t="shared" si="90"/>
        <v xml:space="preserve"> </v>
      </c>
      <c r="CO503" s="598" t="str">
        <f t="shared" si="90"/>
        <v xml:space="preserve"> </v>
      </c>
      <c r="CP503" s="598" t="str">
        <f t="shared" si="88"/>
        <v xml:space="preserve"> </v>
      </c>
      <c r="CQ503" s="598" t="str">
        <f t="shared" ca="1" si="80"/>
        <v/>
      </c>
    </row>
    <row r="504" spans="1:95" ht="9.9499999999999993" customHeight="1">
      <c r="A504" s="598">
        <v>83</v>
      </c>
      <c r="B504" s="598" t="str">
        <f t="shared" ca="1" si="89"/>
        <v/>
      </c>
      <c r="C504" s="598" t="str">
        <f t="shared" ca="1" si="89"/>
        <v>Monster:Saurian (Salamons) (Native)</v>
      </c>
      <c r="D504" s="598" t="str">
        <f t="shared" ca="1" si="89"/>
        <v/>
      </c>
      <c r="E504" s="598" t="str">
        <f t="shared" si="89"/>
        <v xml:space="preserve"> </v>
      </c>
      <c r="F504" s="598" t="str">
        <f t="shared" si="89"/>
        <v xml:space="preserve"> </v>
      </c>
      <c r="G504" s="598" t="str">
        <f t="shared" si="89"/>
        <v xml:space="preserve"> </v>
      </c>
      <c r="H504" s="598" t="str">
        <f t="shared" si="89"/>
        <v xml:space="preserve"> </v>
      </c>
      <c r="I504" s="598" t="str">
        <f t="shared" si="89"/>
        <v xml:space="preserve"> </v>
      </c>
      <c r="J504" s="598" t="str">
        <f t="shared" si="89"/>
        <v xml:space="preserve"> </v>
      </c>
      <c r="K504" s="598" t="str">
        <f t="shared" si="89"/>
        <v xml:space="preserve"> </v>
      </c>
      <c r="L504" s="598" t="str">
        <f t="shared" si="89"/>
        <v xml:space="preserve"> </v>
      </c>
      <c r="M504" s="598" t="str">
        <f t="shared" ca="1" si="89"/>
        <v/>
      </c>
      <c r="N504" s="598" t="str">
        <f t="shared" ca="1" si="89"/>
        <v/>
      </c>
      <c r="O504" s="598" t="str">
        <f t="shared" si="89"/>
        <v xml:space="preserve"> </v>
      </c>
      <c r="P504" s="598" t="str">
        <f t="shared" si="89"/>
        <v xml:space="preserve"> </v>
      </c>
      <c r="Q504" s="598" t="str">
        <f t="shared" si="89"/>
        <v xml:space="preserve"> </v>
      </c>
      <c r="R504" s="598" t="str">
        <f t="shared" si="89"/>
        <v xml:space="preserve"> </v>
      </c>
      <c r="S504" s="598" t="str">
        <f t="shared" si="89"/>
        <v xml:space="preserve"> </v>
      </c>
      <c r="T504" s="598" t="str">
        <f t="shared" si="89"/>
        <v xml:space="preserve"> </v>
      </c>
      <c r="U504" s="598" t="str">
        <f t="shared" si="89"/>
        <v xml:space="preserve"> </v>
      </c>
      <c r="V504" s="598" t="str">
        <f t="shared" si="89"/>
        <v xml:space="preserve"> </v>
      </c>
      <c r="W504" s="598" t="str">
        <f t="shared" si="89"/>
        <v xml:space="preserve"> </v>
      </c>
      <c r="X504" s="598" t="str">
        <f t="shared" si="89"/>
        <v xml:space="preserve"> </v>
      </c>
      <c r="Y504" s="598" t="str">
        <f t="shared" si="89"/>
        <v xml:space="preserve"> </v>
      </c>
      <c r="Z504" s="598" t="str">
        <f t="shared" si="89"/>
        <v xml:space="preserve"> </v>
      </c>
      <c r="AA504" s="598" t="str">
        <f t="shared" si="89"/>
        <v xml:space="preserve"> </v>
      </c>
      <c r="AB504" s="598" t="str">
        <f t="shared" ca="1" si="89"/>
        <v/>
      </c>
      <c r="AC504" s="598" t="str">
        <f t="shared" ca="1" si="89"/>
        <v/>
      </c>
      <c r="AD504" s="598" t="str">
        <f t="shared" si="89"/>
        <v xml:space="preserve"> </v>
      </c>
      <c r="AE504" s="598" t="str">
        <f t="shared" si="89"/>
        <v xml:space="preserve"> </v>
      </c>
      <c r="AF504" s="598" t="str">
        <f t="shared" si="89"/>
        <v xml:space="preserve"> </v>
      </c>
      <c r="AG504" s="598" t="str">
        <f t="shared" si="89"/>
        <v xml:space="preserve"> </v>
      </c>
      <c r="AH504" s="598" t="str">
        <f t="shared" si="89"/>
        <v xml:space="preserve"> </v>
      </c>
      <c r="AI504" s="598" t="str">
        <f t="shared" si="89"/>
        <v xml:space="preserve"> </v>
      </c>
      <c r="AJ504" s="598" t="str">
        <f t="shared" si="89"/>
        <v xml:space="preserve"> </v>
      </c>
      <c r="AK504" s="598" t="str">
        <f t="shared" si="89"/>
        <v xml:space="preserve"> </v>
      </c>
      <c r="AL504" s="598" t="str">
        <f t="shared" si="89"/>
        <v xml:space="preserve"> </v>
      </c>
      <c r="AM504" s="598" t="str">
        <f t="shared" si="89"/>
        <v xml:space="preserve"> </v>
      </c>
      <c r="AN504" s="598" t="str">
        <f t="shared" si="89"/>
        <v xml:space="preserve"> </v>
      </c>
      <c r="AO504" s="598" t="str">
        <f t="shared" si="89"/>
        <v xml:space="preserve"> </v>
      </c>
      <c r="AP504" s="598" t="str">
        <f t="shared" si="89"/>
        <v xml:space="preserve"> </v>
      </c>
      <c r="AQ504" s="598" t="str">
        <f t="shared" si="89"/>
        <v xml:space="preserve"> </v>
      </c>
      <c r="AR504" s="598" t="str">
        <f t="shared" si="89"/>
        <v xml:space="preserve"> </v>
      </c>
      <c r="AS504" s="598" t="str">
        <f t="shared" si="89"/>
        <v xml:space="preserve"> </v>
      </c>
      <c r="AT504" s="598" t="str">
        <f t="shared" si="89"/>
        <v xml:space="preserve"> </v>
      </c>
      <c r="AU504" s="598" t="str">
        <f t="shared" si="89"/>
        <v xml:space="preserve"> </v>
      </c>
      <c r="AW504" s="598" t="str">
        <f t="shared" si="93"/>
        <v xml:space="preserve"> </v>
      </c>
      <c r="AX504" s="598" t="str">
        <f t="shared" si="93"/>
        <v xml:space="preserve"> </v>
      </c>
      <c r="AY504" s="598" t="str">
        <f t="shared" si="93"/>
        <v xml:space="preserve"> </v>
      </c>
      <c r="AZ504" s="598" t="str">
        <f t="shared" si="93"/>
        <v xml:space="preserve"> </v>
      </c>
      <c r="BA504" s="598" t="str">
        <f t="shared" si="93"/>
        <v xml:space="preserve"> </v>
      </c>
      <c r="BB504" s="598" t="str">
        <f t="shared" si="93"/>
        <v xml:space="preserve"> </v>
      </c>
      <c r="BC504" s="598" t="str">
        <f t="shared" si="93"/>
        <v xml:space="preserve"> </v>
      </c>
      <c r="BD504" s="598" t="str">
        <f t="shared" si="93"/>
        <v xml:space="preserve"> </v>
      </c>
      <c r="BE504" s="598" t="str">
        <f t="shared" si="93"/>
        <v xml:space="preserve"> </v>
      </c>
      <c r="BF504" s="598" t="str">
        <f t="shared" si="93"/>
        <v xml:space="preserve"> </v>
      </c>
      <c r="BG504" s="598" t="str">
        <f t="shared" si="93"/>
        <v xml:space="preserve"> </v>
      </c>
      <c r="BH504" s="598" t="str">
        <f t="shared" si="93"/>
        <v xml:space="preserve"> </v>
      </c>
      <c r="BI504" s="598" t="str">
        <f t="shared" si="93"/>
        <v xml:space="preserve"> </v>
      </c>
      <c r="BJ504" s="598" t="str">
        <f t="shared" si="93"/>
        <v xml:space="preserve"> </v>
      </c>
      <c r="BK504" s="598" t="str">
        <f t="shared" si="93"/>
        <v xml:space="preserve"> </v>
      </c>
      <c r="BL504" s="598" t="str">
        <f t="shared" si="91"/>
        <v xml:space="preserve"> </v>
      </c>
      <c r="BM504" s="598" t="str">
        <f t="shared" si="91"/>
        <v xml:space="preserve"> </v>
      </c>
      <c r="BN504" s="598" t="str">
        <f t="shared" si="91"/>
        <v xml:space="preserve"> </v>
      </c>
      <c r="BO504" s="598" t="str">
        <f t="shared" si="91"/>
        <v xml:space="preserve"> </v>
      </c>
      <c r="BP504" s="598" t="str">
        <f t="shared" si="91"/>
        <v xml:space="preserve"> </v>
      </c>
      <c r="BQ504" s="598" t="str">
        <f t="shared" si="91"/>
        <v xml:space="preserve"> </v>
      </c>
      <c r="BR504" s="598" t="str">
        <f t="shared" si="91"/>
        <v xml:space="preserve"> </v>
      </c>
      <c r="BS504" s="598" t="str">
        <f t="shared" si="91"/>
        <v xml:space="preserve"> </v>
      </c>
      <c r="BT504" s="598" t="str">
        <f t="shared" si="91"/>
        <v xml:space="preserve"> </v>
      </c>
      <c r="BU504" s="598" t="str">
        <f t="shared" si="91"/>
        <v xml:space="preserve"> </v>
      </c>
      <c r="BV504" s="598" t="str">
        <f t="shared" si="91"/>
        <v xml:space="preserve"> </v>
      </c>
      <c r="BW504" s="598" t="str">
        <f t="shared" si="91"/>
        <v xml:space="preserve"> </v>
      </c>
      <c r="BX504" s="598" t="str">
        <f t="shared" si="91"/>
        <v xml:space="preserve"> </v>
      </c>
      <c r="BY504" s="598" t="str">
        <f t="shared" si="91"/>
        <v xml:space="preserve"> </v>
      </c>
      <c r="BZ504" s="598" t="str">
        <f t="shared" si="91"/>
        <v xml:space="preserve"> </v>
      </c>
      <c r="CA504" s="598" t="str">
        <f t="shared" si="91"/>
        <v xml:space="preserve"> </v>
      </c>
      <c r="CB504" s="598" t="str">
        <f t="shared" si="92"/>
        <v xml:space="preserve"> </v>
      </c>
      <c r="CC504" s="598" t="str">
        <f t="shared" si="90"/>
        <v xml:space="preserve"> </v>
      </c>
      <c r="CD504" s="598" t="str">
        <f t="shared" si="90"/>
        <v xml:space="preserve"> </v>
      </c>
      <c r="CE504" s="598" t="str">
        <f t="shared" si="90"/>
        <v xml:space="preserve"> </v>
      </c>
      <c r="CF504" s="598" t="str">
        <f t="shared" si="90"/>
        <v xml:space="preserve"> </v>
      </c>
      <c r="CG504" s="598" t="str">
        <f t="shared" si="90"/>
        <v xml:space="preserve"> </v>
      </c>
      <c r="CH504" s="598" t="str">
        <f t="shared" si="90"/>
        <v xml:space="preserve"> </v>
      </c>
      <c r="CI504" s="598" t="str">
        <f t="shared" si="90"/>
        <v xml:space="preserve"> </v>
      </c>
      <c r="CJ504" s="598" t="str">
        <f t="shared" si="90"/>
        <v xml:space="preserve"> </v>
      </c>
      <c r="CK504" s="598" t="str">
        <f t="shared" si="90"/>
        <v xml:space="preserve"> </v>
      </c>
      <c r="CL504" s="598" t="str">
        <f t="shared" si="90"/>
        <v xml:space="preserve"> </v>
      </c>
      <c r="CM504" s="598" t="str">
        <f t="shared" si="90"/>
        <v xml:space="preserve"> </v>
      </c>
      <c r="CN504" s="598" t="str">
        <f t="shared" si="90"/>
        <v xml:space="preserve"> </v>
      </c>
      <c r="CO504" s="598" t="str">
        <f t="shared" si="90"/>
        <v xml:space="preserve"> </v>
      </c>
      <c r="CP504" s="598" t="str">
        <f t="shared" si="88"/>
        <v xml:space="preserve"> </v>
      </c>
      <c r="CQ504" s="598" t="str">
        <f t="shared" ca="1" si="80"/>
        <v/>
      </c>
    </row>
    <row r="505" spans="1:95" ht="9.9499999999999993" customHeight="1">
      <c r="A505" s="598">
        <v>84</v>
      </c>
      <c r="B505" s="598" t="str">
        <f t="shared" ca="1" si="89"/>
        <v/>
      </c>
      <c r="C505" s="598" t="str">
        <f t="shared" ca="1" si="89"/>
        <v>Monster:Saurian (Salamons) (Ancient)</v>
      </c>
      <c r="D505" s="598" t="str">
        <f t="shared" ca="1" si="89"/>
        <v/>
      </c>
      <c r="E505" s="598" t="str">
        <f t="shared" si="89"/>
        <v xml:space="preserve"> </v>
      </c>
      <c r="F505" s="598" t="str">
        <f t="shared" si="89"/>
        <v xml:space="preserve"> </v>
      </c>
      <c r="G505" s="598" t="str">
        <f t="shared" si="89"/>
        <v xml:space="preserve"> </v>
      </c>
      <c r="H505" s="598" t="str">
        <f t="shared" si="89"/>
        <v xml:space="preserve"> </v>
      </c>
      <c r="I505" s="598" t="str">
        <f t="shared" si="89"/>
        <v xml:space="preserve"> </v>
      </c>
      <c r="J505" s="598" t="str">
        <f t="shared" si="89"/>
        <v xml:space="preserve"> </v>
      </c>
      <c r="K505" s="598" t="str">
        <f t="shared" si="89"/>
        <v xml:space="preserve"> </v>
      </c>
      <c r="L505" s="598" t="str">
        <f t="shared" si="89"/>
        <v xml:space="preserve"> </v>
      </c>
      <c r="M505" s="598" t="str">
        <f t="shared" ca="1" si="89"/>
        <v/>
      </c>
      <c r="N505" s="598" t="str">
        <f t="shared" ca="1" si="89"/>
        <v/>
      </c>
      <c r="O505" s="598" t="str">
        <f t="shared" si="89"/>
        <v xml:space="preserve"> </v>
      </c>
      <c r="P505" s="598" t="str">
        <f t="shared" si="89"/>
        <v xml:space="preserve"> </v>
      </c>
      <c r="Q505" s="598" t="str">
        <f t="shared" si="89"/>
        <v xml:space="preserve"> </v>
      </c>
      <c r="R505" s="598" t="str">
        <f t="shared" si="89"/>
        <v xml:space="preserve"> </v>
      </c>
      <c r="S505" s="598" t="str">
        <f t="shared" si="89"/>
        <v xml:space="preserve"> </v>
      </c>
      <c r="T505" s="598" t="str">
        <f t="shared" si="89"/>
        <v xml:space="preserve"> </v>
      </c>
      <c r="U505" s="598" t="str">
        <f t="shared" si="89"/>
        <v xml:space="preserve"> </v>
      </c>
      <c r="V505" s="598" t="str">
        <f t="shared" si="89"/>
        <v xml:space="preserve"> </v>
      </c>
      <c r="W505" s="598" t="str">
        <f t="shared" si="89"/>
        <v xml:space="preserve"> </v>
      </c>
      <c r="X505" s="598" t="str">
        <f t="shared" si="89"/>
        <v xml:space="preserve"> </v>
      </c>
      <c r="Y505" s="598" t="str">
        <f t="shared" si="89"/>
        <v xml:space="preserve"> </v>
      </c>
      <c r="Z505" s="598" t="str">
        <f t="shared" si="89"/>
        <v xml:space="preserve"> </v>
      </c>
      <c r="AA505" s="598" t="str">
        <f t="shared" si="89"/>
        <v xml:space="preserve"> </v>
      </c>
      <c r="AB505" s="598" t="str">
        <f t="shared" ca="1" si="89"/>
        <v/>
      </c>
      <c r="AC505" s="598" t="str">
        <f t="shared" ca="1" si="89"/>
        <v/>
      </c>
      <c r="AD505" s="598" t="str">
        <f t="shared" si="89"/>
        <v xml:space="preserve"> </v>
      </c>
      <c r="AE505" s="598" t="str">
        <f t="shared" si="89"/>
        <v xml:space="preserve"> </v>
      </c>
      <c r="AF505" s="598" t="str">
        <f t="shared" si="89"/>
        <v xml:space="preserve"> </v>
      </c>
      <c r="AG505" s="598" t="str">
        <f t="shared" si="89"/>
        <v xml:space="preserve"> </v>
      </c>
      <c r="AH505" s="598" t="str">
        <f t="shared" si="89"/>
        <v xml:space="preserve"> </v>
      </c>
      <c r="AI505" s="598" t="str">
        <f t="shared" si="89"/>
        <v xml:space="preserve"> </v>
      </c>
      <c r="AJ505" s="598" t="str">
        <f t="shared" si="89"/>
        <v xml:space="preserve"> </v>
      </c>
      <c r="AK505" s="598" t="str">
        <f t="shared" si="89"/>
        <v xml:space="preserve"> </v>
      </c>
      <c r="AL505" s="598" t="str">
        <f t="shared" si="89"/>
        <v xml:space="preserve"> </v>
      </c>
      <c r="AM505" s="598" t="str">
        <f t="shared" si="89"/>
        <v xml:space="preserve"> </v>
      </c>
      <c r="AN505" s="598" t="str">
        <f t="shared" si="89"/>
        <v xml:space="preserve"> </v>
      </c>
      <c r="AO505" s="598" t="str">
        <f t="shared" si="89"/>
        <v xml:space="preserve"> </v>
      </c>
      <c r="AP505" s="598" t="str">
        <f t="shared" si="89"/>
        <v xml:space="preserve"> </v>
      </c>
      <c r="AQ505" s="598" t="str">
        <f t="shared" si="89"/>
        <v xml:space="preserve"> </v>
      </c>
      <c r="AR505" s="598" t="str">
        <f t="shared" si="89"/>
        <v xml:space="preserve"> </v>
      </c>
      <c r="AS505" s="598" t="str">
        <f t="shared" si="89"/>
        <v xml:space="preserve"> </v>
      </c>
      <c r="AT505" s="598" t="str">
        <f t="shared" si="89"/>
        <v xml:space="preserve"> </v>
      </c>
      <c r="AU505" s="598" t="str">
        <f t="shared" si="89"/>
        <v xml:space="preserve"> </v>
      </c>
      <c r="AW505" s="598" t="str">
        <f t="shared" si="93"/>
        <v xml:space="preserve"> </v>
      </c>
      <c r="AX505" s="598" t="str">
        <f t="shared" si="93"/>
        <v xml:space="preserve"> </v>
      </c>
      <c r="AY505" s="598" t="str">
        <f t="shared" si="93"/>
        <v xml:space="preserve"> </v>
      </c>
      <c r="AZ505" s="598" t="str">
        <f t="shared" si="93"/>
        <v xml:space="preserve"> </v>
      </c>
      <c r="BA505" s="598" t="str">
        <f t="shared" si="93"/>
        <v xml:space="preserve"> </v>
      </c>
      <c r="BB505" s="598" t="str">
        <f t="shared" si="93"/>
        <v xml:space="preserve"> </v>
      </c>
      <c r="BC505" s="598" t="str">
        <f t="shared" si="93"/>
        <v xml:space="preserve"> </v>
      </c>
      <c r="BD505" s="598" t="str">
        <f t="shared" si="93"/>
        <v xml:space="preserve"> </v>
      </c>
      <c r="BE505" s="598" t="str">
        <f t="shared" si="93"/>
        <v xml:space="preserve"> </v>
      </c>
      <c r="BF505" s="598" t="str">
        <f t="shared" si="93"/>
        <v xml:space="preserve"> </v>
      </c>
      <c r="BG505" s="598" t="str">
        <f t="shared" si="93"/>
        <v xml:space="preserve"> </v>
      </c>
      <c r="BH505" s="598" t="str">
        <f t="shared" si="93"/>
        <v xml:space="preserve"> </v>
      </c>
      <c r="BI505" s="598" t="str">
        <f t="shared" si="93"/>
        <v xml:space="preserve"> </v>
      </c>
      <c r="BJ505" s="598" t="str">
        <f t="shared" si="93"/>
        <v xml:space="preserve"> </v>
      </c>
      <c r="BK505" s="598" t="str">
        <f t="shared" si="93"/>
        <v xml:space="preserve"> </v>
      </c>
      <c r="BL505" s="598" t="str">
        <f t="shared" si="91"/>
        <v xml:space="preserve"> </v>
      </c>
      <c r="BM505" s="598" t="str">
        <f t="shared" si="91"/>
        <v xml:space="preserve"> </v>
      </c>
      <c r="BN505" s="598" t="str">
        <f t="shared" si="91"/>
        <v xml:space="preserve"> </v>
      </c>
      <c r="BO505" s="598" t="str">
        <f t="shared" si="91"/>
        <v xml:space="preserve"> </v>
      </c>
      <c r="BP505" s="598" t="str">
        <f t="shared" si="91"/>
        <v xml:space="preserve"> </v>
      </c>
      <c r="BQ505" s="598" t="str">
        <f t="shared" si="91"/>
        <v xml:space="preserve"> </v>
      </c>
      <c r="BR505" s="598" t="str">
        <f t="shared" si="91"/>
        <v xml:space="preserve"> </v>
      </c>
      <c r="BS505" s="598" t="str">
        <f t="shared" si="91"/>
        <v xml:space="preserve"> </v>
      </c>
      <c r="BT505" s="598" t="str">
        <f t="shared" si="91"/>
        <v xml:space="preserve"> </v>
      </c>
      <c r="BU505" s="598" t="str">
        <f t="shared" si="91"/>
        <v xml:space="preserve"> </v>
      </c>
      <c r="BV505" s="598" t="str">
        <f t="shared" si="91"/>
        <v xml:space="preserve"> </v>
      </c>
      <c r="BW505" s="598" t="str">
        <f t="shared" si="91"/>
        <v xml:space="preserve"> </v>
      </c>
      <c r="BX505" s="598" t="str">
        <f t="shared" si="91"/>
        <v xml:space="preserve"> </v>
      </c>
      <c r="BY505" s="598" t="str">
        <f t="shared" si="91"/>
        <v xml:space="preserve"> </v>
      </c>
      <c r="BZ505" s="598" t="str">
        <f t="shared" si="91"/>
        <v xml:space="preserve"> </v>
      </c>
      <c r="CA505" s="598" t="str">
        <f t="shared" si="91"/>
        <v xml:space="preserve"> </v>
      </c>
      <c r="CB505" s="598" t="str">
        <f t="shared" si="92"/>
        <v xml:space="preserve"> </v>
      </c>
      <c r="CC505" s="598" t="str">
        <f t="shared" si="90"/>
        <v xml:space="preserve"> </v>
      </c>
      <c r="CD505" s="598" t="str">
        <f t="shared" si="90"/>
        <v xml:space="preserve"> </v>
      </c>
      <c r="CE505" s="598" t="str">
        <f t="shared" si="90"/>
        <v xml:space="preserve"> </v>
      </c>
      <c r="CF505" s="598" t="str">
        <f t="shared" si="90"/>
        <v xml:space="preserve"> </v>
      </c>
      <c r="CG505" s="598" t="str">
        <f t="shared" si="90"/>
        <v xml:space="preserve"> </v>
      </c>
      <c r="CH505" s="598" t="str">
        <f t="shared" si="90"/>
        <v xml:space="preserve"> </v>
      </c>
      <c r="CI505" s="598" t="str">
        <f t="shared" si="90"/>
        <v xml:space="preserve"> </v>
      </c>
      <c r="CJ505" s="598" t="str">
        <f t="shared" si="90"/>
        <v xml:space="preserve"> </v>
      </c>
      <c r="CK505" s="598" t="str">
        <f t="shared" si="90"/>
        <v xml:space="preserve"> </v>
      </c>
      <c r="CL505" s="598" t="str">
        <f t="shared" si="90"/>
        <v xml:space="preserve"> </v>
      </c>
      <c r="CM505" s="598" t="str">
        <f t="shared" si="90"/>
        <v xml:space="preserve"> </v>
      </c>
      <c r="CN505" s="598" t="str">
        <f t="shared" si="90"/>
        <v xml:space="preserve"> </v>
      </c>
      <c r="CO505" s="598" t="str">
        <f t="shared" si="90"/>
        <v xml:space="preserve"> </v>
      </c>
      <c r="CP505" s="598" t="str">
        <f t="shared" si="88"/>
        <v xml:space="preserve"> </v>
      </c>
      <c r="CQ505" s="598" t="str">
        <f t="shared" ca="1" si="80"/>
        <v/>
      </c>
    </row>
    <row r="506" spans="1:95" ht="9.9499999999999993" customHeight="1">
      <c r="A506" s="598">
        <v>85</v>
      </c>
      <c r="B506" s="598" t="str">
        <f t="shared" ca="1" si="89"/>
        <v/>
      </c>
      <c r="C506" s="598" t="str">
        <f t="shared" ca="1" si="89"/>
        <v>Monster:Scorpion Men</v>
      </c>
      <c r="D506" s="598" t="str">
        <f t="shared" ca="1" si="89"/>
        <v/>
      </c>
      <c r="E506" s="598" t="str">
        <f t="shared" si="89"/>
        <v xml:space="preserve"> </v>
      </c>
      <c r="F506" s="598" t="str">
        <f t="shared" si="89"/>
        <v xml:space="preserve"> </v>
      </c>
      <c r="G506" s="598" t="str">
        <f t="shared" si="89"/>
        <v xml:space="preserve"> </v>
      </c>
      <c r="H506" s="598" t="str">
        <f t="shared" si="89"/>
        <v xml:space="preserve"> </v>
      </c>
      <c r="I506" s="598" t="str">
        <f t="shared" si="89"/>
        <v xml:space="preserve"> </v>
      </c>
      <c r="J506" s="598" t="str">
        <f t="shared" si="89"/>
        <v xml:space="preserve"> </v>
      </c>
      <c r="K506" s="598" t="str">
        <f t="shared" si="89"/>
        <v xml:space="preserve"> </v>
      </c>
      <c r="L506" s="598" t="str">
        <f t="shared" si="89"/>
        <v xml:space="preserve"> </v>
      </c>
      <c r="M506" s="598" t="str">
        <f t="shared" ca="1" si="89"/>
        <v/>
      </c>
      <c r="N506" s="598" t="str">
        <f t="shared" ca="1" si="89"/>
        <v/>
      </c>
      <c r="O506" s="598" t="str">
        <f t="shared" si="89"/>
        <v xml:space="preserve"> </v>
      </c>
      <c r="P506" s="598" t="str">
        <f t="shared" si="89"/>
        <v xml:space="preserve"> </v>
      </c>
      <c r="Q506" s="598" t="str">
        <f t="shared" si="89"/>
        <v xml:space="preserve"> </v>
      </c>
      <c r="R506" s="598" t="str">
        <f t="shared" si="89"/>
        <v xml:space="preserve"> </v>
      </c>
      <c r="S506" s="598" t="str">
        <f t="shared" si="89"/>
        <v xml:space="preserve"> </v>
      </c>
      <c r="T506" s="598" t="str">
        <f t="shared" si="89"/>
        <v xml:space="preserve"> </v>
      </c>
      <c r="U506" s="598" t="str">
        <f t="shared" si="89"/>
        <v xml:space="preserve"> </v>
      </c>
      <c r="V506" s="598" t="str">
        <f t="shared" si="89"/>
        <v xml:space="preserve"> </v>
      </c>
      <c r="W506" s="598" t="str">
        <f t="shared" si="89"/>
        <v xml:space="preserve"> </v>
      </c>
      <c r="X506" s="598" t="str">
        <f t="shared" si="89"/>
        <v xml:space="preserve"> </v>
      </c>
      <c r="Y506" s="598" t="str">
        <f t="shared" si="89"/>
        <v xml:space="preserve"> </v>
      </c>
      <c r="Z506" s="598" t="str">
        <f t="shared" si="89"/>
        <v xml:space="preserve"> </v>
      </c>
      <c r="AA506" s="598" t="str">
        <f t="shared" ref="AA506:AU506" si="94">HLOOKUP(AA$421,$C$217:$Z$317,$A506+1)</f>
        <v xml:space="preserve"> </v>
      </c>
      <c r="AB506" s="598" t="str">
        <f t="shared" ca="1" si="94"/>
        <v/>
      </c>
      <c r="AC506" s="598" t="str">
        <f t="shared" ca="1" si="94"/>
        <v/>
      </c>
      <c r="AD506" s="598" t="str">
        <f t="shared" si="94"/>
        <v xml:space="preserve"> </v>
      </c>
      <c r="AE506" s="598" t="str">
        <f t="shared" si="94"/>
        <v xml:space="preserve"> </v>
      </c>
      <c r="AF506" s="598" t="str">
        <f t="shared" si="94"/>
        <v xml:space="preserve"> </v>
      </c>
      <c r="AG506" s="598" t="str">
        <f t="shared" si="94"/>
        <v xml:space="preserve"> </v>
      </c>
      <c r="AH506" s="598" t="str">
        <f t="shared" si="94"/>
        <v xml:space="preserve"> </v>
      </c>
      <c r="AI506" s="598" t="str">
        <f t="shared" si="94"/>
        <v xml:space="preserve"> </v>
      </c>
      <c r="AJ506" s="598" t="str">
        <f t="shared" si="94"/>
        <v xml:space="preserve"> </v>
      </c>
      <c r="AK506" s="598" t="str">
        <f t="shared" si="94"/>
        <v xml:space="preserve"> </v>
      </c>
      <c r="AL506" s="598" t="str">
        <f t="shared" si="94"/>
        <v xml:space="preserve"> </v>
      </c>
      <c r="AM506" s="598" t="str">
        <f t="shared" si="94"/>
        <v xml:space="preserve"> </v>
      </c>
      <c r="AN506" s="598" t="str">
        <f t="shared" si="94"/>
        <v xml:space="preserve"> </v>
      </c>
      <c r="AO506" s="598" t="str">
        <f t="shared" si="94"/>
        <v xml:space="preserve"> </v>
      </c>
      <c r="AP506" s="598" t="str">
        <f t="shared" si="94"/>
        <v xml:space="preserve"> </v>
      </c>
      <c r="AQ506" s="598" t="str">
        <f t="shared" si="94"/>
        <v xml:space="preserve"> </v>
      </c>
      <c r="AR506" s="598" t="str">
        <f t="shared" si="94"/>
        <v xml:space="preserve"> </v>
      </c>
      <c r="AS506" s="598" t="str">
        <f t="shared" si="94"/>
        <v xml:space="preserve"> </v>
      </c>
      <c r="AT506" s="598" t="str">
        <f t="shared" si="94"/>
        <v xml:space="preserve"> </v>
      </c>
      <c r="AU506" s="598" t="str">
        <f t="shared" si="94"/>
        <v xml:space="preserve"> </v>
      </c>
      <c r="AW506" s="598" t="str">
        <f t="shared" si="93"/>
        <v xml:space="preserve"> </v>
      </c>
      <c r="AX506" s="598" t="str">
        <f t="shared" si="93"/>
        <v xml:space="preserve"> </v>
      </c>
      <c r="AY506" s="598" t="str">
        <f t="shared" si="93"/>
        <v xml:space="preserve"> </v>
      </c>
      <c r="AZ506" s="598" t="str">
        <f t="shared" si="93"/>
        <v xml:space="preserve"> </v>
      </c>
      <c r="BA506" s="598" t="str">
        <f t="shared" si="93"/>
        <v xml:space="preserve"> </v>
      </c>
      <c r="BB506" s="598" t="str">
        <f t="shared" si="93"/>
        <v xml:space="preserve"> </v>
      </c>
      <c r="BC506" s="598" t="str">
        <f t="shared" si="93"/>
        <v xml:space="preserve"> </v>
      </c>
      <c r="BD506" s="598" t="str">
        <f t="shared" si="93"/>
        <v xml:space="preserve"> </v>
      </c>
      <c r="BE506" s="598" t="str">
        <f t="shared" si="93"/>
        <v xml:space="preserve"> </v>
      </c>
      <c r="BF506" s="598" t="str">
        <f t="shared" si="93"/>
        <v xml:space="preserve"> </v>
      </c>
      <c r="BG506" s="598" t="str">
        <f t="shared" si="93"/>
        <v xml:space="preserve"> </v>
      </c>
      <c r="BH506" s="598" t="str">
        <f t="shared" si="93"/>
        <v xml:space="preserve"> </v>
      </c>
      <c r="BI506" s="598" t="str">
        <f t="shared" si="93"/>
        <v xml:space="preserve"> </v>
      </c>
      <c r="BJ506" s="598" t="str">
        <f t="shared" si="93"/>
        <v xml:space="preserve"> </v>
      </c>
      <c r="BK506" s="598" t="str">
        <f t="shared" si="93"/>
        <v xml:space="preserve"> </v>
      </c>
      <c r="BL506" s="598" t="str">
        <f t="shared" si="91"/>
        <v xml:space="preserve"> </v>
      </c>
      <c r="BM506" s="598" t="str">
        <f t="shared" si="91"/>
        <v xml:space="preserve"> </v>
      </c>
      <c r="BN506" s="598" t="str">
        <f t="shared" si="91"/>
        <v xml:space="preserve"> </v>
      </c>
      <c r="BO506" s="598" t="str">
        <f t="shared" si="91"/>
        <v xml:space="preserve"> </v>
      </c>
      <c r="BP506" s="598" t="str">
        <f t="shared" si="91"/>
        <v xml:space="preserve"> </v>
      </c>
      <c r="BQ506" s="598" t="str">
        <f t="shared" si="91"/>
        <v xml:space="preserve"> </v>
      </c>
      <c r="BR506" s="598" t="str">
        <f t="shared" si="91"/>
        <v xml:space="preserve"> </v>
      </c>
      <c r="BS506" s="598" t="str">
        <f t="shared" si="91"/>
        <v xml:space="preserve"> </v>
      </c>
      <c r="BT506" s="598" t="str">
        <f t="shared" si="91"/>
        <v xml:space="preserve"> </v>
      </c>
      <c r="BU506" s="598" t="str">
        <f t="shared" si="91"/>
        <v xml:space="preserve"> </v>
      </c>
      <c r="BV506" s="598" t="str">
        <f t="shared" si="91"/>
        <v xml:space="preserve"> </v>
      </c>
      <c r="BW506" s="598" t="str">
        <f t="shared" si="91"/>
        <v xml:space="preserve"> </v>
      </c>
      <c r="BX506" s="598" t="str">
        <f t="shared" si="91"/>
        <v xml:space="preserve"> </v>
      </c>
      <c r="BY506" s="598" t="str">
        <f t="shared" si="91"/>
        <v xml:space="preserve"> </v>
      </c>
      <c r="BZ506" s="598" t="str">
        <f t="shared" si="91"/>
        <v xml:space="preserve"> </v>
      </c>
      <c r="CA506" s="598" t="str">
        <f t="shared" si="91"/>
        <v xml:space="preserve"> </v>
      </c>
      <c r="CB506" s="598" t="str">
        <f t="shared" si="92"/>
        <v xml:space="preserve"> </v>
      </c>
      <c r="CC506" s="598" t="str">
        <f t="shared" si="90"/>
        <v xml:space="preserve"> </v>
      </c>
      <c r="CD506" s="598" t="str">
        <f t="shared" si="90"/>
        <v xml:space="preserve"> </v>
      </c>
      <c r="CE506" s="598" t="str">
        <f t="shared" si="90"/>
        <v xml:space="preserve"> </v>
      </c>
      <c r="CF506" s="598" t="str">
        <f t="shared" si="90"/>
        <v xml:space="preserve"> </v>
      </c>
      <c r="CG506" s="598" t="str">
        <f t="shared" si="90"/>
        <v xml:space="preserve"> </v>
      </c>
      <c r="CH506" s="598" t="str">
        <f t="shared" si="90"/>
        <v xml:space="preserve"> </v>
      </c>
      <c r="CI506" s="598" t="str">
        <f t="shared" si="90"/>
        <v xml:space="preserve"> </v>
      </c>
      <c r="CJ506" s="598" t="str">
        <f t="shared" si="90"/>
        <v xml:space="preserve"> </v>
      </c>
      <c r="CK506" s="598" t="str">
        <f t="shared" si="90"/>
        <v xml:space="preserve"> </v>
      </c>
      <c r="CL506" s="598" t="str">
        <f t="shared" si="90"/>
        <v xml:space="preserve"> </v>
      </c>
      <c r="CM506" s="598" t="str">
        <f t="shared" si="90"/>
        <v xml:space="preserve"> </v>
      </c>
      <c r="CN506" s="598" t="str">
        <f t="shared" si="90"/>
        <v xml:space="preserve"> </v>
      </c>
      <c r="CO506" s="598" t="str">
        <f t="shared" si="90"/>
        <v xml:space="preserve"> </v>
      </c>
      <c r="CP506" s="598" t="str">
        <f t="shared" si="88"/>
        <v xml:space="preserve"> </v>
      </c>
      <c r="CQ506" s="598" t="str">
        <f t="shared" ca="1" si="80"/>
        <v/>
      </c>
    </row>
    <row r="507" spans="1:95" ht="9.9499999999999993" customHeight="1">
      <c r="A507" s="598">
        <v>86</v>
      </c>
      <c r="B507" s="598" t="str">
        <f t="shared" ref="B507:AU512" ca="1" si="95">HLOOKUP(B$421,$C$217:$Z$317,$A507+1)</f>
        <v/>
      </c>
      <c r="C507" s="598" t="str">
        <f t="shared" ca="1" si="95"/>
        <v>Monster:Triton</v>
      </c>
      <c r="D507" s="598" t="str">
        <f t="shared" ca="1" si="95"/>
        <v/>
      </c>
      <c r="E507" s="598" t="str">
        <f t="shared" si="95"/>
        <v xml:space="preserve"> </v>
      </c>
      <c r="F507" s="598" t="str">
        <f t="shared" si="95"/>
        <v xml:space="preserve"> </v>
      </c>
      <c r="G507" s="598" t="str">
        <f t="shared" si="95"/>
        <v xml:space="preserve"> </v>
      </c>
      <c r="H507" s="598" t="str">
        <f t="shared" si="95"/>
        <v xml:space="preserve"> </v>
      </c>
      <c r="I507" s="598" t="str">
        <f t="shared" si="95"/>
        <v xml:space="preserve"> </v>
      </c>
      <c r="J507" s="598" t="str">
        <f t="shared" si="95"/>
        <v xml:space="preserve"> </v>
      </c>
      <c r="K507" s="598" t="str">
        <f t="shared" si="95"/>
        <v xml:space="preserve"> </v>
      </c>
      <c r="L507" s="598" t="str">
        <f t="shared" si="95"/>
        <v xml:space="preserve"> </v>
      </c>
      <c r="M507" s="598" t="str">
        <f t="shared" ca="1" si="95"/>
        <v/>
      </c>
      <c r="N507" s="598" t="str">
        <f t="shared" ca="1" si="95"/>
        <v/>
      </c>
      <c r="O507" s="598" t="str">
        <f t="shared" si="95"/>
        <v xml:space="preserve"> </v>
      </c>
      <c r="P507" s="598" t="str">
        <f t="shared" si="95"/>
        <v xml:space="preserve"> </v>
      </c>
      <c r="Q507" s="598" t="str">
        <f t="shared" si="95"/>
        <v xml:space="preserve"> </v>
      </c>
      <c r="R507" s="598" t="str">
        <f t="shared" si="95"/>
        <v xml:space="preserve"> </v>
      </c>
      <c r="S507" s="598" t="str">
        <f t="shared" si="95"/>
        <v xml:space="preserve"> </v>
      </c>
      <c r="T507" s="598" t="str">
        <f t="shared" si="95"/>
        <v xml:space="preserve"> </v>
      </c>
      <c r="U507" s="598" t="str">
        <f t="shared" si="95"/>
        <v xml:space="preserve"> </v>
      </c>
      <c r="V507" s="598" t="str">
        <f t="shared" si="95"/>
        <v xml:space="preserve"> </v>
      </c>
      <c r="W507" s="598" t="str">
        <f t="shared" si="95"/>
        <v xml:space="preserve"> </v>
      </c>
      <c r="X507" s="598" t="str">
        <f t="shared" si="95"/>
        <v xml:space="preserve"> </v>
      </c>
      <c r="Y507" s="598" t="str">
        <f t="shared" si="95"/>
        <v xml:space="preserve"> </v>
      </c>
      <c r="Z507" s="598" t="str">
        <f t="shared" si="95"/>
        <v xml:space="preserve"> </v>
      </c>
      <c r="AA507" s="598" t="str">
        <f t="shared" si="95"/>
        <v xml:space="preserve"> </v>
      </c>
      <c r="AB507" s="598" t="str">
        <f t="shared" ca="1" si="95"/>
        <v/>
      </c>
      <c r="AC507" s="598" t="str">
        <f t="shared" ca="1" si="95"/>
        <v/>
      </c>
      <c r="AD507" s="598" t="str">
        <f t="shared" si="95"/>
        <v xml:space="preserve"> </v>
      </c>
      <c r="AE507" s="598" t="str">
        <f t="shared" si="95"/>
        <v xml:space="preserve"> </v>
      </c>
      <c r="AF507" s="598" t="str">
        <f t="shared" si="95"/>
        <v xml:space="preserve"> </v>
      </c>
      <c r="AG507" s="598" t="str">
        <f t="shared" si="95"/>
        <v xml:space="preserve"> </v>
      </c>
      <c r="AH507" s="598" t="str">
        <f t="shared" si="95"/>
        <v xml:space="preserve"> </v>
      </c>
      <c r="AI507" s="598" t="str">
        <f t="shared" si="95"/>
        <v xml:space="preserve"> </v>
      </c>
      <c r="AJ507" s="598" t="str">
        <f t="shared" si="95"/>
        <v xml:space="preserve"> </v>
      </c>
      <c r="AK507" s="598" t="str">
        <f t="shared" si="95"/>
        <v xml:space="preserve"> </v>
      </c>
      <c r="AL507" s="598" t="str">
        <f t="shared" si="95"/>
        <v xml:space="preserve"> </v>
      </c>
      <c r="AM507" s="598" t="str">
        <f t="shared" si="95"/>
        <v xml:space="preserve"> </v>
      </c>
      <c r="AN507" s="598" t="str">
        <f t="shared" si="95"/>
        <v xml:space="preserve"> </v>
      </c>
      <c r="AO507" s="598" t="str">
        <f t="shared" si="95"/>
        <v xml:space="preserve"> </v>
      </c>
      <c r="AP507" s="598" t="str">
        <f t="shared" si="95"/>
        <v xml:space="preserve"> </v>
      </c>
      <c r="AQ507" s="598" t="str">
        <f t="shared" si="95"/>
        <v xml:space="preserve"> </v>
      </c>
      <c r="AR507" s="598" t="str">
        <f t="shared" si="95"/>
        <v xml:space="preserve"> </v>
      </c>
      <c r="AS507" s="598" t="str">
        <f t="shared" si="95"/>
        <v xml:space="preserve"> </v>
      </c>
      <c r="AT507" s="598" t="str">
        <f t="shared" si="95"/>
        <v xml:space="preserve"> </v>
      </c>
      <c r="AU507" s="598" t="str">
        <f t="shared" si="95"/>
        <v xml:space="preserve"> </v>
      </c>
      <c r="AW507" s="598" t="str">
        <f t="shared" si="93"/>
        <v xml:space="preserve"> </v>
      </c>
      <c r="AX507" s="598" t="str">
        <f t="shared" si="93"/>
        <v xml:space="preserve"> </v>
      </c>
      <c r="AY507" s="598" t="str">
        <f t="shared" si="93"/>
        <v xml:space="preserve"> </v>
      </c>
      <c r="AZ507" s="598" t="str">
        <f t="shared" si="93"/>
        <v xml:space="preserve"> </v>
      </c>
      <c r="BA507" s="598" t="str">
        <f t="shared" si="93"/>
        <v xml:space="preserve"> </v>
      </c>
      <c r="BB507" s="598" t="str">
        <f t="shared" si="93"/>
        <v xml:space="preserve"> </v>
      </c>
      <c r="BC507" s="598" t="str">
        <f t="shared" si="93"/>
        <v xml:space="preserve"> </v>
      </c>
      <c r="BD507" s="598" t="str">
        <f t="shared" si="93"/>
        <v xml:space="preserve"> </v>
      </c>
      <c r="BE507" s="598" t="str">
        <f t="shared" si="93"/>
        <v xml:space="preserve"> </v>
      </c>
      <c r="BF507" s="598" t="str">
        <f t="shared" si="93"/>
        <v xml:space="preserve"> </v>
      </c>
      <c r="BG507" s="598" t="str">
        <f t="shared" si="93"/>
        <v xml:space="preserve"> </v>
      </c>
      <c r="BH507" s="598" t="str">
        <f t="shared" si="93"/>
        <v xml:space="preserve"> </v>
      </c>
      <c r="BI507" s="598" t="str">
        <f t="shared" si="93"/>
        <v xml:space="preserve"> </v>
      </c>
      <c r="BJ507" s="598" t="str">
        <f t="shared" si="93"/>
        <v xml:space="preserve"> </v>
      </c>
      <c r="BK507" s="598" t="str">
        <f t="shared" si="93"/>
        <v xml:space="preserve"> </v>
      </c>
      <c r="BL507" s="598" t="str">
        <f t="shared" si="91"/>
        <v xml:space="preserve"> </v>
      </c>
      <c r="BM507" s="598" t="str">
        <f t="shared" si="91"/>
        <v xml:space="preserve"> </v>
      </c>
      <c r="BN507" s="598" t="str">
        <f t="shared" si="91"/>
        <v xml:space="preserve"> </v>
      </c>
      <c r="BO507" s="598" t="str">
        <f t="shared" si="91"/>
        <v xml:space="preserve"> </v>
      </c>
      <c r="BP507" s="598" t="str">
        <f t="shared" si="91"/>
        <v xml:space="preserve"> </v>
      </c>
      <c r="BQ507" s="598" t="str">
        <f t="shared" si="91"/>
        <v xml:space="preserve"> </v>
      </c>
      <c r="BR507" s="598" t="str">
        <f t="shared" si="91"/>
        <v xml:space="preserve"> </v>
      </c>
      <c r="BS507" s="598" t="str">
        <f t="shared" si="91"/>
        <v xml:space="preserve"> </v>
      </c>
      <c r="BT507" s="598" t="str">
        <f t="shared" si="91"/>
        <v xml:space="preserve"> </v>
      </c>
      <c r="BU507" s="598" t="str">
        <f t="shared" si="91"/>
        <v xml:space="preserve"> </v>
      </c>
      <c r="BV507" s="598" t="str">
        <f t="shared" si="91"/>
        <v xml:space="preserve"> </v>
      </c>
      <c r="BW507" s="598" t="str">
        <f t="shared" si="91"/>
        <v xml:space="preserve"> </v>
      </c>
      <c r="BX507" s="598" t="str">
        <f t="shared" si="91"/>
        <v xml:space="preserve"> </v>
      </c>
      <c r="BY507" s="598" t="str">
        <f t="shared" si="91"/>
        <v xml:space="preserve"> </v>
      </c>
      <c r="BZ507" s="598" t="str">
        <f t="shared" si="91"/>
        <v xml:space="preserve"> </v>
      </c>
      <c r="CA507" s="598" t="str">
        <f t="shared" si="91"/>
        <v xml:space="preserve"> </v>
      </c>
      <c r="CB507" s="598" t="str">
        <f t="shared" si="92"/>
        <v xml:space="preserve"> </v>
      </c>
      <c r="CC507" s="598" t="str">
        <f t="shared" si="90"/>
        <v xml:space="preserve"> </v>
      </c>
      <c r="CD507" s="598" t="str">
        <f t="shared" si="90"/>
        <v xml:space="preserve"> </v>
      </c>
      <c r="CE507" s="598" t="str">
        <f t="shared" si="90"/>
        <v xml:space="preserve"> </v>
      </c>
      <c r="CF507" s="598" t="str">
        <f t="shared" si="90"/>
        <v xml:space="preserve"> </v>
      </c>
      <c r="CG507" s="598" t="str">
        <f t="shared" si="90"/>
        <v xml:space="preserve"> </v>
      </c>
      <c r="CH507" s="598" t="str">
        <f t="shared" si="90"/>
        <v xml:space="preserve"> </v>
      </c>
      <c r="CI507" s="598" t="str">
        <f t="shared" si="90"/>
        <v xml:space="preserve"> </v>
      </c>
      <c r="CJ507" s="598" t="str">
        <f t="shared" si="90"/>
        <v xml:space="preserve"> </v>
      </c>
      <c r="CK507" s="598" t="str">
        <f t="shared" si="90"/>
        <v xml:space="preserve"> </v>
      </c>
      <c r="CL507" s="598" t="str">
        <f t="shared" si="90"/>
        <v xml:space="preserve"> </v>
      </c>
      <c r="CM507" s="598" t="str">
        <f t="shared" si="90"/>
        <v xml:space="preserve"> </v>
      </c>
      <c r="CN507" s="598" t="str">
        <f t="shared" si="90"/>
        <v xml:space="preserve"> </v>
      </c>
      <c r="CO507" s="598" t="str">
        <f t="shared" si="90"/>
        <v xml:space="preserve"> </v>
      </c>
      <c r="CP507" s="598" t="str">
        <f t="shared" si="88"/>
        <v xml:space="preserve"> </v>
      </c>
      <c r="CQ507" s="598" t="str">
        <f t="shared" ca="1" si="80"/>
        <v/>
      </c>
    </row>
    <row r="508" spans="1:95" ht="9.9499999999999993" customHeight="1">
      <c r="A508" s="598">
        <v>87</v>
      </c>
      <c r="B508" s="598" t="str">
        <f t="shared" ca="1" si="95"/>
        <v/>
      </c>
      <c r="C508" s="598" t="str">
        <f t="shared" ca="1" si="95"/>
        <v>Monster:Trollish</v>
      </c>
      <c r="D508" s="598" t="str">
        <f t="shared" ca="1" si="95"/>
        <v/>
      </c>
      <c r="E508" s="598" t="str">
        <f t="shared" si="95"/>
        <v xml:space="preserve"> </v>
      </c>
      <c r="F508" s="598" t="str">
        <f t="shared" si="95"/>
        <v xml:space="preserve"> </v>
      </c>
      <c r="G508" s="598" t="str">
        <f t="shared" si="95"/>
        <v xml:space="preserve"> </v>
      </c>
      <c r="H508" s="598" t="str">
        <f t="shared" si="95"/>
        <v xml:space="preserve"> </v>
      </c>
      <c r="I508" s="598" t="str">
        <f t="shared" si="95"/>
        <v xml:space="preserve"> </v>
      </c>
      <c r="J508" s="598" t="str">
        <f t="shared" si="95"/>
        <v xml:space="preserve"> </v>
      </c>
      <c r="K508" s="598" t="str">
        <f t="shared" si="95"/>
        <v xml:space="preserve"> </v>
      </c>
      <c r="L508" s="598" t="str">
        <f t="shared" si="95"/>
        <v xml:space="preserve"> </v>
      </c>
      <c r="M508" s="598" t="str">
        <f t="shared" ca="1" si="95"/>
        <v/>
      </c>
      <c r="N508" s="598" t="str">
        <f t="shared" ca="1" si="95"/>
        <v/>
      </c>
      <c r="O508" s="598" t="str">
        <f t="shared" si="95"/>
        <v xml:space="preserve"> </v>
      </c>
      <c r="P508" s="598" t="str">
        <f t="shared" si="95"/>
        <v xml:space="preserve"> </v>
      </c>
      <c r="Q508" s="598" t="str">
        <f t="shared" si="95"/>
        <v xml:space="preserve"> </v>
      </c>
      <c r="R508" s="598" t="str">
        <f t="shared" si="95"/>
        <v xml:space="preserve"> </v>
      </c>
      <c r="S508" s="598" t="str">
        <f t="shared" si="95"/>
        <v xml:space="preserve"> </v>
      </c>
      <c r="T508" s="598" t="str">
        <f t="shared" si="95"/>
        <v xml:space="preserve"> </v>
      </c>
      <c r="U508" s="598" t="str">
        <f t="shared" si="95"/>
        <v xml:space="preserve"> </v>
      </c>
      <c r="V508" s="598" t="str">
        <f t="shared" si="95"/>
        <v xml:space="preserve"> </v>
      </c>
      <c r="W508" s="598" t="str">
        <f t="shared" si="95"/>
        <v xml:space="preserve"> </v>
      </c>
      <c r="X508" s="598" t="str">
        <f t="shared" si="95"/>
        <v xml:space="preserve"> </v>
      </c>
      <c r="Y508" s="598" t="str">
        <f t="shared" si="95"/>
        <v xml:space="preserve"> </v>
      </c>
      <c r="Z508" s="598" t="str">
        <f t="shared" si="95"/>
        <v xml:space="preserve"> </v>
      </c>
      <c r="AA508" s="598" t="str">
        <f t="shared" si="95"/>
        <v xml:space="preserve"> </v>
      </c>
      <c r="AB508" s="598" t="str">
        <f t="shared" ca="1" si="95"/>
        <v/>
      </c>
      <c r="AC508" s="598" t="str">
        <f t="shared" ca="1" si="95"/>
        <v/>
      </c>
      <c r="AD508" s="598" t="str">
        <f t="shared" si="95"/>
        <v xml:space="preserve"> </v>
      </c>
      <c r="AE508" s="598" t="str">
        <f t="shared" si="95"/>
        <v xml:space="preserve"> </v>
      </c>
      <c r="AF508" s="598" t="str">
        <f t="shared" si="95"/>
        <v xml:space="preserve"> </v>
      </c>
      <c r="AG508" s="598" t="str">
        <f t="shared" si="95"/>
        <v xml:space="preserve"> </v>
      </c>
      <c r="AH508" s="598" t="str">
        <f t="shared" si="95"/>
        <v xml:space="preserve"> </v>
      </c>
      <c r="AI508" s="598" t="str">
        <f t="shared" si="95"/>
        <v xml:space="preserve"> </v>
      </c>
      <c r="AJ508" s="598" t="str">
        <f t="shared" si="95"/>
        <v xml:space="preserve"> </v>
      </c>
      <c r="AK508" s="598" t="str">
        <f t="shared" si="95"/>
        <v xml:space="preserve"> </v>
      </c>
      <c r="AL508" s="598" t="str">
        <f t="shared" si="95"/>
        <v xml:space="preserve"> </v>
      </c>
      <c r="AM508" s="598" t="str">
        <f t="shared" si="95"/>
        <v xml:space="preserve"> </v>
      </c>
      <c r="AN508" s="598" t="str">
        <f t="shared" si="95"/>
        <v xml:space="preserve"> </v>
      </c>
      <c r="AO508" s="598" t="str">
        <f t="shared" si="95"/>
        <v xml:space="preserve"> </v>
      </c>
      <c r="AP508" s="598" t="str">
        <f t="shared" si="95"/>
        <v xml:space="preserve"> </v>
      </c>
      <c r="AQ508" s="598" t="str">
        <f t="shared" si="95"/>
        <v xml:space="preserve"> </v>
      </c>
      <c r="AR508" s="598" t="str">
        <f t="shared" si="95"/>
        <v xml:space="preserve"> </v>
      </c>
      <c r="AS508" s="598" t="str">
        <f t="shared" si="95"/>
        <v xml:space="preserve"> </v>
      </c>
      <c r="AT508" s="598" t="str">
        <f t="shared" si="95"/>
        <v xml:space="preserve"> </v>
      </c>
      <c r="AU508" s="598" t="str">
        <f t="shared" si="95"/>
        <v xml:space="preserve"> </v>
      </c>
      <c r="AW508" s="598" t="str">
        <f t="shared" si="93"/>
        <v xml:space="preserve"> </v>
      </c>
      <c r="AX508" s="598" t="str">
        <f t="shared" si="93"/>
        <v xml:space="preserve"> </v>
      </c>
      <c r="AY508" s="598" t="str">
        <f t="shared" si="93"/>
        <v xml:space="preserve"> </v>
      </c>
      <c r="AZ508" s="598" t="str">
        <f t="shared" si="93"/>
        <v xml:space="preserve"> </v>
      </c>
      <c r="BA508" s="598" t="str">
        <f t="shared" si="93"/>
        <v xml:space="preserve"> </v>
      </c>
      <c r="BB508" s="598" t="str">
        <f t="shared" si="93"/>
        <v xml:space="preserve"> </v>
      </c>
      <c r="BC508" s="598" t="str">
        <f t="shared" si="93"/>
        <v xml:space="preserve"> </v>
      </c>
      <c r="BD508" s="598" t="str">
        <f t="shared" si="93"/>
        <v xml:space="preserve"> </v>
      </c>
      <c r="BE508" s="598" t="str">
        <f t="shared" si="93"/>
        <v xml:space="preserve"> </v>
      </c>
      <c r="BF508" s="598" t="str">
        <f t="shared" si="93"/>
        <v xml:space="preserve"> </v>
      </c>
      <c r="BG508" s="598" t="str">
        <f t="shared" si="93"/>
        <v xml:space="preserve"> </v>
      </c>
      <c r="BH508" s="598" t="str">
        <f t="shared" si="93"/>
        <v xml:space="preserve"> </v>
      </c>
      <c r="BI508" s="598" t="str">
        <f t="shared" si="93"/>
        <v xml:space="preserve"> </v>
      </c>
      <c r="BJ508" s="598" t="str">
        <f t="shared" si="93"/>
        <v xml:space="preserve"> </v>
      </c>
      <c r="BK508" s="598" t="str">
        <f t="shared" si="93"/>
        <v xml:space="preserve"> </v>
      </c>
      <c r="BL508" s="598" t="str">
        <f t="shared" si="91"/>
        <v xml:space="preserve"> </v>
      </c>
      <c r="BM508" s="598" t="str">
        <f t="shared" si="91"/>
        <v xml:space="preserve"> </v>
      </c>
      <c r="BN508" s="598" t="str">
        <f t="shared" si="91"/>
        <v xml:space="preserve"> </v>
      </c>
      <c r="BO508" s="598" t="str">
        <f t="shared" si="91"/>
        <v xml:space="preserve"> </v>
      </c>
      <c r="BP508" s="598" t="str">
        <f t="shared" si="91"/>
        <v xml:space="preserve"> </v>
      </c>
      <c r="BQ508" s="598" t="str">
        <f t="shared" si="91"/>
        <v xml:space="preserve"> </v>
      </c>
      <c r="BR508" s="598" t="str">
        <f t="shared" si="91"/>
        <v xml:space="preserve"> </v>
      </c>
      <c r="BS508" s="598" t="str">
        <f t="shared" si="91"/>
        <v xml:space="preserve"> </v>
      </c>
      <c r="BT508" s="598" t="str">
        <f t="shared" si="91"/>
        <v xml:space="preserve"> </v>
      </c>
      <c r="BU508" s="598" t="str">
        <f t="shared" si="91"/>
        <v xml:space="preserve"> </v>
      </c>
      <c r="BV508" s="598" t="str">
        <f t="shared" si="91"/>
        <v xml:space="preserve"> </v>
      </c>
      <c r="BW508" s="598" t="str">
        <f t="shared" si="91"/>
        <v xml:space="preserve"> </v>
      </c>
      <c r="BX508" s="598" t="str">
        <f t="shared" si="91"/>
        <v xml:space="preserve"> </v>
      </c>
      <c r="BY508" s="598" t="str">
        <f t="shared" si="91"/>
        <v xml:space="preserve"> </v>
      </c>
      <c r="BZ508" s="598" t="str">
        <f t="shared" si="91"/>
        <v xml:space="preserve"> </v>
      </c>
      <c r="CA508" s="598" t="str">
        <f t="shared" si="91"/>
        <v xml:space="preserve"> </v>
      </c>
      <c r="CB508" s="598" t="str">
        <f t="shared" si="92"/>
        <v xml:space="preserve"> </v>
      </c>
      <c r="CC508" s="598" t="str">
        <f t="shared" si="90"/>
        <v xml:space="preserve"> </v>
      </c>
      <c r="CD508" s="598" t="str">
        <f t="shared" si="90"/>
        <v xml:space="preserve"> </v>
      </c>
      <c r="CE508" s="598" t="str">
        <f t="shared" si="90"/>
        <v xml:space="preserve"> </v>
      </c>
      <c r="CF508" s="598" t="str">
        <f t="shared" si="90"/>
        <v xml:space="preserve"> </v>
      </c>
      <c r="CG508" s="598" t="str">
        <f t="shared" si="90"/>
        <v xml:space="preserve"> </v>
      </c>
      <c r="CH508" s="598" t="str">
        <f t="shared" si="90"/>
        <v xml:space="preserve"> </v>
      </c>
      <c r="CI508" s="598" t="str">
        <f t="shared" si="90"/>
        <v xml:space="preserve"> </v>
      </c>
      <c r="CJ508" s="598" t="str">
        <f t="shared" si="90"/>
        <v xml:space="preserve"> </v>
      </c>
      <c r="CK508" s="598" t="str">
        <f t="shared" si="90"/>
        <v xml:space="preserve"> </v>
      </c>
      <c r="CL508" s="598" t="str">
        <f t="shared" si="90"/>
        <v xml:space="preserve"> </v>
      </c>
      <c r="CM508" s="598" t="str">
        <f t="shared" si="90"/>
        <v xml:space="preserve"> </v>
      </c>
      <c r="CN508" s="598" t="str">
        <f t="shared" si="90"/>
        <v xml:space="preserve"> </v>
      </c>
      <c r="CO508" s="598" t="str">
        <f t="shared" si="90"/>
        <v xml:space="preserve"> </v>
      </c>
      <c r="CP508" s="598" t="str">
        <f t="shared" si="88"/>
        <v xml:space="preserve"> </v>
      </c>
      <c r="CQ508" s="598" t="str">
        <f t="shared" ca="1" si="80"/>
        <v/>
      </c>
    </row>
    <row r="509" spans="1:95" ht="9.9499999999999993" customHeight="1">
      <c r="A509" s="598">
        <v>88</v>
      </c>
      <c r="B509" s="598" t="str">
        <f t="shared" ca="1" si="95"/>
        <v/>
      </c>
      <c r="C509" s="598" t="str">
        <f t="shared" ca="1" si="95"/>
        <v>Monster:Wyvern</v>
      </c>
      <c r="D509" s="598" t="str">
        <f t="shared" ca="1" si="95"/>
        <v/>
      </c>
      <c r="E509" s="598" t="str">
        <f t="shared" si="95"/>
        <v xml:space="preserve"> </v>
      </c>
      <c r="F509" s="598" t="str">
        <f t="shared" si="95"/>
        <v xml:space="preserve"> </v>
      </c>
      <c r="G509" s="598" t="str">
        <f t="shared" si="95"/>
        <v xml:space="preserve"> </v>
      </c>
      <c r="H509" s="598" t="str">
        <f t="shared" si="95"/>
        <v xml:space="preserve"> </v>
      </c>
      <c r="I509" s="598" t="str">
        <f t="shared" si="95"/>
        <v xml:space="preserve"> </v>
      </c>
      <c r="J509" s="598" t="str">
        <f t="shared" si="95"/>
        <v xml:space="preserve"> </v>
      </c>
      <c r="K509" s="598" t="str">
        <f t="shared" si="95"/>
        <v xml:space="preserve"> </v>
      </c>
      <c r="L509" s="598" t="str">
        <f t="shared" si="95"/>
        <v xml:space="preserve"> </v>
      </c>
      <c r="M509" s="598" t="str">
        <f t="shared" ca="1" si="95"/>
        <v/>
      </c>
      <c r="N509" s="598" t="str">
        <f t="shared" ca="1" si="95"/>
        <v/>
      </c>
      <c r="O509" s="598" t="str">
        <f t="shared" si="95"/>
        <v xml:space="preserve"> </v>
      </c>
      <c r="P509" s="598" t="str">
        <f t="shared" si="95"/>
        <v xml:space="preserve"> </v>
      </c>
      <c r="Q509" s="598" t="str">
        <f t="shared" si="95"/>
        <v xml:space="preserve"> </v>
      </c>
      <c r="R509" s="598" t="str">
        <f t="shared" si="95"/>
        <v xml:space="preserve"> </v>
      </c>
      <c r="S509" s="598" t="str">
        <f t="shared" si="95"/>
        <v xml:space="preserve"> </v>
      </c>
      <c r="T509" s="598" t="str">
        <f t="shared" si="95"/>
        <v xml:space="preserve"> </v>
      </c>
      <c r="U509" s="598" t="str">
        <f t="shared" si="95"/>
        <v xml:space="preserve"> </v>
      </c>
      <c r="V509" s="598" t="str">
        <f t="shared" si="95"/>
        <v xml:space="preserve"> </v>
      </c>
      <c r="W509" s="598" t="str">
        <f t="shared" si="95"/>
        <v xml:space="preserve"> </v>
      </c>
      <c r="X509" s="598" t="str">
        <f t="shared" si="95"/>
        <v xml:space="preserve"> </v>
      </c>
      <c r="Y509" s="598" t="str">
        <f t="shared" si="95"/>
        <v xml:space="preserve"> </v>
      </c>
      <c r="Z509" s="598" t="str">
        <f t="shared" si="95"/>
        <v xml:space="preserve"> </v>
      </c>
      <c r="AA509" s="598" t="str">
        <f t="shared" si="95"/>
        <v xml:space="preserve"> </v>
      </c>
      <c r="AB509" s="598" t="str">
        <f t="shared" ca="1" si="95"/>
        <v/>
      </c>
      <c r="AC509" s="598" t="str">
        <f t="shared" ca="1" si="95"/>
        <v/>
      </c>
      <c r="AD509" s="598" t="str">
        <f t="shared" si="95"/>
        <v xml:space="preserve"> </v>
      </c>
      <c r="AE509" s="598" t="str">
        <f t="shared" si="95"/>
        <v xml:space="preserve"> </v>
      </c>
      <c r="AF509" s="598" t="str">
        <f t="shared" si="95"/>
        <v xml:space="preserve"> </v>
      </c>
      <c r="AG509" s="598" t="str">
        <f t="shared" si="95"/>
        <v xml:space="preserve"> </v>
      </c>
      <c r="AH509" s="598" t="str">
        <f t="shared" si="95"/>
        <v xml:space="preserve"> </v>
      </c>
      <c r="AI509" s="598" t="str">
        <f t="shared" si="95"/>
        <v xml:space="preserve"> </v>
      </c>
      <c r="AJ509" s="598" t="str">
        <f t="shared" si="95"/>
        <v xml:space="preserve"> </v>
      </c>
      <c r="AK509" s="598" t="str">
        <f t="shared" si="95"/>
        <v xml:space="preserve"> </v>
      </c>
      <c r="AL509" s="598" t="str">
        <f t="shared" si="95"/>
        <v xml:space="preserve"> </v>
      </c>
      <c r="AM509" s="598" t="str">
        <f t="shared" si="95"/>
        <v xml:space="preserve"> </v>
      </c>
      <c r="AN509" s="598" t="str">
        <f t="shared" si="95"/>
        <v xml:space="preserve"> </v>
      </c>
      <c r="AO509" s="598" t="str">
        <f t="shared" si="95"/>
        <v xml:space="preserve"> </v>
      </c>
      <c r="AP509" s="598" t="str">
        <f t="shared" si="95"/>
        <v xml:space="preserve"> </v>
      </c>
      <c r="AQ509" s="598" t="str">
        <f t="shared" si="95"/>
        <v xml:space="preserve"> </v>
      </c>
      <c r="AR509" s="598" t="str">
        <f t="shared" si="95"/>
        <v xml:space="preserve"> </v>
      </c>
      <c r="AS509" s="598" t="str">
        <f t="shared" si="95"/>
        <v xml:space="preserve"> </v>
      </c>
      <c r="AT509" s="598" t="str">
        <f t="shared" si="95"/>
        <v xml:space="preserve"> </v>
      </c>
      <c r="AU509" s="598" t="str">
        <f t="shared" si="95"/>
        <v xml:space="preserve"> </v>
      </c>
      <c r="AW509" s="598" t="str">
        <f t="shared" si="93"/>
        <v xml:space="preserve"> </v>
      </c>
      <c r="AX509" s="598" t="str">
        <f t="shared" si="93"/>
        <v xml:space="preserve"> </v>
      </c>
      <c r="AY509" s="598" t="str">
        <f t="shared" si="93"/>
        <v xml:space="preserve"> </v>
      </c>
      <c r="AZ509" s="598" t="str">
        <f t="shared" si="93"/>
        <v xml:space="preserve"> </v>
      </c>
      <c r="BA509" s="598" t="str">
        <f t="shared" si="93"/>
        <v xml:space="preserve"> </v>
      </c>
      <c r="BB509" s="598" t="str">
        <f t="shared" si="93"/>
        <v xml:space="preserve"> </v>
      </c>
      <c r="BC509" s="598" t="str">
        <f t="shared" si="93"/>
        <v xml:space="preserve"> </v>
      </c>
      <c r="BD509" s="598" t="str">
        <f t="shared" si="93"/>
        <v xml:space="preserve"> </v>
      </c>
      <c r="BE509" s="598" t="str">
        <f t="shared" si="93"/>
        <v xml:space="preserve"> </v>
      </c>
      <c r="BF509" s="598" t="str">
        <f t="shared" si="93"/>
        <v xml:space="preserve"> </v>
      </c>
      <c r="BG509" s="598" t="str">
        <f t="shared" si="93"/>
        <v xml:space="preserve"> </v>
      </c>
      <c r="BH509" s="598" t="str">
        <f t="shared" si="93"/>
        <v xml:space="preserve"> </v>
      </c>
      <c r="BI509" s="598" t="str">
        <f t="shared" si="93"/>
        <v xml:space="preserve"> </v>
      </c>
      <c r="BJ509" s="598" t="str">
        <f t="shared" si="93"/>
        <v xml:space="preserve"> </v>
      </c>
      <c r="BK509" s="598" t="str">
        <f t="shared" si="93"/>
        <v xml:space="preserve"> </v>
      </c>
      <c r="BL509" s="598" t="str">
        <f t="shared" si="91"/>
        <v xml:space="preserve"> </v>
      </c>
      <c r="BM509" s="598" t="str">
        <f t="shared" si="91"/>
        <v xml:space="preserve"> </v>
      </c>
      <c r="BN509" s="598" t="str">
        <f t="shared" si="91"/>
        <v xml:space="preserve"> </v>
      </c>
      <c r="BO509" s="598" t="str">
        <f t="shared" si="91"/>
        <v xml:space="preserve"> </v>
      </c>
      <c r="BP509" s="598" t="str">
        <f t="shared" si="91"/>
        <v xml:space="preserve"> </v>
      </c>
      <c r="BQ509" s="598" t="str">
        <f t="shared" si="91"/>
        <v xml:space="preserve"> </v>
      </c>
      <c r="BR509" s="598" t="str">
        <f t="shared" si="91"/>
        <v xml:space="preserve"> </v>
      </c>
      <c r="BS509" s="598" t="str">
        <f t="shared" si="91"/>
        <v xml:space="preserve"> </v>
      </c>
      <c r="BT509" s="598" t="str">
        <f t="shared" si="91"/>
        <v xml:space="preserve"> </v>
      </c>
      <c r="BU509" s="598" t="str">
        <f t="shared" si="91"/>
        <v xml:space="preserve"> </v>
      </c>
      <c r="BV509" s="598" t="str">
        <f t="shared" si="91"/>
        <v xml:space="preserve"> </v>
      </c>
      <c r="BW509" s="598" t="str">
        <f t="shared" si="91"/>
        <v xml:space="preserve"> </v>
      </c>
      <c r="BX509" s="598" t="str">
        <f t="shared" si="91"/>
        <v xml:space="preserve"> </v>
      </c>
      <c r="BY509" s="598" t="str">
        <f t="shared" si="91"/>
        <v xml:space="preserve"> </v>
      </c>
      <c r="BZ509" s="598" t="str">
        <f t="shared" si="91"/>
        <v xml:space="preserve"> </v>
      </c>
      <c r="CA509" s="598" t="str">
        <f t="shared" si="91"/>
        <v xml:space="preserve"> </v>
      </c>
      <c r="CB509" s="598" t="str">
        <f t="shared" si="92"/>
        <v xml:space="preserve"> </v>
      </c>
      <c r="CC509" s="598" t="str">
        <f t="shared" si="90"/>
        <v xml:space="preserve"> </v>
      </c>
      <c r="CD509" s="598" t="str">
        <f t="shared" si="90"/>
        <v xml:space="preserve"> </v>
      </c>
      <c r="CE509" s="598" t="str">
        <f t="shared" si="90"/>
        <v xml:space="preserve"> </v>
      </c>
      <c r="CF509" s="598" t="str">
        <f t="shared" si="90"/>
        <v xml:space="preserve"> </v>
      </c>
      <c r="CG509" s="598" t="str">
        <f t="shared" si="90"/>
        <v xml:space="preserve"> </v>
      </c>
      <c r="CH509" s="598" t="str">
        <f t="shared" si="90"/>
        <v xml:space="preserve"> </v>
      </c>
      <c r="CI509" s="598" t="str">
        <f t="shared" si="90"/>
        <v xml:space="preserve"> </v>
      </c>
      <c r="CJ509" s="598" t="str">
        <f t="shared" si="90"/>
        <v xml:space="preserve"> </v>
      </c>
      <c r="CK509" s="598" t="str">
        <f t="shared" si="90"/>
        <v xml:space="preserve"> </v>
      </c>
      <c r="CL509" s="598" t="str">
        <f t="shared" si="90"/>
        <v xml:space="preserve"> </v>
      </c>
      <c r="CM509" s="598" t="str">
        <f t="shared" si="90"/>
        <v xml:space="preserve"> </v>
      </c>
      <c r="CN509" s="598" t="str">
        <f t="shared" si="90"/>
        <v xml:space="preserve"> </v>
      </c>
      <c r="CO509" s="598" t="str">
        <f t="shared" si="90"/>
        <v xml:space="preserve"> </v>
      </c>
      <c r="CP509" s="598" t="str">
        <f t="shared" si="88"/>
        <v xml:space="preserve"> </v>
      </c>
      <c r="CQ509" s="598" t="str">
        <f t="shared" ca="1" si="80"/>
        <v/>
      </c>
    </row>
    <row r="510" spans="1:95" ht="9.9499999999999993" customHeight="1">
      <c r="A510" s="598">
        <v>89</v>
      </c>
      <c r="B510" s="598" t="str">
        <f t="shared" ca="1" si="95"/>
        <v/>
      </c>
      <c r="C510" s="598" t="str">
        <f t="shared" ca="1" si="95"/>
        <v/>
      </c>
      <c r="D510" s="598" t="str">
        <f t="shared" ca="1" si="95"/>
        <v/>
      </c>
      <c r="E510" s="598" t="str">
        <f t="shared" si="95"/>
        <v xml:space="preserve"> </v>
      </c>
      <c r="F510" s="598" t="str">
        <f t="shared" si="95"/>
        <v xml:space="preserve"> </v>
      </c>
      <c r="G510" s="598" t="str">
        <f t="shared" si="95"/>
        <v xml:space="preserve"> </v>
      </c>
      <c r="H510" s="598" t="str">
        <f t="shared" si="95"/>
        <v xml:space="preserve"> </v>
      </c>
      <c r="I510" s="598" t="str">
        <f t="shared" si="95"/>
        <v xml:space="preserve"> </v>
      </c>
      <c r="J510" s="598" t="str">
        <f t="shared" si="95"/>
        <v xml:space="preserve"> </v>
      </c>
      <c r="K510" s="598" t="str">
        <f t="shared" si="95"/>
        <v xml:space="preserve"> </v>
      </c>
      <c r="L510" s="598" t="str">
        <f t="shared" si="95"/>
        <v xml:space="preserve"> </v>
      </c>
      <c r="M510" s="598" t="str">
        <f t="shared" ca="1" si="95"/>
        <v/>
      </c>
      <c r="N510" s="598" t="str">
        <f t="shared" ca="1" si="95"/>
        <v/>
      </c>
      <c r="O510" s="598" t="str">
        <f t="shared" si="95"/>
        <v xml:space="preserve"> </v>
      </c>
      <c r="P510" s="598" t="str">
        <f t="shared" si="95"/>
        <v xml:space="preserve"> </v>
      </c>
      <c r="Q510" s="598" t="str">
        <f t="shared" si="95"/>
        <v xml:space="preserve"> </v>
      </c>
      <c r="R510" s="598" t="str">
        <f t="shared" si="95"/>
        <v xml:space="preserve"> </v>
      </c>
      <c r="S510" s="598" t="str">
        <f t="shared" si="95"/>
        <v xml:space="preserve"> </v>
      </c>
      <c r="T510" s="598" t="str">
        <f t="shared" si="95"/>
        <v xml:space="preserve"> </v>
      </c>
      <c r="U510" s="598" t="str">
        <f t="shared" si="95"/>
        <v xml:space="preserve"> </v>
      </c>
      <c r="V510" s="598" t="str">
        <f t="shared" si="95"/>
        <v xml:space="preserve"> </v>
      </c>
      <c r="W510" s="598" t="str">
        <f t="shared" si="95"/>
        <v xml:space="preserve"> </v>
      </c>
      <c r="X510" s="598" t="str">
        <f t="shared" si="95"/>
        <v xml:space="preserve"> </v>
      </c>
      <c r="Y510" s="598" t="str">
        <f t="shared" si="95"/>
        <v xml:space="preserve"> </v>
      </c>
      <c r="Z510" s="598" t="str">
        <f t="shared" si="95"/>
        <v xml:space="preserve"> </v>
      </c>
      <c r="AA510" s="598" t="str">
        <f t="shared" si="95"/>
        <v xml:space="preserve"> </v>
      </c>
      <c r="AB510" s="598" t="str">
        <f t="shared" ca="1" si="95"/>
        <v/>
      </c>
      <c r="AC510" s="598" t="str">
        <f t="shared" ca="1" si="95"/>
        <v/>
      </c>
      <c r="AD510" s="598" t="str">
        <f t="shared" si="95"/>
        <v xml:space="preserve"> </v>
      </c>
      <c r="AE510" s="598" t="str">
        <f t="shared" si="95"/>
        <v xml:space="preserve"> </v>
      </c>
      <c r="AF510" s="598" t="str">
        <f t="shared" si="95"/>
        <v xml:space="preserve"> </v>
      </c>
      <c r="AG510" s="598" t="str">
        <f t="shared" si="95"/>
        <v xml:space="preserve"> </v>
      </c>
      <c r="AH510" s="598" t="str">
        <f t="shared" si="95"/>
        <v xml:space="preserve"> </v>
      </c>
      <c r="AI510" s="598" t="str">
        <f t="shared" si="95"/>
        <v xml:space="preserve"> </v>
      </c>
      <c r="AJ510" s="598" t="str">
        <f t="shared" si="95"/>
        <v xml:space="preserve"> </v>
      </c>
      <c r="AK510" s="598" t="str">
        <f t="shared" si="95"/>
        <v xml:space="preserve"> </v>
      </c>
      <c r="AL510" s="598" t="str">
        <f t="shared" si="95"/>
        <v xml:space="preserve"> </v>
      </c>
      <c r="AM510" s="598" t="str">
        <f t="shared" si="95"/>
        <v xml:space="preserve"> </v>
      </c>
      <c r="AN510" s="598" t="str">
        <f t="shared" si="95"/>
        <v xml:space="preserve"> </v>
      </c>
      <c r="AO510" s="598" t="str">
        <f t="shared" si="95"/>
        <v xml:space="preserve"> </v>
      </c>
      <c r="AP510" s="598" t="str">
        <f t="shared" si="95"/>
        <v xml:space="preserve"> </v>
      </c>
      <c r="AQ510" s="598" t="str">
        <f t="shared" si="95"/>
        <v xml:space="preserve"> </v>
      </c>
      <c r="AR510" s="598" t="str">
        <f t="shared" si="95"/>
        <v xml:space="preserve"> </v>
      </c>
      <c r="AS510" s="598" t="str">
        <f t="shared" si="95"/>
        <v xml:space="preserve"> </v>
      </c>
      <c r="AT510" s="598" t="str">
        <f t="shared" si="95"/>
        <v xml:space="preserve"> </v>
      </c>
      <c r="AU510" s="598" t="str">
        <f t="shared" si="95"/>
        <v xml:space="preserve"> </v>
      </c>
      <c r="AW510" s="598" t="str">
        <f t="shared" si="93"/>
        <v xml:space="preserve"> </v>
      </c>
      <c r="AX510" s="598" t="str">
        <f t="shared" si="93"/>
        <v xml:space="preserve"> </v>
      </c>
      <c r="AY510" s="598" t="str">
        <f t="shared" si="93"/>
        <v xml:space="preserve"> </v>
      </c>
      <c r="AZ510" s="598" t="str">
        <f t="shared" si="93"/>
        <v xml:space="preserve"> </v>
      </c>
      <c r="BA510" s="598" t="str">
        <f t="shared" si="93"/>
        <v xml:space="preserve"> </v>
      </c>
      <c r="BB510" s="598" t="str">
        <f t="shared" si="93"/>
        <v xml:space="preserve"> </v>
      </c>
      <c r="BC510" s="598" t="str">
        <f t="shared" si="93"/>
        <v xml:space="preserve"> </v>
      </c>
      <c r="BD510" s="598" t="str">
        <f t="shared" si="93"/>
        <v xml:space="preserve"> </v>
      </c>
      <c r="BE510" s="598" t="str">
        <f t="shared" si="93"/>
        <v xml:space="preserve"> </v>
      </c>
      <c r="BF510" s="598" t="str">
        <f t="shared" si="93"/>
        <v xml:space="preserve"> </v>
      </c>
      <c r="BG510" s="598" t="str">
        <f t="shared" si="93"/>
        <v xml:space="preserve"> </v>
      </c>
      <c r="BH510" s="598" t="str">
        <f t="shared" si="93"/>
        <v xml:space="preserve"> </v>
      </c>
      <c r="BI510" s="598" t="str">
        <f t="shared" si="93"/>
        <v xml:space="preserve"> </v>
      </c>
      <c r="BJ510" s="598" t="str">
        <f t="shared" si="93"/>
        <v xml:space="preserve"> </v>
      </c>
      <c r="BK510" s="598" t="str">
        <f t="shared" si="93"/>
        <v xml:space="preserve"> </v>
      </c>
      <c r="BL510" s="598" t="str">
        <f t="shared" si="91"/>
        <v xml:space="preserve"> </v>
      </c>
      <c r="BM510" s="598" t="str">
        <f t="shared" si="91"/>
        <v xml:space="preserve"> </v>
      </c>
      <c r="BN510" s="598" t="str">
        <f t="shared" si="91"/>
        <v xml:space="preserve"> </v>
      </c>
      <c r="BO510" s="598" t="str">
        <f t="shared" si="91"/>
        <v xml:space="preserve"> </v>
      </c>
      <c r="BP510" s="598" t="str">
        <f t="shared" si="91"/>
        <v xml:space="preserve"> </v>
      </c>
      <c r="BQ510" s="598" t="str">
        <f t="shared" si="91"/>
        <v xml:space="preserve"> </v>
      </c>
      <c r="BR510" s="598" t="str">
        <f t="shared" si="91"/>
        <v xml:space="preserve"> </v>
      </c>
      <c r="BS510" s="598" t="str">
        <f t="shared" si="91"/>
        <v xml:space="preserve"> </v>
      </c>
      <c r="BT510" s="598" t="str">
        <f t="shared" si="91"/>
        <v xml:space="preserve"> </v>
      </c>
      <c r="BU510" s="598" t="str">
        <f t="shared" si="91"/>
        <v xml:space="preserve"> </v>
      </c>
      <c r="BV510" s="598" t="str">
        <f t="shared" si="91"/>
        <v xml:space="preserve"> </v>
      </c>
      <c r="BW510" s="598" t="str">
        <f t="shared" si="91"/>
        <v xml:space="preserve"> </v>
      </c>
      <c r="BX510" s="598" t="str">
        <f t="shared" si="91"/>
        <v xml:space="preserve"> </v>
      </c>
      <c r="BY510" s="598" t="str">
        <f t="shared" si="91"/>
        <v xml:space="preserve"> </v>
      </c>
      <c r="BZ510" s="598" t="str">
        <f t="shared" si="91"/>
        <v xml:space="preserve"> </v>
      </c>
      <c r="CA510" s="598" t="str">
        <f t="shared" si="91"/>
        <v xml:space="preserve"> </v>
      </c>
      <c r="CB510" s="598" t="str">
        <f t="shared" si="92"/>
        <v xml:space="preserve"> </v>
      </c>
      <c r="CC510" s="598" t="str">
        <f t="shared" si="90"/>
        <v xml:space="preserve"> </v>
      </c>
      <c r="CD510" s="598" t="str">
        <f t="shared" si="90"/>
        <v xml:space="preserve"> </v>
      </c>
      <c r="CE510" s="598" t="str">
        <f t="shared" si="90"/>
        <v xml:space="preserve"> </v>
      </c>
      <c r="CF510" s="598" t="str">
        <f t="shared" si="90"/>
        <v xml:space="preserve"> </v>
      </c>
      <c r="CG510" s="598" t="str">
        <f t="shared" si="90"/>
        <v xml:space="preserve"> </v>
      </c>
      <c r="CH510" s="598" t="str">
        <f t="shared" si="90"/>
        <v xml:space="preserve"> </v>
      </c>
      <c r="CI510" s="598" t="str">
        <f t="shared" si="90"/>
        <v xml:space="preserve"> </v>
      </c>
      <c r="CJ510" s="598" t="str">
        <f t="shared" si="90"/>
        <v xml:space="preserve"> </v>
      </c>
      <c r="CK510" s="598" t="str">
        <f t="shared" si="90"/>
        <v xml:space="preserve"> </v>
      </c>
      <c r="CL510" s="598" t="str">
        <f t="shared" si="90"/>
        <v xml:space="preserve"> </v>
      </c>
      <c r="CM510" s="598" t="str">
        <f t="shared" si="90"/>
        <v xml:space="preserve"> </v>
      </c>
      <c r="CN510" s="598" t="str">
        <f t="shared" si="90"/>
        <v xml:space="preserve"> </v>
      </c>
      <c r="CO510" s="598" t="str">
        <f t="shared" si="90"/>
        <v xml:space="preserve"> </v>
      </c>
      <c r="CP510" s="598" t="str">
        <f t="shared" si="88"/>
        <v xml:space="preserve"> </v>
      </c>
      <c r="CQ510" s="598" t="str">
        <f t="shared" ca="1" si="80"/>
        <v/>
      </c>
    </row>
    <row r="511" spans="1:95" ht="9.9499999999999993" customHeight="1">
      <c r="A511" s="598">
        <v>90</v>
      </c>
      <c r="B511" s="598" t="str">
        <f t="shared" ca="1" si="95"/>
        <v/>
      </c>
      <c r="C511" s="598" t="str">
        <f t="shared" ca="1" si="95"/>
        <v/>
      </c>
      <c r="D511" s="598" t="str">
        <f t="shared" ca="1" si="95"/>
        <v/>
      </c>
      <c r="E511" s="598" t="str">
        <f t="shared" si="95"/>
        <v xml:space="preserve"> </v>
      </c>
      <c r="F511" s="598" t="str">
        <f t="shared" si="95"/>
        <v xml:space="preserve"> </v>
      </c>
      <c r="G511" s="598" t="str">
        <f t="shared" si="95"/>
        <v xml:space="preserve"> </v>
      </c>
      <c r="H511" s="598" t="str">
        <f t="shared" si="95"/>
        <v xml:space="preserve"> </v>
      </c>
      <c r="I511" s="598" t="str">
        <f t="shared" si="95"/>
        <v xml:space="preserve"> </v>
      </c>
      <c r="J511" s="598" t="str">
        <f t="shared" si="95"/>
        <v xml:space="preserve"> </v>
      </c>
      <c r="K511" s="598" t="str">
        <f t="shared" si="95"/>
        <v xml:space="preserve"> </v>
      </c>
      <c r="L511" s="598" t="str">
        <f t="shared" si="95"/>
        <v xml:space="preserve"> </v>
      </c>
      <c r="M511" s="598" t="str">
        <f t="shared" ca="1" si="95"/>
        <v/>
      </c>
      <c r="N511" s="598" t="str">
        <f t="shared" ca="1" si="95"/>
        <v/>
      </c>
      <c r="O511" s="598" t="str">
        <f t="shared" si="95"/>
        <v xml:space="preserve"> </v>
      </c>
      <c r="P511" s="598" t="str">
        <f t="shared" si="95"/>
        <v xml:space="preserve"> </v>
      </c>
      <c r="Q511" s="598" t="str">
        <f t="shared" si="95"/>
        <v xml:space="preserve"> </v>
      </c>
      <c r="R511" s="598" t="str">
        <f t="shared" si="95"/>
        <v xml:space="preserve"> </v>
      </c>
      <c r="S511" s="598" t="str">
        <f t="shared" si="95"/>
        <v xml:space="preserve"> </v>
      </c>
      <c r="T511" s="598" t="str">
        <f t="shared" si="95"/>
        <v xml:space="preserve"> </v>
      </c>
      <c r="U511" s="598" t="str">
        <f t="shared" si="95"/>
        <v xml:space="preserve"> </v>
      </c>
      <c r="V511" s="598" t="str">
        <f t="shared" si="95"/>
        <v xml:space="preserve"> </v>
      </c>
      <c r="W511" s="598" t="str">
        <f t="shared" si="95"/>
        <v xml:space="preserve"> </v>
      </c>
      <c r="X511" s="598" t="str">
        <f t="shared" si="95"/>
        <v xml:space="preserve"> </v>
      </c>
      <c r="Y511" s="598" t="str">
        <f t="shared" si="95"/>
        <v xml:space="preserve"> </v>
      </c>
      <c r="Z511" s="598" t="str">
        <f t="shared" si="95"/>
        <v xml:space="preserve"> </v>
      </c>
      <c r="AA511" s="598" t="str">
        <f t="shared" si="95"/>
        <v xml:space="preserve"> </v>
      </c>
      <c r="AB511" s="598" t="str">
        <f t="shared" ca="1" si="95"/>
        <v/>
      </c>
      <c r="AC511" s="598" t="str">
        <f t="shared" ca="1" si="95"/>
        <v/>
      </c>
      <c r="AD511" s="598" t="str">
        <f t="shared" si="95"/>
        <v xml:space="preserve"> </v>
      </c>
      <c r="AE511" s="598" t="str">
        <f t="shared" si="95"/>
        <v xml:space="preserve"> </v>
      </c>
      <c r="AF511" s="598" t="str">
        <f t="shared" si="95"/>
        <v xml:space="preserve"> </v>
      </c>
      <c r="AG511" s="598" t="str">
        <f t="shared" si="95"/>
        <v xml:space="preserve"> </v>
      </c>
      <c r="AH511" s="598" t="str">
        <f t="shared" si="95"/>
        <v xml:space="preserve"> </v>
      </c>
      <c r="AI511" s="598" t="str">
        <f t="shared" si="95"/>
        <v xml:space="preserve"> </v>
      </c>
      <c r="AJ511" s="598" t="str">
        <f t="shared" si="95"/>
        <v xml:space="preserve"> </v>
      </c>
      <c r="AK511" s="598" t="str">
        <f t="shared" si="95"/>
        <v xml:space="preserve"> </v>
      </c>
      <c r="AL511" s="598" t="str">
        <f t="shared" si="95"/>
        <v xml:space="preserve"> </v>
      </c>
      <c r="AM511" s="598" t="str">
        <f t="shared" si="95"/>
        <v xml:space="preserve"> </v>
      </c>
      <c r="AN511" s="598" t="str">
        <f t="shared" si="95"/>
        <v xml:space="preserve"> </v>
      </c>
      <c r="AO511" s="598" t="str">
        <f t="shared" si="95"/>
        <v xml:space="preserve"> </v>
      </c>
      <c r="AP511" s="598" t="str">
        <f t="shared" si="95"/>
        <v xml:space="preserve"> </v>
      </c>
      <c r="AQ511" s="598" t="str">
        <f t="shared" si="95"/>
        <v xml:space="preserve"> </v>
      </c>
      <c r="AR511" s="598" t="str">
        <f t="shared" si="95"/>
        <v xml:space="preserve"> </v>
      </c>
      <c r="AS511" s="598" t="str">
        <f t="shared" si="95"/>
        <v xml:space="preserve"> </v>
      </c>
      <c r="AT511" s="598" t="str">
        <f t="shared" si="95"/>
        <v xml:space="preserve"> </v>
      </c>
      <c r="AU511" s="598" t="str">
        <f t="shared" si="95"/>
        <v xml:space="preserve"> </v>
      </c>
      <c r="AW511" s="598" t="str">
        <f t="shared" si="93"/>
        <v xml:space="preserve"> </v>
      </c>
      <c r="AX511" s="598" t="str">
        <f t="shared" si="93"/>
        <v xml:space="preserve"> </v>
      </c>
      <c r="AY511" s="598" t="str">
        <f t="shared" si="93"/>
        <v xml:space="preserve"> </v>
      </c>
      <c r="AZ511" s="598" t="str">
        <f t="shared" si="93"/>
        <v xml:space="preserve"> </v>
      </c>
      <c r="BA511" s="598" t="str">
        <f t="shared" si="93"/>
        <v xml:space="preserve"> </v>
      </c>
      <c r="BB511" s="598" t="str">
        <f t="shared" si="93"/>
        <v xml:space="preserve"> </v>
      </c>
      <c r="BC511" s="598" t="str">
        <f t="shared" si="93"/>
        <v xml:space="preserve"> </v>
      </c>
      <c r="BD511" s="598" t="str">
        <f t="shared" si="93"/>
        <v xml:space="preserve"> </v>
      </c>
      <c r="BE511" s="598" t="str">
        <f t="shared" si="93"/>
        <v xml:space="preserve"> </v>
      </c>
      <c r="BF511" s="598" t="str">
        <f t="shared" si="93"/>
        <v xml:space="preserve"> </v>
      </c>
      <c r="BG511" s="598" t="str">
        <f t="shared" si="93"/>
        <v xml:space="preserve"> </v>
      </c>
      <c r="BH511" s="598" t="str">
        <f t="shared" si="93"/>
        <v xml:space="preserve"> </v>
      </c>
      <c r="BI511" s="598" t="str">
        <f t="shared" si="93"/>
        <v xml:space="preserve"> </v>
      </c>
      <c r="BJ511" s="598" t="str">
        <f t="shared" si="93"/>
        <v xml:space="preserve"> </v>
      </c>
      <c r="BK511" s="598" t="str">
        <f t="shared" si="93"/>
        <v xml:space="preserve"> </v>
      </c>
      <c r="BL511" s="598" t="str">
        <f t="shared" si="91"/>
        <v xml:space="preserve"> </v>
      </c>
      <c r="BM511" s="598" t="str">
        <f t="shared" si="91"/>
        <v xml:space="preserve"> </v>
      </c>
      <c r="BN511" s="598" t="str">
        <f t="shared" si="91"/>
        <v xml:space="preserve"> </v>
      </c>
      <c r="BO511" s="598" t="str">
        <f t="shared" si="91"/>
        <v xml:space="preserve"> </v>
      </c>
      <c r="BP511" s="598" t="str">
        <f t="shared" si="91"/>
        <v xml:space="preserve"> </v>
      </c>
      <c r="BQ511" s="598" t="str">
        <f t="shared" si="91"/>
        <v xml:space="preserve"> </v>
      </c>
      <c r="BR511" s="598" t="str">
        <f t="shared" si="91"/>
        <v xml:space="preserve"> </v>
      </c>
      <c r="BS511" s="598" t="str">
        <f t="shared" si="91"/>
        <v xml:space="preserve"> </v>
      </c>
      <c r="BT511" s="598" t="str">
        <f t="shared" si="91"/>
        <v xml:space="preserve"> </v>
      </c>
      <c r="BU511" s="598" t="str">
        <f t="shared" si="91"/>
        <v xml:space="preserve"> </v>
      </c>
      <c r="BV511" s="598" t="str">
        <f t="shared" si="91"/>
        <v xml:space="preserve"> </v>
      </c>
      <c r="BW511" s="598" t="str">
        <f t="shared" si="91"/>
        <v xml:space="preserve"> </v>
      </c>
      <c r="BX511" s="598" t="str">
        <f t="shared" si="91"/>
        <v xml:space="preserve"> </v>
      </c>
      <c r="BY511" s="598" t="str">
        <f t="shared" si="91"/>
        <v xml:space="preserve"> </v>
      </c>
      <c r="BZ511" s="598" t="str">
        <f t="shared" si="91"/>
        <v xml:space="preserve"> </v>
      </c>
      <c r="CA511" s="598" t="str">
        <f t="shared" si="91"/>
        <v xml:space="preserve"> </v>
      </c>
      <c r="CB511" s="598" t="str">
        <f t="shared" si="92"/>
        <v xml:space="preserve"> </v>
      </c>
      <c r="CC511" s="598" t="str">
        <f t="shared" si="90"/>
        <v xml:space="preserve"> </v>
      </c>
      <c r="CD511" s="598" t="str">
        <f t="shared" si="90"/>
        <v xml:space="preserve"> </v>
      </c>
      <c r="CE511" s="598" t="str">
        <f t="shared" si="90"/>
        <v xml:space="preserve"> </v>
      </c>
      <c r="CF511" s="598" t="str">
        <f t="shared" si="90"/>
        <v xml:space="preserve"> </v>
      </c>
      <c r="CG511" s="598" t="str">
        <f t="shared" si="90"/>
        <v xml:space="preserve"> </v>
      </c>
      <c r="CH511" s="598" t="str">
        <f t="shared" si="90"/>
        <v xml:space="preserve"> </v>
      </c>
      <c r="CI511" s="598" t="str">
        <f t="shared" si="90"/>
        <v xml:space="preserve"> </v>
      </c>
      <c r="CJ511" s="598" t="str">
        <f t="shared" si="90"/>
        <v xml:space="preserve"> </v>
      </c>
      <c r="CK511" s="598" t="str">
        <f t="shared" si="90"/>
        <v xml:space="preserve"> </v>
      </c>
      <c r="CL511" s="598" t="str">
        <f t="shared" si="90"/>
        <v xml:space="preserve"> </v>
      </c>
      <c r="CM511" s="598" t="str">
        <f t="shared" si="90"/>
        <v xml:space="preserve"> </v>
      </c>
      <c r="CN511" s="598" t="str">
        <f t="shared" si="90"/>
        <v xml:space="preserve"> </v>
      </c>
      <c r="CO511" s="598" t="str">
        <f t="shared" si="90"/>
        <v xml:space="preserve"> </v>
      </c>
      <c r="CP511" s="598" t="str">
        <f t="shared" si="88"/>
        <v xml:space="preserve"> </v>
      </c>
      <c r="CQ511" s="598" t="str">
        <f t="shared" ca="1" si="80"/>
        <v/>
      </c>
    </row>
    <row r="512" spans="1:95" ht="9.9499999999999993" customHeight="1">
      <c r="A512" s="598">
        <v>91</v>
      </c>
      <c r="B512" s="598" t="str">
        <f t="shared" ca="1" si="95"/>
        <v/>
      </c>
      <c r="C512" s="598" t="str">
        <f t="shared" ca="1" si="95"/>
        <v/>
      </c>
      <c r="D512" s="598" t="str">
        <f t="shared" ca="1" si="95"/>
        <v/>
      </c>
      <c r="E512" s="598" t="str">
        <f t="shared" si="95"/>
        <v xml:space="preserve"> </v>
      </c>
      <c r="F512" s="598" t="str">
        <f t="shared" si="95"/>
        <v xml:space="preserve"> </v>
      </c>
      <c r="G512" s="598" t="str">
        <f t="shared" si="95"/>
        <v xml:space="preserve"> </v>
      </c>
      <c r="H512" s="598" t="str">
        <f t="shared" si="95"/>
        <v xml:space="preserve"> </v>
      </c>
      <c r="I512" s="598" t="str">
        <f t="shared" si="95"/>
        <v xml:space="preserve"> </v>
      </c>
      <c r="J512" s="598" t="str">
        <f t="shared" si="95"/>
        <v xml:space="preserve"> </v>
      </c>
      <c r="K512" s="598" t="str">
        <f t="shared" si="95"/>
        <v xml:space="preserve"> </v>
      </c>
      <c r="L512" s="598" t="str">
        <f t="shared" si="95"/>
        <v xml:space="preserve"> </v>
      </c>
      <c r="M512" s="598" t="str">
        <f t="shared" ca="1" si="95"/>
        <v/>
      </c>
      <c r="N512" s="598" t="str">
        <f t="shared" ca="1" si="95"/>
        <v/>
      </c>
      <c r="O512" s="598" t="str">
        <f t="shared" si="95"/>
        <v xml:space="preserve"> </v>
      </c>
      <c r="P512" s="598" t="str">
        <f t="shared" si="95"/>
        <v xml:space="preserve"> </v>
      </c>
      <c r="Q512" s="598" t="str">
        <f t="shared" si="95"/>
        <v xml:space="preserve"> </v>
      </c>
      <c r="R512" s="598" t="str">
        <f t="shared" si="95"/>
        <v xml:space="preserve"> </v>
      </c>
      <c r="S512" s="598" t="str">
        <f t="shared" si="95"/>
        <v xml:space="preserve"> </v>
      </c>
      <c r="T512" s="598" t="str">
        <f t="shared" si="95"/>
        <v xml:space="preserve"> </v>
      </c>
      <c r="U512" s="598" t="str">
        <f t="shared" si="95"/>
        <v xml:space="preserve"> </v>
      </c>
      <c r="V512" s="598" t="str">
        <f t="shared" si="95"/>
        <v xml:space="preserve"> </v>
      </c>
      <c r="W512" s="598" t="str">
        <f t="shared" si="95"/>
        <v xml:space="preserve"> </v>
      </c>
      <c r="X512" s="598" t="str">
        <f t="shared" si="95"/>
        <v xml:space="preserve"> </v>
      </c>
      <c r="Y512" s="598" t="str">
        <f t="shared" si="95"/>
        <v xml:space="preserve"> </v>
      </c>
      <c r="Z512" s="598" t="str">
        <f t="shared" si="95"/>
        <v xml:space="preserve"> </v>
      </c>
      <c r="AA512" s="598" t="str">
        <f t="shared" ref="AA512:AU512" si="96">HLOOKUP(AA$421,$C$217:$Z$317,$A512+1)</f>
        <v xml:space="preserve"> </v>
      </c>
      <c r="AB512" s="598" t="str">
        <f t="shared" ca="1" si="96"/>
        <v/>
      </c>
      <c r="AC512" s="598" t="str">
        <f t="shared" ca="1" si="96"/>
        <v/>
      </c>
      <c r="AD512" s="598" t="str">
        <f t="shared" si="96"/>
        <v xml:space="preserve"> </v>
      </c>
      <c r="AE512" s="598" t="str">
        <f t="shared" si="96"/>
        <v xml:space="preserve"> </v>
      </c>
      <c r="AF512" s="598" t="str">
        <f t="shared" si="96"/>
        <v xml:space="preserve"> </v>
      </c>
      <c r="AG512" s="598" t="str">
        <f t="shared" si="96"/>
        <v xml:space="preserve"> </v>
      </c>
      <c r="AH512" s="598" t="str">
        <f t="shared" si="96"/>
        <v xml:space="preserve"> </v>
      </c>
      <c r="AI512" s="598" t="str">
        <f t="shared" si="96"/>
        <v xml:space="preserve"> </v>
      </c>
      <c r="AJ512" s="598" t="str">
        <f t="shared" si="96"/>
        <v xml:space="preserve"> </v>
      </c>
      <c r="AK512" s="598" t="str">
        <f t="shared" si="96"/>
        <v xml:space="preserve"> </v>
      </c>
      <c r="AL512" s="598" t="str">
        <f t="shared" si="96"/>
        <v xml:space="preserve"> </v>
      </c>
      <c r="AM512" s="598" t="str">
        <f t="shared" si="96"/>
        <v xml:space="preserve"> </v>
      </c>
      <c r="AN512" s="598" t="str">
        <f t="shared" si="96"/>
        <v xml:space="preserve"> </v>
      </c>
      <c r="AO512" s="598" t="str">
        <f t="shared" si="96"/>
        <v xml:space="preserve"> </v>
      </c>
      <c r="AP512" s="598" t="str">
        <f t="shared" si="96"/>
        <v xml:space="preserve"> </v>
      </c>
      <c r="AQ512" s="598" t="str">
        <f t="shared" si="96"/>
        <v xml:space="preserve"> </v>
      </c>
      <c r="AR512" s="598" t="str">
        <f t="shared" si="96"/>
        <v xml:space="preserve"> </v>
      </c>
      <c r="AS512" s="598" t="str">
        <f t="shared" si="96"/>
        <v xml:space="preserve"> </v>
      </c>
      <c r="AT512" s="598" t="str">
        <f t="shared" si="96"/>
        <v xml:space="preserve"> </v>
      </c>
      <c r="AU512" s="598" t="str">
        <f t="shared" si="96"/>
        <v xml:space="preserve"> </v>
      </c>
      <c r="AW512" s="598" t="str">
        <f t="shared" si="93"/>
        <v xml:space="preserve"> </v>
      </c>
      <c r="AX512" s="598" t="str">
        <f t="shared" si="93"/>
        <v xml:space="preserve"> </v>
      </c>
      <c r="AY512" s="598" t="str">
        <f t="shared" si="93"/>
        <v xml:space="preserve"> </v>
      </c>
      <c r="AZ512" s="598" t="str">
        <f t="shared" si="93"/>
        <v xml:space="preserve"> </v>
      </c>
      <c r="BA512" s="598" t="str">
        <f t="shared" si="93"/>
        <v xml:space="preserve"> </v>
      </c>
      <c r="BB512" s="598" t="str">
        <f t="shared" si="93"/>
        <v xml:space="preserve"> </v>
      </c>
      <c r="BC512" s="598" t="str">
        <f t="shared" si="93"/>
        <v xml:space="preserve"> </v>
      </c>
      <c r="BD512" s="598" t="str">
        <f t="shared" si="93"/>
        <v xml:space="preserve"> </v>
      </c>
      <c r="BE512" s="598" t="str">
        <f t="shared" si="93"/>
        <v xml:space="preserve"> </v>
      </c>
      <c r="BF512" s="598" t="str">
        <f t="shared" si="93"/>
        <v xml:space="preserve"> </v>
      </c>
      <c r="BG512" s="598" t="str">
        <f t="shared" si="93"/>
        <v xml:space="preserve"> </v>
      </c>
      <c r="BH512" s="598" t="str">
        <f t="shared" si="93"/>
        <v xml:space="preserve"> </v>
      </c>
      <c r="BI512" s="598" t="str">
        <f t="shared" si="93"/>
        <v xml:space="preserve"> </v>
      </c>
      <c r="BJ512" s="598" t="str">
        <f t="shared" si="93"/>
        <v xml:space="preserve"> </v>
      </c>
      <c r="BK512" s="598" t="str">
        <f t="shared" si="93"/>
        <v xml:space="preserve"> </v>
      </c>
      <c r="BL512" s="598" t="str">
        <f t="shared" si="91"/>
        <v xml:space="preserve"> </v>
      </c>
      <c r="BM512" s="598" t="str">
        <f t="shared" si="91"/>
        <v xml:space="preserve"> </v>
      </c>
      <c r="BN512" s="598" t="str">
        <f t="shared" si="91"/>
        <v xml:space="preserve"> </v>
      </c>
      <c r="BO512" s="598" t="str">
        <f t="shared" si="91"/>
        <v xml:space="preserve"> </v>
      </c>
      <c r="BP512" s="598" t="str">
        <f t="shared" si="91"/>
        <v xml:space="preserve"> </v>
      </c>
      <c r="BQ512" s="598" t="str">
        <f t="shared" si="91"/>
        <v xml:space="preserve"> </v>
      </c>
      <c r="BR512" s="598" t="str">
        <f t="shared" si="91"/>
        <v xml:space="preserve"> </v>
      </c>
      <c r="BS512" s="598" t="str">
        <f t="shared" si="91"/>
        <v xml:space="preserve"> </v>
      </c>
      <c r="BT512" s="598" t="str">
        <f t="shared" si="91"/>
        <v xml:space="preserve"> </v>
      </c>
      <c r="BU512" s="598" t="str">
        <f t="shared" si="91"/>
        <v xml:space="preserve"> </v>
      </c>
      <c r="BV512" s="598" t="str">
        <f t="shared" si="91"/>
        <v xml:space="preserve"> </v>
      </c>
      <c r="BW512" s="598" t="str">
        <f t="shared" si="91"/>
        <v xml:space="preserve"> </v>
      </c>
      <c r="BX512" s="598" t="str">
        <f t="shared" si="91"/>
        <v xml:space="preserve"> </v>
      </c>
      <c r="BY512" s="598" t="str">
        <f t="shared" si="91"/>
        <v xml:space="preserve"> </v>
      </c>
      <c r="BZ512" s="598" t="str">
        <f t="shared" si="91"/>
        <v xml:space="preserve"> </v>
      </c>
      <c r="CA512" s="598" t="str">
        <f t="shared" si="91"/>
        <v xml:space="preserve"> </v>
      </c>
      <c r="CB512" s="598" t="str">
        <f t="shared" si="92"/>
        <v xml:space="preserve"> </v>
      </c>
      <c r="CC512" s="598" t="str">
        <f t="shared" si="90"/>
        <v xml:space="preserve"> </v>
      </c>
      <c r="CD512" s="598" t="str">
        <f t="shared" si="90"/>
        <v xml:space="preserve"> </v>
      </c>
      <c r="CE512" s="598" t="str">
        <f t="shared" si="90"/>
        <v xml:space="preserve"> </v>
      </c>
      <c r="CF512" s="598" t="str">
        <f t="shared" si="90"/>
        <v xml:space="preserve"> </v>
      </c>
      <c r="CG512" s="598" t="str">
        <f t="shared" si="90"/>
        <v xml:space="preserve"> </v>
      </c>
      <c r="CH512" s="598" t="str">
        <f t="shared" si="90"/>
        <v xml:space="preserve"> </v>
      </c>
      <c r="CI512" s="598" t="str">
        <f t="shared" si="90"/>
        <v xml:space="preserve"> </v>
      </c>
      <c r="CJ512" s="598" t="str">
        <f t="shared" si="90"/>
        <v xml:space="preserve"> </v>
      </c>
      <c r="CK512" s="598" t="str">
        <f t="shared" si="90"/>
        <v xml:space="preserve"> </v>
      </c>
      <c r="CL512" s="598" t="str">
        <f t="shared" si="90"/>
        <v xml:space="preserve"> </v>
      </c>
      <c r="CM512" s="598" t="str">
        <f t="shared" si="90"/>
        <v xml:space="preserve"> </v>
      </c>
      <c r="CN512" s="598" t="str">
        <f t="shared" si="90"/>
        <v xml:space="preserve"> </v>
      </c>
      <c r="CO512" s="598" t="str">
        <f t="shared" si="90"/>
        <v xml:space="preserve"> </v>
      </c>
      <c r="CP512" s="598" t="str">
        <f t="shared" si="88"/>
        <v xml:space="preserve"> </v>
      </c>
      <c r="CQ512" s="598" t="str">
        <f t="shared" ca="1" si="80"/>
        <v/>
      </c>
    </row>
    <row r="513" spans="1:95" ht="9.9499999999999993" customHeight="1">
      <c r="A513" s="598">
        <v>92</v>
      </c>
      <c r="B513" s="598" t="str">
        <f t="shared" ref="B513:AU518" ca="1" si="97">HLOOKUP(B$421,$C$217:$Z$317,$A513+1)</f>
        <v/>
      </c>
      <c r="C513" s="598" t="str">
        <f t="shared" ca="1" si="97"/>
        <v/>
      </c>
      <c r="D513" s="598" t="str">
        <f t="shared" ca="1" si="97"/>
        <v/>
      </c>
      <c r="E513" s="598" t="str">
        <f t="shared" si="97"/>
        <v xml:space="preserve"> </v>
      </c>
      <c r="F513" s="598" t="str">
        <f t="shared" si="97"/>
        <v xml:space="preserve"> </v>
      </c>
      <c r="G513" s="598" t="str">
        <f t="shared" si="97"/>
        <v xml:space="preserve"> </v>
      </c>
      <c r="H513" s="598" t="str">
        <f t="shared" si="97"/>
        <v xml:space="preserve"> </v>
      </c>
      <c r="I513" s="598" t="str">
        <f t="shared" si="97"/>
        <v xml:space="preserve"> </v>
      </c>
      <c r="J513" s="598" t="str">
        <f t="shared" si="97"/>
        <v xml:space="preserve"> </v>
      </c>
      <c r="K513" s="598" t="str">
        <f t="shared" si="97"/>
        <v xml:space="preserve"> </v>
      </c>
      <c r="L513" s="598" t="str">
        <f t="shared" si="97"/>
        <v xml:space="preserve"> </v>
      </c>
      <c r="M513" s="598" t="str">
        <f t="shared" ca="1" si="97"/>
        <v/>
      </c>
      <c r="N513" s="598" t="str">
        <f t="shared" ca="1" si="97"/>
        <v/>
      </c>
      <c r="O513" s="598" t="str">
        <f t="shared" si="97"/>
        <v xml:space="preserve"> </v>
      </c>
      <c r="P513" s="598" t="str">
        <f t="shared" si="97"/>
        <v xml:space="preserve"> </v>
      </c>
      <c r="Q513" s="598" t="str">
        <f t="shared" si="97"/>
        <v xml:space="preserve"> </v>
      </c>
      <c r="R513" s="598" t="str">
        <f t="shared" si="97"/>
        <v xml:space="preserve"> </v>
      </c>
      <c r="S513" s="598" t="str">
        <f t="shared" si="97"/>
        <v xml:space="preserve"> </v>
      </c>
      <c r="T513" s="598" t="str">
        <f t="shared" si="97"/>
        <v xml:space="preserve"> </v>
      </c>
      <c r="U513" s="598" t="str">
        <f t="shared" si="97"/>
        <v xml:space="preserve"> </v>
      </c>
      <c r="V513" s="598" t="str">
        <f t="shared" si="97"/>
        <v xml:space="preserve"> </v>
      </c>
      <c r="W513" s="598" t="str">
        <f t="shared" si="97"/>
        <v xml:space="preserve"> </v>
      </c>
      <c r="X513" s="598" t="str">
        <f t="shared" si="97"/>
        <v xml:space="preserve"> </v>
      </c>
      <c r="Y513" s="598" t="str">
        <f t="shared" si="97"/>
        <v xml:space="preserve"> </v>
      </c>
      <c r="Z513" s="598" t="str">
        <f t="shared" si="97"/>
        <v xml:space="preserve"> </v>
      </c>
      <c r="AA513" s="598" t="str">
        <f t="shared" si="97"/>
        <v xml:space="preserve"> </v>
      </c>
      <c r="AB513" s="598" t="str">
        <f t="shared" ca="1" si="97"/>
        <v/>
      </c>
      <c r="AC513" s="598" t="str">
        <f t="shared" ca="1" si="97"/>
        <v/>
      </c>
      <c r="AD513" s="598" t="str">
        <f t="shared" si="97"/>
        <v xml:space="preserve"> </v>
      </c>
      <c r="AE513" s="598" t="str">
        <f t="shared" si="97"/>
        <v xml:space="preserve"> </v>
      </c>
      <c r="AF513" s="598" t="str">
        <f t="shared" si="97"/>
        <v xml:space="preserve"> </v>
      </c>
      <c r="AG513" s="598" t="str">
        <f t="shared" si="97"/>
        <v xml:space="preserve"> </v>
      </c>
      <c r="AH513" s="598" t="str">
        <f t="shared" si="97"/>
        <v xml:space="preserve"> </v>
      </c>
      <c r="AI513" s="598" t="str">
        <f t="shared" si="97"/>
        <v xml:space="preserve"> </v>
      </c>
      <c r="AJ513" s="598" t="str">
        <f t="shared" si="97"/>
        <v xml:space="preserve"> </v>
      </c>
      <c r="AK513" s="598" t="str">
        <f t="shared" si="97"/>
        <v xml:space="preserve"> </v>
      </c>
      <c r="AL513" s="598" t="str">
        <f t="shared" si="97"/>
        <v xml:space="preserve"> </v>
      </c>
      <c r="AM513" s="598" t="str">
        <f t="shared" si="97"/>
        <v xml:space="preserve"> </v>
      </c>
      <c r="AN513" s="598" t="str">
        <f t="shared" si="97"/>
        <v xml:space="preserve"> </v>
      </c>
      <c r="AO513" s="598" t="str">
        <f t="shared" si="97"/>
        <v xml:space="preserve"> </v>
      </c>
      <c r="AP513" s="598" t="str">
        <f t="shared" si="97"/>
        <v xml:space="preserve"> </v>
      </c>
      <c r="AQ513" s="598" t="str">
        <f t="shared" si="97"/>
        <v xml:space="preserve"> </v>
      </c>
      <c r="AR513" s="598" t="str">
        <f t="shared" si="97"/>
        <v xml:space="preserve"> </v>
      </c>
      <c r="AS513" s="598" t="str">
        <f t="shared" si="97"/>
        <v xml:space="preserve"> </v>
      </c>
      <c r="AT513" s="598" t="str">
        <f t="shared" si="97"/>
        <v xml:space="preserve"> </v>
      </c>
      <c r="AU513" s="598" t="str">
        <f t="shared" si="97"/>
        <v xml:space="preserve"> </v>
      </c>
      <c r="AW513" s="598" t="str">
        <f t="shared" si="93"/>
        <v xml:space="preserve"> </v>
      </c>
      <c r="AX513" s="598" t="str">
        <f t="shared" si="93"/>
        <v xml:space="preserve"> </v>
      </c>
      <c r="AY513" s="598" t="str">
        <f t="shared" si="93"/>
        <v xml:space="preserve"> </v>
      </c>
      <c r="AZ513" s="598" t="str">
        <f t="shared" si="93"/>
        <v xml:space="preserve"> </v>
      </c>
      <c r="BA513" s="598" t="str">
        <f t="shared" si="93"/>
        <v xml:space="preserve"> </v>
      </c>
      <c r="BB513" s="598" t="str">
        <f t="shared" si="93"/>
        <v xml:space="preserve"> </v>
      </c>
      <c r="BC513" s="598" t="str">
        <f t="shared" si="93"/>
        <v xml:space="preserve"> </v>
      </c>
      <c r="BD513" s="598" t="str">
        <f t="shared" si="93"/>
        <v xml:space="preserve"> </v>
      </c>
      <c r="BE513" s="598" t="str">
        <f t="shared" si="93"/>
        <v xml:space="preserve"> </v>
      </c>
      <c r="BF513" s="598" t="str">
        <f t="shared" si="93"/>
        <v xml:space="preserve"> </v>
      </c>
      <c r="BG513" s="598" t="str">
        <f t="shared" si="93"/>
        <v xml:space="preserve"> </v>
      </c>
      <c r="BH513" s="598" t="str">
        <f t="shared" si="93"/>
        <v xml:space="preserve"> </v>
      </c>
      <c r="BI513" s="598" t="str">
        <f t="shared" si="93"/>
        <v xml:space="preserve"> </v>
      </c>
      <c r="BJ513" s="598" t="str">
        <f t="shared" si="93"/>
        <v xml:space="preserve"> </v>
      </c>
      <c r="BK513" s="598" t="str">
        <f t="shared" si="93"/>
        <v xml:space="preserve"> </v>
      </c>
      <c r="BL513" s="598" t="str">
        <f t="shared" si="91"/>
        <v xml:space="preserve"> </v>
      </c>
      <c r="BM513" s="598" t="str">
        <f t="shared" si="91"/>
        <v xml:space="preserve"> </v>
      </c>
      <c r="BN513" s="598" t="str">
        <f t="shared" si="91"/>
        <v xml:space="preserve"> </v>
      </c>
      <c r="BO513" s="598" t="str">
        <f t="shared" si="91"/>
        <v xml:space="preserve"> </v>
      </c>
      <c r="BP513" s="598" t="str">
        <f t="shared" si="91"/>
        <v xml:space="preserve"> </v>
      </c>
      <c r="BQ513" s="598" t="str">
        <f t="shared" si="91"/>
        <v xml:space="preserve"> </v>
      </c>
      <c r="BR513" s="598" t="str">
        <f t="shared" si="91"/>
        <v xml:space="preserve"> </v>
      </c>
      <c r="BS513" s="598" t="str">
        <f t="shared" si="91"/>
        <v xml:space="preserve"> </v>
      </c>
      <c r="BT513" s="598" t="str">
        <f t="shared" si="91"/>
        <v xml:space="preserve"> </v>
      </c>
      <c r="BU513" s="598" t="str">
        <f t="shared" si="91"/>
        <v xml:space="preserve"> </v>
      </c>
      <c r="BV513" s="598" t="str">
        <f t="shared" si="91"/>
        <v xml:space="preserve"> </v>
      </c>
      <c r="BW513" s="598" t="str">
        <f t="shared" si="91"/>
        <v xml:space="preserve"> </v>
      </c>
      <c r="BX513" s="598" t="str">
        <f t="shared" si="91"/>
        <v xml:space="preserve"> </v>
      </c>
      <c r="BY513" s="598" t="str">
        <f t="shared" si="91"/>
        <v xml:space="preserve"> </v>
      </c>
      <c r="BZ513" s="598" t="str">
        <f t="shared" si="91"/>
        <v xml:space="preserve"> </v>
      </c>
      <c r="CA513" s="598" t="str">
        <f t="shared" si="91"/>
        <v xml:space="preserve"> </v>
      </c>
      <c r="CB513" s="598" t="str">
        <f t="shared" si="92"/>
        <v xml:space="preserve"> </v>
      </c>
      <c r="CC513" s="598" t="str">
        <f t="shared" si="90"/>
        <v xml:space="preserve"> </v>
      </c>
      <c r="CD513" s="598" t="str">
        <f t="shared" si="90"/>
        <v xml:space="preserve"> </v>
      </c>
      <c r="CE513" s="598" t="str">
        <f t="shared" si="90"/>
        <v xml:space="preserve"> </v>
      </c>
      <c r="CF513" s="598" t="str">
        <f t="shared" si="90"/>
        <v xml:space="preserve"> </v>
      </c>
      <c r="CG513" s="598" t="str">
        <f t="shared" si="90"/>
        <v xml:space="preserve"> </v>
      </c>
      <c r="CH513" s="598" t="str">
        <f t="shared" si="90"/>
        <v xml:space="preserve"> </v>
      </c>
      <c r="CI513" s="598" t="str">
        <f t="shared" si="90"/>
        <v xml:space="preserve"> </v>
      </c>
      <c r="CJ513" s="598" t="str">
        <f t="shared" si="90"/>
        <v xml:space="preserve"> </v>
      </c>
      <c r="CK513" s="598" t="str">
        <f t="shared" si="90"/>
        <v xml:space="preserve"> </v>
      </c>
      <c r="CL513" s="598" t="str">
        <f t="shared" si="90"/>
        <v xml:space="preserve"> </v>
      </c>
      <c r="CM513" s="598" t="str">
        <f t="shared" si="90"/>
        <v xml:space="preserve"> </v>
      </c>
      <c r="CN513" s="598" t="str">
        <f t="shared" si="90"/>
        <v xml:space="preserve"> </v>
      </c>
      <c r="CO513" s="598" t="str">
        <f t="shared" si="90"/>
        <v xml:space="preserve"> </v>
      </c>
      <c r="CP513" s="598" t="str">
        <f t="shared" si="88"/>
        <v xml:space="preserve"> </v>
      </c>
      <c r="CQ513" s="598" t="str">
        <f t="shared" ca="1" si="80"/>
        <v/>
      </c>
    </row>
    <row r="514" spans="1:95" ht="9.9499999999999993" customHeight="1">
      <c r="A514" s="598">
        <v>93</v>
      </c>
      <c r="B514" s="598" t="str">
        <f t="shared" ca="1" si="97"/>
        <v/>
      </c>
      <c r="C514" s="598" t="str">
        <f t="shared" ca="1" si="97"/>
        <v/>
      </c>
      <c r="D514" s="598" t="str">
        <f t="shared" ca="1" si="97"/>
        <v/>
      </c>
      <c r="E514" s="598" t="str">
        <f t="shared" si="97"/>
        <v xml:space="preserve"> </v>
      </c>
      <c r="F514" s="598" t="str">
        <f t="shared" si="97"/>
        <v xml:space="preserve"> </v>
      </c>
      <c r="G514" s="598" t="str">
        <f t="shared" si="97"/>
        <v xml:space="preserve"> </v>
      </c>
      <c r="H514" s="598" t="str">
        <f t="shared" si="97"/>
        <v xml:space="preserve"> </v>
      </c>
      <c r="I514" s="598" t="str">
        <f t="shared" si="97"/>
        <v xml:space="preserve"> </v>
      </c>
      <c r="J514" s="598" t="str">
        <f t="shared" si="97"/>
        <v xml:space="preserve"> </v>
      </c>
      <c r="K514" s="598" t="str">
        <f t="shared" si="97"/>
        <v xml:space="preserve"> </v>
      </c>
      <c r="L514" s="598" t="str">
        <f t="shared" si="97"/>
        <v xml:space="preserve"> </v>
      </c>
      <c r="M514" s="598" t="str">
        <f t="shared" ca="1" si="97"/>
        <v/>
      </c>
      <c r="N514" s="598" t="str">
        <f t="shared" ca="1" si="97"/>
        <v/>
      </c>
      <c r="O514" s="598" t="str">
        <f t="shared" si="97"/>
        <v xml:space="preserve"> </v>
      </c>
      <c r="P514" s="598" t="str">
        <f t="shared" si="97"/>
        <v xml:space="preserve"> </v>
      </c>
      <c r="Q514" s="598" t="str">
        <f t="shared" si="97"/>
        <v xml:space="preserve"> </v>
      </c>
      <c r="R514" s="598" t="str">
        <f t="shared" si="97"/>
        <v xml:space="preserve"> </v>
      </c>
      <c r="S514" s="598" t="str">
        <f t="shared" si="97"/>
        <v xml:space="preserve"> </v>
      </c>
      <c r="T514" s="598" t="str">
        <f t="shared" si="97"/>
        <v xml:space="preserve"> </v>
      </c>
      <c r="U514" s="598" t="str">
        <f t="shared" si="97"/>
        <v xml:space="preserve"> </v>
      </c>
      <c r="V514" s="598" t="str">
        <f t="shared" si="97"/>
        <v xml:space="preserve"> </v>
      </c>
      <c r="W514" s="598" t="str">
        <f t="shared" si="97"/>
        <v xml:space="preserve"> </v>
      </c>
      <c r="X514" s="598" t="str">
        <f t="shared" si="97"/>
        <v xml:space="preserve"> </v>
      </c>
      <c r="Y514" s="598" t="str">
        <f t="shared" si="97"/>
        <v xml:space="preserve"> </v>
      </c>
      <c r="Z514" s="598" t="str">
        <f t="shared" si="97"/>
        <v xml:space="preserve"> </v>
      </c>
      <c r="AA514" s="598" t="str">
        <f t="shared" si="97"/>
        <v xml:space="preserve"> </v>
      </c>
      <c r="AB514" s="598" t="str">
        <f t="shared" ca="1" si="97"/>
        <v/>
      </c>
      <c r="AC514" s="598" t="str">
        <f t="shared" ca="1" si="97"/>
        <v/>
      </c>
      <c r="AD514" s="598" t="str">
        <f t="shared" si="97"/>
        <v xml:space="preserve"> </v>
      </c>
      <c r="AE514" s="598" t="str">
        <f t="shared" si="97"/>
        <v xml:space="preserve"> </v>
      </c>
      <c r="AF514" s="598" t="str">
        <f t="shared" si="97"/>
        <v xml:space="preserve"> </v>
      </c>
      <c r="AG514" s="598" t="str">
        <f t="shared" si="97"/>
        <v xml:space="preserve"> </v>
      </c>
      <c r="AH514" s="598" t="str">
        <f t="shared" si="97"/>
        <v xml:space="preserve"> </v>
      </c>
      <c r="AI514" s="598" t="str">
        <f t="shared" si="97"/>
        <v xml:space="preserve"> </v>
      </c>
      <c r="AJ514" s="598" t="str">
        <f t="shared" si="97"/>
        <v xml:space="preserve"> </v>
      </c>
      <c r="AK514" s="598" t="str">
        <f t="shared" si="97"/>
        <v xml:space="preserve"> </v>
      </c>
      <c r="AL514" s="598" t="str">
        <f t="shared" si="97"/>
        <v xml:space="preserve"> </v>
      </c>
      <c r="AM514" s="598" t="str">
        <f t="shared" si="97"/>
        <v xml:space="preserve"> </v>
      </c>
      <c r="AN514" s="598" t="str">
        <f t="shared" si="97"/>
        <v xml:space="preserve"> </v>
      </c>
      <c r="AO514" s="598" t="str">
        <f t="shared" si="97"/>
        <v xml:space="preserve"> </v>
      </c>
      <c r="AP514" s="598" t="str">
        <f t="shared" si="97"/>
        <v xml:space="preserve"> </v>
      </c>
      <c r="AQ514" s="598" t="str">
        <f t="shared" si="97"/>
        <v xml:space="preserve"> </v>
      </c>
      <c r="AR514" s="598" t="str">
        <f t="shared" si="97"/>
        <v xml:space="preserve"> </v>
      </c>
      <c r="AS514" s="598" t="str">
        <f t="shared" si="97"/>
        <v xml:space="preserve"> </v>
      </c>
      <c r="AT514" s="598" t="str">
        <f t="shared" si="97"/>
        <v xml:space="preserve"> </v>
      </c>
      <c r="AU514" s="598" t="str">
        <f t="shared" si="97"/>
        <v xml:space="preserve"> </v>
      </c>
      <c r="AW514" s="598" t="str">
        <f t="shared" si="93"/>
        <v xml:space="preserve"> </v>
      </c>
      <c r="AX514" s="598" t="str">
        <f t="shared" si="93"/>
        <v xml:space="preserve"> </v>
      </c>
      <c r="AY514" s="598" t="str">
        <f t="shared" si="93"/>
        <v xml:space="preserve"> </v>
      </c>
      <c r="AZ514" s="598" t="str">
        <f t="shared" si="93"/>
        <v xml:space="preserve"> </v>
      </c>
      <c r="BA514" s="598" t="str">
        <f t="shared" si="93"/>
        <v xml:space="preserve"> </v>
      </c>
      <c r="BB514" s="598" t="str">
        <f t="shared" si="93"/>
        <v xml:space="preserve"> </v>
      </c>
      <c r="BC514" s="598" t="str">
        <f t="shared" si="93"/>
        <v xml:space="preserve"> </v>
      </c>
      <c r="BD514" s="598" t="str">
        <f t="shared" si="93"/>
        <v xml:space="preserve"> </v>
      </c>
      <c r="BE514" s="598" t="str">
        <f t="shared" si="93"/>
        <v xml:space="preserve"> </v>
      </c>
      <c r="BF514" s="598" t="str">
        <f t="shared" si="93"/>
        <v xml:space="preserve"> </v>
      </c>
      <c r="BG514" s="598" t="str">
        <f t="shared" si="93"/>
        <v xml:space="preserve"> </v>
      </c>
      <c r="BH514" s="598" t="str">
        <f t="shared" si="93"/>
        <v xml:space="preserve"> </v>
      </c>
      <c r="BI514" s="598" t="str">
        <f t="shared" si="93"/>
        <v xml:space="preserve"> </v>
      </c>
      <c r="BJ514" s="598" t="str">
        <f t="shared" si="93"/>
        <v xml:space="preserve"> </v>
      </c>
      <c r="BK514" s="598" t="str">
        <f t="shared" si="93"/>
        <v xml:space="preserve"> </v>
      </c>
      <c r="BL514" s="598" t="str">
        <f t="shared" si="91"/>
        <v xml:space="preserve"> </v>
      </c>
      <c r="BM514" s="598" t="str">
        <f t="shared" si="91"/>
        <v xml:space="preserve"> </v>
      </c>
      <c r="BN514" s="598" t="str">
        <f t="shared" si="91"/>
        <v xml:space="preserve"> </v>
      </c>
      <c r="BO514" s="598" t="str">
        <f t="shared" si="91"/>
        <v xml:space="preserve"> </v>
      </c>
      <c r="BP514" s="598" t="str">
        <f t="shared" si="91"/>
        <v xml:space="preserve"> </v>
      </c>
      <c r="BQ514" s="598" t="str">
        <f t="shared" si="91"/>
        <v xml:space="preserve"> </v>
      </c>
      <c r="BR514" s="598" t="str">
        <f t="shared" si="91"/>
        <v xml:space="preserve"> </v>
      </c>
      <c r="BS514" s="598" t="str">
        <f t="shared" si="91"/>
        <v xml:space="preserve"> </v>
      </c>
      <c r="BT514" s="598" t="str">
        <f t="shared" si="91"/>
        <v xml:space="preserve"> </v>
      </c>
      <c r="BU514" s="598" t="str">
        <f t="shared" si="91"/>
        <v xml:space="preserve"> </v>
      </c>
      <c r="BV514" s="598" t="str">
        <f t="shared" si="91"/>
        <v xml:space="preserve"> </v>
      </c>
      <c r="BW514" s="598" t="str">
        <f t="shared" si="91"/>
        <v xml:space="preserve"> </v>
      </c>
      <c r="BX514" s="598" t="str">
        <f t="shared" si="91"/>
        <v xml:space="preserve"> </v>
      </c>
      <c r="BY514" s="598" t="str">
        <f t="shared" si="91"/>
        <v xml:space="preserve"> </v>
      </c>
      <c r="BZ514" s="598" t="str">
        <f t="shared" si="91"/>
        <v xml:space="preserve"> </v>
      </c>
      <c r="CA514" s="598" t="str">
        <f t="shared" si="91"/>
        <v xml:space="preserve"> </v>
      </c>
      <c r="CB514" s="598" t="str">
        <f t="shared" si="92"/>
        <v xml:space="preserve"> </v>
      </c>
      <c r="CC514" s="598" t="str">
        <f t="shared" si="90"/>
        <v xml:space="preserve"> </v>
      </c>
      <c r="CD514" s="598" t="str">
        <f t="shared" si="90"/>
        <v xml:space="preserve"> </v>
      </c>
      <c r="CE514" s="598" t="str">
        <f t="shared" si="90"/>
        <v xml:space="preserve"> </v>
      </c>
      <c r="CF514" s="598" t="str">
        <f t="shared" si="90"/>
        <v xml:space="preserve"> </v>
      </c>
      <c r="CG514" s="598" t="str">
        <f t="shared" si="90"/>
        <v xml:space="preserve"> </v>
      </c>
      <c r="CH514" s="598" t="str">
        <f t="shared" si="90"/>
        <v xml:space="preserve"> </v>
      </c>
      <c r="CI514" s="598" t="str">
        <f t="shared" si="90"/>
        <v xml:space="preserve"> </v>
      </c>
      <c r="CJ514" s="598" t="str">
        <f t="shared" si="90"/>
        <v xml:space="preserve"> </v>
      </c>
      <c r="CK514" s="598" t="str">
        <f t="shared" si="90"/>
        <v xml:space="preserve"> </v>
      </c>
      <c r="CL514" s="598" t="str">
        <f t="shared" si="90"/>
        <v xml:space="preserve"> </v>
      </c>
      <c r="CM514" s="598" t="str">
        <f t="shared" si="90"/>
        <v xml:space="preserve"> </v>
      </c>
      <c r="CN514" s="598" t="str">
        <f t="shared" si="90"/>
        <v xml:space="preserve"> </v>
      </c>
      <c r="CO514" s="598" t="str">
        <f t="shared" si="90"/>
        <v xml:space="preserve"> </v>
      </c>
      <c r="CP514" s="598" t="str">
        <f t="shared" si="88"/>
        <v xml:space="preserve"> </v>
      </c>
      <c r="CQ514" s="598" t="str">
        <f t="shared" ca="1" si="80"/>
        <v/>
      </c>
    </row>
    <row r="515" spans="1:95" ht="9.9499999999999993" customHeight="1">
      <c r="A515" s="598">
        <v>94</v>
      </c>
      <c r="B515" s="598" t="str">
        <f t="shared" ca="1" si="97"/>
        <v/>
      </c>
      <c r="C515" s="598" t="str">
        <f t="shared" ca="1" si="97"/>
        <v/>
      </c>
      <c r="D515" s="598" t="str">
        <f t="shared" ca="1" si="97"/>
        <v/>
      </c>
      <c r="E515" s="598" t="str">
        <f t="shared" si="97"/>
        <v xml:space="preserve"> </v>
      </c>
      <c r="F515" s="598" t="str">
        <f t="shared" si="97"/>
        <v xml:space="preserve"> </v>
      </c>
      <c r="G515" s="598" t="str">
        <f t="shared" si="97"/>
        <v xml:space="preserve"> </v>
      </c>
      <c r="H515" s="598" t="str">
        <f t="shared" si="97"/>
        <v xml:space="preserve"> </v>
      </c>
      <c r="I515" s="598" t="str">
        <f t="shared" si="97"/>
        <v xml:space="preserve"> </v>
      </c>
      <c r="J515" s="598" t="str">
        <f t="shared" si="97"/>
        <v xml:space="preserve"> </v>
      </c>
      <c r="K515" s="598" t="str">
        <f t="shared" si="97"/>
        <v xml:space="preserve"> </v>
      </c>
      <c r="L515" s="598" t="str">
        <f t="shared" si="97"/>
        <v xml:space="preserve"> </v>
      </c>
      <c r="M515" s="598" t="str">
        <f t="shared" ca="1" si="97"/>
        <v/>
      </c>
      <c r="N515" s="598" t="str">
        <f t="shared" ca="1" si="97"/>
        <v/>
      </c>
      <c r="O515" s="598" t="str">
        <f t="shared" si="97"/>
        <v xml:space="preserve"> </v>
      </c>
      <c r="P515" s="598" t="str">
        <f t="shared" si="97"/>
        <v xml:space="preserve"> </v>
      </c>
      <c r="Q515" s="598" t="str">
        <f t="shared" si="97"/>
        <v xml:space="preserve"> </v>
      </c>
      <c r="R515" s="598" t="str">
        <f t="shared" si="97"/>
        <v xml:space="preserve"> </v>
      </c>
      <c r="S515" s="598" t="str">
        <f t="shared" si="97"/>
        <v xml:space="preserve"> </v>
      </c>
      <c r="T515" s="598" t="str">
        <f t="shared" si="97"/>
        <v xml:space="preserve"> </v>
      </c>
      <c r="U515" s="598" t="str">
        <f t="shared" si="97"/>
        <v xml:space="preserve"> </v>
      </c>
      <c r="V515" s="598" t="str">
        <f t="shared" si="97"/>
        <v xml:space="preserve"> </v>
      </c>
      <c r="W515" s="598" t="str">
        <f t="shared" si="97"/>
        <v xml:space="preserve"> </v>
      </c>
      <c r="X515" s="598" t="str">
        <f t="shared" si="97"/>
        <v xml:space="preserve"> </v>
      </c>
      <c r="Y515" s="598" t="str">
        <f t="shared" si="97"/>
        <v xml:space="preserve"> </v>
      </c>
      <c r="Z515" s="598" t="str">
        <f t="shared" si="97"/>
        <v xml:space="preserve"> </v>
      </c>
      <c r="AA515" s="598" t="str">
        <f t="shared" si="97"/>
        <v xml:space="preserve"> </v>
      </c>
      <c r="AB515" s="598" t="str">
        <f t="shared" ca="1" si="97"/>
        <v/>
      </c>
      <c r="AC515" s="598" t="str">
        <f t="shared" ca="1" si="97"/>
        <v/>
      </c>
      <c r="AD515" s="598" t="str">
        <f t="shared" si="97"/>
        <v xml:space="preserve"> </v>
      </c>
      <c r="AE515" s="598" t="str">
        <f t="shared" si="97"/>
        <v xml:space="preserve"> </v>
      </c>
      <c r="AF515" s="598" t="str">
        <f t="shared" si="97"/>
        <v xml:space="preserve"> </v>
      </c>
      <c r="AG515" s="598" t="str">
        <f t="shared" si="97"/>
        <v xml:space="preserve"> </v>
      </c>
      <c r="AH515" s="598" t="str">
        <f t="shared" si="97"/>
        <v xml:space="preserve"> </v>
      </c>
      <c r="AI515" s="598" t="str">
        <f t="shared" si="97"/>
        <v xml:space="preserve"> </v>
      </c>
      <c r="AJ515" s="598" t="str">
        <f t="shared" si="97"/>
        <v xml:space="preserve"> </v>
      </c>
      <c r="AK515" s="598" t="str">
        <f t="shared" si="97"/>
        <v xml:space="preserve"> </v>
      </c>
      <c r="AL515" s="598" t="str">
        <f t="shared" si="97"/>
        <v xml:space="preserve"> </v>
      </c>
      <c r="AM515" s="598" t="str">
        <f t="shared" si="97"/>
        <v xml:space="preserve"> </v>
      </c>
      <c r="AN515" s="598" t="str">
        <f t="shared" si="97"/>
        <v xml:space="preserve"> </v>
      </c>
      <c r="AO515" s="598" t="str">
        <f t="shared" si="97"/>
        <v xml:space="preserve"> </v>
      </c>
      <c r="AP515" s="598" t="str">
        <f t="shared" si="97"/>
        <v xml:space="preserve"> </v>
      </c>
      <c r="AQ515" s="598" t="str">
        <f t="shared" si="97"/>
        <v xml:space="preserve"> </v>
      </c>
      <c r="AR515" s="598" t="str">
        <f t="shared" si="97"/>
        <v xml:space="preserve"> </v>
      </c>
      <c r="AS515" s="598" t="str">
        <f t="shared" si="97"/>
        <v xml:space="preserve"> </v>
      </c>
      <c r="AT515" s="598" t="str">
        <f t="shared" si="97"/>
        <v xml:space="preserve"> </v>
      </c>
      <c r="AU515" s="598" t="str">
        <f t="shared" si="97"/>
        <v xml:space="preserve"> </v>
      </c>
      <c r="AW515" s="598" t="str">
        <f t="shared" si="93"/>
        <v xml:space="preserve"> </v>
      </c>
      <c r="AX515" s="598" t="str">
        <f t="shared" si="93"/>
        <v xml:space="preserve"> </v>
      </c>
      <c r="AY515" s="598" t="str">
        <f t="shared" si="93"/>
        <v xml:space="preserve"> </v>
      </c>
      <c r="AZ515" s="598" t="str">
        <f t="shared" si="93"/>
        <v xml:space="preserve"> </v>
      </c>
      <c r="BA515" s="598" t="str">
        <f t="shared" si="93"/>
        <v xml:space="preserve"> </v>
      </c>
      <c r="BB515" s="598" t="str">
        <f t="shared" si="93"/>
        <v xml:space="preserve"> </v>
      </c>
      <c r="BC515" s="598" t="str">
        <f t="shared" si="93"/>
        <v xml:space="preserve"> </v>
      </c>
      <c r="BD515" s="598" t="str">
        <f t="shared" si="93"/>
        <v xml:space="preserve"> </v>
      </c>
      <c r="BE515" s="598" t="str">
        <f t="shared" si="93"/>
        <v xml:space="preserve"> </v>
      </c>
      <c r="BF515" s="598" t="str">
        <f t="shared" si="93"/>
        <v xml:space="preserve"> </v>
      </c>
      <c r="BG515" s="598" t="str">
        <f t="shared" si="93"/>
        <v xml:space="preserve"> </v>
      </c>
      <c r="BH515" s="598" t="str">
        <f t="shared" si="93"/>
        <v xml:space="preserve"> </v>
      </c>
      <c r="BI515" s="598" t="str">
        <f t="shared" si="93"/>
        <v xml:space="preserve"> </v>
      </c>
      <c r="BJ515" s="598" t="str">
        <f t="shared" si="93"/>
        <v xml:space="preserve"> </v>
      </c>
      <c r="BK515" s="598" t="str">
        <f t="shared" si="93"/>
        <v xml:space="preserve"> </v>
      </c>
      <c r="BL515" s="598" t="str">
        <f t="shared" si="91"/>
        <v xml:space="preserve"> </v>
      </c>
      <c r="BM515" s="598" t="str">
        <f t="shared" si="91"/>
        <v xml:space="preserve"> </v>
      </c>
      <c r="BN515" s="598" t="str">
        <f t="shared" si="91"/>
        <v xml:space="preserve"> </v>
      </c>
      <c r="BO515" s="598" t="str">
        <f t="shared" si="91"/>
        <v xml:space="preserve"> </v>
      </c>
      <c r="BP515" s="598" t="str">
        <f t="shared" si="91"/>
        <v xml:space="preserve"> </v>
      </c>
      <c r="BQ515" s="598" t="str">
        <f t="shared" si="91"/>
        <v xml:space="preserve"> </v>
      </c>
      <c r="BR515" s="598" t="str">
        <f t="shared" si="91"/>
        <v xml:space="preserve"> </v>
      </c>
      <c r="BS515" s="598" t="str">
        <f t="shared" si="91"/>
        <v xml:space="preserve"> </v>
      </c>
      <c r="BT515" s="598" t="str">
        <f t="shared" si="91"/>
        <v xml:space="preserve"> </v>
      </c>
      <c r="BU515" s="598" t="str">
        <f t="shared" si="91"/>
        <v xml:space="preserve"> </v>
      </c>
      <c r="BV515" s="598" t="str">
        <f t="shared" si="91"/>
        <v xml:space="preserve"> </v>
      </c>
      <c r="BW515" s="598" t="str">
        <f t="shared" si="91"/>
        <v xml:space="preserve"> </v>
      </c>
      <c r="BX515" s="598" t="str">
        <f t="shared" si="91"/>
        <v xml:space="preserve"> </v>
      </c>
      <c r="BY515" s="598" t="str">
        <f t="shared" si="91"/>
        <v xml:space="preserve"> </v>
      </c>
      <c r="BZ515" s="598" t="str">
        <f t="shared" si="91"/>
        <v xml:space="preserve"> </v>
      </c>
      <c r="CA515" s="598" t="str">
        <f t="shared" si="91"/>
        <v xml:space="preserve"> </v>
      </c>
      <c r="CB515" s="598" t="str">
        <f t="shared" si="92"/>
        <v xml:space="preserve"> </v>
      </c>
      <c r="CC515" s="598" t="str">
        <f t="shared" si="90"/>
        <v xml:space="preserve"> </v>
      </c>
      <c r="CD515" s="598" t="str">
        <f t="shared" si="90"/>
        <v xml:space="preserve"> </v>
      </c>
      <c r="CE515" s="598" t="str">
        <f t="shared" si="90"/>
        <v xml:space="preserve"> </v>
      </c>
      <c r="CF515" s="598" t="str">
        <f t="shared" si="90"/>
        <v xml:space="preserve"> </v>
      </c>
      <c r="CG515" s="598" t="str">
        <f t="shared" si="90"/>
        <v xml:space="preserve"> </v>
      </c>
      <c r="CH515" s="598" t="str">
        <f t="shared" si="90"/>
        <v xml:space="preserve"> </v>
      </c>
      <c r="CI515" s="598" t="str">
        <f t="shared" si="90"/>
        <v xml:space="preserve"> </v>
      </c>
      <c r="CJ515" s="598" t="str">
        <f t="shared" si="90"/>
        <v xml:space="preserve"> </v>
      </c>
      <c r="CK515" s="598" t="str">
        <f t="shared" si="90"/>
        <v xml:space="preserve"> </v>
      </c>
      <c r="CL515" s="598" t="str">
        <f t="shared" si="90"/>
        <v xml:space="preserve"> </v>
      </c>
      <c r="CM515" s="598" t="str">
        <f t="shared" si="90"/>
        <v xml:space="preserve"> </v>
      </c>
      <c r="CN515" s="598" t="str">
        <f t="shared" si="90"/>
        <v xml:space="preserve"> </v>
      </c>
      <c r="CO515" s="598" t="str">
        <f t="shared" si="90"/>
        <v xml:space="preserve"> </v>
      </c>
      <c r="CP515" s="598" t="str">
        <f t="shared" si="88"/>
        <v xml:space="preserve"> </v>
      </c>
      <c r="CQ515" s="598" t="str">
        <f t="shared" ca="1" si="80"/>
        <v/>
      </c>
    </row>
    <row r="516" spans="1:95" ht="9.9499999999999993" customHeight="1">
      <c r="A516" s="598">
        <v>95</v>
      </c>
      <c r="B516" s="598" t="str">
        <f t="shared" ca="1" si="97"/>
        <v/>
      </c>
      <c r="C516" s="598" t="str">
        <f t="shared" ca="1" si="97"/>
        <v/>
      </c>
      <c r="D516" s="598" t="str">
        <f t="shared" ca="1" si="97"/>
        <v/>
      </c>
      <c r="E516" s="598" t="str">
        <f t="shared" si="97"/>
        <v xml:space="preserve"> </v>
      </c>
      <c r="F516" s="598" t="str">
        <f t="shared" si="97"/>
        <v xml:space="preserve"> </v>
      </c>
      <c r="G516" s="598" t="str">
        <f t="shared" si="97"/>
        <v xml:space="preserve"> </v>
      </c>
      <c r="H516" s="598" t="str">
        <f t="shared" si="97"/>
        <v xml:space="preserve"> </v>
      </c>
      <c r="I516" s="598" t="str">
        <f t="shared" si="97"/>
        <v xml:space="preserve"> </v>
      </c>
      <c r="J516" s="598" t="str">
        <f t="shared" si="97"/>
        <v xml:space="preserve"> </v>
      </c>
      <c r="K516" s="598" t="str">
        <f t="shared" si="97"/>
        <v xml:space="preserve"> </v>
      </c>
      <c r="L516" s="598" t="str">
        <f t="shared" si="97"/>
        <v xml:space="preserve"> </v>
      </c>
      <c r="M516" s="598" t="str">
        <f t="shared" ca="1" si="97"/>
        <v/>
      </c>
      <c r="N516" s="598" t="str">
        <f t="shared" ca="1" si="97"/>
        <v/>
      </c>
      <c r="O516" s="598" t="str">
        <f t="shared" si="97"/>
        <v xml:space="preserve"> </v>
      </c>
      <c r="P516" s="598" t="str">
        <f t="shared" si="97"/>
        <v xml:space="preserve"> </v>
      </c>
      <c r="Q516" s="598" t="str">
        <f t="shared" si="97"/>
        <v xml:space="preserve"> </v>
      </c>
      <c r="R516" s="598" t="str">
        <f t="shared" si="97"/>
        <v xml:space="preserve"> </v>
      </c>
      <c r="S516" s="598" t="str">
        <f t="shared" si="97"/>
        <v xml:space="preserve"> </v>
      </c>
      <c r="T516" s="598" t="str">
        <f t="shared" si="97"/>
        <v xml:space="preserve"> </v>
      </c>
      <c r="U516" s="598" t="str">
        <f t="shared" si="97"/>
        <v xml:space="preserve"> </v>
      </c>
      <c r="V516" s="598" t="str">
        <f t="shared" si="97"/>
        <v xml:space="preserve"> </v>
      </c>
      <c r="W516" s="598" t="str">
        <f t="shared" si="97"/>
        <v xml:space="preserve"> </v>
      </c>
      <c r="X516" s="598" t="str">
        <f t="shared" si="97"/>
        <v xml:space="preserve"> </v>
      </c>
      <c r="Y516" s="598" t="str">
        <f t="shared" si="97"/>
        <v xml:space="preserve"> </v>
      </c>
      <c r="Z516" s="598" t="str">
        <f t="shared" si="97"/>
        <v xml:space="preserve"> </v>
      </c>
      <c r="AA516" s="598" t="str">
        <f t="shared" si="97"/>
        <v xml:space="preserve"> </v>
      </c>
      <c r="AB516" s="598" t="str">
        <f t="shared" ca="1" si="97"/>
        <v/>
      </c>
      <c r="AC516" s="598" t="str">
        <f t="shared" ca="1" si="97"/>
        <v/>
      </c>
      <c r="AD516" s="598" t="str">
        <f t="shared" si="97"/>
        <v xml:space="preserve"> </v>
      </c>
      <c r="AE516" s="598" t="str">
        <f t="shared" si="97"/>
        <v xml:space="preserve"> </v>
      </c>
      <c r="AF516" s="598" t="str">
        <f t="shared" si="97"/>
        <v xml:space="preserve"> </v>
      </c>
      <c r="AG516" s="598" t="str">
        <f t="shared" si="97"/>
        <v xml:space="preserve"> </v>
      </c>
      <c r="AH516" s="598" t="str">
        <f t="shared" si="97"/>
        <v xml:space="preserve"> </v>
      </c>
      <c r="AI516" s="598" t="str">
        <f t="shared" si="97"/>
        <v xml:space="preserve"> </v>
      </c>
      <c r="AJ516" s="598" t="str">
        <f t="shared" si="97"/>
        <v xml:space="preserve"> </v>
      </c>
      <c r="AK516" s="598" t="str">
        <f t="shared" si="97"/>
        <v xml:space="preserve"> </v>
      </c>
      <c r="AL516" s="598" t="str">
        <f t="shared" si="97"/>
        <v xml:space="preserve"> </v>
      </c>
      <c r="AM516" s="598" t="str">
        <f t="shared" si="97"/>
        <v xml:space="preserve"> </v>
      </c>
      <c r="AN516" s="598" t="str">
        <f t="shared" si="97"/>
        <v xml:space="preserve"> </v>
      </c>
      <c r="AO516" s="598" t="str">
        <f t="shared" si="97"/>
        <v xml:space="preserve"> </v>
      </c>
      <c r="AP516" s="598" t="str">
        <f t="shared" si="97"/>
        <v xml:space="preserve"> </v>
      </c>
      <c r="AQ516" s="598" t="str">
        <f t="shared" si="97"/>
        <v xml:space="preserve"> </v>
      </c>
      <c r="AR516" s="598" t="str">
        <f t="shared" si="97"/>
        <v xml:space="preserve"> </v>
      </c>
      <c r="AS516" s="598" t="str">
        <f t="shared" si="97"/>
        <v xml:space="preserve"> </v>
      </c>
      <c r="AT516" s="598" t="str">
        <f t="shared" si="97"/>
        <v xml:space="preserve"> </v>
      </c>
      <c r="AU516" s="598" t="str">
        <f t="shared" si="97"/>
        <v xml:space="preserve"> </v>
      </c>
      <c r="AW516" s="598" t="str">
        <f t="shared" si="93"/>
        <v xml:space="preserve"> </v>
      </c>
      <c r="AX516" s="598" t="str">
        <f t="shared" si="93"/>
        <v xml:space="preserve"> </v>
      </c>
      <c r="AY516" s="598" t="str">
        <f t="shared" si="93"/>
        <v xml:space="preserve"> </v>
      </c>
      <c r="AZ516" s="598" t="str">
        <f t="shared" si="93"/>
        <v xml:space="preserve"> </v>
      </c>
      <c r="BA516" s="598" t="str">
        <f t="shared" si="93"/>
        <v xml:space="preserve"> </v>
      </c>
      <c r="BB516" s="598" t="str">
        <f t="shared" si="93"/>
        <v xml:space="preserve"> </v>
      </c>
      <c r="BC516" s="598" t="str">
        <f t="shared" si="93"/>
        <v xml:space="preserve"> </v>
      </c>
      <c r="BD516" s="598" t="str">
        <f t="shared" si="93"/>
        <v xml:space="preserve"> </v>
      </c>
      <c r="BE516" s="598" t="str">
        <f t="shared" si="93"/>
        <v xml:space="preserve"> </v>
      </c>
      <c r="BF516" s="598" t="str">
        <f t="shared" si="93"/>
        <v xml:space="preserve"> </v>
      </c>
      <c r="BG516" s="598" t="str">
        <f t="shared" si="93"/>
        <v xml:space="preserve"> </v>
      </c>
      <c r="BH516" s="598" t="str">
        <f t="shared" si="93"/>
        <v xml:space="preserve"> </v>
      </c>
      <c r="BI516" s="598" t="str">
        <f t="shared" si="93"/>
        <v xml:space="preserve"> </v>
      </c>
      <c r="BJ516" s="598" t="str">
        <f t="shared" si="93"/>
        <v xml:space="preserve"> </v>
      </c>
      <c r="BK516" s="598" t="str">
        <f t="shared" si="93"/>
        <v xml:space="preserve"> </v>
      </c>
      <c r="BL516" s="598" t="str">
        <f t="shared" si="91"/>
        <v xml:space="preserve"> </v>
      </c>
      <c r="BM516" s="598" t="str">
        <f t="shared" si="91"/>
        <v xml:space="preserve"> </v>
      </c>
      <c r="BN516" s="598" t="str">
        <f t="shared" si="91"/>
        <v xml:space="preserve"> </v>
      </c>
      <c r="BO516" s="598" t="str">
        <f t="shared" si="91"/>
        <v xml:space="preserve"> </v>
      </c>
      <c r="BP516" s="598" t="str">
        <f t="shared" si="91"/>
        <v xml:space="preserve"> </v>
      </c>
      <c r="BQ516" s="598" t="str">
        <f t="shared" si="91"/>
        <v xml:space="preserve"> </v>
      </c>
      <c r="BR516" s="598" t="str">
        <f t="shared" si="91"/>
        <v xml:space="preserve"> </v>
      </c>
      <c r="BS516" s="598" t="str">
        <f t="shared" si="91"/>
        <v xml:space="preserve"> </v>
      </c>
      <c r="BT516" s="598" t="str">
        <f t="shared" si="91"/>
        <v xml:space="preserve"> </v>
      </c>
      <c r="BU516" s="598" t="str">
        <f t="shared" si="91"/>
        <v xml:space="preserve"> </v>
      </c>
      <c r="BV516" s="598" t="str">
        <f t="shared" si="91"/>
        <v xml:space="preserve"> </v>
      </c>
      <c r="BW516" s="598" t="str">
        <f t="shared" si="91"/>
        <v xml:space="preserve"> </v>
      </c>
      <c r="BX516" s="598" t="str">
        <f t="shared" si="91"/>
        <v xml:space="preserve"> </v>
      </c>
      <c r="BY516" s="598" t="str">
        <f t="shared" si="91"/>
        <v xml:space="preserve"> </v>
      </c>
      <c r="BZ516" s="598" t="str">
        <f t="shared" si="91"/>
        <v xml:space="preserve"> </v>
      </c>
      <c r="CA516" s="598" t="str">
        <f t="shared" si="91"/>
        <v xml:space="preserve"> </v>
      </c>
      <c r="CB516" s="598" t="str">
        <f t="shared" si="92"/>
        <v xml:space="preserve"> </v>
      </c>
      <c r="CC516" s="598" t="str">
        <f t="shared" si="90"/>
        <v xml:space="preserve"> </v>
      </c>
      <c r="CD516" s="598" t="str">
        <f t="shared" si="90"/>
        <v xml:space="preserve"> </v>
      </c>
      <c r="CE516" s="598" t="str">
        <f t="shared" si="90"/>
        <v xml:space="preserve"> </v>
      </c>
      <c r="CF516" s="598" t="str">
        <f t="shared" si="90"/>
        <v xml:space="preserve"> </v>
      </c>
      <c r="CG516" s="598" t="str">
        <f t="shared" si="90"/>
        <v xml:space="preserve"> </v>
      </c>
      <c r="CH516" s="598" t="str">
        <f t="shared" si="90"/>
        <v xml:space="preserve"> </v>
      </c>
      <c r="CI516" s="598" t="str">
        <f t="shared" si="90"/>
        <v xml:space="preserve"> </v>
      </c>
      <c r="CJ516" s="598" t="str">
        <f t="shared" si="90"/>
        <v xml:space="preserve"> </v>
      </c>
      <c r="CK516" s="598" t="str">
        <f t="shared" si="90"/>
        <v xml:space="preserve"> </v>
      </c>
      <c r="CL516" s="598" t="str">
        <f t="shared" si="90"/>
        <v xml:space="preserve"> </v>
      </c>
      <c r="CM516" s="598" t="str">
        <f t="shared" si="90"/>
        <v xml:space="preserve"> </v>
      </c>
      <c r="CN516" s="598" t="str">
        <f t="shared" si="90"/>
        <v xml:space="preserve"> </v>
      </c>
      <c r="CO516" s="598" t="str">
        <f t="shared" si="90"/>
        <v xml:space="preserve"> </v>
      </c>
      <c r="CP516" s="598" t="str">
        <f t="shared" si="88"/>
        <v xml:space="preserve"> </v>
      </c>
      <c r="CQ516" s="598" t="str">
        <f t="shared" ca="1" si="80"/>
        <v/>
      </c>
    </row>
    <row r="517" spans="1:95" ht="9.9499999999999993" customHeight="1">
      <c r="A517" s="598">
        <v>96</v>
      </c>
      <c r="B517" s="598" t="str">
        <f t="shared" ca="1" si="97"/>
        <v/>
      </c>
      <c r="C517" s="598" t="str">
        <f t="shared" ca="1" si="97"/>
        <v/>
      </c>
      <c r="D517" s="598" t="str">
        <f t="shared" ca="1" si="97"/>
        <v/>
      </c>
      <c r="E517" s="598" t="str">
        <f t="shared" si="97"/>
        <v xml:space="preserve"> </v>
      </c>
      <c r="F517" s="598" t="str">
        <f t="shared" si="97"/>
        <v xml:space="preserve"> </v>
      </c>
      <c r="G517" s="598" t="str">
        <f t="shared" si="97"/>
        <v xml:space="preserve"> </v>
      </c>
      <c r="H517" s="598" t="str">
        <f t="shared" si="97"/>
        <v xml:space="preserve"> </v>
      </c>
      <c r="I517" s="598" t="str">
        <f t="shared" si="97"/>
        <v xml:space="preserve"> </v>
      </c>
      <c r="J517" s="598" t="str">
        <f t="shared" si="97"/>
        <v xml:space="preserve"> </v>
      </c>
      <c r="K517" s="598" t="str">
        <f t="shared" si="97"/>
        <v xml:space="preserve"> </v>
      </c>
      <c r="L517" s="598" t="str">
        <f t="shared" si="97"/>
        <v xml:space="preserve"> </v>
      </c>
      <c r="M517" s="598" t="str">
        <f t="shared" ca="1" si="97"/>
        <v/>
      </c>
      <c r="N517" s="598" t="str">
        <f t="shared" ca="1" si="97"/>
        <v/>
      </c>
      <c r="O517" s="598" t="str">
        <f t="shared" si="97"/>
        <v xml:space="preserve"> </v>
      </c>
      <c r="P517" s="598" t="str">
        <f t="shared" si="97"/>
        <v xml:space="preserve"> </v>
      </c>
      <c r="Q517" s="598" t="str">
        <f t="shared" si="97"/>
        <v xml:space="preserve"> </v>
      </c>
      <c r="R517" s="598" t="str">
        <f t="shared" si="97"/>
        <v xml:space="preserve"> </v>
      </c>
      <c r="S517" s="598" t="str">
        <f t="shared" si="97"/>
        <v xml:space="preserve"> </v>
      </c>
      <c r="T517" s="598" t="str">
        <f t="shared" si="97"/>
        <v xml:space="preserve"> </v>
      </c>
      <c r="U517" s="598" t="str">
        <f t="shared" si="97"/>
        <v xml:space="preserve"> </v>
      </c>
      <c r="V517" s="598" t="str">
        <f t="shared" si="97"/>
        <v xml:space="preserve"> </v>
      </c>
      <c r="W517" s="598" t="str">
        <f t="shared" si="97"/>
        <v xml:space="preserve"> </v>
      </c>
      <c r="X517" s="598" t="str">
        <f t="shared" si="97"/>
        <v xml:space="preserve"> </v>
      </c>
      <c r="Y517" s="598" t="str">
        <f t="shared" si="97"/>
        <v xml:space="preserve"> </v>
      </c>
      <c r="Z517" s="598" t="str">
        <f t="shared" si="97"/>
        <v xml:space="preserve"> </v>
      </c>
      <c r="AA517" s="598" t="str">
        <f t="shared" si="97"/>
        <v xml:space="preserve"> </v>
      </c>
      <c r="AB517" s="598" t="str">
        <f t="shared" ca="1" si="97"/>
        <v/>
      </c>
      <c r="AC517" s="598" t="str">
        <f t="shared" ca="1" si="97"/>
        <v/>
      </c>
      <c r="AD517" s="598" t="str">
        <f t="shared" si="97"/>
        <v xml:space="preserve"> </v>
      </c>
      <c r="AE517" s="598" t="str">
        <f t="shared" si="97"/>
        <v xml:space="preserve"> </v>
      </c>
      <c r="AF517" s="598" t="str">
        <f t="shared" si="97"/>
        <v xml:space="preserve"> </v>
      </c>
      <c r="AG517" s="598" t="str">
        <f t="shared" si="97"/>
        <v xml:space="preserve"> </v>
      </c>
      <c r="AH517" s="598" t="str">
        <f t="shared" si="97"/>
        <v xml:space="preserve"> </v>
      </c>
      <c r="AI517" s="598" t="str">
        <f t="shared" si="97"/>
        <v xml:space="preserve"> </v>
      </c>
      <c r="AJ517" s="598" t="str">
        <f t="shared" si="97"/>
        <v xml:space="preserve"> </v>
      </c>
      <c r="AK517" s="598" t="str">
        <f t="shared" si="97"/>
        <v xml:space="preserve"> </v>
      </c>
      <c r="AL517" s="598" t="str">
        <f t="shared" si="97"/>
        <v xml:space="preserve"> </v>
      </c>
      <c r="AM517" s="598" t="str">
        <f t="shared" si="97"/>
        <v xml:space="preserve"> </v>
      </c>
      <c r="AN517" s="598" t="str">
        <f t="shared" si="97"/>
        <v xml:space="preserve"> </v>
      </c>
      <c r="AO517" s="598" t="str">
        <f t="shared" si="97"/>
        <v xml:space="preserve"> </v>
      </c>
      <c r="AP517" s="598" t="str">
        <f t="shared" si="97"/>
        <v xml:space="preserve"> </v>
      </c>
      <c r="AQ517" s="598" t="str">
        <f t="shared" si="97"/>
        <v xml:space="preserve"> </v>
      </c>
      <c r="AR517" s="598" t="str">
        <f t="shared" si="97"/>
        <v xml:space="preserve"> </v>
      </c>
      <c r="AS517" s="598" t="str">
        <f t="shared" si="97"/>
        <v xml:space="preserve"> </v>
      </c>
      <c r="AT517" s="598" t="str">
        <f t="shared" si="97"/>
        <v xml:space="preserve"> </v>
      </c>
      <c r="AU517" s="598" t="str">
        <f t="shared" si="97"/>
        <v xml:space="preserve"> </v>
      </c>
      <c r="AW517" s="598" t="str">
        <f t="shared" si="93"/>
        <v xml:space="preserve"> </v>
      </c>
      <c r="AX517" s="598" t="str">
        <f t="shared" si="93"/>
        <v xml:space="preserve"> </v>
      </c>
      <c r="AY517" s="598" t="str">
        <f t="shared" si="93"/>
        <v xml:space="preserve"> </v>
      </c>
      <c r="AZ517" s="598" t="str">
        <f t="shared" si="93"/>
        <v xml:space="preserve"> </v>
      </c>
      <c r="BA517" s="598" t="str">
        <f t="shared" si="93"/>
        <v xml:space="preserve"> </v>
      </c>
      <c r="BB517" s="598" t="str">
        <f t="shared" si="93"/>
        <v xml:space="preserve"> </v>
      </c>
      <c r="BC517" s="598" t="str">
        <f t="shared" si="93"/>
        <v xml:space="preserve"> </v>
      </c>
      <c r="BD517" s="598" t="str">
        <f t="shared" si="93"/>
        <v xml:space="preserve"> </v>
      </c>
      <c r="BE517" s="598" t="str">
        <f t="shared" si="93"/>
        <v xml:space="preserve"> </v>
      </c>
      <c r="BF517" s="598" t="str">
        <f t="shared" si="93"/>
        <v xml:space="preserve"> </v>
      </c>
      <c r="BG517" s="598" t="str">
        <f t="shared" si="93"/>
        <v xml:space="preserve"> </v>
      </c>
      <c r="BH517" s="598" t="str">
        <f t="shared" si="93"/>
        <v xml:space="preserve"> </v>
      </c>
      <c r="BI517" s="598" t="str">
        <f t="shared" si="93"/>
        <v xml:space="preserve"> </v>
      </c>
      <c r="BJ517" s="598" t="str">
        <f t="shared" si="93"/>
        <v xml:space="preserve"> </v>
      </c>
      <c r="BK517" s="598" t="str">
        <f t="shared" si="93"/>
        <v xml:space="preserve"> </v>
      </c>
      <c r="BL517" s="598" t="str">
        <f t="shared" si="91"/>
        <v xml:space="preserve"> </v>
      </c>
      <c r="BM517" s="598" t="str">
        <f t="shared" si="91"/>
        <v xml:space="preserve"> </v>
      </c>
      <c r="BN517" s="598" t="str">
        <f t="shared" si="91"/>
        <v xml:space="preserve"> </v>
      </c>
      <c r="BO517" s="598" t="str">
        <f t="shared" si="91"/>
        <v xml:space="preserve"> </v>
      </c>
      <c r="BP517" s="598" t="str">
        <f t="shared" si="91"/>
        <v xml:space="preserve"> </v>
      </c>
      <c r="BQ517" s="598" t="str">
        <f t="shared" si="91"/>
        <v xml:space="preserve"> </v>
      </c>
      <c r="BR517" s="598" t="str">
        <f t="shared" si="91"/>
        <v xml:space="preserve"> </v>
      </c>
      <c r="BS517" s="598" t="str">
        <f t="shared" si="91"/>
        <v xml:space="preserve"> </v>
      </c>
      <c r="BT517" s="598" t="str">
        <f t="shared" si="91"/>
        <v xml:space="preserve"> </v>
      </c>
      <c r="BU517" s="598" t="str">
        <f t="shared" si="91"/>
        <v xml:space="preserve"> </v>
      </c>
      <c r="BV517" s="598" t="str">
        <f t="shared" si="91"/>
        <v xml:space="preserve"> </v>
      </c>
      <c r="BW517" s="598" t="str">
        <f t="shared" si="91"/>
        <v xml:space="preserve"> </v>
      </c>
      <c r="BX517" s="598" t="str">
        <f t="shared" si="91"/>
        <v xml:space="preserve"> </v>
      </c>
      <c r="BY517" s="598" t="str">
        <f t="shared" si="91"/>
        <v xml:space="preserve"> </v>
      </c>
      <c r="BZ517" s="598" t="str">
        <f t="shared" si="91"/>
        <v xml:space="preserve"> </v>
      </c>
      <c r="CA517" s="598" t="str">
        <f t="shared" ref="CA517:CO521" si="98">HLOOKUP(CA$421,$C$217:$Z$317,$A517+1)</f>
        <v xml:space="preserve"> </v>
      </c>
      <c r="CB517" s="598" t="str">
        <f t="shared" si="92"/>
        <v xml:space="preserve"> </v>
      </c>
      <c r="CC517" s="598" t="str">
        <f t="shared" si="92"/>
        <v xml:space="preserve"> </v>
      </c>
      <c r="CD517" s="598" t="str">
        <f t="shared" si="92"/>
        <v xml:space="preserve"> </v>
      </c>
      <c r="CE517" s="598" t="str">
        <f t="shared" si="92"/>
        <v xml:space="preserve"> </v>
      </c>
      <c r="CF517" s="598" t="str">
        <f t="shared" si="92"/>
        <v xml:space="preserve"> </v>
      </c>
      <c r="CG517" s="598" t="str">
        <f t="shared" si="92"/>
        <v xml:space="preserve"> </v>
      </c>
      <c r="CH517" s="598" t="str">
        <f t="shared" si="92"/>
        <v xml:space="preserve"> </v>
      </c>
      <c r="CI517" s="598" t="str">
        <f t="shared" si="92"/>
        <v xml:space="preserve"> </v>
      </c>
      <c r="CJ517" s="598" t="str">
        <f t="shared" si="92"/>
        <v xml:space="preserve"> </v>
      </c>
      <c r="CK517" s="598" t="str">
        <f t="shared" si="92"/>
        <v xml:space="preserve"> </v>
      </c>
      <c r="CL517" s="598" t="str">
        <f t="shared" si="92"/>
        <v xml:space="preserve"> </v>
      </c>
      <c r="CM517" s="598" t="str">
        <f t="shared" si="92"/>
        <v xml:space="preserve"> </v>
      </c>
      <c r="CN517" s="598" t="str">
        <f t="shared" si="92"/>
        <v xml:space="preserve"> </v>
      </c>
      <c r="CO517" s="598" t="str">
        <f t="shared" si="92"/>
        <v xml:space="preserve"> </v>
      </c>
      <c r="CP517" s="598" t="str">
        <f t="shared" si="88"/>
        <v xml:space="preserve"> </v>
      </c>
      <c r="CQ517" s="598" t="str">
        <f t="shared" ca="1" si="80"/>
        <v/>
      </c>
    </row>
    <row r="518" spans="1:95" ht="9.9499999999999993" customHeight="1">
      <c r="A518" s="598">
        <v>97</v>
      </c>
      <c r="B518" s="598" t="str">
        <f t="shared" ca="1" si="97"/>
        <v/>
      </c>
      <c r="C518" s="598" t="str">
        <f t="shared" ca="1" si="97"/>
        <v/>
      </c>
      <c r="D518" s="598" t="str">
        <f t="shared" ca="1" si="97"/>
        <v/>
      </c>
      <c r="E518" s="598" t="str">
        <f t="shared" si="97"/>
        <v xml:space="preserve"> </v>
      </c>
      <c r="F518" s="598" t="str">
        <f t="shared" si="97"/>
        <v xml:space="preserve"> </v>
      </c>
      <c r="G518" s="598" t="str">
        <f t="shared" si="97"/>
        <v xml:space="preserve"> </v>
      </c>
      <c r="H518" s="598" t="str">
        <f t="shared" si="97"/>
        <v xml:space="preserve"> </v>
      </c>
      <c r="I518" s="598" t="str">
        <f t="shared" si="97"/>
        <v xml:space="preserve"> </v>
      </c>
      <c r="J518" s="598" t="str">
        <f t="shared" si="97"/>
        <v xml:space="preserve"> </v>
      </c>
      <c r="K518" s="598" t="str">
        <f t="shared" si="97"/>
        <v xml:space="preserve"> </v>
      </c>
      <c r="L518" s="598" t="str">
        <f t="shared" si="97"/>
        <v xml:space="preserve"> </v>
      </c>
      <c r="M518" s="598" t="str">
        <f t="shared" ca="1" si="97"/>
        <v/>
      </c>
      <c r="N518" s="598" t="str">
        <f t="shared" ca="1" si="97"/>
        <v/>
      </c>
      <c r="O518" s="598" t="str">
        <f t="shared" si="97"/>
        <v xml:space="preserve"> </v>
      </c>
      <c r="P518" s="598" t="str">
        <f t="shared" si="97"/>
        <v xml:space="preserve"> </v>
      </c>
      <c r="Q518" s="598" t="str">
        <f t="shared" si="97"/>
        <v xml:space="preserve"> </v>
      </c>
      <c r="R518" s="598" t="str">
        <f t="shared" si="97"/>
        <v xml:space="preserve"> </v>
      </c>
      <c r="S518" s="598" t="str">
        <f t="shared" si="97"/>
        <v xml:space="preserve"> </v>
      </c>
      <c r="T518" s="598" t="str">
        <f t="shared" si="97"/>
        <v xml:space="preserve"> </v>
      </c>
      <c r="U518" s="598" t="str">
        <f t="shared" si="97"/>
        <v xml:space="preserve"> </v>
      </c>
      <c r="V518" s="598" t="str">
        <f t="shared" si="97"/>
        <v xml:space="preserve"> </v>
      </c>
      <c r="W518" s="598" t="str">
        <f t="shared" si="97"/>
        <v xml:space="preserve"> </v>
      </c>
      <c r="X518" s="598" t="str">
        <f t="shared" si="97"/>
        <v xml:space="preserve"> </v>
      </c>
      <c r="Y518" s="598" t="str">
        <f t="shared" si="97"/>
        <v xml:space="preserve"> </v>
      </c>
      <c r="Z518" s="598" t="str">
        <f t="shared" si="97"/>
        <v xml:space="preserve"> </v>
      </c>
      <c r="AA518" s="598" t="str">
        <f t="shared" ref="AA518:AU518" si="99">HLOOKUP(AA$421,$C$217:$Z$317,$A518+1)</f>
        <v xml:space="preserve"> </v>
      </c>
      <c r="AB518" s="598" t="str">
        <f t="shared" ca="1" si="99"/>
        <v/>
      </c>
      <c r="AC518" s="598" t="str">
        <f t="shared" ca="1" si="99"/>
        <v/>
      </c>
      <c r="AD518" s="598" t="str">
        <f t="shared" si="99"/>
        <v xml:space="preserve"> </v>
      </c>
      <c r="AE518" s="598" t="str">
        <f t="shared" si="99"/>
        <v xml:space="preserve"> </v>
      </c>
      <c r="AF518" s="598" t="str">
        <f t="shared" si="99"/>
        <v xml:space="preserve"> </v>
      </c>
      <c r="AG518" s="598" t="str">
        <f t="shared" si="99"/>
        <v xml:space="preserve"> </v>
      </c>
      <c r="AH518" s="598" t="str">
        <f t="shared" si="99"/>
        <v xml:space="preserve"> </v>
      </c>
      <c r="AI518" s="598" t="str">
        <f t="shared" si="99"/>
        <v xml:space="preserve"> </v>
      </c>
      <c r="AJ518" s="598" t="str">
        <f t="shared" si="99"/>
        <v xml:space="preserve"> </v>
      </c>
      <c r="AK518" s="598" t="str">
        <f t="shared" si="99"/>
        <v xml:space="preserve"> </v>
      </c>
      <c r="AL518" s="598" t="str">
        <f t="shared" si="99"/>
        <v xml:space="preserve"> </v>
      </c>
      <c r="AM518" s="598" t="str">
        <f t="shared" si="99"/>
        <v xml:space="preserve"> </v>
      </c>
      <c r="AN518" s="598" t="str">
        <f t="shared" si="99"/>
        <v xml:space="preserve"> </v>
      </c>
      <c r="AO518" s="598" t="str">
        <f t="shared" si="99"/>
        <v xml:space="preserve"> </v>
      </c>
      <c r="AP518" s="598" t="str">
        <f t="shared" si="99"/>
        <v xml:space="preserve"> </v>
      </c>
      <c r="AQ518" s="598" t="str">
        <f t="shared" si="99"/>
        <v xml:space="preserve"> </v>
      </c>
      <c r="AR518" s="598" t="str">
        <f t="shared" si="99"/>
        <v xml:space="preserve"> </v>
      </c>
      <c r="AS518" s="598" t="str">
        <f t="shared" si="99"/>
        <v xml:space="preserve"> </v>
      </c>
      <c r="AT518" s="598" t="str">
        <f t="shared" si="99"/>
        <v xml:space="preserve"> </v>
      </c>
      <c r="AU518" s="598" t="str">
        <f t="shared" si="99"/>
        <v xml:space="preserve"> </v>
      </c>
      <c r="AW518" s="598" t="str">
        <f t="shared" si="93"/>
        <v xml:space="preserve"> </v>
      </c>
      <c r="AX518" s="598" t="str">
        <f t="shared" si="93"/>
        <v xml:space="preserve"> </v>
      </c>
      <c r="AY518" s="598" t="str">
        <f t="shared" si="93"/>
        <v xml:space="preserve"> </v>
      </c>
      <c r="AZ518" s="598" t="str">
        <f t="shared" si="93"/>
        <v xml:space="preserve"> </v>
      </c>
      <c r="BA518" s="598" t="str">
        <f t="shared" si="93"/>
        <v xml:space="preserve"> </v>
      </c>
      <c r="BB518" s="598" t="str">
        <f t="shared" si="93"/>
        <v xml:space="preserve"> </v>
      </c>
      <c r="BC518" s="598" t="str">
        <f t="shared" si="93"/>
        <v xml:space="preserve"> </v>
      </c>
      <c r="BD518" s="598" t="str">
        <f t="shared" si="93"/>
        <v xml:space="preserve"> </v>
      </c>
      <c r="BE518" s="598" t="str">
        <f t="shared" si="93"/>
        <v xml:space="preserve"> </v>
      </c>
      <c r="BF518" s="598" t="str">
        <f t="shared" si="93"/>
        <v xml:space="preserve"> </v>
      </c>
      <c r="BG518" s="598" t="str">
        <f t="shared" si="93"/>
        <v xml:space="preserve"> </v>
      </c>
      <c r="BH518" s="598" t="str">
        <f t="shared" si="93"/>
        <v xml:space="preserve"> </v>
      </c>
      <c r="BI518" s="598" t="str">
        <f t="shared" si="93"/>
        <v xml:space="preserve"> </v>
      </c>
      <c r="BJ518" s="598" t="str">
        <f t="shared" si="93"/>
        <v xml:space="preserve"> </v>
      </c>
      <c r="BK518" s="598" t="str">
        <f t="shared" si="93"/>
        <v xml:space="preserve"> </v>
      </c>
      <c r="BL518" s="598" t="str">
        <f t="shared" si="93"/>
        <v xml:space="preserve"> </v>
      </c>
      <c r="BM518" s="598" t="str">
        <f t="shared" ref="BM518:BZ521" si="100">HLOOKUP(BM$421,$C$217:$Z$317,$A518+1)</f>
        <v xml:space="preserve"> </v>
      </c>
      <c r="BN518" s="598" t="str">
        <f t="shared" si="100"/>
        <v xml:space="preserve"> </v>
      </c>
      <c r="BO518" s="598" t="str">
        <f t="shared" si="100"/>
        <v xml:space="preserve"> </v>
      </c>
      <c r="BP518" s="598" t="str">
        <f t="shared" si="100"/>
        <v xml:space="preserve"> </v>
      </c>
      <c r="BQ518" s="598" t="str">
        <f t="shared" si="100"/>
        <v xml:space="preserve"> </v>
      </c>
      <c r="BR518" s="598" t="str">
        <f t="shared" si="100"/>
        <v xml:space="preserve"> </v>
      </c>
      <c r="BS518" s="598" t="str">
        <f t="shared" si="100"/>
        <v xml:space="preserve"> </v>
      </c>
      <c r="BT518" s="598" t="str">
        <f t="shared" si="100"/>
        <v xml:space="preserve"> </v>
      </c>
      <c r="BU518" s="598" t="str">
        <f t="shared" si="100"/>
        <v xml:space="preserve"> </v>
      </c>
      <c r="BV518" s="598" t="str">
        <f t="shared" si="100"/>
        <v xml:space="preserve"> </v>
      </c>
      <c r="BW518" s="598" t="str">
        <f t="shared" si="100"/>
        <v xml:space="preserve"> </v>
      </c>
      <c r="BX518" s="598" t="str">
        <f t="shared" si="100"/>
        <v xml:space="preserve"> </v>
      </c>
      <c r="BY518" s="598" t="str">
        <f t="shared" si="100"/>
        <v xml:space="preserve"> </v>
      </c>
      <c r="BZ518" s="598" t="str">
        <f t="shared" si="100"/>
        <v xml:space="preserve"> </v>
      </c>
      <c r="CA518" s="598" t="str">
        <f t="shared" si="98"/>
        <v xml:space="preserve"> </v>
      </c>
      <c r="CB518" s="598" t="str">
        <f t="shared" si="98"/>
        <v xml:space="preserve"> </v>
      </c>
      <c r="CC518" s="598" t="str">
        <f t="shared" si="98"/>
        <v xml:space="preserve"> </v>
      </c>
      <c r="CD518" s="598" t="str">
        <f t="shared" si="98"/>
        <v xml:space="preserve"> </v>
      </c>
      <c r="CE518" s="598" t="str">
        <f t="shared" si="98"/>
        <v xml:space="preserve"> </v>
      </c>
      <c r="CF518" s="598" t="str">
        <f t="shared" si="98"/>
        <v xml:space="preserve"> </v>
      </c>
      <c r="CG518" s="598" t="str">
        <f t="shared" si="98"/>
        <v xml:space="preserve"> </v>
      </c>
      <c r="CH518" s="598" t="str">
        <f t="shared" si="98"/>
        <v xml:space="preserve"> </v>
      </c>
      <c r="CI518" s="598" t="str">
        <f t="shared" si="98"/>
        <v xml:space="preserve"> </v>
      </c>
      <c r="CJ518" s="598" t="str">
        <f t="shared" si="98"/>
        <v xml:space="preserve"> </v>
      </c>
      <c r="CK518" s="598" t="str">
        <f t="shared" si="98"/>
        <v xml:space="preserve"> </v>
      </c>
      <c r="CL518" s="598" t="str">
        <f t="shared" si="98"/>
        <v xml:space="preserve"> </v>
      </c>
      <c r="CM518" s="598" t="str">
        <f t="shared" si="98"/>
        <v xml:space="preserve"> </v>
      </c>
      <c r="CN518" s="598" t="str">
        <f t="shared" si="98"/>
        <v xml:space="preserve"> </v>
      </c>
      <c r="CO518" s="598" t="str">
        <f t="shared" si="98"/>
        <v xml:space="preserve"> </v>
      </c>
      <c r="CP518" s="598" t="str">
        <f t="shared" si="88"/>
        <v xml:space="preserve"> </v>
      </c>
      <c r="CQ518" s="598" t="str">
        <f t="shared" ca="1" si="80"/>
        <v/>
      </c>
    </row>
    <row r="519" spans="1:95" ht="9.9499999999999993" customHeight="1">
      <c r="A519" s="598">
        <v>98</v>
      </c>
      <c r="B519" s="598" t="str">
        <f t="shared" ref="B519:AU521" ca="1" si="101">HLOOKUP(B$421,$C$217:$Z$317,$A519+1)</f>
        <v/>
      </c>
      <c r="C519" s="598" t="str">
        <f t="shared" ca="1" si="101"/>
        <v/>
      </c>
      <c r="D519" s="598" t="str">
        <f t="shared" ca="1" si="101"/>
        <v/>
      </c>
      <c r="E519" s="598" t="str">
        <f t="shared" si="101"/>
        <v xml:space="preserve"> </v>
      </c>
      <c r="F519" s="598" t="str">
        <f t="shared" si="101"/>
        <v xml:space="preserve"> </v>
      </c>
      <c r="G519" s="598" t="str">
        <f t="shared" si="101"/>
        <v xml:space="preserve"> </v>
      </c>
      <c r="H519" s="598" t="str">
        <f t="shared" si="101"/>
        <v xml:space="preserve"> </v>
      </c>
      <c r="I519" s="598" t="str">
        <f t="shared" si="101"/>
        <v xml:space="preserve"> </v>
      </c>
      <c r="J519" s="598" t="str">
        <f t="shared" si="101"/>
        <v xml:space="preserve"> </v>
      </c>
      <c r="K519" s="598" t="str">
        <f t="shared" si="101"/>
        <v xml:space="preserve"> </v>
      </c>
      <c r="L519" s="598" t="str">
        <f t="shared" si="101"/>
        <v xml:space="preserve"> </v>
      </c>
      <c r="M519" s="598" t="str">
        <f t="shared" ca="1" si="101"/>
        <v/>
      </c>
      <c r="N519" s="598" t="str">
        <f t="shared" ca="1" si="101"/>
        <v/>
      </c>
      <c r="O519" s="598" t="str">
        <f t="shared" si="101"/>
        <v xml:space="preserve"> </v>
      </c>
      <c r="P519" s="598" t="str">
        <f t="shared" si="101"/>
        <v xml:space="preserve"> </v>
      </c>
      <c r="Q519" s="598" t="str">
        <f t="shared" si="101"/>
        <v xml:space="preserve"> </v>
      </c>
      <c r="R519" s="598" t="str">
        <f t="shared" si="101"/>
        <v xml:space="preserve"> </v>
      </c>
      <c r="S519" s="598" t="str">
        <f t="shared" si="101"/>
        <v xml:space="preserve"> </v>
      </c>
      <c r="T519" s="598" t="str">
        <f t="shared" si="101"/>
        <v xml:space="preserve"> </v>
      </c>
      <c r="U519" s="598" t="str">
        <f t="shared" si="101"/>
        <v xml:space="preserve"> </v>
      </c>
      <c r="V519" s="598" t="str">
        <f t="shared" si="101"/>
        <v xml:space="preserve"> </v>
      </c>
      <c r="W519" s="598" t="str">
        <f t="shared" si="101"/>
        <v xml:space="preserve"> </v>
      </c>
      <c r="X519" s="598" t="str">
        <f t="shared" si="101"/>
        <v xml:space="preserve"> </v>
      </c>
      <c r="Y519" s="598" t="str">
        <f t="shared" si="101"/>
        <v xml:space="preserve"> </v>
      </c>
      <c r="Z519" s="598" t="str">
        <f t="shared" si="101"/>
        <v xml:space="preserve"> </v>
      </c>
      <c r="AA519" s="598" t="str">
        <f t="shared" si="101"/>
        <v xml:space="preserve"> </v>
      </c>
      <c r="AB519" s="598" t="str">
        <f t="shared" ca="1" si="101"/>
        <v/>
      </c>
      <c r="AC519" s="598" t="str">
        <f t="shared" ca="1" si="101"/>
        <v/>
      </c>
      <c r="AD519" s="598" t="str">
        <f t="shared" si="101"/>
        <v xml:space="preserve"> </v>
      </c>
      <c r="AE519" s="598" t="str">
        <f t="shared" si="101"/>
        <v xml:space="preserve"> </v>
      </c>
      <c r="AF519" s="598" t="str">
        <f t="shared" si="101"/>
        <v xml:space="preserve"> </v>
      </c>
      <c r="AG519" s="598" t="str">
        <f t="shared" si="101"/>
        <v xml:space="preserve"> </v>
      </c>
      <c r="AH519" s="598" t="str">
        <f t="shared" si="101"/>
        <v xml:space="preserve"> </v>
      </c>
      <c r="AI519" s="598" t="str">
        <f t="shared" si="101"/>
        <v xml:space="preserve"> </v>
      </c>
      <c r="AJ519" s="598" t="str">
        <f t="shared" si="101"/>
        <v xml:space="preserve"> </v>
      </c>
      <c r="AK519" s="598" t="str">
        <f t="shared" si="101"/>
        <v xml:space="preserve"> </v>
      </c>
      <c r="AL519" s="598" t="str">
        <f t="shared" si="101"/>
        <v xml:space="preserve"> </v>
      </c>
      <c r="AM519" s="598" t="str">
        <f t="shared" si="101"/>
        <v xml:space="preserve"> </v>
      </c>
      <c r="AN519" s="598" t="str">
        <f t="shared" si="101"/>
        <v xml:space="preserve"> </v>
      </c>
      <c r="AO519" s="598" t="str">
        <f t="shared" si="101"/>
        <v xml:space="preserve"> </v>
      </c>
      <c r="AP519" s="598" t="str">
        <f t="shared" si="101"/>
        <v xml:space="preserve"> </v>
      </c>
      <c r="AQ519" s="598" t="str">
        <f t="shared" si="101"/>
        <v xml:space="preserve"> </v>
      </c>
      <c r="AR519" s="598" t="str">
        <f t="shared" si="101"/>
        <v xml:space="preserve"> </v>
      </c>
      <c r="AS519" s="598" t="str">
        <f t="shared" si="101"/>
        <v xml:space="preserve"> </v>
      </c>
      <c r="AT519" s="598" t="str">
        <f t="shared" si="101"/>
        <v xml:space="preserve"> </v>
      </c>
      <c r="AU519" s="598" t="str">
        <f t="shared" si="101"/>
        <v xml:space="preserve"> </v>
      </c>
      <c r="AW519" s="598" t="str">
        <f t="shared" ref="AW519:BL521" si="102">HLOOKUP(AW$421,$C$217:$Z$317,$A519+1)</f>
        <v xml:space="preserve"> </v>
      </c>
      <c r="AX519" s="598" t="str">
        <f t="shared" si="102"/>
        <v xml:space="preserve"> </v>
      </c>
      <c r="AY519" s="598" t="str">
        <f t="shared" si="102"/>
        <v xml:space="preserve"> </v>
      </c>
      <c r="AZ519" s="598" t="str">
        <f t="shared" si="102"/>
        <v xml:space="preserve"> </v>
      </c>
      <c r="BA519" s="598" t="str">
        <f t="shared" si="102"/>
        <v xml:space="preserve"> </v>
      </c>
      <c r="BB519" s="598" t="str">
        <f t="shared" si="102"/>
        <v xml:space="preserve"> </v>
      </c>
      <c r="BC519" s="598" t="str">
        <f t="shared" si="102"/>
        <v xml:space="preserve"> </v>
      </c>
      <c r="BD519" s="598" t="str">
        <f t="shared" si="102"/>
        <v xml:space="preserve"> </v>
      </c>
      <c r="BE519" s="598" t="str">
        <f t="shared" si="102"/>
        <v xml:space="preserve"> </v>
      </c>
      <c r="BF519" s="598" t="str">
        <f t="shared" si="102"/>
        <v xml:space="preserve"> </v>
      </c>
      <c r="BG519" s="598" t="str">
        <f t="shared" si="102"/>
        <v xml:space="preserve"> </v>
      </c>
      <c r="BH519" s="598" t="str">
        <f t="shared" si="102"/>
        <v xml:space="preserve"> </v>
      </c>
      <c r="BI519" s="598" t="str">
        <f t="shared" si="102"/>
        <v xml:space="preserve"> </v>
      </c>
      <c r="BJ519" s="598" t="str">
        <f t="shared" si="102"/>
        <v xml:space="preserve"> </v>
      </c>
      <c r="BK519" s="598" t="str">
        <f t="shared" si="102"/>
        <v xml:space="preserve"> </v>
      </c>
      <c r="BL519" s="598" t="str">
        <f t="shared" si="102"/>
        <v xml:space="preserve"> </v>
      </c>
      <c r="BM519" s="598" t="str">
        <f t="shared" si="100"/>
        <v xml:space="preserve"> </v>
      </c>
      <c r="BN519" s="598" t="str">
        <f t="shared" si="100"/>
        <v xml:space="preserve"> </v>
      </c>
      <c r="BO519" s="598" t="str">
        <f t="shared" si="100"/>
        <v xml:space="preserve"> </v>
      </c>
      <c r="BP519" s="598" t="str">
        <f t="shared" si="100"/>
        <v xml:space="preserve"> </v>
      </c>
      <c r="BQ519" s="598" t="str">
        <f t="shared" si="100"/>
        <v xml:space="preserve"> </v>
      </c>
      <c r="BR519" s="598" t="str">
        <f t="shared" si="100"/>
        <v xml:space="preserve"> </v>
      </c>
      <c r="BS519" s="598" t="str">
        <f t="shared" si="100"/>
        <v xml:space="preserve"> </v>
      </c>
      <c r="BT519" s="598" t="str">
        <f t="shared" si="100"/>
        <v xml:space="preserve"> </v>
      </c>
      <c r="BU519" s="598" t="str">
        <f t="shared" si="100"/>
        <v xml:space="preserve"> </v>
      </c>
      <c r="BV519" s="598" t="str">
        <f t="shared" si="100"/>
        <v xml:space="preserve"> </v>
      </c>
      <c r="BW519" s="598" t="str">
        <f t="shared" si="100"/>
        <v xml:space="preserve"> </v>
      </c>
      <c r="BX519" s="598" t="str">
        <f t="shared" si="100"/>
        <v xml:space="preserve"> </v>
      </c>
      <c r="BY519" s="598" t="str">
        <f t="shared" si="100"/>
        <v xml:space="preserve"> </v>
      </c>
      <c r="BZ519" s="598" t="str">
        <f t="shared" si="100"/>
        <v xml:space="preserve"> </v>
      </c>
      <c r="CA519" s="598" t="str">
        <f t="shared" si="98"/>
        <v xml:space="preserve"> </v>
      </c>
      <c r="CB519" s="598" t="str">
        <f t="shared" si="98"/>
        <v xml:space="preserve"> </v>
      </c>
      <c r="CC519" s="598" t="str">
        <f t="shared" si="98"/>
        <v xml:space="preserve"> </v>
      </c>
      <c r="CD519" s="598" t="str">
        <f t="shared" si="98"/>
        <v xml:space="preserve"> </v>
      </c>
      <c r="CE519" s="598" t="str">
        <f t="shared" si="98"/>
        <v xml:space="preserve"> </v>
      </c>
      <c r="CF519" s="598" t="str">
        <f t="shared" si="98"/>
        <v xml:space="preserve"> </v>
      </c>
      <c r="CG519" s="598" t="str">
        <f t="shared" si="98"/>
        <v xml:space="preserve"> </v>
      </c>
      <c r="CH519" s="598" t="str">
        <f t="shared" si="98"/>
        <v xml:space="preserve"> </v>
      </c>
      <c r="CI519" s="598" t="str">
        <f t="shared" si="98"/>
        <v xml:space="preserve"> </v>
      </c>
      <c r="CJ519" s="598" t="str">
        <f t="shared" si="98"/>
        <v xml:space="preserve"> </v>
      </c>
      <c r="CK519" s="598" t="str">
        <f t="shared" si="98"/>
        <v xml:space="preserve"> </v>
      </c>
      <c r="CL519" s="598" t="str">
        <f t="shared" si="98"/>
        <v xml:space="preserve"> </v>
      </c>
      <c r="CM519" s="598" t="str">
        <f t="shared" si="98"/>
        <v xml:space="preserve"> </v>
      </c>
      <c r="CN519" s="598" t="str">
        <f t="shared" si="98"/>
        <v xml:space="preserve"> </v>
      </c>
      <c r="CO519" s="598" t="str">
        <f t="shared" si="98"/>
        <v xml:space="preserve"> </v>
      </c>
      <c r="CP519" s="598" t="str">
        <f t="shared" si="88"/>
        <v xml:space="preserve"> </v>
      </c>
      <c r="CQ519" s="598" t="str">
        <f t="shared" ca="1" si="80"/>
        <v/>
      </c>
    </row>
    <row r="520" spans="1:95" ht="9.9499999999999993" customHeight="1">
      <c r="A520" s="598">
        <v>99</v>
      </c>
      <c r="B520" s="598" t="str">
        <f t="shared" ca="1" si="101"/>
        <v/>
      </c>
      <c r="C520" s="598" t="str">
        <f t="shared" ca="1" si="101"/>
        <v/>
      </c>
      <c r="D520" s="598" t="str">
        <f t="shared" ca="1" si="101"/>
        <v/>
      </c>
      <c r="E520" s="598" t="str">
        <f t="shared" si="101"/>
        <v xml:space="preserve"> </v>
      </c>
      <c r="F520" s="598" t="str">
        <f t="shared" si="101"/>
        <v xml:space="preserve"> </v>
      </c>
      <c r="G520" s="598" t="str">
        <f t="shared" si="101"/>
        <v xml:space="preserve"> </v>
      </c>
      <c r="H520" s="598" t="str">
        <f t="shared" si="101"/>
        <v xml:space="preserve"> </v>
      </c>
      <c r="I520" s="598" t="str">
        <f t="shared" si="101"/>
        <v xml:space="preserve"> </v>
      </c>
      <c r="J520" s="598" t="str">
        <f t="shared" si="101"/>
        <v xml:space="preserve"> </v>
      </c>
      <c r="K520" s="598" t="str">
        <f t="shared" si="101"/>
        <v xml:space="preserve"> </v>
      </c>
      <c r="L520" s="598" t="str">
        <f t="shared" si="101"/>
        <v xml:space="preserve"> </v>
      </c>
      <c r="M520" s="598" t="str">
        <f t="shared" ca="1" si="101"/>
        <v/>
      </c>
      <c r="N520" s="598" t="str">
        <f t="shared" ca="1" si="101"/>
        <v/>
      </c>
      <c r="O520" s="598" t="str">
        <f t="shared" si="101"/>
        <v xml:space="preserve"> </v>
      </c>
      <c r="P520" s="598" t="str">
        <f t="shared" si="101"/>
        <v xml:space="preserve"> </v>
      </c>
      <c r="Q520" s="598" t="str">
        <f t="shared" si="101"/>
        <v xml:space="preserve"> </v>
      </c>
      <c r="R520" s="598" t="str">
        <f t="shared" si="101"/>
        <v xml:space="preserve"> </v>
      </c>
      <c r="S520" s="598" t="str">
        <f t="shared" si="101"/>
        <v xml:space="preserve"> </v>
      </c>
      <c r="T520" s="598" t="str">
        <f t="shared" si="101"/>
        <v xml:space="preserve"> </v>
      </c>
      <c r="U520" s="598" t="str">
        <f t="shared" si="101"/>
        <v xml:space="preserve"> </v>
      </c>
      <c r="V520" s="598" t="str">
        <f t="shared" si="101"/>
        <v xml:space="preserve"> </v>
      </c>
      <c r="W520" s="598" t="str">
        <f t="shared" si="101"/>
        <v xml:space="preserve"> </v>
      </c>
      <c r="X520" s="598" t="str">
        <f t="shared" si="101"/>
        <v xml:space="preserve"> </v>
      </c>
      <c r="Y520" s="598" t="str">
        <f t="shared" si="101"/>
        <v xml:space="preserve"> </v>
      </c>
      <c r="Z520" s="598" t="str">
        <f t="shared" si="101"/>
        <v xml:space="preserve"> </v>
      </c>
      <c r="AA520" s="598" t="str">
        <f t="shared" si="101"/>
        <v xml:space="preserve"> </v>
      </c>
      <c r="AB520" s="598" t="str">
        <f t="shared" ca="1" si="101"/>
        <v/>
      </c>
      <c r="AC520" s="598" t="str">
        <f t="shared" ca="1" si="101"/>
        <v/>
      </c>
      <c r="AD520" s="598" t="str">
        <f t="shared" si="101"/>
        <v xml:space="preserve"> </v>
      </c>
      <c r="AE520" s="598" t="str">
        <f t="shared" si="101"/>
        <v xml:space="preserve"> </v>
      </c>
      <c r="AF520" s="598" t="str">
        <f t="shared" si="101"/>
        <v xml:space="preserve"> </v>
      </c>
      <c r="AG520" s="598" t="str">
        <f t="shared" si="101"/>
        <v xml:space="preserve"> </v>
      </c>
      <c r="AH520" s="598" t="str">
        <f t="shared" si="101"/>
        <v xml:space="preserve"> </v>
      </c>
      <c r="AI520" s="598" t="str">
        <f t="shared" si="101"/>
        <v xml:space="preserve"> </v>
      </c>
      <c r="AJ520" s="598" t="str">
        <f t="shared" si="101"/>
        <v xml:space="preserve"> </v>
      </c>
      <c r="AK520" s="598" t="str">
        <f t="shared" si="101"/>
        <v xml:space="preserve"> </v>
      </c>
      <c r="AL520" s="598" t="str">
        <f t="shared" si="101"/>
        <v xml:space="preserve"> </v>
      </c>
      <c r="AM520" s="598" t="str">
        <f t="shared" si="101"/>
        <v xml:space="preserve"> </v>
      </c>
      <c r="AN520" s="598" t="str">
        <f t="shared" si="101"/>
        <v xml:space="preserve"> </v>
      </c>
      <c r="AO520" s="598" t="str">
        <f t="shared" si="101"/>
        <v xml:space="preserve"> </v>
      </c>
      <c r="AP520" s="598" t="str">
        <f t="shared" si="101"/>
        <v xml:space="preserve"> </v>
      </c>
      <c r="AQ520" s="598" t="str">
        <f t="shared" si="101"/>
        <v xml:space="preserve"> </v>
      </c>
      <c r="AR520" s="598" t="str">
        <f t="shared" si="101"/>
        <v xml:space="preserve"> </v>
      </c>
      <c r="AS520" s="598" t="str">
        <f t="shared" si="101"/>
        <v xml:space="preserve"> </v>
      </c>
      <c r="AT520" s="598" t="str">
        <f t="shared" si="101"/>
        <v xml:space="preserve"> </v>
      </c>
      <c r="AU520" s="598" t="str">
        <f t="shared" si="101"/>
        <v xml:space="preserve"> </v>
      </c>
      <c r="AW520" s="598" t="str">
        <f t="shared" si="102"/>
        <v xml:space="preserve"> </v>
      </c>
      <c r="AX520" s="598" t="str">
        <f t="shared" si="102"/>
        <v xml:space="preserve"> </v>
      </c>
      <c r="AY520" s="598" t="str">
        <f t="shared" si="102"/>
        <v xml:space="preserve"> </v>
      </c>
      <c r="AZ520" s="598" t="str">
        <f t="shared" si="102"/>
        <v xml:space="preserve"> </v>
      </c>
      <c r="BA520" s="598" t="str">
        <f t="shared" si="102"/>
        <v xml:space="preserve"> </v>
      </c>
      <c r="BB520" s="598" t="str">
        <f t="shared" si="102"/>
        <v xml:space="preserve"> </v>
      </c>
      <c r="BC520" s="598" t="str">
        <f t="shared" si="102"/>
        <v xml:space="preserve"> </v>
      </c>
      <c r="BD520" s="598" t="str">
        <f t="shared" si="102"/>
        <v xml:space="preserve"> </v>
      </c>
      <c r="BE520" s="598" t="str">
        <f t="shared" si="102"/>
        <v xml:space="preserve"> </v>
      </c>
      <c r="BF520" s="598" t="str">
        <f t="shared" si="102"/>
        <v xml:space="preserve"> </v>
      </c>
      <c r="BG520" s="598" t="str">
        <f t="shared" si="102"/>
        <v xml:space="preserve"> </v>
      </c>
      <c r="BH520" s="598" t="str">
        <f t="shared" si="102"/>
        <v xml:space="preserve"> </v>
      </c>
      <c r="BI520" s="598" t="str">
        <f t="shared" si="102"/>
        <v xml:space="preserve"> </v>
      </c>
      <c r="BJ520" s="598" t="str">
        <f t="shared" si="102"/>
        <v xml:space="preserve"> </v>
      </c>
      <c r="BK520" s="598" t="str">
        <f t="shared" si="102"/>
        <v xml:space="preserve"> </v>
      </c>
      <c r="BL520" s="598" t="str">
        <f t="shared" si="102"/>
        <v xml:space="preserve"> </v>
      </c>
      <c r="BM520" s="598" t="str">
        <f t="shared" si="100"/>
        <v xml:space="preserve"> </v>
      </c>
      <c r="BN520" s="598" t="str">
        <f t="shared" si="100"/>
        <v xml:space="preserve"> </v>
      </c>
      <c r="BO520" s="598" t="str">
        <f t="shared" si="100"/>
        <v xml:space="preserve"> </v>
      </c>
      <c r="BP520" s="598" t="str">
        <f t="shared" si="100"/>
        <v xml:space="preserve"> </v>
      </c>
      <c r="BQ520" s="598" t="str">
        <f t="shared" si="100"/>
        <v xml:space="preserve"> </v>
      </c>
      <c r="BR520" s="598" t="str">
        <f t="shared" si="100"/>
        <v xml:space="preserve"> </v>
      </c>
      <c r="BS520" s="598" t="str">
        <f t="shared" si="100"/>
        <v xml:space="preserve"> </v>
      </c>
      <c r="BT520" s="598" t="str">
        <f t="shared" si="100"/>
        <v xml:space="preserve"> </v>
      </c>
      <c r="BU520" s="598" t="str">
        <f t="shared" si="100"/>
        <v xml:space="preserve"> </v>
      </c>
      <c r="BV520" s="598" t="str">
        <f t="shared" si="100"/>
        <v xml:space="preserve"> </v>
      </c>
      <c r="BW520" s="598" t="str">
        <f t="shared" si="100"/>
        <v xml:space="preserve"> </v>
      </c>
      <c r="BX520" s="598" t="str">
        <f t="shared" si="100"/>
        <v xml:space="preserve"> </v>
      </c>
      <c r="BY520" s="598" t="str">
        <f t="shared" si="100"/>
        <v xml:space="preserve"> </v>
      </c>
      <c r="BZ520" s="598" t="str">
        <f t="shared" si="100"/>
        <v xml:space="preserve"> </v>
      </c>
      <c r="CA520" s="598" t="str">
        <f t="shared" si="98"/>
        <v xml:space="preserve"> </v>
      </c>
      <c r="CB520" s="598" t="str">
        <f t="shared" si="98"/>
        <v xml:space="preserve"> </v>
      </c>
      <c r="CC520" s="598" t="str">
        <f t="shared" si="98"/>
        <v xml:space="preserve"> </v>
      </c>
      <c r="CD520" s="598" t="str">
        <f t="shared" si="98"/>
        <v xml:space="preserve"> </v>
      </c>
      <c r="CE520" s="598" t="str">
        <f t="shared" si="98"/>
        <v xml:space="preserve"> </v>
      </c>
      <c r="CF520" s="598" t="str">
        <f t="shared" si="98"/>
        <v xml:space="preserve"> </v>
      </c>
      <c r="CG520" s="598" t="str">
        <f t="shared" si="98"/>
        <v xml:space="preserve"> </v>
      </c>
      <c r="CH520" s="598" t="str">
        <f t="shared" si="98"/>
        <v xml:space="preserve"> </v>
      </c>
      <c r="CI520" s="598" t="str">
        <f t="shared" si="98"/>
        <v xml:space="preserve"> </v>
      </c>
      <c r="CJ520" s="598" t="str">
        <f t="shared" si="98"/>
        <v xml:space="preserve"> </v>
      </c>
      <c r="CK520" s="598" t="str">
        <f t="shared" si="98"/>
        <v xml:space="preserve"> </v>
      </c>
      <c r="CL520" s="598" t="str">
        <f t="shared" si="98"/>
        <v xml:space="preserve"> </v>
      </c>
      <c r="CM520" s="598" t="str">
        <f t="shared" si="98"/>
        <v xml:space="preserve"> </v>
      </c>
      <c r="CN520" s="598" t="str">
        <f t="shared" si="98"/>
        <v xml:space="preserve"> </v>
      </c>
      <c r="CO520" s="598" t="str">
        <f t="shared" si="98"/>
        <v xml:space="preserve"> </v>
      </c>
      <c r="CP520" s="598" t="str">
        <f t="shared" si="88"/>
        <v xml:space="preserve"> </v>
      </c>
      <c r="CQ520" s="598" t="str">
        <f t="shared" ca="1" si="80"/>
        <v/>
      </c>
    </row>
    <row r="521" spans="1:95" ht="9.9499999999999993" customHeight="1">
      <c r="A521" s="598">
        <v>100</v>
      </c>
      <c r="B521" s="598" t="str">
        <f t="shared" ca="1" si="101"/>
        <v/>
      </c>
      <c r="C521" s="598" t="str">
        <f t="shared" ca="1" si="101"/>
        <v/>
      </c>
      <c r="D521" s="598" t="str">
        <f t="shared" ca="1" si="101"/>
        <v/>
      </c>
      <c r="E521" s="598" t="str">
        <f t="shared" si="101"/>
        <v xml:space="preserve"> </v>
      </c>
      <c r="F521" s="598" t="str">
        <f t="shared" si="101"/>
        <v xml:space="preserve"> </v>
      </c>
      <c r="G521" s="598" t="str">
        <f t="shared" si="101"/>
        <v xml:space="preserve"> </v>
      </c>
      <c r="H521" s="598" t="str">
        <f t="shared" si="101"/>
        <v xml:space="preserve"> </v>
      </c>
      <c r="I521" s="598" t="str">
        <f t="shared" si="101"/>
        <v xml:space="preserve"> </v>
      </c>
      <c r="J521" s="598" t="str">
        <f t="shared" si="101"/>
        <v xml:space="preserve"> </v>
      </c>
      <c r="K521" s="598" t="str">
        <f t="shared" si="101"/>
        <v xml:space="preserve"> </v>
      </c>
      <c r="L521" s="598" t="str">
        <f t="shared" si="101"/>
        <v xml:space="preserve"> </v>
      </c>
      <c r="M521" s="598" t="str">
        <f t="shared" ca="1" si="101"/>
        <v/>
      </c>
      <c r="N521" s="598" t="str">
        <f t="shared" ca="1" si="101"/>
        <v/>
      </c>
      <c r="O521" s="598" t="str">
        <f t="shared" si="101"/>
        <v xml:space="preserve"> </v>
      </c>
      <c r="P521" s="598" t="str">
        <f t="shared" si="101"/>
        <v xml:space="preserve"> </v>
      </c>
      <c r="Q521" s="598" t="str">
        <f t="shared" si="101"/>
        <v xml:space="preserve"> </v>
      </c>
      <c r="R521" s="598" t="str">
        <f t="shared" si="101"/>
        <v xml:space="preserve"> </v>
      </c>
      <c r="S521" s="598" t="str">
        <f t="shared" si="101"/>
        <v xml:space="preserve"> </v>
      </c>
      <c r="T521" s="598" t="str">
        <f t="shared" si="101"/>
        <v xml:space="preserve"> </v>
      </c>
      <c r="U521" s="598" t="str">
        <f t="shared" si="101"/>
        <v xml:space="preserve"> </v>
      </c>
      <c r="V521" s="598" t="str">
        <f t="shared" si="101"/>
        <v xml:space="preserve"> </v>
      </c>
      <c r="W521" s="598" t="str">
        <f t="shared" si="101"/>
        <v xml:space="preserve"> </v>
      </c>
      <c r="X521" s="598" t="str">
        <f t="shared" si="101"/>
        <v xml:space="preserve"> </v>
      </c>
      <c r="Y521" s="598" t="str">
        <f t="shared" si="101"/>
        <v xml:space="preserve"> </v>
      </c>
      <c r="Z521" s="598" t="str">
        <f t="shared" si="101"/>
        <v xml:space="preserve"> </v>
      </c>
      <c r="AA521" s="598" t="str">
        <f t="shared" si="101"/>
        <v xml:space="preserve"> </v>
      </c>
      <c r="AB521" s="598" t="str">
        <f t="shared" ca="1" si="101"/>
        <v/>
      </c>
      <c r="AC521" s="598" t="str">
        <f t="shared" ca="1" si="101"/>
        <v/>
      </c>
      <c r="AD521" s="598" t="str">
        <f t="shared" si="101"/>
        <v xml:space="preserve"> </v>
      </c>
      <c r="AE521" s="598" t="str">
        <f t="shared" si="101"/>
        <v xml:space="preserve"> </v>
      </c>
      <c r="AF521" s="598" t="str">
        <f t="shared" si="101"/>
        <v xml:space="preserve"> </v>
      </c>
      <c r="AG521" s="598" t="str">
        <f t="shared" si="101"/>
        <v xml:space="preserve"> </v>
      </c>
      <c r="AH521" s="598" t="str">
        <f t="shared" si="101"/>
        <v xml:space="preserve"> </v>
      </c>
      <c r="AI521" s="598" t="str">
        <f t="shared" si="101"/>
        <v xml:space="preserve"> </v>
      </c>
      <c r="AJ521" s="598" t="str">
        <f t="shared" si="101"/>
        <v xml:space="preserve"> </v>
      </c>
      <c r="AK521" s="598" t="str">
        <f t="shared" si="101"/>
        <v xml:space="preserve"> </v>
      </c>
      <c r="AL521" s="598" t="str">
        <f t="shared" si="101"/>
        <v xml:space="preserve"> </v>
      </c>
      <c r="AM521" s="598" t="str">
        <f t="shared" si="101"/>
        <v xml:space="preserve"> </v>
      </c>
      <c r="AN521" s="598" t="str">
        <f t="shared" si="101"/>
        <v xml:space="preserve"> </v>
      </c>
      <c r="AO521" s="598" t="str">
        <f t="shared" si="101"/>
        <v xml:space="preserve"> </v>
      </c>
      <c r="AP521" s="598" t="str">
        <f t="shared" si="101"/>
        <v xml:space="preserve"> </v>
      </c>
      <c r="AQ521" s="598" t="str">
        <f t="shared" si="101"/>
        <v xml:space="preserve"> </v>
      </c>
      <c r="AR521" s="598" t="str">
        <f t="shared" si="101"/>
        <v xml:space="preserve"> </v>
      </c>
      <c r="AS521" s="598" t="str">
        <f t="shared" si="101"/>
        <v xml:space="preserve"> </v>
      </c>
      <c r="AT521" s="598" t="str">
        <f t="shared" si="101"/>
        <v xml:space="preserve"> </v>
      </c>
      <c r="AU521" s="598" t="str">
        <f t="shared" si="101"/>
        <v xml:space="preserve"> </v>
      </c>
      <c r="AW521" s="598" t="str">
        <f t="shared" si="102"/>
        <v xml:space="preserve"> </v>
      </c>
      <c r="AX521" s="598" t="str">
        <f t="shared" si="102"/>
        <v xml:space="preserve"> </v>
      </c>
      <c r="AY521" s="598" t="str">
        <f t="shared" si="102"/>
        <v xml:space="preserve"> </v>
      </c>
      <c r="AZ521" s="598" t="str">
        <f t="shared" si="102"/>
        <v xml:space="preserve"> </v>
      </c>
      <c r="BA521" s="598" t="str">
        <f t="shared" si="102"/>
        <v xml:space="preserve"> </v>
      </c>
      <c r="BB521" s="598" t="str">
        <f t="shared" si="102"/>
        <v xml:space="preserve"> </v>
      </c>
      <c r="BC521" s="598" t="str">
        <f t="shared" si="102"/>
        <v xml:space="preserve"> </v>
      </c>
      <c r="BD521" s="598" t="str">
        <f t="shared" si="102"/>
        <v xml:space="preserve"> </v>
      </c>
      <c r="BE521" s="598" t="str">
        <f t="shared" si="102"/>
        <v xml:space="preserve"> </v>
      </c>
      <c r="BF521" s="598" t="str">
        <f t="shared" si="102"/>
        <v xml:space="preserve"> </v>
      </c>
      <c r="BG521" s="598" t="str">
        <f t="shared" si="102"/>
        <v xml:space="preserve"> </v>
      </c>
      <c r="BH521" s="598" t="str">
        <f t="shared" si="102"/>
        <v xml:space="preserve"> </v>
      </c>
      <c r="BI521" s="598" t="str">
        <f t="shared" si="102"/>
        <v xml:space="preserve"> </v>
      </c>
      <c r="BJ521" s="598" t="str">
        <f t="shared" si="102"/>
        <v xml:space="preserve"> </v>
      </c>
      <c r="BK521" s="598" t="str">
        <f t="shared" si="102"/>
        <v xml:space="preserve"> </v>
      </c>
      <c r="BL521" s="598" t="str">
        <f t="shared" si="102"/>
        <v xml:space="preserve"> </v>
      </c>
      <c r="BM521" s="598" t="str">
        <f t="shared" si="100"/>
        <v xml:space="preserve"> </v>
      </c>
      <c r="BN521" s="598" t="str">
        <f t="shared" si="100"/>
        <v xml:space="preserve"> </v>
      </c>
      <c r="BO521" s="598" t="str">
        <f t="shared" si="100"/>
        <v xml:space="preserve"> </v>
      </c>
      <c r="BP521" s="598" t="str">
        <f t="shared" si="100"/>
        <v xml:space="preserve"> </v>
      </c>
      <c r="BQ521" s="598" t="str">
        <f t="shared" si="100"/>
        <v xml:space="preserve"> </v>
      </c>
      <c r="BR521" s="598" t="str">
        <f t="shared" si="100"/>
        <v xml:space="preserve"> </v>
      </c>
      <c r="BS521" s="598" t="str">
        <f t="shared" si="100"/>
        <v xml:space="preserve"> </v>
      </c>
      <c r="BT521" s="598" t="str">
        <f t="shared" si="100"/>
        <v xml:space="preserve"> </v>
      </c>
      <c r="BU521" s="598" t="str">
        <f t="shared" si="100"/>
        <v xml:space="preserve"> </v>
      </c>
      <c r="BV521" s="598" t="str">
        <f t="shared" si="100"/>
        <v xml:space="preserve"> </v>
      </c>
      <c r="BW521" s="598" t="str">
        <f t="shared" si="100"/>
        <v xml:space="preserve"> </v>
      </c>
      <c r="BX521" s="598" t="str">
        <f t="shared" si="100"/>
        <v xml:space="preserve"> </v>
      </c>
      <c r="BY521" s="598" t="str">
        <f t="shared" si="100"/>
        <v xml:space="preserve"> </v>
      </c>
      <c r="BZ521" s="598" t="str">
        <f t="shared" si="100"/>
        <v xml:space="preserve"> </v>
      </c>
      <c r="CA521" s="598" t="str">
        <f t="shared" si="98"/>
        <v xml:space="preserve"> </v>
      </c>
      <c r="CB521" s="598" t="str">
        <f t="shared" si="98"/>
        <v xml:space="preserve"> </v>
      </c>
      <c r="CC521" s="598" t="str">
        <f t="shared" si="98"/>
        <v xml:space="preserve"> </v>
      </c>
      <c r="CD521" s="598" t="str">
        <f t="shared" si="98"/>
        <v xml:space="preserve"> </v>
      </c>
      <c r="CE521" s="598" t="str">
        <f t="shared" si="98"/>
        <v xml:space="preserve"> </v>
      </c>
      <c r="CF521" s="598" t="str">
        <f t="shared" si="98"/>
        <v xml:space="preserve"> </v>
      </c>
      <c r="CG521" s="598" t="str">
        <f t="shared" si="98"/>
        <v xml:space="preserve"> </v>
      </c>
      <c r="CH521" s="598" t="str">
        <f t="shared" si="98"/>
        <v xml:space="preserve"> </v>
      </c>
      <c r="CI521" s="598" t="str">
        <f t="shared" si="98"/>
        <v xml:space="preserve"> </v>
      </c>
      <c r="CJ521" s="598" t="str">
        <f t="shared" si="98"/>
        <v xml:space="preserve"> </v>
      </c>
      <c r="CK521" s="598" t="str">
        <f t="shared" si="98"/>
        <v xml:space="preserve"> </v>
      </c>
      <c r="CL521" s="598" t="str">
        <f t="shared" si="98"/>
        <v xml:space="preserve"> </v>
      </c>
      <c r="CM521" s="598" t="str">
        <f t="shared" si="98"/>
        <v xml:space="preserve"> </v>
      </c>
      <c r="CN521" s="598" t="str">
        <f t="shared" si="98"/>
        <v xml:space="preserve"> </v>
      </c>
      <c r="CO521" s="598" t="str">
        <f t="shared" si="98"/>
        <v xml:space="preserve"> </v>
      </c>
      <c r="CP521" s="598" t="str">
        <f t="shared" si="88"/>
        <v xml:space="preserve"> </v>
      </c>
      <c r="CQ521" s="598" t="str">
        <f t="shared" ca="1" si="80"/>
        <v/>
      </c>
    </row>
    <row r="522" spans="1:95" ht="9.9499999999999993" customHeight="1" collapsed="1">
      <c r="L522" s="598" t="s">
        <v>2225</v>
      </c>
    </row>
    <row r="523" spans="1:95" ht="9.9499999999999993" customHeight="1">
      <c r="A523" s="598" t="s">
        <v>2103</v>
      </c>
      <c r="B523" s="1069" t="str">
        <f>HLOOKUP("Skill Name",Skill_Columns,3,0)</f>
        <v>BC</v>
      </c>
      <c r="C523" s="598" t="str">
        <f>HLOOKUP("Selectable",Skill_Columns,3,0)</f>
        <v>AR</v>
      </c>
      <c r="D523" s="598" t="s">
        <v>1989</v>
      </c>
      <c r="E523" s="598" t="s">
        <v>1943</v>
      </c>
      <c r="F523" s="598" t="s">
        <v>1838</v>
      </c>
      <c r="G523" s="598" t="s">
        <v>10</v>
      </c>
      <c r="H523" s="598" t="s">
        <v>2246</v>
      </c>
      <c r="I523" s="598" t="s">
        <v>1154</v>
      </c>
      <c r="J523" s="598" t="s">
        <v>2104</v>
      </c>
      <c r="K523" s="598" t="s">
        <v>2469</v>
      </c>
      <c r="L523" s="598" t="s">
        <v>347</v>
      </c>
      <c r="M523" s="598" t="s">
        <v>2650</v>
      </c>
      <c r="N523" s="598" t="s">
        <v>2105</v>
      </c>
      <c r="O523" s="598" t="s">
        <v>1445</v>
      </c>
      <c r="P523" s="598" t="s">
        <v>5709</v>
      </c>
      <c r="Q523" s="598" t="s">
        <v>5122</v>
      </c>
      <c r="R523" s="598" t="s">
        <v>5708</v>
      </c>
      <c r="S523" s="598" t="s">
        <v>3515</v>
      </c>
      <c r="T523" s="598" t="s">
        <v>2155</v>
      </c>
      <c r="U523" s="598" t="s">
        <v>2159</v>
      </c>
      <c r="V523" s="598" t="s">
        <v>574</v>
      </c>
      <c r="W523" s="598" t="s">
        <v>577</v>
      </c>
      <c r="X523" s="598" t="s">
        <v>3165</v>
      </c>
      <c r="Y523" s="1069" t="s">
        <v>6175</v>
      </c>
      <c r="Z523" s="1066" t="s">
        <v>3539</v>
      </c>
      <c r="AA523" s="1066" t="s">
        <v>5675</v>
      </c>
      <c r="AB523" s="1066" t="s">
        <v>5676</v>
      </c>
    </row>
    <row r="524" spans="1:95" ht="11.25">
      <c r="C524" s="598">
        <v>1</v>
      </c>
      <c r="D524" s="598">
        <v>2</v>
      </c>
      <c r="E524" s="598">
        <v>3</v>
      </c>
      <c r="F524" s="598">
        <v>4</v>
      </c>
      <c r="G524" s="598">
        <v>5</v>
      </c>
      <c r="H524" s="598">
        <v>6</v>
      </c>
      <c r="I524" s="598">
        <v>7</v>
      </c>
      <c r="J524" s="598">
        <v>8</v>
      </c>
      <c r="K524" s="598">
        <v>9</v>
      </c>
      <c r="L524" s="598">
        <v>10</v>
      </c>
      <c r="M524" s="598">
        <v>11</v>
      </c>
      <c r="N524" s="598">
        <v>12</v>
      </c>
      <c r="O524" s="598">
        <v>13</v>
      </c>
      <c r="P524" s="598">
        <v>14</v>
      </c>
      <c r="Q524" s="598">
        <v>15</v>
      </c>
      <c r="R524" s="598">
        <v>16</v>
      </c>
      <c r="S524" s="598">
        <v>17</v>
      </c>
      <c r="T524" s="598">
        <v>18</v>
      </c>
      <c r="U524" s="598">
        <v>19</v>
      </c>
      <c r="V524" s="598">
        <v>20</v>
      </c>
      <c r="W524" s="598">
        <v>21</v>
      </c>
      <c r="X524" s="598">
        <v>22</v>
      </c>
      <c r="Y524" s="598">
        <v>23</v>
      </c>
      <c r="Z524" s="598">
        <v>24</v>
      </c>
      <c r="AA524" s="598">
        <v>25</v>
      </c>
      <c r="AB524" s="598">
        <v>26</v>
      </c>
    </row>
    <row r="525" spans="1:95" ht="9.9499999999999993" customHeight="1">
      <c r="A525" s="1069">
        <v>1</v>
      </c>
      <c r="D525" s="598">
        <f ca="1">MATCH(D523,INDIRECT("Skills!$"&amp;$B$523&amp;"$5:$"&amp;$B$523&amp;"$"&amp;$AB$525),0)+4</f>
        <v>5</v>
      </c>
      <c r="E525" s="1069">
        <f t="shared" ref="E525:AA525" ca="1" si="103">MATCH(E523,INDIRECT("Skills!$"&amp;$B$523&amp;"$5:$"&amp;$B$523&amp;"$"&amp;$AB$525),0)+4</f>
        <v>15</v>
      </c>
      <c r="F525" s="1069">
        <f t="shared" ca="1" si="103"/>
        <v>58</v>
      </c>
      <c r="G525" s="1069">
        <f t="shared" ca="1" si="103"/>
        <v>106</v>
      </c>
      <c r="H525" s="1069">
        <f t="shared" ca="1" si="103"/>
        <v>130</v>
      </c>
      <c r="I525" s="1069">
        <f t="shared" ca="1" si="103"/>
        <v>150</v>
      </c>
      <c r="J525" s="1069">
        <f t="shared" ca="1" si="103"/>
        <v>213</v>
      </c>
      <c r="K525" s="1069">
        <f t="shared" ca="1" si="103"/>
        <v>235</v>
      </c>
      <c r="L525" s="1069">
        <f t="shared" ca="1" si="103"/>
        <v>298</v>
      </c>
      <c r="M525" s="1069">
        <f t="shared" ca="1" si="103"/>
        <v>392</v>
      </c>
      <c r="N525" s="1069">
        <f t="shared" ca="1" si="103"/>
        <v>472</v>
      </c>
      <c r="O525" s="1069">
        <f t="shared" ca="1" si="103"/>
        <v>553</v>
      </c>
      <c r="P525" s="1069">
        <f t="shared" ca="1" si="103"/>
        <v>587</v>
      </c>
      <c r="Q525" s="1069">
        <f t="shared" ca="1" si="103"/>
        <v>743</v>
      </c>
      <c r="R525" s="1069">
        <f t="shared" ca="1" si="103"/>
        <v>781</v>
      </c>
      <c r="S525" s="1069">
        <f t="shared" ca="1" si="103"/>
        <v>790</v>
      </c>
      <c r="T525" s="1069">
        <f t="shared" ca="1" si="103"/>
        <v>801</v>
      </c>
      <c r="U525" s="1069">
        <f t="shared" ca="1" si="103"/>
        <v>808</v>
      </c>
      <c r="V525" s="1069">
        <f t="shared" ca="1" si="103"/>
        <v>837</v>
      </c>
      <c r="W525" s="1069">
        <f t="shared" ca="1" si="103"/>
        <v>848</v>
      </c>
      <c r="X525" s="1069">
        <f t="shared" ca="1" si="103"/>
        <v>857</v>
      </c>
      <c r="Y525" s="1069">
        <f t="shared" ca="1" si="103"/>
        <v>878</v>
      </c>
      <c r="Z525" s="1069">
        <f t="shared" ca="1" si="103"/>
        <v>886</v>
      </c>
      <c r="AA525" s="1069">
        <f t="shared" ca="1" si="103"/>
        <v>897</v>
      </c>
      <c r="AB525" s="1066">
        <f>MATCH(AB523,Skills!$BC$5:$BC$1988,0)+4</f>
        <v>909</v>
      </c>
    </row>
    <row r="526" spans="1:95" ht="9.9499999999999993" customHeight="1">
      <c r="A526" s="1069">
        <v>2</v>
      </c>
      <c r="B526" s="598" t="s">
        <v>2805</v>
      </c>
      <c r="C526" s="598">
        <f ca="1">MATCH('Character Sheet'!$A20,INDIRECT("Skills!$"&amp;$B$523&amp;"$1:$"&amp;$B$523&amp;"$"&amp;$AB$525),0)</f>
        <v>838</v>
      </c>
      <c r="D526" s="598">
        <f ca="1">IF(ISNUMBER(D525),IF(D525+2&lt;E$726,IF(ISNA(MATCH("Y",INDIRECT("Skills!"&amp;$C$523&amp;D525+1&amp;":"&amp;$C$523&amp;E$726),0))," ",MATCH("Y",INDIRECT("Skills!"&amp;$C$523&amp;D525+1&amp;":"&amp;$C$523&amp;E$726),0)+D525)," ")," ")</f>
        <v>6</v>
      </c>
      <c r="E526" s="1069">
        <f t="shared" ref="E526:AA526" ca="1" si="104">IF(ISNUMBER(E525),IF(E525+2&lt;F$726,IF(ISNA(MATCH("Y",INDIRECT("Skills!"&amp;$C$523&amp;E525+1&amp;":"&amp;$C$523&amp;F$726),0))," ",MATCH("Y",INDIRECT("Skills!"&amp;$C$523&amp;E525+1&amp;":"&amp;$C$523&amp;F$726),0)+E525)," ")," ")</f>
        <v>17</v>
      </c>
      <c r="F526" s="1069">
        <f t="shared" ca="1" si="104"/>
        <v>59</v>
      </c>
      <c r="G526" s="1069">
        <f t="shared" ca="1" si="104"/>
        <v>107</v>
      </c>
      <c r="H526" s="1069">
        <f t="shared" ca="1" si="104"/>
        <v>131</v>
      </c>
      <c r="I526" s="1069">
        <f t="shared" ca="1" si="104"/>
        <v>151</v>
      </c>
      <c r="J526" s="1069">
        <f t="shared" ca="1" si="104"/>
        <v>214</v>
      </c>
      <c r="K526" s="1069">
        <f t="shared" ca="1" si="104"/>
        <v>236</v>
      </c>
      <c r="L526" s="1069">
        <f t="shared" ca="1" si="104"/>
        <v>300</v>
      </c>
      <c r="M526" s="1069">
        <f t="shared" ca="1" si="104"/>
        <v>393</v>
      </c>
      <c r="N526" s="1069">
        <f t="shared" ca="1" si="104"/>
        <v>473</v>
      </c>
      <c r="O526" s="1069">
        <f t="shared" ca="1" si="104"/>
        <v>554</v>
      </c>
      <c r="P526" s="1069">
        <f t="shared" ca="1" si="104"/>
        <v>588</v>
      </c>
      <c r="Q526" s="1069">
        <f t="shared" ca="1" si="104"/>
        <v>744</v>
      </c>
      <c r="R526" s="1069">
        <f t="shared" ca="1" si="104"/>
        <v>782</v>
      </c>
      <c r="S526" s="1069">
        <f t="shared" ca="1" si="104"/>
        <v>791</v>
      </c>
      <c r="T526" s="1069">
        <f t="shared" ca="1" si="104"/>
        <v>802</v>
      </c>
      <c r="U526" s="1069">
        <f t="shared" ca="1" si="104"/>
        <v>809</v>
      </c>
      <c r="V526" s="1069">
        <f t="shared" ca="1" si="104"/>
        <v>843</v>
      </c>
      <c r="W526" s="1069">
        <f t="shared" ca="1" si="104"/>
        <v>849</v>
      </c>
      <c r="X526" s="1069">
        <f t="shared" ca="1" si="104"/>
        <v>858</v>
      </c>
      <c r="Y526" s="1069">
        <f t="shared" ca="1" si="104"/>
        <v>879</v>
      </c>
      <c r="Z526" s="1069">
        <f t="shared" ca="1" si="104"/>
        <v>887</v>
      </c>
      <c r="AA526" s="1069">
        <f t="shared" ca="1" si="104"/>
        <v>899</v>
      </c>
    </row>
    <row r="527" spans="1:95" ht="9.9499999999999993" customHeight="1">
      <c r="A527" s="1069">
        <v>3</v>
      </c>
      <c r="B527" s="598" t="s">
        <v>5540</v>
      </c>
      <c r="C527" s="1069">
        <f ca="1">MATCH('Character Sheet'!$A21,INDIRECT("Skills!$"&amp;$B$523&amp;"$1:$"&amp;$B$523&amp;"$"&amp;$AB$525),0)</f>
        <v>840</v>
      </c>
      <c r="D527" s="1069">
        <f t="shared" ref="D527:AA527" ca="1" si="105">IF(ISNUMBER(D526),IF(D526+2&lt;E$726,IF(ISNA(MATCH("Y",INDIRECT("Skills!"&amp;$C$523&amp;D526+1&amp;":"&amp;$C$523&amp;E$726),0))," ",MATCH("Y",INDIRECT("Skills!"&amp;$C$523&amp;D526+1&amp;":"&amp;$C$523&amp;E$726),0)+D526)," ")," ")</f>
        <v>7</v>
      </c>
      <c r="E527" s="1069">
        <f t="shared" ca="1" si="105"/>
        <v>18</v>
      </c>
      <c r="F527" s="1069">
        <f t="shared" ca="1" si="105"/>
        <v>61</v>
      </c>
      <c r="G527" s="1069">
        <f t="shared" ca="1" si="105"/>
        <v>108</v>
      </c>
      <c r="H527" s="1069">
        <f t="shared" ca="1" si="105"/>
        <v>132</v>
      </c>
      <c r="I527" s="1069">
        <f t="shared" ca="1" si="105"/>
        <v>152</v>
      </c>
      <c r="J527" s="1069">
        <f t="shared" ca="1" si="105"/>
        <v>215</v>
      </c>
      <c r="K527" s="1069">
        <f t="shared" ca="1" si="105"/>
        <v>237</v>
      </c>
      <c r="L527" s="1069">
        <f t="shared" ca="1" si="105"/>
        <v>301</v>
      </c>
      <c r="M527" s="1069">
        <f t="shared" ca="1" si="105"/>
        <v>394</v>
      </c>
      <c r="N527" s="1069">
        <f t="shared" ca="1" si="105"/>
        <v>476</v>
      </c>
      <c r="O527" s="1069">
        <f t="shared" ca="1" si="105"/>
        <v>555</v>
      </c>
      <c r="P527" s="1069">
        <f t="shared" ca="1" si="105"/>
        <v>589</v>
      </c>
      <c r="Q527" s="1069">
        <f t="shared" ca="1" si="105"/>
        <v>746</v>
      </c>
      <c r="R527" s="1069">
        <f t="shared" ca="1" si="105"/>
        <v>783</v>
      </c>
      <c r="S527" s="1069">
        <f t="shared" ca="1" si="105"/>
        <v>792</v>
      </c>
      <c r="T527" s="1069">
        <f t="shared" ca="1" si="105"/>
        <v>803</v>
      </c>
      <c r="U527" s="1069">
        <f t="shared" ca="1" si="105"/>
        <v>811</v>
      </c>
      <c r="V527" s="1069">
        <f t="shared" ca="1" si="105"/>
        <v>844</v>
      </c>
      <c r="W527" s="1069">
        <f t="shared" ca="1" si="105"/>
        <v>850</v>
      </c>
      <c r="X527" s="1069">
        <f t="shared" ca="1" si="105"/>
        <v>859</v>
      </c>
      <c r="Y527" s="1069">
        <f t="shared" ca="1" si="105"/>
        <v>880</v>
      </c>
      <c r="Z527" s="1069">
        <f t="shared" ca="1" si="105"/>
        <v>888</v>
      </c>
      <c r="AA527" s="1069">
        <f t="shared" ca="1" si="105"/>
        <v>900</v>
      </c>
    </row>
    <row r="528" spans="1:95" ht="9.9499999999999993" customHeight="1">
      <c r="A528" s="1069">
        <v>4</v>
      </c>
      <c r="B528" s="598" t="s">
        <v>641</v>
      </c>
      <c r="C528" s="1069">
        <f ca="1">MATCH('Character Sheet'!$A22,INDIRECT("Skills!$"&amp;$B$523&amp;"$1:$"&amp;$B$523&amp;"$"&amp;$AB$525),0)</f>
        <v>839</v>
      </c>
      <c r="D528" s="1069">
        <f t="shared" ref="D528:AA528" ca="1" si="106">IF(ISNUMBER(D527),IF(D527+2&lt;E$726,IF(ISNA(MATCH("Y",INDIRECT("Skills!"&amp;$C$523&amp;D527+1&amp;":"&amp;$C$523&amp;E$726),0))," ",MATCH("Y",INDIRECT("Skills!"&amp;$C$523&amp;D527+1&amp;":"&amp;$C$523&amp;E$726),0)+D527)," ")," ")</f>
        <v>8</v>
      </c>
      <c r="E528" s="1069">
        <f t="shared" ca="1" si="106"/>
        <v>19</v>
      </c>
      <c r="F528" s="1069">
        <f t="shared" ca="1" si="106"/>
        <v>62</v>
      </c>
      <c r="G528" s="1069">
        <f t="shared" ca="1" si="106"/>
        <v>109</v>
      </c>
      <c r="H528" s="1069">
        <f t="shared" ca="1" si="106"/>
        <v>133</v>
      </c>
      <c r="I528" s="1069">
        <f t="shared" ca="1" si="106"/>
        <v>153</v>
      </c>
      <c r="J528" s="1069">
        <f t="shared" ca="1" si="106"/>
        <v>216</v>
      </c>
      <c r="K528" s="1069">
        <f t="shared" ca="1" si="106"/>
        <v>238</v>
      </c>
      <c r="L528" s="1069">
        <f t="shared" ca="1" si="106"/>
        <v>302</v>
      </c>
      <c r="M528" s="1069">
        <f t="shared" ca="1" si="106"/>
        <v>395</v>
      </c>
      <c r="N528" s="1069">
        <f t="shared" ca="1" si="106"/>
        <v>477</v>
      </c>
      <c r="O528" s="1069">
        <f t="shared" ca="1" si="106"/>
        <v>556</v>
      </c>
      <c r="P528" s="1069">
        <f t="shared" ca="1" si="106"/>
        <v>590</v>
      </c>
      <c r="Q528" s="1069">
        <f t="shared" ca="1" si="106"/>
        <v>748</v>
      </c>
      <c r="R528" s="1069">
        <f t="shared" ca="1" si="106"/>
        <v>785</v>
      </c>
      <c r="S528" s="1069">
        <f t="shared" ca="1" si="106"/>
        <v>793</v>
      </c>
      <c r="T528" s="1069">
        <f t="shared" ca="1" si="106"/>
        <v>804</v>
      </c>
      <c r="U528" s="1069">
        <f t="shared" ca="1" si="106"/>
        <v>812</v>
      </c>
      <c r="V528" s="1069">
        <f t="shared" ca="1" si="106"/>
        <v>845</v>
      </c>
      <c r="W528" s="1069">
        <f t="shared" ca="1" si="106"/>
        <v>851</v>
      </c>
      <c r="X528" s="1069">
        <f t="shared" ca="1" si="106"/>
        <v>860</v>
      </c>
      <c r="Y528" s="1069">
        <f t="shared" ca="1" si="106"/>
        <v>881</v>
      </c>
      <c r="Z528" s="1069">
        <f t="shared" ca="1" si="106"/>
        <v>889</v>
      </c>
      <c r="AA528" s="1069">
        <f t="shared" ca="1" si="106"/>
        <v>901</v>
      </c>
    </row>
    <row r="529" spans="1:27" ht="9.9499999999999993" customHeight="1">
      <c r="A529" s="1069">
        <v>5</v>
      </c>
      <c r="B529" s="598" t="s">
        <v>3964</v>
      </c>
      <c r="C529" s="1069">
        <f ca="1">MATCH('Character Sheet'!$A23,INDIRECT("Skills!$"&amp;$B$523&amp;"$1:$"&amp;$B$523&amp;"$"&amp;$AB$525),0)</f>
        <v>841</v>
      </c>
      <c r="D529" s="1069">
        <f t="shared" ref="D529:AA529" ca="1" si="107">IF(ISNUMBER(D528),IF(D528+2&lt;E$726,IF(ISNA(MATCH("Y",INDIRECT("Skills!"&amp;$C$523&amp;D528+1&amp;":"&amp;$C$523&amp;E$726),0))," ",MATCH("Y",INDIRECT("Skills!"&amp;$C$523&amp;D528+1&amp;":"&amp;$C$523&amp;E$726),0)+D528)," ")," ")</f>
        <v>9</v>
      </c>
      <c r="E529" s="1069">
        <f t="shared" ca="1" si="107"/>
        <v>20</v>
      </c>
      <c r="F529" s="1069">
        <f t="shared" ca="1" si="107"/>
        <v>63</v>
      </c>
      <c r="G529" s="1069">
        <f t="shared" ca="1" si="107"/>
        <v>111</v>
      </c>
      <c r="H529" s="1069">
        <f t="shared" ca="1" si="107"/>
        <v>134</v>
      </c>
      <c r="I529" s="1069">
        <f t="shared" ca="1" si="107"/>
        <v>154</v>
      </c>
      <c r="J529" s="1069">
        <f t="shared" ca="1" si="107"/>
        <v>217</v>
      </c>
      <c r="K529" s="1069">
        <f t="shared" ca="1" si="107"/>
        <v>239</v>
      </c>
      <c r="L529" s="1069">
        <f t="shared" ca="1" si="107"/>
        <v>303</v>
      </c>
      <c r="M529" s="1069">
        <f t="shared" ca="1" si="107"/>
        <v>396</v>
      </c>
      <c r="N529" s="1069">
        <f t="shared" ca="1" si="107"/>
        <v>479</v>
      </c>
      <c r="O529" s="1069">
        <f t="shared" ca="1" si="107"/>
        <v>558</v>
      </c>
      <c r="P529" s="1069">
        <f t="shared" ca="1" si="107"/>
        <v>591</v>
      </c>
      <c r="Q529" s="1069">
        <f t="shared" ca="1" si="107"/>
        <v>749</v>
      </c>
      <c r="R529" s="1069">
        <f t="shared" ca="1" si="107"/>
        <v>786</v>
      </c>
      <c r="S529" s="1069">
        <f t="shared" ca="1" si="107"/>
        <v>797</v>
      </c>
      <c r="T529" s="1069">
        <f t="shared" ca="1" si="107"/>
        <v>805</v>
      </c>
      <c r="U529" s="1069">
        <f t="shared" ca="1" si="107"/>
        <v>813</v>
      </c>
      <c r="V529" s="1069">
        <f t="shared" ca="1" si="107"/>
        <v>846</v>
      </c>
      <c r="W529" s="1069">
        <f t="shared" ca="1" si="107"/>
        <v>852</v>
      </c>
      <c r="X529" s="1069">
        <f t="shared" ca="1" si="107"/>
        <v>861</v>
      </c>
      <c r="Y529" s="1069">
        <f t="shared" ca="1" si="107"/>
        <v>882</v>
      </c>
      <c r="Z529" s="1069">
        <f t="shared" ca="1" si="107"/>
        <v>890</v>
      </c>
      <c r="AA529" s="1069">
        <f t="shared" ca="1" si="107"/>
        <v>902</v>
      </c>
    </row>
    <row r="530" spans="1:27" ht="9.9499999999999993" customHeight="1">
      <c r="A530" s="1069">
        <v>6</v>
      </c>
      <c r="B530" s="598" t="s">
        <v>3962</v>
      </c>
      <c r="C530" s="1069">
        <f ca="1">MATCH('Character Sheet'!$A24,INDIRECT("Skills!$"&amp;$B$523&amp;"$1:$"&amp;$B$523&amp;"$"&amp;$AB$525),0)</f>
        <v>842</v>
      </c>
      <c r="D530" s="1069">
        <f t="shared" ref="D530:AA530" ca="1" si="108">IF(ISNUMBER(D529),IF(D529+2&lt;E$726,IF(ISNA(MATCH("Y",INDIRECT("Skills!"&amp;$C$523&amp;D529+1&amp;":"&amp;$C$523&amp;E$726),0))," ",MATCH("Y",INDIRECT("Skills!"&amp;$C$523&amp;D529+1&amp;":"&amp;$C$523&amp;E$726),0)+D529)," ")," ")</f>
        <v>10</v>
      </c>
      <c r="E530" s="1069">
        <f t="shared" ca="1" si="108"/>
        <v>21</v>
      </c>
      <c r="F530" s="1069">
        <f t="shared" ca="1" si="108"/>
        <v>65</v>
      </c>
      <c r="G530" s="1069">
        <f t="shared" ca="1" si="108"/>
        <v>112</v>
      </c>
      <c r="H530" s="1069">
        <f t="shared" ca="1" si="108"/>
        <v>135</v>
      </c>
      <c r="I530" s="1069">
        <f t="shared" ca="1" si="108"/>
        <v>155</v>
      </c>
      <c r="J530" s="1069">
        <f t="shared" ca="1" si="108"/>
        <v>218</v>
      </c>
      <c r="K530" s="1069">
        <f t="shared" ca="1" si="108"/>
        <v>240</v>
      </c>
      <c r="L530" s="1069">
        <f t="shared" ca="1" si="108"/>
        <v>304</v>
      </c>
      <c r="M530" s="1069">
        <f t="shared" ca="1" si="108"/>
        <v>397</v>
      </c>
      <c r="N530" s="1069">
        <f t="shared" ca="1" si="108"/>
        <v>480</v>
      </c>
      <c r="O530" s="1069">
        <f t="shared" ca="1" si="108"/>
        <v>559</v>
      </c>
      <c r="P530" s="1069">
        <f t="shared" ca="1" si="108"/>
        <v>592</v>
      </c>
      <c r="Q530" s="1069">
        <f t="shared" ca="1" si="108"/>
        <v>750</v>
      </c>
      <c r="R530" s="1069">
        <f t="shared" ca="1" si="108"/>
        <v>787</v>
      </c>
      <c r="S530" s="1069">
        <f t="shared" ca="1" si="108"/>
        <v>798</v>
      </c>
      <c r="T530" s="1069">
        <f t="shared" ca="1" si="108"/>
        <v>806</v>
      </c>
      <c r="U530" s="1069">
        <f t="shared" ca="1" si="108"/>
        <v>814</v>
      </c>
      <c r="V530" s="1069" t="str">
        <f t="shared" ca="1" si="108"/>
        <v xml:space="preserve"> </v>
      </c>
      <c r="W530" s="1069">
        <f t="shared" ca="1" si="108"/>
        <v>853</v>
      </c>
      <c r="X530" s="1069">
        <f t="shared" ca="1" si="108"/>
        <v>862</v>
      </c>
      <c r="Y530" s="1069">
        <f t="shared" ca="1" si="108"/>
        <v>883</v>
      </c>
      <c r="Z530" s="1069">
        <f t="shared" ca="1" si="108"/>
        <v>891</v>
      </c>
      <c r="AA530" s="1069">
        <f t="shared" ca="1" si="108"/>
        <v>903</v>
      </c>
    </row>
    <row r="531" spans="1:27" ht="9.9499999999999993" customHeight="1">
      <c r="A531" s="1069">
        <v>7</v>
      </c>
      <c r="B531" s="598" t="s">
        <v>3963</v>
      </c>
      <c r="C531" s="1069" t="e">
        <f ca="1">MATCH('Character Sheet'!$A25,INDIRECT("Skills!$"&amp;$B$523&amp;"$1:$"&amp;$B$523&amp;"$"&amp;$AB$525),0)</f>
        <v>#N/A</v>
      </c>
      <c r="D531" s="1069">
        <f t="shared" ref="D531:AA531" ca="1" si="109">IF(ISNUMBER(D530),IF(D530+2&lt;E$726,IF(ISNA(MATCH("Y",INDIRECT("Skills!"&amp;$C$523&amp;D530+1&amp;":"&amp;$C$523&amp;E$726),0))," ",MATCH("Y",INDIRECT("Skills!"&amp;$C$523&amp;D530+1&amp;":"&amp;$C$523&amp;E$726),0)+D530)," ")," ")</f>
        <v>11</v>
      </c>
      <c r="E531" s="1069">
        <f t="shared" ca="1" si="109"/>
        <v>22</v>
      </c>
      <c r="F531" s="1069">
        <f t="shared" ca="1" si="109"/>
        <v>66</v>
      </c>
      <c r="G531" s="1069">
        <f t="shared" ca="1" si="109"/>
        <v>113</v>
      </c>
      <c r="H531" s="1069">
        <f t="shared" ca="1" si="109"/>
        <v>136</v>
      </c>
      <c r="I531" s="1069">
        <f t="shared" ca="1" si="109"/>
        <v>156</v>
      </c>
      <c r="J531" s="1069">
        <f t="shared" ca="1" si="109"/>
        <v>219</v>
      </c>
      <c r="K531" s="1069">
        <f t="shared" ca="1" si="109"/>
        <v>241</v>
      </c>
      <c r="L531" s="1069">
        <f t="shared" ca="1" si="109"/>
        <v>305</v>
      </c>
      <c r="M531" s="1069">
        <f t="shared" ca="1" si="109"/>
        <v>398</v>
      </c>
      <c r="N531" s="1069">
        <f t="shared" ca="1" si="109"/>
        <v>481</v>
      </c>
      <c r="O531" s="1069">
        <f t="shared" ca="1" si="109"/>
        <v>560</v>
      </c>
      <c r="P531" s="1069">
        <f t="shared" ca="1" si="109"/>
        <v>594</v>
      </c>
      <c r="Q531" s="1069">
        <f t="shared" ca="1" si="109"/>
        <v>751</v>
      </c>
      <c r="R531" s="1069">
        <f t="shared" ca="1" si="109"/>
        <v>788</v>
      </c>
      <c r="S531" s="1069" t="str">
        <f t="shared" ca="1" si="109"/>
        <v xml:space="preserve"> </v>
      </c>
      <c r="T531" s="1069" t="str">
        <f t="shared" ca="1" si="109"/>
        <v xml:space="preserve"> </v>
      </c>
      <c r="U531" s="1069">
        <f t="shared" ca="1" si="109"/>
        <v>815</v>
      </c>
      <c r="V531" s="1069" t="str">
        <f t="shared" ca="1" si="109"/>
        <v xml:space="preserve"> </v>
      </c>
      <c r="W531" s="1069">
        <f t="shared" ca="1" si="109"/>
        <v>854</v>
      </c>
      <c r="X531" s="1069">
        <f t="shared" ca="1" si="109"/>
        <v>863</v>
      </c>
      <c r="Y531" s="1069">
        <f t="shared" ca="1" si="109"/>
        <v>884</v>
      </c>
      <c r="Z531" s="1069">
        <f t="shared" ca="1" si="109"/>
        <v>892</v>
      </c>
      <c r="AA531" s="1069">
        <f t="shared" ca="1" si="109"/>
        <v>905</v>
      </c>
    </row>
    <row r="532" spans="1:27" ht="9.9499999999999993" customHeight="1">
      <c r="A532" s="1069">
        <v>8</v>
      </c>
      <c r="B532" s="598" t="s">
        <v>4030</v>
      </c>
      <c r="C532" s="1069">
        <f ca="1">MATCH('Character Sheet'!$A26,INDIRECT("Skills!$"&amp;$B$523&amp;"$1:$"&amp;$B$523&amp;"$"&amp;$AB$525),0)</f>
        <v>165</v>
      </c>
      <c r="D532" s="1069">
        <f t="shared" ref="D532:AA532" ca="1" si="110">IF(ISNUMBER(D531),IF(D531+2&lt;E$726,IF(ISNA(MATCH("Y",INDIRECT("Skills!"&amp;$C$523&amp;D531+1&amp;":"&amp;$C$523&amp;E$726),0))," ",MATCH("Y",INDIRECT("Skills!"&amp;$C$523&amp;D531+1&amp;":"&amp;$C$523&amp;E$726),0)+D531)," ")," ")</f>
        <v>12</v>
      </c>
      <c r="E532" s="1069">
        <f t="shared" ca="1" si="110"/>
        <v>23</v>
      </c>
      <c r="F532" s="1069">
        <f t="shared" ca="1" si="110"/>
        <v>67</v>
      </c>
      <c r="G532" s="1069">
        <f t="shared" ca="1" si="110"/>
        <v>114</v>
      </c>
      <c r="H532" s="1069">
        <f t="shared" ca="1" si="110"/>
        <v>137</v>
      </c>
      <c r="I532" s="1069">
        <f t="shared" ca="1" si="110"/>
        <v>157</v>
      </c>
      <c r="J532" s="1069">
        <f t="shared" ca="1" si="110"/>
        <v>220</v>
      </c>
      <c r="K532" s="1069">
        <f t="shared" ca="1" si="110"/>
        <v>242</v>
      </c>
      <c r="L532" s="1069">
        <f t="shared" ca="1" si="110"/>
        <v>306</v>
      </c>
      <c r="M532" s="1069">
        <f t="shared" ca="1" si="110"/>
        <v>399</v>
      </c>
      <c r="N532" s="1069">
        <f t="shared" ca="1" si="110"/>
        <v>483</v>
      </c>
      <c r="O532" s="1069">
        <f t="shared" ca="1" si="110"/>
        <v>561</v>
      </c>
      <c r="P532" s="1069">
        <f t="shared" ca="1" si="110"/>
        <v>595</v>
      </c>
      <c r="Q532" s="1069">
        <f t="shared" ca="1" si="110"/>
        <v>752</v>
      </c>
      <c r="R532" s="1069" t="str">
        <f t="shared" ca="1" si="110"/>
        <v xml:space="preserve"> </v>
      </c>
      <c r="S532" s="1069" t="str">
        <f t="shared" ca="1" si="110"/>
        <v xml:space="preserve"> </v>
      </c>
      <c r="T532" s="1069" t="str">
        <f t="shared" ca="1" si="110"/>
        <v xml:space="preserve"> </v>
      </c>
      <c r="U532" s="1069">
        <f t="shared" ca="1" si="110"/>
        <v>816</v>
      </c>
      <c r="V532" s="1069" t="str">
        <f t="shared" ca="1" si="110"/>
        <v xml:space="preserve"> </v>
      </c>
      <c r="W532" s="1069">
        <f t="shared" ca="1" si="110"/>
        <v>855</v>
      </c>
      <c r="X532" s="1069">
        <f t="shared" ca="1" si="110"/>
        <v>864</v>
      </c>
      <c r="Y532" s="1069" t="str">
        <f t="shared" ca="1" si="110"/>
        <v xml:space="preserve"> </v>
      </c>
      <c r="Z532" s="1069">
        <f t="shared" ca="1" si="110"/>
        <v>893</v>
      </c>
      <c r="AA532" s="1069">
        <f t="shared" ca="1" si="110"/>
        <v>906</v>
      </c>
    </row>
    <row r="533" spans="1:27" ht="9.9499999999999993" customHeight="1">
      <c r="A533" s="1069">
        <v>9</v>
      </c>
      <c r="B533" s="598" t="s">
        <v>4031</v>
      </c>
      <c r="C533" s="1069">
        <f ca="1">MATCH('Character Sheet'!$A27,INDIRECT("Skills!$"&amp;$B$523&amp;"$1:$"&amp;$B$523&amp;"$"&amp;$AB$525),0)</f>
        <v>169</v>
      </c>
      <c r="D533" s="1069">
        <f t="shared" ref="D533:AA533" ca="1" si="111">IF(ISNUMBER(D532),IF(D532+2&lt;E$726,IF(ISNA(MATCH("Y",INDIRECT("Skills!"&amp;$C$523&amp;D532+1&amp;":"&amp;$C$523&amp;E$726),0))," ",MATCH("Y",INDIRECT("Skills!"&amp;$C$523&amp;D532+1&amp;":"&amp;$C$523&amp;E$726),0)+D532)," ")," ")</f>
        <v>13</v>
      </c>
      <c r="E533" s="1069">
        <f t="shared" ca="1" si="111"/>
        <v>24</v>
      </c>
      <c r="F533" s="1069">
        <f t="shared" ca="1" si="111"/>
        <v>68</v>
      </c>
      <c r="G533" s="1069">
        <f t="shared" ca="1" si="111"/>
        <v>115</v>
      </c>
      <c r="H533" s="1069">
        <f t="shared" ca="1" si="111"/>
        <v>138</v>
      </c>
      <c r="I533" s="1069">
        <f t="shared" ca="1" si="111"/>
        <v>158</v>
      </c>
      <c r="J533" s="1069">
        <f t="shared" ca="1" si="111"/>
        <v>221</v>
      </c>
      <c r="K533" s="1069">
        <f t="shared" ca="1" si="111"/>
        <v>243</v>
      </c>
      <c r="L533" s="1069">
        <f t="shared" ca="1" si="111"/>
        <v>307</v>
      </c>
      <c r="M533" s="1069">
        <f t="shared" ca="1" si="111"/>
        <v>400</v>
      </c>
      <c r="N533" s="1069">
        <f t="shared" ca="1" si="111"/>
        <v>484</v>
      </c>
      <c r="O533" s="1069">
        <f t="shared" ca="1" si="111"/>
        <v>562</v>
      </c>
      <c r="P533" s="1069">
        <f t="shared" ca="1" si="111"/>
        <v>596</v>
      </c>
      <c r="Q533" s="1069">
        <f t="shared" ca="1" si="111"/>
        <v>753</v>
      </c>
      <c r="R533" s="1069" t="str">
        <f t="shared" ca="1" si="111"/>
        <v xml:space="preserve"> </v>
      </c>
      <c r="S533" s="1069" t="str">
        <f t="shared" ca="1" si="111"/>
        <v xml:space="preserve"> </v>
      </c>
      <c r="T533" s="1069" t="str">
        <f t="shared" ca="1" si="111"/>
        <v xml:space="preserve"> </v>
      </c>
      <c r="U533" s="1069">
        <f t="shared" ca="1" si="111"/>
        <v>817</v>
      </c>
      <c r="V533" s="1069" t="str">
        <f t="shared" ca="1" si="111"/>
        <v xml:space="preserve"> </v>
      </c>
      <c r="W533" s="1069" t="str">
        <f t="shared" ca="1" si="111"/>
        <v xml:space="preserve"> </v>
      </c>
      <c r="X533" s="1069">
        <f t="shared" ca="1" si="111"/>
        <v>865</v>
      </c>
      <c r="Y533" s="1069" t="str">
        <f t="shared" ca="1" si="111"/>
        <v xml:space="preserve"> </v>
      </c>
      <c r="Z533" s="1069">
        <f t="shared" ca="1" si="111"/>
        <v>894</v>
      </c>
      <c r="AA533" s="1069" t="str">
        <f t="shared" ca="1" si="111"/>
        <v xml:space="preserve"> </v>
      </c>
    </row>
    <row r="534" spans="1:27" ht="9.9499999999999993" customHeight="1">
      <c r="A534" s="1069">
        <v>10</v>
      </c>
      <c r="B534" s="598" t="s">
        <v>347</v>
      </c>
      <c r="C534" s="1069">
        <f ca="1">MATCH('Character Sheet'!$A28,INDIRECT("Skills!$"&amp;$B$523&amp;"$1:$"&amp;$B$523&amp;"$"&amp;$AB$525),0)</f>
        <v>122</v>
      </c>
      <c r="D534" s="1069" t="str">
        <f t="shared" ref="D534:AA534" ca="1" si="112">IF(ISNUMBER(D533),IF(D533+2&lt;E$726,IF(ISNA(MATCH("Y",INDIRECT("Skills!"&amp;$C$523&amp;D533+1&amp;":"&amp;$C$523&amp;E$726),0))," ",MATCH("Y",INDIRECT("Skills!"&amp;$C$523&amp;D533+1&amp;":"&amp;$C$523&amp;E$726),0)+D533)," ")," ")</f>
        <v xml:space="preserve"> </v>
      </c>
      <c r="E534" s="1069">
        <f t="shared" ca="1" si="112"/>
        <v>25</v>
      </c>
      <c r="F534" s="1069">
        <f t="shared" ca="1" si="112"/>
        <v>70</v>
      </c>
      <c r="G534" s="1069">
        <f t="shared" ca="1" si="112"/>
        <v>116</v>
      </c>
      <c r="H534" s="1069">
        <f t="shared" ca="1" si="112"/>
        <v>139</v>
      </c>
      <c r="I534" s="1069">
        <f t="shared" ca="1" si="112"/>
        <v>159</v>
      </c>
      <c r="J534" s="1069">
        <f t="shared" ca="1" si="112"/>
        <v>222</v>
      </c>
      <c r="K534" s="1069">
        <f t="shared" ca="1" si="112"/>
        <v>244</v>
      </c>
      <c r="L534" s="1069">
        <f t="shared" ca="1" si="112"/>
        <v>308</v>
      </c>
      <c r="M534" s="1069">
        <f t="shared" ca="1" si="112"/>
        <v>401</v>
      </c>
      <c r="N534" s="1069">
        <f t="shared" ca="1" si="112"/>
        <v>485</v>
      </c>
      <c r="O534" s="1069">
        <f t="shared" ca="1" si="112"/>
        <v>563</v>
      </c>
      <c r="P534" s="1069">
        <f t="shared" ca="1" si="112"/>
        <v>597</v>
      </c>
      <c r="Q534" s="1069">
        <f t="shared" ca="1" si="112"/>
        <v>754</v>
      </c>
      <c r="R534" s="1069" t="str">
        <f t="shared" ca="1" si="112"/>
        <v xml:space="preserve"> </v>
      </c>
      <c r="S534" s="1069" t="str">
        <f t="shared" ca="1" si="112"/>
        <v xml:space="preserve"> </v>
      </c>
      <c r="T534" s="1069" t="str">
        <f t="shared" ca="1" si="112"/>
        <v xml:space="preserve"> </v>
      </c>
      <c r="U534" s="1069">
        <f t="shared" ca="1" si="112"/>
        <v>818</v>
      </c>
      <c r="V534" s="1069" t="str">
        <f t="shared" ca="1" si="112"/>
        <v xml:space="preserve"> </v>
      </c>
      <c r="W534" s="1069" t="str">
        <f t="shared" ca="1" si="112"/>
        <v xml:space="preserve"> </v>
      </c>
      <c r="X534" s="1069">
        <f t="shared" ca="1" si="112"/>
        <v>866</v>
      </c>
      <c r="Y534" s="1069" t="str">
        <f t="shared" ca="1" si="112"/>
        <v xml:space="preserve"> </v>
      </c>
      <c r="Z534" s="1069">
        <f t="shared" ca="1" si="112"/>
        <v>895</v>
      </c>
      <c r="AA534" s="1069" t="str">
        <f t="shared" ca="1" si="112"/>
        <v xml:space="preserve"> </v>
      </c>
    </row>
    <row r="535" spans="1:27" ht="9.9499999999999993" customHeight="1">
      <c r="A535" s="1069">
        <v>11</v>
      </c>
      <c r="B535" s="598" t="s">
        <v>2650</v>
      </c>
      <c r="C535" s="1069">
        <f ca="1">MATCH('Character Sheet'!$A29,INDIRECT("Skills!$"&amp;$B$523&amp;"$1:$"&amp;$B$523&amp;"$"&amp;$AB$525),0)</f>
        <v>799</v>
      </c>
      <c r="D535" s="1069" t="str">
        <f t="shared" ref="D535:AA535" ca="1" si="113">IF(ISNUMBER(D534),IF(D534+2&lt;E$726,IF(ISNA(MATCH("Y",INDIRECT("Skills!"&amp;$C$523&amp;D534+1&amp;":"&amp;$C$523&amp;E$726),0))," ",MATCH("Y",INDIRECT("Skills!"&amp;$C$523&amp;D534+1&amp;":"&amp;$C$523&amp;E$726),0)+D534)," ")," ")</f>
        <v xml:space="preserve"> </v>
      </c>
      <c r="E535" s="1069">
        <f t="shared" ca="1" si="113"/>
        <v>26</v>
      </c>
      <c r="F535" s="1069">
        <f t="shared" ca="1" si="113"/>
        <v>71</v>
      </c>
      <c r="G535" s="1069">
        <f t="shared" ca="1" si="113"/>
        <v>117</v>
      </c>
      <c r="H535" s="1069">
        <f t="shared" ca="1" si="113"/>
        <v>140</v>
      </c>
      <c r="I535" s="1069">
        <f t="shared" ca="1" si="113"/>
        <v>160</v>
      </c>
      <c r="J535" s="1069">
        <f t="shared" ca="1" si="113"/>
        <v>223</v>
      </c>
      <c r="K535" s="1069">
        <f t="shared" ca="1" si="113"/>
        <v>246</v>
      </c>
      <c r="L535" s="1069">
        <f t="shared" ca="1" si="113"/>
        <v>309</v>
      </c>
      <c r="M535" s="1069">
        <f t="shared" ca="1" si="113"/>
        <v>402</v>
      </c>
      <c r="N535" s="1069">
        <f t="shared" ca="1" si="113"/>
        <v>488</v>
      </c>
      <c r="O535" s="1069">
        <f t="shared" ca="1" si="113"/>
        <v>564</v>
      </c>
      <c r="P535" s="1069">
        <f t="shared" ca="1" si="113"/>
        <v>598</v>
      </c>
      <c r="Q535" s="1069">
        <f t="shared" ca="1" si="113"/>
        <v>755</v>
      </c>
      <c r="R535" s="1069" t="str">
        <f t="shared" ca="1" si="113"/>
        <v xml:space="preserve"> </v>
      </c>
      <c r="S535" s="1069" t="str">
        <f t="shared" ca="1" si="113"/>
        <v xml:space="preserve"> </v>
      </c>
      <c r="T535" s="1069" t="str">
        <f t="shared" ca="1" si="113"/>
        <v xml:space="preserve"> </v>
      </c>
      <c r="U535" s="1069">
        <f t="shared" ca="1" si="113"/>
        <v>819</v>
      </c>
      <c r="V535" s="1069" t="str">
        <f t="shared" ca="1" si="113"/>
        <v xml:space="preserve"> </v>
      </c>
      <c r="W535" s="1069" t="str">
        <f t="shared" ca="1" si="113"/>
        <v xml:space="preserve"> </v>
      </c>
      <c r="X535" s="1069">
        <f t="shared" ca="1" si="113"/>
        <v>867</v>
      </c>
      <c r="Y535" s="1069" t="str">
        <f t="shared" ca="1" si="113"/>
        <v xml:space="preserve"> </v>
      </c>
      <c r="Z535" s="1069" t="str">
        <f t="shared" ca="1" si="113"/>
        <v xml:space="preserve"> </v>
      </c>
      <c r="AA535" s="1069" t="str">
        <f t="shared" ca="1" si="113"/>
        <v xml:space="preserve"> </v>
      </c>
    </row>
    <row r="536" spans="1:27" ht="9.9499999999999993" customHeight="1">
      <c r="A536" s="1069">
        <v>12</v>
      </c>
      <c r="B536" s="598" t="s">
        <v>54</v>
      </c>
      <c r="C536" s="1069">
        <f ca="1">MATCH('Character Sheet'!$A30,INDIRECT("Skills!$"&amp;$B$523&amp;"$1:$"&amp;$B$523&amp;"$"&amp;$AB$525),0)</f>
        <v>784</v>
      </c>
      <c r="D536" s="1069" t="str">
        <f t="shared" ref="D536:AA536" ca="1" si="114">IF(ISNUMBER(D535),IF(D535+2&lt;E$726,IF(ISNA(MATCH("Y",INDIRECT("Skills!"&amp;$C$523&amp;D535+1&amp;":"&amp;$C$523&amp;E$726),0))," ",MATCH("Y",INDIRECT("Skills!"&amp;$C$523&amp;D535+1&amp;":"&amp;$C$523&amp;E$726),0)+D535)," ")," ")</f>
        <v xml:space="preserve"> </v>
      </c>
      <c r="E536" s="1069">
        <f t="shared" ca="1" si="114"/>
        <v>27</v>
      </c>
      <c r="F536" s="1069">
        <f t="shared" ca="1" si="114"/>
        <v>72</v>
      </c>
      <c r="G536" s="1069">
        <f t="shared" ca="1" si="114"/>
        <v>118</v>
      </c>
      <c r="H536" s="1069">
        <f t="shared" ca="1" si="114"/>
        <v>141</v>
      </c>
      <c r="I536" s="1069">
        <f t="shared" ca="1" si="114"/>
        <v>161</v>
      </c>
      <c r="J536" s="1069">
        <f t="shared" ca="1" si="114"/>
        <v>224</v>
      </c>
      <c r="K536" s="1069">
        <f t="shared" ca="1" si="114"/>
        <v>247</v>
      </c>
      <c r="L536" s="1069">
        <f t="shared" ca="1" si="114"/>
        <v>310</v>
      </c>
      <c r="M536" s="1069">
        <f t="shared" ca="1" si="114"/>
        <v>403</v>
      </c>
      <c r="N536" s="1069">
        <f t="shared" ca="1" si="114"/>
        <v>489</v>
      </c>
      <c r="O536" s="1069">
        <f t="shared" ca="1" si="114"/>
        <v>565</v>
      </c>
      <c r="P536" s="1069">
        <f t="shared" ca="1" si="114"/>
        <v>599</v>
      </c>
      <c r="Q536" s="1069">
        <f t="shared" ca="1" si="114"/>
        <v>756</v>
      </c>
      <c r="R536" s="1069" t="str">
        <f t="shared" ca="1" si="114"/>
        <v xml:space="preserve"> </v>
      </c>
      <c r="S536" s="1069" t="str">
        <f t="shared" ca="1" si="114"/>
        <v xml:space="preserve"> </v>
      </c>
      <c r="T536" s="1069" t="str">
        <f t="shared" ca="1" si="114"/>
        <v xml:space="preserve"> </v>
      </c>
      <c r="U536" s="1069">
        <f t="shared" ca="1" si="114"/>
        <v>820</v>
      </c>
      <c r="V536" s="1069" t="str">
        <f t="shared" ca="1" si="114"/>
        <v xml:space="preserve"> </v>
      </c>
      <c r="W536" s="1069" t="str">
        <f t="shared" ca="1" si="114"/>
        <v xml:space="preserve"> </v>
      </c>
      <c r="X536" s="1069">
        <f t="shared" ca="1" si="114"/>
        <v>868</v>
      </c>
      <c r="Y536" s="1069" t="str">
        <f t="shared" ca="1" si="114"/>
        <v xml:space="preserve"> </v>
      </c>
      <c r="Z536" s="1069" t="str">
        <f t="shared" ca="1" si="114"/>
        <v xml:space="preserve"> </v>
      </c>
      <c r="AA536" s="1069" t="str">
        <f t="shared" ca="1" si="114"/>
        <v xml:space="preserve"> </v>
      </c>
    </row>
    <row r="537" spans="1:27" ht="9.9499999999999993" customHeight="1">
      <c r="A537" s="1069">
        <v>13</v>
      </c>
      <c r="B537" s="598" t="s">
        <v>55</v>
      </c>
      <c r="C537" s="1069">
        <f ca="1">MATCH('Character Sheet'!$A31,INDIRECT("Skills!$"&amp;$B$523&amp;"$1:$"&amp;$B$523&amp;"$"&amp;$AB$525),0)</f>
        <v>475</v>
      </c>
      <c r="D537" s="1069" t="str">
        <f t="shared" ref="D537:AA537" ca="1" si="115">IF(ISNUMBER(D536),IF(D536+2&lt;E$726,IF(ISNA(MATCH("Y",INDIRECT("Skills!"&amp;$C$523&amp;D536+1&amp;":"&amp;$C$523&amp;E$726),0))," ",MATCH("Y",INDIRECT("Skills!"&amp;$C$523&amp;D536+1&amp;":"&amp;$C$523&amp;E$726),0)+D536)," ")," ")</f>
        <v xml:space="preserve"> </v>
      </c>
      <c r="E537" s="1069">
        <f t="shared" ca="1" si="115"/>
        <v>28</v>
      </c>
      <c r="F537" s="1069">
        <f t="shared" ca="1" si="115"/>
        <v>73</v>
      </c>
      <c r="G537" s="1069">
        <f t="shared" ca="1" si="115"/>
        <v>121</v>
      </c>
      <c r="H537" s="1069">
        <f t="shared" ca="1" si="115"/>
        <v>142</v>
      </c>
      <c r="I537" s="1069">
        <f t="shared" ca="1" si="115"/>
        <v>162</v>
      </c>
      <c r="J537" s="1069">
        <f t="shared" ca="1" si="115"/>
        <v>225</v>
      </c>
      <c r="K537" s="1069">
        <f t="shared" ca="1" si="115"/>
        <v>248</v>
      </c>
      <c r="L537" s="1069">
        <f t="shared" ca="1" si="115"/>
        <v>311</v>
      </c>
      <c r="M537" s="1069">
        <f t="shared" ca="1" si="115"/>
        <v>404</v>
      </c>
      <c r="N537" s="1069">
        <f t="shared" ca="1" si="115"/>
        <v>490</v>
      </c>
      <c r="O537" s="1069">
        <f t="shared" ca="1" si="115"/>
        <v>566</v>
      </c>
      <c r="P537" s="1069">
        <f t="shared" ca="1" si="115"/>
        <v>600</v>
      </c>
      <c r="Q537" s="1069">
        <f t="shared" ca="1" si="115"/>
        <v>757</v>
      </c>
      <c r="R537" s="1069" t="str">
        <f t="shared" ca="1" si="115"/>
        <v xml:space="preserve"> </v>
      </c>
      <c r="S537" s="1069" t="str">
        <f t="shared" ca="1" si="115"/>
        <v xml:space="preserve"> </v>
      </c>
      <c r="T537" s="1069" t="str">
        <f t="shared" ca="1" si="115"/>
        <v xml:space="preserve"> </v>
      </c>
      <c r="U537" s="1069">
        <f t="shared" ca="1" si="115"/>
        <v>821</v>
      </c>
      <c r="V537" s="1069" t="str">
        <f t="shared" ca="1" si="115"/>
        <v xml:space="preserve"> </v>
      </c>
      <c r="W537" s="1069" t="str">
        <f t="shared" ca="1" si="115"/>
        <v xml:space="preserve"> </v>
      </c>
      <c r="X537" s="1069">
        <f t="shared" ca="1" si="115"/>
        <v>869</v>
      </c>
      <c r="Y537" s="1069" t="str">
        <f t="shared" ca="1" si="115"/>
        <v xml:space="preserve"> </v>
      </c>
      <c r="Z537" s="1069" t="str">
        <f t="shared" ca="1" si="115"/>
        <v xml:space="preserve"> </v>
      </c>
      <c r="AA537" s="1069" t="str">
        <f t="shared" ca="1" si="115"/>
        <v xml:space="preserve"> </v>
      </c>
    </row>
    <row r="538" spans="1:27" ht="9.9499999999999993" customHeight="1">
      <c r="A538" s="1069">
        <v>14</v>
      </c>
      <c r="B538" s="598" t="s">
        <v>395</v>
      </c>
      <c r="C538" s="1069">
        <f ca="1">MATCH('Character Sheet'!$A32,INDIRECT("Skills!$"&amp;$B$523&amp;"$1:$"&amp;$B$523&amp;"$"&amp;$AB$525),0)</f>
        <v>487</v>
      </c>
      <c r="D538" s="1069" t="str">
        <f t="shared" ref="D538:AA538" ca="1" si="116">IF(ISNUMBER(D537),IF(D537+2&lt;E$726,IF(ISNA(MATCH("Y",INDIRECT("Skills!"&amp;$C$523&amp;D537+1&amp;":"&amp;$C$523&amp;E$726),0))," ",MATCH("Y",INDIRECT("Skills!"&amp;$C$523&amp;D537+1&amp;":"&amp;$C$523&amp;E$726),0)+D537)," ")," ")</f>
        <v xml:space="preserve"> </v>
      </c>
      <c r="E538" s="1069">
        <f t="shared" ca="1" si="116"/>
        <v>30</v>
      </c>
      <c r="F538" s="1069">
        <f t="shared" ca="1" si="116"/>
        <v>74</v>
      </c>
      <c r="G538" s="1069">
        <f t="shared" ca="1" si="116"/>
        <v>123</v>
      </c>
      <c r="H538" s="1069">
        <f t="shared" ca="1" si="116"/>
        <v>143</v>
      </c>
      <c r="I538" s="1069">
        <f t="shared" ca="1" si="116"/>
        <v>163</v>
      </c>
      <c r="J538" s="1069">
        <f t="shared" ca="1" si="116"/>
        <v>226</v>
      </c>
      <c r="K538" s="1069">
        <f t="shared" ca="1" si="116"/>
        <v>249</v>
      </c>
      <c r="L538" s="1069">
        <f t="shared" ca="1" si="116"/>
        <v>312</v>
      </c>
      <c r="M538" s="1069">
        <f t="shared" ca="1" si="116"/>
        <v>405</v>
      </c>
      <c r="N538" s="1069">
        <f t="shared" ca="1" si="116"/>
        <v>491</v>
      </c>
      <c r="O538" s="1069">
        <f t="shared" ca="1" si="116"/>
        <v>567</v>
      </c>
      <c r="P538" s="1069">
        <f t="shared" ca="1" si="116"/>
        <v>601</v>
      </c>
      <c r="Q538" s="1069">
        <f t="shared" ca="1" si="116"/>
        <v>758</v>
      </c>
      <c r="R538" s="1069" t="str">
        <f t="shared" ca="1" si="116"/>
        <v xml:space="preserve"> </v>
      </c>
      <c r="S538" s="1069" t="str">
        <f t="shared" ca="1" si="116"/>
        <v xml:space="preserve"> </v>
      </c>
      <c r="T538" s="1069" t="str">
        <f t="shared" ca="1" si="116"/>
        <v xml:space="preserve"> </v>
      </c>
      <c r="U538" s="1069">
        <f t="shared" ca="1" si="116"/>
        <v>822</v>
      </c>
      <c r="V538" s="1069" t="str">
        <f t="shared" ca="1" si="116"/>
        <v xml:space="preserve"> </v>
      </c>
      <c r="W538" s="1069" t="str">
        <f t="shared" ca="1" si="116"/>
        <v xml:space="preserve"> </v>
      </c>
      <c r="X538" s="1069">
        <f t="shared" ca="1" si="116"/>
        <v>870</v>
      </c>
      <c r="Y538" s="1069" t="str">
        <f t="shared" ca="1" si="116"/>
        <v xml:space="preserve"> </v>
      </c>
      <c r="Z538" s="1069" t="str">
        <f t="shared" ca="1" si="116"/>
        <v xml:space="preserve"> </v>
      </c>
      <c r="AA538" s="1069" t="str">
        <f t="shared" ca="1" si="116"/>
        <v xml:space="preserve"> </v>
      </c>
    </row>
    <row r="539" spans="1:27" ht="9.9499999999999993" customHeight="1">
      <c r="A539" s="1069">
        <v>15</v>
      </c>
      <c r="B539" s="598" t="s">
        <v>5084</v>
      </c>
      <c r="C539" s="1069">
        <f ca="1">MATCH('Character Sheet'!$A33,INDIRECT("Skills!$"&amp;$B$523&amp;"$1:$"&amp;$B$523&amp;"$"&amp;$AB$525),0)</f>
        <v>299</v>
      </c>
      <c r="D539" s="1069" t="str">
        <f t="shared" ref="D539:AA539" ca="1" si="117">IF(ISNUMBER(D538),IF(D538+2&lt;E$726,IF(ISNA(MATCH("Y",INDIRECT("Skills!"&amp;$C$523&amp;D538+1&amp;":"&amp;$C$523&amp;E$726),0))," ",MATCH("Y",INDIRECT("Skills!"&amp;$C$523&amp;D538+1&amp;":"&amp;$C$523&amp;E$726),0)+D538)," ")," ")</f>
        <v xml:space="preserve"> </v>
      </c>
      <c r="E539" s="1069">
        <f t="shared" ca="1" si="117"/>
        <v>31</v>
      </c>
      <c r="F539" s="1069">
        <f t="shared" ca="1" si="117"/>
        <v>76</v>
      </c>
      <c r="G539" s="1069">
        <f t="shared" ca="1" si="117"/>
        <v>126</v>
      </c>
      <c r="H539" s="1069">
        <f t="shared" ca="1" si="117"/>
        <v>146</v>
      </c>
      <c r="I539" s="1069">
        <f t="shared" ca="1" si="117"/>
        <v>164</v>
      </c>
      <c r="J539" s="1069">
        <f t="shared" ca="1" si="117"/>
        <v>228</v>
      </c>
      <c r="K539" s="1069">
        <f t="shared" ca="1" si="117"/>
        <v>251</v>
      </c>
      <c r="L539" s="1069">
        <f t="shared" ca="1" si="117"/>
        <v>313</v>
      </c>
      <c r="M539" s="1069">
        <f t="shared" ca="1" si="117"/>
        <v>406</v>
      </c>
      <c r="N539" s="1069">
        <f t="shared" ca="1" si="117"/>
        <v>492</v>
      </c>
      <c r="O539" s="1069">
        <f t="shared" ca="1" si="117"/>
        <v>568</v>
      </c>
      <c r="P539" s="1069">
        <f t="shared" ca="1" si="117"/>
        <v>602</v>
      </c>
      <c r="Q539" s="1069">
        <f t="shared" ca="1" si="117"/>
        <v>762</v>
      </c>
      <c r="R539" s="1069" t="str">
        <f t="shared" ca="1" si="117"/>
        <v xml:space="preserve"> </v>
      </c>
      <c r="S539" s="1069" t="str">
        <f t="shared" ca="1" si="117"/>
        <v xml:space="preserve"> </v>
      </c>
      <c r="T539" s="1069" t="str">
        <f t="shared" ca="1" si="117"/>
        <v xml:space="preserve"> </v>
      </c>
      <c r="U539" s="1069">
        <f t="shared" ca="1" si="117"/>
        <v>823</v>
      </c>
      <c r="V539" s="1069" t="str">
        <f t="shared" ca="1" si="117"/>
        <v xml:space="preserve"> </v>
      </c>
      <c r="W539" s="1069" t="str">
        <f t="shared" ca="1" si="117"/>
        <v xml:space="preserve"> </v>
      </c>
      <c r="X539" s="1069">
        <f t="shared" ca="1" si="117"/>
        <v>871</v>
      </c>
      <c r="Y539" s="1069" t="str">
        <f t="shared" ca="1" si="117"/>
        <v xml:space="preserve"> </v>
      </c>
      <c r="Z539" s="1069" t="str">
        <f t="shared" ca="1" si="117"/>
        <v xml:space="preserve"> </v>
      </c>
      <c r="AA539" s="1069" t="str">
        <f t="shared" ca="1" si="117"/>
        <v xml:space="preserve"> </v>
      </c>
    </row>
    <row r="540" spans="1:27" ht="9.9499999999999993" customHeight="1">
      <c r="A540" s="1069">
        <v>16</v>
      </c>
      <c r="B540" s="598" t="s">
        <v>2485</v>
      </c>
      <c r="D540" s="1069" t="str">
        <f t="shared" ref="D540:AA540" ca="1" si="118">IF(ISNUMBER(D539),IF(D539+2&lt;E$726,IF(ISNA(MATCH("Y",INDIRECT("Skills!"&amp;$C$523&amp;D539+1&amp;":"&amp;$C$523&amp;E$726),0))," ",MATCH("Y",INDIRECT("Skills!"&amp;$C$523&amp;D539+1&amp;":"&amp;$C$523&amp;E$726),0)+D539)," ")," ")</f>
        <v xml:space="preserve"> </v>
      </c>
      <c r="E540" s="1069">
        <f t="shared" ca="1" si="118"/>
        <v>32</v>
      </c>
      <c r="F540" s="1069">
        <f t="shared" ca="1" si="118"/>
        <v>77</v>
      </c>
      <c r="G540" s="1069">
        <f t="shared" ca="1" si="118"/>
        <v>127</v>
      </c>
      <c r="H540" s="1069">
        <f t="shared" ca="1" si="118"/>
        <v>147</v>
      </c>
      <c r="I540" s="1069">
        <f t="shared" ca="1" si="118"/>
        <v>166</v>
      </c>
      <c r="J540" s="1069">
        <f t="shared" ca="1" si="118"/>
        <v>229</v>
      </c>
      <c r="K540" s="1069">
        <f t="shared" ca="1" si="118"/>
        <v>252</v>
      </c>
      <c r="L540" s="1069">
        <f t="shared" ca="1" si="118"/>
        <v>314</v>
      </c>
      <c r="M540" s="1069">
        <f t="shared" ca="1" si="118"/>
        <v>407</v>
      </c>
      <c r="N540" s="1069">
        <f t="shared" ca="1" si="118"/>
        <v>493</v>
      </c>
      <c r="O540" s="1069">
        <f t="shared" ca="1" si="118"/>
        <v>569</v>
      </c>
      <c r="P540" s="1069">
        <f t="shared" ca="1" si="118"/>
        <v>603</v>
      </c>
      <c r="Q540" s="1069">
        <f t="shared" ca="1" si="118"/>
        <v>763</v>
      </c>
      <c r="R540" s="1069" t="str">
        <f t="shared" ca="1" si="118"/>
        <v xml:space="preserve"> </v>
      </c>
      <c r="S540" s="1069" t="str">
        <f t="shared" ca="1" si="118"/>
        <v xml:space="preserve"> </v>
      </c>
      <c r="T540" s="1069" t="str">
        <f t="shared" ca="1" si="118"/>
        <v xml:space="preserve"> </v>
      </c>
      <c r="U540" s="1069">
        <f t="shared" ca="1" si="118"/>
        <v>824</v>
      </c>
      <c r="V540" s="1069" t="str">
        <f t="shared" ca="1" si="118"/>
        <v xml:space="preserve"> </v>
      </c>
      <c r="W540" s="1069" t="str">
        <f t="shared" ca="1" si="118"/>
        <v xml:space="preserve"> </v>
      </c>
      <c r="X540" s="1069">
        <f t="shared" ca="1" si="118"/>
        <v>872</v>
      </c>
      <c r="Y540" s="1069" t="str">
        <f t="shared" ca="1" si="118"/>
        <v xml:space="preserve"> </v>
      </c>
      <c r="Z540" s="1069" t="str">
        <f t="shared" ca="1" si="118"/>
        <v xml:space="preserve"> </v>
      </c>
      <c r="AA540" s="1069" t="str">
        <f t="shared" ca="1" si="118"/>
        <v xml:space="preserve"> </v>
      </c>
    </row>
    <row r="541" spans="1:27" ht="9.9499999999999993" customHeight="1">
      <c r="A541" s="1069">
        <v>17</v>
      </c>
      <c r="B541" s="598" t="s">
        <v>4032</v>
      </c>
      <c r="D541" s="1069" t="str">
        <f t="shared" ref="D541:AA541" ca="1" si="119">IF(ISNUMBER(D540),IF(D540+2&lt;E$726,IF(ISNA(MATCH("Y",INDIRECT("Skills!"&amp;$C$523&amp;D540+1&amp;":"&amp;$C$523&amp;E$726),0))," ",MATCH("Y",INDIRECT("Skills!"&amp;$C$523&amp;D540+1&amp;":"&amp;$C$523&amp;E$726),0)+D540)," ")," ")</f>
        <v xml:space="preserve"> </v>
      </c>
      <c r="E541" s="1069">
        <f t="shared" ca="1" si="119"/>
        <v>33</v>
      </c>
      <c r="F541" s="1069">
        <f t="shared" ca="1" si="119"/>
        <v>78</v>
      </c>
      <c r="G541" s="1069" t="str">
        <f t="shared" ca="1" si="119"/>
        <v xml:space="preserve"> </v>
      </c>
      <c r="H541" s="1069">
        <f t="shared" ca="1" si="119"/>
        <v>148</v>
      </c>
      <c r="I541" s="1069">
        <f t="shared" ca="1" si="119"/>
        <v>167</v>
      </c>
      <c r="J541" s="1069">
        <f t="shared" ca="1" si="119"/>
        <v>230</v>
      </c>
      <c r="K541" s="1069">
        <f t="shared" ca="1" si="119"/>
        <v>254</v>
      </c>
      <c r="L541" s="1069">
        <f t="shared" ca="1" si="119"/>
        <v>315</v>
      </c>
      <c r="M541" s="1069">
        <f t="shared" ca="1" si="119"/>
        <v>408</v>
      </c>
      <c r="N541" s="1069">
        <f t="shared" ca="1" si="119"/>
        <v>494</v>
      </c>
      <c r="O541" s="1069">
        <f t="shared" ca="1" si="119"/>
        <v>570</v>
      </c>
      <c r="P541" s="1069">
        <f t="shared" ca="1" si="119"/>
        <v>604</v>
      </c>
      <c r="Q541" s="1069">
        <f t="shared" ca="1" si="119"/>
        <v>768</v>
      </c>
      <c r="R541" s="1069" t="str">
        <f t="shared" ca="1" si="119"/>
        <v xml:space="preserve"> </v>
      </c>
      <c r="S541" s="1069" t="str">
        <f t="shared" ca="1" si="119"/>
        <v xml:space="preserve"> </v>
      </c>
      <c r="T541" s="1069" t="str">
        <f t="shared" ca="1" si="119"/>
        <v xml:space="preserve"> </v>
      </c>
      <c r="U541" s="1069">
        <f t="shared" ca="1" si="119"/>
        <v>825</v>
      </c>
      <c r="V541" s="1069" t="str">
        <f t="shared" ca="1" si="119"/>
        <v xml:space="preserve"> </v>
      </c>
      <c r="W541" s="1069" t="str">
        <f t="shared" ca="1" si="119"/>
        <v xml:space="preserve"> </v>
      </c>
      <c r="X541" s="1069">
        <f t="shared" ca="1" si="119"/>
        <v>873</v>
      </c>
      <c r="Y541" s="1069" t="str">
        <f t="shared" ca="1" si="119"/>
        <v xml:space="preserve"> </v>
      </c>
      <c r="Z541" s="1069" t="str">
        <f t="shared" ca="1" si="119"/>
        <v xml:space="preserve"> </v>
      </c>
      <c r="AA541" s="1069" t="str">
        <f t="shared" ca="1" si="119"/>
        <v xml:space="preserve"> </v>
      </c>
    </row>
    <row r="542" spans="1:27" ht="9.9499999999999993" customHeight="1">
      <c r="A542" s="1069">
        <v>18</v>
      </c>
      <c r="B542" s="598" t="s">
        <v>5140</v>
      </c>
      <c r="D542" s="1069" t="str">
        <f t="shared" ref="D542:AA542" ca="1" si="120">IF(ISNUMBER(D541),IF(D541+2&lt;E$726,IF(ISNA(MATCH("Y",INDIRECT("Skills!"&amp;$C$523&amp;D541+1&amp;":"&amp;$C$523&amp;E$726),0))," ",MATCH("Y",INDIRECT("Skills!"&amp;$C$523&amp;D541+1&amp;":"&amp;$C$523&amp;E$726),0)+D541)," ")," ")</f>
        <v xml:space="preserve"> </v>
      </c>
      <c r="E542" s="1069">
        <f t="shared" ca="1" si="120"/>
        <v>34</v>
      </c>
      <c r="F542" s="1069">
        <f t="shared" ca="1" si="120"/>
        <v>80</v>
      </c>
      <c r="G542" s="1069" t="str">
        <f t="shared" ca="1" si="120"/>
        <v xml:space="preserve"> </v>
      </c>
      <c r="H542" s="1069" t="str">
        <f t="shared" ca="1" si="120"/>
        <v xml:space="preserve"> </v>
      </c>
      <c r="I542" s="1069">
        <f t="shared" ca="1" si="120"/>
        <v>168</v>
      </c>
      <c r="J542" s="1069">
        <f t="shared" ca="1" si="120"/>
        <v>231</v>
      </c>
      <c r="K542" s="1069">
        <f t="shared" ca="1" si="120"/>
        <v>255</v>
      </c>
      <c r="L542" s="1069">
        <f t="shared" ca="1" si="120"/>
        <v>316</v>
      </c>
      <c r="M542" s="1069">
        <f t="shared" ca="1" si="120"/>
        <v>409</v>
      </c>
      <c r="N542" s="1069">
        <f t="shared" ca="1" si="120"/>
        <v>495</v>
      </c>
      <c r="O542" s="1069">
        <f t="shared" ca="1" si="120"/>
        <v>571</v>
      </c>
      <c r="P542" s="1069">
        <f t="shared" ca="1" si="120"/>
        <v>605</v>
      </c>
      <c r="Q542" s="1069">
        <f t="shared" ca="1" si="120"/>
        <v>769</v>
      </c>
      <c r="R542" s="1069" t="str">
        <f t="shared" ca="1" si="120"/>
        <v xml:space="preserve"> </v>
      </c>
      <c r="S542" s="1069" t="str">
        <f t="shared" ca="1" si="120"/>
        <v xml:space="preserve"> </v>
      </c>
      <c r="T542" s="1069" t="str">
        <f t="shared" ca="1" si="120"/>
        <v xml:space="preserve"> </v>
      </c>
      <c r="U542" s="1069">
        <f t="shared" ca="1" si="120"/>
        <v>826</v>
      </c>
      <c r="V542" s="1069" t="str">
        <f t="shared" ca="1" si="120"/>
        <v xml:space="preserve"> </v>
      </c>
      <c r="W542" s="1069" t="str">
        <f t="shared" ca="1" si="120"/>
        <v xml:space="preserve"> </v>
      </c>
      <c r="X542" s="1069">
        <f t="shared" ca="1" si="120"/>
        <v>874</v>
      </c>
      <c r="Y542" s="1069" t="str">
        <f t="shared" ca="1" si="120"/>
        <v xml:space="preserve"> </v>
      </c>
      <c r="Z542" s="1069" t="str">
        <f t="shared" ca="1" si="120"/>
        <v xml:space="preserve"> </v>
      </c>
      <c r="AA542" s="1069" t="str">
        <f t="shared" ca="1" si="120"/>
        <v xml:space="preserve"> </v>
      </c>
    </row>
    <row r="543" spans="1:27" ht="9.9499999999999993" customHeight="1">
      <c r="A543" s="1069">
        <v>19</v>
      </c>
      <c r="B543" s="598" t="s">
        <v>5539</v>
      </c>
      <c r="D543" s="1069" t="str">
        <f t="shared" ref="D543:AA543" ca="1" si="121">IF(ISNUMBER(D542),IF(D542+2&lt;E$726,IF(ISNA(MATCH("Y",INDIRECT("Skills!"&amp;$C$523&amp;D542+1&amp;":"&amp;$C$523&amp;E$726),0))," ",MATCH("Y",INDIRECT("Skills!"&amp;$C$523&amp;D542+1&amp;":"&amp;$C$523&amp;E$726),0)+D542)," ")," ")</f>
        <v xml:space="preserve"> </v>
      </c>
      <c r="E543" s="1069">
        <f t="shared" ca="1" si="121"/>
        <v>36</v>
      </c>
      <c r="F543" s="1069">
        <f t="shared" ca="1" si="121"/>
        <v>81</v>
      </c>
      <c r="G543" s="1069" t="str">
        <f t="shared" ca="1" si="121"/>
        <v xml:space="preserve"> </v>
      </c>
      <c r="H543" s="1069" t="str">
        <f t="shared" ca="1" si="121"/>
        <v xml:space="preserve"> </v>
      </c>
      <c r="I543" s="1069">
        <f t="shared" ca="1" si="121"/>
        <v>170</v>
      </c>
      <c r="J543" s="1069">
        <f t="shared" ca="1" si="121"/>
        <v>232</v>
      </c>
      <c r="K543" s="1069">
        <f t="shared" ca="1" si="121"/>
        <v>256</v>
      </c>
      <c r="L543" s="1069">
        <f t="shared" ca="1" si="121"/>
        <v>317</v>
      </c>
      <c r="M543" s="1069">
        <f t="shared" ca="1" si="121"/>
        <v>410</v>
      </c>
      <c r="N543" s="1069">
        <f t="shared" ca="1" si="121"/>
        <v>496</v>
      </c>
      <c r="O543" s="1069">
        <f t="shared" ca="1" si="121"/>
        <v>572</v>
      </c>
      <c r="P543" s="1069">
        <f t="shared" ca="1" si="121"/>
        <v>606</v>
      </c>
      <c r="Q543" s="1069">
        <f t="shared" ca="1" si="121"/>
        <v>770</v>
      </c>
      <c r="R543" s="1069" t="str">
        <f t="shared" ca="1" si="121"/>
        <v xml:space="preserve"> </v>
      </c>
      <c r="S543" s="1069" t="str">
        <f t="shared" ca="1" si="121"/>
        <v xml:space="preserve"> </v>
      </c>
      <c r="T543" s="1069" t="str">
        <f t="shared" ca="1" si="121"/>
        <v xml:space="preserve"> </v>
      </c>
      <c r="U543" s="1069">
        <f t="shared" ca="1" si="121"/>
        <v>827</v>
      </c>
      <c r="V543" s="1069" t="str">
        <f t="shared" ca="1" si="121"/>
        <v xml:space="preserve"> </v>
      </c>
      <c r="W543" s="1069" t="str">
        <f t="shared" ca="1" si="121"/>
        <v xml:space="preserve"> </v>
      </c>
      <c r="X543" s="1069">
        <f t="shared" ca="1" si="121"/>
        <v>875</v>
      </c>
      <c r="Y543" s="1069" t="str">
        <f t="shared" ca="1" si="121"/>
        <v xml:space="preserve"> </v>
      </c>
      <c r="Z543" s="1069" t="str">
        <f t="shared" ca="1" si="121"/>
        <v xml:space="preserve"> </v>
      </c>
      <c r="AA543" s="1069" t="str">
        <f t="shared" ca="1" si="121"/>
        <v xml:space="preserve"> </v>
      </c>
    </row>
    <row r="544" spans="1:27" ht="9.9499999999999993" customHeight="1">
      <c r="A544" s="1069">
        <v>20</v>
      </c>
      <c r="B544" s="598" t="s">
        <v>3966</v>
      </c>
      <c r="D544" s="1069" t="str">
        <f t="shared" ref="D544:AA544" ca="1" si="122">IF(ISNUMBER(D543),IF(D543+2&lt;E$726,IF(ISNA(MATCH("Y",INDIRECT("Skills!"&amp;$C$523&amp;D543+1&amp;":"&amp;$C$523&amp;E$726),0))," ",MATCH("Y",INDIRECT("Skills!"&amp;$C$523&amp;D543+1&amp;":"&amp;$C$523&amp;E$726),0)+D543)," ")," ")</f>
        <v xml:space="preserve"> </v>
      </c>
      <c r="E544" s="1069">
        <f t="shared" ca="1" si="122"/>
        <v>37</v>
      </c>
      <c r="F544" s="1069">
        <f t="shared" ca="1" si="122"/>
        <v>83</v>
      </c>
      <c r="G544" s="1069" t="str">
        <f t="shared" ca="1" si="122"/>
        <v xml:space="preserve"> </v>
      </c>
      <c r="H544" s="1069" t="str">
        <f t="shared" ca="1" si="122"/>
        <v xml:space="preserve"> </v>
      </c>
      <c r="I544" s="1069">
        <f t="shared" ca="1" si="122"/>
        <v>171</v>
      </c>
      <c r="J544" s="1069">
        <f t="shared" ca="1" si="122"/>
        <v>233</v>
      </c>
      <c r="K544" s="1069">
        <f t="shared" ca="1" si="122"/>
        <v>257</v>
      </c>
      <c r="L544" s="1069">
        <f t="shared" ca="1" si="122"/>
        <v>318</v>
      </c>
      <c r="M544" s="1069">
        <f t="shared" ca="1" si="122"/>
        <v>411</v>
      </c>
      <c r="N544" s="1069">
        <f t="shared" ca="1" si="122"/>
        <v>497</v>
      </c>
      <c r="O544" s="1069">
        <f t="shared" ca="1" si="122"/>
        <v>573</v>
      </c>
      <c r="P544" s="1069">
        <f t="shared" ca="1" si="122"/>
        <v>607</v>
      </c>
      <c r="Q544" s="1069">
        <f t="shared" ca="1" si="122"/>
        <v>772</v>
      </c>
      <c r="R544" s="1069" t="str">
        <f t="shared" ca="1" si="122"/>
        <v xml:space="preserve"> </v>
      </c>
      <c r="S544" s="1069" t="str">
        <f t="shared" ca="1" si="122"/>
        <v xml:space="preserve"> </v>
      </c>
      <c r="T544" s="1069" t="str">
        <f t="shared" ca="1" si="122"/>
        <v xml:space="preserve"> </v>
      </c>
      <c r="U544" s="1069">
        <f t="shared" ca="1" si="122"/>
        <v>828</v>
      </c>
      <c r="V544" s="1069" t="str">
        <f t="shared" ca="1" si="122"/>
        <v xml:space="preserve"> </v>
      </c>
      <c r="W544" s="1069" t="str">
        <f t="shared" ca="1" si="122"/>
        <v xml:space="preserve"> </v>
      </c>
      <c r="X544" s="1069" t="str">
        <f t="shared" ca="1" si="122"/>
        <v xml:space="preserve"> </v>
      </c>
      <c r="Y544" s="1069" t="str">
        <f t="shared" ca="1" si="122"/>
        <v xml:space="preserve"> </v>
      </c>
      <c r="Z544" s="1069" t="str">
        <f t="shared" ca="1" si="122"/>
        <v xml:space="preserve"> </v>
      </c>
      <c r="AA544" s="1069" t="str">
        <f t="shared" ca="1" si="122"/>
        <v xml:space="preserve"> </v>
      </c>
    </row>
    <row r="545" spans="1:27" ht="9.9499999999999993" customHeight="1">
      <c r="A545" s="1069">
        <v>21</v>
      </c>
      <c r="B545" s="598" t="s">
        <v>5537</v>
      </c>
      <c r="D545" s="1069" t="str">
        <f t="shared" ref="D545:AA545" ca="1" si="123">IF(ISNUMBER(D544),IF(D544+2&lt;E$726,IF(ISNA(MATCH("Y",INDIRECT("Skills!"&amp;$C$523&amp;D544+1&amp;":"&amp;$C$523&amp;E$726),0))," ",MATCH("Y",INDIRECT("Skills!"&amp;$C$523&amp;D544+1&amp;":"&amp;$C$523&amp;E$726),0)+D544)," ")," ")</f>
        <v xml:space="preserve"> </v>
      </c>
      <c r="E545" s="1069">
        <f t="shared" ca="1" si="123"/>
        <v>38</v>
      </c>
      <c r="F545" s="1069">
        <f t="shared" ca="1" si="123"/>
        <v>84</v>
      </c>
      <c r="G545" s="1069" t="str">
        <f t="shared" ca="1" si="123"/>
        <v xml:space="preserve"> </v>
      </c>
      <c r="H545" s="1069" t="str">
        <f t="shared" ca="1" si="123"/>
        <v xml:space="preserve"> </v>
      </c>
      <c r="I545" s="1069">
        <f t="shared" ca="1" si="123"/>
        <v>172</v>
      </c>
      <c r="J545" s="1069" t="str">
        <f t="shared" ca="1" si="123"/>
        <v xml:space="preserve"> </v>
      </c>
      <c r="K545" s="1069">
        <f t="shared" ca="1" si="123"/>
        <v>258</v>
      </c>
      <c r="L545" s="1069">
        <f t="shared" ca="1" si="123"/>
        <v>319</v>
      </c>
      <c r="M545" s="1069">
        <f t="shared" ca="1" si="123"/>
        <v>412</v>
      </c>
      <c r="N545" s="1069">
        <f t="shared" ca="1" si="123"/>
        <v>498</v>
      </c>
      <c r="O545" s="1069">
        <f t="shared" ca="1" si="123"/>
        <v>574</v>
      </c>
      <c r="P545" s="1069">
        <f t="shared" ca="1" si="123"/>
        <v>608</v>
      </c>
      <c r="Q545" s="1069">
        <f t="shared" ca="1" si="123"/>
        <v>773</v>
      </c>
      <c r="R545" s="1069" t="str">
        <f t="shared" ca="1" si="123"/>
        <v xml:space="preserve"> </v>
      </c>
      <c r="S545" s="1069" t="str">
        <f t="shared" ca="1" si="123"/>
        <v xml:space="preserve"> </v>
      </c>
      <c r="T545" s="1069" t="str">
        <f t="shared" ca="1" si="123"/>
        <v xml:space="preserve"> </v>
      </c>
      <c r="U545" s="1069">
        <f t="shared" ca="1" si="123"/>
        <v>829</v>
      </c>
      <c r="V545" s="1069" t="str">
        <f t="shared" ca="1" si="123"/>
        <v xml:space="preserve"> </v>
      </c>
      <c r="W545" s="1069" t="str">
        <f t="shared" ca="1" si="123"/>
        <v xml:space="preserve"> </v>
      </c>
      <c r="X545" s="1069" t="str">
        <f t="shared" ca="1" si="123"/>
        <v xml:space="preserve"> </v>
      </c>
      <c r="Y545" s="1069" t="str">
        <f t="shared" ca="1" si="123"/>
        <v xml:space="preserve"> </v>
      </c>
      <c r="Z545" s="1069" t="str">
        <f t="shared" ca="1" si="123"/>
        <v xml:space="preserve"> </v>
      </c>
      <c r="AA545" s="1069" t="str">
        <f t="shared" ca="1" si="123"/>
        <v xml:space="preserve"> </v>
      </c>
    </row>
    <row r="546" spans="1:27" ht="9.9499999999999993" customHeight="1">
      <c r="A546" s="1069">
        <v>22</v>
      </c>
      <c r="B546" s="598" t="s">
        <v>4033</v>
      </c>
      <c r="D546" s="1069" t="str">
        <f t="shared" ref="D546:AA546" ca="1" si="124">IF(ISNUMBER(D545),IF(D545+2&lt;E$726,IF(ISNA(MATCH("Y",INDIRECT("Skills!"&amp;$C$523&amp;D545+1&amp;":"&amp;$C$523&amp;E$726),0))," ",MATCH("Y",INDIRECT("Skills!"&amp;$C$523&amp;D545+1&amp;":"&amp;$C$523&amp;E$726),0)+D545)," ")," ")</f>
        <v xml:space="preserve"> </v>
      </c>
      <c r="E546" s="1069">
        <f t="shared" ca="1" si="124"/>
        <v>39</v>
      </c>
      <c r="F546" s="1069">
        <f t="shared" ca="1" si="124"/>
        <v>85</v>
      </c>
      <c r="G546" s="1069" t="str">
        <f t="shared" ca="1" si="124"/>
        <v xml:space="preserve"> </v>
      </c>
      <c r="H546" s="1069" t="str">
        <f t="shared" ca="1" si="124"/>
        <v xml:space="preserve"> </v>
      </c>
      <c r="I546" s="1069">
        <f t="shared" ca="1" si="124"/>
        <v>173</v>
      </c>
      <c r="J546" s="1069" t="str">
        <f t="shared" ca="1" si="124"/>
        <v xml:space="preserve"> </v>
      </c>
      <c r="K546" s="1069">
        <f t="shared" ca="1" si="124"/>
        <v>259</v>
      </c>
      <c r="L546" s="1069">
        <f t="shared" ca="1" si="124"/>
        <v>320</v>
      </c>
      <c r="M546" s="1069">
        <f t="shared" ca="1" si="124"/>
        <v>413</v>
      </c>
      <c r="N546" s="1069">
        <f t="shared" ca="1" si="124"/>
        <v>499</v>
      </c>
      <c r="O546" s="1069">
        <f t="shared" ca="1" si="124"/>
        <v>575</v>
      </c>
      <c r="P546" s="1069">
        <f t="shared" ca="1" si="124"/>
        <v>609</v>
      </c>
      <c r="Q546" s="1069">
        <f t="shared" ca="1" si="124"/>
        <v>774</v>
      </c>
      <c r="R546" s="1069" t="str">
        <f t="shared" ca="1" si="124"/>
        <v xml:space="preserve"> </v>
      </c>
      <c r="S546" s="1069" t="str">
        <f t="shared" ca="1" si="124"/>
        <v xml:space="preserve"> </v>
      </c>
      <c r="T546" s="1069" t="str">
        <f t="shared" ca="1" si="124"/>
        <v xml:space="preserve"> </v>
      </c>
      <c r="U546" s="1069">
        <f t="shared" ca="1" si="124"/>
        <v>831</v>
      </c>
      <c r="V546" s="1069" t="str">
        <f t="shared" ca="1" si="124"/>
        <v xml:space="preserve"> </v>
      </c>
      <c r="W546" s="1069" t="str">
        <f t="shared" ca="1" si="124"/>
        <v xml:space="preserve"> </v>
      </c>
      <c r="X546" s="1069" t="str">
        <f t="shared" ca="1" si="124"/>
        <v xml:space="preserve"> </v>
      </c>
      <c r="Y546" s="1069" t="str">
        <f t="shared" ca="1" si="124"/>
        <v xml:space="preserve"> </v>
      </c>
      <c r="Z546" s="1069" t="str">
        <f t="shared" ca="1" si="124"/>
        <v xml:space="preserve"> </v>
      </c>
      <c r="AA546" s="1069" t="str">
        <f t="shared" ca="1" si="124"/>
        <v xml:space="preserve"> </v>
      </c>
    </row>
    <row r="547" spans="1:27" ht="9.9499999999999993" customHeight="1">
      <c r="A547" s="1069">
        <v>23</v>
      </c>
      <c r="B547" s="1069" t="s">
        <v>6176</v>
      </c>
      <c r="D547" s="1069" t="str">
        <f t="shared" ref="D547:AA547" ca="1" si="125">IF(ISNUMBER(D546),IF(D546+2&lt;E$726,IF(ISNA(MATCH("Y",INDIRECT("Skills!"&amp;$C$523&amp;D546+1&amp;":"&amp;$C$523&amp;E$726),0))," ",MATCH("Y",INDIRECT("Skills!"&amp;$C$523&amp;D546+1&amp;":"&amp;$C$523&amp;E$726),0)+D546)," ")," ")</f>
        <v xml:space="preserve"> </v>
      </c>
      <c r="E547" s="1069">
        <f t="shared" ca="1" si="125"/>
        <v>40</v>
      </c>
      <c r="F547" s="1069">
        <f t="shared" ca="1" si="125"/>
        <v>86</v>
      </c>
      <c r="G547" s="1069" t="str">
        <f t="shared" ca="1" si="125"/>
        <v xml:space="preserve"> </v>
      </c>
      <c r="H547" s="1069" t="str">
        <f t="shared" ca="1" si="125"/>
        <v xml:space="preserve"> </v>
      </c>
      <c r="I547" s="1069">
        <f t="shared" ca="1" si="125"/>
        <v>174</v>
      </c>
      <c r="J547" s="1069" t="str">
        <f t="shared" ca="1" si="125"/>
        <v xml:space="preserve"> </v>
      </c>
      <c r="K547" s="1069">
        <f t="shared" ca="1" si="125"/>
        <v>260</v>
      </c>
      <c r="L547" s="1069">
        <f t="shared" ca="1" si="125"/>
        <v>321</v>
      </c>
      <c r="M547" s="1069">
        <f t="shared" ca="1" si="125"/>
        <v>414</v>
      </c>
      <c r="N547" s="1069">
        <f t="shared" ca="1" si="125"/>
        <v>500</v>
      </c>
      <c r="O547" s="1069">
        <f t="shared" ca="1" si="125"/>
        <v>576</v>
      </c>
      <c r="P547" s="1069">
        <f t="shared" ca="1" si="125"/>
        <v>610</v>
      </c>
      <c r="Q547" s="1069">
        <f t="shared" ca="1" si="125"/>
        <v>775</v>
      </c>
      <c r="R547" s="1069" t="str">
        <f t="shared" ca="1" si="125"/>
        <v xml:space="preserve"> </v>
      </c>
      <c r="S547" s="1069" t="str">
        <f t="shared" ca="1" si="125"/>
        <v xml:space="preserve"> </v>
      </c>
      <c r="T547" s="1069" t="str">
        <f t="shared" ca="1" si="125"/>
        <v xml:space="preserve"> </v>
      </c>
      <c r="U547" s="1069">
        <f t="shared" ca="1" si="125"/>
        <v>833</v>
      </c>
      <c r="V547" s="1069" t="str">
        <f t="shared" ca="1" si="125"/>
        <v xml:space="preserve"> </v>
      </c>
      <c r="W547" s="1069" t="str">
        <f t="shared" ca="1" si="125"/>
        <v xml:space="preserve"> </v>
      </c>
      <c r="X547" s="1069" t="str">
        <f t="shared" ca="1" si="125"/>
        <v xml:space="preserve"> </v>
      </c>
      <c r="Y547" s="1069" t="str">
        <f t="shared" ca="1" si="125"/>
        <v xml:space="preserve"> </v>
      </c>
      <c r="Z547" s="1069" t="str">
        <f t="shared" ca="1" si="125"/>
        <v xml:space="preserve"> </v>
      </c>
      <c r="AA547" s="1069" t="str">
        <f t="shared" ca="1" si="125"/>
        <v xml:space="preserve"> </v>
      </c>
    </row>
    <row r="548" spans="1:27" ht="9.9499999999999993" customHeight="1">
      <c r="A548" s="1069">
        <v>24</v>
      </c>
      <c r="B548" s="1066" t="s">
        <v>6155</v>
      </c>
      <c r="D548" s="1069" t="str">
        <f t="shared" ref="D548:AA548" ca="1" si="126">IF(ISNUMBER(D547),IF(D547+2&lt;E$726,IF(ISNA(MATCH("Y",INDIRECT("Skills!"&amp;$C$523&amp;D547+1&amp;":"&amp;$C$523&amp;E$726),0))," ",MATCH("Y",INDIRECT("Skills!"&amp;$C$523&amp;D547+1&amp;":"&amp;$C$523&amp;E$726),0)+D547)," ")," ")</f>
        <v xml:space="preserve"> </v>
      </c>
      <c r="E548" s="1069">
        <f t="shared" ca="1" si="126"/>
        <v>42</v>
      </c>
      <c r="F548" s="1069">
        <f t="shared" ca="1" si="126"/>
        <v>87</v>
      </c>
      <c r="G548" s="1069" t="str">
        <f t="shared" ca="1" si="126"/>
        <v xml:space="preserve"> </v>
      </c>
      <c r="H548" s="1069" t="str">
        <f t="shared" ca="1" si="126"/>
        <v xml:space="preserve"> </v>
      </c>
      <c r="I548" s="1069">
        <f t="shared" ca="1" si="126"/>
        <v>175</v>
      </c>
      <c r="J548" s="1069" t="str">
        <f t="shared" ca="1" si="126"/>
        <v xml:space="preserve"> </v>
      </c>
      <c r="K548" s="1069">
        <f t="shared" ca="1" si="126"/>
        <v>261</v>
      </c>
      <c r="L548" s="1069">
        <f t="shared" ca="1" si="126"/>
        <v>322</v>
      </c>
      <c r="M548" s="1069">
        <f t="shared" ca="1" si="126"/>
        <v>415</v>
      </c>
      <c r="N548" s="1069">
        <f t="shared" ca="1" si="126"/>
        <v>501</v>
      </c>
      <c r="O548" s="1069">
        <f t="shared" ca="1" si="126"/>
        <v>577</v>
      </c>
      <c r="P548" s="1069">
        <f t="shared" ca="1" si="126"/>
        <v>611</v>
      </c>
      <c r="Q548" s="1069">
        <f t="shared" ca="1" si="126"/>
        <v>776</v>
      </c>
      <c r="R548" s="1069" t="str">
        <f t="shared" ca="1" si="126"/>
        <v xml:space="preserve"> </v>
      </c>
      <c r="S548" s="1069" t="str">
        <f t="shared" ca="1" si="126"/>
        <v xml:space="preserve"> </v>
      </c>
      <c r="T548" s="1069" t="str">
        <f t="shared" ca="1" si="126"/>
        <v xml:space="preserve"> </v>
      </c>
      <c r="U548" s="1069">
        <f t="shared" ca="1" si="126"/>
        <v>834</v>
      </c>
      <c r="V548" s="1069" t="str">
        <f t="shared" ca="1" si="126"/>
        <v xml:space="preserve"> </v>
      </c>
      <c r="W548" s="1069" t="str">
        <f t="shared" ca="1" si="126"/>
        <v xml:space="preserve"> </v>
      </c>
      <c r="X548" s="1069" t="str">
        <f t="shared" ca="1" si="126"/>
        <v xml:space="preserve"> </v>
      </c>
      <c r="Y548" s="1069" t="str">
        <f t="shared" ca="1" si="126"/>
        <v xml:space="preserve"> </v>
      </c>
      <c r="Z548" s="1069" t="str">
        <f t="shared" ca="1" si="126"/>
        <v xml:space="preserve"> </v>
      </c>
      <c r="AA548" s="1069" t="str">
        <f t="shared" ca="1" si="126"/>
        <v xml:space="preserve"> </v>
      </c>
    </row>
    <row r="549" spans="1:27" ht="9.9499999999999993" customHeight="1">
      <c r="A549" s="1069">
        <v>25</v>
      </c>
      <c r="B549" s="1066" t="s">
        <v>5674</v>
      </c>
      <c r="D549" s="1069" t="str">
        <f t="shared" ref="D549:AA549" ca="1" si="127">IF(ISNUMBER(D548),IF(D548+2&lt;E$726,IF(ISNA(MATCH("Y",INDIRECT("Skills!"&amp;$C$523&amp;D548+1&amp;":"&amp;$C$523&amp;E$726),0))," ",MATCH("Y",INDIRECT("Skills!"&amp;$C$523&amp;D548+1&amp;":"&amp;$C$523&amp;E$726),0)+D548)," ")," ")</f>
        <v xml:space="preserve"> </v>
      </c>
      <c r="E549" s="1069">
        <f t="shared" ca="1" si="127"/>
        <v>43</v>
      </c>
      <c r="F549" s="1069">
        <f t="shared" ca="1" si="127"/>
        <v>88</v>
      </c>
      <c r="G549" s="1069" t="str">
        <f t="shared" ca="1" si="127"/>
        <v xml:space="preserve"> </v>
      </c>
      <c r="H549" s="1069" t="str">
        <f t="shared" ca="1" si="127"/>
        <v xml:space="preserve"> </v>
      </c>
      <c r="I549" s="1069">
        <f t="shared" ca="1" si="127"/>
        <v>176</v>
      </c>
      <c r="J549" s="1069" t="str">
        <f t="shared" ca="1" si="127"/>
        <v xml:space="preserve"> </v>
      </c>
      <c r="K549" s="1069">
        <f t="shared" ca="1" si="127"/>
        <v>262</v>
      </c>
      <c r="L549" s="1069">
        <f t="shared" ca="1" si="127"/>
        <v>323</v>
      </c>
      <c r="M549" s="1069">
        <f t="shared" ca="1" si="127"/>
        <v>416</v>
      </c>
      <c r="N549" s="1069">
        <f t="shared" ca="1" si="127"/>
        <v>502</v>
      </c>
      <c r="O549" s="1069">
        <f t="shared" ca="1" si="127"/>
        <v>578</v>
      </c>
      <c r="P549" s="1069">
        <f t="shared" ca="1" si="127"/>
        <v>612</v>
      </c>
      <c r="Q549" s="1069">
        <f t="shared" ca="1" si="127"/>
        <v>777</v>
      </c>
      <c r="R549" s="1069" t="str">
        <f t="shared" ca="1" si="127"/>
        <v xml:space="preserve"> </v>
      </c>
      <c r="S549" s="1069" t="str">
        <f t="shared" ca="1" si="127"/>
        <v xml:space="preserve"> </v>
      </c>
      <c r="T549" s="1069" t="str">
        <f t="shared" ca="1" si="127"/>
        <v xml:space="preserve"> </v>
      </c>
      <c r="U549" s="1069" t="str">
        <f t="shared" ca="1" si="127"/>
        <v xml:space="preserve"> </v>
      </c>
      <c r="V549" s="1069" t="str">
        <f t="shared" ca="1" si="127"/>
        <v xml:space="preserve"> </v>
      </c>
      <c r="W549" s="1069" t="str">
        <f t="shared" ca="1" si="127"/>
        <v xml:space="preserve"> </v>
      </c>
      <c r="X549" s="1069" t="str">
        <f t="shared" ca="1" si="127"/>
        <v xml:space="preserve"> </v>
      </c>
      <c r="Y549" s="1069" t="str">
        <f t="shared" ca="1" si="127"/>
        <v xml:space="preserve"> </v>
      </c>
      <c r="Z549" s="1069" t="str">
        <f t="shared" ca="1" si="127"/>
        <v xml:space="preserve"> </v>
      </c>
      <c r="AA549" s="1069" t="str">
        <f t="shared" ca="1" si="127"/>
        <v xml:space="preserve"> </v>
      </c>
    </row>
    <row r="550" spans="1:27" ht="9.9499999999999993" customHeight="1">
      <c r="A550" s="1069">
        <v>26</v>
      </c>
      <c r="D550" s="1069" t="str">
        <f t="shared" ref="D550:AA550" ca="1" si="128">IF(ISNUMBER(D549),IF(D549+2&lt;E$726,IF(ISNA(MATCH("Y",INDIRECT("Skills!"&amp;$C$523&amp;D549+1&amp;":"&amp;$C$523&amp;E$726),0))," ",MATCH("Y",INDIRECT("Skills!"&amp;$C$523&amp;D549+1&amp;":"&amp;$C$523&amp;E$726),0)+D549)," ")," ")</f>
        <v xml:space="preserve"> </v>
      </c>
      <c r="E550" s="1069">
        <f t="shared" ca="1" si="128"/>
        <v>44</v>
      </c>
      <c r="F550" s="1069">
        <f t="shared" ca="1" si="128"/>
        <v>89</v>
      </c>
      <c r="G550" s="1069" t="str">
        <f t="shared" ca="1" si="128"/>
        <v xml:space="preserve"> </v>
      </c>
      <c r="H550" s="1069" t="str">
        <f t="shared" ca="1" si="128"/>
        <v xml:space="preserve"> </v>
      </c>
      <c r="I550" s="1069">
        <f t="shared" ca="1" si="128"/>
        <v>177</v>
      </c>
      <c r="J550" s="1069" t="str">
        <f t="shared" ca="1" si="128"/>
        <v xml:space="preserve"> </v>
      </c>
      <c r="K550" s="1069">
        <f t="shared" ca="1" si="128"/>
        <v>263</v>
      </c>
      <c r="L550" s="1069">
        <f t="shared" ca="1" si="128"/>
        <v>324</v>
      </c>
      <c r="M550" s="1069">
        <f t="shared" ca="1" si="128"/>
        <v>417</v>
      </c>
      <c r="N550" s="1069">
        <f t="shared" ca="1" si="128"/>
        <v>503</v>
      </c>
      <c r="O550" s="1069">
        <f t="shared" ca="1" si="128"/>
        <v>579</v>
      </c>
      <c r="P550" s="1069">
        <f t="shared" ca="1" si="128"/>
        <v>613</v>
      </c>
      <c r="Q550" s="1069" t="str">
        <f t="shared" ca="1" si="128"/>
        <v xml:space="preserve"> </v>
      </c>
      <c r="R550" s="1069" t="str">
        <f t="shared" ca="1" si="128"/>
        <v xml:space="preserve"> </v>
      </c>
      <c r="S550" s="1069" t="str">
        <f t="shared" ca="1" si="128"/>
        <v xml:space="preserve"> </v>
      </c>
      <c r="T550" s="1069" t="str">
        <f t="shared" ca="1" si="128"/>
        <v xml:space="preserve"> </v>
      </c>
      <c r="U550" s="1069" t="str">
        <f t="shared" ca="1" si="128"/>
        <v xml:space="preserve"> </v>
      </c>
      <c r="V550" s="1069" t="str">
        <f t="shared" ca="1" si="128"/>
        <v xml:space="preserve"> </v>
      </c>
      <c r="W550" s="1069" t="str">
        <f t="shared" ca="1" si="128"/>
        <v xml:space="preserve"> </v>
      </c>
      <c r="X550" s="1069" t="str">
        <f t="shared" ca="1" si="128"/>
        <v xml:space="preserve"> </v>
      </c>
      <c r="Y550" s="1069" t="str">
        <f t="shared" ca="1" si="128"/>
        <v xml:space="preserve"> </v>
      </c>
      <c r="Z550" s="1069" t="str">
        <f t="shared" ca="1" si="128"/>
        <v xml:space="preserve"> </v>
      </c>
      <c r="AA550" s="1069" t="str">
        <f t="shared" ca="1" si="128"/>
        <v xml:space="preserve"> </v>
      </c>
    </row>
    <row r="551" spans="1:27" ht="9.9499999999999993" customHeight="1">
      <c r="A551" s="1069">
        <v>27</v>
      </c>
      <c r="D551" s="1069" t="str">
        <f t="shared" ref="D551:AA551" ca="1" si="129">IF(ISNUMBER(D550),IF(D550+2&lt;E$726,IF(ISNA(MATCH("Y",INDIRECT("Skills!"&amp;$C$523&amp;D550+1&amp;":"&amp;$C$523&amp;E$726),0))," ",MATCH("Y",INDIRECT("Skills!"&amp;$C$523&amp;D550+1&amp;":"&amp;$C$523&amp;E$726),0)+D550)," ")," ")</f>
        <v xml:space="preserve"> </v>
      </c>
      <c r="E551" s="1069">
        <f t="shared" ca="1" si="129"/>
        <v>45</v>
      </c>
      <c r="F551" s="1069">
        <f t="shared" ca="1" si="129"/>
        <v>90</v>
      </c>
      <c r="G551" s="1069" t="str">
        <f t="shared" ca="1" si="129"/>
        <v xml:space="preserve"> </v>
      </c>
      <c r="H551" s="1069" t="str">
        <f t="shared" ca="1" si="129"/>
        <v xml:space="preserve"> </v>
      </c>
      <c r="I551" s="1069">
        <f t="shared" ca="1" si="129"/>
        <v>178</v>
      </c>
      <c r="J551" s="1069" t="str">
        <f t="shared" ca="1" si="129"/>
        <v xml:space="preserve"> </v>
      </c>
      <c r="K551" s="1069">
        <f t="shared" ca="1" si="129"/>
        <v>264</v>
      </c>
      <c r="L551" s="1069">
        <f t="shared" ca="1" si="129"/>
        <v>325</v>
      </c>
      <c r="M551" s="1069">
        <f t="shared" ca="1" si="129"/>
        <v>418</v>
      </c>
      <c r="N551" s="1069">
        <f t="shared" ca="1" si="129"/>
        <v>504</v>
      </c>
      <c r="O551" s="1069">
        <f t="shared" ca="1" si="129"/>
        <v>580</v>
      </c>
      <c r="P551" s="1069">
        <f t="shared" ca="1" si="129"/>
        <v>614</v>
      </c>
      <c r="Q551" s="1069" t="str">
        <f t="shared" ca="1" si="129"/>
        <v xml:space="preserve"> </v>
      </c>
      <c r="R551" s="1069" t="str">
        <f t="shared" ca="1" si="129"/>
        <v xml:space="preserve"> </v>
      </c>
      <c r="S551" s="1069" t="str">
        <f t="shared" ca="1" si="129"/>
        <v xml:space="preserve"> </v>
      </c>
      <c r="T551" s="1069" t="str">
        <f t="shared" ca="1" si="129"/>
        <v xml:space="preserve"> </v>
      </c>
      <c r="U551" s="1069" t="str">
        <f t="shared" ca="1" si="129"/>
        <v xml:space="preserve"> </v>
      </c>
      <c r="V551" s="1069" t="str">
        <f t="shared" ca="1" si="129"/>
        <v xml:space="preserve"> </v>
      </c>
      <c r="W551" s="1069" t="str">
        <f t="shared" ca="1" si="129"/>
        <v xml:space="preserve"> </v>
      </c>
      <c r="X551" s="1069" t="str">
        <f t="shared" ca="1" si="129"/>
        <v xml:space="preserve"> </v>
      </c>
      <c r="Y551" s="1069" t="str">
        <f t="shared" ca="1" si="129"/>
        <v xml:space="preserve"> </v>
      </c>
      <c r="Z551" s="1069" t="str">
        <f t="shared" ca="1" si="129"/>
        <v xml:space="preserve"> </v>
      </c>
      <c r="AA551" s="1069" t="str">
        <f t="shared" ca="1" si="129"/>
        <v xml:space="preserve"> </v>
      </c>
    </row>
    <row r="552" spans="1:27" ht="9.9499999999999993" customHeight="1">
      <c r="A552" s="1069">
        <v>28</v>
      </c>
      <c r="D552" s="1069" t="str">
        <f t="shared" ref="D552:AA552" ca="1" si="130">IF(ISNUMBER(D551),IF(D551+2&lt;E$726,IF(ISNA(MATCH("Y",INDIRECT("Skills!"&amp;$C$523&amp;D551+1&amp;":"&amp;$C$523&amp;E$726),0))," ",MATCH("Y",INDIRECT("Skills!"&amp;$C$523&amp;D551+1&amp;":"&amp;$C$523&amp;E$726),0)+D551)," ")," ")</f>
        <v xml:space="preserve"> </v>
      </c>
      <c r="E552" s="1069">
        <f t="shared" ca="1" si="130"/>
        <v>46</v>
      </c>
      <c r="F552" s="1069">
        <f t="shared" ca="1" si="130"/>
        <v>91</v>
      </c>
      <c r="G552" s="1069" t="str">
        <f t="shared" ca="1" si="130"/>
        <v xml:space="preserve"> </v>
      </c>
      <c r="H552" s="1069" t="str">
        <f t="shared" ca="1" si="130"/>
        <v xml:space="preserve"> </v>
      </c>
      <c r="I552" s="1069">
        <f t="shared" ca="1" si="130"/>
        <v>179</v>
      </c>
      <c r="J552" s="1069" t="str">
        <f t="shared" ca="1" si="130"/>
        <v xml:space="preserve"> </v>
      </c>
      <c r="K552" s="1069">
        <f t="shared" ca="1" si="130"/>
        <v>266</v>
      </c>
      <c r="L552" s="1069">
        <f t="shared" ca="1" si="130"/>
        <v>326</v>
      </c>
      <c r="M552" s="1069">
        <f t="shared" ca="1" si="130"/>
        <v>419</v>
      </c>
      <c r="N552" s="1069">
        <f t="shared" ca="1" si="130"/>
        <v>505</v>
      </c>
      <c r="O552" s="1069">
        <f t="shared" ca="1" si="130"/>
        <v>581</v>
      </c>
      <c r="P552" s="1069">
        <f t="shared" ca="1" si="130"/>
        <v>615</v>
      </c>
      <c r="Q552" s="1069" t="str">
        <f t="shared" ca="1" si="130"/>
        <v xml:space="preserve"> </v>
      </c>
      <c r="R552" s="1069" t="str">
        <f t="shared" ca="1" si="130"/>
        <v xml:space="preserve"> </v>
      </c>
      <c r="S552" s="1069" t="str">
        <f t="shared" ca="1" si="130"/>
        <v xml:space="preserve"> </v>
      </c>
      <c r="T552" s="1069" t="str">
        <f t="shared" ca="1" si="130"/>
        <v xml:space="preserve"> </v>
      </c>
      <c r="U552" s="1069" t="str">
        <f t="shared" ca="1" si="130"/>
        <v xml:space="preserve"> </v>
      </c>
      <c r="V552" s="1069" t="str">
        <f t="shared" ca="1" si="130"/>
        <v xml:space="preserve"> </v>
      </c>
      <c r="W552" s="1069" t="str">
        <f t="shared" ca="1" si="130"/>
        <v xml:space="preserve"> </v>
      </c>
      <c r="X552" s="1069" t="str">
        <f t="shared" ca="1" si="130"/>
        <v xml:space="preserve"> </v>
      </c>
      <c r="Y552" s="1069" t="str">
        <f t="shared" ca="1" si="130"/>
        <v xml:space="preserve"> </v>
      </c>
      <c r="Z552" s="1069" t="str">
        <f t="shared" ca="1" si="130"/>
        <v xml:space="preserve"> </v>
      </c>
      <c r="AA552" s="1069" t="str">
        <f t="shared" ca="1" si="130"/>
        <v xml:space="preserve"> </v>
      </c>
    </row>
    <row r="553" spans="1:27" ht="9.9499999999999993" customHeight="1">
      <c r="A553" s="1069">
        <v>29</v>
      </c>
      <c r="D553" s="1069" t="str">
        <f t="shared" ref="D553:AA553" ca="1" si="131">IF(ISNUMBER(D552),IF(D552+2&lt;E$726,IF(ISNA(MATCH("Y",INDIRECT("Skills!"&amp;$C$523&amp;D552+1&amp;":"&amp;$C$523&amp;E$726),0))," ",MATCH("Y",INDIRECT("Skills!"&amp;$C$523&amp;D552+1&amp;":"&amp;$C$523&amp;E$726),0)+D552)," ")," ")</f>
        <v xml:space="preserve"> </v>
      </c>
      <c r="E553" s="1069">
        <f t="shared" ca="1" si="131"/>
        <v>48</v>
      </c>
      <c r="F553" s="1069">
        <f t="shared" ca="1" si="131"/>
        <v>93</v>
      </c>
      <c r="G553" s="1069" t="str">
        <f t="shared" ca="1" si="131"/>
        <v xml:space="preserve"> </v>
      </c>
      <c r="H553" s="1069" t="str">
        <f t="shared" ca="1" si="131"/>
        <v xml:space="preserve"> </v>
      </c>
      <c r="I553" s="1069">
        <f t="shared" ca="1" si="131"/>
        <v>180</v>
      </c>
      <c r="J553" s="1069" t="str">
        <f t="shared" ca="1" si="131"/>
        <v xml:space="preserve"> </v>
      </c>
      <c r="K553" s="1069">
        <f t="shared" ca="1" si="131"/>
        <v>267</v>
      </c>
      <c r="L553" s="1069">
        <f t="shared" ca="1" si="131"/>
        <v>327</v>
      </c>
      <c r="M553" s="1069">
        <f t="shared" ca="1" si="131"/>
        <v>420</v>
      </c>
      <c r="N553" s="1069">
        <f t="shared" ca="1" si="131"/>
        <v>506</v>
      </c>
      <c r="O553" s="1069">
        <f t="shared" ca="1" si="131"/>
        <v>582</v>
      </c>
      <c r="P553" s="1069">
        <f t="shared" ca="1" si="131"/>
        <v>616</v>
      </c>
      <c r="Q553" s="1069" t="str">
        <f t="shared" ca="1" si="131"/>
        <v xml:space="preserve"> </v>
      </c>
      <c r="R553" s="1069" t="str">
        <f t="shared" ca="1" si="131"/>
        <v xml:space="preserve"> </v>
      </c>
      <c r="S553" s="1069" t="str">
        <f t="shared" ca="1" si="131"/>
        <v xml:space="preserve"> </v>
      </c>
      <c r="T553" s="1069" t="str">
        <f t="shared" ca="1" si="131"/>
        <v xml:space="preserve"> </v>
      </c>
      <c r="U553" s="1069" t="str">
        <f t="shared" ca="1" si="131"/>
        <v xml:space="preserve"> </v>
      </c>
      <c r="V553" s="1069" t="str">
        <f t="shared" ca="1" si="131"/>
        <v xml:space="preserve"> </v>
      </c>
      <c r="W553" s="1069" t="str">
        <f t="shared" ca="1" si="131"/>
        <v xml:space="preserve"> </v>
      </c>
      <c r="X553" s="1069" t="str">
        <f t="shared" ca="1" si="131"/>
        <v xml:space="preserve"> </v>
      </c>
      <c r="Y553" s="1069" t="str">
        <f t="shared" ca="1" si="131"/>
        <v xml:space="preserve"> </v>
      </c>
      <c r="Z553" s="1069" t="str">
        <f t="shared" ca="1" si="131"/>
        <v xml:space="preserve"> </v>
      </c>
      <c r="AA553" s="1069" t="str">
        <f t="shared" ca="1" si="131"/>
        <v xml:space="preserve"> </v>
      </c>
    </row>
    <row r="554" spans="1:27" ht="9.9499999999999993" customHeight="1">
      <c r="A554" s="1069">
        <v>30</v>
      </c>
      <c r="D554" s="1069" t="str">
        <f t="shared" ref="D554:AA554" ca="1" si="132">IF(ISNUMBER(D553),IF(D553+2&lt;E$726,IF(ISNA(MATCH("Y",INDIRECT("Skills!"&amp;$C$523&amp;D553+1&amp;":"&amp;$C$523&amp;E$726),0))," ",MATCH("Y",INDIRECT("Skills!"&amp;$C$523&amp;D553+1&amp;":"&amp;$C$523&amp;E$726),0)+D553)," ")," ")</f>
        <v xml:space="preserve"> </v>
      </c>
      <c r="E554" s="1069">
        <f t="shared" ca="1" si="132"/>
        <v>52</v>
      </c>
      <c r="F554" s="1069">
        <f t="shared" ca="1" si="132"/>
        <v>95</v>
      </c>
      <c r="G554" s="1069" t="str">
        <f t="shared" ca="1" si="132"/>
        <v xml:space="preserve"> </v>
      </c>
      <c r="H554" s="1069" t="str">
        <f t="shared" ca="1" si="132"/>
        <v xml:space="preserve"> </v>
      </c>
      <c r="I554" s="1069">
        <f t="shared" ca="1" si="132"/>
        <v>181</v>
      </c>
      <c r="J554" s="1069" t="str">
        <f t="shared" ca="1" si="132"/>
        <v xml:space="preserve"> </v>
      </c>
      <c r="K554" s="1069">
        <f t="shared" ca="1" si="132"/>
        <v>268</v>
      </c>
      <c r="L554" s="1069">
        <f t="shared" ca="1" si="132"/>
        <v>328</v>
      </c>
      <c r="M554" s="1069">
        <f t="shared" ca="1" si="132"/>
        <v>421</v>
      </c>
      <c r="N554" s="1069">
        <f t="shared" ca="1" si="132"/>
        <v>507</v>
      </c>
      <c r="O554" s="1069">
        <f t="shared" ca="1" si="132"/>
        <v>583</v>
      </c>
      <c r="P554" s="1069">
        <f t="shared" ca="1" si="132"/>
        <v>617</v>
      </c>
      <c r="Q554" s="1069" t="str">
        <f t="shared" ca="1" si="132"/>
        <v xml:space="preserve"> </v>
      </c>
      <c r="R554" s="1069" t="str">
        <f t="shared" ca="1" si="132"/>
        <v xml:space="preserve"> </v>
      </c>
      <c r="S554" s="1069" t="str">
        <f t="shared" ca="1" si="132"/>
        <v xml:space="preserve"> </v>
      </c>
      <c r="T554" s="1069" t="str">
        <f t="shared" ca="1" si="132"/>
        <v xml:space="preserve"> </v>
      </c>
      <c r="U554" s="1069" t="str">
        <f t="shared" ca="1" si="132"/>
        <v xml:space="preserve"> </v>
      </c>
      <c r="V554" s="1069" t="str">
        <f t="shared" ca="1" si="132"/>
        <v xml:space="preserve"> </v>
      </c>
      <c r="W554" s="1069" t="str">
        <f t="shared" ca="1" si="132"/>
        <v xml:space="preserve"> </v>
      </c>
      <c r="X554" s="1069" t="str">
        <f t="shared" ca="1" si="132"/>
        <v xml:space="preserve"> </v>
      </c>
      <c r="Y554" s="1069" t="str">
        <f t="shared" ca="1" si="132"/>
        <v xml:space="preserve"> </v>
      </c>
      <c r="Z554" s="1069" t="str">
        <f t="shared" ca="1" si="132"/>
        <v xml:space="preserve"> </v>
      </c>
      <c r="AA554" s="1069" t="str">
        <f t="shared" ca="1" si="132"/>
        <v xml:space="preserve"> </v>
      </c>
    </row>
    <row r="555" spans="1:27" ht="9.9499999999999993" customHeight="1">
      <c r="A555" s="1069">
        <v>31</v>
      </c>
      <c r="D555" s="1069" t="str">
        <f t="shared" ref="D555:AA555" ca="1" si="133">IF(ISNUMBER(D554),IF(D554+2&lt;E$726,IF(ISNA(MATCH("Y",INDIRECT("Skills!"&amp;$C$523&amp;D554+1&amp;":"&amp;$C$523&amp;E$726),0))," ",MATCH("Y",INDIRECT("Skills!"&amp;$C$523&amp;D554+1&amp;":"&amp;$C$523&amp;E$726),0)+D554)," ")," ")</f>
        <v xml:space="preserve"> </v>
      </c>
      <c r="E555" s="1069" t="str">
        <f t="shared" ca="1" si="133"/>
        <v xml:space="preserve"> </v>
      </c>
      <c r="F555" s="1069">
        <f t="shared" ca="1" si="133"/>
        <v>96</v>
      </c>
      <c r="G555" s="1069" t="str">
        <f t="shared" ca="1" si="133"/>
        <v xml:space="preserve"> </v>
      </c>
      <c r="H555" s="1069" t="str">
        <f t="shared" ca="1" si="133"/>
        <v xml:space="preserve"> </v>
      </c>
      <c r="I555" s="1069">
        <f t="shared" ca="1" si="133"/>
        <v>182</v>
      </c>
      <c r="J555" s="1069" t="str">
        <f t="shared" ca="1" si="133"/>
        <v xml:space="preserve"> </v>
      </c>
      <c r="K555" s="1069">
        <f t="shared" ca="1" si="133"/>
        <v>269</v>
      </c>
      <c r="L555" s="1069">
        <f t="shared" ca="1" si="133"/>
        <v>329</v>
      </c>
      <c r="M555" s="1069">
        <f t="shared" ca="1" si="133"/>
        <v>422</v>
      </c>
      <c r="N555" s="1069">
        <f t="shared" ca="1" si="133"/>
        <v>508</v>
      </c>
      <c r="O555" s="1069">
        <f t="shared" ca="1" si="133"/>
        <v>584</v>
      </c>
      <c r="P555" s="1069">
        <f t="shared" ca="1" si="133"/>
        <v>618</v>
      </c>
      <c r="Q555" s="1069" t="str">
        <f t="shared" ca="1" si="133"/>
        <v xml:space="preserve"> </v>
      </c>
      <c r="R555" s="1069" t="str">
        <f t="shared" ca="1" si="133"/>
        <v xml:space="preserve"> </v>
      </c>
      <c r="S555" s="1069" t="str">
        <f t="shared" ca="1" si="133"/>
        <v xml:space="preserve"> </v>
      </c>
      <c r="T555" s="1069" t="str">
        <f t="shared" ca="1" si="133"/>
        <v xml:space="preserve"> </v>
      </c>
      <c r="U555" s="1069" t="str">
        <f t="shared" ca="1" si="133"/>
        <v xml:space="preserve"> </v>
      </c>
      <c r="V555" s="1069" t="str">
        <f t="shared" ca="1" si="133"/>
        <v xml:space="preserve"> </v>
      </c>
      <c r="W555" s="1069" t="str">
        <f t="shared" ca="1" si="133"/>
        <v xml:space="preserve"> </v>
      </c>
      <c r="X555" s="1069" t="str">
        <f t="shared" ca="1" si="133"/>
        <v xml:space="preserve"> </v>
      </c>
      <c r="Y555" s="1069" t="str">
        <f t="shared" ca="1" si="133"/>
        <v xml:space="preserve"> </v>
      </c>
      <c r="Z555" s="1069" t="str">
        <f t="shared" ca="1" si="133"/>
        <v xml:space="preserve"> </v>
      </c>
      <c r="AA555" s="1069" t="str">
        <f t="shared" ca="1" si="133"/>
        <v xml:space="preserve"> </v>
      </c>
    </row>
    <row r="556" spans="1:27" ht="9.9499999999999993" customHeight="1">
      <c r="A556" s="1069">
        <v>32</v>
      </c>
      <c r="D556" s="1069" t="str">
        <f t="shared" ref="D556:AA556" ca="1" si="134">IF(ISNUMBER(D555),IF(D555+2&lt;E$726,IF(ISNA(MATCH("Y",INDIRECT("Skills!"&amp;$C$523&amp;D555+1&amp;":"&amp;$C$523&amp;E$726),0))," ",MATCH("Y",INDIRECT("Skills!"&amp;$C$523&amp;D555+1&amp;":"&amp;$C$523&amp;E$726),0)+D555)," ")," ")</f>
        <v xml:space="preserve"> </v>
      </c>
      <c r="E556" s="1069" t="str">
        <f t="shared" ca="1" si="134"/>
        <v xml:space="preserve"> </v>
      </c>
      <c r="F556" s="1069">
        <f t="shared" ca="1" si="134"/>
        <v>99</v>
      </c>
      <c r="G556" s="1069" t="str">
        <f t="shared" ca="1" si="134"/>
        <v xml:space="preserve"> </v>
      </c>
      <c r="H556" s="1069" t="str">
        <f t="shared" ca="1" si="134"/>
        <v xml:space="preserve"> </v>
      </c>
      <c r="I556" s="1069">
        <f t="shared" ca="1" si="134"/>
        <v>183</v>
      </c>
      <c r="J556" s="1069" t="str">
        <f t="shared" ca="1" si="134"/>
        <v xml:space="preserve"> </v>
      </c>
      <c r="K556" s="1069">
        <f t="shared" ca="1" si="134"/>
        <v>270</v>
      </c>
      <c r="L556" s="1069">
        <f t="shared" ca="1" si="134"/>
        <v>330</v>
      </c>
      <c r="M556" s="1069">
        <f t="shared" ca="1" si="134"/>
        <v>423</v>
      </c>
      <c r="N556" s="1069">
        <f t="shared" ca="1" si="134"/>
        <v>509</v>
      </c>
      <c r="O556" s="1069">
        <f t="shared" ca="1" si="134"/>
        <v>585</v>
      </c>
      <c r="P556" s="1069">
        <f t="shared" ca="1" si="134"/>
        <v>619</v>
      </c>
      <c r="Q556" s="1069" t="str">
        <f t="shared" ca="1" si="134"/>
        <v xml:space="preserve"> </v>
      </c>
      <c r="R556" s="1069" t="str">
        <f t="shared" ca="1" si="134"/>
        <v xml:space="preserve"> </v>
      </c>
      <c r="S556" s="1069" t="str">
        <f t="shared" ca="1" si="134"/>
        <v xml:space="preserve"> </v>
      </c>
      <c r="T556" s="1069" t="str">
        <f t="shared" ca="1" si="134"/>
        <v xml:space="preserve"> </v>
      </c>
      <c r="U556" s="1069" t="str">
        <f t="shared" ca="1" si="134"/>
        <v xml:space="preserve"> </v>
      </c>
      <c r="V556" s="1069" t="str">
        <f t="shared" ca="1" si="134"/>
        <v xml:space="preserve"> </v>
      </c>
      <c r="W556" s="1069" t="str">
        <f t="shared" ca="1" si="134"/>
        <v xml:space="preserve"> </v>
      </c>
      <c r="X556" s="1069" t="str">
        <f t="shared" ca="1" si="134"/>
        <v xml:space="preserve"> </v>
      </c>
      <c r="Y556" s="1069" t="str">
        <f t="shared" ca="1" si="134"/>
        <v xml:space="preserve"> </v>
      </c>
      <c r="Z556" s="1069" t="str">
        <f t="shared" ca="1" si="134"/>
        <v xml:space="preserve"> </v>
      </c>
      <c r="AA556" s="1069" t="str">
        <f t="shared" ca="1" si="134"/>
        <v xml:space="preserve"> </v>
      </c>
    </row>
    <row r="557" spans="1:27" ht="9.9499999999999993" customHeight="1">
      <c r="A557" s="1069">
        <v>33</v>
      </c>
      <c r="D557" s="1069" t="str">
        <f t="shared" ref="D557:AA557" ca="1" si="135">IF(ISNUMBER(D556),IF(D556+2&lt;E$726,IF(ISNA(MATCH("Y",INDIRECT("Skills!"&amp;$C$523&amp;D556+1&amp;":"&amp;$C$523&amp;E$726),0))," ",MATCH("Y",INDIRECT("Skills!"&amp;$C$523&amp;D556+1&amp;":"&amp;$C$523&amp;E$726),0)+D556)," ")," ")</f>
        <v xml:space="preserve"> </v>
      </c>
      <c r="E557" s="1069" t="str">
        <f t="shared" ca="1" si="135"/>
        <v xml:space="preserve"> </v>
      </c>
      <c r="F557" s="1069">
        <f t="shared" ca="1" si="135"/>
        <v>101</v>
      </c>
      <c r="G557" s="1069" t="str">
        <f t="shared" ca="1" si="135"/>
        <v xml:space="preserve"> </v>
      </c>
      <c r="H557" s="1069" t="str">
        <f t="shared" ca="1" si="135"/>
        <v xml:space="preserve"> </v>
      </c>
      <c r="I557" s="1069">
        <f t="shared" ca="1" si="135"/>
        <v>184</v>
      </c>
      <c r="J557" s="1069" t="str">
        <f t="shared" ca="1" si="135"/>
        <v xml:space="preserve"> </v>
      </c>
      <c r="K557" s="1069">
        <f t="shared" ca="1" si="135"/>
        <v>271</v>
      </c>
      <c r="L557" s="1069">
        <f t="shared" ca="1" si="135"/>
        <v>331</v>
      </c>
      <c r="M557" s="1069">
        <f t="shared" ca="1" si="135"/>
        <v>424</v>
      </c>
      <c r="N557" s="1069">
        <f t="shared" ca="1" si="135"/>
        <v>510</v>
      </c>
      <c r="O557" s="1069" t="str">
        <f t="shared" ca="1" si="135"/>
        <v xml:space="preserve"> </v>
      </c>
      <c r="P557" s="1069">
        <f t="shared" ca="1" si="135"/>
        <v>620</v>
      </c>
      <c r="Q557" s="1069" t="str">
        <f t="shared" ca="1" si="135"/>
        <v xml:space="preserve"> </v>
      </c>
      <c r="R557" s="1069" t="str">
        <f t="shared" ca="1" si="135"/>
        <v xml:space="preserve"> </v>
      </c>
      <c r="S557" s="1069" t="str">
        <f t="shared" ca="1" si="135"/>
        <v xml:space="preserve"> </v>
      </c>
      <c r="T557" s="1069" t="str">
        <f t="shared" ca="1" si="135"/>
        <v xml:space="preserve"> </v>
      </c>
      <c r="U557" s="1069" t="str">
        <f t="shared" ca="1" si="135"/>
        <v xml:space="preserve"> </v>
      </c>
      <c r="V557" s="1069" t="str">
        <f t="shared" ca="1" si="135"/>
        <v xml:space="preserve"> </v>
      </c>
      <c r="W557" s="1069" t="str">
        <f t="shared" ca="1" si="135"/>
        <v xml:space="preserve"> </v>
      </c>
      <c r="X557" s="1069" t="str">
        <f t="shared" ca="1" si="135"/>
        <v xml:space="preserve"> </v>
      </c>
      <c r="Y557" s="1069" t="str">
        <f t="shared" ca="1" si="135"/>
        <v xml:space="preserve"> </v>
      </c>
      <c r="Z557" s="1069" t="str">
        <f t="shared" ca="1" si="135"/>
        <v xml:space="preserve"> </v>
      </c>
      <c r="AA557" s="1069" t="str">
        <f t="shared" ca="1" si="135"/>
        <v xml:space="preserve"> </v>
      </c>
    </row>
    <row r="558" spans="1:27" ht="9.9499999999999993" customHeight="1">
      <c r="A558" s="1069">
        <v>34</v>
      </c>
      <c r="D558" s="1069" t="str">
        <f t="shared" ref="D558:AA558" ca="1" si="136">IF(ISNUMBER(D557),IF(D557+2&lt;E$726,IF(ISNA(MATCH("Y",INDIRECT("Skills!"&amp;$C$523&amp;D557+1&amp;":"&amp;$C$523&amp;E$726),0))," ",MATCH("Y",INDIRECT("Skills!"&amp;$C$523&amp;D557+1&amp;":"&amp;$C$523&amp;E$726),0)+D557)," ")," ")</f>
        <v xml:space="preserve"> </v>
      </c>
      <c r="E558" s="1069" t="str">
        <f t="shared" ca="1" si="136"/>
        <v xml:space="preserve"> </v>
      </c>
      <c r="F558" s="1069">
        <f t="shared" ca="1" si="136"/>
        <v>102</v>
      </c>
      <c r="G558" s="1069" t="str">
        <f t="shared" ca="1" si="136"/>
        <v xml:space="preserve"> </v>
      </c>
      <c r="H558" s="1069" t="str">
        <f t="shared" ca="1" si="136"/>
        <v xml:space="preserve"> </v>
      </c>
      <c r="I558" s="1069">
        <f t="shared" ca="1" si="136"/>
        <v>185</v>
      </c>
      <c r="J558" s="1069" t="str">
        <f t="shared" ca="1" si="136"/>
        <v xml:space="preserve"> </v>
      </c>
      <c r="K558" s="1069">
        <f t="shared" ca="1" si="136"/>
        <v>272</v>
      </c>
      <c r="L558" s="1069">
        <f t="shared" ca="1" si="136"/>
        <v>332</v>
      </c>
      <c r="M558" s="1069">
        <f t="shared" ca="1" si="136"/>
        <v>425</v>
      </c>
      <c r="N558" s="1069">
        <f t="shared" ca="1" si="136"/>
        <v>511</v>
      </c>
      <c r="O558" s="1069" t="str">
        <f t="shared" ca="1" si="136"/>
        <v xml:space="preserve"> </v>
      </c>
      <c r="P558" s="1069">
        <f t="shared" ca="1" si="136"/>
        <v>621</v>
      </c>
      <c r="Q558" s="1069" t="str">
        <f t="shared" ca="1" si="136"/>
        <v xml:space="preserve"> </v>
      </c>
      <c r="R558" s="1069" t="str">
        <f t="shared" ca="1" si="136"/>
        <v xml:space="preserve"> </v>
      </c>
      <c r="S558" s="1069" t="str">
        <f t="shared" ca="1" si="136"/>
        <v xml:space="preserve"> </v>
      </c>
      <c r="T558" s="1069" t="str">
        <f t="shared" ca="1" si="136"/>
        <v xml:space="preserve"> </v>
      </c>
      <c r="U558" s="1069" t="str">
        <f t="shared" ca="1" si="136"/>
        <v xml:space="preserve"> </v>
      </c>
      <c r="V558" s="1069" t="str">
        <f t="shared" ca="1" si="136"/>
        <v xml:space="preserve"> </v>
      </c>
      <c r="W558" s="1069" t="str">
        <f t="shared" ca="1" si="136"/>
        <v xml:space="preserve"> </v>
      </c>
      <c r="X558" s="1069" t="str">
        <f t="shared" ca="1" si="136"/>
        <v xml:space="preserve"> </v>
      </c>
      <c r="Y558" s="1069" t="str">
        <f t="shared" ca="1" si="136"/>
        <v xml:space="preserve"> </v>
      </c>
      <c r="Z558" s="1069" t="str">
        <f t="shared" ca="1" si="136"/>
        <v xml:space="preserve"> </v>
      </c>
      <c r="AA558" s="1069" t="str">
        <f t="shared" ca="1" si="136"/>
        <v xml:space="preserve"> </v>
      </c>
    </row>
    <row r="559" spans="1:27" ht="9.9499999999999993" customHeight="1">
      <c r="A559" s="1069">
        <v>35</v>
      </c>
      <c r="D559" s="1069" t="str">
        <f t="shared" ref="D559:AA559" ca="1" si="137">IF(ISNUMBER(D558),IF(D558+2&lt;E$726,IF(ISNA(MATCH("Y",INDIRECT("Skills!"&amp;$C$523&amp;D558+1&amp;":"&amp;$C$523&amp;E$726),0))," ",MATCH("Y",INDIRECT("Skills!"&amp;$C$523&amp;D558+1&amp;":"&amp;$C$523&amp;E$726),0)+D558)," ")," ")</f>
        <v xml:space="preserve"> </v>
      </c>
      <c r="E559" s="1069" t="str">
        <f t="shared" ca="1" si="137"/>
        <v xml:space="preserve"> </v>
      </c>
      <c r="F559" s="1069">
        <f t="shared" ca="1" si="137"/>
        <v>103</v>
      </c>
      <c r="G559" s="1069" t="str">
        <f t="shared" ca="1" si="137"/>
        <v xml:space="preserve"> </v>
      </c>
      <c r="H559" s="1069" t="str">
        <f t="shared" ca="1" si="137"/>
        <v xml:space="preserve"> </v>
      </c>
      <c r="I559" s="1069">
        <f t="shared" ca="1" si="137"/>
        <v>186</v>
      </c>
      <c r="J559" s="1069" t="str">
        <f t="shared" ca="1" si="137"/>
        <v xml:space="preserve"> </v>
      </c>
      <c r="K559" s="1069">
        <f t="shared" ca="1" si="137"/>
        <v>273</v>
      </c>
      <c r="L559" s="1069">
        <f t="shared" ca="1" si="137"/>
        <v>333</v>
      </c>
      <c r="M559" s="1069">
        <f t="shared" ca="1" si="137"/>
        <v>427</v>
      </c>
      <c r="N559" s="1069">
        <f t="shared" ca="1" si="137"/>
        <v>512</v>
      </c>
      <c r="O559" s="1069" t="str">
        <f t="shared" ca="1" si="137"/>
        <v xml:space="preserve"> </v>
      </c>
      <c r="P559" s="1069">
        <f t="shared" ca="1" si="137"/>
        <v>622</v>
      </c>
      <c r="Q559" s="1069" t="str">
        <f t="shared" ca="1" si="137"/>
        <v xml:space="preserve"> </v>
      </c>
      <c r="R559" s="1069" t="str">
        <f t="shared" ca="1" si="137"/>
        <v xml:space="preserve"> </v>
      </c>
      <c r="S559" s="1069" t="str">
        <f t="shared" ca="1" si="137"/>
        <v xml:space="preserve"> </v>
      </c>
      <c r="T559" s="1069" t="str">
        <f t="shared" ca="1" si="137"/>
        <v xml:space="preserve"> </v>
      </c>
      <c r="U559" s="1069" t="str">
        <f t="shared" ca="1" si="137"/>
        <v xml:space="preserve"> </v>
      </c>
      <c r="V559" s="1069" t="str">
        <f t="shared" ca="1" si="137"/>
        <v xml:space="preserve"> </v>
      </c>
      <c r="W559" s="1069" t="str">
        <f t="shared" ca="1" si="137"/>
        <v xml:space="preserve"> </v>
      </c>
      <c r="X559" s="1069" t="str">
        <f t="shared" ca="1" si="137"/>
        <v xml:space="preserve"> </v>
      </c>
      <c r="Y559" s="1069" t="str">
        <f t="shared" ca="1" si="137"/>
        <v xml:space="preserve"> </v>
      </c>
      <c r="Z559" s="1069" t="str">
        <f t="shared" ca="1" si="137"/>
        <v xml:space="preserve"> </v>
      </c>
      <c r="AA559" s="1069" t="str">
        <f t="shared" ca="1" si="137"/>
        <v xml:space="preserve"> </v>
      </c>
    </row>
    <row r="560" spans="1:27" ht="9.9499999999999993" customHeight="1">
      <c r="A560" s="1069">
        <v>36</v>
      </c>
      <c r="D560" s="1069" t="str">
        <f t="shared" ref="D560:AA560" ca="1" si="138">IF(ISNUMBER(D559),IF(D559+2&lt;E$726,IF(ISNA(MATCH("Y",INDIRECT("Skills!"&amp;$C$523&amp;D559+1&amp;":"&amp;$C$523&amp;E$726),0))," ",MATCH("Y",INDIRECT("Skills!"&amp;$C$523&amp;D559+1&amp;":"&amp;$C$523&amp;E$726),0)+D559)," ")," ")</f>
        <v xml:space="preserve"> </v>
      </c>
      <c r="E560" s="1069" t="str">
        <f t="shared" ca="1" si="138"/>
        <v xml:space="preserve"> </v>
      </c>
      <c r="F560" s="1069">
        <f t="shared" ca="1" si="138"/>
        <v>104</v>
      </c>
      <c r="G560" s="1069" t="str">
        <f t="shared" ca="1" si="138"/>
        <v xml:space="preserve"> </v>
      </c>
      <c r="H560" s="1069" t="str">
        <f t="shared" ca="1" si="138"/>
        <v xml:space="preserve"> </v>
      </c>
      <c r="I560" s="1069">
        <f t="shared" ca="1" si="138"/>
        <v>187</v>
      </c>
      <c r="J560" s="1069" t="str">
        <f t="shared" ca="1" si="138"/>
        <v xml:space="preserve"> </v>
      </c>
      <c r="K560" s="1069">
        <f t="shared" ca="1" si="138"/>
        <v>274</v>
      </c>
      <c r="L560" s="1069">
        <f t="shared" ca="1" si="138"/>
        <v>334</v>
      </c>
      <c r="M560" s="1069">
        <f t="shared" ca="1" si="138"/>
        <v>428</v>
      </c>
      <c r="N560" s="1069">
        <f t="shared" ca="1" si="138"/>
        <v>513</v>
      </c>
      <c r="O560" s="1069" t="str">
        <f t="shared" ca="1" si="138"/>
        <v xml:space="preserve"> </v>
      </c>
      <c r="P560" s="1069">
        <f t="shared" ca="1" si="138"/>
        <v>623</v>
      </c>
      <c r="Q560" s="1069" t="str">
        <f t="shared" ca="1" si="138"/>
        <v xml:space="preserve"> </v>
      </c>
      <c r="R560" s="1069" t="str">
        <f t="shared" ca="1" si="138"/>
        <v xml:space="preserve"> </v>
      </c>
      <c r="S560" s="1069" t="str">
        <f t="shared" ca="1" si="138"/>
        <v xml:space="preserve"> </v>
      </c>
      <c r="T560" s="1069" t="str">
        <f t="shared" ca="1" si="138"/>
        <v xml:space="preserve"> </v>
      </c>
      <c r="U560" s="1069" t="str">
        <f t="shared" ca="1" si="138"/>
        <v xml:space="preserve"> </v>
      </c>
      <c r="V560" s="1069" t="str">
        <f t="shared" ca="1" si="138"/>
        <v xml:space="preserve"> </v>
      </c>
      <c r="W560" s="1069" t="str">
        <f t="shared" ca="1" si="138"/>
        <v xml:space="preserve"> </v>
      </c>
      <c r="X560" s="1069" t="str">
        <f t="shared" ca="1" si="138"/>
        <v xml:space="preserve"> </v>
      </c>
      <c r="Y560" s="1069" t="str">
        <f t="shared" ca="1" si="138"/>
        <v xml:space="preserve"> </v>
      </c>
      <c r="Z560" s="1069" t="str">
        <f t="shared" ca="1" si="138"/>
        <v xml:space="preserve"> </v>
      </c>
      <c r="AA560" s="1069" t="str">
        <f t="shared" ca="1" si="138"/>
        <v xml:space="preserve"> </v>
      </c>
    </row>
    <row r="561" spans="1:27" ht="9.9499999999999993" customHeight="1">
      <c r="A561" s="1069">
        <v>37</v>
      </c>
      <c r="D561" s="1069" t="str">
        <f t="shared" ref="D561:AA561" ca="1" si="139">IF(ISNUMBER(D560),IF(D560+2&lt;E$726,IF(ISNA(MATCH("Y",INDIRECT("Skills!"&amp;$C$523&amp;D560+1&amp;":"&amp;$C$523&amp;E$726),0))," ",MATCH("Y",INDIRECT("Skills!"&amp;$C$523&amp;D560+1&amp;":"&amp;$C$523&amp;E$726),0)+D560)," ")," ")</f>
        <v xml:space="preserve"> </v>
      </c>
      <c r="E561" s="1069" t="str">
        <f t="shared" ca="1" si="139"/>
        <v xml:space="preserve"> </v>
      </c>
      <c r="F561" s="1069" t="str">
        <f t="shared" ca="1" si="139"/>
        <v xml:space="preserve"> </v>
      </c>
      <c r="G561" s="1069" t="str">
        <f t="shared" ca="1" si="139"/>
        <v xml:space="preserve"> </v>
      </c>
      <c r="H561" s="1069" t="str">
        <f t="shared" ca="1" si="139"/>
        <v xml:space="preserve"> </v>
      </c>
      <c r="I561" s="1069">
        <f t="shared" ca="1" si="139"/>
        <v>188</v>
      </c>
      <c r="J561" s="1069" t="str">
        <f t="shared" ca="1" si="139"/>
        <v xml:space="preserve"> </v>
      </c>
      <c r="K561" s="1069">
        <f t="shared" ca="1" si="139"/>
        <v>275</v>
      </c>
      <c r="L561" s="1069">
        <f t="shared" ca="1" si="139"/>
        <v>336</v>
      </c>
      <c r="M561" s="1069">
        <f t="shared" ca="1" si="139"/>
        <v>429</v>
      </c>
      <c r="N561" s="1069">
        <f t="shared" ca="1" si="139"/>
        <v>514</v>
      </c>
      <c r="O561" s="1069" t="str">
        <f t="shared" ca="1" si="139"/>
        <v xml:space="preserve"> </v>
      </c>
      <c r="P561" s="1069">
        <f t="shared" ca="1" si="139"/>
        <v>624</v>
      </c>
      <c r="Q561" s="1069" t="str">
        <f t="shared" ca="1" si="139"/>
        <v xml:space="preserve"> </v>
      </c>
      <c r="R561" s="1069" t="str">
        <f t="shared" ca="1" si="139"/>
        <v xml:space="preserve"> </v>
      </c>
      <c r="S561" s="1069" t="str">
        <f t="shared" ca="1" si="139"/>
        <v xml:space="preserve"> </v>
      </c>
      <c r="T561" s="1069" t="str">
        <f t="shared" ca="1" si="139"/>
        <v xml:space="preserve"> </v>
      </c>
      <c r="U561" s="1069" t="str">
        <f t="shared" ca="1" si="139"/>
        <v xml:space="preserve"> </v>
      </c>
      <c r="V561" s="1069" t="str">
        <f t="shared" ca="1" si="139"/>
        <v xml:space="preserve"> </v>
      </c>
      <c r="W561" s="1069" t="str">
        <f t="shared" ca="1" si="139"/>
        <v xml:space="preserve"> </v>
      </c>
      <c r="X561" s="1069" t="str">
        <f t="shared" ca="1" si="139"/>
        <v xml:space="preserve"> </v>
      </c>
      <c r="Y561" s="1069" t="str">
        <f t="shared" ca="1" si="139"/>
        <v xml:space="preserve"> </v>
      </c>
      <c r="Z561" s="1069" t="str">
        <f t="shared" ca="1" si="139"/>
        <v xml:space="preserve"> </v>
      </c>
      <c r="AA561" s="1069" t="str">
        <f t="shared" ca="1" si="139"/>
        <v xml:space="preserve"> </v>
      </c>
    </row>
    <row r="562" spans="1:27" ht="9.9499999999999993" customHeight="1">
      <c r="A562" s="1069">
        <v>38</v>
      </c>
      <c r="D562" s="1069" t="str">
        <f t="shared" ref="D562:AA562" ca="1" si="140">IF(ISNUMBER(D561),IF(D561+2&lt;E$726,IF(ISNA(MATCH("Y",INDIRECT("Skills!"&amp;$C$523&amp;D561+1&amp;":"&amp;$C$523&amp;E$726),0))," ",MATCH("Y",INDIRECT("Skills!"&amp;$C$523&amp;D561+1&amp;":"&amp;$C$523&amp;E$726),0)+D561)," ")," ")</f>
        <v xml:space="preserve"> </v>
      </c>
      <c r="E562" s="1069" t="str">
        <f t="shared" ca="1" si="140"/>
        <v xml:space="preserve"> </v>
      </c>
      <c r="F562" s="1069" t="str">
        <f t="shared" ca="1" si="140"/>
        <v xml:space="preserve"> </v>
      </c>
      <c r="G562" s="1069" t="str">
        <f t="shared" ca="1" si="140"/>
        <v xml:space="preserve"> </v>
      </c>
      <c r="H562" s="1069" t="str">
        <f t="shared" ca="1" si="140"/>
        <v xml:space="preserve"> </v>
      </c>
      <c r="I562" s="1069">
        <f t="shared" ca="1" si="140"/>
        <v>190</v>
      </c>
      <c r="J562" s="1069" t="str">
        <f t="shared" ca="1" si="140"/>
        <v xml:space="preserve"> </v>
      </c>
      <c r="K562" s="1069">
        <f t="shared" ca="1" si="140"/>
        <v>276</v>
      </c>
      <c r="L562" s="1069">
        <f t="shared" ca="1" si="140"/>
        <v>337</v>
      </c>
      <c r="M562" s="1069">
        <f t="shared" ca="1" si="140"/>
        <v>430</v>
      </c>
      <c r="N562" s="1069">
        <f t="shared" ca="1" si="140"/>
        <v>515</v>
      </c>
      <c r="O562" s="1069" t="str">
        <f t="shared" ca="1" si="140"/>
        <v xml:space="preserve"> </v>
      </c>
      <c r="P562" s="1069">
        <f t="shared" ca="1" si="140"/>
        <v>625</v>
      </c>
      <c r="Q562" s="1069" t="str">
        <f t="shared" ca="1" si="140"/>
        <v xml:space="preserve"> </v>
      </c>
      <c r="R562" s="1069" t="str">
        <f t="shared" ca="1" si="140"/>
        <v xml:space="preserve"> </v>
      </c>
      <c r="S562" s="1069" t="str">
        <f t="shared" ca="1" si="140"/>
        <v xml:space="preserve"> </v>
      </c>
      <c r="T562" s="1069" t="str">
        <f t="shared" ca="1" si="140"/>
        <v xml:space="preserve"> </v>
      </c>
      <c r="U562" s="1069" t="str">
        <f t="shared" ca="1" si="140"/>
        <v xml:space="preserve"> </v>
      </c>
      <c r="V562" s="1069" t="str">
        <f t="shared" ca="1" si="140"/>
        <v xml:space="preserve"> </v>
      </c>
      <c r="W562" s="1069" t="str">
        <f t="shared" ca="1" si="140"/>
        <v xml:space="preserve"> </v>
      </c>
      <c r="X562" s="1069" t="str">
        <f t="shared" ca="1" si="140"/>
        <v xml:space="preserve"> </v>
      </c>
      <c r="Y562" s="1069" t="str">
        <f t="shared" ca="1" si="140"/>
        <v xml:space="preserve"> </v>
      </c>
      <c r="Z562" s="1069" t="str">
        <f t="shared" ca="1" si="140"/>
        <v xml:space="preserve"> </v>
      </c>
      <c r="AA562" s="1069" t="str">
        <f t="shared" ca="1" si="140"/>
        <v xml:space="preserve"> </v>
      </c>
    </row>
    <row r="563" spans="1:27" ht="9.9499999999999993" customHeight="1">
      <c r="A563" s="1069">
        <v>39</v>
      </c>
      <c r="D563" s="1069" t="str">
        <f t="shared" ref="D563:AA563" ca="1" si="141">IF(ISNUMBER(D562),IF(D562+2&lt;E$726,IF(ISNA(MATCH("Y",INDIRECT("Skills!"&amp;$C$523&amp;D562+1&amp;":"&amp;$C$523&amp;E$726),0))," ",MATCH("Y",INDIRECT("Skills!"&amp;$C$523&amp;D562+1&amp;":"&amp;$C$523&amp;E$726),0)+D562)," ")," ")</f>
        <v xml:space="preserve"> </v>
      </c>
      <c r="E563" s="1069" t="str">
        <f t="shared" ca="1" si="141"/>
        <v xml:space="preserve"> </v>
      </c>
      <c r="F563" s="1069" t="str">
        <f t="shared" ca="1" si="141"/>
        <v xml:space="preserve"> </v>
      </c>
      <c r="G563" s="1069" t="str">
        <f t="shared" ca="1" si="141"/>
        <v xml:space="preserve"> </v>
      </c>
      <c r="H563" s="1069" t="str">
        <f t="shared" ca="1" si="141"/>
        <v xml:space="preserve"> </v>
      </c>
      <c r="I563" s="1069">
        <f t="shared" ca="1" si="141"/>
        <v>191</v>
      </c>
      <c r="J563" s="1069" t="str">
        <f t="shared" ca="1" si="141"/>
        <v xml:space="preserve"> </v>
      </c>
      <c r="K563" s="1069">
        <f t="shared" ca="1" si="141"/>
        <v>277</v>
      </c>
      <c r="L563" s="1069">
        <f t="shared" ca="1" si="141"/>
        <v>338</v>
      </c>
      <c r="M563" s="1069">
        <f t="shared" ca="1" si="141"/>
        <v>431</v>
      </c>
      <c r="N563" s="1069">
        <f t="shared" ca="1" si="141"/>
        <v>516</v>
      </c>
      <c r="O563" s="1069" t="str">
        <f t="shared" ca="1" si="141"/>
        <v xml:space="preserve"> </v>
      </c>
      <c r="P563" s="1069">
        <f t="shared" ca="1" si="141"/>
        <v>626</v>
      </c>
      <c r="Q563" s="1069" t="str">
        <f t="shared" ca="1" si="141"/>
        <v xml:space="preserve"> </v>
      </c>
      <c r="R563" s="1069" t="str">
        <f t="shared" ca="1" si="141"/>
        <v xml:space="preserve"> </v>
      </c>
      <c r="S563" s="1069" t="str">
        <f t="shared" ca="1" si="141"/>
        <v xml:space="preserve"> </v>
      </c>
      <c r="T563" s="1069" t="str">
        <f t="shared" ca="1" si="141"/>
        <v xml:space="preserve"> </v>
      </c>
      <c r="U563" s="1069" t="str">
        <f t="shared" ca="1" si="141"/>
        <v xml:space="preserve"> </v>
      </c>
      <c r="V563" s="1069" t="str">
        <f t="shared" ca="1" si="141"/>
        <v xml:space="preserve"> </v>
      </c>
      <c r="W563" s="1069" t="str">
        <f t="shared" ca="1" si="141"/>
        <v xml:space="preserve"> </v>
      </c>
      <c r="X563" s="1069" t="str">
        <f t="shared" ca="1" si="141"/>
        <v xml:space="preserve"> </v>
      </c>
      <c r="Y563" s="1069" t="str">
        <f t="shared" ca="1" si="141"/>
        <v xml:space="preserve"> </v>
      </c>
      <c r="Z563" s="1069" t="str">
        <f t="shared" ca="1" si="141"/>
        <v xml:space="preserve"> </v>
      </c>
      <c r="AA563" s="1069" t="str">
        <f t="shared" ca="1" si="141"/>
        <v xml:space="preserve"> </v>
      </c>
    </row>
    <row r="564" spans="1:27" ht="9.9499999999999993" customHeight="1">
      <c r="A564" s="1069">
        <v>40</v>
      </c>
      <c r="D564" s="1069" t="str">
        <f t="shared" ref="D564:AA564" ca="1" si="142">IF(ISNUMBER(D563),IF(D563+2&lt;E$726,IF(ISNA(MATCH("Y",INDIRECT("Skills!"&amp;$C$523&amp;D563+1&amp;":"&amp;$C$523&amp;E$726),0))," ",MATCH("Y",INDIRECT("Skills!"&amp;$C$523&amp;D563+1&amp;":"&amp;$C$523&amp;E$726),0)+D563)," ")," ")</f>
        <v xml:space="preserve"> </v>
      </c>
      <c r="E564" s="1069" t="str">
        <f t="shared" ca="1" si="142"/>
        <v xml:space="preserve"> </v>
      </c>
      <c r="F564" s="1069" t="str">
        <f t="shared" ca="1" si="142"/>
        <v xml:space="preserve"> </v>
      </c>
      <c r="G564" s="1069" t="str">
        <f t="shared" ca="1" si="142"/>
        <v xml:space="preserve"> </v>
      </c>
      <c r="H564" s="1069" t="str">
        <f t="shared" ca="1" si="142"/>
        <v xml:space="preserve"> </v>
      </c>
      <c r="I564" s="1069">
        <f t="shared" ca="1" si="142"/>
        <v>193</v>
      </c>
      <c r="J564" s="1069" t="str">
        <f t="shared" ca="1" si="142"/>
        <v xml:space="preserve"> </v>
      </c>
      <c r="K564" s="1069">
        <f t="shared" ca="1" si="142"/>
        <v>278</v>
      </c>
      <c r="L564" s="1069">
        <f t="shared" ca="1" si="142"/>
        <v>339</v>
      </c>
      <c r="M564" s="1069">
        <f t="shared" ca="1" si="142"/>
        <v>432</v>
      </c>
      <c r="N564" s="1069">
        <f t="shared" ca="1" si="142"/>
        <v>517</v>
      </c>
      <c r="O564" s="1069" t="str">
        <f t="shared" ca="1" si="142"/>
        <v xml:space="preserve"> </v>
      </c>
      <c r="P564" s="1069">
        <f t="shared" ca="1" si="142"/>
        <v>627</v>
      </c>
      <c r="Q564" s="1069" t="str">
        <f t="shared" ca="1" si="142"/>
        <v xml:space="preserve"> </v>
      </c>
      <c r="R564" s="1069" t="str">
        <f t="shared" ca="1" si="142"/>
        <v xml:space="preserve"> </v>
      </c>
      <c r="S564" s="1069" t="str">
        <f t="shared" ca="1" si="142"/>
        <v xml:space="preserve"> </v>
      </c>
      <c r="T564" s="1069" t="str">
        <f t="shared" ca="1" si="142"/>
        <v xml:space="preserve"> </v>
      </c>
      <c r="U564" s="1069" t="str">
        <f t="shared" ca="1" si="142"/>
        <v xml:space="preserve"> </v>
      </c>
      <c r="V564" s="1069" t="str">
        <f t="shared" ca="1" si="142"/>
        <v xml:space="preserve"> </v>
      </c>
      <c r="W564" s="1069" t="str">
        <f t="shared" ca="1" si="142"/>
        <v xml:space="preserve"> </v>
      </c>
      <c r="X564" s="1069" t="str">
        <f t="shared" ca="1" si="142"/>
        <v xml:space="preserve"> </v>
      </c>
      <c r="Y564" s="1069" t="str">
        <f t="shared" ca="1" si="142"/>
        <v xml:space="preserve"> </v>
      </c>
      <c r="Z564" s="1069" t="str">
        <f t="shared" ca="1" si="142"/>
        <v xml:space="preserve"> </v>
      </c>
      <c r="AA564" s="1069" t="str">
        <f t="shared" ca="1" si="142"/>
        <v xml:space="preserve"> </v>
      </c>
    </row>
    <row r="565" spans="1:27" ht="9.9499999999999993" customHeight="1">
      <c r="A565" s="1069">
        <v>41</v>
      </c>
      <c r="D565" s="1069" t="str">
        <f t="shared" ref="D565:AA565" ca="1" si="143">IF(ISNUMBER(D564),IF(D564+2&lt;E$726,IF(ISNA(MATCH("Y",INDIRECT("Skills!"&amp;$C$523&amp;D564+1&amp;":"&amp;$C$523&amp;E$726),0))," ",MATCH("Y",INDIRECT("Skills!"&amp;$C$523&amp;D564+1&amp;":"&amp;$C$523&amp;E$726),0)+D564)," ")," ")</f>
        <v xml:space="preserve"> </v>
      </c>
      <c r="E565" s="1069" t="str">
        <f t="shared" ca="1" si="143"/>
        <v xml:space="preserve"> </v>
      </c>
      <c r="F565" s="1069" t="str">
        <f t="shared" ca="1" si="143"/>
        <v xml:space="preserve"> </v>
      </c>
      <c r="G565" s="1069" t="str">
        <f t="shared" ca="1" si="143"/>
        <v xml:space="preserve"> </v>
      </c>
      <c r="H565" s="1069" t="str">
        <f t="shared" ca="1" si="143"/>
        <v xml:space="preserve"> </v>
      </c>
      <c r="I565" s="1069">
        <f t="shared" ca="1" si="143"/>
        <v>194</v>
      </c>
      <c r="J565" s="1069" t="str">
        <f t="shared" ca="1" si="143"/>
        <v xml:space="preserve"> </v>
      </c>
      <c r="K565" s="1069">
        <f t="shared" ca="1" si="143"/>
        <v>279</v>
      </c>
      <c r="L565" s="1069">
        <f t="shared" ca="1" si="143"/>
        <v>340</v>
      </c>
      <c r="M565" s="1069">
        <f t="shared" ca="1" si="143"/>
        <v>433</v>
      </c>
      <c r="N565" s="1069">
        <f t="shared" ca="1" si="143"/>
        <v>518</v>
      </c>
      <c r="O565" s="1069" t="str">
        <f t="shared" ca="1" si="143"/>
        <v xml:space="preserve"> </v>
      </c>
      <c r="P565" s="1069">
        <f t="shared" ca="1" si="143"/>
        <v>628</v>
      </c>
      <c r="Q565" s="1069" t="str">
        <f t="shared" ca="1" si="143"/>
        <v xml:space="preserve"> </v>
      </c>
      <c r="R565" s="1069" t="str">
        <f t="shared" ca="1" si="143"/>
        <v xml:space="preserve"> </v>
      </c>
      <c r="S565" s="1069" t="str">
        <f t="shared" ca="1" si="143"/>
        <v xml:space="preserve"> </v>
      </c>
      <c r="T565" s="1069" t="str">
        <f t="shared" ca="1" si="143"/>
        <v xml:space="preserve"> </v>
      </c>
      <c r="U565" s="1069" t="str">
        <f t="shared" ca="1" si="143"/>
        <v xml:space="preserve"> </v>
      </c>
      <c r="V565" s="1069" t="str">
        <f t="shared" ca="1" si="143"/>
        <v xml:space="preserve"> </v>
      </c>
      <c r="W565" s="1069" t="str">
        <f t="shared" ca="1" si="143"/>
        <v xml:space="preserve"> </v>
      </c>
      <c r="X565" s="1069" t="str">
        <f t="shared" ca="1" si="143"/>
        <v xml:space="preserve"> </v>
      </c>
      <c r="Y565" s="1069" t="str">
        <f t="shared" ca="1" si="143"/>
        <v xml:space="preserve"> </v>
      </c>
      <c r="Z565" s="1069" t="str">
        <f t="shared" ca="1" si="143"/>
        <v xml:space="preserve"> </v>
      </c>
      <c r="AA565" s="1069" t="str">
        <f t="shared" ca="1" si="143"/>
        <v xml:space="preserve"> </v>
      </c>
    </row>
    <row r="566" spans="1:27" ht="9.9499999999999993" customHeight="1">
      <c r="A566" s="1069">
        <v>42</v>
      </c>
      <c r="D566" s="1069" t="str">
        <f t="shared" ref="D566:AA566" ca="1" si="144">IF(ISNUMBER(D565),IF(D565+2&lt;E$726,IF(ISNA(MATCH("Y",INDIRECT("Skills!"&amp;$C$523&amp;D565+1&amp;":"&amp;$C$523&amp;E$726),0))," ",MATCH("Y",INDIRECT("Skills!"&amp;$C$523&amp;D565+1&amp;":"&amp;$C$523&amp;E$726),0)+D565)," ")," ")</f>
        <v xml:space="preserve"> </v>
      </c>
      <c r="E566" s="1069" t="str">
        <f t="shared" ca="1" si="144"/>
        <v xml:space="preserve"> </v>
      </c>
      <c r="F566" s="1069" t="str">
        <f t="shared" ca="1" si="144"/>
        <v xml:space="preserve"> </v>
      </c>
      <c r="G566" s="1069" t="str">
        <f t="shared" ca="1" si="144"/>
        <v xml:space="preserve"> </v>
      </c>
      <c r="H566" s="1069" t="str">
        <f t="shared" ca="1" si="144"/>
        <v xml:space="preserve"> </v>
      </c>
      <c r="I566" s="1069">
        <f t="shared" ca="1" si="144"/>
        <v>195</v>
      </c>
      <c r="J566" s="1069" t="str">
        <f t="shared" ca="1" si="144"/>
        <v xml:space="preserve"> </v>
      </c>
      <c r="K566" s="1069">
        <f t="shared" ca="1" si="144"/>
        <v>280</v>
      </c>
      <c r="L566" s="1069">
        <f t="shared" ca="1" si="144"/>
        <v>341</v>
      </c>
      <c r="M566" s="1069">
        <f t="shared" ca="1" si="144"/>
        <v>434</v>
      </c>
      <c r="N566" s="1069">
        <f t="shared" ca="1" si="144"/>
        <v>519</v>
      </c>
      <c r="O566" s="1069" t="str">
        <f t="shared" ca="1" si="144"/>
        <v xml:space="preserve"> </v>
      </c>
      <c r="P566" s="1069">
        <f t="shared" ca="1" si="144"/>
        <v>629</v>
      </c>
      <c r="Q566" s="1069" t="str">
        <f t="shared" ca="1" si="144"/>
        <v xml:space="preserve"> </v>
      </c>
      <c r="R566" s="1069" t="str">
        <f t="shared" ca="1" si="144"/>
        <v xml:space="preserve"> </v>
      </c>
      <c r="S566" s="1069" t="str">
        <f t="shared" ca="1" si="144"/>
        <v xml:space="preserve"> </v>
      </c>
      <c r="T566" s="1069" t="str">
        <f t="shared" ca="1" si="144"/>
        <v xml:space="preserve"> </v>
      </c>
      <c r="U566" s="1069" t="str">
        <f t="shared" ca="1" si="144"/>
        <v xml:space="preserve"> </v>
      </c>
      <c r="V566" s="1069" t="str">
        <f t="shared" ca="1" si="144"/>
        <v xml:space="preserve"> </v>
      </c>
      <c r="W566" s="1069" t="str">
        <f t="shared" ca="1" si="144"/>
        <v xml:space="preserve"> </v>
      </c>
      <c r="X566" s="1069" t="str">
        <f t="shared" ca="1" si="144"/>
        <v xml:space="preserve"> </v>
      </c>
      <c r="Y566" s="1069" t="str">
        <f t="shared" ca="1" si="144"/>
        <v xml:space="preserve"> </v>
      </c>
      <c r="Z566" s="1069" t="str">
        <f t="shared" ca="1" si="144"/>
        <v xml:space="preserve"> </v>
      </c>
      <c r="AA566" s="1069" t="str">
        <f t="shared" ca="1" si="144"/>
        <v xml:space="preserve"> </v>
      </c>
    </row>
    <row r="567" spans="1:27" ht="9.9499999999999993" customHeight="1">
      <c r="A567" s="1069">
        <v>43</v>
      </c>
      <c r="D567" s="1069" t="str">
        <f t="shared" ref="D567:AA567" ca="1" si="145">IF(ISNUMBER(D566),IF(D566+2&lt;E$726,IF(ISNA(MATCH("Y",INDIRECT("Skills!"&amp;$C$523&amp;D566+1&amp;":"&amp;$C$523&amp;E$726),0))," ",MATCH("Y",INDIRECT("Skills!"&amp;$C$523&amp;D566+1&amp;":"&amp;$C$523&amp;E$726),0)+D566)," ")," ")</f>
        <v xml:space="preserve"> </v>
      </c>
      <c r="E567" s="1069" t="str">
        <f t="shared" ca="1" si="145"/>
        <v xml:space="preserve"> </v>
      </c>
      <c r="F567" s="1069" t="str">
        <f t="shared" ca="1" si="145"/>
        <v xml:space="preserve"> </v>
      </c>
      <c r="G567" s="1069" t="str">
        <f t="shared" ca="1" si="145"/>
        <v xml:space="preserve"> </v>
      </c>
      <c r="H567" s="1069" t="str">
        <f t="shared" ca="1" si="145"/>
        <v xml:space="preserve"> </v>
      </c>
      <c r="I567" s="1069">
        <f t="shared" ca="1" si="145"/>
        <v>196</v>
      </c>
      <c r="J567" s="1069" t="str">
        <f t="shared" ca="1" si="145"/>
        <v xml:space="preserve"> </v>
      </c>
      <c r="K567" s="1069">
        <f t="shared" ca="1" si="145"/>
        <v>281</v>
      </c>
      <c r="L567" s="1069">
        <f t="shared" ca="1" si="145"/>
        <v>342</v>
      </c>
      <c r="M567" s="1069">
        <f t="shared" ca="1" si="145"/>
        <v>435</v>
      </c>
      <c r="N567" s="1069">
        <f t="shared" ca="1" si="145"/>
        <v>520</v>
      </c>
      <c r="O567" s="1069" t="str">
        <f t="shared" ca="1" si="145"/>
        <v xml:space="preserve"> </v>
      </c>
      <c r="P567" s="1069">
        <f t="shared" ca="1" si="145"/>
        <v>630</v>
      </c>
      <c r="Q567" s="1069" t="str">
        <f t="shared" ca="1" si="145"/>
        <v xml:space="preserve"> </v>
      </c>
      <c r="R567" s="1069" t="str">
        <f t="shared" ca="1" si="145"/>
        <v xml:space="preserve"> </v>
      </c>
      <c r="S567" s="1069" t="str">
        <f t="shared" ca="1" si="145"/>
        <v xml:space="preserve"> </v>
      </c>
      <c r="T567" s="1069" t="str">
        <f t="shared" ca="1" si="145"/>
        <v xml:space="preserve"> </v>
      </c>
      <c r="U567" s="1069" t="str">
        <f t="shared" ca="1" si="145"/>
        <v xml:space="preserve"> </v>
      </c>
      <c r="V567" s="1069" t="str">
        <f t="shared" ca="1" si="145"/>
        <v xml:space="preserve"> </v>
      </c>
      <c r="W567" s="1069" t="str">
        <f t="shared" ca="1" si="145"/>
        <v xml:space="preserve"> </v>
      </c>
      <c r="X567" s="1069" t="str">
        <f t="shared" ca="1" si="145"/>
        <v xml:space="preserve"> </v>
      </c>
      <c r="Y567" s="1069" t="str">
        <f t="shared" ca="1" si="145"/>
        <v xml:space="preserve"> </v>
      </c>
      <c r="Z567" s="1069" t="str">
        <f t="shared" ca="1" si="145"/>
        <v xml:space="preserve"> </v>
      </c>
      <c r="AA567" s="1069" t="str">
        <f t="shared" ca="1" si="145"/>
        <v xml:space="preserve"> </v>
      </c>
    </row>
    <row r="568" spans="1:27" ht="9.9499999999999993" customHeight="1">
      <c r="A568" s="1069">
        <v>44</v>
      </c>
      <c r="D568" s="1069" t="str">
        <f t="shared" ref="D568:AA568" ca="1" si="146">IF(ISNUMBER(D567),IF(D567+2&lt;E$726,IF(ISNA(MATCH("Y",INDIRECT("Skills!"&amp;$C$523&amp;D567+1&amp;":"&amp;$C$523&amp;E$726),0))," ",MATCH("Y",INDIRECT("Skills!"&amp;$C$523&amp;D567+1&amp;":"&amp;$C$523&amp;E$726),0)+D567)," ")," ")</f>
        <v xml:space="preserve"> </v>
      </c>
      <c r="E568" s="1069" t="str">
        <f t="shared" ca="1" si="146"/>
        <v xml:space="preserve"> </v>
      </c>
      <c r="F568" s="1069" t="str">
        <f t="shared" ca="1" si="146"/>
        <v xml:space="preserve"> </v>
      </c>
      <c r="G568" s="1069" t="str">
        <f t="shared" ca="1" si="146"/>
        <v xml:space="preserve"> </v>
      </c>
      <c r="H568" s="1069" t="str">
        <f t="shared" ca="1" si="146"/>
        <v xml:space="preserve"> </v>
      </c>
      <c r="I568" s="1069">
        <f t="shared" ca="1" si="146"/>
        <v>197</v>
      </c>
      <c r="J568" s="1069" t="str">
        <f t="shared" ca="1" si="146"/>
        <v xml:space="preserve"> </v>
      </c>
      <c r="K568" s="1069">
        <f t="shared" ca="1" si="146"/>
        <v>282</v>
      </c>
      <c r="L568" s="1069">
        <f t="shared" ca="1" si="146"/>
        <v>343</v>
      </c>
      <c r="M568" s="1069">
        <f t="shared" ca="1" si="146"/>
        <v>436</v>
      </c>
      <c r="N568" s="1069">
        <f t="shared" ca="1" si="146"/>
        <v>521</v>
      </c>
      <c r="O568" s="1069" t="str">
        <f t="shared" ca="1" si="146"/>
        <v xml:space="preserve"> </v>
      </c>
      <c r="P568" s="1069">
        <f t="shared" ca="1" si="146"/>
        <v>631</v>
      </c>
      <c r="Q568" s="1069" t="str">
        <f t="shared" ca="1" si="146"/>
        <v xml:space="preserve"> </v>
      </c>
      <c r="R568" s="1069" t="str">
        <f t="shared" ca="1" si="146"/>
        <v xml:space="preserve"> </v>
      </c>
      <c r="S568" s="1069" t="str">
        <f t="shared" ca="1" si="146"/>
        <v xml:space="preserve"> </v>
      </c>
      <c r="T568" s="1069" t="str">
        <f t="shared" ca="1" si="146"/>
        <v xml:space="preserve"> </v>
      </c>
      <c r="U568" s="1069" t="str">
        <f t="shared" ca="1" si="146"/>
        <v xml:space="preserve"> </v>
      </c>
      <c r="V568" s="1069" t="str">
        <f t="shared" ca="1" si="146"/>
        <v xml:space="preserve"> </v>
      </c>
      <c r="W568" s="1069" t="str">
        <f t="shared" ca="1" si="146"/>
        <v xml:space="preserve"> </v>
      </c>
      <c r="X568" s="1069" t="str">
        <f t="shared" ca="1" si="146"/>
        <v xml:space="preserve"> </v>
      </c>
      <c r="Y568" s="1069" t="str">
        <f t="shared" ca="1" si="146"/>
        <v xml:space="preserve"> </v>
      </c>
      <c r="Z568" s="1069" t="str">
        <f t="shared" ca="1" si="146"/>
        <v xml:space="preserve"> </v>
      </c>
      <c r="AA568" s="1069" t="str">
        <f t="shared" ca="1" si="146"/>
        <v xml:space="preserve"> </v>
      </c>
    </row>
    <row r="569" spans="1:27" ht="9.9499999999999993" customHeight="1">
      <c r="A569" s="1069">
        <v>45</v>
      </c>
      <c r="D569" s="1069" t="str">
        <f t="shared" ref="D569:AA569" ca="1" si="147">IF(ISNUMBER(D568),IF(D568+2&lt;E$726,IF(ISNA(MATCH("Y",INDIRECT("Skills!"&amp;$C$523&amp;D568+1&amp;":"&amp;$C$523&amp;E$726),0))," ",MATCH("Y",INDIRECT("Skills!"&amp;$C$523&amp;D568+1&amp;":"&amp;$C$523&amp;E$726),0)+D568)," ")," ")</f>
        <v xml:space="preserve"> </v>
      </c>
      <c r="E569" s="1069" t="str">
        <f t="shared" ca="1" si="147"/>
        <v xml:space="preserve"> </v>
      </c>
      <c r="F569" s="1069" t="str">
        <f t="shared" ca="1" si="147"/>
        <v xml:space="preserve"> </v>
      </c>
      <c r="G569" s="1069" t="str">
        <f t="shared" ca="1" si="147"/>
        <v xml:space="preserve"> </v>
      </c>
      <c r="H569" s="1069" t="str">
        <f t="shared" ca="1" si="147"/>
        <v xml:space="preserve"> </v>
      </c>
      <c r="I569" s="1069">
        <f t="shared" ca="1" si="147"/>
        <v>198</v>
      </c>
      <c r="J569" s="1069" t="str">
        <f t="shared" ca="1" si="147"/>
        <v xml:space="preserve"> </v>
      </c>
      <c r="K569" s="1069">
        <f t="shared" ca="1" si="147"/>
        <v>283</v>
      </c>
      <c r="L569" s="1069">
        <f t="shared" ca="1" si="147"/>
        <v>344</v>
      </c>
      <c r="M569" s="1069">
        <f t="shared" ca="1" si="147"/>
        <v>437</v>
      </c>
      <c r="N569" s="1069">
        <f t="shared" ca="1" si="147"/>
        <v>522</v>
      </c>
      <c r="O569" s="1069" t="str">
        <f t="shared" ca="1" si="147"/>
        <v xml:space="preserve"> </v>
      </c>
      <c r="P569" s="1069">
        <f t="shared" ca="1" si="147"/>
        <v>632</v>
      </c>
      <c r="Q569" s="1069" t="str">
        <f t="shared" ca="1" si="147"/>
        <v xml:space="preserve"> </v>
      </c>
      <c r="R569" s="1069" t="str">
        <f t="shared" ca="1" si="147"/>
        <v xml:space="preserve"> </v>
      </c>
      <c r="S569" s="1069" t="str">
        <f t="shared" ca="1" si="147"/>
        <v xml:space="preserve"> </v>
      </c>
      <c r="T569" s="1069" t="str">
        <f t="shared" ca="1" si="147"/>
        <v xml:space="preserve"> </v>
      </c>
      <c r="U569" s="1069" t="str">
        <f t="shared" ca="1" si="147"/>
        <v xml:space="preserve"> </v>
      </c>
      <c r="V569" s="1069" t="str">
        <f t="shared" ca="1" si="147"/>
        <v xml:space="preserve"> </v>
      </c>
      <c r="W569" s="1069" t="str">
        <f t="shared" ca="1" si="147"/>
        <v xml:space="preserve"> </v>
      </c>
      <c r="X569" s="1069" t="str">
        <f t="shared" ca="1" si="147"/>
        <v xml:space="preserve"> </v>
      </c>
      <c r="Y569" s="1069" t="str">
        <f t="shared" ca="1" si="147"/>
        <v xml:space="preserve"> </v>
      </c>
      <c r="Z569" s="1069" t="str">
        <f t="shared" ca="1" si="147"/>
        <v xml:space="preserve"> </v>
      </c>
      <c r="AA569" s="1069" t="str">
        <f t="shared" ca="1" si="147"/>
        <v xml:space="preserve"> </v>
      </c>
    </row>
    <row r="570" spans="1:27" ht="9.9499999999999993" customHeight="1">
      <c r="A570" s="1069">
        <v>46</v>
      </c>
      <c r="D570" s="1069" t="str">
        <f t="shared" ref="D570:AA570" ca="1" si="148">IF(ISNUMBER(D569),IF(D569+2&lt;E$726,IF(ISNA(MATCH("Y",INDIRECT("Skills!"&amp;$C$523&amp;D569+1&amp;":"&amp;$C$523&amp;E$726),0))," ",MATCH("Y",INDIRECT("Skills!"&amp;$C$523&amp;D569+1&amp;":"&amp;$C$523&amp;E$726),0)+D569)," ")," ")</f>
        <v xml:space="preserve"> </v>
      </c>
      <c r="E570" s="1069" t="str">
        <f t="shared" ca="1" si="148"/>
        <v xml:space="preserve"> </v>
      </c>
      <c r="F570" s="1069" t="str">
        <f t="shared" ca="1" si="148"/>
        <v xml:space="preserve"> </v>
      </c>
      <c r="G570" s="1069" t="str">
        <f t="shared" ca="1" si="148"/>
        <v xml:space="preserve"> </v>
      </c>
      <c r="H570" s="1069" t="str">
        <f t="shared" ca="1" si="148"/>
        <v xml:space="preserve"> </v>
      </c>
      <c r="I570" s="1069">
        <f t="shared" ca="1" si="148"/>
        <v>199</v>
      </c>
      <c r="J570" s="1069" t="str">
        <f t="shared" ca="1" si="148"/>
        <v xml:space="preserve"> </v>
      </c>
      <c r="K570" s="1069">
        <f t="shared" ca="1" si="148"/>
        <v>284</v>
      </c>
      <c r="L570" s="1069">
        <f t="shared" ca="1" si="148"/>
        <v>345</v>
      </c>
      <c r="M570" s="1069">
        <f t="shared" ca="1" si="148"/>
        <v>439</v>
      </c>
      <c r="N570" s="1069">
        <f t="shared" ca="1" si="148"/>
        <v>523</v>
      </c>
      <c r="O570" s="1069" t="str">
        <f t="shared" ca="1" si="148"/>
        <v xml:space="preserve"> </v>
      </c>
      <c r="P570" s="1069">
        <f t="shared" ca="1" si="148"/>
        <v>633</v>
      </c>
      <c r="Q570" s="1069" t="str">
        <f t="shared" ca="1" si="148"/>
        <v xml:space="preserve"> </v>
      </c>
      <c r="R570" s="1069" t="str">
        <f t="shared" ca="1" si="148"/>
        <v xml:space="preserve"> </v>
      </c>
      <c r="S570" s="1069" t="str">
        <f t="shared" ca="1" si="148"/>
        <v xml:space="preserve"> </v>
      </c>
      <c r="T570" s="1069" t="str">
        <f t="shared" ca="1" si="148"/>
        <v xml:space="preserve"> </v>
      </c>
      <c r="U570" s="1069" t="str">
        <f t="shared" ca="1" si="148"/>
        <v xml:space="preserve"> </v>
      </c>
      <c r="V570" s="1069" t="str">
        <f t="shared" ca="1" si="148"/>
        <v xml:space="preserve"> </v>
      </c>
      <c r="W570" s="1069" t="str">
        <f t="shared" ca="1" si="148"/>
        <v xml:space="preserve"> </v>
      </c>
      <c r="X570" s="1069" t="str">
        <f t="shared" ca="1" si="148"/>
        <v xml:space="preserve"> </v>
      </c>
      <c r="Y570" s="1069" t="str">
        <f t="shared" ca="1" si="148"/>
        <v xml:space="preserve"> </v>
      </c>
      <c r="Z570" s="1069" t="str">
        <f t="shared" ca="1" si="148"/>
        <v xml:space="preserve"> </v>
      </c>
      <c r="AA570" s="1069" t="str">
        <f t="shared" ca="1" si="148"/>
        <v xml:space="preserve"> </v>
      </c>
    </row>
    <row r="571" spans="1:27" ht="9.9499999999999993" customHeight="1">
      <c r="A571" s="1069">
        <v>47</v>
      </c>
      <c r="D571" s="1069" t="str">
        <f t="shared" ref="D571:AA571" ca="1" si="149">IF(ISNUMBER(D570),IF(D570+2&lt;E$726,IF(ISNA(MATCH("Y",INDIRECT("Skills!"&amp;$C$523&amp;D570+1&amp;":"&amp;$C$523&amp;E$726),0))," ",MATCH("Y",INDIRECT("Skills!"&amp;$C$523&amp;D570+1&amp;":"&amp;$C$523&amp;E$726),0)+D570)," ")," ")</f>
        <v xml:space="preserve"> </v>
      </c>
      <c r="E571" s="1069" t="str">
        <f t="shared" ca="1" si="149"/>
        <v xml:space="preserve"> </v>
      </c>
      <c r="F571" s="1069" t="str">
        <f t="shared" ca="1" si="149"/>
        <v xml:space="preserve"> </v>
      </c>
      <c r="G571" s="1069" t="str">
        <f t="shared" ca="1" si="149"/>
        <v xml:space="preserve"> </v>
      </c>
      <c r="H571" s="1069" t="str">
        <f t="shared" ca="1" si="149"/>
        <v xml:space="preserve"> </v>
      </c>
      <c r="I571" s="1069">
        <f t="shared" ca="1" si="149"/>
        <v>200</v>
      </c>
      <c r="J571" s="1069" t="str">
        <f t="shared" ca="1" si="149"/>
        <v xml:space="preserve"> </v>
      </c>
      <c r="K571" s="1069">
        <f t="shared" ca="1" si="149"/>
        <v>285</v>
      </c>
      <c r="L571" s="1069">
        <f t="shared" ca="1" si="149"/>
        <v>348</v>
      </c>
      <c r="M571" s="1069">
        <f t="shared" ca="1" si="149"/>
        <v>440</v>
      </c>
      <c r="N571" s="1069">
        <f t="shared" ca="1" si="149"/>
        <v>524</v>
      </c>
      <c r="O571" s="1069" t="str">
        <f t="shared" ca="1" si="149"/>
        <v xml:space="preserve"> </v>
      </c>
      <c r="P571" s="1069">
        <f t="shared" ca="1" si="149"/>
        <v>634</v>
      </c>
      <c r="Q571" s="1069" t="str">
        <f t="shared" ca="1" si="149"/>
        <v xml:space="preserve"> </v>
      </c>
      <c r="R571" s="1069" t="str">
        <f t="shared" ca="1" si="149"/>
        <v xml:space="preserve"> </v>
      </c>
      <c r="S571" s="1069" t="str">
        <f t="shared" ca="1" si="149"/>
        <v xml:space="preserve"> </v>
      </c>
      <c r="T571" s="1069" t="str">
        <f t="shared" ca="1" si="149"/>
        <v xml:space="preserve"> </v>
      </c>
      <c r="U571" s="1069" t="str">
        <f t="shared" ca="1" si="149"/>
        <v xml:space="preserve"> </v>
      </c>
      <c r="V571" s="1069" t="str">
        <f t="shared" ca="1" si="149"/>
        <v xml:space="preserve"> </v>
      </c>
      <c r="W571" s="1069" t="str">
        <f t="shared" ca="1" si="149"/>
        <v xml:space="preserve"> </v>
      </c>
      <c r="X571" s="1069" t="str">
        <f t="shared" ca="1" si="149"/>
        <v xml:space="preserve"> </v>
      </c>
      <c r="Y571" s="1069" t="str">
        <f t="shared" ca="1" si="149"/>
        <v xml:space="preserve"> </v>
      </c>
      <c r="Z571" s="1069" t="str">
        <f t="shared" ca="1" si="149"/>
        <v xml:space="preserve"> </v>
      </c>
      <c r="AA571" s="1069" t="str">
        <f t="shared" ca="1" si="149"/>
        <v xml:space="preserve"> </v>
      </c>
    </row>
    <row r="572" spans="1:27" ht="9.9499999999999993" customHeight="1">
      <c r="A572" s="1069">
        <v>48</v>
      </c>
      <c r="D572" s="1069" t="str">
        <f t="shared" ref="D572:AA572" ca="1" si="150">IF(ISNUMBER(D571),IF(D571+2&lt;E$726,IF(ISNA(MATCH("Y",INDIRECT("Skills!"&amp;$C$523&amp;D571+1&amp;":"&amp;$C$523&amp;E$726),0))," ",MATCH("Y",INDIRECT("Skills!"&amp;$C$523&amp;D571+1&amp;":"&amp;$C$523&amp;E$726),0)+D571)," ")," ")</f>
        <v xml:space="preserve"> </v>
      </c>
      <c r="E572" s="1069" t="str">
        <f t="shared" ca="1" si="150"/>
        <v xml:space="preserve"> </v>
      </c>
      <c r="F572" s="1069" t="str">
        <f t="shared" ca="1" si="150"/>
        <v xml:space="preserve"> </v>
      </c>
      <c r="G572" s="1069" t="str">
        <f t="shared" ca="1" si="150"/>
        <v xml:space="preserve"> </v>
      </c>
      <c r="H572" s="1069" t="str">
        <f t="shared" ca="1" si="150"/>
        <v xml:space="preserve"> </v>
      </c>
      <c r="I572" s="1069">
        <f t="shared" ca="1" si="150"/>
        <v>201</v>
      </c>
      <c r="J572" s="1069" t="str">
        <f t="shared" ca="1" si="150"/>
        <v xml:space="preserve"> </v>
      </c>
      <c r="K572" s="1069">
        <f t="shared" ca="1" si="150"/>
        <v>286</v>
      </c>
      <c r="L572" s="1069">
        <f t="shared" ca="1" si="150"/>
        <v>349</v>
      </c>
      <c r="M572" s="1069">
        <f t="shared" ca="1" si="150"/>
        <v>442</v>
      </c>
      <c r="N572" s="1069">
        <f t="shared" ca="1" si="150"/>
        <v>525</v>
      </c>
      <c r="O572" s="1069" t="str">
        <f t="shared" ca="1" si="150"/>
        <v xml:space="preserve"> </v>
      </c>
      <c r="P572" s="1069">
        <f t="shared" ca="1" si="150"/>
        <v>635</v>
      </c>
      <c r="Q572" s="1069" t="str">
        <f t="shared" ca="1" si="150"/>
        <v xml:space="preserve"> </v>
      </c>
      <c r="R572" s="1069" t="str">
        <f t="shared" ca="1" si="150"/>
        <v xml:space="preserve"> </v>
      </c>
      <c r="S572" s="1069" t="str">
        <f t="shared" ca="1" si="150"/>
        <v xml:space="preserve"> </v>
      </c>
      <c r="T572" s="1069" t="str">
        <f t="shared" ca="1" si="150"/>
        <v xml:space="preserve"> </v>
      </c>
      <c r="U572" s="1069" t="str">
        <f t="shared" ca="1" si="150"/>
        <v xml:space="preserve"> </v>
      </c>
      <c r="V572" s="1069" t="str">
        <f t="shared" ca="1" si="150"/>
        <v xml:space="preserve"> </v>
      </c>
      <c r="W572" s="1069" t="str">
        <f t="shared" ca="1" si="150"/>
        <v xml:space="preserve"> </v>
      </c>
      <c r="X572" s="1069" t="str">
        <f t="shared" ca="1" si="150"/>
        <v xml:space="preserve"> </v>
      </c>
      <c r="Y572" s="1069" t="str">
        <f t="shared" ca="1" si="150"/>
        <v xml:space="preserve"> </v>
      </c>
      <c r="Z572" s="1069" t="str">
        <f t="shared" ca="1" si="150"/>
        <v xml:space="preserve"> </v>
      </c>
      <c r="AA572" s="1069" t="str">
        <f t="shared" ca="1" si="150"/>
        <v xml:space="preserve"> </v>
      </c>
    </row>
    <row r="573" spans="1:27" ht="9.9499999999999993" customHeight="1">
      <c r="A573" s="1069">
        <v>49</v>
      </c>
      <c r="D573" s="1069" t="str">
        <f t="shared" ref="D573:AA573" ca="1" si="151">IF(ISNUMBER(D572),IF(D572+2&lt;E$726,IF(ISNA(MATCH("Y",INDIRECT("Skills!"&amp;$C$523&amp;D572+1&amp;":"&amp;$C$523&amp;E$726),0))," ",MATCH("Y",INDIRECT("Skills!"&amp;$C$523&amp;D572+1&amp;":"&amp;$C$523&amp;E$726),0)+D572)," ")," ")</f>
        <v xml:space="preserve"> </v>
      </c>
      <c r="E573" s="1069" t="str">
        <f t="shared" ca="1" si="151"/>
        <v xml:space="preserve"> </v>
      </c>
      <c r="F573" s="1069" t="str">
        <f t="shared" ca="1" si="151"/>
        <v xml:space="preserve"> </v>
      </c>
      <c r="G573" s="1069" t="str">
        <f t="shared" ca="1" si="151"/>
        <v xml:space="preserve"> </v>
      </c>
      <c r="H573" s="1069" t="str">
        <f t="shared" ca="1" si="151"/>
        <v xml:space="preserve"> </v>
      </c>
      <c r="I573" s="1069">
        <f t="shared" ca="1" si="151"/>
        <v>202</v>
      </c>
      <c r="J573" s="1069" t="str">
        <f t="shared" ca="1" si="151"/>
        <v xml:space="preserve"> </v>
      </c>
      <c r="K573" s="1069">
        <f t="shared" ca="1" si="151"/>
        <v>287</v>
      </c>
      <c r="L573" s="1069">
        <f t="shared" ca="1" si="151"/>
        <v>350</v>
      </c>
      <c r="M573" s="1069">
        <f t="shared" ca="1" si="151"/>
        <v>443</v>
      </c>
      <c r="N573" s="1069">
        <f t="shared" ca="1" si="151"/>
        <v>526</v>
      </c>
      <c r="O573" s="1069" t="str">
        <f t="shared" ca="1" si="151"/>
        <v xml:space="preserve"> </v>
      </c>
      <c r="P573" s="1069">
        <f t="shared" ca="1" si="151"/>
        <v>636</v>
      </c>
      <c r="Q573" s="1069" t="str">
        <f t="shared" ca="1" si="151"/>
        <v xml:space="preserve"> </v>
      </c>
      <c r="R573" s="1069" t="str">
        <f t="shared" ca="1" si="151"/>
        <v xml:space="preserve"> </v>
      </c>
      <c r="S573" s="1069" t="str">
        <f t="shared" ca="1" si="151"/>
        <v xml:space="preserve"> </v>
      </c>
      <c r="T573" s="1069" t="str">
        <f t="shared" ca="1" si="151"/>
        <v xml:space="preserve"> </v>
      </c>
      <c r="U573" s="1069" t="str">
        <f t="shared" ca="1" si="151"/>
        <v xml:space="preserve"> </v>
      </c>
      <c r="V573" s="1069" t="str">
        <f t="shared" ca="1" si="151"/>
        <v xml:space="preserve"> </v>
      </c>
      <c r="W573" s="1069" t="str">
        <f t="shared" ca="1" si="151"/>
        <v xml:space="preserve"> </v>
      </c>
      <c r="X573" s="1069" t="str">
        <f t="shared" ca="1" si="151"/>
        <v xml:space="preserve"> </v>
      </c>
      <c r="Y573" s="1069" t="str">
        <f t="shared" ca="1" si="151"/>
        <v xml:space="preserve"> </v>
      </c>
      <c r="Z573" s="1069" t="str">
        <f t="shared" ca="1" si="151"/>
        <v xml:space="preserve"> </v>
      </c>
      <c r="AA573" s="1069" t="str">
        <f t="shared" ca="1" si="151"/>
        <v xml:space="preserve"> </v>
      </c>
    </row>
    <row r="574" spans="1:27" ht="9.9499999999999993" customHeight="1">
      <c r="A574" s="1069">
        <v>50</v>
      </c>
      <c r="D574" s="1069" t="str">
        <f t="shared" ref="D574:AA574" ca="1" si="152">IF(ISNUMBER(D573),IF(D573+2&lt;E$726,IF(ISNA(MATCH("Y",INDIRECT("Skills!"&amp;$C$523&amp;D573+1&amp;":"&amp;$C$523&amp;E$726),0))," ",MATCH("Y",INDIRECT("Skills!"&amp;$C$523&amp;D573+1&amp;":"&amp;$C$523&amp;E$726),0)+D573)," ")," ")</f>
        <v xml:space="preserve"> </v>
      </c>
      <c r="E574" s="1069" t="str">
        <f t="shared" ca="1" si="152"/>
        <v xml:space="preserve"> </v>
      </c>
      <c r="F574" s="1069" t="str">
        <f t="shared" ca="1" si="152"/>
        <v xml:space="preserve"> </v>
      </c>
      <c r="G574" s="1069" t="str">
        <f t="shared" ca="1" si="152"/>
        <v xml:space="preserve"> </v>
      </c>
      <c r="H574" s="1069" t="str">
        <f t="shared" ca="1" si="152"/>
        <v xml:space="preserve"> </v>
      </c>
      <c r="I574" s="1069">
        <f t="shared" ca="1" si="152"/>
        <v>205</v>
      </c>
      <c r="J574" s="1069" t="str">
        <f t="shared" ca="1" si="152"/>
        <v xml:space="preserve"> </v>
      </c>
      <c r="K574" s="1069">
        <f t="shared" ca="1" si="152"/>
        <v>288</v>
      </c>
      <c r="L574" s="1069">
        <f t="shared" ca="1" si="152"/>
        <v>351</v>
      </c>
      <c r="M574" s="1069">
        <f t="shared" ca="1" si="152"/>
        <v>444</v>
      </c>
      <c r="N574" s="1069">
        <f t="shared" ca="1" si="152"/>
        <v>527</v>
      </c>
      <c r="O574" s="1069" t="str">
        <f t="shared" ca="1" si="152"/>
        <v xml:space="preserve"> </v>
      </c>
      <c r="P574" s="1069">
        <f t="shared" ca="1" si="152"/>
        <v>637</v>
      </c>
      <c r="Q574" s="1069" t="str">
        <f t="shared" ca="1" si="152"/>
        <v xml:space="preserve"> </v>
      </c>
      <c r="R574" s="1069" t="str">
        <f t="shared" ca="1" si="152"/>
        <v xml:space="preserve"> </v>
      </c>
      <c r="S574" s="1069" t="str">
        <f t="shared" ca="1" si="152"/>
        <v xml:space="preserve"> </v>
      </c>
      <c r="T574" s="1069" t="str">
        <f t="shared" ca="1" si="152"/>
        <v xml:space="preserve"> </v>
      </c>
      <c r="U574" s="1069" t="str">
        <f t="shared" ca="1" si="152"/>
        <v xml:space="preserve"> </v>
      </c>
      <c r="V574" s="1069" t="str">
        <f t="shared" ca="1" si="152"/>
        <v xml:space="preserve"> </v>
      </c>
      <c r="W574" s="1069" t="str">
        <f t="shared" ca="1" si="152"/>
        <v xml:space="preserve"> </v>
      </c>
      <c r="X574" s="1069" t="str">
        <f t="shared" ca="1" si="152"/>
        <v xml:space="preserve"> </v>
      </c>
      <c r="Y574" s="1069" t="str">
        <f t="shared" ca="1" si="152"/>
        <v xml:space="preserve"> </v>
      </c>
      <c r="Z574" s="1069" t="str">
        <f t="shared" ca="1" si="152"/>
        <v xml:space="preserve"> </v>
      </c>
      <c r="AA574" s="1069" t="str">
        <f t="shared" ca="1" si="152"/>
        <v xml:space="preserve"> </v>
      </c>
    </row>
    <row r="575" spans="1:27" ht="9.9499999999999993" customHeight="1">
      <c r="A575" s="1069">
        <v>51</v>
      </c>
      <c r="D575" s="1069" t="str">
        <f t="shared" ref="D575:AA575" ca="1" si="153">IF(ISNUMBER(D574),IF(D574+2&lt;E$726,IF(ISNA(MATCH("Y",INDIRECT("Skills!"&amp;$C$523&amp;D574+1&amp;":"&amp;$C$523&amp;E$726),0))," ",MATCH("Y",INDIRECT("Skills!"&amp;$C$523&amp;D574+1&amp;":"&amp;$C$523&amp;E$726),0)+D574)," ")," ")</f>
        <v xml:space="preserve"> </v>
      </c>
      <c r="E575" s="1069" t="str">
        <f t="shared" ca="1" si="153"/>
        <v xml:space="preserve"> </v>
      </c>
      <c r="F575" s="1069" t="str">
        <f t="shared" ca="1" si="153"/>
        <v xml:space="preserve"> </v>
      </c>
      <c r="G575" s="1069" t="str">
        <f t="shared" ca="1" si="153"/>
        <v xml:space="preserve"> </v>
      </c>
      <c r="H575" s="1069" t="str">
        <f t="shared" ca="1" si="153"/>
        <v xml:space="preserve"> </v>
      </c>
      <c r="I575" s="1069">
        <f t="shared" ca="1" si="153"/>
        <v>207</v>
      </c>
      <c r="J575" s="1069" t="str">
        <f t="shared" ca="1" si="153"/>
        <v xml:space="preserve"> </v>
      </c>
      <c r="K575" s="1069">
        <f t="shared" ca="1" si="153"/>
        <v>289</v>
      </c>
      <c r="L575" s="1069">
        <f t="shared" ca="1" si="153"/>
        <v>352</v>
      </c>
      <c r="M575" s="1069">
        <f t="shared" ca="1" si="153"/>
        <v>445</v>
      </c>
      <c r="N575" s="1069">
        <f t="shared" ca="1" si="153"/>
        <v>528</v>
      </c>
      <c r="O575" s="1069" t="str">
        <f t="shared" ca="1" si="153"/>
        <v xml:space="preserve"> </v>
      </c>
      <c r="P575" s="1069">
        <f t="shared" ca="1" si="153"/>
        <v>638</v>
      </c>
      <c r="Q575" s="1069" t="str">
        <f t="shared" ca="1" si="153"/>
        <v xml:space="preserve"> </v>
      </c>
      <c r="R575" s="1069" t="str">
        <f t="shared" ca="1" si="153"/>
        <v xml:space="preserve"> </v>
      </c>
      <c r="S575" s="1069" t="str">
        <f t="shared" ca="1" si="153"/>
        <v xml:space="preserve"> </v>
      </c>
      <c r="T575" s="1069" t="str">
        <f t="shared" ca="1" si="153"/>
        <v xml:space="preserve"> </v>
      </c>
      <c r="U575" s="1069" t="str">
        <f t="shared" ca="1" si="153"/>
        <v xml:space="preserve"> </v>
      </c>
      <c r="V575" s="1069" t="str">
        <f t="shared" ca="1" si="153"/>
        <v xml:space="preserve"> </v>
      </c>
      <c r="W575" s="1069" t="str">
        <f t="shared" ca="1" si="153"/>
        <v xml:space="preserve"> </v>
      </c>
      <c r="X575" s="1069" t="str">
        <f t="shared" ca="1" si="153"/>
        <v xml:space="preserve"> </v>
      </c>
      <c r="Y575" s="1069" t="str">
        <f t="shared" ca="1" si="153"/>
        <v xml:space="preserve"> </v>
      </c>
      <c r="Z575" s="1069" t="str">
        <f t="shared" ca="1" si="153"/>
        <v xml:space="preserve"> </v>
      </c>
      <c r="AA575" s="1069" t="str">
        <f t="shared" ca="1" si="153"/>
        <v xml:space="preserve"> </v>
      </c>
    </row>
    <row r="576" spans="1:27" ht="9.9499999999999993" customHeight="1">
      <c r="A576" s="1069">
        <v>52</v>
      </c>
      <c r="D576" s="1069" t="str">
        <f t="shared" ref="D576:AA576" ca="1" si="154">IF(ISNUMBER(D575),IF(D575+2&lt;E$726,IF(ISNA(MATCH("Y",INDIRECT("Skills!"&amp;$C$523&amp;D575+1&amp;":"&amp;$C$523&amp;E$726),0))," ",MATCH("Y",INDIRECT("Skills!"&amp;$C$523&amp;D575+1&amp;":"&amp;$C$523&amp;E$726),0)+D575)," ")," ")</f>
        <v xml:space="preserve"> </v>
      </c>
      <c r="E576" s="1069" t="str">
        <f t="shared" ca="1" si="154"/>
        <v xml:space="preserve"> </v>
      </c>
      <c r="F576" s="1069" t="str">
        <f t="shared" ca="1" si="154"/>
        <v xml:space="preserve"> </v>
      </c>
      <c r="G576" s="1069" t="str">
        <f t="shared" ca="1" si="154"/>
        <v xml:space="preserve"> </v>
      </c>
      <c r="H576" s="1069" t="str">
        <f t="shared" ca="1" si="154"/>
        <v xml:space="preserve"> </v>
      </c>
      <c r="I576" s="1069">
        <f t="shared" ca="1" si="154"/>
        <v>208</v>
      </c>
      <c r="J576" s="1069" t="str">
        <f t="shared" ca="1" si="154"/>
        <v xml:space="preserve"> </v>
      </c>
      <c r="K576" s="1069">
        <f t="shared" ca="1" si="154"/>
        <v>290</v>
      </c>
      <c r="L576" s="1069">
        <f t="shared" ca="1" si="154"/>
        <v>353</v>
      </c>
      <c r="M576" s="1069">
        <f t="shared" ca="1" si="154"/>
        <v>446</v>
      </c>
      <c r="N576" s="1069">
        <f t="shared" ca="1" si="154"/>
        <v>529</v>
      </c>
      <c r="O576" s="1069" t="str">
        <f t="shared" ca="1" si="154"/>
        <v xml:space="preserve"> </v>
      </c>
      <c r="P576" s="1069">
        <f t="shared" ca="1" si="154"/>
        <v>639</v>
      </c>
      <c r="Q576" s="1069" t="str">
        <f t="shared" ca="1" si="154"/>
        <v xml:space="preserve"> </v>
      </c>
      <c r="R576" s="1069" t="str">
        <f t="shared" ca="1" si="154"/>
        <v xml:space="preserve"> </v>
      </c>
      <c r="S576" s="1069" t="str">
        <f t="shared" ca="1" si="154"/>
        <v xml:space="preserve"> </v>
      </c>
      <c r="T576" s="1069" t="str">
        <f t="shared" ca="1" si="154"/>
        <v xml:space="preserve"> </v>
      </c>
      <c r="U576" s="1069" t="str">
        <f t="shared" ca="1" si="154"/>
        <v xml:space="preserve"> </v>
      </c>
      <c r="V576" s="1069" t="str">
        <f t="shared" ca="1" si="154"/>
        <v xml:space="preserve"> </v>
      </c>
      <c r="W576" s="1069" t="str">
        <f t="shared" ca="1" si="154"/>
        <v xml:space="preserve"> </v>
      </c>
      <c r="X576" s="1069" t="str">
        <f t="shared" ca="1" si="154"/>
        <v xml:space="preserve"> </v>
      </c>
      <c r="Y576" s="1069" t="str">
        <f t="shared" ca="1" si="154"/>
        <v xml:space="preserve"> </v>
      </c>
      <c r="Z576" s="1069" t="str">
        <f t="shared" ca="1" si="154"/>
        <v xml:space="preserve"> </v>
      </c>
      <c r="AA576" s="1069" t="str">
        <f t="shared" ca="1" si="154"/>
        <v xml:space="preserve"> </v>
      </c>
    </row>
    <row r="577" spans="1:27" ht="9.9499999999999993" customHeight="1">
      <c r="A577" s="1069">
        <v>53</v>
      </c>
      <c r="D577" s="1069" t="str">
        <f t="shared" ref="D577:AA577" ca="1" si="155">IF(ISNUMBER(D576),IF(D576+2&lt;E$726,IF(ISNA(MATCH("Y",INDIRECT("Skills!"&amp;$C$523&amp;D576+1&amp;":"&amp;$C$523&amp;E$726),0))," ",MATCH("Y",INDIRECT("Skills!"&amp;$C$523&amp;D576+1&amp;":"&amp;$C$523&amp;E$726),0)+D576)," ")," ")</f>
        <v xml:space="preserve"> </v>
      </c>
      <c r="E577" s="1069" t="str">
        <f t="shared" ca="1" si="155"/>
        <v xml:space="preserve"> </v>
      </c>
      <c r="F577" s="1069" t="str">
        <f t="shared" ca="1" si="155"/>
        <v xml:space="preserve"> </v>
      </c>
      <c r="G577" s="1069" t="str">
        <f t="shared" ca="1" si="155"/>
        <v xml:space="preserve"> </v>
      </c>
      <c r="H577" s="1069" t="str">
        <f t="shared" ca="1" si="155"/>
        <v xml:space="preserve"> </v>
      </c>
      <c r="I577" s="1069">
        <f t="shared" ca="1" si="155"/>
        <v>209</v>
      </c>
      <c r="J577" s="1069" t="str">
        <f t="shared" ca="1" si="155"/>
        <v xml:space="preserve"> </v>
      </c>
      <c r="K577" s="1069">
        <f t="shared" ca="1" si="155"/>
        <v>291</v>
      </c>
      <c r="L577" s="1069">
        <f t="shared" ca="1" si="155"/>
        <v>354</v>
      </c>
      <c r="M577" s="1069">
        <f t="shared" ca="1" si="155"/>
        <v>447</v>
      </c>
      <c r="N577" s="1069">
        <f t="shared" ca="1" si="155"/>
        <v>530</v>
      </c>
      <c r="O577" s="1069" t="str">
        <f t="shared" ca="1" si="155"/>
        <v xml:space="preserve"> </v>
      </c>
      <c r="P577" s="1069">
        <f t="shared" ca="1" si="155"/>
        <v>640</v>
      </c>
      <c r="Q577" s="1069" t="str">
        <f t="shared" ca="1" si="155"/>
        <v xml:space="preserve"> </v>
      </c>
      <c r="R577" s="1069" t="str">
        <f t="shared" ca="1" si="155"/>
        <v xml:space="preserve"> </v>
      </c>
      <c r="S577" s="1069" t="str">
        <f t="shared" ca="1" si="155"/>
        <v xml:space="preserve"> </v>
      </c>
      <c r="T577" s="1069" t="str">
        <f t="shared" ca="1" si="155"/>
        <v xml:space="preserve"> </v>
      </c>
      <c r="U577" s="1069" t="str">
        <f t="shared" ca="1" si="155"/>
        <v xml:space="preserve"> </v>
      </c>
      <c r="V577" s="1069" t="str">
        <f t="shared" ca="1" si="155"/>
        <v xml:space="preserve"> </v>
      </c>
      <c r="W577" s="1069" t="str">
        <f t="shared" ca="1" si="155"/>
        <v xml:space="preserve"> </v>
      </c>
      <c r="X577" s="1069" t="str">
        <f t="shared" ca="1" si="155"/>
        <v xml:space="preserve"> </v>
      </c>
      <c r="Y577" s="1069" t="str">
        <f t="shared" ca="1" si="155"/>
        <v xml:space="preserve"> </v>
      </c>
      <c r="Z577" s="1069" t="str">
        <f t="shared" ca="1" si="155"/>
        <v xml:space="preserve"> </v>
      </c>
      <c r="AA577" s="1069" t="str">
        <f t="shared" ca="1" si="155"/>
        <v xml:space="preserve"> </v>
      </c>
    </row>
    <row r="578" spans="1:27" ht="9.9499999999999993" customHeight="1">
      <c r="A578" s="1069">
        <v>54</v>
      </c>
      <c r="D578" s="1069" t="str">
        <f t="shared" ref="D578:AA578" ca="1" si="156">IF(ISNUMBER(D577),IF(D577+2&lt;E$726,IF(ISNA(MATCH("Y",INDIRECT("Skills!"&amp;$C$523&amp;D577+1&amp;":"&amp;$C$523&amp;E$726),0))," ",MATCH("Y",INDIRECT("Skills!"&amp;$C$523&amp;D577+1&amp;":"&amp;$C$523&amp;E$726),0)+D577)," ")," ")</f>
        <v xml:space="preserve"> </v>
      </c>
      <c r="E578" s="1069" t="str">
        <f t="shared" ca="1" si="156"/>
        <v xml:space="preserve"> </v>
      </c>
      <c r="F578" s="1069" t="str">
        <f t="shared" ca="1" si="156"/>
        <v xml:space="preserve"> </v>
      </c>
      <c r="G578" s="1069" t="str">
        <f t="shared" ca="1" si="156"/>
        <v xml:space="preserve"> </v>
      </c>
      <c r="H578" s="1069" t="str">
        <f t="shared" ca="1" si="156"/>
        <v xml:space="preserve"> </v>
      </c>
      <c r="I578" s="1069">
        <f t="shared" ca="1" si="156"/>
        <v>210</v>
      </c>
      <c r="J578" s="1069" t="str">
        <f t="shared" ca="1" si="156"/>
        <v xml:space="preserve"> </v>
      </c>
      <c r="K578" s="1069">
        <f t="shared" ca="1" si="156"/>
        <v>292</v>
      </c>
      <c r="L578" s="1069">
        <f t="shared" ca="1" si="156"/>
        <v>355</v>
      </c>
      <c r="M578" s="1069">
        <f t="shared" ca="1" si="156"/>
        <v>448</v>
      </c>
      <c r="N578" s="1069">
        <f t="shared" ca="1" si="156"/>
        <v>531</v>
      </c>
      <c r="O578" s="1069" t="str">
        <f t="shared" ca="1" si="156"/>
        <v xml:space="preserve"> </v>
      </c>
      <c r="P578" s="1069">
        <f t="shared" ca="1" si="156"/>
        <v>641</v>
      </c>
      <c r="Q578" s="1069" t="str">
        <f t="shared" ca="1" si="156"/>
        <v xml:space="preserve"> </v>
      </c>
      <c r="R578" s="1069" t="str">
        <f t="shared" ca="1" si="156"/>
        <v xml:space="preserve"> </v>
      </c>
      <c r="S578" s="1069" t="str">
        <f t="shared" ca="1" si="156"/>
        <v xml:space="preserve"> </v>
      </c>
      <c r="T578" s="1069" t="str">
        <f t="shared" ca="1" si="156"/>
        <v xml:space="preserve"> </v>
      </c>
      <c r="U578" s="1069" t="str">
        <f t="shared" ca="1" si="156"/>
        <v xml:space="preserve"> </v>
      </c>
      <c r="V578" s="1069" t="str">
        <f t="shared" ca="1" si="156"/>
        <v xml:space="preserve"> </v>
      </c>
      <c r="W578" s="1069" t="str">
        <f t="shared" ca="1" si="156"/>
        <v xml:space="preserve"> </v>
      </c>
      <c r="X578" s="1069" t="str">
        <f t="shared" ca="1" si="156"/>
        <v xml:space="preserve"> </v>
      </c>
      <c r="Y578" s="1069" t="str">
        <f t="shared" ca="1" si="156"/>
        <v xml:space="preserve"> </v>
      </c>
      <c r="Z578" s="1069" t="str">
        <f t="shared" ca="1" si="156"/>
        <v xml:space="preserve"> </v>
      </c>
      <c r="AA578" s="1069" t="str">
        <f t="shared" ca="1" si="156"/>
        <v xml:space="preserve"> </v>
      </c>
    </row>
    <row r="579" spans="1:27" ht="9.9499999999999993" customHeight="1">
      <c r="A579" s="1069">
        <v>55</v>
      </c>
      <c r="D579" s="1069" t="str">
        <f t="shared" ref="D579:AA579" ca="1" si="157">IF(ISNUMBER(D578),IF(D578+2&lt;E$726,IF(ISNA(MATCH("Y",INDIRECT("Skills!"&amp;$C$523&amp;D578+1&amp;":"&amp;$C$523&amp;E$726),0))," ",MATCH("Y",INDIRECT("Skills!"&amp;$C$523&amp;D578+1&amp;":"&amp;$C$523&amp;E$726),0)+D578)," ")," ")</f>
        <v xml:space="preserve"> </v>
      </c>
      <c r="E579" s="1069" t="str">
        <f t="shared" ca="1" si="157"/>
        <v xml:space="preserve"> </v>
      </c>
      <c r="F579" s="1069" t="str">
        <f t="shared" ca="1" si="157"/>
        <v xml:space="preserve"> </v>
      </c>
      <c r="G579" s="1069" t="str">
        <f t="shared" ca="1" si="157"/>
        <v xml:space="preserve"> </v>
      </c>
      <c r="H579" s="1069" t="str">
        <f t="shared" ca="1" si="157"/>
        <v xml:space="preserve"> </v>
      </c>
      <c r="I579" s="1069">
        <f t="shared" ca="1" si="157"/>
        <v>211</v>
      </c>
      <c r="J579" s="1069" t="str">
        <f t="shared" ca="1" si="157"/>
        <v xml:space="preserve"> </v>
      </c>
      <c r="K579" s="1069">
        <f t="shared" ca="1" si="157"/>
        <v>294</v>
      </c>
      <c r="L579" s="1069">
        <f t="shared" ca="1" si="157"/>
        <v>356</v>
      </c>
      <c r="M579" s="1069">
        <f t="shared" ca="1" si="157"/>
        <v>449</v>
      </c>
      <c r="N579" s="1069">
        <f t="shared" ca="1" si="157"/>
        <v>532</v>
      </c>
      <c r="O579" s="1069" t="str">
        <f t="shared" ca="1" si="157"/>
        <v xml:space="preserve"> </v>
      </c>
      <c r="P579" s="1069">
        <f t="shared" ca="1" si="157"/>
        <v>642</v>
      </c>
      <c r="Q579" s="1069" t="str">
        <f t="shared" ca="1" si="157"/>
        <v xml:space="preserve"> </v>
      </c>
      <c r="R579" s="1069" t="str">
        <f t="shared" ca="1" si="157"/>
        <v xml:space="preserve"> </v>
      </c>
      <c r="S579" s="1069" t="str">
        <f t="shared" ca="1" si="157"/>
        <v xml:space="preserve"> </v>
      </c>
      <c r="T579" s="1069" t="str">
        <f t="shared" ca="1" si="157"/>
        <v xml:space="preserve"> </v>
      </c>
      <c r="U579" s="1069" t="str">
        <f t="shared" ca="1" si="157"/>
        <v xml:space="preserve"> </v>
      </c>
      <c r="V579" s="1069" t="str">
        <f t="shared" ca="1" si="157"/>
        <v xml:space="preserve"> </v>
      </c>
      <c r="W579" s="1069" t="str">
        <f t="shared" ca="1" si="157"/>
        <v xml:space="preserve"> </v>
      </c>
      <c r="X579" s="1069" t="str">
        <f t="shared" ca="1" si="157"/>
        <v xml:space="preserve"> </v>
      </c>
      <c r="Y579" s="1069" t="str">
        <f t="shared" ca="1" si="157"/>
        <v xml:space="preserve"> </v>
      </c>
      <c r="Z579" s="1069" t="str">
        <f t="shared" ca="1" si="157"/>
        <v xml:space="preserve"> </v>
      </c>
      <c r="AA579" s="1069" t="str">
        <f t="shared" ca="1" si="157"/>
        <v xml:space="preserve"> </v>
      </c>
    </row>
    <row r="580" spans="1:27" ht="9.9499999999999993" customHeight="1">
      <c r="A580" s="1069">
        <v>56</v>
      </c>
      <c r="D580" s="1069" t="str">
        <f t="shared" ref="D580:AA580" ca="1" si="158">IF(ISNUMBER(D579),IF(D579+2&lt;E$726,IF(ISNA(MATCH("Y",INDIRECT("Skills!"&amp;$C$523&amp;D579+1&amp;":"&amp;$C$523&amp;E$726),0))," ",MATCH("Y",INDIRECT("Skills!"&amp;$C$523&amp;D579+1&amp;":"&amp;$C$523&amp;E$726),0)+D579)," ")," ")</f>
        <v xml:space="preserve"> </v>
      </c>
      <c r="E580" s="1069" t="str">
        <f t="shared" ca="1" si="158"/>
        <v xml:space="preserve"> </v>
      </c>
      <c r="F580" s="1069" t="str">
        <f t="shared" ca="1" si="158"/>
        <v xml:space="preserve"> </v>
      </c>
      <c r="G580" s="1069" t="str">
        <f t="shared" ca="1" si="158"/>
        <v xml:space="preserve"> </v>
      </c>
      <c r="H580" s="1069" t="str">
        <f t="shared" ca="1" si="158"/>
        <v xml:space="preserve"> </v>
      </c>
      <c r="I580" s="1069" t="str">
        <f t="shared" ca="1" si="158"/>
        <v xml:space="preserve"> </v>
      </c>
      <c r="J580" s="1069" t="str">
        <f t="shared" ca="1" si="158"/>
        <v xml:space="preserve"> </v>
      </c>
      <c r="K580" s="1069">
        <f t="shared" ca="1" si="158"/>
        <v>295</v>
      </c>
      <c r="L580" s="1069">
        <f t="shared" ca="1" si="158"/>
        <v>357</v>
      </c>
      <c r="M580" s="1069">
        <f t="shared" ca="1" si="158"/>
        <v>450</v>
      </c>
      <c r="N580" s="1069">
        <f t="shared" ca="1" si="158"/>
        <v>533</v>
      </c>
      <c r="O580" s="1069" t="str">
        <f t="shared" ca="1" si="158"/>
        <v xml:space="preserve"> </v>
      </c>
      <c r="P580" s="1069">
        <f t="shared" ca="1" si="158"/>
        <v>643</v>
      </c>
      <c r="Q580" s="1069" t="str">
        <f t="shared" ca="1" si="158"/>
        <v xml:space="preserve"> </v>
      </c>
      <c r="R580" s="1069" t="str">
        <f t="shared" ca="1" si="158"/>
        <v xml:space="preserve"> </v>
      </c>
      <c r="S580" s="1069" t="str">
        <f t="shared" ca="1" si="158"/>
        <v xml:space="preserve"> </v>
      </c>
      <c r="T580" s="1069" t="str">
        <f t="shared" ca="1" si="158"/>
        <v xml:space="preserve"> </v>
      </c>
      <c r="U580" s="1069" t="str">
        <f t="shared" ca="1" si="158"/>
        <v xml:space="preserve"> </v>
      </c>
      <c r="V580" s="1069" t="str">
        <f t="shared" ca="1" si="158"/>
        <v xml:space="preserve"> </v>
      </c>
      <c r="W580" s="1069" t="str">
        <f t="shared" ca="1" si="158"/>
        <v xml:space="preserve"> </v>
      </c>
      <c r="X580" s="1069" t="str">
        <f t="shared" ca="1" si="158"/>
        <v xml:space="preserve"> </v>
      </c>
      <c r="Y580" s="1069" t="str">
        <f t="shared" ca="1" si="158"/>
        <v xml:space="preserve"> </v>
      </c>
      <c r="Z580" s="1069" t="str">
        <f t="shared" ca="1" si="158"/>
        <v xml:space="preserve"> </v>
      </c>
      <c r="AA580" s="1069" t="str">
        <f t="shared" ca="1" si="158"/>
        <v xml:space="preserve"> </v>
      </c>
    </row>
    <row r="581" spans="1:27" ht="9.9499999999999993" customHeight="1">
      <c r="A581" s="1069">
        <v>57</v>
      </c>
      <c r="D581" s="1069" t="str">
        <f t="shared" ref="D581:AA581" ca="1" si="159">IF(ISNUMBER(D580),IF(D580+2&lt;E$726,IF(ISNA(MATCH("Y",INDIRECT("Skills!"&amp;$C$523&amp;D580+1&amp;":"&amp;$C$523&amp;E$726),0))," ",MATCH("Y",INDIRECT("Skills!"&amp;$C$523&amp;D580+1&amp;":"&amp;$C$523&amp;E$726),0)+D580)," ")," ")</f>
        <v xml:space="preserve"> </v>
      </c>
      <c r="E581" s="1069" t="str">
        <f t="shared" ca="1" si="159"/>
        <v xml:space="preserve"> </v>
      </c>
      <c r="F581" s="1069" t="str">
        <f t="shared" ca="1" si="159"/>
        <v xml:space="preserve"> </v>
      </c>
      <c r="G581" s="1069" t="str">
        <f t="shared" ca="1" si="159"/>
        <v xml:space="preserve"> </v>
      </c>
      <c r="H581" s="1069" t="str">
        <f t="shared" ca="1" si="159"/>
        <v xml:space="preserve"> </v>
      </c>
      <c r="I581" s="1069" t="str">
        <f t="shared" ca="1" si="159"/>
        <v xml:space="preserve"> </v>
      </c>
      <c r="J581" s="1069" t="str">
        <f t="shared" ca="1" si="159"/>
        <v xml:space="preserve"> </v>
      </c>
      <c r="K581" s="1069" t="str">
        <f t="shared" ca="1" si="159"/>
        <v xml:space="preserve"> </v>
      </c>
      <c r="L581" s="1069">
        <f t="shared" ca="1" si="159"/>
        <v>358</v>
      </c>
      <c r="M581" s="1069">
        <f t="shared" ca="1" si="159"/>
        <v>451</v>
      </c>
      <c r="N581" s="1069">
        <f t="shared" ca="1" si="159"/>
        <v>534</v>
      </c>
      <c r="O581" s="1069" t="str">
        <f t="shared" ca="1" si="159"/>
        <v xml:space="preserve"> </v>
      </c>
      <c r="P581" s="1069">
        <f t="shared" ca="1" si="159"/>
        <v>644</v>
      </c>
      <c r="Q581" s="1069" t="str">
        <f t="shared" ca="1" si="159"/>
        <v xml:space="preserve"> </v>
      </c>
      <c r="R581" s="1069" t="str">
        <f t="shared" ca="1" si="159"/>
        <v xml:space="preserve"> </v>
      </c>
      <c r="S581" s="1069" t="str">
        <f t="shared" ca="1" si="159"/>
        <v xml:space="preserve"> </v>
      </c>
      <c r="T581" s="1069" t="str">
        <f t="shared" ca="1" si="159"/>
        <v xml:space="preserve"> </v>
      </c>
      <c r="U581" s="1069" t="str">
        <f t="shared" ca="1" si="159"/>
        <v xml:space="preserve"> </v>
      </c>
      <c r="V581" s="1069" t="str">
        <f t="shared" ca="1" si="159"/>
        <v xml:space="preserve"> </v>
      </c>
      <c r="W581" s="1069" t="str">
        <f t="shared" ca="1" si="159"/>
        <v xml:space="preserve"> </v>
      </c>
      <c r="X581" s="1069" t="str">
        <f t="shared" ca="1" si="159"/>
        <v xml:space="preserve"> </v>
      </c>
      <c r="Y581" s="1069" t="str">
        <f t="shared" ca="1" si="159"/>
        <v xml:space="preserve"> </v>
      </c>
      <c r="Z581" s="1069" t="str">
        <f t="shared" ca="1" si="159"/>
        <v xml:space="preserve"> </v>
      </c>
      <c r="AA581" s="1069" t="str">
        <f t="shared" ca="1" si="159"/>
        <v xml:space="preserve"> </v>
      </c>
    </row>
    <row r="582" spans="1:27" ht="9.9499999999999993" customHeight="1">
      <c r="A582" s="1069">
        <v>58</v>
      </c>
      <c r="D582" s="1069" t="str">
        <f t="shared" ref="D582:AA582" ca="1" si="160">IF(ISNUMBER(D581),IF(D581+2&lt;E$726,IF(ISNA(MATCH("Y",INDIRECT("Skills!"&amp;$C$523&amp;D581+1&amp;":"&amp;$C$523&amp;E$726),0))," ",MATCH("Y",INDIRECT("Skills!"&amp;$C$523&amp;D581+1&amp;":"&amp;$C$523&amp;E$726),0)+D581)," ")," ")</f>
        <v xml:space="preserve"> </v>
      </c>
      <c r="E582" s="1069" t="str">
        <f t="shared" ca="1" si="160"/>
        <v xml:space="preserve"> </v>
      </c>
      <c r="F582" s="1069" t="str">
        <f t="shared" ca="1" si="160"/>
        <v xml:space="preserve"> </v>
      </c>
      <c r="G582" s="1069" t="str">
        <f t="shared" ca="1" si="160"/>
        <v xml:space="preserve"> </v>
      </c>
      <c r="H582" s="1069" t="str">
        <f t="shared" ca="1" si="160"/>
        <v xml:space="preserve"> </v>
      </c>
      <c r="I582" s="1069" t="str">
        <f t="shared" ca="1" si="160"/>
        <v xml:space="preserve"> </v>
      </c>
      <c r="J582" s="1069" t="str">
        <f t="shared" ca="1" si="160"/>
        <v xml:space="preserve"> </v>
      </c>
      <c r="K582" s="1069" t="str">
        <f t="shared" ca="1" si="160"/>
        <v xml:space="preserve"> </v>
      </c>
      <c r="L582" s="1069">
        <f t="shared" ca="1" si="160"/>
        <v>359</v>
      </c>
      <c r="M582" s="1069">
        <f t="shared" ca="1" si="160"/>
        <v>452</v>
      </c>
      <c r="N582" s="1069">
        <f t="shared" ca="1" si="160"/>
        <v>535</v>
      </c>
      <c r="O582" s="1069" t="str">
        <f t="shared" ca="1" si="160"/>
        <v xml:space="preserve"> </v>
      </c>
      <c r="P582" s="1069">
        <f t="shared" ca="1" si="160"/>
        <v>645</v>
      </c>
      <c r="Q582" s="1069" t="str">
        <f t="shared" ca="1" si="160"/>
        <v xml:space="preserve"> </v>
      </c>
      <c r="R582" s="1069" t="str">
        <f t="shared" ca="1" si="160"/>
        <v xml:space="preserve"> </v>
      </c>
      <c r="S582" s="1069" t="str">
        <f t="shared" ca="1" si="160"/>
        <v xml:space="preserve"> </v>
      </c>
      <c r="T582" s="1069" t="str">
        <f t="shared" ca="1" si="160"/>
        <v xml:space="preserve"> </v>
      </c>
      <c r="U582" s="1069" t="str">
        <f t="shared" ca="1" si="160"/>
        <v xml:space="preserve"> </v>
      </c>
      <c r="V582" s="1069" t="str">
        <f t="shared" ca="1" si="160"/>
        <v xml:space="preserve"> </v>
      </c>
      <c r="W582" s="1069" t="str">
        <f t="shared" ca="1" si="160"/>
        <v xml:space="preserve"> </v>
      </c>
      <c r="X582" s="1069" t="str">
        <f t="shared" ca="1" si="160"/>
        <v xml:space="preserve"> </v>
      </c>
      <c r="Y582" s="1069" t="str">
        <f t="shared" ca="1" si="160"/>
        <v xml:space="preserve"> </v>
      </c>
      <c r="Z582" s="1069" t="str">
        <f t="shared" ca="1" si="160"/>
        <v xml:space="preserve"> </v>
      </c>
      <c r="AA582" s="1069" t="str">
        <f t="shared" ca="1" si="160"/>
        <v xml:space="preserve"> </v>
      </c>
    </row>
    <row r="583" spans="1:27" ht="9.9499999999999993" customHeight="1">
      <c r="A583" s="1069">
        <v>59</v>
      </c>
      <c r="D583" s="1069" t="str">
        <f t="shared" ref="D583:AA583" ca="1" si="161">IF(ISNUMBER(D582),IF(D582+2&lt;E$726,IF(ISNA(MATCH("Y",INDIRECT("Skills!"&amp;$C$523&amp;D582+1&amp;":"&amp;$C$523&amp;E$726),0))," ",MATCH("Y",INDIRECT("Skills!"&amp;$C$523&amp;D582+1&amp;":"&amp;$C$523&amp;E$726),0)+D582)," ")," ")</f>
        <v xml:space="preserve"> </v>
      </c>
      <c r="E583" s="1069" t="str">
        <f t="shared" ca="1" si="161"/>
        <v xml:space="preserve"> </v>
      </c>
      <c r="F583" s="1069" t="str">
        <f t="shared" ca="1" si="161"/>
        <v xml:space="preserve"> </v>
      </c>
      <c r="G583" s="1069" t="str">
        <f t="shared" ca="1" si="161"/>
        <v xml:space="preserve"> </v>
      </c>
      <c r="H583" s="1069" t="str">
        <f t="shared" ca="1" si="161"/>
        <v xml:space="preserve"> </v>
      </c>
      <c r="I583" s="1069" t="str">
        <f t="shared" ca="1" si="161"/>
        <v xml:space="preserve"> </v>
      </c>
      <c r="J583" s="1069" t="str">
        <f t="shared" ca="1" si="161"/>
        <v xml:space="preserve"> </v>
      </c>
      <c r="K583" s="1069" t="str">
        <f t="shared" ca="1" si="161"/>
        <v xml:space="preserve"> </v>
      </c>
      <c r="L583" s="1069">
        <f t="shared" ca="1" si="161"/>
        <v>360</v>
      </c>
      <c r="M583" s="1069">
        <f t="shared" ca="1" si="161"/>
        <v>453</v>
      </c>
      <c r="N583" s="1069">
        <f t="shared" ca="1" si="161"/>
        <v>536</v>
      </c>
      <c r="O583" s="1069" t="str">
        <f t="shared" ca="1" si="161"/>
        <v xml:space="preserve"> </v>
      </c>
      <c r="P583" s="1069">
        <f t="shared" ca="1" si="161"/>
        <v>646</v>
      </c>
      <c r="Q583" s="1069" t="str">
        <f t="shared" ca="1" si="161"/>
        <v xml:space="preserve"> </v>
      </c>
      <c r="R583" s="1069" t="str">
        <f t="shared" ca="1" si="161"/>
        <v xml:space="preserve"> </v>
      </c>
      <c r="S583" s="1069" t="str">
        <f t="shared" ca="1" si="161"/>
        <v xml:space="preserve"> </v>
      </c>
      <c r="T583" s="1069" t="str">
        <f t="shared" ca="1" si="161"/>
        <v xml:space="preserve"> </v>
      </c>
      <c r="U583" s="1069" t="str">
        <f t="shared" ca="1" si="161"/>
        <v xml:space="preserve"> </v>
      </c>
      <c r="V583" s="1069" t="str">
        <f t="shared" ca="1" si="161"/>
        <v xml:space="preserve"> </v>
      </c>
      <c r="W583" s="1069" t="str">
        <f t="shared" ca="1" si="161"/>
        <v xml:space="preserve"> </v>
      </c>
      <c r="X583" s="1069" t="str">
        <f t="shared" ca="1" si="161"/>
        <v xml:space="preserve"> </v>
      </c>
      <c r="Y583" s="1069" t="str">
        <f t="shared" ca="1" si="161"/>
        <v xml:space="preserve"> </v>
      </c>
      <c r="Z583" s="1069" t="str">
        <f t="shared" ca="1" si="161"/>
        <v xml:space="preserve"> </v>
      </c>
      <c r="AA583" s="1069" t="str">
        <f t="shared" ca="1" si="161"/>
        <v xml:space="preserve"> </v>
      </c>
    </row>
    <row r="584" spans="1:27" ht="9.9499999999999993" customHeight="1">
      <c r="A584" s="1069">
        <v>60</v>
      </c>
      <c r="D584" s="1069" t="str">
        <f t="shared" ref="D584:AA584" ca="1" si="162">IF(ISNUMBER(D583),IF(D583+2&lt;E$726,IF(ISNA(MATCH("Y",INDIRECT("Skills!"&amp;$C$523&amp;D583+1&amp;":"&amp;$C$523&amp;E$726),0))," ",MATCH("Y",INDIRECT("Skills!"&amp;$C$523&amp;D583+1&amp;":"&amp;$C$523&amp;E$726),0)+D583)," ")," ")</f>
        <v xml:space="preserve"> </v>
      </c>
      <c r="E584" s="1069" t="str">
        <f t="shared" ca="1" si="162"/>
        <v xml:space="preserve"> </v>
      </c>
      <c r="F584" s="1069" t="str">
        <f t="shared" ca="1" si="162"/>
        <v xml:space="preserve"> </v>
      </c>
      <c r="G584" s="1069" t="str">
        <f t="shared" ca="1" si="162"/>
        <v xml:space="preserve"> </v>
      </c>
      <c r="H584" s="1069" t="str">
        <f t="shared" ca="1" si="162"/>
        <v xml:space="preserve"> </v>
      </c>
      <c r="I584" s="1069" t="str">
        <f t="shared" ca="1" si="162"/>
        <v xml:space="preserve"> </v>
      </c>
      <c r="J584" s="1069" t="str">
        <f t="shared" ca="1" si="162"/>
        <v xml:space="preserve"> </v>
      </c>
      <c r="K584" s="1069" t="str">
        <f t="shared" ca="1" si="162"/>
        <v xml:space="preserve"> </v>
      </c>
      <c r="L584" s="1069">
        <f t="shared" ca="1" si="162"/>
        <v>361</v>
      </c>
      <c r="M584" s="1069">
        <f t="shared" ca="1" si="162"/>
        <v>454</v>
      </c>
      <c r="N584" s="1069">
        <f t="shared" ca="1" si="162"/>
        <v>537</v>
      </c>
      <c r="O584" s="1069" t="str">
        <f t="shared" ca="1" si="162"/>
        <v xml:space="preserve"> </v>
      </c>
      <c r="P584" s="1069">
        <f t="shared" ca="1" si="162"/>
        <v>647</v>
      </c>
      <c r="Q584" s="1069" t="str">
        <f t="shared" ca="1" si="162"/>
        <v xml:space="preserve"> </v>
      </c>
      <c r="R584" s="1069" t="str">
        <f t="shared" ca="1" si="162"/>
        <v xml:space="preserve"> </v>
      </c>
      <c r="S584" s="1069" t="str">
        <f t="shared" ca="1" si="162"/>
        <v xml:space="preserve"> </v>
      </c>
      <c r="T584" s="1069" t="str">
        <f t="shared" ca="1" si="162"/>
        <v xml:space="preserve"> </v>
      </c>
      <c r="U584" s="1069" t="str">
        <f t="shared" ca="1" si="162"/>
        <v xml:space="preserve"> </v>
      </c>
      <c r="V584" s="1069" t="str">
        <f t="shared" ca="1" si="162"/>
        <v xml:space="preserve"> </v>
      </c>
      <c r="W584" s="1069" t="str">
        <f t="shared" ca="1" si="162"/>
        <v xml:space="preserve"> </v>
      </c>
      <c r="X584" s="1069" t="str">
        <f t="shared" ca="1" si="162"/>
        <v xml:space="preserve"> </v>
      </c>
      <c r="Y584" s="1069" t="str">
        <f t="shared" ca="1" si="162"/>
        <v xml:space="preserve"> </v>
      </c>
      <c r="Z584" s="1069" t="str">
        <f t="shared" ca="1" si="162"/>
        <v xml:space="preserve"> </v>
      </c>
      <c r="AA584" s="1069" t="str">
        <f t="shared" ca="1" si="162"/>
        <v xml:space="preserve"> </v>
      </c>
    </row>
    <row r="585" spans="1:27" ht="9.9499999999999993" customHeight="1">
      <c r="A585" s="1069">
        <v>61</v>
      </c>
      <c r="D585" s="1069" t="str">
        <f t="shared" ref="D585:AA585" ca="1" si="163">IF(ISNUMBER(D584),IF(D584+2&lt;E$726,IF(ISNA(MATCH("Y",INDIRECT("Skills!"&amp;$C$523&amp;D584+1&amp;":"&amp;$C$523&amp;E$726),0))," ",MATCH("Y",INDIRECT("Skills!"&amp;$C$523&amp;D584+1&amp;":"&amp;$C$523&amp;E$726),0)+D584)," ")," ")</f>
        <v xml:space="preserve"> </v>
      </c>
      <c r="E585" s="1069" t="str">
        <f t="shared" ca="1" si="163"/>
        <v xml:space="preserve"> </v>
      </c>
      <c r="F585" s="1069" t="str">
        <f t="shared" ca="1" si="163"/>
        <v xml:space="preserve"> </v>
      </c>
      <c r="G585" s="1069" t="str">
        <f t="shared" ca="1" si="163"/>
        <v xml:space="preserve"> </v>
      </c>
      <c r="H585" s="1069" t="str">
        <f t="shared" ca="1" si="163"/>
        <v xml:space="preserve"> </v>
      </c>
      <c r="I585" s="1069" t="str">
        <f t="shared" ca="1" si="163"/>
        <v xml:space="preserve"> </v>
      </c>
      <c r="J585" s="1069" t="str">
        <f t="shared" ca="1" si="163"/>
        <v xml:space="preserve"> </v>
      </c>
      <c r="K585" s="1069" t="str">
        <f t="shared" ca="1" si="163"/>
        <v xml:space="preserve"> </v>
      </c>
      <c r="L585" s="1069">
        <f t="shared" ca="1" si="163"/>
        <v>363</v>
      </c>
      <c r="M585" s="1069">
        <f t="shared" ca="1" si="163"/>
        <v>455</v>
      </c>
      <c r="N585" s="1069">
        <f t="shared" ca="1" si="163"/>
        <v>538</v>
      </c>
      <c r="O585" s="1069" t="str">
        <f t="shared" ca="1" si="163"/>
        <v xml:space="preserve"> </v>
      </c>
      <c r="P585" s="1069">
        <f t="shared" ca="1" si="163"/>
        <v>648</v>
      </c>
      <c r="Q585" s="1069" t="str">
        <f t="shared" ca="1" si="163"/>
        <v xml:space="preserve"> </v>
      </c>
      <c r="R585" s="1069" t="str">
        <f t="shared" ca="1" si="163"/>
        <v xml:space="preserve"> </v>
      </c>
      <c r="S585" s="1069" t="str">
        <f t="shared" ca="1" si="163"/>
        <v xml:space="preserve"> </v>
      </c>
      <c r="T585" s="1069" t="str">
        <f t="shared" ca="1" si="163"/>
        <v xml:space="preserve"> </v>
      </c>
      <c r="U585" s="1069" t="str">
        <f t="shared" ca="1" si="163"/>
        <v xml:space="preserve"> </v>
      </c>
      <c r="V585" s="1069" t="str">
        <f t="shared" ca="1" si="163"/>
        <v xml:space="preserve"> </v>
      </c>
      <c r="W585" s="1069" t="str">
        <f t="shared" ca="1" si="163"/>
        <v xml:space="preserve"> </v>
      </c>
      <c r="X585" s="1069" t="str">
        <f t="shared" ca="1" si="163"/>
        <v xml:space="preserve"> </v>
      </c>
      <c r="Y585" s="1069" t="str">
        <f t="shared" ca="1" si="163"/>
        <v xml:space="preserve"> </v>
      </c>
      <c r="Z585" s="1069" t="str">
        <f t="shared" ca="1" si="163"/>
        <v xml:space="preserve"> </v>
      </c>
      <c r="AA585" s="1069" t="str">
        <f t="shared" ca="1" si="163"/>
        <v xml:space="preserve"> </v>
      </c>
    </row>
    <row r="586" spans="1:27" ht="9.9499999999999993" customHeight="1">
      <c r="A586" s="1069">
        <v>62</v>
      </c>
      <c r="D586" s="1069" t="str">
        <f t="shared" ref="D586:AA586" ca="1" si="164">IF(ISNUMBER(D585),IF(D585+2&lt;E$726,IF(ISNA(MATCH("Y",INDIRECT("Skills!"&amp;$C$523&amp;D585+1&amp;":"&amp;$C$523&amp;E$726),0))," ",MATCH("Y",INDIRECT("Skills!"&amp;$C$523&amp;D585+1&amp;":"&amp;$C$523&amp;E$726),0)+D585)," ")," ")</f>
        <v xml:space="preserve"> </v>
      </c>
      <c r="E586" s="1069" t="str">
        <f t="shared" ca="1" si="164"/>
        <v xml:space="preserve"> </v>
      </c>
      <c r="F586" s="1069" t="str">
        <f t="shared" ca="1" si="164"/>
        <v xml:space="preserve"> </v>
      </c>
      <c r="G586" s="1069" t="str">
        <f t="shared" ca="1" si="164"/>
        <v xml:space="preserve"> </v>
      </c>
      <c r="H586" s="1069" t="str">
        <f t="shared" ca="1" si="164"/>
        <v xml:space="preserve"> </v>
      </c>
      <c r="I586" s="1069" t="str">
        <f t="shared" ca="1" si="164"/>
        <v xml:space="preserve"> </v>
      </c>
      <c r="J586" s="1069" t="str">
        <f t="shared" ca="1" si="164"/>
        <v xml:space="preserve"> </v>
      </c>
      <c r="K586" s="1069" t="str">
        <f t="shared" ca="1" si="164"/>
        <v xml:space="preserve"> </v>
      </c>
      <c r="L586" s="1069">
        <f t="shared" ca="1" si="164"/>
        <v>364</v>
      </c>
      <c r="M586" s="1069">
        <f t="shared" ca="1" si="164"/>
        <v>456</v>
      </c>
      <c r="N586" s="1069">
        <f t="shared" ca="1" si="164"/>
        <v>539</v>
      </c>
      <c r="O586" s="1069" t="str">
        <f t="shared" ca="1" si="164"/>
        <v xml:space="preserve"> </v>
      </c>
      <c r="P586" s="1069">
        <f t="shared" ca="1" si="164"/>
        <v>649</v>
      </c>
      <c r="Q586" s="1069" t="str">
        <f t="shared" ca="1" si="164"/>
        <v xml:space="preserve"> </v>
      </c>
      <c r="R586" s="1069" t="str">
        <f t="shared" ca="1" si="164"/>
        <v xml:space="preserve"> </v>
      </c>
      <c r="S586" s="1069" t="str">
        <f t="shared" ca="1" si="164"/>
        <v xml:space="preserve"> </v>
      </c>
      <c r="T586" s="1069" t="str">
        <f t="shared" ca="1" si="164"/>
        <v xml:space="preserve"> </v>
      </c>
      <c r="U586" s="1069" t="str">
        <f t="shared" ca="1" si="164"/>
        <v xml:space="preserve"> </v>
      </c>
      <c r="V586" s="1069" t="str">
        <f t="shared" ca="1" si="164"/>
        <v xml:space="preserve"> </v>
      </c>
      <c r="W586" s="1069" t="str">
        <f t="shared" ca="1" si="164"/>
        <v xml:space="preserve"> </v>
      </c>
      <c r="X586" s="1069" t="str">
        <f t="shared" ca="1" si="164"/>
        <v xml:space="preserve"> </v>
      </c>
      <c r="Y586" s="1069" t="str">
        <f t="shared" ca="1" si="164"/>
        <v xml:space="preserve"> </v>
      </c>
      <c r="Z586" s="1069" t="str">
        <f t="shared" ca="1" si="164"/>
        <v xml:space="preserve"> </v>
      </c>
      <c r="AA586" s="1069" t="str">
        <f t="shared" ca="1" si="164"/>
        <v xml:space="preserve"> </v>
      </c>
    </row>
    <row r="587" spans="1:27" ht="9.9499999999999993" customHeight="1">
      <c r="A587" s="1069">
        <v>63</v>
      </c>
      <c r="D587" s="1069" t="str">
        <f t="shared" ref="D587:AA587" ca="1" si="165">IF(ISNUMBER(D586),IF(D586+2&lt;E$726,IF(ISNA(MATCH("Y",INDIRECT("Skills!"&amp;$C$523&amp;D586+1&amp;":"&amp;$C$523&amp;E$726),0))," ",MATCH("Y",INDIRECT("Skills!"&amp;$C$523&amp;D586+1&amp;":"&amp;$C$523&amp;E$726),0)+D586)," ")," ")</f>
        <v xml:space="preserve"> </v>
      </c>
      <c r="E587" s="1069" t="str">
        <f t="shared" ca="1" si="165"/>
        <v xml:space="preserve"> </v>
      </c>
      <c r="F587" s="1069" t="str">
        <f t="shared" ca="1" si="165"/>
        <v xml:space="preserve"> </v>
      </c>
      <c r="G587" s="1069" t="str">
        <f t="shared" ca="1" si="165"/>
        <v xml:space="preserve"> </v>
      </c>
      <c r="H587" s="1069" t="str">
        <f t="shared" ca="1" si="165"/>
        <v xml:space="preserve"> </v>
      </c>
      <c r="I587" s="1069" t="str">
        <f t="shared" ca="1" si="165"/>
        <v xml:space="preserve"> </v>
      </c>
      <c r="J587" s="1069" t="str">
        <f t="shared" ca="1" si="165"/>
        <v xml:space="preserve"> </v>
      </c>
      <c r="K587" s="1069" t="str">
        <f t="shared" ca="1" si="165"/>
        <v xml:space="preserve"> </v>
      </c>
      <c r="L587" s="1069">
        <f t="shared" ca="1" si="165"/>
        <v>365</v>
      </c>
      <c r="M587" s="1069">
        <f t="shared" ca="1" si="165"/>
        <v>457</v>
      </c>
      <c r="N587" s="1069">
        <f t="shared" ca="1" si="165"/>
        <v>540</v>
      </c>
      <c r="O587" s="1069" t="str">
        <f t="shared" ca="1" si="165"/>
        <v xml:space="preserve"> </v>
      </c>
      <c r="P587" s="1069">
        <f t="shared" ca="1" si="165"/>
        <v>650</v>
      </c>
      <c r="Q587" s="1069" t="str">
        <f t="shared" ca="1" si="165"/>
        <v xml:space="preserve"> </v>
      </c>
      <c r="R587" s="1069" t="str">
        <f t="shared" ca="1" si="165"/>
        <v xml:space="preserve"> </v>
      </c>
      <c r="S587" s="1069" t="str">
        <f t="shared" ca="1" si="165"/>
        <v xml:space="preserve"> </v>
      </c>
      <c r="T587" s="1069" t="str">
        <f t="shared" ca="1" si="165"/>
        <v xml:space="preserve"> </v>
      </c>
      <c r="U587" s="1069" t="str">
        <f t="shared" ca="1" si="165"/>
        <v xml:space="preserve"> </v>
      </c>
      <c r="V587" s="1069" t="str">
        <f t="shared" ca="1" si="165"/>
        <v xml:space="preserve"> </v>
      </c>
      <c r="W587" s="1069" t="str">
        <f t="shared" ca="1" si="165"/>
        <v xml:space="preserve"> </v>
      </c>
      <c r="X587" s="1069" t="str">
        <f t="shared" ca="1" si="165"/>
        <v xml:space="preserve"> </v>
      </c>
      <c r="Y587" s="1069" t="str">
        <f t="shared" ca="1" si="165"/>
        <v xml:space="preserve"> </v>
      </c>
      <c r="Z587" s="1069" t="str">
        <f t="shared" ca="1" si="165"/>
        <v xml:space="preserve"> </v>
      </c>
      <c r="AA587" s="1069" t="str">
        <f t="shared" ca="1" si="165"/>
        <v xml:space="preserve"> </v>
      </c>
    </row>
    <row r="588" spans="1:27" ht="9.9499999999999993" customHeight="1">
      <c r="A588" s="1069">
        <v>64</v>
      </c>
      <c r="D588" s="1069" t="str">
        <f t="shared" ref="D588:AA588" ca="1" si="166">IF(ISNUMBER(D587),IF(D587+2&lt;E$726,IF(ISNA(MATCH("Y",INDIRECT("Skills!"&amp;$C$523&amp;D587+1&amp;":"&amp;$C$523&amp;E$726),0))," ",MATCH("Y",INDIRECT("Skills!"&amp;$C$523&amp;D587+1&amp;":"&amp;$C$523&amp;E$726),0)+D587)," ")," ")</f>
        <v xml:space="preserve"> </v>
      </c>
      <c r="E588" s="1069" t="str">
        <f t="shared" ca="1" si="166"/>
        <v xml:space="preserve"> </v>
      </c>
      <c r="F588" s="1069" t="str">
        <f t="shared" ca="1" si="166"/>
        <v xml:space="preserve"> </v>
      </c>
      <c r="G588" s="1069" t="str">
        <f t="shared" ca="1" si="166"/>
        <v xml:space="preserve"> </v>
      </c>
      <c r="H588" s="1069" t="str">
        <f t="shared" ca="1" si="166"/>
        <v xml:space="preserve"> </v>
      </c>
      <c r="I588" s="1069" t="str">
        <f t="shared" ca="1" si="166"/>
        <v xml:space="preserve"> </v>
      </c>
      <c r="J588" s="1069" t="str">
        <f t="shared" ca="1" si="166"/>
        <v xml:space="preserve"> </v>
      </c>
      <c r="K588" s="1069" t="str">
        <f t="shared" ca="1" si="166"/>
        <v xml:space="preserve"> </v>
      </c>
      <c r="L588" s="1069">
        <f t="shared" ca="1" si="166"/>
        <v>366</v>
      </c>
      <c r="M588" s="1069">
        <f t="shared" ca="1" si="166"/>
        <v>458</v>
      </c>
      <c r="N588" s="1069">
        <f t="shared" ca="1" si="166"/>
        <v>541</v>
      </c>
      <c r="O588" s="1069" t="str">
        <f t="shared" ca="1" si="166"/>
        <v xml:space="preserve"> </v>
      </c>
      <c r="P588" s="1069">
        <f t="shared" ca="1" si="166"/>
        <v>651</v>
      </c>
      <c r="Q588" s="1069" t="str">
        <f t="shared" ca="1" si="166"/>
        <v xml:space="preserve"> </v>
      </c>
      <c r="R588" s="1069" t="str">
        <f t="shared" ca="1" si="166"/>
        <v xml:space="preserve"> </v>
      </c>
      <c r="S588" s="1069" t="str">
        <f t="shared" ca="1" si="166"/>
        <v xml:space="preserve"> </v>
      </c>
      <c r="T588" s="1069" t="str">
        <f t="shared" ca="1" si="166"/>
        <v xml:space="preserve"> </v>
      </c>
      <c r="U588" s="1069" t="str">
        <f t="shared" ca="1" si="166"/>
        <v xml:space="preserve"> </v>
      </c>
      <c r="V588" s="1069" t="str">
        <f t="shared" ca="1" si="166"/>
        <v xml:space="preserve"> </v>
      </c>
      <c r="W588" s="1069" t="str">
        <f t="shared" ca="1" si="166"/>
        <v xml:space="preserve"> </v>
      </c>
      <c r="X588" s="1069" t="str">
        <f t="shared" ca="1" si="166"/>
        <v xml:space="preserve"> </v>
      </c>
      <c r="Y588" s="1069" t="str">
        <f t="shared" ca="1" si="166"/>
        <v xml:space="preserve"> </v>
      </c>
      <c r="Z588" s="1069" t="str">
        <f t="shared" ca="1" si="166"/>
        <v xml:space="preserve"> </v>
      </c>
      <c r="AA588" s="1069" t="str">
        <f t="shared" ca="1" si="166"/>
        <v xml:space="preserve"> </v>
      </c>
    </row>
    <row r="589" spans="1:27" ht="9.9499999999999993" customHeight="1">
      <c r="A589" s="1069">
        <v>65</v>
      </c>
      <c r="D589" s="1069" t="str">
        <f t="shared" ref="D589:AA589" ca="1" si="167">IF(ISNUMBER(D588),IF(D588+2&lt;E$726,IF(ISNA(MATCH("Y",INDIRECT("Skills!"&amp;$C$523&amp;D588+1&amp;":"&amp;$C$523&amp;E$726),0))," ",MATCH("Y",INDIRECT("Skills!"&amp;$C$523&amp;D588+1&amp;":"&amp;$C$523&amp;E$726),0)+D588)," ")," ")</f>
        <v xml:space="preserve"> </v>
      </c>
      <c r="E589" s="1069" t="str">
        <f t="shared" ca="1" si="167"/>
        <v xml:space="preserve"> </v>
      </c>
      <c r="F589" s="1069" t="str">
        <f t="shared" ca="1" si="167"/>
        <v xml:space="preserve"> </v>
      </c>
      <c r="G589" s="1069" t="str">
        <f t="shared" ca="1" si="167"/>
        <v xml:space="preserve"> </v>
      </c>
      <c r="H589" s="1069" t="str">
        <f t="shared" ca="1" si="167"/>
        <v xml:space="preserve"> </v>
      </c>
      <c r="I589" s="1069" t="str">
        <f t="shared" ca="1" si="167"/>
        <v xml:space="preserve"> </v>
      </c>
      <c r="J589" s="1069" t="str">
        <f t="shared" ca="1" si="167"/>
        <v xml:space="preserve"> </v>
      </c>
      <c r="K589" s="1069" t="str">
        <f t="shared" ca="1" si="167"/>
        <v xml:space="preserve"> </v>
      </c>
      <c r="L589" s="1069">
        <f t="shared" ca="1" si="167"/>
        <v>367</v>
      </c>
      <c r="M589" s="1069">
        <f t="shared" ca="1" si="167"/>
        <v>459</v>
      </c>
      <c r="N589" s="1069">
        <f t="shared" ca="1" si="167"/>
        <v>542</v>
      </c>
      <c r="O589" s="1069" t="str">
        <f t="shared" ca="1" si="167"/>
        <v xml:space="preserve"> </v>
      </c>
      <c r="P589" s="1069">
        <f t="shared" ca="1" si="167"/>
        <v>652</v>
      </c>
      <c r="Q589" s="1069" t="str">
        <f t="shared" ca="1" si="167"/>
        <v xml:space="preserve"> </v>
      </c>
      <c r="R589" s="1069" t="str">
        <f t="shared" ca="1" si="167"/>
        <v xml:space="preserve"> </v>
      </c>
      <c r="S589" s="1069" t="str">
        <f t="shared" ca="1" si="167"/>
        <v xml:space="preserve"> </v>
      </c>
      <c r="T589" s="1069" t="str">
        <f t="shared" ca="1" si="167"/>
        <v xml:space="preserve"> </v>
      </c>
      <c r="U589" s="1069" t="str">
        <f t="shared" ca="1" si="167"/>
        <v xml:space="preserve"> </v>
      </c>
      <c r="V589" s="1069" t="str">
        <f t="shared" ca="1" si="167"/>
        <v xml:space="preserve"> </v>
      </c>
      <c r="W589" s="1069" t="str">
        <f t="shared" ca="1" si="167"/>
        <v xml:space="preserve"> </v>
      </c>
      <c r="X589" s="1069" t="str">
        <f t="shared" ca="1" si="167"/>
        <v xml:space="preserve"> </v>
      </c>
      <c r="Y589" s="1069" t="str">
        <f t="shared" ca="1" si="167"/>
        <v xml:space="preserve"> </v>
      </c>
      <c r="Z589" s="1069" t="str">
        <f t="shared" ca="1" si="167"/>
        <v xml:space="preserve"> </v>
      </c>
      <c r="AA589" s="1069" t="str">
        <f t="shared" ca="1" si="167"/>
        <v xml:space="preserve"> </v>
      </c>
    </row>
    <row r="590" spans="1:27" ht="9.9499999999999993" customHeight="1">
      <c r="A590" s="1069">
        <v>66</v>
      </c>
      <c r="D590" s="1069" t="str">
        <f t="shared" ref="D590:AA590" ca="1" si="168">IF(ISNUMBER(D589),IF(D589+2&lt;E$726,IF(ISNA(MATCH("Y",INDIRECT("Skills!"&amp;$C$523&amp;D589+1&amp;":"&amp;$C$523&amp;E$726),0))," ",MATCH("Y",INDIRECT("Skills!"&amp;$C$523&amp;D589+1&amp;":"&amp;$C$523&amp;E$726),0)+D589)," ")," ")</f>
        <v xml:space="preserve"> </v>
      </c>
      <c r="E590" s="1069" t="str">
        <f t="shared" ca="1" si="168"/>
        <v xml:space="preserve"> </v>
      </c>
      <c r="F590" s="1069" t="str">
        <f t="shared" ca="1" si="168"/>
        <v xml:space="preserve"> </v>
      </c>
      <c r="G590" s="1069" t="str">
        <f t="shared" ca="1" si="168"/>
        <v xml:space="preserve"> </v>
      </c>
      <c r="H590" s="1069" t="str">
        <f t="shared" ca="1" si="168"/>
        <v xml:space="preserve"> </v>
      </c>
      <c r="I590" s="1069" t="str">
        <f t="shared" ca="1" si="168"/>
        <v xml:space="preserve"> </v>
      </c>
      <c r="J590" s="1069" t="str">
        <f t="shared" ca="1" si="168"/>
        <v xml:space="preserve"> </v>
      </c>
      <c r="K590" s="1069" t="str">
        <f t="shared" ca="1" si="168"/>
        <v xml:space="preserve"> </v>
      </c>
      <c r="L590" s="1069">
        <f t="shared" ca="1" si="168"/>
        <v>368</v>
      </c>
      <c r="M590" s="1069">
        <f t="shared" ca="1" si="168"/>
        <v>460</v>
      </c>
      <c r="N590" s="1069">
        <f t="shared" ca="1" si="168"/>
        <v>543</v>
      </c>
      <c r="O590" s="1069" t="str">
        <f t="shared" ca="1" si="168"/>
        <v xml:space="preserve"> </v>
      </c>
      <c r="P590" s="1069">
        <f t="shared" ca="1" si="168"/>
        <v>653</v>
      </c>
      <c r="Q590" s="1069" t="str">
        <f t="shared" ca="1" si="168"/>
        <v xml:space="preserve"> </v>
      </c>
      <c r="R590" s="1069" t="str">
        <f t="shared" ca="1" si="168"/>
        <v xml:space="preserve"> </v>
      </c>
      <c r="S590" s="1069" t="str">
        <f t="shared" ca="1" si="168"/>
        <v xml:space="preserve"> </v>
      </c>
      <c r="T590" s="1069" t="str">
        <f t="shared" ca="1" si="168"/>
        <v xml:space="preserve"> </v>
      </c>
      <c r="U590" s="1069" t="str">
        <f t="shared" ca="1" si="168"/>
        <v xml:space="preserve"> </v>
      </c>
      <c r="V590" s="1069" t="str">
        <f t="shared" ca="1" si="168"/>
        <v xml:space="preserve"> </v>
      </c>
      <c r="W590" s="1069" t="str">
        <f t="shared" ca="1" si="168"/>
        <v xml:space="preserve"> </v>
      </c>
      <c r="X590" s="1069" t="str">
        <f t="shared" ca="1" si="168"/>
        <v xml:space="preserve"> </v>
      </c>
      <c r="Y590" s="1069" t="str">
        <f t="shared" ca="1" si="168"/>
        <v xml:space="preserve"> </v>
      </c>
      <c r="Z590" s="1069" t="str">
        <f t="shared" ca="1" si="168"/>
        <v xml:space="preserve"> </v>
      </c>
      <c r="AA590" s="1069" t="str">
        <f t="shared" ca="1" si="168"/>
        <v xml:space="preserve"> </v>
      </c>
    </row>
    <row r="591" spans="1:27" ht="9.9499999999999993" customHeight="1">
      <c r="A591" s="1069">
        <v>67</v>
      </c>
      <c r="D591" s="1069" t="str">
        <f t="shared" ref="D591:AA591" ca="1" si="169">IF(ISNUMBER(D590),IF(D590+2&lt;E$726,IF(ISNA(MATCH("Y",INDIRECT("Skills!"&amp;$C$523&amp;D590+1&amp;":"&amp;$C$523&amp;E$726),0))," ",MATCH("Y",INDIRECT("Skills!"&amp;$C$523&amp;D590+1&amp;":"&amp;$C$523&amp;E$726),0)+D590)," ")," ")</f>
        <v xml:space="preserve"> </v>
      </c>
      <c r="E591" s="1069" t="str">
        <f t="shared" ca="1" si="169"/>
        <v xml:space="preserve"> </v>
      </c>
      <c r="F591" s="1069" t="str">
        <f t="shared" ca="1" si="169"/>
        <v xml:space="preserve"> </v>
      </c>
      <c r="G591" s="1069" t="str">
        <f t="shared" ca="1" si="169"/>
        <v xml:space="preserve"> </v>
      </c>
      <c r="H591" s="1069" t="str">
        <f t="shared" ca="1" si="169"/>
        <v xml:space="preserve"> </v>
      </c>
      <c r="I591" s="1069" t="str">
        <f t="shared" ca="1" si="169"/>
        <v xml:space="preserve"> </v>
      </c>
      <c r="J591" s="1069" t="str">
        <f t="shared" ca="1" si="169"/>
        <v xml:space="preserve"> </v>
      </c>
      <c r="K591" s="1069" t="str">
        <f t="shared" ca="1" si="169"/>
        <v xml:space="preserve"> </v>
      </c>
      <c r="L591" s="1069">
        <f t="shared" ca="1" si="169"/>
        <v>369</v>
      </c>
      <c r="M591" s="1069">
        <f t="shared" ca="1" si="169"/>
        <v>461</v>
      </c>
      <c r="N591" s="1069">
        <f t="shared" ca="1" si="169"/>
        <v>544</v>
      </c>
      <c r="O591" s="1069" t="str">
        <f t="shared" ca="1" si="169"/>
        <v xml:space="preserve"> </v>
      </c>
      <c r="P591" s="1069">
        <f t="shared" ca="1" si="169"/>
        <v>654</v>
      </c>
      <c r="Q591" s="1069" t="str">
        <f t="shared" ca="1" si="169"/>
        <v xml:space="preserve"> </v>
      </c>
      <c r="R591" s="1069" t="str">
        <f t="shared" ca="1" si="169"/>
        <v xml:space="preserve"> </v>
      </c>
      <c r="S591" s="1069" t="str">
        <f t="shared" ca="1" si="169"/>
        <v xml:space="preserve"> </v>
      </c>
      <c r="T591" s="1069" t="str">
        <f t="shared" ca="1" si="169"/>
        <v xml:space="preserve"> </v>
      </c>
      <c r="U591" s="1069" t="str">
        <f t="shared" ca="1" si="169"/>
        <v xml:space="preserve"> </v>
      </c>
      <c r="V591" s="1069" t="str">
        <f t="shared" ca="1" si="169"/>
        <v xml:space="preserve"> </v>
      </c>
      <c r="W591" s="1069" t="str">
        <f t="shared" ca="1" si="169"/>
        <v xml:space="preserve"> </v>
      </c>
      <c r="X591" s="1069" t="str">
        <f t="shared" ca="1" si="169"/>
        <v xml:space="preserve"> </v>
      </c>
      <c r="Y591" s="1069" t="str">
        <f t="shared" ca="1" si="169"/>
        <v xml:space="preserve"> </v>
      </c>
      <c r="Z591" s="1069" t="str">
        <f t="shared" ca="1" si="169"/>
        <v xml:space="preserve"> </v>
      </c>
      <c r="AA591" s="1069" t="str">
        <f t="shared" ca="1" si="169"/>
        <v xml:space="preserve"> </v>
      </c>
    </row>
    <row r="592" spans="1:27" ht="9.9499999999999993" customHeight="1">
      <c r="A592" s="1069">
        <v>68</v>
      </c>
      <c r="D592" s="1069" t="str">
        <f t="shared" ref="D592:AA592" ca="1" si="170">IF(ISNUMBER(D591),IF(D591+2&lt;E$726,IF(ISNA(MATCH("Y",INDIRECT("Skills!"&amp;$C$523&amp;D591+1&amp;":"&amp;$C$523&amp;E$726),0))," ",MATCH("Y",INDIRECT("Skills!"&amp;$C$523&amp;D591+1&amp;":"&amp;$C$523&amp;E$726),0)+D591)," ")," ")</f>
        <v xml:space="preserve"> </v>
      </c>
      <c r="E592" s="1069" t="str">
        <f t="shared" ca="1" si="170"/>
        <v xml:space="preserve"> </v>
      </c>
      <c r="F592" s="1069" t="str">
        <f t="shared" ca="1" si="170"/>
        <v xml:space="preserve"> </v>
      </c>
      <c r="G592" s="1069" t="str">
        <f t="shared" ca="1" si="170"/>
        <v xml:space="preserve"> </v>
      </c>
      <c r="H592" s="1069" t="str">
        <f t="shared" ca="1" si="170"/>
        <v xml:space="preserve"> </v>
      </c>
      <c r="I592" s="1069" t="str">
        <f t="shared" ca="1" si="170"/>
        <v xml:space="preserve"> </v>
      </c>
      <c r="J592" s="1069" t="str">
        <f t="shared" ca="1" si="170"/>
        <v xml:space="preserve"> </v>
      </c>
      <c r="K592" s="1069" t="str">
        <f t="shared" ca="1" si="170"/>
        <v xml:space="preserve"> </v>
      </c>
      <c r="L592" s="1069">
        <f t="shared" ca="1" si="170"/>
        <v>370</v>
      </c>
      <c r="M592" s="1069">
        <f t="shared" ca="1" si="170"/>
        <v>462</v>
      </c>
      <c r="N592" s="1069">
        <f t="shared" ca="1" si="170"/>
        <v>545</v>
      </c>
      <c r="O592" s="1069" t="str">
        <f t="shared" ca="1" si="170"/>
        <v xml:space="preserve"> </v>
      </c>
      <c r="P592" s="1069">
        <f t="shared" ca="1" si="170"/>
        <v>655</v>
      </c>
      <c r="Q592" s="1069" t="str">
        <f t="shared" ca="1" si="170"/>
        <v xml:space="preserve"> </v>
      </c>
      <c r="R592" s="1069" t="str">
        <f t="shared" ca="1" si="170"/>
        <v xml:space="preserve"> </v>
      </c>
      <c r="S592" s="1069" t="str">
        <f t="shared" ca="1" si="170"/>
        <v xml:space="preserve"> </v>
      </c>
      <c r="T592" s="1069" t="str">
        <f t="shared" ca="1" si="170"/>
        <v xml:space="preserve"> </v>
      </c>
      <c r="U592" s="1069" t="str">
        <f t="shared" ca="1" si="170"/>
        <v xml:space="preserve"> </v>
      </c>
      <c r="V592" s="1069" t="str">
        <f t="shared" ca="1" si="170"/>
        <v xml:space="preserve"> </v>
      </c>
      <c r="W592" s="1069" t="str">
        <f t="shared" ca="1" si="170"/>
        <v xml:space="preserve"> </v>
      </c>
      <c r="X592" s="1069" t="str">
        <f t="shared" ca="1" si="170"/>
        <v xml:space="preserve"> </v>
      </c>
      <c r="Y592" s="1069" t="str">
        <f t="shared" ca="1" si="170"/>
        <v xml:space="preserve"> </v>
      </c>
      <c r="Z592" s="1069" t="str">
        <f t="shared" ca="1" si="170"/>
        <v xml:space="preserve"> </v>
      </c>
      <c r="AA592" s="1069" t="str">
        <f t="shared" ca="1" si="170"/>
        <v xml:space="preserve"> </v>
      </c>
    </row>
    <row r="593" spans="1:27" ht="9.9499999999999993" customHeight="1">
      <c r="A593" s="1069">
        <v>69</v>
      </c>
      <c r="D593" s="1069" t="str">
        <f t="shared" ref="D593:AA593" ca="1" si="171">IF(ISNUMBER(D592),IF(D592+2&lt;E$726,IF(ISNA(MATCH("Y",INDIRECT("Skills!"&amp;$C$523&amp;D592+1&amp;":"&amp;$C$523&amp;E$726),0))," ",MATCH("Y",INDIRECT("Skills!"&amp;$C$523&amp;D592+1&amp;":"&amp;$C$523&amp;E$726),0)+D592)," ")," ")</f>
        <v xml:space="preserve"> </v>
      </c>
      <c r="E593" s="1069" t="str">
        <f t="shared" ca="1" si="171"/>
        <v xml:space="preserve"> </v>
      </c>
      <c r="F593" s="1069" t="str">
        <f t="shared" ca="1" si="171"/>
        <v xml:space="preserve"> </v>
      </c>
      <c r="G593" s="1069" t="str">
        <f t="shared" ca="1" si="171"/>
        <v xml:space="preserve"> </v>
      </c>
      <c r="H593" s="1069" t="str">
        <f t="shared" ca="1" si="171"/>
        <v xml:space="preserve"> </v>
      </c>
      <c r="I593" s="1069" t="str">
        <f t="shared" ca="1" si="171"/>
        <v xml:space="preserve"> </v>
      </c>
      <c r="J593" s="1069" t="str">
        <f t="shared" ca="1" si="171"/>
        <v xml:space="preserve"> </v>
      </c>
      <c r="K593" s="1069" t="str">
        <f t="shared" ca="1" si="171"/>
        <v xml:space="preserve"> </v>
      </c>
      <c r="L593" s="1069">
        <f t="shared" ca="1" si="171"/>
        <v>371</v>
      </c>
      <c r="M593" s="1069">
        <f t="shared" ca="1" si="171"/>
        <v>463</v>
      </c>
      <c r="N593" s="1069">
        <f t="shared" ca="1" si="171"/>
        <v>546</v>
      </c>
      <c r="O593" s="1069" t="str">
        <f t="shared" ca="1" si="171"/>
        <v xml:space="preserve"> </v>
      </c>
      <c r="P593" s="1069">
        <f t="shared" ca="1" si="171"/>
        <v>656</v>
      </c>
      <c r="Q593" s="1069" t="str">
        <f t="shared" ca="1" si="171"/>
        <v xml:space="preserve"> </v>
      </c>
      <c r="R593" s="1069" t="str">
        <f t="shared" ca="1" si="171"/>
        <v xml:space="preserve"> </v>
      </c>
      <c r="S593" s="1069" t="str">
        <f t="shared" ca="1" si="171"/>
        <v xml:space="preserve"> </v>
      </c>
      <c r="T593" s="1069" t="str">
        <f t="shared" ca="1" si="171"/>
        <v xml:space="preserve"> </v>
      </c>
      <c r="U593" s="1069" t="str">
        <f t="shared" ca="1" si="171"/>
        <v xml:space="preserve"> </v>
      </c>
      <c r="V593" s="1069" t="str">
        <f t="shared" ca="1" si="171"/>
        <v xml:space="preserve"> </v>
      </c>
      <c r="W593" s="1069" t="str">
        <f t="shared" ca="1" si="171"/>
        <v xml:space="preserve"> </v>
      </c>
      <c r="X593" s="1069" t="str">
        <f t="shared" ca="1" si="171"/>
        <v xml:space="preserve"> </v>
      </c>
      <c r="Y593" s="1069" t="str">
        <f t="shared" ca="1" si="171"/>
        <v xml:space="preserve"> </v>
      </c>
      <c r="Z593" s="1069" t="str">
        <f t="shared" ca="1" si="171"/>
        <v xml:space="preserve"> </v>
      </c>
      <c r="AA593" s="1069" t="str">
        <f t="shared" ca="1" si="171"/>
        <v xml:space="preserve"> </v>
      </c>
    </row>
    <row r="594" spans="1:27" ht="9.9499999999999993" customHeight="1">
      <c r="A594" s="1069">
        <v>70</v>
      </c>
      <c r="D594" s="1069" t="str">
        <f t="shared" ref="D594:AA594" ca="1" si="172">IF(ISNUMBER(D593),IF(D593+2&lt;E$726,IF(ISNA(MATCH("Y",INDIRECT("Skills!"&amp;$C$523&amp;D593+1&amp;":"&amp;$C$523&amp;E$726),0))," ",MATCH("Y",INDIRECT("Skills!"&amp;$C$523&amp;D593+1&amp;":"&amp;$C$523&amp;E$726),0)+D593)," ")," ")</f>
        <v xml:space="preserve"> </v>
      </c>
      <c r="E594" s="1069" t="str">
        <f t="shared" ca="1" si="172"/>
        <v xml:space="preserve"> </v>
      </c>
      <c r="F594" s="1069" t="str">
        <f t="shared" ca="1" si="172"/>
        <v xml:space="preserve"> </v>
      </c>
      <c r="G594" s="1069" t="str">
        <f t="shared" ca="1" si="172"/>
        <v xml:space="preserve"> </v>
      </c>
      <c r="H594" s="1069" t="str">
        <f t="shared" ca="1" si="172"/>
        <v xml:space="preserve"> </v>
      </c>
      <c r="I594" s="1069" t="str">
        <f t="shared" ca="1" si="172"/>
        <v xml:space="preserve"> </v>
      </c>
      <c r="J594" s="1069" t="str">
        <f t="shared" ca="1" si="172"/>
        <v xml:space="preserve"> </v>
      </c>
      <c r="K594" s="1069" t="str">
        <f t="shared" ca="1" si="172"/>
        <v xml:space="preserve"> </v>
      </c>
      <c r="L594" s="1069">
        <f t="shared" ca="1" si="172"/>
        <v>372</v>
      </c>
      <c r="M594" s="1069">
        <f t="shared" ca="1" si="172"/>
        <v>464</v>
      </c>
      <c r="N594" s="1069">
        <f t="shared" ca="1" si="172"/>
        <v>547</v>
      </c>
      <c r="O594" s="1069" t="str">
        <f t="shared" ca="1" si="172"/>
        <v xml:space="preserve"> </v>
      </c>
      <c r="P594" s="1069">
        <f t="shared" ca="1" si="172"/>
        <v>657</v>
      </c>
      <c r="Q594" s="1069" t="str">
        <f t="shared" ca="1" si="172"/>
        <v xml:space="preserve"> </v>
      </c>
      <c r="R594" s="1069" t="str">
        <f t="shared" ca="1" si="172"/>
        <v xml:space="preserve"> </v>
      </c>
      <c r="S594" s="1069" t="str">
        <f t="shared" ca="1" si="172"/>
        <v xml:space="preserve"> </v>
      </c>
      <c r="T594" s="1069" t="str">
        <f t="shared" ca="1" si="172"/>
        <v xml:space="preserve"> </v>
      </c>
      <c r="U594" s="1069" t="str">
        <f t="shared" ca="1" si="172"/>
        <v xml:space="preserve"> </v>
      </c>
      <c r="V594" s="1069" t="str">
        <f t="shared" ca="1" si="172"/>
        <v xml:space="preserve"> </v>
      </c>
      <c r="W594" s="1069" t="str">
        <f t="shared" ca="1" si="172"/>
        <v xml:space="preserve"> </v>
      </c>
      <c r="X594" s="1069" t="str">
        <f t="shared" ca="1" si="172"/>
        <v xml:space="preserve"> </v>
      </c>
      <c r="Y594" s="1069" t="str">
        <f t="shared" ca="1" si="172"/>
        <v xml:space="preserve"> </v>
      </c>
      <c r="Z594" s="1069" t="str">
        <f t="shared" ca="1" si="172"/>
        <v xml:space="preserve"> </v>
      </c>
      <c r="AA594" s="1069" t="str">
        <f t="shared" ca="1" si="172"/>
        <v xml:space="preserve"> </v>
      </c>
    </row>
    <row r="595" spans="1:27" ht="9.9499999999999993" customHeight="1">
      <c r="A595" s="1069">
        <v>71</v>
      </c>
      <c r="D595" s="1069" t="str">
        <f t="shared" ref="D595:AA595" ca="1" si="173">IF(ISNUMBER(D594),IF(D594+2&lt;E$726,IF(ISNA(MATCH("Y",INDIRECT("Skills!"&amp;$C$523&amp;D594+1&amp;":"&amp;$C$523&amp;E$726),0))," ",MATCH("Y",INDIRECT("Skills!"&amp;$C$523&amp;D594+1&amp;":"&amp;$C$523&amp;E$726),0)+D594)," ")," ")</f>
        <v xml:space="preserve"> </v>
      </c>
      <c r="E595" s="1069" t="str">
        <f t="shared" ca="1" si="173"/>
        <v xml:space="preserve"> </v>
      </c>
      <c r="F595" s="1069" t="str">
        <f t="shared" ca="1" si="173"/>
        <v xml:space="preserve"> </v>
      </c>
      <c r="G595" s="1069" t="str">
        <f t="shared" ca="1" si="173"/>
        <v xml:space="preserve"> </v>
      </c>
      <c r="H595" s="1069" t="str">
        <f t="shared" ca="1" si="173"/>
        <v xml:space="preserve"> </v>
      </c>
      <c r="I595" s="1069" t="str">
        <f t="shared" ca="1" si="173"/>
        <v xml:space="preserve"> </v>
      </c>
      <c r="J595" s="1069" t="str">
        <f t="shared" ca="1" si="173"/>
        <v xml:space="preserve"> </v>
      </c>
      <c r="K595" s="1069" t="str">
        <f t="shared" ca="1" si="173"/>
        <v xml:space="preserve"> </v>
      </c>
      <c r="L595" s="1069">
        <f t="shared" ca="1" si="173"/>
        <v>373</v>
      </c>
      <c r="M595" s="1069">
        <f t="shared" ca="1" si="173"/>
        <v>465</v>
      </c>
      <c r="N595" s="1069">
        <f t="shared" ca="1" si="173"/>
        <v>548</v>
      </c>
      <c r="O595" s="1069" t="str">
        <f t="shared" ca="1" si="173"/>
        <v xml:space="preserve"> </v>
      </c>
      <c r="P595" s="1069">
        <f t="shared" ca="1" si="173"/>
        <v>658</v>
      </c>
      <c r="Q595" s="1069" t="str">
        <f t="shared" ca="1" si="173"/>
        <v xml:space="preserve"> </v>
      </c>
      <c r="R595" s="1069" t="str">
        <f t="shared" ca="1" si="173"/>
        <v xml:space="preserve"> </v>
      </c>
      <c r="S595" s="1069" t="str">
        <f t="shared" ca="1" si="173"/>
        <v xml:space="preserve"> </v>
      </c>
      <c r="T595" s="1069" t="str">
        <f t="shared" ca="1" si="173"/>
        <v xml:space="preserve"> </v>
      </c>
      <c r="U595" s="1069" t="str">
        <f t="shared" ca="1" si="173"/>
        <v xml:space="preserve"> </v>
      </c>
      <c r="V595" s="1069" t="str">
        <f t="shared" ca="1" si="173"/>
        <v xml:space="preserve"> </v>
      </c>
      <c r="W595" s="1069" t="str">
        <f t="shared" ca="1" si="173"/>
        <v xml:space="preserve"> </v>
      </c>
      <c r="X595" s="1069" t="str">
        <f t="shared" ca="1" si="173"/>
        <v xml:space="preserve"> </v>
      </c>
      <c r="Y595" s="1069" t="str">
        <f t="shared" ca="1" si="173"/>
        <v xml:space="preserve"> </v>
      </c>
      <c r="Z595" s="1069" t="str">
        <f t="shared" ca="1" si="173"/>
        <v xml:space="preserve"> </v>
      </c>
      <c r="AA595" s="1069" t="str">
        <f t="shared" ca="1" si="173"/>
        <v xml:space="preserve"> </v>
      </c>
    </row>
    <row r="596" spans="1:27" ht="9.9499999999999993" customHeight="1">
      <c r="A596" s="1069">
        <v>72</v>
      </c>
      <c r="D596" s="1069" t="str">
        <f t="shared" ref="D596:AA596" ca="1" si="174">IF(ISNUMBER(D595),IF(D595+2&lt;E$726,IF(ISNA(MATCH("Y",INDIRECT("Skills!"&amp;$C$523&amp;D595+1&amp;":"&amp;$C$523&amp;E$726),0))," ",MATCH("Y",INDIRECT("Skills!"&amp;$C$523&amp;D595+1&amp;":"&amp;$C$523&amp;E$726),0)+D595)," ")," ")</f>
        <v xml:space="preserve"> </v>
      </c>
      <c r="E596" s="1069" t="str">
        <f t="shared" ca="1" si="174"/>
        <v xml:space="preserve"> </v>
      </c>
      <c r="F596" s="1069" t="str">
        <f t="shared" ca="1" si="174"/>
        <v xml:space="preserve"> </v>
      </c>
      <c r="G596" s="1069" t="str">
        <f t="shared" ca="1" si="174"/>
        <v xml:space="preserve"> </v>
      </c>
      <c r="H596" s="1069" t="str">
        <f t="shared" ca="1" si="174"/>
        <v xml:space="preserve"> </v>
      </c>
      <c r="I596" s="1069" t="str">
        <f t="shared" ca="1" si="174"/>
        <v xml:space="preserve"> </v>
      </c>
      <c r="J596" s="1069" t="str">
        <f t="shared" ca="1" si="174"/>
        <v xml:space="preserve"> </v>
      </c>
      <c r="K596" s="1069" t="str">
        <f t="shared" ca="1" si="174"/>
        <v xml:space="preserve"> </v>
      </c>
      <c r="L596" s="1069">
        <f t="shared" ca="1" si="174"/>
        <v>374</v>
      </c>
      <c r="M596" s="1069">
        <f t="shared" ca="1" si="174"/>
        <v>466</v>
      </c>
      <c r="N596" s="1069">
        <f t="shared" ca="1" si="174"/>
        <v>549</v>
      </c>
      <c r="O596" s="1069" t="str">
        <f t="shared" ca="1" si="174"/>
        <v xml:space="preserve"> </v>
      </c>
      <c r="P596" s="1069">
        <f t="shared" ca="1" si="174"/>
        <v>659</v>
      </c>
      <c r="Q596" s="1069" t="str">
        <f t="shared" ca="1" si="174"/>
        <v xml:space="preserve"> </v>
      </c>
      <c r="R596" s="1069" t="str">
        <f t="shared" ca="1" si="174"/>
        <v xml:space="preserve"> </v>
      </c>
      <c r="S596" s="1069" t="str">
        <f t="shared" ca="1" si="174"/>
        <v xml:space="preserve"> </v>
      </c>
      <c r="T596" s="1069" t="str">
        <f t="shared" ca="1" si="174"/>
        <v xml:space="preserve"> </v>
      </c>
      <c r="U596" s="1069" t="str">
        <f t="shared" ca="1" si="174"/>
        <v xml:space="preserve"> </v>
      </c>
      <c r="V596" s="1069" t="str">
        <f t="shared" ca="1" si="174"/>
        <v xml:space="preserve"> </v>
      </c>
      <c r="W596" s="1069" t="str">
        <f t="shared" ca="1" si="174"/>
        <v xml:space="preserve"> </v>
      </c>
      <c r="X596" s="1069" t="str">
        <f t="shared" ca="1" si="174"/>
        <v xml:space="preserve"> </v>
      </c>
      <c r="Y596" s="1069" t="str">
        <f t="shared" ca="1" si="174"/>
        <v xml:space="preserve"> </v>
      </c>
      <c r="Z596" s="1069" t="str">
        <f t="shared" ca="1" si="174"/>
        <v xml:space="preserve"> </v>
      </c>
      <c r="AA596" s="1069" t="str">
        <f t="shared" ca="1" si="174"/>
        <v xml:space="preserve"> </v>
      </c>
    </row>
    <row r="597" spans="1:27" ht="9.9499999999999993" customHeight="1">
      <c r="A597" s="1069">
        <v>73</v>
      </c>
      <c r="D597" s="1069" t="str">
        <f t="shared" ref="D597:AA597" ca="1" si="175">IF(ISNUMBER(D596),IF(D596+2&lt;E$726,IF(ISNA(MATCH("Y",INDIRECT("Skills!"&amp;$C$523&amp;D596+1&amp;":"&amp;$C$523&amp;E$726),0))," ",MATCH("Y",INDIRECT("Skills!"&amp;$C$523&amp;D596+1&amp;":"&amp;$C$523&amp;E$726),0)+D596)," ")," ")</f>
        <v xml:space="preserve"> </v>
      </c>
      <c r="E597" s="1069" t="str">
        <f t="shared" ca="1" si="175"/>
        <v xml:space="preserve"> </v>
      </c>
      <c r="F597" s="1069" t="str">
        <f t="shared" ca="1" si="175"/>
        <v xml:space="preserve"> </v>
      </c>
      <c r="G597" s="1069" t="str">
        <f t="shared" ca="1" si="175"/>
        <v xml:space="preserve"> </v>
      </c>
      <c r="H597" s="1069" t="str">
        <f t="shared" ca="1" si="175"/>
        <v xml:space="preserve"> </v>
      </c>
      <c r="I597" s="1069" t="str">
        <f t="shared" ca="1" si="175"/>
        <v xml:space="preserve"> </v>
      </c>
      <c r="J597" s="1069" t="str">
        <f t="shared" ca="1" si="175"/>
        <v xml:space="preserve"> </v>
      </c>
      <c r="K597" s="1069" t="str">
        <f t="shared" ca="1" si="175"/>
        <v xml:space="preserve"> </v>
      </c>
      <c r="L597" s="1069">
        <f t="shared" ca="1" si="175"/>
        <v>375</v>
      </c>
      <c r="M597" s="1069">
        <f t="shared" ca="1" si="175"/>
        <v>467</v>
      </c>
      <c r="N597" s="1069">
        <f t="shared" ca="1" si="175"/>
        <v>550</v>
      </c>
      <c r="O597" s="1069" t="str">
        <f t="shared" ca="1" si="175"/>
        <v xml:space="preserve"> </v>
      </c>
      <c r="P597" s="1069">
        <f t="shared" ca="1" si="175"/>
        <v>660</v>
      </c>
      <c r="Q597" s="1069" t="str">
        <f t="shared" ca="1" si="175"/>
        <v xml:space="preserve"> </v>
      </c>
      <c r="R597" s="1069" t="str">
        <f t="shared" ca="1" si="175"/>
        <v xml:space="preserve"> </v>
      </c>
      <c r="S597" s="1069" t="str">
        <f t="shared" ca="1" si="175"/>
        <v xml:space="preserve"> </v>
      </c>
      <c r="T597" s="1069" t="str">
        <f t="shared" ca="1" si="175"/>
        <v xml:space="preserve"> </v>
      </c>
      <c r="U597" s="1069" t="str">
        <f t="shared" ca="1" si="175"/>
        <v xml:space="preserve"> </v>
      </c>
      <c r="V597" s="1069" t="str">
        <f t="shared" ca="1" si="175"/>
        <v xml:space="preserve"> </v>
      </c>
      <c r="W597" s="1069" t="str">
        <f t="shared" ca="1" si="175"/>
        <v xml:space="preserve"> </v>
      </c>
      <c r="X597" s="1069" t="str">
        <f t="shared" ca="1" si="175"/>
        <v xml:space="preserve"> </v>
      </c>
      <c r="Y597" s="1069" t="str">
        <f t="shared" ca="1" si="175"/>
        <v xml:space="preserve"> </v>
      </c>
      <c r="Z597" s="1069" t="str">
        <f t="shared" ca="1" si="175"/>
        <v xml:space="preserve"> </v>
      </c>
      <c r="AA597" s="1069" t="str">
        <f t="shared" ca="1" si="175"/>
        <v xml:space="preserve"> </v>
      </c>
    </row>
    <row r="598" spans="1:27" ht="9.9499999999999993" customHeight="1">
      <c r="A598" s="1069">
        <v>74</v>
      </c>
      <c r="D598" s="1069" t="str">
        <f t="shared" ref="D598:AA598" ca="1" si="176">IF(ISNUMBER(D597),IF(D597+2&lt;E$726,IF(ISNA(MATCH("Y",INDIRECT("Skills!"&amp;$C$523&amp;D597+1&amp;":"&amp;$C$523&amp;E$726),0))," ",MATCH("Y",INDIRECT("Skills!"&amp;$C$523&amp;D597+1&amp;":"&amp;$C$523&amp;E$726),0)+D597)," ")," ")</f>
        <v xml:space="preserve"> </v>
      </c>
      <c r="E598" s="1069" t="str">
        <f t="shared" ca="1" si="176"/>
        <v xml:space="preserve"> </v>
      </c>
      <c r="F598" s="1069" t="str">
        <f t="shared" ca="1" si="176"/>
        <v xml:space="preserve"> </v>
      </c>
      <c r="G598" s="1069" t="str">
        <f t="shared" ca="1" si="176"/>
        <v xml:space="preserve"> </v>
      </c>
      <c r="H598" s="1069" t="str">
        <f t="shared" ca="1" si="176"/>
        <v xml:space="preserve"> </v>
      </c>
      <c r="I598" s="1069" t="str">
        <f t="shared" ca="1" si="176"/>
        <v xml:space="preserve"> </v>
      </c>
      <c r="J598" s="1069" t="str">
        <f t="shared" ca="1" si="176"/>
        <v xml:space="preserve"> </v>
      </c>
      <c r="K598" s="1069" t="str">
        <f t="shared" ca="1" si="176"/>
        <v xml:space="preserve"> </v>
      </c>
      <c r="L598" s="1069">
        <f t="shared" ca="1" si="176"/>
        <v>376</v>
      </c>
      <c r="M598" s="1069">
        <f t="shared" ca="1" si="176"/>
        <v>468</v>
      </c>
      <c r="N598" s="1069">
        <f t="shared" ca="1" si="176"/>
        <v>551</v>
      </c>
      <c r="O598" s="1069" t="str">
        <f t="shared" ca="1" si="176"/>
        <v xml:space="preserve"> </v>
      </c>
      <c r="P598" s="1069">
        <f t="shared" ca="1" si="176"/>
        <v>661</v>
      </c>
      <c r="Q598" s="1069" t="str">
        <f t="shared" ca="1" si="176"/>
        <v xml:space="preserve"> </v>
      </c>
      <c r="R598" s="1069" t="str">
        <f t="shared" ca="1" si="176"/>
        <v xml:space="preserve"> </v>
      </c>
      <c r="S598" s="1069" t="str">
        <f t="shared" ca="1" si="176"/>
        <v xml:space="preserve"> </v>
      </c>
      <c r="T598" s="1069" t="str">
        <f t="shared" ca="1" si="176"/>
        <v xml:space="preserve"> </v>
      </c>
      <c r="U598" s="1069" t="str">
        <f t="shared" ca="1" si="176"/>
        <v xml:space="preserve"> </v>
      </c>
      <c r="V598" s="1069" t="str">
        <f t="shared" ca="1" si="176"/>
        <v xml:space="preserve"> </v>
      </c>
      <c r="W598" s="1069" t="str">
        <f t="shared" ca="1" si="176"/>
        <v xml:space="preserve"> </v>
      </c>
      <c r="X598" s="1069" t="str">
        <f t="shared" ca="1" si="176"/>
        <v xml:space="preserve"> </v>
      </c>
      <c r="Y598" s="1069" t="str">
        <f t="shared" ca="1" si="176"/>
        <v xml:space="preserve"> </v>
      </c>
      <c r="Z598" s="1069" t="str">
        <f t="shared" ca="1" si="176"/>
        <v xml:space="preserve"> </v>
      </c>
      <c r="AA598" s="1069" t="str">
        <f t="shared" ca="1" si="176"/>
        <v xml:space="preserve"> </v>
      </c>
    </row>
    <row r="599" spans="1:27" ht="9.9499999999999993" customHeight="1">
      <c r="A599" s="1069">
        <v>75</v>
      </c>
      <c r="D599" s="1069" t="str">
        <f t="shared" ref="D599:AA599" ca="1" si="177">IF(ISNUMBER(D598),IF(D598+2&lt;E$726,IF(ISNA(MATCH("Y",INDIRECT("Skills!"&amp;$C$523&amp;D598+1&amp;":"&amp;$C$523&amp;E$726),0))," ",MATCH("Y",INDIRECT("Skills!"&amp;$C$523&amp;D598+1&amp;":"&amp;$C$523&amp;E$726),0)+D598)," ")," ")</f>
        <v xml:space="preserve"> </v>
      </c>
      <c r="E599" s="1069" t="str">
        <f t="shared" ca="1" si="177"/>
        <v xml:space="preserve"> </v>
      </c>
      <c r="F599" s="1069" t="str">
        <f t="shared" ca="1" si="177"/>
        <v xml:space="preserve"> </v>
      </c>
      <c r="G599" s="1069" t="str">
        <f t="shared" ca="1" si="177"/>
        <v xml:space="preserve"> </v>
      </c>
      <c r="H599" s="1069" t="str">
        <f t="shared" ca="1" si="177"/>
        <v xml:space="preserve"> </v>
      </c>
      <c r="I599" s="1069" t="str">
        <f t="shared" ca="1" si="177"/>
        <v xml:space="preserve"> </v>
      </c>
      <c r="J599" s="1069" t="str">
        <f t="shared" ca="1" si="177"/>
        <v xml:space="preserve"> </v>
      </c>
      <c r="K599" s="1069" t="str">
        <f t="shared" ca="1" si="177"/>
        <v xml:space="preserve"> </v>
      </c>
      <c r="L599" s="1069">
        <f t="shared" ca="1" si="177"/>
        <v>377</v>
      </c>
      <c r="M599" s="1069">
        <f t="shared" ca="1" si="177"/>
        <v>470</v>
      </c>
      <c r="N599" s="1069" t="str">
        <f t="shared" ca="1" si="177"/>
        <v xml:space="preserve"> </v>
      </c>
      <c r="O599" s="1069" t="str">
        <f t="shared" ca="1" si="177"/>
        <v xml:space="preserve"> </v>
      </c>
      <c r="P599" s="1069">
        <f t="shared" ca="1" si="177"/>
        <v>665</v>
      </c>
      <c r="Q599" s="1069" t="str">
        <f t="shared" ca="1" si="177"/>
        <v xml:space="preserve"> </v>
      </c>
      <c r="R599" s="1069" t="str">
        <f t="shared" ca="1" si="177"/>
        <v xml:space="preserve"> </v>
      </c>
      <c r="S599" s="1069" t="str">
        <f t="shared" ca="1" si="177"/>
        <v xml:space="preserve"> </v>
      </c>
      <c r="T599" s="1069" t="str">
        <f t="shared" ca="1" si="177"/>
        <v xml:space="preserve"> </v>
      </c>
      <c r="U599" s="1069" t="str">
        <f t="shared" ca="1" si="177"/>
        <v xml:space="preserve"> </v>
      </c>
      <c r="V599" s="1069" t="str">
        <f t="shared" ca="1" si="177"/>
        <v xml:space="preserve"> </v>
      </c>
      <c r="W599" s="1069" t="str">
        <f t="shared" ca="1" si="177"/>
        <v xml:space="preserve"> </v>
      </c>
      <c r="X599" s="1069" t="str">
        <f t="shared" ca="1" si="177"/>
        <v xml:space="preserve"> </v>
      </c>
      <c r="Y599" s="1069" t="str">
        <f t="shared" ca="1" si="177"/>
        <v xml:space="preserve"> </v>
      </c>
      <c r="Z599" s="1069" t="str">
        <f t="shared" ca="1" si="177"/>
        <v xml:space="preserve"> </v>
      </c>
      <c r="AA599" s="1069" t="str">
        <f t="shared" ca="1" si="177"/>
        <v xml:space="preserve"> </v>
      </c>
    </row>
    <row r="600" spans="1:27" ht="9.9499999999999993" customHeight="1">
      <c r="A600" s="1069">
        <v>76</v>
      </c>
      <c r="D600" s="1069" t="str">
        <f t="shared" ref="D600:AA600" ca="1" si="178">IF(ISNUMBER(D599),IF(D599+2&lt;E$726,IF(ISNA(MATCH("Y",INDIRECT("Skills!"&amp;$C$523&amp;D599+1&amp;":"&amp;$C$523&amp;E$726),0))," ",MATCH("Y",INDIRECT("Skills!"&amp;$C$523&amp;D599+1&amp;":"&amp;$C$523&amp;E$726),0)+D599)," ")," ")</f>
        <v xml:space="preserve"> </v>
      </c>
      <c r="E600" s="1069" t="str">
        <f t="shared" ca="1" si="178"/>
        <v xml:space="preserve"> </v>
      </c>
      <c r="F600" s="1069" t="str">
        <f t="shared" ca="1" si="178"/>
        <v xml:space="preserve"> </v>
      </c>
      <c r="G600" s="1069" t="str">
        <f t="shared" ca="1" si="178"/>
        <v xml:space="preserve"> </v>
      </c>
      <c r="H600" s="1069" t="str">
        <f t="shared" ca="1" si="178"/>
        <v xml:space="preserve"> </v>
      </c>
      <c r="I600" s="1069" t="str">
        <f t="shared" ca="1" si="178"/>
        <v xml:space="preserve"> </v>
      </c>
      <c r="J600" s="1069" t="str">
        <f t="shared" ca="1" si="178"/>
        <v xml:space="preserve"> </v>
      </c>
      <c r="K600" s="1069" t="str">
        <f t="shared" ca="1" si="178"/>
        <v xml:space="preserve"> </v>
      </c>
      <c r="L600" s="1069">
        <f t="shared" ca="1" si="178"/>
        <v>378</v>
      </c>
      <c r="M600" s="1069" t="str">
        <f t="shared" ca="1" si="178"/>
        <v xml:space="preserve"> </v>
      </c>
      <c r="N600" s="1069" t="str">
        <f t="shared" ca="1" si="178"/>
        <v xml:space="preserve"> </v>
      </c>
      <c r="O600" s="1069" t="str">
        <f t="shared" ca="1" si="178"/>
        <v xml:space="preserve"> </v>
      </c>
      <c r="P600" s="1069">
        <f t="shared" ca="1" si="178"/>
        <v>666</v>
      </c>
      <c r="Q600" s="1069" t="str">
        <f t="shared" ca="1" si="178"/>
        <v xml:space="preserve"> </v>
      </c>
      <c r="R600" s="1069" t="str">
        <f t="shared" ca="1" si="178"/>
        <v xml:space="preserve"> </v>
      </c>
      <c r="S600" s="1069" t="str">
        <f t="shared" ca="1" si="178"/>
        <v xml:space="preserve"> </v>
      </c>
      <c r="T600" s="1069" t="str">
        <f t="shared" ca="1" si="178"/>
        <v xml:space="preserve"> </v>
      </c>
      <c r="U600" s="1069" t="str">
        <f t="shared" ca="1" si="178"/>
        <v xml:space="preserve"> </v>
      </c>
      <c r="V600" s="1069" t="str">
        <f t="shared" ca="1" si="178"/>
        <v xml:space="preserve"> </v>
      </c>
      <c r="W600" s="1069" t="str">
        <f t="shared" ca="1" si="178"/>
        <v xml:space="preserve"> </v>
      </c>
      <c r="X600" s="1069" t="str">
        <f t="shared" ca="1" si="178"/>
        <v xml:space="preserve"> </v>
      </c>
      <c r="Y600" s="1069" t="str">
        <f t="shared" ca="1" si="178"/>
        <v xml:space="preserve"> </v>
      </c>
      <c r="Z600" s="1069" t="str">
        <f t="shared" ca="1" si="178"/>
        <v xml:space="preserve"> </v>
      </c>
      <c r="AA600" s="1069" t="str">
        <f t="shared" ca="1" si="178"/>
        <v xml:space="preserve"> </v>
      </c>
    </row>
    <row r="601" spans="1:27" ht="9.9499999999999993" customHeight="1">
      <c r="A601" s="1069">
        <v>77</v>
      </c>
      <c r="D601" s="1069" t="str">
        <f t="shared" ref="D601:AA601" ca="1" si="179">IF(ISNUMBER(D600),IF(D600+2&lt;E$726,IF(ISNA(MATCH("Y",INDIRECT("Skills!"&amp;$C$523&amp;D600+1&amp;":"&amp;$C$523&amp;E$726),0))," ",MATCH("Y",INDIRECT("Skills!"&amp;$C$523&amp;D600+1&amp;":"&amp;$C$523&amp;E$726),0)+D600)," ")," ")</f>
        <v xml:space="preserve"> </v>
      </c>
      <c r="E601" s="1069" t="str">
        <f t="shared" ca="1" si="179"/>
        <v xml:space="preserve"> </v>
      </c>
      <c r="F601" s="1069" t="str">
        <f t="shared" ca="1" si="179"/>
        <v xml:space="preserve"> </v>
      </c>
      <c r="G601" s="1069" t="str">
        <f t="shared" ca="1" si="179"/>
        <v xml:space="preserve"> </v>
      </c>
      <c r="H601" s="1069" t="str">
        <f t="shared" ca="1" si="179"/>
        <v xml:space="preserve"> </v>
      </c>
      <c r="I601" s="1069" t="str">
        <f t="shared" ca="1" si="179"/>
        <v xml:space="preserve"> </v>
      </c>
      <c r="J601" s="1069" t="str">
        <f t="shared" ca="1" si="179"/>
        <v xml:space="preserve"> </v>
      </c>
      <c r="K601" s="1069" t="str">
        <f t="shared" ca="1" si="179"/>
        <v xml:space="preserve"> </v>
      </c>
      <c r="L601" s="1069">
        <f t="shared" ca="1" si="179"/>
        <v>379</v>
      </c>
      <c r="M601" s="1069" t="str">
        <f t="shared" ca="1" si="179"/>
        <v xml:space="preserve"> </v>
      </c>
      <c r="N601" s="1069" t="str">
        <f t="shared" ca="1" si="179"/>
        <v xml:space="preserve"> </v>
      </c>
      <c r="O601" s="1069" t="str">
        <f t="shared" ca="1" si="179"/>
        <v xml:space="preserve"> </v>
      </c>
      <c r="P601" s="1069">
        <f t="shared" ca="1" si="179"/>
        <v>667</v>
      </c>
      <c r="Q601" s="1069" t="str">
        <f t="shared" ca="1" si="179"/>
        <v xml:space="preserve"> </v>
      </c>
      <c r="R601" s="1069" t="str">
        <f t="shared" ca="1" si="179"/>
        <v xml:space="preserve"> </v>
      </c>
      <c r="S601" s="1069" t="str">
        <f t="shared" ca="1" si="179"/>
        <v xml:space="preserve"> </v>
      </c>
      <c r="T601" s="1069" t="str">
        <f t="shared" ca="1" si="179"/>
        <v xml:space="preserve"> </v>
      </c>
      <c r="U601" s="1069" t="str">
        <f t="shared" ca="1" si="179"/>
        <v xml:space="preserve"> </v>
      </c>
      <c r="V601" s="1069" t="str">
        <f t="shared" ca="1" si="179"/>
        <v xml:space="preserve"> </v>
      </c>
      <c r="W601" s="1069" t="str">
        <f t="shared" ca="1" si="179"/>
        <v xml:space="preserve"> </v>
      </c>
      <c r="X601" s="1069" t="str">
        <f t="shared" ca="1" si="179"/>
        <v xml:space="preserve"> </v>
      </c>
      <c r="Y601" s="1069" t="str">
        <f t="shared" ca="1" si="179"/>
        <v xml:space="preserve"> </v>
      </c>
      <c r="Z601" s="1069" t="str">
        <f t="shared" ca="1" si="179"/>
        <v xml:space="preserve"> </v>
      </c>
      <c r="AA601" s="1069" t="str">
        <f t="shared" ca="1" si="179"/>
        <v xml:space="preserve"> </v>
      </c>
    </row>
    <row r="602" spans="1:27" ht="9.9499999999999993" customHeight="1">
      <c r="A602" s="1069">
        <v>78</v>
      </c>
      <c r="D602" s="1069" t="str">
        <f t="shared" ref="D602:AA602" ca="1" si="180">IF(ISNUMBER(D601),IF(D601+2&lt;E$726,IF(ISNA(MATCH("Y",INDIRECT("Skills!"&amp;$C$523&amp;D601+1&amp;":"&amp;$C$523&amp;E$726),0))," ",MATCH("Y",INDIRECT("Skills!"&amp;$C$523&amp;D601+1&amp;":"&amp;$C$523&amp;E$726),0)+D601)," ")," ")</f>
        <v xml:space="preserve"> </v>
      </c>
      <c r="E602" s="1069" t="str">
        <f t="shared" ca="1" si="180"/>
        <v xml:space="preserve"> </v>
      </c>
      <c r="F602" s="1069" t="str">
        <f t="shared" ca="1" si="180"/>
        <v xml:space="preserve"> </v>
      </c>
      <c r="G602" s="1069" t="str">
        <f t="shared" ca="1" si="180"/>
        <v xml:space="preserve"> </v>
      </c>
      <c r="H602" s="1069" t="str">
        <f t="shared" ca="1" si="180"/>
        <v xml:space="preserve"> </v>
      </c>
      <c r="I602" s="1069" t="str">
        <f t="shared" ca="1" si="180"/>
        <v xml:space="preserve"> </v>
      </c>
      <c r="J602" s="1069" t="str">
        <f t="shared" ca="1" si="180"/>
        <v xml:space="preserve"> </v>
      </c>
      <c r="K602" s="1069" t="str">
        <f t="shared" ca="1" si="180"/>
        <v xml:space="preserve"> </v>
      </c>
      <c r="L602" s="1069">
        <f t="shared" ca="1" si="180"/>
        <v>380</v>
      </c>
      <c r="M602" s="1069" t="str">
        <f t="shared" ca="1" si="180"/>
        <v xml:space="preserve"> </v>
      </c>
      <c r="N602" s="1069" t="str">
        <f t="shared" ca="1" si="180"/>
        <v xml:space="preserve"> </v>
      </c>
      <c r="O602" s="1069" t="str">
        <f t="shared" ca="1" si="180"/>
        <v xml:space="preserve"> </v>
      </c>
      <c r="P602" s="1069">
        <f t="shared" ca="1" si="180"/>
        <v>670</v>
      </c>
      <c r="Q602" s="1069" t="str">
        <f t="shared" ca="1" si="180"/>
        <v xml:space="preserve"> </v>
      </c>
      <c r="R602" s="1069" t="str">
        <f t="shared" ca="1" si="180"/>
        <v xml:space="preserve"> </v>
      </c>
      <c r="S602" s="1069" t="str">
        <f t="shared" ca="1" si="180"/>
        <v xml:space="preserve"> </v>
      </c>
      <c r="T602" s="1069" t="str">
        <f t="shared" ca="1" si="180"/>
        <v xml:space="preserve"> </v>
      </c>
      <c r="U602" s="1069" t="str">
        <f t="shared" ca="1" si="180"/>
        <v xml:space="preserve"> </v>
      </c>
      <c r="V602" s="1069" t="str">
        <f t="shared" ca="1" si="180"/>
        <v xml:space="preserve"> </v>
      </c>
      <c r="W602" s="1069" t="str">
        <f t="shared" ca="1" si="180"/>
        <v xml:space="preserve"> </v>
      </c>
      <c r="X602" s="1069" t="str">
        <f t="shared" ca="1" si="180"/>
        <v xml:space="preserve"> </v>
      </c>
      <c r="Y602" s="1069" t="str">
        <f t="shared" ca="1" si="180"/>
        <v xml:space="preserve"> </v>
      </c>
      <c r="Z602" s="1069" t="str">
        <f t="shared" ca="1" si="180"/>
        <v xml:space="preserve"> </v>
      </c>
      <c r="AA602" s="1069" t="str">
        <f t="shared" ca="1" si="180"/>
        <v xml:space="preserve"> </v>
      </c>
    </row>
    <row r="603" spans="1:27" ht="9.9499999999999993" customHeight="1">
      <c r="A603" s="1069">
        <v>79</v>
      </c>
      <c r="D603" s="1069" t="str">
        <f t="shared" ref="D603:AA603" ca="1" si="181">IF(ISNUMBER(D602),IF(D602+2&lt;E$726,IF(ISNA(MATCH("Y",INDIRECT("Skills!"&amp;$C$523&amp;D602+1&amp;":"&amp;$C$523&amp;E$726),0))," ",MATCH("Y",INDIRECT("Skills!"&amp;$C$523&amp;D602+1&amp;":"&amp;$C$523&amp;E$726),0)+D602)," ")," ")</f>
        <v xml:space="preserve"> </v>
      </c>
      <c r="E603" s="1069" t="str">
        <f t="shared" ca="1" si="181"/>
        <v xml:space="preserve"> </v>
      </c>
      <c r="F603" s="1069" t="str">
        <f t="shared" ca="1" si="181"/>
        <v xml:space="preserve"> </v>
      </c>
      <c r="G603" s="1069" t="str">
        <f t="shared" ca="1" si="181"/>
        <v xml:space="preserve"> </v>
      </c>
      <c r="H603" s="1069" t="str">
        <f t="shared" ca="1" si="181"/>
        <v xml:space="preserve"> </v>
      </c>
      <c r="I603" s="1069" t="str">
        <f t="shared" ca="1" si="181"/>
        <v xml:space="preserve"> </v>
      </c>
      <c r="J603" s="1069" t="str">
        <f t="shared" ca="1" si="181"/>
        <v xml:space="preserve"> </v>
      </c>
      <c r="K603" s="1069" t="str">
        <f t="shared" ca="1" si="181"/>
        <v xml:space="preserve"> </v>
      </c>
      <c r="L603" s="1069">
        <f t="shared" ca="1" si="181"/>
        <v>381</v>
      </c>
      <c r="M603" s="1069" t="str">
        <f t="shared" ca="1" si="181"/>
        <v xml:space="preserve"> </v>
      </c>
      <c r="N603" s="1069" t="str">
        <f t="shared" ca="1" si="181"/>
        <v xml:space="preserve"> </v>
      </c>
      <c r="O603" s="1069" t="str">
        <f t="shared" ca="1" si="181"/>
        <v xml:space="preserve"> </v>
      </c>
      <c r="P603" s="1069">
        <f t="shared" ca="1" si="181"/>
        <v>672</v>
      </c>
      <c r="Q603" s="1069" t="str">
        <f t="shared" ca="1" si="181"/>
        <v xml:space="preserve"> </v>
      </c>
      <c r="R603" s="1069" t="str">
        <f t="shared" ca="1" si="181"/>
        <v xml:space="preserve"> </v>
      </c>
      <c r="S603" s="1069" t="str">
        <f t="shared" ca="1" si="181"/>
        <v xml:space="preserve"> </v>
      </c>
      <c r="T603" s="1069" t="str">
        <f t="shared" ca="1" si="181"/>
        <v xml:space="preserve"> </v>
      </c>
      <c r="U603" s="1069" t="str">
        <f t="shared" ca="1" si="181"/>
        <v xml:space="preserve"> </v>
      </c>
      <c r="V603" s="1069" t="str">
        <f t="shared" ca="1" si="181"/>
        <v xml:space="preserve"> </v>
      </c>
      <c r="W603" s="1069" t="str">
        <f t="shared" ca="1" si="181"/>
        <v xml:space="preserve"> </v>
      </c>
      <c r="X603" s="1069" t="str">
        <f t="shared" ca="1" si="181"/>
        <v xml:space="preserve"> </v>
      </c>
      <c r="Y603" s="1069" t="str">
        <f t="shared" ca="1" si="181"/>
        <v xml:space="preserve"> </v>
      </c>
      <c r="Z603" s="1069" t="str">
        <f t="shared" ca="1" si="181"/>
        <v xml:space="preserve"> </v>
      </c>
      <c r="AA603" s="1069" t="str">
        <f t="shared" ca="1" si="181"/>
        <v xml:space="preserve"> </v>
      </c>
    </row>
    <row r="604" spans="1:27" ht="9.9499999999999993" customHeight="1">
      <c r="A604" s="1069">
        <v>80</v>
      </c>
      <c r="D604" s="1069" t="str">
        <f t="shared" ref="D604:AA604" ca="1" si="182">IF(ISNUMBER(D603),IF(D603+2&lt;E$726,IF(ISNA(MATCH("Y",INDIRECT("Skills!"&amp;$C$523&amp;D603+1&amp;":"&amp;$C$523&amp;E$726),0))," ",MATCH("Y",INDIRECT("Skills!"&amp;$C$523&amp;D603+1&amp;":"&amp;$C$523&amp;E$726),0)+D603)," ")," ")</f>
        <v xml:space="preserve"> </v>
      </c>
      <c r="E604" s="1069" t="str">
        <f t="shared" ca="1" si="182"/>
        <v xml:space="preserve"> </v>
      </c>
      <c r="F604" s="1069" t="str">
        <f t="shared" ca="1" si="182"/>
        <v xml:space="preserve"> </v>
      </c>
      <c r="G604" s="1069" t="str">
        <f t="shared" ca="1" si="182"/>
        <v xml:space="preserve"> </v>
      </c>
      <c r="H604" s="1069" t="str">
        <f t="shared" ca="1" si="182"/>
        <v xml:space="preserve"> </v>
      </c>
      <c r="I604" s="1069" t="str">
        <f t="shared" ca="1" si="182"/>
        <v xml:space="preserve"> </v>
      </c>
      <c r="J604" s="1069" t="str">
        <f t="shared" ca="1" si="182"/>
        <v xml:space="preserve"> </v>
      </c>
      <c r="K604" s="1069" t="str">
        <f t="shared" ca="1" si="182"/>
        <v xml:space="preserve"> </v>
      </c>
      <c r="L604" s="1069">
        <f t="shared" ca="1" si="182"/>
        <v>382</v>
      </c>
      <c r="M604" s="1069" t="str">
        <f t="shared" ca="1" si="182"/>
        <v xml:space="preserve"> </v>
      </c>
      <c r="N604" s="1069" t="str">
        <f t="shared" ca="1" si="182"/>
        <v xml:space="preserve"> </v>
      </c>
      <c r="O604" s="1069" t="str">
        <f t="shared" ca="1" si="182"/>
        <v xml:space="preserve"> </v>
      </c>
      <c r="P604" s="1069">
        <f t="shared" ca="1" si="182"/>
        <v>673</v>
      </c>
      <c r="Q604" s="1069" t="str">
        <f t="shared" ca="1" si="182"/>
        <v xml:space="preserve"> </v>
      </c>
      <c r="R604" s="1069" t="str">
        <f t="shared" ca="1" si="182"/>
        <v xml:space="preserve"> </v>
      </c>
      <c r="S604" s="1069" t="str">
        <f t="shared" ca="1" si="182"/>
        <v xml:space="preserve"> </v>
      </c>
      <c r="T604" s="1069" t="str">
        <f t="shared" ca="1" si="182"/>
        <v xml:space="preserve"> </v>
      </c>
      <c r="U604" s="1069" t="str">
        <f t="shared" ca="1" si="182"/>
        <v xml:space="preserve"> </v>
      </c>
      <c r="V604" s="1069" t="str">
        <f t="shared" ca="1" si="182"/>
        <v xml:space="preserve"> </v>
      </c>
      <c r="W604" s="1069" t="str">
        <f t="shared" ca="1" si="182"/>
        <v xml:space="preserve"> </v>
      </c>
      <c r="X604" s="1069" t="str">
        <f t="shared" ca="1" si="182"/>
        <v xml:space="preserve"> </v>
      </c>
      <c r="Y604" s="1069" t="str">
        <f t="shared" ca="1" si="182"/>
        <v xml:space="preserve"> </v>
      </c>
      <c r="Z604" s="1069" t="str">
        <f t="shared" ca="1" si="182"/>
        <v xml:space="preserve"> </v>
      </c>
      <c r="AA604" s="1069" t="str">
        <f t="shared" ca="1" si="182"/>
        <v xml:space="preserve"> </v>
      </c>
    </row>
    <row r="605" spans="1:27" ht="9.9499999999999993" customHeight="1">
      <c r="A605" s="1069">
        <v>81</v>
      </c>
      <c r="D605" s="1069" t="str">
        <f t="shared" ref="D605:AA605" ca="1" si="183">IF(ISNUMBER(D604),IF(D604+2&lt;E$726,IF(ISNA(MATCH("Y",INDIRECT("Skills!"&amp;$C$523&amp;D604+1&amp;":"&amp;$C$523&amp;E$726),0))," ",MATCH("Y",INDIRECT("Skills!"&amp;$C$523&amp;D604+1&amp;":"&amp;$C$523&amp;E$726),0)+D604)," ")," ")</f>
        <v xml:space="preserve"> </v>
      </c>
      <c r="E605" s="1069" t="str">
        <f t="shared" ca="1" si="183"/>
        <v xml:space="preserve"> </v>
      </c>
      <c r="F605" s="1069" t="str">
        <f t="shared" ca="1" si="183"/>
        <v xml:space="preserve"> </v>
      </c>
      <c r="G605" s="1069" t="str">
        <f t="shared" ca="1" si="183"/>
        <v xml:space="preserve"> </v>
      </c>
      <c r="H605" s="1069" t="str">
        <f t="shared" ca="1" si="183"/>
        <v xml:space="preserve"> </v>
      </c>
      <c r="I605" s="1069" t="str">
        <f t="shared" ca="1" si="183"/>
        <v xml:space="preserve"> </v>
      </c>
      <c r="J605" s="1069" t="str">
        <f t="shared" ca="1" si="183"/>
        <v xml:space="preserve"> </v>
      </c>
      <c r="K605" s="1069" t="str">
        <f t="shared" ca="1" si="183"/>
        <v xml:space="preserve"> </v>
      </c>
      <c r="L605" s="1069">
        <f t="shared" ca="1" si="183"/>
        <v>383</v>
      </c>
      <c r="M605" s="1069" t="str">
        <f t="shared" ca="1" si="183"/>
        <v xml:space="preserve"> </v>
      </c>
      <c r="N605" s="1069" t="str">
        <f t="shared" ca="1" si="183"/>
        <v xml:space="preserve"> </v>
      </c>
      <c r="O605" s="1069" t="str">
        <f t="shared" ca="1" si="183"/>
        <v xml:space="preserve"> </v>
      </c>
      <c r="P605" s="1069">
        <f t="shared" ca="1" si="183"/>
        <v>674</v>
      </c>
      <c r="Q605" s="1069" t="str">
        <f t="shared" ca="1" si="183"/>
        <v xml:space="preserve"> </v>
      </c>
      <c r="R605" s="1069" t="str">
        <f t="shared" ca="1" si="183"/>
        <v xml:space="preserve"> </v>
      </c>
      <c r="S605" s="1069" t="str">
        <f t="shared" ca="1" si="183"/>
        <v xml:space="preserve"> </v>
      </c>
      <c r="T605" s="1069" t="str">
        <f t="shared" ca="1" si="183"/>
        <v xml:space="preserve"> </v>
      </c>
      <c r="U605" s="1069" t="str">
        <f t="shared" ca="1" si="183"/>
        <v xml:space="preserve"> </v>
      </c>
      <c r="V605" s="1069" t="str">
        <f t="shared" ca="1" si="183"/>
        <v xml:space="preserve"> </v>
      </c>
      <c r="W605" s="1069" t="str">
        <f t="shared" ca="1" si="183"/>
        <v xml:space="preserve"> </v>
      </c>
      <c r="X605" s="1069" t="str">
        <f t="shared" ca="1" si="183"/>
        <v xml:space="preserve"> </v>
      </c>
      <c r="Y605" s="1069" t="str">
        <f t="shared" ca="1" si="183"/>
        <v xml:space="preserve"> </v>
      </c>
      <c r="Z605" s="1069" t="str">
        <f t="shared" ca="1" si="183"/>
        <v xml:space="preserve"> </v>
      </c>
      <c r="AA605" s="1069" t="str">
        <f t="shared" ca="1" si="183"/>
        <v xml:space="preserve"> </v>
      </c>
    </row>
    <row r="606" spans="1:27" ht="9.9499999999999993" customHeight="1">
      <c r="A606" s="1069">
        <v>82</v>
      </c>
      <c r="D606" s="1069" t="str">
        <f t="shared" ref="D606:AA606" ca="1" si="184">IF(ISNUMBER(D605),IF(D605+2&lt;E$726,IF(ISNA(MATCH("Y",INDIRECT("Skills!"&amp;$C$523&amp;D605+1&amp;":"&amp;$C$523&amp;E$726),0))," ",MATCH("Y",INDIRECT("Skills!"&amp;$C$523&amp;D605+1&amp;":"&amp;$C$523&amp;E$726),0)+D605)," ")," ")</f>
        <v xml:space="preserve"> </v>
      </c>
      <c r="E606" s="1069" t="str">
        <f t="shared" ca="1" si="184"/>
        <v xml:space="preserve"> </v>
      </c>
      <c r="F606" s="1069" t="str">
        <f t="shared" ca="1" si="184"/>
        <v xml:space="preserve"> </v>
      </c>
      <c r="G606" s="1069" t="str">
        <f t="shared" ca="1" si="184"/>
        <v xml:space="preserve"> </v>
      </c>
      <c r="H606" s="1069" t="str">
        <f t="shared" ca="1" si="184"/>
        <v xml:space="preserve"> </v>
      </c>
      <c r="I606" s="1069" t="str">
        <f t="shared" ca="1" si="184"/>
        <v xml:space="preserve"> </v>
      </c>
      <c r="J606" s="1069" t="str">
        <f t="shared" ca="1" si="184"/>
        <v xml:space="preserve"> </v>
      </c>
      <c r="K606" s="1069" t="str">
        <f t="shared" ca="1" si="184"/>
        <v xml:space="preserve"> </v>
      </c>
      <c r="L606" s="1069">
        <f t="shared" ca="1" si="184"/>
        <v>384</v>
      </c>
      <c r="M606" s="1069" t="str">
        <f t="shared" ca="1" si="184"/>
        <v xml:space="preserve"> </v>
      </c>
      <c r="N606" s="1069" t="str">
        <f t="shared" ca="1" si="184"/>
        <v xml:space="preserve"> </v>
      </c>
      <c r="O606" s="1069" t="str">
        <f t="shared" ca="1" si="184"/>
        <v xml:space="preserve"> </v>
      </c>
      <c r="P606" s="1069">
        <f t="shared" ca="1" si="184"/>
        <v>675</v>
      </c>
      <c r="Q606" s="1069" t="str">
        <f t="shared" ca="1" si="184"/>
        <v xml:space="preserve"> </v>
      </c>
      <c r="R606" s="1069" t="str">
        <f t="shared" ca="1" si="184"/>
        <v xml:space="preserve"> </v>
      </c>
      <c r="S606" s="1069" t="str">
        <f t="shared" ca="1" si="184"/>
        <v xml:space="preserve"> </v>
      </c>
      <c r="T606" s="1069" t="str">
        <f t="shared" ca="1" si="184"/>
        <v xml:space="preserve"> </v>
      </c>
      <c r="U606" s="1069" t="str">
        <f t="shared" ca="1" si="184"/>
        <v xml:space="preserve"> </v>
      </c>
      <c r="V606" s="1069" t="str">
        <f t="shared" ca="1" si="184"/>
        <v xml:space="preserve"> </v>
      </c>
      <c r="W606" s="1069" t="str">
        <f t="shared" ca="1" si="184"/>
        <v xml:space="preserve"> </v>
      </c>
      <c r="X606" s="1069" t="str">
        <f t="shared" ca="1" si="184"/>
        <v xml:space="preserve"> </v>
      </c>
      <c r="Y606" s="1069" t="str">
        <f t="shared" ca="1" si="184"/>
        <v xml:space="preserve"> </v>
      </c>
      <c r="Z606" s="1069" t="str">
        <f t="shared" ca="1" si="184"/>
        <v xml:space="preserve"> </v>
      </c>
      <c r="AA606" s="1069" t="str">
        <f t="shared" ca="1" si="184"/>
        <v xml:space="preserve"> </v>
      </c>
    </row>
    <row r="607" spans="1:27" ht="9.9499999999999993" customHeight="1">
      <c r="A607" s="1069">
        <v>83</v>
      </c>
      <c r="D607" s="1069" t="str">
        <f t="shared" ref="D607:AA607" ca="1" si="185">IF(ISNUMBER(D606),IF(D606+2&lt;E$726,IF(ISNA(MATCH("Y",INDIRECT("Skills!"&amp;$C$523&amp;D606+1&amp;":"&amp;$C$523&amp;E$726),0))," ",MATCH("Y",INDIRECT("Skills!"&amp;$C$523&amp;D606+1&amp;":"&amp;$C$523&amp;E$726),0)+D606)," ")," ")</f>
        <v xml:space="preserve"> </v>
      </c>
      <c r="E607" s="1069" t="str">
        <f t="shared" ca="1" si="185"/>
        <v xml:space="preserve"> </v>
      </c>
      <c r="F607" s="1069" t="str">
        <f t="shared" ca="1" si="185"/>
        <v xml:space="preserve"> </v>
      </c>
      <c r="G607" s="1069" t="str">
        <f t="shared" ca="1" si="185"/>
        <v xml:space="preserve"> </v>
      </c>
      <c r="H607" s="1069" t="str">
        <f t="shared" ca="1" si="185"/>
        <v xml:space="preserve"> </v>
      </c>
      <c r="I607" s="1069" t="str">
        <f t="shared" ca="1" si="185"/>
        <v xml:space="preserve"> </v>
      </c>
      <c r="J607" s="1069" t="str">
        <f t="shared" ca="1" si="185"/>
        <v xml:space="preserve"> </v>
      </c>
      <c r="K607" s="1069" t="str">
        <f t="shared" ca="1" si="185"/>
        <v xml:space="preserve"> </v>
      </c>
      <c r="L607" s="1069">
        <f t="shared" ca="1" si="185"/>
        <v>385</v>
      </c>
      <c r="M607" s="1069" t="str">
        <f t="shared" ca="1" si="185"/>
        <v xml:space="preserve"> </v>
      </c>
      <c r="N607" s="1069" t="str">
        <f t="shared" ca="1" si="185"/>
        <v xml:space="preserve"> </v>
      </c>
      <c r="O607" s="1069" t="str">
        <f t="shared" ca="1" si="185"/>
        <v xml:space="preserve"> </v>
      </c>
      <c r="P607" s="1069">
        <f t="shared" ca="1" si="185"/>
        <v>676</v>
      </c>
      <c r="Q607" s="1069" t="str">
        <f t="shared" ca="1" si="185"/>
        <v xml:space="preserve"> </v>
      </c>
      <c r="R607" s="1069" t="str">
        <f t="shared" ca="1" si="185"/>
        <v xml:space="preserve"> </v>
      </c>
      <c r="S607" s="1069" t="str">
        <f t="shared" ca="1" si="185"/>
        <v xml:space="preserve"> </v>
      </c>
      <c r="T607" s="1069" t="str">
        <f t="shared" ca="1" si="185"/>
        <v xml:space="preserve"> </v>
      </c>
      <c r="U607" s="1069" t="str">
        <f t="shared" ca="1" si="185"/>
        <v xml:space="preserve"> </v>
      </c>
      <c r="V607" s="1069" t="str">
        <f t="shared" ca="1" si="185"/>
        <v xml:space="preserve"> </v>
      </c>
      <c r="W607" s="1069" t="str">
        <f t="shared" ca="1" si="185"/>
        <v xml:space="preserve"> </v>
      </c>
      <c r="X607" s="1069" t="str">
        <f t="shared" ca="1" si="185"/>
        <v xml:space="preserve"> </v>
      </c>
      <c r="Y607" s="1069" t="str">
        <f t="shared" ca="1" si="185"/>
        <v xml:space="preserve"> </v>
      </c>
      <c r="Z607" s="1069" t="str">
        <f t="shared" ca="1" si="185"/>
        <v xml:space="preserve"> </v>
      </c>
      <c r="AA607" s="1069" t="str">
        <f t="shared" ca="1" si="185"/>
        <v xml:space="preserve"> </v>
      </c>
    </row>
    <row r="608" spans="1:27" ht="9.9499999999999993" customHeight="1">
      <c r="A608" s="1069">
        <v>84</v>
      </c>
      <c r="D608" s="1069" t="str">
        <f t="shared" ref="D608:AA608" ca="1" si="186">IF(ISNUMBER(D607),IF(D607+2&lt;E$726,IF(ISNA(MATCH("Y",INDIRECT("Skills!"&amp;$C$523&amp;D607+1&amp;":"&amp;$C$523&amp;E$726),0))," ",MATCH("Y",INDIRECT("Skills!"&amp;$C$523&amp;D607+1&amp;":"&amp;$C$523&amp;E$726),0)+D607)," ")," ")</f>
        <v xml:space="preserve"> </v>
      </c>
      <c r="E608" s="1069" t="str">
        <f t="shared" ca="1" si="186"/>
        <v xml:space="preserve"> </v>
      </c>
      <c r="F608" s="1069" t="str">
        <f t="shared" ca="1" si="186"/>
        <v xml:space="preserve"> </v>
      </c>
      <c r="G608" s="1069" t="str">
        <f t="shared" ca="1" si="186"/>
        <v xml:space="preserve"> </v>
      </c>
      <c r="H608" s="1069" t="str">
        <f t="shared" ca="1" si="186"/>
        <v xml:space="preserve"> </v>
      </c>
      <c r="I608" s="1069" t="str">
        <f t="shared" ca="1" si="186"/>
        <v xml:space="preserve"> </v>
      </c>
      <c r="J608" s="1069" t="str">
        <f t="shared" ca="1" si="186"/>
        <v xml:space="preserve"> </v>
      </c>
      <c r="K608" s="1069" t="str">
        <f t="shared" ca="1" si="186"/>
        <v xml:space="preserve"> </v>
      </c>
      <c r="L608" s="1069">
        <f t="shared" ca="1" si="186"/>
        <v>386</v>
      </c>
      <c r="M608" s="1069" t="str">
        <f t="shared" ca="1" si="186"/>
        <v xml:space="preserve"> </v>
      </c>
      <c r="N608" s="1069" t="str">
        <f t="shared" ca="1" si="186"/>
        <v xml:space="preserve"> </v>
      </c>
      <c r="O608" s="1069" t="str">
        <f t="shared" ca="1" si="186"/>
        <v xml:space="preserve"> </v>
      </c>
      <c r="P608" s="1069">
        <f t="shared" ca="1" si="186"/>
        <v>677</v>
      </c>
      <c r="Q608" s="1069" t="str">
        <f t="shared" ca="1" si="186"/>
        <v xml:space="preserve"> </v>
      </c>
      <c r="R608" s="1069" t="str">
        <f t="shared" ca="1" si="186"/>
        <v xml:space="preserve"> </v>
      </c>
      <c r="S608" s="1069" t="str">
        <f t="shared" ca="1" si="186"/>
        <v xml:space="preserve"> </v>
      </c>
      <c r="T608" s="1069" t="str">
        <f t="shared" ca="1" si="186"/>
        <v xml:space="preserve"> </v>
      </c>
      <c r="U608" s="1069" t="str">
        <f t="shared" ca="1" si="186"/>
        <v xml:space="preserve"> </v>
      </c>
      <c r="V608" s="1069" t="str">
        <f t="shared" ca="1" si="186"/>
        <v xml:space="preserve"> </v>
      </c>
      <c r="W608" s="1069" t="str">
        <f t="shared" ca="1" si="186"/>
        <v xml:space="preserve"> </v>
      </c>
      <c r="X608" s="1069" t="str">
        <f t="shared" ca="1" si="186"/>
        <v xml:space="preserve"> </v>
      </c>
      <c r="Y608" s="1069" t="str">
        <f t="shared" ca="1" si="186"/>
        <v xml:space="preserve"> </v>
      </c>
      <c r="Z608" s="1069" t="str">
        <f t="shared" ca="1" si="186"/>
        <v xml:space="preserve"> </v>
      </c>
      <c r="AA608" s="1069" t="str">
        <f t="shared" ca="1" si="186"/>
        <v xml:space="preserve"> </v>
      </c>
    </row>
    <row r="609" spans="1:27" ht="9.9499999999999993" customHeight="1">
      <c r="A609" s="1069">
        <v>85</v>
      </c>
      <c r="D609" s="1069" t="str">
        <f t="shared" ref="D609:AA609" ca="1" si="187">IF(ISNUMBER(D608),IF(D608+2&lt;E$726,IF(ISNA(MATCH("Y",INDIRECT("Skills!"&amp;$C$523&amp;D608+1&amp;":"&amp;$C$523&amp;E$726),0))," ",MATCH("Y",INDIRECT("Skills!"&amp;$C$523&amp;D608+1&amp;":"&amp;$C$523&amp;E$726),0)+D608)," ")," ")</f>
        <v xml:space="preserve"> </v>
      </c>
      <c r="E609" s="1069" t="str">
        <f t="shared" ca="1" si="187"/>
        <v xml:space="preserve"> </v>
      </c>
      <c r="F609" s="1069" t="str">
        <f t="shared" ca="1" si="187"/>
        <v xml:space="preserve"> </v>
      </c>
      <c r="G609" s="1069" t="str">
        <f t="shared" ca="1" si="187"/>
        <v xml:space="preserve"> </v>
      </c>
      <c r="H609" s="1069" t="str">
        <f t="shared" ca="1" si="187"/>
        <v xml:space="preserve"> </v>
      </c>
      <c r="I609" s="1069" t="str">
        <f t="shared" ca="1" si="187"/>
        <v xml:space="preserve"> </v>
      </c>
      <c r="J609" s="1069" t="str">
        <f t="shared" ca="1" si="187"/>
        <v xml:space="preserve"> </v>
      </c>
      <c r="K609" s="1069" t="str">
        <f t="shared" ca="1" si="187"/>
        <v xml:space="preserve"> </v>
      </c>
      <c r="L609" s="1069">
        <f t="shared" ca="1" si="187"/>
        <v>387</v>
      </c>
      <c r="M609" s="1069" t="str">
        <f t="shared" ca="1" si="187"/>
        <v xml:space="preserve"> </v>
      </c>
      <c r="N609" s="1069" t="str">
        <f t="shared" ca="1" si="187"/>
        <v xml:space="preserve"> </v>
      </c>
      <c r="O609" s="1069" t="str">
        <f t="shared" ca="1" si="187"/>
        <v xml:space="preserve"> </v>
      </c>
      <c r="P609" s="1069">
        <f t="shared" ca="1" si="187"/>
        <v>678</v>
      </c>
      <c r="Q609" s="1069" t="str">
        <f t="shared" ca="1" si="187"/>
        <v xml:space="preserve"> </v>
      </c>
      <c r="R609" s="1069" t="str">
        <f t="shared" ca="1" si="187"/>
        <v xml:space="preserve"> </v>
      </c>
      <c r="S609" s="1069" t="str">
        <f t="shared" ca="1" si="187"/>
        <v xml:space="preserve"> </v>
      </c>
      <c r="T609" s="1069" t="str">
        <f t="shared" ca="1" si="187"/>
        <v xml:space="preserve"> </v>
      </c>
      <c r="U609" s="1069" t="str">
        <f t="shared" ca="1" si="187"/>
        <v xml:space="preserve"> </v>
      </c>
      <c r="V609" s="1069" t="str">
        <f t="shared" ca="1" si="187"/>
        <v xml:space="preserve"> </v>
      </c>
      <c r="W609" s="1069" t="str">
        <f t="shared" ca="1" si="187"/>
        <v xml:space="preserve"> </v>
      </c>
      <c r="X609" s="1069" t="str">
        <f t="shared" ca="1" si="187"/>
        <v xml:space="preserve"> </v>
      </c>
      <c r="Y609" s="1069" t="str">
        <f t="shared" ca="1" si="187"/>
        <v xml:space="preserve"> </v>
      </c>
      <c r="Z609" s="1069" t="str">
        <f t="shared" ca="1" si="187"/>
        <v xml:space="preserve"> </v>
      </c>
      <c r="AA609" s="1069" t="str">
        <f t="shared" ca="1" si="187"/>
        <v xml:space="preserve"> </v>
      </c>
    </row>
    <row r="610" spans="1:27" ht="9.9499999999999993" customHeight="1">
      <c r="A610" s="1069">
        <v>86</v>
      </c>
      <c r="D610" s="1069" t="str">
        <f t="shared" ref="D610:AA610" ca="1" si="188">IF(ISNUMBER(D609),IF(D609+2&lt;E$726,IF(ISNA(MATCH("Y",INDIRECT("Skills!"&amp;$C$523&amp;D609+1&amp;":"&amp;$C$523&amp;E$726),0))," ",MATCH("Y",INDIRECT("Skills!"&amp;$C$523&amp;D609+1&amp;":"&amp;$C$523&amp;E$726),0)+D609)," ")," ")</f>
        <v xml:space="preserve"> </v>
      </c>
      <c r="E610" s="1069" t="str">
        <f t="shared" ca="1" si="188"/>
        <v xml:space="preserve"> </v>
      </c>
      <c r="F610" s="1069" t="str">
        <f t="shared" ca="1" si="188"/>
        <v xml:space="preserve"> </v>
      </c>
      <c r="G610" s="1069" t="str">
        <f t="shared" ca="1" si="188"/>
        <v xml:space="preserve"> </v>
      </c>
      <c r="H610" s="1069" t="str">
        <f t="shared" ca="1" si="188"/>
        <v xml:space="preserve"> </v>
      </c>
      <c r="I610" s="1069" t="str">
        <f t="shared" ca="1" si="188"/>
        <v xml:space="preserve"> </v>
      </c>
      <c r="J610" s="1069" t="str">
        <f t="shared" ca="1" si="188"/>
        <v xml:space="preserve"> </v>
      </c>
      <c r="K610" s="1069" t="str">
        <f t="shared" ca="1" si="188"/>
        <v xml:space="preserve"> </v>
      </c>
      <c r="L610" s="1069">
        <f t="shared" ca="1" si="188"/>
        <v>388</v>
      </c>
      <c r="M610" s="1069" t="str">
        <f t="shared" ca="1" si="188"/>
        <v xml:space="preserve"> </v>
      </c>
      <c r="N610" s="1069" t="str">
        <f t="shared" ca="1" si="188"/>
        <v xml:space="preserve"> </v>
      </c>
      <c r="O610" s="1069" t="str">
        <f t="shared" ca="1" si="188"/>
        <v xml:space="preserve"> </v>
      </c>
      <c r="P610" s="1069">
        <f t="shared" ca="1" si="188"/>
        <v>679</v>
      </c>
      <c r="Q610" s="1069" t="str">
        <f t="shared" ca="1" si="188"/>
        <v xml:space="preserve"> </v>
      </c>
      <c r="R610" s="1069" t="str">
        <f t="shared" ca="1" si="188"/>
        <v xml:space="preserve"> </v>
      </c>
      <c r="S610" s="1069" t="str">
        <f t="shared" ca="1" si="188"/>
        <v xml:space="preserve"> </v>
      </c>
      <c r="T610" s="1069" t="str">
        <f t="shared" ca="1" si="188"/>
        <v xml:space="preserve"> </v>
      </c>
      <c r="U610" s="1069" t="str">
        <f t="shared" ca="1" si="188"/>
        <v xml:space="preserve"> </v>
      </c>
      <c r="V610" s="1069" t="str">
        <f t="shared" ca="1" si="188"/>
        <v xml:space="preserve"> </v>
      </c>
      <c r="W610" s="1069" t="str">
        <f t="shared" ca="1" si="188"/>
        <v xml:space="preserve"> </v>
      </c>
      <c r="X610" s="1069" t="str">
        <f t="shared" ca="1" si="188"/>
        <v xml:space="preserve"> </v>
      </c>
      <c r="Y610" s="1069" t="str">
        <f t="shared" ca="1" si="188"/>
        <v xml:space="preserve"> </v>
      </c>
      <c r="Z610" s="1069" t="str">
        <f t="shared" ca="1" si="188"/>
        <v xml:space="preserve"> </v>
      </c>
      <c r="AA610" s="1069" t="str">
        <f t="shared" ca="1" si="188"/>
        <v xml:space="preserve"> </v>
      </c>
    </row>
    <row r="611" spans="1:27" ht="9.9499999999999993" customHeight="1">
      <c r="A611" s="1069">
        <v>87</v>
      </c>
      <c r="D611" s="1069" t="str">
        <f t="shared" ref="D611:AA611" ca="1" si="189">IF(ISNUMBER(D610),IF(D610+2&lt;E$726,IF(ISNA(MATCH("Y",INDIRECT("Skills!"&amp;$C$523&amp;D610+1&amp;":"&amp;$C$523&amp;E$726),0))," ",MATCH("Y",INDIRECT("Skills!"&amp;$C$523&amp;D610+1&amp;":"&amp;$C$523&amp;E$726),0)+D610)," ")," ")</f>
        <v xml:space="preserve"> </v>
      </c>
      <c r="E611" s="1069" t="str">
        <f t="shared" ca="1" si="189"/>
        <v xml:space="preserve"> </v>
      </c>
      <c r="F611" s="1069" t="str">
        <f t="shared" ca="1" si="189"/>
        <v xml:space="preserve"> </v>
      </c>
      <c r="G611" s="1069" t="str">
        <f t="shared" ca="1" si="189"/>
        <v xml:space="preserve"> </v>
      </c>
      <c r="H611" s="1069" t="str">
        <f t="shared" ca="1" si="189"/>
        <v xml:space="preserve"> </v>
      </c>
      <c r="I611" s="1069" t="str">
        <f t="shared" ca="1" si="189"/>
        <v xml:space="preserve"> </v>
      </c>
      <c r="J611" s="1069" t="str">
        <f t="shared" ca="1" si="189"/>
        <v xml:space="preserve"> </v>
      </c>
      <c r="K611" s="1069" t="str">
        <f t="shared" ca="1" si="189"/>
        <v xml:space="preserve"> </v>
      </c>
      <c r="L611" s="1069">
        <f t="shared" ca="1" si="189"/>
        <v>389</v>
      </c>
      <c r="M611" s="1069" t="str">
        <f t="shared" ca="1" si="189"/>
        <v xml:space="preserve"> </v>
      </c>
      <c r="N611" s="1069" t="str">
        <f t="shared" ca="1" si="189"/>
        <v xml:space="preserve"> </v>
      </c>
      <c r="O611" s="1069" t="str">
        <f t="shared" ca="1" si="189"/>
        <v xml:space="preserve"> </v>
      </c>
      <c r="P611" s="1069">
        <f t="shared" ca="1" si="189"/>
        <v>680</v>
      </c>
      <c r="Q611" s="1069" t="str">
        <f t="shared" ca="1" si="189"/>
        <v xml:space="preserve"> </v>
      </c>
      <c r="R611" s="1069" t="str">
        <f t="shared" ca="1" si="189"/>
        <v xml:space="preserve"> </v>
      </c>
      <c r="S611" s="1069" t="str">
        <f t="shared" ca="1" si="189"/>
        <v xml:space="preserve"> </v>
      </c>
      <c r="T611" s="1069" t="str">
        <f t="shared" ca="1" si="189"/>
        <v xml:space="preserve"> </v>
      </c>
      <c r="U611" s="1069" t="str">
        <f t="shared" ca="1" si="189"/>
        <v xml:space="preserve"> </v>
      </c>
      <c r="V611" s="1069" t="str">
        <f t="shared" ca="1" si="189"/>
        <v xml:space="preserve"> </v>
      </c>
      <c r="W611" s="1069" t="str">
        <f t="shared" ca="1" si="189"/>
        <v xml:space="preserve"> </v>
      </c>
      <c r="X611" s="1069" t="str">
        <f t="shared" ca="1" si="189"/>
        <v xml:space="preserve"> </v>
      </c>
      <c r="Y611" s="1069" t="str">
        <f t="shared" ca="1" si="189"/>
        <v xml:space="preserve"> </v>
      </c>
      <c r="Z611" s="1069" t="str">
        <f t="shared" ca="1" si="189"/>
        <v xml:space="preserve"> </v>
      </c>
      <c r="AA611" s="1069" t="str">
        <f t="shared" ca="1" si="189"/>
        <v xml:space="preserve"> </v>
      </c>
    </row>
    <row r="612" spans="1:27" ht="9.9499999999999993" customHeight="1">
      <c r="A612" s="1069">
        <v>88</v>
      </c>
      <c r="D612" s="1069" t="str">
        <f t="shared" ref="D612:AA612" ca="1" si="190">IF(ISNUMBER(D611),IF(D611+2&lt;E$726,IF(ISNA(MATCH("Y",INDIRECT("Skills!"&amp;$C$523&amp;D611+1&amp;":"&amp;$C$523&amp;E$726),0))," ",MATCH("Y",INDIRECT("Skills!"&amp;$C$523&amp;D611+1&amp;":"&amp;$C$523&amp;E$726),0)+D611)," ")," ")</f>
        <v xml:space="preserve"> </v>
      </c>
      <c r="E612" s="1069" t="str">
        <f t="shared" ca="1" si="190"/>
        <v xml:space="preserve"> </v>
      </c>
      <c r="F612" s="1069" t="str">
        <f t="shared" ca="1" si="190"/>
        <v xml:space="preserve"> </v>
      </c>
      <c r="G612" s="1069" t="str">
        <f t="shared" ca="1" si="190"/>
        <v xml:space="preserve"> </v>
      </c>
      <c r="H612" s="1069" t="str">
        <f t="shared" ca="1" si="190"/>
        <v xml:space="preserve"> </v>
      </c>
      <c r="I612" s="1069" t="str">
        <f t="shared" ca="1" si="190"/>
        <v xml:space="preserve"> </v>
      </c>
      <c r="J612" s="1069" t="str">
        <f t="shared" ca="1" si="190"/>
        <v xml:space="preserve"> </v>
      </c>
      <c r="K612" s="1069" t="str">
        <f t="shared" ca="1" si="190"/>
        <v xml:space="preserve"> </v>
      </c>
      <c r="L612" s="1069">
        <f t="shared" ca="1" si="190"/>
        <v>390</v>
      </c>
      <c r="M612" s="1069" t="str">
        <f t="shared" ca="1" si="190"/>
        <v xml:space="preserve"> </v>
      </c>
      <c r="N612" s="1069" t="str">
        <f t="shared" ca="1" si="190"/>
        <v xml:space="preserve"> </v>
      </c>
      <c r="O612" s="1069" t="str">
        <f t="shared" ca="1" si="190"/>
        <v xml:space="preserve"> </v>
      </c>
      <c r="P612" s="1069">
        <f t="shared" ca="1" si="190"/>
        <v>682</v>
      </c>
      <c r="Q612" s="1069" t="str">
        <f t="shared" ca="1" si="190"/>
        <v xml:space="preserve"> </v>
      </c>
      <c r="R612" s="1069" t="str">
        <f t="shared" ca="1" si="190"/>
        <v xml:space="preserve"> </v>
      </c>
      <c r="S612" s="1069" t="str">
        <f t="shared" ca="1" si="190"/>
        <v xml:space="preserve"> </v>
      </c>
      <c r="T612" s="1069" t="str">
        <f t="shared" ca="1" si="190"/>
        <v xml:space="preserve"> </v>
      </c>
      <c r="U612" s="1069" t="str">
        <f t="shared" ca="1" si="190"/>
        <v xml:space="preserve"> </v>
      </c>
      <c r="V612" s="1069" t="str">
        <f t="shared" ca="1" si="190"/>
        <v xml:space="preserve"> </v>
      </c>
      <c r="W612" s="1069" t="str">
        <f t="shared" ca="1" si="190"/>
        <v xml:space="preserve"> </v>
      </c>
      <c r="X612" s="1069" t="str">
        <f t="shared" ca="1" si="190"/>
        <v xml:space="preserve"> </v>
      </c>
      <c r="Y612" s="1069" t="str">
        <f t="shared" ca="1" si="190"/>
        <v xml:space="preserve"> </v>
      </c>
      <c r="Z612" s="1069" t="str">
        <f t="shared" ca="1" si="190"/>
        <v xml:space="preserve"> </v>
      </c>
      <c r="AA612" s="1069" t="str">
        <f t="shared" ca="1" si="190"/>
        <v xml:space="preserve"> </v>
      </c>
    </row>
    <row r="613" spans="1:27" ht="9.9499999999999993" customHeight="1">
      <c r="A613" s="1069">
        <v>89</v>
      </c>
      <c r="D613" s="1069" t="str">
        <f t="shared" ref="D613:AA613" ca="1" si="191">IF(ISNUMBER(D612),IF(D612+2&lt;E$726,IF(ISNA(MATCH("Y",INDIRECT("Skills!"&amp;$C$523&amp;D612+1&amp;":"&amp;$C$523&amp;E$726),0))," ",MATCH("Y",INDIRECT("Skills!"&amp;$C$523&amp;D612+1&amp;":"&amp;$C$523&amp;E$726),0)+D612)," ")," ")</f>
        <v xml:space="preserve"> </v>
      </c>
      <c r="E613" s="1069" t="str">
        <f t="shared" ca="1" si="191"/>
        <v xml:space="preserve"> </v>
      </c>
      <c r="F613" s="1069" t="str">
        <f t="shared" ca="1" si="191"/>
        <v xml:space="preserve"> </v>
      </c>
      <c r="G613" s="1069" t="str">
        <f t="shared" ca="1" si="191"/>
        <v xml:space="preserve"> </v>
      </c>
      <c r="H613" s="1069" t="str">
        <f t="shared" ca="1" si="191"/>
        <v xml:space="preserve"> </v>
      </c>
      <c r="I613" s="1069" t="str">
        <f t="shared" ca="1" si="191"/>
        <v xml:space="preserve"> </v>
      </c>
      <c r="J613" s="1069" t="str">
        <f t="shared" ca="1" si="191"/>
        <v xml:space="preserve"> </v>
      </c>
      <c r="K613" s="1069" t="str">
        <f t="shared" ca="1" si="191"/>
        <v xml:space="preserve"> </v>
      </c>
      <c r="L613" s="1069" t="str">
        <f t="shared" ca="1" si="191"/>
        <v xml:space="preserve"> </v>
      </c>
      <c r="M613" s="1069" t="str">
        <f t="shared" ca="1" si="191"/>
        <v xml:space="preserve"> </v>
      </c>
      <c r="N613" s="1069" t="str">
        <f t="shared" ca="1" si="191"/>
        <v xml:space="preserve"> </v>
      </c>
      <c r="O613" s="1069" t="str">
        <f t="shared" ca="1" si="191"/>
        <v xml:space="preserve"> </v>
      </c>
      <c r="P613" s="1069">
        <f t="shared" ca="1" si="191"/>
        <v>683</v>
      </c>
      <c r="Q613" s="1069" t="str">
        <f t="shared" ca="1" si="191"/>
        <v xml:space="preserve"> </v>
      </c>
      <c r="R613" s="1069" t="str">
        <f t="shared" ca="1" si="191"/>
        <v xml:space="preserve"> </v>
      </c>
      <c r="S613" s="1069" t="str">
        <f t="shared" ca="1" si="191"/>
        <v xml:space="preserve"> </v>
      </c>
      <c r="T613" s="1069" t="str">
        <f t="shared" ca="1" si="191"/>
        <v xml:space="preserve"> </v>
      </c>
      <c r="U613" s="1069" t="str">
        <f t="shared" ca="1" si="191"/>
        <v xml:space="preserve"> </v>
      </c>
      <c r="V613" s="1069" t="str">
        <f t="shared" ca="1" si="191"/>
        <v xml:space="preserve"> </v>
      </c>
      <c r="W613" s="1069" t="str">
        <f t="shared" ca="1" si="191"/>
        <v xml:space="preserve"> </v>
      </c>
      <c r="X613" s="1069" t="str">
        <f t="shared" ca="1" si="191"/>
        <v xml:space="preserve"> </v>
      </c>
      <c r="Y613" s="1069" t="str">
        <f t="shared" ca="1" si="191"/>
        <v xml:space="preserve"> </v>
      </c>
      <c r="Z613" s="1069" t="str">
        <f t="shared" ca="1" si="191"/>
        <v xml:space="preserve"> </v>
      </c>
      <c r="AA613" s="1069" t="str">
        <f t="shared" ca="1" si="191"/>
        <v xml:space="preserve"> </v>
      </c>
    </row>
    <row r="614" spans="1:27" ht="9.9499999999999993" customHeight="1">
      <c r="A614" s="1069">
        <v>90</v>
      </c>
      <c r="D614" s="1069" t="str">
        <f t="shared" ref="D614:AA614" ca="1" si="192">IF(ISNUMBER(D613),IF(D613+2&lt;E$726,IF(ISNA(MATCH("Y",INDIRECT("Skills!"&amp;$C$523&amp;D613+1&amp;":"&amp;$C$523&amp;E$726),0))," ",MATCH("Y",INDIRECT("Skills!"&amp;$C$523&amp;D613+1&amp;":"&amp;$C$523&amp;E$726),0)+D613)," ")," ")</f>
        <v xml:space="preserve"> </v>
      </c>
      <c r="E614" s="1069" t="str">
        <f t="shared" ca="1" si="192"/>
        <v xml:space="preserve"> </v>
      </c>
      <c r="F614" s="1069" t="str">
        <f t="shared" ca="1" si="192"/>
        <v xml:space="preserve"> </v>
      </c>
      <c r="G614" s="1069" t="str">
        <f t="shared" ca="1" si="192"/>
        <v xml:space="preserve"> </v>
      </c>
      <c r="H614" s="1069" t="str">
        <f t="shared" ca="1" si="192"/>
        <v xml:space="preserve"> </v>
      </c>
      <c r="I614" s="1069" t="str">
        <f t="shared" ca="1" si="192"/>
        <v xml:space="preserve"> </v>
      </c>
      <c r="J614" s="1069" t="str">
        <f t="shared" ca="1" si="192"/>
        <v xml:space="preserve"> </v>
      </c>
      <c r="K614" s="1069" t="str">
        <f t="shared" ca="1" si="192"/>
        <v xml:space="preserve"> </v>
      </c>
      <c r="L614" s="1069" t="str">
        <f t="shared" ca="1" si="192"/>
        <v xml:space="preserve"> </v>
      </c>
      <c r="M614" s="1069" t="str">
        <f t="shared" ca="1" si="192"/>
        <v xml:space="preserve"> </v>
      </c>
      <c r="N614" s="1069" t="str">
        <f t="shared" ca="1" si="192"/>
        <v xml:space="preserve"> </v>
      </c>
      <c r="O614" s="1069" t="str">
        <f t="shared" ca="1" si="192"/>
        <v xml:space="preserve"> </v>
      </c>
      <c r="P614" s="1069">
        <f t="shared" ca="1" si="192"/>
        <v>684</v>
      </c>
      <c r="Q614" s="1069" t="str">
        <f t="shared" ca="1" si="192"/>
        <v xml:space="preserve"> </v>
      </c>
      <c r="R614" s="1069" t="str">
        <f t="shared" ca="1" si="192"/>
        <v xml:space="preserve"> </v>
      </c>
      <c r="S614" s="1069" t="str">
        <f t="shared" ca="1" si="192"/>
        <v xml:space="preserve"> </v>
      </c>
      <c r="T614" s="1069" t="str">
        <f t="shared" ca="1" si="192"/>
        <v xml:space="preserve"> </v>
      </c>
      <c r="U614" s="1069" t="str">
        <f t="shared" ca="1" si="192"/>
        <v xml:space="preserve"> </v>
      </c>
      <c r="V614" s="1069" t="str">
        <f t="shared" ca="1" si="192"/>
        <v xml:space="preserve"> </v>
      </c>
      <c r="W614" s="1069" t="str">
        <f t="shared" ca="1" si="192"/>
        <v xml:space="preserve"> </v>
      </c>
      <c r="X614" s="1069" t="str">
        <f t="shared" ca="1" si="192"/>
        <v xml:space="preserve"> </v>
      </c>
      <c r="Y614" s="1069" t="str">
        <f t="shared" ca="1" si="192"/>
        <v xml:space="preserve"> </v>
      </c>
      <c r="Z614" s="1069" t="str">
        <f t="shared" ca="1" si="192"/>
        <v xml:space="preserve"> </v>
      </c>
      <c r="AA614" s="1069" t="str">
        <f t="shared" ca="1" si="192"/>
        <v xml:space="preserve"> </v>
      </c>
    </row>
    <row r="615" spans="1:27" ht="9.9499999999999993" customHeight="1">
      <c r="A615" s="1069">
        <v>91</v>
      </c>
      <c r="D615" s="1069" t="str">
        <f t="shared" ref="D615:AA615" ca="1" si="193">IF(ISNUMBER(D614),IF(D614+2&lt;E$726,IF(ISNA(MATCH("Y",INDIRECT("Skills!"&amp;$C$523&amp;D614+1&amp;":"&amp;$C$523&amp;E$726),0))," ",MATCH("Y",INDIRECT("Skills!"&amp;$C$523&amp;D614+1&amp;":"&amp;$C$523&amp;E$726),0)+D614)," ")," ")</f>
        <v xml:space="preserve"> </v>
      </c>
      <c r="E615" s="1069" t="str">
        <f t="shared" ca="1" si="193"/>
        <v xml:space="preserve"> </v>
      </c>
      <c r="F615" s="1069" t="str">
        <f t="shared" ca="1" si="193"/>
        <v xml:space="preserve"> </v>
      </c>
      <c r="G615" s="1069" t="str">
        <f t="shared" ca="1" si="193"/>
        <v xml:space="preserve"> </v>
      </c>
      <c r="H615" s="1069" t="str">
        <f t="shared" ca="1" si="193"/>
        <v xml:space="preserve"> </v>
      </c>
      <c r="I615" s="1069" t="str">
        <f t="shared" ca="1" si="193"/>
        <v xml:space="preserve"> </v>
      </c>
      <c r="J615" s="1069" t="str">
        <f t="shared" ca="1" si="193"/>
        <v xml:space="preserve"> </v>
      </c>
      <c r="K615" s="1069" t="str">
        <f t="shared" ca="1" si="193"/>
        <v xml:space="preserve"> </v>
      </c>
      <c r="L615" s="1069" t="str">
        <f t="shared" ca="1" si="193"/>
        <v xml:space="preserve"> </v>
      </c>
      <c r="M615" s="1069" t="str">
        <f t="shared" ca="1" si="193"/>
        <v xml:space="preserve"> </v>
      </c>
      <c r="N615" s="1069" t="str">
        <f t="shared" ca="1" si="193"/>
        <v xml:space="preserve"> </v>
      </c>
      <c r="O615" s="1069" t="str">
        <f t="shared" ca="1" si="193"/>
        <v xml:space="preserve"> </v>
      </c>
      <c r="P615" s="1069">
        <f t="shared" ca="1" si="193"/>
        <v>685</v>
      </c>
      <c r="Q615" s="1069" t="str">
        <f t="shared" ca="1" si="193"/>
        <v xml:space="preserve"> </v>
      </c>
      <c r="R615" s="1069" t="str">
        <f t="shared" ca="1" si="193"/>
        <v xml:space="preserve"> </v>
      </c>
      <c r="S615" s="1069" t="str">
        <f t="shared" ca="1" si="193"/>
        <v xml:space="preserve"> </v>
      </c>
      <c r="T615" s="1069" t="str">
        <f t="shared" ca="1" si="193"/>
        <v xml:space="preserve"> </v>
      </c>
      <c r="U615" s="1069" t="str">
        <f t="shared" ca="1" si="193"/>
        <v xml:space="preserve"> </v>
      </c>
      <c r="V615" s="1069" t="str">
        <f t="shared" ca="1" si="193"/>
        <v xml:space="preserve"> </v>
      </c>
      <c r="W615" s="1069" t="str">
        <f t="shared" ca="1" si="193"/>
        <v xml:space="preserve"> </v>
      </c>
      <c r="X615" s="1069" t="str">
        <f t="shared" ca="1" si="193"/>
        <v xml:space="preserve"> </v>
      </c>
      <c r="Y615" s="1069" t="str">
        <f t="shared" ca="1" si="193"/>
        <v xml:space="preserve"> </v>
      </c>
      <c r="Z615" s="1069" t="str">
        <f t="shared" ca="1" si="193"/>
        <v xml:space="preserve"> </v>
      </c>
      <c r="AA615" s="1069" t="str">
        <f t="shared" ca="1" si="193"/>
        <v xml:space="preserve"> </v>
      </c>
    </row>
    <row r="616" spans="1:27" ht="9.9499999999999993" customHeight="1">
      <c r="A616" s="1069">
        <v>92</v>
      </c>
      <c r="D616" s="1069" t="str">
        <f t="shared" ref="D616:AA616" ca="1" si="194">IF(ISNUMBER(D615),IF(D615+2&lt;E$726,IF(ISNA(MATCH("Y",INDIRECT("Skills!"&amp;$C$523&amp;D615+1&amp;":"&amp;$C$523&amp;E$726),0))," ",MATCH("Y",INDIRECT("Skills!"&amp;$C$523&amp;D615+1&amp;":"&amp;$C$523&amp;E$726),0)+D615)," ")," ")</f>
        <v xml:space="preserve"> </v>
      </c>
      <c r="E616" s="1069" t="str">
        <f t="shared" ca="1" si="194"/>
        <v xml:space="preserve"> </v>
      </c>
      <c r="F616" s="1069" t="str">
        <f t="shared" ca="1" si="194"/>
        <v xml:space="preserve"> </v>
      </c>
      <c r="G616" s="1069" t="str">
        <f t="shared" ca="1" si="194"/>
        <v xml:space="preserve"> </v>
      </c>
      <c r="H616" s="1069" t="str">
        <f t="shared" ca="1" si="194"/>
        <v xml:space="preserve"> </v>
      </c>
      <c r="I616" s="1069" t="str">
        <f t="shared" ca="1" si="194"/>
        <v xml:space="preserve"> </v>
      </c>
      <c r="J616" s="1069" t="str">
        <f t="shared" ca="1" si="194"/>
        <v xml:space="preserve"> </v>
      </c>
      <c r="K616" s="1069" t="str">
        <f t="shared" ca="1" si="194"/>
        <v xml:space="preserve"> </v>
      </c>
      <c r="L616" s="1069" t="str">
        <f t="shared" ca="1" si="194"/>
        <v xml:space="preserve"> </v>
      </c>
      <c r="M616" s="1069" t="str">
        <f t="shared" ca="1" si="194"/>
        <v xml:space="preserve"> </v>
      </c>
      <c r="N616" s="1069" t="str">
        <f t="shared" ca="1" si="194"/>
        <v xml:space="preserve"> </v>
      </c>
      <c r="O616" s="1069" t="str">
        <f t="shared" ca="1" si="194"/>
        <v xml:space="preserve"> </v>
      </c>
      <c r="P616" s="1069">
        <f t="shared" ca="1" si="194"/>
        <v>687</v>
      </c>
      <c r="Q616" s="1069" t="str">
        <f t="shared" ca="1" si="194"/>
        <v xml:space="preserve"> </v>
      </c>
      <c r="R616" s="1069" t="str">
        <f t="shared" ca="1" si="194"/>
        <v xml:space="preserve"> </v>
      </c>
      <c r="S616" s="1069" t="str">
        <f t="shared" ca="1" si="194"/>
        <v xml:space="preserve"> </v>
      </c>
      <c r="T616" s="1069" t="str">
        <f t="shared" ca="1" si="194"/>
        <v xml:space="preserve"> </v>
      </c>
      <c r="U616" s="1069" t="str">
        <f t="shared" ca="1" si="194"/>
        <v xml:space="preserve"> </v>
      </c>
      <c r="V616" s="1069" t="str">
        <f t="shared" ca="1" si="194"/>
        <v xml:space="preserve"> </v>
      </c>
      <c r="W616" s="1069" t="str">
        <f t="shared" ca="1" si="194"/>
        <v xml:space="preserve"> </v>
      </c>
      <c r="X616" s="1069" t="str">
        <f t="shared" ca="1" si="194"/>
        <v xml:space="preserve"> </v>
      </c>
      <c r="Y616" s="1069" t="str">
        <f t="shared" ca="1" si="194"/>
        <v xml:space="preserve"> </v>
      </c>
      <c r="Z616" s="1069" t="str">
        <f t="shared" ca="1" si="194"/>
        <v xml:space="preserve"> </v>
      </c>
      <c r="AA616" s="1069" t="str">
        <f t="shared" ca="1" si="194"/>
        <v xml:space="preserve"> </v>
      </c>
    </row>
    <row r="617" spans="1:27" ht="9.9499999999999993" customHeight="1">
      <c r="A617" s="1069">
        <v>93</v>
      </c>
      <c r="D617" s="1069" t="str">
        <f t="shared" ref="D617:AA617" ca="1" si="195">IF(ISNUMBER(D616),IF(D616+2&lt;E$726,IF(ISNA(MATCH("Y",INDIRECT("Skills!"&amp;$C$523&amp;D616+1&amp;":"&amp;$C$523&amp;E$726),0))," ",MATCH("Y",INDIRECT("Skills!"&amp;$C$523&amp;D616+1&amp;":"&amp;$C$523&amp;E$726),0)+D616)," ")," ")</f>
        <v xml:space="preserve"> </v>
      </c>
      <c r="E617" s="1069" t="str">
        <f t="shared" ca="1" si="195"/>
        <v xml:space="preserve"> </v>
      </c>
      <c r="F617" s="1069" t="str">
        <f t="shared" ca="1" si="195"/>
        <v xml:space="preserve"> </v>
      </c>
      <c r="G617" s="1069" t="str">
        <f t="shared" ca="1" si="195"/>
        <v xml:space="preserve"> </v>
      </c>
      <c r="H617" s="1069" t="str">
        <f t="shared" ca="1" si="195"/>
        <v xml:space="preserve"> </v>
      </c>
      <c r="I617" s="1069" t="str">
        <f t="shared" ca="1" si="195"/>
        <v xml:space="preserve"> </v>
      </c>
      <c r="J617" s="1069" t="str">
        <f t="shared" ca="1" si="195"/>
        <v xml:space="preserve"> </v>
      </c>
      <c r="K617" s="1069" t="str">
        <f t="shared" ca="1" si="195"/>
        <v xml:space="preserve"> </v>
      </c>
      <c r="L617" s="1069" t="str">
        <f t="shared" ca="1" si="195"/>
        <v xml:space="preserve"> </v>
      </c>
      <c r="M617" s="1069" t="str">
        <f t="shared" ca="1" si="195"/>
        <v xml:space="preserve"> </v>
      </c>
      <c r="N617" s="1069" t="str">
        <f t="shared" ca="1" si="195"/>
        <v xml:space="preserve"> </v>
      </c>
      <c r="O617" s="1069" t="str">
        <f t="shared" ca="1" si="195"/>
        <v xml:space="preserve"> </v>
      </c>
      <c r="P617" s="1069">
        <f t="shared" ca="1" si="195"/>
        <v>688</v>
      </c>
      <c r="Q617" s="1069" t="str">
        <f t="shared" ca="1" si="195"/>
        <v xml:space="preserve"> </v>
      </c>
      <c r="R617" s="1069" t="str">
        <f t="shared" ca="1" si="195"/>
        <v xml:space="preserve"> </v>
      </c>
      <c r="S617" s="1069" t="str">
        <f t="shared" ca="1" si="195"/>
        <v xml:space="preserve"> </v>
      </c>
      <c r="T617" s="1069" t="str">
        <f t="shared" ca="1" si="195"/>
        <v xml:space="preserve"> </v>
      </c>
      <c r="U617" s="1069" t="str">
        <f t="shared" ca="1" si="195"/>
        <v xml:space="preserve"> </v>
      </c>
      <c r="V617" s="1069" t="str">
        <f t="shared" ca="1" si="195"/>
        <v xml:space="preserve"> </v>
      </c>
      <c r="W617" s="1069" t="str">
        <f t="shared" ca="1" si="195"/>
        <v xml:space="preserve"> </v>
      </c>
      <c r="X617" s="1069" t="str">
        <f t="shared" ca="1" si="195"/>
        <v xml:space="preserve"> </v>
      </c>
      <c r="Y617" s="1069" t="str">
        <f t="shared" ca="1" si="195"/>
        <v xml:space="preserve"> </v>
      </c>
      <c r="Z617" s="1069" t="str">
        <f t="shared" ca="1" si="195"/>
        <v xml:space="preserve"> </v>
      </c>
      <c r="AA617" s="1069" t="str">
        <f t="shared" ca="1" si="195"/>
        <v xml:space="preserve"> </v>
      </c>
    </row>
    <row r="618" spans="1:27" ht="9.9499999999999993" customHeight="1">
      <c r="A618" s="1069">
        <v>94</v>
      </c>
      <c r="D618" s="1069" t="str">
        <f t="shared" ref="D618:AA618" ca="1" si="196">IF(ISNUMBER(D617),IF(D617+2&lt;E$726,IF(ISNA(MATCH("Y",INDIRECT("Skills!"&amp;$C$523&amp;D617+1&amp;":"&amp;$C$523&amp;E$726),0))," ",MATCH("Y",INDIRECT("Skills!"&amp;$C$523&amp;D617+1&amp;":"&amp;$C$523&amp;E$726),0)+D617)," ")," ")</f>
        <v xml:space="preserve"> </v>
      </c>
      <c r="E618" s="1069" t="str">
        <f t="shared" ca="1" si="196"/>
        <v xml:space="preserve"> </v>
      </c>
      <c r="F618" s="1069" t="str">
        <f t="shared" ca="1" si="196"/>
        <v xml:space="preserve"> </v>
      </c>
      <c r="G618" s="1069" t="str">
        <f t="shared" ca="1" si="196"/>
        <v xml:space="preserve"> </v>
      </c>
      <c r="H618" s="1069" t="str">
        <f t="shared" ca="1" si="196"/>
        <v xml:space="preserve"> </v>
      </c>
      <c r="I618" s="1069" t="str">
        <f t="shared" ca="1" si="196"/>
        <v xml:space="preserve"> </v>
      </c>
      <c r="J618" s="1069" t="str">
        <f t="shared" ca="1" si="196"/>
        <v xml:space="preserve"> </v>
      </c>
      <c r="K618" s="1069" t="str">
        <f t="shared" ca="1" si="196"/>
        <v xml:space="preserve"> </v>
      </c>
      <c r="L618" s="1069" t="str">
        <f t="shared" ca="1" si="196"/>
        <v xml:space="preserve"> </v>
      </c>
      <c r="M618" s="1069" t="str">
        <f t="shared" ca="1" si="196"/>
        <v xml:space="preserve"> </v>
      </c>
      <c r="N618" s="1069" t="str">
        <f t="shared" ca="1" si="196"/>
        <v xml:space="preserve"> </v>
      </c>
      <c r="O618" s="1069" t="str">
        <f t="shared" ca="1" si="196"/>
        <v xml:space="preserve"> </v>
      </c>
      <c r="P618" s="1069">
        <f t="shared" ca="1" si="196"/>
        <v>689</v>
      </c>
      <c r="Q618" s="1069" t="str">
        <f t="shared" ca="1" si="196"/>
        <v xml:space="preserve"> </v>
      </c>
      <c r="R618" s="1069" t="str">
        <f t="shared" ca="1" si="196"/>
        <v xml:space="preserve"> </v>
      </c>
      <c r="S618" s="1069" t="str">
        <f t="shared" ca="1" si="196"/>
        <v xml:space="preserve"> </v>
      </c>
      <c r="T618" s="1069" t="str">
        <f t="shared" ca="1" si="196"/>
        <v xml:space="preserve"> </v>
      </c>
      <c r="U618" s="1069" t="str">
        <f t="shared" ca="1" si="196"/>
        <v xml:space="preserve"> </v>
      </c>
      <c r="V618" s="1069" t="str">
        <f t="shared" ca="1" si="196"/>
        <v xml:space="preserve"> </v>
      </c>
      <c r="W618" s="1069" t="str">
        <f t="shared" ca="1" si="196"/>
        <v xml:space="preserve"> </v>
      </c>
      <c r="X618" s="1069" t="str">
        <f t="shared" ca="1" si="196"/>
        <v xml:space="preserve"> </v>
      </c>
      <c r="Y618" s="1069" t="str">
        <f t="shared" ca="1" si="196"/>
        <v xml:space="preserve"> </v>
      </c>
      <c r="Z618" s="1069" t="str">
        <f t="shared" ca="1" si="196"/>
        <v xml:space="preserve"> </v>
      </c>
      <c r="AA618" s="1069" t="str">
        <f t="shared" ca="1" si="196"/>
        <v xml:space="preserve"> </v>
      </c>
    </row>
    <row r="619" spans="1:27" ht="9.9499999999999993" customHeight="1">
      <c r="A619" s="1069">
        <v>95</v>
      </c>
      <c r="D619" s="1069" t="str">
        <f t="shared" ref="D619:AA619" ca="1" si="197">IF(ISNUMBER(D618),IF(D618+2&lt;E$726,IF(ISNA(MATCH("Y",INDIRECT("Skills!"&amp;$C$523&amp;D618+1&amp;":"&amp;$C$523&amp;E$726),0))," ",MATCH("Y",INDIRECT("Skills!"&amp;$C$523&amp;D618+1&amp;":"&amp;$C$523&amp;E$726),0)+D618)," ")," ")</f>
        <v xml:space="preserve"> </v>
      </c>
      <c r="E619" s="1069" t="str">
        <f t="shared" ca="1" si="197"/>
        <v xml:space="preserve"> </v>
      </c>
      <c r="F619" s="1069" t="str">
        <f t="shared" ca="1" si="197"/>
        <v xml:space="preserve"> </v>
      </c>
      <c r="G619" s="1069" t="str">
        <f t="shared" ca="1" si="197"/>
        <v xml:space="preserve"> </v>
      </c>
      <c r="H619" s="1069" t="str">
        <f t="shared" ca="1" si="197"/>
        <v xml:space="preserve"> </v>
      </c>
      <c r="I619" s="1069" t="str">
        <f t="shared" ca="1" si="197"/>
        <v xml:space="preserve"> </v>
      </c>
      <c r="J619" s="1069" t="str">
        <f t="shared" ca="1" si="197"/>
        <v xml:space="preserve"> </v>
      </c>
      <c r="K619" s="1069" t="str">
        <f t="shared" ca="1" si="197"/>
        <v xml:space="preserve"> </v>
      </c>
      <c r="L619" s="1069" t="str">
        <f t="shared" ca="1" si="197"/>
        <v xml:space="preserve"> </v>
      </c>
      <c r="M619" s="1069" t="str">
        <f t="shared" ca="1" si="197"/>
        <v xml:space="preserve"> </v>
      </c>
      <c r="N619" s="1069" t="str">
        <f t="shared" ca="1" si="197"/>
        <v xml:space="preserve"> </v>
      </c>
      <c r="O619" s="1069" t="str">
        <f t="shared" ca="1" si="197"/>
        <v xml:space="preserve"> </v>
      </c>
      <c r="P619" s="1069">
        <f t="shared" ca="1" si="197"/>
        <v>690</v>
      </c>
      <c r="Q619" s="1069" t="str">
        <f t="shared" ca="1" si="197"/>
        <v xml:space="preserve"> </v>
      </c>
      <c r="R619" s="1069" t="str">
        <f t="shared" ca="1" si="197"/>
        <v xml:space="preserve"> </v>
      </c>
      <c r="S619" s="1069" t="str">
        <f t="shared" ca="1" si="197"/>
        <v xml:space="preserve"> </v>
      </c>
      <c r="T619" s="1069" t="str">
        <f t="shared" ca="1" si="197"/>
        <v xml:space="preserve"> </v>
      </c>
      <c r="U619" s="1069" t="str">
        <f t="shared" ca="1" si="197"/>
        <v xml:space="preserve"> </v>
      </c>
      <c r="V619" s="1069" t="str">
        <f t="shared" ca="1" si="197"/>
        <v xml:space="preserve"> </v>
      </c>
      <c r="W619" s="1069" t="str">
        <f t="shared" ca="1" si="197"/>
        <v xml:space="preserve"> </v>
      </c>
      <c r="X619" s="1069" t="str">
        <f t="shared" ca="1" si="197"/>
        <v xml:space="preserve"> </v>
      </c>
      <c r="Y619" s="1069" t="str">
        <f t="shared" ca="1" si="197"/>
        <v xml:space="preserve"> </v>
      </c>
      <c r="Z619" s="1069" t="str">
        <f t="shared" ca="1" si="197"/>
        <v xml:space="preserve"> </v>
      </c>
      <c r="AA619" s="1069" t="str">
        <f t="shared" ca="1" si="197"/>
        <v xml:space="preserve"> </v>
      </c>
    </row>
    <row r="620" spans="1:27" ht="9.9499999999999993" customHeight="1">
      <c r="A620" s="1069">
        <v>96</v>
      </c>
      <c r="D620" s="1069" t="str">
        <f t="shared" ref="D620:AA620" ca="1" si="198">IF(ISNUMBER(D619),IF(D619+2&lt;E$726,IF(ISNA(MATCH("Y",INDIRECT("Skills!"&amp;$C$523&amp;D619+1&amp;":"&amp;$C$523&amp;E$726),0))," ",MATCH("Y",INDIRECT("Skills!"&amp;$C$523&amp;D619+1&amp;":"&amp;$C$523&amp;E$726),0)+D619)," ")," ")</f>
        <v xml:space="preserve"> </v>
      </c>
      <c r="E620" s="1069" t="str">
        <f t="shared" ca="1" si="198"/>
        <v xml:space="preserve"> </v>
      </c>
      <c r="F620" s="1069" t="str">
        <f t="shared" ca="1" si="198"/>
        <v xml:space="preserve"> </v>
      </c>
      <c r="G620" s="1069" t="str">
        <f t="shared" ca="1" si="198"/>
        <v xml:space="preserve"> </v>
      </c>
      <c r="H620" s="1069" t="str">
        <f t="shared" ca="1" si="198"/>
        <v xml:space="preserve"> </v>
      </c>
      <c r="I620" s="1069" t="str">
        <f t="shared" ca="1" si="198"/>
        <v xml:space="preserve"> </v>
      </c>
      <c r="J620" s="1069" t="str">
        <f t="shared" ca="1" si="198"/>
        <v xml:space="preserve"> </v>
      </c>
      <c r="K620" s="1069" t="str">
        <f t="shared" ca="1" si="198"/>
        <v xml:space="preserve"> </v>
      </c>
      <c r="L620" s="1069" t="str">
        <f t="shared" ca="1" si="198"/>
        <v xml:space="preserve"> </v>
      </c>
      <c r="M620" s="1069" t="str">
        <f t="shared" ca="1" si="198"/>
        <v xml:space="preserve"> </v>
      </c>
      <c r="N620" s="1069" t="str">
        <f t="shared" ca="1" si="198"/>
        <v xml:space="preserve"> </v>
      </c>
      <c r="O620" s="1069" t="str">
        <f t="shared" ca="1" si="198"/>
        <v xml:space="preserve"> </v>
      </c>
      <c r="P620" s="1069">
        <f t="shared" ca="1" si="198"/>
        <v>691</v>
      </c>
      <c r="Q620" s="1069" t="str">
        <f t="shared" ca="1" si="198"/>
        <v xml:space="preserve"> </v>
      </c>
      <c r="R620" s="1069" t="str">
        <f t="shared" ca="1" si="198"/>
        <v xml:space="preserve"> </v>
      </c>
      <c r="S620" s="1069" t="str">
        <f t="shared" ca="1" si="198"/>
        <v xml:space="preserve"> </v>
      </c>
      <c r="T620" s="1069" t="str">
        <f t="shared" ca="1" si="198"/>
        <v xml:space="preserve"> </v>
      </c>
      <c r="U620" s="1069" t="str">
        <f t="shared" ca="1" si="198"/>
        <v xml:space="preserve"> </v>
      </c>
      <c r="V620" s="1069" t="str">
        <f t="shared" ca="1" si="198"/>
        <v xml:space="preserve"> </v>
      </c>
      <c r="W620" s="1069" t="str">
        <f t="shared" ca="1" si="198"/>
        <v xml:space="preserve"> </v>
      </c>
      <c r="X620" s="1069" t="str">
        <f t="shared" ca="1" si="198"/>
        <v xml:space="preserve"> </v>
      </c>
      <c r="Y620" s="1069" t="str">
        <f t="shared" ca="1" si="198"/>
        <v xml:space="preserve"> </v>
      </c>
      <c r="Z620" s="1069" t="str">
        <f t="shared" ca="1" si="198"/>
        <v xml:space="preserve"> </v>
      </c>
      <c r="AA620" s="1069" t="str">
        <f t="shared" ca="1" si="198"/>
        <v xml:space="preserve"> </v>
      </c>
    </row>
    <row r="621" spans="1:27" ht="9.9499999999999993" customHeight="1">
      <c r="A621" s="1069">
        <v>97</v>
      </c>
      <c r="D621" s="1069" t="str">
        <f t="shared" ref="D621:AA621" ca="1" si="199">IF(ISNUMBER(D620),IF(D620+2&lt;E$726,IF(ISNA(MATCH("Y",INDIRECT("Skills!"&amp;$C$523&amp;D620+1&amp;":"&amp;$C$523&amp;E$726),0))," ",MATCH("Y",INDIRECT("Skills!"&amp;$C$523&amp;D620+1&amp;":"&amp;$C$523&amp;E$726),0)+D620)," ")," ")</f>
        <v xml:space="preserve"> </v>
      </c>
      <c r="E621" s="1069" t="str">
        <f t="shared" ca="1" si="199"/>
        <v xml:space="preserve"> </v>
      </c>
      <c r="F621" s="1069" t="str">
        <f t="shared" ca="1" si="199"/>
        <v xml:space="preserve"> </v>
      </c>
      <c r="G621" s="1069" t="str">
        <f t="shared" ca="1" si="199"/>
        <v xml:space="preserve"> </v>
      </c>
      <c r="H621" s="1069" t="str">
        <f t="shared" ca="1" si="199"/>
        <v xml:space="preserve"> </v>
      </c>
      <c r="I621" s="1069" t="str">
        <f t="shared" ca="1" si="199"/>
        <v xml:space="preserve"> </v>
      </c>
      <c r="J621" s="1069" t="str">
        <f t="shared" ca="1" si="199"/>
        <v xml:space="preserve"> </v>
      </c>
      <c r="K621" s="1069" t="str">
        <f t="shared" ca="1" si="199"/>
        <v xml:space="preserve"> </v>
      </c>
      <c r="L621" s="1069" t="str">
        <f t="shared" ca="1" si="199"/>
        <v xml:space="preserve"> </v>
      </c>
      <c r="M621" s="1069" t="str">
        <f t="shared" ca="1" si="199"/>
        <v xml:space="preserve"> </v>
      </c>
      <c r="N621" s="1069" t="str">
        <f t="shared" ca="1" si="199"/>
        <v xml:space="preserve"> </v>
      </c>
      <c r="O621" s="1069" t="str">
        <f t="shared" ca="1" si="199"/>
        <v xml:space="preserve"> </v>
      </c>
      <c r="P621" s="1069">
        <f t="shared" ca="1" si="199"/>
        <v>693</v>
      </c>
      <c r="Q621" s="1069" t="str">
        <f t="shared" ca="1" si="199"/>
        <v xml:space="preserve"> </v>
      </c>
      <c r="R621" s="1069" t="str">
        <f t="shared" ca="1" si="199"/>
        <v xml:space="preserve"> </v>
      </c>
      <c r="S621" s="1069" t="str">
        <f t="shared" ca="1" si="199"/>
        <v xml:space="preserve"> </v>
      </c>
      <c r="T621" s="1069" t="str">
        <f t="shared" ca="1" si="199"/>
        <v xml:space="preserve"> </v>
      </c>
      <c r="U621" s="1069" t="str">
        <f t="shared" ca="1" si="199"/>
        <v xml:space="preserve"> </v>
      </c>
      <c r="V621" s="1069" t="str">
        <f t="shared" ca="1" si="199"/>
        <v xml:space="preserve"> </v>
      </c>
      <c r="W621" s="1069" t="str">
        <f t="shared" ca="1" si="199"/>
        <v xml:space="preserve"> </v>
      </c>
      <c r="X621" s="1069" t="str">
        <f t="shared" ca="1" si="199"/>
        <v xml:space="preserve"> </v>
      </c>
      <c r="Y621" s="1069" t="str">
        <f t="shared" ca="1" si="199"/>
        <v xml:space="preserve"> </v>
      </c>
      <c r="Z621" s="1069" t="str">
        <f t="shared" ca="1" si="199"/>
        <v xml:space="preserve"> </v>
      </c>
      <c r="AA621" s="1069" t="str">
        <f t="shared" ca="1" si="199"/>
        <v xml:space="preserve"> </v>
      </c>
    </row>
    <row r="622" spans="1:27" ht="9.9499999999999993" customHeight="1">
      <c r="A622" s="1069">
        <v>98</v>
      </c>
      <c r="D622" s="1069" t="str">
        <f t="shared" ref="D622:AA622" ca="1" si="200">IF(ISNUMBER(D621),IF(D621+2&lt;E$726,IF(ISNA(MATCH("Y",INDIRECT("Skills!"&amp;$C$523&amp;D621+1&amp;":"&amp;$C$523&amp;E$726),0))," ",MATCH("Y",INDIRECT("Skills!"&amp;$C$523&amp;D621+1&amp;":"&amp;$C$523&amp;E$726),0)+D621)," ")," ")</f>
        <v xml:space="preserve"> </v>
      </c>
      <c r="E622" s="1069" t="str">
        <f t="shared" ca="1" si="200"/>
        <v xml:space="preserve"> </v>
      </c>
      <c r="F622" s="1069" t="str">
        <f t="shared" ca="1" si="200"/>
        <v xml:space="preserve"> </v>
      </c>
      <c r="G622" s="1069" t="str">
        <f t="shared" ca="1" si="200"/>
        <v xml:space="preserve"> </v>
      </c>
      <c r="H622" s="1069" t="str">
        <f t="shared" ca="1" si="200"/>
        <v xml:space="preserve"> </v>
      </c>
      <c r="I622" s="1069" t="str">
        <f t="shared" ca="1" si="200"/>
        <v xml:space="preserve"> </v>
      </c>
      <c r="J622" s="1069" t="str">
        <f t="shared" ca="1" si="200"/>
        <v xml:space="preserve"> </v>
      </c>
      <c r="K622" s="1069" t="str">
        <f t="shared" ca="1" si="200"/>
        <v xml:space="preserve"> </v>
      </c>
      <c r="L622" s="1069" t="str">
        <f t="shared" ca="1" si="200"/>
        <v xml:space="preserve"> </v>
      </c>
      <c r="M622" s="1069" t="str">
        <f t="shared" ca="1" si="200"/>
        <v xml:space="preserve"> </v>
      </c>
      <c r="N622" s="1069" t="str">
        <f t="shared" ca="1" si="200"/>
        <v xml:space="preserve"> </v>
      </c>
      <c r="O622" s="1069" t="str">
        <f t="shared" ca="1" si="200"/>
        <v xml:space="preserve"> </v>
      </c>
      <c r="P622" s="1069">
        <f t="shared" ca="1" si="200"/>
        <v>694</v>
      </c>
      <c r="Q622" s="1069" t="str">
        <f t="shared" ca="1" si="200"/>
        <v xml:space="preserve"> </v>
      </c>
      <c r="R622" s="1069" t="str">
        <f t="shared" ca="1" si="200"/>
        <v xml:space="preserve"> </v>
      </c>
      <c r="S622" s="1069" t="str">
        <f t="shared" ca="1" si="200"/>
        <v xml:space="preserve"> </v>
      </c>
      <c r="T622" s="1069" t="str">
        <f t="shared" ca="1" si="200"/>
        <v xml:space="preserve"> </v>
      </c>
      <c r="U622" s="1069" t="str">
        <f t="shared" ca="1" si="200"/>
        <v xml:space="preserve"> </v>
      </c>
      <c r="V622" s="1069" t="str">
        <f t="shared" ca="1" si="200"/>
        <v xml:space="preserve"> </v>
      </c>
      <c r="W622" s="1069" t="str">
        <f t="shared" ca="1" si="200"/>
        <v xml:space="preserve"> </v>
      </c>
      <c r="X622" s="1069" t="str">
        <f t="shared" ca="1" si="200"/>
        <v xml:space="preserve"> </v>
      </c>
      <c r="Y622" s="1069" t="str">
        <f t="shared" ca="1" si="200"/>
        <v xml:space="preserve"> </v>
      </c>
      <c r="Z622" s="1069" t="str">
        <f t="shared" ca="1" si="200"/>
        <v xml:space="preserve"> </v>
      </c>
      <c r="AA622" s="1069" t="str">
        <f t="shared" ca="1" si="200"/>
        <v xml:space="preserve"> </v>
      </c>
    </row>
    <row r="623" spans="1:27" ht="9.9499999999999993" customHeight="1">
      <c r="A623" s="1069">
        <v>99</v>
      </c>
      <c r="D623" s="1069" t="str">
        <f t="shared" ref="D623:AA623" ca="1" si="201">IF(ISNUMBER(D622),IF(D622+2&lt;E$726,IF(ISNA(MATCH("Y",INDIRECT("Skills!"&amp;$C$523&amp;D622+1&amp;":"&amp;$C$523&amp;E$726),0))," ",MATCH("Y",INDIRECT("Skills!"&amp;$C$523&amp;D622+1&amp;":"&amp;$C$523&amp;E$726),0)+D622)," ")," ")</f>
        <v xml:space="preserve"> </v>
      </c>
      <c r="E623" s="1069" t="str">
        <f t="shared" ca="1" si="201"/>
        <v xml:space="preserve"> </v>
      </c>
      <c r="F623" s="1069" t="str">
        <f t="shared" ca="1" si="201"/>
        <v xml:space="preserve"> </v>
      </c>
      <c r="G623" s="1069" t="str">
        <f t="shared" ca="1" si="201"/>
        <v xml:space="preserve"> </v>
      </c>
      <c r="H623" s="1069" t="str">
        <f t="shared" ca="1" si="201"/>
        <v xml:space="preserve"> </v>
      </c>
      <c r="I623" s="1069" t="str">
        <f t="shared" ca="1" si="201"/>
        <v xml:space="preserve"> </v>
      </c>
      <c r="J623" s="1069" t="str">
        <f t="shared" ca="1" si="201"/>
        <v xml:space="preserve"> </v>
      </c>
      <c r="K623" s="1069" t="str">
        <f t="shared" ca="1" si="201"/>
        <v xml:space="preserve"> </v>
      </c>
      <c r="L623" s="1069" t="str">
        <f t="shared" ca="1" si="201"/>
        <v xml:space="preserve"> </v>
      </c>
      <c r="M623" s="1069" t="str">
        <f t="shared" ca="1" si="201"/>
        <v xml:space="preserve"> </v>
      </c>
      <c r="N623" s="1069" t="str">
        <f t="shared" ca="1" si="201"/>
        <v xml:space="preserve"> </v>
      </c>
      <c r="O623" s="1069" t="str">
        <f t="shared" ca="1" si="201"/>
        <v xml:space="preserve"> </v>
      </c>
      <c r="P623" s="1069">
        <f t="shared" ca="1" si="201"/>
        <v>695</v>
      </c>
      <c r="Q623" s="1069" t="str">
        <f t="shared" ca="1" si="201"/>
        <v xml:space="preserve"> </v>
      </c>
      <c r="R623" s="1069" t="str">
        <f t="shared" ca="1" si="201"/>
        <v xml:space="preserve"> </v>
      </c>
      <c r="S623" s="1069" t="str">
        <f t="shared" ca="1" si="201"/>
        <v xml:space="preserve"> </v>
      </c>
      <c r="T623" s="1069" t="str">
        <f t="shared" ca="1" si="201"/>
        <v xml:space="preserve"> </v>
      </c>
      <c r="U623" s="1069" t="str">
        <f t="shared" ca="1" si="201"/>
        <v xml:space="preserve"> </v>
      </c>
      <c r="V623" s="1069" t="str">
        <f t="shared" ca="1" si="201"/>
        <v xml:space="preserve"> </v>
      </c>
      <c r="W623" s="1069" t="str">
        <f t="shared" ca="1" si="201"/>
        <v xml:space="preserve"> </v>
      </c>
      <c r="X623" s="1069" t="str">
        <f t="shared" ca="1" si="201"/>
        <v xml:space="preserve"> </v>
      </c>
      <c r="Y623" s="1069" t="str">
        <f t="shared" ca="1" si="201"/>
        <v xml:space="preserve"> </v>
      </c>
      <c r="Z623" s="1069" t="str">
        <f t="shared" ca="1" si="201"/>
        <v xml:space="preserve"> </v>
      </c>
      <c r="AA623" s="1069" t="str">
        <f t="shared" ca="1" si="201"/>
        <v xml:space="preserve"> </v>
      </c>
    </row>
    <row r="624" spans="1:27" ht="9.9499999999999993" customHeight="1">
      <c r="A624" s="1069">
        <v>100</v>
      </c>
      <c r="D624" s="1069" t="str">
        <f t="shared" ref="D624:AA624" ca="1" si="202">IF(ISNUMBER(D623),IF(D623+2&lt;E$726,IF(ISNA(MATCH("Y",INDIRECT("Skills!"&amp;$C$523&amp;D623+1&amp;":"&amp;$C$523&amp;E$726),0))," ",MATCH("Y",INDIRECT("Skills!"&amp;$C$523&amp;D623+1&amp;":"&amp;$C$523&amp;E$726),0)+D623)," ")," ")</f>
        <v xml:space="preserve"> </v>
      </c>
      <c r="E624" s="1069" t="str">
        <f t="shared" ca="1" si="202"/>
        <v xml:space="preserve"> </v>
      </c>
      <c r="F624" s="1069" t="str">
        <f t="shared" ca="1" si="202"/>
        <v xml:space="preserve"> </v>
      </c>
      <c r="G624" s="1069" t="str">
        <f t="shared" ca="1" si="202"/>
        <v xml:space="preserve"> </v>
      </c>
      <c r="H624" s="1069" t="str">
        <f t="shared" ca="1" si="202"/>
        <v xml:space="preserve"> </v>
      </c>
      <c r="I624" s="1069" t="str">
        <f t="shared" ca="1" si="202"/>
        <v xml:space="preserve"> </v>
      </c>
      <c r="J624" s="1069" t="str">
        <f t="shared" ca="1" si="202"/>
        <v xml:space="preserve"> </v>
      </c>
      <c r="K624" s="1069" t="str">
        <f t="shared" ca="1" si="202"/>
        <v xml:space="preserve"> </v>
      </c>
      <c r="L624" s="1069" t="str">
        <f t="shared" ca="1" si="202"/>
        <v xml:space="preserve"> </v>
      </c>
      <c r="M624" s="1069" t="str">
        <f t="shared" ca="1" si="202"/>
        <v xml:space="preserve"> </v>
      </c>
      <c r="N624" s="1069" t="str">
        <f t="shared" ca="1" si="202"/>
        <v xml:space="preserve"> </v>
      </c>
      <c r="O624" s="1069" t="str">
        <f t="shared" ca="1" si="202"/>
        <v xml:space="preserve"> </v>
      </c>
      <c r="P624" s="1069">
        <f t="shared" ca="1" si="202"/>
        <v>696</v>
      </c>
      <c r="Q624" s="1069" t="str">
        <f t="shared" ca="1" si="202"/>
        <v xml:space="preserve"> </v>
      </c>
      <c r="R624" s="1069" t="str">
        <f t="shared" ca="1" si="202"/>
        <v xml:space="preserve"> </v>
      </c>
      <c r="S624" s="1069" t="str">
        <f t="shared" ca="1" si="202"/>
        <v xml:space="preserve"> </v>
      </c>
      <c r="T624" s="1069" t="str">
        <f t="shared" ca="1" si="202"/>
        <v xml:space="preserve"> </v>
      </c>
      <c r="U624" s="1069" t="str">
        <f t="shared" ca="1" si="202"/>
        <v xml:space="preserve"> </v>
      </c>
      <c r="V624" s="1069" t="str">
        <f t="shared" ca="1" si="202"/>
        <v xml:space="preserve"> </v>
      </c>
      <c r="W624" s="1069" t="str">
        <f t="shared" ca="1" si="202"/>
        <v xml:space="preserve"> </v>
      </c>
      <c r="X624" s="1069" t="str">
        <f t="shared" ca="1" si="202"/>
        <v xml:space="preserve"> </v>
      </c>
      <c r="Y624" s="1069" t="str">
        <f t="shared" ca="1" si="202"/>
        <v xml:space="preserve"> </v>
      </c>
      <c r="Z624" s="1069" t="str">
        <f t="shared" ca="1" si="202"/>
        <v xml:space="preserve"> </v>
      </c>
      <c r="AA624" s="1069" t="str">
        <f t="shared" ca="1" si="202"/>
        <v xml:space="preserve"> </v>
      </c>
    </row>
    <row r="625" spans="1:27" s="1069" customFormat="1" ht="9.9499999999999993" customHeight="1">
      <c r="A625" s="1069">
        <v>101</v>
      </c>
      <c r="D625" s="1069" t="str">
        <f t="shared" ref="D625:AA625" ca="1" si="203">IF(ISNUMBER(D624),IF(D624+2&lt;E$726,IF(ISNA(MATCH("Y",INDIRECT("Skills!"&amp;$C$523&amp;D624+1&amp;":"&amp;$C$523&amp;E$726),0))," ",MATCH("Y",INDIRECT("Skills!"&amp;$C$523&amp;D624+1&amp;":"&amp;$C$523&amp;E$726),0)+D624)," ")," ")</f>
        <v xml:space="preserve"> </v>
      </c>
      <c r="E625" s="1069" t="str">
        <f t="shared" ca="1" si="203"/>
        <v xml:space="preserve"> </v>
      </c>
      <c r="F625" s="1069" t="str">
        <f t="shared" ca="1" si="203"/>
        <v xml:space="preserve"> </v>
      </c>
      <c r="G625" s="1069" t="str">
        <f t="shared" ca="1" si="203"/>
        <v xml:space="preserve"> </v>
      </c>
      <c r="H625" s="1069" t="str">
        <f t="shared" ca="1" si="203"/>
        <v xml:space="preserve"> </v>
      </c>
      <c r="I625" s="1069" t="str">
        <f t="shared" ca="1" si="203"/>
        <v xml:space="preserve"> </v>
      </c>
      <c r="J625" s="1069" t="str">
        <f t="shared" ca="1" si="203"/>
        <v xml:space="preserve"> </v>
      </c>
      <c r="K625" s="1069" t="str">
        <f t="shared" ca="1" si="203"/>
        <v xml:space="preserve"> </v>
      </c>
      <c r="L625" s="1069" t="str">
        <f t="shared" ca="1" si="203"/>
        <v xml:space="preserve"> </v>
      </c>
      <c r="M625" s="1069" t="str">
        <f t="shared" ca="1" si="203"/>
        <v xml:space="preserve"> </v>
      </c>
      <c r="N625" s="1069" t="str">
        <f t="shared" ca="1" si="203"/>
        <v xml:space="preserve"> </v>
      </c>
      <c r="O625" s="1069" t="str">
        <f t="shared" ca="1" si="203"/>
        <v xml:space="preserve"> </v>
      </c>
      <c r="P625" s="1069">
        <f t="shared" ca="1" si="203"/>
        <v>697</v>
      </c>
      <c r="Q625" s="1069" t="str">
        <f t="shared" ca="1" si="203"/>
        <v xml:space="preserve"> </v>
      </c>
      <c r="R625" s="1069" t="str">
        <f t="shared" ca="1" si="203"/>
        <v xml:space="preserve"> </v>
      </c>
      <c r="S625" s="1069" t="str">
        <f t="shared" ca="1" si="203"/>
        <v xml:space="preserve"> </v>
      </c>
      <c r="T625" s="1069" t="str">
        <f t="shared" ca="1" si="203"/>
        <v xml:space="preserve"> </v>
      </c>
      <c r="U625" s="1069" t="str">
        <f t="shared" ca="1" si="203"/>
        <v xml:space="preserve"> </v>
      </c>
      <c r="V625" s="1069" t="str">
        <f t="shared" ca="1" si="203"/>
        <v xml:space="preserve"> </v>
      </c>
      <c r="W625" s="1069" t="str">
        <f t="shared" ca="1" si="203"/>
        <v xml:space="preserve"> </v>
      </c>
      <c r="X625" s="1069" t="str">
        <f t="shared" ca="1" si="203"/>
        <v xml:space="preserve"> </v>
      </c>
      <c r="Y625" s="1069" t="str">
        <f t="shared" ca="1" si="203"/>
        <v xml:space="preserve"> </v>
      </c>
      <c r="Z625" s="1069" t="str">
        <f t="shared" ca="1" si="203"/>
        <v xml:space="preserve"> </v>
      </c>
      <c r="AA625" s="1069" t="str">
        <f t="shared" ca="1" si="203"/>
        <v xml:space="preserve"> </v>
      </c>
    </row>
    <row r="626" spans="1:27" s="1069" customFormat="1" ht="9.9499999999999993" customHeight="1">
      <c r="A626" s="1069">
        <v>102</v>
      </c>
      <c r="D626" s="1069" t="str">
        <f t="shared" ref="D626:AA626" ca="1" si="204">IF(ISNUMBER(D625),IF(D625+2&lt;E$726,IF(ISNA(MATCH("Y",INDIRECT("Skills!"&amp;$C$523&amp;D625+1&amp;":"&amp;$C$523&amp;E$726),0))," ",MATCH("Y",INDIRECT("Skills!"&amp;$C$523&amp;D625+1&amp;":"&amp;$C$523&amp;E$726),0)+D625)," ")," ")</f>
        <v xml:space="preserve"> </v>
      </c>
      <c r="E626" s="1069" t="str">
        <f t="shared" ca="1" si="204"/>
        <v xml:space="preserve"> </v>
      </c>
      <c r="F626" s="1069" t="str">
        <f t="shared" ca="1" si="204"/>
        <v xml:space="preserve"> </v>
      </c>
      <c r="G626" s="1069" t="str">
        <f t="shared" ca="1" si="204"/>
        <v xml:space="preserve"> </v>
      </c>
      <c r="H626" s="1069" t="str">
        <f t="shared" ca="1" si="204"/>
        <v xml:space="preserve"> </v>
      </c>
      <c r="I626" s="1069" t="str">
        <f t="shared" ca="1" si="204"/>
        <v xml:space="preserve"> </v>
      </c>
      <c r="J626" s="1069" t="str">
        <f t="shared" ca="1" si="204"/>
        <v xml:space="preserve"> </v>
      </c>
      <c r="K626" s="1069" t="str">
        <f t="shared" ca="1" si="204"/>
        <v xml:space="preserve"> </v>
      </c>
      <c r="L626" s="1069" t="str">
        <f t="shared" ca="1" si="204"/>
        <v xml:space="preserve"> </v>
      </c>
      <c r="M626" s="1069" t="str">
        <f t="shared" ca="1" si="204"/>
        <v xml:space="preserve"> </v>
      </c>
      <c r="N626" s="1069" t="str">
        <f t="shared" ca="1" si="204"/>
        <v xml:space="preserve"> </v>
      </c>
      <c r="O626" s="1069" t="str">
        <f t="shared" ca="1" si="204"/>
        <v xml:space="preserve"> </v>
      </c>
      <c r="P626" s="1069">
        <f t="shared" ca="1" si="204"/>
        <v>698</v>
      </c>
      <c r="Q626" s="1069" t="str">
        <f t="shared" ca="1" si="204"/>
        <v xml:space="preserve"> </v>
      </c>
      <c r="R626" s="1069" t="str">
        <f t="shared" ca="1" si="204"/>
        <v xml:space="preserve"> </v>
      </c>
      <c r="S626" s="1069" t="str">
        <f t="shared" ca="1" si="204"/>
        <v xml:space="preserve"> </v>
      </c>
      <c r="T626" s="1069" t="str">
        <f t="shared" ca="1" si="204"/>
        <v xml:space="preserve"> </v>
      </c>
      <c r="U626" s="1069" t="str">
        <f t="shared" ca="1" si="204"/>
        <v xml:space="preserve"> </v>
      </c>
      <c r="V626" s="1069" t="str">
        <f t="shared" ca="1" si="204"/>
        <v xml:space="preserve"> </v>
      </c>
      <c r="W626" s="1069" t="str">
        <f t="shared" ca="1" si="204"/>
        <v xml:space="preserve"> </v>
      </c>
      <c r="X626" s="1069" t="str">
        <f t="shared" ca="1" si="204"/>
        <v xml:space="preserve"> </v>
      </c>
      <c r="Y626" s="1069" t="str">
        <f t="shared" ca="1" si="204"/>
        <v xml:space="preserve"> </v>
      </c>
      <c r="Z626" s="1069" t="str">
        <f t="shared" ca="1" si="204"/>
        <v xml:space="preserve"> </v>
      </c>
      <c r="AA626" s="1069" t="str">
        <f t="shared" ca="1" si="204"/>
        <v xml:space="preserve"> </v>
      </c>
    </row>
    <row r="627" spans="1:27" s="1069" customFormat="1" ht="9.9499999999999993" customHeight="1">
      <c r="A627" s="1069">
        <v>103</v>
      </c>
      <c r="D627" s="1069" t="str">
        <f t="shared" ref="D627:AA627" ca="1" si="205">IF(ISNUMBER(D626),IF(D626+2&lt;E$726,IF(ISNA(MATCH("Y",INDIRECT("Skills!"&amp;$C$523&amp;D626+1&amp;":"&amp;$C$523&amp;E$726),0))," ",MATCH("Y",INDIRECT("Skills!"&amp;$C$523&amp;D626+1&amp;":"&amp;$C$523&amp;E$726),0)+D626)," ")," ")</f>
        <v xml:space="preserve"> </v>
      </c>
      <c r="E627" s="1069" t="str">
        <f t="shared" ca="1" si="205"/>
        <v xml:space="preserve"> </v>
      </c>
      <c r="F627" s="1069" t="str">
        <f t="shared" ca="1" si="205"/>
        <v xml:space="preserve"> </v>
      </c>
      <c r="G627" s="1069" t="str">
        <f t="shared" ca="1" si="205"/>
        <v xml:space="preserve"> </v>
      </c>
      <c r="H627" s="1069" t="str">
        <f t="shared" ca="1" si="205"/>
        <v xml:space="preserve"> </v>
      </c>
      <c r="I627" s="1069" t="str">
        <f t="shared" ca="1" si="205"/>
        <v xml:space="preserve"> </v>
      </c>
      <c r="J627" s="1069" t="str">
        <f t="shared" ca="1" si="205"/>
        <v xml:space="preserve"> </v>
      </c>
      <c r="K627" s="1069" t="str">
        <f t="shared" ca="1" si="205"/>
        <v xml:space="preserve"> </v>
      </c>
      <c r="L627" s="1069" t="str">
        <f t="shared" ca="1" si="205"/>
        <v xml:space="preserve"> </v>
      </c>
      <c r="M627" s="1069" t="str">
        <f t="shared" ca="1" si="205"/>
        <v xml:space="preserve"> </v>
      </c>
      <c r="N627" s="1069" t="str">
        <f t="shared" ca="1" si="205"/>
        <v xml:space="preserve"> </v>
      </c>
      <c r="O627" s="1069" t="str">
        <f t="shared" ca="1" si="205"/>
        <v xml:space="preserve"> </v>
      </c>
      <c r="P627" s="1069">
        <f t="shared" ca="1" si="205"/>
        <v>699</v>
      </c>
      <c r="Q627" s="1069" t="str">
        <f t="shared" ca="1" si="205"/>
        <v xml:space="preserve"> </v>
      </c>
      <c r="R627" s="1069" t="str">
        <f t="shared" ca="1" si="205"/>
        <v xml:space="preserve"> </v>
      </c>
      <c r="S627" s="1069" t="str">
        <f t="shared" ca="1" si="205"/>
        <v xml:space="preserve"> </v>
      </c>
      <c r="T627" s="1069" t="str">
        <f t="shared" ca="1" si="205"/>
        <v xml:space="preserve"> </v>
      </c>
      <c r="U627" s="1069" t="str">
        <f t="shared" ca="1" si="205"/>
        <v xml:space="preserve"> </v>
      </c>
      <c r="V627" s="1069" t="str">
        <f t="shared" ca="1" si="205"/>
        <v xml:space="preserve"> </v>
      </c>
      <c r="W627" s="1069" t="str">
        <f t="shared" ca="1" si="205"/>
        <v xml:space="preserve"> </v>
      </c>
      <c r="X627" s="1069" t="str">
        <f t="shared" ca="1" si="205"/>
        <v xml:space="preserve"> </v>
      </c>
      <c r="Y627" s="1069" t="str">
        <f t="shared" ca="1" si="205"/>
        <v xml:space="preserve"> </v>
      </c>
      <c r="Z627" s="1069" t="str">
        <f t="shared" ca="1" si="205"/>
        <v xml:space="preserve"> </v>
      </c>
      <c r="AA627" s="1069" t="str">
        <f t="shared" ca="1" si="205"/>
        <v xml:space="preserve"> </v>
      </c>
    </row>
    <row r="628" spans="1:27" s="1069" customFormat="1" ht="9.9499999999999993" customHeight="1">
      <c r="A628" s="1069">
        <v>104</v>
      </c>
      <c r="D628" s="1069" t="str">
        <f t="shared" ref="D628:AA628" ca="1" si="206">IF(ISNUMBER(D627),IF(D627+2&lt;E$726,IF(ISNA(MATCH("Y",INDIRECT("Skills!"&amp;$C$523&amp;D627+1&amp;":"&amp;$C$523&amp;E$726),0))," ",MATCH("Y",INDIRECT("Skills!"&amp;$C$523&amp;D627+1&amp;":"&amp;$C$523&amp;E$726),0)+D627)," ")," ")</f>
        <v xml:space="preserve"> </v>
      </c>
      <c r="E628" s="1069" t="str">
        <f t="shared" ca="1" si="206"/>
        <v xml:space="preserve"> </v>
      </c>
      <c r="F628" s="1069" t="str">
        <f t="shared" ca="1" si="206"/>
        <v xml:space="preserve"> </v>
      </c>
      <c r="G628" s="1069" t="str">
        <f t="shared" ca="1" si="206"/>
        <v xml:space="preserve"> </v>
      </c>
      <c r="H628" s="1069" t="str">
        <f t="shared" ca="1" si="206"/>
        <v xml:space="preserve"> </v>
      </c>
      <c r="I628" s="1069" t="str">
        <f t="shared" ca="1" si="206"/>
        <v xml:space="preserve"> </v>
      </c>
      <c r="J628" s="1069" t="str">
        <f t="shared" ca="1" si="206"/>
        <v xml:space="preserve"> </v>
      </c>
      <c r="K628" s="1069" t="str">
        <f t="shared" ca="1" si="206"/>
        <v xml:space="preserve"> </v>
      </c>
      <c r="L628" s="1069" t="str">
        <f t="shared" ca="1" si="206"/>
        <v xml:space="preserve"> </v>
      </c>
      <c r="M628" s="1069" t="str">
        <f t="shared" ca="1" si="206"/>
        <v xml:space="preserve"> </v>
      </c>
      <c r="N628" s="1069" t="str">
        <f t="shared" ca="1" si="206"/>
        <v xml:space="preserve"> </v>
      </c>
      <c r="O628" s="1069" t="str">
        <f t="shared" ca="1" si="206"/>
        <v xml:space="preserve"> </v>
      </c>
      <c r="P628" s="1069">
        <f t="shared" ca="1" si="206"/>
        <v>700</v>
      </c>
      <c r="Q628" s="1069" t="str">
        <f t="shared" ca="1" si="206"/>
        <v xml:space="preserve"> </v>
      </c>
      <c r="R628" s="1069" t="str">
        <f t="shared" ca="1" si="206"/>
        <v xml:space="preserve"> </v>
      </c>
      <c r="S628" s="1069" t="str">
        <f t="shared" ca="1" si="206"/>
        <v xml:space="preserve"> </v>
      </c>
      <c r="T628" s="1069" t="str">
        <f t="shared" ca="1" si="206"/>
        <v xml:space="preserve"> </v>
      </c>
      <c r="U628" s="1069" t="str">
        <f t="shared" ca="1" si="206"/>
        <v xml:space="preserve"> </v>
      </c>
      <c r="V628" s="1069" t="str">
        <f t="shared" ca="1" si="206"/>
        <v xml:space="preserve"> </v>
      </c>
      <c r="W628" s="1069" t="str">
        <f t="shared" ca="1" si="206"/>
        <v xml:space="preserve"> </v>
      </c>
      <c r="X628" s="1069" t="str">
        <f t="shared" ca="1" si="206"/>
        <v xml:space="preserve"> </v>
      </c>
      <c r="Y628" s="1069" t="str">
        <f t="shared" ca="1" si="206"/>
        <v xml:space="preserve"> </v>
      </c>
      <c r="Z628" s="1069" t="str">
        <f t="shared" ca="1" si="206"/>
        <v xml:space="preserve"> </v>
      </c>
      <c r="AA628" s="1069" t="str">
        <f t="shared" ca="1" si="206"/>
        <v xml:space="preserve"> </v>
      </c>
    </row>
    <row r="629" spans="1:27" s="1069" customFormat="1" ht="9.9499999999999993" customHeight="1">
      <c r="A629" s="1069">
        <v>105</v>
      </c>
      <c r="D629" s="1069" t="str">
        <f t="shared" ref="D629:AA629" ca="1" si="207">IF(ISNUMBER(D628),IF(D628+2&lt;E$726,IF(ISNA(MATCH("Y",INDIRECT("Skills!"&amp;$C$523&amp;D628+1&amp;":"&amp;$C$523&amp;E$726),0))," ",MATCH("Y",INDIRECT("Skills!"&amp;$C$523&amp;D628+1&amp;":"&amp;$C$523&amp;E$726),0)+D628)," ")," ")</f>
        <v xml:space="preserve"> </v>
      </c>
      <c r="E629" s="1069" t="str">
        <f t="shared" ca="1" si="207"/>
        <v xml:space="preserve"> </v>
      </c>
      <c r="F629" s="1069" t="str">
        <f t="shared" ca="1" si="207"/>
        <v xml:space="preserve"> </v>
      </c>
      <c r="G629" s="1069" t="str">
        <f t="shared" ca="1" si="207"/>
        <v xml:space="preserve"> </v>
      </c>
      <c r="H629" s="1069" t="str">
        <f t="shared" ca="1" si="207"/>
        <v xml:space="preserve"> </v>
      </c>
      <c r="I629" s="1069" t="str">
        <f t="shared" ca="1" si="207"/>
        <v xml:space="preserve"> </v>
      </c>
      <c r="J629" s="1069" t="str">
        <f t="shared" ca="1" si="207"/>
        <v xml:space="preserve"> </v>
      </c>
      <c r="K629" s="1069" t="str">
        <f t="shared" ca="1" si="207"/>
        <v xml:space="preserve"> </v>
      </c>
      <c r="L629" s="1069" t="str">
        <f t="shared" ca="1" si="207"/>
        <v xml:space="preserve"> </v>
      </c>
      <c r="M629" s="1069" t="str">
        <f t="shared" ca="1" si="207"/>
        <v xml:space="preserve"> </v>
      </c>
      <c r="N629" s="1069" t="str">
        <f t="shared" ca="1" si="207"/>
        <v xml:space="preserve"> </v>
      </c>
      <c r="O629" s="1069" t="str">
        <f t="shared" ca="1" si="207"/>
        <v xml:space="preserve"> </v>
      </c>
      <c r="P629" s="1069">
        <f t="shared" ca="1" si="207"/>
        <v>701</v>
      </c>
      <c r="Q629" s="1069" t="str">
        <f t="shared" ca="1" si="207"/>
        <v xml:space="preserve"> </v>
      </c>
      <c r="R629" s="1069" t="str">
        <f t="shared" ca="1" si="207"/>
        <v xml:space="preserve"> </v>
      </c>
      <c r="S629" s="1069" t="str">
        <f t="shared" ca="1" si="207"/>
        <v xml:space="preserve"> </v>
      </c>
      <c r="T629" s="1069" t="str">
        <f t="shared" ca="1" si="207"/>
        <v xml:space="preserve"> </v>
      </c>
      <c r="U629" s="1069" t="str">
        <f t="shared" ca="1" si="207"/>
        <v xml:space="preserve"> </v>
      </c>
      <c r="V629" s="1069" t="str">
        <f t="shared" ca="1" si="207"/>
        <v xml:space="preserve"> </v>
      </c>
      <c r="W629" s="1069" t="str">
        <f t="shared" ca="1" si="207"/>
        <v xml:space="preserve"> </v>
      </c>
      <c r="X629" s="1069" t="str">
        <f t="shared" ca="1" si="207"/>
        <v xml:space="preserve"> </v>
      </c>
      <c r="Y629" s="1069" t="str">
        <f t="shared" ca="1" si="207"/>
        <v xml:space="preserve"> </v>
      </c>
      <c r="Z629" s="1069" t="str">
        <f t="shared" ca="1" si="207"/>
        <v xml:space="preserve"> </v>
      </c>
      <c r="AA629" s="1069" t="str">
        <f t="shared" ca="1" si="207"/>
        <v xml:space="preserve"> </v>
      </c>
    </row>
    <row r="630" spans="1:27" s="1069" customFormat="1" ht="9.9499999999999993" customHeight="1">
      <c r="A630" s="1069">
        <v>106</v>
      </c>
      <c r="D630" s="1069" t="str">
        <f t="shared" ref="D630:AA630" ca="1" si="208">IF(ISNUMBER(D629),IF(D629+2&lt;E$726,IF(ISNA(MATCH("Y",INDIRECT("Skills!"&amp;$C$523&amp;D629+1&amp;":"&amp;$C$523&amp;E$726),0))," ",MATCH("Y",INDIRECT("Skills!"&amp;$C$523&amp;D629+1&amp;":"&amp;$C$523&amp;E$726),0)+D629)," ")," ")</f>
        <v xml:space="preserve"> </v>
      </c>
      <c r="E630" s="1069" t="str">
        <f t="shared" ca="1" si="208"/>
        <v xml:space="preserve"> </v>
      </c>
      <c r="F630" s="1069" t="str">
        <f t="shared" ca="1" si="208"/>
        <v xml:space="preserve"> </v>
      </c>
      <c r="G630" s="1069" t="str">
        <f t="shared" ca="1" si="208"/>
        <v xml:space="preserve"> </v>
      </c>
      <c r="H630" s="1069" t="str">
        <f t="shared" ca="1" si="208"/>
        <v xml:space="preserve"> </v>
      </c>
      <c r="I630" s="1069" t="str">
        <f t="shared" ca="1" si="208"/>
        <v xml:space="preserve"> </v>
      </c>
      <c r="J630" s="1069" t="str">
        <f t="shared" ca="1" si="208"/>
        <v xml:space="preserve"> </v>
      </c>
      <c r="K630" s="1069" t="str">
        <f t="shared" ca="1" si="208"/>
        <v xml:space="preserve"> </v>
      </c>
      <c r="L630" s="1069" t="str">
        <f t="shared" ca="1" si="208"/>
        <v xml:space="preserve"> </v>
      </c>
      <c r="M630" s="1069" t="str">
        <f t="shared" ca="1" si="208"/>
        <v xml:space="preserve"> </v>
      </c>
      <c r="N630" s="1069" t="str">
        <f t="shared" ca="1" si="208"/>
        <v xml:space="preserve"> </v>
      </c>
      <c r="O630" s="1069" t="str">
        <f t="shared" ca="1" si="208"/>
        <v xml:space="preserve"> </v>
      </c>
      <c r="P630" s="1069">
        <f t="shared" ca="1" si="208"/>
        <v>702</v>
      </c>
      <c r="Q630" s="1069" t="str">
        <f t="shared" ca="1" si="208"/>
        <v xml:space="preserve"> </v>
      </c>
      <c r="R630" s="1069" t="str">
        <f t="shared" ca="1" si="208"/>
        <v xml:space="preserve"> </v>
      </c>
      <c r="S630" s="1069" t="str">
        <f t="shared" ca="1" si="208"/>
        <v xml:space="preserve"> </v>
      </c>
      <c r="T630" s="1069" t="str">
        <f t="shared" ca="1" si="208"/>
        <v xml:space="preserve"> </v>
      </c>
      <c r="U630" s="1069" t="str">
        <f t="shared" ca="1" si="208"/>
        <v xml:space="preserve"> </v>
      </c>
      <c r="V630" s="1069" t="str">
        <f t="shared" ca="1" si="208"/>
        <v xml:space="preserve"> </v>
      </c>
      <c r="W630" s="1069" t="str">
        <f t="shared" ca="1" si="208"/>
        <v xml:space="preserve"> </v>
      </c>
      <c r="X630" s="1069" t="str">
        <f t="shared" ca="1" si="208"/>
        <v xml:space="preserve"> </v>
      </c>
      <c r="Y630" s="1069" t="str">
        <f t="shared" ca="1" si="208"/>
        <v xml:space="preserve"> </v>
      </c>
      <c r="Z630" s="1069" t="str">
        <f t="shared" ca="1" si="208"/>
        <v xml:space="preserve"> </v>
      </c>
      <c r="AA630" s="1069" t="str">
        <f t="shared" ca="1" si="208"/>
        <v xml:space="preserve"> </v>
      </c>
    </row>
    <row r="631" spans="1:27" s="1069" customFormat="1" ht="9.9499999999999993" customHeight="1">
      <c r="A631" s="1069">
        <v>107</v>
      </c>
      <c r="D631" s="1069" t="str">
        <f t="shared" ref="D631:AA631" ca="1" si="209">IF(ISNUMBER(D630),IF(D630+2&lt;E$726,IF(ISNA(MATCH("Y",INDIRECT("Skills!"&amp;$C$523&amp;D630+1&amp;":"&amp;$C$523&amp;E$726),0))," ",MATCH("Y",INDIRECT("Skills!"&amp;$C$523&amp;D630+1&amp;":"&amp;$C$523&amp;E$726),0)+D630)," ")," ")</f>
        <v xml:space="preserve"> </v>
      </c>
      <c r="E631" s="1069" t="str">
        <f t="shared" ca="1" si="209"/>
        <v xml:space="preserve"> </v>
      </c>
      <c r="F631" s="1069" t="str">
        <f t="shared" ca="1" si="209"/>
        <v xml:space="preserve"> </v>
      </c>
      <c r="G631" s="1069" t="str">
        <f t="shared" ca="1" si="209"/>
        <v xml:space="preserve"> </v>
      </c>
      <c r="H631" s="1069" t="str">
        <f t="shared" ca="1" si="209"/>
        <v xml:space="preserve"> </v>
      </c>
      <c r="I631" s="1069" t="str">
        <f t="shared" ca="1" si="209"/>
        <v xml:space="preserve"> </v>
      </c>
      <c r="J631" s="1069" t="str">
        <f t="shared" ca="1" si="209"/>
        <v xml:space="preserve"> </v>
      </c>
      <c r="K631" s="1069" t="str">
        <f t="shared" ca="1" si="209"/>
        <v xml:space="preserve"> </v>
      </c>
      <c r="L631" s="1069" t="str">
        <f t="shared" ca="1" si="209"/>
        <v xml:space="preserve"> </v>
      </c>
      <c r="M631" s="1069" t="str">
        <f t="shared" ca="1" si="209"/>
        <v xml:space="preserve"> </v>
      </c>
      <c r="N631" s="1069" t="str">
        <f t="shared" ca="1" si="209"/>
        <v xml:space="preserve"> </v>
      </c>
      <c r="O631" s="1069" t="str">
        <f t="shared" ca="1" si="209"/>
        <v xml:space="preserve"> </v>
      </c>
      <c r="P631" s="1069">
        <f t="shared" ca="1" si="209"/>
        <v>703</v>
      </c>
      <c r="Q631" s="1069" t="str">
        <f t="shared" ca="1" si="209"/>
        <v xml:space="preserve"> </v>
      </c>
      <c r="R631" s="1069" t="str">
        <f t="shared" ca="1" si="209"/>
        <v xml:space="preserve"> </v>
      </c>
      <c r="S631" s="1069" t="str">
        <f t="shared" ca="1" si="209"/>
        <v xml:space="preserve"> </v>
      </c>
      <c r="T631" s="1069" t="str">
        <f t="shared" ca="1" si="209"/>
        <v xml:space="preserve"> </v>
      </c>
      <c r="U631" s="1069" t="str">
        <f t="shared" ca="1" si="209"/>
        <v xml:space="preserve"> </v>
      </c>
      <c r="V631" s="1069" t="str">
        <f t="shared" ca="1" si="209"/>
        <v xml:space="preserve"> </v>
      </c>
      <c r="W631" s="1069" t="str">
        <f t="shared" ca="1" si="209"/>
        <v xml:space="preserve"> </v>
      </c>
      <c r="X631" s="1069" t="str">
        <f t="shared" ca="1" si="209"/>
        <v xml:space="preserve"> </v>
      </c>
      <c r="Y631" s="1069" t="str">
        <f t="shared" ca="1" si="209"/>
        <v xml:space="preserve"> </v>
      </c>
      <c r="Z631" s="1069" t="str">
        <f t="shared" ca="1" si="209"/>
        <v xml:space="preserve"> </v>
      </c>
      <c r="AA631" s="1069" t="str">
        <f t="shared" ca="1" si="209"/>
        <v xml:space="preserve"> </v>
      </c>
    </row>
    <row r="632" spans="1:27" s="1069" customFormat="1" ht="9.9499999999999993" customHeight="1">
      <c r="A632" s="1069">
        <v>108</v>
      </c>
      <c r="D632" s="1069" t="str">
        <f t="shared" ref="D632:AA632" ca="1" si="210">IF(ISNUMBER(D631),IF(D631+2&lt;E$726,IF(ISNA(MATCH("Y",INDIRECT("Skills!"&amp;$C$523&amp;D631+1&amp;":"&amp;$C$523&amp;E$726),0))," ",MATCH("Y",INDIRECT("Skills!"&amp;$C$523&amp;D631+1&amp;":"&amp;$C$523&amp;E$726),0)+D631)," ")," ")</f>
        <v xml:space="preserve"> </v>
      </c>
      <c r="E632" s="1069" t="str">
        <f t="shared" ca="1" si="210"/>
        <v xml:space="preserve"> </v>
      </c>
      <c r="F632" s="1069" t="str">
        <f t="shared" ca="1" si="210"/>
        <v xml:space="preserve"> </v>
      </c>
      <c r="G632" s="1069" t="str">
        <f t="shared" ca="1" si="210"/>
        <v xml:space="preserve"> </v>
      </c>
      <c r="H632" s="1069" t="str">
        <f t="shared" ca="1" si="210"/>
        <v xml:space="preserve"> </v>
      </c>
      <c r="I632" s="1069" t="str">
        <f t="shared" ca="1" si="210"/>
        <v xml:space="preserve"> </v>
      </c>
      <c r="J632" s="1069" t="str">
        <f t="shared" ca="1" si="210"/>
        <v xml:space="preserve"> </v>
      </c>
      <c r="K632" s="1069" t="str">
        <f t="shared" ca="1" si="210"/>
        <v xml:space="preserve"> </v>
      </c>
      <c r="L632" s="1069" t="str">
        <f t="shared" ca="1" si="210"/>
        <v xml:space="preserve"> </v>
      </c>
      <c r="M632" s="1069" t="str">
        <f t="shared" ca="1" si="210"/>
        <v xml:space="preserve"> </v>
      </c>
      <c r="N632" s="1069" t="str">
        <f t="shared" ca="1" si="210"/>
        <v xml:space="preserve"> </v>
      </c>
      <c r="O632" s="1069" t="str">
        <f t="shared" ca="1" si="210"/>
        <v xml:space="preserve"> </v>
      </c>
      <c r="P632" s="1069">
        <f t="shared" ca="1" si="210"/>
        <v>704</v>
      </c>
      <c r="Q632" s="1069" t="str">
        <f t="shared" ca="1" si="210"/>
        <v xml:space="preserve"> </v>
      </c>
      <c r="R632" s="1069" t="str">
        <f t="shared" ca="1" si="210"/>
        <v xml:space="preserve"> </v>
      </c>
      <c r="S632" s="1069" t="str">
        <f t="shared" ca="1" si="210"/>
        <v xml:space="preserve"> </v>
      </c>
      <c r="T632" s="1069" t="str">
        <f t="shared" ca="1" si="210"/>
        <v xml:space="preserve"> </v>
      </c>
      <c r="U632" s="1069" t="str">
        <f t="shared" ca="1" si="210"/>
        <v xml:space="preserve"> </v>
      </c>
      <c r="V632" s="1069" t="str">
        <f t="shared" ca="1" si="210"/>
        <v xml:space="preserve"> </v>
      </c>
      <c r="W632" s="1069" t="str">
        <f t="shared" ca="1" si="210"/>
        <v xml:space="preserve"> </v>
      </c>
      <c r="X632" s="1069" t="str">
        <f t="shared" ca="1" si="210"/>
        <v xml:space="preserve"> </v>
      </c>
      <c r="Y632" s="1069" t="str">
        <f t="shared" ca="1" si="210"/>
        <v xml:space="preserve"> </v>
      </c>
      <c r="Z632" s="1069" t="str">
        <f t="shared" ca="1" si="210"/>
        <v xml:space="preserve"> </v>
      </c>
      <c r="AA632" s="1069" t="str">
        <f t="shared" ca="1" si="210"/>
        <v xml:space="preserve"> </v>
      </c>
    </row>
    <row r="633" spans="1:27" s="1069" customFormat="1" ht="9.9499999999999993" customHeight="1">
      <c r="A633" s="1069">
        <v>109</v>
      </c>
      <c r="D633" s="1069" t="str">
        <f t="shared" ref="D633:AA633" ca="1" si="211">IF(ISNUMBER(D632),IF(D632+2&lt;E$726,IF(ISNA(MATCH("Y",INDIRECT("Skills!"&amp;$C$523&amp;D632+1&amp;":"&amp;$C$523&amp;E$726),0))," ",MATCH("Y",INDIRECT("Skills!"&amp;$C$523&amp;D632+1&amp;":"&amp;$C$523&amp;E$726),0)+D632)," ")," ")</f>
        <v xml:space="preserve"> </v>
      </c>
      <c r="E633" s="1069" t="str">
        <f t="shared" ca="1" si="211"/>
        <v xml:space="preserve"> </v>
      </c>
      <c r="F633" s="1069" t="str">
        <f t="shared" ca="1" si="211"/>
        <v xml:space="preserve"> </v>
      </c>
      <c r="G633" s="1069" t="str">
        <f t="shared" ca="1" si="211"/>
        <v xml:space="preserve"> </v>
      </c>
      <c r="H633" s="1069" t="str">
        <f t="shared" ca="1" si="211"/>
        <v xml:space="preserve"> </v>
      </c>
      <c r="I633" s="1069" t="str">
        <f t="shared" ca="1" si="211"/>
        <v xml:space="preserve"> </v>
      </c>
      <c r="J633" s="1069" t="str">
        <f t="shared" ca="1" si="211"/>
        <v xml:space="preserve"> </v>
      </c>
      <c r="K633" s="1069" t="str">
        <f t="shared" ca="1" si="211"/>
        <v xml:space="preserve"> </v>
      </c>
      <c r="L633" s="1069" t="str">
        <f t="shared" ca="1" si="211"/>
        <v xml:space="preserve"> </v>
      </c>
      <c r="M633" s="1069" t="str">
        <f t="shared" ca="1" si="211"/>
        <v xml:space="preserve"> </v>
      </c>
      <c r="N633" s="1069" t="str">
        <f t="shared" ca="1" si="211"/>
        <v xml:space="preserve"> </v>
      </c>
      <c r="O633" s="1069" t="str">
        <f t="shared" ca="1" si="211"/>
        <v xml:space="preserve"> </v>
      </c>
      <c r="P633" s="1069">
        <f t="shared" ca="1" si="211"/>
        <v>705</v>
      </c>
      <c r="Q633" s="1069" t="str">
        <f t="shared" ca="1" si="211"/>
        <v xml:space="preserve"> </v>
      </c>
      <c r="R633" s="1069" t="str">
        <f t="shared" ca="1" si="211"/>
        <v xml:space="preserve"> </v>
      </c>
      <c r="S633" s="1069" t="str">
        <f t="shared" ca="1" si="211"/>
        <v xml:space="preserve"> </v>
      </c>
      <c r="T633" s="1069" t="str">
        <f t="shared" ca="1" si="211"/>
        <v xml:space="preserve"> </v>
      </c>
      <c r="U633" s="1069" t="str">
        <f t="shared" ca="1" si="211"/>
        <v xml:space="preserve"> </v>
      </c>
      <c r="V633" s="1069" t="str">
        <f t="shared" ca="1" si="211"/>
        <v xml:space="preserve"> </v>
      </c>
      <c r="W633" s="1069" t="str">
        <f t="shared" ca="1" si="211"/>
        <v xml:space="preserve"> </v>
      </c>
      <c r="X633" s="1069" t="str">
        <f t="shared" ca="1" si="211"/>
        <v xml:space="preserve"> </v>
      </c>
      <c r="Y633" s="1069" t="str">
        <f t="shared" ca="1" si="211"/>
        <v xml:space="preserve"> </v>
      </c>
      <c r="Z633" s="1069" t="str">
        <f t="shared" ca="1" si="211"/>
        <v xml:space="preserve"> </v>
      </c>
      <c r="AA633" s="1069" t="str">
        <f t="shared" ca="1" si="211"/>
        <v xml:space="preserve"> </v>
      </c>
    </row>
    <row r="634" spans="1:27" s="1069" customFormat="1" ht="9.9499999999999993" customHeight="1">
      <c r="A634" s="1069">
        <v>110</v>
      </c>
      <c r="D634" s="1069" t="str">
        <f t="shared" ref="D634:AA634" ca="1" si="212">IF(ISNUMBER(D633),IF(D633+2&lt;E$726,IF(ISNA(MATCH("Y",INDIRECT("Skills!"&amp;$C$523&amp;D633+1&amp;":"&amp;$C$523&amp;E$726),0))," ",MATCH("Y",INDIRECT("Skills!"&amp;$C$523&amp;D633+1&amp;":"&amp;$C$523&amp;E$726),0)+D633)," ")," ")</f>
        <v xml:space="preserve"> </v>
      </c>
      <c r="E634" s="1069" t="str">
        <f t="shared" ca="1" si="212"/>
        <v xml:space="preserve"> </v>
      </c>
      <c r="F634" s="1069" t="str">
        <f t="shared" ca="1" si="212"/>
        <v xml:space="preserve"> </v>
      </c>
      <c r="G634" s="1069" t="str">
        <f t="shared" ca="1" si="212"/>
        <v xml:space="preserve"> </v>
      </c>
      <c r="H634" s="1069" t="str">
        <f t="shared" ca="1" si="212"/>
        <v xml:space="preserve"> </v>
      </c>
      <c r="I634" s="1069" t="str">
        <f t="shared" ca="1" si="212"/>
        <v xml:space="preserve"> </v>
      </c>
      <c r="J634" s="1069" t="str">
        <f t="shared" ca="1" si="212"/>
        <v xml:space="preserve"> </v>
      </c>
      <c r="K634" s="1069" t="str">
        <f t="shared" ca="1" si="212"/>
        <v xml:space="preserve"> </v>
      </c>
      <c r="L634" s="1069" t="str">
        <f t="shared" ca="1" si="212"/>
        <v xml:space="preserve"> </v>
      </c>
      <c r="M634" s="1069" t="str">
        <f t="shared" ca="1" si="212"/>
        <v xml:space="preserve"> </v>
      </c>
      <c r="N634" s="1069" t="str">
        <f t="shared" ca="1" si="212"/>
        <v xml:space="preserve"> </v>
      </c>
      <c r="O634" s="1069" t="str">
        <f t="shared" ca="1" si="212"/>
        <v xml:space="preserve"> </v>
      </c>
      <c r="P634" s="1069">
        <f t="shared" ca="1" si="212"/>
        <v>706</v>
      </c>
      <c r="Q634" s="1069" t="str">
        <f t="shared" ca="1" si="212"/>
        <v xml:space="preserve"> </v>
      </c>
      <c r="R634" s="1069" t="str">
        <f t="shared" ca="1" si="212"/>
        <v xml:space="preserve"> </v>
      </c>
      <c r="S634" s="1069" t="str">
        <f t="shared" ca="1" si="212"/>
        <v xml:space="preserve"> </v>
      </c>
      <c r="T634" s="1069" t="str">
        <f t="shared" ca="1" si="212"/>
        <v xml:space="preserve"> </v>
      </c>
      <c r="U634" s="1069" t="str">
        <f t="shared" ca="1" si="212"/>
        <v xml:space="preserve"> </v>
      </c>
      <c r="V634" s="1069" t="str">
        <f t="shared" ca="1" si="212"/>
        <v xml:space="preserve"> </v>
      </c>
      <c r="W634" s="1069" t="str">
        <f t="shared" ca="1" si="212"/>
        <v xml:space="preserve"> </v>
      </c>
      <c r="X634" s="1069" t="str">
        <f t="shared" ca="1" si="212"/>
        <v xml:space="preserve"> </v>
      </c>
      <c r="Y634" s="1069" t="str">
        <f t="shared" ca="1" si="212"/>
        <v xml:space="preserve"> </v>
      </c>
      <c r="Z634" s="1069" t="str">
        <f t="shared" ca="1" si="212"/>
        <v xml:space="preserve"> </v>
      </c>
      <c r="AA634" s="1069" t="str">
        <f t="shared" ca="1" si="212"/>
        <v xml:space="preserve"> </v>
      </c>
    </row>
    <row r="635" spans="1:27" s="1069" customFormat="1" ht="9.9499999999999993" customHeight="1">
      <c r="A635" s="1069">
        <v>111</v>
      </c>
      <c r="D635" s="1069" t="str">
        <f t="shared" ref="D635:AA635" ca="1" si="213">IF(ISNUMBER(D634),IF(D634+2&lt;E$726,IF(ISNA(MATCH("Y",INDIRECT("Skills!"&amp;$C$523&amp;D634+1&amp;":"&amp;$C$523&amp;E$726),0))," ",MATCH("Y",INDIRECT("Skills!"&amp;$C$523&amp;D634+1&amp;":"&amp;$C$523&amp;E$726),0)+D634)," ")," ")</f>
        <v xml:space="preserve"> </v>
      </c>
      <c r="E635" s="1069" t="str">
        <f t="shared" ca="1" si="213"/>
        <v xml:space="preserve"> </v>
      </c>
      <c r="F635" s="1069" t="str">
        <f t="shared" ca="1" si="213"/>
        <v xml:space="preserve"> </v>
      </c>
      <c r="G635" s="1069" t="str">
        <f t="shared" ca="1" si="213"/>
        <v xml:space="preserve"> </v>
      </c>
      <c r="H635" s="1069" t="str">
        <f t="shared" ca="1" si="213"/>
        <v xml:space="preserve"> </v>
      </c>
      <c r="I635" s="1069" t="str">
        <f t="shared" ca="1" si="213"/>
        <v xml:space="preserve"> </v>
      </c>
      <c r="J635" s="1069" t="str">
        <f t="shared" ca="1" si="213"/>
        <v xml:space="preserve"> </v>
      </c>
      <c r="K635" s="1069" t="str">
        <f t="shared" ca="1" si="213"/>
        <v xml:space="preserve"> </v>
      </c>
      <c r="L635" s="1069" t="str">
        <f t="shared" ca="1" si="213"/>
        <v xml:space="preserve"> </v>
      </c>
      <c r="M635" s="1069" t="str">
        <f t="shared" ca="1" si="213"/>
        <v xml:space="preserve"> </v>
      </c>
      <c r="N635" s="1069" t="str">
        <f t="shared" ca="1" si="213"/>
        <v xml:space="preserve"> </v>
      </c>
      <c r="O635" s="1069" t="str">
        <f t="shared" ca="1" si="213"/>
        <v xml:space="preserve"> </v>
      </c>
      <c r="P635" s="1069">
        <f t="shared" ca="1" si="213"/>
        <v>707</v>
      </c>
      <c r="Q635" s="1069" t="str">
        <f t="shared" ca="1" si="213"/>
        <v xml:space="preserve"> </v>
      </c>
      <c r="R635" s="1069" t="str">
        <f t="shared" ca="1" si="213"/>
        <v xml:space="preserve"> </v>
      </c>
      <c r="S635" s="1069" t="str">
        <f t="shared" ca="1" si="213"/>
        <v xml:space="preserve"> </v>
      </c>
      <c r="T635" s="1069" t="str">
        <f t="shared" ca="1" si="213"/>
        <v xml:space="preserve"> </v>
      </c>
      <c r="U635" s="1069" t="str">
        <f t="shared" ca="1" si="213"/>
        <v xml:space="preserve"> </v>
      </c>
      <c r="V635" s="1069" t="str">
        <f t="shared" ca="1" si="213"/>
        <v xml:space="preserve"> </v>
      </c>
      <c r="W635" s="1069" t="str">
        <f t="shared" ca="1" si="213"/>
        <v xml:space="preserve"> </v>
      </c>
      <c r="X635" s="1069" t="str">
        <f t="shared" ca="1" si="213"/>
        <v xml:space="preserve"> </v>
      </c>
      <c r="Y635" s="1069" t="str">
        <f t="shared" ca="1" si="213"/>
        <v xml:space="preserve"> </v>
      </c>
      <c r="Z635" s="1069" t="str">
        <f t="shared" ca="1" si="213"/>
        <v xml:space="preserve"> </v>
      </c>
      <c r="AA635" s="1069" t="str">
        <f t="shared" ca="1" si="213"/>
        <v xml:space="preserve"> </v>
      </c>
    </row>
    <row r="636" spans="1:27" s="1069" customFormat="1" ht="9.9499999999999993" customHeight="1">
      <c r="A636" s="1069">
        <v>112</v>
      </c>
      <c r="D636" s="1069" t="str">
        <f t="shared" ref="D636:AA636" ca="1" si="214">IF(ISNUMBER(D635),IF(D635+2&lt;E$726,IF(ISNA(MATCH("Y",INDIRECT("Skills!"&amp;$C$523&amp;D635+1&amp;":"&amp;$C$523&amp;E$726),0))," ",MATCH("Y",INDIRECT("Skills!"&amp;$C$523&amp;D635+1&amp;":"&amp;$C$523&amp;E$726),0)+D635)," ")," ")</f>
        <v xml:space="preserve"> </v>
      </c>
      <c r="E636" s="1069" t="str">
        <f t="shared" ca="1" si="214"/>
        <v xml:space="preserve"> </v>
      </c>
      <c r="F636" s="1069" t="str">
        <f t="shared" ca="1" si="214"/>
        <v xml:space="preserve"> </v>
      </c>
      <c r="G636" s="1069" t="str">
        <f t="shared" ca="1" si="214"/>
        <v xml:space="preserve"> </v>
      </c>
      <c r="H636" s="1069" t="str">
        <f t="shared" ca="1" si="214"/>
        <v xml:space="preserve"> </v>
      </c>
      <c r="I636" s="1069" t="str">
        <f t="shared" ca="1" si="214"/>
        <v xml:space="preserve"> </v>
      </c>
      <c r="J636" s="1069" t="str">
        <f t="shared" ca="1" si="214"/>
        <v xml:space="preserve"> </v>
      </c>
      <c r="K636" s="1069" t="str">
        <f t="shared" ca="1" si="214"/>
        <v xml:space="preserve"> </v>
      </c>
      <c r="L636" s="1069" t="str">
        <f t="shared" ca="1" si="214"/>
        <v xml:space="preserve"> </v>
      </c>
      <c r="M636" s="1069" t="str">
        <f t="shared" ca="1" si="214"/>
        <v xml:space="preserve"> </v>
      </c>
      <c r="N636" s="1069" t="str">
        <f t="shared" ca="1" si="214"/>
        <v xml:space="preserve"> </v>
      </c>
      <c r="O636" s="1069" t="str">
        <f t="shared" ca="1" si="214"/>
        <v xml:space="preserve"> </v>
      </c>
      <c r="P636" s="1069">
        <f t="shared" ca="1" si="214"/>
        <v>708</v>
      </c>
      <c r="Q636" s="1069" t="str">
        <f t="shared" ca="1" si="214"/>
        <v xml:space="preserve"> </v>
      </c>
      <c r="R636" s="1069" t="str">
        <f t="shared" ca="1" si="214"/>
        <v xml:space="preserve"> </v>
      </c>
      <c r="S636" s="1069" t="str">
        <f t="shared" ca="1" si="214"/>
        <v xml:space="preserve"> </v>
      </c>
      <c r="T636" s="1069" t="str">
        <f t="shared" ca="1" si="214"/>
        <v xml:space="preserve"> </v>
      </c>
      <c r="U636" s="1069" t="str">
        <f t="shared" ca="1" si="214"/>
        <v xml:space="preserve"> </v>
      </c>
      <c r="V636" s="1069" t="str">
        <f t="shared" ca="1" si="214"/>
        <v xml:space="preserve"> </v>
      </c>
      <c r="W636" s="1069" t="str">
        <f t="shared" ca="1" si="214"/>
        <v xml:space="preserve"> </v>
      </c>
      <c r="X636" s="1069" t="str">
        <f t="shared" ca="1" si="214"/>
        <v xml:space="preserve"> </v>
      </c>
      <c r="Y636" s="1069" t="str">
        <f t="shared" ca="1" si="214"/>
        <v xml:space="preserve"> </v>
      </c>
      <c r="Z636" s="1069" t="str">
        <f t="shared" ca="1" si="214"/>
        <v xml:space="preserve"> </v>
      </c>
      <c r="AA636" s="1069" t="str">
        <f t="shared" ca="1" si="214"/>
        <v xml:space="preserve"> </v>
      </c>
    </row>
    <row r="637" spans="1:27" s="1069" customFormat="1" ht="9.9499999999999993" customHeight="1">
      <c r="A637" s="1069">
        <v>113</v>
      </c>
      <c r="D637" s="1069" t="str">
        <f t="shared" ref="D637:AA637" ca="1" si="215">IF(ISNUMBER(D636),IF(D636+2&lt;E$726,IF(ISNA(MATCH("Y",INDIRECT("Skills!"&amp;$C$523&amp;D636+1&amp;":"&amp;$C$523&amp;E$726),0))," ",MATCH("Y",INDIRECT("Skills!"&amp;$C$523&amp;D636+1&amp;":"&amp;$C$523&amp;E$726),0)+D636)," ")," ")</f>
        <v xml:space="preserve"> </v>
      </c>
      <c r="E637" s="1069" t="str">
        <f t="shared" ca="1" si="215"/>
        <v xml:space="preserve"> </v>
      </c>
      <c r="F637" s="1069" t="str">
        <f t="shared" ca="1" si="215"/>
        <v xml:space="preserve"> </v>
      </c>
      <c r="G637" s="1069" t="str">
        <f t="shared" ca="1" si="215"/>
        <v xml:space="preserve"> </v>
      </c>
      <c r="H637" s="1069" t="str">
        <f t="shared" ca="1" si="215"/>
        <v xml:space="preserve"> </v>
      </c>
      <c r="I637" s="1069" t="str">
        <f t="shared" ca="1" si="215"/>
        <v xml:space="preserve"> </v>
      </c>
      <c r="J637" s="1069" t="str">
        <f t="shared" ca="1" si="215"/>
        <v xml:space="preserve"> </v>
      </c>
      <c r="K637" s="1069" t="str">
        <f t="shared" ca="1" si="215"/>
        <v xml:space="preserve"> </v>
      </c>
      <c r="L637" s="1069" t="str">
        <f t="shared" ca="1" si="215"/>
        <v xml:space="preserve"> </v>
      </c>
      <c r="M637" s="1069" t="str">
        <f t="shared" ca="1" si="215"/>
        <v xml:space="preserve"> </v>
      </c>
      <c r="N637" s="1069" t="str">
        <f t="shared" ca="1" si="215"/>
        <v xml:space="preserve"> </v>
      </c>
      <c r="O637" s="1069" t="str">
        <f t="shared" ca="1" si="215"/>
        <v xml:space="preserve"> </v>
      </c>
      <c r="P637" s="1069">
        <f t="shared" ca="1" si="215"/>
        <v>709</v>
      </c>
      <c r="Q637" s="1069" t="str">
        <f t="shared" ca="1" si="215"/>
        <v xml:space="preserve"> </v>
      </c>
      <c r="R637" s="1069" t="str">
        <f t="shared" ca="1" si="215"/>
        <v xml:space="preserve"> </v>
      </c>
      <c r="S637" s="1069" t="str">
        <f t="shared" ca="1" si="215"/>
        <v xml:space="preserve"> </v>
      </c>
      <c r="T637" s="1069" t="str">
        <f t="shared" ca="1" si="215"/>
        <v xml:space="preserve"> </v>
      </c>
      <c r="U637" s="1069" t="str">
        <f t="shared" ca="1" si="215"/>
        <v xml:space="preserve"> </v>
      </c>
      <c r="V637" s="1069" t="str">
        <f t="shared" ca="1" si="215"/>
        <v xml:space="preserve"> </v>
      </c>
      <c r="W637" s="1069" t="str">
        <f t="shared" ca="1" si="215"/>
        <v xml:space="preserve"> </v>
      </c>
      <c r="X637" s="1069" t="str">
        <f t="shared" ca="1" si="215"/>
        <v xml:space="preserve"> </v>
      </c>
      <c r="Y637" s="1069" t="str">
        <f t="shared" ca="1" si="215"/>
        <v xml:space="preserve"> </v>
      </c>
      <c r="Z637" s="1069" t="str">
        <f t="shared" ca="1" si="215"/>
        <v xml:space="preserve"> </v>
      </c>
      <c r="AA637" s="1069" t="str">
        <f t="shared" ca="1" si="215"/>
        <v xml:space="preserve"> </v>
      </c>
    </row>
    <row r="638" spans="1:27" s="1069" customFormat="1" ht="9.9499999999999993" customHeight="1">
      <c r="A638" s="1069">
        <v>114</v>
      </c>
      <c r="D638" s="1069" t="str">
        <f t="shared" ref="D638:AA638" ca="1" si="216">IF(ISNUMBER(D637),IF(D637+2&lt;E$726,IF(ISNA(MATCH("Y",INDIRECT("Skills!"&amp;$C$523&amp;D637+1&amp;":"&amp;$C$523&amp;E$726),0))," ",MATCH("Y",INDIRECT("Skills!"&amp;$C$523&amp;D637+1&amp;":"&amp;$C$523&amp;E$726),0)+D637)," ")," ")</f>
        <v xml:space="preserve"> </v>
      </c>
      <c r="E638" s="1069" t="str">
        <f t="shared" ca="1" si="216"/>
        <v xml:space="preserve"> </v>
      </c>
      <c r="F638" s="1069" t="str">
        <f t="shared" ca="1" si="216"/>
        <v xml:space="preserve"> </v>
      </c>
      <c r="G638" s="1069" t="str">
        <f t="shared" ca="1" si="216"/>
        <v xml:space="preserve"> </v>
      </c>
      <c r="H638" s="1069" t="str">
        <f t="shared" ca="1" si="216"/>
        <v xml:space="preserve"> </v>
      </c>
      <c r="I638" s="1069" t="str">
        <f t="shared" ca="1" si="216"/>
        <v xml:space="preserve"> </v>
      </c>
      <c r="J638" s="1069" t="str">
        <f t="shared" ca="1" si="216"/>
        <v xml:space="preserve"> </v>
      </c>
      <c r="K638" s="1069" t="str">
        <f t="shared" ca="1" si="216"/>
        <v xml:space="preserve"> </v>
      </c>
      <c r="L638" s="1069" t="str">
        <f t="shared" ca="1" si="216"/>
        <v xml:space="preserve"> </v>
      </c>
      <c r="M638" s="1069" t="str">
        <f t="shared" ca="1" si="216"/>
        <v xml:space="preserve"> </v>
      </c>
      <c r="N638" s="1069" t="str">
        <f t="shared" ca="1" si="216"/>
        <v xml:space="preserve"> </v>
      </c>
      <c r="O638" s="1069" t="str">
        <f t="shared" ca="1" si="216"/>
        <v xml:space="preserve"> </v>
      </c>
      <c r="P638" s="1069">
        <f t="shared" ca="1" si="216"/>
        <v>710</v>
      </c>
      <c r="Q638" s="1069" t="str">
        <f t="shared" ca="1" si="216"/>
        <v xml:space="preserve"> </v>
      </c>
      <c r="R638" s="1069" t="str">
        <f t="shared" ca="1" si="216"/>
        <v xml:space="preserve"> </v>
      </c>
      <c r="S638" s="1069" t="str">
        <f t="shared" ca="1" si="216"/>
        <v xml:space="preserve"> </v>
      </c>
      <c r="T638" s="1069" t="str">
        <f t="shared" ca="1" si="216"/>
        <v xml:space="preserve"> </v>
      </c>
      <c r="U638" s="1069" t="str">
        <f t="shared" ca="1" si="216"/>
        <v xml:space="preserve"> </v>
      </c>
      <c r="V638" s="1069" t="str">
        <f t="shared" ca="1" si="216"/>
        <v xml:space="preserve"> </v>
      </c>
      <c r="W638" s="1069" t="str">
        <f t="shared" ca="1" si="216"/>
        <v xml:space="preserve"> </v>
      </c>
      <c r="X638" s="1069" t="str">
        <f t="shared" ca="1" si="216"/>
        <v xml:space="preserve"> </v>
      </c>
      <c r="Y638" s="1069" t="str">
        <f t="shared" ca="1" si="216"/>
        <v xml:space="preserve"> </v>
      </c>
      <c r="Z638" s="1069" t="str">
        <f t="shared" ca="1" si="216"/>
        <v xml:space="preserve"> </v>
      </c>
      <c r="AA638" s="1069" t="str">
        <f t="shared" ca="1" si="216"/>
        <v xml:space="preserve"> </v>
      </c>
    </row>
    <row r="639" spans="1:27" s="1069" customFormat="1" ht="9.9499999999999993" customHeight="1">
      <c r="A639" s="1069">
        <v>115</v>
      </c>
      <c r="D639" s="1069" t="str">
        <f t="shared" ref="D639:AA639" ca="1" si="217">IF(ISNUMBER(D638),IF(D638+2&lt;E$726,IF(ISNA(MATCH("Y",INDIRECT("Skills!"&amp;$C$523&amp;D638+1&amp;":"&amp;$C$523&amp;E$726),0))," ",MATCH("Y",INDIRECT("Skills!"&amp;$C$523&amp;D638+1&amp;":"&amp;$C$523&amp;E$726),0)+D638)," ")," ")</f>
        <v xml:space="preserve"> </v>
      </c>
      <c r="E639" s="1069" t="str">
        <f t="shared" ca="1" si="217"/>
        <v xml:space="preserve"> </v>
      </c>
      <c r="F639" s="1069" t="str">
        <f t="shared" ca="1" si="217"/>
        <v xml:space="preserve"> </v>
      </c>
      <c r="G639" s="1069" t="str">
        <f t="shared" ca="1" si="217"/>
        <v xml:space="preserve"> </v>
      </c>
      <c r="H639" s="1069" t="str">
        <f t="shared" ca="1" si="217"/>
        <v xml:space="preserve"> </v>
      </c>
      <c r="I639" s="1069" t="str">
        <f t="shared" ca="1" si="217"/>
        <v xml:space="preserve"> </v>
      </c>
      <c r="J639" s="1069" t="str">
        <f t="shared" ca="1" si="217"/>
        <v xml:space="preserve"> </v>
      </c>
      <c r="K639" s="1069" t="str">
        <f t="shared" ca="1" si="217"/>
        <v xml:space="preserve"> </v>
      </c>
      <c r="L639" s="1069" t="str">
        <f t="shared" ca="1" si="217"/>
        <v xml:space="preserve"> </v>
      </c>
      <c r="M639" s="1069" t="str">
        <f t="shared" ca="1" si="217"/>
        <v xml:space="preserve"> </v>
      </c>
      <c r="N639" s="1069" t="str">
        <f t="shared" ca="1" si="217"/>
        <v xml:space="preserve"> </v>
      </c>
      <c r="O639" s="1069" t="str">
        <f t="shared" ca="1" si="217"/>
        <v xml:space="preserve"> </v>
      </c>
      <c r="P639" s="1069">
        <f t="shared" ca="1" si="217"/>
        <v>711</v>
      </c>
      <c r="Q639" s="1069" t="str">
        <f t="shared" ca="1" si="217"/>
        <v xml:space="preserve"> </v>
      </c>
      <c r="R639" s="1069" t="str">
        <f t="shared" ca="1" si="217"/>
        <v xml:space="preserve"> </v>
      </c>
      <c r="S639" s="1069" t="str">
        <f t="shared" ca="1" si="217"/>
        <v xml:space="preserve"> </v>
      </c>
      <c r="T639" s="1069" t="str">
        <f t="shared" ca="1" si="217"/>
        <v xml:space="preserve"> </v>
      </c>
      <c r="U639" s="1069" t="str">
        <f t="shared" ca="1" si="217"/>
        <v xml:space="preserve"> </v>
      </c>
      <c r="V639" s="1069" t="str">
        <f t="shared" ca="1" si="217"/>
        <v xml:space="preserve"> </v>
      </c>
      <c r="W639" s="1069" t="str">
        <f t="shared" ca="1" si="217"/>
        <v xml:space="preserve"> </v>
      </c>
      <c r="X639" s="1069" t="str">
        <f t="shared" ca="1" si="217"/>
        <v xml:space="preserve"> </v>
      </c>
      <c r="Y639" s="1069" t="str">
        <f t="shared" ca="1" si="217"/>
        <v xml:space="preserve"> </v>
      </c>
      <c r="Z639" s="1069" t="str">
        <f t="shared" ca="1" si="217"/>
        <v xml:space="preserve"> </v>
      </c>
      <c r="AA639" s="1069" t="str">
        <f t="shared" ca="1" si="217"/>
        <v xml:space="preserve"> </v>
      </c>
    </row>
    <row r="640" spans="1:27" s="1069" customFormat="1" ht="9.9499999999999993" customHeight="1">
      <c r="A640" s="1069">
        <v>116</v>
      </c>
      <c r="D640" s="1069" t="str">
        <f t="shared" ref="D640:AA640" ca="1" si="218">IF(ISNUMBER(D639),IF(D639+2&lt;E$726,IF(ISNA(MATCH("Y",INDIRECT("Skills!"&amp;$C$523&amp;D639+1&amp;":"&amp;$C$523&amp;E$726),0))," ",MATCH("Y",INDIRECT("Skills!"&amp;$C$523&amp;D639+1&amp;":"&amp;$C$523&amp;E$726),0)+D639)," ")," ")</f>
        <v xml:space="preserve"> </v>
      </c>
      <c r="E640" s="1069" t="str">
        <f t="shared" ca="1" si="218"/>
        <v xml:space="preserve"> </v>
      </c>
      <c r="F640" s="1069" t="str">
        <f t="shared" ca="1" si="218"/>
        <v xml:space="preserve"> </v>
      </c>
      <c r="G640" s="1069" t="str">
        <f t="shared" ca="1" si="218"/>
        <v xml:space="preserve"> </v>
      </c>
      <c r="H640" s="1069" t="str">
        <f t="shared" ca="1" si="218"/>
        <v xml:space="preserve"> </v>
      </c>
      <c r="I640" s="1069" t="str">
        <f t="shared" ca="1" si="218"/>
        <v xml:space="preserve"> </v>
      </c>
      <c r="J640" s="1069" t="str">
        <f t="shared" ca="1" si="218"/>
        <v xml:space="preserve"> </v>
      </c>
      <c r="K640" s="1069" t="str">
        <f t="shared" ca="1" si="218"/>
        <v xml:space="preserve"> </v>
      </c>
      <c r="L640" s="1069" t="str">
        <f t="shared" ca="1" si="218"/>
        <v xml:space="preserve"> </v>
      </c>
      <c r="M640" s="1069" t="str">
        <f t="shared" ca="1" si="218"/>
        <v xml:space="preserve"> </v>
      </c>
      <c r="N640" s="1069" t="str">
        <f t="shared" ca="1" si="218"/>
        <v xml:space="preserve"> </v>
      </c>
      <c r="O640" s="1069" t="str">
        <f t="shared" ca="1" si="218"/>
        <v xml:space="preserve"> </v>
      </c>
      <c r="P640" s="1069">
        <f t="shared" ca="1" si="218"/>
        <v>713</v>
      </c>
      <c r="Q640" s="1069" t="str">
        <f t="shared" ca="1" si="218"/>
        <v xml:space="preserve"> </v>
      </c>
      <c r="R640" s="1069" t="str">
        <f t="shared" ca="1" si="218"/>
        <v xml:space="preserve"> </v>
      </c>
      <c r="S640" s="1069" t="str">
        <f t="shared" ca="1" si="218"/>
        <v xml:space="preserve"> </v>
      </c>
      <c r="T640" s="1069" t="str">
        <f t="shared" ca="1" si="218"/>
        <v xml:space="preserve"> </v>
      </c>
      <c r="U640" s="1069" t="str">
        <f t="shared" ca="1" si="218"/>
        <v xml:space="preserve"> </v>
      </c>
      <c r="V640" s="1069" t="str">
        <f t="shared" ca="1" si="218"/>
        <v xml:space="preserve"> </v>
      </c>
      <c r="W640" s="1069" t="str">
        <f t="shared" ca="1" si="218"/>
        <v xml:space="preserve"> </v>
      </c>
      <c r="X640" s="1069" t="str">
        <f t="shared" ca="1" si="218"/>
        <v xml:space="preserve"> </v>
      </c>
      <c r="Y640" s="1069" t="str">
        <f t="shared" ca="1" si="218"/>
        <v xml:space="preserve"> </v>
      </c>
      <c r="Z640" s="1069" t="str">
        <f t="shared" ca="1" si="218"/>
        <v xml:space="preserve"> </v>
      </c>
      <c r="AA640" s="1069" t="str">
        <f t="shared" ca="1" si="218"/>
        <v xml:space="preserve"> </v>
      </c>
    </row>
    <row r="641" spans="1:27" s="1069" customFormat="1" ht="9.9499999999999993" customHeight="1">
      <c r="A641" s="1069">
        <v>117</v>
      </c>
      <c r="D641" s="1069" t="str">
        <f t="shared" ref="D641:AA641" ca="1" si="219">IF(ISNUMBER(D640),IF(D640+2&lt;E$726,IF(ISNA(MATCH("Y",INDIRECT("Skills!"&amp;$C$523&amp;D640+1&amp;":"&amp;$C$523&amp;E$726),0))," ",MATCH("Y",INDIRECT("Skills!"&amp;$C$523&amp;D640+1&amp;":"&amp;$C$523&amp;E$726),0)+D640)," ")," ")</f>
        <v xml:space="preserve"> </v>
      </c>
      <c r="E641" s="1069" t="str">
        <f t="shared" ca="1" si="219"/>
        <v xml:space="preserve"> </v>
      </c>
      <c r="F641" s="1069" t="str">
        <f t="shared" ca="1" si="219"/>
        <v xml:space="preserve"> </v>
      </c>
      <c r="G641" s="1069" t="str">
        <f t="shared" ca="1" si="219"/>
        <v xml:space="preserve"> </v>
      </c>
      <c r="H641" s="1069" t="str">
        <f t="shared" ca="1" si="219"/>
        <v xml:space="preserve"> </v>
      </c>
      <c r="I641" s="1069" t="str">
        <f t="shared" ca="1" si="219"/>
        <v xml:space="preserve"> </v>
      </c>
      <c r="J641" s="1069" t="str">
        <f t="shared" ca="1" si="219"/>
        <v xml:space="preserve"> </v>
      </c>
      <c r="K641" s="1069" t="str">
        <f t="shared" ca="1" si="219"/>
        <v xml:space="preserve"> </v>
      </c>
      <c r="L641" s="1069" t="str">
        <f t="shared" ca="1" si="219"/>
        <v xml:space="preserve"> </v>
      </c>
      <c r="M641" s="1069" t="str">
        <f t="shared" ca="1" si="219"/>
        <v xml:space="preserve"> </v>
      </c>
      <c r="N641" s="1069" t="str">
        <f t="shared" ca="1" si="219"/>
        <v xml:space="preserve"> </v>
      </c>
      <c r="O641" s="1069" t="str">
        <f t="shared" ca="1" si="219"/>
        <v xml:space="preserve"> </v>
      </c>
      <c r="P641" s="1069">
        <f t="shared" ca="1" si="219"/>
        <v>714</v>
      </c>
      <c r="Q641" s="1069" t="str">
        <f t="shared" ca="1" si="219"/>
        <v xml:space="preserve"> </v>
      </c>
      <c r="R641" s="1069" t="str">
        <f t="shared" ca="1" si="219"/>
        <v xml:space="preserve"> </v>
      </c>
      <c r="S641" s="1069" t="str">
        <f t="shared" ca="1" si="219"/>
        <v xml:space="preserve"> </v>
      </c>
      <c r="T641" s="1069" t="str">
        <f t="shared" ca="1" si="219"/>
        <v xml:space="preserve"> </v>
      </c>
      <c r="U641" s="1069" t="str">
        <f t="shared" ca="1" si="219"/>
        <v xml:space="preserve"> </v>
      </c>
      <c r="V641" s="1069" t="str">
        <f t="shared" ca="1" si="219"/>
        <v xml:space="preserve"> </v>
      </c>
      <c r="W641" s="1069" t="str">
        <f t="shared" ca="1" si="219"/>
        <v xml:space="preserve"> </v>
      </c>
      <c r="X641" s="1069" t="str">
        <f t="shared" ca="1" si="219"/>
        <v xml:space="preserve"> </v>
      </c>
      <c r="Y641" s="1069" t="str">
        <f t="shared" ca="1" si="219"/>
        <v xml:space="preserve"> </v>
      </c>
      <c r="Z641" s="1069" t="str">
        <f t="shared" ca="1" si="219"/>
        <v xml:space="preserve"> </v>
      </c>
      <c r="AA641" s="1069" t="str">
        <f t="shared" ca="1" si="219"/>
        <v xml:space="preserve"> </v>
      </c>
    </row>
    <row r="642" spans="1:27" s="1069" customFormat="1" ht="9.9499999999999993" customHeight="1">
      <c r="A642" s="1069">
        <v>118</v>
      </c>
      <c r="D642" s="1069" t="str">
        <f t="shared" ref="D642:AA642" ca="1" si="220">IF(ISNUMBER(D641),IF(D641+2&lt;E$726,IF(ISNA(MATCH("Y",INDIRECT("Skills!"&amp;$C$523&amp;D641+1&amp;":"&amp;$C$523&amp;E$726),0))," ",MATCH("Y",INDIRECT("Skills!"&amp;$C$523&amp;D641+1&amp;":"&amp;$C$523&amp;E$726),0)+D641)," ")," ")</f>
        <v xml:space="preserve"> </v>
      </c>
      <c r="E642" s="1069" t="str">
        <f t="shared" ca="1" si="220"/>
        <v xml:space="preserve"> </v>
      </c>
      <c r="F642" s="1069" t="str">
        <f t="shared" ca="1" si="220"/>
        <v xml:space="preserve"> </v>
      </c>
      <c r="G642" s="1069" t="str">
        <f t="shared" ca="1" si="220"/>
        <v xml:space="preserve"> </v>
      </c>
      <c r="H642" s="1069" t="str">
        <f t="shared" ca="1" si="220"/>
        <v xml:space="preserve"> </v>
      </c>
      <c r="I642" s="1069" t="str">
        <f t="shared" ca="1" si="220"/>
        <v xml:space="preserve"> </v>
      </c>
      <c r="J642" s="1069" t="str">
        <f t="shared" ca="1" si="220"/>
        <v xml:space="preserve"> </v>
      </c>
      <c r="K642" s="1069" t="str">
        <f t="shared" ca="1" si="220"/>
        <v xml:space="preserve"> </v>
      </c>
      <c r="L642" s="1069" t="str">
        <f t="shared" ca="1" si="220"/>
        <v xml:space="preserve"> </v>
      </c>
      <c r="M642" s="1069" t="str">
        <f t="shared" ca="1" si="220"/>
        <v xml:space="preserve"> </v>
      </c>
      <c r="N642" s="1069" t="str">
        <f t="shared" ca="1" si="220"/>
        <v xml:space="preserve"> </v>
      </c>
      <c r="O642" s="1069" t="str">
        <f t="shared" ca="1" si="220"/>
        <v xml:space="preserve"> </v>
      </c>
      <c r="P642" s="1069">
        <f t="shared" ca="1" si="220"/>
        <v>715</v>
      </c>
      <c r="Q642" s="1069" t="str">
        <f t="shared" ca="1" si="220"/>
        <v xml:space="preserve"> </v>
      </c>
      <c r="R642" s="1069" t="str">
        <f t="shared" ca="1" si="220"/>
        <v xml:space="preserve"> </v>
      </c>
      <c r="S642" s="1069" t="str">
        <f t="shared" ca="1" si="220"/>
        <v xml:space="preserve"> </v>
      </c>
      <c r="T642" s="1069" t="str">
        <f t="shared" ca="1" si="220"/>
        <v xml:space="preserve"> </v>
      </c>
      <c r="U642" s="1069" t="str">
        <f t="shared" ca="1" si="220"/>
        <v xml:space="preserve"> </v>
      </c>
      <c r="V642" s="1069" t="str">
        <f t="shared" ca="1" si="220"/>
        <v xml:space="preserve"> </v>
      </c>
      <c r="W642" s="1069" t="str">
        <f t="shared" ca="1" si="220"/>
        <v xml:space="preserve"> </v>
      </c>
      <c r="X642" s="1069" t="str">
        <f t="shared" ca="1" si="220"/>
        <v xml:space="preserve"> </v>
      </c>
      <c r="Y642" s="1069" t="str">
        <f t="shared" ca="1" si="220"/>
        <v xml:space="preserve"> </v>
      </c>
      <c r="Z642" s="1069" t="str">
        <f t="shared" ca="1" si="220"/>
        <v xml:space="preserve"> </v>
      </c>
      <c r="AA642" s="1069" t="str">
        <f t="shared" ca="1" si="220"/>
        <v xml:space="preserve"> </v>
      </c>
    </row>
    <row r="643" spans="1:27" s="1069" customFormat="1" ht="9.9499999999999993" customHeight="1">
      <c r="A643" s="1069">
        <v>119</v>
      </c>
      <c r="D643" s="1069" t="str">
        <f t="shared" ref="D643:AA643" ca="1" si="221">IF(ISNUMBER(D642),IF(D642+2&lt;E$726,IF(ISNA(MATCH("Y",INDIRECT("Skills!"&amp;$C$523&amp;D642+1&amp;":"&amp;$C$523&amp;E$726),0))," ",MATCH("Y",INDIRECT("Skills!"&amp;$C$523&amp;D642+1&amp;":"&amp;$C$523&amp;E$726),0)+D642)," ")," ")</f>
        <v xml:space="preserve"> </v>
      </c>
      <c r="E643" s="1069" t="str">
        <f t="shared" ca="1" si="221"/>
        <v xml:space="preserve"> </v>
      </c>
      <c r="F643" s="1069" t="str">
        <f t="shared" ca="1" si="221"/>
        <v xml:space="preserve"> </v>
      </c>
      <c r="G643" s="1069" t="str">
        <f t="shared" ca="1" si="221"/>
        <v xml:space="preserve"> </v>
      </c>
      <c r="H643" s="1069" t="str">
        <f t="shared" ca="1" si="221"/>
        <v xml:space="preserve"> </v>
      </c>
      <c r="I643" s="1069" t="str">
        <f t="shared" ca="1" si="221"/>
        <v xml:space="preserve"> </v>
      </c>
      <c r="J643" s="1069" t="str">
        <f t="shared" ca="1" si="221"/>
        <v xml:space="preserve"> </v>
      </c>
      <c r="K643" s="1069" t="str">
        <f t="shared" ca="1" si="221"/>
        <v xml:space="preserve"> </v>
      </c>
      <c r="L643" s="1069" t="str">
        <f t="shared" ca="1" si="221"/>
        <v xml:space="preserve"> </v>
      </c>
      <c r="M643" s="1069" t="str">
        <f t="shared" ca="1" si="221"/>
        <v xml:space="preserve"> </v>
      </c>
      <c r="N643" s="1069" t="str">
        <f t="shared" ca="1" si="221"/>
        <v xml:space="preserve"> </v>
      </c>
      <c r="O643" s="1069" t="str">
        <f t="shared" ca="1" si="221"/>
        <v xml:space="preserve"> </v>
      </c>
      <c r="P643" s="1069">
        <f t="shared" ca="1" si="221"/>
        <v>716</v>
      </c>
      <c r="Q643" s="1069" t="str">
        <f t="shared" ca="1" si="221"/>
        <v xml:space="preserve"> </v>
      </c>
      <c r="R643" s="1069" t="str">
        <f t="shared" ca="1" si="221"/>
        <v xml:space="preserve"> </v>
      </c>
      <c r="S643" s="1069" t="str">
        <f t="shared" ca="1" si="221"/>
        <v xml:space="preserve"> </v>
      </c>
      <c r="T643" s="1069" t="str">
        <f t="shared" ca="1" si="221"/>
        <v xml:space="preserve"> </v>
      </c>
      <c r="U643" s="1069" t="str">
        <f t="shared" ca="1" si="221"/>
        <v xml:space="preserve"> </v>
      </c>
      <c r="V643" s="1069" t="str">
        <f t="shared" ca="1" si="221"/>
        <v xml:space="preserve"> </v>
      </c>
      <c r="W643" s="1069" t="str">
        <f t="shared" ca="1" si="221"/>
        <v xml:space="preserve"> </v>
      </c>
      <c r="X643" s="1069" t="str">
        <f t="shared" ca="1" si="221"/>
        <v xml:space="preserve"> </v>
      </c>
      <c r="Y643" s="1069" t="str">
        <f t="shared" ca="1" si="221"/>
        <v xml:space="preserve"> </v>
      </c>
      <c r="Z643" s="1069" t="str">
        <f t="shared" ca="1" si="221"/>
        <v xml:space="preserve"> </v>
      </c>
      <c r="AA643" s="1069" t="str">
        <f t="shared" ca="1" si="221"/>
        <v xml:space="preserve"> </v>
      </c>
    </row>
    <row r="644" spans="1:27" s="1069" customFormat="1" ht="9.9499999999999993" customHeight="1">
      <c r="A644" s="1069">
        <v>120</v>
      </c>
      <c r="D644" s="1069" t="str">
        <f t="shared" ref="D644:AA644" ca="1" si="222">IF(ISNUMBER(D643),IF(D643+2&lt;E$726,IF(ISNA(MATCH("Y",INDIRECT("Skills!"&amp;$C$523&amp;D643+1&amp;":"&amp;$C$523&amp;E$726),0))," ",MATCH("Y",INDIRECT("Skills!"&amp;$C$523&amp;D643+1&amp;":"&amp;$C$523&amp;E$726),0)+D643)," ")," ")</f>
        <v xml:space="preserve"> </v>
      </c>
      <c r="E644" s="1069" t="str">
        <f t="shared" ca="1" si="222"/>
        <v xml:space="preserve"> </v>
      </c>
      <c r="F644" s="1069" t="str">
        <f t="shared" ca="1" si="222"/>
        <v xml:space="preserve"> </v>
      </c>
      <c r="G644" s="1069" t="str">
        <f t="shared" ca="1" si="222"/>
        <v xml:space="preserve"> </v>
      </c>
      <c r="H644" s="1069" t="str">
        <f t="shared" ca="1" si="222"/>
        <v xml:space="preserve"> </v>
      </c>
      <c r="I644" s="1069" t="str">
        <f t="shared" ca="1" si="222"/>
        <v xml:space="preserve"> </v>
      </c>
      <c r="J644" s="1069" t="str">
        <f t="shared" ca="1" si="222"/>
        <v xml:space="preserve"> </v>
      </c>
      <c r="K644" s="1069" t="str">
        <f t="shared" ca="1" si="222"/>
        <v xml:space="preserve"> </v>
      </c>
      <c r="L644" s="1069" t="str">
        <f t="shared" ca="1" si="222"/>
        <v xml:space="preserve"> </v>
      </c>
      <c r="M644" s="1069" t="str">
        <f t="shared" ca="1" si="222"/>
        <v xml:space="preserve"> </v>
      </c>
      <c r="N644" s="1069" t="str">
        <f t="shared" ca="1" si="222"/>
        <v xml:space="preserve"> </v>
      </c>
      <c r="O644" s="1069" t="str">
        <f t="shared" ca="1" si="222"/>
        <v xml:space="preserve"> </v>
      </c>
      <c r="P644" s="1069">
        <f t="shared" ca="1" si="222"/>
        <v>717</v>
      </c>
      <c r="Q644" s="1069" t="str">
        <f t="shared" ca="1" si="222"/>
        <v xml:space="preserve"> </v>
      </c>
      <c r="R644" s="1069" t="str">
        <f t="shared" ca="1" si="222"/>
        <v xml:space="preserve"> </v>
      </c>
      <c r="S644" s="1069" t="str">
        <f t="shared" ca="1" si="222"/>
        <v xml:space="preserve"> </v>
      </c>
      <c r="T644" s="1069" t="str">
        <f t="shared" ca="1" si="222"/>
        <v xml:space="preserve"> </v>
      </c>
      <c r="U644" s="1069" t="str">
        <f t="shared" ca="1" si="222"/>
        <v xml:space="preserve"> </v>
      </c>
      <c r="V644" s="1069" t="str">
        <f t="shared" ca="1" si="222"/>
        <v xml:space="preserve"> </v>
      </c>
      <c r="W644" s="1069" t="str">
        <f t="shared" ca="1" si="222"/>
        <v xml:space="preserve"> </v>
      </c>
      <c r="X644" s="1069" t="str">
        <f t="shared" ca="1" si="222"/>
        <v xml:space="preserve"> </v>
      </c>
      <c r="Y644" s="1069" t="str">
        <f t="shared" ca="1" si="222"/>
        <v xml:space="preserve"> </v>
      </c>
      <c r="Z644" s="1069" t="str">
        <f t="shared" ca="1" si="222"/>
        <v xml:space="preserve"> </v>
      </c>
      <c r="AA644" s="1069" t="str">
        <f t="shared" ca="1" si="222"/>
        <v xml:space="preserve"> </v>
      </c>
    </row>
    <row r="645" spans="1:27" s="1069" customFormat="1" ht="9.9499999999999993" customHeight="1">
      <c r="A645" s="1069">
        <v>121</v>
      </c>
      <c r="D645" s="1069" t="str">
        <f t="shared" ref="D645:AA645" ca="1" si="223">IF(ISNUMBER(D644),IF(D644+2&lt;E$726,IF(ISNA(MATCH("Y",INDIRECT("Skills!"&amp;$C$523&amp;D644+1&amp;":"&amp;$C$523&amp;E$726),0))," ",MATCH("Y",INDIRECT("Skills!"&amp;$C$523&amp;D644+1&amp;":"&amp;$C$523&amp;E$726),0)+D644)," ")," ")</f>
        <v xml:space="preserve"> </v>
      </c>
      <c r="E645" s="1069" t="str">
        <f t="shared" ca="1" si="223"/>
        <v xml:space="preserve"> </v>
      </c>
      <c r="F645" s="1069" t="str">
        <f t="shared" ca="1" si="223"/>
        <v xml:space="preserve"> </v>
      </c>
      <c r="G645" s="1069" t="str">
        <f t="shared" ca="1" si="223"/>
        <v xml:space="preserve"> </v>
      </c>
      <c r="H645" s="1069" t="str">
        <f t="shared" ca="1" si="223"/>
        <v xml:space="preserve"> </v>
      </c>
      <c r="I645" s="1069" t="str">
        <f t="shared" ca="1" si="223"/>
        <v xml:space="preserve"> </v>
      </c>
      <c r="J645" s="1069" t="str">
        <f t="shared" ca="1" si="223"/>
        <v xml:space="preserve"> </v>
      </c>
      <c r="K645" s="1069" t="str">
        <f t="shared" ca="1" si="223"/>
        <v xml:space="preserve"> </v>
      </c>
      <c r="L645" s="1069" t="str">
        <f t="shared" ca="1" si="223"/>
        <v xml:space="preserve"> </v>
      </c>
      <c r="M645" s="1069" t="str">
        <f t="shared" ca="1" si="223"/>
        <v xml:space="preserve"> </v>
      </c>
      <c r="N645" s="1069" t="str">
        <f t="shared" ca="1" si="223"/>
        <v xml:space="preserve"> </v>
      </c>
      <c r="O645" s="1069" t="str">
        <f t="shared" ca="1" si="223"/>
        <v xml:space="preserve"> </v>
      </c>
      <c r="P645" s="1069">
        <f t="shared" ca="1" si="223"/>
        <v>718</v>
      </c>
      <c r="Q645" s="1069" t="str">
        <f t="shared" ca="1" si="223"/>
        <v xml:space="preserve"> </v>
      </c>
      <c r="R645" s="1069" t="str">
        <f t="shared" ca="1" si="223"/>
        <v xml:space="preserve"> </v>
      </c>
      <c r="S645" s="1069" t="str">
        <f t="shared" ca="1" si="223"/>
        <v xml:space="preserve"> </v>
      </c>
      <c r="T645" s="1069" t="str">
        <f t="shared" ca="1" si="223"/>
        <v xml:space="preserve"> </v>
      </c>
      <c r="U645" s="1069" t="str">
        <f t="shared" ca="1" si="223"/>
        <v xml:space="preserve"> </v>
      </c>
      <c r="V645" s="1069" t="str">
        <f t="shared" ca="1" si="223"/>
        <v xml:space="preserve"> </v>
      </c>
      <c r="W645" s="1069" t="str">
        <f t="shared" ca="1" si="223"/>
        <v xml:space="preserve"> </v>
      </c>
      <c r="X645" s="1069" t="str">
        <f t="shared" ca="1" si="223"/>
        <v xml:space="preserve"> </v>
      </c>
      <c r="Y645" s="1069" t="str">
        <f t="shared" ca="1" si="223"/>
        <v xml:space="preserve"> </v>
      </c>
      <c r="Z645" s="1069" t="str">
        <f t="shared" ca="1" si="223"/>
        <v xml:space="preserve"> </v>
      </c>
      <c r="AA645" s="1069" t="str">
        <f t="shared" ca="1" si="223"/>
        <v xml:space="preserve"> </v>
      </c>
    </row>
    <row r="646" spans="1:27" s="1069" customFormat="1" ht="9.9499999999999993" customHeight="1">
      <c r="A646" s="1069">
        <v>122</v>
      </c>
      <c r="D646" s="1069" t="str">
        <f t="shared" ref="D646:AA646" ca="1" si="224">IF(ISNUMBER(D645),IF(D645+2&lt;E$726,IF(ISNA(MATCH("Y",INDIRECT("Skills!"&amp;$C$523&amp;D645+1&amp;":"&amp;$C$523&amp;E$726),0))," ",MATCH("Y",INDIRECT("Skills!"&amp;$C$523&amp;D645+1&amp;":"&amp;$C$523&amp;E$726),0)+D645)," ")," ")</f>
        <v xml:space="preserve"> </v>
      </c>
      <c r="E646" s="1069" t="str">
        <f t="shared" ca="1" si="224"/>
        <v xml:space="preserve"> </v>
      </c>
      <c r="F646" s="1069" t="str">
        <f t="shared" ca="1" si="224"/>
        <v xml:space="preserve"> </v>
      </c>
      <c r="G646" s="1069" t="str">
        <f t="shared" ca="1" si="224"/>
        <v xml:space="preserve"> </v>
      </c>
      <c r="H646" s="1069" t="str">
        <f t="shared" ca="1" si="224"/>
        <v xml:space="preserve"> </v>
      </c>
      <c r="I646" s="1069" t="str">
        <f t="shared" ca="1" si="224"/>
        <v xml:space="preserve"> </v>
      </c>
      <c r="J646" s="1069" t="str">
        <f t="shared" ca="1" si="224"/>
        <v xml:space="preserve"> </v>
      </c>
      <c r="K646" s="1069" t="str">
        <f t="shared" ca="1" si="224"/>
        <v xml:space="preserve"> </v>
      </c>
      <c r="L646" s="1069" t="str">
        <f t="shared" ca="1" si="224"/>
        <v xml:space="preserve"> </v>
      </c>
      <c r="M646" s="1069" t="str">
        <f t="shared" ca="1" si="224"/>
        <v xml:space="preserve"> </v>
      </c>
      <c r="N646" s="1069" t="str">
        <f t="shared" ca="1" si="224"/>
        <v xml:space="preserve"> </v>
      </c>
      <c r="O646" s="1069" t="str">
        <f t="shared" ca="1" si="224"/>
        <v xml:space="preserve"> </v>
      </c>
      <c r="P646" s="1069">
        <f t="shared" ca="1" si="224"/>
        <v>719</v>
      </c>
      <c r="Q646" s="1069" t="str">
        <f t="shared" ca="1" si="224"/>
        <v xml:space="preserve"> </v>
      </c>
      <c r="R646" s="1069" t="str">
        <f t="shared" ca="1" si="224"/>
        <v xml:space="preserve"> </v>
      </c>
      <c r="S646" s="1069" t="str">
        <f t="shared" ca="1" si="224"/>
        <v xml:space="preserve"> </v>
      </c>
      <c r="T646" s="1069" t="str">
        <f t="shared" ca="1" si="224"/>
        <v xml:space="preserve"> </v>
      </c>
      <c r="U646" s="1069" t="str">
        <f t="shared" ca="1" si="224"/>
        <v xml:space="preserve"> </v>
      </c>
      <c r="V646" s="1069" t="str">
        <f t="shared" ca="1" si="224"/>
        <v xml:space="preserve"> </v>
      </c>
      <c r="W646" s="1069" t="str">
        <f t="shared" ca="1" si="224"/>
        <v xml:space="preserve"> </v>
      </c>
      <c r="X646" s="1069" t="str">
        <f t="shared" ca="1" si="224"/>
        <v xml:space="preserve"> </v>
      </c>
      <c r="Y646" s="1069" t="str">
        <f t="shared" ca="1" si="224"/>
        <v xml:space="preserve"> </v>
      </c>
      <c r="Z646" s="1069" t="str">
        <f t="shared" ca="1" si="224"/>
        <v xml:space="preserve"> </v>
      </c>
      <c r="AA646" s="1069" t="str">
        <f t="shared" ca="1" si="224"/>
        <v xml:space="preserve"> </v>
      </c>
    </row>
    <row r="647" spans="1:27" s="1069" customFormat="1" ht="9.9499999999999993" customHeight="1">
      <c r="A647" s="1069">
        <v>123</v>
      </c>
      <c r="D647" s="1069" t="str">
        <f t="shared" ref="D647:AA647" ca="1" si="225">IF(ISNUMBER(D646),IF(D646+2&lt;E$726,IF(ISNA(MATCH("Y",INDIRECT("Skills!"&amp;$C$523&amp;D646+1&amp;":"&amp;$C$523&amp;E$726),0))," ",MATCH("Y",INDIRECT("Skills!"&amp;$C$523&amp;D646+1&amp;":"&amp;$C$523&amp;E$726),0)+D646)," ")," ")</f>
        <v xml:space="preserve"> </v>
      </c>
      <c r="E647" s="1069" t="str">
        <f t="shared" ca="1" si="225"/>
        <v xml:space="preserve"> </v>
      </c>
      <c r="F647" s="1069" t="str">
        <f t="shared" ca="1" si="225"/>
        <v xml:space="preserve"> </v>
      </c>
      <c r="G647" s="1069" t="str">
        <f t="shared" ca="1" si="225"/>
        <v xml:space="preserve"> </v>
      </c>
      <c r="H647" s="1069" t="str">
        <f t="shared" ca="1" si="225"/>
        <v xml:space="preserve"> </v>
      </c>
      <c r="I647" s="1069" t="str">
        <f t="shared" ca="1" si="225"/>
        <v xml:space="preserve"> </v>
      </c>
      <c r="J647" s="1069" t="str">
        <f t="shared" ca="1" si="225"/>
        <v xml:space="preserve"> </v>
      </c>
      <c r="K647" s="1069" t="str">
        <f t="shared" ca="1" si="225"/>
        <v xml:space="preserve"> </v>
      </c>
      <c r="L647" s="1069" t="str">
        <f t="shared" ca="1" si="225"/>
        <v xml:space="preserve"> </v>
      </c>
      <c r="M647" s="1069" t="str">
        <f t="shared" ca="1" si="225"/>
        <v xml:space="preserve"> </v>
      </c>
      <c r="N647" s="1069" t="str">
        <f t="shared" ca="1" si="225"/>
        <v xml:space="preserve"> </v>
      </c>
      <c r="O647" s="1069" t="str">
        <f t="shared" ca="1" si="225"/>
        <v xml:space="preserve"> </v>
      </c>
      <c r="P647" s="1069">
        <f t="shared" ca="1" si="225"/>
        <v>720</v>
      </c>
      <c r="Q647" s="1069" t="str">
        <f t="shared" ca="1" si="225"/>
        <v xml:space="preserve"> </v>
      </c>
      <c r="R647" s="1069" t="str">
        <f t="shared" ca="1" si="225"/>
        <v xml:space="preserve"> </v>
      </c>
      <c r="S647" s="1069" t="str">
        <f t="shared" ca="1" si="225"/>
        <v xml:space="preserve"> </v>
      </c>
      <c r="T647" s="1069" t="str">
        <f t="shared" ca="1" si="225"/>
        <v xml:space="preserve"> </v>
      </c>
      <c r="U647" s="1069" t="str">
        <f t="shared" ca="1" si="225"/>
        <v xml:space="preserve"> </v>
      </c>
      <c r="V647" s="1069" t="str">
        <f t="shared" ca="1" si="225"/>
        <v xml:space="preserve"> </v>
      </c>
      <c r="W647" s="1069" t="str">
        <f t="shared" ca="1" si="225"/>
        <v xml:space="preserve"> </v>
      </c>
      <c r="X647" s="1069" t="str">
        <f t="shared" ca="1" si="225"/>
        <v xml:space="preserve"> </v>
      </c>
      <c r="Y647" s="1069" t="str">
        <f t="shared" ca="1" si="225"/>
        <v xml:space="preserve"> </v>
      </c>
      <c r="Z647" s="1069" t="str">
        <f t="shared" ca="1" si="225"/>
        <v xml:space="preserve"> </v>
      </c>
      <c r="AA647" s="1069" t="str">
        <f t="shared" ca="1" si="225"/>
        <v xml:space="preserve"> </v>
      </c>
    </row>
    <row r="648" spans="1:27" s="1069" customFormat="1" ht="9.9499999999999993" customHeight="1">
      <c r="A648" s="1069">
        <v>124</v>
      </c>
      <c r="D648" s="1069" t="str">
        <f t="shared" ref="D648:AA648" ca="1" si="226">IF(ISNUMBER(D647),IF(D647+2&lt;E$726,IF(ISNA(MATCH("Y",INDIRECT("Skills!"&amp;$C$523&amp;D647+1&amp;":"&amp;$C$523&amp;E$726),0))," ",MATCH("Y",INDIRECT("Skills!"&amp;$C$523&amp;D647+1&amp;":"&amp;$C$523&amp;E$726),0)+D647)," ")," ")</f>
        <v xml:space="preserve"> </v>
      </c>
      <c r="E648" s="1069" t="str">
        <f t="shared" ca="1" si="226"/>
        <v xml:space="preserve"> </v>
      </c>
      <c r="F648" s="1069" t="str">
        <f t="shared" ca="1" si="226"/>
        <v xml:space="preserve"> </v>
      </c>
      <c r="G648" s="1069" t="str">
        <f t="shared" ca="1" si="226"/>
        <v xml:space="preserve"> </v>
      </c>
      <c r="H648" s="1069" t="str">
        <f t="shared" ca="1" si="226"/>
        <v xml:space="preserve"> </v>
      </c>
      <c r="I648" s="1069" t="str">
        <f t="shared" ca="1" si="226"/>
        <v xml:space="preserve"> </v>
      </c>
      <c r="J648" s="1069" t="str">
        <f t="shared" ca="1" si="226"/>
        <v xml:space="preserve"> </v>
      </c>
      <c r="K648" s="1069" t="str">
        <f t="shared" ca="1" si="226"/>
        <v xml:space="preserve"> </v>
      </c>
      <c r="L648" s="1069" t="str">
        <f t="shared" ca="1" si="226"/>
        <v xml:space="preserve"> </v>
      </c>
      <c r="M648" s="1069" t="str">
        <f t="shared" ca="1" si="226"/>
        <v xml:space="preserve"> </v>
      </c>
      <c r="N648" s="1069" t="str">
        <f t="shared" ca="1" si="226"/>
        <v xml:space="preserve"> </v>
      </c>
      <c r="O648" s="1069" t="str">
        <f t="shared" ca="1" si="226"/>
        <v xml:space="preserve"> </v>
      </c>
      <c r="P648" s="1069">
        <f t="shared" ca="1" si="226"/>
        <v>722</v>
      </c>
      <c r="Q648" s="1069" t="str">
        <f t="shared" ca="1" si="226"/>
        <v xml:space="preserve"> </v>
      </c>
      <c r="R648" s="1069" t="str">
        <f t="shared" ca="1" si="226"/>
        <v xml:space="preserve"> </v>
      </c>
      <c r="S648" s="1069" t="str">
        <f t="shared" ca="1" si="226"/>
        <v xml:space="preserve"> </v>
      </c>
      <c r="T648" s="1069" t="str">
        <f t="shared" ca="1" si="226"/>
        <v xml:space="preserve"> </v>
      </c>
      <c r="U648" s="1069" t="str">
        <f t="shared" ca="1" si="226"/>
        <v xml:space="preserve"> </v>
      </c>
      <c r="V648" s="1069" t="str">
        <f t="shared" ca="1" si="226"/>
        <v xml:space="preserve"> </v>
      </c>
      <c r="W648" s="1069" t="str">
        <f t="shared" ca="1" si="226"/>
        <v xml:space="preserve"> </v>
      </c>
      <c r="X648" s="1069" t="str">
        <f t="shared" ca="1" si="226"/>
        <v xml:space="preserve"> </v>
      </c>
      <c r="Y648" s="1069" t="str">
        <f t="shared" ca="1" si="226"/>
        <v xml:space="preserve"> </v>
      </c>
      <c r="Z648" s="1069" t="str">
        <f t="shared" ca="1" si="226"/>
        <v xml:space="preserve"> </v>
      </c>
      <c r="AA648" s="1069" t="str">
        <f t="shared" ca="1" si="226"/>
        <v xml:space="preserve"> </v>
      </c>
    </row>
    <row r="649" spans="1:27" s="1069" customFormat="1" ht="9.9499999999999993" customHeight="1">
      <c r="A649" s="1069">
        <v>125</v>
      </c>
      <c r="D649" s="1069" t="str">
        <f t="shared" ref="D649:AA649" ca="1" si="227">IF(ISNUMBER(D648),IF(D648+2&lt;E$726,IF(ISNA(MATCH("Y",INDIRECT("Skills!"&amp;$C$523&amp;D648+1&amp;":"&amp;$C$523&amp;E$726),0))," ",MATCH("Y",INDIRECT("Skills!"&amp;$C$523&amp;D648+1&amp;":"&amp;$C$523&amp;E$726),0)+D648)," ")," ")</f>
        <v xml:space="preserve"> </v>
      </c>
      <c r="E649" s="1069" t="str">
        <f t="shared" ca="1" si="227"/>
        <v xml:space="preserve"> </v>
      </c>
      <c r="F649" s="1069" t="str">
        <f t="shared" ca="1" si="227"/>
        <v xml:space="preserve"> </v>
      </c>
      <c r="G649" s="1069" t="str">
        <f t="shared" ca="1" si="227"/>
        <v xml:space="preserve"> </v>
      </c>
      <c r="H649" s="1069" t="str">
        <f t="shared" ca="1" si="227"/>
        <v xml:space="preserve"> </v>
      </c>
      <c r="I649" s="1069" t="str">
        <f t="shared" ca="1" si="227"/>
        <v xml:space="preserve"> </v>
      </c>
      <c r="J649" s="1069" t="str">
        <f t="shared" ca="1" si="227"/>
        <v xml:space="preserve"> </v>
      </c>
      <c r="K649" s="1069" t="str">
        <f t="shared" ca="1" si="227"/>
        <v xml:space="preserve"> </v>
      </c>
      <c r="L649" s="1069" t="str">
        <f t="shared" ca="1" si="227"/>
        <v xml:space="preserve"> </v>
      </c>
      <c r="M649" s="1069" t="str">
        <f t="shared" ca="1" si="227"/>
        <v xml:space="preserve"> </v>
      </c>
      <c r="N649" s="1069" t="str">
        <f t="shared" ca="1" si="227"/>
        <v xml:space="preserve"> </v>
      </c>
      <c r="O649" s="1069" t="str">
        <f t="shared" ca="1" si="227"/>
        <v xml:space="preserve"> </v>
      </c>
      <c r="P649" s="1069">
        <f t="shared" ca="1" si="227"/>
        <v>723</v>
      </c>
      <c r="Q649" s="1069" t="str">
        <f t="shared" ca="1" si="227"/>
        <v xml:space="preserve"> </v>
      </c>
      <c r="R649" s="1069" t="str">
        <f t="shared" ca="1" si="227"/>
        <v xml:space="preserve"> </v>
      </c>
      <c r="S649" s="1069" t="str">
        <f t="shared" ca="1" si="227"/>
        <v xml:space="preserve"> </v>
      </c>
      <c r="T649" s="1069" t="str">
        <f t="shared" ca="1" si="227"/>
        <v xml:space="preserve"> </v>
      </c>
      <c r="U649" s="1069" t="str">
        <f t="shared" ca="1" si="227"/>
        <v xml:space="preserve"> </v>
      </c>
      <c r="V649" s="1069" t="str">
        <f t="shared" ca="1" si="227"/>
        <v xml:space="preserve"> </v>
      </c>
      <c r="W649" s="1069" t="str">
        <f t="shared" ca="1" si="227"/>
        <v xml:space="preserve"> </v>
      </c>
      <c r="X649" s="1069" t="str">
        <f t="shared" ca="1" si="227"/>
        <v xml:space="preserve"> </v>
      </c>
      <c r="Y649" s="1069" t="str">
        <f t="shared" ca="1" si="227"/>
        <v xml:space="preserve"> </v>
      </c>
      <c r="Z649" s="1069" t="str">
        <f t="shared" ca="1" si="227"/>
        <v xml:space="preserve"> </v>
      </c>
      <c r="AA649" s="1069" t="str">
        <f t="shared" ca="1" si="227"/>
        <v xml:space="preserve"> </v>
      </c>
    </row>
    <row r="650" spans="1:27" s="1069" customFormat="1" ht="9.9499999999999993" customHeight="1">
      <c r="A650" s="1069">
        <v>126</v>
      </c>
      <c r="D650" s="1069" t="str">
        <f t="shared" ref="D650:AA650" ca="1" si="228">IF(ISNUMBER(D649),IF(D649+2&lt;E$726,IF(ISNA(MATCH("Y",INDIRECT("Skills!"&amp;$C$523&amp;D649+1&amp;":"&amp;$C$523&amp;E$726),0))," ",MATCH("Y",INDIRECT("Skills!"&amp;$C$523&amp;D649+1&amp;":"&amp;$C$523&amp;E$726),0)+D649)," ")," ")</f>
        <v xml:space="preserve"> </v>
      </c>
      <c r="E650" s="1069" t="str">
        <f t="shared" ca="1" si="228"/>
        <v xml:space="preserve"> </v>
      </c>
      <c r="F650" s="1069" t="str">
        <f t="shared" ca="1" si="228"/>
        <v xml:space="preserve"> </v>
      </c>
      <c r="G650" s="1069" t="str">
        <f t="shared" ca="1" si="228"/>
        <v xml:space="preserve"> </v>
      </c>
      <c r="H650" s="1069" t="str">
        <f t="shared" ca="1" si="228"/>
        <v xml:space="preserve"> </v>
      </c>
      <c r="I650" s="1069" t="str">
        <f t="shared" ca="1" si="228"/>
        <v xml:space="preserve"> </v>
      </c>
      <c r="J650" s="1069" t="str">
        <f t="shared" ca="1" si="228"/>
        <v xml:space="preserve"> </v>
      </c>
      <c r="K650" s="1069" t="str">
        <f t="shared" ca="1" si="228"/>
        <v xml:space="preserve"> </v>
      </c>
      <c r="L650" s="1069" t="str">
        <f t="shared" ca="1" si="228"/>
        <v xml:space="preserve"> </v>
      </c>
      <c r="M650" s="1069" t="str">
        <f t="shared" ca="1" si="228"/>
        <v xml:space="preserve"> </v>
      </c>
      <c r="N650" s="1069" t="str">
        <f t="shared" ca="1" si="228"/>
        <v xml:space="preserve"> </v>
      </c>
      <c r="O650" s="1069" t="str">
        <f t="shared" ca="1" si="228"/>
        <v xml:space="preserve"> </v>
      </c>
      <c r="P650" s="1069">
        <f t="shared" ca="1" si="228"/>
        <v>724</v>
      </c>
      <c r="Q650" s="1069" t="str">
        <f t="shared" ca="1" si="228"/>
        <v xml:space="preserve"> </v>
      </c>
      <c r="R650" s="1069" t="str">
        <f t="shared" ca="1" si="228"/>
        <v xml:space="preserve"> </v>
      </c>
      <c r="S650" s="1069" t="str">
        <f t="shared" ca="1" si="228"/>
        <v xml:space="preserve"> </v>
      </c>
      <c r="T650" s="1069" t="str">
        <f t="shared" ca="1" si="228"/>
        <v xml:space="preserve"> </v>
      </c>
      <c r="U650" s="1069" t="str">
        <f t="shared" ca="1" si="228"/>
        <v xml:space="preserve"> </v>
      </c>
      <c r="V650" s="1069" t="str">
        <f t="shared" ca="1" si="228"/>
        <v xml:space="preserve"> </v>
      </c>
      <c r="W650" s="1069" t="str">
        <f t="shared" ca="1" si="228"/>
        <v xml:space="preserve"> </v>
      </c>
      <c r="X650" s="1069" t="str">
        <f t="shared" ca="1" si="228"/>
        <v xml:space="preserve"> </v>
      </c>
      <c r="Y650" s="1069" t="str">
        <f t="shared" ca="1" si="228"/>
        <v xml:space="preserve"> </v>
      </c>
      <c r="Z650" s="1069" t="str">
        <f t="shared" ca="1" si="228"/>
        <v xml:space="preserve"> </v>
      </c>
      <c r="AA650" s="1069" t="str">
        <f t="shared" ca="1" si="228"/>
        <v xml:space="preserve"> </v>
      </c>
    </row>
    <row r="651" spans="1:27" s="1069" customFormat="1" ht="9.9499999999999993" customHeight="1">
      <c r="A651" s="1069">
        <v>127</v>
      </c>
      <c r="D651" s="1069" t="str">
        <f t="shared" ref="D651:AA651" ca="1" si="229">IF(ISNUMBER(D650),IF(D650+2&lt;E$726,IF(ISNA(MATCH("Y",INDIRECT("Skills!"&amp;$C$523&amp;D650+1&amp;":"&amp;$C$523&amp;E$726),0))," ",MATCH("Y",INDIRECT("Skills!"&amp;$C$523&amp;D650+1&amp;":"&amp;$C$523&amp;E$726),0)+D650)," ")," ")</f>
        <v xml:space="preserve"> </v>
      </c>
      <c r="E651" s="1069" t="str">
        <f t="shared" ca="1" si="229"/>
        <v xml:space="preserve"> </v>
      </c>
      <c r="F651" s="1069" t="str">
        <f t="shared" ca="1" si="229"/>
        <v xml:space="preserve"> </v>
      </c>
      <c r="G651" s="1069" t="str">
        <f t="shared" ca="1" si="229"/>
        <v xml:space="preserve"> </v>
      </c>
      <c r="H651" s="1069" t="str">
        <f t="shared" ca="1" si="229"/>
        <v xml:space="preserve"> </v>
      </c>
      <c r="I651" s="1069" t="str">
        <f t="shared" ca="1" si="229"/>
        <v xml:space="preserve"> </v>
      </c>
      <c r="J651" s="1069" t="str">
        <f t="shared" ca="1" si="229"/>
        <v xml:space="preserve"> </v>
      </c>
      <c r="K651" s="1069" t="str">
        <f t="shared" ca="1" si="229"/>
        <v xml:space="preserve"> </v>
      </c>
      <c r="L651" s="1069" t="str">
        <f t="shared" ca="1" si="229"/>
        <v xml:space="preserve"> </v>
      </c>
      <c r="M651" s="1069" t="str">
        <f t="shared" ca="1" si="229"/>
        <v xml:space="preserve"> </v>
      </c>
      <c r="N651" s="1069" t="str">
        <f t="shared" ca="1" si="229"/>
        <v xml:space="preserve"> </v>
      </c>
      <c r="O651" s="1069" t="str">
        <f t="shared" ca="1" si="229"/>
        <v xml:space="preserve"> </v>
      </c>
      <c r="P651" s="1069">
        <f t="shared" ca="1" si="229"/>
        <v>725</v>
      </c>
      <c r="Q651" s="1069" t="str">
        <f t="shared" ca="1" si="229"/>
        <v xml:space="preserve"> </v>
      </c>
      <c r="R651" s="1069" t="str">
        <f t="shared" ca="1" si="229"/>
        <v xml:space="preserve"> </v>
      </c>
      <c r="S651" s="1069" t="str">
        <f t="shared" ca="1" si="229"/>
        <v xml:space="preserve"> </v>
      </c>
      <c r="T651" s="1069" t="str">
        <f t="shared" ca="1" si="229"/>
        <v xml:space="preserve"> </v>
      </c>
      <c r="U651" s="1069" t="str">
        <f t="shared" ca="1" si="229"/>
        <v xml:space="preserve"> </v>
      </c>
      <c r="V651" s="1069" t="str">
        <f t="shared" ca="1" si="229"/>
        <v xml:space="preserve"> </v>
      </c>
      <c r="W651" s="1069" t="str">
        <f t="shared" ca="1" si="229"/>
        <v xml:space="preserve"> </v>
      </c>
      <c r="X651" s="1069" t="str">
        <f t="shared" ca="1" si="229"/>
        <v xml:space="preserve"> </v>
      </c>
      <c r="Y651" s="1069" t="str">
        <f t="shared" ca="1" si="229"/>
        <v xml:space="preserve"> </v>
      </c>
      <c r="Z651" s="1069" t="str">
        <f t="shared" ca="1" si="229"/>
        <v xml:space="preserve"> </v>
      </c>
      <c r="AA651" s="1069" t="str">
        <f t="shared" ca="1" si="229"/>
        <v xml:space="preserve"> </v>
      </c>
    </row>
    <row r="652" spans="1:27" s="1069" customFormat="1" ht="9.9499999999999993" customHeight="1">
      <c r="A652" s="1069">
        <v>128</v>
      </c>
      <c r="D652" s="1069" t="str">
        <f t="shared" ref="D652:AA652" ca="1" si="230">IF(ISNUMBER(D651),IF(D651+2&lt;E$726,IF(ISNA(MATCH("Y",INDIRECT("Skills!"&amp;$C$523&amp;D651+1&amp;":"&amp;$C$523&amp;E$726),0))," ",MATCH("Y",INDIRECT("Skills!"&amp;$C$523&amp;D651+1&amp;":"&amp;$C$523&amp;E$726),0)+D651)," ")," ")</f>
        <v xml:space="preserve"> </v>
      </c>
      <c r="E652" s="1069" t="str">
        <f t="shared" ca="1" si="230"/>
        <v xml:space="preserve"> </v>
      </c>
      <c r="F652" s="1069" t="str">
        <f t="shared" ca="1" si="230"/>
        <v xml:space="preserve"> </v>
      </c>
      <c r="G652" s="1069" t="str">
        <f t="shared" ca="1" si="230"/>
        <v xml:space="preserve"> </v>
      </c>
      <c r="H652" s="1069" t="str">
        <f t="shared" ca="1" si="230"/>
        <v xml:space="preserve"> </v>
      </c>
      <c r="I652" s="1069" t="str">
        <f t="shared" ca="1" si="230"/>
        <v xml:space="preserve"> </v>
      </c>
      <c r="J652" s="1069" t="str">
        <f t="shared" ca="1" si="230"/>
        <v xml:space="preserve"> </v>
      </c>
      <c r="K652" s="1069" t="str">
        <f t="shared" ca="1" si="230"/>
        <v xml:space="preserve"> </v>
      </c>
      <c r="L652" s="1069" t="str">
        <f t="shared" ca="1" si="230"/>
        <v xml:space="preserve"> </v>
      </c>
      <c r="M652" s="1069" t="str">
        <f t="shared" ca="1" si="230"/>
        <v xml:space="preserve"> </v>
      </c>
      <c r="N652" s="1069" t="str">
        <f t="shared" ca="1" si="230"/>
        <v xml:space="preserve"> </v>
      </c>
      <c r="O652" s="1069" t="str">
        <f t="shared" ca="1" si="230"/>
        <v xml:space="preserve"> </v>
      </c>
      <c r="P652" s="1069">
        <f t="shared" ca="1" si="230"/>
        <v>726</v>
      </c>
      <c r="Q652" s="1069" t="str">
        <f t="shared" ca="1" si="230"/>
        <v xml:space="preserve"> </v>
      </c>
      <c r="R652" s="1069" t="str">
        <f t="shared" ca="1" si="230"/>
        <v xml:space="preserve"> </v>
      </c>
      <c r="S652" s="1069" t="str">
        <f t="shared" ca="1" si="230"/>
        <v xml:space="preserve"> </v>
      </c>
      <c r="T652" s="1069" t="str">
        <f t="shared" ca="1" si="230"/>
        <v xml:space="preserve"> </v>
      </c>
      <c r="U652" s="1069" t="str">
        <f t="shared" ca="1" si="230"/>
        <v xml:space="preserve"> </v>
      </c>
      <c r="V652" s="1069" t="str">
        <f t="shared" ca="1" si="230"/>
        <v xml:space="preserve"> </v>
      </c>
      <c r="W652" s="1069" t="str">
        <f t="shared" ca="1" si="230"/>
        <v xml:space="preserve"> </v>
      </c>
      <c r="X652" s="1069" t="str">
        <f t="shared" ca="1" si="230"/>
        <v xml:space="preserve"> </v>
      </c>
      <c r="Y652" s="1069" t="str">
        <f t="shared" ca="1" si="230"/>
        <v xml:space="preserve"> </v>
      </c>
      <c r="Z652" s="1069" t="str">
        <f t="shared" ca="1" si="230"/>
        <v xml:space="preserve"> </v>
      </c>
      <c r="AA652" s="1069" t="str">
        <f t="shared" ca="1" si="230"/>
        <v xml:space="preserve"> </v>
      </c>
    </row>
    <row r="653" spans="1:27" s="1069" customFormat="1" ht="9.9499999999999993" customHeight="1">
      <c r="A653" s="1069">
        <v>129</v>
      </c>
      <c r="D653" s="1069" t="str">
        <f t="shared" ref="D653:AA653" ca="1" si="231">IF(ISNUMBER(D652),IF(D652+2&lt;E$726,IF(ISNA(MATCH("Y",INDIRECT("Skills!"&amp;$C$523&amp;D652+1&amp;":"&amp;$C$523&amp;E$726),0))," ",MATCH("Y",INDIRECT("Skills!"&amp;$C$523&amp;D652+1&amp;":"&amp;$C$523&amp;E$726),0)+D652)," ")," ")</f>
        <v xml:space="preserve"> </v>
      </c>
      <c r="E653" s="1069" t="str">
        <f t="shared" ca="1" si="231"/>
        <v xml:space="preserve"> </v>
      </c>
      <c r="F653" s="1069" t="str">
        <f t="shared" ca="1" si="231"/>
        <v xml:space="preserve"> </v>
      </c>
      <c r="G653" s="1069" t="str">
        <f t="shared" ca="1" si="231"/>
        <v xml:space="preserve"> </v>
      </c>
      <c r="H653" s="1069" t="str">
        <f t="shared" ca="1" si="231"/>
        <v xml:space="preserve"> </v>
      </c>
      <c r="I653" s="1069" t="str">
        <f t="shared" ca="1" si="231"/>
        <v xml:space="preserve"> </v>
      </c>
      <c r="J653" s="1069" t="str">
        <f t="shared" ca="1" si="231"/>
        <v xml:space="preserve"> </v>
      </c>
      <c r="K653" s="1069" t="str">
        <f t="shared" ca="1" si="231"/>
        <v xml:space="preserve"> </v>
      </c>
      <c r="L653" s="1069" t="str">
        <f t="shared" ca="1" si="231"/>
        <v xml:space="preserve"> </v>
      </c>
      <c r="M653" s="1069" t="str">
        <f t="shared" ca="1" si="231"/>
        <v xml:space="preserve"> </v>
      </c>
      <c r="N653" s="1069" t="str">
        <f t="shared" ca="1" si="231"/>
        <v xml:space="preserve"> </v>
      </c>
      <c r="O653" s="1069" t="str">
        <f t="shared" ca="1" si="231"/>
        <v xml:space="preserve"> </v>
      </c>
      <c r="P653" s="1069">
        <f t="shared" ca="1" si="231"/>
        <v>727</v>
      </c>
      <c r="Q653" s="1069" t="str">
        <f t="shared" ca="1" si="231"/>
        <v xml:space="preserve"> </v>
      </c>
      <c r="R653" s="1069" t="str">
        <f t="shared" ca="1" si="231"/>
        <v xml:space="preserve"> </v>
      </c>
      <c r="S653" s="1069" t="str">
        <f t="shared" ca="1" si="231"/>
        <v xml:space="preserve"> </v>
      </c>
      <c r="T653" s="1069" t="str">
        <f t="shared" ca="1" si="231"/>
        <v xml:space="preserve"> </v>
      </c>
      <c r="U653" s="1069" t="str">
        <f t="shared" ca="1" si="231"/>
        <v xml:space="preserve"> </v>
      </c>
      <c r="V653" s="1069" t="str">
        <f t="shared" ca="1" si="231"/>
        <v xml:space="preserve"> </v>
      </c>
      <c r="W653" s="1069" t="str">
        <f t="shared" ca="1" si="231"/>
        <v xml:space="preserve"> </v>
      </c>
      <c r="X653" s="1069" t="str">
        <f t="shared" ca="1" si="231"/>
        <v xml:space="preserve"> </v>
      </c>
      <c r="Y653" s="1069" t="str">
        <f t="shared" ca="1" si="231"/>
        <v xml:space="preserve"> </v>
      </c>
      <c r="Z653" s="1069" t="str">
        <f t="shared" ca="1" si="231"/>
        <v xml:space="preserve"> </v>
      </c>
      <c r="AA653" s="1069" t="str">
        <f t="shared" ca="1" si="231"/>
        <v xml:space="preserve"> </v>
      </c>
    </row>
    <row r="654" spans="1:27" s="1069" customFormat="1" ht="9.9499999999999993" customHeight="1">
      <c r="A654" s="1069">
        <v>130</v>
      </c>
      <c r="D654" s="1069" t="str">
        <f t="shared" ref="D654:AA654" ca="1" si="232">IF(ISNUMBER(D653),IF(D653+2&lt;E$726,IF(ISNA(MATCH("Y",INDIRECT("Skills!"&amp;$C$523&amp;D653+1&amp;":"&amp;$C$523&amp;E$726),0))," ",MATCH("Y",INDIRECT("Skills!"&amp;$C$523&amp;D653+1&amp;":"&amp;$C$523&amp;E$726),0)+D653)," ")," ")</f>
        <v xml:space="preserve"> </v>
      </c>
      <c r="E654" s="1069" t="str">
        <f t="shared" ca="1" si="232"/>
        <v xml:space="preserve"> </v>
      </c>
      <c r="F654" s="1069" t="str">
        <f t="shared" ca="1" si="232"/>
        <v xml:space="preserve"> </v>
      </c>
      <c r="G654" s="1069" t="str">
        <f t="shared" ca="1" si="232"/>
        <v xml:space="preserve"> </v>
      </c>
      <c r="H654" s="1069" t="str">
        <f t="shared" ca="1" si="232"/>
        <v xml:space="preserve"> </v>
      </c>
      <c r="I654" s="1069" t="str">
        <f t="shared" ca="1" si="232"/>
        <v xml:space="preserve"> </v>
      </c>
      <c r="J654" s="1069" t="str">
        <f t="shared" ca="1" si="232"/>
        <v xml:space="preserve"> </v>
      </c>
      <c r="K654" s="1069" t="str">
        <f t="shared" ca="1" si="232"/>
        <v xml:space="preserve"> </v>
      </c>
      <c r="L654" s="1069" t="str">
        <f t="shared" ca="1" si="232"/>
        <v xml:space="preserve"> </v>
      </c>
      <c r="M654" s="1069" t="str">
        <f t="shared" ca="1" si="232"/>
        <v xml:space="preserve"> </v>
      </c>
      <c r="N654" s="1069" t="str">
        <f t="shared" ca="1" si="232"/>
        <v xml:space="preserve"> </v>
      </c>
      <c r="O654" s="1069" t="str">
        <f t="shared" ca="1" si="232"/>
        <v xml:space="preserve"> </v>
      </c>
      <c r="P654" s="1069">
        <f t="shared" ca="1" si="232"/>
        <v>728</v>
      </c>
      <c r="Q654" s="1069" t="str">
        <f t="shared" ca="1" si="232"/>
        <v xml:space="preserve"> </v>
      </c>
      <c r="R654" s="1069" t="str">
        <f t="shared" ca="1" si="232"/>
        <v xml:space="preserve"> </v>
      </c>
      <c r="S654" s="1069" t="str">
        <f t="shared" ca="1" si="232"/>
        <v xml:space="preserve"> </v>
      </c>
      <c r="T654" s="1069" t="str">
        <f t="shared" ca="1" si="232"/>
        <v xml:space="preserve"> </v>
      </c>
      <c r="U654" s="1069" t="str">
        <f t="shared" ca="1" si="232"/>
        <v xml:space="preserve"> </v>
      </c>
      <c r="V654" s="1069" t="str">
        <f t="shared" ca="1" si="232"/>
        <v xml:space="preserve"> </v>
      </c>
      <c r="W654" s="1069" t="str">
        <f t="shared" ca="1" si="232"/>
        <v xml:space="preserve"> </v>
      </c>
      <c r="X654" s="1069" t="str">
        <f t="shared" ca="1" si="232"/>
        <v xml:space="preserve"> </v>
      </c>
      <c r="Y654" s="1069" t="str">
        <f t="shared" ca="1" si="232"/>
        <v xml:space="preserve"> </v>
      </c>
      <c r="Z654" s="1069" t="str">
        <f t="shared" ca="1" si="232"/>
        <v xml:space="preserve"> </v>
      </c>
      <c r="AA654" s="1069" t="str">
        <f t="shared" ca="1" si="232"/>
        <v xml:space="preserve"> </v>
      </c>
    </row>
    <row r="655" spans="1:27" s="1069" customFormat="1" ht="9.9499999999999993" customHeight="1">
      <c r="A655" s="1069">
        <v>131</v>
      </c>
      <c r="D655" s="1069" t="str">
        <f t="shared" ref="D655:AA655" ca="1" si="233">IF(ISNUMBER(D654),IF(D654+2&lt;E$726,IF(ISNA(MATCH("Y",INDIRECT("Skills!"&amp;$C$523&amp;D654+1&amp;":"&amp;$C$523&amp;E$726),0))," ",MATCH("Y",INDIRECT("Skills!"&amp;$C$523&amp;D654+1&amp;":"&amp;$C$523&amp;E$726),0)+D654)," ")," ")</f>
        <v xml:space="preserve"> </v>
      </c>
      <c r="E655" s="1069" t="str">
        <f t="shared" ca="1" si="233"/>
        <v xml:space="preserve"> </v>
      </c>
      <c r="F655" s="1069" t="str">
        <f t="shared" ca="1" si="233"/>
        <v xml:space="preserve"> </v>
      </c>
      <c r="G655" s="1069" t="str">
        <f t="shared" ca="1" si="233"/>
        <v xml:space="preserve"> </v>
      </c>
      <c r="H655" s="1069" t="str">
        <f t="shared" ca="1" si="233"/>
        <v xml:space="preserve"> </v>
      </c>
      <c r="I655" s="1069" t="str">
        <f t="shared" ca="1" si="233"/>
        <v xml:space="preserve"> </v>
      </c>
      <c r="J655" s="1069" t="str">
        <f t="shared" ca="1" si="233"/>
        <v xml:space="preserve"> </v>
      </c>
      <c r="K655" s="1069" t="str">
        <f t="shared" ca="1" si="233"/>
        <v xml:space="preserve"> </v>
      </c>
      <c r="L655" s="1069" t="str">
        <f t="shared" ca="1" si="233"/>
        <v xml:space="preserve"> </v>
      </c>
      <c r="M655" s="1069" t="str">
        <f t="shared" ca="1" si="233"/>
        <v xml:space="preserve"> </v>
      </c>
      <c r="N655" s="1069" t="str">
        <f t="shared" ca="1" si="233"/>
        <v xml:space="preserve"> </v>
      </c>
      <c r="O655" s="1069" t="str">
        <f t="shared" ca="1" si="233"/>
        <v xml:space="preserve"> </v>
      </c>
      <c r="P655" s="1069">
        <f t="shared" ca="1" si="233"/>
        <v>729</v>
      </c>
      <c r="Q655" s="1069" t="str">
        <f t="shared" ca="1" si="233"/>
        <v xml:space="preserve"> </v>
      </c>
      <c r="R655" s="1069" t="str">
        <f t="shared" ca="1" si="233"/>
        <v xml:space="preserve"> </v>
      </c>
      <c r="S655" s="1069" t="str">
        <f t="shared" ca="1" si="233"/>
        <v xml:space="preserve"> </v>
      </c>
      <c r="T655" s="1069" t="str">
        <f t="shared" ca="1" si="233"/>
        <v xml:space="preserve"> </v>
      </c>
      <c r="U655" s="1069" t="str">
        <f t="shared" ca="1" si="233"/>
        <v xml:space="preserve"> </v>
      </c>
      <c r="V655" s="1069" t="str">
        <f t="shared" ca="1" si="233"/>
        <v xml:space="preserve"> </v>
      </c>
      <c r="W655" s="1069" t="str">
        <f t="shared" ca="1" si="233"/>
        <v xml:space="preserve"> </v>
      </c>
      <c r="X655" s="1069" t="str">
        <f t="shared" ca="1" si="233"/>
        <v xml:space="preserve"> </v>
      </c>
      <c r="Y655" s="1069" t="str">
        <f t="shared" ca="1" si="233"/>
        <v xml:space="preserve"> </v>
      </c>
      <c r="Z655" s="1069" t="str">
        <f t="shared" ca="1" si="233"/>
        <v xml:space="preserve"> </v>
      </c>
      <c r="AA655" s="1069" t="str">
        <f t="shared" ca="1" si="233"/>
        <v xml:space="preserve"> </v>
      </c>
    </row>
    <row r="656" spans="1:27" s="1069" customFormat="1" ht="9.9499999999999993" customHeight="1">
      <c r="A656" s="1069">
        <v>132</v>
      </c>
      <c r="D656" s="1069" t="str">
        <f t="shared" ref="D656:AA656" ca="1" si="234">IF(ISNUMBER(D655),IF(D655+2&lt;E$726,IF(ISNA(MATCH("Y",INDIRECT("Skills!"&amp;$C$523&amp;D655+1&amp;":"&amp;$C$523&amp;E$726),0))," ",MATCH("Y",INDIRECT("Skills!"&amp;$C$523&amp;D655+1&amp;":"&amp;$C$523&amp;E$726),0)+D655)," ")," ")</f>
        <v xml:space="preserve"> </v>
      </c>
      <c r="E656" s="1069" t="str">
        <f t="shared" ca="1" si="234"/>
        <v xml:space="preserve"> </v>
      </c>
      <c r="F656" s="1069" t="str">
        <f t="shared" ca="1" si="234"/>
        <v xml:space="preserve"> </v>
      </c>
      <c r="G656" s="1069" t="str">
        <f t="shared" ca="1" si="234"/>
        <v xml:space="preserve"> </v>
      </c>
      <c r="H656" s="1069" t="str">
        <f t="shared" ca="1" si="234"/>
        <v xml:space="preserve"> </v>
      </c>
      <c r="I656" s="1069" t="str">
        <f t="shared" ca="1" si="234"/>
        <v xml:space="preserve"> </v>
      </c>
      <c r="J656" s="1069" t="str">
        <f t="shared" ca="1" si="234"/>
        <v xml:space="preserve"> </v>
      </c>
      <c r="K656" s="1069" t="str">
        <f t="shared" ca="1" si="234"/>
        <v xml:space="preserve"> </v>
      </c>
      <c r="L656" s="1069" t="str">
        <f t="shared" ca="1" si="234"/>
        <v xml:space="preserve"> </v>
      </c>
      <c r="M656" s="1069" t="str">
        <f t="shared" ca="1" si="234"/>
        <v xml:space="preserve"> </v>
      </c>
      <c r="N656" s="1069" t="str">
        <f t="shared" ca="1" si="234"/>
        <v xml:space="preserve"> </v>
      </c>
      <c r="O656" s="1069" t="str">
        <f t="shared" ca="1" si="234"/>
        <v xml:space="preserve"> </v>
      </c>
      <c r="P656" s="1069">
        <f t="shared" ca="1" si="234"/>
        <v>730</v>
      </c>
      <c r="Q656" s="1069" t="str">
        <f t="shared" ca="1" si="234"/>
        <v xml:space="preserve"> </v>
      </c>
      <c r="R656" s="1069" t="str">
        <f t="shared" ca="1" si="234"/>
        <v xml:space="preserve"> </v>
      </c>
      <c r="S656" s="1069" t="str">
        <f t="shared" ca="1" si="234"/>
        <v xml:space="preserve"> </v>
      </c>
      <c r="T656" s="1069" t="str">
        <f t="shared" ca="1" si="234"/>
        <v xml:space="preserve"> </v>
      </c>
      <c r="U656" s="1069" t="str">
        <f t="shared" ca="1" si="234"/>
        <v xml:space="preserve"> </v>
      </c>
      <c r="V656" s="1069" t="str">
        <f t="shared" ca="1" si="234"/>
        <v xml:space="preserve"> </v>
      </c>
      <c r="W656" s="1069" t="str">
        <f t="shared" ca="1" si="234"/>
        <v xml:space="preserve"> </v>
      </c>
      <c r="X656" s="1069" t="str">
        <f t="shared" ca="1" si="234"/>
        <v xml:space="preserve"> </v>
      </c>
      <c r="Y656" s="1069" t="str">
        <f t="shared" ca="1" si="234"/>
        <v xml:space="preserve"> </v>
      </c>
      <c r="Z656" s="1069" t="str">
        <f t="shared" ca="1" si="234"/>
        <v xml:space="preserve"> </v>
      </c>
      <c r="AA656" s="1069" t="str">
        <f t="shared" ca="1" si="234"/>
        <v xml:space="preserve"> </v>
      </c>
    </row>
    <row r="657" spans="1:27" s="1069" customFormat="1" ht="9.9499999999999993" customHeight="1">
      <c r="A657" s="1069">
        <v>133</v>
      </c>
      <c r="D657" s="1069" t="str">
        <f t="shared" ref="D657:AA657" ca="1" si="235">IF(ISNUMBER(D656),IF(D656+2&lt;E$726,IF(ISNA(MATCH("Y",INDIRECT("Skills!"&amp;$C$523&amp;D656+1&amp;":"&amp;$C$523&amp;E$726),0))," ",MATCH("Y",INDIRECT("Skills!"&amp;$C$523&amp;D656+1&amp;":"&amp;$C$523&amp;E$726),0)+D656)," ")," ")</f>
        <v xml:space="preserve"> </v>
      </c>
      <c r="E657" s="1069" t="str">
        <f t="shared" ca="1" si="235"/>
        <v xml:space="preserve"> </v>
      </c>
      <c r="F657" s="1069" t="str">
        <f t="shared" ca="1" si="235"/>
        <v xml:space="preserve"> </v>
      </c>
      <c r="G657" s="1069" t="str">
        <f t="shared" ca="1" si="235"/>
        <v xml:space="preserve"> </v>
      </c>
      <c r="H657" s="1069" t="str">
        <f t="shared" ca="1" si="235"/>
        <v xml:space="preserve"> </v>
      </c>
      <c r="I657" s="1069" t="str">
        <f t="shared" ca="1" si="235"/>
        <v xml:space="preserve"> </v>
      </c>
      <c r="J657" s="1069" t="str">
        <f t="shared" ca="1" si="235"/>
        <v xml:space="preserve"> </v>
      </c>
      <c r="K657" s="1069" t="str">
        <f t="shared" ca="1" si="235"/>
        <v xml:space="preserve"> </v>
      </c>
      <c r="L657" s="1069" t="str">
        <f t="shared" ca="1" si="235"/>
        <v xml:space="preserve"> </v>
      </c>
      <c r="M657" s="1069" t="str">
        <f t="shared" ca="1" si="235"/>
        <v xml:space="preserve"> </v>
      </c>
      <c r="N657" s="1069" t="str">
        <f t="shared" ca="1" si="235"/>
        <v xml:space="preserve"> </v>
      </c>
      <c r="O657" s="1069" t="str">
        <f t="shared" ca="1" si="235"/>
        <v xml:space="preserve"> </v>
      </c>
      <c r="P657" s="1069">
        <f t="shared" ca="1" si="235"/>
        <v>731</v>
      </c>
      <c r="Q657" s="1069" t="str">
        <f t="shared" ca="1" si="235"/>
        <v xml:space="preserve"> </v>
      </c>
      <c r="R657" s="1069" t="str">
        <f t="shared" ca="1" si="235"/>
        <v xml:space="preserve"> </v>
      </c>
      <c r="S657" s="1069" t="str">
        <f t="shared" ca="1" si="235"/>
        <v xml:space="preserve"> </v>
      </c>
      <c r="T657" s="1069" t="str">
        <f t="shared" ca="1" si="235"/>
        <v xml:space="preserve"> </v>
      </c>
      <c r="U657" s="1069" t="str">
        <f t="shared" ca="1" si="235"/>
        <v xml:space="preserve"> </v>
      </c>
      <c r="V657" s="1069" t="str">
        <f t="shared" ca="1" si="235"/>
        <v xml:space="preserve"> </v>
      </c>
      <c r="W657" s="1069" t="str">
        <f t="shared" ca="1" si="235"/>
        <v xml:space="preserve"> </v>
      </c>
      <c r="X657" s="1069" t="str">
        <f t="shared" ca="1" si="235"/>
        <v xml:space="preserve"> </v>
      </c>
      <c r="Y657" s="1069" t="str">
        <f t="shared" ca="1" si="235"/>
        <v xml:space="preserve"> </v>
      </c>
      <c r="Z657" s="1069" t="str">
        <f t="shared" ca="1" si="235"/>
        <v xml:space="preserve"> </v>
      </c>
      <c r="AA657" s="1069" t="str">
        <f t="shared" ca="1" si="235"/>
        <v xml:space="preserve"> </v>
      </c>
    </row>
    <row r="658" spans="1:27" s="1069" customFormat="1" ht="9.9499999999999993" customHeight="1">
      <c r="A658" s="1069">
        <v>134</v>
      </c>
      <c r="D658" s="1069" t="str">
        <f t="shared" ref="D658:AA658" ca="1" si="236">IF(ISNUMBER(D657),IF(D657+2&lt;E$726,IF(ISNA(MATCH("Y",INDIRECT("Skills!"&amp;$C$523&amp;D657+1&amp;":"&amp;$C$523&amp;E$726),0))," ",MATCH("Y",INDIRECT("Skills!"&amp;$C$523&amp;D657+1&amp;":"&amp;$C$523&amp;E$726),0)+D657)," ")," ")</f>
        <v xml:space="preserve"> </v>
      </c>
      <c r="E658" s="1069" t="str">
        <f t="shared" ca="1" si="236"/>
        <v xml:space="preserve"> </v>
      </c>
      <c r="F658" s="1069" t="str">
        <f t="shared" ca="1" si="236"/>
        <v xml:space="preserve"> </v>
      </c>
      <c r="G658" s="1069" t="str">
        <f t="shared" ca="1" si="236"/>
        <v xml:space="preserve"> </v>
      </c>
      <c r="H658" s="1069" t="str">
        <f t="shared" ca="1" si="236"/>
        <v xml:space="preserve"> </v>
      </c>
      <c r="I658" s="1069" t="str">
        <f t="shared" ca="1" si="236"/>
        <v xml:space="preserve"> </v>
      </c>
      <c r="J658" s="1069" t="str">
        <f t="shared" ca="1" si="236"/>
        <v xml:space="preserve"> </v>
      </c>
      <c r="K658" s="1069" t="str">
        <f t="shared" ca="1" si="236"/>
        <v xml:space="preserve"> </v>
      </c>
      <c r="L658" s="1069" t="str">
        <f t="shared" ca="1" si="236"/>
        <v xml:space="preserve"> </v>
      </c>
      <c r="M658" s="1069" t="str">
        <f t="shared" ca="1" si="236"/>
        <v xml:space="preserve"> </v>
      </c>
      <c r="N658" s="1069" t="str">
        <f t="shared" ca="1" si="236"/>
        <v xml:space="preserve"> </v>
      </c>
      <c r="O658" s="1069" t="str">
        <f t="shared" ca="1" si="236"/>
        <v xml:space="preserve"> </v>
      </c>
      <c r="P658" s="1069">
        <f t="shared" ca="1" si="236"/>
        <v>732</v>
      </c>
      <c r="Q658" s="1069" t="str">
        <f t="shared" ca="1" si="236"/>
        <v xml:space="preserve"> </v>
      </c>
      <c r="R658" s="1069" t="str">
        <f t="shared" ca="1" si="236"/>
        <v xml:space="preserve"> </v>
      </c>
      <c r="S658" s="1069" t="str">
        <f t="shared" ca="1" si="236"/>
        <v xml:space="preserve"> </v>
      </c>
      <c r="T658" s="1069" t="str">
        <f t="shared" ca="1" si="236"/>
        <v xml:space="preserve"> </v>
      </c>
      <c r="U658" s="1069" t="str">
        <f t="shared" ca="1" si="236"/>
        <v xml:space="preserve"> </v>
      </c>
      <c r="V658" s="1069" t="str">
        <f t="shared" ca="1" si="236"/>
        <v xml:space="preserve"> </v>
      </c>
      <c r="W658" s="1069" t="str">
        <f t="shared" ca="1" si="236"/>
        <v xml:space="preserve"> </v>
      </c>
      <c r="X658" s="1069" t="str">
        <f t="shared" ca="1" si="236"/>
        <v xml:space="preserve"> </v>
      </c>
      <c r="Y658" s="1069" t="str">
        <f t="shared" ca="1" si="236"/>
        <v xml:space="preserve"> </v>
      </c>
      <c r="Z658" s="1069" t="str">
        <f t="shared" ca="1" si="236"/>
        <v xml:space="preserve"> </v>
      </c>
      <c r="AA658" s="1069" t="str">
        <f t="shared" ca="1" si="236"/>
        <v xml:space="preserve"> </v>
      </c>
    </row>
    <row r="659" spans="1:27" s="1069" customFormat="1" ht="9.9499999999999993" customHeight="1">
      <c r="A659" s="1069">
        <v>135</v>
      </c>
      <c r="D659" s="1069" t="str">
        <f t="shared" ref="D659:AA659" ca="1" si="237">IF(ISNUMBER(D658),IF(D658+2&lt;E$726,IF(ISNA(MATCH("Y",INDIRECT("Skills!"&amp;$C$523&amp;D658+1&amp;":"&amp;$C$523&amp;E$726),0))," ",MATCH("Y",INDIRECT("Skills!"&amp;$C$523&amp;D658+1&amp;":"&amp;$C$523&amp;E$726),0)+D658)," ")," ")</f>
        <v xml:space="preserve"> </v>
      </c>
      <c r="E659" s="1069" t="str">
        <f t="shared" ca="1" si="237"/>
        <v xml:space="preserve"> </v>
      </c>
      <c r="F659" s="1069" t="str">
        <f t="shared" ca="1" si="237"/>
        <v xml:space="preserve"> </v>
      </c>
      <c r="G659" s="1069" t="str">
        <f t="shared" ca="1" si="237"/>
        <v xml:space="preserve"> </v>
      </c>
      <c r="H659" s="1069" t="str">
        <f t="shared" ca="1" si="237"/>
        <v xml:space="preserve"> </v>
      </c>
      <c r="I659" s="1069" t="str">
        <f t="shared" ca="1" si="237"/>
        <v xml:space="preserve"> </v>
      </c>
      <c r="J659" s="1069" t="str">
        <f t="shared" ca="1" si="237"/>
        <v xml:space="preserve"> </v>
      </c>
      <c r="K659" s="1069" t="str">
        <f t="shared" ca="1" si="237"/>
        <v xml:space="preserve"> </v>
      </c>
      <c r="L659" s="1069" t="str">
        <f t="shared" ca="1" si="237"/>
        <v xml:space="preserve"> </v>
      </c>
      <c r="M659" s="1069" t="str">
        <f t="shared" ca="1" si="237"/>
        <v xml:space="preserve"> </v>
      </c>
      <c r="N659" s="1069" t="str">
        <f t="shared" ca="1" si="237"/>
        <v xml:space="preserve"> </v>
      </c>
      <c r="O659" s="1069" t="str">
        <f t="shared" ca="1" si="237"/>
        <v xml:space="preserve"> </v>
      </c>
      <c r="P659" s="1069">
        <f t="shared" ca="1" si="237"/>
        <v>733</v>
      </c>
      <c r="Q659" s="1069" t="str">
        <f t="shared" ca="1" si="237"/>
        <v xml:space="preserve"> </v>
      </c>
      <c r="R659" s="1069" t="str">
        <f t="shared" ca="1" si="237"/>
        <v xml:space="preserve"> </v>
      </c>
      <c r="S659" s="1069" t="str">
        <f t="shared" ca="1" si="237"/>
        <v xml:space="preserve"> </v>
      </c>
      <c r="T659" s="1069" t="str">
        <f t="shared" ca="1" si="237"/>
        <v xml:space="preserve"> </v>
      </c>
      <c r="U659" s="1069" t="str">
        <f t="shared" ca="1" si="237"/>
        <v xml:space="preserve"> </v>
      </c>
      <c r="V659" s="1069" t="str">
        <f t="shared" ca="1" si="237"/>
        <v xml:space="preserve"> </v>
      </c>
      <c r="W659" s="1069" t="str">
        <f t="shared" ca="1" si="237"/>
        <v xml:space="preserve"> </v>
      </c>
      <c r="X659" s="1069" t="str">
        <f t="shared" ca="1" si="237"/>
        <v xml:space="preserve"> </v>
      </c>
      <c r="Y659" s="1069" t="str">
        <f t="shared" ca="1" si="237"/>
        <v xml:space="preserve"> </v>
      </c>
      <c r="Z659" s="1069" t="str">
        <f t="shared" ca="1" si="237"/>
        <v xml:space="preserve"> </v>
      </c>
      <c r="AA659" s="1069" t="str">
        <f t="shared" ca="1" si="237"/>
        <v xml:space="preserve"> </v>
      </c>
    </row>
    <row r="660" spans="1:27" s="1069" customFormat="1" ht="9.9499999999999993" customHeight="1">
      <c r="A660" s="1069">
        <v>136</v>
      </c>
      <c r="D660" s="1069" t="str">
        <f t="shared" ref="D660:AA660" ca="1" si="238">IF(ISNUMBER(D659),IF(D659+2&lt;E$726,IF(ISNA(MATCH("Y",INDIRECT("Skills!"&amp;$C$523&amp;D659+1&amp;":"&amp;$C$523&amp;E$726),0))," ",MATCH("Y",INDIRECT("Skills!"&amp;$C$523&amp;D659+1&amp;":"&amp;$C$523&amp;E$726),0)+D659)," ")," ")</f>
        <v xml:space="preserve"> </v>
      </c>
      <c r="E660" s="1069" t="str">
        <f t="shared" ca="1" si="238"/>
        <v xml:space="preserve"> </v>
      </c>
      <c r="F660" s="1069" t="str">
        <f t="shared" ca="1" si="238"/>
        <v xml:space="preserve"> </v>
      </c>
      <c r="G660" s="1069" t="str">
        <f t="shared" ca="1" si="238"/>
        <v xml:space="preserve"> </v>
      </c>
      <c r="H660" s="1069" t="str">
        <f t="shared" ca="1" si="238"/>
        <v xml:space="preserve"> </v>
      </c>
      <c r="I660" s="1069" t="str">
        <f t="shared" ca="1" si="238"/>
        <v xml:space="preserve"> </v>
      </c>
      <c r="J660" s="1069" t="str">
        <f t="shared" ca="1" si="238"/>
        <v xml:space="preserve"> </v>
      </c>
      <c r="K660" s="1069" t="str">
        <f t="shared" ca="1" si="238"/>
        <v xml:space="preserve"> </v>
      </c>
      <c r="L660" s="1069" t="str">
        <f t="shared" ca="1" si="238"/>
        <v xml:space="preserve"> </v>
      </c>
      <c r="M660" s="1069" t="str">
        <f t="shared" ca="1" si="238"/>
        <v xml:space="preserve"> </v>
      </c>
      <c r="N660" s="1069" t="str">
        <f t="shared" ca="1" si="238"/>
        <v xml:space="preserve"> </v>
      </c>
      <c r="O660" s="1069" t="str">
        <f t="shared" ca="1" si="238"/>
        <v xml:space="preserve"> </v>
      </c>
      <c r="P660" s="1069">
        <f t="shared" ca="1" si="238"/>
        <v>734</v>
      </c>
      <c r="Q660" s="1069" t="str">
        <f t="shared" ca="1" si="238"/>
        <v xml:space="preserve"> </v>
      </c>
      <c r="R660" s="1069" t="str">
        <f t="shared" ca="1" si="238"/>
        <v xml:space="preserve"> </v>
      </c>
      <c r="S660" s="1069" t="str">
        <f t="shared" ca="1" si="238"/>
        <v xml:space="preserve"> </v>
      </c>
      <c r="T660" s="1069" t="str">
        <f t="shared" ca="1" si="238"/>
        <v xml:space="preserve"> </v>
      </c>
      <c r="U660" s="1069" t="str">
        <f t="shared" ca="1" si="238"/>
        <v xml:space="preserve"> </v>
      </c>
      <c r="V660" s="1069" t="str">
        <f t="shared" ca="1" si="238"/>
        <v xml:space="preserve"> </v>
      </c>
      <c r="W660" s="1069" t="str">
        <f t="shared" ca="1" si="238"/>
        <v xml:space="preserve"> </v>
      </c>
      <c r="X660" s="1069" t="str">
        <f t="shared" ca="1" si="238"/>
        <v xml:space="preserve"> </v>
      </c>
      <c r="Y660" s="1069" t="str">
        <f t="shared" ca="1" si="238"/>
        <v xml:space="preserve"> </v>
      </c>
      <c r="Z660" s="1069" t="str">
        <f t="shared" ca="1" si="238"/>
        <v xml:space="preserve"> </v>
      </c>
      <c r="AA660" s="1069" t="str">
        <f t="shared" ca="1" si="238"/>
        <v xml:space="preserve"> </v>
      </c>
    </row>
    <row r="661" spans="1:27" s="1069" customFormat="1" ht="9.9499999999999993" customHeight="1">
      <c r="A661" s="1069">
        <v>137</v>
      </c>
      <c r="D661" s="1069" t="str">
        <f t="shared" ref="D661:AA661" ca="1" si="239">IF(ISNUMBER(D660),IF(D660+2&lt;E$726,IF(ISNA(MATCH("Y",INDIRECT("Skills!"&amp;$C$523&amp;D660+1&amp;":"&amp;$C$523&amp;E$726),0))," ",MATCH("Y",INDIRECT("Skills!"&amp;$C$523&amp;D660+1&amp;":"&amp;$C$523&amp;E$726),0)+D660)," ")," ")</f>
        <v xml:space="preserve"> </v>
      </c>
      <c r="E661" s="1069" t="str">
        <f t="shared" ca="1" si="239"/>
        <v xml:space="preserve"> </v>
      </c>
      <c r="F661" s="1069" t="str">
        <f t="shared" ca="1" si="239"/>
        <v xml:space="preserve"> </v>
      </c>
      <c r="G661" s="1069" t="str">
        <f t="shared" ca="1" si="239"/>
        <v xml:space="preserve"> </v>
      </c>
      <c r="H661" s="1069" t="str">
        <f t="shared" ca="1" si="239"/>
        <v xml:space="preserve"> </v>
      </c>
      <c r="I661" s="1069" t="str">
        <f t="shared" ca="1" si="239"/>
        <v xml:space="preserve"> </v>
      </c>
      <c r="J661" s="1069" t="str">
        <f t="shared" ca="1" si="239"/>
        <v xml:space="preserve"> </v>
      </c>
      <c r="K661" s="1069" t="str">
        <f t="shared" ca="1" si="239"/>
        <v xml:space="preserve"> </v>
      </c>
      <c r="L661" s="1069" t="str">
        <f t="shared" ca="1" si="239"/>
        <v xml:space="preserve"> </v>
      </c>
      <c r="M661" s="1069" t="str">
        <f t="shared" ca="1" si="239"/>
        <v xml:space="preserve"> </v>
      </c>
      <c r="N661" s="1069" t="str">
        <f t="shared" ca="1" si="239"/>
        <v xml:space="preserve"> </v>
      </c>
      <c r="O661" s="1069" t="str">
        <f t="shared" ca="1" si="239"/>
        <v xml:space="preserve"> </v>
      </c>
      <c r="P661" s="1069">
        <f t="shared" ca="1" si="239"/>
        <v>735</v>
      </c>
      <c r="Q661" s="1069" t="str">
        <f t="shared" ca="1" si="239"/>
        <v xml:space="preserve"> </v>
      </c>
      <c r="R661" s="1069" t="str">
        <f t="shared" ca="1" si="239"/>
        <v xml:space="preserve"> </v>
      </c>
      <c r="S661" s="1069" t="str">
        <f t="shared" ca="1" si="239"/>
        <v xml:space="preserve"> </v>
      </c>
      <c r="T661" s="1069" t="str">
        <f t="shared" ca="1" si="239"/>
        <v xml:space="preserve"> </v>
      </c>
      <c r="U661" s="1069" t="str">
        <f t="shared" ca="1" si="239"/>
        <v xml:space="preserve"> </v>
      </c>
      <c r="V661" s="1069" t="str">
        <f t="shared" ca="1" si="239"/>
        <v xml:space="preserve"> </v>
      </c>
      <c r="W661" s="1069" t="str">
        <f t="shared" ca="1" si="239"/>
        <v xml:space="preserve"> </v>
      </c>
      <c r="X661" s="1069" t="str">
        <f t="shared" ca="1" si="239"/>
        <v xml:space="preserve"> </v>
      </c>
      <c r="Y661" s="1069" t="str">
        <f t="shared" ca="1" si="239"/>
        <v xml:space="preserve"> </v>
      </c>
      <c r="Z661" s="1069" t="str">
        <f t="shared" ca="1" si="239"/>
        <v xml:space="preserve"> </v>
      </c>
      <c r="AA661" s="1069" t="str">
        <f t="shared" ca="1" si="239"/>
        <v xml:space="preserve"> </v>
      </c>
    </row>
    <row r="662" spans="1:27" s="1069" customFormat="1" ht="9.9499999999999993" customHeight="1">
      <c r="A662" s="1069">
        <v>138</v>
      </c>
      <c r="D662" s="1069" t="str">
        <f t="shared" ref="D662:AA662" ca="1" si="240">IF(ISNUMBER(D661),IF(D661+2&lt;E$726,IF(ISNA(MATCH("Y",INDIRECT("Skills!"&amp;$C$523&amp;D661+1&amp;":"&amp;$C$523&amp;E$726),0))," ",MATCH("Y",INDIRECT("Skills!"&amp;$C$523&amp;D661+1&amp;":"&amp;$C$523&amp;E$726),0)+D661)," ")," ")</f>
        <v xml:space="preserve"> </v>
      </c>
      <c r="E662" s="1069" t="str">
        <f t="shared" ca="1" si="240"/>
        <v xml:space="preserve"> </v>
      </c>
      <c r="F662" s="1069" t="str">
        <f t="shared" ca="1" si="240"/>
        <v xml:space="preserve"> </v>
      </c>
      <c r="G662" s="1069" t="str">
        <f t="shared" ca="1" si="240"/>
        <v xml:space="preserve"> </v>
      </c>
      <c r="H662" s="1069" t="str">
        <f t="shared" ca="1" si="240"/>
        <v xml:space="preserve"> </v>
      </c>
      <c r="I662" s="1069" t="str">
        <f t="shared" ca="1" si="240"/>
        <v xml:space="preserve"> </v>
      </c>
      <c r="J662" s="1069" t="str">
        <f t="shared" ca="1" si="240"/>
        <v xml:space="preserve"> </v>
      </c>
      <c r="K662" s="1069" t="str">
        <f t="shared" ca="1" si="240"/>
        <v xml:space="preserve"> </v>
      </c>
      <c r="L662" s="1069" t="str">
        <f t="shared" ca="1" si="240"/>
        <v xml:space="preserve"> </v>
      </c>
      <c r="M662" s="1069" t="str">
        <f t="shared" ca="1" si="240"/>
        <v xml:space="preserve"> </v>
      </c>
      <c r="N662" s="1069" t="str">
        <f t="shared" ca="1" si="240"/>
        <v xml:space="preserve"> </v>
      </c>
      <c r="O662" s="1069" t="str">
        <f t="shared" ca="1" si="240"/>
        <v xml:space="preserve"> </v>
      </c>
      <c r="P662" s="1069">
        <f t="shared" ca="1" si="240"/>
        <v>736</v>
      </c>
      <c r="Q662" s="1069" t="str">
        <f t="shared" ca="1" si="240"/>
        <v xml:space="preserve"> </v>
      </c>
      <c r="R662" s="1069" t="str">
        <f t="shared" ca="1" si="240"/>
        <v xml:space="preserve"> </v>
      </c>
      <c r="S662" s="1069" t="str">
        <f t="shared" ca="1" si="240"/>
        <v xml:space="preserve"> </v>
      </c>
      <c r="T662" s="1069" t="str">
        <f t="shared" ca="1" si="240"/>
        <v xml:space="preserve"> </v>
      </c>
      <c r="U662" s="1069" t="str">
        <f t="shared" ca="1" si="240"/>
        <v xml:space="preserve"> </v>
      </c>
      <c r="V662" s="1069" t="str">
        <f t="shared" ca="1" si="240"/>
        <v xml:space="preserve"> </v>
      </c>
      <c r="W662" s="1069" t="str">
        <f t="shared" ca="1" si="240"/>
        <v xml:space="preserve"> </v>
      </c>
      <c r="X662" s="1069" t="str">
        <f t="shared" ca="1" si="240"/>
        <v xml:space="preserve"> </v>
      </c>
      <c r="Y662" s="1069" t="str">
        <f t="shared" ca="1" si="240"/>
        <v xml:space="preserve"> </v>
      </c>
      <c r="Z662" s="1069" t="str">
        <f t="shared" ca="1" si="240"/>
        <v xml:space="preserve"> </v>
      </c>
      <c r="AA662" s="1069" t="str">
        <f t="shared" ca="1" si="240"/>
        <v xml:space="preserve"> </v>
      </c>
    </row>
    <row r="663" spans="1:27" s="1069" customFormat="1" ht="9.9499999999999993" customHeight="1">
      <c r="A663" s="1069">
        <v>139</v>
      </c>
      <c r="D663" s="1069" t="str">
        <f t="shared" ref="D663:AA663" ca="1" si="241">IF(ISNUMBER(D662),IF(D662+2&lt;E$726,IF(ISNA(MATCH("Y",INDIRECT("Skills!"&amp;$C$523&amp;D662+1&amp;":"&amp;$C$523&amp;E$726),0))," ",MATCH("Y",INDIRECT("Skills!"&amp;$C$523&amp;D662+1&amp;":"&amp;$C$523&amp;E$726),0)+D662)," ")," ")</f>
        <v xml:space="preserve"> </v>
      </c>
      <c r="E663" s="1069" t="str">
        <f t="shared" ca="1" si="241"/>
        <v xml:space="preserve"> </v>
      </c>
      <c r="F663" s="1069" t="str">
        <f t="shared" ca="1" si="241"/>
        <v xml:space="preserve"> </v>
      </c>
      <c r="G663" s="1069" t="str">
        <f t="shared" ca="1" si="241"/>
        <v xml:space="preserve"> </v>
      </c>
      <c r="H663" s="1069" t="str">
        <f t="shared" ca="1" si="241"/>
        <v xml:space="preserve"> </v>
      </c>
      <c r="I663" s="1069" t="str">
        <f t="shared" ca="1" si="241"/>
        <v xml:space="preserve"> </v>
      </c>
      <c r="J663" s="1069" t="str">
        <f t="shared" ca="1" si="241"/>
        <v xml:space="preserve"> </v>
      </c>
      <c r="K663" s="1069" t="str">
        <f t="shared" ca="1" si="241"/>
        <v xml:space="preserve"> </v>
      </c>
      <c r="L663" s="1069" t="str">
        <f t="shared" ca="1" si="241"/>
        <v xml:space="preserve"> </v>
      </c>
      <c r="M663" s="1069" t="str">
        <f t="shared" ca="1" si="241"/>
        <v xml:space="preserve"> </v>
      </c>
      <c r="N663" s="1069" t="str">
        <f t="shared" ca="1" si="241"/>
        <v xml:space="preserve"> </v>
      </c>
      <c r="O663" s="1069" t="str">
        <f t="shared" ca="1" si="241"/>
        <v xml:space="preserve"> </v>
      </c>
      <c r="P663" s="1069">
        <f t="shared" ca="1" si="241"/>
        <v>737</v>
      </c>
      <c r="Q663" s="1069" t="str">
        <f t="shared" ca="1" si="241"/>
        <v xml:space="preserve"> </v>
      </c>
      <c r="R663" s="1069" t="str">
        <f t="shared" ca="1" si="241"/>
        <v xml:space="preserve"> </v>
      </c>
      <c r="S663" s="1069" t="str">
        <f t="shared" ca="1" si="241"/>
        <v xml:space="preserve"> </v>
      </c>
      <c r="T663" s="1069" t="str">
        <f t="shared" ca="1" si="241"/>
        <v xml:space="preserve"> </v>
      </c>
      <c r="U663" s="1069" t="str">
        <f t="shared" ca="1" si="241"/>
        <v xml:space="preserve"> </v>
      </c>
      <c r="V663" s="1069" t="str">
        <f t="shared" ca="1" si="241"/>
        <v xml:space="preserve"> </v>
      </c>
      <c r="W663" s="1069" t="str">
        <f t="shared" ca="1" si="241"/>
        <v xml:space="preserve"> </v>
      </c>
      <c r="X663" s="1069" t="str">
        <f t="shared" ca="1" si="241"/>
        <v xml:space="preserve"> </v>
      </c>
      <c r="Y663" s="1069" t="str">
        <f t="shared" ca="1" si="241"/>
        <v xml:space="preserve"> </v>
      </c>
      <c r="Z663" s="1069" t="str">
        <f t="shared" ca="1" si="241"/>
        <v xml:space="preserve"> </v>
      </c>
      <c r="AA663" s="1069" t="str">
        <f t="shared" ca="1" si="241"/>
        <v xml:space="preserve"> </v>
      </c>
    </row>
    <row r="664" spans="1:27" s="1069" customFormat="1" ht="9.9499999999999993" customHeight="1">
      <c r="A664" s="1069">
        <v>140</v>
      </c>
      <c r="D664" s="1069" t="str">
        <f t="shared" ref="D664:AA664" ca="1" si="242">IF(ISNUMBER(D663),IF(D663+2&lt;E$726,IF(ISNA(MATCH("Y",INDIRECT("Skills!"&amp;$C$523&amp;D663+1&amp;":"&amp;$C$523&amp;E$726),0))," ",MATCH("Y",INDIRECT("Skills!"&amp;$C$523&amp;D663+1&amp;":"&amp;$C$523&amp;E$726),0)+D663)," ")," ")</f>
        <v xml:space="preserve"> </v>
      </c>
      <c r="E664" s="1069" t="str">
        <f t="shared" ca="1" si="242"/>
        <v xml:space="preserve"> </v>
      </c>
      <c r="F664" s="1069" t="str">
        <f t="shared" ca="1" si="242"/>
        <v xml:space="preserve"> </v>
      </c>
      <c r="G664" s="1069" t="str">
        <f t="shared" ca="1" si="242"/>
        <v xml:space="preserve"> </v>
      </c>
      <c r="H664" s="1069" t="str">
        <f t="shared" ca="1" si="242"/>
        <v xml:space="preserve"> </v>
      </c>
      <c r="I664" s="1069" t="str">
        <f t="shared" ca="1" si="242"/>
        <v xml:space="preserve"> </v>
      </c>
      <c r="J664" s="1069" t="str">
        <f t="shared" ca="1" si="242"/>
        <v xml:space="preserve"> </v>
      </c>
      <c r="K664" s="1069" t="str">
        <f t="shared" ca="1" si="242"/>
        <v xml:space="preserve"> </v>
      </c>
      <c r="L664" s="1069" t="str">
        <f t="shared" ca="1" si="242"/>
        <v xml:space="preserve"> </v>
      </c>
      <c r="M664" s="1069" t="str">
        <f t="shared" ca="1" si="242"/>
        <v xml:space="preserve"> </v>
      </c>
      <c r="N664" s="1069" t="str">
        <f t="shared" ca="1" si="242"/>
        <v xml:space="preserve"> </v>
      </c>
      <c r="O664" s="1069" t="str">
        <f t="shared" ca="1" si="242"/>
        <v xml:space="preserve"> </v>
      </c>
      <c r="P664" s="1069">
        <f t="shared" ca="1" si="242"/>
        <v>738</v>
      </c>
      <c r="Q664" s="1069" t="str">
        <f t="shared" ca="1" si="242"/>
        <v xml:space="preserve"> </v>
      </c>
      <c r="R664" s="1069" t="str">
        <f t="shared" ca="1" si="242"/>
        <v xml:space="preserve"> </v>
      </c>
      <c r="S664" s="1069" t="str">
        <f t="shared" ca="1" si="242"/>
        <v xml:space="preserve"> </v>
      </c>
      <c r="T664" s="1069" t="str">
        <f t="shared" ca="1" si="242"/>
        <v xml:space="preserve"> </v>
      </c>
      <c r="U664" s="1069" t="str">
        <f t="shared" ca="1" si="242"/>
        <v xml:space="preserve"> </v>
      </c>
      <c r="V664" s="1069" t="str">
        <f t="shared" ca="1" si="242"/>
        <v xml:space="preserve"> </v>
      </c>
      <c r="W664" s="1069" t="str">
        <f t="shared" ca="1" si="242"/>
        <v xml:space="preserve"> </v>
      </c>
      <c r="X664" s="1069" t="str">
        <f t="shared" ca="1" si="242"/>
        <v xml:space="preserve"> </v>
      </c>
      <c r="Y664" s="1069" t="str">
        <f t="shared" ca="1" si="242"/>
        <v xml:space="preserve"> </v>
      </c>
      <c r="Z664" s="1069" t="str">
        <f t="shared" ca="1" si="242"/>
        <v xml:space="preserve"> </v>
      </c>
      <c r="AA664" s="1069" t="str">
        <f t="shared" ca="1" si="242"/>
        <v xml:space="preserve"> </v>
      </c>
    </row>
    <row r="665" spans="1:27" s="1069" customFormat="1" ht="9.9499999999999993" customHeight="1">
      <c r="A665" s="1069">
        <v>141</v>
      </c>
      <c r="D665" s="1069" t="str">
        <f t="shared" ref="D665:AA665" ca="1" si="243">IF(ISNUMBER(D664),IF(D664+2&lt;E$726,IF(ISNA(MATCH("Y",INDIRECT("Skills!"&amp;$C$523&amp;D664+1&amp;":"&amp;$C$523&amp;E$726),0))," ",MATCH("Y",INDIRECT("Skills!"&amp;$C$523&amp;D664+1&amp;":"&amp;$C$523&amp;E$726),0)+D664)," ")," ")</f>
        <v xml:space="preserve"> </v>
      </c>
      <c r="E665" s="1069" t="str">
        <f t="shared" ca="1" si="243"/>
        <v xml:space="preserve"> </v>
      </c>
      <c r="F665" s="1069" t="str">
        <f t="shared" ca="1" si="243"/>
        <v xml:space="preserve"> </v>
      </c>
      <c r="G665" s="1069" t="str">
        <f t="shared" ca="1" si="243"/>
        <v xml:space="preserve"> </v>
      </c>
      <c r="H665" s="1069" t="str">
        <f t="shared" ca="1" si="243"/>
        <v xml:space="preserve"> </v>
      </c>
      <c r="I665" s="1069" t="str">
        <f t="shared" ca="1" si="243"/>
        <v xml:space="preserve"> </v>
      </c>
      <c r="J665" s="1069" t="str">
        <f t="shared" ca="1" si="243"/>
        <v xml:space="preserve"> </v>
      </c>
      <c r="K665" s="1069" t="str">
        <f t="shared" ca="1" si="243"/>
        <v xml:space="preserve"> </v>
      </c>
      <c r="L665" s="1069" t="str">
        <f t="shared" ca="1" si="243"/>
        <v xml:space="preserve"> </v>
      </c>
      <c r="M665" s="1069" t="str">
        <f t="shared" ca="1" si="243"/>
        <v xml:space="preserve"> </v>
      </c>
      <c r="N665" s="1069" t="str">
        <f t="shared" ca="1" si="243"/>
        <v xml:space="preserve"> </v>
      </c>
      <c r="O665" s="1069" t="str">
        <f t="shared" ca="1" si="243"/>
        <v xml:space="preserve"> </v>
      </c>
      <c r="P665" s="1069">
        <f t="shared" ca="1" si="243"/>
        <v>739</v>
      </c>
      <c r="Q665" s="1069" t="str">
        <f t="shared" ca="1" si="243"/>
        <v xml:space="preserve"> </v>
      </c>
      <c r="R665" s="1069" t="str">
        <f t="shared" ca="1" si="243"/>
        <v xml:space="preserve"> </v>
      </c>
      <c r="S665" s="1069" t="str">
        <f t="shared" ca="1" si="243"/>
        <v xml:space="preserve"> </v>
      </c>
      <c r="T665" s="1069" t="str">
        <f t="shared" ca="1" si="243"/>
        <v xml:space="preserve"> </v>
      </c>
      <c r="U665" s="1069" t="str">
        <f t="shared" ca="1" si="243"/>
        <v xml:space="preserve"> </v>
      </c>
      <c r="V665" s="1069" t="str">
        <f t="shared" ca="1" si="243"/>
        <v xml:space="preserve"> </v>
      </c>
      <c r="W665" s="1069" t="str">
        <f t="shared" ca="1" si="243"/>
        <v xml:space="preserve"> </v>
      </c>
      <c r="X665" s="1069" t="str">
        <f t="shared" ca="1" si="243"/>
        <v xml:space="preserve"> </v>
      </c>
      <c r="Y665" s="1069" t="str">
        <f t="shared" ca="1" si="243"/>
        <v xml:space="preserve"> </v>
      </c>
      <c r="Z665" s="1069" t="str">
        <f t="shared" ca="1" si="243"/>
        <v xml:space="preserve"> </v>
      </c>
      <c r="AA665" s="1069" t="str">
        <f t="shared" ca="1" si="243"/>
        <v xml:space="preserve"> </v>
      </c>
    </row>
    <row r="666" spans="1:27" s="1069" customFormat="1" ht="9.9499999999999993" customHeight="1">
      <c r="A666" s="1069">
        <v>142</v>
      </c>
      <c r="D666" s="1069" t="str">
        <f t="shared" ref="D666:AA666" ca="1" si="244">IF(ISNUMBER(D665),IF(D665+2&lt;E$726,IF(ISNA(MATCH("Y",INDIRECT("Skills!"&amp;$C$523&amp;D665+1&amp;":"&amp;$C$523&amp;E$726),0))," ",MATCH("Y",INDIRECT("Skills!"&amp;$C$523&amp;D665+1&amp;":"&amp;$C$523&amp;E$726),0)+D665)," ")," ")</f>
        <v xml:space="preserve"> </v>
      </c>
      <c r="E666" s="1069" t="str">
        <f t="shared" ca="1" si="244"/>
        <v xml:space="preserve"> </v>
      </c>
      <c r="F666" s="1069" t="str">
        <f t="shared" ca="1" si="244"/>
        <v xml:space="preserve"> </v>
      </c>
      <c r="G666" s="1069" t="str">
        <f t="shared" ca="1" si="244"/>
        <v xml:space="preserve"> </v>
      </c>
      <c r="H666" s="1069" t="str">
        <f t="shared" ca="1" si="244"/>
        <v xml:space="preserve"> </v>
      </c>
      <c r="I666" s="1069" t="str">
        <f t="shared" ca="1" si="244"/>
        <v xml:space="preserve"> </v>
      </c>
      <c r="J666" s="1069" t="str">
        <f t="shared" ca="1" si="244"/>
        <v xml:space="preserve"> </v>
      </c>
      <c r="K666" s="1069" t="str">
        <f t="shared" ca="1" si="244"/>
        <v xml:space="preserve"> </v>
      </c>
      <c r="L666" s="1069" t="str">
        <f t="shared" ca="1" si="244"/>
        <v xml:space="preserve"> </v>
      </c>
      <c r="M666" s="1069" t="str">
        <f t="shared" ca="1" si="244"/>
        <v xml:space="preserve"> </v>
      </c>
      <c r="N666" s="1069" t="str">
        <f t="shared" ca="1" si="244"/>
        <v xml:space="preserve"> </v>
      </c>
      <c r="O666" s="1069" t="str">
        <f t="shared" ca="1" si="244"/>
        <v xml:space="preserve"> </v>
      </c>
      <c r="P666" s="1069">
        <f t="shared" ca="1" si="244"/>
        <v>740</v>
      </c>
      <c r="Q666" s="1069" t="str">
        <f t="shared" ca="1" si="244"/>
        <v xml:space="preserve"> </v>
      </c>
      <c r="R666" s="1069" t="str">
        <f t="shared" ca="1" si="244"/>
        <v xml:space="preserve"> </v>
      </c>
      <c r="S666" s="1069" t="str">
        <f t="shared" ca="1" si="244"/>
        <v xml:space="preserve"> </v>
      </c>
      <c r="T666" s="1069" t="str">
        <f t="shared" ca="1" si="244"/>
        <v xml:space="preserve"> </v>
      </c>
      <c r="U666" s="1069" t="str">
        <f t="shared" ca="1" si="244"/>
        <v xml:space="preserve"> </v>
      </c>
      <c r="V666" s="1069" t="str">
        <f t="shared" ca="1" si="244"/>
        <v xml:space="preserve"> </v>
      </c>
      <c r="W666" s="1069" t="str">
        <f t="shared" ca="1" si="244"/>
        <v xml:space="preserve"> </v>
      </c>
      <c r="X666" s="1069" t="str">
        <f t="shared" ca="1" si="244"/>
        <v xml:space="preserve"> </v>
      </c>
      <c r="Y666" s="1069" t="str">
        <f t="shared" ca="1" si="244"/>
        <v xml:space="preserve"> </v>
      </c>
      <c r="Z666" s="1069" t="str">
        <f t="shared" ca="1" si="244"/>
        <v xml:space="preserve"> </v>
      </c>
      <c r="AA666" s="1069" t="str">
        <f t="shared" ca="1" si="244"/>
        <v xml:space="preserve"> </v>
      </c>
    </row>
    <row r="667" spans="1:27" s="1069" customFormat="1" ht="9.9499999999999993" customHeight="1">
      <c r="A667" s="1069">
        <v>143</v>
      </c>
      <c r="D667" s="1069" t="str">
        <f t="shared" ref="D667:AA667" ca="1" si="245">IF(ISNUMBER(D666),IF(D666+2&lt;E$726,IF(ISNA(MATCH("Y",INDIRECT("Skills!"&amp;$C$523&amp;D666+1&amp;":"&amp;$C$523&amp;E$726),0))," ",MATCH("Y",INDIRECT("Skills!"&amp;$C$523&amp;D666+1&amp;":"&amp;$C$523&amp;E$726),0)+D666)," ")," ")</f>
        <v xml:space="preserve"> </v>
      </c>
      <c r="E667" s="1069" t="str">
        <f t="shared" ca="1" si="245"/>
        <v xml:space="preserve"> </v>
      </c>
      <c r="F667" s="1069" t="str">
        <f t="shared" ca="1" si="245"/>
        <v xml:space="preserve"> </v>
      </c>
      <c r="G667" s="1069" t="str">
        <f t="shared" ca="1" si="245"/>
        <v xml:space="preserve"> </v>
      </c>
      <c r="H667" s="1069" t="str">
        <f t="shared" ca="1" si="245"/>
        <v xml:space="preserve"> </v>
      </c>
      <c r="I667" s="1069" t="str">
        <f t="shared" ca="1" si="245"/>
        <v xml:space="preserve"> </v>
      </c>
      <c r="J667" s="1069" t="str">
        <f t="shared" ca="1" si="245"/>
        <v xml:space="preserve"> </v>
      </c>
      <c r="K667" s="1069" t="str">
        <f t="shared" ca="1" si="245"/>
        <v xml:space="preserve"> </v>
      </c>
      <c r="L667" s="1069" t="str">
        <f t="shared" ca="1" si="245"/>
        <v xml:space="preserve"> </v>
      </c>
      <c r="M667" s="1069" t="str">
        <f t="shared" ca="1" si="245"/>
        <v xml:space="preserve"> </v>
      </c>
      <c r="N667" s="1069" t="str">
        <f t="shared" ca="1" si="245"/>
        <v xml:space="preserve"> </v>
      </c>
      <c r="O667" s="1069" t="str">
        <f t="shared" ca="1" si="245"/>
        <v xml:space="preserve"> </v>
      </c>
      <c r="P667" s="1069" t="str">
        <f t="shared" ca="1" si="245"/>
        <v xml:space="preserve"> </v>
      </c>
      <c r="Q667" s="1069" t="str">
        <f t="shared" ca="1" si="245"/>
        <v xml:space="preserve"> </v>
      </c>
      <c r="R667" s="1069" t="str">
        <f t="shared" ca="1" si="245"/>
        <v xml:space="preserve"> </v>
      </c>
      <c r="S667" s="1069" t="str">
        <f t="shared" ca="1" si="245"/>
        <v xml:space="preserve"> </v>
      </c>
      <c r="T667" s="1069" t="str">
        <f t="shared" ca="1" si="245"/>
        <v xml:space="preserve"> </v>
      </c>
      <c r="U667" s="1069" t="str">
        <f t="shared" ca="1" si="245"/>
        <v xml:space="preserve"> </v>
      </c>
      <c r="V667" s="1069" t="str">
        <f t="shared" ca="1" si="245"/>
        <v xml:space="preserve"> </v>
      </c>
      <c r="W667" s="1069" t="str">
        <f t="shared" ca="1" si="245"/>
        <v xml:space="preserve"> </v>
      </c>
      <c r="X667" s="1069" t="str">
        <f t="shared" ca="1" si="245"/>
        <v xml:space="preserve"> </v>
      </c>
      <c r="Y667" s="1069" t="str">
        <f t="shared" ca="1" si="245"/>
        <v xml:space="preserve"> </v>
      </c>
      <c r="Z667" s="1069" t="str">
        <f t="shared" ca="1" si="245"/>
        <v xml:space="preserve"> </v>
      </c>
      <c r="AA667" s="1069" t="str">
        <f t="shared" ca="1" si="245"/>
        <v xml:space="preserve"> </v>
      </c>
    </row>
    <row r="668" spans="1:27" s="1069" customFormat="1" ht="9.9499999999999993" customHeight="1">
      <c r="A668" s="1069">
        <v>144</v>
      </c>
      <c r="D668" s="1069" t="str">
        <f t="shared" ref="D668:AA668" ca="1" si="246">IF(ISNUMBER(D667),IF(D667+2&lt;E$726,IF(ISNA(MATCH("Y",INDIRECT("Skills!"&amp;$C$523&amp;D667+1&amp;":"&amp;$C$523&amp;E$726),0))," ",MATCH("Y",INDIRECT("Skills!"&amp;$C$523&amp;D667+1&amp;":"&amp;$C$523&amp;E$726),0)+D667)," ")," ")</f>
        <v xml:space="preserve"> </v>
      </c>
      <c r="E668" s="1069" t="str">
        <f t="shared" ca="1" si="246"/>
        <v xml:space="preserve"> </v>
      </c>
      <c r="F668" s="1069" t="str">
        <f t="shared" ca="1" si="246"/>
        <v xml:space="preserve"> </v>
      </c>
      <c r="G668" s="1069" t="str">
        <f t="shared" ca="1" si="246"/>
        <v xml:space="preserve"> </v>
      </c>
      <c r="H668" s="1069" t="str">
        <f t="shared" ca="1" si="246"/>
        <v xml:space="preserve"> </v>
      </c>
      <c r="I668" s="1069" t="str">
        <f t="shared" ca="1" si="246"/>
        <v xml:space="preserve"> </v>
      </c>
      <c r="J668" s="1069" t="str">
        <f t="shared" ca="1" si="246"/>
        <v xml:space="preserve"> </v>
      </c>
      <c r="K668" s="1069" t="str">
        <f t="shared" ca="1" si="246"/>
        <v xml:space="preserve"> </v>
      </c>
      <c r="L668" s="1069" t="str">
        <f t="shared" ca="1" si="246"/>
        <v xml:space="preserve"> </v>
      </c>
      <c r="M668" s="1069" t="str">
        <f t="shared" ca="1" si="246"/>
        <v xml:space="preserve"> </v>
      </c>
      <c r="N668" s="1069" t="str">
        <f t="shared" ca="1" si="246"/>
        <v xml:space="preserve"> </v>
      </c>
      <c r="O668" s="1069" t="str">
        <f t="shared" ca="1" si="246"/>
        <v xml:space="preserve"> </v>
      </c>
      <c r="P668" s="1069" t="str">
        <f t="shared" ca="1" si="246"/>
        <v xml:space="preserve"> </v>
      </c>
      <c r="Q668" s="1069" t="str">
        <f t="shared" ca="1" si="246"/>
        <v xml:space="preserve"> </v>
      </c>
      <c r="R668" s="1069" t="str">
        <f t="shared" ca="1" si="246"/>
        <v xml:space="preserve"> </v>
      </c>
      <c r="S668" s="1069" t="str">
        <f t="shared" ca="1" si="246"/>
        <v xml:space="preserve"> </v>
      </c>
      <c r="T668" s="1069" t="str">
        <f t="shared" ca="1" si="246"/>
        <v xml:space="preserve"> </v>
      </c>
      <c r="U668" s="1069" t="str">
        <f t="shared" ca="1" si="246"/>
        <v xml:space="preserve"> </v>
      </c>
      <c r="V668" s="1069" t="str">
        <f t="shared" ca="1" si="246"/>
        <v xml:space="preserve"> </v>
      </c>
      <c r="W668" s="1069" t="str">
        <f t="shared" ca="1" si="246"/>
        <v xml:space="preserve"> </v>
      </c>
      <c r="X668" s="1069" t="str">
        <f t="shared" ca="1" si="246"/>
        <v xml:space="preserve"> </v>
      </c>
      <c r="Y668" s="1069" t="str">
        <f t="shared" ca="1" si="246"/>
        <v xml:space="preserve"> </v>
      </c>
      <c r="Z668" s="1069" t="str">
        <f t="shared" ca="1" si="246"/>
        <v xml:space="preserve"> </v>
      </c>
      <c r="AA668" s="1069" t="str">
        <f t="shared" ca="1" si="246"/>
        <v xml:space="preserve"> </v>
      </c>
    </row>
    <row r="669" spans="1:27" s="1069" customFormat="1" ht="9.9499999999999993" customHeight="1">
      <c r="A669" s="1069">
        <v>145</v>
      </c>
      <c r="D669" s="1069" t="str">
        <f t="shared" ref="D669:AA669" ca="1" si="247">IF(ISNUMBER(D668),IF(D668+2&lt;E$726,IF(ISNA(MATCH("Y",INDIRECT("Skills!"&amp;$C$523&amp;D668+1&amp;":"&amp;$C$523&amp;E$726),0))," ",MATCH("Y",INDIRECT("Skills!"&amp;$C$523&amp;D668+1&amp;":"&amp;$C$523&amp;E$726),0)+D668)," ")," ")</f>
        <v xml:space="preserve"> </v>
      </c>
      <c r="E669" s="1069" t="str">
        <f t="shared" ca="1" si="247"/>
        <v xml:space="preserve"> </v>
      </c>
      <c r="F669" s="1069" t="str">
        <f t="shared" ca="1" si="247"/>
        <v xml:space="preserve"> </v>
      </c>
      <c r="G669" s="1069" t="str">
        <f t="shared" ca="1" si="247"/>
        <v xml:space="preserve"> </v>
      </c>
      <c r="H669" s="1069" t="str">
        <f t="shared" ca="1" si="247"/>
        <v xml:space="preserve"> </v>
      </c>
      <c r="I669" s="1069" t="str">
        <f t="shared" ca="1" si="247"/>
        <v xml:space="preserve"> </v>
      </c>
      <c r="J669" s="1069" t="str">
        <f t="shared" ca="1" si="247"/>
        <v xml:space="preserve"> </v>
      </c>
      <c r="K669" s="1069" t="str">
        <f t="shared" ca="1" si="247"/>
        <v xml:space="preserve"> </v>
      </c>
      <c r="L669" s="1069" t="str">
        <f t="shared" ca="1" si="247"/>
        <v xml:space="preserve"> </v>
      </c>
      <c r="M669" s="1069" t="str">
        <f t="shared" ca="1" si="247"/>
        <v xml:space="preserve"> </v>
      </c>
      <c r="N669" s="1069" t="str">
        <f t="shared" ca="1" si="247"/>
        <v xml:space="preserve"> </v>
      </c>
      <c r="O669" s="1069" t="str">
        <f t="shared" ca="1" si="247"/>
        <v xml:space="preserve"> </v>
      </c>
      <c r="P669" s="1069" t="str">
        <f t="shared" ca="1" si="247"/>
        <v xml:space="preserve"> </v>
      </c>
      <c r="Q669" s="1069" t="str">
        <f t="shared" ca="1" si="247"/>
        <v xml:space="preserve"> </v>
      </c>
      <c r="R669" s="1069" t="str">
        <f t="shared" ca="1" si="247"/>
        <v xml:space="preserve"> </v>
      </c>
      <c r="S669" s="1069" t="str">
        <f t="shared" ca="1" si="247"/>
        <v xml:space="preserve"> </v>
      </c>
      <c r="T669" s="1069" t="str">
        <f t="shared" ca="1" si="247"/>
        <v xml:space="preserve"> </v>
      </c>
      <c r="U669" s="1069" t="str">
        <f t="shared" ca="1" si="247"/>
        <v xml:space="preserve"> </v>
      </c>
      <c r="V669" s="1069" t="str">
        <f t="shared" ca="1" si="247"/>
        <v xml:space="preserve"> </v>
      </c>
      <c r="W669" s="1069" t="str">
        <f t="shared" ca="1" si="247"/>
        <v xml:space="preserve"> </v>
      </c>
      <c r="X669" s="1069" t="str">
        <f t="shared" ca="1" si="247"/>
        <v xml:space="preserve"> </v>
      </c>
      <c r="Y669" s="1069" t="str">
        <f t="shared" ca="1" si="247"/>
        <v xml:space="preserve"> </v>
      </c>
      <c r="Z669" s="1069" t="str">
        <f t="shared" ca="1" si="247"/>
        <v xml:space="preserve"> </v>
      </c>
      <c r="AA669" s="1069" t="str">
        <f t="shared" ca="1" si="247"/>
        <v xml:space="preserve"> </v>
      </c>
    </row>
    <row r="670" spans="1:27" s="1069" customFormat="1" ht="9.9499999999999993" customHeight="1">
      <c r="A670" s="1069">
        <v>146</v>
      </c>
      <c r="D670" s="1069" t="str">
        <f t="shared" ref="D670:AA670" ca="1" si="248">IF(ISNUMBER(D669),IF(D669+2&lt;E$726,IF(ISNA(MATCH("Y",INDIRECT("Skills!"&amp;$C$523&amp;D669+1&amp;":"&amp;$C$523&amp;E$726),0))," ",MATCH("Y",INDIRECT("Skills!"&amp;$C$523&amp;D669+1&amp;":"&amp;$C$523&amp;E$726),0)+D669)," ")," ")</f>
        <v xml:space="preserve"> </v>
      </c>
      <c r="E670" s="1069" t="str">
        <f t="shared" ca="1" si="248"/>
        <v xml:space="preserve"> </v>
      </c>
      <c r="F670" s="1069" t="str">
        <f t="shared" ca="1" si="248"/>
        <v xml:space="preserve"> </v>
      </c>
      <c r="G670" s="1069" t="str">
        <f t="shared" ca="1" si="248"/>
        <v xml:space="preserve"> </v>
      </c>
      <c r="H670" s="1069" t="str">
        <f t="shared" ca="1" si="248"/>
        <v xml:space="preserve"> </v>
      </c>
      <c r="I670" s="1069" t="str">
        <f t="shared" ca="1" si="248"/>
        <v xml:space="preserve"> </v>
      </c>
      <c r="J670" s="1069" t="str">
        <f t="shared" ca="1" si="248"/>
        <v xml:space="preserve"> </v>
      </c>
      <c r="K670" s="1069" t="str">
        <f t="shared" ca="1" si="248"/>
        <v xml:space="preserve"> </v>
      </c>
      <c r="L670" s="1069" t="str">
        <f t="shared" ca="1" si="248"/>
        <v xml:space="preserve"> </v>
      </c>
      <c r="M670" s="1069" t="str">
        <f t="shared" ca="1" si="248"/>
        <v xml:space="preserve"> </v>
      </c>
      <c r="N670" s="1069" t="str">
        <f t="shared" ca="1" si="248"/>
        <v xml:space="preserve"> </v>
      </c>
      <c r="O670" s="1069" t="str">
        <f t="shared" ca="1" si="248"/>
        <v xml:space="preserve"> </v>
      </c>
      <c r="P670" s="1069" t="str">
        <f t="shared" ca="1" si="248"/>
        <v xml:space="preserve"> </v>
      </c>
      <c r="Q670" s="1069" t="str">
        <f t="shared" ca="1" si="248"/>
        <v xml:space="preserve"> </v>
      </c>
      <c r="R670" s="1069" t="str">
        <f t="shared" ca="1" si="248"/>
        <v xml:space="preserve"> </v>
      </c>
      <c r="S670" s="1069" t="str">
        <f t="shared" ca="1" si="248"/>
        <v xml:space="preserve"> </v>
      </c>
      <c r="T670" s="1069" t="str">
        <f t="shared" ca="1" si="248"/>
        <v xml:space="preserve"> </v>
      </c>
      <c r="U670" s="1069" t="str">
        <f t="shared" ca="1" si="248"/>
        <v xml:space="preserve"> </v>
      </c>
      <c r="V670" s="1069" t="str">
        <f t="shared" ca="1" si="248"/>
        <v xml:space="preserve"> </v>
      </c>
      <c r="W670" s="1069" t="str">
        <f t="shared" ca="1" si="248"/>
        <v xml:space="preserve"> </v>
      </c>
      <c r="X670" s="1069" t="str">
        <f t="shared" ca="1" si="248"/>
        <v xml:space="preserve"> </v>
      </c>
      <c r="Y670" s="1069" t="str">
        <f t="shared" ca="1" si="248"/>
        <v xml:space="preserve"> </v>
      </c>
      <c r="Z670" s="1069" t="str">
        <f t="shared" ca="1" si="248"/>
        <v xml:space="preserve"> </v>
      </c>
      <c r="AA670" s="1069" t="str">
        <f t="shared" ca="1" si="248"/>
        <v xml:space="preserve"> </v>
      </c>
    </row>
    <row r="671" spans="1:27" s="1069" customFormat="1" ht="9.9499999999999993" customHeight="1">
      <c r="A671" s="1069">
        <v>147</v>
      </c>
      <c r="D671" s="1069" t="str">
        <f t="shared" ref="D671:AA671" ca="1" si="249">IF(ISNUMBER(D670),IF(D670+2&lt;E$726,IF(ISNA(MATCH("Y",INDIRECT("Skills!"&amp;$C$523&amp;D670+1&amp;":"&amp;$C$523&amp;E$726),0))," ",MATCH("Y",INDIRECT("Skills!"&amp;$C$523&amp;D670+1&amp;":"&amp;$C$523&amp;E$726),0)+D670)," ")," ")</f>
        <v xml:space="preserve"> </v>
      </c>
      <c r="E671" s="1069" t="str">
        <f t="shared" ca="1" si="249"/>
        <v xml:space="preserve"> </v>
      </c>
      <c r="F671" s="1069" t="str">
        <f t="shared" ca="1" si="249"/>
        <v xml:space="preserve"> </v>
      </c>
      <c r="G671" s="1069" t="str">
        <f t="shared" ca="1" si="249"/>
        <v xml:space="preserve"> </v>
      </c>
      <c r="H671" s="1069" t="str">
        <f t="shared" ca="1" si="249"/>
        <v xml:space="preserve"> </v>
      </c>
      <c r="I671" s="1069" t="str">
        <f t="shared" ca="1" si="249"/>
        <v xml:space="preserve"> </v>
      </c>
      <c r="J671" s="1069" t="str">
        <f t="shared" ca="1" si="249"/>
        <v xml:space="preserve"> </v>
      </c>
      <c r="K671" s="1069" t="str">
        <f t="shared" ca="1" si="249"/>
        <v xml:space="preserve"> </v>
      </c>
      <c r="L671" s="1069" t="str">
        <f t="shared" ca="1" si="249"/>
        <v xml:space="preserve"> </v>
      </c>
      <c r="M671" s="1069" t="str">
        <f t="shared" ca="1" si="249"/>
        <v xml:space="preserve"> </v>
      </c>
      <c r="N671" s="1069" t="str">
        <f t="shared" ca="1" si="249"/>
        <v xml:space="preserve"> </v>
      </c>
      <c r="O671" s="1069" t="str">
        <f t="shared" ca="1" si="249"/>
        <v xml:space="preserve"> </v>
      </c>
      <c r="P671" s="1069" t="str">
        <f t="shared" ca="1" si="249"/>
        <v xml:space="preserve"> </v>
      </c>
      <c r="Q671" s="1069" t="str">
        <f t="shared" ca="1" si="249"/>
        <v xml:space="preserve"> </v>
      </c>
      <c r="R671" s="1069" t="str">
        <f t="shared" ca="1" si="249"/>
        <v xml:space="preserve"> </v>
      </c>
      <c r="S671" s="1069" t="str">
        <f t="shared" ca="1" si="249"/>
        <v xml:space="preserve"> </v>
      </c>
      <c r="T671" s="1069" t="str">
        <f t="shared" ca="1" si="249"/>
        <v xml:space="preserve"> </v>
      </c>
      <c r="U671" s="1069" t="str">
        <f t="shared" ca="1" si="249"/>
        <v xml:space="preserve"> </v>
      </c>
      <c r="V671" s="1069" t="str">
        <f t="shared" ca="1" si="249"/>
        <v xml:space="preserve"> </v>
      </c>
      <c r="W671" s="1069" t="str">
        <f t="shared" ca="1" si="249"/>
        <v xml:space="preserve"> </v>
      </c>
      <c r="X671" s="1069" t="str">
        <f t="shared" ca="1" si="249"/>
        <v xml:space="preserve"> </v>
      </c>
      <c r="Y671" s="1069" t="str">
        <f t="shared" ca="1" si="249"/>
        <v xml:space="preserve"> </v>
      </c>
      <c r="Z671" s="1069" t="str">
        <f t="shared" ca="1" si="249"/>
        <v xml:space="preserve"> </v>
      </c>
      <c r="AA671" s="1069" t="str">
        <f t="shared" ca="1" si="249"/>
        <v xml:space="preserve"> </v>
      </c>
    </row>
    <row r="672" spans="1:27" s="1069" customFormat="1" ht="9.9499999999999993" customHeight="1">
      <c r="A672" s="1069">
        <v>148</v>
      </c>
      <c r="D672" s="1069" t="str">
        <f t="shared" ref="D672:AA672" ca="1" si="250">IF(ISNUMBER(D671),IF(D671+2&lt;E$726,IF(ISNA(MATCH("Y",INDIRECT("Skills!"&amp;$C$523&amp;D671+1&amp;":"&amp;$C$523&amp;E$726),0))," ",MATCH("Y",INDIRECT("Skills!"&amp;$C$523&amp;D671+1&amp;":"&amp;$C$523&amp;E$726),0)+D671)," ")," ")</f>
        <v xml:space="preserve"> </v>
      </c>
      <c r="E672" s="1069" t="str">
        <f t="shared" ca="1" si="250"/>
        <v xml:space="preserve"> </v>
      </c>
      <c r="F672" s="1069" t="str">
        <f t="shared" ca="1" si="250"/>
        <v xml:space="preserve"> </v>
      </c>
      <c r="G672" s="1069" t="str">
        <f t="shared" ca="1" si="250"/>
        <v xml:space="preserve"> </v>
      </c>
      <c r="H672" s="1069" t="str">
        <f t="shared" ca="1" si="250"/>
        <v xml:space="preserve"> </v>
      </c>
      <c r="I672" s="1069" t="str">
        <f t="shared" ca="1" si="250"/>
        <v xml:space="preserve"> </v>
      </c>
      <c r="J672" s="1069" t="str">
        <f t="shared" ca="1" si="250"/>
        <v xml:space="preserve"> </v>
      </c>
      <c r="K672" s="1069" t="str">
        <f t="shared" ca="1" si="250"/>
        <v xml:space="preserve"> </v>
      </c>
      <c r="L672" s="1069" t="str">
        <f t="shared" ca="1" si="250"/>
        <v xml:space="preserve"> </v>
      </c>
      <c r="M672" s="1069" t="str">
        <f t="shared" ca="1" si="250"/>
        <v xml:space="preserve"> </v>
      </c>
      <c r="N672" s="1069" t="str">
        <f t="shared" ca="1" si="250"/>
        <v xml:space="preserve"> </v>
      </c>
      <c r="O672" s="1069" t="str">
        <f t="shared" ca="1" si="250"/>
        <v xml:space="preserve"> </v>
      </c>
      <c r="P672" s="1069" t="str">
        <f t="shared" ca="1" si="250"/>
        <v xml:space="preserve"> </v>
      </c>
      <c r="Q672" s="1069" t="str">
        <f t="shared" ca="1" si="250"/>
        <v xml:space="preserve"> </v>
      </c>
      <c r="R672" s="1069" t="str">
        <f t="shared" ca="1" si="250"/>
        <v xml:space="preserve"> </v>
      </c>
      <c r="S672" s="1069" t="str">
        <f t="shared" ca="1" si="250"/>
        <v xml:space="preserve"> </v>
      </c>
      <c r="T672" s="1069" t="str">
        <f t="shared" ca="1" si="250"/>
        <v xml:space="preserve"> </v>
      </c>
      <c r="U672" s="1069" t="str">
        <f t="shared" ca="1" si="250"/>
        <v xml:space="preserve"> </v>
      </c>
      <c r="V672" s="1069" t="str">
        <f t="shared" ca="1" si="250"/>
        <v xml:space="preserve"> </v>
      </c>
      <c r="W672" s="1069" t="str">
        <f t="shared" ca="1" si="250"/>
        <v xml:space="preserve"> </v>
      </c>
      <c r="X672" s="1069" t="str">
        <f t="shared" ca="1" si="250"/>
        <v xml:space="preserve"> </v>
      </c>
      <c r="Y672" s="1069" t="str">
        <f t="shared" ca="1" si="250"/>
        <v xml:space="preserve"> </v>
      </c>
      <c r="Z672" s="1069" t="str">
        <f t="shared" ca="1" si="250"/>
        <v xml:space="preserve"> </v>
      </c>
      <c r="AA672" s="1069" t="str">
        <f t="shared" ca="1" si="250"/>
        <v xml:space="preserve"> </v>
      </c>
    </row>
    <row r="673" spans="1:27" s="1069" customFormat="1" ht="9.9499999999999993" customHeight="1">
      <c r="A673" s="1069">
        <v>149</v>
      </c>
      <c r="D673" s="1069" t="str">
        <f t="shared" ref="D673:AA673" ca="1" si="251">IF(ISNUMBER(D672),IF(D672+2&lt;E$726,IF(ISNA(MATCH("Y",INDIRECT("Skills!"&amp;$C$523&amp;D672+1&amp;":"&amp;$C$523&amp;E$726),0))," ",MATCH("Y",INDIRECT("Skills!"&amp;$C$523&amp;D672+1&amp;":"&amp;$C$523&amp;E$726),0)+D672)," ")," ")</f>
        <v xml:space="preserve"> </v>
      </c>
      <c r="E673" s="1069" t="str">
        <f t="shared" ca="1" si="251"/>
        <v xml:space="preserve"> </v>
      </c>
      <c r="F673" s="1069" t="str">
        <f t="shared" ca="1" si="251"/>
        <v xml:space="preserve"> </v>
      </c>
      <c r="G673" s="1069" t="str">
        <f t="shared" ca="1" si="251"/>
        <v xml:space="preserve"> </v>
      </c>
      <c r="H673" s="1069" t="str">
        <f t="shared" ca="1" si="251"/>
        <v xml:space="preserve"> </v>
      </c>
      <c r="I673" s="1069" t="str">
        <f t="shared" ca="1" si="251"/>
        <v xml:space="preserve"> </v>
      </c>
      <c r="J673" s="1069" t="str">
        <f t="shared" ca="1" si="251"/>
        <v xml:space="preserve"> </v>
      </c>
      <c r="K673" s="1069" t="str">
        <f t="shared" ca="1" si="251"/>
        <v xml:space="preserve"> </v>
      </c>
      <c r="L673" s="1069" t="str">
        <f t="shared" ca="1" si="251"/>
        <v xml:space="preserve"> </v>
      </c>
      <c r="M673" s="1069" t="str">
        <f t="shared" ca="1" si="251"/>
        <v xml:space="preserve"> </v>
      </c>
      <c r="N673" s="1069" t="str">
        <f t="shared" ca="1" si="251"/>
        <v xml:space="preserve"> </v>
      </c>
      <c r="O673" s="1069" t="str">
        <f t="shared" ca="1" si="251"/>
        <v xml:space="preserve"> </v>
      </c>
      <c r="P673" s="1069" t="str">
        <f t="shared" ca="1" si="251"/>
        <v xml:space="preserve"> </v>
      </c>
      <c r="Q673" s="1069" t="str">
        <f t="shared" ca="1" si="251"/>
        <v xml:space="preserve"> </v>
      </c>
      <c r="R673" s="1069" t="str">
        <f t="shared" ca="1" si="251"/>
        <v xml:space="preserve"> </v>
      </c>
      <c r="S673" s="1069" t="str">
        <f t="shared" ca="1" si="251"/>
        <v xml:space="preserve"> </v>
      </c>
      <c r="T673" s="1069" t="str">
        <f t="shared" ca="1" si="251"/>
        <v xml:space="preserve"> </v>
      </c>
      <c r="U673" s="1069" t="str">
        <f t="shared" ca="1" si="251"/>
        <v xml:space="preserve"> </v>
      </c>
      <c r="V673" s="1069" t="str">
        <f t="shared" ca="1" si="251"/>
        <v xml:space="preserve"> </v>
      </c>
      <c r="W673" s="1069" t="str">
        <f t="shared" ca="1" si="251"/>
        <v xml:space="preserve"> </v>
      </c>
      <c r="X673" s="1069" t="str">
        <f t="shared" ca="1" si="251"/>
        <v xml:space="preserve"> </v>
      </c>
      <c r="Y673" s="1069" t="str">
        <f t="shared" ca="1" si="251"/>
        <v xml:space="preserve"> </v>
      </c>
      <c r="Z673" s="1069" t="str">
        <f t="shared" ca="1" si="251"/>
        <v xml:space="preserve"> </v>
      </c>
      <c r="AA673" s="1069" t="str">
        <f t="shared" ca="1" si="251"/>
        <v xml:space="preserve"> </v>
      </c>
    </row>
    <row r="674" spans="1:27" s="1069" customFormat="1" ht="9.9499999999999993" customHeight="1">
      <c r="A674" s="1069">
        <v>150</v>
      </c>
      <c r="D674" s="1069" t="str">
        <f t="shared" ref="D674:AA674" ca="1" si="252">IF(ISNUMBER(D673),IF(D673+2&lt;E$726,IF(ISNA(MATCH("Y",INDIRECT("Skills!"&amp;$C$523&amp;D673+1&amp;":"&amp;$C$523&amp;E$726),0))," ",MATCH("Y",INDIRECT("Skills!"&amp;$C$523&amp;D673+1&amp;":"&amp;$C$523&amp;E$726),0)+D673)," ")," ")</f>
        <v xml:space="preserve"> </v>
      </c>
      <c r="E674" s="1069" t="str">
        <f t="shared" ca="1" si="252"/>
        <v xml:space="preserve"> </v>
      </c>
      <c r="F674" s="1069" t="str">
        <f t="shared" ca="1" si="252"/>
        <v xml:space="preserve"> </v>
      </c>
      <c r="G674" s="1069" t="str">
        <f t="shared" ca="1" si="252"/>
        <v xml:space="preserve"> </v>
      </c>
      <c r="H674" s="1069" t="str">
        <f t="shared" ca="1" si="252"/>
        <v xml:space="preserve"> </v>
      </c>
      <c r="I674" s="1069" t="str">
        <f t="shared" ca="1" si="252"/>
        <v xml:space="preserve"> </v>
      </c>
      <c r="J674" s="1069" t="str">
        <f t="shared" ca="1" si="252"/>
        <v xml:space="preserve"> </v>
      </c>
      <c r="K674" s="1069" t="str">
        <f t="shared" ca="1" si="252"/>
        <v xml:space="preserve"> </v>
      </c>
      <c r="L674" s="1069" t="str">
        <f t="shared" ca="1" si="252"/>
        <v xml:space="preserve"> </v>
      </c>
      <c r="M674" s="1069" t="str">
        <f t="shared" ca="1" si="252"/>
        <v xml:space="preserve"> </v>
      </c>
      <c r="N674" s="1069" t="str">
        <f t="shared" ca="1" si="252"/>
        <v xml:space="preserve"> </v>
      </c>
      <c r="O674" s="1069" t="str">
        <f t="shared" ca="1" si="252"/>
        <v xml:space="preserve"> </v>
      </c>
      <c r="P674" s="1069" t="str">
        <f t="shared" ca="1" si="252"/>
        <v xml:space="preserve"> </v>
      </c>
      <c r="Q674" s="1069" t="str">
        <f t="shared" ca="1" si="252"/>
        <v xml:space="preserve"> </v>
      </c>
      <c r="R674" s="1069" t="str">
        <f t="shared" ca="1" si="252"/>
        <v xml:space="preserve"> </v>
      </c>
      <c r="S674" s="1069" t="str">
        <f t="shared" ca="1" si="252"/>
        <v xml:space="preserve"> </v>
      </c>
      <c r="T674" s="1069" t="str">
        <f t="shared" ca="1" si="252"/>
        <v xml:space="preserve"> </v>
      </c>
      <c r="U674" s="1069" t="str">
        <f t="shared" ca="1" si="252"/>
        <v xml:space="preserve"> </v>
      </c>
      <c r="V674" s="1069" t="str">
        <f t="shared" ca="1" si="252"/>
        <v xml:space="preserve"> </v>
      </c>
      <c r="W674" s="1069" t="str">
        <f t="shared" ca="1" si="252"/>
        <v xml:space="preserve"> </v>
      </c>
      <c r="X674" s="1069" t="str">
        <f t="shared" ca="1" si="252"/>
        <v xml:space="preserve"> </v>
      </c>
      <c r="Y674" s="1069" t="str">
        <f t="shared" ca="1" si="252"/>
        <v xml:space="preserve"> </v>
      </c>
      <c r="Z674" s="1069" t="str">
        <f t="shared" ca="1" si="252"/>
        <v xml:space="preserve"> </v>
      </c>
      <c r="AA674" s="1069" t="str">
        <f t="shared" ca="1" si="252"/>
        <v xml:space="preserve"> </v>
      </c>
    </row>
    <row r="675" spans="1:27" s="1069" customFormat="1" ht="9.9499999999999993" customHeight="1">
      <c r="A675" s="1069">
        <v>151</v>
      </c>
      <c r="D675" s="1069" t="str">
        <f t="shared" ref="D675:AA675" ca="1" si="253">IF(ISNUMBER(D674),IF(D674+2&lt;E$726,IF(ISNA(MATCH("Y",INDIRECT("Skills!"&amp;$C$523&amp;D674+1&amp;":"&amp;$C$523&amp;E$726),0))," ",MATCH("Y",INDIRECT("Skills!"&amp;$C$523&amp;D674+1&amp;":"&amp;$C$523&amp;E$726),0)+D674)," ")," ")</f>
        <v xml:space="preserve"> </v>
      </c>
      <c r="E675" s="1069" t="str">
        <f t="shared" ca="1" si="253"/>
        <v xml:space="preserve"> </v>
      </c>
      <c r="F675" s="1069" t="str">
        <f t="shared" ca="1" si="253"/>
        <v xml:space="preserve"> </v>
      </c>
      <c r="G675" s="1069" t="str">
        <f t="shared" ca="1" si="253"/>
        <v xml:space="preserve"> </v>
      </c>
      <c r="H675" s="1069" t="str">
        <f t="shared" ca="1" si="253"/>
        <v xml:space="preserve"> </v>
      </c>
      <c r="I675" s="1069" t="str">
        <f t="shared" ca="1" si="253"/>
        <v xml:space="preserve"> </v>
      </c>
      <c r="J675" s="1069" t="str">
        <f t="shared" ca="1" si="253"/>
        <v xml:space="preserve"> </v>
      </c>
      <c r="K675" s="1069" t="str">
        <f t="shared" ca="1" si="253"/>
        <v xml:space="preserve"> </v>
      </c>
      <c r="L675" s="1069" t="str">
        <f t="shared" ca="1" si="253"/>
        <v xml:space="preserve"> </v>
      </c>
      <c r="M675" s="1069" t="str">
        <f t="shared" ca="1" si="253"/>
        <v xml:space="preserve"> </v>
      </c>
      <c r="N675" s="1069" t="str">
        <f t="shared" ca="1" si="253"/>
        <v xml:space="preserve"> </v>
      </c>
      <c r="O675" s="1069" t="str">
        <f t="shared" ca="1" si="253"/>
        <v xml:space="preserve"> </v>
      </c>
      <c r="P675" s="1069" t="str">
        <f t="shared" ca="1" si="253"/>
        <v xml:space="preserve"> </v>
      </c>
      <c r="Q675" s="1069" t="str">
        <f t="shared" ca="1" si="253"/>
        <v xml:space="preserve"> </v>
      </c>
      <c r="R675" s="1069" t="str">
        <f t="shared" ca="1" si="253"/>
        <v xml:space="preserve"> </v>
      </c>
      <c r="S675" s="1069" t="str">
        <f t="shared" ca="1" si="253"/>
        <v xml:space="preserve"> </v>
      </c>
      <c r="T675" s="1069" t="str">
        <f t="shared" ca="1" si="253"/>
        <v xml:space="preserve"> </v>
      </c>
      <c r="U675" s="1069" t="str">
        <f t="shared" ca="1" si="253"/>
        <v xml:space="preserve"> </v>
      </c>
      <c r="V675" s="1069" t="str">
        <f t="shared" ca="1" si="253"/>
        <v xml:space="preserve"> </v>
      </c>
      <c r="W675" s="1069" t="str">
        <f t="shared" ca="1" si="253"/>
        <v xml:space="preserve"> </v>
      </c>
      <c r="X675" s="1069" t="str">
        <f t="shared" ca="1" si="253"/>
        <v xml:space="preserve"> </v>
      </c>
      <c r="Y675" s="1069" t="str">
        <f t="shared" ca="1" si="253"/>
        <v xml:space="preserve"> </v>
      </c>
      <c r="Z675" s="1069" t="str">
        <f t="shared" ca="1" si="253"/>
        <v xml:space="preserve"> </v>
      </c>
      <c r="AA675" s="1069" t="str">
        <f t="shared" ca="1" si="253"/>
        <v xml:space="preserve"> </v>
      </c>
    </row>
    <row r="676" spans="1:27" s="1069" customFormat="1" ht="9.9499999999999993" customHeight="1">
      <c r="A676" s="1069">
        <v>152</v>
      </c>
      <c r="D676" s="1069" t="str">
        <f t="shared" ref="D676:AA676" ca="1" si="254">IF(ISNUMBER(D675),IF(D675+2&lt;E$726,IF(ISNA(MATCH("Y",INDIRECT("Skills!"&amp;$C$523&amp;D675+1&amp;":"&amp;$C$523&amp;E$726),0))," ",MATCH("Y",INDIRECT("Skills!"&amp;$C$523&amp;D675+1&amp;":"&amp;$C$523&amp;E$726),0)+D675)," ")," ")</f>
        <v xml:space="preserve"> </v>
      </c>
      <c r="E676" s="1069" t="str">
        <f t="shared" ca="1" si="254"/>
        <v xml:space="preserve"> </v>
      </c>
      <c r="F676" s="1069" t="str">
        <f t="shared" ca="1" si="254"/>
        <v xml:space="preserve"> </v>
      </c>
      <c r="G676" s="1069" t="str">
        <f t="shared" ca="1" si="254"/>
        <v xml:space="preserve"> </v>
      </c>
      <c r="H676" s="1069" t="str">
        <f t="shared" ca="1" si="254"/>
        <v xml:space="preserve"> </v>
      </c>
      <c r="I676" s="1069" t="str">
        <f t="shared" ca="1" si="254"/>
        <v xml:space="preserve"> </v>
      </c>
      <c r="J676" s="1069" t="str">
        <f t="shared" ca="1" si="254"/>
        <v xml:space="preserve"> </v>
      </c>
      <c r="K676" s="1069" t="str">
        <f t="shared" ca="1" si="254"/>
        <v xml:space="preserve"> </v>
      </c>
      <c r="L676" s="1069" t="str">
        <f t="shared" ca="1" si="254"/>
        <v xml:space="preserve"> </v>
      </c>
      <c r="M676" s="1069" t="str">
        <f t="shared" ca="1" si="254"/>
        <v xml:space="preserve"> </v>
      </c>
      <c r="N676" s="1069" t="str">
        <f t="shared" ca="1" si="254"/>
        <v xml:space="preserve"> </v>
      </c>
      <c r="O676" s="1069" t="str">
        <f t="shared" ca="1" si="254"/>
        <v xml:space="preserve"> </v>
      </c>
      <c r="P676" s="1069" t="str">
        <f t="shared" ca="1" si="254"/>
        <v xml:space="preserve"> </v>
      </c>
      <c r="Q676" s="1069" t="str">
        <f t="shared" ca="1" si="254"/>
        <v xml:space="preserve"> </v>
      </c>
      <c r="R676" s="1069" t="str">
        <f t="shared" ca="1" si="254"/>
        <v xml:space="preserve"> </v>
      </c>
      <c r="S676" s="1069" t="str">
        <f t="shared" ca="1" si="254"/>
        <v xml:space="preserve"> </v>
      </c>
      <c r="T676" s="1069" t="str">
        <f t="shared" ca="1" si="254"/>
        <v xml:space="preserve"> </v>
      </c>
      <c r="U676" s="1069" t="str">
        <f t="shared" ca="1" si="254"/>
        <v xml:space="preserve"> </v>
      </c>
      <c r="V676" s="1069" t="str">
        <f t="shared" ca="1" si="254"/>
        <v xml:space="preserve"> </v>
      </c>
      <c r="W676" s="1069" t="str">
        <f t="shared" ca="1" si="254"/>
        <v xml:space="preserve"> </v>
      </c>
      <c r="X676" s="1069" t="str">
        <f t="shared" ca="1" si="254"/>
        <v xml:space="preserve"> </v>
      </c>
      <c r="Y676" s="1069" t="str">
        <f t="shared" ca="1" si="254"/>
        <v xml:space="preserve"> </v>
      </c>
      <c r="Z676" s="1069" t="str">
        <f t="shared" ca="1" si="254"/>
        <v xml:space="preserve"> </v>
      </c>
      <c r="AA676" s="1069" t="str">
        <f t="shared" ca="1" si="254"/>
        <v xml:space="preserve"> </v>
      </c>
    </row>
    <row r="677" spans="1:27" s="1069" customFormat="1" ht="9.9499999999999993" customHeight="1">
      <c r="A677" s="1069">
        <v>153</v>
      </c>
      <c r="D677" s="1069" t="str">
        <f t="shared" ref="D677:AA677" ca="1" si="255">IF(ISNUMBER(D676),IF(D676+2&lt;E$726,IF(ISNA(MATCH("Y",INDIRECT("Skills!"&amp;$C$523&amp;D676+1&amp;":"&amp;$C$523&amp;E$726),0))," ",MATCH("Y",INDIRECT("Skills!"&amp;$C$523&amp;D676+1&amp;":"&amp;$C$523&amp;E$726),0)+D676)," ")," ")</f>
        <v xml:space="preserve"> </v>
      </c>
      <c r="E677" s="1069" t="str">
        <f t="shared" ca="1" si="255"/>
        <v xml:space="preserve"> </v>
      </c>
      <c r="F677" s="1069" t="str">
        <f t="shared" ca="1" si="255"/>
        <v xml:space="preserve"> </v>
      </c>
      <c r="G677" s="1069" t="str">
        <f t="shared" ca="1" si="255"/>
        <v xml:space="preserve"> </v>
      </c>
      <c r="H677" s="1069" t="str">
        <f t="shared" ca="1" si="255"/>
        <v xml:space="preserve"> </v>
      </c>
      <c r="I677" s="1069" t="str">
        <f t="shared" ca="1" si="255"/>
        <v xml:space="preserve"> </v>
      </c>
      <c r="J677" s="1069" t="str">
        <f t="shared" ca="1" si="255"/>
        <v xml:space="preserve"> </v>
      </c>
      <c r="K677" s="1069" t="str">
        <f t="shared" ca="1" si="255"/>
        <v xml:space="preserve"> </v>
      </c>
      <c r="L677" s="1069" t="str">
        <f t="shared" ca="1" si="255"/>
        <v xml:space="preserve"> </v>
      </c>
      <c r="M677" s="1069" t="str">
        <f t="shared" ca="1" si="255"/>
        <v xml:space="preserve"> </v>
      </c>
      <c r="N677" s="1069" t="str">
        <f t="shared" ca="1" si="255"/>
        <v xml:space="preserve"> </v>
      </c>
      <c r="O677" s="1069" t="str">
        <f t="shared" ca="1" si="255"/>
        <v xml:space="preserve"> </v>
      </c>
      <c r="P677" s="1069" t="str">
        <f t="shared" ca="1" si="255"/>
        <v xml:space="preserve"> </v>
      </c>
      <c r="Q677" s="1069" t="str">
        <f t="shared" ca="1" si="255"/>
        <v xml:space="preserve"> </v>
      </c>
      <c r="R677" s="1069" t="str">
        <f t="shared" ca="1" si="255"/>
        <v xml:space="preserve"> </v>
      </c>
      <c r="S677" s="1069" t="str">
        <f t="shared" ca="1" si="255"/>
        <v xml:space="preserve"> </v>
      </c>
      <c r="T677" s="1069" t="str">
        <f t="shared" ca="1" si="255"/>
        <v xml:space="preserve"> </v>
      </c>
      <c r="U677" s="1069" t="str">
        <f t="shared" ca="1" si="255"/>
        <v xml:space="preserve"> </v>
      </c>
      <c r="V677" s="1069" t="str">
        <f t="shared" ca="1" si="255"/>
        <v xml:space="preserve"> </v>
      </c>
      <c r="W677" s="1069" t="str">
        <f t="shared" ca="1" si="255"/>
        <v xml:space="preserve"> </v>
      </c>
      <c r="X677" s="1069" t="str">
        <f t="shared" ca="1" si="255"/>
        <v xml:space="preserve"> </v>
      </c>
      <c r="Y677" s="1069" t="str">
        <f t="shared" ca="1" si="255"/>
        <v xml:space="preserve"> </v>
      </c>
      <c r="Z677" s="1069" t="str">
        <f t="shared" ca="1" si="255"/>
        <v xml:space="preserve"> </v>
      </c>
      <c r="AA677" s="1069" t="str">
        <f t="shared" ca="1" si="255"/>
        <v xml:space="preserve"> </v>
      </c>
    </row>
    <row r="678" spans="1:27" s="1069" customFormat="1" ht="9.9499999999999993" customHeight="1">
      <c r="A678" s="1069">
        <v>154</v>
      </c>
      <c r="D678" s="1069" t="str">
        <f t="shared" ref="D678:AA678" ca="1" si="256">IF(ISNUMBER(D677),IF(D677+2&lt;E$726,IF(ISNA(MATCH("Y",INDIRECT("Skills!"&amp;$C$523&amp;D677+1&amp;":"&amp;$C$523&amp;E$726),0))," ",MATCH("Y",INDIRECT("Skills!"&amp;$C$523&amp;D677+1&amp;":"&amp;$C$523&amp;E$726),0)+D677)," ")," ")</f>
        <v xml:space="preserve"> </v>
      </c>
      <c r="E678" s="1069" t="str">
        <f t="shared" ca="1" si="256"/>
        <v xml:space="preserve"> </v>
      </c>
      <c r="F678" s="1069" t="str">
        <f t="shared" ca="1" si="256"/>
        <v xml:space="preserve"> </v>
      </c>
      <c r="G678" s="1069" t="str">
        <f t="shared" ca="1" si="256"/>
        <v xml:space="preserve"> </v>
      </c>
      <c r="H678" s="1069" t="str">
        <f t="shared" ca="1" si="256"/>
        <v xml:space="preserve"> </v>
      </c>
      <c r="I678" s="1069" t="str">
        <f t="shared" ca="1" si="256"/>
        <v xml:space="preserve"> </v>
      </c>
      <c r="J678" s="1069" t="str">
        <f t="shared" ca="1" si="256"/>
        <v xml:space="preserve"> </v>
      </c>
      <c r="K678" s="1069" t="str">
        <f t="shared" ca="1" si="256"/>
        <v xml:space="preserve"> </v>
      </c>
      <c r="L678" s="1069" t="str">
        <f t="shared" ca="1" si="256"/>
        <v xml:space="preserve"> </v>
      </c>
      <c r="M678" s="1069" t="str">
        <f t="shared" ca="1" si="256"/>
        <v xml:space="preserve"> </v>
      </c>
      <c r="N678" s="1069" t="str">
        <f t="shared" ca="1" si="256"/>
        <v xml:space="preserve"> </v>
      </c>
      <c r="O678" s="1069" t="str">
        <f t="shared" ca="1" si="256"/>
        <v xml:space="preserve"> </v>
      </c>
      <c r="P678" s="1069" t="str">
        <f t="shared" ca="1" si="256"/>
        <v xml:space="preserve"> </v>
      </c>
      <c r="Q678" s="1069" t="str">
        <f t="shared" ca="1" si="256"/>
        <v xml:space="preserve"> </v>
      </c>
      <c r="R678" s="1069" t="str">
        <f t="shared" ca="1" si="256"/>
        <v xml:space="preserve"> </v>
      </c>
      <c r="S678" s="1069" t="str">
        <f t="shared" ca="1" si="256"/>
        <v xml:space="preserve"> </v>
      </c>
      <c r="T678" s="1069" t="str">
        <f t="shared" ca="1" si="256"/>
        <v xml:space="preserve"> </v>
      </c>
      <c r="U678" s="1069" t="str">
        <f t="shared" ca="1" si="256"/>
        <v xml:space="preserve"> </v>
      </c>
      <c r="V678" s="1069" t="str">
        <f t="shared" ca="1" si="256"/>
        <v xml:space="preserve"> </v>
      </c>
      <c r="W678" s="1069" t="str">
        <f t="shared" ca="1" si="256"/>
        <v xml:space="preserve"> </v>
      </c>
      <c r="X678" s="1069" t="str">
        <f t="shared" ca="1" si="256"/>
        <v xml:space="preserve"> </v>
      </c>
      <c r="Y678" s="1069" t="str">
        <f t="shared" ca="1" si="256"/>
        <v xml:space="preserve"> </v>
      </c>
      <c r="Z678" s="1069" t="str">
        <f t="shared" ca="1" si="256"/>
        <v xml:space="preserve"> </v>
      </c>
      <c r="AA678" s="1069" t="str">
        <f t="shared" ca="1" si="256"/>
        <v xml:space="preserve"> </v>
      </c>
    </row>
    <row r="679" spans="1:27" s="1069" customFormat="1" ht="9.9499999999999993" customHeight="1">
      <c r="A679" s="1069">
        <v>155</v>
      </c>
      <c r="D679" s="1069" t="str">
        <f t="shared" ref="D679:AA679" ca="1" si="257">IF(ISNUMBER(D678),IF(D678+2&lt;E$726,IF(ISNA(MATCH("Y",INDIRECT("Skills!"&amp;$C$523&amp;D678+1&amp;":"&amp;$C$523&amp;E$726),0))," ",MATCH("Y",INDIRECT("Skills!"&amp;$C$523&amp;D678+1&amp;":"&amp;$C$523&amp;E$726),0)+D678)," ")," ")</f>
        <v xml:space="preserve"> </v>
      </c>
      <c r="E679" s="1069" t="str">
        <f t="shared" ca="1" si="257"/>
        <v xml:space="preserve"> </v>
      </c>
      <c r="F679" s="1069" t="str">
        <f t="shared" ca="1" si="257"/>
        <v xml:space="preserve"> </v>
      </c>
      <c r="G679" s="1069" t="str">
        <f t="shared" ca="1" si="257"/>
        <v xml:space="preserve"> </v>
      </c>
      <c r="H679" s="1069" t="str">
        <f t="shared" ca="1" si="257"/>
        <v xml:space="preserve"> </v>
      </c>
      <c r="I679" s="1069" t="str">
        <f t="shared" ca="1" si="257"/>
        <v xml:space="preserve"> </v>
      </c>
      <c r="J679" s="1069" t="str">
        <f t="shared" ca="1" si="257"/>
        <v xml:space="preserve"> </v>
      </c>
      <c r="K679" s="1069" t="str">
        <f t="shared" ca="1" si="257"/>
        <v xml:space="preserve"> </v>
      </c>
      <c r="L679" s="1069" t="str">
        <f t="shared" ca="1" si="257"/>
        <v xml:space="preserve"> </v>
      </c>
      <c r="M679" s="1069" t="str">
        <f t="shared" ca="1" si="257"/>
        <v xml:space="preserve"> </v>
      </c>
      <c r="N679" s="1069" t="str">
        <f t="shared" ca="1" si="257"/>
        <v xml:space="preserve"> </v>
      </c>
      <c r="O679" s="1069" t="str">
        <f t="shared" ca="1" si="257"/>
        <v xml:space="preserve"> </v>
      </c>
      <c r="P679" s="1069" t="str">
        <f t="shared" ca="1" si="257"/>
        <v xml:space="preserve"> </v>
      </c>
      <c r="Q679" s="1069" t="str">
        <f t="shared" ca="1" si="257"/>
        <v xml:space="preserve"> </v>
      </c>
      <c r="R679" s="1069" t="str">
        <f t="shared" ca="1" si="257"/>
        <v xml:space="preserve"> </v>
      </c>
      <c r="S679" s="1069" t="str">
        <f t="shared" ca="1" si="257"/>
        <v xml:space="preserve"> </v>
      </c>
      <c r="T679" s="1069" t="str">
        <f t="shared" ca="1" si="257"/>
        <v xml:space="preserve"> </v>
      </c>
      <c r="U679" s="1069" t="str">
        <f t="shared" ca="1" si="257"/>
        <v xml:space="preserve"> </v>
      </c>
      <c r="V679" s="1069" t="str">
        <f t="shared" ca="1" si="257"/>
        <v xml:space="preserve"> </v>
      </c>
      <c r="W679" s="1069" t="str">
        <f t="shared" ca="1" si="257"/>
        <v xml:space="preserve"> </v>
      </c>
      <c r="X679" s="1069" t="str">
        <f t="shared" ca="1" si="257"/>
        <v xml:space="preserve"> </v>
      </c>
      <c r="Y679" s="1069" t="str">
        <f t="shared" ca="1" si="257"/>
        <v xml:space="preserve"> </v>
      </c>
      <c r="Z679" s="1069" t="str">
        <f t="shared" ca="1" si="257"/>
        <v xml:space="preserve"> </v>
      </c>
      <c r="AA679" s="1069" t="str">
        <f t="shared" ca="1" si="257"/>
        <v xml:space="preserve"> </v>
      </c>
    </row>
    <row r="680" spans="1:27" s="1069" customFormat="1" ht="9.9499999999999993" customHeight="1">
      <c r="A680" s="1069">
        <v>156</v>
      </c>
      <c r="D680" s="1069" t="str">
        <f t="shared" ref="D680:AA680" ca="1" si="258">IF(ISNUMBER(D679),IF(D679+2&lt;E$726,IF(ISNA(MATCH("Y",INDIRECT("Skills!"&amp;$C$523&amp;D679+1&amp;":"&amp;$C$523&amp;E$726),0))," ",MATCH("Y",INDIRECT("Skills!"&amp;$C$523&amp;D679+1&amp;":"&amp;$C$523&amp;E$726),0)+D679)," ")," ")</f>
        <v xml:space="preserve"> </v>
      </c>
      <c r="E680" s="1069" t="str">
        <f t="shared" ca="1" si="258"/>
        <v xml:space="preserve"> </v>
      </c>
      <c r="F680" s="1069" t="str">
        <f t="shared" ca="1" si="258"/>
        <v xml:space="preserve"> </v>
      </c>
      <c r="G680" s="1069" t="str">
        <f t="shared" ca="1" si="258"/>
        <v xml:space="preserve"> </v>
      </c>
      <c r="H680" s="1069" t="str">
        <f t="shared" ca="1" si="258"/>
        <v xml:space="preserve"> </v>
      </c>
      <c r="I680" s="1069" t="str">
        <f t="shared" ca="1" si="258"/>
        <v xml:space="preserve"> </v>
      </c>
      <c r="J680" s="1069" t="str">
        <f t="shared" ca="1" si="258"/>
        <v xml:space="preserve"> </v>
      </c>
      <c r="K680" s="1069" t="str">
        <f t="shared" ca="1" si="258"/>
        <v xml:space="preserve"> </v>
      </c>
      <c r="L680" s="1069" t="str">
        <f t="shared" ca="1" si="258"/>
        <v xml:space="preserve"> </v>
      </c>
      <c r="M680" s="1069" t="str">
        <f t="shared" ca="1" si="258"/>
        <v xml:space="preserve"> </v>
      </c>
      <c r="N680" s="1069" t="str">
        <f t="shared" ca="1" si="258"/>
        <v xml:space="preserve"> </v>
      </c>
      <c r="O680" s="1069" t="str">
        <f t="shared" ca="1" si="258"/>
        <v xml:space="preserve"> </v>
      </c>
      <c r="P680" s="1069" t="str">
        <f t="shared" ca="1" si="258"/>
        <v xml:space="preserve"> </v>
      </c>
      <c r="Q680" s="1069" t="str">
        <f t="shared" ca="1" si="258"/>
        <v xml:space="preserve"> </v>
      </c>
      <c r="R680" s="1069" t="str">
        <f t="shared" ca="1" si="258"/>
        <v xml:space="preserve"> </v>
      </c>
      <c r="S680" s="1069" t="str">
        <f t="shared" ca="1" si="258"/>
        <v xml:space="preserve"> </v>
      </c>
      <c r="T680" s="1069" t="str">
        <f t="shared" ca="1" si="258"/>
        <v xml:space="preserve"> </v>
      </c>
      <c r="U680" s="1069" t="str">
        <f t="shared" ca="1" si="258"/>
        <v xml:space="preserve"> </v>
      </c>
      <c r="V680" s="1069" t="str">
        <f t="shared" ca="1" si="258"/>
        <v xml:space="preserve"> </v>
      </c>
      <c r="W680" s="1069" t="str">
        <f t="shared" ca="1" si="258"/>
        <v xml:space="preserve"> </v>
      </c>
      <c r="X680" s="1069" t="str">
        <f t="shared" ca="1" si="258"/>
        <v xml:space="preserve"> </v>
      </c>
      <c r="Y680" s="1069" t="str">
        <f t="shared" ca="1" si="258"/>
        <v xml:space="preserve"> </v>
      </c>
      <c r="Z680" s="1069" t="str">
        <f t="shared" ca="1" si="258"/>
        <v xml:space="preserve"> </v>
      </c>
      <c r="AA680" s="1069" t="str">
        <f t="shared" ca="1" si="258"/>
        <v xml:space="preserve"> </v>
      </c>
    </row>
    <row r="681" spans="1:27" s="1069" customFormat="1" ht="9.9499999999999993" customHeight="1">
      <c r="A681" s="1069">
        <v>157</v>
      </c>
      <c r="D681" s="1069" t="str">
        <f t="shared" ref="D681:AA681" ca="1" si="259">IF(ISNUMBER(D680),IF(D680+2&lt;E$726,IF(ISNA(MATCH("Y",INDIRECT("Skills!"&amp;$C$523&amp;D680+1&amp;":"&amp;$C$523&amp;E$726),0))," ",MATCH("Y",INDIRECT("Skills!"&amp;$C$523&amp;D680+1&amp;":"&amp;$C$523&amp;E$726),0)+D680)," ")," ")</f>
        <v xml:space="preserve"> </v>
      </c>
      <c r="E681" s="1069" t="str">
        <f t="shared" ca="1" si="259"/>
        <v xml:space="preserve"> </v>
      </c>
      <c r="F681" s="1069" t="str">
        <f t="shared" ca="1" si="259"/>
        <v xml:space="preserve"> </v>
      </c>
      <c r="G681" s="1069" t="str">
        <f t="shared" ca="1" si="259"/>
        <v xml:space="preserve"> </v>
      </c>
      <c r="H681" s="1069" t="str">
        <f t="shared" ca="1" si="259"/>
        <v xml:space="preserve"> </v>
      </c>
      <c r="I681" s="1069" t="str">
        <f t="shared" ca="1" si="259"/>
        <v xml:space="preserve"> </v>
      </c>
      <c r="J681" s="1069" t="str">
        <f t="shared" ca="1" si="259"/>
        <v xml:space="preserve"> </v>
      </c>
      <c r="K681" s="1069" t="str">
        <f t="shared" ca="1" si="259"/>
        <v xml:space="preserve"> </v>
      </c>
      <c r="L681" s="1069" t="str">
        <f t="shared" ca="1" si="259"/>
        <v xml:space="preserve"> </v>
      </c>
      <c r="M681" s="1069" t="str">
        <f t="shared" ca="1" si="259"/>
        <v xml:space="preserve"> </v>
      </c>
      <c r="N681" s="1069" t="str">
        <f t="shared" ca="1" si="259"/>
        <v xml:space="preserve"> </v>
      </c>
      <c r="O681" s="1069" t="str">
        <f t="shared" ca="1" si="259"/>
        <v xml:space="preserve"> </v>
      </c>
      <c r="P681" s="1069" t="str">
        <f t="shared" ca="1" si="259"/>
        <v xml:space="preserve"> </v>
      </c>
      <c r="Q681" s="1069" t="str">
        <f t="shared" ca="1" si="259"/>
        <v xml:space="preserve"> </v>
      </c>
      <c r="R681" s="1069" t="str">
        <f t="shared" ca="1" si="259"/>
        <v xml:space="preserve"> </v>
      </c>
      <c r="S681" s="1069" t="str">
        <f t="shared" ca="1" si="259"/>
        <v xml:space="preserve"> </v>
      </c>
      <c r="T681" s="1069" t="str">
        <f t="shared" ca="1" si="259"/>
        <v xml:space="preserve"> </v>
      </c>
      <c r="U681" s="1069" t="str">
        <f t="shared" ca="1" si="259"/>
        <v xml:space="preserve"> </v>
      </c>
      <c r="V681" s="1069" t="str">
        <f t="shared" ca="1" si="259"/>
        <v xml:space="preserve"> </v>
      </c>
      <c r="W681" s="1069" t="str">
        <f t="shared" ca="1" si="259"/>
        <v xml:space="preserve"> </v>
      </c>
      <c r="X681" s="1069" t="str">
        <f t="shared" ca="1" si="259"/>
        <v xml:space="preserve"> </v>
      </c>
      <c r="Y681" s="1069" t="str">
        <f t="shared" ca="1" si="259"/>
        <v xml:space="preserve"> </v>
      </c>
      <c r="Z681" s="1069" t="str">
        <f t="shared" ca="1" si="259"/>
        <v xml:space="preserve"> </v>
      </c>
      <c r="AA681" s="1069" t="str">
        <f t="shared" ca="1" si="259"/>
        <v xml:space="preserve"> </v>
      </c>
    </row>
    <row r="682" spans="1:27" s="1069" customFormat="1" ht="9.9499999999999993" customHeight="1">
      <c r="A682" s="1069">
        <v>158</v>
      </c>
      <c r="D682" s="1069" t="str">
        <f t="shared" ref="D682:AA682" ca="1" si="260">IF(ISNUMBER(D681),IF(D681+2&lt;E$726,IF(ISNA(MATCH("Y",INDIRECT("Skills!"&amp;$C$523&amp;D681+1&amp;":"&amp;$C$523&amp;E$726),0))," ",MATCH("Y",INDIRECT("Skills!"&amp;$C$523&amp;D681+1&amp;":"&amp;$C$523&amp;E$726),0)+D681)," ")," ")</f>
        <v xml:space="preserve"> </v>
      </c>
      <c r="E682" s="1069" t="str">
        <f t="shared" ca="1" si="260"/>
        <v xml:space="preserve"> </v>
      </c>
      <c r="F682" s="1069" t="str">
        <f t="shared" ca="1" si="260"/>
        <v xml:space="preserve"> </v>
      </c>
      <c r="G682" s="1069" t="str">
        <f t="shared" ca="1" si="260"/>
        <v xml:space="preserve"> </v>
      </c>
      <c r="H682" s="1069" t="str">
        <f t="shared" ca="1" si="260"/>
        <v xml:space="preserve"> </v>
      </c>
      <c r="I682" s="1069" t="str">
        <f t="shared" ca="1" si="260"/>
        <v xml:space="preserve"> </v>
      </c>
      <c r="J682" s="1069" t="str">
        <f t="shared" ca="1" si="260"/>
        <v xml:space="preserve"> </v>
      </c>
      <c r="K682" s="1069" t="str">
        <f t="shared" ca="1" si="260"/>
        <v xml:space="preserve"> </v>
      </c>
      <c r="L682" s="1069" t="str">
        <f t="shared" ca="1" si="260"/>
        <v xml:space="preserve"> </v>
      </c>
      <c r="M682" s="1069" t="str">
        <f t="shared" ca="1" si="260"/>
        <v xml:space="preserve"> </v>
      </c>
      <c r="N682" s="1069" t="str">
        <f t="shared" ca="1" si="260"/>
        <v xml:space="preserve"> </v>
      </c>
      <c r="O682" s="1069" t="str">
        <f t="shared" ca="1" si="260"/>
        <v xml:space="preserve"> </v>
      </c>
      <c r="P682" s="1069" t="str">
        <f t="shared" ca="1" si="260"/>
        <v xml:space="preserve"> </v>
      </c>
      <c r="Q682" s="1069" t="str">
        <f t="shared" ca="1" si="260"/>
        <v xml:space="preserve"> </v>
      </c>
      <c r="R682" s="1069" t="str">
        <f t="shared" ca="1" si="260"/>
        <v xml:space="preserve"> </v>
      </c>
      <c r="S682" s="1069" t="str">
        <f t="shared" ca="1" si="260"/>
        <v xml:space="preserve"> </v>
      </c>
      <c r="T682" s="1069" t="str">
        <f t="shared" ca="1" si="260"/>
        <v xml:space="preserve"> </v>
      </c>
      <c r="U682" s="1069" t="str">
        <f t="shared" ca="1" si="260"/>
        <v xml:space="preserve"> </v>
      </c>
      <c r="V682" s="1069" t="str">
        <f t="shared" ca="1" si="260"/>
        <v xml:space="preserve"> </v>
      </c>
      <c r="W682" s="1069" t="str">
        <f t="shared" ca="1" si="260"/>
        <v xml:space="preserve"> </v>
      </c>
      <c r="X682" s="1069" t="str">
        <f t="shared" ca="1" si="260"/>
        <v xml:space="preserve"> </v>
      </c>
      <c r="Y682" s="1069" t="str">
        <f t="shared" ca="1" si="260"/>
        <v xml:space="preserve"> </v>
      </c>
      <c r="Z682" s="1069" t="str">
        <f t="shared" ca="1" si="260"/>
        <v xml:space="preserve"> </v>
      </c>
      <c r="AA682" s="1069" t="str">
        <f t="shared" ca="1" si="260"/>
        <v xml:space="preserve"> </v>
      </c>
    </row>
    <row r="683" spans="1:27" s="1069" customFormat="1" ht="9.9499999999999993" customHeight="1">
      <c r="A683" s="1069">
        <v>159</v>
      </c>
      <c r="D683" s="1069" t="str">
        <f t="shared" ref="D683:AA683" ca="1" si="261">IF(ISNUMBER(D682),IF(D682+2&lt;E$726,IF(ISNA(MATCH("Y",INDIRECT("Skills!"&amp;$C$523&amp;D682+1&amp;":"&amp;$C$523&amp;E$726),0))," ",MATCH("Y",INDIRECT("Skills!"&amp;$C$523&amp;D682+1&amp;":"&amp;$C$523&amp;E$726),0)+D682)," ")," ")</f>
        <v xml:space="preserve"> </v>
      </c>
      <c r="E683" s="1069" t="str">
        <f t="shared" ca="1" si="261"/>
        <v xml:space="preserve"> </v>
      </c>
      <c r="F683" s="1069" t="str">
        <f t="shared" ca="1" si="261"/>
        <v xml:space="preserve"> </v>
      </c>
      <c r="G683" s="1069" t="str">
        <f t="shared" ca="1" si="261"/>
        <v xml:space="preserve"> </v>
      </c>
      <c r="H683" s="1069" t="str">
        <f t="shared" ca="1" si="261"/>
        <v xml:space="preserve"> </v>
      </c>
      <c r="I683" s="1069" t="str">
        <f t="shared" ca="1" si="261"/>
        <v xml:space="preserve"> </v>
      </c>
      <c r="J683" s="1069" t="str">
        <f t="shared" ca="1" si="261"/>
        <v xml:space="preserve"> </v>
      </c>
      <c r="K683" s="1069" t="str">
        <f t="shared" ca="1" si="261"/>
        <v xml:space="preserve"> </v>
      </c>
      <c r="L683" s="1069" t="str">
        <f t="shared" ca="1" si="261"/>
        <v xml:space="preserve"> </v>
      </c>
      <c r="M683" s="1069" t="str">
        <f t="shared" ca="1" si="261"/>
        <v xml:space="preserve"> </v>
      </c>
      <c r="N683" s="1069" t="str">
        <f t="shared" ca="1" si="261"/>
        <v xml:space="preserve"> </v>
      </c>
      <c r="O683" s="1069" t="str">
        <f t="shared" ca="1" si="261"/>
        <v xml:space="preserve"> </v>
      </c>
      <c r="P683" s="1069" t="str">
        <f t="shared" ca="1" si="261"/>
        <v xml:space="preserve"> </v>
      </c>
      <c r="Q683" s="1069" t="str">
        <f t="shared" ca="1" si="261"/>
        <v xml:space="preserve"> </v>
      </c>
      <c r="R683" s="1069" t="str">
        <f t="shared" ca="1" si="261"/>
        <v xml:space="preserve"> </v>
      </c>
      <c r="S683" s="1069" t="str">
        <f t="shared" ca="1" si="261"/>
        <v xml:space="preserve"> </v>
      </c>
      <c r="T683" s="1069" t="str">
        <f t="shared" ca="1" si="261"/>
        <v xml:space="preserve"> </v>
      </c>
      <c r="U683" s="1069" t="str">
        <f t="shared" ca="1" si="261"/>
        <v xml:space="preserve"> </v>
      </c>
      <c r="V683" s="1069" t="str">
        <f t="shared" ca="1" si="261"/>
        <v xml:space="preserve"> </v>
      </c>
      <c r="W683" s="1069" t="str">
        <f t="shared" ca="1" si="261"/>
        <v xml:space="preserve"> </v>
      </c>
      <c r="X683" s="1069" t="str">
        <f t="shared" ca="1" si="261"/>
        <v xml:space="preserve"> </v>
      </c>
      <c r="Y683" s="1069" t="str">
        <f t="shared" ca="1" si="261"/>
        <v xml:space="preserve"> </v>
      </c>
      <c r="Z683" s="1069" t="str">
        <f t="shared" ca="1" si="261"/>
        <v xml:space="preserve"> </v>
      </c>
      <c r="AA683" s="1069" t="str">
        <f t="shared" ca="1" si="261"/>
        <v xml:space="preserve"> </v>
      </c>
    </row>
    <row r="684" spans="1:27" s="1069" customFormat="1" ht="9.9499999999999993" customHeight="1">
      <c r="A684" s="1069">
        <v>160</v>
      </c>
      <c r="D684" s="1069" t="str">
        <f t="shared" ref="D684:AA684" ca="1" si="262">IF(ISNUMBER(D683),IF(D683+2&lt;E$726,IF(ISNA(MATCH("Y",INDIRECT("Skills!"&amp;$C$523&amp;D683+1&amp;":"&amp;$C$523&amp;E$726),0))," ",MATCH("Y",INDIRECT("Skills!"&amp;$C$523&amp;D683+1&amp;":"&amp;$C$523&amp;E$726),0)+D683)," ")," ")</f>
        <v xml:space="preserve"> </v>
      </c>
      <c r="E684" s="1069" t="str">
        <f t="shared" ca="1" si="262"/>
        <v xml:space="preserve"> </v>
      </c>
      <c r="F684" s="1069" t="str">
        <f t="shared" ca="1" si="262"/>
        <v xml:space="preserve"> </v>
      </c>
      <c r="G684" s="1069" t="str">
        <f t="shared" ca="1" si="262"/>
        <v xml:space="preserve"> </v>
      </c>
      <c r="H684" s="1069" t="str">
        <f t="shared" ca="1" si="262"/>
        <v xml:space="preserve"> </v>
      </c>
      <c r="I684" s="1069" t="str">
        <f t="shared" ca="1" si="262"/>
        <v xml:space="preserve"> </v>
      </c>
      <c r="J684" s="1069" t="str">
        <f t="shared" ca="1" si="262"/>
        <v xml:space="preserve"> </v>
      </c>
      <c r="K684" s="1069" t="str">
        <f t="shared" ca="1" si="262"/>
        <v xml:space="preserve"> </v>
      </c>
      <c r="L684" s="1069" t="str">
        <f t="shared" ca="1" si="262"/>
        <v xml:space="preserve"> </v>
      </c>
      <c r="M684" s="1069" t="str">
        <f t="shared" ca="1" si="262"/>
        <v xml:space="preserve"> </v>
      </c>
      <c r="N684" s="1069" t="str">
        <f t="shared" ca="1" si="262"/>
        <v xml:space="preserve"> </v>
      </c>
      <c r="O684" s="1069" t="str">
        <f t="shared" ca="1" si="262"/>
        <v xml:space="preserve"> </v>
      </c>
      <c r="P684" s="1069" t="str">
        <f t="shared" ca="1" si="262"/>
        <v xml:space="preserve"> </v>
      </c>
      <c r="Q684" s="1069" t="str">
        <f t="shared" ca="1" si="262"/>
        <v xml:space="preserve"> </v>
      </c>
      <c r="R684" s="1069" t="str">
        <f t="shared" ca="1" si="262"/>
        <v xml:space="preserve"> </v>
      </c>
      <c r="S684" s="1069" t="str">
        <f t="shared" ca="1" si="262"/>
        <v xml:space="preserve"> </v>
      </c>
      <c r="T684" s="1069" t="str">
        <f t="shared" ca="1" si="262"/>
        <v xml:space="preserve"> </v>
      </c>
      <c r="U684" s="1069" t="str">
        <f t="shared" ca="1" si="262"/>
        <v xml:space="preserve"> </v>
      </c>
      <c r="V684" s="1069" t="str">
        <f t="shared" ca="1" si="262"/>
        <v xml:space="preserve"> </v>
      </c>
      <c r="W684" s="1069" t="str">
        <f t="shared" ca="1" si="262"/>
        <v xml:space="preserve"> </v>
      </c>
      <c r="X684" s="1069" t="str">
        <f t="shared" ca="1" si="262"/>
        <v xml:space="preserve"> </v>
      </c>
      <c r="Y684" s="1069" t="str">
        <f t="shared" ca="1" si="262"/>
        <v xml:space="preserve"> </v>
      </c>
      <c r="Z684" s="1069" t="str">
        <f t="shared" ca="1" si="262"/>
        <v xml:space="preserve"> </v>
      </c>
      <c r="AA684" s="1069" t="str">
        <f t="shared" ca="1" si="262"/>
        <v xml:space="preserve"> </v>
      </c>
    </row>
    <row r="685" spans="1:27" s="1069" customFormat="1" ht="9.9499999999999993" customHeight="1">
      <c r="A685" s="1069">
        <v>161</v>
      </c>
      <c r="D685" s="1069" t="str">
        <f t="shared" ref="D685:AA685" ca="1" si="263">IF(ISNUMBER(D684),IF(D684+2&lt;E$726,IF(ISNA(MATCH("Y",INDIRECT("Skills!"&amp;$C$523&amp;D684+1&amp;":"&amp;$C$523&amp;E$726),0))," ",MATCH("Y",INDIRECT("Skills!"&amp;$C$523&amp;D684+1&amp;":"&amp;$C$523&amp;E$726),0)+D684)," ")," ")</f>
        <v xml:space="preserve"> </v>
      </c>
      <c r="E685" s="1069" t="str">
        <f t="shared" ca="1" si="263"/>
        <v xml:space="preserve"> </v>
      </c>
      <c r="F685" s="1069" t="str">
        <f t="shared" ca="1" si="263"/>
        <v xml:space="preserve"> </v>
      </c>
      <c r="G685" s="1069" t="str">
        <f t="shared" ca="1" si="263"/>
        <v xml:space="preserve"> </v>
      </c>
      <c r="H685" s="1069" t="str">
        <f t="shared" ca="1" si="263"/>
        <v xml:space="preserve"> </v>
      </c>
      <c r="I685" s="1069" t="str">
        <f t="shared" ca="1" si="263"/>
        <v xml:space="preserve"> </v>
      </c>
      <c r="J685" s="1069" t="str">
        <f t="shared" ca="1" si="263"/>
        <v xml:space="preserve"> </v>
      </c>
      <c r="K685" s="1069" t="str">
        <f t="shared" ca="1" si="263"/>
        <v xml:space="preserve"> </v>
      </c>
      <c r="L685" s="1069" t="str">
        <f t="shared" ca="1" si="263"/>
        <v xml:space="preserve"> </v>
      </c>
      <c r="M685" s="1069" t="str">
        <f t="shared" ca="1" si="263"/>
        <v xml:space="preserve"> </v>
      </c>
      <c r="N685" s="1069" t="str">
        <f t="shared" ca="1" si="263"/>
        <v xml:space="preserve"> </v>
      </c>
      <c r="O685" s="1069" t="str">
        <f t="shared" ca="1" si="263"/>
        <v xml:space="preserve"> </v>
      </c>
      <c r="P685" s="1069" t="str">
        <f t="shared" ca="1" si="263"/>
        <v xml:space="preserve"> </v>
      </c>
      <c r="Q685" s="1069" t="str">
        <f t="shared" ca="1" si="263"/>
        <v xml:space="preserve"> </v>
      </c>
      <c r="R685" s="1069" t="str">
        <f t="shared" ca="1" si="263"/>
        <v xml:space="preserve"> </v>
      </c>
      <c r="S685" s="1069" t="str">
        <f t="shared" ca="1" si="263"/>
        <v xml:space="preserve"> </v>
      </c>
      <c r="T685" s="1069" t="str">
        <f t="shared" ca="1" si="263"/>
        <v xml:space="preserve"> </v>
      </c>
      <c r="U685" s="1069" t="str">
        <f t="shared" ca="1" si="263"/>
        <v xml:space="preserve"> </v>
      </c>
      <c r="V685" s="1069" t="str">
        <f t="shared" ca="1" si="263"/>
        <v xml:space="preserve"> </v>
      </c>
      <c r="W685" s="1069" t="str">
        <f t="shared" ca="1" si="263"/>
        <v xml:space="preserve"> </v>
      </c>
      <c r="X685" s="1069" t="str">
        <f t="shared" ca="1" si="263"/>
        <v xml:space="preserve"> </v>
      </c>
      <c r="Y685" s="1069" t="str">
        <f t="shared" ca="1" si="263"/>
        <v xml:space="preserve"> </v>
      </c>
      <c r="Z685" s="1069" t="str">
        <f t="shared" ca="1" si="263"/>
        <v xml:space="preserve"> </v>
      </c>
      <c r="AA685" s="1069" t="str">
        <f t="shared" ca="1" si="263"/>
        <v xml:space="preserve"> </v>
      </c>
    </row>
    <row r="686" spans="1:27" s="1069" customFormat="1" ht="9.9499999999999993" customHeight="1">
      <c r="A686" s="1069">
        <v>162</v>
      </c>
      <c r="D686" s="1069" t="str">
        <f t="shared" ref="D686:AA686" ca="1" si="264">IF(ISNUMBER(D685),IF(D685+2&lt;E$726,IF(ISNA(MATCH("Y",INDIRECT("Skills!"&amp;$C$523&amp;D685+1&amp;":"&amp;$C$523&amp;E$726),0))," ",MATCH("Y",INDIRECT("Skills!"&amp;$C$523&amp;D685+1&amp;":"&amp;$C$523&amp;E$726),0)+D685)," ")," ")</f>
        <v xml:space="preserve"> </v>
      </c>
      <c r="E686" s="1069" t="str">
        <f t="shared" ca="1" si="264"/>
        <v xml:space="preserve"> </v>
      </c>
      <c r="F686" s="1069" t="str">
        <f t="shared" ca="1" si="264"/>
        <v xml:space="preserve"> </v>
      </c>
      <c r="G686" s="1069" t="str">
        <f t="shared" ca="1" si="264"/>
        <v xml:space="preserve"> </v>
      </c>
      <c r="H686" s="1069" t="str">
        <f t="shared" ca="1" si="264"/>
        <v xml:space="preserve"> </v>
      </c>
      <c r="I686" s="1069" t="str">
        <f t="shared" ca="1" si="264"/>
        <v xml:space="preserve"> </v>
      </c>
      <c r="J686" s="1069" t="str">
        <f t="shared" ca="1" si="264"/>
        <v xml:space="preserve"> </v>
      </c>
      <c r="K686" s="1069" t="str">
        <f t="shared" ca="1" si="264"/>
        <v xml:space="preserve"> </v>
      </c>
      <c r="L686" s="1069" t="str">
        <f t="shared" ca="1" si="264"/>
        <v xml:space="preserve"> </v>
      </c>
      <c r="M686" s="1069" t="str">
        <f t="shared" ca="1" si="264"/>
        <v xml:space="preserve"> </v>
      </c>
      <c r="N686" s="1069" t="str">
        <f t="shared" ca="1" si="264"/>
        <v xml:space="preserve"> </v>
      </c>
      <c r="O686" s="1069" t="str">
        <f t="shared" ca="1" si="264"/>
        <v xml:space="preserve"> </v>
      </c>
      <c r="P686" s="1069" t="str">
        <f t="shared" ca="1" si="264"/>
        <v xml:space="preserve"> </v>
      </c>
      <c r="Q686" s="1069" t="str">
        <f t="shared" ca="1" si="264"/>
        <v xml:space="preserve"> </v>
      </c>
      <c r="R686" s="1069" t="str">
        <f t="shared" ca="1" si="264"/>
        <v xml:space="preserve"> </v>
      </c>
      <c r="S686" s="1069" t="str">
        <f t="shared" ca="1" si="264"/>
        <v xml:space="preserve"> </v>
      </c>
      <c r="T686" s="1069" t="str">
        <f t="shared" ca="1" si="264"/>
        <v xml:space="preserve"> </v>
      </c>
      <c r="U686" s="1069" t="str">
        <f t="shared" ca="1" si="264"/>
        <v xml:space="preserve"> </v>
      </c>
      <c r="V686" s="1069" t="str">
        <f t="shared" ca="1" si="264"/>
        <v xml:space="preserve"> </v>
      </c>
      <c r="W686" s="1069" t="str">
        <f t="shared" ca="1" si="264"/>
        <v xml:space="preserve"> </v>
      </c>
      <c r="X686" s="1069" t="str">
        <f t="shared" ca="1" si="264"/>
        <v xml:space="preserve"> </v>
      </c>
      <c r="Y686" s="1069" t="str">
        <f t="shared" ca="1" si="264"/>
        <v xml:space="preserve"> </v>
      </c>
      <c r="Z686" s="1069" t="str">
        <f t="shared" ca="1" si="264"/>
        <v xml:space="preserve"> </v>
      </c>
      <c r="AA686" s="1069" t="str">
        <f t="shared" ca="1" si="264"/>
        <v xml:space="preserve"> </v>
      </c>
    </row>
    <row r="687" spans="1:27" s="1069" customFormat="1" ht="9.9499999999999993" customHeight="1">
      <c r="A687" s="1069">
        <v>163</v>
      </c>
      <c r="D687" s="1069" t="str">
        <f t="shared" ref="D687:AA687" ca="1" si="265">IF(ISNUMBER(D686),IF(D686+2&lt;E$726,IF(ISNA(MATCH("Y",INDIRECT("Skills!"&amp;$C$523&amp;D686+1&amp;":"&amp;$C$523&amp;E$726),0))," ",MATCH("Y",INDIRECT("Skills!"&amp;$C$523&amp;D686+1&amp;":"&amp;$C$523&amp;E$726),0)+D686)," ")," ")</f>
        <v xml:space="preserve"> </v>
      </c>
      <c r="E687" s="1069" t="str">
        <f t="shared" ca="1" si="265"/>
        <v xml:space="preserve"> </v>
      </c>
      <c r="F687" s="1069" t="str">
        <f t="shared" ca="1" si="265"/>
        <v xml:space="preserve"> </v>
      </c>
      <c r="G687" s="1069" t="str">
        <f t="shared" ca="1" si="265"/>
        <v xml:space="preserve"> </v>
      </c>
      <c r="H687" s="1069" t="str">
        <f t="shared" ca="1" si="265"/>
        <v xml:space="preserve"> </v>
      </c>
      <c r="I687" s="1069" t="str">
        <f t="shared" ca="1" si="265"/>
        <v xml:space="preserve"> </v>
      </c>
      <c r="J687" s="1069" t="str">
        <f t="shared" ca="1" si="265"/>
        <v xml:space="preserve"> </v>
      </c>
      <c r="K687" s="1069" t="str">
        <f t="shared" ca="1" si="265"/>
        <v xml:space="preserve"> </v>
      </c>
      <c r="L687" s="1069" t="str">
        <f t="shared" ca="1" si="265"/>
        <v xml:space="preserve"> </v>
      </c>
      <c r="M687" s="1069" t="str">
        <f t="shared" ca="1" si="265"/>
        <v xml:space="preserve"> </v>
      </c>
      <c r="N687" s="1069" t="str">
        <f t="shared" ca="1" si="265"/>
        <v xml:space="preserve"> </v>
      </c>
      <c r="O687" s="1069" t="str">
        <f t="shared" ca="1" si="265"/>
        <v xml:space="preserve"> </v>
      </c>
      <c r="P687" s="1069" t="str">
        <f t="shared" ca="1" si="265"/>
        <v xml:space="preserve"> </v>
      </c>
      <c r="Q687" s="1069" t="str">
        <f t="shared" ca="1" si="265"/>
        <v xml:space="preserve"> </v>
      </c>
      <c r="R687" s="1069" t="str">
        <f t="shared" ca="1" si="265"/>
        <v xml:space="preserve"> </v>
      </c>
      <c r="S687" s="1069" t="str">
        <f t="shared" ca="1" si="265"/>
        <v xml:space="preserve"> </v>
      </c>
      <c r="T687" s="1069" t="str">
        <f t="shared" ca="1" si="265"/>
        <v xml:space="preserve"> </v>
      </c>
      <c r="U687" s="1069" t="str">
        <f t="shared" ca="1" si="265"/>
        <v xml:space="preserve"> </v>
      </c>
      <c r="V687" s="1069" t="str">
        <f t="shared" ca="1" si="265"/>
        <v xml:space="preserve"> </v>
      </c>
      <c r="W687" s="1069" t="str">
        <f t="shared" ca="1" si="265"/>
        <v xml:space="preserve"> </v>
      </c>
      <c r="X687" s="1069" t="str">
        <f t="shared" ca="1" si="265"/>
        <v xml:space="preserve"> </v>
      </c>
      <c r="Y687" s="1069" t="str">
        <f t="shared" ca="1" si="265"/>
        <v xml:space="preserve"> </v>
      </c>
      <c r="Z687" s="1069" t="str">
        <f t="shared" ca="1" si="265"/>
        <v xml:space="preserve"> </v>
      </c>
      <c r="AA687" s="1069" t="str">
        <f t="shared" ca="1" si="265"/>
        <v xml:space="preserve"> </v>
      </c>
    </row>
    <row r="688" spans="1:27" s="1069" customFormat="1" ht="9.9499999999999993" customHeight="1">
      <c r="A688" s="1069">
        <v>164</v>
      </c>
      <c r="D688" s="1069" t="str">
        <f t="shared" ref="D688:AA688" ca="1" si="266">IF(ISNUMBER(D687),IF(D687+2&lt;E$726,IF(ISNA(MATCH("Y",INDIRECT("Skills!"&amp;$C$523&amp;D687+1&amp;":"&amp;$C$523&amp;E$726),0))," ",MATCH("Y",INDIRECT("Skills!"&amp;$C$523&amp;D687+1&amp;":"&amp;$C$523&amp;E$726),0)+D687)," ")," ")</f>
        <v xml:space="preserve"> </v>
      </c>
      <c r="E688" s="1069" t="str">
        <f t="shared" ca="1" si="266"/>
        <v xml:space="preserve"> </v>
      </c>
      <c r="F688" s="1069" t="str">
        <f t="shared" ca="1" si="266"/>
        <v xml:space="preserve"> </v>
      </c>
      <c r="G688" s="1069" t="str">
        <f t="shared" ca="1" si="266"/>
        <v xml:space="preserve"> </v>
      </c>
      <c r="H688" s="1069" t="str">
        <f t="shared" ca="1" si="266"/>
        <v xml:space="preserve"> </v>
      </c>
      <c r="I688" s="1069" t="str">
        <f t="shared" ca="1" si="266"/>
        <v xml:space="preserve"> </v>
      </c>
      <c r="J688" s="1069" t="str">
        <f t="shared" ca="1" si="266"/>
        <v xml:space="preserve"> </v>
      </c>
      <c r="K688" s="1069" t="str">
        <f t="shared" ca="1" si="266"/>
        <v xml:space="preserve"> </v>
      </c>
      <c r="L688" s="1069" t="str">
        <f t="shared" ca="1" si="266"/>
        <v xml:space="preserve"> </v>
      </c>
      <c r="M688" s="1069" t="str">
        <f t="shared" ca="1" si="266"/>
        <v xml:space="preserve"> </v>
      </c>
      <c r="N688" s="1069" t="str">
        <f t="shared" ca="1" si="266"/>
        <v xml:space="preserve"> </v>
      </c>
      <c r="O688" s="1069" t="str">
        <f t="shared" ca="1" si="266"/>
        <v xml:space="preserve"> </v>
      </c>
      <c r="P688" s="1069" t="str">
        <f t="shared" ca="1" si="266"/>
        <v xml:space="preserve"> </v>
      </c>
      <c r="Q688" s="1069" t="str">
        <f t="shared" ca="1" si="266"/>
        <v xml:space="preserve"> </v>
      </c>
      <c r="R688" s="1069" t="str">
        <f t="shared" ca="1" si="266"/>
        <v xml:space="preserve"> </v>
      </c>
      <c r="S688" s="1069" t="str">
        <f t="shared" ca="1" si="266"/>
        <v xml:space="preserve"> </v>
      </c>
      <c r="T688" s="1069" t="str">
        <f t="shared" ca="1" si="266"/>
        <v xml:space="preserve"> </v>
      </c>
      <c r="U688" s="1069" t="str">
        <f t="shared" ca="1" si="266"/>
        <v xml:space="preserve"> </v>
      </c>
      <c r="V688" s="1069" t="str">
        <f t="shared" ca="1" si="266"/>
        <v xml:space="preserve"> </v>
      </c>
      <c r="W688" s="1069" t="str">
        <f t="shared" ca="1" si="266"/>
        <v xml:space="preserve"> </v>
      </c>
      <c r="X688" s="1069" t="str">
        <f t="shared" ca="1" si="266"/>
        <v xml:space="preserve"> </v>
      </c>
      <c r="Y688" s="1069" t="str">
        <f t="shared" ca="1" si="266"/>
        <v xml:space="preserve"> </v>
      </c>
      <c r="Z688" s="1069" t="str">
        <f t="shared" ca="1" si="266"/>
        <v xml:space="preserve"> </v>
      </c>
      <c r="AA688" s="1069" t="str">
        <f t="shared" ca="1" si="266"/>
        <v xml:space="preserve"> </v>
      </c>
    </row>
    <row r="689" spans="1:27" s="1069" customFormat="1" ht="9.9499999999999993" customHeight="1">
      <c r="A689" s="1069">
        <v>165</v>
      </c>
      <c r="D689" s="1069" t="str">
        <f t="shared" ref="D689:AA689" ca="1" si="267">IF(ISNUMBER(D688),IF(D688+2&lt;E$726,IF(ISNA(MATCH("Y",INDIRECT("Skills!"&amp;$C$523&amp;D688+1&amp;":"&amp;$C$523&amp;E$726),0))," ",MATCH("Y",INDIRECT("Skills!"&amp;$C$523&amp;D688+1&amp;":"&amp;$C$523&amp;E$726),0)+D688)," ")," ")</f>
        <v xml:space="preserve"> </v>
      </c>
      <c r="E689" s="1069" t="str">
        <f t="shared" ca="1" si="267"/>
        <v xml:space="preserve"> </v>
      </c>
      <c r="F689" s="1069" t="str">
        <f t="shared" ca="1" si="267"/>
        <v xml:space="preserve"> </v>
      </c>
      <c r="G689" s="1069" t="str">
        <f t="shared" ca="1" si="267"/>
        <v xml:space="preserve"> </v>
      </c>
      <c r="H689" s="1069" t="str">
        <f t="shared" ca="1" si="267"/>
        <v xml:space="preserve"> </v>
      </c>
      <c r="I689" s="1069" t="str">
        <f t="shared" ca="1" si="267"/>
        <v xml:space="preserve"> </v>
      </c>
      <c r="J689" s="1069" t="str">
        <f t="shared" ca="1" si="267"/>
        <v xml:space="preserve"> </v>
      </c>
      <c r="K689" s="1069" t="str">
        <f t="shared" ca="1" si="267"/>
        <v xml:space="preserve"> </v>
      </c>
      <c r="L689" s="1069" t="str">
        <f t="shared" ca="1" si="267"/>
        <v xml:space="preserve"> </v>
      </c>
      <c r="M689" s="1069" t="str">
        <f t="shared" ca="1" si="267"/>
        <v xml:space="preserve"> </v>
      </c>
      <c r="N689" s="1069" t="str">
        <f t="shared" ca="1" si="267"/>
        <v xml:space="preserve"> </v>
      </c>
      <c r="O689" s="1069" t="str">
        <f t="shared" ca="1" si="267"/>
        <v xml:space="preserve"> </v>
      </c>
      <c r="P689" s="1069" t="str">
        <f t="shared" ca="1" si="267"/>
        <v xml:space="preserve"> </v>
      </c>
      <c r="Q689" s="1069" t="str">
        <f t="shared" ca="1" si="267"/>
        <v xml:space="preserve"> </v>
      </c>
      <c r="R689" s="1069" t="str">
        <f t="shared" ca="1" si="267"/>
        <v xml:space="preserve"> </v>
      </c>
      <c r="S689" s="1069" t="str">
        <f t="shared" ca="1" si="267"/>
        <v xml:space="preserve"> </v>
      </c>
      <c r="T689" s="1069" t="str">
        <f t="shared" ca="1" si="267"/>
        <v xml:space="preserve"> </v>
      </c>
      <c r="U689" s="1069" t="str">
        <f t="shared" ca="1" si="267"/>
        <v xml:space="preserve"> </v>
      </c>
      <c r="V689" s="1069" t="str">
        <f t="shared" ca="1" si="267"/>
        <v xml:space="preserve"> </v>
      </c>
      <c r="W689" s="1069" t="str">
        <f t="shared" ca="1" si="267"/>
        <v xml:space="preserve"> </v>
      </c>
      <c r="X689" s="1069" t="str">
        <f t="shared" ca="1" si="267"/>
        <v xml:space="preserve"> </v>
      </c>
      <c r="Y689" s="1069" t="str">
        <f t="shared" ca="1" si="267"/>
        <v xml:space="preserve"> </v>
      </c>
      <c r="Z689" s="1069" t="str">
        <f t="shared" ca="1" si="267"/>
        <v xml:space="preserve"> </v>
      </c>
      <c r="AA689" s="1069" t="str">
        <f t="shared" ca="1" si="267"/>
        <v xml:space="preserve"> </v>
      </c>
    </row>
    <row r="690" spans="1:27" s="1069" customFormat="1" ht="9.9499999999999993" customHeight="1">
      <c r="A690" s="1069">
        <v>166</v>
      </c>
      <c r="D690" s="1069" t="str">
        <f t="shared" ref="D690:AA690" ca="1" si="268">IF(ISNUMBER(D689),IF(D689+2&lt;E$726,IF(ISNA(MATCH("Y",INDIRECT("Skills!"&amp;$C$523&amp;D689+1&amp;":"&amp;$C$523&amp;E$726),0))," ",MATCH("Y",INDIRECT("Skills!"&amp;$C$523&amp;D689+1&amp;":"&amp;$C$523&amp;E$726),0)+D689)," ")," ")</f>
        <v xml:space="preserve"> </v>
      </c>
      <c r="E690" s="1069" t="str">
        <f t="shared" ca="1" si="268"/>
        <v xml:space="preserve"> </v>
      </c>
      <c r="F690" s="1069" t="str">
        <f t="shared" ca="1" si="268"/>
        <v xml:space="preserve"> </v>
      </c>
      <c r="G690" s="1069" t="str">
        <f t="shared" ca="1" si="268"/>
        <v xml:space="preserve"> </v>
      </c>
      <c r="H690" s="1069" t="str">
        <f t="shared" ca="1" si="268"/>
        <v xml:space="preserve"> </v>
      </c>
      <c r="I690" s="1069" t="str">
        <f t="shared" ca="1" si="268"/>
        <v xml:space="preserve"> </v>
      </c>
      <c r="J690" s="1069" t="str">
        <f t="shared" ca="1" si="268"/>
        <v xml:space="preserve"> </v>
      </c>
      <c r="K690" s="1069" t="str">
        <f t="shared" ca="1" si="268"/>
        <v xml:space="preserve"> </v>
      </c>
      <c r="L690" s="1069" t="str">
        <f t="shared" ca="1" si="268"/>
        <v xml:space="preserve"> </v>
      </c>
      <c r="M690" s="1069" t="str">
        <f t="shared" ca="1" si="268"/>
        <v xml:space="preserve"> </v>
      </c>
      <c r="N690" s="1069" t="str">
        <f t="shared" ca="1" si="268"/>
        <v xml:space="preserve"> </v>
      </c>
      <c r="O690" s="1069" t="str">
        <f t="shared" ca="1" si="268"/>
        <v xml:space="preserve"> </v>
      </c>
      <c r="P690" s="1069" t="str">
        <f t="shared" ca="1" si="268"/>
        <v xml:space="preserve"> </v>
      </c>
      <c r="Q690" s="1069" t="str">
        <f t="shared" ca="1" si="268"/>
        <v xml:space="preserve"> </v>
      </c>
      <c r="R690" s="1069" t="str">
        <f t="shared" ca="1" si="268"/>
        <v xml:space="preserve"> </v>
      </c>
      <c r="S690" s="1069" t="str">
        <f t="shared" ca="1" si="268"/>
        <v xml:space="preserve"> </v>
      </c>
      <c r="T690" s="1069" t="str">
        <f t="shared" ca="1" si="268"/>
        <v xml:space="preserve"> </v>
      </c>
      <c r="U690" s="1069" t="str">
        <f t="shared" ca="1" si="268"/>
        <v xml:space="preserve"> </v>
      </c>
      <c r="V690" s="1069" t="str">
        <f t="shared" ca="1" si="268"/>
        <v xml:space="preserve"> </v>
      </c>
      <c r="W690" s="1069" t="str">
        <f t="shared" ca="1" si="268"/>
        <v xml:space="preserve"> </v>
      </c>
      <c r="X690" s="1069" t="str">
        <f t="shared" ca="1" si="268"/>
        <v xml:space="preserve"> </v>
      </c>
      <c r="Y690" s="1069" t="str">
        <f t="shared" ca="1" si="268"/>
        <v xml:space="preserve"> </v>
      </c>
      <c r="Z690" s="1069" t="str">
        <f t="shared" ca="1" si="268"/>
        <v xml:space="preserve"> </v>
      </c>
      <c r="AA690" s="1069" t="str">
        <f t="shared" ca="1" si="268"/>
        <v xml:space="preserve"> </v>
      </c>
    </row>
    <row r="691" spans="1:27" s="1069" customFormat="1" ht="9.9499999999999993" customHeight="1">
      <c r="A691" s="1069">
        <v>167</v>
      </c>
      <c r="D691" s="1069" t="str">
        <f t="shared" ref="D691:AA691" ca="1" si="269">IF(ISNUMBER(D690),IF(D690+2&lt;E$726,IF(ISNA(MATCH("Y",INDIRECT("Skills!"&amp;$C$523&amp;D690+1&amp;":"&amp;$C$523&amp;E$726),0))," ",MATCH("Y",INDIRECT("Skills!"&amp;$C$523&amp;D690+1&amp;":"&amp;$C$523&amp;E$726),0)+D690)," ")," ")</f>
        <v xml:space="preserve"> </v>
      </c>
      <c r="E691" s="1069" t="str">
        <f t="shared" ca="1" si="269"/>
        <v xml:space="preserve"> </v>
      </c>
      <c r="F691" s="1069" t="str">
        <f t="shared" ca="1" si="269"/>
        <v xml:space="preserve"> </v>
      </c>
      <c r="G691" s="1069" t="str">
        <f t="shared" ca="1" si="269"/>
        <v xml:space="preserve"> </v>
      </c>
      <c r="H691" s="1069" t="str">
        <f t="shared" ca="1" si="269"/>
        <v xml:space="preserve"> </v>
      </c>
      <c r="I691" s="1069" t="str">
        <f t="shared" ca="1" si="269"/>
        <v xml:space="preserve"> </v>
      </c>
      <c r="J691" s="1069" t="str">
        <f t="shared" ca="1" si="269"/>
        <v xml:space="preserve"> </v>
      </c>
      <c r="K691" s="1069" t="str">
        <f t="shared" ca="1" si="269"/>
        <v xml:space="preserve"> </v>
      </c>
      <c r="L691" s="1069" t="str">
        <f t="shared" ca="1" si="269"/>
        <v xml:space="preserve"> </v>
      </c>
      <c r="M691" s="1069" t="str">
        <f t="shared" ca="1" si="269"/>
        <v xml:space="preserve"> </v>
      </c>
      <c r="N691" s="1069" t="str">
        <f t="shared" ca="1" si="269"/>
        <v xml:space="preserve"> </v>
      </c>
      <c r="O691" s="1069" t="str">
        <f t="shared" ca="1" si="269"/>
        <v xml:space="preserve"> </v>
      </c>
      <c r="P691" s="1069" t="str">
        <f t="shared" ca="1" si="269"/>
        <v xml:space="preserve"> </v>
      </c>
      <c r="Q691" s="1069" t="str">
        <f t="shared" ca="1" si="269"/>
        <v xml:space="preserve"> </v>
      </c>
      <c r="R691" s="1069" t="str">
        <f t="shared" ca="1" si="269"/>
        <v xml:space="preserve"> </v>
      </c>
      <c r="S691" s="1069" t="str">
        <f t="shared" ca="1" si="269"/>
        <v xml:space="preserve"> </v>
      </c>
      <c r="T691" s="1069" t="str">
        <f t="shared" ca="1" si="269"/>
        <v xml:space="preserve"> </v>
      </c>
      <c r="U691" s="1069" t="str">
        <f t="shared" ca="1" si="269"/>
        <v xml:space="preserve"> </v>
      </c>
      <c r="V691" s="1069" t="str">
        <f t="shared" ca="1" si="269"/>
        <v xml:space="preserve"> </v>
      </c>
      <c r="W691" s="1069" t="str">
        <f t="shared" ca="1" si="269"/>
        <v xml:space="preserve"> </v>
      </c>
      <c r="X691" s="1069" t="str">
        <f t="shared" ca="1" si="269"/>
        <v xml:space="preserve"> </v>
      </c>
      <c r="Y691" s="1069" t="str">
        <f t="shared" ca="1" si="269"/>
        <v xml:space="preserve"> </v>
      </c>
      <c r="Z691" s="1069" t="str">
        <f t="shared" ca="1" si="269"/>
        <v xml:space="preserve"> </v>
      </c>
      <c r="AA691" s="1069" t="str">
        <f t="shared" ca="1" si="269"/>
        <v xml:space="preserve"> </v>
      </c>
    </row>
    <row r="692" spans="1:27" s="1069" customFormat="1" ht="9.9499999999999993" customHeight="1">
      <c r="A692" s="1069">
        <v>168</v>
      </c>
      <c r="D692" s="1069" t="str">
        <f t="shared" ref="D692:AA692" ca="1" si="270">IF(ISNUMBER(D691),IF(D691+2&lt;E$726,IF(ISNA(MATCH("Y",INDIRECT("Skills!"&amp;$C$523&amp;D691+1&amp;":"&amp;$C$523&amp;E$726),0))," ",MATCH("Y",INDIRECT("Skills!"&amp;$C$523&amp;D691+1&amp;":"&amp;$C$523&amp;E$726),0)+D691)," ")," ")</f>
        <v xml:space="preserve"> </v>
      </c>
      <c r="E692" s="1069" t="str">
        <f t="shared" ca="1" si="270"/>
        <v xml:space="preserve"> </v>
      </c>
      <c r="F692" s="1069" t="str">
        <f t="shared" ca="1" si="270"/>
        <v xml:space="preserve"> </v>
      </c>
      <c r="G692" s="1069" t="str">
        <f t="shared" ca="1" si="270"/>
        <v xml:space="preserve"> </v>
      </c>
      <c r="H692" s="1069" t="str">
        <f t="shared" ca="1" si="270"/>
        <v xml:space="preserve"> </v>
      </c>
      <c r="I692" s="1069" t="str">
        <f t="shared" ca="1" si="270"/>
        <v xml:space="preserve"> </v>
      </c>
      <c r="J692" s="1069" t="str">
        <f t="shared" ca="1" si="270"/>
        <v xml:space="preserve"> </v>
      </c>
      <c r="K692" s="1069" t="str">
        <f t="shared" ca="1" si="270"/>
        <v xml:space="preserve"> </v>
      </c>
      <c r="L692" s="1069" t="str">
        <f t="shared" ca="1" si="270"/>
        <v xml:space="preserve"> </v>
      </c>
      <c r="M692" s="1069" t="str">
        <f t="shared" ca="1" si="270"/>
        <v xml:space="preserve"> </v>
      </c>
      <c r="N692" s="1069" t="str">
        <f t="shared" ca="1" si="270"/>
        <v xml:space="preserve"> </v>
      </c>
      <c r="O692" s="1069" t="str">
        <f t="shared" ca="1" si="270"/>
        <v xml:space="preserve"> </v>
      </c>
      <c r="P692" s="1069" t="str">
        <f t="shared" ca="1" si="270"/>
        <v xml:space="preserve"> </v>
      </c>
      <c r="Q692" s="1069" t="str">
        <f t="shared" ca="1" si="270"/>
        <v xml:space="preserve"> </v>
      </c>
      <c r="R692" s="1069" t="str">
        <f t="shared" ca="1" si="270"/>
        <v xml:space="preserve"> </v>
      </c>
      <c r="S692" s="1069" t="str">
        <f t="shared" ca="1" si="270"/>
        <v xml:space="preserve"> </v>
      </c>
      <c r="T692" s="1069" t="str">
        <f t="shared" ca="1" si="270"/>
        <v xml:space="preserve"> </v>
      </c>
      <c r="U692" s="1069" t="str">
        <f t="shared" ca="1" si="270"/>
        <v xml:space="preserve"> </v>
      </c>
      <c r="V692" s="1069" t="str">
        <f t="shared" ca="1" si="270"/>
        <v xml:space="preserve"> </v>
      </c>
      <c r="W692" s="1069" t="str">
        <f t="shared" ca="1" si="270"/>
        <v xml:space="preserve"> </v>
      </c>
      <c r="X692" s="1069" t="str">
        <f t="shared" ca="1" si="270"/>
        <v xml:space="preserve"> </v>
      </c>
      <c r="Y692" s="1069" t="str">
        <f t="shared" ca="1" si="270"/>
        <v xml:space="preserve"> </v>
      </c>
      <c r="Z692" s="1069" t="str">
        <f t="shared" ca="1" si="270"/>
        <v xml:space="preserve"> </v>
      </c>
      <c r="AA692" s="1069" t="str">
        <f t="shared" ca="1" si="270"/>
        <v xml:space="preserve"> </v>
      </c>
    </row>
    <row r="693" spans="1:27" s="1069" customFormat="1" ht="9.9499999999999993" customHeight="1">
      <c r="A693" s="1069">
        <v>169</v>
      </c>
      <c r="D693" s="1069" t="str">
        <f t="shared" ref="D693:AA693" ca="1" si="271">IF(ISNUMBER(D692),IF(D692+2&lt;E$726,IF(ISNA(MATCH("Y",INDIRECT("Skills!"&amp;$C$523&amp;D692+1&amp;":"&amp;$C$523&amp;E$726),0))," ",MATCH("Y",INDIRECT("Skills!"&amp;$C$523&amp;D692+1&amp;":"&amp;$C$523&amp;E$726),0)+D692)," ")," ")</f>
        <v xml:space="preserve"> </v>
      </c>
      <c r="E693" s="1069" t="str">
        <f t="shared" ca="1" si="271"/>
        <v xml:space="preserve"> </v>
      </c>
      <c r="F693" s="1069" t="str">
        <f t="shared" ca="1" si="271"/>
        <v xml:space="preserve"> </v>
      </c>
      <c r="G693" s="1069" t="str">
        <f t="shared" ca="1" si="271"/>
        <v xml:space="preserve"> </v>
      </c>
      <c r="H693" s="1069" t="str">
        <f t="shared" ca="1" si="271"/>
        <v xml:space="preserve"> </v>
      </c>
      <c r="I693" s="1069" t="str">
        <f t="shared" ca="1" si="271"/>
        <v xml:space="preserve"> </v>
      </c>
      <c r="J693" s="1069" t="str">
        <f t="shared" ca="1" si="271"/>
        <v xml:space="preserve"> </v>
      </c>
      <c r="K693" s="1069" t="str">
        <f t="shared" ca="1" si="271"/>
        <v xml:space="preserve"> </v>
      </c>
      <c r="L693" s="1069" t="str">
        <f t="shared" ca="1" si="271"/>
        <v xml:space="preserve"> </v>
      </c>
      <c r="M693" s="1069" t="str">
        <f t="shared" ca="1" si="271"/>
        <v xml:space="preserve"> </v>
      </c>
      <c r="N693" s="1069" t="str">
        <f t="shared" ca="1" si="271"/>
        <v xml:space="preserve"> </v>
      </c>
      <c r="O693" s="1069" t="str">
        <f t="shared" ca="1" si="271"/>
        <v xml:space="preserve"> </v>
      </c>
      <c r="P693" s="1069" t="str">
        <f t="shared" ca="1" si="271"/>
        <v xml:space="preserve"> </v>
      </c>
      <c r="Q693" s="1069" t="str">
        <f t="shared" ca="1" si="271"/>
        <v xml:space="preserve"> </v>
      </c>
      <c r="R693" s="1069" t="str">
        <f t="shared" ca="1" si="271"/>
        <v xml:space="preserve"> </v>
      </c>
      <c r="S693" s="1069" t="str">
        <f t="shared" ca="1" si="271"/>
        <v xml:space="preserve"> </v>
      </c>
      <c r="T693" s="1069" t="str">
        <f t="shared" ca="1" si="271"/>
        <v xml:space="preserve"> </v>
      </c>
      <c r="U693" s="1069" t="str">
        <f t="shared" ca="1" si="271"/>
        <v xml:space="preserve"> </v>
      </c>
      <c r="V693" s="1069" t="str">
        <f t="shared" ca="1" si="271"/>
        <v xml:space="preserve"> </v>
      </c>
      <c r="W693" s="1069" t="str">
        <f t="shared" ca="1" si="271"/>
        <v xml:space="preserve"> </v>
      </c>
      <c r="X693" s="1069" t="str">
        <f t="shared" ca="1" si="271"/>
        <v xml:space="preserve"> </v>
      </c>
      <c r="Y693" s="1069" t="str">
        <f t="shared" ca="1" si="271"/>
        <v xml:space="preserve"> </v>
      </c>
      <c r="Z693" s="1069" t="str">
        <f t="shared" ca="1" si="271"/>
        <v xml:space="preserve"> </v>
      </c>
      <c r="AA693" s="1069" t="str">
        <f t="shared" ca="1" si="271"/>
        <v xml:space="preserve"> </v>
      </c>
    </row>
    <row r="694" spans="1:27" s="1069" customFormat="1" ht="9.9499999999999993" customHeight="1">
      <c r="A694" s="1069">
        <v>170</v>
      </c>
      <c r="D694" s="1069" t="str">
        <f t="shared" ref="D694:AA694" ca="1" si="272">IF(ISNUMBER(D693),IF(D693+2&lt;E$726,IF(ISNA(MATCH("Y",INDIRECT("Skills!"&amp;$C$523&amp;D693+1&amp;":"&amp;$C$523&amp;E$726),0))," ",MATCH("Y",INDIRECT("Skills!"&amp;$C$523&amp;D693+1&amp;":"&amp;$C$523&amp;E$726),0)+D693)," ")," ")</f>
        <v xml:space="preserve"> </v>
      </c>
      <c r="E694" s="1069" t="str">
        <f t="shared" ca="1" si="272"/>
        <v xml:space="preserve"> </v>
      </c>
      <c r="F694" s="1069" t="str">
        <f t="shared" ca="1" si="272"/>
        <v xml:space="preserve"> </v>
      </c>
      <c r="G694" s="1069" t="str">
        <f t="shared" ca="1" si="272"/>
        <v xml:space="preserve"> </v>
      </c>
      <c r="H694" s="1069" t="str">
        <f t="shared" ca="1" si="272"/>
        <v xml:space="preserve"> </v>
      </c>
      <c r="I694" s="1069" t="str">
        <f t="shared" ca="1" si="272"/>
        <v xml:space="preserve"> </v>
      </c>
      <c r="J694" s="1069" t="str">
        <f t="shared" ca="1" si="272"/>
        <v xml:space="preserve"> </v>
      </c>
      <c r="K694" s="1069" t="str">
        <f t="shared" ca="1" si="272"/>
        <v xml:space="preserve"> </v>
      </c>
      <c r="L694" s="1069" t="str">
        <f t="shared" ca="1" si="272"/>
        <v xml:space="preserve"> </v>
      </c>
      <c r="M694" s="1069" t="str">
        <f t="shared" ca="1" si="272"/>
        <v xml:space="preserve"> </v>
      </c>
      <c r="N694" s="1069" t="str">
        <f t="shared" ca="1" si="272"/>
        <v xml:space="preserve"> </v>
      </c>
      <c r="O694" s="1069" t="str">
        <f t="shared" ca="1" si="272"/>
        <v xml:space="preserve"> </v>
      </c>
      <c r="P694" s="1069" t="str">
        <f t="shared" ca="1" si="272"/>
        <v xml:space="preserve"> </v>
      </c>
      <c r="Q694" s="1069" t="str">
        <f t="shared" ca="1" si="272"/>
        <v xml:space="preserve"> </v>
      </c>
      <c r="R694" s="1069" t="str">
        <f t="shared" ca="1" si="272"/>
        <v xml:space="preserve"> </v>
      </c>
      <c r="S694" s="1069" t="str">
        <f t="shared" ca="1" si="272"/>
        <v xml:space="preserve"> </v>
      </c>
      <c r="T694" s="1069" t="str">
        <f t="shared" ca="1" si="272"/>
        <v xml:space="preserve"> </v>
      </c>
      <c r="U694" s="1069" t="str">
        <f t="shared" ca="1" si="272"/>
        <v xml:space="preserve"> </v>
      </c>
      <c r="V694" s="1069" t="str">
        <f t="shared" ca="1" si="272"/>
        <v xml:space="preserve"> </v>
      </c>
      <c r="W694" s="1069" t="str">
        <f t="shared" ca="1" si="272"/>
        <v xml:space="preserve"> </v>
      </c>
      <c r="X694" s="1069" t="str">
        <f t="shared" ca="1" si="272"/>
        <v xml:space="preserve"> </v>
      </c>
      <c r="Y694" s="1069" t="str">
        <f t="shared" ca="1" si="272"/>
        <v xml:space="preserve"> </v>
      </c>
      <c r="Z694" s="1069" t="str">
        <f t="shared" ca="1" si="272"/>
        <v xml:space="preserve"> </v>
      </c>
      <c r="AA694" s="1069" t="str">
        <f t="shared" ca="1" si="272"/>
        <v xml:space="preserve"> </v>
      </c>
    </row>
    <row r="695" spans="1:27" s="1069" customFormat="1" ht="9.9499999999999993" customHeight="1">
      <c r="A695" s="1069">
        <v>171</v>
      </c>
      <c r="D695" s="1069" t="str">
        <f t="shared" ref="D695:AA695" ca="1" si="273">IF(ISNUMBER(D694),IF(D694+2&lt;E$726,IF(ISNA(MATCH("Y",INDIRECT("Skills!"&amp;$C$523&amp;D694+1&amp;":"&amp;$C$523&amp;E$726),0))," ",MATCH("Y",INDIRECT("Skills!"&amp;$C$523&amp;D694+1&amp;":"&amp;$C$523&amp;E$726),0)+D694)," ")," ")</f>
        <v xml:space="preserve"> </v>
      </c>
      <c r="E695" s="1069" t="str">
        <f t="shared" ca="1" si="273"/>
        <v xml:space="preserve"> </v>
      </c>
      <c r="F695" s="1069" t="str">
        <f t="shared" ca="1" si="273"/>
        <v xml:space="preserve"> </v>
      </c>
      <c r="G695" s="1069" t="str">
        <f t="shared" ca="1" si="273"/>
        <v xml:space="preserve"> </v>
      </c>
      <c r="H695" s="1069" t="str">
        <f t="shared" ca="1" si="273"/>
        <v xml:space="preserve"> </v>
      </c>
      <c r="I695" s="1069" t="str">
        <f t="shared" ca="1" si="273"/>
        <v xml:space="preserve"> </v>
      </c>
      <c r="J695" s="1069" t="str">
        <f t="shared" ca="1" si="273"/>
        <v xml:space="preserve"> </v>
      </c>
      <c r="K695" s="1069" t="str">
        <f t="shared" ca="1" si="273"/>
        <v xml:space="preserve"> </v>
      </c>
      <c r="L695" s="1069" t="str">
        <f t="shared" ca="1" si="273"/>
        <v xml:space="preserve"> </v>
      </c>
      <c r="M695" s="1069" t="str">
        <f t="shared" ca="1" si="273"/>
        <v xml:space="preserve"> </v>
      </c>
      <c r="N695" s="1069" t="str">
        <f t="shared" ca="1" si="273"/>
        <v xml:space="preserve"> </v>
      </c>
      <c r="O695" s="1069" t="str">
        <f t="shared" ca="1" si="273"/>
        <v xml:space="preserve"> </v>
      </c>
      <c r="P695" s="1069" t="str">
        <f t="shared" ca="1" si="273"/>
        <v xml:space="preserve"> </v>
      </c>
      <c r="Q695" s="1069" t="str">
        <f t="shared" ca="1" si="273"/>
        <v xml:space="preserve"> </v>
      </c>
      <c r="R695" s="1069" t="str">
        <f t="shared" ca="1" si="273"/>
        <v xml:space="preserve"> </v>
      </c>
      <c r="S695" s="1069" t="str">
        <f t="shared" ca="1" si="273"/>
        <v xml:space="preserve"> </v>
      </c>
      <c r="T695" s="1069" t="str">
        <f t="shared" ca="1" si="273"/>
        <v xml:space="preserve"> </v>
      </c>
      <c r="U695" s="1069" t="str">
        <f t="shared" ca="1" si="273"/>
        <v xml:space="preserve"> </v>
      </c>
      <c r="V695" s="1069" t="str">
        <f t="shared" ca="1" si="273"/>
        <v xml:space="preserve"> </v>
      </c>
      <c r="W695" s="1069" t="str">
        <f t="shared" ca="1" si="273"/>
        <v xml:space="preserve"> </v>
      </c>
      <c r="X695" s="1069" t="str">
        <f t="shared" ca="1" si="273"/>
        <v xml:space="preserve"> </v>
      </c>
      <c r="Y695" s="1069" t="str">
        <f t="shared" ca="1" si="273"/>
        <v xml:space="preserve"> </v>
      </c>
      <c r="Z695" s="1069" t="str">
        <f t="shared" ca="1" si="273"/>
        <v xml:space="preserve"> </v>
      </c>
      <c r="AA695" s="1069" t="str">
        <f t="shared" ca="1" si="273"/>
        <v xml:space="preserve"> </v>
      </c>
    </row>
    <row r="696" spans="1:27" s="1069" customFormat="1" ht="9.9499999999999993" customHeight="1">
      <c r="A696" s="1069">
        <v>172</v>
      </c>
      <c r="D696" s="1069" t="str">
        <f t="shared" ref="D696:AA696" ca="1" si="274">IF(ISNUMBER(D695),IF(D695+2&lt;E$726,IF(ISNA(MATCH("Y",INDIRECT("Skills!"&amp;$C$523&amp;D695+1&amp;":"&amp;$C$523&amp;E$726),0))," ",MATCH("Y",INDIRECT("Skills!"&amp;$C$523&amp;D695+1&amp;":"&amp;$C$523&amp;E$726),0)+D695)," ")," ")</f>
        <v xml:space="preserve"> </v>
      </c>
      <c r="E696" s="1069" t="str">
        <f t="shared" ca="1" si="274"/>
        <v xml:space="preserve"> </v>
      </c>
      <c r="F696" s="1069" t="str">
        <f t="shared" ca="1" si="274"/>
        <v xml:space="preserve"> </v>
      </c>
      <c r="G696" s="1069" t="str">
        <f t="shared" ca="1" si="274"/>
        <v xml:space="preserve"> </v>
      </c>
      <c r="H696" s="1069" t="str">
        <f t="shared" ca="1" si="274"/>
        <v xml:space="preserve"> </v>
      </c>
      <c r="I696" s="1069" t="str">
        <f t="shared" ca="1" si="274"/>
        <v xml:space="preserve"> </v>
      </c>
      <c r="J696" s="1069" t="str">
        <f t="shared" ca="1" si="274"/>
        <v xml:space="preserve"> </v>
      </c>
      <c r="K696" s="1069" t="str">
        <f t="shared" ca="1" si="274"/>
        <v xml:space="preserve"> </v>
      </c>
      <c r="L696" s="1069" t="str">
        <f t="shared" ca="1" si="274"/>
        <v xml:space="preserve"> </v>
      </c>
      <c r="M696" s="1069" t="str">
        <f t="shared" ca="1" si="274"/>
        <v xml:space="preserve"> </v>
      </c>
      <c r="N696" s="1069" t="str">
        <f t="shared" ca="1" si="274"/>
        <v xml:space="preserve"> </v>
      </c>
      <c r="O696" s="1069" t="str">
        <f t="shared" ca="1" si="274"/>
        <v xml:space="preserve"> </v>
      </c>
      <c r="P696" s="1069" t="str">
        <f t="shared" ca="1" si="274"/>
        <v xml:space="preserve"> </v>
      </c>
      <c r="Q696" s="1069" t="str">
        <f t="shared" ca="1" si="274"/>
        <v xml:space="preserve"> </v>
      </c>
      <c r="R696" s="1069" t="str">
        <f t="shared" ca="1" si="274"/>
        <v xml:space="preserve"> </v>
      </c>
      <c r="S696" s="1069" t="str">
        <f t="shared" ca="1" si="274"/>
        <v xml:space="preserve"> </v>
      </c>
      <c r="T696" s="1069" t="str">
        <f t="shared" ca="1" si="274"/>
        <v xml:space="preserve"> </v>
      </c>
      <c r="U696" s="1069" t="str">
        <f t="shared" ca="1" si="274"/>
        <v xml:space="preserve"> </v>
      </c>
      <c r="V696" s="1069" t="str">
        <f t="shared" ca="1" si="274"/>
        <v xml:space="preserve"> </v>
      </c>
      <c r="W696" s="1069" t="str">
        <f t="shared" ca="1" si="274"/>
        <v xml:space="preserve"> </v>
      </c>
      <c r="X696" s="1069" t="str">
        <f t="shared" ca="1" si="274"/>
        <v xml:space="preserve"> </v>
      </c>
      <c r="Y696" s="1069" t="str">
        <f t="shared" ca="1" si="274"/>
        <v xml:space="preserve"> </v>
      </c>
      <c r="Z696" s="1069" t="str">
        <f t="shared" ca="1" si="274"/>
        <v xml:space="preserve"> </v>
      </c>
      <c r="AA696" s="1069" t="str">
        <f t="shared" ca="1" si="274"/>
        <v xml:space="preserve"> </v>
      </c>
    </row>
    <row r="697" spans="1:27" s="1069" customFormat="1" ht="9.9499999999999993" customHeight="1">
      <c r="A697" s="1069">
        <v>173</v>
      </c>
      <c r="D697" s="1069" t="str">
        <f t="shared" ref="D697:AA697" ca="1" si="275">IF(ISNUMBER(D696),IF(D696+2&lt;E$726,IF(ISNA(MATCH("Y",INDIRECT("Skills!"&amp;$C$523&amp;D696+1&amp;":"&amp;$C$523&amp;E$726),0))," ",MATCH("Y",INDIRECT("Skills!"&amp;$C$523&amp;D696+1&amp;":"&amp;$C$523&amp;E$726),0)+D696)," ")," ")</f>
        <v xml:space="preserve"> </v>
      </c>
      <c r="E697" s="1069" t="str">
        <f t="shared" ca="1" si="275"/>
        <v xml:space="preserve"> </v>
      </c>
      <c r="F697" s="1069" t="str">
        <f t="shared" ca="1" si="275"/>
        <v xml:space="preserve"> </v>
      </c>
      <c r="G697" s="1069" t="str">
        <f t="shared" ca="1" si="275"/>
        <v xml:space="preserve"> </v>
      </c>
      <c r="H697" s="1069" t="str">
        <f t="shared" ca="1" si="275"/>
        <v xml:space="preserve"> </v>
      </c>
      <c r="I697" s="1069" t="str">
        <f t="shared" ca="1" si="275"/>
        <v xml:space="preserve"> </v>
      </c>
      <c r="J697" s="1069" t="str">
        <f t="shared" ca="1" si="275"/>
        <v xml:space="preserve"> </v>
      </c>
      <c r="K697" s="1069" t="str">
        <f t="shared" ca="1" si="275"/>
        <v xml:space="preserve"> </v>
      </c>
      <c r="L697" s="1069" t="str">
        <f t="shared" ca="1" si="275"/>
        <v xml:space="preserve"> </v>
      </c>
      <c r="M697" s="1069" t="str">
        <f t="shared" ca="1" si="275"/>
        <v xml:space="preserve"> </v>
      </c>
      <c r="N697" s="1069" t="str">
        <f t="shared" ca="1" si="275"/>
        <v xml:space="preserve"> </v>
      </c>
      <c r="O697" s="1069" t="str">
        <f t="shared" ca="1" si="275"/>
        <v xml:space="preserve"> </v>
      </c>
      <c r="P697" s="1069" t="str">
        <f t="shared" ca="1" si="275"/>
        <v xml:space="preserve"> </v>
      </c>
      <c r="Q697" s="1069" t="str">
        <f t="shared" ca="1" si="275"/>
        <v xml:space="preserve"> </v>
      </c>
      <c r="R697" s="1069" t="str">
        <f t="shared" ca="1" si="275"/>
        <v xml:space="preserve"> </v>
      </c>
      <c r="S697" s="1069" t="str">
        <f t="shared" ca="1" si="275"/>
        <v xml:space="preserve"> </v>
      </c>
      <c r="T697" s="1069" t="str">
        <f t="shared" ca="1" si="275"/>
        <v xml:space="preserve"> </v>
      </c>
      <c r="U697" s="1069" t="str">
        <f t="shared" ca="1" si="275"/>
        <v xml:space="preserve"> </v>
      </c>
      <c r="V697" s="1069" t="str">
        <f t="shared" ca="1" si="275"/>
        <v xml:space="preserve"> </v>
      </c>
      <c r="W697" s="1069" t="str">
        <f t="shared" ca="1" si="275"/>
        <v xml:space="preserve"> </v>
      </c>
      <c r="X697" s="1069" t="str">
        <f t="shared" ca="1" si="275"/>
        <v xml:space="preserve"> </v>
      </c>
      <c r="Y697" s="1069" t="str">
        <f t="shared" ca="1" si="275"/>
        <v xml:space="preserve"> </v>
      </c>
      <c r="Z697" s="1069" t="str">
        <f t="shared" ca="1" si="275"/>
        <v xml:space="preserve"> </v>
      </c>
      <c r="AA697" s="1069" t="str">
        <f t="shared" ca="1" si="275"/>
        <v xml:space="preserve"> </v>
      </c>
    </row>
    <row r="698" spans="1:27" s="1069" customFormat="1" ht="9.9499999999999993" customHeight="1">
      <c r="A698" s="1069">
        <v>174</v>
      </c>
      <c r="D698" s="1069" t="str">
        <f t="shared" ref="D698:AA698" ca="1" si="276">IF(ISNUMBER(D697),IF(D697+2&lt;E$726,IF(ISNA(MATCH("Y",INDIRECT("Skills!"&amp;$C$523&amp;D697+1&amp;":"&amp;$C$523&amp;E$726),0))," ",MATCH("Y",INDIRECT("Skills!"&amp;$C$523&amp;D697+1&amp;":"&amp;$C$523&amp;E$726),0)+D697)," ")," ")</f>
        <v xml:space="preserve"> </v>
      </c>
      <c r="E698" s="1069" t="str">
        <f t="shared" ca="1" si="276"/>
        <v xml:space="preserve"> </v>
      </c>
      <c r="F698" s="1069" t="str">
        <f t="shared" ca="1" si="276"/>
        <v xml:space="preserve"> </v>
      </c>
      <c r="G698" s="1069" t="str">
        <f t="shared" ca="1" si="276"/>
        <v xml:space="preserve"> </v>
      </c>
      <c r="H698" s="1069" t="str">
        <f t="shared" ca="1" si="276"/>
        <v xml:space="preserve"> </v>
      </c>
      <c r="I698" s="1069" t="str">
        <f t="shared" ca="1" si="276"/>
        <v xml:space="preserve"> </v>
      </c>
      <c r="J698" s="1069" t="str">
        <f t="shared" ca="1" si="276"/>
        <v xml:space="preserve"> </v>
      </c>
      <c r="K698" s="1069" t="str">
        <f t="shared" ca="1" si="276"/>
        <v xml:space="preserve"> </v>
      </c>
      <c r="L698" s="1069" t="str">
        <f t="shared" ca="1" si="276"/>
        <v xml:space="preserve"> </v>
      </c>
      <c r="M698" s="1069" t="str">
        <f t="shared" ca="1" si="276"/>
        <v xml:space="preserve"> </v>
      </c>
      <c r="N698" s="1069" t="str">
        <f t="shared" ca="1" si="276"/>
        <v xml:space="preserve"> </v>
      </c>
      <c r="O698" s="1069" t="str">
        <f t="shared" ca="1" si="276"/>
        <v xml:space="preserve"> </v>
      </c>
      <c r="P698" s="1069" t="str">
        <f t="shared" ca="1" si="276"/>
        <v xml:space="preserve"> </v>
      </c>
      <c r="Q698" s="1069" t="str">
        <f t="shared" ca="1" si="276"/>
        <v xml:space="preserve"> </v>
      </c>
      <c r="R698" s="1069" t="str">
        <f t="shared" ca="1" si="276"/>
        <v xml:space="preserve"> </v>
      </c>
      <c r="S698" s="1069" t="str">
        <f t="shared" ca="1" si="276"/>
        <v xml:space="preserve"> </v>
      </c>
      <c r="T698" s="1069" t="str">
        <f t="shared" ca="1" si="276"/>
        <v xml:space="preserve"> </v>
      </c>
      <c r="U698" s="1069" t="str">
        <f t="shared" ca="1" si="276"/>
        <v xml:space="preserve"> </v>
      </c>
      <c r="V698" s="1069" t="str">
        <f t="shared" ca="1" si="276"/>
        <v xml:space="preserve"> </v>
      </c>
      <c r="W698" s="1069" t="str">
        <f t="shared" ca="1" si="276"/>
        <v xml:space="preserve"> </v>
      </c>
      <c r="X698" s="1069" t="str">
        <f t="shared" ca="1" si="276"/>
        <v xml:space="preserve"> </v>
      </c>
      <c r="Y698" s="1069" t="str">
        <f t="shared" ca="1" si="276"/>
        <v xml:space="preserve"> </v>
      </c>
      <c r="Z698" s="1069" t="str">
        <f t="shared" ca="1" si="276"/>
        <v xml:space="preserve"> </v>
      </c>
      <c r="AA698" s="1069" t="str">
        <f t="shared" ca="1" si="276"/>
        <v xml:space="preserve"> </v>
      </c>
    </row>
    <row r="699" spans="1:27" s="1069" customFormat="1" ht="9.9499999999999993" customHeight="1">
      <c r="A699" s="1069">
        <v>175</v>
      </c>
      <c r="D699" s="1069" t="str">
        <f t="shared" ref="D699:AA699" ca="1" si="277">IF(ISNUMBER(D698),IF(D698+2&lt;E$726,IF(ISNA(MATCH("Y",INDIRECT("Skills!"&amp;$C$523&amp;D698+1&amp;":"&amp;$C$523&amp;E$726),0))," ",MATCH("Y",INDIRECT("Skills!"&amp;$C$523&amp;D698+1&amp;":"&amp;$C$523&amp;E$726),0)+D698)," ")," ")</f>
        <v xml:space="preserve"> </v>
      </c>
      <c r="E699" s="1069" t="str">
        <f t="shared" ca="1" si="277"/>
        <v xml:space="preserve"> </v>
      </c>
      <c r="F699" s="1069" t="str">
        <f t="shared" ca="1" si="277"/>
        <v xml:space="preserve"> </v>
      </c>
      <c r="G699" s="1069" t="str">
        <f t="shared" ca="1" si="277"/>
        <v xml:space="preserve"> </v>
      </c>
      <c r="H699" s="1069" t="str">
        <f t="shared" ca="1" si="277"/>
        <v xml:space="preserve"> </v>
      </c>
      <c r="I699" s="1069" t="str">
        <f t="shared" ca="1" si="277"/>
        <v xml:space="preserve"> </v>
      </c>
      <c r="J699" s="1069" t="str">
        <f t="shared" ca="1" si="277"/>
        <v xml:space="preserve"> </v>
      </c>
      <c r="K699" s="1069" t="str">
        <f t="shared" ca="1" si="277"/>
        <v xml:space="preserve"> </v>
      </c>
      <c r="L699" s="1069" t="str">
        <f t="shared" ca="1" si="277"/>
        <v xml:space="preserve"> </v>
      </c>
      <c r="M699" s="1069" t="str">
        <f t="shared" ca="1" si="277"/>
        <v xml:space="preserve"> </v>
      </c>
      <c r="N699" s="1069" t="str">
        <f t="shared" ca="1" si="277"/>
        <v xml:space="preserve"> </v>
      </c>
      <c r="O699" s="1069" t="str">
        <f t="shared" ca="1" si="277"/>
        <v xml:space="preserve"> </v>
      </c>
      <c r="P699" s="1069" t="str">
        <f t="shared" ca="1" si="277"/>
        <v xml:space="preserve"> </v>
      </c>
      <c r="Q699" s="1069" t="str">
        <f t="shared" ca="1" si="277"/>
        <v xml:space="preserve"> </v>
      </c>
      <c r="R699" s="1069" t="str">
        <f t="shared" ca="1" si="277"/>
        <v xml:space="preserve"> </v>
      </c>
      <c r="S699" s="1069" t="str">
        <f t="shared" ca="1" si="277"/>
        <v xml:space="preserve"> </v>
      </c>
      <c r="T699" s="1069" t="str">
        <f t="shared" ca="1" si="277"/>
        <v xml:space="preserve"> </v>
      </c>
      <c r="U699" s="1069" t="str">
        <f t="shared" ca="1" si="277"/>
        <v xml:space="preserve"> </v>
      </c>
      <c r="V699" s="1069" t="str">
        <f t="shared" ca="1" si="277"/>
        <v xml:space="preserve"> </v>
      </c>
      <c r="W699" s="1069" t="str">
        <f t="shared" ca="1" si="277"/>
        <v xml:space="preserve"> </v>
      </c>
      <c r="X699" s="1069" t="str">
        <f t="shared" ca="1" si="277"/>
        <v xml:space="preserve"> </v>
      </c>
      <c r="Y699" s="1069" t="str">
        <f t="shared" ca="1" si="277"/>
        <v xml:space="preserve"> </v>
      </c>
      <c r="Z699" s="1069" t="str">
        <f t="shared" ca="1" si="277"/>
        <v xml:space="preserve"> </v>
      </c>
      <c r="AA699" s="1069" t="str">
        <f t="shared" ca="1" si="277"/>
        <v xml:space="preserve"> </v>
      </c>
    </row>
    <row r="700" spans="1:27" s="1069" customFormat="1" ht="9.9499999999999993" customHeight="1">
      <c r="A700" s="1069">
        <v>176</v>
      </c>
      <c r="D700" s="1069" t="str">
        <f t="shared" ref="D700:AA700" ca="1" si="278">IF(ISNUMBER(D699),IF(D699+2&lt;E$726,IF(ISNA(MATCH("Y",INDIRECT("Skills!"&amp;$C$523&amp;D699+1&amp;":"&amp;$C$523&amp;E$726),0))," ",MATCH("Y",INDIRECT("Skills!"&amp;$C$523&amp;D699+1&amp;":"&amp;$C$523&amp;E$726),0)+D699)," ")," ")</f>
        <v xml:space="preserve"> </v>
      </c>
      <c r="E700" s="1069" t="str">
        <f t="shared" ca="1" si="278"/>
        <v xml:space="preserve"> </v>
      </c>
      <c r="F700" s="1069" t="str">
        <f t="shared" ca="1" si="278"/>
        <v xml:space="preserve"> </v>
      </c>
      <c r="G700" s="1069" t="str">
        <f t="shared" ca="1" si="278"/>
        <v xml:space="preserve"> </v>
      </c>
      <c r="H700" s="1069" t="str">
        <f t="shared" ca="1" si="278"/>
        <v xml:space="preserve"> </v>
      </c>
      <c r="I700" s="1069" t="str">
        <f t="shared" ca="1" si="278"/>
        <v xml:space="preserve"> </v>
      </c>
      <c r="J700" s="1069" t="str">
        <f t="shared" ca="1" si="278"/>
        <v xml:space="preserve"> </v>
      </c>
      <c r="K700" s="1069" t="str">
        <f t="shared" ca="1" si="278"/>
        <v xml:space="preserve"> </v>
      </c>
      <c r="L700" s="1069" t="str">
        <f t="shared" ca="1" si="278"/>
        <v xml:space="preserve"> </v>
      </c>
      <c r="M700" s="1069" t="str">
        <f t="shared" ca="1" si="278"/>
        <v xml:space="preserve"> </v>
      </c>
      <c r="N700" s="1069" t="str">
        <f t="shared" ca="1" si="278"/>
        <v xml:space="preserve"> </v>
      </c>
      <c r="O700" s="1069" t="str">
        <f t="shared" ca="1" si="278"/>
        <v xml:space="preserve"> </v>
      </c>
      <c r="P700" s="1069" t="str">
        <f t="shared" ca="1" si="278"/>
        <v xml:space="preserve"> </v>
      </c>
      <c r="Q700" s="1069" t="str">
        <f t="shared" ca="1" si="278"/>
        <v xml:space="preserve"> </v>
      </c>
      <c r="R700" s="1069" t="str">
        <f t="shared" ca="1" si="278"/>
        <v xml:space="preserve"> </v>
      </c>
      <c r="S700" s="1069" t="str">
        <f t="shared" ca="1" si="278"/>
        <v xml:space="preserve"> </v>
      </c>
      <c r="T700" s="1069" t="str">
        <f t="shared" ca="1" si="278"/>
        <v xml:space="preserve"> </v>
      </c>
      <c r="U700" s="1069" t="str">
        <f t="shared" ca="1" si="278"/>
        <v xml:space="preserve"> </v>
      </c>
      <c r="V700" s="1069" t="str">
        <f t="shared" ca="1" si="278"/>
        <v xml:space="preserve"> </v>
      </c>
      <c r="W700" s="1069" t="str">
        <f t="shared" ca="1" si="278"/>
        <v xml:space="preserve"> </v>
      </c>
      <c r="X700" s="1069" t="str">
        <f t="shared" ca="1" si="278"/>
        <v xml:space="preserve"> </v>
      </c>
      <c r="Y700" s="1069" t="str">
        <f t="shared" ca="1" si="278"/>
        <v xml:space="preserve"> </v>
      </c>
      <c r="Z700" s="1069" t="str">
        <f t="shared" ca="1" si="278"/>
        <v xml:space="preserve"> </v>
      </c>
      <c r="AA700" s="1069" t="str">
        <f t="shared" ca="1" si="278"/>
        <v xml:space="preserve"> </v>
      </c>
    </row>
    <row r="701" spans="1:27" s="1069" customFormat="1" ht="9.9499999999999993" customHeight="1">
      <c r="A701" s="1069">
        <v>177</v>
      </c>
      <c r="D701" s="1069" t="str">
        <f t="shared" ref="D701:AA701" ca="1" si="279">IF(ISNUMBER(D700),IF(D700+2&lt;E$726,IF(ISNA(MATCH("Y",INDIRECT("Skills!"&amp;$C$523&amp;D700+1&amp;":"&amp;$C$523&amp;E$726),0))," ",MATCH("Y",INDIRECT("Skills!"&amp;$C$523&amp;D700+1&amp;":"&amp;$C$523&amp;E$726),0)+D700)," ")," ")</f>
        <v xml:space="preserve"> </v>
      </c>
      <c r="E701" s="1069" t="str">
        <f t="shared" ca="1" si="279"/>
        <v xml:space="preserve"> </v>
      </c>
      <c r="F701" s="1069" t="str">
        <f t="shared" ca="1" si="279"/>
        <v xml:space="preserve"> </v>
      </c>
      <c r="G701" s="1069" t="str">
        <f t="shared" ca="1" si="279"/>
        <v xml:space="preserve"> </v>
      </c>
      <c r="H701" s="1069" t="str">
        <f t="shared" ca="1" si="279"/>
        <v xml:space="preserve"> </v>
      </c>
      <c r="I701" s="1069" t="str">
        <f t="shared" ca="1" si="279"/>
        <v xml:space="preserve"> </v>
      </c>
      <c r="J701" s="1069" t="str">
        <f t="shared" ca="1" si="279"/>
        <v xml:space="preserve"> </v>
      </c>
      <c r="K701" s="1069" t="str">
        <f t="shared" ca="1" si="279"/>
        <v xml:space="preserve"> </v>
      </c>
      <c r="L701" s="1069" t="str">
        <f t="shared" ca="1" si="279"/>
        <v xml:space="preserve"> </v>
      </c>
      <c r="M701" s="1069" t="str">
        <f t="shared" ca="1" si="279"/>
        <v xml:space="preserve"> </v>
      </c>
      <c r="N701" s="1069" t="str">
        <f t="shared" ca="1" si="279"/>
        <v xml:space="preserve"> </v>
      </c>
      <c r="O701" s="1069" t="str">
        <f t="shared" ca="1" si="279"/>
        <v xml:space="preserve"> </v>
      </c>
      <c r="P701" s="1069" t="str">
        <f t="shared" ca="1" si="279"/>
        <v xml:space="preserve"> </v>
      </c>
      <c r="Q701" s="1069" t="str">
        <f t="shared" ca="1" si="279"/>
        <v xml:space="preserve"> </v>
      </c>
      <c r="R701" s="1069" t="str">
        <f t="shared" ca="1" si="279"/>
        <v xml:space="preserve"> </v>
      </c>
      <c r="S701" s="1069" t="str">
        <f t="shared" ca="1" si="279"/>
        <v xml:space="preserve"> </v>
      </c>
      <c r="T701" s="1069" t="str">
        <f t="shared" ca="1" si="279"/>
        <v xml:space="preserve"> </v>
      </c>
      <c r="U701" s="1069" t="str">
        <f t="shared" ca="1" si="279"/>
        <v xml:space="preserve"> </v>
      </c>
      <c r="V701" s="1069" t="str">
        <f t="shared" ca="1" si="279"/>
        <v xml:space="preserve"> </v>
      </c>
      <c r="W701" s="1069" t="str">
        <f t="shared" ca="1" si="279"/>
        <v xml:space="preserve"> </v>
      </c>
      <c r="X701" s="1069" t="str">
        <f t="shared" ca="1" si="279"/>
        <v xml:space="preserve"> </v>
      </c>
      <c r="Y701" s="1069" t="str">
        <f t="shared" ca="1" si="279"/>
        <v xml:space="preserve"> </v>
      </c>
      <c r="Z701" s="1069" t="str">
        <f t="shared" ca="1" si="279"/>
        <v xml:space="preserve"> </v>
      </c>
      <c r="AA701" s="1069" t="str">
        <f t="shared" ca="1" si="279"/>
        <v xml:space="preserve"> </v>
      </c>
    </row>
    <row r="702" spans="1:27" s="1069" customFormat="1" ht="9.9499999999999993" customHeight="1">
      <c r="A702" s="1069">
        <v>178</v>
      </c>
      <c r="D702" s="1069" t="str">
        <f t="shared" ref="D702:AA702" ca="1" si="280">IF(ISNUMBER(D701),IF(D701+2&lt;E$726,IF(ISNA(MATCH("Y",INDIRECT("Skills!"&amp;$C$523&amp;D701+1&amp;":"&amp;$C$523&amp;E$726),0))," ",MATCH("Y",INDIRECT("Skills!"&amp;$C$523&amp;D701+1&amp;":"&amp;$C$523&amp;E$726),0)+D701)," ")," ")</f>
        <v xml:space="preserve"> </v>
      </c>
      <c r="E702" s="1069" t="str">
        <f t="shared" ca="1" si="280"/>
        <v xml:space="preserve"> </v>
      </c>
      <c r="F702" s="1069" t="str">
        <f t="shared" ca="1" si="280"/>
        <v xml:space="preserve"> </v>
      </c>
      <c r="G702" s="1069" t="str">
        <f t="shared" ca="1" si="280"/>
        <v xml:space="preserve"> </v>
      </c>
      <c r="H702" s="1069" t="str">
        <f t="shared" ca="1" si="280"/>
        <v xml:space="preserve"> </v>
      </c>
      <c r="I702" s="1069" t="str">
        <f t="shared" ca="1" si="280"/>
        <v xml:space="preserve"> </v>
      </c>
      <c r="J702" s="1069" t="str">
        <f t="shared" ca="1" si="280"/>
        <v xml:space="preserve"> </v>
      </c>
      <c r="K702" s="1069" t="str">
        <f t="shared" ca="1" si="280"/>
        <v xml:space="preserve"> </v>
      </c>
      <c r="L702" s="1069" t="str">
        <f t="shared" ca="1" si="280"/>
        <v xml:space="preserve"> </v>
      </c>
      <c r="M702" s="1069" t="str">
        <f t="shared" ca="1" si="280"/>
        <v xml:space="preserve"> </v>
      </c>
      <c r="N702" s="1069" t="str">
        <f t="shared" ca="1" si="280"/>
        <v xml:space="preserve"> </v>
      </c>
      <c r="O702" s="1069" t="str">
        <f t="shared" ca="1" si="280"/>
        <v xml:space="preserve"> </v>
      </c>
      <c r="P702" s="1069" t="str">
        <f t="shared" ca="1" si="280"/>
        <v xml:space="preserve"> </v>
      </c>
      <c r="Q702" s="1069" t="str">
        <f t="shared" ca="1" si="280"/>
        <v xml:space="preserve"> </v>
      </c>
      <c r="R702" s="1069" t="str">
        <f t="shared" ca="1" si="280"/>
        <v xml:space="preserve"> </v>
      </c>
      <c r="S702" s="1069" t="str">
        <f t="shared" ca="1" si="280"/>
        <v xml:space="preserve"> </v>
      </c>
      <c r="T702" s="1069" t="str">
        <f t="shared" ca="1" si="280"/>
        <v xml:space="preserve"> </v>
      </c>
      <c r="U702" s="1069" t="str">
        <f t="shared" ca="1" si="280"/>
        <v xml:space="preserve"> </v>
      </c>
      <c r="V702" s="1069" t="str">
        <f t="shared" ca="1" si="280"/>
        <v xml:space="preserve"> </v>
      </c>
      <c r="W702" s="1069" t="str">
        <f t="shared" ca="1" si="280"/>
        <v xml:space="preserve"> </v>
      </c>
      <c r="X702" s="1069" t="str">
        <f t="shared" ca="1" si="280"/>
        <v xml:space="preserve"> </v>
      </c>
      <c r="Y702" s="1069" t="str">
        <f t="shared" ca="1" si="280"/>
        <v xml:space="preserve"> </v>
      </c>
      <c r="Z702" s="1069" t="str">
        <f t="shared" ca="1" si="280"/>
        <v xml:space="preserve"> </v>
      </c>
      <c r="AA702" s="1069" t="str">
        <f t="shared" ca="1" si="280"/>
        <v xml:space="preserve"> </v>
      </c>
    </row>
    <row r="703" spans="1:27" s="1069" customFormat="1" ht="9.9499999999999993" customHeight="1">
      <c r="A703" s="1069">
        <v>179</v>
      </c>
      <c r="D703" s="1069" t="str">
        <f t="shared" ref="D703:AA703" ca="1" si="281">IF(ISNUMBER(D702),IF(D702+2&lt;E$726,IF(ISNA(MATCH("Y",INDIRECT("Skills!"&amp;$C$523&amp;D702+1&amp;":"&amp;$C$523&amp;E$726),0))," ",MATCH("Y",INDIRECT("Skills!"&amp;$C$523&amp;D702+1&amp;":"&amp;$C$523&amp;E$726),0)+D702)," ")," ")</f>
        <v xml:space="preserve"> </v>
      </c>
      <c r="E703" s="1069" t="str">
        <f t="shared" ca="1" si="281"/>
        <v xml:space="preserve"> </v>
      </c>
      <c r="F703" s="1069" t="str">
        <f t="shared" ca="1" si="281"/>
        <v xml:space="preserve"> </v>
      </c>
      <c r="G703" s="1069" t="str">
        <f t="shared" ca="1" si="281"/>
        <v xml:space="preserve"> </v>
      </c>
      <c r="H703" s="1069" t="str">
        <f t="shared" ca="1" si="281"/>
        <v xml:space="preserve"> </v>
      </c>
      <c r="I703" s="1069" t="str">
        <f t="shared" ca="1" si="281"/>
        <v xml:space="preserve"> </v>
      </c>
      <c r="J703" s="1069" t="str">
        <f t="shared" ca="1" si="281"/>
        <v xml:space="preserve"> </v>
      </c>
      <c r="K703" s="1069" t="str">
        <f t="shared" ca="1" si="281"/>
        <v xml:space="preserve"> </v>
      </c>
      <c r="L703" s="1069" t="str">
        <f t="shared" ca="1" si="281"/>
        <v xml:space="preserve"> </v>
      </c>
      <c r="M703" s="1069" t="str">
        <f t="shared" ca="1" si="281"/>
        <v xml:space="preserve"> </v>
      </c>
      <c r="N703" s="1069" t="str">
        <f t="shared" ca="1" si="281"/>
        <v xml:space="preserve"> </v>
      </c>
      <c r="O703" s="1069" t="str">
        <f t="shared" ca="1" si="281"/>
        <v xml:space="preserve"> </v>
      </c>
      <c r="P703" s="1069" t="str">
        <f t="shared" ca="1" si="281"/>
        <v xml:space="preserve"> </v>
      </c>
      <c r="Q703" s="1069" t="str">
        <f t="shared" ca="1" si="281"/>
        <v xml:space="preserve"> </v>
      </c>
      <c r="R703" s="1069" t="str">
        <f t="shared" ca="1" si="281"/>
        <v xml:space="preserve"> </v>
      </c>
      <c r="S703" s="1069" t="str">
        <f t="shared" ca="1" si="281"/>
        <v xml:space="preserve"> </v>
      </c>
      <c r="T703" s="1069" t="str">
        <f t="shared" ca="1" si="281"/>
        <v xml:space="preserve"> </v>
      </c>
      <c r="U703" s="1069" t="str">
        <f t="shared" ca="1" si="281"/>
        <v xml:space="preserve"> </v>
      </c>
      <c r="V703" s="1069" t="str">
        <f t="shared" ca="1" si="281"/>
        <v xml:space="preserve"> </v>
      </c>
      <c r="W703" s="1069" t="str">
        <f t="shared" ca="1" si="281"/>
        <v xml:space="preserve"> </v>
      </c>
      <c r="X703" s="1069" t="str">
        <f t="shared" ca="1" si="281"/>
        <v xml:space="preserve"> </v>
      </c>
      <c r="Y703" s="1069" t="str">
        <f t="shared" ca="1" si="281"/>
        <v xml:space="preserve"> </v>
      </c>
      <c r="Z703" s="1069" t="str">
        <f t="shared" ca="1" si="281"/>
        <v xml:space="preserve"> </v>
      </c>
      <c r="AA703" s="1069" t="str">
        <f t="shared" ca="1" si="281"/>
        <v xml:space="preserve"> </v>
      </c>
    </row>
    <row r="704" spans="1:27" s="1069" customFormat="1" ht="9.9499999999999993" customHeight="1">
      <c r="A704" s="1069">
        <v>180</v>
      </c>
      <c r="D704" s="1069" t="str">
        <f t="shared" ref="D704:AA704" ca="1" si="282">IF(ISNUMBER(D703),IF(D703+2&lt;E$726,IF(ISNA(MATCH("Y",INDIRECT("Skills!"&amp;$C$523&amp;D703+1&amp;":"&amp;$C$523&amp;E$726),0))," ",MATCH("Y",INDIRECT("Skills!"&amp;$C$523&amp;D703+1&amp;":"&amp;$C$523&amp;E$726),0)+D703)," ")," ")</f>
        <v xml:space="preserve"> </v>
      </c>
      <c r="E704" s="1069" t="str">
        <f t="shared" ca="1" si="282"/>
        <v xml:space="preserve"> </v>
      </c>
      <c r="F704" s="1069" t="str">
        <f t="shared" ca="1" si="282"/>
        <v xml:space="preserve"> </v>
      </c>
      <c r="G704" s="1069" t="str">
        <f t="shared" ca="1" si="282"/>
        <v xml:space="preserve"> </v>
      </c>
      <c r="H704" s="1069" t="str">
        <f t="shared" ca="1" si="282"/>
        <v xml:space="preserve"> </v>
      </c>
      <c r="I704" s="1069" t="str">
        <f t="shared" ca="1" si="282"/>
        <v xml:space="preserve"> </v>
      </c>
      <c r="J704" s="1069" t="str">
        <f t="shared" ca="1" si="282"/>
        <v xml:space="preserve"> </v>
      </c>
      <c r="K704" s="1069" t="str">
        <f t="shared" ca="1" si="282"/>
        <v xml:space="preserve"> </v>
      </c>
      <c r="L704" s="1069" t="str">
        <f t="shared" ca="1" si="282"/>
        <v xml:space="preserve"> </v>
      </c>
      <c r="M704" s="1069" t="str">
        <f t="shared" ca="1" si="282"/>
        <v xml:space="preserve"> </v>
      </c>
      <c r="N704" s="1069" t="str">
        <f t="shared" ca="1" si="282"/>
        <v xml:space="preserve"> </v>
      </c>
      <c r="O704" s="1069" t="str">
        <f t="shared" ca="1" si="282"/>
        <v xml:space="preserve"> </v>
      </c>
      <c r="P704" s="1069" t="str">
        <f t="shared" ca="1" si="282"/>
        <v xml:space="preserve"> </v>
      </c>
      <c r="Q704" s="1069" t="str">
        <f t="shared" ca="1" si="282"/>
        <v xml:space="preserve"> </v>
      </c>
      <c r="R704" s="1069" t="str">
        <f t="shared" ca="1" si="282"/>
        <v xml:space="preserve"> </v>
      </c>
      <c r="S704" s="1069" t="str">
        <f t="shared" ca="1" si="282"/>
        <v xml:space="preserve"> </v>
      </c>
      <c r="T704" s="1069" t="str">
        <f t="shared" ca="1" si="282"/>
        <v xml:space="preserve"> </v>
      </c>
      <c r="U704" s="1069" t="str">
        <f t="shared" ca="1" si="282"/>
        <v xml:space="preserve"> </v>
      </c>
      <c r="V704" s="1069" t="str">
        <f t="shared" ca="1" si="282"/>
        <v xml:space="preserve"> </v>
      </c>
      <c r="W704" s="1069" t="str">
        <f t="shared" ca="1" si="282"/>
        <v xml:space="preserve"> </v>
      </c>
      <c r="X704" s="1069" t="str">
        <f t="shared" ca="1" si="282"/>
        <v xml:space="preserve"> </v>
      </c>
      <c r="Y704" s="1069" t="str">
        <f t="shared" ca="1" si="282"/>
        <v xml:space="preserve"> </v>
      </c>
      <c r="Z704" s="1069" t="str">
        <f t="shared" ca="1" si="282"/>
        <v xml:space="preserve"> </v>
      </c>
      <c r="AA704" s="1069" t="str">
        <f t="shared" ca="1" si="282"/>
        <v xml:space="preserve"> </v>
      </c>
    </row>
    <row r="705" spans="1:27" s="1069" customFormat="1" ht="9.9499999999999993" customHeight="1">
      <c r="A705" s="1069">
        <v>181</v>
      </c>
      <c r="D705" s="1069" t="str">
        <f t="shared" ref="D705:AA705" ca="1" si="283">IF(ISNUMBER(D704),IF(D704+2&lt;E$726,IF(ISNA(MATCH("Y",INDIRECT("Skills!"&amp;$C$523&amp;D704+1&amp;":"&amp;$C$523&amp;E$726),0))," ",MATCH("Y",INDIRECT("Skills!"&amp;$C$523&amp;D704+1&amp;":"&amp;$C$523&amp;E$726),0)+D704)," ")," ")</f>
        <v xml:space="preserve"> </v>
      </c>
      <c r="E705" s="1069" t="str">
        <f t="shared" ca="1" si="283"/>
        <v xml:space="preserve"> </v>
      </c>
      <c r="F705" s="1069" t="str">
        <f t="shared" ca="1" si="283"/>
        <v xml:space="preserve"> </v>
      </c>
      <c r="G705" s="1069" t="str">
        <f t="shared" ca="1" si="283"/>
        <v xml:space="preserve"> </v>
      </c>
      <c r="H705" s="1069" t="str">
        <f t="shared" ca="1" si="283"/>
        <v xml:space="preserve"> </v>
      </c>
      <c r="I705" s="1069" t="str">
        <f t="shared" ca="1" si="283"/>
        <v xml:space="preserve"> </v>
      </c>
      <c r="J705" s="1069" t="str">
        <f t="shared" ca="1" si="283"/>
        <v xml:space="preserve"> </v>
      </c>
      <c r="K705" s="1069" t="str">
        <f t="shared" ca="1" si="283"/>
        <v xml:space="preserve"> </v>
      </c>
      <c r="L705" s="1069" t="str">
        <f t="shared" ca="1" si="283"/>
        <v xml:space="preserve"> </v>
      </c>
      <c r="M705" s="1069" t="str">
        <f t="shared" ca="1" si="283"/>
        <v xml:space="preserve"> </v>
      </c>
      <c r="N705" s="1069" t="str">
        <f t="shared" ca="1" si="283"/>
        <v xml:space="preserve"> </v>
      </c>
      <c r="O705" s="1069" t="str">
        <f t="shared" ca="1" si="283"/>
        <v xml:space="preserve"> </v>
      </c>
      <c r="P705" s="1069" t="str">
        <f t="shared" ca="1" si="283"/>
        <v xml:space="preserve"> </v>
      </c>
      <c r="Q705" s="1069" t="str">
        <f t="shared" ca="1" si="283"/>
        <v xml:space="preserve"> </v>
      </c>
      <c r="R705" s="1069" t="str">
        <f t="shared" ca="1" si="283"/>
        <v xml:space="preserve"> </v>
      </c>
      <c r="S705" s="1069" t="str">
        <f t="shared" ca="1" si="283"/>
        <v xml:space="preserve"> </v>
      </c>
      <c r="T705" s="1069" t="str">
        <f t="shared" ca="1" si="283"/>
        <v xml:space="preserve"> </v>
      </c>
      <c r="U705" s="1069" t="str">
        <f t="shared" ca="1" si="283"/>
        <v xml:space="preserve"> </v>
      </c>
      <c r="V705" s="1069" t="str">
        <f t="shared" ca="1" si="283"/>
        <v xml:space="preserve"> </v>
      </c>
      <c r="W705" s="1069" t="str">
        <f t="shared" ca="1" si="283"/>
        <v xml:space="preserve"> </v>
      </c>
      <c r="X705" s="1069" t="str">
        <f t="shared" ca="1" si="283"/>
        <v xml:space="preserve"> </v>
      </c>
      <c r="Y705" s="1069" t="str">
        <f t="shared" ca="1" si="283"/>
        <v xml:space="preserve"> </v>
      </c>
      <c r="Z705" s="1069" t="str">
        <f t="shared" ca="1" si="283"/>
        <v xml:space="preserve"> </v>
      </c>
      <c r="AA705" s="1069" t="str">
        <f t="shared" ca="1" si="283"/>
        <v xml:space="preserve"> </v>
      </c>
    </row>
    <row r="706" spans="1:27" s="1069" customFormat="1" ht="9.9499999999999993" customHeight="1">
      <c r="A706" s="1069">
        <v>182</v>
      </c>
      <c r="D706" s="1069" t="str">
        <f t="shared" ref="D706:AA706" ca="1" si="284">IF(ISNUMBER(D705),IF(D705+2&lt;E$726,IF(ISNA(MATCH("Y",INDIRECT("Skills!"&amp;$C$523&amp;D705+1&amp;":"&amp;$C$523&amp;E$726),0))," ",MATCH("Y",INDIRECT("Skills!"&amp;$C$523&amp;D705+1&amp;":"&amp;$C$523&amp;E$726),0)+D705)," ")," ")</f>
        <v xml:space="preserve"> </v>
      </c>
      <c r="E706" s="1069" t="str">
        <f t="shared" ca="1" si="284"/>
        <v xml:space="preserve"> </v>
      </c>
      <c r="F706" s="1069" t="str">
        <f t="shared" ca="1" si="284"/>
        <v xml:space="preserve"> </v>
      </c>
      <c r="G706" s="1069" t="str">
        <f t="shared" ca="1" si="284"/>
        <v xml:space="preserve"> </v>
      </c>
      <c r="H706" s="1069" t="str">
        <f t="shared" ca="1" si="284"/>
        <v xml:space="preserve"> </v>
      </c>
      <c r="I706" s="1069" t="str">
        <f t="shared" ca="1" si="284"/>
        <v xml:space="preserve"> </v>
      </c>
      <c r="J706" s="1069" t="str">
        <f t="shared" ca="1" si="284"/>
        <v xml:space="preserve"> </v>
      </c>
      <c r="K706" s="1069" t="str">
        <f t="shared" ca="1" si="284"/>
        <v xml:space="preserve"> </v>
      </c>
      <c r="L706" s="1069" t="str">
        <f t="shared" ca="1" si="284"/>
        <v xml:space="preserve"> </v>
      </c>
      <c r="M706" s="1069" t="str">
        <f t="shared" ca="1" si="284"/>
        <v xml:space="preserve"> </v>
      </c>
      <c r="N706" s="1069" t="str">
        <f t="shared" ca="1" si="284"/>
        <v xml:space="preserve"> </v>
      </c>
      <c r="O706" s="1069" t="str">
        <f t="shared" ca="1" si="284"/>
        <v xml:space="preserve"> </v>
      </c>
      <c r="P706" s="1069" t="str">
        <f t="shared" ca="1" si="284"/>
        <v xml:space="preserve"> </v>
      </c>
      <c r="Q706" s="1069" t="str">
        <f t="shared" ca="1" si="284"/>
        <v xml:space="preserve"> </v>
      </c>
      <c r="R706" s="1069" t="str">
        <f t="shared" ca="1" si="284"/>
        <v xml:space="preserve"> </v>
      </c>
      <c r="S706" s="1069" t="str">
        <f t="shared" ca="1" si="284"/>
        <v xml:space="preserve"> </v>
      </c>
      <c r="T706" s="1069" t="str">
        <f t="shared" ca="1" si="284"/>
        <v xml:space="preserve"> </v>
      </c>
      <c r="U706" s="1069" t="str">
        <f t="shared" ca="1" si="284"/>
        <v xml:space="preserve"> </v>
      </c>
      <c r="V706" s="1069" t="str">
        <f t="shared" ca="1" si="284"/>
        <v xml:space="preserve"> </v>
      </c>
      <c r="W706" s="1069" t="str">
        <f t="shared" ca="1" si="284"/>
        <v xml:space="preserve"> </v>
      </c>
      <c r="X706" s="1069" t="str">
        <f t="shared" ca="1" si="284"/>
        <v xml:space="preserve"> </v>
      </c>
      <c r="Y706" s="1069" t="str">
        <f t="shared" ca="1" si="284"/>
        <v xml:space="preserve"> </v>
      </c>
      <c r="Z706" s="1069" t="str">
        <f t="shared" ca="1" si="284"/>
        <v xml:space="preserve"> </v>
      </c>
      <c r="AA706" s="1069" t="str">
        <f t="shared" ca="1" si="284"/>
        <v xml:space="preserve"> </v>
      </c>
    </row>
    <row r="707" spans="1:27" s="1069" customFormat="1" ht="9.9499999999999993" customHeight="1">
      <c r="A707" s="1069">
        <v>183</v>
      </c>
      <c r="D707" s="1069" t="str">
        <f t="shared" ref="D707:AA707" ca="1" si="285">IF(ISNUMBER(D706),IF(D706+2&lt;E$726,IF(ISNA(MATCH("Y",INDIRECT("Skills!"&amp;$C$523&amp;D706+1&amp;":"&amp;$C$523&amp;E$726),0))," ",MATCH("Y",INDIRECT("Skills!"&amp;$C$523&amp;D706+1&amp;":"&amp;$C$523&amp;E$726),0)+D706)," ")," ")</f>
        <v xml:space="preserve"> </v>
      </c>
      <c r="E707" s="1069" t="str">
        <f t="shared" ca="1" si="285"/>
        <v xml:space="preserve"> </v>
      </c>
      <c r="F707" s="1069" t="str">
        <f t="shared" ca="1" si="285"/>
        <v xml:space="preserve"> </v>
      </c>
      <c r="G707" s="1069" t="str">
        <f t="shared" ca="1" si="285"/>
        <v xml:space="preserve"> </v>
      </c>
      <c r="H707" s="1069" t="str">
        <f t="shared" ca="1" si="285"/>
        <v xml:space="preserve"> </v>
      </c>
      <c r="I707" s="1069" t="str">
        <f t="shared" ca="1" si="285"/>
        <v xml:space="preserve"> </v>
      </c>
      <c r="J707" s="1069" t="str">
        <f t="shared" ca="1" si="285"/>
        <v xml:space="preserve"> </v>
      </c>
      <c r="K707" s="1069" t="str">
        <f t="shared" ca="1" si="285"/>
        <v xml:space="preserve"> </v>
      </c>
      <c r="L707" s="1069" t="str">
        <f t="shared" ca="1" si="285"/>
        <v xml:space="preserve"> </v>
      </c>
      <c r="M707" s="1069" t="str">
        <f t="shared" ca="1" si="285"/>
        <v xml:space="preserve"> </v>
      </c>
      <c r="N707" s="1069" t="str">
        <f t="shared" ca="1" si="285"/>
        <v xml:space="preserve"> </v>
      </c>
      <c r="O707" s="1069" t="str">
        <f t="shared" ca="1" si="285"/>
        <v xml:space="preserve"> </v>
      </c>
      <c r="P707" s="1069" t="str">
        <f t="shared" ca="1" si="285"/>
        <v xml:space="preserve"> </v>
      </c>
      <c r="Q707" s="1069" t="str">
        <f t="shared" ca="1" si="285"/>
        <v xml:space="preserve"> </v>
      </c>
      <c r="R707" s="1069" t="str">
        <f t="shared" ca="1" si="285"/>
        <v xml:space="preserve"> </v>
      </c>
      <c r="S707" s="1069" t="str">
        <f t="shared" ca="1" si="285"/>
        <v xml:space="preserve"> </v>
      </c>
      <c r="T707" s="1069" t="str">
        <f t="shared" ca="1" si="285"/>
        <v xml:space="preserve"> </v>
      </c>
      <c r="U707" s="1069" t="str">
        <f t="shared" ca="1" si="285"/>
        <v xml:space="preserve"> </v>
      </c>
      <c r="V707" s="1069" t="str">
        <f t="shared" ca="1" si="285"/>
        <v xml:space="preserve"> </v>
      </c>
      <c r="W707" s="1069" t="str">
        <f t="shared" ca="1" si="285"/>
        <v xml:space="preserve"> </v>
      </c>
      <c r="X707" s="1069" t="str">
        <f t="shared" ca="1" si="285"/>
        <v xml:space="preserve"> </v>
      </c>
      <c r="Y707" s="1069" t="str">
        <f t="shared" ca="1" si="285"/>
        <v xml:space="preserve"> </v>
      </c>
      <c r="Z707" s="1069" t="str">
        <f t="shared" ca="1" si="285"/>
        <v xml:space="preserve"> </v>
      </c>
      <c r="AA707" s="1069" t="str">
        <f t="shared" ca="1" si="285"/>
        <v xml:space="preserve"> </v>
      </c>
    </row>
    <row r="708" spans="1:27" s="1069" customFormat="1" ht="9.9499999999999993" customHeight="1">
      <c r="A708" s="1069">
        <v>184</v>
      </c>
      <c r="D708" s="1069" t="str">
        <f t="shared" ref="D708:AA708" ca="1" si="286">IF(ISNUMBER(D707),IF(D707+2&lt;E$726,IF(ISNA(MATCH("Y",INDIRECT("Skills!"&amp;$C$523&amp;D707+1&amp;":"&amp;$C$523&amp;E$726),0))," ",MATCH("Y",INDIRECT("Skills!"&amp;$C$523&amp;D707+1&amp;":"&amp;$C$523&amp;E$726),0)+D707)," ")," ")</f>
        <v xml:space="preserve"> </v>
      </c>
      <c r="E708" s="1069" t="str">
        <f t="shared" ca="1" si="286"/>
        <v xml:space="preserve"> </v>
      </c>
      <c r="F708" s="1069" t="str">
        <f t="shared" ca="1" si="286"/>
        <v xml:space="preserve"> </v>
      </c>
      <c r="G708" s="1069" t="str">
        <f t="shared" ca="1" si="286"/>
        <v xml:space="preserve"> </v>
      </c>
      <c r="H708" s="1069" t="str">
        <f t="shared" ca="1" si="286"/>
        <v xml:space="preserve"> </v>
      </c>
      <c r="I708" s="1069" t="str">
        <f t="shared" ca="1" si="286"/>
        <v xml:space="preserve"> </v>
      </c>
      <c r="J708" s="1069" t="str">
        <f t="shared" ca="1" si="286"/>
        <v xml:space="preserve"> </v>
      </c>
      <c r="K708" s="1069" t="str">
        <f t="shared" ca="1" si="286"/>
        <v xml:space="preserve"> </v>
      </c>
      <c r="L708" s="1069" t="str">
        <f t="shared" ca="1" si="286"/>
        <v xml:space="preserve"> </v>
      </c>
      <c r="M708" s="1069" t="str">
        <f t="shared" ca="1" si="286"/>
        <v xml:space="preserve"> </v>
      </c>
      <c r="N708" s="1069" t="str">
        <f t="shared" ca="1" si="286"/>
        <v xml:space="preserve"> </v>
      </c>
      <c r="O708" s="1069" t="str">
        <f t="shared" ca="1" si="286"/>
        <v xml:space="preserve"> </v>
      </c>
      <c r="P708" s="1069" t="str">
        <f t="shared" ca="1" si="286"/>
        <v xml:space="preserve"> </v>
      </c>
      <c r="Q708" s="1069" t="str">
        <f t="shared" ca="1" si="286"/>
        <v xml:space="preserve"> </v>
      </c>
      <c r="R708" s="1069" t="str">
        <f t="shared" ca="1" si="286"/>
        <v xml:space="preserve"> </v>
      </c>
      <c r="S708" s="1069" t="str">
        <f t="shared" ca="1" si="286"/>
        <v xml:space="preserve"> </v>
      </c>
      <c r="T708" s="1069" t="str">
        <f t="shared" ca="1" si="286"/>
        <v xml:space="preserve"> </v>
      </c>
      <c r="U708" s="1069" t="str">
        <f t="shared" ca="1" si="286"/>
        <v xml:space="preserve"> </v>
      </c>
      <c r="V708" s="1069" t="str">
        <f t="shared" ca="1" si="286"/>
        <v xml:space="preserve"> </v>
      </c>
      <c r="W708" s="1069" t="str">
        <f t="shared" ca="1" si="286"/>
        <v xml:space="preserve"> </v>
      </c>
      <c r="X708" s="1069" t="str">
        <f t="shared" ca="1" si="286"/>
        <v xml:space="preserve"> </v>
      </c>
      <c r="Y708" s="1069" t="str">
        <f t="shared" ca="1" si="286"/>
        <v xml:space="preserve"> </v>
      </c>
      <c r="Z708" s="1069" t="str">
        <f t="shared" ca="1" si="286"/>
        <v xml:space="preserve"> </v>
      </c>
      <c r="AA708" s="1069" t="str">
        <f t="shared" ca="1" si="286"/>
        <v xml:space="preserve"> </v>
      </c>
    </row>
    <row r="709" spans="1:27" s="1069" customFormat="1" ht="9.9499999999999993" customHeight="1">
      <c r="A709" s="1069">
        <v>185</v>
      </c>
      <c r="D709" s="1069" t="str">
        <f t="shared" ref="D709:AA709" ca="1" si="287">IF(ISNUMBER(D708),IF(D708+2&lt;E$726,IF(ISNA(MATCH("Y",INDIRECT("Skills!"&amp;$C$523&amp;D708+1&amp;":"&amp;$C$523&amp;E$726),0))," ",MATCH("Y",INDIRECT("Skills!"&amp;$C$523&amp;D708+1&amp;":"&amp;$C$523&amp;E$726),0)+D708)," ")," ")</f>
        <v xml:space="preserve"> </v>
      </c>
      <c r="E709" s="1069" t="str">
        <f t="shared" ca="1" si="287"/>
        <v xml:space="preserve"> </v>
      </c>
      <c r="F709" s="1069" t="str">
        <f t="shared" ca="1" si="287"/>
        <v xml:space="preserve"> </v>
      </c>
      <c r="G709" s="1069" t="str">
        <f t="shared" ca="1" si="287"/>
        <v xml:space="preserve"> </v>
      </c>
      <c r="H709" s="1069" t="str">
        <f t="shared" ca="1" si="287"/>
        <v xml:space="preserve"> </v>
      </c>
      <c r="I709" s="1069" t="str">
        <f t="shared" ca="1" si="287"/>
        <v xml:space="preserve"> </v>
      </c>
      <c r="J709" s="1069" t="str">
        <f t="shared" ca="1" si="287"/>
        <v xml:space="preserve"> </v>
      </c>
      <c r="K709" s="1069" t="str">
        <f t="shared" ca="1" si="287"/>
        <v xml:space="preserve"> </v>
      </c>
      <c r="L709" s="1069" t="str">
        <f t="shared" ca="1" si="287"/>
        <v xml:space="preserve"> </v>
      </c>
      <c r="M709" s="1069" t="str">
        <f t="shared" ca="1" si="287"/>
        <v xml:space="preserve"> </v>
      </c>
      <c r="N709" s="1069" t="str">
        <f t="shared" ca="1" si="287"/>
        <v xml:space="preserve"> </v>
      </c>
      <c r="O709" s="1069" t="str">
        <f t="shared" ca="1" si="287"/>
        <v xml:space="preserve"> </v>
      </c>
      <c r="P709" s="1069" t="str">
        <f t="shared" ca="1" si="287"/>
        <v xml:space="preserve"> </v>
      </c>
      <c r="Q709" s="1069" t="str">
        <f t="shared" ca="1" si="287"/>
        <v xml:space="preserve"> </v>
      </c>
      <c r="R709" s="1069" t="str">
        <f t="shared" ca="1" si="287"/>
        <v xml:space="preserve"> </v>
      </c>
      <c r="S709" s="1069" t="str">
        <f t="shared" ca="1" si="287"/>
        <v xml:space="preserve"> </v>
      </c>
      <c r="T709" s="1069" t="str">
        <f t="shared" ca="1" si="287"/>
        <v xml:space="preserve"> </v>
      </c>
      <c r="U709" s="1069" t="str">
        <f t="shared" ca="1" si="287"/>
        <v xml:space="preserve"> </v>
      </c>
      <c r="V709" s="1069" t="str">
        <f t="shared" ca="1" si="287"/>
        <v xml:space="preserve"> </v>
      </c>
      <c r="W709" s="1069" t="str">
        <f t="shared" ca="1" si="287"/>
        <v xml:space="preserve"> </v>
      </c>
      <c r="X709" s="1069" t="str">
        <f t="shared" ca="1" si="287"/>
        <v xml:space="preserve"> </v>
      </c>
      <c r="Y709" s="1069" t="str">
        <f t="shared" ca="1" si="287"/>
        <v xml:space="preserve"> </v>
      </c>
      <c r="Z709" s="1069" t="str">
        <f t="shared" ca="1" si="287"/>
        <v xml:space="preserve"> </v>
      </c>
      <c r="AA709" s="1069" t="str">
        <f t="shared" ca="1" si="287"/>
        <v xml:space="preserve"> </v>
      </c>
    </row>
    <row r="710" spans="1:27" s="1069" customFormat="1" ht="9.9499999999999993" customHeight="1">
      <c r="A710" s="1069">
        <v>186</v>
      </c>
      <c r="D710" s="1069" t="str">
        <f t="shared" ref="D710:AA710" ca="1" si="288">IF(ISNUMBER(D709),IF(D709+2&lt;E$726,IF(ISNA(MATCH("Y",INDIRECT("Skills!"&amp;$C$523&amp;D709+1&amp;":"&amp;$C$523&amp;E$726),0))," ",MATCH("Y",INDIRECT("Skills!"&amp;$C$523&amp;D709+1&amp;":"&amp;$C$523&amp;E$726),0)+D709)," ")," ")</f>
        <v xml:space="preserve"> </v>
      </c>
      <c r="E710" s="1069" t="str">
        <f t="shared" ca="1" si="288"/>
        <v xml:space="preserve"> </v>
      </c>
      <c r="F710" s="1069" t="str">
        <f t="shared" ca="1" si="288"/>
        <v xml:space="preserve"> </v>
      </c>
      <c r="G710" s="1069" t="str">
        <f t="shared" ca="1" si="288"/>
        <v xml:space="preserve"> </v>
      </c>
      <c r="H710" s="1069" t="str">
        <f t="shared" ca="1" si="288"/>
        <v xml:space="preserve"> </v>
      </c>
      <c r="I710" s="1069" t="str">
        <f t="shared" ca="1" si="288"/>
        <v xml:space="preserve"> </v>
      </c>
      <c r="J710" s="1069" t="str">
        <f t="shared" ca="1" si="288"/>
        <v xml:space="preserve"> </v>
      </c>
      <c r="K710" s="1069" t="str">
        <f t="shared" ca="1" si="288"/>
        <v xml:space="preserve"> </v>
      </c>
      <c r="L710" s="1069" t="str">
        <f t="shared" ca="1" si="288"/>
        <v xml:space="preserve"> </v>
      </c>
      <c r="M710" s="1069" t="str">
        <f t="shared" ca="1" si="288"/>
        <v xml:space="preserve"> </v>
      </c>
      <c r="N710" s="1069" t="str">
        <f t="shared" ca="1" si="288"/>
        <v xml:space="preserve"> </v>
      </c>
      <c r="O710" s="1069" t="str">
        <f t="shared" ca="1" si="288"/>
        <v xml:space="preserve"> </v>
      </c>
      <c r="P710" s="1069" t="str">
        <f t="shared" ca="1" si="288"/>
        <v xml:space="preserve"> </v>
      </c>
      <c r="Q710" s="1069" t="str">
        <f t="shared" ca="1" si="288"/>
        <v xml:space="preserve"> </v>
      </c>
      <c r="R710" s="1069" t="str">
        <f t="shared" ca="1" si="288"/>
        <v xml:space="preserve"> </v>
      </c>
      <c r="S710" s="1069" t="str">
        <f t="shared" ca="1" si="288"/>
        <v xml:space="preserve"> </v>
      </c>
      <c r="T710" s="1069" t="str">
        <f t="shared" ca="1" si="288"/>
        <v xml:space="preserve"> </v>
      </c>
      <c r="U710" s="1069" t="str">
        <f t="shared" ca="1" si="288"/>
        <v xml:space="preserve"> </v>
      </c>
      <c r="V710" s="1069" t="str">
        <f t="shared" ca="1" si="288"/>
        <v xml:space="preserve"> </v>
      </c>
      <c r="W710" s="1069" t="str">
        <f t="shared" ca="1" si="288"/>
        <v xml:space="preserve"> </v>
      </c>
      <c r="X710" s="1069" t="str">
        <f t="shared" ca="1" si="288"/>
        <v xml:space="preserve"> </v>
      </c>
      <c r="Y710" s="1069" t="str">
        <f t="shared" ca="1" si="288"/>
        <v xml:space="preserve"> </v>
      </c>
      <c r="Z710" s="1069" t="str">
        <f t="shared" ca="1" si="288"/>
        <v xml:space="preserve"> </v>
      </c>
      <c r="AA710" s="1069" t="str">
        <f t="shared" ca="1" si="288"/>
        <v xml:space="preserve"> </v>
      </c>
    </row>
    <row r="711" spans="1:27" s="1069" customFormat="1" ht="9.9499999999999993" customHeight="1">
      <c r="A711" s="1069">
        <v>187</v>
      </c>
      <c r="D711" s="1069" t="str">
        <f t="shared" ref="D711:AA711" ca="1" si="289">IF(ISNUMBER(D710),IF(D710+2&lt;E$726,IF(ISNA(MATCH("Y",INDIRECT("Skills!"&amp;$C$523&amp;D710+1&amp;":"&amp;$C$523&amp;E$726),0))," ",MATCH("Y",INDIRECT("Skills!"&amp;$C$523&amp;D710+1&amp;":"&amp;$C$523&amp;E$726),0)+D710)," ")," ")</f>
        <v xml:space="preserve"> </v>
      </c>
      <c r="E711" s="1069" t="str">
        <f t="shared" ca="1" si="289"/>
        <v xml:space="preserve"> </v>
      </c>
      <c r="F711" s="1069" t="str">
        <f t="shared" ca="1" si="289"/>
        <v xml:space="preserve"> </v>
      </c>
      <c r="G711" s="1069" t="str">
        <f t="shared" ca="1" si="289"/>
        <v xml:space="preserve"> </v>
      </c>
      <c r="H711" s="1069" t="str">
        <f t="shared" ca="1" si="289"/>
        <v xml:space="preserve"> </v>
      </c>
      <c r="I711" s="1069" t="str">
        <f t="shared" ca="1" si="289"/>
        <v xml:space="preserve"> </v>
      </c>
      <c r="J711" s="1069" t="str">
        <f t="shared" ca="1" si="289"/>
        <v xml:space="preserve"> </v>
      </c>
      <c r="K711" s="1069" t="str">
        <f t="shared" ca="1" si="289"/>
        <v xml:space="preserve"> </v>
      </c>
      <c r="L711" s="1069" t="str">
        <f t="shared" ca="1" si="289"/>
        <v xml:space="preserve"> </v>
      </c>
      <c r="M711" s="1069" t="str">
        <f t="shared" ca="1" si="289"/>
        <v xml:space="preserve"> </v>
      </c>
      <c r="N711" s="1069" t="str">
        <f t="shared" ca="1" si="289"/>
        <v xml:space="preserve"> </v>
      </c>
      <c r="O711" s="1069" t="str">
        <f t="shared" ca="1" si="289"/>
        <v xml:space="preserve"> </v>
      </c>
      <c r="P711" s="1069" t="str">
        <f t="shared" ca="1" si="289"/>
        <v xml:space="preserve"> </v>
      </c>
      <c r="Q711" s="1069" t="str">
        <f t="shared" ca="1" si="289"/>
        <v xml:space="preserve"> </v>
      </c>
      <c r="R711" s="1069" t="str">
        <f t="shared" ca="1" si="289"/>
        <v xml:space="preserve"> </v>
      </c>
      <c r="S711" s="1069" t="str">
        <f t="shared" ca="1" si="289"/>
        <v xml:space="preserve"> </v>
      </c>
      <c r="T711" s="1069" t="str">
        <f t="shared" ca="1" si="289"/>
        <v xml:space="preserve"> </v>
      </c>
      <c r="U711" s="1069" t="str">
        <f t="shared" ca="1" si="289"/>
        <v xml:space="preserve"> </v>
      </c>
      <c r="V711" s="1069" t="str">
        <f t="shared" ca="1" si="289"/>
        <v xml:space="preserve"> </v>
      </c>
      <c r="W711" s="1069" t="str">
        <f t="shared" ca="1" si="289"/>
        <v xml:space="preserve"> </v>
      </c>
      <c r="X711" s="1069" t="str">
        <f t="shared" ca="1" si="289"/>
        <v xml:space="preserve"> </v>
      </c>
      <c r="Y711" s="1069" t="str">
        <f t="shared" ca="1" si="289"/>
        <v xml:space="preserve"> </v>
      </c>
      <c r="Z711" s="1069" t="str">
        <f t="shared" ca="1" si="289"/>
        <v xml:space="preserve"> </v>
      </c>
      <c r="AA711" s="1069" t="str">
        <f t="shared" ca="1" si="289"/>
        <v xml:space="preserve"> </v>
      </c>
    </row>
    <row r="712" spans="1:27" s="1069" customFormat="1" ht="9.9499999999999993" customHeight="1">
      <c r="A712" s="1069">
        <v>188</v>
      </c>
      <c r="D712" s="1069" t="str">
        <f t="shared" ref="D712:AA712" ca="1" si="290">IF(ISNUMBER(D711),IF(D711+2&lt;E$726,IF(ISNA(MATCH("Y",INDIRECT("Skills!"&amp;$C$523&amp;D711+1&amp;":"&amp;$C$523&amp;E$726),0))," ",MATCH("Y",INDIRECT("Skills!"&amp;$C$523&amp;D711+1&amp;":"&amp;$C$523&amp;E$726),0)+D711)," ")," ")</f>
        <v xml:space="preserve"> </v>
      </c>
      <c r="E712" s="1069" t="str">
        <f t="shared" ca="1" si="290"/>
        <v xml:space="preserve"> </v>
      </c>
      <c r="F712" s="1069" t="str">
        <f t="shared" ca="1" si="290"/>
        <v xml:space="preserve"> </v>
      </c>
      <c r="G712" s="1069" t="str">
        <f t="shared" ca="1" si="290"/>
        <v xml:space="preserve"> </v>
      </c>
      <c r="H712" s="1069" t="str">
        <f t="shared" ca="1" si="290"/>
        <v xml:space="preserve"> </v>
      </c>
      <c r="I712" s="1069" t="str">
        <f t="shared" ca="1" si="290"/>
        <v xml:space="preserve"> </v>
      </c>
      <c r="J712" s="1069" t="str">
        <f t="shared" ca="1" si="290"/>
        <v xml:space="preserve"> </v>
      </c>
      <c r="K712" s="1069" t="str">
        <f t="shared" ca="1" si="290"/>
        <v xml:space="preserve"> </v>
      </c>
      <c r="L712" s="1069" t="str">
        <f t="shared" ca="1" si="290"/>
        <v xml:space="preserve"> </v>
      </c>
      <c r="M712" s="1069" t="str">
        <f t="shared" ca="1" si="290"/>
        <v xml:space="preserve"> </v>
      </c>
      <c r="N712" s="1069" t="str">
        <f t="shared" ca="1" si="290"/>
        <v xml:space="preserve"> </v>
      </c>
      <c r="O712" s="1069" t="str">
        <f t="shared" ca="1" si="290"/>
        <v xml:space="preserve"> </v>
      </c>
      <c r="P712" s="1069" t="str">
        <f t="shared" ca="1" si="290"/>
        <v xml:space="preserve"> </v>
      </c>
      <c r="Q712" s="1069" t="str">
        <f t="shared" ca="1" si="290"/>
        <v xml:space="preserve"> </v>
      </c>
      <c r="R712" s="1069" t="str">
        <f t="shared" ca="1" si="290"/>
        <v xml:space="preserve"> </v>
      </c>
      <c r="S712" s="1069" t="str">
        <f t="shared" ca="1" si="290"/>
        <v xml:space="preserve"> </v>
      </c>
      <c r="T712" s="1069" t="str">
        <f t="shared" ca="1" si="290"/>
        <v xml:space="preserve"> </v>
      </c>
      <c r="U712" s="1069" t="str">
        <f t="shared" ca="1" si="290"/>
        <v xml:space="preserve"> </v>
      </c>
      <c r="V712" s="1069" t="str">
        <f t="shared" ca="1" si="290"/>
        <v xml:space="preserve"> </v>
      </c>
      <c r="W712" s="1069" t="str">
        <f t="shared" ca="1" si="290"/>
        <v xml:space="preserve"> </v>
      </c>
      <c r="X712" s="1069" t="str">
        <f t="shared" ca="1" si="290"/>
        <v xml:space="preserve"> </v>
      </c>
      <c r="Y712" s="1069" t="str">
        <f t="shared" ca="1" si="290"/>
        <v xml:space="preserve"> </v>
      </c>
      <c r="Z712" s="1069" t="str">
        <f t="shared" ca="1" si="290"/>
        <v xml:space="preserve"> </v>
      </c>
      <c r="AA712" s="1069" t="str">
        <f t="shared" ca="1" si="290"/>
        <v xml:space="preserve"> </v>
      </c>
    </row>
    <row r="713" spans="1:27" s="1069" customFormat="1" ht="9.9499999999999993" customHeight="1">
      <c r="A713" s="1069">
        <v>189</v>
      </c>
      <c r="D713" s="1069" t="str">
        <f t="shared" ref="D713:AA713" ca="1" si="291">IF(ISNUMBER(D712),IF(D712+2&lt;E$726,IF(ISNA(MATCH("Y",INDIRECT("Skills!"&amp;$C$523&amp;D712+1&amp;":"&amp;$C$523&amp;E$726),0))," ",MATCH("Y",INDIRECT("Skills!"&amp;$C$523&amp;D712+1&amp;":"&amp;$C$523&amp;E$726),0)+D712)," ")," ")</f>
        <v xml:space="preserve"> </v>
      </c>
      <c r="E713" s="1069" t="str">
        <f t="shared" ca="1" si="291"/>
        <v xml:space="preserve"> </v>
      </c>
      <c r="F713" s="1069" t="str">
        <f t="shared" ca="1" si="291"/>
        <v xml:space="preserve"> </v>
      </c>
      <c r="G713" s="1069" t="str">
        <f t="shared" ca="1" si="291"/>
        <v xml:space="preserve"> </v>
      </c>
      <c r="H713" s="1069" t="str">
        <f t="shared" ca="1" si="291"/>
        <v xml:space="preserve"> </v>
      </c>
      <c r="I713" s="1069" t="str">
        <f t="shared" ca="1" si="291"/>
        <v xml:space="preserve"> </v>
      </c>
      <c r="J713" s="1069" t="str">
        <f t="shared" ca="1" si="291"/>
        <v xml:space="preserve"> </v>
      </c>
      <c r="K713" s="1069" t="str">
        <f t="shared" ca="1" si="291"/>
        <v xml:space="preserve"> </v>
      </c>
      <c r="L713" s="1069" t="str">
        <f t="shared" ca="1" si="291"/>
        <v xml:space="preserve"> </v>
      </c>
      <c r="M713" s="1069" t="str">
        <f t="shared" ca="1" si="291"/>
        <v xml:space="preserve"> </v>
      </c>
      <c r="N713" s="1069" t="str">
        <f t="shared" ca="1" si="291"/>
        <v xml:space="preserve"> </v>
      </c>
      <c r="O713" s="1069" t="str">
        <f t="shared" ca="1" si="291"/>
        <v xml:space="preserve"> </v>
      </c>
      <c r="P713" s="1069" t="str">
        <f t="shared" ca="1" si="291"/>
        <v xml:space="preserve"> </v>
      </c>
      <c r="Q713" s="1069" t="str">
        <f t="shared" ca="1" si="291"/>
        <v xml:space="preserve"> </v>
      </c>
      <c r="R713" s="1069" t="str">
        <f t="shared" ca="1" si="291"/>
        <v xml:space="preserve"> </v>
      </c>
      <c r="S713" s="1069" t="str">
        <f t="shared" ca="1" si="291"/>
        <v xml:space="preserve"> </v>
      </c>
      <c r="T713" s="1069" t="str">
        <f t="shared" ca="1" si="291"/>
        <v xml:space="preserve"> </v>
      </c>
      <c r="U713" s="1069" t="str">
        <f t="shared" ca="1" si="291"/>
        <v xml:space="preserve"> </v>
      </c>
      <c r="V713" s="1069" t="str">
        <f t="shared" ca="1" si="291"/>
        <v xml:space="preserve"> </v>
      </c>
      <c r="W713" s="1069" t="str">
        <f t="shared" ca="1" si="291"/>
        <v xml:space="preserve"> </v>
      </c>
      <c r="X713" s="1069" t="str">
        <f t="shared" ca="1" si="291"/>
        <v xml:space="preserve"> </v>
      </c>
      <c r="Y713" s="1069" t="str">
        <f t="shared" ca="1" si="291"/>
        <v xml:space="preserve"> </v>
      </c>
      <c r="Z713" s="1069" t="str">
        <f t="shared" ca="1" si="291"/>
        <v xml:space="preserve"> </v>
      </c>
      <c r="AA713" s="1069" t="str">
        <f t="shared" ca="1" si="291"/>
        <v xml:space="preserve"> </v>
      </c>
    </row>
    <row r="714" spans="1:27" s="1069" customFormat="1" ht="9.9499999999999993" customHeight="1">
      <c r="A714" s="1069">
        <v>190</v>
      </c>
      <c r="D714" s="1069" t="str">
        <f t="shared" ref="D714:AA714" ca="1" si="292">IF(ISNUMBER(D713),IF(D713+2&lt;E$726,IF(ISNA(MATCH("Y",INDIRECT("Skills!"&amp;$C$523&amp;D713+1&amp;":"&amp;$C$523&amp;E$726),0))," ",MATCH("Y",INDIRECT("Skills!"&amp;$C$523&amp;D713+1&amp;":"&amp;$C$523&amp;E$726),0)+D713)," ")," ")</f>
        <v xml:space="preserve"> </v>
      </c>
      <c r="E714" s="1069" t="str">
        <f t="shared" ca="1" si="292"/>
        <v xml:space="preserve"> </v>
      </c>
      <c r="F714" s="1069" t="str">
        <f t="shared" ca="1" si="292"/>
        <v xml:space="preserve"> </v>
      </c>
      <c r="G714" s="1069" t="str">
        <f t="shared" ca="1" si="292"/>
        <v xml:space="preserve"> </v>
      </c>
      <c r="H714" s="1069" t="str">
        <f t="shared" ca="1" si="292"/>
        <v xml:space="preserve"> </v>
      </c>
      <c r="I714" s="1069" t="str">
        <f t="shared" ca="1" si="292"/>
        <v xml:space="preserve"> </v>
      </c>
      <c r="J714" s="1069" t="str">
        <f t="shared" ca="1" si="292"/>
        <v xml:space="preserve"> </v>
      </c>
      <c r="K714" s="1069" t="str">
        <f t="shared" ca="1" si="292"/>
        <v xml:space="preserve"> </v>
      </c>
      <c r="L714" s="1069" t="str">
        <f t="shared" ca="1" si="292"/>
        <v xml:space="preserve"> </v>
      </c>
      <c r="M714" s="1069" t="str">
        <f t="shared" ca="1" si="292"/>
        <v xml:space="preserve"> </v>
      </c>
      <c r="N714" s="1069" t="str">
        <f t="shared" ca="1" si="292"/>
        <v xml:space="preserve"> </v>
      </c>
      <c r="O714" s="1069" t="str">
        <f t="shared" ca="1" si="292"/>
        <v xml:space="preserve"> </v>
      </c>
      <c r="P714" s="1069" t="str">
        <f t="shared" ca="1" si="292"/>
        <v xml:space="preserve"> </v>
      </c>
      <c r="Q714" s="1069" t="str">
        <f t="shared" ca="1" si="292"/>
        <v xml:space="preserve"> </v>
      </c>
      <c r="R714" s="1069" t="str">
        <f t="shared" ca="1" si="292"/>
        <v xml:space="preserve"> </v>
      </c>
      <c r="S714" s="1069" t="str">
        <f t="shared" ca="1" si="292"/>
        <v xml:space="preserve"> </v>
      </c>
      <c r="T714" s="1069" t="str">
        <f t="shared" ca="1" si="292"/>
        <v xml:space="preserve"> </v>
      </c>
      <c r="U714" s="1069" t="str">
        <f t="shared" ca="1" si="292"/>
        <v xml:space="preserve"> </v>
      </c>
      <c r="V714" s="1069" t="str">
        <f t="shared" ca="1" si="292"/>
        <v xml:space="preserve"> </v>
      </c>
      <c r="W714" s="1069" t="str">
        <f t="shared" ca="1" si="292"/>
        <v xml:space="preserve"> </v>
      </c>
      <c r="X714" s="1069" t="str">
        <f t="shared" ca="1" si="292"/>
        <v xml:space="preserve"> </v>
      </c>
      <c r="Y714" s="1069" t="str">
        <f t="shared" ca="1" si="292"/>
        <v xml:space="preserve"> </v>
      </c>
      <c r="Z714" s="1069" t="str">
        <f t="shared" ca="1" si="292"/>
        <v xml:space="preserve"> </v>
      </c>
      <c r="AA714" s="1069" t="str">
        <f t="shared" ca="1" si="292"/>
        <v xml:space="preserve"> </v>
      </c>
    </row>
    <row r="715" spans="1:27" s="1069" customFormat="1" ht="9.9499999999999993" customHeight="1">
      <c r="A715" s="1069">
        <v>191</v>
      </c>
      <c r="D715" s="1069" t="str">
        <f t="shared" ref="D715:AA715" ca="1" si="293">IF(ISNUMBER(D714),IF(D714+2&lt;E$726,IF(ISNA(MATCH("Y",INDIRECT("Skills!"&amp;$C$523&amp;D714+1&amp;":"&amp;$C$523&amp;E$726),0))," ",MATCH("Y",INDIRECT("Skills!"&amp;$C$523&amp;D714+1&amp;":"&amp;$C$523&amp;E$726),0)+D714)," ")," ")</f>
        <v xml:space="preserve"> </v>
      </c>
      <c r="E715" s="1069" t="str">
        <f t="shared" ca="1" si="293"/>
        <v xml:space="preserve"> </v>
      </c>
      <c r="F715" s="1069" t="str">
        <f t="shared" ca="1" si="293"/>
        <v xml:space="preserve"> </v>
      </c>
      <c r="G715" s="1069" t="str">
        <f t="shared" ca="1" si="293"/>
        <v xml:space="preserve"> </v>
      </c>
      <c r="H715" s="1069" t="str">
        <f t="shared" ca="1" si="293"/>
        <v xml:space="preserve"> </v>
      </c>
      <c r="I715" s="1069" t="str">
        <f t="shared" ca="1" si="293"/>
        <v xml:space="preserve"> </v>
      </c>
      <c r="J715" s="1069" t="str">
        <f t="shared" ca="1" si="293"/>
        <v xml:space="preserve"> </v>
      </c>
      <c r="K715" s="1069" t="str">
        <f t="shared" ca="1" si="293"/>
        <v xml:space="preserve"> </v>
      </c>
      <c r="L715" s="1069" t="str">
        <f t="shared" ca="1" si="293"/>
        <v xml:space="preserve"> </v>
      </c>
      <c r="M715" s="1069" t="str">
        <f t="shared" ca="1" si="293"/>
        <v xml:space="preserve"> </v>
      </c>
      <c r="N715" s="1069" t="str">
        <f t="shared" ca="1" si="293"/>
        <v xml:space="preserve"> </v>
      </c>
      <c r="O715" s="1069" t="str">
        <f t="shared" ca="1" si="293"/>
        <v xml:space="preserve"> </v>
      </c>
      <c r="P715" s="1069" t="str">
        <f t="shared" ca="1" si="293"/>
        <v xml:space="preserve"> </v>
      </c>
      <c r="Q715" s="1069" t="str">
        <f t="shared" ca="1" si="293"/>
        <v xml:space="preserve"> </v>
      </c>
      <c r="R715" s="1069" t="str">
        <f t="shared" ca="1" si="293"/>
        <v xml:space="preserve"> </v>
      </c>
      <c r="S715" s="1069" t="str">
        <f t="shared" ca="1" si="293"/>
        <v xml:space="preserve"> </v>
      </c>
      <c r="T715" s="1069" t="str">
        <f t="shared" ca="1" si="293"/>
        <v xml:space="preserve"> </v>
      </c>
      <c r="U715" s="1069" t="str">
        <f t="shared" ca="1" si="293"/>
        <v xml:space="preserve"> </v>
      </c>
      <c r="V715" s="1069" t="str">
        <f t="shared" ca="1" si="293"/>
        <v xml:space="preserve"> </v>
      </c>
      <c r="W715" s="1069" t="str">
        <f t="shared" ca="1" si="293"/>
        <v xml:space="preserve"> </v>
      </c>
      <c r="X715" s="1069" t="str">
        <f t="shared" ca="1" si="293"/>
        <v xml:space="preserve"> </v>
      </c>
      <c r="Y715" s="1069" t="str">
        <f t="shared" ca="1" si="293"/>
        <v xml:space="preserve"> </v>
      </c>
      <c r="Z715" s="1069" t="str">
        <f t="shared" ca="1" si="293"/>
        <v xml:space="preserve"> </v>
      </c>
      <c r="AA715" s="1069" t="str">
        <f t="shared" ca="1" si="293"/>
        <v xml:space="preserve"> </v>
      </c>
    </row>
    <row r="716" spans="1:27" s="1069" customFormat="1" ht="9.9499999999999993" customHeight="1">
      <c r="A716" s="1069">
        <v>192</v>
      </c>
      <c r="D716" s="1069" t="str">
        <f t="shared" ref="D716:AA716" ca="1" si="294">IF(ISNUMBER(D715),IF(D715+2&lt;E$726,IF(ISNA(MATCH("Y",INDIRECT("Skills!"&amp;$C$523&amp;D715+1&amp;":"&amp;$C$523&amp;E$726),0))," ",MATCH("Y",INDIRECT("Skills!"&amp;$C$523&amp;D715+1&amp;":"&amp;$C$523&amp;E$726),0)+D715)," ")," ")</f>
        <v xml:space="preserve"> </v>
      </c>
      <c r="E716" s="1069" t="str">
        <f t="shared" ca="1" si="294"/>
        <v xml:space="preserve"> </v>
      </c>
      <c r="F716" s="1069" t="str">
        <f t="shared" ca="1" si="294"/>
        <v xml:space="preserve"> </v>
      </c>
      <c r="G716" s="1069" t="str">
        <f t="shared" ca="1" si="294"/>
        <v xml:space="preserve"> </v>
      </c>
      <c r="H716" s="1069" t="str">
        <f t="shared" ca="1" si="294"/>
        <v xml:space="preserve"> </v>
      </c>
      <c r="I716" s="1069" t="str">
        <f t="shared" ca="1" si="294"/>
        <v xml:space="preserve"> </v>
      </c>
      <c r="J716" s="1069" t="str">
        <f t="shared" ca="1" si="294"/>
        <v xml:space="preserve"> </v>
      </c>
      <c r="K716" s="1069" t="str">
        <f t="shared" ca="1" si="294"/>
        <v xml:space="preserve"> </v>
      </c>
      <c r="L716" s="1069" t="str">
        <f t="shared" ca="1" si="294"/>
        <v xml:space="preserve"> </v>
      </c>
      <c r="M716" s="1069" t="str">
        <f t="shared" ca="1" si="294"/>
        <v xml:space="preserve"> </v>
      </c>
      <c r="N716" s="1069" t="str">
        <f t="shared" ca="1" si="294"/>
        <v xml:space="preserve"> </v>
      </c>
      <c r="O716" s="1069" t="str">
        <f t="shared" ca="1" si="294"/>
        <v xml:space="preserve"> </v>
      </c>
      <c r="P716" s="1069" t="str">
        <f t="shared" ca="1" si="294"/>
        <v xml:space="preserve"> </v>
      </c>
      <c r="Q716" s="1069" t="str">
        <f t="shared" ca="1" si="294"/>
        <v xml:space="preserve"> </v>
      </c>
      <c r="R716" s="1069" t="str">
        <f t="shared" ca="1" si="294"/>
        <v xml:space="preserve"> </v>
      </c>
      <c r="S716" s="1069" t="str">
        <f t="shared" ca="1" si="294"/>
        <v xml:space="preserve"> </v>
      </c>
      <c r="T716" s="1069" t="str">
        <f t="shared" ca="1" si="294"/>
        <v xml:space="preserve"> </v>
      </c>
      <c r="U716" s="1069" t="str">
        <f t="shared" ca="1" si="294"/>
        <v xml:space="preserve"> </v>
      </c>
      <c r="V716" s="1069" t="str">
        <f t="shared" ca="1" si="294"/>
        <v xml:space="preserve"> </v>
      </c>
      <c r="W716" s="1069" t="str">
        <f t="shared" ca="1" si="294"/>
        <v xml:space="preserve"> </v>
      </c>
      <c r="X716" s="1069" t="str">
        <f t="shared" ca="1" si="294"/>
        <v xml:space="preserve"> </v>
      </c>
      <c r="Y716" s="1069" t="str">
        <f t="shared" ca="1" si="294"/>
        <v xml:space="preserve"> </v>
      </c>
      <c r="Z716" s="1069" t="str">
        <f t="shared" ca="1" si="294"/>
        <v xml:space="preserve"> </v>
      </c>
      <c r="AA716" s="1069" t="str">
        <f t="shared" ca="1" si="294"/>
        <v xml:space="preserve"> </v>
      </c>
    </row>
    <row r="717" spans="1:27" s="1069" customFormat="1" ht="9.9499999999999993" customHeight="1">
      <c r="A717" s="1069">
        <v>193</v>
      </c>
      <c r="D717" s="1069" t="str">
        <f t="shared" ref="D717:AA717" ca="1" si="295">IF(ISNUMBER(D716),IF(D716+2&lt;E$726,IF(ISNA(MATCH("Y",INDIRECT("Skills!"&amp;$C$523&amp;D716+1&amp;":"&amp;$C$523&amp;E$726),0))," ",MATCH("Y",INDIRECT("Skills!"&amp;$C$523&amp;D716+1&amp;":"&amp;$C$523&amp;E$726),0)+D716)," ")," ")</f>
        <v xml:space="preserve"> </v>
      </c>
      <c r="E717" s="1069" t="str">
        <f t="shared" ca="1" si="295"/>
        <v xml:space="preserve"> </v>
      </c>
      <c r="F717" s="1069" t="str">
        <f t="shared" ca="1" si="295"/>
        <v xml:space="preserve"> </v>
      </c>
      <c r="G717" s="1069" t="str">
        <f t="shared" ca="1" si="295"/>
        <v xml:space="preserve"> </v>
      </c>
      <c r="H717" s="1069" t="str">
        <f t="shared" ca="1" si="295"/>
        <v xml:space="preserve"> </v>
      </c>
      <c r="I717" s="1069" t="str">
        <f t="shared" ca="1" si="295"/>
        <v xml:space="preserve"> </v>
      </c>
      <c r="J717" s="1069" t="str">
        <f t="shared" ca="1" si="295"/>
        <v xml:space="preserve"> </v>
      </c>
      <c r="K717" s="1069" t="str">
        <f t="shared" ca="1" si="295"/>
        <v xml:space="preserve"> </v>
      </c>
      <c r="L717" s="1069" t="str">
        <f t="shared" ca="1" si="295"/>
        <v xml:space="preserve"> </v>
      </c>
      <c r="M717" s="1069" t="str">
        <f t="shared" ca="1" si="295"/>
        <v xml:space="preserve"> </v>
      </c>
      <c r="N717" s="1069" t="str">
        <f t="shared" ca="1" si="295"/>
        <v xml:space="preserve"> </v>
      </c>
      <c r="O717" s="1069" t="str">
        <f t="shared" ca="1" si="295"/>
        <v xml:space="preserve"> </v>
      </c>
      <c r="P717" s="1069" t="str">
        <f t="shared" ca="1" si="295"/>
        <v xml:space="preserve"> </v>
      </c>
      <c r="Q717" s="1069" t="str">
        <f t="shared" ca="1" si="295"/>
        <v xml:space="preserve"> </v>
      </c>
      <c r="R717" s="1069" t="str">
        <f t="shared" ca="1" si="295"/>
        <v xml:space="preserve"> </v>
      </c>
      <c r="S717" s="1069" t="str">
        <f t="shared" ca="1" si="295"/>
        <v xml:space="preserve"> </v>
      </c>
      <c r="T717" s="1069" t="str">
        <f t="shared" ca="1" si="295"/>
        <v xml:space="preserve"> </v>
      </c>
      <c r="U717" s="1069" t="str">
        <f t="shared" ca="1" si="295"/>
        <v xml:space="preserve"> </v>
      </c>
      <c r="V717" s="1069" t="str">
        <f t="shared" ca="1" si="295"/>
        <v xml:space="preserve"> </v>
      </c>
      <c r="W717" s="1069" t="str">
        <f t="shared" ca="1" si="295"/>
        <v xml:space="preserve"> </v>
      </c>
      <c r="X717" s="1069" t="str">
        <f t="shared" ca="1" si="295"/>
        <v xml:space="preserve"> </v>
      </c>
      <c r="Y717" s="1069" t="str">
        <f t="shared" ca="1" si="295"/>
        <v xml:space="preserve"> </v>
      </c>
      <c r="Z717" s="1069" t="str">
        <f t="shared" ca="1" si="295"/>
        <v xml:space="preserve"> </v>
      </c>
      <c r="AA717" s="1069" t="str">
        <f t="shared" ca="1" si="295"/>
        <v xml:space="preserve"> </v>
      </c>
    </row>
    <row r="718" spans="1:27" s="1069" customFormat="1" ht="9.9499999999999993" customHeight="1">
      <c r="A718" s="1069">
        <v>194</v>
      </c>
      <c r="D718" s="1069" t="str">
        <f t="shared" ref="D718:AA718" ca="1" si="296">IF(ISNUMBER(D717),IF(D717+2&lt;E$726,IF(ISNA(MATCH("Y",INDIRECT("Skills!"&amp;$C$523&amp;D717+1&amp;":"&amp;$C$523&amp;E$726),0))," ",MATCH("Y",INDIRECT("Skills!"&amp;$C$523&amp;D717+1&amp;":"&amp;$C$523&amp;E$726),0)+D717)," ")," ")</f>
        <v xml:space="preserve"> </v>
      </c>
      <c r="E718" s="1069" t="str">
        <f t="shared" ca="1" si="296"/>
        <v xml:space="preserve"> </v>
      </c>
      <c r="F718" s="1069" t="str">
        <f t="shared" ca="1" si="296"/>
        <v xml:space="preserve"> </v>
      </c>
      <c r="G718" s="1069" t="str">
        <f t="shared" ca="1" si="296"/>
        <v xml:space="preserve"> </v>
      </c>
      <c r="H718" s="1069" t="str">
        <f t="shared" ca="1" si="296"/>
        <v xml:space="preserve"> </v>
      </c>
      <c r="I718" s="1069" t="str">
        <f t="shared" ca="1" si="296"/>
        <v xml:space="preserve"> </v>
      </c>
      <c r="J718" s="1069" t="str">
        <f t="shared" ca="1" si="296"/>
        <v xml:space="preserve"> </v>
      </c>
      <c r="K718" s="1069" t="str">
        <f t="shared" ca="1" si="296"/>
        <v xml:space="preserve"> </v>
      </c>
      <c r="L718" s="1069" t="str">
        <f t="shared" ca="1" si="296"/>
        <v xml:space="preserve"> </v>
      </c>
      <c r="M718" s="1069" t="str">
        <f t="shared" ca="1" si="296"/>
        <v xml:space="preserve"> </v>
      </c>
      <c r="N718" s="1069" t="str">
        <f t="shared" ca="1" si="296"/>
        <v xml:space="preserve"> </v>
      </c>
      <c r="O718" s="1069" t="str">
        <f t="shared" ca="1" si="296"/>
        <v xml:space="preserve"> </v>
      </c>
      <c r="P718" s="1069" t="str">
        <f t="shared" ca="1" si="296"/>
        <v xml:space="preserve"> </v>
      </c>
      <c r="Q718" s="1069" t="str">
        <f t="shared" ca="1" si="296"/>
        <v xml:space="preserve"> </v>
      </c>
      <c r="R718" s="1069" t="str">
        <f t="shared" ca="1" si="296"/>
        <v xml:space="preserve"> </v>
      </c>
      <c r="S718" s="1069" t="str">
        <f t="shared" ca="1" si="296"/>
        <v xml:space="preserve"> </v>
      </c>
      <c r="T718" s="1069" t="str">
        <f t="shared" ca="1" si="296"/>
        <v xml:space="preserve"> </v>
      </c>
      <c r="U718" s="1069" t="str">
        <f t="shared" ca="1" si="296"/>
        <v xml:space="preserve"> </v>
      </c>
      <c r="V718" s="1069" t="str">
        <f t="shared" ca="1" si="296"/>
        <v xml:space="preserve"> </v>
      </c>
      <c r="W718" s="1069" t="str">
        <f t="shared" ca="1" si="296"/>
        <v xml:space="preserve"> </v>
      </c>
      <c r="X718" s="1069" t="str">
        <f t="shared" ca="1" si="296"/>
        <v xml:space="preserve"> </v>
      </c>
      <c r="Y718" s="1069" t="str">
        <f t="shared" ca="1" si="296"/>
        <v xml:space="preserve"> </v>
      </c>
      <c r="Z718" s="1069" t="str">
        <f t="shared" ca="1" si="296"/>
        <v xml:space="preserve"> </v>
      </c>
      <c r="AA718" s="1069" t="str">
        <f t="shared" ca="1" si="296"/>
        <v xml:space="preserve"> </v>
      </c>
    </row>
    <row r="719" spans="1:27" s="1069" customFormat="1" ht="9.9499999999999993" customHeight="1">
      <c r="A719" s="1069">
        <v>195</v>
      </c>
      <c r="D719" s="1069" t="str">
        <f t="shared" ref="D719:AA719" ca="1" si="297">IF(ISNUMBER(D718),IF(D718+2&lt;E$726,IF(ISNA(MATCH("Y",INDIRECT("Skills!"&amp;$C$523&amp;D718+1&amp;":"&amp;$C$523&amp;E$726),0))," ",MATCH("Y",INDIRECT("Skills!"&amp;$C$523&amp;D718+1&amp;":"&amp;$C$523&amp;E$726),0)+D718)," ")," ")</f>
        <v xml:space="preserve"> </v>
      </c>
      <c r="E719" s="1069" t="str">
        <f t="shared" ca="1" si="297"/>
        <v xml:space="preserve"> </v>
      </c>
      <c r="F719" s="1069" t="str">
        <f t="shared" ca="1" si="297"/>
        <v xml:space="preserve"> </v>
      </c>
      <c r="G719" s="1069" t="str">
        <f t="shared" ca="1" si="297"/>
        <v xml:space="preserve"> </v>
      </c>
      <c r="H719" s="1069" t="str">
        <f t="shared" ca="1" si="297"/>
        <v xml:space="preserve"> </v>
      </c>
      <c r="I719" s="1069" t="str">
        <f t="shared" ca="1" si="297"/>
        <v xml:space="preserve"> </v>
      </c>
      <c r="J719" s="1069" t="str">
        <f t="shared" ca="1" si="297"/>
        <v xml:space="preserve"> </v>
      </c>
      <c r="K719" s="1069" t="str">
        <f t="shared" ca="1" si="297"/>
        <v xml:space="preserve"> </v>
      </c>
      <c r="L719" s="1069" t="str">
        <f t="shared" ca="1" si="297"/>
        <v xml:space="preserve"> </v>
      </c>
      <c r="M719" s="1069" t="str">
        <f t="shared" ca="1" si="297"/>
        <v xml:space="preserve"> </v>
      </c>
      <c r="N719" s="1069" t="str">
        <f t="shared" ca="1" si="297"/>
        <v xml:space="preserve"> </v>
      </c>
      <c r="O719" s="1069" t="str">
        <f t="shared" ca="1" si="297"/>
        <v xml:space="preserve"> </v>
      </c>
      <c r="P719" s="1069" t="str">
        <f t="shared" ca="1" si="297"/>
        <v xml:space="preserve"> </v>
      </c>
      <c r="Q719" s="1069" t="str">
        <f t="shared" ca="1" si="297"/>
        <v xml:space="preserve"> </v>
      </c>
      <c r="R719" s="1069" t="str">
        <f t="shared" ca="1" si="297"/>
        <v xml:space="preserve"> </v>
      </c>
      <c r="S719" s="1069" t="str">
        <f t="shared" ca="1" si="297"/>
        <v xml:space="preserve"> </v>
      </c>
      <c r="T719" s="1069" t="str">
        <f t="shared" ca="1" si="297"/>
        <v xml:space="preserve"> </v>
      </c>
      <c r="U719" s="1069" t="str">
        <f t="shared" ca="1" si="297"/>
        <v xml:space="preserve"> </v>
      </c>
      <c r="V719" s="1069" t="str">
        <f t="shared" ca="1" si="297"/>
        <v xml:space="preserve"> </v>
      </c>
      <c r="W719" s="1069" t="str">
        <f t="shared" ca="1" si="297"/>
        <v xml:space="preserve"> </v>
      </c>
      <c r="X719" s="1069" t="str">
        <f t="shared" ca="1" si="297"/>
        <v xml:space="preserve"> </v>
      </c>
      <c r="Y719" s="1069" t="str">
        <f t="shared" ca="1" si="297"/>
        <v xml:space="preserve"> </v>
      </c>
      <c r="Z719" s="1069" t="str">
        <f t="shared" ca="1" si="297"/>
        <v xml:space="preserve"> </v>
      </c>
      <c r="AA719" s="1069" t="str">
        <f t="shared" ca="1" si="297"/>
        <v xml:space="preserve"> </v>
      </c>
    </row>
    <row r="720" spans="1:27" s="1069" customFormat="1" ht="9.9499999999999993" customHeight="1">
      <c r="A720" s="1069">
        <v>196</v>
      </c>
      <c r="D720" s="1069" t="str">
        <f t="shared" ref="D720:AA720" ca="1" si="298">IF(ISNUMBER(D719),IF(D719+2&lt;E$726,IF(ISNA(MATCH("Y",INDIRECT("Skills!"&amp;$C$523&amp;D719+1&amp;":"&amp;$C$523&amp;E$726),0))," ",MATCH("Y",INDIRECT("Skills!"&amp;$C$523&amp;D719+1&amp;":"&amp;$C$523&amp;E$726),0)+D719)," ")," ")</f>
        <v xml:space="preserve"> </v>
      </c>
      <c r="E720" s="1069" t="str">
        <f t="shared" ca="1" si="298"/>
        <v xml:space="preserve"> </v>
      </c>
      <c r="F720" s="1069" t="str">
        <f t="shared" ca="1" si="298"/>
        <v xml:space="preserve"> </v>
      </c>
      <c r="G720" s="1069" t="str">
        <f t="shared" ca="1" si="298"/>
        <v xml:space="preserve"> </v>
      </c>
      <c r="H720" s="1069" t="str">
        <f t="shared" ca="1" si="298"/>
        <v xml:space="preserve"> </v>
      </c>
      <c r="I720" s="1069" t="str">
        <f t="shared" ca="1" si="298"/>
        <v xml:space="preserve"> </v>
      </c>
      <c r="J720" s="1069" t="str">
        <f t="shared" ca="1" si="298"/>
        <v xml:space="preserve"> </v>
      </c>
      <c r="K720" s="1069" t="str">
        <f t="shared" ca="1" si="298"/>
        <v xml:space="preserve"> </v>
      </c>
      <c r="L720" s="1069" t="str">
        <f t="shared" ca="1" si="298"/>
        <v xml:space="preserve"> </v>
      </c>
      <c r="M720" s="1069" t="str">
        <f t="shared" ca="1" si="298"/>
        <v xml:space="preserve"> </v>
      </c>
      <c r="N720" s="1069" t="str">
        <f t="shared" ca="1" si="298"/>
        <v xml:space="preserve"> </v>
      </c>
      <c r="O720" s="1069" t="str">
        <f t="shared" ca="1" si="298"/>
        <v xml:space="preserve"> </v>
      </c>
      <c r="P720" s="1069" t="str">
        <f t="shared" ca="1" si="298"/>
        <v xml:space="preserve"> </v>
      </c>
      <c r="Q720" s="1069" t="str">
        <f t="shared" ca="1" si="298"/>
        <v xml:space="preserve"> </v>
      </c>
      <c r="R720" s="1069" t="str">
        <f t="shared" ca="1" si="298"/>
        <v xml:space="preserve"> </v>
      </c>
      <c r="S720" s="1069" t="str">
        <f t="shared" ca="1" si="298"/>
        <v xml:space="preserve"> </v>
      </c>
      <c r="T720" s="1069" t="str">
        <f t="shared" ca="1" si="298"/>
        <v xml:space="preserve"> </v>
      </c>
      <c r="U720" s="1069" t="str">
        <f t="shared" ca="1" si="298"/>
        <v xml:space="preserve"> </v>
      </c>
      <c r="V720" s="1069" t="str">
        <f t="shared" ca="1" si="298"/>
        <v xml:space="preserve"> </v>
      </c>
      <c r="W720" s="1069" t="str">
        <f t="shared" ca="1" si="298"/>
        <v xml:space="preserve"> </v>
      </c>
      <c r="X720" s="1069" t="str">
        <f t="shared" ca="1" si="298"/>
        <v xml:space="preserve"> </v>
      </c>
      <c r="Y720" s="1069" t="str">
        <f t="shared" ca="1" si="298"/>
        <v xml:space="preserve"> </v>
      </c>
      <c r="Z720" s="1069" t="str">
        <f t="shared" ca="1" si="298"/>
        <v xml:space="preserve"> </v>
      </c>
      <c r="AA720" s="1069" t="str">
        <f t="shared" ca="1" si="298"/>
        <v xml:space="preserve"> </v>
      </c>
    </row>
    <row r="721" spans="1:28" s="1069" customFormat="1" ht="9.9499999999999993" customHeight="1">
      <c r="A721" s="1069">
        <v>197</v>
      </c>
      <c r="D721" s="1069" t="str">
        <f t="shared" ref="D721:AA721" ca="1" si="299">IF(ISNUMBER(D720),IF(D720+2&lt;E$726,IF(ISNA(MATCH("Y",INDIRECT("Skills!"&amp;$C$523&amp;D720+1&amp;":"&amp;$C$523&amp;E$726),0))," ",MATCH("Y",INDIRECT("Skills!"&amp;$C$523&amp;D720+1&amp;":"&amp;$C$523&amp;E$726),0)+D720)," ")," ")</f>
        <v xml:space="preserve"> </v>
      </c>
      <c r="E721" s="1069" t="str">
        <f t="shared" ca="1" si="299"/>
        <v xml:space="preserve"> </v>
      </c>
      <c r="F721" s="1069" t="str">
        <f t="shared" ca="1" si="299"/>
        <v xml:space="preserve"> </v>
      </c>
      <c r="G721" s="1069" t="str">
        <f t="shared" ca="1" si="299"/>
        <v xml:space="preserve"> </v>
      </c>
      <c r="H721" s="1069" t="str">
        <f t="shared" ca="1" si="299"/>
        <v xml:space="preserve"> </v>
      </c>
      <c r="I721" s="1069" t="str">
        <f t="shared" ca="1" si="299"/>
        <v xml:space="preserve"> </v>
      </c>
      <c r="J721" s="1069" t="str">
        <f t="shared" ca="1" si="299"/>
        <v xml:space="preserve"> </v>
      </c>
      <c r="K721" s="1069" t="str">
        <f t="shared" ca="1" si="299"/>
        <v xml:space="preserve"> </v>
      </c>
      <c r="L721" s="1069" t="str">
        <f t="shared" ca="1" si="299"/>
        <v xml:space="preserve"> </v>
      </c>
      <c r="M721" s="1069" t="str">
        <f t="shared" ca="1" si="299"/>
        <v xml:space="preserve"> </v>
      </c>
      <c r="N721" s="1069" t="str">
        <f t="shared" ca="1" si="299"/>
        <v xml:space="preserve"> </v>
      </c>
      <c r="O721" s="1069" t="str">
        <f t="shared" ca="1" si="299"/>
        <v xml:space="preserve"> </v>
      </c>
      <c r="P721" s="1069" t="str">
        <f t="shared" ca="1" si="299"/>
        <v xml:space="preserve"> </v>
      </c>
      <c r="Q721" s="1069" t="str">
        <f t="shared" ca="1" si="299"/>
        <v xml:space="preserve"> </v>
      </c>
      <c r="R721" s="1069" t="str">
        <f t="shared" ca="1" si="299"/>
        <v xml:space="preserve"> </v>
      </c>
      <c r="S721" s="1069" t="str">
        <f t="shared" ca="1" si="299"/>
        <v xml:space="preserve"> </v>
      </c>
      <c r="T721" s="1069" t="str">
        <f t="shared" ca="1" si="299"/>
        <v xml:space="preserve"> </v>
      </c>
      <c r="U721" s="1069" t="str">
        <f t="shared" ca="1" si="299"/>
        <v xml:space="preserve"> </v>
      </c>
      <c r="V721" s="1069" t="str">
        <f t="shared" ca="1" si="299"/>
        <v xml:space="preserve"> </v>
      </c>
      <c r="W721" s="1069" t="str">
        <f t="shared" ca="1" si="299"/>
        <v xml:space="preserve"> </v>
      </c>
      <c r="X721" s="1069" t="str">
        <f t="shared" ca="1" si="299"/>
        <v xml:space="preserve"> </v>
      </c>
      <c r="Y721" s="1069" t="str">
        <f t="shared" ca="1" si="299"/>
        <v xml:space="preserve"> </v>
      </c>
      <c r="Z721" s="1069" t="str">
        <f t="shared" ca="1" si="299"/>
        <v xml:space="preserve"> </v>
      </c>
      <c r="AA721" s="1069" t="str">
        <f t="shared" ca="1" si="299"/>
        <v xml:space="preserve"> </v>
      </c>
    </row>
    <row r="722" spans="1:28" s="1069" customFormat="1" ht="9.9499999999999993" customHeight="1">
      <c r="A722" s="1069">
        <v>198</v>
      </c>
      <c r="D722" s="1069" t="str">
        <f t="shared" ref="D722:AA722" ca="1" si="300">IF(ISNUMBER(D721),IF(D721+2&lt;E$726,IF(ISNA(MATCH("Y",INDIRECT("Skills!"&amp;$C$523&amp;D721+1&amp;":"&amp;$C$523&amp;E$726),0))," ",MATCH("Y",INDIRECT("Skills!"&amp;$C$523&amp;D721+1&amp;":"&amp;$C$523&amp;E$726),0)+D721)," ")," ")</f>
        <v xml:space="preserve"> </v>
      </c>
      <c r="E722" s="1069" t="str">
        <f t="shared" ca="1" si="300"/>
        <v xml:space="preserve"> </v>
      </c>
      <c r="F722" s="1069" t="str">
        <f t="shared" ca="1" si="300"/>
        <v xml:space="preserve"> </v>
      </c>
      <c r="G722" s="1069" t="str">
        <f t="shared" ca="1" si="300"/>
        <v xml:space="preserve"> </v>
      </c>
      <c r="H722" s="1069" t="str">
        <f t="shared" ca="1" si="300"/>
        <v xml:space="preserve"> </v>
      </c>
      <c r="I722" s="1069" t="str">
        <f t="shared" ca="1" si="300"/>
        <v xml:space="preserve"> </v>
      </c>
      <c r="J722" s="1069" t="str">
        <f t="shared" ca="1" si="300"/>
        <v xml:space="preserve"> </v>
      </c>
      <c r="K722" s="1069" t="str">
        <f t="shared" ca="1" si="300"/>
        <v xml:space="preserve"> </v>
      </c>
      <c r="L722" s="1069" t="str">
        <f t="shared" ca="1" si="300"/>
        <v xml:space="preserve"> </v>
      </c>
      <c r="M722" s="1069" t="str">
        <f t="shared" ca="1" si="300"/>
        <v xml:space="preserve"> </v>
      </c>
      <c r="N722" s="1069" t="str">
        <f t="shared" ca="1" si="300"/>
        <v xml:space="preserve"> </v>
      </c>
      <c r="O722" s="1069" t="str">
        <f t="shared" ca="1" si="300"/>
        <v xml:space="preserve"> </v>
      </c>
      <c r="P722" s="1069" t="str">
        <f t="shared" ca="1" si="300"/>
        <v xml:space="preserve"> </v>
      </c>
      <c r="Q722" s="1069" t="str">
        <f t="shared" ca="1" si="300"/>
        <v xml:space="preserve"> </v>
      </c>
      <c r="R722" s="1069" t="str">
        <f t="shared" ca="1" si="300"/>
        <v xml:space="preserve"> </v>
      </c>
      <c r="S722" s="1069" t="str">
        <f t="shared" ca="1" si="300"/>
        <v xml:space="preserve"> </v>
      </c>
      <c r="T722" s="1069" t="str">
        <f t="shared" ca="1" si="300"/>
        <v xml:space="preserve"> </v>
      </c>
      <c r="U722" s="1069" t="str">
        <f t="shared" ca="1" si="300"/>
        <v xml:space="preserve"> </v>
      </c>
      <c r="V722" s="1069" t="str">
        <f t="shared" ca="1" si="300"/>
        <v xml:space="preserve"> </v>
      </c>
      <c r="W722" s="1069" t="str">
        <f t="shared" ca="1" si="300"/>
        <v xml:space="preserve"> </v>
      </c>
      <c r="X722" s="1069" t="str">
        <f t="shared" ca="1" si="300"/>
        <v xml:space="preserve"> </v>
      </c>
      <c r="Y722" s="1069" t="str">
        <f t="shared" ca="1" si="300"/>
        <v xml:space="preserve"> </v>
      </c>
      <c r="Z722" s="1069" t="str">
        <f t="shared" ca="1" si="300"/>
        <v xml:space="preserve"> </v>
      </c>
      <c r="AA722" s="1069" t="str">
        <f t="shared" ca="1" si="300"/>
        <v xml:space="preserve"> </v>
      </c>
    </row>
    <row r="723" spans="1:28" s="1069" customFormat="1" ht="9.9499999999999993" customHeight="1">
      <c r="A723" s="1069">
        <v>199</v>
      </c>
      <c r="D723" s="1069" t="str">
        <f t="shared" ref="D723:AA723" ca="1" si="301">IF(ISNUMBER(D722),IF(D722+2&lt;E$726,IF(ISNA(MATCH("Y",INDIRECT("Skills!"&amp;$C$523&amp;D722+1&amp;":"&amp;$C$523&amp;E$726),0))," ",MATCH("Y",INDIRECT("Skills!"&amp;$C$523&amp;D722+1&amp;":"&amp;$C$523&amp;E$726),0)+D722)," ")," ")</f>
        <v xml:space="preserve"> </v>
      </c>
      <c r="E723" s="1069" t="str">
        <f t="shared" ca="1" si="301"/>
        <v xml:space="preserve"> </v>
      </c>
      <c r="F723" s="1069" t="str">
        <f t="shared" ca="1" si="301"/>
        <v xml:space="preserve"> </v>
      </c>
      <c r="G723" s="1069" t="str">
        <f t="shared" ca="1" si="301"/>
        <v xml:space="preserve"> </v>
      </c>
      <c r="H723" s="1069" t="str">
        <f t="shared" ca="1" si="301"/>
        <v xml:space="preserve"> </v>
      </c>
      <c r="I723" s="1069" t="str">
        <f t="shared" ca="1" si="301"/>
        <v xml:space="preserve"> </v>
      </c>
      <c r="J723" s="1069" t="str">
        <f t="shared" ca="1" si="301"/>
        <v xml:space="preserve"> </v>
      </c>
      <c r="K723" s="1069" t="str">
        <f t="shared" ca="1" si="301"/>
        <v xml:space="preserve"> </v>
      </c>
      <c r="L723" s="1069" t="str">
        <f t="shared" ca="1" si="301"/>
        <v xml:space="preserve"> </v>
      </c>
      <c r="M723" s="1069" t="str">
        <f t="shared" ca="1" si="301"/>
        <v xml:space="preserve"> </v>
      </c>
      <c r="N723" s="1069" t="str">
        <f t="shared" ca="1" si="301"/>
        <v xml:space="preserve"> </v>
      </c>
      <c r="O723" s="1069" t="str">
        <f t="shared" ca="1" si="301"/>
        <v xml:space="preserve"> </v>
      </c>
      <c r="P723" s="1069" t="str">
        <f t="shared" ca="1" si="301"/>
        <v xml:space="preserve"> </v>
      </c>
      <c r="Q723" s="1069" t="str">
        <f t="shared" ca="1" si="301"/>
        <v xml:space="preserve"> </v>
      </c>
      <c r="R723" s="1069" t="str">
        <f t="shared" ca="1" si="301"/>
        <v xml:space="preserve"> </v>
      </c>
      <c r="S723" s="1069" t="str">
        <f t="shared" ca="1" si="301"/>
        <v xml:space="preserve"> </v>
      </c>
      <c r="T723" s="1069" t="str">
        <f t="shared" ca="1" si="301"/>
        <v xml:space="preserve"> </v>
      </c>
      <c r="U723" s="1069" t="str">
        <f t="shared" ca="1" si="301"/>
        <v xml:space="preserve"> </v>
      </c>
      <c r="V723" s="1069" t="str">
        <f t="shared" ca="1" si="301"/>
        <v xml:space="preserve"> </v>
      </c>
      <c r="W723" s="1069" t="str">
        <f t="shared" ca="1" si="301"/>
        <v xml:space="preserve"> </v>
      </c>
      <c r="X723" s="1069" t="str">
        <f t="shared" ca="1" si="301"/>
        <v xml:space="preserve"> </v>
      </c>
      <c r="Y723" s="1069" t="str">
        <f t="shared" ca="1" si="301"/>
        <v xml:space="preserve"> </v>
      </c>
      <c r="Z723" s="1069" t="str">
        <f t="shared" ca="1" si="301"/>
        <v xml:space="preserve"> </v>
      </c>
      <c r="AA723" s="1069" t="str">
        <f t="shared" ca="1" si="301"/>
        <v xml:space="preserve"> </v>
      </c>
    </row>
    <row r="724" spans="1:28" s="1069" customFormat="1" ht="9.9499999999999993" customHeight="1">
      <c r="A724" s="1069">
        <v>200</v>
      </c>
      <c r="D724" s="1069" t="str">
        <f t="shared" ref="D724:AA724" ca="1" si="302">IF(ISNUMBER(D723),IF(D723+2&lt;E$726,IF(ISNA(MATCH("Y",INDIRECT("Skills!"&amp;$C$523&amp;D723+1&amp;":"&amp;$C$523&amp;E$726),0))," ",MATCH("Y",INDIRECT("Skills!"&amp;$C$523&amp;D723+1&amp;":"&amp;$C$523&amp;E$726),0)+D723)," ")," ")</f>
        <v xml:space="preserve"> </v>
      </c>
      <c r="E724" s="1069" t="str">
        <f t="shared" ca="1" si="302"/>
        <v xml:space="preserve"> </v>
      </c>
      <c r="F724" s="1069" t="str">
        <f t="shared" ca="1" si="302"/>
        <v xml:space="preserve"> </v>
      </c>
      <c r="G724" s="1069" t="str">
        <f t="shared" ca="1" si="302"/>
        <v xml:space="preserve"> </v>
      </c>
      <c r="H724" s="1069" t="str">
        <f t="shared" ca="1" si="302"/>
        <v xml:space="preserve"> </v>
      </c>
      <c r="I724" s="1069" t="str">
        <f t="shared" ca="1" si="302"/>
        <v xml:space="preserve"> </v>
      </c>
      <c r="J724" s="1069" t="str">
        <f t="shared" ca="1" si="302"/>
        <v xml:space="preserve"> </v>
      </c>
      <c r="K724" s="1069" t="str">
        <f t="shared" ca="1" si="302"/>
        <v xml:space="preserve"> </v>
      </c>
      <c r="L724" s="1069" t="str">
        <f t="shared" ca="1" si="302"/>
        <v xml:space="preserve"> </v>
      </c>
      <c r="M724" s="1069" t="str">
        <f t="shared" ca="1" si="302"/>
        <v xml:space="preserve"> </v>
      </c>
      <c r="N724" s="1069" t="str">
        <f t="shared" ca="1" si="302"/>
        <v xml:space="preserve"> </v>
      </c>
      <c r="O724" s="1069" t="str">
        <f t="shared" ca="1" si="302"/>
        <v xml:space="preserve"> </v>
      </c>
      <c r="P724" s="1069" t="str">
        <f t="shared" ca="1" si="302"/>
        <v xml:space="preserve"> </v>
      </c>
      <c r="Q724" s="1069" t="str">
        <f t="shared" ca="1" si="302"/>
        <v xml:space="preserve"> </v>
      </c>
      <c r="R724" s="1069" t="str">
        <f t="shared" ca="1" si="302"/>
        <v xml:space="preserve"> </v>
      </c>
      <c r="S724" s="1069" t="str">
        <f t="shared" ca="1" si="302"/>
        <v xml:space="preserve"> </v>
      </c>
      <c r="T724" s="1069" t="str">
        <f t="shared" ca="1" si="302"/>
        <v xml:space="preserve"> </v>
      </c>
      <c r="U724" s="1069" t="str">
        <f t="shared" ca="1" si="302"/>
        <v xml:space="preserve"> </v>
      </c>
      <c r="V724" s="1069" t="str">
        <f t="shared" ca="1" si="302"/>
        <v xml:space="preserve"> </v>
      </c>
      <c r="W724" s="1069" t="str">
        <f t="shared" ca="1" si="302"/>
        <v xml:space="preserve"> </v>
      </c>
      <c r="X724" s="1069" t="str">
        <f t="shared" ca="1" si="302"/>
        <v xml:space="preserve"> </v>
      </c>
      <c r="Y724" s="1069" t="str">
        <f t="shared" ca="1" si="302"/>
        <v xml:space="preserve"> </v>
      </c>
      <c r="Z724" s="1069" t="str">
        <f t="shared" ca="1" si="302"/>
        <v xml:space="preserve"> </v>
      </c>
      <c r="AA724" s="1069" t="str">
        <f t="shared" ca="1" si="302"/>
        <v xml:space="preserve"> </v>
      </c>
    </row>
    <row r="725" spans="1:28" ht="9.9499999999999993" customHeight="1">
      <c r="D725" s="598" t="s">
        <v>1989</v>
      </c>
      <c r="E725" s="598" t="s">
        <v>1943</v>
      </c>
      <c r="F725" s="598" t="s">
        <v>1838</v>
      </c>
      <c r="G725" s="598" t="s">
        <v>10</v>
      </c>
      <c r="H725" s="598" t="s">
        <v>2246</v>
      </c>
      <c r="I725" s="598" t="s">
        <v>1154</v>
      </c>
      <c r="J725" s="598" t="s">
        <v>2104</v>
      </c>
      <c r="K725" s="598" t="s">
        <v>2469</v>
      </c>
      <c r="L725" s="598" t="s">
        <v>347</v>
      </c>
      <c r="M725" s="598" t="s">
        <v>2650</v>
      </c>
      <c r="N725" s="598" t="s">
        <v>2105</v>
      </c>
      <c r="O725" s="598" t="s">
        <v>1445</v>
      </c>
      <c r="P725" s="598" t="s">
        <v>5709</v>
      </c>
      <c r="Q725" s="598" t="s">
        <v>5122</v>
      </c>
      <c r="R725" s="598" t="s">
        <v>5708</v>
      </c>
      <c r="S725" s="598" t="s">
        <v>3515</v>
      </c>
      <c r="T725" s="598" t="s">
        <v>2155</v>
      </c>
      <c r="U725" s="598" t="s">
        <v>2159</v>
      </c>
      <c r="V725" s="598" t="s">
        <v>574</v>
      </c>
      <c r="W725" s="598" t="s">
        <v>577</v>
      </c>
      <c r="X725" s="598" t="s">
        <v>3165</v>
      </c>
      <c r="Y725" s="1069" t="s">
        <v>6175</v>
      </c>
      <c r="Z725" s="1066" t="s">
        <v>3539</v>
      </c>
      <c r="AA725" s="1066" t="s">
        <v>5627</v>
      </c>
      <c r="AB725" s="1066" t="s">
        <v>5676</v>
      </c>
    </row>
    <row r="726" spans="1:28" ht="9.9499999999999993" customHeight="1">
      <c r="C726" s="598">
        <v>1</v>
      </c>
      <c r="D726" s="1069">
        <f ca="1">MATCH(D725,INDIRECT("Skills!$"&amp;$B$523&amp;"$5:$"&amp;$B$523&amp;"$"&amp;$AB$525),0)+4</f>
        <v>5</v>
      </c>
      <c r="E726" s="1069">
        <f t="shared" ref="E726:AA726" ca="1" si="303">MATCH(E725,INDIRECT("Skills!$"&amp;$B$523&amp;"$5:$"&amp;$B$523&amp;"$"&amp;$AB$525),0)+4</f>
        <v>15</v>
      </c>
      <c r="F726" s="1069">
        <f t="shared" ca="1" si="303"/>
        <v>58</v>
      </c>
      <c r="G726" s="1069">
        <f t="shared" ca="1" si="303"/>
        <v>106</v>
      </c>
      <c r="H726" s="1069">
        <f t="shared" ca="1" si="303"/>
        <v>130</v>
      </c>
      <c r="I726" s="1069">
        <f t="shared" ca="1" si="303"/>
        <v>150</v>
      </c>
      <c r="J726" s="1069">
        <f t="shared" ca="1" si="303"/>
        <v>213</v>
      </c>
      <c r="K726" s="1069">
        <f t="shared" ca="1" si="303"/>
        <v>235</v>
      </c>
      <c r="L726" s="1069">
        <f t="shared" ca="1" si="303"/>
        <v>298</v>
      </c>
      <c r="M726" s="1069">
        <f t="shared" ca="1" si="303"/>
        <v>392</v>
      </c>
      <c r="N726" s="1069">
        <f t="shared" ca="1" si="303"/>
        <v>472</v>
      </c>
      <c r="O726" s="1069">
        <f t="shared" ca="1" si="303"/>
        <v>553</v>
      </c>
      <c r="P726" s="1069">
        <f t="shared" ca="1" si="303"/>
        <v>587</v>
      </c>
      <c r="Q726" s="1069">
        <f t="shared" ca="1" si="303"/>
        <v>743</v>
      </c>
      <c r="R726" s="1069">
        <f t="shared" ca="1" si="303"/>
        <v>781</v>
      </c>
      <c r="S726" s="1069">
        <f t="shared" ca="1" si="303"/>
        <v>790</v>
      </c>
      <c r="T726" s="1069">
        <f t="shared" ca="1" si="303"/>
        <v>801</v>
      </c>
      <c r="U726" s="1069">
        <f t="shared" ca="1" si="303"/>
        <v>808</v>
      </c>
      <c r="V726" s="1069">
        <f t="shared" ca="1" si="303"/>
        <v>837</v>
      </c>
      <c r="W726" s="1069">
        <f t="shared" ca="1" si="303"/>
        <v>848</v>
      </c>
      <c r="X726" s="1069">
        <f t="shared" ca="1" si="303"/>
        <v>857</v>
      </c>
      <c r="Y726" s="1069">
        <f t="shared" ca="1" si="303"/>
        <v>878</v>
      </c>
      <c r="Z726" s="1069">
        <f t="shared" ca="1" si="303"/>
        <v>886</v>
      </c>
      <c r="AA726" s="1069">
        <f t="shared" ca="1" si="303"/>
        <v>897</v>
      </c>
      <c r="AB726" s="1069">
        <f>MATCH(AB725,Skills!$BC$5:$BC$1988,0)+4</f>
        <v>909</v>
      </c>
    </row>
  </sheetData>
  <phoneticPr fontId="17" type="noConversion"/>
  <pageMargins left="0.75" right="0.75" top="1" bottom="1" header="0.5" footer="0.5"/>
  <pageSetup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sheetPr codeName="Sheet9">
    <tabColor rgb="FF0070C0"/>
  </sheetPr>
  <dimension ref="A1:DK264"/>
  <sheetViews>
    <sheetView workbookViewId="0">
      <pane xSplit="2" ySplit="3" topLeftCell="F223" activePane="bottomRight" state="frozen"/>
      <selection activeCell="A2" sqref="A2"/>
      <selection pane="topRight" activeCell="A2" sqref="A2"/>
      <selection pane="bottomLeft" activeCell="A2" sqref="A2"/>
      <selection pane="bottomRight" activeCell="A2" sqref="A2"/>
    </sheetView>
  </sheetViews>
  <sheetFormatPr defaultColWidth="9.140625" defaultRowHeight="12" outlineLevelRow="4" outlineLevelCol="1"/>
  <cols>
    <col min="1" max="1" width="3" style="602" customWidth="1"/>
    <col min="2" max="2" width="13.7109375" style="613" customWidth="1"/>
    <col min="3" max="3" width="3.7109375" style="608" hidden="1" customWidth="1" outlineLevel="1"/>
    <col min="4" max="4" width="3.7109375" style="873" hidden="1" customWidth="1" outlineLevel="1"/>
    <col min="5" max="5" width="4" style="602" hidden="1" customWidth="1" outlineLevel="1"/>
    <col min="6" max="6" width="3.7109375" style="608" customWidth="1" collapsed="1"/>
    <col min="7" max="9" width="3.7109375" style="873" customWidth="1"/>
    <col min="10" max="10" width="4.7109375" style="608" bestFit="1" customWidth="1"/>
    <col min="11" max="11" width="3.7109375" style="608" customWidth="1"/>
    <col min="12" max="12" width="3.7109375" style="614" customWidth="1"/>
    <col min="13" max="13" width="3.7109375" style="602" customWidth="1"/>
    <col min="14" max="14" width="5.5703125" style="885" bestFit="1" customWidth="1"/>
    <col min="15" max="15" width="5.85546875" style="608" bestFit="1" customWidth="1"/>
    <col min="16" max="16" width="4.7109375" style="608" customWidth="1"/>
    <col min="17" max="17" width="4.7109375" style="608" hidden="1" customWidth="1" outlineLevel="1"/>
    <col min="18" max="19" width="4.7109375" style="602" hidden="1" customWidth="1" outlineLevel="1"/>
    <col min="20" max="20" width="4.7109375" style="608" hidden="1" customWidth="1" outlineLevel="1"/>
    <col min="21" max="21" width="4.5703125" style="608" hidden="1" customWidth="1" outlineLevel="1"/>
    <col min="22" max="22" width="5.42578125" style="608" hidden="1" customWidth="1" outlineLevel="1"/>
    <col min="23" max="23" width="5.140625" style="608" bestFit="1" customWidth="1" collapsed="1"/>
    <col min="24" max="24" width="6.28515625" style="608" bestFit="1" customWidth="1"/>
    <col min="25" max="25" width="6.5703125" style="608" bestFit="1" customWidth="1"/>
    <col min="26" max="26" width="6" style="608" bestFit="1" customWidth="1"/>
    <col min="27" max="27" width="19.7109375" style="608" bestFit="1" customWidth="1"/>
    <col min="28" max="28" width="5.85546875" style="602" customWidth="1" outlineLevel="1"/>
    <col min="29" max="29" width="5" style="602" customWidth="1" outlineLevel="1"/>
    <col min="30" max="30" width="5.42578125" style="602" customWidth="1" outlineLevel="1"/>
    <col min="31" max="31" width="5.85546875" style="608" bestFit="1" customWidth="1"/>
    <col min="32" max="32" width="5.85546875" style="608" customWidth="1" outlineLevel="1"/>
    <col min="33" max="33" width="4.28515625" style="608" customWidth="1" outlineLevel="1"/>
    <col min="34" max="34" width="5.42578125" style="608" customWidth="1" outlineLevel="1"/>
    <col min="35" max="35" width="5.85546875" style="608" bestFit="1" customWidth="1"/>
    <col min="36" max="36" width="5.7109375" style="608" customWidth="1" outlineLevel="1"/>
    <col min="37" max="37" width="4.28515625" style="608" customWidth="1" outlineLevel="1"/>
    <col min="38" max="38" width="5.42578125" style="608" customWidth="1" outlineLevel="1"/>
    <col min="39" max="39" width="3.85546875" style="608" bestFit="1" customWidth="1"/>
    <col min="40" max="40" width="5.7109375" style="608" customWidth="1" outlineLevel="1"/>
    <col min="41" max="41" width="4.28515625" style="608" customWidth="1" outlineLevel="1"/>
    <col min="42" max="42" width="5.42578125" style="608" customWidth="1" outlineLevel="1"/>
    <col min="43" max="43" width="4.28515625" style="608" bestFit="1" customWidth="1"/>
    <col min="44" max="44" width="5.7109375" style="608" customWidth="1" outlineLevel="1"/>
    <col min="45" max="45" width="4.28515625" style="608" customWidth="1" outlineLevel="1"/>
    <col min="46" max="46" width="5.42578125" style="608" customWidth="1" outlineLevel="1"/>
    <col min="47" max="47" width="4.28515625" style="608" bestFit="1" customWidth="1"/>
    <col min="48" max="48" width="4.7109375" style="608" bestFit="1" customWidth="1"/>
    <col min="49" max="51" width="4.7109375" style="608" customWidth="1"/>
    <col min="52" max="56" width="4" style="608" customWidth="1"/>
    <col min="57" max="57" width="3.85546875" style="608" customWidth="1"/>
    <col min="58" max="58" width="4" style="608" customWidth="1"/>
    <col min="59" max="59" width="1.7109375" style="608" customWidth="1"/>
    <col min="60" max="60" width="4" style="608" customWidth="1"/>
    <col min="61" max="61" width="4.7109375" style="608" customWidth="1"/>
    <col min="62" max="62" width="5.7109375" style="608" customWidth="1"/>
    <col min="63" max="63" width="10.5703125" style="608" customWidth="1"/>
    <col min="64" max="69" width="9.140625" style="608" customWidth="1"/>
    <col min="70" max="70" width="9.140625" style="752" customWidth="1"/>
    <col min="71" max="84" width="9.140625" style="608" customWidth="1"/>
    <col min="85" max="85" width="1.7109375" style="608" customWidth="1"/>
    <col min="86" max="115" width="9.140625" style="608"/>
    <col min="116" max="16384" width="9.140625" style="602"/>
  </cols>
  <sheetData>
    <row r="1" spans="1:115" ht="20.25" customHeight="1">
      <c r="A1" s="602">
        <v>0</v>
      </c>
      <c r="B1" s="1222" t="s">
        <v>5623</v>
      </c>
      <c r="C1" s="1223"/>
      <c r="D1" s="1223"/>
      <c r="E1" s="1223"/>
      <c r="F1" s="1223"/>
      <c r="G1" s="1223"/>
      <c r="H1" s="1223"/>
      <c r="I1" s="1223"/>
      <c r="J1" s="1223"/>
      <c r="K1" s="1223"/>
      <c r="L1" s="1223"/>
      <c r="M1" s="1223"/>
      <c r="N1" s="1223"/>
      <c r="O1" s="1223"/>
      <c r="P1" s="1223"/>
      <c r="Q1" s="1223"/>
      <c r="R1" s="1223"/>
      <c r="S1" s="1223"/>
      <c r="T1" s="1223"/>
      <c r="U1" s="1223"/>
      <c r="V1" s="1223"/>
      <c r="W1" s="1223"/>
      <c r="X1" s="1223"/>
      <c r="Y1" s="1223"/>
      <c r="Z1" s="1223"/>
      <c r="AA1" s="1223"/>
      <c r="AB1" s="1223"/>
      <c r="AC1" s="1223"/>
      <c r="AD1" s="1223"/>
      <c r="AE1" s="1223"/>
      <c r="AF1" s="1223"/>
      <c r="AG1" s="1223"/>
      <c r="AH1" s="1223"/>
      <c r="AI1" s="1223"/>
      <c r="AJ1" s="1223"/>
      <c r="AK1" s="1223"/>
      <c r="AL1" s="1223"/>
      <c r="AM1" s="1223"/>
      <c r="AN1" s="1223"/>
      <c r="AO1" s="1223"/>
      <c r="AP1" s="1223"/>
      <c r="AQ1" s="1223"/>
      <c r="AR1" s="1223"/>
      <c r="AS1" s="1223"/>
      <c r="AT1" s="1223"/>
      <c r="AU1" s="1223"/>
      <c r="AV1" s="667">
        <v>28</v>
      </c>
    </row>
    <row r="2" spans="1:115" ht="11.1" customHeight="1">
      <c r="A2" s="602">
        <v>1</v>
      </c>
      <c r="B2" s="753" t="s">
        <v>2000</v>
      </c>
      <c r="C2" s="706" t="s">
        <v>5544</v>
      </c>
      <c r="D2" s="754" t="s">
        <v>2743</v>
      </c>
      <c r="E2" s="755" t="s">
        <v>942</v>
      </c>
      <c r="F2" s="756" t="s">
        <v>5043</v>
      </c>
      <c r="G2" s="757" t="s">
        <v>3854</v>
      </c>
      <c r="H2" s="757" t="s">
        <v>2742</v>
      </c>
      <c r="I2" s="757" t="s">
        <v>3854</v>
      </c>
      <c r="J2" s="758" t="s">
        <v>4720</v>
      </c>
      <c r="K2" s="706" t="s">
        <v>3615</v>
      </c>
      <c r="L2" s="706" t="s">
        <v>940</v>
      </c>
      <c r="M2" s="706" t="s">
        <v>2525</v>
      </c>
      <c r="N2" s="706" t="s">
        <v>3807</v>
      </c>
      <c r="O2" s="758" t="s">
        <v>1281</v>
      </c>
      <c r="P2" s="706" t="s">
        <v>1160</v>
      </c>
      <c r="Q2" s="706" t="s">
        <v>3264</v>
      </c>
      <c r="R2" s="706" t="s">
        <v>1279</v>
      </c>
      <c r="S2" s="706"/>
      <c r="T2" s="706"/>
      <c r="U2" s="706"/>
      <c r="V2" s="758" t="s">
        <v>2268</v>
      </c>
      <c r="W2" s="758"/>
      <c r="X2" s="759"/>
      <c r="Y2" s="706" t="s">
        <v>2525</v>
      </c>
      <c r="Z2" s="706" t="s">
        <v>5512</v>
      </c>
      <c r="AA2" s="602"/>
      <c r="AB2" s="608"/>
      <c r="AC2" s="608"/>
      <c r="AD2" s="608"/>
      <c r="AK2" s="609"/>
      <c r="AL2" s="609"/>
      <c r="AM2" s="609"/>
      <c r="AN2" s="609"/>
      <c r="AO2" s="609"/>
      <c r="AP2" s="609"/>
      <c r="AQ2" s="609"/>
      <c r="AR2" s="609"/>
      <c r="AS2" s="609"/>
      <c r="AT2" s="609"/>
      <c r="AU2" s="609"/>
      <c r="AV2" s="609"/>
      <c r="AW2" s="609"/>
      <c r="DJ2" s="602"/>
      <c r="DK2" s="602"/>
    </row>
    <row r="3" spans="1:115" ht="11.1" customHeight="1">
      <c r="A3" s="602">
        <v>2</v>
      </c>
      <c r="B3" s="753" t="s">
        <v>3033</v>
      </c>
      <c r="C3" s="683" t="s">
        <v>4270</v>
      </c>
      <c r="D3" s="760" t="s">
        <v>3350</v>
      </c>
      <c r="E3" s="761" t="s">
        <v>3349</v>
      </c>
      <c r="F3" s="762" t="s">
        <v>4326</v>
      </c>
      <c r="G3" s="760" t="s">
        <v>2743</v>
      </c>
      <c r="H3" s="760" t="s">
        <v>5217</v>
      </c>
      <c r="I3" s="760" t="s">
        <v>4327</v>
      </c>
      <c r="J3" s="761" t="s">
        <v>4721</v>
      </c>
      <c r="K3" s="683" t="s">
        <v>2524</v>
      </c>
      <c r="L3" s="683" t="s">
        <v>1281</v>
      </c>
      <c r="M3" s="683" t="s">
        <v>2524</v>
      </c>
      <c r="N3" s="683" t="s">
        <v>1281</v>
      </c>
      <c r="O3" s="761" t="s">
        <v>941</v>
      </c>
      <c r="P3" s="683" t="s">
        <v>1297</v>
      </c>
      <c r="Q3" s="683"/>
      <c r="R3" s="683" t="s">
        <v>1280</v>
      </c>
      <c r="S3" s="683" t="s">
        <v>3005</v>
      </c>
      <c r="T3" s="683" t="s">
        <v>3046</v>
      </c>
      <c r="U3" s="683" t="s">
        <v>2269</v>
      </c>
      <c r="V3" s="761" t="s">
        <v>3006</v>
      </c>
      <c r="W3" s="761" t="s">
        <v>3047</v>
      </c>
      <c r="X3" s="763" t="s">
        <v>1988</v>
      </c>
      <c r="Y3" s="683" t="s">
        <v>3142</v>
      </c>
      <c r="Z3" s="683" t="s">
        <v>3142</v>
      </c>
      <c r="AA3" s="602"/>
      <c r="AK3" s="609"/>
      <c r="AL3" s="609"/>
      <c r="AM3" s="609"/>
      <c r="AN3" s="609"/>
      <c r="AO3" s="609"/>
      <c r="AP3" s="609"/>
      <c r="AQ3" s="609"/>
      <c r="AR3" s="609"/>
      <c r="AS3" s="609"/>
      <c r="AT3" s="609"/>
      <c r="AU3" s="609"/>
      <c r="AV3" s="609"/>
      <c r="AW3" s="609"/>
      <c r="BK3" s="764">
        <v>0</v>
      </c>
      <c r="BL3" s="765">
        <v>26</v>
      </c>
      <c r="BM3" s="765">
        <v>46</v>
      </c>
      <c r="BN3" s="765">
        <v>61</v>
      </c>
      <c r="BO3" s="608">
        <v>71</v>
      </c>
      <c r="BP3" s="765">
        <v>81</v>
      </c>
      <c r="BQ3" s="765">
        <v>1</v>
      </c>
      <c r="BR3" s="766">
        <v>2</v>
      </c>
      <c r="BS3" s="765">
        <v>3</v>
      </c>
      <c r="BT3" s="608">
        <v>4</v>
      </c>
      <c r="BU3" s="608">
        <v>5</v>
      </c>
      <c r="BV3" s="608">
        <v>6</v>
      </c>
      <c r="BW3" s="608">
        <v>7</v>
      </c>
      <c r="BX3" s="608">
        <v>8</v>
      </c>
      <c r="BY3" s="608">
        <v>9</v>
      </c>
      <c r="BZ3" s="608">
        <v>10</v>
      </c>
      <c r="CA3" s="608">
        <v>11</v>
      </c>
      <c r="DJ3" s="602"/>
      <c r="DK3" s="602"/>
    </row>
    <row r="4" spans="1:115" ht="8.25" customHeight="1" outlineLevel="1">
      <c r="A4" s="602">
        <v>3</v>
      </c>
      <c r="B4" s="767" t="s">
        <v>4650</v>
      </c>
      <c r="C4" s="629"/>
      <c r="D4" s="768"/>
      <c r="E4" s="769"/>
      <c r="F4" s="770"/>
      <c r="G4" s="768"/>
      <c r="H4" s="771"/>
      <c r="I4" s="768"/>
      <c r="J4" s="769"/>
      <c r="K4" s="629"/>
      <c r="L4" s="629"/>
      <c r="M4" s="629"/>
      <c r="N4" s="629"/>
      <c r="O4" s="769"/>
      <c r="P4" s="629"/>
      <c r="Q4" s="629"/>
      <c r="R4" s="629"/>
      <c r="S4" s="629"/>
      <c r="T4" s="629"/>
      <c r="U4" s="629"/>
      <c r="V4" s="769"/>
      <c r="W4" s="769"/>
      <c r="X4" s="772"/>
      <c r="Y4" s="629"/>
      <c r="Z4" s="629"/>
      <c r="AA4" s="602"/>
      <c r="AK4" s="609"/>
      <c r="AL4" s="609"/>
      <c r="AM4" s="609"/>
      <c r="AN4" s="609"/>
      <c r="AO4" s="609"/>
      <c r="AP4" s="609"/>
      <c r="AQ4" s="609"/>
      <c r="AR4" s="609"/>
      <c r="AS4" s="609"/>
      <c r="AT4" s="609"/>
      <c r="AU4" s="609"/>
      <c r="AV4" s="609"/>
      <c r="AW4" s="609"/>
      <c r="BJ4" s="608" t="s">
        <v>3437</v>
      </c>
      <c r="BK4" s="765">
        <v>5</v>
      </c>
      <c r="BL4" s="765">
        <v>5</v>
      </c>
      <c r="BM4" s="765">
        <v>4</v>
      </c>
      <c r="BN4" s="765">
        <v>4</v>
      </c>
      <c r="BO4" s="765">
        <v>3</v>
      </c>
      <c r="BP4" s="765">
        <v>2</v>
      </c>
      <c r="BQ4" s="765"/>
      <c r="BR4" s="766"/>
      <c r="BS4" s="765"/>
      <c r="DJ4" s="602"/>
      <c r="DK4" s="602"/>
    </row>
    <row r="5" spans="1:115" ht="11.1" customHeight="1" outlineLevel="2">
      <c r="A5" s="602">
        <v>4</v>
      </c>
      <c r="B5" s="773" t="s">
        <v>1318</v>
      </c>
      <c r="C5" s="629">
        <v>3</v>
      </c>
      <c r="D5" s="768">
        <v>4</v>
      </c>
      <c r="E5" s="769" t="s">
        <v>1319</v>
      </c>
      <c r="F5" s="649"/>
      <c r="G5" s="768">
        <f>F5*D5</f>
        <v>0</v>
      </c>
      <c r="H5" s="771">
        <v>480</v>
      </c>
      <c r="I5" s="771">
        <f>H5*F5</f>
        <v>0</v>
      </c>
      <c r="J5" s="769" t="s">
        <v>2763</v>
      </c>
      <c r="K5" s="774">
        <f>IF(J5&lt;&gt;"L",'Main Creation Page'!$AF$11,'Main Creation Page'!$AG$11)</f>
        <v>10</v>
      </c>
      <c r="L5" s="629">
        <v>5</v>
      </c>
      <c r="M5" s="629">
        <f>IF(ISNA(VLOOKUP(T5,$BJ$44:$BN$58,4)),0,VLOOKUP(T5,$BJ$44:$BN$58,4))</f>
        <v>0</v>
      </c>
      <c r="N5" s="620">
        <f>K5+L5+M5</f>
        <v>15</v>
      </c>
      <c r="O5" s="769" t="s">
        <v>1333</v>
      </c>
      <c r="P5" s="775">
        <f ca="1">1+Skills!$AE$166</f>
        <v>1</v>
      </c>
      <c r="Q5" s="776">
        <v>8</v>
      </c>
      <c r="R5" s="629" t="str">
        <f>IF(AND(ISBLANK(Skills!$X$166),ISNA(Skills!$W$166)),"N","Y")</f>
        <v>Y</v>
      </c>
      <c r="S5" s="629">
        <f>Skills!V$166</f>
        <v>5</v>
      </c>
      <c r="T5" s="629">
        <f>IF(ISNA(Skills!$W$166),IF(ISBLANK(Skills!$X$166)," ",Skills!$X$166),+Skills!$W$166+Skills!$X$166)</f>
        <v>0</v>
      </c>
      <c r="U5" s="743">
        <f>IF(R5="Y",Skills!$AC$166,Skills!$AB$166)</f>
        <v>0.2</v>
      </c>
      <c r="V5" s="714">
        <f ca="1">Skills!$Y$166</f>
        <v>0.06</v>
      </c>
      <c r="W5" s="714">
        <f ca="1">Skills!$AA$166</f>
        <v>0.06</v>
      </c>
      <c r="X5" s="777">
        <f ca="1">Skills!$AD$166</f>
        <v>0.26</v>
      </c>
      <c r="Y5" s="622">
        <f ca="1">HLOOKUP(W5,$BJ$60:$BO$66,4)</f>
        <v>11</v>
      </c>
      <c r="Z5" s="622">
        <f ca="1">HLOOKUP(X5,$BJ$68:$BO$72,4)</f>
        <v>3</v>
      </c>
      <c r="AA5" s="602"/>
      <c r="AK5" s="609"/>
      <c r="AL5" s="609"/>
      <c r="AM5" s="609"/>
      <c r="AN5" s="609"/>
      <c r="AO5" s="609"/>
      <c r="AP5" s="609"/>
      <c r="AQ5" s="609"/>
      <c r="AR5" s="609"/>
      <c r="AS5" s="609"/>
      <c r="AT5" s="609"/>
      <c r="AU5" s="609"/>
      <c r="AV5" s="609"/>
      <c r="AW5" s="609"/>
      <c r="BJ5" s="608" t="s">
        <v>3438</v>
      </c>
      <c r="BK5" s="765">
        <v>7</v>
      </c>
      <c r="BL5" s="765">
        <v>6</v>
      </c>
      <c r="BM5" s="765">
        <v>6</v>
      </c>
      <c r="BN5" s="765">
        <v>5</v>
      </c>
      <c r="BO5" s="765">
        <v>4</v>
      </c>
      <c r="BP5" s="765">
        <v>4</v>
      </c>
      <c r="BQ5" s="765">
        <v>1</v>
      </c>
      <c r="BR5" s="778" t="s">
        <v>1318</v>
      </c>
      <c r="BS5" s="765">
        <f>A5</f>
        <v>4</v>
      </c>
      <c r="BT5" s="779" t="s">
        <v>1039</v>
      </c>
      <c r="BU5" s="602">
        <v>105</v>
      </c>
      <c r="BV5" s="780" t="s">
        <v>436</v>
      </c>
      <c r="BW5" s="602">
        <v>146</v>
      </c>
      <c r="BX5" s="780" t="s">
        <v>2006</v>
      </c>
      <c r="BY5" s="602">
        <v>162</v>
      </c>
      <c r="BZ5" s="780" t="s">
        <v>2009</v>
      </c>
      <c r="CA5" s="602">
        <v>181</v>
      </c>
      <c r="DH5" s="602"/>
      <c r="DI5" s="602"/>
      <c r="DJ5" s="602"/>
      <c r="DK5" s="602"/>
    </row>
    <row r="6" spans="1:115" ht="11.1" customHeight="1" outlineLevel="2">
      <c r="A6" s="602">
        <v>5</v>
      </c>
      <c r="B6" s="773" t="s">
        <v>2223</v>
      </c>
      <c r="C6" s="629">
        <v>3</v>
      </c>
      <c r="D6" s="768">
        <v>4</v>
      </c>
      <c r="E6" s="769" t="s">
        <v>1320</v>
      </c>
      <c r="F6" s="649"/>
      <c r="G6" s="768">
        <f>F6*D6</f>
        <v>0</v>
      </c>
      <c r="H6" s="771">
        <v>528</v>
      </c>
      <c r="I6" s="771">
        <f>H6*F6</f>
        <v>0</v>
      </c>
      <c r="J6" s="769" t="s">
        <v>2763</v>
      </c>
      <c r="K6" s="774">
        <f>IF(J6&lt;&gt;"L",'Main Creation Page'!$AF$11,'Main Creation Page'!$AG$11)</f>
        <v>10</v>
      </c>
      <c r="L6" s="629">
        <v>8</v>
      </c>
      <c r="M6" s="629">
        <f>IF(ISNA(VLOOKUP(T6,$BJ$44:$BN$58,4)),0,VLOOKUP(T6,$BJ$44:$BN$58,4))</f>
        <v>0</v>
      </c>
      <c r="N6" s="620">
        <f>K6+L6+M6</f>
        <v>18</v>
      </c>
      <c r="O6" s="769" t="s">
        <v>1333</v>
      </c>
      <c r="P6" s="775">
        <f ca="1">4+Skills!$AE$166</f>
        <v>4</v>
      </c>
      <c r="Q6" s="776">
        <v>7</v>
      </c>
      <c r="R6" s="629" t="str">
        <f>IF(AND(ISBLANK(Skills!$X$166),ISNA(Skills!$W$166)),"N","Y")</f>
        <v>Y</v>
      </c>
      <c r="S6" s="629">
        <f>Skills!V$166</f>
        <v>5</v>
      </c>
      <c r="T6" s="629">
        <f>IF(ISNA(Skills!$W$166),IF(ISBLANK(Skills!$X$166)," ",Skills!$X$166),+Skills!$W$166+Skills!$X$166)</f>
        <v>0</v>
      </c>
      <c r="U6" s="743">
        <f>IF(R6="Y",Skills!$AC$166,Skills!$AB$166)</f>
        <v>0.2</v>
      </c>
      <c r="V6" s="714">
        <f ca="1">Skills!$Y$166</f>
        <v>0.06</v>
      </c>
      <c r="W6" s="714">
        <f ca="1">Skills!$AA$166</f>
        <v>0.06</v>
      </c>
      <c r="X6" s="777">
        <f ca="1">Skills!$AD$166</f>
        <v>0.26</v>
      </c>
      <c r="Y6" s="622">
        <f ca="1">HLOOKUP(W6,$BJ$60:$BO$67,4)</f>
        <v>11</v>
      </c>
      <c r="Z6" s="622">
        <f ca="1">HLOOKUP(X6,$BJ$68:$BO$72,4)</f>
        <v>3</v>
      </c>
      <c r="AA6" s="602"/>
      <c r="AK6" s="609"/>
      <c r="AL6" s="609"/>
      <c r="AM6" s="609"/>
      <c r="AN6" s="609"/>
      <c r="AO6" s="609"/>
      <c r="AP6" s="609"/>
      <c r="AQ6" s="609"/>
      <c r="AR6" s="609"/>
      <c r="AS6" s="609"/>
      <c r="AT6" s="609"/>
      <c r="AU6" s="609"/>
      <c r="AV6" s="609"/>
      <c r="AW6" s="609"/>
      <c r="BJ6" s="608" t="s">
        <v>3439</v>
      </c>
      <c r="BK6" s="765">
        <v>9</v>
      </c>
      <c r="BL6" s="765">
        <v>8</v>
      </c>
      <c r="BM6" s="765">
        <v>7</v>
      </c>
      <c r="BN6" s="765">
        <v>6</v>
      </c>
      <c r="BO6" s="765">
        <v>5</v>
      </c>
      <c r="BP6" s="765">
        <v>4</v>
      </c>
      <c r="BQ6" s="765">
        <v>2</v>
      </c>
      <c r="BR6" s="778" t="s">
        <v>2223</v>
      </c>
      <c r="BS6" s="765">
        <f>A6</f>
        <v>5</v>
      </c>
      <c r="BT6" s="779" t="s">
        <v>2476</v>
      </c>
      <c r="BU6" s="602">
        <v>109</v>
      </c>
      <c r="BV6" s="780" t="s">
        <v>437</v>
      </c>
      <c r="BW6" s="602">
        <v>147</v>
      </c>
      <c r="BX6" s="780" t="s">
        <v>2007</v>
      </c>
      <c r="BY6" s="602">
        <v>163</v>
      </c>
      <c r="BZ6" s="780" t="s">
        <v>2010</v>
      </c>
      <c r="CA6" s="602">
        <v>182</v>
      </c>
      <c r="DH6" s="602"/>
      <c r="DI6" s="602"/>
      <c r="DJ6" s="602"/>
      <c r="DK6" s="602"/>
    </row>
    <row r="7" spans="1:115" ht="11.1" customHeight="1" outlineLevel="2">
      <c r="A7" s="602">
        <v>6</v>
      </c>
      <c r="B7" s="773" t="s">
        <v>323</v>
      </c>
      <c r="C7" s="629">
        <v>4</v>
      </c>
      <c r="D7" s="768">
        <v>5</v>
      </c>
      <c r="E7" s="769" t="s">
        <v>2896</v>
      </c>
      <c r="F7" s="649"/>
      <c r="G7" s="768">
        <f>F7*D7</f>
        <v>0</v>
      </c>
      <c r="H7" s="771">
        <v>624</v>
      </c>
      <c r="I7" s="771">
        <f>H7*F7</f>
        <v>0</v>
      </c>
      <c r="J7" s="769" t="s">
        <v>2763</v>
      </c>
      <c r="K7" s="774">
        <f>IF(J7&lt;&gt;"L",'Main Creation Page'!$AF$11,'Main Creation Page'!$AG$11)</f>
        <v>10</v>
      </c>
      <c r="L7" s="629">
        <v>10</v>
      </c>
      <c r="M7" s="629">
        <f>IF(ISNA(VLOOKUP(T7,$BJ$44:$BN$58,4)),0,VLOOKUP(T7,$BJ$44:$BN$58,4))</f>
        <v>0</v>
      </c>
      <c r="N7" s="620">
        <f>K7+L7+M7</f>
        <v>20</v>
      </c>
      <c r="O7" s="769" t="s">
        <v>1333</v>
      </c>
      <c r="P7" s="775">
        <f ca="1">5+Skills!$AE$166</f>
        <v>5</v>
      </c>
      <c r="Q7" s="776">
        <v>7</v>
      </c>
      <c r="R7" s="629" t="str">
        <f>IF(AND(ISBLANK(Skills!$X$166),ISNA(Skills!$W$166)),"N","Y")</f>
        <v>Y</v>
      </c>
      <c r="S7" s="629">
        <f>Skills!V$166</f>
        <v>5</v>
      </c>
      <c r="T7" s="629">
        <f>IF(ISNA(Skills!$W$166),IF(ISBLANK(Skills!$X$166)," ",Skills!$X$166),+Skills!$W$166+Skills!$X$166)</f>
        <v>0</v>
      </c>
      <c r="U7" s="743">
        <f>IF(R7="Y",Skills!$AC$166,Skills!$AB$166)</f>
        <v>0.2</v>
      </c>
      <c r="V7" s="714">
        <f ca="1">Skills!$Y$166</f>
        <v>0.06</v>
      </c>
      <c r="W7" s="714">
        <f ca="1">Skills!$AA$166</f>
        <v>0.06</v>
      </c>
      <c r="X7" s="777">
        <f ca="1">Skills!$AD$166</f>
        <v>0.26</v>
      </c>
      <c r="Y7" s="622">
        <f ca="1">HLOOKUP(W7,$BJ$60:$BO$67,4)</f>
        <v>11</v>
      </c>
      <c r="Z7" s="622">
        <f ca="1">HLOOKUP(X7,$BJ$68:$BO$72,4)</f>
        <v>3</v>
      </c>
      <c r="AA7" s="602"/>
      <c r="AK7" s="609"/>
      <c r="AL7" s="609"/>
      <c r="AM7" s="609"/>
      <c r="AN7" s="609"/>
      <c r="AO7" s="609"/>
      <c r="AP7" s="609"/>
      <c r="AQ7" s="609"/>
      <c r="AR7" s="609"/>
      <c r="AS7" s="609"/>
      <c r="AT7" s="609"/>
      <c r="AU7" s="609"/>
      <c r="AV7" s="609"/>
      <c r="AW7" s="609"/>
      <c r="BJ7" s="608" t="s">
        <v>3440</v>
      </c>
      <c r="BK7" s="765">
        <v>7</v>
      </c>
      <c r="BL7" s="765">
        <v>6</v>
      </c>
      <c r="BM7" s="765">
        <v>6</v>
      </c>
      <c r="BN7" s="765">
        <v>5</v>
      </c>
      <c r="BO7" s="765">
        <v>4</v>
      </c>
      <c r="BP7" s="765">
        <v>3</v>
      </c>
      <c r="BQ7" s="765">
        <v>3</v>
      </c>
      <c r="BR7" s="778" t="s">
        <v>323</v>
      </c>
      <c r="BS7" s="765">
        <f>A7</f>
        <v>6</v>
      </c>
      <c r="BT7" s="779" t="s">
        <v>4328</v>
      </c>
      <c r="BU7" s="602">
        <v>113</v>
      </c>
      <c r="BV7" s="780" t="s">
        <v>438</v>
      </c>
      <c r="BW7" s="602">
        <v>148</v>
      </c>
      <c r="BX7" s="780" t="s">
        <v>4453</v>
      </c>
      <c r="BY7" s="602">
        <v>164</v>
      </c>
      <c r="BZ7" s="780" t="s">
        <v>2011</v>
      </c>
      <c r="CA7" s="602">
        <v>183</v>
      </c>
      <c r="DH7" s="602"/>
      <c r="DI7" s="602"/>
      <c r="DJ7" s="602"/>
      <c r="DK7" s="602"/>
    </row>
    <row r="8" spans="1:115" ht="11.1" customHeight="1" outlineLevel="2" thickBot="1">
      <c r="A8" s="602">
        <v>7</v>
      </c>
      <c r="B8" s="781" t="s">
        <v>2895</v>
      </c>
      <c r="C8" s="782">
        <v>4</v>
      </c>
      <c r="D8" s="783">
        <v>4</v>
      </c>
      <c r="E8" s="784" t="s">
        <v>2896</v>
      </c>
      <c r="F8" s="649"/>
      <c r="G8" s="768">
        <f>F8*D8</f>
        <v>0</v>
      </c>
      <c r="H8" s="771">
        <v>700</v>
      </c>
      <c r="I8" s="771">
        <f>H8*F8</f>
        <v>0</v>
      </c>
      <c r="J8" s="769" t="s">
        <v>2763</v>
      </c>
      <c r="K8" s="774">
        <f>IF(J8&lt;&gt;"L",'Main Creation Page'!$AF$11,'Main Creation Page'!$AG$11)</f>
        <v>10</v>
      </c>
      <c r="L8" s="629">
        <v>7</v>
      </c>
      <c r="M8" s="629">
        <f>IF(ISNA(VLOOKUP(T8,$BJ$44:$BN$58,4)),0,VLOOKUP(T8,$BJ$44:$BN$58,4))</f>
        <v>0</v>
      </c>
      <c r="N8" s="620">
        <f>K8+L8+M8</f>
        <v>17</v>
      </c>
      <c r="O8" s="769" t="s">
        <v>3805</v>
      </c>
      <c r="P8" s="775">
        <f ca="1">2+Skills!$AE$166</f>
        <v>2</v>
      </c>
      <c r="Q8" s="776">
        <v>8</v>
      </c>
      <c r="R8" s="629" t="str">
        <f>IF(AND(ISBLANK(Skills!$X$166),ISNA(Skills!$W$166)),"N","Y")</f>
        <v>Y</v>
      </c>
      <c r="S8" s="629">
        <f>Skills!V$166</f>
        <v>5</v>
      </c>
      <c r="T8" s="629">
        <f>IF(ISNA(Skills!$W$166),IF(ISBLANK(Skills!$X$166)," ",Skills!$X$166),+Skills!$W$166+Skills!$X$166)</f>
        <v>0</v>
      </c>
      <c r="U8" s="743">
        <f>IF(R8="Y",Skills!$AC$166,Skills!$AB$166)</f>
        <v>0.2</v>
      </c>
      <c r="V8" s="714">
        <f ca="1">Skills!$Y$166</f>
        <v>0.06</v>
      </c>
      <c r="W8" s="714">
        <f ca="1">Skills!$AA$166</f>
        <v>0.06</v>
      </c>
      <c r="X8" s="777">
        <f ca="1">Skills!$AD$166</f>
        <v>0.26</v>
      </c>
      <c r="Y8" s="622">
        <f ca="1">HLOOKUP(W8,$BJ$60:$BO$67,4)</f>
        <v>11</v>
      </c>
      <c r="Z8" s="622">
        <f ca="1">HLOOKUP(X8,$BJ$68:$BO$72,4)</f>
        <v>3</v>
      </c>
      <c r="AA8" s="602"/>
      <c r="AK8" s="609"/>
      <c r="AL8" s="609"/>
      <c r="AM8" s="609"/>
      <c r="AN8" s="609"/>
      <c r="AO8" s="609"/>
      <c r="AP8" s="609"/>
      <c r="AQ8" s="609"/>
      <c r="AR8" s="609"/>
      <c r="AS8" s="609"/>
      <c r="AT8" s="609"/>
      <c r="AU8" s="609"/>
      <c r="AV8" s="609"/>
      <c r="AW8" s="609"/>
      <c r="BJ8" s="608" t="s">
        <v>2584</v>
      </c>
      <c r="BK8" s="765">
        <v>9</v>
      </c>
      <c r="BL8" s="765">
        <v>8</v>
      </c>
      <c r="BM8" s="765">
        <v>7</v>
      </c>
      <c r="BN8" s="765">
        <v>6</v>
      </c>
      <c r="BO8" s="765">
        <v>5</v>
      </c>
      <c r="BP8" s="765">
        <v>4</v>
      </c>
      <c r="BQ8" s="765">
        <v>4</v>
      </c>
      <c r="BR8" s="778" t="s">
        <v>2895</v>
      </c>
      <c r="BS8" s="765">
        <f>A8</f>
        <v>7</v>
      </c>
      <c r="BT8" s="779" t="s">
        <v>4329</v>
      </c>
      <c r="BU8" s="602">
        <v>117</v>
      </c>
      <c r="BV8" s="780" t="s">
        <v>439</v>
      </c>
      <c r="BW8" s="602">
        <v>149</v>
      </c>
      <c r="BX8" s="780" t="s">
        <v>2771</v>
      </c>
      <c r="BY8" s="602">
        <v>165</v>
      </c>
      <c r="BZ8" s="780" t="s">
        <v>2626</v>
      </c>
      <c r="CA8" s="602">
        <v>184</v>
      </c>
      <c r="DH8" s="602"/>
      <c r="DI8" s="602"/>
      <c r="DJ8" s="602"/>
      <c r="DK8" s="602"/>
    </row>
    <row r="9" spans="1:115" ht="8.25" customHeight="1" outlineLevel="1" thickTop="1">
      <c r="A9" s="602">
        <v>8</v>
      </c>
      <c r="B9" s="785" t="s">
        <v>5380</v>
      </c>
      <c r="C9" s="786"/>
      <c r="D9" s="787"/>
      <c r="E9" s="788"/>
      <c r="F9" s="789"/>
      <c r="G9" s="768"/>
      <c r="H9" s="771"/>
      <c r="I9" s="771"/>
      <c r="J9" s="769"/>
      <c r="K9" s="629"/>
      <c r="L9" s="629"/>
      <c r="M9" s="629"/>
      <c r="N9" s="629"/>
      <c r="O9" s="769"/>
      <c r="P9" s="629"/>
      <c r="Q9" s="629"/>
      <c r="R9" s="629"/>
      <c r="S9" s="629"/>
      <c r="T9" s="629"/>
      <c r="U9" s="629"/>
      <c r="V9" s="769"/>
      <c r="W9" s="769"/>
      <c r="X9" s="772"/>
      <c r="Y9" s="629"/>
      <c r="Z9" s="745"/>
      <c r="AA9" s="602"/>
      <c r="AK9" s="609"/>
      <c r="AL9" s="609"/>
      <c r="AM9" s="609"/>
      <c r="AN9" s="609"/>
      <c r="AO9" s="609"/>
      <c r="AP9" s="609"/>
      <c r="AQ9" s="609"/>
      <c r="AR9" s="609"/>
      <c r="AS9" s="609"/>
      <c r="AT9" s="609"/>
      <c r="AU9" s="609"/>
      <c r="AV9" s="609"/>
      <c r="AW9" s="609"/>
      <c r="BJ9" s="608" t="s">
        <v>2585</v>
      </c>
      <c r="BK9" s="765">
        <v>11</v>
      </c>
      <c r="BL9" s="765">
        <v>10</v>
      </c>
      <c r="BM9" s="765">
        <v>9</v>
      </c>
      <c r="BN9" s="765">
        <v>8</v>
      </c>
      <c r="BO9" s="765">
        <v>7</v>
      </c>
      <c r="BP9" s="765">
        <v>6</v>
      </c>
      <c r="BQ9" s="765">
        <v>5</v>
      </c>
      <c r="BR9" s="778" t="s">
        <v>1321</v>
      </c>
      <c r="BS9" s="765">
        <f t="shared" ref="BS9:BS17" si="0">A10</f>
        <v>9</v>
      </c>
      <c r="BT9" s="779" t="s">
        <v>4781</v>
      </c>
      <c r="BU9" s="790">
        <v>118</v>
      </c>
      <c r="BV9" s="780" t="s">
        <v>2721</v>
      </c>
      <c r="BW9" s="602">
        <v>150</v>
      </c>
      <c r="BX9" s="780" t="s">
        <v>2772</v>
      </c>
      <c r="BY9" s="602">
        <v>166</v>
      </c>
      <c r="BZ9" s="780" t="s">
        <v>2627</v>
      </c>
      <c r="CA9" s="602">
        <v>185</v>
      </c>
      <c r="DH9" s="602"/>
      <c r="DI9" s="602"/>
      <c r="DJ9" s="602"/>
      <c r="DK9" s="602"/>
    </row>
    <row r="10" spans="1:115" ht="11.1" customHeight="1" outlineLevel="2">
      <c r="A10" s="602">
        <v>9</v>
      </c>
      <c r="B10" s="780" t="s">
        <v>1321</v>
      </c>
      <c r="C10" s="629">
        <v>1.5</v>
      </c>
      <c r="D10" s="768">
        <v>0.25</v>
      </c>
      <c r="E10" s="769">
        <v>8</v>
      </c>
      <c r="F10" s="649"/>
      <c r="G10" s="768">
        <f t="shared" ref="G10:G18" si="1">F10*D10</f>
        <v>0</v>
      </c>
      <c r="H10" s="771">
        <v>384</v>
      </c>
      <c r="I10" s="771">
        <f t="shared" ref="I10:I18" si="2">H10*F10</f>
        <v>0</v>
      </c>
      <c r="J10" s="769" t="s">
        <v>1563</v>
      </c>
      <c r="K10" s="774">
        <f>IF(J10&lt;&gt;"L",'Main Creation Page'!$AF$11,'Main Creation Page'!$AG$11)</f>
        <v>5</v>
      </c>
      <c r="L10" s="629">
        <v>1</v>
      </c>
      <c r="M10" s="629">
        <f>IF(ISNA(VLOOKUP(T10,$BJ$44:$BN$58,2)),0,VLOOKUP(T10,$BJ$44:$BN$58,2))</f>
        <v>0</v>
      </c>
      <c r="N10" s="620">
        <f t="shared" ref="N10:N15" si="3">K10+L10+M10</f>
        <v>6</v>
      </c>
      <c r="O10" s="769" t="s">
        <v>1333</v>
      </c>
      <c r="P10" s="620">
        <f ca="1">0+Skills!$AE$178</f>
        <v>0</v>
      </c>
      <c r="Q10" s="629">
        <v>10</v>
      </c>
      <c r="R10" s="629" t="str">
        <f>IF(AND(ISBLANK(Skills!$X$178),ISNA(Skills!$W$178)),"N","Y")</f>
        <v>N</v>
      </c>
      <c r="S10" s="629">
        <f>Skills!V$178</f>
        <v>3</v>
      </c>
      <c r="T10" s="629" t="str">
        <f>IF(ISNA(Skills!$W$178),IF(ISBLANK(Skills!$X$178)," ",Skills!$X$178),+Skills!$W$178+Skills!$X$178)</f>
        <v xml:space="preserve"> </v>
      </c>
      <c r="U10" s="743">
        <f>IF(R10="Y",Skills!$AC$178,Skills!$AB$178)</f>
        <v>0.3</v>
      </c>
      <c r="V10" s="714">
        <f ca="1">Skills!$Y$178</f>
        <v>0.06</v>
      </c>
      <c r="W10" s="714">
        <f ca="1">Skills!$AA$178</f>
        <v>0.06</v>
      </c>
      <c r="X10" s="777">
        <f ca="1">Skills!AD$178</f>
        <v>0.36</v>
      </c>
      <c r="Y10" s="622">
        <f t="shared" ref="Y10:Y16" ca="1" si="4">HLOOKUP(W10,$BJ$60:$BO$67,2)</f>
        <v>7</v>
      </c>
      <c r="Z10" s="622">
        <f t="shared" ref="Z10:Z16" ca="1" si="5">HLOOKUP(X10,$BJ$68:$BO$72,2)</f>
        <v>1</v>
      </c>
      <c r="AA10" s="602"/>
      <c r="AK10" s="609"/>
      <c r="AL10" s="609"/>
      <c r="AM10" s="609"/>
      <c r="AN10" s="609"/>
      <c r="AO10" s="609"/>
      <c r="AP10" s="609"/>
      <c r="AQ10" s="609"/>
      <c r="AR10" s="609"/>
      <c r="AS10" s="609"/>
      <c r="AT10" s="609"/>
      <c r="AU10" s="609"/>
      <c r="AV10" s="609"/>
      <c r="AW10" s="609"/>
      <c r="BJ10" s="608" t="s">
        <v>2586</v>
      </c>
      <c r="BK10" s="765">
        <v>11</v>
      </c>
      <c r="BL10" s="765">
        <v>10</v>
      </c>
      <c r="BM10" s="765">
        <v>9</v>
      </c>
      <c r="BN10" s="765">
        <v>8</v>
      </c>
      <c r="BO10" s="765">
        <v>7</v>
      </c>
      <c r="BP10" s="765">
        <v>6</v>
      </c>
      <c r="BQ10" s="765">
        <v>6</v>
      </c>
      <c r="BR10" s="778" t="s">
        <v>1322</v>
      </c>
      <c r="BS10" s="765">
        <f t="shared" si="0"/>
        <v>10</v>
      </c>
      <c r="BT10" s="779" t="s">
        <v>371</v>
      </c>
      <c r="BU10" s="602">
        <v>119</v>
      </c>
      <c r="BV10" s="780" t="s">
        <v>2765</v>
      </c>
      <c r="BW10" s="602">
        <v>151</v>
      </c>
      <c r="BX10" s="780" t="s">
        <v>4421</v>
      </c>
      <c r="BY10" s="602">
        <v>167</v>
      </c>
      <c r="BZ10" s="780" t="s">
        <v>3145</v>
      </c>
      <c r="CA10" s="602">
        <v>186</v>
      </c>
      <c r="DH10" s="602"/>
      <c r="DI10" s="602"/>
      <c r="DJ10" s="602"/>
      <c r="DK10" s="602"/>
    </row>
    <row r="11" spans="1:115" ht="11.1" customHeight="1" outlineLevel="2">
      <c r="A11" s="602">
        <v>10</v>
      </c>
      <c r="B11" s="780" t="s">
        <v>1322</v>
      </c>
      <c r="C11" s="629">
        <v>1</v>
      </c>
      <c r="D11" s="768">
        <v>0.5</v>
      </c>
      <c r="E11" s="769">
        <v>12</v>
      </c>
      <c r="F11" s="649"/>
      <c r="G11" s="768">
        <f t="shared" si="1"/>
        <v>0</v>
      </c>
      <c r="H11" s="771">
        <v>240</v>
      </c>
      <c r="I11" s="771">
        <f t="shared" si="2"/>
        <v>0</v>
      </c>
      <c r="J11" s="769" t="s">
        <v>1563</v>
      </c>
      <c r="K11" s="774">
        <f>IF(J11&lt;&gt;"L",'Main Creation Page'!$AF$11,'Main Creation Page'!$AG$11)</f>
        <v>5</v>
      </c>
      <c r="L11" s="629">
        <v>1</v>
      </c>
      <c r="M11" s="629">
        <f t="shared" ref="M11:M16" si="6">IF(ISNA(VLOOKUP(T11,$BJ$44:$BN$58,2)),0,VLOOKUP(T11,$BJ$44:$BN$58,2))</f>
        <v>0</v>
      </c>
      <c r="N11" s="620">
        <f t="shared" si="3"/>
        <v>6</v>
      </c>
      <c r="O11" s="769" t="s">
        <v>1333</v>
      </c>
      <c r="P11" s="620">
        <f ca="1">0+Skills!$AE$178</f>
        <v>0</v>
      </c>
      <c r="Q11" s="629">
        <v>10</v>
      </c>
      <c r="R11" s="629" t="str">
        <f>IF(AND(ISBLANK(Skills!$X$178),ISNA(Skills!$W$178)),"N","Y")</f>
        <v>N</v>
      </c>
      <c r="S11" s="629">
        <f>Skills!V$178</f>
        <v>3</v>
      </c>
      <c r="T11" s="629" t="str">
        <f>IF(ISNA(Skills!$W$178),IF(ISBLANK(Skills!$X$178)," ",Skills!$X$178),+Skills!$W$178+Skills!$X$178)</f>
        <v xml:space="preserve"> </v>
      </c>
      <c r="U11" s="743">
        <f>IF(R11="Y",Skills!$AC$178,Skills!$AB$178)</f>
        <v>0.3</v>
      </c>
      <c r="V11" s="714">
        <f ca="1">Skills!$Y$178</f>
        <v>0.06</v>
      </c>
      <c r="W11" s="714">
        <f ca="1">Skills!$AA$178</f>
        <v>0.06</v>
      </c>
      <c r="X11" s="777">
        <f ca="1">Skills!AD$178</f>
        <v>0.36</v>
      </c>
      <c r="Y11" s="622">
        <f t="shared" ca="1" si="4"/>
        <v>7</v>
      </c>
      <c r="Z11" s="622">
        <f t="shared" ca="1" si="5"/>
        <v>1</v>
      </c>
      <c r="AA11" s="602"/>
      <c r="AK11" s="609"/>
      <c r="AL11" s="609"/>
      <c r="AM11" s="609"/>
      <c r="AN11" s="609"/>
      <c r="AO11" s="609"/>
      <c r="AP11" s="609"/>
      <c r="AQ11" s="609"/>
      <c r="AR11" s="609"/>
      <c r="AS11" s="609"/>
      <c r="AT11" s="609"/>
      <c r="AU11" s="609"/>
      <c r="AV11" s="609"/>
      <c r="AW11" s="609"/>
      <c r="BJ11" s="608" t="s">
        <v>2587</v>
      </c>
      <c r="BK11" s="765">
        <v>12</v>
      </c>
      <c r="BL11" s="765">
        <v>11</v>
      </c>
      <c r="BM11" s="765">
        <v>10</v>
      </c>
      <c r="BN11" s="765">
        <v>8</v>
      </c>
      <c r="BO11" s="765">
        <v>7</v>
      </c>
      <c r="BP11" s="765">
        <v>6</v>
      </c>
      <c r="BQ11" s="765">
        <v>7</v>
      </c>
      <c r="BR11" s="778" t="s">
        <v>4086</v>
      </c>
      <c r="BS11" s="765">
        <f t="shared" si="0"/>
        <v>11</v>
      </c>
      <c r="BT11" s="779" t="s">
        <v>3471</v>
      </c>
      <c r="BU11" s="602">
        <v>120</v>
      </c>
      <c r="BV11" s="780" t="s">
        <v>2766</v>
      </c>
      <c r="BW11" s="602">
        <v>152</v>
      </c>
      <c r="BX11" s="780" t="s">
        <v>2773</v>
      </c>
      <c r="BY11" s="602">
        <v>168</v>
      </c>
      <c r="BZ11" s="780" t="s">
        <v>3146</v>
      </c>
      <c r="CA11" s="602">
        <v>187</v>
      </c>
      <c r="DH11" s="602"/>
      <c r="DI11" s="602"/>
      <c r="DJ11" s="602"/>
      <c r="DK11" s="602"/>
    </row>
    <row r="12" spans="1:115" ht="11.1" customHeight="1" outlineLevel="2">
      <c r="A12" s="602">
        <v>11</v>
      </c>
      <c r="B12" s="780" t="s">
        <v>4086</v>
      </c>
      <c r="C12" s="629">
        <v>2</v>
      </c>
      <c r="D12" s="768">
        <v>0.5</v>
      </c>
      <c r="E12" s="769">
        <v>15</v>
      </c>
      <c r="F12" s="649">
        <v>1</v>
      </c>
      <c r="G12" s="768">
        <f t="shared" si="1"/>
        <v>0.5</v>
      </c>
      <c r="H12" s="771">
        <v>432</v>
      </c>
      <c r="I12" s="771">
        <f t="shared" si="2"/>
        <v>432</v>
      </c>
      <c r="J12" s="769" t="s">
        <v>1563</v>
      </c>
      <c r="K12" s="774">
        <f>IF(J12&lt;&gt;"L",'Main Creation Page'!$AF$11,'Main Creation Page'!$AG$11)</f>
        <v>5</v>
      </c>
      <c r="L12" s="629">
        <v>2</v>
      </c>
      <c r="M12" s="629">
        <f t="shared" si="6"/>
        <v>0</v>
      </c>
      <c r="N12" s="620">
        <f t="shared" si="3"/>
        <v>7</v>
      </c>
      <c r="O12" s="769" t="s">
        <v>1333</v>
      </c>
      <c r="P12" s="620">
        <f ca="1">0+Skills!$AE$178</f>
        <v>0</v>
      </c>
      <c r="Q12" s="629">
        <v>10</v>
      </c>
      <c r="R12" s="629" t="str">
        <f>IF(AND(ISBLANK(Skills!$X$178),ISNA(Skills!$W$178)),"N","Y")</f>
        <v>N</v>
      </c>
      <c r="S12" s="629">
        <f>Skills!V$178</f>
        <v>3</v>
      </c>
      <c r="T12" s="629" t="str">
        <f>IF(ISNA(Skills!$W$178),IF(ISBLANK(Skills!$X$178)," ",Skills!$X$178),+Skills!$W$178+Skills!$X$178)</f>
        <v xml:space="preserve"> </v>
      </c>
      <c r="U12" s="743">
        <f>IF(R12="Y",Skills!$AC$178,Skills!$AB$178)</f>
        <v>0.3</v>
      </c>
      <c r="V12" s="714">
        <f ca="1">Skills!$Y$178</f>
        <v>0.06</v>
      </c>
      <c r="W12" s="714">
        <f ca="1">Skills!$AA$178</f>
        <v>0.06</v>
      </c>
      <c r="X12" s="777">
        <f ca="1">Skills!AD$178</f>
        <v>0.36</v>
      </c>
      <c r="Y12" s="622">
        <f t="shared" ca="1" si="4"/>
        <v>7</v>
      </c>
      <c r="Z12" s="622">
        <f t="shared" ca="1" si="5"/>
        <v>1</v>
      </c>
      <c r="AA12" s="602"/>
      <c r="AK12" s="609"/>
      <c r="AL12" s="609"/>
      <c r="AM12" s="609"/>
      <c r="AN12" s="609"/>
      <c r="AO12" s="609"/>
      <c r="AP12" s="609"/>
      <c r="AQ12" s="609"/>
      <c r="AR12" s="609"/>
      <c r="AS12" s="609"/>
      <c r="AT12" s="609"/>
      <c r="AU12" s="609"/>
      <c r="AV12" s="609"/>
      <c r="AW12" s="609"/>
      <c r="BJ12" s="608" t="s">
        <v>2588</v>
      </c>
      <c r="BK12" s="765">
        <v>0</v>
      </c>
      <c r="BL12" s="765">
        <v>0</v>
      </c>
      <c r="BM12" s="765">
        <v>0</v>
      </c>
      <c r="BN12" s="765">
        <v>0</v>
      </c>
      <c r="BO12" s="765">
        <v>0</v>
      </c>
      <c r="BP12" s="765">
        <v>0</v>
      </c>
      <c r="BQ12" s="765">
        <v>8</v>
      </c>
      <c r="BR12" s="778" t="s">
        <v>3550</v>
      </c>
      <c r="BS12" s="765">
        <f t="shared" si="0"/>
        <v>12</v>
      </c>
      <c r="BT12" s="779" t="s">
        <v>372</v>
      </c>
      <c r="BU12" s="602">
        <v>121</v>
      </c>
      <c r="BV12" s="780" t="s">
        <v>2767</v>
      </c>
      <c r="BW12" s="602">
        <v>153</v>
      </c>
      <c r="BX12" s="780" t="s">
        <v>2774</v>
      </c>
      <c r="BY12" s="602">
        <v>169</v>
      </c>
      <c r="BZ12" s="780" t="s">
        <v>3147</v>
      </c>
      <c r="CA12" s="602">
        <v>191</v>
      </c>
      <c r="DH12" s="602"/>
      <c r="DI12" s="602"/>
      <c r="DJ12" s="602"/>
      <c r="DK12" s="602"/>
    </row>
    <row r="13" spans="1:115" ht="11.1" customHeight="1" outlineLevel="2">
      <c r="A13" s="602">
        <v>12</v>
      </c>
      <c r="B13" s="780" t="s">
        <v>3550</v>
      </c>
      <c r="C13" s="629">
        <v>3</v>
      </c>
      <c r="D13" s="768">
        <v>0.75</v>
      </c>
      <c r="E13" s="769">
        <v>18</v>
      </c>
      <c r="F13" s="649"/>
      <c r="G13" s="768">
        <f t="shared" si="1"/>
        <v>0</v>
      </c>
      <c r="H13" s="771">
        <v>576</v>
      </c>
      <c r="I13" s="771">
        <f t="shared" si="2"/>
        <v>0</v>
      </c>
      <c r="J13" s="769" t="s">
        <v>1563</v>
      </c>
      <c r="K13" s="774">
        <f>IF(J13&lt;&gt;"L",'Main Creation Page'!$AF$11,'Main Creation Page'!$AG$11)</f>
        <v>5</v>
      </c>
      <c r="L13" s="629">
        <v>2</v>
      </c>
      <c r="M13" s="629">
        <f t="shared" si="6"/>
        <v>0</v>
      </c>
      <c r="N13" s="620">
        <f t="shared" si="3"/>
        <v>7</v>
      </c>
      <c r="O13" s="769" t="s">
        <v>1333</v>
      </c>
      <c r="P13" s="620">
        <f ca="1">0+Skills!$AE$178</f>
        <v>0</v>
      </c>
      <c r="Q13" s="629">
        <v>10</v>
      </c>
      <c r="R13" s="629" t="str">
        <f>IF(AND(ISBLANK(Skills!$X$178),ISNA(Skills!$W$178)),"N","Y")</f>
        <v>N</v>
      </c>
      <c r="S13" s="629">
        <f>Skills!V$178</f>
        <v>3</v>
      </c>
      <c r="T13" s="629" t="str">
        <f>IF(ISNA(Skills!$W$178),IF(ISBLANK(Skills!$X$178)," ",Skills!$X$178),+Skills!$W$178+Skills!$X$178)</f>
        <v xml:space="preserve"> </v>
      </c>
      <c r="U13" s="743">
        <f>IF(R13="Y",Skills!$AC$178,Skills!$AB$178)</f>
        <v>0.3</v>
      </c>
      <c r="V13" s="714">
        <f ca="1">Skills!$Y$178</f>
        <v>0.06</v>
      </c>
      <c r="W13" s="714">
        <f ca="1">Skills!$AA$178</f>
        <v>0.06</v>
      </c>
      <c r="X13" s="777">
        <f ca="1">Skills!AD$178</f>
        <v>0.36</v>
      </c>
      <c r="Y13" s="622">
        <f t="shared" ca="1" si="4"/>
        <v>7</v>
      </c>
      <c r="Z13" s="622">
        <f t="shared" ca="1" si="5"/>
        <v>1</v>
      </c>
      <c r="AA13" s="602"/>
      <c r="AK13" s="609"/>
      <c r="AL13" s="609"/>
      <c r="AM13" s="609"/>
      <c r="AN13" s="609"/>
      <c r="AO13" s="609"/>
      <c r="AP13" s="609"/>
      <c r="AQ13" s="609"/>
      <c r="AR13" s="609"/>
      <c r="AS13" s="609"/>
      <c r="AT13" s="609"/>
      <c r="AU13" s="609"/>
      <c r="AV13" s="609"/>
      <c r="AW13" s="609"/>
      <c r="BJ13" s="608" t="s">
        <v>2589</v>
      </c>
      <c r="BK13" s="765">
        <v>1</v>
      </c>
      <c r="BL13" s="765">
        <v>1</v>
      </c>
      <c r="BM13" s="765">
        <v>1</v>
      </c>
      <c r="BN13" s="765">
        <v>1</v>
      </c>
      <c r="BO13" s="765">
        <v>1</v>
      </c>
      <c r="BP13" s="765">
        <v>1</v>
      </c>
      <c r="BQ13" s="765">
        <v>9</v>
      </c>
      <c r="BR13" s="778" t="s">
        <v>1323</v>
      </c>
      <c r="BS13" s="765">
        <f t="shared" si="0"/>
        <v>13</v>
      </c>
      <c r="BT13" s="791" t="s">
        <v>5348</v>
      </c>
      <c r="BU13" s="602">
        <v>127</v>
      </c>
      <c r="BV13" s="780" t="s">
        <v>2768</v>
      </c>
      <c r="BW13" s="602">
        <v>154</v>
      </c>
      <c r="BX13" s="780" t="s">
        <v>4090</v>
      </c>
      <c r="BY13" s="602">
        <v>170</v>
      </c>
      <c r="BZ13" s="780" t="s">
        <v>3148</v>
      </c>
      <c r="CA13" s="602">
        <v>192</v>
      </c>
      <c r="DH13" s="602"/>
      <c r="DI13" s="602"/>
      <c r="DJ13" s="602"/>
      <c r="DK13" s="602"/>
    </row>
    <row r="14" spans="1:115" ht="11.1" customHeight="1" outlineLevel="2">
      <c r="A14" s="602">
        <v>13</v>
      </c>
      <c r="B14" s="780" t="s">
        <v>1323</v>
      </c>
      <c r="C14" s="629">
        <v>3</v>
      </c>
      <c r="D14" s="768">
        <v>1</v>
      </c>
      <c r="E14" s="769">
        <v>20</v>
      </c>
      <c r="F14" s="649"/>
      <c r="G14" s="768">
        <f t="shared" si="1"/>
        <v>0</v>
      </c>
      <c r="H14" s="771">
        <v>672</v>
      </c>
      <c r="I14" s="771">
        <f t="shared" si="2"/>
        <v>0</v>
      </c>
      <c r="J14" s="769" t="s">
        <v>1563</v>
      </c>
      <c r="K14" s="774">
        <f>IF(J14&lt;&gt;"L",'Main Creation Page'!$AF$11,'Main Creation Page'!$AG$11)</f>
        <v>5</v>
      </c>
      <c r="L14" s="629">
        <v>3</v>
      </c>
      <c r="M14" s="629">
        <f t="shared" si="6"/>
        <v>0</v>
      </c>
      <c r="N14" s="620">
        <f t="shared" si="3"/>
        <v>8</v>
      </c>
      <c r="O14" s="769" t="s">
        <v>1333</v>
      </c>
      <c r="P14" s="620">
        <f ca="1">0+Skills!$AE$178</f>
        <v>0</v>
      </c>
      <c r="Q14" s="629">
        <v>10</v>
      </c>
      <c r="R14" s="629" t="str">
        <f>IF(AND(ISBLANK(Skills!$X$178),ISNA(Skills!$W$178)),"N","Y")</f>
        <v>N</v>
      </c>
      <c r="S14" s="629">
        <f>Skills!V$178</f>
        <v>3</v>
      </c>
      <c r="T14" s="629" t="str">
        <f>IF(ISNA(Skills!$W$178),IF(ISBLANK(Skills!$X$178)," ",Skills!$X$178),+Skills!$W$178+Skills!$X$178)</f>
        <v xml:space="preserve"> </v>
      </c>
      <c r="U14" s="743">
        <f>IF(R14="Y",Skills!$AC$178,Skills!$AB$178)</f>
        <v>0.3</v>
      </c>
      <c r="V14" s="714">
        <f ca="1">Skills!$Y$178</f>
        <v>0.06</v>
      </c>
      <c r="W14" s="714">
        <f ca="1">Skills!$AA$178</f>
        <v>0.06</v>
      </c>
      <c r="X14" s="777">
        <f ca="1">Skills!AD$178</f>
        <v>0.36</v>
      </c>
      <c r="Y14" s="622">
        <f t="shared" ca="1" si="4"/>
        <v>7</v>
      </c>
      <c r="Z14" s="622">
        <f t="shared" ca="1" si="5"/>
        <v>1</v>
      </c>
      <c r="AA14" s="602"/>
      <c r="AK14" s="609"/>
      <c r="AL14" s="609"/>
      <c r="AM14" s="609"/>
      <c r="AN14" s="609"/>
      <c r="AO14" s="609"/>
      <c r="AP14" s="609"/>
      <c r="AQ14" s="609"/>
      <c r="AR14" s="609"/>
      <c r="AS14" s="609"/>
      <c r="AT14" s="609"/>
      <c r="AU14" s="609"/>
      <c r="AV14" s="609"/>
      <c r="AW14" s="609"/>
      <c r="BJ14" s="608" t="s">
        <v>5099</v>
      </c>
      <c r="BK14" s="765">
        <v>1</v>
      </c>
      <c r="BL14" s="765">
        <v>1</v>
      </c>
      <c r="BM14" s="765">
        <v>1</v>
      </c>
      <c r="BN14" s="765">
        <v>1</v>
      </c>
      <c r="BO14" s="765">
        <v>1</v>
      </c>
      <c r="BP14" s="765">
        <v>1</v>
      </c>
      <c r="BQ14" s="765">
        <v>10</v>
      </c>
      <c r="BR14" s="778" t="s">
        <v>1324</v>
      </c>
      <c r="BS14" s="765">
        <f t="shared" si="0"/>
        <v>14</v>
      </c>
      <c r="BT14" s="791" t="s">
        <v>4452</v>
      </c>
      <c r="BU14" s="602">
        <v>133</v>
      </c>
      <c r="BV14" s="780" t="s">
        <v>2769</v>
      </c>
      <c r="BW14" s="602">
        <v>155</v>
      </c>
      <c r="BX14" s="780" t="s">
        <v>4091</v>
      </c>
      <c r="BY14" s="602">
        <v>171</v>
      </c>
      <c r="BZ14" s="780" t="s">
        <v>3562</v>
      </c>
      <c r="CA14" s="602">
        <v>193</v>
      </c>
      <c r="DH14" s="602"/>
      <c r="DI14" s="602"/>
      <c r="DJ14" s="602"/>
      <c r="DK14" s="602"/>
    </row>
    <row r="15" spans="1:115" ht="11.1" customHeight="1" outlineLevel="2">
      <c r="A15" s="602">
        <v>14</v>
      </c>
      <c r="B15" s="780" t="s">
        <v>1324</v>
      </c>
      <c r="C15" s="629">
        <v>3</v>
      </c>
      <c r="D15" s="768">
        <v>1</v>
      </c>
      <c r="E15" s="769">
        <v>20</v>
      </c>
      <c r="F15" s="649"/>
      <c r="G15" s="768">
        <f t="shared" si="1"/>
        <v>0</v>
      </c>
      <c r="H15" s="771">
        <v>672</v>
      </c>
      <c r="I15" s="771">
        <f t="shared" si="2"/>
        <v>0</v>
      </c>
      <c r="J15" s="769" t="s">
        <v>1563</v>
      </c>
      <c r="K15" s="774">
        <f>IF(J15&lt;&gt;"L",'Main Creation Page'!$AF$11,'Main Creation Page'!$AG$11)</f>
        <v>5</v>
      </c>
      <c r="L15" s="629">
        <v>3</v>
      </c>
      <c r="M15" s="629">
        <f t="shared" si="6"/>
        <v>0</v>
      </c>
      <c r="N15" s="620">
        <f t="shared" si="3"/>
        <v>8</v>
      </c>
      <c r="O15" s="769" t="s">
        <v>1333</v>
      </c>
      <c r="P15" s="620">
        <f ca="1">0+Skills!$AE$178</f>
        <v>0</v>
      </c>
      <c r="Q15" s="629">
        <v>10</v>
      </c>
      <c r="R15" s="629" t="str">
        <f>IF(AND(ISBLANK(Skills!$X$178),ISNA(Skills!$W$178)),"N","Y")</f>
        <v>N</v>
      </c>
      <c r="S15" s="629">
        <f>Skills!V$178</f>
        <v>3</v>
      </c>
      <c r="T15" s="629" t="str">
        <f>IF(ISNA(Skills!$W$178),IF(ISBLANK(Skills!$X$178)," ",Skills!$X$178),+Skills!$W$178+Skills!$X$178)</f>
        <v xml:space="preserve"> </v>
      </c>
      <c r="U15" s="743">
        <f>IF(R15="Y",Skills!$AC$178,Skills!$AB$178)</f>
        <v>0.3</v>
      </c>
      <c r="V15" s="714">
        <f ca="1">Skills!$Y$178</f>
        <v>0.06</v>
      </c>
      <c r="W15" s="714">
        <f ca="1">Skills!$AA$178</f>
        <v>0.06</v>
      </c>
      <c r="X15" s="777">
        <f ca="1">Skills!AD$178</f>
        <v>0.36</v>
      </c>
      <c r="Y15" s="622">
        <f t="shared" ca="1" si="4"/>
        <v>7</v>
      </c>
      <c r="Z15" s="622">
        <f t="shared" ca="1" si="5"/>
        <v>1</v>
      </c>
      <c r="AA15" s="602"/>
      <c r="AK15" s="609"/>
      <c r="AL15" s="609"/>
      <c r="AM15" s="609"/>
      <c r="AN15" s="609"/>
      <c r="AO15" s="609"/>
      <c r="AP15" s="609"/>
      <c r="AQ15" s="609"/>
      <c r="AR15" s="609"/>
      <c r="AS15" s="609"/>
      <c r="AT15" s="609"/>
      <c r="AU15" s="609"/>
      <c r="AV15" s="609"/>
      <c r="AW15" s="609"/>
      <c r="BJ15" s="608" t="s">
        <v>5100</v>
      </c>
      <c r="BK15" s="765">
        <v>3</v>
      </c>
      <c r="BL15" s="765">
        <v>3</v>
      </c>
      <c r="BM15" s="765">
        <v>2</v>
      </c>
      <c r="BN15" s="765">
        <v>2</v>
      </c>
      <c r="BO15" s="765">
        <v>2</v>
      </c>
      <c r="BP15" s="765">
        <v>1</v>
      </c>
      <c r="BQ15" s="765">
        <v>11</v>
      </c>
      <c r="BR15" s="792" t="s">
        <v>3893</v>
      </c>
      <c r="BS15" s="765">
        <f t="shared" si="0"/>
        <v>15</v>
      </c>
      <c r="BT15" s="778" t="s">
        <v>740</v>
      </c>
      <c r="BU15" s="790">
        <v>136</v>
      </c>
      <c r="BV15" s="780" t="s">
        <v>2770</v>
      </c>
      <c r="BW15" s="602">
        <v>156</v>
      </c>
      <c r="BX15" s="780" t="s">
        <v>2775</v>
      </c>
      <c r="BY15" s="602">
        <v>172</v>
      </c>
      <c r="BZ15" s="780" t="s">
        <v>3563</v>
      </c>
      <c r="CA15" s="602">
        <v>194</v>
      </c>
      <c r="DH15" s="602"/>
      <c r="DI15" s="602"/>
      <c r="DJ15" s="602"/>
      <c r="DK15" s="602"/>
    </row>
    <row r="16" spans="1:115" ht="11.1" customHeight="1" outlineLevel="2">
      <c r="A16" s="602">
        <v>15</v>
      </c>
      <c r="B16" s="793" t="s">
        <v>3893</v>
      </c>
      <c r="C16" s="629">
        <v>5</v>
      </c>
      <c r="D16" s="768">
        <v>2</v>
      </c>
      <c r="E16" s="769">
        <v>24</v>
      </c>
      <c r="F16" s="649"/>
      <c r="G16" s="768">
        <f t="shared" si="1"/>
        <v>0</v>
      </c>
      <c r="H16" s="771">
        <v>1012</v>
      </c>
      <c r="I16" s="771">
        <f t="shared" si="2"/>
        <v>0</v>
      </c>
      <c r="J16" s="769" t="s">
        <v>1563</v>
      </c>
      <c r="K16" s="774">
        <f>IF(J16&lt;&gt;"L",'Main Creation Page'!$AF$11,'Main Creation Page'!$AG$11)</f>
        <v>5</v>
      </c>
      <c r="L16" s="629">
        <v>5</v>
      </c>
      <c r="M16" s="629">
        <f t="shared" si="6"/>
        <v>0</v>
      </c>
      <c r="N16" s="620">
        <f>K16+L16+M16</f>
        <v>10</v>
      </c>
      <c r="O16" s="769" t="s">
        <v>5067</v>
      </c>
      <c r="P16" s="620">
        <f ca="1">1+Skills!$AE$178</f>
        <v>1</v>
      </c>
      <c r="Q16" s="629">
        <v>9</v>
      </c>
      <c r="R16" s="629" t="str">
        <f>IF(AND(ISBLANK(Skills!$X$178),ISNA(Skills!$W$178)),"N","Y")</f>
        <v>N</v>
      </c>
      <c r="S16" s="629">
        <f>Skills!V$178</f>
        <v>3</v>
      </c>
      <c r="T16" s="629" t="str">
        <f>IF(ISNA(Skills!$W$178),IF(ISBLANK(Skills!$X$178)," ",Skills!$X$178),+Skills!$W$178+Skills!$X$178)</f>
        <v xml:space="preserve"> </v>
      </c>
      <c r="U16" s="743">
        <f>IF(R16="Y",Skills!$AC$178,Skills!$AB$178)</f>
        <v>0.3</v>
      </c>
      <c r="V16" s="714">
        <f ca="1">Skills!$Y$178</f>
        <v>0.06</v>
      </c>
      <c r="W16" s="714">
        <f ca="1">Skills!$AA$178</f>
        <v>0.06</v>
      </c>
      <c r="X16" s="777">
        <f ca="1">Skills!AD$178</f>
        <v>0.36</v>
      </c>
      <c r="Y16" s="622">
        <f t="shared" ca="1" si="4"/>
        <v>7</v>
      </c>
      <c r="Z16" s="622">
        <f t="shared" ca="1" si="5"/>
        <v>1</v>
      </c>
      <c r="AA16" s="602"/>
      <c r="AK16" s="609"/>
      <c r="AL16" s="609"/>
      <c r="AM16" s="609"/>
      <c r="AN16" s="609"/>
      <c r="AO16" s="609"/>
      <c r="AP16" s="609"/>
      <c r="AQ16" s="609"/>
      <c r="AR16" s="609"/>
      <c r="AS16" s="609"/>
      <c r="AT16" s="609"/>
      <c r="AU16" s="609"/>
      <c r="AV16" s="609"/>
      <c r="AW16" s="609"/>
      <c r="BJ16" s="608" t="s">
        <v>157</v>
      </c>
      <c r="BK16" s="765">
        <v>3</v>
      </c>
      <c r="BL16" s="765">
        <v>3</v>
      </c>
      <c r="BM16" s="765">
        <v>2</v>
      </c>
      <c r="BN16" s="765">
        <v>2</v>
      </c>
      <c r="BO16" s="765">
        <v>2</v>
      </c>
      <c r="BP16" s="765">
        <v>1</v>
      </c>
      <c r="BQ16" s="765">
        <v>12</v>
      </c>
      <c r="BR16" s="792" t="s">
        <v>3427</v>
      </c>
      <c r="BS16" s="765">
        <f t="shared" si="0"/>
        <v>16</v>
      </c>
      <c r="BT16" s="778" t="s">
        <v>741</v>
      </c>
      <c r="BU16" s="790">
        <v>137</v>
      </c>
      <c r="BV16" s="780" t="s">
        <v>375</v>
      </c>
      <c r="BW16" s="602">
        <v>157</v>
      </c>
      <c r="BX16" s="780" t="s">
        <v>2776</v>
      </c>
      <c r="BY16" s="602">
        <v>173</v>
      </c>
      <c r="BZ16" s="780" t="s">
        <v>1975</v>
      </c>
      <c r="CA16" s="602">
        <v>195</v>
      </c>
      <c r="DH16" s="602"/>
      <c r="DI16" s="602"/>
      <c r="DJ16" s="602"/>
      <c r="DK16" s="602"/>
    </row>
    <row r="17" spans="1:115" ht="11.1" customHeight="1" outlineLevel="2">
      <c r="A17" s="602">
        <v>16</v>
      </c>
      <c r="B17" s="793" t="s">
        <v>3427</v>
      </c>
      <c r="C17" s="629">
        <v>4</v>
      </c>
      <c r="D17" s="768">
        <v>2.5</v>
      </c>
      <c r="E17" s="769">
        <v>24</v>
      </c>
      <c r="F17" s="649"/>
      <c r="G17" s="768">
        <f t="shared" si="1"/>
        <v>0</v>
      </c>
      <c r="H17" s="771">
        <v>820</v>
      </c>
      <c r="I17" s="771">
        <f t="shared" si="2"/>
        <v>0</v>
      </c>
      <c r="J17" s="769" t="s">
        <v>5221</v>
      </c>
      <c r="K17" s="774">
        <f>IF(J17&lt;&gt;"L",'Main Creation Page'!$AF$11,'Main Creation Page'!$AG$11)</f>
        <v>10</v>
      </c>
      <c r="L17" s="629">
        <v>4</v>
      </c>
      <c r="M17" s="629">
        <f>IF(ISNA(VLOOKUP(T17,$BJ$44:$BN$58,3)),0,VLOOKUP(T17,$BJ$44:$BN$58,3))</f>
        <v>0</v>
      </c>
      <c r="N17" s="620">
        <f>K17+L17+M17</f>
        <v>14</v>
      </c>
      <c r="O17" s="769" t="s">
        <v>5067</v>
      </c>
      <c r="P17" s="775">
        <f ca="1">1+Skills!$AE$167</f>
        <v>1</v>
      </c>
      <c r="Q17" s="776">
        <v>10</v>
      </c>
      <c r="R17" s="629" t="str">
        <f>IF(AND(ISBLANK(Skills!$X$167),ISNA(Skills!$W$167)),"N","Y")</f>
        <v>N</v>
      </c>
      <c r="S17" s="629">
        <f>Skills!V$167</f>
        <v>5</v>
      </c>
      <c r="T17" s="629" t="str">
        <f>IF(ISNA(Skills!$W$167),IF(ISBLANK(Skills!$X$167)," ",Skills!$X$167),+Skills!$W$167+Skills!$X$167)</f>
        <v xml:space="preserve"> </v>
      </c>
      <c r="U17" s="743">
        <f>IF(R17="Y",Skills!$AC$167,Skills!$AB$167)</f>
        <v>0.1</v>
      </c>
      <c r="V17" s="714">
        <f ca="1">Skills!$Y$167</f>
        <v>0.12</v>
      </c>
      <c r="W17" s="714">
        <f ca="1">Skills!$AA$167</f>
        <v>0.12</v>
      </c>
      <c r="X17" s="777">
        <f ca="1">Skills!$AD$167</f>
        <v>0.22</v>
      </c>
      <c r="Y17" s="622">
        <f ca="1">HLOOKUP(W17,$BJ$60:$BO$67,5)</f>
        <v>12</v>
      </c>
      <c r="Z17" s="622">
        <f ca="1">HLOOKUP(X17,$BJ$68:$BO$72,3)</f>
        <v>2</v>
      </c>
      <c r="AA17" s="602"/>
      <c r="AK17" s="609"/>
      <c r="AL17" s="609"/>
      <c r="AM17" s="609"/>
      <c r="AN17" s="609"/>
      <c r="AO17" s="609"/>
      <c r="AP17" s="609"/>
      <c r="AQ17" s="609"/>
      <c r="AR17" s="609"/>
      <c r="AS17" s="609"/>
      <c r="AT17" s="609"/>
      <c r="AU17" s="609"/>
      <c r="AV17" s="609"/>
      <c r="AW17" s="609"/>
      <c r="BJ17" s="608" t="s">
        <v>158</v>
      </c>
      <c r="BK17" s="765">
        <v>3</v>
      </c>
      <c r="BL17" s="765">
        <v>3</v>
      </c>
      <c r="BM17" s="765">
        <v>2</v>
      </c>
      <c r="BN17" s="765">
        <v>2</v>
      </c>
      <c r="BO17" s="765">
        <v>2</v>
      </c>
      <c r="BP17" s="765">
        <v>1</v>
      </c>
      <c r="BQ17" s="765">
        <v>13</v>
      </c>
      <c r="BR17" s="792" t="s">
        <v>5347</v>
      </c>
      <c r="BS17" s="765">
        <f t="shared" si="0"/>
        <v>17</v>
      </c>
      <c r="BT17" s="794" t="s">
        <v>742</v>
      </c>
      <c r="BU17" s="790">
        <v>140</v>
      </c>
      <c r="BV17" s="780" t="s">
        <v>4085</v>
      </c>
      <c r="BW17" s="602">
        <v>158</v>
      </c>
      <c r="BX17" s="780" t="s">
        <v>952</v>
      </c>
      <c r="BY17" s="602">
        <v>174</v>
      </c>
      <c r="BZ17" s="780" t="s">
        <v>4428</v>
      </c>
      <c r="CA17" s="602">
        <v>196</v>
      </c>
      <c r="DH17" s="602"/>
      <c r="DI17" s="602"/>
      <c r="DJ17" s="602"/>
      <c r="DK17" s="602"/>
    </row>
    <row r="18" spans="1:115" ht="11.1" customHeight="1" outlineLevel="2" thickBot="1">
      <c r="A18" s="602">
        <v>17</v>
      </c>
      <c r="B18" s="795" t="s">
        <v>5347</v>
      </c>
      <c r="C18" s="782">
        <v>4</v>
      </c>
      <c r="D18" s="783">
        <v>2.5</v>
      </c>
      <c r="E18" s="784">
        <v>24</v>
      </c>
      <c r="F18" s="649"/>
      <c r="G18" s="768">
        <f t="shared" si="1"/>
        <v>0</v>
      </c>
      <c r="H18" s="771">
        <v>820</v>
      </c>
      <c r="I18" s="771">
        <f t="shared" si="2"/>
        <v>0</v>
      </c>
      <c r="J18" s="769" t="s">
        <v>5221</v>
      </c>
      <c r="K18" s="774">
        <f>IF(J18&lt;&gt;"L",'Main Creation Page'!$AF$11,'Main Creation Page'!$AG$11)</f>
        <v>10</v>
      </c>
      <c r="L18" s="629">
        <v>6</v>
      </c>
      <c r="M18" s="629">
        <f>IF(ISNA(VLOOKUP(T18,$BJ$44:$BN$58,3)),0,VLOOKUP(T18,$BJ$44:$BN$58,3))</f>
        <v>0</v>
      </c>
      <c r="N18" s="620">
        <f>K18+L18+M18</f>
        <v>16</v>
      </c>
      <c r="O18" s="769" t="s">
        <v>5067</v>
      </c>
      <c r="P18" s="775">
        <f ca="1">2+Skills!$AE$199</f>
        <v>2</v>
      </c>
      <c r="Q18" s="776">
        <v>10</v>
      </c>
      <c r="R18" s="629" t="str">
        <f>IF(AND(ISBLANK(Skills!$X$199),ISNA(Skills!$W$199)),"N","Y")</f>
        <v>N</v>
      </c>
      <c r="S18" s="629">
        <f>Skills!V$199</f>
        <v>5</v>
      </c>
      <c r="T18" s="629" t="str">
        <f>IF(ISNA(Skills!$W$199),IF(ISBLANK(Skills!$X$199)," ",Skills!$X$199),+Skills!$W$199+Skills!$X$199)</f>
        <v xml:space="preserve"> </v>
      </c>
      <c r="U18" s="743">
        <f>IF(R18="Y",Skills!$AC$199,Skills!$AB$199)</f>
        <v>0.1</v>
      </c>
      <c r="V18" s="714">
        <f ca="1">Skills!$Y$199</f>
        <v>0.12</v>
      </c>
      <c r="W18" s="714">
        <f ca="1">Skills!$AA$199</f>
        <v>0.12</v>
      </c>
      <c r="X18" s="777">
        <f ca="1">Skills!$AD$199</f>
        <v>0.22</v>
      </c>
      <c r="Y18" s="622">
        <f ca="1">HLOOKUP(W18,$BJ$60:$BO$67,5)</f>
        <v>12</v>
      </c>
      <c r="Z18" s="622">
        <f ca="1">HLOOKUP(X18,$BJ$68:$BO$72,3)</f>
        <v>2</v>
      </c>
      <c r="AA18" s="602"/>
      <c r="AK18" s="609"/>
      <c r="AL18" s="609"/>
      <c r="AM18" s="609"/>
      <c r="AN18" s="609"/>
      <c r="AO18" s="609"/>
      <c r="AP18" s="609"/>
      <c r="AQ18" s="609"/>
      <c r="AR18" s="609"/>
      <c r="AS18" s="609"/>
      <c r="AT18" s="609"/>
      <c r="AU18" s="609"/>
      <c r="AV18" s="609"/>
      <c r="AW18" s="609"/>
      <c r="BJ18" s="608" t="s">
        <v>159</v>
      </c>
      <c r="BK18" s="765">
        <v>4</v>
      </c>
      <c r="BL18" s="765">
        <v>4</v>
      </c>
      <c r="BM18" s="765">
        <v>3</v>
      </c>
      <c r="BN18" s="765">
        <v>3</v>
      </c>
      <c r="BO18" s="765">
        <v>2</v>
      </c>
      <c r="BP18" s="765">
        <v>1</v>
      </c>
      <c r="BQ18" s="765">
        <v>14</v>
      </c>
      <c r="BR18" s="778" t="s">
        <v>1325</v>
      </c>
      <c r="BS18" s="765">
        <f>A20</f>
        <v>19</v>
      </c>
      <c r="BV18" s="780" t="s">
        <v>4781</v>
      </c>
      <c r="BW18" s="790">
        <v>159</v>
      </c>
      <c r="BX18" s="780" t="s">
        <v>4088</v>
      </c>
      <c r="BY18" s="602">
        <v>175</v>
      </c>
      <c r="BZ18" s="780" t="s">
        <v>4429</v>
      </c>
      <c r="CA18" s="602">
        <v>197</v>
      </c>
      <c r="DH18" s="602"/>
      <c r="DI18" s="602"/>
      <c r="DJ18" s="602"/>
      <c r="DK18" s="602"/>
    </row>
    <row r="19" spans="1:115" ht="8.25" customHeight="1" outlineLevel="1" thickTop="1">
      <c r="A19" s="602">
        <v>18</v>
      </c>
      <c r="B19" s="785" t="s">
        <v>1553</v>
      </c>
      <c r="C19" s="786"/>
      <c r="D19" s="787"/>
      <c r="E19" s="788"/>
      <c r="F19" s="789"/>
      <c r="G19" s="768"/>
      <c r="H19" s="771"/>
      <c r="I19" s="771"/>
      <c r="J19" s="769"/>
      <c r="K19" s="629"/>
      <c r="L19" s="629"/>
      <c r="M19" s="629"/>
      <c r="N19" s="629"/>
      <c r="O19" s="769"/>
      <c r="P19" s="629"/>
      <c r="Q19" s="629"/>
      <c r="R19" s="629"/>
      <c r="S19" s="629"/>
      <c r="T19" s="629"/>
      <c r="U19" s="629"/>
      <c r="V19" s="769"/>
      <c r="W19" s="769"/>
      <c r="X19" s="772"/>
      <c r="Y19" s="629"/>
      <c r="Z19" s="745"/>
      <c r="AA19" s="602"/>
      <c r="AB19" s="608"/>
      <c r="AC19" s="608"/>
      <c r="AD19" s="608"/>
      <c r="AK19" s="609"/>
      <c r="AL19" s="609"/>
      <c r="AM19" s="609"/>
      <c r="AN19" s="609"/>
      <c r="AO19" s="609"/>
      <c r="AP19" s="609"/>
      <c r="AQ19" s="609"/>
      <c r="AR19" s="609"/>
      <c r="AS19" s="609"/>
      <c r="AT19" s="609"/>
      <c r="AU19" s="609"/>
      <c r="AV19" s="609"/>
      <c r="AW19" s="609"/>
      <c r="BJ19" s="608" t="s">
        <v>160</v>
      </c>
      <c r="BK19" s="765">
        <v>10</v>
      </c>
      <c r="BL19" s="765">
        <v>9</v>
      </c>
      <c r="BM19" s="765">
        <v>8</v>
      </c>
      <c r="BN19" s="765">
        <v>7</v>
      </c>
      <c r="BO19" s="765">
        <v>6</v>
      </c>
      <c r="BP19" s="765">
        <v>5</v>
      </c>
      <c r="BQ19" s="765">
        <v>15</v>
      </c>
      <c r="BR19" s="778" t="s">
        <v>1326</v>
      </c>
      <c r="BS19" s="765">
        <f>A21</f>
        <v>20</v>
      </c>
      <c r="BW19" s="790"/>
      <c r="BX19" s="780" t="s">
        <v>910</v>
      </c>
      <c r="BY19" s="602">
        <v>176</v>
      </c>
      <c r="BZ19" s="780" t="s">
        <v>4430</v>
      </c>
      <c r="CA19" s="602">
        <v>198</v>
      </c>
      <c r="DH19" s="602"/>
      <c r="DI19" s="602"/>
      <c r="DJ19" s="602"/>
      <c r="DK19" s="602"/>
    </row>
    <row r="20" spans="1:115" ht="11.1" customHeight="1" outlineLevel="2">
      <c r="A20" s="602">
        <v>19</v>
      </c>
      <c r="B20" s="780" t="s">
        <v>1325</v>
      </c>
      <c r="C20" s="629">
        <v>4</v>
      </c>
      <c r="D20" s="768">
        <v>2</v>
      </c>
      <c r="E20" s="769">
        <v>24</v>
      </c>
      <c r="F20" s="649"/>
      <c r="G20" s="768">
        <f>F20*D20</f>
        <v>0</v>
      </c>
      <c r="H20" s="771">
        <v>864</v>
      </c>
      <c r="I20" s="771">
        <f>H20*F20</f>
        <v>0</v>
      </c>
      <c r="J20" s="769" t="s">
        <v>5221</v>
      </c>
      <c r="K20" s="774">
        <f>IF(J20&lt;&gt;"L",'Main Creation Page'!$AF$11,'Main Creation Page'!$AG$11)</f>
        <v>10</v>
      </c>
      <c r="L20" s="629">
        <v>4</v>
      </c>
      <c r="M20" s="629">
        <f>IF(ISNA(VLOOKUP(T20,$BJ$44:$BN$58,3)),0,VLOOKUP(T20,$BJ$44:$BN$58,3))</f>
        <v>0</v>
      </c>
      <c r="N20" s="620">
        <f>K20+L20+M20</f>
        <v>14</v>
      </c>
      <c r="O20" s="769" t="s">
        <v>1333</v>
      </c>
      <c r="P20" s="620">
        <f ca="1">0+Skills!$AE$194</f>
        <v>0</v>
      </c>
      <c r="Q20" s="629">
        <v>9</v>
      </c>
      <c r="R20" s="629" t="str">
        <f>IF(AND(ISBLANK(Skills!$X$194),ISNA(Skills!$W$194)),"N","Y")</f>
        <v>N</v>
      </c>
      <c r="S20" s="629">
        <f>Skills!V$194</f>
        <v>4</v>
      </c>
      <c r="T20" s="629" t="str">
        <f>IF(ISNA(Skills!$W$194),IF(ISBLANK(Skills!$X$194)," ",Skills!$X$194),+Skills!$W$194+Skills!$X$194)</f>
        <v xml:space="preserve"> </v>
      </c>
      <c r="U20" s="743">
        <f>IF(R20="Y",Skills!$AC$194,Skills!$AB$194)</f>
        <v>0.2</v>
      </c>
      <c r="V20" s="714">
        <f ca="1">Skills!$Y$194</f>
        <v>0.12</v>
      </c>
      <c r="W20" s="714">
        <f ca="1">Skills!$AA$194</f>
        <v>0.12</v>
      </c>
      <c r="X20" s="777">
        <f ca="1">Skills!AD$194</f>
        <v>0.32</v>
      </c>
      <c r="Y20" s="622">
        <f ca="1">HLOOKUP(W20,$BJ$60:$BO$67,3)</f>
        <v>9</v>
      </c>
      <c r="Z20" s="622">
        <f t="shared" ref="Z20:Z30" ca="1" si="7">HLOOKUP(X20,$BJ$68:$BO$72,3)</f>
        <v>2</v>
      </c>
      <c r="AA20" s="602"/>
      <c r="AB20" s="608"/>
      <c r="AC20" s="608"/>
      <c r="AD20" s="608"/>
      <c r="AK20" s="609"/>
      <c r="AL20" s="609"/>
      <c r="AM20" s="609"/>
      <c r="AN20" s="609"/>
      <c r="AO20" s="609"/>
      <c r="AP20" s="609"/>
      <c r="AQ20" s="609"/>
      <c r="AR20" s="609"/>
      <c r="AS20" s="609"/>
      <c r="AT20" s="609"/>
      <c r="AU20" s="609"/>
      <c r="AV20" s="609"/>
      <c r="AW20" s="609"/>
      <c r="BJ20" s="608" t="s">
        <v>161</v>
      </c>
      <c r="BK20" s="765">
        <v>9</v>
      </c>
      <c r="BL20" s="765">
        <v>8</v>
      </c>
      <c r="BM20" s="765">
        <v>7</v>
      </c>
      <c r="BN20" s="765">
        <v>6</v>
      </c>
      <c r="BO20" s="765">
        <v>5</v>
      </c>
      <c r="BP20" s="765">
        <v>4</v>
      </c>
      <c r="BQ20" s="765">
        <v>16</v>
      </c>
      <c r="BR20" s="778" t="s">
        <v>5546</v>
      </c>
      <c r="BS20" s="765">
        <f t="shared" ref="BS20:BS27" si="8">A23</f>
        <v>22</v>
      </c>
      <c r="BW20" s="790"/>
      <c r="BX20" s="780" t="s">
        <v>4087</v>
      </c>
      <c r="BY20" s="602">
        <v>177</v>
      </c>
      <c r="BZ20" s="780" t="s">
        <v>4431</v>
      </c>
      <c r="CA20" s="602">
        <v>202</v>
      </c>
      <c r="DH20" s="602"/>
      <c r="DI20" s="602"/>
      <c r="DJ20" s="602"/>
      <c r="DK20" s="602"/>
    </row>
    <row r="21" spans="1:115" ht="11.1" customHeight="1" outlineLevel="2" thickBot="1">
      <c r="A21" s="602">
        <v>20</v>
      </c>
      <c r="B21" s="781" t="s">
        <v>1326</v>
      </c>
      <c r="C21" s="782">
        <v>4</v>
      </c>
      <c r="D21" s="783">
        <v>2</v>
      </c>
      <c r="E21" s="784">
        <v>24</v>
      </c>
      <c r="F21" s="649"/>
      <c r="G21" s="768">
        <f>F21*D21</f>
        <v>0</v>
      </c>
      <c r="H21" s="771">
        <v>864</v>
      </c>
      <c r="I21" s="771">
        <f>H21*F21</f>
        <v>0</v>
      </c>
      <c r="J21" s="769" t="s">
        <v>5221</v>
      </c>
      <c r="K21" s="774">
        <f>IF(J21&lt;&gt;"L",'Main Creation Page'!$AF$11,'Main Creation Page'!$AG$11)</f>
        <v>10</v>
      </c>
      <c r="L21" s="629">
        <v>4</v>
      </c>
      <c r="M21" s="629">
        <f>IF(ISNA(VLOOKUP(T21,$BJ$44:$BN$58,3)),0,VLOOKUP(T21,$BJ$44:$BN$58,3))</f>
        <v>0</v>
      </c>
      <c r="N21" s="620">
        <f>K21+L21+M21</f>
        <v>14</v>
      </c>
      <c r="O21" s="769" t="s">
        <v>1333</v>
      </c>
      <c r="P21" s="620">
        <f ca="1">0+Skills!$AE$194</f>
        <v>0</v>
      </c>
      <c r="Q21" s="629">
        <v>9</v>
      </c>
      <c r="R21" s="629" t="str">
        <f>IF(AND(ISBLANK(Skills!$X$194),ISNA(Skills!$W$194)),"N","Y")</f>
        <v>N</v>
      </c>
      <c r="S21" s="629">
        <f>Skills!V$194</f>
        <v>4</v>
      </c>
      <c r="T21" s="629" t="str">
        <f>IF(ISNA(Skills!$W$194),IF(ISBLANK(Skills!$X$194)," ",Skills!$X$194),+Skills!$W$194+Skills!$X$194)</f>
        <v xml:space="preserve"> </v>
      </c>
      <c r="U21" s="743">
        <f>IF(R21="Y",Skills!$AC$194,Skills!$AB$194)</f>
        <v>0.2</v>
      </c>
      <c r="V21" s="714">
        <f ca="1">Skills!$Y$194</f>
        <v>0.12</v>
      </c>
      <c r="W21" s="714">
        <f ca="1">Skills!$AA$194</f>
        <v>0.12</v>
      </c>
      <c r="X21" s="777">
        <f ca="1">Skills!AD$194</f>
        <v>0.32</v>
      </c>
      <c r="Y21" s="622">
        <f ca="1">HLOOKUP(W21,$BJ$60:$BO$67,3)</f>
        <v>9</v>
      </c>
      <c r="Z21" s="622">
        <f t="shared" ca="1" si="7"/>
        <v>2</v>
      </c>
      <c r="AA21" s="602"/>
      <c r="AB21" s="608"/>
      <c r="AC21" s="608"/>
      <c r="AD21" s="608"/>
      <c r="AK21" s="609"/>
      <c r="AL21" s="609"/>
      <c r="AM21" s="609"/>
      <c r="AN21" s="609"/>
      <c r="AO21" s="609"/>
      <c r="AP21" s="609"/>
      <c r="AQ21" s="609"/>
      <c r="AR21" s="609"/>
      <c r="AS21" s="609"/>
      <c r="AT21" s="609"/>
      <c r="AU21" s="609"/>
      <c r="AV21" s="609"/>
      <c r="AW21" s="609"/>
      <c r="BJ21" s="608" t="s">
        <v>4078</v>
      </c>
      <c r="BK21" s="765">
        <v>6</v>
      </c>
      <c r="BL21" s="765">
        <v>5</v>
      </c>
      <c r="BM21" s="765">
        <v>5</v>
      </c>
      <c r="BN21" s="765">
        <v>4</v>
      </c>
      <c r="BO21" s="765">
        <v>4</v>
      </c>
      <c r="BP21" s="765">
        <v>3</v>
      </c>
      <c r="BQ21" s="765">
        <v>17</v>
      </c>
      <c r="BR21" s="778" t="s">
        <v>5061</v>
      </c>
      <c r="BS21" s="765">
        <f t="shared" si="8"/>
        <v>23</v>
      </c>
      <c r="BU21" s="602"/>
      <c r="BY21" s="602"/>
      <c r="BZ21" s="780" t="s">
        <v>4432</v>
      </c>
      <c r="CA21" s="602">
        <v>203</v>
      </c>
      <c r="DH21" s="602"/>
      <c r="DI21" s="602"/>
      <c r="DJ21" s="602"/>
      <c r="DK21" s="602"/>
    </row>
    <row r="22" spans="1:115" ht="8.25" customHeight="1" outlineLevel="1" thickTop="1">
      <c r="A22" s="602">
        <v>21</v>
      </c>
      <c r="B22" s="785" t="s">
        <v>2022</v>
      </c>
      <c r="C22" s="786"/>
      <c r="D22" s="787"/>
      <c r="E22" s="788"/>
      <c r="F22" s="789"/>
      <c r="G22" s="768"/>
      <c r="H22" s="771"/>
      <c r="I22" s="771"/>
      <c r="J22" s="769"/>
      <c r="K22" s="774"/>
      <c r="L22" s="629"/>
      <c r="M22" s="629"/>
      <c r="N22" s="629"/>
      <c r="O22" s="769"/>
      <c r="P22" s="629"/>
      <c r="Q22" s="629"/>
      <c r="R22" s="629"/>
      <c r="S22" s="629"/>
      <c r="T22" s="629"/>
      <c r="U22" s="629"/>
      <c r="V22" s="769"/>
      <c r="W22" s="769"/>
      <c r="X22" s="772"/>
      <c r="Y22" s="629"/>
      <c r="Z22" s="745"/>
      <c r="AA22" s="602"/>
      <c r="AB22" s="608"/>
      <c r="AC22" s="608"/>
      <c r="AD22" s="608"/>
      <c r="AK22" s="609"/>
      <c r="AL22" s="609"/>
      <c r="AM22" s="609"/>
      <c r="AN22" s="609"/>
      <c r="AO22" s="609"/>
      <c r="AP22" s="609"/>
      <c r="AQ22" s="609"/>
      <c r="AR22" s="609"/>
      <c r="AS22" s="609"/>
      <c r="AT22" s="609"/>
      <c r="AU22" s="609"/>
      <c r="AV22" s="609"/>
      <c r="AW22" s="609"/>
      <c r="BJ22" s="608" t="s">
        <v>3273</v>
      </c>
      <c r="BK22" s="765">
        <v>15</v>
      </c>
      <c r="BL22" s="765">
        <v>14</v>
      </c>
      <c r="BM22" s="765">
        <v>12</v>
      </c>
      <c r="BN22" s="765">
        <v>11</v>
      </c>
      <c r="BO22" s="765">
        <v>9</v>
      </c>
      <c r="BP22" s="765">
        <v>8</v>
      </c>
      <c r="BQ22" s="765">
        <v>18</v>
      </c>
      <c r="BR22" s="778" t="s">
        <v>3808</v>
      </c>
      <c r="BS22" s="765">
        <f t="shared" si="8"/>
        <v>24</v>
      </c>
      <c r="BU22" s="602"/>
      <c r="BY22" s="602"/>
      <c r="BZ22" s="780" t="s">
        <v>4433</v>
      </c>
      <c r="CA22" s="602">
        <v>204</v>
      </c>
      <c r="DH22" s="602"/>
      <c r="DI22" s="602"/>
      <c r="DJ22" s="602"/>
      <c r="DK22" s="602"/>
    </row>
    <row r="23" spans="1:115" ht="11.1" customHeight="1" outlineLevel="2">
      <c r="A23" s="602">
        <v>22</v>
      </c>
      <c r="B23" s="780" t="s">
        <v>5546</v>
      </c>
      <c r="C23" s="629" t="s">
        <v>5545</v>
      </c>
      <c r="D23" s="768">
        <v>3</v>
      </c>
      <c r="E23" s="769">
        <v>27</v>
      </c>
      <c r="F23" s="649"/>
      <c r="G23" s="768">
        <f t="shared" ref="G23:G30" si="9">F23*D23</f>
        <v>0</v>
      </c>
      <c r="H23" s="771">
        <v>0</v>
      </c>
      <c r="I23" s="771">
        <f t="shared" ref="I23:I30" si="10">H23*F23</f>
        <v>0</v>
      </c>
      <c r="J23" s="769" t="s">
        <v>1563</v>
      </c>
      <c r="K23" s="774">
        <f>IF(J23&lt;&gt;"L",'Main Creation Page'!$AF$11,'Main Creation Page'!$AG$11)</f>
        <v>5</v>
      </c>
      <c r="L23" s="629">
        <v>4</v>
      </c>
      <c r="M23" s="629">
        <f>IF(ISNA(VLOOKUP(T23,$BJ$44:$BN$58,2)),0,VLOOKUP(T23,$BJ$44:$BN$58,2))</f>
        <v>0</v>
      </c>
      <c r="N23" s="620">
        <f t="shared" ref="N23:N30" si="11">K23+L23+M23</f>
        <v>9</v>
      </c>
      <c r="O23" s="769" t="s">
        <v>5067</v>
      </c>
      <c r="P23" s="620">
        <f ca="1">0+Skills!$AE$195</f>
        <v>0</v>
      </c>
      <c r="Q23" s="629">
        <v>9</v>
      </c>
      <c r="R23" s="629" t="str">
        <f>IF(AND(ISBLANK(Skills!$X$195),ISNA(Skills!$W$195)),"N","Y")</f>
        <v>N</v>
      </c>
      <c r="S23" s="629">
        <f>Skills!V$195</f>
        <v>4</v>
      </c>
      <c r="T23" s="629" t="str">
        <f>IF(ISNA(Skills!$W$195),IF(ISBLANK(Skills!$X$195)," ",Skills!$X$195),+Skills!$W$195+Skills!$X$195)</f>
        <v xml:space="preserve"> </v>
      </c>
      <c r="U23" s="743">
        <f>IF(R23="Y",Skills!$AC$195,Skills!$AB$195)</f>
        <v>0.2</v>
      </c>
      <c r="V23" s="714">
        <f ca="1">Skills!$Y$195</f>
        <v>0.12</v>
      </c>
      <c r="W23" s="714">
        <f ca="1">Skills!$AA$195</f>
        <v>0.12</v>
      </c>
      <c r="X23" s="777">
        <f ca="1">Skills!AD$195</f>
        <v>0.32</v>
      </c>
      <c r="Y23" s="622">
        <f t="shared" ref="Y23:Y30" ca="1" si="12">HLOOKUP(W23,$BJ$60:$BO$67,3)</f>
        <v>9</v>
      </c>
      <c r="Z23" s="622">
        <f t="shared" ca="1" si="7"/>
        <v>2</v>
      </c>
      <c r="AA23" s="602"/>
      <c r="AB23" s="608"/>
      <c r="AC23" s="608"/>
      <c r="AD23" s="608"/>
      <c r="AK23" s="609"/>
      <c r="AL23" s="609"/>
      <c r="AM23" s="609"/>
      <c r="AN23" s="609"/>
      <c r="AO23" s="609"/>
      <c r="AP23" s="609"/>
      <c r="AQ23" s="609"/>
      <c r="AR23" s="609"/>
      <c r="AS23" s="609"/>
      <c r="AT23" s="609"/>
      <c r="AU23" s="609"/>
      <c r="AV23" s="609"/>
      <c r="AW23" s="609"/>
      <c r="BJ23" s="608" t="s">
        <v>3274</v>
      </c>
      <c r="BK23" s="765">
        <v>30</v>
      </c>
      <c r="BL23" s="765">
        <v>27</v>
      </c>
      <c r="BM23" s="765">
        <v>24</v>
      </c>
      <c r="BN23" s="765">
        <v>21</v>
      </c>
      <c r="BO23" s="765">
        <v>18</v>
      </c>
      <c r="BP23" s="765">
        <v>15</v>
      </c>
      <c r="BQ23" s="765">
        <v>19</v>
      </c>
      <c r="BR23" s="778" t="s">
        <v>1664</v>
      </c>
      <c r="BS23" s="765">
        <f t="shared" si="8"/>
        <v>25</v>
      </c>
      <c r="BU23" s="602"/>
      <c r="BZ23" s="780" t="s">
        <v>4434</v>
      </c>
      <c r="CA23" s="602">
        <v>205</v>
      </c>
      <c r="DH23" s="602"/>
      <c r="DI23" s="602"/>
      <c r="DJ23" s="602"/>
      <c r="DK23" s="602"/>
    </row>
    <row r="24" spans="1:115" ht="11.1" customHeight="1" outlineLevel="2">
      <c r="A24" s="602">
        <v>23</v>
      </c>
      <c r="B24" s="780" t="s">
        <v>5061</v>
      </c>
      <c r="C24" s="629" t="s">
        <v>5545</v>
      </c>
      <c r="D24" s="768">
        <v>4</v>
      </c>
      <c r="E24" s="769">
        <v>30</v>
      </c>
      <c r="F24" s="649"/>
      <c r="G24" s="768">
        <f t="shared" si="9"/>
        <v>0</v>
      </c>
      <c r="H24" s="771">
        <v>0</v>
      </c>
      <c r="I24" s="771">
        <f t="shared" si="10"/>
        <v>0</v>
      </c>
      <c r="J24" s="769" t="s">
        <v>1563</v>
      </c>
      <c r="K24" s="774">
        <f>IF(J24&lt;&gt;"L",'Main Creation Page'!$AF$11,'Main Creation Page'!$AG$11)</f>
        <v>5</v>
      </c>
      <c r="L24" s="629">
        <v>4</v>
      </c>
      <c r="M24" s="629">
        <f>IF(ISNA(VLOOKUP(T24,$BJ$44:$BN$58,2)),0,VLOOKUP(T24,$BJ$44:$BN$58,2))</f>
        <v>0</v>
      </c>
      <c r="N24" s="620">
        <f t="shared" si="11"/>
        <v>9</v>
      </c>
      <c r="O24" s="769" t="s">
        <v>5067</v>
      </c>
      <c r="P24" s="620">
        <f ca="1">0+Skills!$AE$195</f>
        <v>0</v>
      </c>
      <c r="Q24" s="629">
        <v>9</v>
      </c>
      <c r="R24" s="629" t="str">
        <f>IF(AND(ISBLANK(Skills!$X$195),ISNA(Skills!$W$195)),"N","Y")</f>
        <v>N</v>
      </c>
      <c r="S24" s="629">
        <f>Skills!V$195</f>
        <v>4</v>
      </c>
      <c r="T24" s="629" t="str">
        <f>IF(ISNA(Skills!$W$195),IF(ISBLANK(Skills!$X$195)," ",Skills!$X$195),+Skills!$W$195+Skills!$X$195)</f>
        <v xml:space="preserve"> </v>
      </c>
      <c r="U24" s="743">
        <f>IF(R24="Y",Skills!$AC$195,Skills!$AB$195)</f>
        <v>0.2</v>
      </c>
      <c r="V24" s="714">
        <f ca="1">Skills!$Y$195</f>
        <v>0.12</v>
      </c>
      <c r="W24" s="714">
        <f ca="1">Skills!$AA$195</f>
        <v>0.12</v>
      </c>
      <c r="X24" s="777">
        <f ca="1">Skills!AD$195</f>
        <v>0.32</v>
      </c>
      <c r="Y24" s="622">
        <f t="shared" ca="1" si="12"/>
        <v>9</v>
      </c>
      <c r="Z24" s="622">
        <f t="shared" ca="1" si="7"/>
        <v>2</v>
      </c>
      <c r="AA24" s="602"/>
      <c r="AB24" s="608"/>
      <c r="AC24" s="608"/>
      <c r="AD24" s="608"/>
      <c r="AK24" s="609"/>
      <c r="AL24" s="609"/>
      <c r="AM24" s="609"/>
      <c r="AN24" s="609"/>
      <c r="AO24" s="609"/>
      <c r="AP24" s="609"/>
      <c r="AQ24" s="609"/>
      <c r="AR24" s="609"/>
      <c r="AS24" s="609"/>
      <c r="AT24" s="609"/>
      <c r="AU24" s="609"/>
      <c r="AV24" s="609"/>
      <c r="AW24" s="609"/>
      <c r="BJ24" s="608" t="s">
        <v>3275</v>
      </c>
      <c r="BK24" s="765">
        <v>60</v>
      </c>
      <c r="BL24" s="765">
        <v>54</v>
      </c>
      <c r="BM24" s="765">
        <v>48</v>
      </c>
      <c r="BN24" s="765">
        <v>42</v>
      </c>
      <c r="BO24" s="765">
        <v>36</v>
      </c>
      <c r="BP24" s="765">
        <v>36</v>
      </c>
      <c r="BQ24" s="765">
        <v>20</v>
      </c>
      <c r="BR24" s="778" t="s">
        <v>1665</v>
      </c>
      <c r="BS24" s="765">
        <f t="shared" si="8"/>
        <v>26</v>
      </c>
      <c r="BU24" s="602"/>
      <c r="BZ24" s="780" t="s">
        <v>4435</v>
      </c>
      <c r="CA24" s="602">
        <v>209</v>
      </c>
      <c r="DH24" s="602"/>
      <c r="DI24" s="602"/>
      <c r="DJ24" s="602"/>
      <c r="DK24" s="602"/>
    </row>
    <row r="25" spans="1:115" ht="11.1" customHeight="1" outlineLevel="2">
      <c r="A25" s="602">
        <v>24</v>
      </c>
      <c r="B25" s="780" t="s">
        <v>3808</v>
      </c>
      <c r="C25" s="629">
        <v>7</v>
      </c>
      <c r="D25" s="768">
        <v>3</v>
      </c>
      <c r="E25" s="769">
        <v>36</v>
      </c>
      <c r="F25" s="649"/>
      <c r="G25" s="768">
        <f t="shared" si="9"/>
        <v>0</v>
      </c>
      <c r="H25" s="771">
        <v>1152</v>
      </c>
      <c r="I25" s="771">
        <f t="shared" si="10"/>
        <v>0</v>
      </c>
      <c r="J25" s="769" t="s">
        <v>5221</v>
      </c>
      <c r="K25" s="774">
        <f>IF(J25&lt;&gt;"L",'Main Creation Page'!$AF$11,'Main Creation Page'!$AG$11)</f>
        <v>10</v>
      </c>
      <c r="L25" s="629">
        <v>4</v>
      </c>
      <c r="M25" s="629">
        <f>IF(ISNA(VLOOKUP(T25,$BJ$44:$BN$58,3)),0,VLOOKUP(T25,$BJ$44:$BN$58,3))</f>
        <v>0</v>
      </c>
      <c r="N25" s="620">
        <f t="shared" si="11"/>
        <v>14</v>
      </c>
      <c r="O25" s="769" t="s">
        <v>5067</v>
      </c>
      <c r="P25" s="620">
        <f ca="1">0+Skills!$AE$195</f>
        <v>0</v>
      </c>
      <c r="Q25" s="629">
        <v>8</v>
      </c>
      <c r="R25" s="629" t="str">
        <f>IF(AND(ISBLANK(Skills!$X$195),ISNA(Skills!$W$195)),"N","Y")</f>
        <v>N</v>
      </c>
      <c r="S25" s="629">
        <f>Skills!V$195</f>
        <v>4</v>
      </c>
      <c r="T25" s="629" t="str">
        <f>IF(ISNA(Skills!$W$195),IF(ISBLANK(Skills!$X$195)," ",Skills!$X$195),+Skills!$W$195+Skills!$X$195)</f>
        <v xml:space="preserve"> </v>
      </c>
      <c r="U25" s="743">
        <f>IF(R25="Y",Skills!$AC$195,Skills!$AB$195)</f>
        <v>0.2</v>
      </c>
      <c r="V25" s="714">
        <f ca="1">Skills!$Y$195</f>
        <v>0.12</v>
      </c>
      <c r="W25" s="714">
        <f ca="1">Skills!$AA$195</f>
        <v>0.12</v>
      </c>
      <c r="X25" s="777">
        <f ca="1">Skills!AD$195</f>
        <v>0.32</v>
      </c>
      <c r="Y25" s="622">
        <f t="shared" ca="1" si="12"/>
        <v>9</v>
      </c>
      <c r="Z25" s="622">
        <f t="shared" ca="1" si="7"/>
        <v>2</v>
      </c>
      <c r="AA25" s="602"/>
      <c r="AB25" s="608"/>
      <c r="AC25" s="608"/>
      <c r="AD25" s="608"/>
      <c r="AK25" s="609"/>
      <c r="AL25" s="609"/>
      <c r="AM25" s="609"/>
      <c r="AN25" s="609"/>
      <c r="AO25" s="609"/>
      <c r="AP25" s="609"/>
      <c r="AQ25" s="609"/>
      <c r="AR25" s="609"/>
      <c r="AS25" s="609"/>
      <c r="AT25" s="609"/>
      <c r="AU25" s="609"/>
      <c r="AV25" s="609"/>
      <c r="AW25" s="609"/>
      <c r="BJ25" s="608" t="s">
        <v>3276</v>
      </c>
      <c r="BK25" s="765">
        <v>1</v>
      </c>
      <c r="BL25" s="765">
        <v>1</v>
      </c>
      <c r="BM25" s="765">
        <v>1</v>
      </c>
      <c r="BN25" s="765">
        <v>1</v>
      </c>
      <c r="BO25" s="765">
        <v>1</v>
      </c>
      <c r="BP25" s="765">
        <v>1</v>
      </c>
      <c r="BQ25" s="765">
        <v>21</v>
      </c>
      <c r="BR25" s="778" t="s">
        <v>2222</v>
      </c>
      <c r="BS25" s="765">
        <f t="shared" si="8"/>
        <v>27</v>
      </c>
      <c r="BU25" s="602"/>
      <c r="BZ25" s="780" t="s">
        <v>322</v>
      </c>
      <c r="CA25" s="602">
        <v>210</v>
      </c>
      <c r="DH25" s="602"/>
      <c r="DI25" s="602"/>
      <c r="DJ25" s="602"/>
      <c r="DK25" s="602"/>
    </row>
    <row r="26" spans="1:115" ht="11.1" customHeight="1" outlineLevel="2">
      <c r="A26" s="602">
        <v>25</v>
      </c>
      <c r="B26" s="780" t="s">
        <v>5058</v>
      </c>
      <c r="C26" s="629">
        <v>14</v>
      </c>
      <c r="D26" s="768">
        <v>3</v>
      </c>
      <c r="E26" s="769">
        <v>40</v>
      </c>
      <c r="F26" s="649"/>
      <c r="G26" s="768">
        <f t="shared" si="9"/>
        <v>0</v>
      </c>
      <c r="H26" s="771">
        <v>1920</v>
      </c>
      <c r="I26" s="771">
        <f t="shared" si="10"/>
        <v>0</v>
      </c>
      <c r="J26" s="769" t="s">
        <v>5221</v>
      </c>
      <c r="K26" s="774">
        <f>IF(J26&lt;&gt;"L",'Main Creation Page'!$AF$11,'Main Creation Page'!$AG$11)</f>
        <v>10</v>
      </c>
      <c r="L26" s="629">
        <v>5</v>
      </c>
      <c r="M26" s="629">
        <f>IF(ISNA(VLOOKUP(T26,$BJ$44:$BN$58,3)),0,VLOOKUP(T26,$BJ$44:$BN$58,3))</f>
        <v>0</v>
      </c>
      <c r="N26" s="620">
        <f t="shared" si="11"/>
        <v>15</v>
      </c>
      <c r="O26" s="769" t="s">
        <v>5067</v>
      </c>
      <c r="P26" s="775">
        <f ca="1">1+Skills!$AE$195</f>
        <v>1</v>
      </c>
      <c r="Q26" s="776">
        <v>8</v>
      </c>
      <c r="R26" s="629" t="str">
        <f>IF(AND(ISBLANK(Skills!$X$195),ISNA(Skills!$W$195)),"N","Y")</f>
        <v>N</v>
      </c>
      <c r="S26" s="629">
        <f>Skills!V$195</f>
        <v>4</v>
      </c>
      <c r="T26" s="629" t="str">
        <f>IF(ISNA(Skills!$W$195),IF(ISBLANK(Skills!$X$195)," ",Skills!$X$195),+Skills!$W$195+Skills!$X$195)</f>
        <v xml:space="preserve"> </v>
      </c>
      <c r="U26" s="743">
        <f>IF(R26="Y",Skills!$AC$195,Skills!$AB$195)</f>
        <v>0.2</v>
      </c>
      <c r="V26" s="714">
        <f ca="1">Skills!$Y$195</f>
        <v>0.12</v>
      </c>
      <c r="W26" s="714">
        <f ca="1">Skills!$AA$195</f>
        <v>0.12</v>
      </c>
      <c r="X26" s="777">
        <f ca="1">Skills!AD$195</f>
        <v>0.32</v>
      </c>
      <c r="Y26" s="622">
        <f t="shared" ca="1" si="12"/>
        <v>9</v>
      </c>
      <c r="Z26" s="622">
        <f t="shared" ca="1" si="7"/>
        <v>2</v>
      </c>
      <c r="AA26" s="602"/>
      <c r="AB26" s="608"/>
      <c r="AC26" s="608"/>
      <c r="AD26" s="608"/>
      <c r="AK26" s="609"/>
      <c r="AL26" s="609"/>
      <c r="AM26" s="609"/>
      <c r="AN26" s="609"/>
      <c r="AO26" s="609"/>
      <c r="AP26" s="609"/>
      <c r="AQ26" s="609"/>
      <c r="AR26" s="609"/>
      <c r="AS26" s="609"/>
      <c r="AT26" s="609"/>
      <c r="AU26" s="609"/>
      <c r="AV26" s="609"/>
      <c r="AW26" s="609"/>
      <c r="BJ26" s="608" t="s">
        <v>3277</v>
      </c>
      <c r="BK26" s="765">
        <v>7</v>
      </c>
      <c r="BL26" s="765">
        <v>6</v>
      </c>
      <c r="BM26" s="765">
        <v>6</v>
      </c>
      <c r="BN26" s="765">
        <v>5</v>
      </c>
      <c r="BO26" s="765">
        <v>4</v>
      </c>
      <c r="BP26" s="765">
        <v>4</v>
      </c>
      <c r="BQ26" s="765">
        <v>22</v>
      </c>
      <c r="BR26" s="778" t="s">
        <v>4693</v>
      </c>
      <c r="BS26" s="765">
        <f t="shared" si="8"/>
        <v>28</v>
      </c>
      <c r="BU26" s="602"/>
      <c r="BZ26" s="780" t="s">
        <v>4433</v>
      </c>
      <c r="CA26" s="602">
        <v>214</v>
      </c>
      <c r="DH26" s="602"/>
      <c r="DI26" s="602"/>
      <c r="DJ26" s="602"/>
      <c r="DK26" s="602"/>
    </row>
    <row r="27" spans="1:115" ht="11.1" customHeight="1" outlineLevel="2">
      <c r="A27" s="602">
        <v>26</v>
      </c>
      <c r="B27" s="780" t="s">
        <v>5059</v>
      </c>
      <c r="C27" s="629">
        <v>14</v>
      </c>
      <c r="D27" s="768">
        <v>3</v>
      </c>
      <c r="E27" s="769">
        <v>40</v>
      </c>
      <c r="F27" s="649"/>
      <c r="G27" s="768">
        <f t="shared" si="9"/>
        <v>0</v>
      </c>
      <c r="H27" s="771">
        <v>1920</v>
      </c>
      <c r="I27" s="771">
        <f t="shared" si="10"/>
        <v>0</v>
      </c>
      <c r="J27" s="769" t="s">
        <v>5221</v>
      </c>
      <c r="K27" s="774">
        <f>IF(J27&lt;&gt;"L",'Main Creation Page'!$AF$11,'Main Creation Page'!$AG$11)</f>
        <v>10</v>
      </c>
      <c r="L27" s="629">
        <v>6</v>
      </c>
      <c r="M27" s="629">
        <f>IF(ISNA(VLOOKUP(T27,$BJ$44:$BN$58,3)),0,VLOOKUP(T27,$BJ$44:$BN$58,3))</f>
        <v>0</v>
      </c>
      <c r="N27" s="620">
        <f t="shared" si="11"/>
        <v>16</v>
      </c>
      <c r="O27" s="769" t="s">
        <v>5067</v>
      </c>
      <c r="P27" s="775">
        <f ca="1">1+Skills!$AE$195</f>
        <v>1</v>
      </c>
      <c r="Q27" s="776">
        <v>8</v>
      </c>
      <c r="R27" s="629" t="str">
        <f>IF(AND(ISBLANK(Skills!$X$195),ISNA(Skills!$W$195)),"N","Y")</f>
        <v>N</v>
      </c>
      <c r="S27" s="629">
        <f>Skills!V$195</f>
        <v>4</v>
      </c>
      <c r="T27" s="629" t="str">
        <f>IF(ISNA(Skills!$W$195),IF(ISBLANK(Skills!$X$195)," ",Skills!$X$195),+Skills!$W$195+Skills!$X$195)</f>
        <v xml:space="preserve"> </v>
      </c>
      <c r="U27" s="743">
        <f>IF(R27="Y",Skills!$AC$195,Skills!$AB$195)</f>
        <v>0.2</v>
      </c>
      <c r="V27" s="714">
        <f ca="1">Skills!$Y$195</f>
        <v>0.12</v>
      </c>
      <c r="W27" s="714">
        <f ca="1">Skills!$AA$195</f>
        <v>0.12</v>
      </c>
      <c r="X27" s="777">
        <f ca="1">Skills!AD$195</f>
        <v>0.32</v>
      </c>
      <c r="Y27" s="622">
        <f t="shared" ca="1" si="12"/>
        <v>9</v>
      </c>
      <c r="Z27" s="622">
        <f t="shared" ca="1" si="7"/>
        <v>2</v>
      </c>
      <c r="AA27" s="602"/>
      <c r="AB27" s="608"/>
      <c r="AC27" s="608"/>
      <c r="AD27" s="608"/>
      <c r="AK27" s="609"/>
      <c r="AL27" s="609"/>
      <c r="AM27" s="609"/>
      <c r="AN27" s="609"/>
      <c r="AO27" s="609"/>
      <c r="AP27" s="609"/>
      <c r="AQ27" s="609"/>
      <c r="AR27" s="609"/>
      <c r="AS27" s="609"/>
      <c r="AT27" s="609"/>
      <c r="AU27" s="609"/>
      <c r="AV27" s="609"/>
      <c r="AW27" s="609"/>
      <c r="BJ27" s="608" t="s">
        <v>3278</v>
      </c>
      <c r="BK27" s="765">
        <v>3</v>
      </c>
      <c r="BL27" s="765">
        <v>3</v>
      </c>
      <c r="BM27" s="765">
        <v>2</v>
      </c>
      <c r="BN27" s="765">
        <v>2</v>
      </c>
      <c r="BO27" s="765">
        <v>2</v>
      </c>
      <c r="BP27" s="765">
        <v>2</v>
      </c>
      <c r="BQ27" s="765">
        <v>23</v>
      </c>
      <c r="BR27" s="778" t="s">
        <v>2227</v>
      </c>
      <c r="BS27" s="765">
        <f t="shared" si="8"/>
        <v>29</v>
      </c>
      <c r="BU27" s="602"/>
      <c r="BZ27" s="780" t="s">
        <v>4428</v>
      </c>
      <c r="CA27" s="602">
        <v>215</v>
      </c>
      <c r="DH27" s="602"/>
      <c r="DI27" s="602"/>
      <c r="DJ27" s="602"/>
      <c r="DK27" s="602"/>
    </row>
    <row r="28" spans="1:115" ht="11.1" customHeight="1" outlineLevel="2">
      <c r="A28" s="602">
        <v>27</v>
      </c>
      <c r="B28" s="780" t="s">
        <v>2222</v>
      </c>
      <c r="C28" s="629" t="s">
        <v>5545</v>
      </c>
      <c r="D28" s="768">
        <v>3</v>
      </c>
      <c r="E28" s="769">
        <v>42</v>
      </c>
      <c r="F28" s="649"/>
      <c r="G28" s="768">
        <f t="shared" si="9"/>
        <v>0</v>
      </c>
      <c r="H28" s="771">
        <v>0</v>
      </c>
      <c r="I28" s="771">
        <f t="shared" si="10"/>
        <v>0</v>
      </c>
      <c r="J28" s="769" t="s">
        <v>5221</v>
      </c>
      <c r="K28" s="774">
        <f>IF(J28&lt;&gt;"L",'Main Creation Page'!$AF$11,'Main Creation Page'!$AG$11)</f>
        <v>10</v>
      </c>
      <c r="L28" s="629">
        <v>5</v>
      </c>
      <c r="M28" s="629">
        <f>IF(ISNA(VLOOKUP(T28,$BJ$44:$BN$58,3)),0,VLOOKUP(T28,$BJ$44:$BN$58,3))</f>
        <v>0</v>
      </c>
      <c r="N28" s="620">
        <f t="shared" si="11"/>
        <v>15</v>
      </c>
      <c r="O28" s="769" t="s">
        <v>5067</v>
      </c>
      <c r="P28" s="775">
        <f ca="1">1+Skills!$AE$195</f>
        <v>1</v>
      </c>
      <c r="Q28" s="776">
        <v>7</v>
      </c>
      <c r="R28" s="629" t="str">
        <f>IF(AND(ISBLANK(Skills!$X$195),ISNA(Skills!$W$195)),"N","Y")</f>
        <v>N</v>
      </c>
      <c r="S28" s="629">
        <f>Skills!V$195</f>
        <v>4</v>
      </c>
      <c r="T28" s="629" t="str">
        <f>IF(ISNA(Skills!$W$195),IF(ISBLANK(Skills!$X$195)," ",Skills!$X$195),+Skills!$W$195+Skills!$X$195)</f>
        <v xml:space="preserve"> </v>
      </c>
      <c r="U28" s="743">
        <f>IF(R28="Y",Skills!$AC$195,Skills!$AB$195)</f>
        <v>0.2</v>
      </c>
      <c r="V28" s="714">
        <f ca="1">Skills!$Y$195</f>
        <v>0.12</v>
      </c>
      <c r="W28" s="714">
        <f ca="1">Skills!$AA$195</f>
        <v>0.12</v>
      </c>
      <c r="X28" s="777">
        <f ca="1">Skills!AD$195</f>
        <v>0.32</v>
      </c>
      <c r="Y28" s="622">
        <f t="shared" ca="1" si="12"/>
        <v>9</v>
      </c>
      <c r="Z28" s="622">
        <f t="shared" ca="1" si="7"/>
        <v>2</v>
      </c>
      <c r="AA28" s="602"/>
      <c r="AB28" s="608"/>
      <c r="AC28" s="608"/>
      <c r="AD28" s="608"/>
      <c r="AK28" s="609"/>
      <c r="AL28" s="609"/>
      <c r="AM28" s="609"/>
      <c r="AN28" s="609"/>
      <c r="AO28" s="609"/>
      <c r="AP28" s="609"/>
      <c r="AQ28" s="609"/>
      <c r="AR28" s="609"/>
      <c r="AS28" s="609"/>
      <c r="AT28" s="609"/>
      <c r="AU28" s="609"/>
      <c r="AV28" s="609"/>
      <c r="AW28" s="609"/>
      <c r="BJ28" s="608" t="s">
        <v>3279</v>
      </c>
      <c r="BK28" s="765">
        <v>3</v>
      </c>
      <c r="BL28" s="765">
        <v>3</v>
      </c>
      <c r="BM28" s="765">
        <v>2</v>
      </c>
      <c r="BN28" s="765">
        <v>2</v>
      </c>
      <c r="BO28" s="765">
        <v>2</v>
      </c>
      <c r="BP28" s="765">
        <v>2</v>
      </c>
      <c r="BQ28" s="765">
        <v>24</v>
      </c>
      <c r="BR28" s="778" t="s">
        <v>5062</v>
      </c>
      <c r="BS28" s="765">
        <f>A32</f>
        <v>31</v>
      </c>
      <c r="BU28" s="602"/>
      <c r="BZ28" s="780" t="s">
        <v>325</v>
      </c>
      <c r="CA28" s="602">
        <v>216</v>
      </c>
      <c r="DH28" s="602"/>
      <c r="DI28" s="602"/>
      <c r="DJ28" s="602"/>
      <c r="DK28" s="602"/>
    </row>
    <row r="29" spans="1:115" ht="11.1" customHeight="1" outlineLevel="2">
      <c r="A29" s="602">
        <v>28</v>
      </c>
      <c r="B29" s="780" t="s">
        <v>5060</v>
      </c>
      <c r="C29" s="629">
        <v>9</v>
      </c>
      <c r="D29" s="768">
        <v>4</v>
      </c>
      <c r="E29" s="769">
        <v>44</v>
      </c>
      <c r="F29" s="649"/>
      <c r="G29" s="768">
        <f t="shared" si="9"/>
        <v>0</v>
      </c>
      <c r="H29" s="771">
        <v>1320</v>
      </c>
      <c r="I29" s="771">
        <f t="shared" si="10"/>
        <v>0</v>
      </c>
      <c r="J29" s="769" t="s">
        <v>5221</v>
      </c>
      <c r="K29" s="774">
        <f>IF(J29&lt;&gt;"L",'Main Creation Page'!$AF$11,'Main Creation Page'!$AG$11)</f>
        <v>10</v>
      </c>
      <c r="L29" s="629">
        <v>5</v>
      </c>
      <c r="M29" s="629">
        <f>IF(ISNA(VLOOKUP(T29,$BJ$44:$BN$58,3)),0,VLOOKUP(T29,$BJ$44:$BN$58,3))</f>
        <v>0</v>
      </c>
      <c r="N29" s="620">
        <f t="shared" si="11"/>
        <v>15</v>
      </c>
      <c r="O29" s="769" t="s">
        <v>5067</v>
      </c>
      <c r="P29" s="775">
        <f ca="1">1+Skills!$AE$195</f>
        <v>1</v>
      </c>
      <c r="Q29" s="776">
        <v>7</v>
      </c>
      <c r="R29" s="629" t="str">
        <f>IF(AND(ISBLANK(Skills!$X$195),ISNA(Skills!$W$195)),"N","Y")</f>
        <v>N</v>
      </c>
      <c r="S29" s="629">
        <f>Skills!V$195</f>
        <v>4</v>
      </c>
      <c r="T29" s="629" t="str">
        <f>IF(ISNA(Skills!$W$195),IF(ISBLANK(Skills!$X$195)," ",Skills!$X$195),+Skills!$W$195+Skills!$X$195)</f>
        <v xml:space="preserve"> </v>
      </c>
      <c r="U29" s="743">
        <f>IF(R29="Y",Skills!$AC$195,Skills!$AB$195)</f>
        <v>0.2</v>
      </c>
      <c r="V29" s="714">
        <f ca="1">Skills!$Y$195</f>
        <v>0.12</v>
      </c>
      <c r="W29" s="714">
        <f ca="1">Skills!$AA$195</f>
        <v>0.12</v>
      </c>
      <c r="X29" s="777">
        <f ca="1">Skills!AD$195</f>
        <v>0.32</v>
      </c>
      <c r="Y29" s="622">
        <f t="shared" ca="1" si="12"/>
        <v>9</v>
      </c>
      <c r="Z29" s="622">
        <f t="shared" ca="1" si="7"/>
        <v>2</v>
      </c>
      <c r="AA29" s="602"/>
      <c r="AB29" s="608"/>
      <c r="AC29" s="608"/>
      <c r="AD29" s="608"/>
      <c r="AK29" s="609"/>
      <c r="AL29" s="609"/>
      <c r="AM29" s="609"/>
      <c r="AN29" s="609"/>
      <c r="AO29" s="609"/>
      <c r="AP29" s="609"/>
      <c r="AQ29" s="609"/>
      <c r="AR29" s="609"/>
      <c r="AS29" s="609"/>
      <c r="AT29" s="609"/>
      <c r="AU29" s="609"/>
      <c r="AV29" s="609"/>
      <c r="AW29" s="609"/>
      <c r="BJ29" s="608" t="s">
        <v>3280</v>
      </c>
      <c r="BK29" s="765">
        <v>1</v>
      </c>
      <c r="BL29" s="765">
        <v>1</v>
      </c>
      <c r="BM29" s="765">
        <v>1</v>
      </c>
      <c r="BN29" s="765">
        <v>1</v>
      </c>
      <c r="BO29" s="765">
        <v>1</v>
      </c>
      <c r="BP29" s="765">
        <v>1</v>
      </c>
      <c r="BQ29" s="765">
        <v>25</v>
      </c>
      <c r="BR29" s="778" t="s">
        <v>1666</v>
      </c>
      <c r="BS29" s="765">
        <f>A33</f>
        <v>32</v>
      </c>
      <c r="BU29" s="602"/>
      <c r="BZ29" s="780" t="s">
        <v>5028</v>
      </c>
      <c r="CA29" s="602">
        <v>217</v>
      </c>
      <c r="DH29" s="602"/>
      <c r="DI29" s="602"/>
      <c r="DJ29" s="602"/>
      <c r="DK29" s="602"/>
    </row>
    <row r="30" spans="1:115" ht="9.75" customHeight="1" outlineLevel="2" thickBot="1">
      <c r="A30" s="602">
        <v>29</v>
      </c>
      <c r="B30" s="781" t="s">
        <v>2227</v>
      </c>
      <c r="C30" s="782">
        <v>14</v>
      </c>
      <c r="D30" s="783">
        <v>5</v>
      </c>
      <c r="E30" s="784">
        <v>48</v>
      </c>
      <c r="F30" s="649"/>
      <c r="G30" s="768">
        <f t="shared" si="9"/>
        <v>0</v>
      </c>
      <c r="H30" s="771">
        <v>3600</v>
      </c>
      <c r="I30" s="771">
        <f t="shared" si="10"/>
        <v>0</v>
      </c>
      <c r="J30" s="769" t="s">
        <v>2763</v>
      </c>
      <c r="K30" s="774">
        <f>IF(J30&lt;&gt;"L",'Main Creation Page'!$AF$11,'Main Creation Page'!$AG$11)</f>
        <v>10</v>
      </c>
      <c r="L30" s="629">
        <v>6</v>
      </c>
      <c r="M30" s="629">
        <f>IF(ISNA(VLOOKUP(T30,$BJ$44:$BN$58,4)),0,VLOOKUP(T30,$BJ$44:$BN$58,4))</f>
        <v>0</v>
      </c>
      <c r="N30" s="620">
        <f t="shared" si="11"/>
        <v>16</v>
      </c>
      <c r="O30" s="769" t="s">
        <v>5067</v>
      </c>
      <c r="P30" s="775">
        <f ca="1">1+Skills!$AE$195</f>
        <v>1</v>
      </c>
      <c r="Q30" s="776">
        <v>7</v>
      </c>
      <c r="R30" s="629" t="str">
        <f>IF(AND(ISBLANK(Skills!$X$195),ISNA(Skills!$W$195)),"N","Y")</f>
        <v>N</v>
      </c>
      <c r="S30" s="629">
        <f>Skills!V$195</f>
        <v>4</v>
      </c>
      <c r="T30" s="629" t="str">
        <f>IF(ISNA(Skills!$W$195),IF(ISBLANK(Skills!$X$195)," ",Skills!$X$195),+Skills!$W$195+Skills!$X$195)</f>
        <v xml:space="preserve"> </v>
      </c>
      <c r="U30" s="743">
        <f>IF(R30="Y",Skills!$AC$195,Skills!$AB$195)</f>
        <v>0.2</v>
      </c>
      <c r="V30" s="714">
        <f ca="1">Skills!$Y$195</f>
        <v>0.12</v>
      </c>
      <c r="W30" s="714">
        <f ca="1">Skills!$AA$195</f>
        <v>0.12</v>
      </c>
      <c r="X30" s="777">
        <f ca="1">Skills!AD$195</f>
        <v>0.32</v>
      </c>
      <c r="Y30" s="622">
        <f t="shared" ca="1" si="12"/>
        <v>9</v>
      </c>
      <c r="Z30" s="622">
        <f t="shared" ca="1" si="7"/>
        <v>2</v>
      </c>
      <c r="AA30" s="602"/>
      <c r="AB30" s="608"/>
      <c r="AC30" s="608"/>
      <c r="AD30" s="608"/>
      <c r="AK30" s="609"/>
      <c r="AL30" s="609"/>
      <c r="AM30" s="609"/>
      <c r="AN30" s="609"/>
      <c r="AO30" s="609"/>
      <c r="AP30" s="609"/>
      <c r="AQ30" s="609"/>
      <c r="AR30" s="609"/>
      <c r="AS30" s="609"/>
      <c r="AT30" s="609"/>
      <c r="AU30" s="609"/>
      <c r="AV30" s="609"/>
      <c r="AW30" s="609"/>
      <c r="BJ30" s="608" t="s">
        <v>3281</v>
      </c>
      <c r="BK30" s="765">
        <v>1</v>
      </c>
      <c r="BL30" s="765">
        <v>1</v>
      </c>
      <c r="BM30" s="765">
        <v>1</v>
      </c>
      <c r="BN30" s="765">
        <v>1</v>
      </c>
      <c r="BO30" s="765">
        <v>1</v>
      </c>
      <c r="BP30" s="765">
        <v>1</v>
      </c>
      <c r="BQ30" s="765">
        <v>26</v>
      </c>
      <c r="BR30" s="778" t="s">
        <v>5064</v>
      </c>
      <c r="BS30" s="765">
        <f>A34</f>
        <v>33</v>
      </c>
      <c r="BU30" s="602"/>
      <c r="BZ30" s="780" t="s">
        <v>5029</v>
      </c>
      <c r="CA30" s="602">
        <v>218</v>
      </c>
      <c r="DH30" s="602"/>
      <c r="DI30" s="602"/>
      <c r="DJ30" s="602"/>
      <c r="DK30" s="602"/>
    </row>
    <row r="31" spans="1:115" ht="8.25" customHeight="1" outlineLevel="1" thickTop="1">
      <c r="A31" s="602">
        <v>30</v>
      </c>
      <c r="B31" s="785" t="s">
        <v>2023</v>
      </c>
      <c r="C31" s="786"/>
      <c r="D31" s="787"/>
      <c r="E31" s="788"/>
      <c r="F31" s="789"/>
      <c r="G31" s="768"/>
      <c r="H31" s="771"/>
      <c r="I31" s="771"/>
      <c r="J31" s="769"/>
      <c r="K31" s="629"/>
      <c r="L31" s="629"/>
      <c r="M31" s="629"/>
      <c r="N31" s="629"/>
      <c r="O31" s="769"/>
      <c r="P31" s="629"/>
      <c r="Q31" s="629"/>
      <c r="R31" s="629"/>
      <c r="S31" s="629"/>
      <c r="T31" s="629"/>
      <c r="U31" s="629"/>
      <c r="V31" s="769"/>
      <c r="W31" s="769"/>
      <c r="X31" s="772"/>
      <c r="Y31" s="629"/>
      <c r="Z31" s="745"/>
      <c r="AA31" s="602"/>
      <c r="AB31" s="608"/>
      <c r="AC31" s="608"/>
      <c r="AD31" s="608"/>
      <c r="AK31" s="609"/>
      <c r="AL31" s="609"/>
      <c r="AM31" s="609"/>
      <c r="AN31" s="609"/>
      <c r="AO31" s="609"/>
      <c r="AP31" s="609"/>
      <c r="AQ31" s="609"/>
      <c r="AR31" s="609"/>
      <c r="AS31" s="609"/>
      <c r="AT31" s="609"/>
      <c r="AU31" s="609"/>
      <c r="AV31" s="609"/>
      <c r="AW31" s="609"/>
      <c r="BJ31" s="608" t="s">
        <v>3282</v>
      </c>
      <c r="BK31" s="765">
        <v>2</v>
      </c>
      <c r="BL31" s="765">
        <v>2</v>
      </c>
      <c r="BM31" s="765">
        <v>2</v>
      </c>
      <c r="BN31" s="765">
        <v>1</v>
      </c>
      <c r="BO31" s="765">
        <v>1</v>
      </c>
      <c r="BP31" s="765">
        <v>1</v>
      </c>
      <c r="BQ31" s="765">
        <v>27</v>
      </c>
      <c r="BR31" s="778" t="s">
        <v>5065</v>
      </c>
      <c r="BS31" s="765">
        <f>A35</f>
        <v>34</v>
      </c>
      <c r="BU31" s="602"/>
      <c r="DH31" s="602"/>
      <c r="DI31" s="602"/>
      <c r="DJ31" s="602"/>
      <c r="DK31" s="602"/>
    </row>
    <row r="32" spans="1:115" ht="11.1" customHeight="1" outlineLevel="2">
      <c r="A32" s="602">
        <v>31</v>
      </c>
      <c r="B32" s="780" t="s">
        <v>5062</v>
      </c>
      <c r="C32" s="629">
        <v>7</v>
      </c>
      <c r="D32" s="768">
        <v>5</v>
      </c>
      <c r="E32" s="769">
        <v>33</v>
      </c>
      <c r="F32" s="649"/>
      <c r="G32" s="768">
        <f>F32*D32</f>
        <v>0</v>
      </c>
      <c r="H32" s="771">
        <v>2160</v>
      </c>
      <c r="I32" s="771">
        <f>H32*F32</f>
        <v>0</v>
      </c>
      <c r="J32" s="769" t="s">
        <v>2763</v>
      </c>
      <c r="K32" s="774">
        <f>IF(J32&lt;&gt;"L",'Main Creation Page'!$AF$11,'Main Creation Page'!$AG$11)</f>
        <v>10</v>
      </c>
      <c r="L32" s="629">
        <v>6</v>
      </c>
      <c r="M32" s="629">
        <f>IF(ISNA(VLOOKUP(T32,$BJ$44:$BN$58,4)),0,VLOOKUP(T32,$BJ$44:$BN$58,4))</f>
        <v>0</v>
      </c>
      <c r="N32" s="620">
        <f>K32+L32+M32</f>
        <v>16</v>
      </c>
      <c r="O32" s="769" t="s">
        <v>5067</v>
      </c>
      <c r="P32" s="775">
        <f ca="1">1+Skills!$AE$193</f>
        <v>1</v>
      </c>
      <c r="Q32" s="776">
        <v>7</v>
      </c>
      <c r="R32" s="629" t="str">
        <f>IF(AND(ISBLANK(Skills!$X$193),ISNA(Skills!$W$193)),"N","Y")</f>
        <v>N</v>
      </c>
      <c r="S32" s="629">
        <f>Skills!V$193</f>
        <v>5</v>
      </c>
      <c r="T32" s="629" t="str">
        <f>IF(ISNA(Skills!$W$193),IF(ISBLANK(Skills!$X$193)," ",Skills!$X$193),+Skills!$W$193+Skills!$X$193)</f>
        <v xml:space="preserve"> </v>
      </c>
      <c r="U32" s="743">
        <f>IF(R32="Y",Skills!$AC$193,Skills!$AB$193)</f>
        <v>0.1</v>
      </c>
      <c r="V32" s="714">
        <f ca="1">Skills!$Y$193</f>
        <v>0.2</v>
      </c>
      <c r="W32" s="714">
        <f ca="1">Skills!$AA$193</f>
        <v>0.2</v>
      </c>
      <c r="X32" s="777">
        <f ca="1">Skills!AD$193</f>
        <v>0.30000000000000004</v>
      </c>
      <c r="Y32" s="622">
        <f ca="1">HLOOKUP(W32,$BJ$60:$BO$67,4)</f>
        <v>11</v>
      </c>
      <c r="Z32" s="622">
        <f ca="1">HLOOKUP(X32,$BJ$68:$BO$72,4)</f>
        <v>3</v>
      </c>
      <c r="AA32" s="602"/>
      <c r="AB32" s="608"/>
      <c r="AC32" s="608"/>
      <c r="AD32" s="608"/>
      <c r="AK32" s="609"/>
      <c r="AL32" s="609"/>
      <c r="AM32" s="609"/>
      <c r="AN32" s="609"/>
      <c r="AO32" s="609"/>
      <c r="AP32" s="609"/>
      <c r="AQ32" s="609"/>
      <c r="AR32" s="609"/>
      <c r="AS32" s="609"/>
      <c r="AT32" s="609"/>
      <c r="AU32" s="609"/>
      <c r="AV32" s="609"/>
      <c r="AW32" s="609"/>
      <c r="BJ32" s="608" t="s">
        <v>3283</v>
      </c>
      <c r="BK32" s="765">
        <v>3</v>
      </c>
      <c r="BL32" s="765">
        <v>3</v>
      </c>
      <c r="BM32" s="765">
        <v>2</v>
      </c>
      <c r="BN32" s="765">
        <v>2</v>
      </c>
      <c r="BO32" s="765">
        <v>2</v>
      </c>
      <c r="BP32" s="765">
        <v>1</v>
      </c>
      <c r="BQ32" s="765">
        <v>28</v>
      </c>
      <c r="BR32" s="778" t="s">
        <v>56</v>
      </c>
      <c r="BS32" s="765">
        <f>A36</f>
        <v>35</v>
      </c>
      <c r="BU32" s="602"/>
      <c r="DH32" s="602"/>
      <c r="DI32" s="602"/>
      <c r="DJ32" s="602"/>
      <c r="DK32" s="602"/>
    </row>
    <row r="33" spans="1:115" ht="11.1" customHeight="1" outlineLevel="2">
      <c r="A33" s="602">
        <v>32</v>
      </c>
      <c r="B33" s="780" t="s">
        <v>5063</v>
      </c>
      <c r="C33" s="629">
        <v>7</v>
      </c>
      <c r="D33" s="768">
        <v>5</v>
      </c>
      <c r="E33" s="769">
        <v>48</v>
      </c>
      <c r="F33" s="649"/>
      <c r="G33" s="768">
        <f>F33*D33</f>
        <v>0</v>
      </c>
      <c r="H33" s="771">
        <v>1920</v>
      </c>
      <c r="I33" s="771">
        <f>H33*F33</f>
        <v>0</v>
      </c>
      <c r="J33" s="769" t="s">
        <v>1327</v>
      </c>
      <c r="K33" s="774">
        <f>IF(J33&lt;&gt;"L",'Main Creation Page'!$AF$11,'Main Creation Page'!$AG$11)</f>
        <v>10</v>
      </c>
      <c r="L33" s="629">
        <v>8</v>
      </c>
      <c r="M33" s="629">
        <f>IF(ISNA(VLOOKUP(T33,$BJ$44:$BN$58,4)),0,VLOOKUP(T33,$BJ$44:$BN$58,4))</f>
        <v>0</v>
      </c>
      <c r="N33" s="620">
        <f>K33+L33+M33</f>
        <v>18</v>
      </c>
      <c r="O33" s="769" t="s">
        <v>5067</v>
      </c>
      <c r="P33" s="775">
        <f ca="1">1+Skills!$AE$193</f>
        <v>1</v>
      </c>
      <c r="Q33" s="776">
        <v>7</v>
      </c>
      <c r="R33" s="629" t="str">
        <f>IF(AND(ISBLANK(Skills!$X$193),ISNA(Skills!$W$193)),"N","Y")</f>
        <v>N</v>
      </c>
      <c r="S33" s="629">
        <f>Skills!V$193</f>
        <v>5</v>
      </c>
      <c r="T33" s="629" t="str">
        <f>IF(ISNA(Skills!$W$193),IF(ISBLANK(Skills!$X$193)," ",Skills!$X$193),+Skills!$W$193+Skills!$X$193)</f>
        <v xml:space="preserve"> </v>
      </c>
      <c r="U33" s="743">
        <f>IF(R33="Y",Skills!$AC$193,Skills!$AB$193)</f>
        <v>0.1</v>
      </c>
      <c r="V33" s="714">
        <f ca="1">Skills!$Y$193</f>
        <v>0.2</v>
      </c>
      <c r="W33" s="714">
        <f ca="1">Skills!$AA$193</f>
        <v>0.2</v>
      </c>
      <c r="X33" s="777">
        <f ca="1">Skills!AD$193</f>
        <v>0.30000000000000004</v>
      </c>
      <c r="Y33" s="622">
        <f ca="1">HLOOKUP(W33,$BJ$60:$BO$67,4)</f>
        <v>11</v>
      </c>
      <c r="Z33" s="622">
        <f ca="1">HLOOKUP(X33,$BJ$68:$BO$72,4)</f>
        <v>3</v>
      </c>
      <c r="AA33" s="602"/>
      <c r="AB33" s="608"/>
      <c r="AC33" s="608"/>
      <c r="AD33" s="608"/>
      <c r="AK33" s="609"/>
      <c r="AL33" s="609"/>
      <c r="AM33" s="609"/>
      <c r="AN33" s="609"/>
      <c r="AO33" s="609"/>
      <c r="AP33" s="609"/>
      <c r="AQ33" s="609"/>
      <c r="AR33" s="609"/>
      <c r="AS33" s="609"/>
      <c r="AT33" s="609"/>
      <c r="AU33" s="609"/>
      <c r="AV33" s="609"/>
      <c r="AW33" s="609"/>
      <c r="BJ33" s="608" t="s">
        <v>3284</v>
      </c>
      <c r="BK33" s="765">
        <v>3</v>
      </c>
      <c r="BL33" s="765">
        <v>3</v>
      </c>
      <c r="BM33" s="765">
        <v>2</v>
      </c>
      <c r="BN33" s="765">
        <v>2</v>
      </c>
      <c r="BO33" s="765">
        <v>2</v>
      </c>
      <c r="BP33" s="765">
        <v>1</v>
      </c>
      <c r="BQ33" s="765">
        <v>29</v>
      </c>
      <c r="BR33" s="778" t="s">
        <v>1328</v>
      </c>
      <c r="BS33" s="765">
        <f>A38</f>
        <v>37</v>
      </c>
      <c r="BU33" s="602"/>
      <c r="DJ33" s="602"/>
      <c r="DK33" s="602"/>
    </row>
    <row r="34" spans="1:115" ht="11.1" customHeight="1" outlineLevel="2">
      <c r="A34" s="602">
        <v>33</v>
      </c>
      <c r="B34" s="780" t="s">
        <v>5064</v>
      </c>
      <c r="C34" s="629">
        <v>14</v>
      </c>
      <c r="D34" s="768">
        <v>6</v>
      </c>
      <c r="E34" s="769">
        <v>40</v>
      </c>
      <c r="F34" s="649"/>
      <c r="G34" s="768">
        <f>F34*D34</f>
        <v>0</v>
      </c>
      <c r="H34" s="771">
        <v>3600</v>
      </c>
      <c r="I34" s="771">
        <f>H34*F34</f>
        <v>0</v>
      </c>
      <c r="J34" s="769" t="s">
        <v>1327</v>
      </c>
      <c r="K34" s="774">
        <f>IF(J34&lt;&gt;"L",'Main Creation Page'!$AF$11,'Main Creation Page'!$AG$11)</f>
        <v>10</v>
      </c>
      <c r="L34" s="629">
        <v>9</v>
      </c>
      <c r="M34" s="629">
        <f>IF(ISNA(VLOOKUP(T34,$BJ$44:$BN$58,4)),0,VLOOKUP(T34,$BJ$44:$BN$58,4))</f>
        <v>0</v>
      </c>
      <c r="N34" s="620">
        <f>K34+L34+M34</f>
        <v>19</v>
      </c>
      <c r="O34" s="769" t="s">
        <v>5067</v>
      </c>
      <c r="P34" s="775">
        <f ca="1">1+Skills!$AE$193</f>
        <v>1</v>
      </c>
      <c r="Q34" s="776">
        <v>6</v>
      </c>
      <c r="R34" s="629" t="str">
        <f>IF(AND(ISBLANK(Skills!$X$193),ISNA(Skills!$W$193)),"N","Y")</f>
        <v>N</v>
      </c>
      <c r="S34" s="629">
        <f>Skills!V$193</f>
        <v>5</v>
      </c>
      <c r="T34" s="629" t="str">
        <f>IF(ISNA(Skills!$W$193),IF(ISBLANK(Skills!$X$193)," ",Skills!$X$193),+Skills!$W$193+Skills!$X$193)</f>
        <v xml:space="preserve"> </v>
      </c>
      <c r="U34" s="743">
        <f>IF(R34="Y",Skills!$AC$193,Skills!$AB$193)</f>
        <v>0.1</v>
      </c>
      <c r="V34" s="714">
        <f ca="1">Skills!$Y$193</f>
        <v>0.2</v>
      </c>
      <c r="W34" s="714">
        <f ca="1">Skills!$AA$193</f>
        <v>0.2</v>
      </c>
      <c r="X34" s="777">
        <f ca="1">Skills!AD$193</f>
        <v>0.30000000000000004</v>
      </c>
      <c r="Y34" s="622">
        <f ca="1">HLOOKUP(W34,$BJ$60:$BO$67,4)</f>
        <v>11</v>
      </c>
      <c r="Z34" s="622">
        <f ca="1">HLOOKUP(X34,$BJ$68:$BO$72,4)</f>
        <v>3</v>
      </c>
      <c r="AA34" s="602"/>
      <c r="AB34" s="608"/>
      <c r="AC34" s="608"/>
      <c r="AD34" s="608"/>
      <c r="AK34" s="609"/>
      <c r="AL34" s="609"/>
      <c r="AM34" s="609"/>
      <c r="AN34" s="609"/>
      <c r="AO34" s="609"/>
      <c r="AP34" s="609"/>
      <c r="AQ34" s="609"/>
      <c r="AR34" s="609"/>
      <c r="AS34" s="609"/>
      <c r="AT34" s="609"/>
      <c r="AU34" s="609"/>
      <c r="AV34" s="609"/>
      <c r="AW34" s="609"/>
      <c r="BJ34" s="608" t="s">
        <v>5030</v>
      </c>
      <c r="BK34" s="765">
        <v>4</v>
      </c>
      <c r="BL34" s="765">
        <v>4</v>
      </c>
      <c r="BM34" s="765">
        <v>3</v>
      </c>
      <c r="BN34" s="765">
        <v>3</v>
      </c>
      <c r="BO34" s="765">
        <v>2</v>
      </c>
      <c r="BP34" s="765">
        <v>2</v>
      </c>
      <c r="BQ34" s="765">
        <v>30</v>
      </c>
      <c r="BR34" s="778" t="s">
        <v>3894</v>
      </c>
      <c r="BS34" s="765">
        <f>A39</f>
        <v>38</v>
      </c>
      <c r="BU34" s="602"/>
      <c r="DJ34" s="602"/>
      <c r="DK34" s="602"/>
    </row>
    <row r="35" spans="1:115" ht="11.1" customHeight="1" outlineLevel="2">
      <c r="A35" s="602">
        <v>34</v>
      </c>
      <c r="B35" s="780" t="s">
        <v>5065</v>
      </c>
      <c r="C35" s="629">
        <v>14</v>
      </c>
      <c r="D35" s="768">
        <v>8</v>
      </c>
      <c r="E35" s="769">
        <f>4.5*12</f>
        <v>54</v>
      </c>
      <c r="F35" s="649"/>
      <c r="G35" s="768">
        <f>F35*D35</f>
        <v>0</v>
      </c>
      <c r="H35" s="771">
        <v>3600</v>
      </c>
      <c r="I35" s="771">
        <f>H35*F35</f>
        <v>0</v>
      </c>
      <c r="J35" s="769" t="s">
        <v>1327</v>
      </c>
      <c r="K35" s="774">
        <f>IF(J35&lt;&gt;"L",'Main Creation Page'!$AF$11,'Main Creation Page'!$AG$11)</f>
        <v>10</v>
      </c>
      <c r="L35" s="629">
        <v>9</v>
      </c>
      <c r="M35" s="629">
        <f>IF(ISNA(VLOOKUP(T35,$BJ$44:$BN$58,4)),0,VLOOKUP(T35,$BJ$44:$BN$58,4))</f>
        <v>0</v>
      </c>
      <c r="N35" s="620">
        <f>K35+L35+M35</f>
        <v>19</v>
      </c>
      <c r="O35" s="769" t="s">
        <v>5067</v>
      </c>
      <c r="P35" s="775">
        <f ca="1">2+Skills!$AE$193</f>
        <v>2</v>
      </c>
      <c r="Q35" s="776">
        <v>6</v>
      </c>
      <c r="R35" s="629" t="str">
        <f>IF(AND(ISBLANK(Skills!$X$193),ISNA(Skills!$W$193)),"N","Y")</f>
        <v>N</v>
      </c>
      <c r="S35" s="629">
        <f>Skills!V$193</f>
        <v>5</v>
      </c>
      <c r="T35" s="629" t="str">
        <f>IF(ISNA(Skills!$W$193),IF(ISBLANK(Skills!$X$193)," ",Skills!$X$193),+Skills!$W$193+Skills!$X$193)</f>
        <v xml:space="preserve"> </v>
      </c>
      <c r="U35" s="743">
        <f>IF(R35="Y",Skills!$AC$193,Skills!$AB$193)</f>
        <v>0.1</v>
      </c>
      <c r="V35" s="714">
        <f ca="1">Skills!$Y$193</f>
        <v>0.2</v>
      </c>
      <c r="W35" s="714">
        <f ca="1">Skills!$AA$193</f>
        <v>0.2</v>
      </c>
      <c r="X35" s="777">
        <f ca="1">Skills!AD$193</f>
        <v>0.30000000000000004</v>
      </c>
      <c r="Y35" s="622">
        <f ca="1">HLOOKUP(W35,$BJ$60:$BO$67,4)</f>
        <v>11</v>
      </c>
      <c r="Z35" s="622">
        <f ca="1">HLOOKUP(X35,$BJ$68:$BO$72,4)</f>
        <v>3</v>
      </c>
      <c r="AA35" s="602"/>
      <c r="AB35" s="608"/>
      <c r="AC35" s="608"/>
      <c r="AD35" s="608"/>
      <c r="AK35" s="609"/>
      <c r="AL35" s="609"/>
      <c r="AM35" s="609"/>
      <c r="AN35" s="609"/>
      <c r="AO35" s="609"/>
      <c r="AP35" s="609"/>
      <c r="AQ35" s="609"/>
      <c r="AR35" s="609"/>
      <c r="AS35" s="609"/>
      <c r="AT35" s="609"/>
      <c r="AU35" s="609"/>
      <c r="AV35" s="609"/>
      <c r="AW35" s="609"/>
      <c r="BJ35" s="608" t="s">
        <v>5031</v>
      </c>
      <c r="BK35" s="765">
        <v>1</v>
      </c>
      <c r="BL35" s="765">
        <v>1</v>
      </c>
      <c r="BM35" s="765">
        <v>1</v>
      </c>
      <c r="BN35" s="765">
        <v>1</v>
      </c>
      <c r="BO35" s="765">
        <v>1</v>
      </c>
      <c r="BP35" s="765">
        <v>1</v>
      </c>
      <c r="BQ35" s="765">
        <v>31</v>
      </c>
      <c r="BR35" s="778" t="s">
        <v>1329</v>
      </c>
      <c r="BS35" s="765">
        <f>A40</f>
        <v>39</v>
      </c>
      <c r="BU35" s="602"/>
      <c r="DJ35" s="602"/>
      <c r="DK35" s="602"/>
    </row>
    <row r="36" spans="1:115" ht="11.1" customHeight="1" outlineLevel="2" thickBot="1">
      <c r="A36" s="602">
        <v>35</v>
      </c>
      <c r="B36" s="781" t="s">
        <v>5066</v>
      </c>
      <c r="C36" s="782">
        <v>12</v>
      </c>
      <c r="D36" s="783">
        <v>14</v>
      </c>
      <c r="E36" s="784">
        <f>6*12</f>
        <v>72</v>
      </c>
      <c r="F36" s="649"/>
      <c r="G36" s="768">
        <f>F36*D36</f>
        <v>0</v>
      </c>
      <c r="H36" s="771">
        <v>3600</v>
      </c>
      <c r="I36" s="771">
        <f>H36*F36</f>
        <v>0</v>
      </c>
      <c r="J36" s="769" t="s">
        <v>1327</v>
      </c>
      <c r="K36" s="774">
        <f>IF(J36&lt;&gt;"L",'Main Creation Page'!$AF$11,'Main Creation Page'!$AG$11)</f>
        <v>10</v>
      </c>
      <c r="L36" s="629">
        <v>10</v>
      </c>
      <c r="M36" s="629">
        <f>IF(ISNA(VLOOKUP(T36,$BJ$44:$BN$58,4)),0,VLOOKUP(T36,$BJ$44:$BN$58,4))</f>
        <v>0</v>
      </c>
      <c r="N36" s="620">
        <f>K36+L36+M36</f>
        <v>20</v>
      </c>
      <c r="O36" s="769" t="s">
        <v>5067</v>
      </c>
      <c r="P36" s="775">
        <f ca="1">2+Skills!$AE$193</f>
        <v>2</v>
      </c>
      <c r="Q36" s="776">
        <v>6</v>
      </c>
      <c r="R36" s="629" t="str">
        <f>IF(AND(ISBLANK(Skills!$X$193),ISNA(Skills!$W$193)),"N","Y")</f>
        <v>N</v>
      </c>
      <c r="S36" s="629">
        <f>Skills!V$193</f>
        <v>5</v>
      </c>
      <c r="T36" s="629" t="str">
        <f>IF(ISNA(Skills!$W$193),IF(ISBLANK(Skills!$X$193)," ",Skills!$X$193),+Skills!$W$193+Skills!$X$193)</f>
        <v xml:space="preserve"> </v>
      </c>
      <c r="U36" s="743">
        <f>IF(R36="Y",Skills!$AC$193,Skills!$AB$193)</f>
        <v>0.1</v>
      </c>
      <c r="V36" s="714">
        <f ca="1">Skills!$Y$193</f>
        <v>0.2</v>
      </c>
      <c r="W36" s="714">
        <f ca="1">Skills!$AA$193</f>
        <v>0.2</v>
      </c>
      <c r="X36" s="777">
        <f ca="1">Skills!AD$193</f>
        <v>0.30000000000000004</v>
      </c>
      <c r="Y36" s="622">
        <f ca="1">HLOOKUP(W36,$BJ$60:$BO$67,4)</f>
        <v>11</v>
      </c>
      <c r="Z36" s="622">
        <f ca="1">HLOOKUP(X36,$BJ$68:$BO$72,4)</f>
        <v>3</v>
      </c>
      <c r="AA36" s="602"/>
      <c r="AB36" s="608"/>
      <c r="AC36" s="608"/>
      <c r="AD36" s="608"/>
      <c r="AK36" s="609"/>
      <c r="AL36" s="609"/>
      <c r="AM36" s="609"/>
      <c r="AN36" s="609"/>
      <c r="AO36" s="609"/>
      <c r="AP36" s="609"/>
      <c r="AQ36" s="609"/>
      <c r="AR36" s="609"/>
      <c r="AS36" s="609"/>
      <c r="AT36" s="609"/>
      <c r="AU36" s="609"/>
      <c r="AV36" s="609"/>
      <c r="AW36" s="609"/>
      <c r="BJ36" s="608" t="s">
        <v>5032</v>
      </c>
      <c r="BK36" s="765">
        <v>2</v>
      </c>
      <c r="BL36" s="765">
        <v>2</v>
      </c>
      <c r="BM36" s="765">
        <v>2</v>
      </c>
      <c r="BN36" s="765">
        <v>1</v>
      </c>
      <c r="BO36" s="765">
        <v>1</v>
      </c>
      <c r="BP36" s="765">
        <v>1</v>
      </c>
      <c r="BQ36" s="765">
        <v>32</v>
      </c>
      <c r="BR36" s="778" t="s">
        <v>5070</v>
      </c>
      <c r="BS36" s="765">
        <f t="shared" ref="BS36:BS43" si="13">A42</f>
        <v>41</v>
      </c>
      <c r="BU36" s="602"/>
      <c r="DJ36" s="602"/>
      <c r="DK36" s="602"/>
    </row>
    <row r="37" spans="1:115" ht="8.25" customHeight="1" outlineLevel="1" thickTop="1">
      <c r="A37" s="602">
        <v>36</v>
      </c>
      <c r="B37" s="785" t="s">
        <v>2024</v>
      </c>
      <c r="C37" s="786"/>
      <c r="D37" s="787"/>
      <c r="E37" s="788"/>
      <c r="F37" s="789"/>
      <c r="G37" s="768"/>
      <c r="H37" s="771"/>
      <c r="I37" s="771"/>
      <c r="J37" s="769"/>
      <c r="K37" s="629"/>
      <c r="L37" s="629"/>
      <c r="M37" s="629"/>
      <c r="N37" s="629"/>
      <c r="O37" s="769"/>
      <c r="P37" s="629"/>
      <c r="Q37" s="629"/>
      <c r="R37" s="629"/>
      <c r="S37" s="629"/>
      <c r="T37" s="629"/>
      <c r="U37" s="629"/>
      <c r="V37" s="769"/>
      <c r="W37" s="769"/>
      <c r="X37" s="772"/>
      <c r="Y37" s="629"/>
      <c r="Z37" s="745"/>
      <c r="AA37" s="602"/>
      <c r="AB37" s="608"/>
      <c r="AC37" s="608"/>
      <c r="AD37" s="608"/>
      <c r="AK37" s="609"/>
      <c r="AL37" s="609"/>
      <c r="AM37" s="609"/>
      <c r="AN37" s="609"/>
      <c r="AO37" s="609"/>
      <c r="AP37" s="609"/>
      <c r="AQ37" s="609"/>
      <c r="AR37" s="609"/>
      <c r="AS37" s="609"/>
      <c r="AT37" s="609"/>
      <c r="AU37" s="609"/>
      <c r="AV37" s="609"/>
      <c r="AW37" s="609"/>
      <c r="BJ37" s="608" t="s">
        <v>5033</v>
      </c>
      <c r="BK37" s="765">
        <v>2</v>
      </c>
      <c r="BL37" s="765">
        <v>2</v>
      </c>
      <c r="BM37" s="765">
        <v>2</v>
      </c>
      <c r="BN37" s="765">
        <v>1</v>
      </c>
      <c r="BO37" s="765">
        <v>1</v>
      </c>
      <c r="BP37" s="765">
        <v>1</v>
      </c>
      <c r="BQ37" s="765">
        <v>33</v>
      </c>
      <c r="BR37" s="778" t="s">
        <v>1161</v>
      </c>
      <c r="BS37" s="765">
        <f t="shared" si="13"/>
        <v>42</v>
      </c>
      <c r="BU37" s="602"/>
      <c r="DJ37" s="602"/>
      <c r="DK37" s="602"/>
    </row>
    <row r="38" spans="1:115" ht="11.1" customHeight="1" outlineLevel="2">
      <c r="A38" s="602">
        <v>37</v>
      </c>
      <c r="B38" s="780" t="s">
        <v>1328</v>
      </c>
      <c r="C38" s="629">
        <v>4</v>
      </c>
      <c r="D38" s="768">
        <v>3</v>
      </c>
      <c r="E38" s="769">
        <v>36</v>
      </c>
      <c r="F38" s="649"/>
      <c r="G38" s="768">
        <f>F38*D38</f>
        <v>0</v>
      </c>
      <c r="H38" s="771">
        <v>720</v>
      </c>
      <c r="I38" s="771">
        <f>H38*F38</f>
        <v>0</v>
      </c>
      <c r="J38" s="769" t="s">
        <v>5221</v>
      </c>
      <c r="K38" s="774">
        <f>IF(J38&lt;&gt;"L",'Main Creation Page'!$AF$11,'Main Creation Page'!$AG$11)</f>
        <v>10</v>
      </c>
      <c r="L38" s="629">
        <v>5</v>
      </c>
      <c r="M38" s="629">
        <f>IF(ISNA(VLOOKUP(T38,$BJ$44:$BN$58,3)),0,VLOOKUP(T38,$BJ$44:$BN$58,3))</f>
        <v>0</v>
      </c>
      <c r="N38" s="620">
        <f>K38+L38+M38</f>
        <v>15</v>
      </c>
      <c r="O38" s="769" t="s">
        <v>5067</v>
      </c>
      <c r="P38" s="775">
        <f ca="1">1+Skills!$AE$158</f>
        <v>1</v>
      </c>
      <c r="Q38" s="776">
        <v>7</v>
      </c>
      <c r="R38" s="629" t="str">
        <f>IF(AND(ISBLANK(Skills!$X$158),ISNA(Skills!$W$158)),"N","Y")</f>
        <v>N</v>
      </c>
      <c r="S38" s="629">
        <f>Skills!V$158</f>
        <v>4</v>
      </c>
      <c r="T38" s="629" t="str">
        <f>IF(ISNA(Skills!$W$158),IF(ISBLANK(Skills!$X$158)," ",Skills!$X$158),+Skills!$W$158+Skills!$X$158)</f>
        <v xml:space="preserve"> </v>
      </c>
      <c r="U38" s="743">
        <f>IF(R38="Y",Skills!$AC$158,Skills!$AB$158)</f>
        <v>0.2</v>
      </c>
      <c r="V38" s="714">
        <f ca="1">Skills!$Y$158</f>
        <v>0.2</v>
      </c>
      <c r="W38" s="714">
        <f ca="1">Skills!$AA$158</f>
        <v>0.2</v>
      </c>
      <c r="X38" s="777">
        <f ca="1">Skills!AD$158</f>
        <v>0.4</v>
      </c>
      <c r="Y38" s="622">
        <f ca="1">HLOOKUP(W38,$BJ$60:$BO$67,3)</f>
        <v>9</v>
      </c>
      <c r="Z38" s="622">
        <f ca="1">HLOOKUP(X38,$BJ$68:$BO$72,3)</f>
        <v>2</v>
      </c>
      <c r="AA38" s="602"/>
      <c r="AB38" s="608"/>
      <c r="AC38" s="608"/>
      <c r="AD38" s="608"/>
      <c r="AK38" s="609"/>
      <c r="AL38" s="609"/>
      <c r="AM38" s="609"/>
      <c r="AN38" s="609"/>
      <c r="AO38" s="609"/>
      <c r="AP38" s="609"/>
      <c r="AQ38" s="609"/>
      <c r="AR38" s="609"/>
      <c r="AS38" s="609"/>
      <c r="AT38" s="609"/>
      <c r="AU38" s="609"/>
      <c r="AV38" s="609"/>
      <c r="AW38" s="609"/>
      <c r="BJ38" s="608" t="s">
        <v>5034</v>
      </c>
      <c r="BK38" s="765">
        <v>4</v>
      </c>
      <c r="BL38" s="765">
        <v>4</v>
      </c>
      <c r="BM38" s="765">
        <v>3</v>
      </c>
      <c r="BN38" s="765">
        <v>3</v>
      </c>
      <c r="BO38" s="765">
        <v>2</v>
      </c>
      <c r="BP38" s="765">
        <v>2</v>
      </c>
      <c r="BQ38" s="765">
        <v>34</v>
      </c>
      <c r="BR38" s="778" t="s">
        <v>1162</v>
      </c>
      <c r="BS38" s="765">
        <f t="shared" si="13"/>
        <v>43</v>
      </c>
      <c r="BU38" s="602"/>
      <c r="DJ38" s="602"/>
      <c r="DK38" s="602"/>
    </row>
    <row r="39" spans="1:115" ht="11.1" customHeight="1" outlineLevel="2">
      <c r="A39" s="602">
        <v>38</v>
      </c>
      <c r="B39" s="780" t="s">
        <v>3894</v>
      </c>
      <c r="C39" s="629">
        <v>4</v>
      </c>
      <c r="D39" s="768">
        <v>2.5</v>
      </c>
      <c r="E39" s="769">
        <v>30</v>
      </c>
      <c r="F39" s="649"/>
      <c r="G39" s="768">
        <f>F39*D39</f>
        <v>0</v>
      </c>
      <c r="H39" s="771">
        <v>680</v>
      </c>
      <c r="I39" s="771">
        <f>H39*F39</f>
        <v>0</v>
      </c>
      <c r="J39" s="769" t="s">
        <v>5221</v>
      </c>
      <c r="K39" s="774">
        <f>IF(J39&lt;&gt;"L",'Main Creation Page'!$AF$11,'Main Creation Page'!$AG$11)</f>
        <v>10</v>
      </c>
      <c r="L39" s="629">
        <v>3</v>
      </c>
      <c r="M39" s="629">
        <f>IF(ISNA(VLOOKUP(T39,$BJ$44:$BN$58,3)),0,VLOOKUP(T39,$BJ$44:$BN$58,3))</f>
        <v>0</v>
      </c>
      <c r="N39" s="620">
        <f>K39+L39+M39</f>
        <v>13</v>
      </c>
      <c r="O39" s="769" t="s">
        <v>5067</v>
      </c>
      <c r="P39" s="775">
        <f ca="1">0+Skills!$AE$158</f>
        <v>0</v>
      </c>
      <c r="Q39" s="776">
        <v>10</v>
      </c>
      <c r="R39" s="629" t="str">
        <f>IF(AND(ISBLANK(Skills!$X$158),ISNA(Skills!$W$158)),"N","Y")</f>
        <v>N</v>
      </c>
      <c r="S39" s="629">
        <f>Skills!V$158</f>
        <v>4</v>
      </c>
      <c r="T39" s="629" t="str">
        <f>IF(ISNA(Skills!$W$158),IF(ISBLANK(Skills!$X$158)," ",Skills!$X$158),+Skills!$W$158+Skills!$X$158)</f>
        <v xml:space="preserve"> </v>
      </c>
      <c r="U39" s="743">
        <f>IF(R39="Y",Skills!$AC$158,Skills!$AB$158)</f>
        <v>0.2</v>
      </c>
      <c r="V39" s="714">
        <f ca="1">Skills!$Y$158</f>
        <v>0.2</v>
      </c>
      <c r="W39" s="714">
        <f ca="1">Skills!$AA$158</f>
        <v>0.2</v>
      </c>
      <c r="X39" s="777">
        <f ca="1">Skills!AD$158</f>
        <v>0.4</v>
      </c>
      <c r="Y39" s="622">
        <f ca="1">HLOOKUP(W39,$BJ$60:$BO$67,3)</f>
        <v>9</v>
      </c>
      <c r="Z39" s="622">
        <f ca="1">HLOOKUP(X39,$BJ$68:$BO$72,3)</f>
        <v>2</v>
      </c>
      <c r="AA39" s="602"/>
      <c r="AB39" s="608"/>
      <c r="AC39" s="608"/>
      <c r="AD39" s="608"/>
      <c r="AK39" s="609"/>
      <c r="AL39" s="609"/>
      <c r="AM39" s="609"/>
      <c r="AN39" s="609"/>
      <c r="AO39" s="609"/>
      <c r="AP39" s="609"/>
      <c r="AQ39" s="609"/>
      <c r="AR39" s="609"/>
      <c r="AS39" s="609"/>
      <c r="AT39" s="609"/>
      <c r="AU39" s="609"/>
      <c r="AV39" s="609"/>
      <c r="AW39" s="609"/>
      <c r="BJ39" s="608" t="s">
        <v>2951</v>
      </c>
      <c r="BK39" s="765">
        <v>2</v>
      </c>
      <c r="BL39" s="765">
        <v>2</v>
      </c>
      <c r="BM39" s="765">
        <v>2</v>
      </c>
      <c r="BN39" s="765">
        <v>1</v>
      </c>
      <c r="BO39" s="765">
        <v>1</v>
      </c>
      <c r="BP39" s="765">
        <v>1</v>
      </c>
      <c r="BQ39" s="765">
        <v>35</v>
      </c>
      <c r="BR39" s="778" t="s">
        <v>1162</v>
      </c>
      <c r="BS39" s="765">
        <f t="shared" si="13"/>
        <v>44</v>
      </c>
      <c r="BU39" s="602"/>
      <c r="DJ39" s="602"/>
      <c r="DK39" s="602"/>
    </row>
    <row r="40" spans="1:115" ht="11.1" customHeight="1" outlineLevel="2" thickBot="1">
      <c r="A40" s="602">
        <v>39</v>
      </c>
      <c r="B40" s="781" t="s">
        <v>1329</v>
      </c>
      <c r="C40" s="782">
        <v>9</v>
      </c>
      <c r="D40" s="783">
        <v>5</v>
      </c>
      <c r="E40" s="784">
        <v>48</v>
      </c>
      <c r="F40" s="649"/>
      <c r="G40" s="768">
        <f>F40*D40</f>
        <v>0</v>
      </c>
      <c r="H40" s="771">
        <v>1344</v>
      </c>
      <c r="I40" s="771">
        <f>H40*F40</f>
        <v>0</v>
      </c>
      <c r="J40" s="769" t="s">
        <v>1327</v>
      </c>
      <c r="K40" s="774">
        <f>IF(J40&lt;&gt;"L",'Main Creation Page'!$AF$11,'Main Creation Page'!$AG$11)</f>
        <v>10</v>
      </c>
      <c r="L40" s="629">
        <v>8</v>
      </c>
      <c r="M40" s="629">
        <f>IF(ISNA(VLOOKUP(T40,$BJ$44:$BN$58,4)),0,VLOOKUP(T40,$BJ$44:$BN$58,4))</f>
        <v>0</v>
      </c>
      <c r="N40" s="620">
        <f>K40+L40+M40</f>
        <v>18</v>
      </c>
      <c r="O40" s="769" t="s">
        <v>5067</v>
      </c>
      <c r="P40" s="775">
        <f ca="1">1+Skills!$AE$158</f>
        <v>1</v>
      </c>
      <c r="Q40" s="776">
        <v>7</v>
      </c>
      <c r="R40" s="629" t="str">
        <f>IF(AND(ISBLANK(Skills!$X$158),ISNA(Skills!$W$158)),"N","Y")</f>
        <v>N</v>
      </c>
      <c r="S40" s="629">
        <f>Skills!V$158</f>
        <v>4</v>
      </c>
      <c r="T40" s="629" t="str">
        <f>IF(ISNA(Skills!$W$158),IF(ISBLANK(Skills!$X$158)," ",Skills!$X$158),+Skills!$W$158+Skills!$X$158)</f>
        <v xml:space="preserve"> </v>
      </c>
      <c r="U40" s="743">
        <f>IF(R40="Y",Skills!$AC$158,Skills!$AB$158)</f>
        <v>0.2</v>
      </c>
      <c r="V40" s="714">
        <f ca="1">Skills!$Y$158</f>
        <v>0.2</v>
      </c>
      <c r="W40" s="714">
        <f ca="1">Skills!$AA$158</f>
        <v>0.2</v>
      </c>
      <c r="X40" s="777">
        <f ca="1">Skills!AD$158</f>
        <v>0.4</v>
      </c>
      <c r="Y40" s="622">
        <f ca="1">HLOOKUP(W40,$BJ$60:$BO$67,4)</f>
        <v>11</v>
      </c>
      <c r="Z40" s="622">
        <f ca="1">HLOOKUP(X40,$BJ$68:$BO$72,4)</f>
        <v>3</v>
      </c>
      <c r="AA40" s="602"/>
      <c r="AB40" s="608"/>
      <c r="AC40" s="608"/>
      <c r="AD40" s="608"/>
      <c r="AK40" s="609"/>
      <c r="AL40" s="609"/>
      <c r="AM40" s="609"/>
      <c r="AN40" s="609"/>
      <c r="AO40" s="609"/>
      <c r="AP40" s="609"/>
      <c r="AQ40" s="609"/>
      <c r="AR40" s="609"/>
      <c r="AS40" s="609"/>
      <c r="AT40" s="609"/>
      <c r="AU40" s="609"/>
      <c r="AV40" s="609"/>
      <c r="AW40" s="609"/>
      <c r="BJ40" s="608" t="s">
        <v>5541</v>
      </c>
      <c r="BK40" s="765">
        <v>4</v>
      </c>
      <c r="BL40" s="765">
        <v>4</v>
      </c>
      <c r="BM40" s="765">
        <v>3</v>
      </c>
      <c r="BN40" s="765">
        <v>3</v>
      </c>
      <c r="BO40" s="765">
        <v>2</v>
      </c>
      <c r="BP40" s="765">
        <v>2</v>
      </c>
      <c r="BQ40" s="765">
        <v>36</v>
      </c>
      <c r="BR40" s="778" t="s">
        <v>1163</v>
      </c>
      <c r="BS40" s="765">
        <f t="shared" si="13"/>
        <v>45</v>
      </c>
      <c r="BU40" s="602"/>
      <c r="DJ40" s="602"/>
      <c r="DK40" s="602"/>
    </row>
    <row r="41" spans="1:115" ht="11.1" customHeight="1" outlineLevel="1" thickTop="1">
      <c r="A41" s="602">
        <v>40</v>
      </c>
      <c r="B41" s="785" t="s">
        <v>376</v>
      </c>
      <c r="C41" s="796" t="s">
        <v>2225</v>
      </c>
      <c r="D41" s="797"/>
      <c r="E41" s="798" t="s">
        <v>2225</v>
      </c>
      <c r="F41" s="789"/>
      <c r="G41" s="768"/>
      <c r="H41" s="771"/>
      <c r="I41" s="771"/>
      <c r="J41" s="769"/>
      <c r="K41" s="629"/>
      <c r="L41" s="629"/>
      <c r="M41" s="629"/>
      <c r="N41" s="629"/>
      <c r="O41" s="769"/>
      <c r="P41" s="629"/>
      <c r="Q41" s="629"/>
      <c r="R41" s="629"/>
      <c r="S41" s="629"/>
      <c r="T41" s="629"/>
      <c r="U41" s="629"/>
      <c r="V41" s="769"/>
      <c r="W41" s="769"/>
      <c r="X41" s="772"/>
      <c r="Y41" s="629"/>
      <c r="Z41" s="745"/>
      <c r="AA41" s="602"/>
      <c r="AB41" s="608"/>
      <c r="AC41" s="608"/>
      <c r="AD41" s="608"/>
      <c r="AK41" s="609"/>
      <c r="AL41" s="609"/>
      <c r="AM41" s="609"/>
      <c r="AN41" s="609"/>
      <c r="AO41" s="609"/>
      <c r="AP41" s="609"/>
      <c r="AQ41" s="609"/>
      <c r="AR41" s="609"/>
      <c r="AS41" s="609"/>
      <c r="AT41" s="609"/>
      <c r="AU41" s="609"/>
      <c r="AV41" s="609"/>
      <c r="AW41" s="609"/>
      <c r="BJ41" s="608" t="s">
        <v>5542</v>
      </c>
      <c r="BK41" s="765">
        <v>3</v>
      </c>
      <c r="BL41" s="765">
        <v>3</v>
      </c>
      <c r="BM41" s="765">
        <v>2</v>
      </c>
      <c r="BN41" s="765">
        <v>2</v>
      </c>
      <c r="BO41" s="765">
        <v>2</v>
      </c>
      <c r="BP41" s="765">
        <v>1</v>
      </c>
      <c r="BQ41" s="765">
        <v>37</v>
      </c>
      <c r="BR41" s="778" t="s">
        <v>3895</v>
      </c>
      <c r="BS41" s="765">
        <f t="shared" si="13"/>
        <v>46</v>
      </c>
      <c r="BU41" s="602"/>
      <c r="DJ41" s="602"/>
      <c r="DK41" s="602"/>
    </row>
    <row r="42" spans="1:115" ht="11.1" customHeight="1" outlineLevel="2">
      <c r="A42" s="602">
        <v>41</v>
      </c>
      <c r="B42" s="799" t="s">
        <v>5070</v>
      </c>
      <c r="C42" s="629">
        <v>9</v>
      </c>
      <c r="D42" s="768">
        <v>4</v>
      </c>
      <c r="E42" s="769">
        <f>4*12</f>
        <v>48</v>
      </c>
      <c r="F42" s="649"/>
      <c r="G42" s="768">
        <f t="shared" ref="G42:G49" si="14">F42*D42</f>
        <v>0</v>
      </c>
      <c r="H42" s="771">
        <v>1728</v>
      </c>
      <c r="I42" s="771">
        <f t="shared" ref="I42:I49" si="15">H42*F42</f>
        <v>0</v>
      </c>
      <c r="J42" s="769" t="s">
        <v>5221</v>
      </c>
      <c r="K42" s="774">
        <f>IF(J42&lt;&gt;"L",'Main Creation Page'!$AF$11,'Main Creation Page'!$AG$11)</f>
        <v>10</v>
      </c>
      <c r="L42" s="629">
        <v>6</v>
      </c>
      <c r="M42" s="629">
        <f>IF(ISNA(VLOOKUP(T42,$BJ$44:$BN$58,3)),0,VLOOKUP(T42,$BJ$44:$BN$58,3))</f>
        <v>0</v>
      </c>
      <c r="N42" s="620">
        <f t="shared" ref="N42:N49" si="16">K42+L42+M42</f>
        <v>16</v>
      </c>
      <c r="O42" s="769" t="s">
        <v>3805</v>
      </c>
      <c r="P42" s="775">
        <f ca="1">1+Skills!$AE$172</f>
        <v>1</v>
      </c>
      <c r="Q42" s="776">
        <v>7</v>
      </c>
      <c r="R42" s="629" t="str">
        <f>IF(AND(ISBLANK(Skills!$X$172),ISNA(Skills!$W$172)),"N","Y")</f>
        <v>N</v>
      </c>
      <c r="S42" s="629">
        <f>Skills!V$172</f>
        <v>5</v>
      </c>
      <c r="T42" s="629" t="str">
        <f>IF(ISNA(Skills!$W$172),IF(ISBLANK(Skills!$X$172)," ",Skills!$X$172),+Skills!$W$172+Skills!$X$172)</f>
        <v xml:space="preserve"> </v>
      </c>
      <c r="U42" s="743">
        <f>IF(R42="Y",Skills!$AC$172,Skills!$AB$172)</f>
        <v>0.1</v>
      </c>
      <c r="V42" s="714">
        <f ca="1">Skills!$Y$172</f>
        <v>0.12</v>
      </c>
      <c r="W42" s="714">
        <f ca="1">Skills!$AA$172</f>
        <v>0.12</v>
      </c>
      <c r="X42" s="777">
        <f ca="1">Skills!AD$172</f>
        <v>0.22</v>
      </c>
      <c r="Y42" s="622">
        <f ca="1">HLOOKUP(W42,$BJ$60:$BO$67,3)</f>
        <v>9</v>
      </c>
      <c r="Z42" s="622">
        <f ca="1">HLOOKUP(X42,$BJ$68:$BO$72,3)</f>
        <v>2</v>
      </c>
      <c r="AA42" s="602"/>
      <c r="AB42" s="608"/>
      <c r="AC42" s="608"/>
      <c r="AD42" s="608"/>
      <c r="AK42" s="609"/>
      <c r="AL42" s="609"/>
      <c r="AM42" s="609"/>
      <c r="AN42" s="609"/>
      <c r="AO42" s="609"/>
      <c r="AP42" s="609"/>
      <c r="AQ42" s="609"/>
      <c r="AR42" s="609"/>
      <c r="AS42" s="609"/>
      <c r="AT42" s="609"/>
      <c r="AU42" s="609"/>
      <c r="AV42" s="609"/>
      <c r="AW42" s="609"/>
      <c r="BJ42" s="608" t="s">
        <v>5543</v>
      </c>
      <c r="BK42" s="765">
        <v>7</v>
      </c>
      <c r="BL42" s="765">
        <v>6</v>
      </c>
      <c r="BM42" s="765">
        <v>6</v>
      </c>
      <c r="BN42" s="765">
        <v>5</v>
      </c>
      <c r="BO42" s="765">
        <v>4</v>
      </c>
      <c r="BP42" s="765">
        <v>3</v>
      </c>
      <c r="BQ42" s="765">
        <v>38</v>
      </c>
      <c r="BR42" s="778" t="s">
        <v>1164</v>
      </c>
      <c r="BS42" s="765">
        <f t="shared" si="13"/>
        <v>47</v>
      </c>
      <c r="BU42" s="602"/>
      <c r="DJ42" s="602"/>
      <c r="DK42" s="602"/>
    </row>
    <row r="43" spans="1:115" ht="11.1" customHeight="1" outlineLevel="2">
      <c r="A43" s="602">
        <v>42</v>
      </c>
      <c r="B43" s="799" t="s">
        <v>1161</v>
      </c>
      <c r="C43" s="629">
        <v>7</v>
      </c>
      <c r="D43" s="768">
        <v>5</v>
      </c>
      <c r="E43" s="769">
        <f>5*12</f>
        <v>60</v>
      </c>
      <c r="F43" s="649"/>
      <c r="G43" s="768">
        <f t="shared" si="14"/>
        <v>0</v>
      </c>
      <c r="H43" s="771">
        <v>1440</v>
      </c>
      <c r="I43" s="771">
        <f t="shared" si="15"/>
        <v>0</v>
      </c>
      <c r="J43" s="769" t="s">
        <v>1327</v>
      </c>
      <c r="K43" s="774">
        <f>IF(J43&lt;&gt;"L",'Main Creation Page'!$AF$11,'Main Creation Page'!$AG$11)</f>
        <v>10</v>
      </c>
      <c r="L43" s="629">
        <v>9</v>
      </c>
      <c r="M43" s="629">
        <f>IF(ISNA(VLOOKUP(T43,$BJ$44:$BN$58,4)),0,VLOOKUP(T43,$BJ$44:$BN$58,4))</f>
        <v>0</v>
      </c>
      <c r="N43" s="620">
        <f t="shared" si="16"/>
        <v>19</v>
      </c>
      <c r="O43" s="769" t="s">
        <v>3805</v>
      </c>
      <c r="P43" s="775">
        <f ca="1">2+Skills!$AE$172</f>
        <v>2</v>
      </c>
      <c r="Q43" s="776">
        <v>7</v>
      </c>
      <c r="R43" s="629" t="str">
        <f>IF(AND(ISBLANK(Skills!$X$172),ISNA(Skills!$W$172)),"N","Y")</f>
        <v>N</v>
      </c>
      <c r="S43" s="629">
        <f>Skills!V$172</f>
        <v>5</v>
      </c>
      <c r="T43" s="629" t="str">
        <f>IF(ISNA(Skills!$W$172),IF(ISBLANK(Skills!$X$172)," ",Skills!$X$172),+Skills!$W$172+Skills!$X$172)</f>
        <v xml:space="preserve"> </v>
      </c>
      <c r="U43" s="743">
        <f>IF(R43="Y",Skills!$AC$172,Skills!$AB$172)</f>
        <v>0.1</v>
      </c>
      <c r="V43" s="714">
        <f ca="1">Skills!$Y$172</f>
        <v>0.12</v>
      </c>
      <c r="W43" s="714">
        <f ca="1">Skills!$AA$172</f>
        <v>0.12</v>
      </c>
      <c r="X43" s="777">
        <f ca="1">Skills!AD$172</f>
        <v>0.22</v>
      </c>
      <c r="Y43" s="622">
        <f ca="1">HLOOKUP(W43,$BJ$60:$BO$67,4)</f>
        <v>11</v>
      </c>
      <c r="Z43" s="622">
        <f ca="1">HLOOKUP(X43,$BJ$68:$BO$72,4)</f>
        <v>3</v>
      </c>
      <c r="AA43" s="602"/>
      <c r="AB43" s="608"/>
      <c r="AC43" s="608"/>
      <c r="AD43" s="608"/>
      <c r="AK43" s="609"/>
      <c r="AL43" s="609"/>
      <c r="AM43" s="609"/>
      <c r="AN43" s="609"/>
      <c r="AO43" s="609"/>
      <c r="AP43" s="609"/>
      <c r="AQ43" s="609"/>
      <c r="AR43" s="609"/>
      <c r="AS43" s="609"/>
      <c r="AT43" s="609"/>
      <c r="AU43" s="609"/>
      <c r="AV43" s="609"/>
      <c r="AW43" s="609"/>
      <c r="BK43" s="765"/>
      <c r="BL43" s="765"/>
      <c r="BM43" s="765"/>
      <c r="BN43" s="765"/>
      <c r="BO43" s="765"/>
      <c r="BP43" s="765"/>
      <c r="BQ43" s="765">
        <v>39</v>
      </c>
      <c r="BR43" s="778" t="s">
        <v>1166</v>
      </c>
      <c r="BS43" s="765">
        <f t="shared" si="13"/>
        <v>48</v>
      </c>
      <c r="BU43" s="602"/>
      <c r="DJ43" s="602"/>
      <c r="DK43" s="602"/>
    </row>
    <row r="44" spans="1:115" ht="11.1" customHeight="1" outlineLevel="2">
      <c r="A44" s="602">
        <v>43</v>
      </c>
      <c r="B44" s="799" t="s">
        <v>1162</v>
      </c>
      <c r="C44" s="629">
        <v>12</v>
      </c>
      <c r="D44" s="768">
        <v>5</v>
      </c>
      <c r="E44" s="769">
        <v>27</v>
      </c>
      <c r="F44" s="649"/>
      <c r="G44" s="768">
        <f t="shared" si="14"/>
        <v>0</v>
      </c>
      <c r="H44" s="771">
        <v>3840</v>
      </c>
      <c r="I44" s="771">
        <f t="shared" si="15"/>
        <v>0</v>
      </c>
      <c r="J44" s="769" t="s">
        <v>5221</v>
      </c>
      <c r="K44" s="774">
        <f>IF(J44&lt;&gt;"L",'Main Creation Page'!$AF$11,'Main Creation Page'!$AG$11)</f>
        <v>10</v>
      </c>
      <c r="L44" s="629">
        <v>6</v>
      </c>
      <c r="M44" s="629">
        <f>IF(ISNA(VLOOKUP(T44,$BJ$44:$BN$58,3)),0,VLOOKUP(T44,$BJ$44:$BN$58,3))</f>
        <v>0</v>
      </c>
      <c r="N44" s="620">
        <f t="shared" si="16"/>
        <v>16</v>
      </c>
      <c r="O44" s="769" t="s">
        <v>3805</v>
      </c>
      <c r="P44" s="775">
        <f ca="1">1+Skills!$AE$179</f>
        <v>1</v>
      </c>
      <c r="Q44" s="776">
        <v>9</v>
      </c>
      <c r="R44" s="629" t="str">
        <f>IF(AND(ISBLANK(Skills!$X$179),ISNA(Skills!$W$179)),"N","Y")</f>
        <v>N</v>
      </c>
      <c r="S44" s="629">
        <f>Skills!V$179</f>
        <v>4</v>
      </c>
      <c r="T44" s="629" t="str">
        <f>IF(ISNA(Skills!$W$179),IF(ISBLANK(Skills!$X$179)," ",Skills!$X$179),+Skills!$W$179+Skills!$X$179)</f>
        <v xml:space="preserve"> </v>
      </c>
      <c r="U44" s="743">
        <f>IF(R44="Y",Skills!$AC$179,Skills!$AB$179)</f>
        <v>0.2</v>
      </c>
      <c r="V44" s="714">
        <f ca="1">Skills!$Y$179</f>
        <v>0.2</v>
      </c>
      <c r="W44" s="714">
        <f ca="1">Skills!$AA$179</f>
        <v>0.2</v>
      </c>
      <c r="X44" s="777">
        <f ca="1">Skills!AD$179</f>
        <v>0.4</v>
      </c>
      <c r="Y44" s="622">
        <f ca="1">HLOOKUP(W44,$BJ$60:$BO$67,3)</f>
        <v>9</v>
      </c>
      <c r="Z44" s="622">
        <f ca="1">HLOOKUP(X44,$BJ$68:$BO$72,3)</f>
        <v>2</v>
      </c>
      <c r="AA44" s="602"/>
      <c r="AB44" s="608"/>
      <c r="AC44" s="608"/>
      <c r="AD44" s="608"/>
      <c r="AK44" s="609"/>
      <c r="AL44" s="609"/>
      <c r="AM44" s="609"/>
      <c r="AN44" s="609"/>
      <c r="AO44" s="609"/>
      <c r="AP44" s="609"/>
      <c r="AQ44" s="609"/>
      <c r="AR44" s="609"/>
      <c r="AS44" s="609"/>
      <c r="AT44" s="609"/>
      <c r="AU44" s="609"/>
      <c r="AV44" s="609"/>
      <c r="AW44" s="609"/>
      <c r="BK44" s="608" t="s">
        <v>3440</v>
      </c>
      <c r="BL44" s="608" t="s">
        <v>2584</v>
      </c>
      <c r="BM44" s="608" t="s">
        <v>2585</v>
      </c>
      <c r="BN44" s="608" t="s">
        <v>2526</v>
      </c>
      <c r="BQ44" s="765">
        <v>40</v>
      </c>
      <c r="BR44" s="778" t="s">
        <v>1165</v>
      </c>
      <c r="BS44" s="765">
        <f t="shared" ref="BS44:BS49" si="17">A51</f>
        <v>50</v>
      </c>
      <c r="BU44" s="602"/>
      <c r="DJ44" s="602"/>
      <c r="DK44" s="602"/>
    </row>
    <row r="45" spans="1:115" ht="11.1" customHeight="1" outlineLevel="2">
      <c r="A45" s="602">
        <v>44</v>
      </c>
      <c r="B45" s="799" t="s">
        <v>1162</v>
      </c>
      <c r="C45" s="629">
        <v>12</v>
      </c>
      <c r="D45" s="768">
        <v>5</v>
      </c>
      <c r="E45" s="769">
        <v>27</v>
      </c>
      <c r="F45" s="649"/>
      <c r="G45" s="768">
        <f t="shared" si="14"/>
        <v>0</v>
      </c>
      <c r="H45" s="771">
        <v>3840</v>
      </c>
      <c r="I45" s="771">
        <f t="shared" si="15"/>
        <v>0</v>
      </c>
      <c r="J45" s="769" t="s">
        <v>1327</v>
      </c>
      <c r="K45" s="774">
        <f>IF(J45&lt;&gt;"L",'Main Creation Page'!$AF$11,'Main Creation Page'!$AG$11)</f>
        <v>10</v>
      </c>
      <c r="L45" s="629">
        <v>8</v>
      </c>
      <c r="M45" s="629">
        <f>IF(ISNA(VLOOKUP(T45,$BJ$44:$BN$58,4)),0,VLOOKUP(T45,$BJ$44:$BN$58,4))</f>
        <v>0</v>
      </c>
      <c r="N45" s="620">
        <f t="shared" si="16"/>
        <v>18</v>
      </c>
      <c r="O45" s="769" t="s">
        <v>3805</v>
      </c>
      <c r="P45" s="775">
        <f ca="1">1+Skills!$AE$179</f>
        <v>1</v>
      </c>
      <c r="Q45" s="776">
        <v>8</v>
      </c>
      <c r="R45" s="629" t="str">
        <f>IF(AND(ISBLANK(Skills!$X$179),ISNA(Skills!$W$179)),"N","Y")</f>
        <v>N</v>
      </c>
      <c r="S45" s="629">
        <f>Skills!V$179</f>
        <v>4</v>
      </c>
      <c r="T45" s="629" t="str">
        <f>IF(ISNA(Skills!$W$179),IF(ISBLANK(Skills!$X$179)," ",Skills!$X$179),+Skills!$W$179+Skills!$X$179)</f>
        <v xml:space="preserve"> </v>
      </c>
      <c r="U45" s="743">
        <f>IF(R45="Y",Skills!$AC$179,Skills!$AB$179)</f>
        <v>0.2</v>
      </c>
      <c r="V45" s="714">
        <f ca="1">Skills!$Y$179</f>
        <v>0.2</v>
      </c>
      <c r="W45" s="714">
        <f ca="1">Skills!$AA$179</f>
        <v>0.2</v>
      </c>
      <c r="X45" s="777">
        <f ca="1">Skills!AD$179</f>
        <v>0.4</v>
      </c>
      <c r="Y45" s="622">
        <f ca="1">HLOOKUP(W45,$BJ$60:$BO$67,4)</f>
        <v>11</v>
      </c>
      <c r="Z45" s="622">
        <f ca="1">HLOOKUP(X45,$BJ$68:$BO$72,4)</f>
        <v>3</v>
      </c>
      <c r="AA45" s="602"/>
      <c r="AB45" s="608"/>
      <c r="AC45" s="608"/>
      <c r="AD45" s="608"/>
      <c r="AK45" s="609"/>
      <c r="AL45" s="609"/>
      <c r="AM45" s="609"/>
      <c r="AN45" s="609"/>
      <c r="AO45" s="609"/>
      <c r="AP45" s="609"/>
      <c r="AQ45" s="609"/>
      <c r="AR45" s="609"/>
      <c r="AS45" s="609"/>
      <c r="AT45" s="609"/>
      <c r="AU45" s="609"/>
      <c r="AV45" s="609"/>
      <c r="AW45" s="609"/>
      <c r="BJ45" s="608">
        <v>1</v>
      </c>
      <c r="BK45" s="608">
        <v>1</v>
      </c>
      <c r="BL45" s="608">
        <v>1</v>
      </c>
      <c r="BM45" s="608">
        <v>2</v>
      </c>
      <c r="BN45" s="608">
        <v>2</v>
      </c>
      <c r="BQ45" s="765">
        <v>41</v>
      </c>
      <c r="BR45" s="778" t="s">
        <v>5069</v>
      </c>
      <c r="BS45" s="765">
        <f t="shared" si="17"/>
        <v>51</v>
      </c>
      <c r="BU45" s="602"/>
      <c r="DJ45" s="602"/>
      <c r="DK45" s="602"/>
    </row>
    <row r="46" spans="1:115" ht="11.1" customHeight="1" outlineLevel="2">
      <c r="A46" s="602">
        <v>45</v>
      </c>
      <c r="B46" s="799" t="s">
        <v>1163</v>
      </c>
      <c r="C46" s="629">
        <v>5</v>
      </c>
      <c r="D46" s="768">
        <v>3</v>
      </c>
      <c r="E46" s="769">
        <v>21</v>
      </c>
      <c r="F46" s="649"/>
      <c r="G46" s="768">
        <f t="shared" si="14"/>
        <v>0</v>
      </c>
      <c r="H46" s="771">
        <v>912</v>
      </c>
      <c r="I46" s="771">
        <f t="shared" si="15"/>
        <v>0</v>
      </c>
      <c r="J46" s="769" t="s">
        <v>5221</v>
      </c>
      <c r="K46" s="774">
        <f>IF(J46&lt;&gt;"L",'Main Creation Page'!$AF$11,'Main Creation Page'!$AG$11)</f>
        <v>10</v>
      </c>
      <c r="L46" s="629">
        <v>5</v>
      </c>
      <c r="M46" s="629">
        <f>IF(ISNA(VLOOKUP(T46,$BJ$44:$BN$58,3)),0,VLOOKUP(T46,$BJ$44:$BN$58,3))</f>
        <v>0</v>
      </c>
      <c r="N46" s="620">
        <f t="shared" si="16"/>
        <v>15</v>
      </c>
      <c r="O46" s="769" t="s">
        <v>3805</v>
      </c>
      <c r="P46" s="775">
        <f ca="1">2+Skills!$AE$179</f>
        <v>2</v>
      </c>
      <c r="Q46" s="776">
        <v>9</v>
      </c>
      <c r="R46" s="629" t="str">
        <f>IF(AND(ISBLANK(Skills!$X$179),ISNA(Skills!$W$179)),"N","Y")</f>
        <v>N</v>
      </c>
      <c r="S46" s="629">
        <f>Skills!V$179</f>
        <v>4</v>
      </c>
      <c r="T46" s="629" t="str">
        <f>IF(ISNA(Skills!$W$179),IF(ISBLANK(Skills!$X$179)," ",Skills!$X$179),+Skills!$W$179+Skills!$X$179)</f>
        <v xml:space="preserve"> </v>
      </c>
      <c r="U46" s="743">
        <f>IF(R46="Y",Skills!$AC$179,Skills!$AB$179)</f>
        <v>0.2</v>
      </c>
      <c r="V46" s="714">
        <f ca="1">Skills!$Y$179</f>
        <v>0.2</v>
      </c>
      <c r="W46" s="714">
        <f ca="1">Skills!$AA$179</f>
        <v>0.2</v>
      </c>
      <c r="X46" s="777">
        <f ca="1">Skills!AD$179</f>
        <v>0.4</v>
      </c>
      <c r="Y46" s="622">
        <f ca="1">HLOOKUP(W46,$BJ$60:$BO$67,3)</f>
        <v>9</v>
      </c>
      <c r="Z46" s="622">
        <f ca="1">HLOOKUP(X46,$BJ$68:$BO$72,3)</f>
        <v>2</v>
      </c>
      <c r="AA46" s="602"/>
      <c r="AB46" s="608"/>
      <c r="AC46" s="608"/>
      <c r="AD46" s="608"/>
      <c r="AK46" s="609"/>
      <c r="AL46" s="609"/>
      <c r="AM46" s="609"/>
      <c r="AN46" s="609"/>
      <c r="AO46" s="609"/>
      <c r="AP46" s="609"/>
      <c r="AQ46" s="609"/>
      <c r="AR46" s="609"/>
      <c r="AS46" s="609"/>
      <c r="AT46" s="609"/>
      <c r="AU46" s="609"/>
      <c r="AV46" s="609"/>
      <c r="AW46" s="609"/>
      <c r="BJ46" s="608">
        <v>2</v>
      </c>
      <c r="BK46" s="608">
        <v>1</v>
      </c>
      <c r="BL46" s="608">
        <v>2</v>
      </c>
      <c r="BM46" s="608">
        <v>2</v>
      </c>
      <c r="BN46" s="608">
        <v>2</v>
      </c>
      <c r="BQ46" s="765">
        <v>42</v>
      </c>
      <c r="BR46" s="778" t="s">
        <v>1723</v>
      </c>
      <c r="BS46" s="765">
        <f t="shared" si="17"/>
        <v>52</v>
      </c>
      <c r="BU46" s="602"/>
      <c r="DJ46" s="602"/>
      <c r="DK46" s="602"/>
    </row>
    <row r="47" spans="1:115" ht="11.1" customHeight="1" outlineLevel="2">
      <c r="A47" s="602">
        <v>46</v>
      </c>
      <c r="B47" s="799" t="s">
        <v>3895</v>
      </c>
      <c r="C47" s="629">
        <v>4</v>
      </c>
      <c r="D47" s="768">
        <v>2.5</v>
      </c>
      <c r="E47" s="769">
        <v>24</v>
      </c>
      <c r="F47" s="649"/>
      <c r="G47" s="768">
        <f t="shared" si="14"/>
        <v>0</v>
      </c>
      <c r="H47" s="771">
        <v>820</v>
      </c>
      <c r="I47" s="771">
        <f t="shared" si="15"/>
        <v>0</v>
      </c>
      <c r="J47" s="769" t="s">
        <v>5221</v>
      </c>
      <c r="K47" s="774">
        <f>IF(J47&lt;&gt;"L",'Main Creation Page'!$AF$11,'Main Creation Page'!$AG$11)</f>
        <v>10</v>
      </c>
      <c r="L47" s="629">
        <v>4</v>
      </c>
      <c r="M47" s="629">
        <f>IF(ISNA(VLOOKUP(T47,$BJ$44:$BN$58,3)),0,VLOOKUP(T47,$BJ$44:$BN$58,3))</f>
        <v>0</v>
      </c>
      <c r="N47" s="620">
        <f t="shared" si="16"/>
        <v>14</v>
      </c>
      <c r="O47" s="769" t="s">
        <v>3805</v>
      </c>
      <c r="P47" s="775">
        <f ca="1">1+Skills!$AE$179</f>
        <v>1</v>
      </c>
      <c r="Q47" s="776">
        <v>10</v>
      </c>
      <c r="R47" s="629" t="str">
        <f>IF(AND(ISBLANK(Skills!$X$179),ISNA(Skills!$W$179)),"N","Y")</f>
        <v>N</v>
      </c>
      <c r="S47" s="629">
        <f>Skills!V$179</f>
        <v>4</v>
      </c>
      <c r="T47" s="629" t="str">
        <f>IF(ISNA(Skills!$W$179),IF(ISBLANK(Skills!$X$179)," ",Skills!$X$179),+Skills!$W$179+Skills!$X$179)</f>
        <v xml:space="preserve"> </v>
      </c>
      <c r="U47" s="743">
        <f>IF(R47="Y",Skills!$AC$179,Skills!$AB$179)</f>
        <v>0.2</v>
      </c>
      <c r="V47" s="714">
        <f ca="1">Skills!$Y$179</f>
        <v>0.2</v>
      </c>
      <c r="W47" s="714">
        <f ca="1">Skills!$AA$179</f>
        <v>0.2</v>
      </c>
      <c r="X47" s="777">
        <f ca="1">Skills!AD$179</f>
        <v>0.4</v>
      </c>
      <c r="Y47" s="622">
        <f ca="1">HLOOKUP(W47,$BJ$60:$BO$67,3)</f>
        <v>9</v>
      </c>
      <c r="Z47" s="622">
        <f ca="1">HLOOKUP(X47,$BJ$68:$BO$72,3)</f>
        <v>2</v>
      </c>
      <c r="AA47" s="602"/>
      <c r="AB47" s="608"/>
      <c r="AC47" s="608"/>
      <c r="AD47" s="608"/>
      <c r="AK47" s="609"/>
      <c r="AL47" s="609"/>
      <c r="AM47" s="609"/>
      <c r="AN47" s="609"/>
      <c r="AO47" s="609"/>
      <c r="AP47" s="609"/>
      <c r="AQ47" s="609"/>
      <c r="AR47" s="609"/>
      <c r="AS47" s="609"/>
      <c r="AT47" s="609"/>
      <c r="AU47" s="609"/>
      <c r="AV47" s="609"/>
      <c r="AW47" s="609"/>
      <c r="BJ47" s="608">
        <v>4</v>
      </c>
      <c r="BK47" s="608">
        <v>1</v>
      </c>
      <c r="BL47" s="608">
        <v>2</v>
      </c>
      <c r="BM47" s="608">
        <v>3</v>
      </c>
      <c r="BN47" s="608">
        <v>3</v>
      </c>
      <c r="BQ47" s="765">
        <v>43</v>
      </c>
      <c r="BR47" s="778" t="s">
        <v>1330</v>
      </c>
      <c r="BS47" s="765">
        <f t="shared" si="17"/>
        <v>53</v>
      </c>
      <c r="BU47" s="602"/>
      <c r="DJ47" s="602"/>
      <c r="DK47" s="602"/>
    </row>
    <row r="48" spans="1:115" ht="11.1" customHeight="1" outlineLevel="2">
      <c r="A48" s="602">
        <v>47</v>
      </c>
      <c r="B48" s="799" t="s">
        <v>1164</v>
      </c>
      <c r="C48" s="629">
        <v>5</v>
      </c>
      <c r="D48" s="768">
        <v>3</v>
      </c>
      <c r="E48" s="769">
        <v>21</v>
      </c>
      <c r="F48" s="649"/>
      <c r="G48" s="768">
        <f t="shared" si="14"/>
        <v>0</v>
      </c>
      <c r="H48" s="771">
        <v>1056</v>
      </c>
      <c r="I48" s="771">
        <f t="shared" si="15"/>
        <v>0</v>
      </c>
      <c r="J48" s="769" t="s">
        <v>5221</v>
      </c>
      <c r="K48" s="774">
        <f>IF(J48&lt;&gt;"L",'Main Creation Page'!$AF$11,'Main Creation Page'!$AG$11)</f>
        <v>10</v>
      </c>
      <c r="L48" s="629">
        <v>8</v>
      </c>
      <c r="M48" s="629">
        <f>IF(ISNA(VLOOKUP(T48,$BJ$44:$BN$58,3)),0,VLOOKUP(T48,$BJ$44:$BN$58,3))</f>
        <v>0</v>
      </c>
      <c r="N48" s="620">
        <f t="shared" si="16"/>
        <v>18</v>
      </c>
      <c r="O48" s="769" t="s">
        <v>3805</v>
      </c>
      <c r="P48" s="775">
        <f ca="1">1+Skills!$AE$179</f>
        <v>1</v>
      </c>
      <c r="Q48" s="776">
        <v>9</v>
      </c>
      <c r="R48" s="629" t="str">
        <f>IF(AND(ISBLANK(Skills!$X$179),ISNA(Skills!$W$179)),"N","Y")</f>
        <v>N</v>
      </c>
      <c r="S48" s="629">
        <f>Skills!V$179</f>
        <v>4</v>
      </c>
      <c r="T48" s="629" t="str">
        <f>IF(ISNA(Skills!$W$179),IF(ISBLANK(Skills!$X$179)," ",Skills!$X$179),+Skills!$W$179+Skills!$X$179)</f>
        <v xml:space="preserve"> </v>
      </c>
      <c r="U48" s="743">
        <f>IF(R48="Y",Skills!$AC$179,Skills!$AB$179)</f>
        <v>0.2</v>
      </c>
      <c r="V48" s="714">
        <f ca="1">Skills!$Y$179</f>
        <v>0.2</v>
      </c>
      <c r="W48" s="714">
        <f ca="1">Skills!$AA$179</f>
        <v>0.2</v>
      </c>
      <c r="X48" s="777">
        <f ca="1">Skills!AD$179</f>
        <v>0.4</v>
      </c>
      <c r="Y48" s="622">
        <f ca="1">HLOOKUP(W48,$BJ$60:$BO$67,3)</f>
        <v>9</v>
      </c>
      <c r="Z48" s="622">
        <f ca="1">HLOOKUP(X48,$BJ$68:$BO$72,3)</f>
        <v>2</v>
      </c>
      <c r="AA48" s="602"/>
      <c r="AB48" s="608"/>
      <c r="AC48" s="608"/>
      <c r="AD48" s="608"/>
      <c r="AK48" s="609"/>
      <c r="AL48" s="609"/>
      <c r="AM48" s="609"/>
      <c r="AN48" s="609"/>
      <c r="AO48" s="609"/>
      <c r="AP48" s="609"/>
      <c r="AQ48" s="609"/>
      <c r="AR48" s="609"/>
      <c r="AS48" s="609"/>
      <c r="AT48" s="609"/>
      <c r="AU48" s="609"/>
      <c r="AV48" s="609"/>
      <c r="AW48" s="609"/>
      <c r="BJ48" s="608">
        <v>5</v>
      </c>
      <c r="BK48" s="608">
        <v>1</v>
      </c>
      <c r="BL48" s="608">
        <v>2</v>
      </c>
      <c r="BM48" s="608">
        <v>3</v>
      </c>
      <c r="BN48" s="608">
        <v>3</v>
      </c>
      <c r="BQ48" s="765">
        <v>44</v>
      </c>
      <c r="BR48" s="778" t="s">
        <v>1331</v>
      </c>
      <c r="BS48" s="765">
        <f t="shared" si="17"/>
        <v>54</v>
      </c>
      <c r="BU48" s="602"/>
      <c r="DJ48" s="602"/>
      <c r="DK48" s="602"/>
    </row>
    <row r="49" spans="1:115" ht="11.1" customHeight="1" outlineLevel="2" thickBot="1">
      <c r="A49" s="602">
        <v>48</v>
      </c>
      <c r="B49" s="781" t="s">
        <v>1166</v>
      </c>
      <c r="C49" s="800">
        <v>4</v>
      </c>
      <c r="D49" s="801">
        <f>AVERAGE(9,16)</f>
        <v>12.5</v>
      </c>
      <c r="E49" s="802">
        <v>48</v>
      </c>
      <c r="F49" s="803"/>
      <c r="G49" s="768">
        <f t="shared" si="14"/>
        <v>0</v>
      </c>
      <c r="H49" s="771">
        <v>1008</v>
      </c>
      <c r="I49" s="771">
        <f t="shared" si="15"/>
        <v>0</v>
      </c>
      <c r="J49" s="769" t="s">
        <v>1327</v>
      </c>
      <c r="K49" s="774">
        <f>IF(J49&lt;&gt;"L",'Main Creation Page'!$AF$11,'Main Creation Page'!$AG$11)</f>
        <v>10</v>
      </c>
      <c r="L49" s="629">
        <v>10</v>
      </c>
      <c r="M49" s="629">
        <f>IF(ISNA(VLOOKUP(T49,$BJ$44:$BN$58,4)),0,VLOOKUP(T49,$BJ$44:$BN$58,4))</f>
        <v>0</v>
      </c>
      <c r="N49" s="620">
        <f t="shared" si="16"/>
        <v>20</v>
      </c>
      <c r="O49" s="769" t="s">
        <v>3805</v>
      </c>
      <c r="P49" s="775">
        <f ca="1">2+Skills!$AE$179</f>
        <v>2</v>
      </c>
      <c r="Q49" s="776">
        <v>7</v>
      </c>
      <c r="R49" s="629" t="str">
        <f>IF(AND(ISBLANK(Skills!$X$179),ISNA(Skills!$W$179)),"N","Y")</f>
        <v>N</v>
      </c>
      <c r="S49" s="629">
        <f>Skills!V$179</f>
        <v>4</v>
      </c>
      <c r="T49" s="629" t="str">
        <f>IF(ISNA(Skills!$W$179),IF(ISBLANK(Skills!$X$179)," ",Skills!$X$179),+Skills!$W$179+Skills!$X$179)</f>
        <v xml:space="preserve"> </v>
      </c>
      <c r="U49" s="743">
        <f>IF(R49="Y",Skills!$AC$179,Skills!$AB$179)</f>
        <v>0.2</v>
      </c>
      <c r="V49" s="714">
        <f ca="1">Skills!$Y$179</f>
        <v>0.2</v>
      </c>
      <c r="W49" s="714">
        <f ca="1">Skills!$AA$179</f>
        <v>0.2</v>
      </c>
      <c r="X49" s="777">
        <f ca="1">Skills!AD$179</f>
        <v>0.4</v>
      </c>
      <c r="Y49" s="622">
        <f ca="1">HLOOKUP(W49,$BJ$60:$BO$67,4)</f>
        <v>11</v>
      </c>
      <c r="Z49" s="622">
        <f ca="1">HLOOKUP(X49,$BJ$68:$BO$72,4)</f>
        <v>3</v>
      </c>
      <c r="AA49" s="602"/>
      <c r="AB49" s="608"/>
      <c r="AC49" s="608"/>
      <c r="AD49" s="608"/>
      <c r="AK49" s="609"/>
      <c r="AL49" s="609"/>
      <c r="AM49" s="609"/>
      <c r="AN49" s="609"/>
      <c r="AO49" s="609"/>
      <c r="AP49" s="609"/>
      <c r="AQ49" s="609"/>
      <c r="AR49" s="609"/>
      <c r="AS49" s="609"/>
      <c r="AT49" s="609"/>
      <c r="AU49" s="609"/>
      <c r="AV49" s="609"/>
      <c r="AW49" s="609"/>
      <c r="BJ49" s="608">
        <v>6</v>
      </c>
      <c r="BK49" s="608">
        <v>1</v>
      </c>
      <c r="BL49" s="608">
        <v>3</v>
      </c>
      <c r="BM49" s="608">
        <v>3</v>
      </c>
      <c r="BN49" s="608">
        <v>4</v>
      </c>
      <c r="BQ49" s="765">
        <v>45</v>
      </c>
      <c r="BR49" s="792" t="s">
        <v>3898</v>
      </c>
      <c r="BS49" s="765">
        <f t="shared" si="17"/>
        <v>55</v>
      </c>
      <c r="BU49" s="602"/>
      <c r="DJ49" s="602"/>
      <c r="DK49" s="602"/>
    </row>
    <row r="50" spans="1:115" ht="11.1" customHeight="1" outlineLevel="1" thickTop="1">
      <c r="A50" s="602">
        <v>49</v>
      </c>
      <c r="B50" s="785" t="s">
        <v>2226</v>
      </c>
      <c r="C50" s="796" t="s">
        <v>2225</v>
      </c>
      <c r="D50" s="797"/>
      <c r="E50" s="798" t="s">
        <v>2225</v>
      </c>
      <c r="F50" s="789"/>
      <c r="G50" s="768"/>
      <c r="H50" s="771"/>
      <c r="I50" s="771"/>
      <c r="J50" s="769"/>
      <c r="K50" s="629"/>
      <c r="L50" s="629"/>
      <c r="M50" s="629"/>
      <c r="N50" s="629"/>
      <c r="O50" s="769"/>
      <c r="P50" s="776"/>
      <c r="Q50" s="776"/>
      <c r="R50" s="629"/>
      <c r="S50" s="629"/>
      <c r="T50" s="629"/>
      <c r="U50" s="629"/>
      <c r="V50" s="769"/>
      <c r="W50" s="769"/>
      <c r="X50" s="772"/>
      <c r="Y50" s="629"/>
      <c r="Z50" s="745"/>
      <c r="AA50" s="602"/>
      <c r="AB50" s="608"/>
      <c r="AC50" s="608"/>
      <c r="AD50" s="608"/>
      <c r="AK50" s="609"/>
      <c r="AL50" s="609"/>
      <c r="AM50" s="609"/>
      <c r="AN50" s="609"/>
      <c r="AO50" s="609"/>
      <c r="AP50" s="609"/>
      <c r="AQ50" s="609"/>
      <c r="AR50" s="609"/>
      <c r="AS50" s="609"/>
      <c r="AT50" s="609"/>
      <c r="AU50" s="609"/>
      <c r="AV50" s="609"/>
      <c r="AW50" s="609"/>
      <c r="BJ50" s="608">
        <v>7</v>
      </c>
      <c r="BK50" s="608">
        <v>2</v>
      </c>
      <c r="BL50" s="608">
        <v>3</v>
      </c>
      <c r="BM50" s="608">
        <v>4</v>
      </c>
      <c r="BN50" s="608">
        <v>4</v>
      </c>
      <c r="BQ50" s="765">
        <v>46</v>
      </c>
      <c r="BR50" s="778" t="s">
        <v>172</v>
      </c>
      <c r="BS50" s="765">
        <f>A58</f>
        <v>57</v>
      </c>
      <c r="BU50" s="602"/>
      <c r="DJ50" s="602"/>
      <c r="DK50" s="602"/>
    </row>
    <row r="51" spans="1:115" ht="11.1" customHeight="1" outlineLevel="2">
      <c r="A51" s="602">
        <v>50</v>
      </c>
      <c r="B51" s="799" t="s">
        <v>1165</v>
      </c>
      <c r="C51" s="629">
        <v>9</v>
      </c>
      <c r="D51" s="768">
        <v>5</v>
      </c>
      <c r="E51" s="769">
        <v>88</v>
      </c>
      <c r="F51" s="649"/>
      <c r="G51" s="768">
        <f t="shared" ref="G51:G56" si="18">F51*D51</f>
        <v>0</v>
      </c>
      <c r="H51" s="771">
        <v>1056</v>
      </c>
      <c r="I51" s="771">
        <f t="shared" ref="I51:I56" si="19">H51*F51</f>
        <v>0</v>
      </c>
      <c r="J51" s="769" t="s">
        <v>1327</v>
      </c>
      <c r="K51" s="774">
        <f>IF(J51&lt;&gt;"L",'Main Creation Page'!$AF$11,'Main Creation Page'!$AG$11)</f>
        <v>10</v>
      </c>
      <c r="L51" s="629">
        <v>10</v>
      </c>
      <c r="M51" s="629">
        <f t="shared" ref="M51:M56" si="20">IF(ISNA(VLOOKUP(T51,$BJ$44:$BN$58,4)),0,VLOOKUP(T51,$BJ$44:$BN$58,4))</f>
        <v>0</v>
      </c>
      <c r="N51" s="620">
        <f t="shared" ref="N51:N56" si="21">K51+L51+M51</f>
        <v>20</v>
      </c>
      <c r="O51" s="769" t="s">
        <v>1333</v>
      </c>
      <c r="P51" s="775">
        <f ca="1">1+Skills!$AE$185</f>
        <v>1</v>
      </c>
      <c r="Q51" s="776">
        <v>8</v>
      </c>
      <c r="R51" s="629" t="str">
        <f>IF(AND(ISBLANK(Skills!$X$185),ISNA(Skills!$W$185)),"N","Y")</f>
        <v>N</v>
      </c>
      <c r="S51" s="629">
        <f>Skills!V$185</f>
        <v>6</v>
      </c>
      <c r="T51" s="629" t="str">
        <f>IF(ISNA(Skills!$W$172),IF(ISBLANK(Skills!$X$172)," ",Skills!$X$172),+Skills!$W$172+Skills!$X$172)</f>
        <v xml:space="preserve"> </v>
      </c>
      <c r="U51" s="743">
        <f>IF(R51="Y",Skills!$AC$185,Skills!$AB$185)</f>
        <v>0.05</v>
      </c>
      <c r="V51" s="714">
        <f ca="1">Skills!$Y$185</f>
        <v>0.12</v>
      </c>
      <c r="W51" s="714">
        <f ca="1">Skills!$AA$185</f>
        <v>0.12</v>
      </c>
      <c r="X51" s="777">
        <f ca="1">Skills!AD$185</f>
        <v>0.16999999999999998</v>
      </c>
      <c r="Y51" s="622">
        <f t="shared" ref="Y51:Y56" ca="1" si="22">HLOOKUP(W51,$BJ$60:$BO$67,5)</f>
        <v>12</v>
      </c>
      <c r="Z51" s="622">
        <f t="shared" ref="Z51:Z56" ca="1" si="23">HLOOKUP(X51,$BJ$68:$BO$72,5)</f>
        <v>4</v>
      </c>
      <c r="AA51" s="602"/>
      <c r="AB51" s="608"/>
      <c r="AC51" s="608"/>
      <c r="AD51" s="608"/>
      <c r="AK51" s="609"/>
      <c r="AL51" s="609"/>
      <c r="AM51" s="609"/>
      <c r="AN51" s="609"/>
      <c r="AO51" s="609"/>
      <c r="AP51" s="609"/>
      <c r="AQ51" s="609"/>
      <c r="AR51" s="609"/>
      <c r="AS51" s="609"/>
      <c r="AT51" s="609"/>
      <c r="AU51" s="609"/>
      <c r="AV51" s="609"/>
      <c r="AW51" s="609"/>
      <c r="BJ51" s="608">
        <v>9</v>
      </c>
      <c r="BK51" s="608">
        <v>2</v>
      </c>
      <c r="BL51" s="608">
        <v>3</v>
      </c>
      <c r="BM51" s="608">
        <v>4</v>
      </c>
      <c r="BN51" s="608">
        <v>5</v>
      </c>
      <c r="BQ51" s="765">
        <v>47</v>
      </c>
      <c r="BR51" s="778" t="s">
        <v>173</v>
      </c>
      <c r="BS51" s="765">
        <f>A59</f>
        <v>58</v>
      </c>
      <c r="BU51" s="602"/>
      <c r="DJ51" s="602"/>
      <c r="DK51" s="602"/>
    </row>
    <row r="52" spans="1:115" ht="11.1" customHeight="1" outlineLevel="2">
      <c r="A52" s="602">
        <v>51</v>
      </c>
      <c r="B52" s="799" t="s">
        <v>5069</v>
      </c>
      <c r="C52" s="629">
        <v>10</v>
      </c>
      <c r="D52" s="768">
        <v>4</v>
      </c>
      <c r="E52" s="769">
        <v>80</v>
      </c>
      <c r="F52" s="649"/>
      <c r="G52" s="768">
        <f t="shared" si="18"/>
        <v>0</v>
      </c>
      <c r="H52" s="771">
        <v>1872</v>
      </c>
      <c r="I52" s="771">
        <f t="shared" si="19"/>
        <v>0</v>
      </c>
      <c r="J52" s="769" t="s">
        <v>1327</v>
      </c>
      <c r="K52" s="774">
        <f>IF(J52&lt;&gt;"L",'Main Creation Page'!$AF$11,'Main Creation Page'!$AG$11)</f>
        <v>10</v>
      </c>
      <c r="L52" s="629">
        <v>8</v>
      </c>
      <c r="M52" s="629">
        <f t="shared" si="20"/>
        <v>0</v>
      </c>
      <c r="N52" s="620">
        <f t="shared" si="21"/>
        <v>18</v>
      </c>
      <c r="O52" s="769" t="s">
        <v>1333</v>
      </c>
      <c r="P52" s="775">
        <f ca="1">2+Skills!$AE$185</f>
        <v>2</v>
      </c>
      <c r="Q52" s="776">
        <v>8</v>
      </c>
      <c r="R52" s="629" t="str">
        <f>IF(AND(ISBLANK(Skills!$X$185),ISNA(Skills!$W$185)),"N","Y")</f>
        <v>N</v>
      </c>
      <c r="S52" s="629">
        <f>Skills!V$185</f>
        <v>6</v>
      </c>
      <c r="T52" s="629" t="str">
        <f>IF(ISNA(Skills!$W$172),IF(ISBLANK(Skills!$X$172)," ",Skills!$X$172),+Skills!$W$172+Skills!$X$172)</f>
        <v xml:space="preserve"> </v>
      </c>
      <c r="U52" s="743">
        <f>IF(R52="Y",Skills!$AC$185,Skills!$AB$185)</f>
        <v>0.05</v>
      </c>
      <c r="V52" s="714">
        <f ca="1">Skills!$Y$185</f>
        <v>0.12</v>
      </c>
      <c r="W52" s="714">
        <f ca="1">Skills!$AA$185</f>
        <v>0.12</v>
      </c>
      <c r="X52" s="777">
        <f ca="1">Skills!AD$185</f>
        <v>0.16999999999999998</v>
      </c>
      <c r="Y52" s="622">
        <f t="shared" ca="1" si="22"/>
        <v>12</v>
      </c>
      <c r="Z52" s="622">
        <f t="shared" ca="1" si="23"/>
        <v>4</v>
      </c>
      <c r="AA52" s="602"/>
      <c r="AB52" s="608"/>
      <c r="AC52" s="608"/>
      <c r="AD52" s="608"/>
      <c r="AK52" s="609"/>
      <c r="AL52" s="609"/>
      <c r="AM52" s="609"/>
      <c r="AN52" s="609"/>
      <c r="AO52" s="609"/>
      <c r="AP52" s="609"/>
      <c r="AQ52" s="609"/>
      <c r="AR52" s="609"/>
      <c r="AS52" s="609"/>
      <c r="AT52" s="609"/>
      <c r="AU52" s="609"/>
      <c r="AV52" s="609"/>
      <c r="AW52" s="609"/>
      <c r="BJ52" s="608">
        <v>10</v>
      </c>
      <c r="BK52" s="608">
        <v>2</v>
      </c>
      <c r="BL52" s="608">
        <v>3</v>
      </c>
      <c r="BM52" s="608">
        <v>4</v>
      </c>
      <c r="BN52" s="608">
        <v>5</v>
      </c>
      <c r="BQ52" s="765">
        <v>48</v>
      </c>
      <c r="BR52" s="778" t="s">
        <v>1722</v>
      </c>
      <c r="BS52" s="765">
        <f>A60</f>
        <v>59</v>
      </c>
      <c r="BU52" s="602"/>
      <c r="DJ52" s="602"/>
      <c r="DK52" s="602"/>
    </row>
    <row r="53" spans="1:115" ht="11.1" customHeight="1" outlineLevel="2">
      <c r="A53" s="602">
        <v>52</v>
      </c>
      <c r="B53" s="799" t="s">
        <v>1723</v>
      </c>
      <c r="C53" s="629">
        <v>5</v>
      </c>
      <c r="D53" s="768">
        <v>10</v>
      </c>
      <c r="E53" s="769">
        <v>86</v>
      </c>
      <c r="F53" s="649"/>
      <c r="G53" s="768">
        <f t="shared" si="18"/>
        <v>0</v>
      </c>
      <c r="H53" s="771">
        <v>936</v>
      </c>
      <c r="I53" s="771">
        <f t="shared" si="19"/>
        <v>0</v>
      </c>
      <c r="J53" s="769" t="s">
        <v>1327</v>
      </c>
      <c r="K53" s="774">
        <f>IF(J53&lt;&gt;"L",'Main Creation Page'!$AF$11,'Main Creation Page'!$AG$11)</f>
        <v>10</v>
      </c>
      <c r="L53" s="629">
        <v>5</v>
      </c>
      <c r="M53" s="629">
        <f t="shared" si="20"/>
        <v>0</v>
      </c>
      <c r="N53" s="620">
        <f t="shared" si="21"/>
        <v>15</v>
      </c>
      <c r="O53" s="769" t="s">
        <v>1333</v>
      </c>
      <c r="P53" s="620">
        <f ca="1">0+Skills!$AE$185</f>
        <v>0</v>
      </c>
      <c r="Q53" s="629">
        <v>9</v>
      </c>
      <c r="R53" s="629" t="str">
        <f>IF(AND(ISBLANK(Skills!$X$185),ISNA(Skills!$W$185)),"N","Y")</f>
        <v>N</v>
      </c>
      <c r="S53" s="629">
        <f>Skills!V$185</f>
        <v>6</v>
      </c>
      <c r="T53" s="629" t="str">
        <f>IF(ISNA(Skills!$W$197),IF(ISBLANK(Skills!$X$197)," ",Skills!$X$197),+Skills!$W$197+Skills!$X$197)</f>
        <v xml:space="preserve"> </v>
      </c>
      <c r="U53" s="743">
        <f>IF(R53="Y",Skills!$AC$185,Skills!$AB$185)</f>
        <v>0.05</v>
      </c>
      <c r="V53" s="714">
        <f ca="1">Skills!$Y$185</f>
        <v>0.12</v>
      </c>
      <c r="W53" s="714">
        <f ca="1">Skills!$AA$185</f>
        <v>0.12</v>
      </c>
      <c r="X53" s="777">
        <f ca="1">Skills!AD$185</f>
        <v>0.16999999999999998</v>
      </c>
      <c r="Y53" s="622">
        <f t="shared" ca="1" si="22"/>
        <v>12</v>
      </c>
      <c r="Z53" s="622">
        <f t="shared" ca="1" si="23"/>
        <v>4</v>
      </c>
      <c r="AA53" s="602"/>
      <c r="AC53" s="608"/>
      <c r="AD53" s="608"/>
      <c r="AK53" s="609"/>
      <c r="AL53" s="609"/>
      <c r="AM53" s="609"/>
      <c r="AN53" s="609"/>
      <c r="AO53" s="609"/>
      <c r="AP53" s="609"/>
      <c r="AQ53" s="609"/>
      <c r="AR53" s="609"/>
      <c r="AS53" s="609"/>
      <c r="AT53" s="609"/>
      <c r="AU53" s="609"/>
      <c r="AV53" s="609"/>
      <c r="AW53" s="609"/>
      <c r="BJ53" s="608">
        <v>11</v>
      </c>
      <c r="BK53" s="608">
        <v>2</v>
      </c>
      <c r="BL53" s="608">
        <v>4</v>
      </c>
      <c r="BM53" s="608">
        <v>5</v>
      </c>
      <c r="BN53" s="608">
        <v>6</v>
      </c>
      <c r="BQ53" s="765">
        <v>49</v>
      </c>
      <c r="BR53" s="778" t="s">
        <v>1722</v>
      </c>
      <c r="BS53" s="765">
        <f>A61</f>
        <v>60</v>
      </c>
      <c r="BU53" s="602"/>
      <c r="DJ53" s="602"/>
      <c r="DK53" s="602"/>
    </row>
    <row r="54" spans="1:115" ht="11.1" customHeight="1" outlineLevel="2">
      <c r="A54" s="602">
        <v>53</v>
      </c>
      <c r="B54" s="799" t="s">
        <v>1330</v>
      </c>
      <c r="C54" s="629">
        <v>5</v>
      </c>
      <c r="D54" s="768">
        <v>4</v>
      </c>
      <c r="E54" s="769">
        <f>6*12</f>
        <v>72</v>
      </c>
      <c r="F54" s="649"/>
      <c r="G54" s="768">
        <f t="shared" si="18"/>
        <v>0</v>
      </c>
      <c r="H54" s="771">
        <v>1152</v>
      </c>
      <c r="I54" s="771">
        <f t="shared" si="19"/>
        <v>0</v>
      </c>
      <c r="J54" s="769" t="s">
        <v>1327</v>
      </c>
      <c r="K54" s="774">
        <f>IF(J54&lt;&gt;"L",'Main Creation Page'!$AF$11,'Main Creation Page'!$AG$11)</f>
        <v>10</v>
      </c>
      <c r="L54" s="629">
        <v>8</v>
      </c>
      <c r="M54" s="629">
        <f t="shared" si="20"/>
        <v>0</v>
      </c>
      <c r="N54" s="620">
        <f t="shared" si="21"/>
        <v>18</v>
      </c>
      <c r="O54" s="769" t="s">
        <v>5067</v>
      </c>
      <c r="P54" s="775">
        <f ca="1">1+Skills!$AE$185</f>
        <v>1</v>
      </c>
      <c r="Q54" s="776">
        <v>6</v>
      </c>
      <c r="R54" s="629" t="str">
        <f>IF(AND(ISBLANK(Skills!$X$185),ISNA(Skills!$W$185)),"N","Y")</f>
        <v>N</v>
      </c>
      <c r="S54" s="629">
        <f>Skills!V$185</f>
        <v>6</v>
      </c>
      <c r="T54" s="629" t="str">
        <f>IF(ISNA(Skills!$W$157),IF(ISBLANK(Skills!$X$157)," ",Skills!$X$157),+Skills!$W$157+Skills!$X$157)</f>
        <v xml:space="preserve"> </v>
      </c>
      <c r="U54" s="743">
        <f>IF(R54="Y",Skills!$AC$185,Skills!$AB$185)</f>
        <v>0.05</v>
      </c>
      <c r="V54" s="714">
        <f ca="1">Skills!$Y$185</f>
        <v>0.12</v>
      </c>
      <c r="W54" s="714">
        <f ca="1">Skills!$AA$185</f>
        <v>0.12</v>
      </c>
      <c r="X54" s="777">
        <f ca="1">Skills!AD$185</f>
        <v>0.16999999999999998</v>
      </c>
      <c r="Y54" s="622">
        <f t="shared" ca="1" si="22"/>
        <v>12</v>
      </c>
      <c r="Z54" s="622">
        <f t="shared" ca="1" si="23"/>
        <v>4</v>
      </c>
      <c r="AA54" s="602"/>
      <c r="AC54" s="608"/>
      <c r="AD54" s="608"/>
      <c r="AK54" s="609"/>
      <c r="AL54" s="609"/>
      <c r="AM54" s="609"/>
      <c r="AN54" s="609"/>
      <c r="AO54" s="609"/>
      <c r="AP54" s="609"/>
      <c r="AQ54" s="609"/>
      <c r="AR54" s="609"/>
      <c r="AS54" s="609"/>
      <c r="AT54" s="609"/>
      <c r="AU54" s="609"/>
      <c r="AV54" s="609"/>
      <c r="AW54" s="609"/>
      <c r="BJ54" s="608">
        <v>12</v>
      </c>
      <c r="BK54" s="608">
        <v>3</v>
      </c>
      <c r="BL54" s="608">
        <v>4</v>
      </c>
      <c r="BM54" s="608">
        <v>5</v>
      </c>
      <c r="BN54" s="608">
        <v>6</v>
      </c>
      <c r="BQ54" s="765">
        <v>50</v>
      </c>
      <c r="BR54" s="778" t="s">
        <v>1724</v>
      </c>
      <c r="BS54" s="765">
        <f>A63</f>
        <v>62</v>
      </c>
      <c r="BU54" s="602"/>
      <c r="DJ54" s="602"/>
      <c r="DK54" s="602"/>
    </row>
    <row r="55" spans="1:115" ht="11.1" customHeight="1" outlineLevel="2">
      <c r="A55" s="602">
        <v>54</v>
      </c>
      <c r="B55" s="799" t="s">
        <v>1331</v>
      </c>
      <c r="C55" s="629">
        <v>8</v>
      </c>
      <c r="D55" s="768">
        <v>6</v>
      </c>
      <c r="E55" s="769">
        <f>6.5*12</f>
        <v>78</v>
      </c>
      <c r="F55" s="649"/>
      <c r="G55" s="768">
        <f t="shared" si="18"/>
        <v>0</v>
      </c>
      <c r="H55" s="771">
        <v>1512</v>
      </c>
      <c r="I55" s="771">
        <f t="shared" si="19"/>
        <v>0</v>
      </c>
      <c r="J55" s="769" t="s">
        <v>1327</v>
      </c>
      <c r="K55" s="774">
        <f>IF(J55&lt;&gt;"L",'Main Creation Page'!$AF$11,'Main Creation Page'!$AG$11)</f>
        <v>10</v>
      </c>
      <c r="L55" s="629">
        <v>10</v>
      </c>
      <c r="M55" s="629">
        <f t="shared" si="20"/>
        <v>0</v>
      </c>
      <c r="N55" s="620">
        <f t="shared" si="21"/>
        <v>20</v>
      </c>
      <c r="O55" s="769" t="s">
        <v>5067</v>
      </c>
      <c r="P55" s="775">
        <f ca="1">2+Skills!$AE$185</f>
        <v>2</v>
      </c>
      <c r="Q55" s="776">
        <v>6</v>
      </c>
      <c r="R55" s="629" t="str">
        <f>IF(AND(ISBLANK(Skills!$X$185),ISNA(Skills!$W$185)),"N","Y")</f>
        <v>N</v>
      </c>
      <c r="S55" s="629">
        <f>Skills!V$185</f>
        <v>6</v>
      </c>
      <c r="T55" s="629" t="str">
        <f>IF(ISNA(Skills!$W$157),IF(ISBLANK(Skills!$X$157)," ",Skills!$X$157),+Skills!$W$157+Skills!$X$157)</f>
        <v xml:space="preserve"> </v>
      </c>
      <c r="U55" s="743">
        <f>IF(R55="Y",Skills!$AC$185,Skills!$AB$185)</f>
        <v>0.05</v>
      </c>
      <c r="V55" s="714">
        <f ca="1">Skills!$Y$185</f>
        <v>0.12</v>
      </c>
      <c r="W55" s="714">
        <f ca="1">Skills!$AA$185</f>
        <v>0.12</v>
      </c>
      <c r="X55" s="777">
        <f ca="1">Skills!AD$185</f>
        <v>0.16999999999999998</v>
      </c>
      <c r="Y55" s="622">
        <f t="shared" ca="1" si="22"/>
        <v>12</v>
      </c>
      <c r="Z55" s="622">
        <f t="shared" ca="1" si="23"/>
        <v>4</v>
      </c>
      <c r="AA55" s="602"/>
      <c r="AC55" s="608"/>
      <c r="AD55" s="608"/>
      <c r="AK55" s="609"/>
      <c r="AL55" s="609"/>
      <c r="AM55" s="609"/>
      <c r="AN55" s="609"/>
      <c r="AO55" s="609"/>
      <c r="AP55" s="609"/>
      <c r="AQ55" s="609"/>
      <c r="AR55" s="609"/>
      <c r="AS55" s="609"/>
      <c r="AT55" s="609"/>
      <c r="AU55" s="609"/>
      <c r="AV55" s="609"/>
      <c r="AW55" s="609"/>
      <c r="BJ55" s="608">
        <v>14</v>
      </c>
      <c r="BK55" s="608">
        <v>3</v>
      </c>
      <c r="BL55" s="608">
        <v>4</v>
      </c>
      <c r="BM55" s="608">
        <v>5</v>
      </c>
      <c r="BN55" s="608">
        <v>6</v>
      </c>
      <c r="BQ55" s="765">
        <v>51</v>
      </c>
      <c r="BR55" s="778" t="s">
        <v>1611</v>
      </c>
      <c r="BS55" s="765">
        <f>A64</f>
        <v>63</v>
      </c>
      <c r="BU55" s="602"/>
      <c r="DJ55" s="602"/>
      <c r="DK55" s="602"/>
    </row>
    <row r="56" spans="1:115" ht="11.1" customHeight="1" outlineLevel="2" thickBot="1">
      <c r="A56" s="602">
        <v>55</v>
      </c>
      <c r="B56" s="795" t="s">
        <v>3898</v>
      </c>
      <c r="C56" s="800">
        <v>4</v>
      </c>
      <c r="D56" s="804">
        <v>10</v>
      </c>
      <c r="E56" s="802">
        <f>6.5*12</f>
        <v>78</v>
      </c>
      <c r="F56" s="649"/>
      <c r="G56" s="768">
        <f t="shared" si="18"/>
        <v>0</v>
      </c>
      <c r="H56" s="771">
        <v>300</v>
      </c>
      <c r="I56" s="771">
        <f t="shared" si="19"/>
        <v>0</v>
      </c>
      <c r="J56" s="769" t="s">
        <v>1327</v>
      </c>
      <c r="K56" s="774">
        <f>IF(J56&lt;&gt;"L",'Main Creation Page'!$AF$11,'Main Creation Page'!$AG$11)</f>
        <v>10</v>
      </c>
      <c r="L56" s="629">
        <v>8</v>
      </c>
      <c r="M56" s="629">
        <f t="shared" si="20"/>
        <v>0</v>
      </c>
      <c r="N56" s="620">
        <f t="shared" si="21"/>
        <v>18</v>
      </c>
      <c r="O56" s="769" t="s">
        <v>1333</v>
      </c>
      <c r="P56" s="775">
        <f ca="1">2+Skills!$AE$185</f>
        <v>2</v>
      </c>
      <c r="Q56" s="776">
        <v>7</v>
      </c>
      <c r="R56" s="629" t="str">
        <f>IF(AND(ISBLANK(Skills!$X$185),ISNA(Skills!$W$185)),"N","Y")</f>
        <v>N</v>
      </c>
      <c r="S56" s="629">
        <f>Skills!V$185</f>
        <v>6</v>
      </c>
      <c r="T56" s="629" t="str">
        <f>IF(ISNA(Skills!$W$157),IF(ISBLANK(Skills!$X$157)," ",Skills!$X$157),+Skills!$W$157+Skills!$X$157)</f>
        <v xml:space="preserve"> </v>
      </c>
      <c r="U56" s="743">
        <f>IF(R56="Y",Skills!$AC$185,Skills!$AB$185)</f>
        <v>0.05</v>
      </c>
      <c r="V56" s="714">
        <f ca="1">Skills!$Y$185</f>
        <v>0.12</v>
      </c>
      <c r="W56" s="714">
        <f ca="1">Skills!$AA$185</f>
        <v>0.12</v>
      </c>
      <c r="X56" s="777">
        <f ca="1">Skills!AD$185</f>
        <v>0.16999999999999998</v>
      </c>
      <c r="Y56" s="622">
        <f t="shared" ca="1" si="22"/>
        <v>12</v>
      </c>
      <c r="Z56" s="622">
        <f t="shared" ca="1" si="23"/>
        <v>4</v>
      </c>
      <c r="AA56" s="602"/>
      <c r="AC56" s="608"/>
      <c r="AD56" s="608"/>
      <c r="AK56" s="609"/>
      <c r="AL56" s="609"/>
      <c r="AM56" s="609"/>
      <c r="AN56" s="609"/>
      <c r="AO56" s="609"/>
      <c r="AP56" s="609"/>
      <c r="AQ56" s="609"/>
      <c r="AR56" s="609"/>
      <c r="AS56" s="609"/>
      <c r="AT56" s="609"/>
      <c r="AU56" s="609"/>
      <c r="AV56" s="609"/>
      <c r="AW56" s="609"/>
      <c r="BJ56" s="608">
        <v>17</v>
      </c>
      <c r="BK56" s="608">
        <v>4</v>
      </c>
      <c r="BL56" s="608">
        <v>6</v>
      </c>
      <c r="BM56" s="608">
        <v>7</v>
      </c>
      <c r="BN56" s="608">
        <v>7</v>
      </c>
      <c r="BQ56" s="765">
        <v>52</v>
      </c>
      <c r="BR56" s="778" t="s">
        <v>1612</v>
      </c>
      <c r="BS56" s="765">
        <f>A65</f>
        <v>64</v>
      </c>
      <c r="BU56" s="602"/>
      <c r="DJ56" s="602"/>
      <c r="DK56" s="602"/>
    </row>
    <row r="57" spans="1:115" ht="11.1" customHeight="1" outlineLevel="1" thickTop="1">
      <c r="A57" s="602">
        <v>56</v>
      </c>
      <c r="B57" s="785" t="s">
        <v>381</v>
      </c>
      <c r="C57" s="786"/>
      <c r="D57" s="787"/>
      <c r="E57" s="788"/>
      <c r="F57" s="789"/>
      <c r="G57" s="768"/>
      <c r="H57" s="771"/>
      <c r="I57" s="771"/>
      <c r="J57" s="769"/>
      <c r="K57" s="629"/>
      <c r="L57" s="629"/>
      <c r="M57" s="629"/>
      <c r="N57" s="629"/>
      <c r="O57" s="769"/>
      <c r="P57" s="629"/>
      <c r="Q57" s="629"/>
      <c r="R57" s="629"/>
      <c r="S57" s="629"/>
      <c r="T57" s="629"/>
      <c r="U57" s="629"/>
      <c r="V57" s="769"/>
      <c r="W57" s="769"/>
      <c r="X57" s="772"/>
      <c r="Y57" s="629"/>
      <c r="Z57" s="745"/>
      <c r="AA57" s="602"/>
      <c r="AB57" s="608"/>
      <c r="AC57" s="608"/>
      <c r="AD57" s="608"/>
      <c r="AK57" s="609"/>
      <c r="AL57" s="609"/>
      <c r="AM57" s="609"/>
      <c r="AN57" s="609"/>
      <c r="AO57" s="609"/>
      <c r="AP57" s="609"/>
      <c r="AQ57" s="609"/>
      <c r="AR57" s="609"/>
      <c r="AS57" s="609"/>
      <c r="AT57" s="609"/>
      <c r="AU57" s="609"/>
      <c r="AV57" s="609"/>
      <c r="AW57" s="609"/>
      <c r="BJ57" s="608">
        <v>19</v>
      </c>
      <c r="BK57" s="608">
        <v>4</v>
      </c>
      <c r="BL57" s="608">
        <v>6</v>
      </c>
      <c r="BM57" s="608">
        <v>7</v>
      </c>
      <c r="BN57" s="608">
        <v>8</v>
      </c>
      <c r="BQ57" s="765">
        <v>53</v>
      </c>
      <c r="BR57" s="778" t="s">
        <v>364</v>
      </c>
      <c r="BS57" s="765">
        <f>A66</f>
        <v>65</v>
      </c>
      <c r="BU57" s="602"/>
      <c r="DJ57" s="602"/>
      <c r="DK57" s="602"/>
    </row>
    <row r="58" spans="1:115" ht="11.1" customHeight="1" outlineLevel="2">
      <c r="A58" s="602">
        <v>57</v>
      </c>
      <c r="B58" s="780" t="s">
        <v>172</v>
      </c>
      <c r="C58" s="629">
        <v>3</v>
      </c>
      <c r="D58" s="768">
        <v>4</v>
      </c>
      <c r="E58" s="769">
        <f>6*12</f>
        <v>72</v>
      </c>
      <c r="F58" s="649"/>
      <c r="G58" s="768">
        <f>F58*D58</f>
        <v>0</v>
      </c>
      <c r="H58" s="771">
        <v>480</v>
      </c>
      <c r="I58" s="771">
        <f>H58*F58</f>
        <v>0</v>
      </c>
      <c r="J58" s="769" t="s">
        <v>5221</v>
      </c>
      <c r="K58" s="774">
        <f>IF(J58&lt;&gt;"L",'Main Creation Page'!$AF$11,'Main Creation Page'!$AG$11)</f>
        <v>10</v>
      </c>
      <c r="L58" s="629">
        <v>5</v>
      </c>
      <c r="M58" s="629">
        <f>IF(ISNA(VLOOKUP(T58,$BJ$44:$BN$58,3)),0,VLOOKUP(T58,$BJ$44:$BN$58,3))</f>
        <v>0</v>
      </c>
      <c r="N58" s="620">
        <f>K58+L58+M58</f>
        <v>15</v>
      </c>
      <c r="O58" s="769" t="s">
        <v>1333</v>
      </c>
      <c r="P58" s="620">
        <f ca="1">0+Skills!$AE$197</f>
        <v>0</v>
      </c>
      <c r="Q58" s="629">
        <v>10</v>
      </c>
      <c r="R58" s="629" t="str">
        <f>IF(AND(ISBLANK(Skills!$X$197),ISNA(Skills!$W$197)),"N","Y")</f>
        <v>N</v>
      </c>
      <c r="S58" s="629">
        <f>Skills!V$197</f>
        <v>4</v>
      </c>
      <c r="T58" s="629" t="str">
        <f>IF(ISNA(Skills!$W$197),IF(ISBLANK(Skills!$X$197)," ",Skills!$X$197),+Skills!$W$197+Skills!$X$197)</f>
        <v xml:space="preserve"> </v>
      </c>
      <c r="U58" s="743">
        <f>IF(R58="Y",Skills!$AC$197,Skills!$AB$197)</f>
        <v>0.2</v>
      </c>
      <c r="V58" s="714">
        <f ca="1">Skills!$Y$197</f>
        <v>0.12</v>
      </c>
      <c r="W58" s="714">
        <f ca="1">Skills!$AA$197</f>
        <v>0.12</v>
      </c>
      <c r="X58" s="777">
        <f ca="1">Skills!AD$197</f>
        <v>0.32</v>
      </c>
      <c r="Y58" s="622">
        <f ca="1">HLOOKUP(W58,$BJ$60:$BO$67,3)</f>
        <v>9</v>
      </c>
      <c r="Z58" s="622">
        <f ca="1">HLOOKUP(X58,$BJ$68:$BO$72,3)</f>
        <v>2</v>
      </c>
      <c r="AA58" s="602"/>
      <c r="AB58" s="608"/>
      <c r="AC58" s="608"/>
      <c r="AD58" s="608"/>
      <c r="AK58" s="609"/>
      <c r="AL58" s="609"/>
      <c r="AM58" s="609"/>
      <c r="AN58" s="609"/>
      <c r="AO58" s="609"/>
      <c r="AP58" s="609"/>
      <c r="AQ58" s="609"/>
      <c r="AR58" s="609"/>
      <c r="AS58" s="609"/>
      <c r="AT58" s="609"/>
      <c r="AU58" s="609"/>
      <c r="AV58" s="609"/>
      <c r="AW58" s="609"/>
      <c r="BJ58" s="608">
        <v>20</v>
      </c>
      <c r="BK58" s="608">
        <v>5</v>
      </c>
      <c r="BL58" s="608">
        <v>7</v>
      </c>
      <c r="BM58" s="608">
        <v>8</v>
      </c>
      <c r="BN58" s="608">
        <v>8</v>
      </c>
      <c r="BQ58" s="765">
        <v>54</v>
      </c>
      <c r="BR58" s="778" t="s">
        <v>324</v>
      </c>
      <c r="BS58" s="765">
        <f>A68</f>
        <v>67</v>
      </c>
      <c r="BU58" s="602"/>
      <c r="DJ58" s="602"/>
      <c r="DK58" s="602"/>
    </row>
    <row r="59" spans="1:115" ht="11.1" customHeight="1" outlineLevel="2">
      <c r="A59" s="602">
        <v>58</v>
      </c>
      <c r="B59" s="780" t="s">
        <v>173</v>
      </c>
      <c r="C59" s="629">
        <v>3</v>
      </c>
      <c r="D59" s="768">
        <v>4</v>
      </c>
      <c r="E59" s="769">
        <f>6*12</f>
        <v>72</v>
      </c>
      <c r="F59" s="649"/>
      <c r="G59" s="768">
        <f>F59*D59</f>
        <v>0</v>
      </c>
      <c r="H59" s="771">
        <v>480</v>
      </c>
      <c r="I59" s="771">
        <f>H59*F59</f>
        <v>0</v>
      </c>
      <c r="J59" s="769" t="s">
        <v>5221</v>
      </c>
      <c r="K59" s="774">
        <f>IF(J59&lt;&gt;"L",'Main Creation Page'!$AF$11,'Main Creation Page'!$AG$11)</f>
        <v>10</v>
      </c>
      <c r="L59" s="629">
        <v>5</v>
      </c>
      <c r="M59" s="629">
        <f>IF(ISNA(VLOOKUP(T59,$BJ$44:$BN$58,3)),0,VLOOKUP(T59,$BJ$44:$BN$58,3))</f>
        <v>0</v>
      </c>
      <c r="N59" s="620">
        <f>K59+L59+M59</f>
        <v>15</v>
      </c>
      <c r="O59" s="769" t="s">
        <v>1333</v>
      </c>
      <c r="P59" s="775">
        <f ca="1">0+Skills!$AE$197</f>
        <v>0</v>
      </c>
      <c r="Q59" s="776">
        <v>10</v>
      </c>
      <c r="R59" s="629" t="str">
        <f>IF(AND(ISBLANK(Skills!$X$197),ISNA(Skills!$W$197)),"N","Y")</f>
        <v>N</v>
      </c>
      <c r="S59" s="629">
        <f>Skills!V$197</f>
        <v>4</v>
      </c>
      <c r="T59" s="629" t="str">
        <f>IF(ISNA(Skills!$W$197),IF(ISBLANK(Skills!$X$197)," ",Skills!$X$197),+Skills!$W$197+Skills!$X$197)</f>
        <v xml:space="preserve"> </v>
      </c>
      <c r="U59" s="743">
        <f>IF(R59="Y",Skills!$AC$197,Skills!$AB$197)</f>
        <v>0.2</v>
      </c>
      <c r="V59" s="714">
        <f ca="1">Skills!$Y$197</f>
        <v>0.12</v>
      </c>
      <c r="W59" s="714">
        <f ca="1">Skills!$AA$197</f>
        <v>0.12</v>
      </c>
      <c r="X59" s="777">
        <f ca="1">Skills!AD$197</f>
        <v>0.32</v>
      </c>
      <c r="Y59" s="622">
        <f ca="1">HLOOKUP(W59,$BJ$60:$BO$67,3)</f>
        <v>9</v>
      </c>
      <c r="Z59" s="622">
        <f ca="1">HLOOKUP(X59,$BJ$68:$BO$72,3)</f>
        <v>2</v>
      </c>
      <c r="AA59" s="602"/>
      <c r="AB59" s="608"/>
      <c r="AC59" s="608"/>
      <c r="AD59" s="608"/>
      <c r="AK59" s="609"/>
      <c r="AL59" s="609"/>
      <c r="AM59" s="609"/>
      <c r="AN59" s="609"/>
      <c r="AO59" s="609"/>
      <c r="AP59" s="609"/>
      <c r="AQ59" s="609"/>
      <c r="AR59" s="609"/>
      <c r="AS59" s="609"/>
      <c r="AT59" s="609"/>
      <c r="AU59" s="609"/>
      <c r="AV59" s="609"/>
      <c r="AW59" s="609"/>
      <c r="BQ59" s="765">
        <v>55</v>
      </c>
      <c r="BR59" s="778" t="s">
        <v>367</v>
      </c>
      <c r="BS59" s="765">
        <f>A69</f>
        <v>68</v>
      </c>
      <c r="BU59" s="602"/>
      <c r="DJ59" s="602"/>
      <c r="DK59" s="602"/>
    </row>
    <row r="60" spans="1:115" ht="11.1" customHeight="1" outlineLevel="2">
      <c r="A60" s="602">
        <v>59</v>
      </c>
      <c r="B60" s="780" t="s">
        <v>1722</v>
      </c>
      <c r="C60" s="629">
        <v>3</v>
      </c>
      <c r="D60" s="768">
        <v>7</v>
      </c>
      <c r="E60" s="769">
        <f>AVERAGE(7,9)*12</f>
        <v>96</v>
      </c>
      <c r="F60" s="649"/>
      <c r="G60" s="768">
        <f>F60*D60</f>
        <v>0</v>
      </c>
      <c r="H60" s="771">
        <v>480</v>
      </c>
      <c r="I60" s="771">
        <f>H60*F60</f>
        <v>0</v>
      </c>
      <c r="J60" s="769" t="s">
        <v>5221</v>
      </c>
      <c r="K60" s="774">
        <f>IF(J60&lt;&gt;"L",'Main Creation Page'!$AF$11,'Main Creation Page'!$AG$11)</f>
        <v>10</v>
      </c>
      <c r="L60" s="629">
        <v>5</v>
      </c>
      <c r="M60" s="629">
        <f>IF(ISNA(VLOOKUP(T60,$BJ$44:$BN$58,3)),0,VLOOKUP(T60,$BJ$44:$BN$58,3))</f>
        <v>0</v>
      </c>
      <c r="N60" s="620">
        <f>K60+L60+M60</f>
        <v>15</v>
      </c>
      <c r="O60" s="769" t="s">
        <v>1333</v>
      </c>
      <c r="P60" s="775">
        <f ca="1">0+Skills!$AE$197</f>
        <v>0</v>
      </c>
      <c r="Q60" s="776">
        <v>10</v>
      </c>
      <c r="R60" s="629" t="str">
        <f>IF(AND(ISBLANK(Skills!$X$197),ISNA(Skills!$W$197)),"N","Y")</f>
        <v>N</v>
      </c>
      <c r="S60" s="629">
        <f>Skills!V$197</f>
        <v>4</v>
      </c>
      <c r="T60" s="629" t="str">
        <f>IF(ISNA(Skills!$W$197),IF(ISBLANK(Skills!$X$197)," ",Skills!$X$197),+Skills!$W$197+Skills!$X$197)</f>
        <v xml:space="preserve"> </v>
      </c>
      <c r="U60" s="743">
        <f>IF(R60="Y",Skills!$AC$197,Skills!$AB$197)</f>
        <v>0.2</v>
      </c>
      <c r="V60" s="714">
        <f ca="1">Skills!$Y$197</f>
        <v>0.12</v>
      </c>
      <c r="W60" s="714">
        <f ca="1">Skills!$AA$197</f>
        <v>0.12</v>
      </c>
      <c r="X60" s="777">
        <f ca="1">Skills!AD$197</f>
        <v>0.32</v>
      </c>
      <c r="Y60" s="622">
        <f ca="1">HLOOKUP(W60,$BJ$60:$BO$67,3)</f>
        <v>9</v>
      </c>
      <c r="Z60" s="622">
        <f ca="1">HLOOKUP(X60,$BJ$68:$BO$72,3)</f>
        <v>2</v>
      </c>
      <c r="AA60" s="602"/>
      <c r="AB60" s="608"/>
      <c r="AC60" s="608"/>
      <c r="AD60" s="608"/>
      <c r="AK60" s="609"/>
      <c r="AL60" s="609"/>
      <c r="AM60" s="609"/>
      <c r="AN60" s="609"/>
      <c r="AO60" s="609"/>
      <c r="AP60" s="609"/>
      <c r="AQ60" s="609"/>
      <c r="AR60" s="609"/>
      <c r="AS60" s="609"/>
      <c r="AT60" s="609"/>
      <c r="AU60" s="609"/>
      <c r="AV60" s="609"/>
      <c r="AW60" s="609"/>
      <c r="BK60" s="608">
        <v>0</v>
      </c>
      <c r="BL60" s="608">
        <v>26</v>
      </c>
      <c r="BM60" s="608">
        <v>46</v>
      </c>
      <c r="BN60" s="608">
        <v>61</v>
      </c>
      <c r="BO60" s="608">
        <v>75</v>
      </c>
      <c r="BQ60" s="765">
        <v>56</v>
      </c>
      <c r="BR60" s="778" t="s">
        <v>368</v>
      </c>
      <c r="BS60" s="765">
        <f>A71</f>
        <v>70</v>
      </c>
      <c r="BU60" s="602"/>
      <c r="DJ60" s="602"/>
      <c r="DK60" s="602"/>
    </row>
    <row r="61" spans="1:115" ht="11.1" customHeight="1" outlineLevel="2" thickBot="1">
      <c r="A61" s="602">
        <v>60</v>
      </c>
      <c r="B61" s="781" t="s">
        <v>1722</v>
      </c>
      <c r="C61" s="782">
        <v>3</v>
      </c>
      <c r="D61" s="783">
        <v>7</v>
      </c>
      <c r="E61" s="784">
        <f>AVERAGE(7,9)*12</f>
        <v>96</v>
      </c>
      <c r="F61" s="649"/>
      <c r="G61" s="768">
        <f>F61*D61</f>
        <v>0</v>
      </c>
      <c r="H61" s="771">
        <v>480</v>
      </c>
      <c r="I61" s="771">
        <f>H61*F61</f>
        <v>0</v>
      </c>
      <c r="J61" s="769" t="s">
        <v>1327</v>
      </c>
      <c r="K61" s="774">
        <f>IF(J61&lt;&gt;"L",'Main Creation Page'!$AF$11,'Main Creation Page'!$AG$11)</f>
        <v>10</v>
      </c>
      <c r="L61" s="629">
        <v>7</v>
      </c>
      <c r="M61" s="629">
        <f>IF(ISNA(VLOOKUP(T61,$BJ$44:$BN$58,4)),0,VLOOKUP(T61,$BJ$44:$BN$58,4))</f>
        <v>0</v>
      </c>
      <c r="N61" s="620">
        <f>K61+L61+M61</f>
        <v>17</v>
      </c>
      <c r="O61" s="769" t="s">
        <v>1333</v>
      </c>
      <c r="P61" s="775">
        <f ca="1">1+Skills!$AE$197</f>
        <v>1</v>
      </c>
      <c r="Q61" s="776">
        <v>9</v>
      </c>
      <c r="R61" s="629" t="str">
        <f>IF(AND(ISBLANK(Skills!$X$197),ISNA(Skills!$W$197)),"N","Y")</f>
        <v>N</v>
      </c>
      <c r="S61" s="629">
        <f>Skills!V$197</f>
        <v>4</v>
      </c>
      <c r="T61" s="629" t="str">
        <f>IF(ISNA(Skills!$W$197),IF(ISBLANK(Skills!$X$197)," ",Skills!$X$197),+Skills!$W$197+Skills!$X$197)</f>
        <v xml:space="preserve"> </v>
      </c>
      <c r="U61" s="743">
        <f>IF(R61="Y",Skills!$AC$197,Skills!$AB$197)</f>
        <v>0.2</v>
      </c>
      <c r="V61" s="714">
        <f ca="1">Skills!$Y$197</f>
        <v>0.12</v>
      </c>
      <c r="W61" s="714">
        <f ca="1">Skills!$AA$197</f>
        <v>0.12</v>
      </c>
      <c r="X61" s="777">
        <f ca="1">Skills!AD$197</f>
        <v>0.32</v>
      </c>
      <c r="Y61" s="622">
        <f ca="1">HLOOKUP(W61,$BJ$60:$BO$67,4)</f>
        <v>11</v>
      </c>
      <c r="Z61" s="622">
        <f ca="1">HLOOKUP(X61,$BJ$68:$BO$72,4)</f>
        <v>3</v>
      </c>
      <c r="AA61" s="602"/>
      <c r="AB61" s="608"/>
      <c r="AC61" s="608"/>
      <c r="AD61" s="608"/>
      <c r="AK61" s="609"/>
      <c r="AL61" s="609"/>
      <c r="AM61" s="609"/>
      <c r="AN61" s="609"/>
      <c r="AO61" s="609"/>
      <c r="AP61" s="609"/>
      <c r="AQ61" s="609"/>
      <c r="AR61" s="609"/>
      <c r="AS61" s="609"/>
      <c r="AT61" s="609"/>
      <c r="AU61" s="609"/>
      <c r="AV61" s="609"/>
      <c r="AW61" s="609"/>
      <c r="BJ61" s="608" t="s">
        <v>4283</v>
      </c>
      <c r="BK61" s="608">
        <v>7</v>
      </c>
      <c r="BL61" s="608">
        <v>6</v>
      </c>
      <c r="BM61" s="608">
        <v>6</v>
      </c>
      <c r="BN61" s="608">
        <v>5</v>
      </c>
      <c r="BO61" s="608">
        <v>4</v>
      </c>
      <c r="BQ61" s="765">
        <v>57</v>
      </c>
      <c r="BR61" s="778" t="s">
        <v>435</v>
      </c>
      <c r="BS61" s="765">
        <f>A72</f>
        <v>71</v>
      </c>
      <c r="BU61" s="602"/>
      <c r="DJ61" s="602"/>
      <c r="DK61" s="602"/>
    </row>
    <row r="62" spans="1:115" ht="11.1" customHeight="1" outlineLevel="1" thickTop="1">
      <c r="A62" s="602">
        <v>61</v>
      </c>
      <c r="B62" s="785" t="s">
        <v>382</v>
      </c>
      <c r="C62" s="786"/>
      <c r="D62" s="787"/>
      <c r="E62" s="788"/>
      <c r="F62" s="789"/>
      <c r="G62" s="768"/>
      <c r="H62" s="771"/>
      <c r="I62" s="771"/>
      <c r="J62" s="769"/>
      <c r="K62" s="629"/>
      <c r="L62" s="629"/>
      <c r="M62" s="629"/>
      <c r="N62" s="629"/>
      <c r="O62" s="769"/>
      <c r="P62" s="629"/>
      <c r="Q62" s="629"/>
      <c r="R62" s="629"/>
      <c r="S62" s="629"/>
      <c r="T62" s="629"/>
      <c r="U62" s="629"/>
      <c r="V62" s="769"/>
      <c r="W62" s="769"/>
      <c r="X62" s="772"/>
      <c r="Y62" s="629"/>
      <c r="Z62" s="745"/>
      <c r="AA62" s="602"/>
      <c r="AB62" s="608"/>
      <c r="AC62" s="608"/>
      <c r="AD62" s="608"/>
      <c r="AK62" s="609"/>
      <c r="AL62" s="609"/>
      <c r="AM62" s="609"/>
      <c r="AN62" s="609"/>
      <c r="AO62" s="609"/>
      <c r="AP62" s="609"/>
      <c r="AQ62" s="609"/>
      <c r="AR62" s="609"/>
      <c r="AS62" s="609"/>
      <c r="AT62" s="609"/>
      <c r="AU62" s="609"/>
      <c r="AV62" s="609"/>
      <c r="AW62" s="609"/>
      <c r="BJ62" s="608" t="s">
        <v>1383</v>
      </c>
      <c r="BK62" s="608">
        <v>9</v>
      </c>
      <c r="BL62" s="608">
        <v>8</v>
      </c>
      <c r="BM62" s="608">
        <v>7</v>
      </c>
      <c r="BN62" s="608">
        <v>6</v>
      </c>
      <c r="BO62" s="608">
        <v>5</v>
      </c>
      <c r="BQ62" s="765">
        <v>58</v>
      </c>
      <c r="BR62" s="778" t="s">
        <v>369</v>
      </c>
      <c r="BS62" s="765">
        <f>A73</f>
        <v>72</v>
      </c>
      <c r="BU62" s="602"/>
      <c r="DJ62" s="602"/>
      <c r="DK62" s="602"/>
    </row>
    <row r="63" spans="1:115" ht="11.1" customHeight="1" outlineLevel="2">
      <c r="A63" s="602">
        <v>62</v>
      </c>
      <c r="B63" s="780" t="s">
        <v>1724</v>
      </c>
      <c r="C63" s="629">
        <v>3</v>
      </c>
      <c r="D63" s="768">
        <v>4</v>
      </c>
      <c r="E63" s="769">
        <f>6*12</f>
        <v>72</v>
      </c>
      <c r="F63" s="649"/>
      <c r="G63" s="768">
        <f>F63*D63</f>
        <v>0</v>
      </c>
      <c r="H63" s="771">
        <v>384</v>
      </c>
      <c r="I63" s="771">
        <f>H63*F63</f>
        <v>0</v>
      </c>
      <c r="J63" s="769" t="s">
        <v>5221</v>
      </c>
      <c r="K63" s="774">
        <f>IF(J63&lt;&gt;"L",'Main Creation Page'!$AF$11,'Main Creation Page'!$AG$11)</f>
        <v>10</v>
      </c>
      <c r="L63" s="629">
        <v>5</v>
      </c>
      <c r="M63" s="629">
        <f>IF(ISNA(VLOOKUP(T63,$BJ$44:$BN$58,3)),0,VLOOKUP(T63,$BJ$44:$BN$58,3))</f>
        <v>0</v>
      </c>
      <c r="N63" s="620">
        <f>K63+L63+M63</f>
        <v>15</v>
      </c>
      <c r="O63" s="769" t="s">
        <v>1333</v>
      </c>
      <c r="P63" s="775">
        <f ca="1">0+Skills!$AE$197</f>
        <v>0</v>
      </c>
      <c r="Q63" s="776">
        <v>10</v>
      </c>
      <c r="R63" s="629" t="str">
        <f>IF(AND(ISBLANK(Skills!$X$197),ISNA(Skills!$W$197)),"N","Y")</f>
        <v>N</v>
      </c>
      <c r="S63" s="629">
        <f>Skills!V$197</f>
        <v>4</v>
      </c>
      <c r="T63" s="629" t="str">
        <f>IF(ISNA(Skills!$W$197),IF(ISBLANK(Skills!$X$197)," ",Skills!$X$197),+Skills!$W$197+Skills!$X$197)</f>
        <v xml:space="preserve"> </v>
      </c>
      <c r="U63" s="743">
        <f>IF(R63="Y",Skills!$AC$197,Skills!$AB$197)</f>
        <v>0.2</v>
      </c>
      <c r="V63" s="714">
        <f ca="1">Skills!$Y$197</f>
        <v>0.12</v>
      </c>
      <c r="W63" s="714">
        <f ca="1">Skills!$AA$197</f>
        <v>0.12</v>
      </c>
      <c r="X63" s="777">
        <f ca="1">Skills!AD$197</f>
        <v>0.32</v>
      </c>
      <c r="Y63" s="622">
        <f ca="1">HLOOKUP(W63,$BJ$60:$BO$67,3)</f>
        <v>9</v>
      </c>
      <c r="Z63" s="622">
        <f ca="1">HLOOKUP(X63,$BJ$68:$BO$72,3)</f>
        <v>2</v>
      </c>
      <c r="AA63" s="602"/>
      <c r="AB63" s="608"/>
      <c r="AC63" s="608"/>
      <c r="AD63" s="608"/>
      <c r="AK63" s="609"/>
      <c r="AL63" s="609"/>
      <c r="AM63" s="609"/>
      <c r="AN63" s="609"/>
      <c r="AO63" s="609"/>
      <c r="AP63" s="609"/>
      <c r="AQ63" s="609"/>
      <c r="AR63" s="609"/>
      <c r="AS63" s="609"/>
      <c r="AT63" s="609"/>
      <c r="AU63" s="609"/>
      <c r="AV63" s="609"/>
      <c r="AW63" s="609"/>
      <c r="BJ63" s="608" t="s">
        <v>1385</v>
      </c>
      <c r="BK63" s="608">
        <v>11</v>
      </c>
      <c r="BL63" s="608">
        <v>10</v>
      </c>
      <c r="BM63" s="608">
        <v>9</v>
      </c>
      <c r="BN63" s="608">
        <v>8</v>
      </c>
      <c r="BO63" s="608">
        <v>7</v>
      </c>
      <c r="BQ63" s="765">
        <v>59</v>
      </c>
      <c r="BR63" s="778" t="s">
        <v>370</v>
      </c>
      <c r="BS63" s="765">
        <f>A74</f>
        <v>73</v>
      </c>
      <c r="BU63" s="602"/>
      <c r="DJ63" s="602"/>
      <c r="DK63" s="602"/>
    </row>
    <row r="64" spans="1:115" ht="11.1" customHeight="1" outlineLevel="2">
      <c r="A64" s="602">
        <v>63</v>
      </c>
      <c r="B64" s="780" t="s">
        <v>1611</v>
      </c>
      <c r="C64" s="629">
        <v>4</v>
      </c>
      <c r="D64" s="768">
        <v>6</v>
      </c>
      <c r="E64" s="769">
        <v>45</v>
      </c>
      <c r="F64" s="649"/>
      <c r="G64" s="768">
        <f>F64*D64</f>
        <v>0</v>
      </c>
      <c r="H64" s="771">
        <v>648</v>
      </c>
      <c r="I64" s="771">
        <f>H64*F64</f>
        <v>0</v>
      </c>
      <c r="J64" s="769" t="s">
        <v>5221</v>
      </c>
      <c r="K64" s="774">
        <f>IF(J64&lt;&gt;"L",'Main Creation Page'!$AF$11,'Main Creation Page'!$AG$11)</f>
        <v>10</v>
      </c>
      <c r="L64" s="629">
        <v>6</v>
      </c>
      <c r="M64" s="629">
        <f>IF(ISNA(VLOOKUP(T64,$BJ$44:$BN$58,3)),0,VLOOKUP(T64,$BJ$44:$BN$58,3))</f>
        <v>0</v>
      </c>
      <c r="N64" s="620">
        <f>K64+L64+M64</f>
        <v>16</v>
      </c>
      <c r="O64" s="769" t="s">
        <v>1333</v>
      </c>
      <c r="P64" s="775">
        <f ca="1">1+Skills!$AE$197</f>
        <v>1</v>
      </c>
      <c r="Q64" s="776">
        <v>10</v>
      </c>
      <c r="R64" s="629" t="str">
        <f>IF(AND(ISBLANK(Skills!$X$197),ISNA(Skills!$W$197)),"N","Y")</f>
        <v>N</v>
      </c>
      <c r="S64" s="629">
        <f>Skills!V$197</f>
        <v>4</v>
      </c>
      <c r="T64" s="629" t="str">
        <f>IF(ISNA(Skills!$W$197),IF(ISBLANK(Skills!$X$197)," ",Skills!$X$197),+Skills!$W$197+Skills!$X$197)</f>
        <v xml:space="preserve"> </v>
      </c>
      <c r="U64" s="743">
        <f>IF(R64="Y",Skills!$AC$197,Skills!$AB$197)</f>
        <v>0.2</v>
      </c>
      <c r="V64" s="714">
        <f ca="1">Skills!$Y$197</f>
        <v>0.12</v>
      </c>
      <c r="W64" s="714">
        <f ca="1">Skills!$AA$197</f>
        <v>0.12</v>
      </c>
      <c r="X64" s="777">
        <f ca="1">Skills!AD$197</f>
        <v>0.32</v>
      </c>
      <c r="Y64" s="622">
        <f ca="1">HLOOKUP(W64,$BJ$60:$BO$67,3)</f>
        <v>9</v>
      </c>
      <c r="Z64" s="622">
        <f ca="1">HLOOKUP(X64,$BJ$68:$BO$72,3)</f>
        <v>2</v>
      </c>
      <c r="AA64" s="602"/>
      <c r="AB64" s="608"/>
      <c r="AC64" s="608"/>
      <c r="AD64" s="608"/>
      <c r="AK64" s="609"/>
      <c r="AL64" s="609"/>
      <c r="AM64" s="609"/>
      <c r="AN64" s="609"/>
      <c r="AO64" s="609"/>
      <c r="AP64" s="609"/>
      <c r="AQ64" s="609"/>
      <c r="AR64" s="609"/>
      <c r="AS64" s="609"/>
      <c r="AT64" s="609"/>
      <c r="AU64" s="609"/>
      <c r="AV64" s="609"/>
      <c r="AW64" s="609"/>
      <c r="BJ64" s="608" t="s">
        <v>1384</v>
      </c>
      <c r="BK64" s="608">
        <v>12</v>
      </c>
      <c r="BL64" s="608">
        <v>11</v>
      </c>
      <c r="BM64" s="608">
        <v>10</v>
      </c>
      <c r="BN64" s="608">
        <v>8</v>
      </c>
      <c r="BO64" s="608">
        <v>7</v>
      </c>
      <c r="BQ64" s="765">
        <v>60</v>
      </c>
      <c r="BR64" s="792" t="s">
        <v>3425</v>
      </c>
      <c r="BS64" s="765">
        <f>A76</f>
        <v>75</v>
      </c>
      <c r="BU64" s="602"/>
      <c r="DJ64" s="602"/>
      <c r="DK64" s="602"/>
    </row>
    <row r="65" spans="1:115" ht="11.1" customHeight="1" outlineLevel="2">
      <c r="A65" s="602">
        <v>64</v>
      </c>
      <c r="B65" s="780" t="s">
        <v>1612</v>
      </c>
      <c r="C65" s="629">
        <v>5</v>
      </c>
      <c r="D65" s="768">
        <v>5</v>
      </c>
      <c r="E65" s="769">
        <v>80</v>
      </c>
      <c r="F65" s="649"/>
      <c r="G65" s="768">
        <f>F65*D65</f>
        <v>0</v>
      </c>
      <c r="H65" s="771">
        <v>864</v>
      </c>
      <c r="I65" s="771">
        <f>H65*F65</f>
        <v>0</v>
      </c>
      <c r="J65" s="769" t="s">
        <v>1327</v>
      </c>
      <c r="K65" s="774">
        <f>IF(J65&lt;&gt;"L",'Main Creation Page'!$AF$11,'Main Creation Page'!$AG$11)</f>
        <v>10</v>
      </c>
      <c r="L65" s="629">
        <v>7</v>
      </c>
      <c r="M65" s="629">
        <f>IF(ISNA(VLOOKUP(T65,$BJ$44:$BN$58,4)),0,VLOOKUP(T65,$BJ$44:$BN$58,4))</f>
        <v>0</v>
      </c>
      <c r="N65" s="620">
        <f>K65+L65+M65</f>
        <v>17</v>
      </c>
      <c r="O65" s="769" t="s">
        <v>1333</v>
      </c>
      <c r="P65" s="775">
        <f ca="1">1+Skills!$AE$197</f>
        <v>1</v>
      </c>
      <c r="Q65" s="776">
        <v>9</v>
      </c>
      <c r="R65" s="629" t="str">
        <f>IF(AND(ISBLANK(Skills!$X$197),ISNA(Skills!$W$197)),"N","Y")</f>
        <v>N</v>
      </c>
      <c r="S65" s="629">
        <f>Skills!V$197</f>
        <v>4</v>
      </c>
      <c r="T65" s="629" t="str">
        <f>IF(ISNA(Skills!$W$197),IF(ISBLANK(Skills!$X$197)," ",Skills!$X$197),+Skills!$W$197+Skills!$X$197)</f>
        <v xml:space="preserve"> </v>
      </c>
      <c r="U65" s="743">
        <f>IF(R65="Y",Skills!$AC$197,Skills!$AB$197)</f>
        <v>0.2</v>
      </c>
      <c r="V65" s="714">
        <f ca="1">Skills!$Y$197</f>
        <v>0.12</v>
      </c>
      <c r="W65" s="714">
        <f ca="1">Skills!$AA$197</f>
        <v>0.12</v>
      </c>
      <c r="X65" s="777">
        <f ca="1">Skills!AD$197</f>
        <v>0.32</v>
      </c>
      <c r="Y65" s="622">
        <f ca="1">HLOOKUP(W65,$BJ$60:$BO$67,4)</f>
        <v>11</v>
      </c>
      <c r="Z65" s="622">
        <f ca="1">HLOOKUP(X65,$BJ$68:$BO$72,4)</f>
        <v>3</v>
      </c>
      <c r="AA65" s="602"/>
      <c r="AB65" s="608"/>
      <c r="AC65" s="608"/>
      <c r="AD65" s="608"/>
      <c r="AK65" s="609"/>
      <c r="AL65" s="609"/>
      <c r="AM65" s="609"/>
      <c r="AN65" s="609"/>
      <c r="AO65" s="609"/>
      <c r="AP65" s="609"/>
      <c r="AQ65" s="609"/>
      <c r="AR65" s="609"/>
      <c r="AS65" s="609"/>
      <c r="AT65" s="609"/>
      <c r="AU65" s="609"/>
      <c r="AV65" s="609"/>
      <c r="AW65" s="609"/>
      <c r="BJ65" s="608" t="s">
        <v>1043</v>
      </c>
      <c r="BK65" s="608">
        <v>7</v>
      </c>
      <c r="BL65" s="608">
        <v>6</v>
      </c>
      <c r="BM65" s="608">
        <v>6</v>
      </c>
      <c r="BN65" s="608">
        <v>5</v>
      </c>
      <c r="BO65" s="608">
        <v>4</v>
      </c>
      <c r="BQ65" s="765">
        <v>61</v>
      </c>
      <c r="BR65" s="792" t="s">
        <v>3426</v>
      </c>
      <c r="BS65" s="765">
        <f>A77</f>
        <v>76</v>
      </c>
      <c r="BU65" s="602"/>
      <c r="DJ65" s="602"/>
      <c r="DK65" s="602"/>
    </row>
    <row r="66" spans="1:115" ht="11.1" customHeight="1" outlineLevel="2" thickBot="1">
      <c r="A66" s="602">
        <v>65</v>
      </c>
      <c r="B66" s="781" t="s">
        <v>364</v>
      </c>
      <c r="C66" s="782">
        <v>5</v>
      </c>
      <c r="D66" s="783">
        <v>6</v>
      </c>
      <c r="E66" s="784">
        <v>87</v>
      </c>
      <c r="F66" s="649"/>
      <c r="G66" s="768">
        <f>F66*D66</f>
        <v>0</v>
      </c>
      <c r="H66" s="771">
        <v>768</v>
      </c>
      <c r="I66" s="771">
        <f>H66*F66</f>
        <v>0</v>
      </c>
      <c r="J66" s="769" t="s">
        <v>5221</v>
      </c>
      <c r="K66" s="774">
        <f>IF(J66&lt;&gt;"L",'Main Creation Page'!$AF$11,'Main Creation Page'!$AG$11)</f>
        <v>10</v>
      </c>
      <c r="L66" s="629">
        <v>5</v>
      </c>
      <c r="M66" s="629">
        <f>IF(ISNA(VLOOKUP(T66,$BJ$44:$BN$58,3)),0,VLOOKUP(T66,$BJ$44:$BN$58,3))</f>
        <v>0</v>
      </c>
      <c r="N66" s="620">
        <f>K66+L66+M66</f>
        <v>15</v>
      </c>
      <c r="O66" s="769" t="s">
        <v>1333</v>
      </c>
      <c r="P66" s="775">
        <f ca="1">1+Skills!$AE$197</f>
        <v>1</v>
      </c>
      <c r="Q66" s="776">
        <v>10</v>
      </c>
      <c r="R66" s="629" t="str">
        <f>IF(AND(ISBLANK(Skills!$X$197),ISNA(Skills!$W$197)),"N","Y")</f>
        <v>N</v>
      </c>
      <c r="S66" s="629">
        <f>Skills!V$197</f>
        <v>4</v>
      </c>
      <c r="T66" s="629" t="str">
        <f>IF(ISNA(Skills!$W$197),IF(ISBLANK(Skills!$X$197)," ",Skills!$X$197),+Skills!$W$197+Skills!$X$197)</f>
        <v xml:space="preserve"> </v>
      </c>
      <c r="U66" s="743">
        <f>IF(R66="Y",Skills!$AC$197,Skills!$AB$197)</f>
        <v>0.2</v>
      </c>
      <c r="V66" s="714">
        <f ca="1">Skills!$Y$197</f>
        <v>0.12</v>
      </c>
      <c r="W66" s="714">
        <f ca="1">Skills!$AA$197</f>
        <v>0.12</v>
      </c>
      <c r="X66" s="777">
        <f ca="1">Skills!AD$197</f>
        <v>0.32</v>
      </c>
      <c r="Y66" s="622">
        <f ca="1">HLOOKUP(W66,$BJ$60:$BO$67,4)</f>
        <v>11</v>
      </c>
      <c r="Z66" s="622">
        <f ca="1">HLOOKUP(X66,$BJ$68:$BO$72,4)</f>
        <v>3</v>
      </c>
      <c r="AA66" s="602"/>
      <c r="AB66" s="608"/>
      <c r="AC66" s="608"/>
      <c r="AD66" s="608"/>
      <c r="AK66" s="609"/>
      <c r="AL66" s="609"/>
      <c r="AM66" s="609"/>
      <c r="AN66" s="609"/>
      <c r="AO66" s="609"/>
      <c r="AP66" s="609"/>
      <c r="AQ66" s="609"/>
      <c r="AR66" s="609"/>
      <c r="AS66" s="609"/>
      <c r="AT66" s="609"/>
      <c r="AU66" s="609"/>
      <c r="AV66" s="609"/>
      <c r="AW66" s="609"/>
      <c r="BJ66" s="608" t="s">
        <v>1044</v>
      </c>
      <c r="BK66" s="608">
        <v>9</v>
      </c>
      <c r="BL66" s="608">
        <v>8</v>
      </c>
      <c r="BM66" s="608">
        <v>7</v>
      </c>
      <c r="BN66" s="608">
        <v>6</v>
      </c>
      <c r="BO66" s="608">
        <v>5</v>
      </c>
      <c r="BQ66" s="765">
        <v>62</v>
      </c>
      <c r="BR66" s="792" t="s">
        <v>279</v>
      </c>
      <c r="BS66" s="765">
        <f>A78</f>
        <v>77</v>
      </c>
      <c r="BU66" s="602"/>
      <c r="DJ66" s="602"/>
      <c r="DK66" s="602"/>
    </row>
    <row r="67" spans="1:115" ht="11.1" customHeight="1" outlineLevel="1" thickTop="1">
      <c r="A67" s="602">
        <v>66</v>
      </c>
      <c r="B67" s="785" t="s">
        <v>383</v>
      </c>
      <c r="C67" s="786"/>
      <c r="D67" s="787"/>
      <c r="E67" s="788"/>
      <c r="F67" s="789"/>
      <c r="G67" s="768"/>
      <c r="H67" s="771"/>
      <c r="I67" s="771"/>
      <c r="J67" s="769"/>
      <c r="K67" s="629"/>
      <c r="L67" s="629"/>
      <c r="M67" s="629"/>
      <c r="N67" s="629"/>
      <c r="O67" s="769"/>
      <c r="P67" s="629"/>
      <c r="Q67" s="629"/>
      <c r="R67" s="629"/>
      <c r="S67" s="629"/>
      <c r="T67" s="629"/>
      <c r="U67" s="629"/>
      <c r="V67" s="769"/>
      <c r="W67" s="769"/>
      <c r="X67" s="772"/>
      <c r="Y67" s="629"/>
      <c r="Z67" s="745"/>
      <c r="AA67" s="602"/>
      <c r="AB67" s="608"/>
      <c r="AC67" s="608"/>
      <c r="AD67" s="608"/>
      <c r="AK67" s="609"/>
      <c r="AL67" s="609"/>
      <c r="AM67" s="609"/>
      <c r="AN67" s="609"/>
      <c r="AO67" s="609"/>
      <c r="AP67" s="609"/>
      <c r="AQ67" s="609"/>
      <c r="AR67" s="609"/>
      <c r="AS67" s="609"/>
      <c r="AT67" s="609"/>
      <c r="AU67" s="609"/>
      <c r="AV67" s="609"/>
      <c r="AW67" s="609"/>
      <c r="BJ67" s="608" t="s">
        <v>1045</v>
      </c>
      <c r="BK67" s="608">
        <v>6</v>
      </c>
      <c r="BL67" s="608">
        <v>5</v>
      </c>
      <c r="BM67" s="608">
        <v>5</v>
      </c>
      <c r="BN67" s="608">
        <v>4</v>
      </c>
      <c r="BO67" s="608">
        <v>4</v>
      </c>
      <c r="BQ67" s="765">
        <v>63</v>
      </c>
      <c r="BR67" s="778" t="s">
        <v>2777</v>
      </c>
      <c r="BS67" s="765">
        <v>82</v>
      </c>
      <c r="BU67" s="602"/>
      <c r="DJ67" s="602"/>
      <c r="DK67" s="602"/>
    </row>
    <row r="68" spans="1:115" ht="11.1" customHeight="1" outlineLevel="2">
      <c r="A68" s="602">
        <v>67</v>
      </c>
      <c r="B68" s="780" t="s">
        <v>324</v>
      </c>
      <c r="C68" s="629">
        <v>1</v>
      </c>
      <c r="D68" s="768">
        <v>3</v>
      </c>
      <c r="E68" s="769">
        <f>7*12</f>
        <v>84</v>
      </c>
      <c r="F68" s="649">
        <v>1</v>
      </c>
      <c r="G68" s="768">
        <f>F68*D68</f>
        <v>3</v>
      </c>
      <c r="H68" s="771">
        <v>0</v>
      </c>
      <c r="I68" s="771">
        <f>H68*F68</f>
        <v>0</v>
      </c>
      <c r="J68" s="769" t="s">
        <v>365</v>
      </c>
      <c r="K68" s="774">
        <f>IF(J68&lt;&gt;"L",'Main Creation Page'!$AF$11,'Main Creation Page'!$AG$11)</f>
        <v>10</v>
      </c>
      <c r="L68" s="629">
        <v>5</v>
      </c>
      <c r="M68" s="629">
        <f>IF(ISNA(VLOOKUP(T68,$BJ$44:$BN$58,3)),0,VLOOKUP(T68,$BJ$44:$BN$58,3))</f>
        <v>0</v>
      </c>
      <c r="N68" s="620">
        <f>K68+L68+M68</f>
        <v>15</v>
      </c>
      <c r="O68" s="769" t="s">
        <v>3805</v>
      </c>
      <c r="P68" s="775">
        <f ca="1">0+Skills!AE171</f>
        <v>0</v>
      </c>
      <c r="Q68" s="776">
        <v>9</v>
      </c>
      <c r="R68" s="629" t="str">
        <f>IF(AND(ISBLANK(Skills!$X$171),ISNA(Skills!$W$171)),"N","Y")</f>
        <v>N</v>
      </c>
      <c r="S68" s="629">
        <f>Skills!V$171</f>
        <v>4</v>
      </c>
      <c r="T68" s="629" t="str">
        <f>IF(ISNA(Skills!$W$171),IF(ISBLANK(Skills!$X$171)," ",Skills!$X$171),+Skills!$W$171+Skills!$X$171)</f>
        <v xml:space="preserve"> </v>
      </c>
      <c r="U68" s="743">
        <f>IF(R68="Y",Skills!$AC$171,Skills!$AB$171)</f>
        <v>0.2</v>
      </c>
      <c r="V68" s="714">
        <f ca="1">Skills!$Y$171</f>
        <v>0.12</v>
      </c>
      <c r="W68" s="714">
        <f ca="1">Skills!$AA$171</f>
        <v>0.12</v>
      </c>
      <c r="X68" s="777">
        <f ca="1">Skills!AD$171</f>
        <v>0.32</v>
      </c>
      <c r="Y68" s="622">
        <f ca="1">HLOOKUP(W68,$BJ$60:$BO$67,3)</f>
        <v>9</v>
      </c>
      <c r="Z68" s="622">
        <f ca="1">HLOOKUP(X68,$BJ$68:$BO$72,3)</f>
        <v>2</v>
      </c>
      <c r="AA68" s="602"/>
      <c r="AB68" s="608"/>
      <c r="AC68" s="608"/>
      <c r="AD68" s="608"/>
      <c r="AK68" s="609"/>
      <c r="AL68" s="609"/>
      <c r="AM68" s="609"/>
      <c r="AN68" s="609"/>
      <c r="AO68" s="609"/>
      <c r="AP68" s="609"/>
      <c r="AQ68" s="609"/>
      <c r="AR68" s="609"/>
      <c r="AS68" s="609"/>
      <c r="AT68" s="609"/>
      <c r="AU68" s="609"/>
      <c r="AV68" s="609"/>
      <c r="AW68" s="609"/>
      <c r="BK68" s="608">
        <v>0</v>
      </c>
      <c r="BL68" s="608">
        <v>26</v>
      </c>
      <c r="BM68" s="608">
        <v>46</v>
      </c>
      <c r="BN68" s="608">
        <v>61</v>
      </c>
      <c r="BO68" s="608">
        <v>75</v>
      </c>
      <c r="BP68" s="765"/>
      <c r="BQ68" s="765">
        <v>64</v>
      </c>
      <c r="BR68" s="778" t="s">
        <v>3897</v>
      </c>
      <c r="BS68" s="765">
        <v>83</v>
      </c>
      <c r="BU68" s="602"/>
      <c r="DJ68" s="602"/>
      <c r="DK68" s="602"/>
    </row>
    <row r="69" spans="1:115" ht="11.1" customHeight="1" outlineLevel="2" thickBot="1">
      <c r="A69" s="602">
        <v>68</v>
      </c>
      <c r="B69" s="781" t="s">
        <v>367</v>
      </c>
      <c r="C69" s="782">
        <v>3</v>
      </c>
      <c r="D69" s="783">
        <v>5</v>
      </c>
      <c r="E69" s="784">
        <f>7*12</f>
        <v>84</v>
      </c>
      <c r="F69" s="649"/>
      <c r="G69" s="768">
        <f>F69*D69</f>
        <v>0</v>
      </c>
      <c r="H69" s="771">
        <v>480</v>
      </c>
      <c r="I69" s="771">
        <f>H69*F69</f>
        <v>0</v>
      </c>
      <c r="J69" s="769" t="s">
        <v>366</v>
      </c>
      <c r="K69" s="774">
        <f>IF(J69&lt;&gt;"L",'Main Creation Page'!$AF$11,'Main Creation Page'!$AG$11)</f>
        <v>10</v>
      </c>
      <c r="L69" s="629">
        <v>6</v>
      </c>
      <c r="M69" s="629">
        <f>IF(ISNA(VLOOKUP(T69,$BJ$44:$BN$58,4)),0,VLOOKUP(T69,$BJ$44:$BN$58,4))</f>
        <v>0</v>
      </c>
      <c r="N69" s="620">
        <f>K69+L69+M69</f>
        <v>16</v>
      </c>
      <c r="O69" s="769" t="s">
        <v>3805</v>
      </c>
      <c r="P69" s="775">
        <f ca="1">1+Skills!AE171</f>
        <v>1</v>
      </c>
      <c r="Q69" s="776">
        <v>9</v>
      </c>
      <c r="R69" s="629" t="str">
        <f>IF(AND(ISBLANK(Skills!$X$171),ISNA(Skills!$W$171)),"N","Y")</f>
        <v>N</v>
      </c>
      <c r="S69" s="629">
        <f>Skills!V$171</f>
        <v>4</v>
      </c>
      <c r="T69" s="629" t="str">
        <f>IF(ISNA(Skills!$W$171),IF(ISBLANK(Skills!$X$171)," ",Skills!$X$171),+Skills!$W$171+Skills!$X$171)</f>
        <v xml:space="preserve"> </v>
      </c>
      <c r="U69" s="743">
        <f>IF(R69="Y",Skills!$AC$171,Skills!$AB$171)</f>
        <v>0.2</v>
      </c>
      <c r="V69" s="714">
        <f ca="1">Skills!$Y$171</f>
        <v>0.12</v>
      </c>
      <c r="W69" s="714">
        <f ca="1">Skills!$AA$171</f>
        <v>0.12</v>
      </c>
      <c r="X69" s="777">
        <f ca="1">Skills!AD$171</f>
        <v>0.32</v>
      </c>
      <c r="Y69" s="622">
        <f ca="1">HLOOKUP(W69,$BJ$60:$BO$67,4)</f>
        <v>11</v>
      </c>
      <c r="Z69" s="622">
        <f ca="1">HLOOKUP(X69,$BJ$68:$BO$72,4)</f>
        <v>3</v>
      </c>
      <c r="AA69" s="602"/>
      <c r="AB69" s="608"/>
      <c r="AC69" s="608"/>
      <c r="AD69" s="608"/>
      <c r="AK69" s="609"/>
      <c r="AL69" s="609"/>
      <c r="AM69" s="609"/>
      <c r="AN69" s="609"/>
      <c r="AO69" s="609"/>
      <c r="AP69" s="609"/>
      <c r="AQ69" s="609"/>
      <c r="AR69" s="609"/>
      <c r="AS69" s="609"/>
      <c r="AT69" s="609"/>
      <c r="AU69" s="609"/>
      <c r="AV69" s="609"/>
      <c r="AW69" s="609"/>
      <c r="BJ69" s="608" t="s">
        <v>3281</v>
      </c>
      <c r="BK69" s="765">
        <v>1</v>
      </c>
      <c r="BL69" s="765">
        <v>1</v>
      </c>
      <c r="BM69" s="765">
        <v>1</v>
      </c>
      <c r="BN69" s="765">
        <v>1</v>
      </c>
      <c r="BO69" s="765">
        <v>1</v>
      </c>
      <c r="BP69" s="765"/>
      <c r="BQ69" s="765">
        <v>65</v>
      </c>
      <c r="BR69" s="778" t="s">
        <v>2778</v>
      </c>
      <c r="BS69" s="765">
        <v>84</v>
      </c>
      <c r="BU69" s="602"/>
      <c r="DJ69" s="602"/>
      <c r="DK69" s="602"/>
    </row>
    <row r="70" spans="1:115" ht="11.1" customHeight="1" outlineLevel="1" thickTop="1">
      <c r="A70" s="602">
        <v>69</v>
      </c>
      <c r="B70" s="785" t="s">
        <v>384</v>
      </c>
      <c r="C70" s="786"/>
      <c r="D70" s="787"/>
      <c r="E70" s="788"/>
      <c r="F70" s="789"/>
      <c r="G70" s="768"/>
      <c r="H70" s="771"/>
      <c r="I70" s="771"/>
      <c r="J70" s="769"/>
      <c r="K70" s="629"/>
      <c r="L70" s="629"/>
      <c r="M70" s="629"/>
      <c r="N70" s="629"/>
      <c r="O70" s="769"/>
      <c r="P70" s="629"/>
      <c r="Q70" s="629"/>
      <c r="R70" s="629"/>
      <c r="S70" s="629"/>
      <c r="T70" s="629"/>
      <c r="U70" s="629"/>
      <c r="V70" s="769"/>
      <c r="W70" s="769"/>
      <c r="X70" s="772"/>
      <c r="Y70" s="629"/>
      <c r="Z70" s="745"/>
      <c r="AA70" s="602"/>
      <c r="AB70" s="608"/>
      <c r="AC70" s="608"/>
      <c r="AD70" s="608"/>
      <c r="AK70" s="609"/>
      <c r="AL70" s="609"/>
      <c r="AM70" s="609"/>
      <c r="AN70" s="609"/>
      <c r="AO70" s="609"/>
      <c r="AP70" s="609"/>
      <c r="AQ70" s="609"/>
      <c r="AR70" s="609"/>
      <c r="AS70" s="609"/>
      <c r="AT70" s="609"/>
      <c r="AU70" s="609"/>
      <c r="AV70" s="609"/>
      <c r="AW70" s="609"/>
      <c r="BJ70" s="608" t="s">
        <v>3282</v>
      </c>
      <c r="BK70" s="765">
        <v>2</v>
      </c>
      <c r="BL70" s="765">
        <v>2</v>
      </c>
      <c r="BM70" s="765">
        <v>2</v>
      </c>
      <c r="BN70" s="765">
        <v>1</v>
      </c>
      <c r="BO70" s="765">
        <v>1</v>
      </c>
      <c r="BP70" s="765"/>
      <c r="BQ70" s="765">
        <v>66</v>
      </c>
      <c r="BR70" s="778" t="s">
        <v>2779</v>
      </c>
      <c r="BS70" s="765">
        <v>85</v>
      </c>
      <c r="BU70" s="602"/>
      <c r="DJ70" s="602"/>
      <c r="DK70" s="602"/>
    </row>
    <row r="71" spans="1:115" ht="11.1" customHeight="1" outlineLevel="2">
      <c r="A71" s="602">
        <v>70</v>
      </c>
      <c r="B71" s="780" t="s">
        <v>368</v>
      </c>
      <c r="C71" s="629">
        <v>1</v>
      </c>
      <c r="D71" s="768">
        <v>2</v>
      </c>
      <c r="E71" s="769">
        <v>12</v>
      </c>
      <c r="F71" s="649"/>
      <c r="G71" s="768">
        <f>F71*D71</f>
        <v>0</v>
      </c>
      <c r="H71" s="771">
        <v>60</v>
      </c>
      <c r="I71" s="771">
        <f>H71*F71</f>
        <v>0</v>
      </c>
      <c r="J71" s="769" t="s">
        <v>1563</v>
      </c>
      <c r="K71" s="774">
        <f>IF(J71&lt;&gt;"L",'Main Creation Page'!$AF$11,'Main Creation Page'!$AG$11)</f>
        <v>5</v>
      </c>
      <c r="L71" s="629">
        <v>1</v>
      </c>
      <c r="M71" s="629">
        <f>IF(ISNA(VLOOKUP(T71,$BJ$44:$BN$58,2)),0,VLOOKUP(T71,$BJ$44:$BN$58,2))</f>
        <v>0</v>
      </c>
      <c r="N71" s="620">
        <f>K71+L71+M71</f>
        <v>6</v>
      </c>
      <c r="O71" s="769" t="s">
        <v>3805</v>
      </c>
      <c r="P71" s="775">
        <f ca="1">0+Skills!$AE$179</f>
        <v>0</v>
      </c>
      <c r="Q71" s="776">
        <v>9</v>
      </c>
      <c r="R71" s="629" t="str">
        <f>IF(AND(ISBLANK(Skills!$X$179),ISNA(Skills!$W$179)),"N","Y")</f>
        <v>N</v>
      </c>
      <c r="S71" s="629">
        <f>Skills!V$179</f>
        <v>4</v>
      </c>
      <c r="T71" s="629" t="str">
        <f>IF(ISNA(Skills!$W$179),IF(ISBLANK(Skills!$X$179)," ",Skills!$X$179),+Skills!$W$179+Skills!$X$179)</f>
        <v xml:space="preserve"> </v>
      </c>
      <c r="U71" s="743">
        <f>IF(R71="Y",Skills!$AC$179,Skills!$AB$179)</f>
        <v>0.2</v>
      </c>
      <c r="V71" s="714">
        <f ca="1">Skills!$Y$179</f>
        <v>0.2</v>
      </c>
      <c r="W71" s="714">
        <f ca="1">Skills!$AA$179</f>
        <v>0.2</v>
      </c>
      <c r="X71" s="777">
        <f ca="1">Skills!AD$179</f>
        <v>0.4</v>
      </c>
      <c r="Y71" s="622">
        <f ca="1">HLOOKUP(W71,$BJ$60:$BO$67,2)</f>
        <v>7</v>
      </c>
      <c r="Z71" s="622">
        <f ca="1">HLOOKUP(X71,$BJ$68:$BO$72,2)</f>
        <v>1</v>
      </c>
      <c r="AA71" s="602"/>
      <c r="AB71" s="608"/>
      <c r="AC71" s="608"/>
      <c r="AD71" s="608"/>
      <c r="AK71" s="609"/>
      <c r="AL71" s="609"/>
      <c r="AM71" s="609"/>
      <c r="AN71" s="609"/>
      <c r="AO71" s="609"/>
      <c r="AP71" s="609"/>
      <c r="AQ71" s="609"/>
      <c r="AR71" s="609"/>
      <c r="AS71" s="609"/>
      <c r="AT71" s="609"/>
      <c r="AU71" s="609"/>
      <c r="AV71" s="609"/>
      <c r="AW71" s="609"/>
      <c r="BJ71" s="608" t="s">
        <v>3283</v>
      </c>
      <c r="BK71" s="765">
        <v>3</v>
      </c>
      <c r="BL71" s="765">
        <v>3</v>
      </c>
      <c r="BM71" s="765">
        <v>2</v>
      </c>
      <c r="BN71" s="765">
        <v>2</v>
      </c>
      <c r="BO71" s="765">
        <v>2</v>
      </c>
      <c r="BP71" s="765"/>
      <c r="BQ71" s="608">
        <v>67</v>
      </c>
      <c r="BR71" s="778" t="s">
        <v>4781</v>
      </c>
      <c r="BS71" s="765">
        <v>18</v>
      </c>
      <c r="BU71" s="602"/>
      <c r="DJ71" s="602"/>
      <c r="DK71" s="602"/>
    </row>
    <row r="72" spans="1:115" ht="11.1" customHeight="1" outlineLevel="2">
      <c r="A72" s="602">
        <v>71</v>
      </c>
      <c r="B72" s="780" t="s">
        <v>435</v>
      </c>
      <c r="C72" s="629" t="s">
        <v>5545</v>
      </c>
      <c r="D72" s="768">
        <v>3</v>
      </c>
      <c r="E72" s="769">
        <v>30</v>
      </c>
      <c r="F72" s="649"/>
      <c r="G72" s="768">
        <f>F72*D72</f>
        <v>0</v>
      </c>
      <c r="H72" s="771">
        <v>0</v>
      </c>
      <c r="I72" s="771">
        <f>H72*F72</f>
        <v>0</v>
      </c>
      <c r="J72" s="769" t="s">
        <v>1563</v>
      </c>
      <c r="K72" s="774">
        <f>IF(J72&lt;&gt;"L",'Main Creation Page'!$AF$11,'Main Creation Page'!$AG$11)</f>
        <v>5</v>
      </c>
      <c r="L72" s="629">
        <v>2</v>
      </c>
      <c r="M72" s="629">
        <f>IF(ISNA(VLOOKUP(T72,$BJ$44:$BN$58,2)),0,VLOOKUP(T72,$BJ$44:$BN$58,2))</f>
        <v>0</v>
      </c>
      <c r="N72" s="620">
        <f>K72+L72+M72</f>
        <v>7</v>
      </c>
      <c r="O72" s="769" t="s">
        <v>3805</v>
      </c>
      <c r="P72" s="775">
        <f ca="1">0+Skills!$AE$179</f>
        <v>0</v>
      </c>
      <c r="Q72" s="776">
        <v>9</v>
      </c>
      <c r="R72" s="629" t="str">
        <f>IF(AND(ISBLANK(Skills!$X$179),ISNA(Skills!$W$179)),"N","Y")</f>
        <v>N</v>
      </c>
      <c r="S72" s="629">
        <f>Skills!V$179</f>
        <v>4</v>
      </c>
      <c r="T72" s="629" t="str">
        <f>IF(ISNA(Skills!$W$179),IF(ISBLANK(Skills!$X$179)," ",Skills!$X$179),+Skills!$W$179+Skills!$X$179)</f>
        <v xml:space="preserve"> </v>
      </c>
      <c r="U72" s="743">
        <f>IF(R72="Y",Skills!$AC$179,Skills!$AB$179)</f>
        <v>0.2</v>
      </c>
      <c r="V72" s="714">
        <f ca="1">Skills!$Y$179</f>
        <v>0.2</v>
      </c>
      <c r="W72" s="714">
        <f ca="1">Skills!$AA$179</f>
        <v>0.2</v>
      </c>
      <c r="X72" s="777">
        <f ca="1">Skills!AD$179</f>
        <v>0.4</v>
      </c>
      <c r="Y72" s="622">
        <f ca="1">HLOOKUP(W72,$BJ$60:$BO$67,2)</f>
        <v>7</v>
      </c>
      <c r="Z72" s="622">
        <f ca="1">HLOOKUP(X72,$BJ$68:$BO$72,2)</f>
        <v>1</v>
      </c>
      <c r="AA72" s="602"/>
      <c r="AB72" s="608"/>
      <c r="AC72" s="608"/>
      <c r="AD72" s="608"/>
      <c r="AK72" s="609"/>
      <c r="AL72" s="609"/>
      <c r="AM72" s="609"/>
      <c r="AN72" s="609"/>
      <c r="AO72" s="609"/>
      <c r="AP72" s="609"/>
      <c r="AQ72" s="609"/>
      <c r="AR72" s="609"/>
      <c r="AS72" s="609"/>
      <c r="AT72" s="609"/>
      <c r="AU72" s="609"/>
      <c r="AV72" s="609"/>
      <c r="AW72" s="609"/>
      <c r="BJ72" s="608" t="s">
        <v>5030</v>
      </c>
      <c r="BK72" s="765">
        <v>4</v>
      </c>
      <c r="BL72" s="765">
        <v>4</v>
      </c>
      <c r="BM72" s="765">
        <v>3</v>
      </c>
      <c r="BN72" s="765">
        <v>3</v>
      </c>
      <c r="BO72" s="765">
        <v>2</v>
      </c>
      <c r="BP72" s="765"/>
      <c r="BS72" s="765"/>
      <c r="BU72" s="602"/>
      <c r="DJ72" s="602"/>
      <c r="DK72" s="602"/>
    </row>
    <row r="73" spans="1:115" ht="11.1" customHeight="1" outlineLevel="2" thickBot="1">
      <c r="A73" s="602">
        <v>72</v>
      </c>
      <c r="B73" s="780" t="s">
        <v>369</v>
      </c>
      <c r="C73" s="629" t="s">
        <v>5545</v>
      </c>
      <c r="D73" s="768">
        <v>5</v>
      </c>
      <c r="E73" s="769">
        <v>36</v>
      </c>
      <c r="F73" s="649"/>
      <c r="G73" s="768">
        <f>F73*D73</f>
        <v>0</v>
      </c>
      <c r="H73" s="771">
        <v>0</v>
      </c>
      <c r="I73" s="771">
        <f>H73*F73</f>
        <v>0</v>
      </c>
      <c r="J73" s="769" t="s">
        <v>5221</v>
      </c>
      <c r="K73" s="774">
        <f>IF(J73&lt;&gt;"L",'Main Creation Page'!$AF$11,'Main Creation Page'!$AG$11)</f>
        <v>10</v>
      </c>
      <c r="L73" s="629">
        <v>3</v>
      </c>
      <c r="M73" s="629">
        <f>IF(ISNA(VLOOKUP(T73,$BJ$44:$BN$58,3)),0,VLOOKUP(T73,$BJ$44:$BN$58,3))</f>
        <v>0</v>
      </c>
      <c r="N73" s="620">
        <f>K73+L73+M73</f>
        <v>13</v>
      </c>
      <c r="O73" s="769" t="s">
        <v>3805</v>
      </c>
      <c r="P73" s="775">
        <f ca="1">0+Skills!$AE$179</f>
        <v>0</v>
      </c>
      <c r="Q73" s="776">
        <v>8</v>
      </c>
      <c r="R73" s="629" t="str">
        <f>IF(AND(ISBLANK(Skills!$X$179),ISNA(Skills!$W$179)),"N","Y")</f>
        <v>N</v>
      </c>
      <c r="S73" s="629">
        <f>Skills!V$179</f>
        <v>4</v>
      </c>
      <c r="T73" s="629" t="str">
        <f>IF(ISNA(Skills!$W$179),IF(ISBLANK(Skills!$X$179)," ",Skills!$X$179),+Skills!$W$179+Skills!$X$179)</f>
        <v xml:space="preserve"> </v>
      </c>
      <c r="U73" s="743">
        <f>IF(R73="Y",Skills!$AC$179,Skills!$AB$179)</f>
        <v>0.2</v>
      </c>
      <c r="V73" s="714">
        <f ca="1">Skills!$Y$179</f>
        <v>0.2</v>
      </c>
      <c r="W73" s="714">
        <f ca="1">Skills!$AA$179</f>
        <v>0.2</v>
      </c>
      <c r="X73" s="777">
        <f ca="1">Skills!AD$179</f>
        <v>0.4</v>
      </c>
      <c r="Y73" s="622">
        <f ca="1">HLOOKUP(W73,$BJ$60:$BO$67,3)</f>
        <v>9</v>
      </c>
      <c r="Z73" s="622">
        <f ca="1">HLOOKUP(X73,$BJ$68:$BO$72,3)</f>
        <v>2</v>
      </c>
      <c r="AA73" s="602"/>
      <c r="AB73" s="608"/>
      <c r="AC73" s="608"/>
      <c r="AD73" s="608"/>
      <c r="AK73" s="609"/>
      <c r="AL73" s="609"/>
      <c r="AM73" s="609"/>
      <c r="AN73" s="609"/>
      <c r="AO73" s="609"/>
      <c r="AP73" s="609"/>
      <c r="AQ73" s="609"/>
      <c r="AR73" s="609"/>
      <c r="AS73" s="609"/>
      <c r="AT73" s="609"/>
      <c r="AU73" s="609"/>
      <c r="AV73" s="609"/>
      <c r="BJ73" s="805" t="s">
        <v>3576</v>
      </c>
      <c r="BK73" s="806">
        <v>5</v>
      </c>
      <c r="BL73" s="806">
        <v>4</v>
      </c>
      <c r="BM73" s="806">
        <v>4</v>
      </c>
      <c r="BN73" s="806">
        <v>3</v>
      </c>
      <c r="BO73" s="806">
        <v>2</v>
      </c>
      <c r="BS73" s="602"/>
      <c r="BU73" s="602"/>
      <c r="DI73" s="602"/>
      <c r="DJ73" s="602"/>
      <c r="DK73" s="602"/>
    </row>
    <row r="74" spans="1:115" ht="11.1" customHeight="1" outlineLevel="2" thickBot="1">
      <c r="A74" s="602">
        <v>73</v>
      </c>
      <c r="B74" s="781" t="s">
        <v>370</v>
      </c>
      <c r="C74" s="782" t="s">
        <v>5545</v>
      </c>
      <c r="D74" s="783">
        <v>10</v>
      </c>
      <c r="E74" s="784">
        <v>60</v>
      </c>
      <c r="F74" s="649"/>
      <c r="G74" s="768">
        <f>F74*D74</f>
        <v>0</v>
      </c>
      <c r="H74" s="771">
        <v>0</v>
      </c>
      <c r="I74" s="771">
        <f>H74*F74</f>
        <v>0</v>
      </c>
      <c r="J74" s="769" t="s">
        <v>1327</v>
      </c>
      <c r="K74" s="774">
        <f>IF(J74&lt;&gt;"L",'Main Creation Page'!$AF$11,'Main Creation Page'!$AG$11)</f>
        <v>10</v>
      </c>
      <c r="L74" s="629">
        <v>5</v>
      </c>
      <c r="M74" s="629">
        <f>IF(ISNA(VLOOKUP(T74,$BJ$44:$BN$58,4)),0,VLOOKUP(T74,$BJ$44:$BN$58,4))</f>
        <v>0</v>
      </c>
      <c r="N74" s="620">
        <f>K74+L74+M74</f>
        <v>15</v>
      </c>
      <c r="O74" s="769" t="s">
        <v>3805</v>
      </c>
      <c r="P74" s="775">
        <f ca="1">1+Skills!$AE$179</f>
        <v>1</v>
      </c>
      <c r="Q74" s="776">
        <v>8</v>
      </c>
      <c r="R74" s="629" t="str">
        <f>IF(AND(ISBLANK(Skills!$X$179),ISNA(Skills!$W$179)),"N","Y")</f>
        <v>N</v>
      </c>
      <c r="S74" s="629">
        <f>Skills!V$179</f>
        <v>4</v>
      </c>
      <c r="T74" s="629" t="str">
        <f>IF(ISNA(Skills!$W$179),IF(ISBLANK(Skills!$X$179)," ",Skills!$X$179),+Skills!$W$179+Skills!$X$179)</f>
        <v xml:space="preserve"> </v>
      </c>
      <c r="U74" s="743">
        <f>IF(R74="Y",Skills!$AC$179,Skills!$AB$179)</f>
        <v>0.2</v>
      </c>
      <c r="V74" s="714">
        <f ca="1">Skills!$Y$179</f>
        <v>0.2</v>
      </c>
      <c r="W74" s="714">
        <f ca="1">Skills!$AA$179</f>
        <v>0.2</v>
      </c>
      <c r="X74" s="777">
        <f ca="1">Skills!AD$179</f>
        <v>0.4</v>
      </c>
      <c r="Y74" s="622">
        <f ca="1">HLOOKUP(W74,$BJ$60:$BO$67,4)</f>
        <v>11</v>
      </c>
      <c r="Z74" s="622">
        <f ca="1">HLOOKUP(X74,$BJ$68:$BO$72,4)</f>
        <v>3</v>
      </c>
      <c r="AA74" s="602"/>
      <c r="AB74" s="608"/>
      <c r="AC74" s="608"/>
      <c r="AD74" s="608"/>
      <c r="AK74" s="609"/>
      <c r="AL74" s="609"/>
      <c r="AM74" s="609"/>
      <c r="AN74" s="609"/>
      <c r="AO74" s="609"/>
      <c r="AP74" s="609"/>
      <c r="AQ74" s="609"/>
      <c r="AR74" s="609"/>
      <c r="AW74" s="609"/>
      <c r="BJ74" s="805" t="s">
        <v>3577</v>
      </c>
      <c r="BK74" s="806">
        <v>8</v>
      </c>
      <c r="BL74" s="806">
        <v>7</v>
      </c>
      <c r="BM74" s="806">
        <v>6</v>
      </c>
      <c r="BN74" s="806">
        <v>5</v>
      </c>
      <c r="BO74" s="806">
        <v>4</v>
      </c>
      <c r="BS74" s="602"/>
      <c r="BU74" s="602"/>
      <c r="DI74" s="602"/>
      <c r="DJ74" s="602"/>
      <c r="DK74" s="602"/>
    </row>
    <row r="75" spans="1:115" ht="11.1" customHeight="1" outlineLevel="1" thickTop="1" thickBot="1">
      <c r="A75" s="602">
        <v>74</v>
      </c>
      <c r="B75" s="807" t="s">
        <v>3424</v>
      </c>
      <c r="C75" s="786"/>
      <c r="D75" s="787"/>
      <c r="E75" s="788"/>
      <c r="F75" s="789"/>
      <c r="G75" s="768"/>
      <c r="H75" s="771"/>
      <c r="I75" s="771"/>
      <c r="J75" s="769"/>
      <c r="K75" s="629"/>
      <c r="L75" s="629"/>
      <c r="M75" s="629"/>
      <c r="N75" s="629"/>
      <c r="O75" s="769"/>
      <c r="P75" s="629"/>
      <c r="Q75" s="629"/>
      <c r="R75" s="629"/>
      <c r="S75" s="629"/>
      <c r="T75" s="629"/>
      <c r="U75" s="629"/>
      <c r="V75" s="769"/>
      <c r="W75" s="769"/>
      <c r="X75" s="772"/>
      <c r="Y75" s="629"/>
      <c r="Z75" s="745"/>
      <c r="AA75" s="602"/>
      <c r="AB75" s="608"/>
      <c r="AC75" s="608"/>
      <c r="AD75" s="608"/>
      <c r="AK75" s="609"/>
      <c r="AL75" s="609"/>
      <c r="AM75" s="609"/>
      <c r="AN75" s="609"/>
      <c r="AO75" s="609"/>
      <c r="AP75" s="609"/>
      <c r="AQ75" s="609"/>
      <c r="AR75" s="609"/>
      <c r="AW75" s="609"/>
      <c r="BJ75" s="805" t="s">
        <v>3578</v>
      </c>
      <c r="BK75" s="806">
        <v>6</v>
      </c>
      <c r="BL75" s="806">
        <v>5</v>
      </c>
      <c r="BM75" s="806">
        <v>4</v>
      </c>
      <c r="BN75" s="806">
        <v>4</v>
      </c>
      <c r="BO75" s="806">
        <v>3</v>
      </c>
      <c r="BS75" s="602"/>
      <c r="BU75" s="602"/>
      <c r="DI75" s="602"/>
      <c r="DJ75" s="602"/>
      <c r="DK75" s="602"/>
    </row>
    <row r="76" spans="1:115" ht="11.1" customHeight="1" outlineLevel="2">
      <c r="A76" s="602">
        <v>75</v>
      </c>
      <c r="B76" s="793" t="s">
        <v>3425</v>
      </c>
      <c r="C76" s="629">
        <v>2</v>
      </c>
      <c r="D76" s="768">
        <v>3</v>
      </c>
      <c r="E76" s="769">
        <v>96</v>
      </c>
      <c r="F76" s="649"/>
      <c r="G76" s="768">
        <f>F76*D76</f>
        <v>0</v>
      </c>
      <c r="H76" s="771">
        <v>12</v>
      </c>
      <c r="I76" s="771">
        <f>H76*F76</f>
        <v>0</v>
      </c>
      <c r="J76" s="769" t="s">
        <v>1563</v>
      </c>
      <c r="K76" s="774">
        <f>IF(J76&lt;&gt;"L",'Main Creation Page'!$AF$11,'Main Creation Page'!$AG$11)</f>
        <v>5</v>
      </c>
      <c r="L76" s="629">
        <v>4</v>
      </c>
      <c r="M76" s="629">
        <f>IF(ISNA(VLOOKUP(T76,$BJ$44:$BN$58,2)),0,VLOOKUP(T76,$BJ$44:$BN$58,2))</f>
        <v>0</v>
      </c>
      <c r="N76" s="620">
        <f>K76+L76+M76</f>
        <v>9</v>
      </c>
      <c r="O76" s="769" t="s">
        <v>5067</v>
      </c>
      <c r="P76" s="775">
        <f ca="1">0+Skills!AE211</f>
        <v>0</v>
      </c>
      <c r="Q76" s="776">
        <v>9</v>
      </c>
      <c r="R76" s="629" t="str">
        <f>IF(AND(ISBLANK(Skills!$X$211),ISNA(Skills!$W$211)),"N","Y")</f>
        <v>N</v>
      </c>
      <c r="S76" s="629">
        <f>Skills!V$211</f>
        <v>3</v>
      </c>
      <c r="T76" s="629" t="str">
        <f>IF(ISNA(Skills!$W$211),IF(ISBLANK(Skills!$X$211)," ",Skills!$X$211),+Skills!$W$211+Skills!$X$211)</f>
        <v xml:space="preserve"> </v>
      </c>
      <c r="U76" s="743">
        <f>IF(R76="Y",Skills!$AC$211,Skills!$AB$211)</f>
        <v>0.3</v>
      </c>
      <c r="V76" s="714">
        <f ca="1">Skills!$Y$211</f>
        <v>0.06</v>
      </c>
      <c r="W76" s="714">
        <f ca="1">Skills!$AA$211</f>
        <v>0.06</v>
      </c>
      <c r="X76" s="777">
        <f ca="1">Skills!AD$211</f>
        <v>0.36</v>
      </c>
      <c r="Y76" s="622">
        <f ca="1">HLOOKUP(W76,$BJ$60:$BO$67,4)</f>
        <v>11</v>
      </c>
      <c r="Z76" s="622">
        <f ca="1">HLOOKUP(X76,$BJ$68:$BO$72,4)</f>
        <v>3</v>
      </c>
      <c r="AA76" s="602"/>
      <c r="AB76" s="608"/>
      <c r="AC76" s="608"/>
      <c r="AD76" s="608"/>
      <c r="AK76" s="609"/>
      <c r="AL76" s="609"/>
      <c r="AM76" s="609"/>
      <c r="AN76" s="609"/>
      <c r="AO76" s="609"/>
      <c r="AP76" s="609"/>
      <c r="AQ76" s="609"/>
      <c r="AR76" s="609"/>
      <c r="AW76" s="609"/>
      <c r="BS76" s="602"/>
      <c r="BU76" s="602"/>
      <c r="DI76" s="602"/>
      <c r="DJ76" s="602"/>
      <c r="DK76" s="602"/>
    </row>
    <row r="77" spans="1:115" ht="11.1" customHeight="1" outlineLevel="2">
      <c r="A77" s="602">
        <v>76</v>
      </c>
      <c r="B77" s="793" t="s">
        <v>3426</v>
      </c>
      <c r="C77" s="629">
        <v>2</v>
      </c>
      <c r="D77" s="768">
        <v>3</v>
      </c>
      <c r="E77" s="769">
        <v>84</v>
      </c>
      <c r="F77" s="649"/>
      <c r="G77" s="768">
        <f>F77*D77</f>
        <v>0</v>
      </c>
      <c r="H77" s="771">
        <v>230</v>
      </c>
      <c r="I77" s="771">
        <f>H77*F77</f>
        <v>0</v>
      </c>
      <c r="J77" s="769" t="s">
        <v>1563</v>
      </c>
      <c r="K77" s="774">
        <f>IF(J77&lt;&gt;"L",'Main Creation Page'!$AF$11,'Main Creation Page'!$AG$11)</f>
        <v>5</v>
      </c>
      <c r="L77" s="629">
        <v>4</v>
      </c>
      <c r="M77" s="629">
        <f>IF(ISNA(VLOOKUP(T77,$BJ$44:$BN$58,2)),0,VLOOKUP(T77,$BJ$44:$BN$58,2))</f>
        <v>0</v>
      </c>
      <c r="N77" s="620">
        <f>K77+L77+M77</f>
        <v>9</v>
      </c>
      <c r="O77" s="769" t="s">
        <v>5067</v>
      </c>
      <c r="P77" s="775">
        <f ca="1">0+Skills!AE183</f>
        <v>0</v>
      </c>
      <c r="Q77" s="776">
        <v>9</v>
      </c>
      <c r="R77" s="629" t="str">
        <f>IF(AND(ISBLANK(Skills!$X$183),ISNA(Skills!$W$183)),"N","Y")</f>
        <v>N</v>
      </c>
      <c r="S77" s="629">
        <f>Skills!V$183</f>
        <v>3</v>
      </c>
      <c r="T77" s="629" t="str">
        <f>IF(ISNA(Skills!$W$183),IF(ISBLANK(Skills!$X$183)," ",Skills!$X$183),+Skills!$W$183+Skills!$X$183)</f>
        <v xml:space="preserve"> </v>
      </c>
      <c r="U77" s="743">
        <f>IF(R77="Y",Skills!$AC$183,Skills!$AB$183)</f>
        <v>0.3</v>
      </c>
      <c r="V77" s="714">
        <f ca="1">Skills!$Y$183</f>
        <v>0.08</v>
      </c>
      <c r="W77" s="714">
        <f ca="1">Skills!$AA$183</f>
        <v>0.08</v>
      </c>
      <c r="X77" s="777">
        <f ca="1">Skills!AD$183</f>
        <v>0.38</v>
      </c>
      <c r="Y77" s="622">
        <f ca="1">HLOOKUP(W77,$BJ$60:$BO$67,4)</f>
        <v>11</v>
      </c>
      <c r="Z77" s="622">
        <f ca="1">HLOOKUP(X77,$BJ$68:$BO$72,4)</f>
        <v>3</v>
      </c>
      <c r="AA77" s="602"/>
      <c r="AB77" s="608"/>
      <c r="AC77" s="608"/>
      <c r="AD77" s="608"/>
      <c r="AK77" s="609"/>
      <c r="AL77" s="609"/>
      <c r="AM77" s="609"/>
      <c r="AN77" s="609"/>
      <c r="AO77" s="609"/>
      <c r="AP77" s="609"/>
      <c r="AQ77" s="609"/>
      <c r="AR77" s="609"/>
      <c r="AW77" s="609"/>
      <c r="BS77" s="602"/>
      <c r="BU77" s="602"/>
      <c r="DI77" s="602"/>
      <c r="DJ77" s="602"/>
      <c r="DK77" s="602"/>
    </row>
    <row r="78" spans="1:115" ht="11.1" customHeight="1" outlineLevel="2" thickBot="1">
      <c r="A78" s="602">
        <v>77</v>
      </c>
      <c r="B78" s="795" t="s">
        <v>279</v>
      </c>
      <c r="C78" s="782">
        <v>1</v>
      </c>
      <c r="D78" s="783">
        <v>2</v>
      </c>
      <c r="E78" s="784">
        <v>78</v>
      </c>
      <c r="F78" s="808"/>
      <c r="G78" s="783">
        <f>F78*D78</f>
        <v>0</v>
      </c>
      <c r="H78" s="809">
        <v>80</v>
      </c>
      <c r="I78" s="809">
        <f>H78*F78</f>
        <v>0</v>
      </c>
      <c r="J78" s="784" t="s">
        <v>1563</v>
      </c>
      <c r="K78" s="810">
        <f>IF(J78&lt;&gt;"L",'Main Creation Page'!$AF$11,'Main Creation Page'!$AG$11)</f>
        <v>5</v>
      </c>
      <c r="L78" s="782">
        <v>2</v>
      </c>
      <c r="M78" s="782">
        <f>IF(ISNA(VLOOKUP(T78,$BJ$44:$BN$58,2)),0,VLOOKUP(T78,$BJ$44:$BN$58,2))</f>
        <v>0</v>
      </c>
      <c r="N78" s="811">
        <f>K78+L78+M78</f>
        <v>7</v>
      </c>
      <c r="O78" s="784" t="s">
        <v>3805</v>
      </c>
      <c r="P78" s="812">
        <f ca="1">0+Skills!AE164</f>
        <v>0</v>
      </c>
      <c r="Q78" s="813">
        <v>9</v>
      </c>
      <c r="R78" s="782" t="str">
        <f>IF(AND(ISBLANK(Skills!$X$164),ISNA(Skills!$W$164)),"N","Y")</f>
        <v>N</v>
      </c>
      <c r="S78" s="782">
        <f>Skills!V$164</f>
        <v>5</v>
      </c>
      <c r="T78" s="782" t="str">
        <f>IF(ISNA(Skills!$W$164),IF(ISBLANK(Skills!$X$164)," ",Skills!$X$164),+Skills!$W$164+Skills!$X$164)</f>
        <v xml:space="preserve"> </v>
      </c>
      <c r="U78" s="814">
        <f>IF(R78="Y",Skills!$AC$164,Skills!$AB$164)</f>
        <v>0.1</v>
      </c>
      <c r="V78" s="815">
        <f ca="1">Skills!$Y$164</f>
        <v>0.06</v>
      </c>
      <c r="W78" s="815">
        <f ca="1">Skills!$AA$164</f>
        <v>0.06</v>
      </c>
      <c r="X78" s="816">
        <f ca="1">Skills!AD$164</f>
        <v>0.16</v>
      </c>
      <c r="Y78" s="817">
        <f ca="1">HLOOKUP(W78,$BJ$60:$BO$67,4)</f>
        <v>11</v>
      </c>
      <c r="Z78" s="817">
        <f ca="1">HLOOKUP(X78,$BJ$68:$BO$72,4)</f>
        <v>3</v>
      </c>
      <c r="AA78" s="602"/>
      <c r="AB78" s="608"/>
      <c r="AC78" s="608"/>
      <c r="AD78" s="608"/>
      <c r="AK78" s="609"/>
      <c r="AL78" s="609"/>
      <c r="AM78" s="609"/>
      <c r="AN78" s="609"/>
      <c r="AO78" s="609"/>
      <c r="AP78" s="609"/>
      <c r="AQ78" s="609"/>
      <c r="AR78" s="609"/>
      <c r="AW78" s="609"/>
      <c r="BS78" s="602"/>
      <c r="BU78" s="602"/>
      <c r="DI78" s="602"/>
      <c r="DJ78" s="602"/>
      <c r="DK78" s="602"/>
    </row>
    <row r="79" spans="1:115" ht="11.1" customHeight="1" outlineLevel="1" thickTop="1">
      <c r="B79" s="818" t="s">
        <v>4001</v>
      </c>
      <c r="C79" s="598"/>
      <c r="D79" s="598"/>
      <c r="E79" s="611" t="s">
        <v>3977</v>
      </c>
      <c r="F79" s="2662">
        <f>SUM(G4:G78)</f>
        <v>3.5</v>
      </c>
      <c r="G79" s="1225"/>
      <c r="H79" s="2663">
        <f>SUM(I4:I78)</f>
        <v>432</v>
      </c>
      <c r="I79" s="2554"/>
      <c r="J79" s="819" t="s">
        <v>5217</v>
      </c>
      <c r="K79" s="602"/>
      <c r="L79" s="602"/>
      <c r="N79" s="602"/>
      <c r="O79" s="602"/>
      <c r="P79" s="602"/>
      <c r="Q79" s="602"/>
      <c r="T79" s="602"/>
      <c r="U79" s="602"/>
      <c r="V79" s="602"/>
      <c r="W79" s="602"/>
      <c r="X79" s="602"/>
      <c r="AA79" s="602"/>
      <c r="AC79" s="608"/>
      <c r="AD79" s="608"/>
      <c r="AK79" s="609"/>
      <c r="AL79" s="609"/>
      <c r="AM79" s="609"/>
      <c r="AN79" s="609"/>
      <c r="AO79" s="609"/>
      <c r="AP79" s="609"/>
      <c r="AQ79" s="609"/>
      <c r="AR79" s="609"/>
      <c r="AW79" s="609"/>
      <c r="BS79" s="602"/>
      <c r="BU79" s="602"/>
      <c r="DI79" s="602"/>
      <c r="DJ79" s="602"/>
      <c r="DK79" s="602"/>
    </row>
    <row r="80" spans="1:115" ht="11.1" customHeight="1" outlineLevel="1">
      <c r="B80" s="613" t="s">
        <v>2000</v>
      </c>
      <c r="C80" s="706" t="s">
        <v>5544</v>
      </c>
      <c r="D80" s="754" t="s">
        <v>2743</v>
      </c>
      <c r="E80" s="755" t="s">
        <v>942</v>
      </c>
      <c r="F80" s="756" t="s">
        <v>5043</v>
      </c>
      <c r="G80" s="757" t="s">
        <v>3854</v>
      </c>
      <c r="H80" s="757" t="s">
        <v>2742</v>
      </c>
      <c r="I80" s="757" t="s">
        <v>3854</v>
      </c>
      <c r="J80" s="758" t="s">
        <v>4720</v>
      </c>
      <c r="K80" s="706" t="s">
        <v>3615</v>
      </c>
      <c r="L80" s="706" t="s">
        <v>940</v>
      </c>
      <c r="M80" s="706" t="s">
        <v>2525</v>
      </c>
      <c r="N80" s="706" t="s">
        <v>3807</v>
      </c>
      <c r="O80" s="758" t="s">
        <v>1281</v>
      </c>
      <c r="P80" s="706" t="s">
        <v>1160</v>
      </c>
      <c r="Q80" s="706" t="s">
        <v>3264</v>
      </c>
      <c r="R80" s="706" t="s">
        <v>1279</v>
      </c>
      <c r="S80" s="706"/>
      <c r="T80" s="706"/>
      <c r="U80" s="706"/>
      <c r="V80" s="758" t="s">
        <v>2268</v>
      </c>
      <c r="W80" s="758"/>
      <c r="X80" s="759"/>
      <c r="Y80" s="706" t="s">
        <v>2525</v>
      </c>
      <c r="Z80" s="706" t="s">
        <v>5512</v>
      </c>
      <c r="AA80" s="602"/>
      <c r="AB80" s="608"/>
      <c r="AC80" s="608"/>
      <c r="AD80" s="608"/>
      <c r="AK80" s="609"/>
      <c r="AL80" s="609"/>
      <c r="AM80" s="609"/>
      <c r="AN80" s="609"/>
      <c r="AO80" s="609"/>
      <c r="AP80" s="609"/>
      <c r="AQ80" s="609"/>
      <c r="AR80" s="609"/>
      <c r="AW80" s="609"/>
      <c r="BS80" s="602"/>
      <c r="BU80" s="602"/>
      <c r="DI80" s="602"/>
      <c r="DJ80" s="602"/>
      <c r="DK80" s="602"/>
    </row>
    <row r="81" spans="1:115" ht="11.1" customHeight="1" outlineLevel="1">
      <c r="B81" s="613" t="s">
        <v>3033</v>
      </c>
      <c r="C81" s="683" t="s">
        <v>4270</v>
      </c>
      <c r="D81" s="760" t="s">
        <v>3350</v>
      </c>
      <c r="E81" s="761" t="s">
        <v>3349</v>
      </c>
      <c r="F81" s="762" t="s">
        <v>4326</v>
      </c>
      <c r="G81" s="760" t="s">
        <v>2743</v>
      </c>
      <c r="H81" s="760" t="s">
        <v>5217</v>
      </c>
      <c r="I81" s="760" t="s">
        <v>4327</v>
      </c>
      <c r="J81" s="761" t="s">
        <v>4721</v>
      </c>
      <c r="K81" s="683" t="s">
        <v>2524</v>
      </c>
      <c r="L81" s="683" t="s">
        <v>1281</v>
      </c>
      <c r="M81" s="683" t="s">
        <v>2524</v>
      </c>
      <c r="N81" s="683" t="s">
        <v>1281</v>
      </c>
      <c r="O81" s="761" t="s">
        <v>941</v>
      </c>
      <c r="P81" s="683" t="s">
        <v>1297</v>
      </c>
      <c r="Q81" s="683"/>
      <c r="R81" s="683" t="s">
        <v>1280</v>
      </c>
      <c r="S81" s="683" t="s">
        <v>3005</v>
      </c>
      <c r="T81" s="683" t="s">
        <v>3046</v>
      </c>
      <c r="U81" s="683" t="s">
        <v>2269</v>
      </c>
      <c r="V81" s="761" t="s">
        <v>3006</v>
      </c>
      <c r="W81" s="761" t="s">
        <v>3047</v>
      </c>
      <c r="X81" s="763" t="s">
        <v>1988</v>
      </c>
      <c r="Y81" s="683" t="s">
        <v>3142</v>
      </c>
      <c r="Z81" s="683" t="s">
        <v>3142</v>
      </c>
      <c r="AA81" s="602"/>
      <c r="AB81" s="608"/>
      <c r="AC81" s="608"/>
      <c r="AD81" s="608"/>
      <c r="AK81" s="609"/>
      <c r="AL81" s="609"/>
      <c r="AM81" s="609"/>
      <c r="AN81" s="609"/>
      <c r="AO81" s="609"/>
      <c r="AP81" s="609"/>
      <c r="AQ81" s="609"/>
      <c r="AR81" s="609"/>
      <c r="AW81" s="609"/>
      <c r="BS81" s="602"/>
      <c r="BU81" s="602"/>
      <c r="DI81" s="602"/>
      <c r="DJ81" s="602"/>
      <c r="DK81" s="602"/>
    </row>
    <row r="82" spans="1:115" ht="11.1" customHeight="1" outlineLevel="1">
      <c r="A82" s="602">
        <v>78</v>
      </c>
      <c r="B82" s="785" t="s">
        <v>1278</v>
      </c>
      <c r="C82" s="629"/>
      <c r="D82" s="768"/>
      <c r="E82" s="769"/>
      <c r="F82" s="770"/>
      <c r="G82" s="768"/>
      <c r="H82" s="771"/>
      <c r="I82" s="771"/>
      <c r="J82" s="769"/>
      <c r="K82" s="629"/>
      <c r="L82" s="629"/>
      <c r="M82" s="629"/>
      <c r="N82" s="629"/>
      <c r="O82" s="769"/>
      <c r="P82" s="629"/>
      <c r="Q82" s="629"/>
      <c r="R82" s="629"/>
      <c r="S82" s="629"/>
      <c r="T82" s="629"/>
      <c r="U82" s="629"/>
      <c r="V82" s="769"/>
      <c r="W82" s="769"/>
      <c r="X82" s="772"/>
      <c r="Y82" s="629"/>
      <c r="Z82" s="629"/>
      <c r="AA82" s="602"/>
      <c r="AB82" s="608"/>
      <c r="AC82" s="608"/>
      <c r="AD82" s="608"/>
      <c r="AK82" s="609"/>
      <c r="AL82" s="609"/>
      <c r="AM82" s="609"/>
      <c r="AN82" s="609"/>
      <c r="AO82" s="609"/>
      <c r="AP82" s="609"/>
      <c r="AQ82" s="609"/>
      <c r="AR82" s="609"/>
      <c r="AW82" s="609"/>
      <c r="BS82" s="602"/>
      <c r="DI82" s="602"/>
      <c r="DJ82" s="602"/>
      <c r="DK82" s="602"/>
    </row>
    <row r="83" spans="1:115" ht="11.1" customHeight="1" outlineLevel="2">
      <c r="A83" s="602">
        <v>79</v>
      </c>
      <c r="B83" s="780" t="s">
        <v>2777</v>
      </c>
      <c r="C83" s="629" t="s">
        <v>5545</v>
      </c>
      <c r="D83" s="629" t="s">
        <v>5545</v>
      </c>
      <c r="E83" s="629" t="s">
        <v>5545</v>
      </c>
      <c r="F83" s="649"/>
      <c r="G83" s="629" t="s">
        <v>5545</v>
      </c>
      <c r="H83" s="629" t="s">
        <v>5545</v>
      </c>
      <c r="I83" s="629" t="s">
        <v>5545</v>
      </c>
      <c r="J83" s="769" t="s">
        <v>1563</v>
      </c>
      <c r="K83" s="774">
        <f>IF(J83&lt;&gt;"L",'Main Creation Page'!$AF$11,'Main Creation Page'!$AG$11)</f>
        <v>5</v>
      </c>
      <c r="L83" s="629">
        <v>1</v>
      </c>
      <c r="M83" s="629">
        <f>IF(ISNA(VLOOKUP(T83,$BJ$44:$BN$58,2)),0,VLOOKUP(T83,$BJ$44:$BN$58,2))</f>
        <v>0</v>
      </c>
      <c r="N83" s="620">
        <f>K83+L83+M83</f>
        <v>6</v>
      </c>
      <c r="O83" s="769" t="s">
        <v>3805</v>
      </c>
      <c r="P83" s="775">
        <f ca="1">0+Skills!AE165</f>
        <v>0</v>
      </c>
      <c r="Q83" s="776">
        <v>9</v>
      </c>
      <c r="R83" s="629" t="str">
        <f>IF(AND(ISBLANK(Skills!$X$165),ISNA(Skills!$W$165)),"N","Y")</f>
        <v>Y</v>
      </c>
      <c r="S83" s="629">
        <f>Skills!V$165</f>
        <v>3</v>
      </c>
      <c r="T83" s="629">
        <f>IF(ISNA(Skills!$W$165),IF(ISBLANK(Skills!$X$165)," ",Skills!$X$165),+Skills!$W$165+Skills!$X$165)</f>
        <v>0</v>
      </c>
      <c r="U83" s="743">
        <f>IF(R83="Y",Skills!$AC$165,Skills!$AB$165)</f>
        <v>0.4</v>
      </c>
      <c r="V83" s="714">
        <f ca="1">Skills!$Y$165</f>
        <v>0.12</v>
      </c>
      <c r="W83" s="714">
        <f ca="1">Skills!$AA$165</f>
        <v>0.12</v>
      </c>
      <c r="X83" s="777">
        <f ca="1">Skills!AD$165</f>
        <v>0.52</v>
      </c>
      <c r="Y83" s="622">
        <f ca="1">HLOOKUP(W83,$BJ$60:$BO$67,2)</f>
        <v>7</v>
      </c>
      <c r="Z83" s="622">
        <f ca="1">HLOOKUP(X83,$BJ$68:$BO$72,2)</f>
        <v>1</v>
      </c>
      <c r="AA83" s="602"/>
      <c r="AB83" s="608"/>
      <c r="AC83" s="608"/>
      <c r="AD83" s="608"/>
      <c r="AK83" s="609"/>
      <c r="AL83" s="609"/>
      <c r="AM83" s="609"/>
      <c r="AN83" s="609"/>
      <c r="AO83" s="609"/>
      <c r="AP83" s="609"/>
      <c r="AQ83" s="609"/>
      <c r="AR83" s="609"/>
      <c r="AW83" s="609"/>
      <c r="BS83" s="602"/>
      <c r="DI83" s="602"/>
      <c r="DJ83" s="602"/>
      <c r="DK83" s="602"/>
    </row>
    <row r="84" spans="1:115" ht="11.1" customHeight="1" outlineLevel="2">
      <c r="A84" s="602">
        <v>80</v>
      </c>
      <c r="B84" s="780" t="s">
        <v>3897</v>
      </c>
      <c r="C84" s="629" t="s">
        <v>5545</v>
      </c>
      <c r="D84" s="629" t="s">
        <v>5545</v>
      </c>
      <c r="E84" s="629" t="s">
        <v>5545</v>
      </c>
      <c r="F84" s="649"/>
      <c r="G84" s="629" t="s">
        <v>5545</v>
      </c>
      <c r="H84" s="629" t="s">
        <v>5545</v>
      </c>
      <c r="I84" s="629" t="s">
        <v>5545</v>
      </c>
      <c r="J84" s="769" t="s">
        <v>1563</v>
      </c>
      <c r="K84" s="774">
        <f>IF(J84&lt;&gt;"L",'Main Creation Page'!$AF$11,'Main Creation Page'!$AG$11)</f>
        <v>5</v>
      </c>
      <c r="L84" s="629">
        <v>1</v>
      </c>
      <c r="M84" s="629">
        <f>IF(ISNA(VLOOKUP(T84,$BJ$44:$BN$58,2)),0,VLOOKUP(T84,$BJ$44:$BN$58,2))</f>
        <v>0</v>
      </c>
      <c r="N84" s="620">
        <f>K84+L84+M84</f>
        <v>6</v>
      </c>
      <c r="O84" s="769" t="s">
        <v>3805</v>
      </c>
      <c r="P84" s="775">
        <f ca="1">0+Skills!AE165</f>
        <v>0</v>
      </c>
      <c r="Q84" s="776">
        <v>9</v>
      </c>
      <c r="R84" s="629" t="str">
        <f>IF(AND(ISBLANK(Skills!$X$165),ISNA(Skills!$W$165)),"N","Y")</f>
        <v>Y</v>
      </c>
      <c r="S84" s="629">
        <f>Skills!V$165</f>
        <v>3</v>
      </c>
      <c r="T84" s="629">
        <f>IF(ISNA(Skills!$W$165),IF(ISBLANK(Skills!$X$165)," ",Skills!$X$165),+Skills!$W$165+Skills!$X$165)</f>
        <v>0</v>
      </c>
      <c r="U84" s="743">
        <f>IF(R84="Y",Skills!$AC$165,Skills!$AB$165)</f>
        <v>0.4</v>
      </c>
      <c r="V84" s="714">
        <f ca="1">Skills!$Y$165</f>
        <v>0.12</v>
      </c>
      <c r="W84" s="714">
        <f ca="1">Skills!$AA$165</f>
        <v>0.12</v>
      </c>
      <c r="X84" s="777">
        <f ca="1">Skills!AD$165</f>
        <v>0.52</v>
      </c>
      <c r="Y84" s="622">
        <f ca="1">HLOOKUP(W84,$BJ$60:$BO$67,2)</f>
        <v>7</v>
      </c>
      <c r="Z84" s="622">
        <f ca="1">HLOOKUP(X84,$BJ$68:$BO$72,2)</f>
        <v>1</v>
      </c>
      <c r="AA84" s="602"/>
      <c r="AB84" s="608"/>
      <c r="AC84" s="608"/>
      <c r="AD84" s="608"/>
      <c r="AK84" s="609"/>
      <c r="AL84" s="609"/>
      <c r="AM84" s="609"/>
      <c r="AN84" s="609"/>
      <c r="AO84" s="609"/>
      <c r="AP84" s="609"/>
      <c r="AQ84" s="609"/>
      <c r="AR84" s="609"/>
      <c r="AW84" s="609"/>
      <c r="BS84" s="602"/>
      <c r="DI84" s="602"/>
      <c r="DJ84" s="602"/>
      <c r="DK84" s="602"/>
    </row>
    <row r="85" spans="1:115" ht="11.1" customHeight="1" outlineLevel="2">
      <c r="A85" s="602">
        <v>81</v>
      </c>
      <c r="B85" s="780" t="s">
        <v>2778</v>
      </c>
      <c r="C85" s="629" t="s">
        <v>5545</v>
      </c>
      <c r="D85" s="629" t="s">
        <v>5545</v>
      </c>
      <c r="E85" s="629" t="s">
        <v>5545</v>
      </c>
      <c r="F85" s="649"/>
      <c r="G85" s="629" t="s">
        <v>5545</v>
      </c>
      <c r="H85" s="629" t="s">
        <v>5545</v>
      </c>
      <c r="I85" s="629" t="s">
        <v>5545</v>
      </c>
      <c r="J85" s="769" t="s">
        <v>5221</v>
      </c>
      <c r="K85" s="774">
        <f>IF(J85&lt;&gt;"L",'Main Creation Page'!$AF$11,'Main Creation Page'!$AG$11)</f>
        <v>10</v>
      </c>
      <c r="L85" s="629">
        <v>2</v>
      </c>
      <c r="M85" s="629">
        <f>IF(ISNA(VLOOKUP(T85,$BJ$44:$BN$58,3)),0,VLOOKUP(T85,$BJ$44:$BN$58,3))</f>
        <v>0</v>
      </c>
      <c r="N85" s="620">
        <f>K85+L85+M85</f>
        <v>12</v>
      </c>
      <c r="O85" s="769" t="s">
        <v>3805</v>
      </c>
      <c r="P85" s="775">
        <f ca="1">0+Skills!AE165</f>
        <v>0</v>
      </c>
      <c r="Q85" s="776">
        <v>8</v>
      </c>
      <c r="R85" s="629" t="str">
        <f>IF(AND(ISBLANK(Skills!$X$165),ISNA(Skills!$W$165)),"N","Y")</f>
        <v>Y</v>
      </c>
      <c r="S85" s="629">
        <f>Skills!V$165</f>
        <v>3</v>
      </c>
      <c r="T85" s="629">
        <f>IF(ISNA(Skills!$W$165),IF(ISBLANK(Skills!$X$165)," ",Skills!$X$165),+Skills!$W$165+Skills!$X$165)</f>
        <v>0</v>
      </c>
      <c r="U85" s="743">
        <f>IF(R85="Y",Skills!$AC$165,Skills!$AB$165)</f>
        <v>0.4</v>
      </c>
      <c r="V85" s="714">
        <f ca="1">Skills!$Y$165</f>
        <v>0.12</v>
      </c>
      <c r="W85" s="714">
        <f ca="1">Skills!$AA$165</f>
        <v>0.12</v>
      </c>
      <c r="X85" s="777">
        <f ca="1">Skills!AD$165</f>
        <v>0.52</v>
      </c>
      <c r="Y85" s="622">
        <f ca="1">HLOOKUP(W85,$BJ$60:$BO$67,3)</f>
        <v>9</v>
      </c>
      <c r="Z85" s="622">
        <f ca="1">HLOOKUP(X85,$BJ$68:$BO$72,3)</f>
        <v>2</v>
      </c>
      <c r="AA85" s="602"/>
      <c r="AB85" s="608"/>
      <c r="AC85" s="608"/>
      <c r="AD85" s="608"/>
      <c r="AK85" s="609"/>
      <c r="AL85" s="609"/>
      <c r="AM85" s="609"/>
      <c r="AN85" s="609"/>
      <c r="AO85" s="609"/>
      <c r="AP85" s="609"/>
      <c r="AQ85" s="609"/>
      <c r="AR85" s="609"/>
      <c r="AW85" s="609"/>
      <c r="BS85" s="602"/>
      <c r="DI85" s="602"/>
      <c r="DJ85" s="602"/>
      <c r="DK85" s="602"/>
    </row>
    <row r="86" spans="1:115" ht="11.1" customHeight="1" outlineLevel="2" thickBot="1">
      <c r="A86" s="602">
        <v>82</v>
      </c>
      <c r="B86" s="781" t="s">
        <v>2779</v>
      </c>
      <c r="C86" s="782" t="s">
        <v>5545</v>
      </c>
      <c r="D86" s="782" t="s">
        <v>5545</v>
      </c>
      <c r="E86" s="782" t="s">
        <v>5545</v>
      </c>
      <c r="F86" s="808"/>
      <c r="G86" s="782" t="s">
        <v>5545</v>
      </c>
      <c r="H86" s="782" t="s">
        <v>5545</v>
      </c>
      <c r="I86" s="782" t="s">
        <v>5545</v>
      </c>
      <c r="J86" s="784" t="s">
        <v>5221</v>
      </c>
      <c r="K86" s="810">
        <f>IF(J86&lt;&gt;"L",'Main Creation Page'!$AF$11,'Main Creation Page'!$AG$11)</f>
        <v>10</v>
      </c>
      <c r="L86" s="782">
        <v>5</v>
      </c>
      <c r="M86" s="782">
        <f>IF(ISNA(VLOOKUP(T86,$BJ$44:$BN$58,3)),0,VLOOKUP(T86,$BJ$44:$BN$58,3))</f>
        <v>0</v>
      </c>
      <c r="N86" s="811">
        <f>K86+L86+M86</f>
        <v>15</v>
      </c>
      <c r="O86" s="784" t="s">
        <v>3805</v>
      </c>
      <c r="P86" s="820">
        <f ca="1">0+IF(R86="Y",Skills!$AE$127,Skills!$AE$165)</f>
        <v>0</v>
      </c>
      <c r="Q86" s="813"/>
      <c r="R86" s="782" t="str">
        <f>IF(AND(ISBLANK(Skills!$X$127),ISNA(Skills!$W$127)),"N","Y")</f>
        <v>N</v>
      </c>
      <c r="S86" s="821">
        <f>IF(R86="Y",Skills!$V$127,Skills!$V$165)</f>
        <v>3</v>
      </c>
      <c r="T86" s="782">
        <f>IF(R86="Y",IF(ISNA(Skills!$W$127),IF(ISBLANK(Skills!$X$127)," ",Skills!$X$127),+Skills!$W$127+Skills!$X$127),IF(ISNA(Skills!$W$165),IF(ISBLANK(Skills!$X$165)," ",Skills!$X$165),+Skills!$W$165+Skills!$X$165))</f>
        <v>0</v>
      </c>
      <c r="U86" s="814">
        <f>IF(R86="Y",Skills!$AC$127,Skills!$AB$165)</f>
        <v>0.3</v>
      </c>
      <c r="V86" s="815">
        <f ca="1">IF(R86="Y",Skills!$Y$127,Skills!$Y$165)</f>
        <v>0.12</v>
      </c>
      <c r="W86" s="815">
        <f ca="1">IF(R86="Y",Skills!$AA$127,Skills!$AA$165)</f>
        <v>0.12</v>
      </c>
      <c r="X86" s="815">
        <f ca="1">IF(R86="Y",Skills!$AD$127,Skills!$AD$165)</f>
        <v>0.52</v>
      </c>
      <c r="Y86" s="817">
        <f ca="1">HLOOKUP(W86,$BJ$60:$BO$67,3)</f>
        <v>9</v>
      </c>
      <c r="Z86" s="817">
        <f ca="1">HLOOKUP(X86,$BJ$68:$BO$72,3)</f>
        <v>2</v>
      </c>
      <c r="AA86" s="602"/>
      <c r="AB86" s="608"/>
      <c r="AC86" s="608"/>
      <c r="AD86" s="608"/>
      <c r="AK86" s="609"/>
      <c r="AL86" s="609"/>
      <c r="AM86" s="609"/>
      <c r="AN86" s="609"/>
      <c r="AO86" s="609"/>
      <c r="AP86" s="609"/>
      <c r="AQ86" s="609"/>
      <c r="AR86" s="609"/>
      <c r="AW86" s="609"/>
      <c r="BS86" s="602"/>
      <c r="DI86" s="602"/>
      <c r="DJ86" s="602"/>
      <c r="DK86" s="602"/>
    </row>
    <row r="87" spans="1:115" ht="11.1" customHeight="1" outlineLevel="1" thickTop="1">
      <c r="A87" s="602">
        <v>85</v>
      </c>
      <c r="B87" s="785"/>
      <c r="C87" s="786"/>
      <c r="D87" s="787"/>
      <c r="E87" s="788"/>
      <c r="F87" s="822"/>
      <c r="G87" s="787"/>
      <c r="H87" s="823"/>
      <c r="I87" s="823"/>
      <c r="J87" s="788"/>
      <c r="K87" s="786"/>
      <c r="L87" s="786"/>
      <c r="M87" s="786"/>
      <c r="N87" s="786"/>
      <c r="O87" s="786"/>
      <c r="P87" s="786"/>
      <c r="Q87" s="786"/>
      <c r="R87" s="786"/>
      <c r="S87" s="786"/>
      <c r="T87" s="786"/>
      <c r="U87" s="786"/>
      <c r="V87" s="786"/>
      <c r="W87" s="786"/>
      <c r="X87" s="824"/>
      <c r="Y87" s="786"/>
      <c r="Z87" s="786"/>
      <c r="AA87" s="825"/>
      <c r="AB87" s="2656" t="s">
        <v>3473</v>
      </c>
      <c r="AC87" s="2657"/>
      <c r="AD87" s="2657"/>
      <c r="AE87" s="2658"/>
      <c r="AF87" s="2656" t="s">
        <v>3476</v>
      </c>
      <c r="AG87" s="2657"/>
      <c r="AH87" s="2657"/>
      <c r="AI87" s="2658"/>
      <c r="AJ87" s="2656" t="s">
        <v>3472</v>
      </c>
      <c r="AK87" s="2657"/>
      <c r="AL87" s="2657"/>
      <c r="AM87" s="2658"/>
      <c r="AN87" s="2656" t="s">
        <v>3474</v>
      </c>
      <c r="AO87" s="2657"/>
      <c r="AP87" s="2657"/>
      <c r="AQ87" s="2658"/>
      <c r="AR87" s="2656" t="s">
        <v>3475</v>
      </c>
      <c r="AS87" s="2657"/>
      <c r="AT87" s="2657"/>
      <c r="AU87" s="2658"/>
      <c r="AW87" s="609"/>
      <c r="BS87" s="602"/>
      <c r="DI87" s="602"/>
      <c r="DJ87" s="602"/>
      <c r="DK87" s="602"/>
    </row>
    <row r="88" spans="1:115" ht="11.1" customHeight="1" outlineLevel="1" thickBot="1">
      <c r="A88" s="602">
        <v>86</v>
      </c>
      <c r="B88" s="785" t="s">
        <v>1958</v>
      </c>
      <c r="C88" s="629"/>
      <c r="D88" s="768"/>
      <c r="E88" s="769"/>
      <c r="F88" s="770"/>
      <c r="G88" s="768"/>
      <c r="H88" s="771"/>
      <c r="I88" s="771"/>
      <c r="J88" s="769"/>
      <c r="K88" s="629"/>
      <c r="L88" s="629"/>
      <c r="M88" s="629"/>
      <c r="N88" s="629"/>
      <c r="O88" s="629"/>
      <c r="P88" s="629"/>
      <c r="Q88" s="629"/>
      <c r="R88" s="629"/>
      <c r="S88" s="629"/>
      <c r="T88" s="629"/>
      <c r="U88" s="629"/>
      <c r="V88" s="629"/>
      <c r="W88" s="629"/>
      <c r="X88" s="772"/>
      <c r="Y88" s="629"/>
      <c r="Z88" s="629"/>
      <c r="AA88" s="826"/>
      <c r="AB88" s="2659" t="s">
        <v>3143</v>
      </c>
      <c r="AC88" s="2660"/>
      <c r="AD88" s="2660"/>
      <c r="AE88" s="2661"/>
      <c r="AF88" s="2659" t="s">
        <v>3143</v>
      </c>
      <c r="AG88" s="2660"/>
      <c r="AH88" s="2660"/>
      <c r="AI88" s="2661"/>
      <c r="AJ88" s="2659" t="s">
        <v>3143</v>
      </c>
      <c r="AK88" s="2660"/>
      <c r="AL88" s="2660"/>
      <c r="AM88" s="2661"/>
      <c r="AN88" s="2659" t="s">
        <v>3143</v>
      </c>
      <c r="AO88" s="2660"/>
      <c r="AP88" s="2660"/>
      <c r="AQ88" s="2661"/>
      <c r="AR88" s="2659" t="s">
        <v>3143</v>
      </c>
      <c r="AS88" s="2660"/>
      <c r="AT88" s="2660"/>
      <c r="AU88" s="2661"/>
      <c r="BS88" s="602"/>
      <c r="DD88" s="602"/>
      <c r="DE88" s="602"/>
      <c r="DF88" s="602"/>
      <c r="DG88" s="602"/>
      <c r="DH88" s="602"/>
      <c r="DI88" s="602"/>
      <c r="DJ88" s="602"/>
      <c r="DK88" s="602"/>
    </row>
    <row r="89" spans="1:115" ht="11.1" customHeight="1" outlineLevel="2" thickTop="1">
      <c r="A89" s="602">
        <v>86</v>
      </c>
      <c r="B89" s="807" t="s">
        <v>3972</v>
      </c>
      <c r="C89" s="629"/>
      <c r="D89" s="768"/>
      <c r="E89" s="769"/>
      <c r="F89" s="770"/>
      <c r="G89" s="768"/>
      <c r="H89" s="771"/>
      <c r="I89" s="771"/>
      <c r="J89" s="769"/>
      <c r="K89" s="629"/>
      <c r="L89" s="629"/>
      <c r="M89" s="629"/>
      <c r="N89" s="629"/>
      <c r="O89" s="629"/>
      <c r="P89" s="629"/>
      <c r="Q89" s="629"/>
      <c r="R89" s="629"/>
      <c r="S89" s="629"/>
      <c r="T89" s="629"/>
      <c r="U89" s="629"/>
      <c r="V89" s="629"/>
      <c r="W89" s="629"/>
      <c r="X89" s="772"/>
      <c r="Y89" s="629"/>
      <c r="Z89" s="629"/>
      <c r="AA89" s="827" t="s">
        <v>3972</v>
      </c>
      <c r="AB89" s="828" t="s">
        <v>4013</v>
      </c>
      <c r="AC89" s="683" t="s">
        <v>4744</v>
      </c>
      <c r="AD89" s="683" t="s">
        <v>3143</v>
      </c>
      <c r="AE89" s="829" t="s">
        <v>1742</v>
      </c>
      <c r="AF89" s="683" t="s">
        <v>4013</v>
      </c>
      <c r="AG89" s="683" t="s">
        <v>4744</v>
      </c>
      <c r="AH89" s="683" t="s">
        <v>3143</v>
      </c>
      <c r="AI89" s="829" t="s">
        <v>1742</v>
      </c>
      <c r="AJ89" s="683" t="s">
        <v>4013</v>
      </c>
      <c r="AK89" s="683" t="s">
        <v>4744</v>
      </c>
      <c r="AL89" s="683" t="s">
        <v>3143</v>
      </c>
      <c r="AM89" s="829" t="s">
        <v>1742</v>
      </c>
      <c r="AN89" s="683" t="s">
        <v>4013</v>
      </c>
      <c r="AO89" s="683" t="s">
        <v>4744</v>
      </c>
      <c r="AP89" s="683" t="s">
        <v>3143</v>
      </c>
      <c r="AQ89" s="829" t="s">
        <v>1742</v>
      </c>
      <c r="AR89" s="683" t="s">
        <v>4013</v>
      </c>
      <c r="AS89" s="683" t="s">
        <v>4744</v>
      </c>
      <c r="AT89" s="683" t="s">
        <v>3143</v>
      </c>
      <c r="AU89" s="829" t="s">
        <v>1742</v>
      </c>
      <c r="BS89" s="602"/>
      <c r="DG89" s="602"/>
      <c r="DH89" s="602"/>
      <c r="DI89" s="602"/>
      <c r="DJ89" s="602"/>
      <c r="DK89" s="602"/>
    </row>
    <row r="90" spans="1:115" ht="11.1" customHeight="1" outlineLevel="3">
      <c r="A90" s="602">
        <v>87</v>
      </c>
      <c r="B90" s="780" t="s">
        <v>3470</v>
      </c>
      <c r="C90" s="830" t="s">
        <v>2224</v>
      </c>
      <c r="D90" s="768">
        <v>0.5</v>
      </c>
      <c r="E90" s="769">
        <v>18</v>
      </c>
      <c r="F90" s="649"/>
      <c r="G90" s="768">
        <f t="shared" ref="G90:G103" si="24">F90*D90</f>
        <v>0</v>
      </c>
      <c r="H90" s="771">
        <v>5</v>
      </c>
      <c r="I90" s="771">
        <f t="shared" ref="I90:I103" si="25">H90*F90</f>
        <v>0</v>
      </c>
      <c r="J90" s="769" t="s">
        <v>1563</v>
      </c>
      <c r="K90" s="774">
        <f>IF(J90&lt;&gt;"L",'Main Creation Page'!$AF$11,'Main Creation Page'!$AG$11)</f>
        <v>5</v>
      </c>
      <c r="L90" s="629">
        <v>6</v>
      </c>
      <c r="M90" s="629">
        <f>IF(ISNA(VLOOKUP(T90,$BJ$44:$BN$58,2)),0,VLOOKUP(T90,$BJ$44:$BN$58,2))</f>
        <v>0</v>
      </c>
      <c r="N90" s="620">
        <f t="shared" ref="N90:N103" si="26">K90+L90+M90</f>
        <v>11</v>
      </c>
      <c r="O90" s="769" t="s">
        <v>4740</v>
      </c>
      <c r="P90" s="629"/>
      <c r="Q90" s="629">
        <v>10</v>
      </c>
      <c r="R90" s="629" t="str">
        <f>IF(AND(ISBLANK(Skills!$X$201),ISNA(Skills!$W$201)),"N","Y")</f>
        <v>N</v>
      </c>
      <c r="S90" s="629">
        <f>Skills!V$201</f>
        <v>3</v>
      </c>
      <c r="T90" s="629" t="str">
        <f>IF(ISNA(Skills!$W$201),IF(ISBLANK(Skills!$X$201)," ",Skills!$X$201),+Skills!$W$201+Skills!$X$201)</f>
        <v xml:space="preserve"> </v>
      </c>
      <c r="U90" s="743">
        <f>IF(R90="Y",Skills!$AC$201,Skills!$AB$201)</f>
        <v>0.3</v>
      </c>
      <c r="V90" s="714">
        <f ca="1">Skills!$Y$201</f>
        <v>0.06</v>
      </c>
      <c r="W90" s="714">
        <f ca="1">Skills!$AA$201</f>
        <v>0.06</v>
      </c>
      <c r="X90" s="777">
        <f ca="1">Skills!$AD$201</f>
        <v>0.36</v>
      </c>
      <c r="Y90" s="622">
        <f t="shared" ref="Y90:Y101" ca="1" si="27">HLOOKUP(W90,$BJ$60:$BO$67,5)</f>
        <v>12</v>
      </c>
      <c r="Z90" s="622">
        <f ca="1">HLOOKUP(X90,$BJ$68:$BO$72,2)</f>
        <v>1</v>
      </c>
      <c r="AA90" s="780" t="s">
        <v>3470</v>
      </c>
      <c r="AB90" s="831">
        <v>0</v>
      </c>
      <c r="AC90" s="832">
        <f t="shared" ref="AC90:AC103" si="28">$N90+AB90</f>
        <v>11</v>
      </c>
      <c r="AD90" s="796">
        <v>10</v>
      </c>
      <c r="AE90" s="833">
        <f ca="1">1+Skills!AE201</f>
        <v>1</v>
      </c>
      <c r="AF90" s="834">
        <v>0</v>
      </c>
      <c r="AG90" s="832">
        <f t="shared" ref="AG90:AG103" si="29">$N90+AF90</f>
        <v>11</v>
      </c>
      <c r="AH90" s="796">
        <v>30</v>
      </c>
      <c r="AI90" s="843">
        <f ca="1">$AE90-1</f>
        <v>0</v>
      </c>
      <c r="AJ90" s="834">
        <v>-3</v>
      </c>
      <c r="AK90" s="832">
        <f t="shared" ref="AK90:AK103" si="30">$N90+AJ90</f>
        <v>8</v>
      </c>
      <c r="AL90" s="796">
        <v>60</v>
      </c>
      <c r="AM90" s="843">
        <f ca="1">$AE90-1</f>
        <v>0</v>
      </c>
      <c r="AN90" s="834">
        <v>-7</v>
      </c>
      <c r="AO90" s="832">
        <f t="shared" ref="AO90:AO103" si="31">$N90+AN90</f>
        <v>4</v>
      </c>
      <c r="AP90" s="796">
        <f>90+IF('Main Creation Page'!$E$16&gt;11,50*('Main Creation Page'!$E$16-12))</f>
        <v>490</v>
      </c>
      <c r="AQ90" s="843">
        <f ca="1">$AE90-1</f>
        <v>0</v>
      </c>
      <c r="AR90" s="834">
        <v>-10</v>
      </c>
      <c r="AS90" s="832">
        <f t="shared" ref="AS90:AS103" si="32">$N90+AR90</f>
        <v>1</v>
      </c>
      <c r="AT90" s="796">
        <f>150+IF('Main Creation Page'!$E$16&gt;11,50*('Main Creation Page'!$E$16-12))</f>
        <v>550</v>
      </c>
      <c r="AU90" s="843">
        <f ca="1">$AE90-1</f>
        <v>0</v>
      </c>
      <c r="BS90" s="602"/>
      <c r="DG90" s="602"/>
      <c r="DH90" s="602"/>
      <c r="DI90" s="602"/>
      <c r="DJ90" s="602"/>
      <c r="DK90" s="602"/>
    </row>
    <row r="91" spans="1:115" ht="11.1" customHeight="1" outlineLevel="3">
      <c r="A91" s="602">
        <v>88</v>
      </c>
      <c r="B91" s="780" t="s">
        <v>172</v>
      </c>
      <c r="C91" s="629">
        <v>3</v>
      </c>
      <c r="D91" s="768">
        <v>4</v>
      </c>
      <c r="E91" s="769">
        <f>6*12</f>
        <v>72</v>
      </c>
      <c r="F91" s="649"/>
      <c r="G91" s="768">
        <f t="shared" si="24"/>
        <v>0</v>
      </c>
      <c r="H91" s="771">
        <v>480</v>
      </c>
      <c r="I91" s="771">
        <f t="shared" si="25"/>
        <v>0</v>
      </c>
      <c r="J91" s="769" t="s">
        <v>5221</v>
      </c>
      <c r="K91" s="774">
        <f>IF(J91&lt;&gt;"L",'Main Creation Page'!$AF$11,'Main Creation Page'!$AG$11)</f>
        <v>10</v>
      </c>
      <c r="L91" s="629">
        <v>10</v>
      </c>
      <c r="M91" s="629">
        <f>IF(ISNA(VLOOKUP(T91,$BJ$44:$BN$58,3)),0,VLOOKUP(T91,$BJ$44:$BN$58,3))</f>
        <v>0</v>
      </c>
      <c r="N91" s="620">
        <f t="shared" si="26"/>
        <v>20</v>
      </c>
      <c r="O91" s="769" t="s">
        <v>4740</v>
      </c>
      <c r="P91" s="629"/>
      <c r="Q91" s="629">
        <v>10</v>
      </c>
      <c r="R91" s="629" t="str">
        <f>IF(AND(ISBLANK(Skills!$X$201),ISNA(Skills!$W$201)),"N","Y")</f>
        <v>N</v>
      </c>
      <c r="S91" s="629">
        <f>Skills!V$201</f>
        <v>3</v>
      </c>
      <c r="T91" s="629" t="str">
        <f>IF(ISNA(Skills!$W$201),IF(ISBLANK(Skills!$X$201)," ",Skills!$X$201),+Skills!$W$201+Skills!$X$201)</f>
        <v xml:space="preserve"> </v>
      </c>
      <c r="U91" s="743">
        <f>IF(R91="Y",Skills!$AC$176,Skills!$AB$176)</f>
        <v>0.3</v>
      </c>
      <c r="V91" s="714">
        <f ca="1">Skills!$Y$176</f>
        <v>0.12</v>
      </c>
      <c r="W91" s="714">
        <f ca="1">Skills!$AA$176</f>
        <v>0.12</v>
      </c>
      <c r="X91" s="777">
        <f ca="1">Skills!$AD$176</f>
        <v>0.42</v>
      </c>
      <c r="Y91" s="622">
        <f t="shared" ca="1" si="27"/>
        <v>12</v>
      </c>
      <c r="Z91" s="622">
        <f ca="1">HLOOKUP(X91,$BJ$68:$BO$72,3)</f>
        <v>2</v>
      </c>
      <c r="AA91" s="780" t="s">
        <v>172</v>
      </c>
      <c r="AB91" s="831">
        <v>0</v>
      </c>
      <c r="AC91" s="832">
        <f t="shared" si="28"/>
        <v>20</v>
      </c>
      <c r="AD91" s="796">
        <v>10</v>
      </c>
      <c r="AE91" s="833">
        <f ca="1">3+Skills!$AE$175</f>
        <v>3</v>
      </c>
      <c r="AF91" s="834">
        <v>0</v>
      </c>
      <c r="AG91" s="832">
        <f t="shared" si="29"/>
        <v>20</v>
      </c>
      <c r="AH91" s="796">
        <v>30</v>
      </c>
      <c r="AI91" s="843">
        <f ca="1">$AE91+1</f>
        <v>4</v>
      </c>
      <c r="AJ91" s="834">
        <v>-3</v>
      </c>
      <c r="AK91" s="832">
        <f t="shared" si="30"/>
        <v>17</v>
      </c>
      <c r="AL91" s="796">
        <v>60</v>
      </c>
      <c r="AM91" s="843">
        <f ca="1">$AE91+1</f>
        <v>4</v>
      </c>
      <c r="AN91" s="834">
        <v>-7</v>
      </c>
      <c r="AO91" s="832">
        <f t="shared" si="31"/>
        <v>13</v>
      </c>
      <c r="AP91" s="796">
        <f>90+IF('Main Creation Page'!$E$16&gt;11,50*('Main Creation Page'!$E$16-12))</f>
        <v>490</v>
      </c>
      <c r="AQ91" s="843">
        <f ca="1">$AE91-0</f>
        <v>3</v>
      </c>
      <c r="AR91" s="834">
        <v>-10</v>
      </c>
      <c r="AS91" s="832">
        <f t="shared" si="32"/>
        <v>10</v>
      </c>
      <c r="AT91" s="796">
        <f>120+IF('Main Creation Page'!$E$16&gt;11,50*('Main Creation Page'!$E$16-12))</f>
        <v>520</v>
      </c>
      <c r="AU91" s="843">
        <f ca="1">$AE91-0</f>
        <v>3</v>
      </c>
      <c r="BS91" s="602"/>
      <c r="DG91" s="602"/>
      <c r="DH91" s="602"/>
      <c r="DI91" s="602"/>
      <c r="DJ91" s="602"/>
      <c r="DK91" s="602"/>
    </row>
    <row r="92" spans="1:115" ht="11.1" customHeight="1" outlineLevel="3">
      <c r="A92" s="602">
        <v>89</v>
      </c>
      <c r="B92" s="780" t="s">
        <v>173</v>
      </c>
      <c r="C92" s="629">
        <v>3</v>
      </c>
      <c r="D92" s="768">
        <v>4</v>
      </c>
      <c r="E92" s="769">
        <f>6*12</f>
        <v>72</v>
      </c>
      <c r="F92" s="649"/>
      <c r="G92" s="768">
        <f t="shared" si="24"/>
        <v>0</v>
      </c>
      <c r="H92" s="771">
        <v>480</v>
      </c>
      <c r="I92" s="771">
        <f t="shared" si="25"/>
        <v>0</v>
      </c>
      <c r="J92" s="769" t="s">
        <v>5221</v>
      </c>
      <c r="K92" s="774">
        <f>IF(J92&lt;&gt;"L",'Main Creation Page'!$AF$11,'Main Creation Page'!$AG$11)</f>
        <v>10</v>
      </c>
      <c r="L92" s="629">
        <v>9</v>
      </c>
      <c r="M92" s="629">
        <f>IF(ISNA(VLOOKUP(T92,$BJ$44:$BN$58,3)),0,VLOOKUP(T92,$BJ$44:$BN$58,3))</f>
        <v>0</v>
      </c>
      <c r="N92" s="620">
        <f t="shared" si="26"/>
        <v>19</v>
      </c>
      <c r="O92" s="769" t="s">
        <v>4740</v>
      </c>
      <c r="P92" s="776"/>
      <c r="Q92" s="776">
        <v>10</v>
      </c>
      <c r="R92" s="629" t="str">
        <f>IF(AND(ISBLANK(Skills!$X$201),ISNA(Skills!$W$201)),"N","Y")</f>
        <v>N</v>
      </c>
      <c r="S92" s="629">
        <f>Skills!V$201</f>
        <v>3</v>
      </c>
      <c r="T92" s="629" t="str">
        <f>IF(ISNA(Skills!$W$201),IF(ISBLANK(Skills!$X$201)," ",Skills!$X$201),+Skills!$W$201+Skills!$X$201)</f>
        <v xml:space="preserve"> </v>
      </c>
      <c r="U92" s="743">
        <f>IF(R92="Y",Skills!$AC$176,Skills!$AB$176)</f>
        <v>0.3</v>
      </c>
      <c r="V92" s="714">
        <f ca="1">Skills!$Y$176</f>
        <v>0.12</v>
      </c>
      <c r="W92" s="714">
        <f ca="1">Skills!$AA$176</f>
        <v>0.12</v>
      </c>
      <c r="X92" s="777">
        <f ca="1">Skills!$AD$176</f>
        <v>0.42</v>
      </c>
      <c r="Y92" s="622">
        <f t="shared" ca="1" si="27"/>
        <v>12</v>
      </c>
      <c r="Z92" s="622">
        <f ca="1">HLOOKUP(X92,$BJ$68:$BO$72,3)</f>
        <v>2</v>
      </c>
      <c r="AA92" s="780" t="s">
        <v>173</v>
      </c>
      <c r="AB92" s="831">
        <v>0</v>
      </c>
      <c r="AC92" s="832">
        <f t="shared" si="28"/>
        <v>19</v>
      </c>
      <c r="AD92" s="796">
        <v>10</v>
      </c>
      <c r="AE92" s="833">
        <f ca="1">3+Skills!$AE$175</f>
        <v>3</v>
      </c>
      <c r="AF92" s="834">
        <v>0</v>
      </c>
      <c r="AG92" s="832">
        <f t="shared" si="29"/>
        <v>19</v>
      </c>
      <c r="AH92" s="796">
        <v>30</v>
      </c>
      <c r="AI92" s="843">
        <f ca="1">$AE92+1</f>
        <v>4</v>
      </c>
      <c r="AJ92" s="834">
        <v>-3</v>
      </c>
      <c r="AK92" s="832">
        <f t="shared" si="30"/>
        <v>16</v>
      </c>
      <c r="AL92" s="796">
        <v>60</v>
      </c>
      <c r="AM92" s="843">
        <f ca="1">$AE92+1</f>
        <v>4</v>
      </c>
      <c r="AN92" s="834">
        <v>-6</v>
      </c>
      <c r="AO92" s="832">
        <f t="shared" si="31"/>
        <v>13</v>
      </c>
      <c r="AP92" s="796">
        <f>90+IF('Main Creation Page'!$E$16&gt;11,50*('Main Creation Page'!$E$16-12))</f>
        <v>490</v>
      </c>
      <c r="AQ92" s="843">
        <f ca="1">$AE92-0</f>
        <v>3</v>
      </c>
      <c r="AR92" s="834">
        <v>-9</v>
      </c>
      <c r="AS92" s="832">
        <f t="shared" si="32"/>
        <v>10</v>
      </c>
      <c r="AT92" s="796">
        <f>120+IF('Main Creation Page'!$E$16&gt;11,50*('Main Creation Page'!$E$16-12))</f>
        <v>520</v>
      </c>
      <c r="AU92" s="843">
        <f ca="1">$AE92-0</f>
        <v>3</v>
      </c>
      <c r="BS92" s="602"/>
      <c r="DG92" s="602"/>
      <c r="DH92" s="602"/>
      <c r="DI92" s="602"/>
      <c r="DJ92" s="602"/>
      <c r="DK92" s="602"/>
    </row>
    <row r="93" spans="1:115" ht="11.1" customHeight="1" outlineLevel="3">
      <c r="A93" s="602">
        <v>90</v>
      </c>
      <c r="B93" s="780" t="s">
        <v>1724</v>
      </c>
      <c r="C93" s="629">
        <v>3</v>
      </c>
      <c r="D93" s="768">
        <v>4</v>
      </c>
      <c r="E93" s="769">
        <f>6*12</f>
        <v>72</v>
      </c>
      <c r="F93" s="649"/>
      <c r="G93" s="768">
        <f t="shared" si="24"/>
        <v>0</v>
      </c>
      <c r="H93" s="771">
        <v>480</v>
      </c>
      <c r="I93" s="771">
        <f t="shared" si="25"/>
        <v>0</v>
      </c>
      <c r="J93" s="769" t="s">
        <v>5221</v>
      </c>
      <c r="K93" s="774">
        <f>IF(J93&lt;&gt;"L",'Main Creation Page'!$AF$11,'Main Creation Page'!$AG$11)</f>
        <v>10</v>
      </c>
      <c r="L93" s="629">
        <v>8</v>
      </c>
      <c r="M93" s="629">
        <f>IF(ISNA(VLOOKUP(T93,$BJ$44:$BN$58,3)),0,VLOOKUP(T93,$BJ$44:$BN$58,3))</f>
        <v>0</v>
      </c>
      <c r="N93" s="620">
        <f t="shared" si="26"/>
        <v>18</v>
      </c>
      <c r="O93" s="769" t="s">
        <v>4740</v>
      </c>
      <c r="P93" s="776"/>
      <c r="Q93" s="776">
        <v>10</v>
      </c>
      <c r="R93" s="629" t="str">
        <f>IF(AND(ISBLANK(Skills!$X$201),ISNA(Skills!$W$201)),"N","Y")</f>
        <v>N</v>
      </c>
      <c r="S93" s="629">
        <f>Skills!V$201</f>
        <v>3</v>
      </c>
      <c r="T93" s="629" t="str">
        <f>IF(ISNA(Skills!$W$201),IF(ISBLANK(Skills!$X$201)," ",Skills!$X$201),+Skills!$W$201+Skills!$X$201)</f>
        <v xml:space="preserve"> </v>
      </c>
      <c r="U93" s="743">
        <f>IF(R93="Y",Skills!$AC$176,Skills!$AB$176)</f>
        <v>0.3</v>
      </c>
      <c r="V93" s="714">
        <f ca="1">Skills!$Y$176</f>
        <v>0.12</v>
      </c>
      <c r="W93" s="714">
        <f ca="1">Skills!$AA$176</f>
        <v>0.12</v>
      </c>
      <c r="X93" s="777">
        <f ca="1">Skills!$AD$176</f>
        <v>0.42</v>
      </c>
      <c r="Y93" s="622">
        <f t="shared" ca="1" si="27"/>
        <v>12</v>
      </c>
      <c r="Z93" s="622">
        <f ca="1">HLOOKUP(X93,$BJ$68:$BO$72,3)</f>
        <v>2</v>
      </c>
      <c r="AA93" s="780" t="s">
        <v>1724</v>
      </c>
      <c r="AB93" s="831">
        <v>0</v>
      </c>
      <c r="AC93" s="832">
        <f t="shared" si="28"/>
        <v>18</v>
      </c>
      <c r="AD93" s="796">
        <v>10</v>
      </c>
      <c r="AE93" s="833">
        <f ca="1">2+Skills!$AE$175</f>
        <v>2</v>
      </c>
      <c r="AF93" s="834">
        <v>0</v>
      </c>
      <c r="AG93" s="832">
        <f t="shared" si="29"/>
        <v>18</v>
      </c>
      <c r="AH93" s="796">
        <v>30</v>
      </c>
      <c r="AI93" s="843">
        <f ca="1">$AE93+1</f>
        <v>3</v>
      </c>
      <c r="AJ93" s="834">
        <v>-3</v>
      </c>
      <c r="AK93" s="832">
        <f t="shared" si="30"/>
        <v>15</v>
      </c>
      <c r="AL93" s="796">
        <v>60</v>
      </c>
      <c r="AM93" s="843">
        <f ca="1">$AE93-0</f>
        <v>2</v>
      </c>
      <c r="AN93" s="834">
        <v>-8</v>
      </c>
      <c r="AO93" s="832">
        <f t="shared" si="31"/>
        <v>10</v>
      </c>
      <c r="AP93" s="796">
        <f>90+IF('Main Creation Page'!$E$16&gt;11,50*('Main Creation Page'!$E$16-12))</f>
        <v>490</v>
      </c>
      <c r="AQ93" s="843">
        <f ca="1">$AE93-0</f>
        <v>2</v>
      </c>
      <c r="AR93" s="834">
        <v>-11</v>
      </c>
      <c r="AS93" s="832">
        <f t="shared" si="32"/>
        <v>7</v>
      </c>
      <c r="AT93" s="796">
        <f>120+IF('Main Creation Page'!$E$16&gt;11,50*('Main Creation Page'!$E$16-12))</f>
        <v>520</v>
      </c>
      <c r="AU93" s="843">
        <f ca="1">$AE93-0</f>
        <v>2</v>
      </c>
      <c r="BS93" s="602"/>
      <c r="DG93" s="602"/>
      <c r="DH93" s="602"/>
      <c r="DI93" s="602"/>
      <c r="DJ93" s="602"/>
      <c r="DK93" s="602"/>
    </row>
    <row r="94" spans="1:115" ht="11.1" customHeight="1" outlineLevel="3">
      <c r="A94" s="602">
        <v>91</v>
      </c>
      <c r="B94" s="780" t="s">
        <v>1328</v>
      </c>
      <c r="C94" s="629">
        <v>4</v>
      </c>
      <c r="D94" s="768">
        <v>3</v>
      </c>
      <c r="E94" s="769">
        <v>36</v>
      </c>
      <c r="F94" s="649"/>
      <c r="G94" s="768">
        <f t="shared" si="24"/>
        <v>0</v>
      </c>
      <c r="H94" s="771">
        <v>720</v>
      </c>
      <c r="I94" s="771">
        <f t="shared" si="25"/>
        <v>0</v>
      </c>
      <c r="J94" s="769" t="s">
        <v>5221</v>
      </c>
      <c r="K94" s="774">
        <f>IF(J94&lt;&gt;"L",'Main Creation Page'!$AF$11,'Main Creation Page'!$AG$11)</f>
        <v>10</v>
      </c>
      <c r="L94" s="629">
        <v>8</v>
      </c>
      <c r="M94" s="629">
        <f>IF(ISNA(VLOOKUP(T94,$BJ$44:$BN$58,3)),0,VLOOKUP(T94,$BJ$44:$BN$58,3))</f>
        <v>0</v>
      </c>
      <c r="N94" s="620">
        <f t="shared" si="26"/>
        <v>18</v>
      </c>
      <c r="O94" s="769" t="s">
        <v>4740</v>
      </c>
      <c r="P94" s="629"/>
      <c r="Q94" s="776">
        <v>10</v>
      </c>
      <c r="R94" s="629" t="str">
        <f>IF(AND(ISBLANK(Skills!$X$174),ISNA(Skills!$W$174)),"N","Y")</f>
        <v>N</v>
      </c>
      <c r="S94" s="629">
        <f>Skills!V$174</f>
        <v>3</v>
      </c>
      <c r="T94" s="629" t="str">
        <f>IF(ISNA(Skills!$W$174),IF(ISBLANK(Skills!$X$174)," ",Skills!$X$174),+Skills!$W$174+Skills!$X$174)</f>
        <v xml:space="preserve"> </v>
      </c>
      <c r="U94" s="743">
        <f>IF(R94="Y",Skills!$AC$174,Skills!$AB$174)</f>
        <v>0.3</v>
      </c>
      <c r="V94" s="714">
        <f ca="1">Skills!$Y$174</f>
        <v>0.12</v>
      </c>
      <c r="W94" s="714">
        <f ca="1">Skills!$AA$174</f>
        <v>0.12</v>
      </c>
      <c r="X94" s="777">
        <f ca="1">Skills!$AD$174</f>
        <v>0.42</v>
      </c>
      <c r="Y94" s="622">
        <f t="shared" ca="1" si="27"/>
        <v>12</v>
      </c>
      <c r="Z94" s="622">
        <f ca="1">HLOOKUP(X94,$BJ$68:$BO$72,3)</f>
        <v>2</v>
      </c>
      <c r="AA94" s="780" t="s">
        <v>1328</v>
      </c>
      <c r="AB94" s="831">
        <v>0</v>
      </c>
      <c r="AC94" s="832">
        <f t="shared" si="28"/>
        <v>18</v>
      </c>
      <c r="AD94" s="796">
        <v>10</v>
      </c>
      <c r="AE94" s="833">
        <f ca="1">1+Skills!$AE$173</f>
        <v>1</v>
      </c>
      <c r="AF94" s="834">
        <v>-1</v>
      </c>
      <c r="AG94" s="832">
        <f t="shared" si="29"/>
        <v>17</v>
      </c>
      <c r="AH94" s="796">
        <v>20</v>
      </c>
      <c r="AI94" s="843">
        <f t="shared" ref="AI94:AI103" ca="1" si="33">$AE94-0</f>
        <v>1</v>
      </c>
      <c r="AJ94" s="834">
        <v>-3</v>
      </c>
      <c r="AK94" s="832">
        <f t="shared" si="30"/>
        <v>15</v>
      </c>
      <c r="AL94" s="796">
        <v>40</v>
      </c>
      <c r="AM94" s="843">
        <f t="shared" ref="AM94:AM100" ca="1" si="34">$AE94-1</f>
        <v>0</v>
      </c>
      <c r="AN94" s="834">
        <v>-6</v>
      </c>
      <c r="AO94" s="832">
        <f t="shared" si="31"/>
        <v>12</v>
      </c>
      <c r="AP94" s="796">
        <f>60+IF('Main Creation Page'!$E$16&gt;11,50*('Main Creation Page'!$E$16-12))</f>
        <v>460</v>
      </c>
      <c r="AQ94" s="843">
        <f t="shared" ref="AQ94:AQ99" ca="1" si="35">$AE94-2</f>
        <v>-1</v>
      </c>
      <c r="AR94" s="834">
        <v>-9</v>
      </c>
      <c r="AS94" s="832">
        <f t="shared" si="32"/>
        <v>9</v>
      </c>
      <c r="AT94" s="796">
        <f>90+IF('Main Creation Page'!$E$16&gt;11,50*('Main Creation Page'!$E$16-12))</f>
        <v>490</v>
      </c>
      <c r="AU94" s="843">
        <f ca="1">$AE94-3</f>
        <v>-2</v>
      </c>
      <c r="BS94" s="602"/>
      <c r="DG94" s="602"/>
      <c r="DH94" s="602"/>
      <c r="DI94" s="602"/>
      <c r="DJ94" s="602"/>
      <c r="DK94" s="602"/>
    </row>
    <row r="95" spans="1:115" ht="11.1" customHeight="1" outlineLevel="3">
      <c r="A95" s="602">
        <v>92</v>
      </c>
      <c r="B95" s="793" t="s">
        <v>3894</v>
      </c>
      <c r="C95" s="629">
        <v>4</v>
      </c>
      <c r="D95" s="768">
        <v>2.5</v>
      </c>
      <c r="E95" s="769">
        <v>30</v>
      </c>
      <c r="F95" s="649"/>
      <c r="G95" s="768">
        <f t="shared" si="24"/>
        <v>0</v>
      </c>
      <c r="H95" s="771">
        <v>680</v>
      </c>
      <c r="I95" s="771">
        <f t="shared" si="25"/>
        <v>0</v>
      </c>
      <c r="J95" s="769" t="s">
        <v>5221</v>
      </c>
      <c r="K95" s="774">
        <f>IF(J95&lt;&gt;"L",'Main Creation Page'!$AF$11,'Main Creation Page'!$AG$11)</f>
        <v>10</v>
      </c>
      <c r="L95" s="629">
        <v>7</v>
      </c>
      <c r="M95" s="629">
        <f>IF(ISNA(VLOOKUP(T95,$BJ$44:$BN$58,3)),0,VLOOKUP(T95,$BJ$44:$BN$58,3))</f>
        <v>0</v>
      </c>
      <c r="N95" s="620">
        <f t="shared" si="26"/>
        <v>17</v>
      </c>
      <c r="O95" s="769" t="s">
        <v>4740</v>
      </c>
      <c r="P95" s="629"/>
      <c r="Q95" s="776">
        <v>10</v>
      </c>
      <c r="R95" s="629" t="str">
        <f>IF(AND(ISBLANK(Skills!$X$174),ISNA(Skills!$W$174)),"N","Y")</f>
        <v>N</v>
      </c>
      <c r="S95" s="629">
        <f>Skills!V$174</f>
        <v>3</v>
      </c>
      <c r="T95" s="629" t="str">
        <f>IF(ISNA(Skills!$W$174),IF(ISBLANK(Skills!$X$174)," ",Skills!$X$174),+Skills!$W$174+Skills!$X$174)</f>
        <v xml:space="preserve"> </v>
      </c>
      <c r="U95" s="743">
        <f>IF(R95="Y",Skills!$AC$174,Skills!$AB$174)</f>
        <v>0.3</v>
      </c>
      <c r="V95" s="714">
        <f ca="1">Skills!$Y$174</f>
        <v>0.12</v>
      </c>
      <c r="W95" s="714">
        <f ca="1">Skills!$AA$174</f>
        <v>0.12</v>
      </c>
      <c r="X95" s="777">
        <f ca="1">Skills!$AD$174</f>
        <v>0.42</v>
      </c>
      <c r="Y95" s="622">
        <f t="shared" ca="1" si="27"/>
        <v>12</v>
      </c>
      <c r="Z95" s="622">
        <f ca="1">HLOOKUP(X95,$BJ$68:$BO$72,3)</f>
        <v>2</v>
      </c>
      <c r="AA95" s="793" t="s">
        <v>3894</v>
      </c>
      <c r="AB95" s="831">
        <v>0</v>
      </c>
      <c r="AC95" s="832">
        <f t="shared" si="28"/>
        <v>17</v>
      </c>
      <c r="AD95" s="796">
        <v>15</v>
      </c>
      <c r="AE95" s="833">
        <f ca="1">0+Skills!$AE$173</f>
        <v>0</v>
      </c>
      <c r="AF95" s="834">
        <v>-1</v>
      </c>
      <c r="AG95" s="832">
        <f t="shared" si="29"/>
        <v>16</v>
      </c>
      <c r="AH95" s="796">
        <v>30</v>
      </c>
      <c r="AI95" s="843">
        <f t="shared" ca="1" si="33"/>
        <v>0</v>
      </c>
      <c r="AJ95" s="834">
        <v>-2</v>
      </c>
      <c r="AK95" s="832">
        <f t="shared" si="30"/>
        <v>15</v>
      </c>
      <c r="AL95" s="796">
        <v>50</v>
      </c>
      <c r="AM95" s="843">
        <f t="shared" ca="1" si="34"/>
        <v>-1</v>
      </c>
      <c r="AN95" s="834">
        <v>-3</v>
      </c>
      <c r="AO95" s="832">
        <f t="shared" si="31"/>
        <v>14</v>
      </c>
      <c r="AP95" s="796">
        <f>70+IF('Main Creation Page'!$E$16&gt;11,50*('Main Creation Page'!$E$16-12))</f>
        <v>470</v>
      </c>
      <c r="AQ95" s="843">
        <f t="shared" ca="1" si="35"/>
        <v>-2</v>
      </c>
      <c r="AR95" s="834">
        <v>-4</v>
      </c>
      <c r="AS95" s="832">
        <f t="shared" si="32"/>
        <v>13</v>
      </c>
      <c r="AT95" s="796">
        <f>100+IF('Main Creation Page'!$E$16&gt;11,50*('Main Creation Page'!$E$16-12))</f>
        <v>500</v>
      </c>
      <c r="AU95" s="843">
        <f ca="1">$AE95-3</f>
        <v>-3</v>
      </c>
      <c r="BS95" s="602"/>
      <c r="DG95" s="602"/>
      <c r="DH95" s="602"/>
      <c r="DI95" s="602"/>
      <c r="DJ95" s="602"/>
      <c r="DK95" s="602"/>
    </row>
    <row r="96" spans="1:115" ht="11.1" customHeight="1" outlineLevel="3">
      <c r="A96" s="602">
        <v>93</v>
      </c>
      <c r="B96" s="780" t="s">
        <v>1322</v>
      </c>
      <c r="C96" s="629">
        <v>1</v>
      </c>
      <c r="D96" s="768">
        <v>0.5</v>
      </c>
      <c r="E96" s="769">
        <v>12</v>
      </c>
      <c r="F96" s="649"/>
      <c r="G96" s="768">
        <f t="shared" si="24"/>
        <v>0</v>
      </c>
      <c r="H96" s="771">
        <v>240</v>
      </c>
      <c r="I96" s="771">
        <f t="shared" si="25"/>
        <v>0</v>
      </c>
      <c r="J96" s="769" t="s">
        <v>1563</v>
      </c>
      <c r="K96" s="774">
        <f>IF(J96&lt;&gt;"L",'Main Creation Page'!$AF$11,'Main Creation Page'!$AG$11)</f>
        <v>5</v>
      </c>
      <c r="L96" s="629">
        <v>1</v>
      </c>
      <c r="M96" s="629">
        <f>IF(ISNA(VLOOKUP(T96,$BJ$44:$BN$58,2)),0,VLOOKUP(T96,$BJ$44:$BN$58,2))</f>
        <v>0</v>
      </c>
      <c r="N96" s="620">
        <f t="shared" si="26"/>
        <v>6</v>
      </c>
      <c r="O96" s="769" t="s">
        <v>4740</v>
      </c>
      <c r="P96" s="629"/>
      <c r="Q96" s="629">
        <v>10</v>
      </c>
      <c r="R96" s="629" t="str">
        <f>IF(AND(ISBLANK(Skills!$X$200),ISNA(Skills!$W$200)),"N","Y")</f>
        <v>N</v>
      </c>
      <c r="S96" s="629">
        <f>Skills!V$200</f>
        <v>4</v>
      </c>
      <c r="T96" s="629" t="str">
        <f>IF(ISNA(Skills!$W$200),IF(ISBLANK(Skills!$X$200)," ",Skills!$X$200),+Skills!$W$200+Skills!$X$200)</f>
        <v xml:space="preserve"> </v>
      </c>
      <c r="U96" s="743">
        <f>IF(R96="Y",Skills!$AC$200,Skills!$AB$200)</f>
        <v>0.2</v>
      </c>
      <c r="V96" s="714">
        <f ca="1">Skills!$Y$200</f>
        <v>0.06</v>
      </c>
      <c r="W96" s="714">
        <f ca="1">Skills!$AA$200</f>
        <v>0.06</v>
      </c>
      <c r="X96" s="777">
        <f ca="1">Skills!$AD$200</f>
        <v>0.26</v>
      </c>
      <c r="Y96" s="622">
        <f t="shared" ca="1" si="27"/>
        <v>12</v>
      </c>
      <c r="Z96" s="622">
        <f ca="1">HLOOKUP(X96,$BJ$68:$BO$72,2)</f>
        <v>1</v>
      </c>
      <c r="AA96" s="780" t="s">
        <v>1322</v>
      </c>
      <c r="AB96" s="831">
        <v>0</v>
      </c>
      <c r="AC96" s="832">
        <f t="shared" si="28"/>
        <v>6</v>
      </c>
      <c r="AD96" s="796">
        <v>5</v>
      </c>
      <c r="AE96" s="833">
        <f ca="1">0+Skills!$AE$199</f>
        <v>0</v>
      </c>
      <c r="AF96" s="834">
        <v>0</v>
      </c>
      <c r="AG96" s="832">
        <f t="shared" si="29"/>
        <v>6</v>
      </c>
      <c r="AH96" s="796">
        <v>10</v>
      </c>
      <c r="AI96" s="843">
        <f t="shared" ca="1" si="33"/>
        <v>0</v>
      </c>
      <c r="AJ96" s="834">
        <v>-1</v>
      </c>
      <c r="AK96" s="832">
        <f t="shared" si="30"/>
        <v>5</v>
      </c>
      <c r="AL96" s="796">
        <v>20</v>
      </c>
      <c r="AM96" s="843">
        <f t="shared" ca="1" si="34"/>
        <v>-1</v>
      </c>
      <c r="AN96" s="834">
        <v>-3</v>
      </c>
      <c r="AO96" s="832">
        <f t="shared" si="31"/>
        <v>3</v>
      </c>
      <c r="AP96" s="796">
        <f>30+IF('Main Creation Page'!$E$16&gt;11,50*('Main Creation Page'!$E$16-12))</f>
        <v>430</v>
      </c>
      <c r="AQ96" s="843">
        <f t="shared" ca="1" si="35"/>
        <v>-2</v>
      </c>
      <c r="AR96" s="834">
        <v>-5</v>
      </c>
      <c r="AS96" s="832">
        <f t="shared" si="32"/>
        <v>1</v>
      </c>
      <c r="AT96" s="796">
        <f>40+IF('Main Creation Page'!$E$16&gt;11,50*('Main Creation Page'!$E$16-12))</f>
        <v>440</v>
      </c>
      <c r="AU96" s="843">
        <f ca="1">$AE96-3</f>
        <v>-3</v>
      </c>
      <c r="BS96" s="602"/>
      <c r="DG96" s="602"/>
      <c r="DH96" s="602"/>
      <c r="DI96" s="602"/>
      <c r="DJ96" s="602"/>
      <c r="DK96" s="602"/>
    </row>
    <row r="97" spans="1:115" ht="11.1" customHeight="1" outlineLevel="3">
      <c r="A97" s="602">
        <v>94</v>
      </c>
      <c r="B97" s="780" t="s">
        <v>1321</v>
      </c>
      <c r="C97" s="629">
        <v>1.5</v>
      </c>
      <c r="D97" s="768">
        <v>0.25</v>
      </c>
      <c r="E97" s="769">
        <v>8</v>
      </c>
      <c r="F97" s="649"/>
      <c r="G97" s="768">
        <f t="shared" si="24"/>
        <v>0</v>
      </c>
      <c r="H97" s="771">
        <v>364</v>
      </c>
      <c r="I97" s="771">
        <f t="shared" si="25"/>
        <v>0</v>
      </c>
      <c r="J97" s="769" t="s">
        <v>1563</v>
      </c>
      <c r="K97" s="774">
        <f>IF(J97&lt;&gt;"L",'Main Creation Page'!$AF$11,'Main Creation Page'!$AG$11)</f>
        <v>5</v>
      </c>
      <c r="L97" s="629">
        <v>1</v>
      </c>
      <c r="M97" s="629">
        <f>IF(ISNA(VLOOKUP(T97,$BJ$44:$BN$58,2)),0,VLOOKUP(T97,$BJ$44:$BN$58,2))</f>
        <v>0</v>
      </c>
      <c r="N97" s="620">
        <f t="shared" si="26"/>
        <v>6</v>
      </c>
      <c r="O97" s="769" t="s">
        <v>4740</v>
      </c>
      <c r="P97" s="629"/>
      <c r="Q97" s="629">
        <v>10</v>
      </c>
      <c r="R97" s="629" t="str">
        <f>IF(AND(ISBLANK(Skills!$X$200),ISNA(Skills!$W$200)),"N","Y")</f>
        <v>N</v>
      </c>
      <c r="S97" s="629">
        <f>Skills!V$200</f>
        <v>4</v>
      </c>
      <c r="T97" s="629" t="str">
        <f>IF(ISNA(Skills!$W$200),IF(ISBLANK(Skills!$X$200)," ",Skills!$X$200),+Skills!$W$200+Skills!$X$200)</f>
        <v xml:space="preserve"> </v>
      </c>
      <c r="U97" s="743">
        <f>IF(R97="Y",Skills!$AC$200,Skills!$AB$200)</f>
        <v>0.2</v>
      </c>
      <c r="V97" s="714">
        <f ca="1">Skills!$Y$200</f>
        <v>0.06</v>
      </c>
      <c r="W97" s="714">
        <f ca="1">Skills!$AA$200</f>
        <v>0.06</v>
      </c>
      <c r="X97" s="777">
        <f ca="1">Skills!$AD$200</f>
        <v>0.26</v>
      </c>
      <c r="Y97" s="622">
        <f t="shared" ca="1" si="27"/>
        <v>12</v>
      </c>
      <c r="Z97" s="622">
        <f ca="1">HLOOKUP(X97,$BJ$68:$BO$72,2)</f>
        <v>1</v>
      </c>
      <c r="AA97" s="780" t="s">
        <v>1321</v>
      </c>
      <c r="AB97" s="831">
        <v>0</v>
      </c>
      <c r="AC97" s="832">
        <f t="shared" si="28"/>
        <v>6</v>
      </c>
      <c r="AD97" s="796">
        <v>5</v>
      </c>
      <c r="AE97" s="833">
        <f ca="1">0+Skills!$AE$199</f>
        <v>0</v>
      </c>
      <c r="AF97" s="834">
        <v>0</v>
      </c>
      <c r="AG97" s="832">
        <f t="shared" si="29"/>
        <v>6</v>
      </c>
      <c r="AH97" s="796">
        <v>10</v>
      </c>
      <c r="AI97" s="843">
        <f t="shared" ca="1" si="33"/>
        <v>0</v>
      </c>
      <c r="AJ97" s="834">
        <v>-1</v>
      </c>
      <c r="AK97" s="832">
        <f t="shared" si="30"/>
        <v>5</v>
      </c>
      <c r="AL97" s="796">
        <v>20</v>
      </c>
      <c r="AM97" s="843">
        <f t="shared" ca="1" si="34"/>
        <v>-1</v>
      </c>
      <c r="AN97" s="834">
        <v>-3</v>
      </c>
      <c r="AO97" s="832">
        <f t="shared" si="31"/>
        <v>3</v>
      </c>
      <c r="AP97" s="796">
        <f>30+IF('Main Creation Page'!$E$16&gt;11,50*('Main Creation Page'!$E$16-12))</f>
        <v>430</v>
      </c>
      <c r="AQ97" s="843">
        <f t="shared" ca="1" si="35"/>
        <v>-2</v>
      </c>
      <c r="AR97" s="834">
        <v>-5</v>
      </c>
      <c r="AS97" s="832">
        <f t="shared" si="32"/>
        <v>1</v>
      </c>
      <c r="AT97" s="796">
        <f>40+IF('Main Creation Page'!$E$16&gt;11,50*('Main Creation Page'!$E$16-12))</f>
        <v>440</v>
      </c>
      <c r="AU97" s="843">
        <f ca="1">$AE97-3</f>
        <v>-3</v>
      </c>
      <c r="BS97" s="602"/>
      <c r="DG97" s="602"/>
      <c r="DH97" s="602"/>
      <c r="DI97" s="602"/>
      <c r="DJ97" s="602"/>
      <c r="DK97" s="602"/>
    </row>
    <row r="98" spans="1:115" ht="11.1" customHeight="1" outlineLevel="3">
      <c r="A98" s="602">
        <v>95</v>
      </c>
      <c r="B98" s="793" t="s">
        <v>3896</v>
      </c>
      <c r="C98" s="629">
        <v>5</v>
      </c>
      <c r="D98" s="768">
        <v>3</v>
      </c>
      <c r="E98" s="769">
        <v>21</v>
      </c>
      <c r="F98" s="649"/>
      <c r="G98" s="768">
        <f t="shared" si="24"/>
        <v>0</v>
      </c>
      <c r="H98" s="771">
        <v>912</v>
      </c>
      <c r="I98" s="771">
        <f t="shared" si="25"/>
        <v>0</v>
      </c>
      <c r="J98" s="769" t="s">
        <v>5221</v>
      </c>
      <c r="K98" s="774">
        <f>IF(J98&lt;&gt;"L",'Main Creation Page'!$AF$11,'Main Creation Page'!$AG$11)</f>
        <v>10</v>
      </c>
      <c r="L98" s="629">
        <v>9</v>
      </c>
      <c r="M98" s="629">
        <f>IF(ISNA(VLOOKUP(T98,$BJ$44:$BN$58,3)),0,VLOOKUP(T98,$BJ$44:$BN$58,3))</f>
        <v>0</v>
      </c>
      <c r="N98" s="620">
        <f t="shared" si="26"/>
        <v>19</v>
      </c>
      <c r="O98" s="769" t="s">
        <v>4740</v>
      </c>
      <c r="P98" s="776"/>
      <c r="Q98" s="776">
        <v>10</v>
      </c>
      <c r="R98" s="629" t="str">
        <f>IF(AND(ISBLANK(Skills!$X$175),ISNA(Skills!$W$175)),"N","Y")</f>
        <v>N</v>
      </c>
      <c r="S98" s="629">
        <f>Skills!V$175</f>
        <v>4</v>
      </c>
      <c r="T98" s="629" t="str">
        <f>IF(ISNA(Skills!$W$175),IF(ISBLANK(Skills!$X$175)," ",Skills!$X$175),+Skills!$W$175+Skills!$X$175)</f>
        <v xml:space="preserve"> </v>
      </c>
      <c r="U98" s="743">
        <f>IF(R98="Y",Skills!$AC$175,Skills!$AB$175)</f>
        <v>0.2</v>
      </c>
      <c r="V98" s="714">
        <f ca="1">Skills!$Y$175</f>
        <v>0.12</v>
      </c>
      <c r="W98" s="714">
        <f ca="1">Skills!$AA$175</f>
        <v>0.12</v>
      </c>
      <c r="X98" s="777">
        <f ca="1">Skills!$AD$175</f>
        <v>0.32</v>
      </c>
      <c r="Y98" s="622">
        <f t="shared" ca="1" si="27"/>
        <v>12</v>
      </c>
      <c r="Z98" s="622">
        <f ca="1">HLOOKUP(X98,$BJ$68:$BO$72,3)</f>
        <v>2</v>
      </c>
      <c r="AA98" s="793" t="s">
        <v>3896</v>
      </c>
      <c r="AB98" s="831">
        <v>0</v>
      </c>
      <c r="AC98" s="832">
        <f t="shared" si="28"/>
        <v>19</v>
      </c>
      <c r="AD98" s="796">
        <v>10</v>
      </c>
      <c r="AE98" s="833">
        <f ca="1">1+Skills!$AE$174</f>
        <v>1</v>
      </c>
      <c r="AF98" s="834">
        <v>-1</v>
      </c>
      <c r="AG98" s="832">
        <f t="shared" si="29"/>
        <v>18</v>
      </c>
      <c r="AH98" s="796">
        <v>20</v>
      </c>
      <c r="AI98" s="843">
        <f t="shared" ca="1" si="33"/>
        <v>1</v>
      </c>
      <c r="AJ98" s="834">
        <v>-3</v>
      </c>
      <c r="AK98" s="832">
        <f t="shared" si="30"/>
        <v>16</v>
      </c>
      <c r="AL98" s="796">
        <v>30</v>
      </c>
      <c r="AM98" s="843">
        <f t="shared" ca="1" si="34"/>
        <v>0</v>
      </c>
      <c r="AN98" s="834">
        <v>-3</v>
      </c>
      <c r="AO98" s="832">
        <f t="shared" si="31"/>
        <v>16</v>
      </c>
      <c r="AP98" s="796">
        <v>40</v>
      </c>
      <c r="AQ98" s="843">
        <f t="shared" ca="1" si="35"/>
        <v>-1</v>
      </c>
      <c r="AR98" s="834">
        <v>-8</v>
      </c>
      <c r="AS98" s="832">
        <f t="shared" si="32"/>
        <v>11</v>
      </c>
      <c r="AT98" s="796">
        <v>70</v>
      </c>
      <c r="AU98" s="843">
        <f ca="1">$AE98-2</f>
        <v>-1</v>
      </c>
      <c r="BS98" s="602"/>
      <c r="DG98" s="602"/>
      <c r="DH98" s="602"/>
      <c r="DI98" s="602"/>
      <c r="DJ98" s="602"/>
      <c r="DK98" s="602"/>
    </row>
    <row r="99" spans="1:115" ht="11.1" customHeight="1" outlineLevel="3">
      <c r="A99" s="602">
        <v>96</v>
      </c>
      <c r="B99" s="793" t="s">
        <v>3895</v>
      </c>
      <c r="C99" s="629">
        <v>4</v>
      </c>
      <c r="D99" s="768">
        <v>2.5</v>
      </c>
      <c r="E99" s="769">
        <v>24</v>
      </c>
      <c r="F99" s="649"/>
      <c r="G99" s="768">
        <f t="shared" si="24"/>
        <v>0</v>
      </c>
      <c r="H99" s="771">
        <v>820</v>
      </c>
      <c r="I99" s="771">
        <f t="shared" si="25"/>
        <v>0</v>
      </c>
      <c r="J99" s="769" t="s">
        <v>5221</v>
      </c>
      <c r="K99" s="774">
        <f>IF(J99&lt;&gt;"L",'Main Creation Page'!$AF$11,'Main Creation Page'!$AG$11)</f>
        <v>10</v>
      </c>
      <c r="L99" s="629">
        <v>8</v>
      </c>
      <c r="M99" s="629">
        <f>IF(ISNA(VLOOKUP(T99,$BJ$44:$BN$58,3)),0,VLOOKUP(T99,$BJ$44:$BN$58,3))</f>
        <v>0</v>
      </c>
      <c r="N99" s="620">
        <f t="shared" si="26"/>
        <v>18</v>
      </c>
      <c r="O99" s="769" t="s">
        <v>4740</v>
      </c>
      <c r="P99" s="776"/>
      <c r="Q99" s="776">
        <v>10</v>
      </c>
      <c r="R99" s="629" t="str">
        <f>IF(AND(ISBLANK(Skills!$X$175),ISNA(Skills!$W$175)),"N","Y")</f>
        <v>N</v>
      </c>
      <c r="S99" s="629">
        <f>Skills!V$175</f>
        <v>4</v>
      </c>
      <c r="T99" s="629" t="str">
        <f>IF(ISNA(Skills!$W$175),IF(ISBLANK(Skills!$X$175)," ",Skills!$X$175),+Skills!$W$175+Skills!$X$175)</f>
        <v xml:space="preserve"> </v>
      </c>
      <c r="U99" s="743">
        <f>IF(R99="Y",Skills!$AC$175,Skills!$AB$175)</f>
        <v>0.2</v>
      </c>
      <c r="V99" s="714">
        <f ca="1">Skills!$Y$175</f>
        <v>0.12</v>
      </c>
      <c r="W99" s="714">
        <f ca="1">Skills!$AA$175</f>
        <v>0.12</v>
      </c>
      <c r="X99" s="777">
        <f ca="1">Skills!$AD$175</f>
        <v>0.32</v>
      </c>
      <c r="Y99" s="622">
        <f t="shared" ca="1" si="27"/>
        <v>12</v>
      </c>
      <c r="Z99" s="622">
        <f ca="1">HLOOKUP(X99,$BJ$68:$BO$72,3)</f>
        <v>2</v>
      </c>
      <c r="AA99" s="793" t="s">
        <v>3895</v>
      </c>
      <c r="AB99" s="831">
        <v>0</v>
      </c>
      <c r="AC99" s="832">
        <f t="shared" si="28"/>
        <v>18</v>
      </c>
      <c r="AD99" s="796">
        <v>15</v>
      </c>
      <c r="AE99" s="833">
        <f ca="1">1+Skills!$AE$174</f>
        <v>1</v>
      </c>
      <c r="AF99" s="834">
        <v>-1</v>
      </c>
      <c r="AG99" s="832">
        <f t="shared" si="29"/>
        <v>17</v>
      </c>
      <c r="AH99" s="796">
        <v>30</v>
      </c>
      <c r="AI99" s="843">
        <f t="shared" ca="1" si="33"/>
        <v>1</v>
      </c>
      <c r="AJ99" s="834">
        <v>-2</v>
      </c>
      <c r="AK99" s="832">
        <f t="shared" si="30"/>
        <v>16</v>
      </c>
      <c r="AL99" s="796">
        <v>40</v>
      </c>
      <c r="AM99" s="843">
        <f t="shared" ca="1" si="34"/>
        <v>0</v>
      </c>
      <c r="AN99" s="834">
        <v>-3</v>
      </c>
      <c r="AO99" s="832">
        <f t="shared" si="31"/>
        <v>15</v>
      </c>
      <c r="AP99" s="796">
        <f>60+IF('Main Creation Page'!$E$16&gt;11,50*('Main Creation Page'!$E$16-12))</f>
        <v>460</v>
      </c>
      <c r="AQ99" s="843">
        <f t="shared" ca="1" si="35"/>
        <v>-1</v>
      </c>
      <c r="AR99" s="834">
        <v>-8</v>
      </c>
      <c r="AS99" s="832">
        <f t="shared" si="32"/>
        <v>10</v>
      </c>
      <c r="AT99" s="796">
        <f>90+IF('Main Creation Page'!$E$16&gt;11,50*('Main Creation Page'!$E$16-12))</f>
        <v>490</v>
      </c>
      <c r="AU99" s="843">
        <f ca="1">$AE99-2</f>
        <v>-1</v>
      </c>
      <c r="BS99" s="602"/>
      <c r="DG99" s="602"/>
      <c r="DH99" s="602"/>
      <c r="DI99" s="602"/>
      <c r="DJ99" s="602"/>
      <c r="DK99" s="602"/>
    </row>
    <row r="100" spans="1:115" ht="11.1" customHeight="1" outlineLevel="3">
      <c r="A100" s="602">
        <v>97</v>
      </c>
      <c r="B100" s="793" t="s">
        <v>3427</v>
      </c>
      <c r="C100" s="629">
        <v>4</v>
      </c>
      <c r="D100" s="768">
        <v>2.5</v>
      </c>
      <c r="E100" s="769">
        <v>24</v>
      </c>
      <c r="F100" s="649"/>
      <c r="G100" s="768">
        <f t="shared" si="24"/>
        <v>0</v>
      </c>
      <c r="H100" s="771">
        <v>820</v>
      </c>
      <c r="I100" s="771">
        <f t="shared" si="25"/>
        <v>0</v>
      </c>
      <c r="J100" s="769" t="s">
        <v>5221</v>
      </c>
      <c r="K100" s="774">
        <f>IF(J100&lt;&gt;"L",'Main Creation Page'!$AF$11,'Main Creation Page'!$AG$11)</f>
        <v>10</v>
      </c>
      <c r="L100" s="629">
        <v>6</v>
      </c>
      <c r="M100" s="629">
        <f>IF(ISNA(VLOOKUP(T100,$BJ$44:$BN$58,3)),0,VLOOKUP(T100,$BJ$44:$BN$58,3))</f>
        <v>0</v>
      </c>
      <c r="N100" s="620">
        <f t="shared" si="26"/>
        <v>16</v>
      </c>
      <c r="O100" s="769" t="s">
        <v>4740</v>
      </c>
      <c r="P100" s="776"/>
      <c r="Q100" s="776">
        <v>10</v>
      </c>
      <c r="R100" s="629" t="str">
        <f>IF(AND(ISBLANK(Skills!$X$167),ISNA(Skills!$W$167)),"N","Y")</f>
        <v>N</v>
      </c>
      <c r="S100" s="629">
        <f>Skills!V$167</f>
        <v>5</v>
      </c>
      <c r="T100" s="629" t="str">
        <f>IF(ISNA(Skills!$W$167),IF(ISBLANK(Skills!$X$167)," ",Skills!$X$167),+Skills!$W$167+Skills!$X$167)</f>
        <v xml:space="preserve"> </v>
      </c>
      <c r="U100" s="743">
        <f>IF(R100="Y",Skills!$AC$167,Skills!$AB$167)</f>
        <v>0.1</v>
      </c>
      <c r="V100" s="714">
        <f ca="1">Skills!$Y$167</f>
        <v>0.12</v>
      </c>
      <c r="W100" s="714">
        <f ca="1">Skills!$AA$167</f>
        <v>0.12</v>
      </c>
      <c r="X100" s="777">
        <f ca="1">Skills!$AD$167</f>
        <v>0.22</v>
      </c>
      <c r="Y100" s="622">
        <f t="shared" ca="1" si="27"/>
        <v>12</v>
      </c>
      <c r="Z100" s="622">
        <f ca="1">HLOOKUP(X100,$BJ$68:$BO$72,3)</f>
        <v>2</v>
      </c>
      <c r="AA100" s="793" t="s">
        <v>3427</v>
      </c>
      <c r="AB100" s="831">
        <v>0</v>
      </c>
      <c r="AC100" s="832">
        <f t="shared" si="28"/>
        <v>16</v>
      </c>
      <c r="AD100" s="796">
        <v>15</v>
      </c>
      <c r="AE100" s="833">
        <f ca="1">1+Skills!$AE$167</f>
        <v>1</v>
      </c>
      <c r="AF100" s="834">
        <v>-2</v>
      </c>
      <c r="AG100" s="832">
        <f t="shared" si="29"/>
        <v>14</v>
      </c>
      <c r="AH100" s="796">
        <v>30</v>
      </c>
      <c r="AI100" s="843">
        <f t="shared" ca="1" si="33"/>
        <v>1</v>
      </c>
      <c r="AJ100" s="834">
        <v>-5</v>
      </c>
      <c r="AK100" s="832">
        <f t="shared" si="30"/>
        <v>11</v>
      </c>
      <c r="AL100" s="796">
        <v>50</v>
      </c>
      <c r="AM100" s="843">
        <f t="shared" ca="1" si="34"/>
        <v>0</v>
      </c>
      <c r="AN100" s="834">
        <v>-7</v>
      </c>
      <c r="AO100" s="832">
        <f t="shared" si="31"/>
        <v>9</v>
      </c>
      <c r="AP100" s="796">
        <f>70+IF('Main Creation Page'!$E$16&gt;11,50*('Main Creation Page'!$E$16-12))</f>
        <v>470</v>
      </c>
      <c r="AQ100" s="843">
        <f ca="1">$AE100-1</f>
        <v>0</v>
      </c>
      <c r="AR100" s="834">
        <v>-9</v>
      </c>
      <c r="AS100" s="832">
        <f t="shared" si="32"/>
        <v>7</v>
      </c>
      <c r="AT100" s="796">
        <f>110+IF('Main Creation Page'!$E$16&gt;11,50*('Main Creation Page'!$E$16-12))</f>
        <v>510</v>
      </c>
      <c r="AU100" s="843">
        <f ca="1">$AE100-1</f>
        <v>0</v>
      </c>
      <c r="BS100" s="602"/>
      <c r="DG100" s="602"/>
      <c r="DH100" s="602"/>
      <c r="DI100" s="602"/>
      <c r="DJ100" s="602"/>
      <c r="DK100" s="602"/>
    </row>
    <row r="101" spans="1:115" ht="11.1" customHeight="1" outlineLevel="3">
      <c r="A101" s="602">
        <v>98</v>
      </c>
      <c r="B101" s="793" t="s">
        <v>5347</v>
      </c>
      <c r="C101" s="629">
        <v>4</v>
      </c>
      <c r="D101" s="768">
        <v>2.5</v>
      </c>
      <c r="E101" s="769">
        <v>24</v>
      </c>
      <c r="F101" s="649"/>
      <c r="G101" s="768">
        <f t="shared" si="24"/>
        <v>0</v>
      </c>
      <c r="H101" s="771">
        <v>820</v>
      </c>
      <c r="I101" s="771">
        <f t="shared" si="25"/>
        <v>0</v>
      </c>
      <c r="J101" s="769" t="s">
        <v>5221</v>
      </c>
      <c r="K101" s="774">
        <f>IF(J101&lt;&gt;"L",'Main Creation Page'!$AF$11,'Main Creation Page'!$AG$11)</f>
        <v>10</v>
      </c>
      <c r="L101" s="629">
        <v>8</v>
      </c>
      <c r="M101" s="629">
        <f>IF(ISNA(VLOOKUP(T101,$BJ$44:$BN$58,3)),0,VLOOKUP(T101,$BJ$44:$BN$58,3))</f>
        <v>0</v>
      </c>
      <c r="N101" s="620">
        <f t="shared" si="26"/>
        <v>18</v>
      </c>
      <c r="O101" s="769" t="s">
        <v>4740</v>
      </c>
      <c r="P101" s="776"/>
      <c r="Q101" s="776">
        <v>10</v>
      </c>
      <c r="R101" s="629" t="str">
        <f>IF(AND(ISBLANK(Skills!$X$199),ISNA(Skills!$W$199)),"N","Y")</f>
        <v>N</v>
      </c>
      <c r="S101" s="629">
        <f>Skills!V$199</f>
        <v>5</v>
      </c>
      <c r="T101" s="629" t="str">
        <f>IF(ISNA(Skills!$W$199),IF(ISBLANK(Skills!$X$199)," ",Skills!$X$199),+Skills!$W$199+Skills!$X$199)</f>
        <v xml:space="preserve"> </v>
      </c>
      <c r="U101" s="743">
        <f>IF(R101="Y",Skills!$AC$199,Skills!$AB$199)</f>
        <v>0.1</v>
      </c>
      <c r="V101" s="714">
        <f ca="1">Skills!$Y$199</f>
        <v>0.12</v>
      </c>
      <c r="W101" s="714">
        <f ca="1">Skills!$AA$199</f>
        <v>0.12</v>
      </c>
      <c r="X101" s="777">
        <f ca="1">Skills!$AD$199</f>
        <v>0.22</v>
      </c>
      <c r="Y101" s="622">
        <f t="shared" ca="1" si="27"/>
        <v>12</v>
      </c>
      <c r="Z101" s="622">
        <f ca="1">HLOOKUP(X101,$BJ$68:$BO$72,3)</f>
        <v>2</v>
      </c>
      <c r="AA101" s="793" t="s">
        <v>5347</v>
      </c>
      <c r="AB101" s="831">
        <v>0</v>
      </c>
      <c r="AC101" s="832">
        <f t="shared" si="28"/>
        <v>18</v>
      </c>
      <c r="AD101" s="796">
        <v>20</v>
      </c>
      <c r="AE101" s="833">
        <f ca="1">2+Skills!$AE$200</f>
        <v>2</v>
      </c>
      <c r="AF101" s="834">
        <v>-2</v>
      </c>
      <c r="AG101" s="832">
        <f t="shared" si="29"/>
        <v>16</v>
      </c>
      <c r="AH101" s="796">
        <v>60</v>
      </c>
      <c r="AI101" s="843">
        <f t="shared" ca="1" si="33"/>
        <v>2</v>
      </c>
      <c r="AJ101" s="834">
        <v>-4</v>
      </c>
      <c r="AK101" s="832">
        <f t="shared" si="30"/>
        <v>14</v>
      </c>
      <c r="AL101" s="796">
        <v>90</v>
      </c>
      <c r="AM101" s="843">
        <f ca="1">$AE101-0</f>
        <v>2</v>
      </c>
      <c r="AN101" s="834">
        <v>-5</v>
      </c>
      <c r="AO101" s="832">
        <f t="shared" si="31"/>
        <v>13</v>
      </c>
      <c r="AP101" s="796">
        <f>150+IF('Main Creation Page'!$E$16&gt;11,50*('Main Creation Page'!$E$16-12))</f>
        <v>550</v>
      </c>
      <c r="AQ101" s="843">
        <f ca="1">$AE101-1</f>
        <v>1</v>
      </c>
      <c r="AR101" s="834">
        <v>-8</v>
      </c>
      <c r="AS101" s="832">
        <f t="shared" si="32"/>
        <v>10</v>
      </c>
      <c r="AT101" s="796">
        <f>240+IF('Main Creation Page'!$E$16&gt;11,50*('Main Creation Page'!$E$16-12))</f>
        <v>640</v>
      </c>
      <c r="AU101" s="843">
        <f ca="1">$AE101-1</f>
        <v>1</v>
      </c>
      <c r="BS101" s="602"/>
      <c r="DG101" s="602"/>
      <c r="DH101" s="602"/>
      <c r="DI101" s="602"/>
      <c r="DJ101" s="602"/>
      <c r="DK101" s="602"/>
    </row>
    <row r="102" spans="1:115" ht="11.1" customHeight="1" outlineLevel="3">
      <c r="A102" s="602">
        <v>99</v>
      </c>
      <c r="B102" s="836" t="s">
        <v>3426</v>
      </c>
      <c r="C102" s="629">
        <v>2</v>
      </c>
      <c r="D102" s="768">
        <v>3</v>
      </c>
      <c r="E102" s="769">
        <v>84</v>
      </c>
      <c r="F102" s="649"/>
      <c r="G102" s="768">
        <f t="shared" si="24"/>
        <v>0</v>
      </c>
      <c r="H102" s="771">
        <v>230</v>
      </c>
      <c r="I102" s="771">
        <f t="shared" si="25"/>
        <v>0</v>
      </c>
      <c r="J102" s="769" t="s">
        <v>1563</v>
      </c>
      <c r="K102" s="774">
        <f>IF(J102&lt;&gt;"L",'Main Creation Page'!$AF$11,'Main Creation Page'!$AG$11)</f>
        <v>5</v>
      </c>
      <c r="L102" s="629">
        <v>4</v>
      </c>
      <c r="M102" s="629">
        <f>IF(ISNA(VLOOKUP(T102,$BJ$44:$BN$58,2)),0,VLOOKUP(T102,$BJ$44:$BN$58,2))</f>
        <v>0</v>
      </c>
      <c r="N102" s="620">
        <f t="shared" si="26"/>
        <v>9</v>
      </c>
      <c r="O102" s="769" t="s">
        <v>4740</v>
      </c>
      <c r="P102" s="776"/>
      <c r="Q102" s="776">
        <v>9</v>
      </c>
      <c r="R102" s="629" t="str">
        <f>IF(AND(ISBLANK(Skills!$X$183),ISNA(Skills!$W$183)),"N","Y")</f>
        <v>N</v>
      </c>
      <c r="S102" s="629">
        <f>Skills!V$183</f>
        <v>3</v>
      </c>
      <c r="T102" s="629" t="str">
        <f>IF(ISNA(Skills!$W$183),IF(ISBLANK(Skills!$X$183)," ",Skills!$X$183),+Skills!$W$183+Skills!$X$183)</f>
        <v xml:space="preserve"> </v>
      </c>
      <c r="U102" s="743">
        <f>IF(R102="Y",Skills!$AC$183,Skills!$AB$183)</f>
        <v>0.3</v>
      </c>
      <c r="V102" s="714">
        <f ca="1">Skills!$Y$183</f>
        <v>0.08</v>
      </c>
      <c r="W102" s="714">
        <f ca="1">Skills!$AA$183</f>
        <v>0.08</v>
      </c>
      <c r="X102" s="777">
        <f ca="1">Skills!AD$183</f>
        <v>0.38</v>
      </c>
      <c r="Y102" s="622">
        <f ca="1">HLOOKUP(W102,$BJ$60:$BO$67,4)</f>
        <v>11</v>
      </c>
      <c r="Z102" s="622">
        <f ca="1">HLOOKUP(X102,$BJ$68:$BO$72,2)</f>
        <v>1</v>
      </c>
      <c r="AA102" s="793" t="s">
        <v>3426</v>
      </c>
      <c r="AB102" s="831">
        <v>0</v>
      </c>
      <c r="AC102" s="832">
        <f t="shared" si="28"/>
        <v>9</v>
      </c>
      <c r="AD102" s="796">
        <v>4</v>
      </c>
      <c r="AE102" s="833">
        <f ca="1">0+Skills!$AE$183</f>
        <v>0</v>
      </c>
      <c r="AF102" s="834">
        <v>-1</v>
      </c>
      <c r="AG102" s="832">
        <f t="shared" si="29"/>
        <v>8</v>
      </c>
      <c r="AH102" s="796">
        <v>6</v>
      </c>
      <c r="AI102" s="843">
        <f t="shared" ca="1" si="33"/>
        <v>0</v>
      </c>
      <c r="AJ102" s="834">
        <v>-2</v>
      </c>
      <c r="AK102" s="832">
        <f t="shared" si="30"/>
        <v>7</v>
      </c>
      <c r="AL102" s="796">
        <v>10</v>
      </c>
      <c r="AM102" s="843">
        <f ca="1">$AE102-1</f>
        <v>-1</v>
      </c>
      <c r="AN102" s="834">
        <v>-4</v>
      </c>
      <c r="AO102" s="832">
        <f t="shared" si="31"/>
        <v>5</v>
      </c>
      <c r="AP102" s="796">
        <f>15</f>
        <v>15</v>
      </c>
      <c r="AQ102" s="843">
        <f ca="1">$AE102-2</f>
        <v>-2</v>
      </c>
      <c r="AR102" s="834">
        <v>-6</v>
      </c>
      <c r="AS102" s="832">
        <f t="shared" si="32"/>
        <v>3</v>
      </c>
      <c r="AT102" s="796">
        <v>20</v>
      </c>
      <c r="AU102" s="843">
        <f ca="1">$AE102-3</f>
        <v>-3</v>
      </c>
      <c r="BS102" s="602"/>
      <c r="DG102" s="602"/>
      <c r="DH102" s="602"/>
      <c r="DI102" s="602"/>
      <c r="DJ102" s="602"/>
      <c r="DK102" s="602"/>
    </row>
    <row r="103" spans="1:115" ht="11.1" customHeight="1" outlineLevel="3" thickBot="1">
      <c r="A103" s="602">
        <v>100</v>
      </c>
      <c r="B103" s="795" t="s">
        <v>279</v>
      </c>
      <c r="C103" s="782">
        <v>1</v>
      </c>
      <c r="D103" s="783">
        <v>2</v>
      </c>
      <c r="E103" s="784">
        <v>78</v>
      </c>
      <c r="F103" s="808"/>
      <c r="G103" s="783">
        <f t="shared" si="24"/>
        <v>0</v>
      </c>
      <c r="H103" s="809">
        <v>80</v>
      </c>
      <c r="I103" s="809">
        <f t="shared" si="25"/>
        <v>0</v>
      </c>
      <c r="J103" s="784" t="s">
        <v>1563</v>
      </c>
      <c r="K103" s="810">
        <f>IF(J103&lt;&gt;"L",'Main Creation Page'!$AF$11,'Main Creation Page'!$AG$11)</f>
        <v>5</v>
      </c>
      <c r="L103" s="782">
        <v>6</v>
      </c>
      <c r="M103" s="782">
        <f>IF(ISNA(VLOOKUP(T103,$BJ$44:$BN$58,2)),0,VLOOKUP(T103,$BJ$44:$BN$58,2))</f>
        <v>0</v>
      </c>
      <c r="N103" s="811">
        <f t="shared" si="26"/>
        <v>11</v>
      </c>
      <c r="O103" s="784" t="s">
        <v>3805</v>
      </c>
      <c r="P103" s="813"/>
      <c r="Q103" s="813">
        <v>9</v>
      </c>
      <c r="R103" s="782" t="str">
        <f>IF(AND(ISBLANK(Skills!$X$164),ISNA(Skills!$W$164)),"N","Y")</f>
        <v>N</v>
      </c>
      <c r="S103" s="782">
        <f>Skills!V$164</f>
        <v>5</v>
      </c>
      <c r="T103" s="782" t="str">
        <f>IF(ISNA(Skills!$W$164),IF(ISBLANK(Skills!$X$164)," ",Skills!$X$164),+Skills!$W$164+Skills!$X$164)</f>
        <v xml:space="preserve"> </v>
      </c>
      <c r="U103" s="814">
        <f>IF(R103="Y",Skills!$AC$164,Skills!$AB$164)</f>
        <v>0.1</v>
      </c>
      <c r="V103" s="815">
        <f ca="1">Skills!$Y$164</f>
        <v>0.06</v>
      </c>
      <c r="W103" s="815">
        <f ca="1">Skills!$AA$164</f>
        <v>0.06</v>
      </c>
      <c r="X103" s="816">
        <f ca="1">Skills!AD$164</f>
        <v>0.16</v>
      </c>
      <c r="Y103" s="817">
        <f ca="1">HLOOKUP(W103,$BJ$60:$BO$67,4)</f>
        <v>11</v>
      </c>
      <c r="Z103" s="817">
        <f ca="1">HLOOKUP(X103,$BJ$68:$BO$72,2)</f>
        <v>1</v>
      </c>
      <c r="AA103" s="793" t="s">
        <v>279</v>
      </c>
      <c r="AB103" s="831">
        <v>0</v>
      </c>
      <c r="AC103" s="832">
        <f t="shared" si="28"/>
        <v>11</v>
      </c>
      <c r="AD103" s="796">
        <v>11</v>
      </c>
      <c r="AE103" s="833">
        <f ca="1">0+Skills!$AE$164</f>
        <v>0</v>
      </c>
      <c r="AF103" s="834">
        <v>-2</v>
      </c>
      <c r="AG103" s="832">
        <f t="shared" si="29"/>
        <v>9</v>
      </c>
      <c r="AH103" s="796">
        <v>25</v>
      </c>
      <c r="AI103" s="843">
        <f t="shared" ca="1" si="33"/>
        <v>0</v>
      </c>
      <c r="AJ103" s="834">
        <v>-5</v>
      </c>
      <c r="AK103" s="832">
        <f t="shared" si="30"/>
        <v>6</v>
      </c>
      <c r="AL103" s="796">
        <v>45</v>
      </c>
      <c r="AM103" s="843">
        <f ca="1">$AE103-1</f>
        <v>-1</v>
      </c>
      <c r="AN103" s="834">
        <v>-7</v>
      </c>
      <c r="AO103" s="832">
        <f t="shared" si="31"/>
        <v>4</v>
      </c>
      <c r="AP103" s="796">
        <f>80+IF('Main Creation Page'!$E$16&gt;11,50*('Main Creation Page'!$E$16-12))</f>
        <v>480</v>
      </c>
      <c r="AQ103" s="843">
        <f ca="1">$AE103-2</f>
        <v>-2</v>
      </c>
      <c r="AR103" s="834">
        <v>-9</v>
      </c>
      <c r="AS103" s="832">
        <f t="shared" si="32"/>
        <v>2</v>
      </c>
      <c r="AT103" s="796">
        <f>100+IF('Main Creation Page'!$E$16&gt;11,50*('Main Creation Page'!$E$16-12))</f>
        <v>500</v>
      </c>
      <c r="AU103" s="843">
        <f ca="1">$AE103-3</f>
        <v>-3</v>
      </c>
      <c r="BS103" s="602"/>
      <c r="DG103" s="602"/>
      <c r="DH103" s="602"/>
      <c r="DI103" s="602"/>
      <c r="DJ103" s="602"/>
      <c r="DK103" s="602"/>
    </row>
    <row r="104" spans="1:115" ht="11.1" customHeight="1" outlineLevel="2" thickTop="1">
      <c r="A104" s="602">
        <v>101</v>
      </c>
      <c r="B104" s="807" t="s">
        <v>3508</v>
      </c>
      <c r="C104" s="786"/>
      <c r="D104" s="787"/>
      <c r="E104" s="788"/>
      <c r="F104" s="837"/>
      <c r="G104" s="787"/>
      <c r="H104" s="823"/>
      <c r="I104" s="823"/>
      <c r="J104" s="788"/>
      <c r="K104" s="786"/>
      <c r="L104" s="786"/>
      <c r="M104" s="786"/>
      <c r="N104" s="786"/>
      <c r="O104" s="786"/>
      <c r="P104" s="786"/>
      <c r="Q104" s="786"/>
      <c r="R104" s="786"/>
      <c r="S104" s="786"/>
      <c r="T104" s="786"/>
      <c r="U104" s="786"/>
      <c r="V104" s="786"/>
      <c r="W104" s="786"/>
      <c r="X104" s="824"/>
      <c r="Y104" s="786"/>
      <c r="Z104" s="786"/>
      <c r="AA104" s="827" t="s">
        <v>3508</v>
      </c>
      <c r="AB104" s="838" t="s">
        <v>4013</v>
      </c>
      <c r="AC104" s="628" t="s">
        <v>4744</v>
      </c>
      <c r="AD104" s="628" t="s">
        <v>3143</v>
      </c>
      <c r="AE104" s="698" t="s">
        <v>1742</v>
      </c>
      <c r="AF104" s="628" t="s">
        <v>4013</v>
      </c>
      <c r="AG104" s="628" t="s">
        <v>4744</v>
      </c>
      <c r="AH104" s="628" t="s">
        <v>3143</v>
      </c>
      <c r="AI104" s="698" t="s">
        <v>1742</v>
      </c>
      <c r="AJ104" s="628" t="s">
        <v>4013</v>
      </c>
      <c r="AK104" s="628" t="s">
        <v>4744</v>
      </c>
      <c r="AL104" s="628" t="s">
        <v>3143</v>
      </c>
      <c r="AM104" s="698" t="s">
        <v>1742</v>
      </c>
      <c r="AN104" s="628" t="s">
        <v>4013</v>
      </c>
      <c r="AO104" s="628" t="s">
        <v>4744</v>
      </c>
      <c r="AP104" s="628" t="s">
        <v>3143</v>
      </c>
      <c r="AQ104" s="698" t="s">
        <v>1742</v>
      </c>
      <c r="AR104" s="628" t="s">
        <v>4013</v>
      </c>
      <c r="AS104" s="628" t="s">
        <v>4744</v>
      </c>
      <c r="AT104" s="628" t="s">
        <v>3143</v>
      </c>
      <c r="AU104" s="698" t="s">
        <v>1742</v>
      </c>
      <c r="BS104" s="602"/>
      <c r="DG104" s="602"/>
      <c r="DH104" s="602"/>
      <c r="DI104" s="602"/>
      <c r="DJ104" s="602"/>
      <c r="DK104" s="602"/>
    </row>
    <row r="105" spans="1:115" ht="11.1" customHeight="1" outlineLevel="2">
      <c r="B105" s="785" t="s">
        <v>4493</v>
      </c>
      <c r="C105" s="786"/>
      <c r="D105" s="787"/>
      <c r="E105" s="788"/>
      <c r="F105" s="789"/>
      <c r="G105" s="768"/>
      <c r="H105" s="771"/>
      <c r="I105" s="771"/>
      <c r="J105" s="769"/>
      <c r="K105" s="629"/>
      <c r="L105" s="629"/>
      <c r="M105" s="629"/>
      <c r="N105" s="629"/>
      <c r="O105" s="629"/>
      <c r="P105" s="629"/>
      <c r="Q105" s="629"/>
      <c r="R105" s="629"/>
      <c r="S105" s="629"/>
      <c r="T105" s="629"/>
      <c r="U105" s="629"/>
      <c r="V105" s="629"/>
      <c r="W105" s="629"/>
      <c r="X105" s="772"/>
      <c r="Y105" s="629"/>
      <c r="Z105" s="629"/>
      <c r="AA105" s="827" t="s">
        <v>4493</v>
      </c>
      <c r="AB105" s="839"/>
      <c r="AC105" s="706"/>
      <c r="AD105" s="840"/>
      <c r="AE105" s="841"/>
      <c r="AF105" s="842"/>
      <c r="AG105" s="706"/>
      <c r="AH105" s="840"/>
      <c r="AI105" s="841"/>
      <c r="AJ105" s="842"/>
      <c r="AK105" s="706"/>
      <c r="AL105" s="840"/>
      <c r="AM105" s="841"/>
      <c r="AN105" s="842"/>
      <c r="AO105" s="706"/>
      <c r="AP105" s="840"/>
      <c r="AQ105" s="841"/>
      <c r="AR105" s="842"/>
      <c r="AS105" s="706"/>
      <c r="AT105" s="840"/>
      <c r="AU105" s="841"/>
      <c r="BS105" s="602"/>
      <c r="DG105" s="602"/>
      <c r="DH105" s="602"/>
      <c r="DI105" s="602"/>
      <c r="DJ105" s="602"/>
      <c r="DK105" s="602"/>
    </row>
    <row r="106" spans="1:115" ht="11.1" customHeight="1" outlineLevel="4">
      <c r="A106" s="602">
        <v>102</v>
      </c>
      <c r="B106" s="779" t="s">
        <v>1042</v>
      </c>
      <c r="C106" s="629">
        <v>2</v>
      </c>
      <c r="D106" s="768">
        <v>0.1</v>
      </c>
      <c r="E106" s="769">
        <v>30</v>
      </c>
      <c r="F106" s="649"/>
      <c r="G106" s="768">
        <f t="shared" ref="G106:G122" si="36">F106*D106</f>
        <v>0</v>
      </c>
      <c r="H106" s="771">
        <v>25</v>
      </c>
      <c r="I106" s="771">
        <f t="shared" ref="I106:I122" si="37">H106*F106</f>
        <v>0</v>
      </c>
      <c r="J106" s="769" t="s">
        <v>1563</v>
      </c>
      <c r="K106" s="774">
        <f>IF(J106&lt;&gt;"L",'Main Creation Page'!$AF$11,'Main Creation Page'!$AG$11)</f>
        <v>5</v>
      </c>
      <c r="L106" s="629">
        <v>9</v>
      </c>
      <c r="M106" s="629">
        <f>IF(ISNA(VLOOKUP(T106,$BJ$44:$BN$58,2)),0,VLOOKUP(T106,$BJ$44:$BN$58,2))</f>
        <v>0</v>
      </c>
      <c r="N106" s="620">
        <f>K106+L106+M106</f>
        <v>14</v>
      </c>
      <c r="O106" s="769" t="s">
        <v>4740</v>
      </c>
      <c r="P106" s="629"/>
      <c r="Q106" s="629"/>
      <c r="R106" s="629" t="str">
        <f>IF(AND(ISBLANK(Skills!$X$151),ISNA(Skills!$W$151)),"N",(IF(Skills!$V$156=0,"Y+","Y")))</f>
        <v>N</v>
      </c>
      <c r="S106" s="629">
        <f>Skills!V$151</f>
        <v>5</v>
      </c>
      <c r="T106" s="629" t="str">
        <f>IF(ISNA(Skills!$W$151),IF(ISBLANK(Skills!$X$151)," ",Skills!$X$151),+Skills!$W$151+Skills!$X$151)</f>
        <v xml:space="preserve"> </v>
      </c>
      <c r="U106" s="743">
        <f>IF(R106="Y",Skills!$AC$151,Skills!$AB$151)</f>
        <v>0.1</v>
      </c>
      <c r="V106" s="714">
        <f ca="1">Skills!$Y$151</f>
        <v>0.06</v>
      </c>
      <c r="W106" s="714">
        <f ca="1">Skills!$AA$151</f>
        <v>0.06</v>
      </c>
      <c r="X106" s="777">
        <f ca="1">Skills!AD$156</f>
        <v>0.16</v>
      </c>
      <c r="Y106" s="622">
        <f ca="1">HLOOKUP(W106,$BJ$60:$BO$67,6)</f>
        <v>7</v>
      </c>
      <c r="Z106" s="622">
        <f ca="1">HLOOKUP(X106,$BJ$68:$BO$72,2)</f>
        <v>1</v>
      </c>
      <c r="AA106" s="779" t="s">
        <v>1042</v>
      </c>
      <c r="AB106" s="831">
        <v>0</v>
      </c>
      <c r="AC106" s="621">
        <f>$N106+AB106</f>
        <v>14</v>
      </c>
      <c r="AD106" s="796">
        <v>20</v>
      </c>
      <c r="AE106" s="843">
        <f ca="1">2+IF(R106="Y+",Skills!AE157,Skills!$AE$151)</f>
        <v>2</v>
      </c>
      <c r="AF106" s="834">
        <v>-3</v>
      </c>
      <c r="AG106" s="621">
        <f>$N106+AF106</f>
        <v>11</v>
      </c>
      <c r="AH106" s="796">
        <v>30</v>
      </c>
      <c r="AI106" s="843">
        <f ca="1">$AE106-1</f>
        <v>1</v>
      </c>
      <c r="AJ106" s="834">
        <v>-7</v>
      </c>
      <c r="AK106" s="621">
        <f>$N106+AJ106</f>
        <v>7</v>
      </c>
      <c r="AL106" s="796">
        <v>90</v>
      </c>
      <c r="AM106" s="843">
        <f ca="1">$AE106-2</f>
        <v>0</v>
      </c>
      <c r="AN106" s="834">
        <v>-12</v>
      </c>
      <c r="AO106" s="621">
        <f>$N106+AN106</f>
        <v>2</v>
      </c>
      <c r="AP106" s="796">
        <f>150+IF('Main Creation Page'!$E$16&gt;11,50*('Main Creation Page'!$E$16-12))</f>
        <v>550</v>
      </c>
      <c r="AQ106" s="843">
        <f ca="1">$AE106-2</f>
        <v>0</v>
      </c>
      <c r="AR106" s="834">
        <v>-15</v>
      </c>
      <c r="AS106" s="621">
        <f>$N106+AR106</f>
        <v>-1</v>
      </c>
      <c r="AT106" s="796">
        <f>500+IF('Main Creation Page'!$E$16&gt;11,50*('Main Creation Page'!$E$16-12))</f>
        <v>900</v>
      </c>
      <c r="AU106" s="843">
        <f ca="1">$AE106-2</f>
        <v>0</v>
      </c>
      <c r="BS106" s="602"/>
      <c r="DG106" s="602"/>
      <c r="DH106" s="602"/>
      <c r="DI106" s="602"/>
      <c r="DJ106" s="602"/>
      <c r="DK106" s="602"/>
    </row>
    <row r="107" spans="1:115" ht="11.1" customHeight="1" outlineLevel="4">
      <c r="A107" s="602">
        <v>103</v>
      </c>
      <c r="B107" s="779" t="s">
        <v>1041</v>
      </c>
      <c r="C107" s="629">
        <v>2</v>
      </c>
      <c r="D107" s="768">
        <v>0.1</v>
      </c>
      <c r="E107" s="769">
        <v>30</v>
      </c>
      <c r="F107" s="649"/>
      <c r="G107" s="768">
        <f t="shared" si="36"/>
        <v>0</v>
      </c>
      <c r="H107" s="771">
        <v>35</v>
      </c>
      <c r="I107" s="771">
        <f t="shared" si="37"/>
        <v>0</v>
      </c>
      <c r="J107" s="769" t="s">
        <v>5221</v>
      </c>
      <c r="K107" s="774">
        <f>IF(J107&lt;&gt;"L",'Main Creation Page'!$AF$11,'Main Creation Page'!$AG$11)</f>
        <v>10</v>
      </c>
      <c r="L107" s="629">
        <v>10</v>
      </c>
      <c r="M107" s="629">
        <f>IF(ISNA(VLOOKUP(T107,$BJ$44:$BN$58,3)),0,VLOOKUP(T107,$BJ$44:$BN$58,3))</f>
        <v>0</v>
      </c>
      <c r="N107" s="620">
        <f>K107+L107+M107</f>
        <v>20</v>
      </c>
      <c r="O107" s="769" t="s">
        <v>4740</v>
      </c>
      <c r="P107" s="629"/>
      <c r="Q107" s="629">
        <v>8</v>
      </c>
      <c r="R107" s="629" t="str">
        <f>IF(AND(ISBLANK(Skills!$X$151),ISNA(Skills!$W$151)),"N",(IF(Skills!$V$156=0,"Y+","Y")))</f>
        <v>N</v>
      </c>
      <c r="S107" s="629">
        <f>Skills!V$151</f>
        <v>5</v>
      </c>
      <c r="T107" s="629" t="str">
        <f>IF(ISNA(Skills!$W$151),IF(ISBLANK(Skills!$X$151)," ",Skills!$X$151),+Skills!$W$151+Skills!$X$151)</f>
        <v xml:space="preserve"> </v>
      </c>
      <c r="U107" s="743">
        <f>IF(R107="Y",Skills!$AC$151,Skills!$AB$151)</f>
        <v>0.1</v>
      </c>
      <c r="V107" s="714">
        <f ca="1">Skills!$Y$151</f>
        <v>0.06</v>
      </c>
      <c r="W107" s="714">
        <f ca="1">Skills!$AA$151</f>
        <v>0.06</v>
      </c>
      <c r="X107" s="777">
        <f ca="1">Skills!AD$156</f>
        <v>0.16</v>
      </c>
      <c r="Y107" s="622">
        <f ca="1">HLOOKUP(W107,$BJ$60:$BO$67,6)</f>
        <v>7</v>
      </c>
      <c r="Z107" s="622">
        <f ca="1">HLOOKUP(X107,$BJ$68:$BO$72,3)</f>
        <v>2</v>
      </c>
      <c r="AA107" s="779" t="s">
        <v>1041</v>
      </c>
      <c r="AB107" s="831">
        <v>0</v>
      </c>
      <c r="AC107" s="832">
        <f>$N107+AB107</f>
        <v>20</v>
      </c>
      <c r="AD107" s="796">
        <v>10</v>
      </c>
      <c r="AE107" s="843">
        <f ca="1">2+IF(R107="Y+",Skills!AE157,Skills!$AE$151)</f>
        <v>2</v>
      </c>
      <c r="AF107" s="834">
        <v>-2</v>
      </c>
      <c r="AG107" s="832">
        <f>$N107+AF107</f>
        <v>18</v>
      </c>
      <c r="AH107" s="796">
        <v>30</v>
      </c>
      <c r="AI107" s="843">
        <f ca="1">$AE107-1</f>
        <v>1</v>
      </c>
      <c r="AJ107" s="834">
        <v>-4</v>
      </c>
      <c r="AK107" s="832">
        <f>$N107+AJ107</f>
        <v>16</v>
      </c>
      <c r="AL107" s="796">
        <v>60</v>
      </c>
      <c r="AM107" s="843">
        <f ca="1">$AE107-2</f>
        <v>0</v>
      </c>
      <c r="AN107" s="834">
        <v>-7</v>
      </c>
      <c r="AO107" s="832">
        <f>$N107+AN107</f>
        <v>13</v>
      </c>
      <c r="AP107" s="796">
        <f>100+IF('Main Creation Page'!$E$16&gt;11,50*('Main Creation Page'!$E$16-12))</f>
        <v>500</v>
      </c>
      <c r="AQ107" s="843">
        <f ca="1">$AE107-2</f>
        <v>0</v>
      </c>
      <c r="AR107" s="834">
        <v>-9</v>
      </c>
      <c r="AS107" s="832">
        <f>$N107+AR107</f>
        <v>11</v>
      </c>
      <c r="AT107" s="796">
        <f>400+IF('Main Creation Page'!$E$16&gt;11,50*('Main Creation Page'!$E$16-12))</f>
        <v>800</v>
      </c>
      <c r="AU107" s="843">
        <f ca="1">$AE107-2</f>
        <v>0</v>
      </c>
      <c r="BS107" s="602"/>
      <c r="DG107" s="602"/>
      <c r="DH107" s="602"/>
      <c r="DI107" s="602"/>
      <c r="DJ107" s="602"/>
      <c r="DK107" s="602"/>
    </row>
    <row r="108" spans="1:115" ht="11.1" customHeight="1" outlineLevel="4">
      <c r="A108" s="602">
        <v>104</v>
      </c>
      <c r="B108" s="779" t="s">
        <v>1040</v>
      </c>
      <c r="C108" s="629">
        <v>2</v>
      </c>
      <c r="D108" s="768">
        <v>0.1</v>
      </c>
      <c r="E108" s="769">
        <v>30</v>
      </c>
      <c r="F108" s="649"/>
      <c r="G108" s="768">
        <f t="shared" si="36"/>
        <v>0</v>
      </c>
      <c r="H108" s="771">
        <v>50</v>
      </c>
      <c r="I108" s="771">
        <f t="shared" si="37"/>
        <v>0</v>
      </c>
      <c r="J108" s="769" t="s">
        <v>5221</v>
      </c>
      <c r="K108" s="774">
        <f>IF(J108&lt;&gt;"L",'Main Creation Page'!$AF$11,'Main Creation Page'!$AG$11)</f>
        <v>10</v>
      </c>
      <c r="L108" s="629">
        <v>12</v>
      </c>
      <c r="M108" s="629">
        <f>IF(ISNA(VLOOKUP(T108,$BJ$44:$BN$58,3)),0,VLOOKUP(T108,$BJ$44:$BN$58,3))</f>
        <v>0</v>
      </c>
      <c r="N108" s="620">
        <f>K108+L108+M108</f>
        <v>22</v>
      </c>
      <c r="O108" s="769" t="s">
        <v>4740</v>
      </c>
      <c r="P108" s="629"/>
      <c r="Q108" s="629">
        <v>9</v>
      </c>
      <c r="R108" s="629" t="str">
        <f>IF(AND(ISBLANK(Skills!$X$151),ISNA(Skills!$W$151)),"N",(IF(Skills!$V$156=0,"Y+","Y")))</f>
        <v>N</v>
      </c>
      <c r="S108" s="629">
        <f>Skills!V$151</f>
        <v>5</v>
      </c>
      <c r="T108" s="629" t="str">
        <f>IF(ISNA(Skills!$W$151),IF(ISBLANK(Skills!$X$151)," ",Skills!$X$151),+Skills!$W$151+Skills!$X$151)</f>
        <v xml:space="preserve"> </v>
      </c>
      <c r="U108" s="743">
        <f>IF(R108="Y",Skills!$AC$151,Skills!$AB$151)</f>
        <v>0.1</v>
      </c>
      <c r="V108" s="714">
        <f ca="1">Skills!$Y$151</f>
        <v>0.06</v>
      </c>
      <c r="W108" s="714">
        <f ca="1">Skills!$AA$151</f>
        <v>0.06</v>
      </c>
      <c r="X108" s="777">
        <f ca="1">Skills!AD$156</f>
        <v>0.16</v>
      </c>
      <c r="Y108" s="622">
        <f ca="1">HLOOKUP(W108,$BJ$60:$BO$67,6)</f>
        <v>7</v>
      </c>
      <c r="Z108" s="622">
        <f ca="1">HLOOKUP(X108,$BJ$68:$BO$72,3)</f>
        <v>2</v>
      </c>
      <c r="AA108" s="779" t="s">
        <v>1040</v>
      </c>
      <c r="AB108" s="831">
        <v>0</v>
      </c>
      <c r="AC108" s="719">
        <f>$N108+AB108</f>
        <v>22</v>
      </c>
      <c r="AD108" s="796">
        <v>10</v>
      </c>
      <c r="AE108" s="843">
        <f ca="1">2+IF(R108="Y+",Skills!AE157,Skills!$AE$151)</f>
        <v>2</v>
      </c>
      <c r="AF108" s="834">
        <v>-2</v>
      </c>
      <c r="AG108" s="719">
        <f>$N108+AF108</f>
        <v>20</v>
      </c>
      <c r="AH108" s="796">
        <v>20</v>
      </c>
      <c r="AI108" s="843">
        <f ca="1">$AE108-0</f>
        <v>2</v>
      </c>
      <c r="AJ108" s="834">
        <v>-5</v>
      </c>
      <c r="AK108" s="719">
        <f>$N108+AJ108</f>
        <v>17</v>
      </c>
      <c r="AL108" s="796">
        <v>40</v>
      </c>
      <c r="AM108" s="843">
        <f ca="1">$AE108-1</f>
        <v>1</v>
      </c>
      <c r="AN108" s="834">
        <v>-7</v>
      </c>
      <c r="AO108" s="719">
        <f>$N108+AN108</f>
        <v>15</v>
      </c>
      <c r="AP108" s="796">
        <f>60+IF('Main Creation Page'!$E$16&gt;11,50*('Main Creation Page'!$E$16-12))</f>
        <v>460</v>
      </c>
      <c r="AQ108" s="843">
        <f ca="1">$AE108-2</f>
        <v>0</v>
      </c>
      <c r="AR108" s="834">
        <v>-10</v>
      </c>
      <c r="AS108" s="719">
        <f>$N108+AR108</f>
        <v>12</v>
      </c>
      <c r="AT108" s="796">
        <f>180+IF('Main Creation Page'!$E$16&gt;11,50*('Main Creation Page'!$E$16-12))</f>
        <v>580</v>
      </c>
      <c r="AU108" s="843">
        <f ca="1">$AE108-2</f>
        <v>0</v>
      </c>
      <c r="BS108" s="602"/>
      <c r="DG108" s="602"/>
      <c r="DH108" s="602"/>
      <c r="DI108" s="602"/>
      <c r="DJ108" s="602"/>
      <c r="DK108" s="602"/>
    </row>
    <row r="109" spans="1:115" ht="11.1" customHeight="1" outlineLevel="3">
      <c r="A109" s="602">
        <v>105</v>
      </c>
      <c r="B109" s="779" t="s">
        <v>1039</v>
      </c>
      <c r="C109" s="629">
        <v>13</v>
      </c>
      <c r="D109" s="768">
        <v>2</v>
      </c>
      <c r="E109" s="769">
        <f>4*12</f>
        <v>48</v>
      </c>
      <c r="F109" s="649"/>
      <c r="G109" s="768">
        <f t="shared" si="36"/>
        <v>0</v>
      </c>
      <c r="H109" s="771">
        <v>960</v>
      </c>
      <c r="I109" s="771">
        <f t="shared" si="37"/>
        <v>0</v>
      </c>
      <c r="J109" s="769"/>
      <c r="K109" s="774"/>
      <c r="L109" s="629"/>
      <c r="M109" s="629"/>
      <c r="N109" s="745"/>
      <c r="O109" s="769"/>
      <c r="P109" s="629"/>
      <c r="Q109" s="629"/>
      <c r="R109" s="629"/>
      <c r="S109" s="629"/>
      <c r="T109" s="629"/>
      <c r="U109" s="629"/>
      <c r="V109" s="769"/>
      <c r="W109" s="769"/>
      <c r="X109" s="745"/>
      <c r="Y109" s="844"/>
      <c r="Z109" s="844"/>
      <c r="AA109" s="779" t="s">
        <v>1039</v>
      </c>
      <c r="AB109" s="845"/>
      <c r="AC109" s="684"/>
      <c r="AD109" s="684"/>
      <c r="AE109" s="846"/>
      <c r="AF109" s="684"/>
      <c r="AG109" s="684"/>
      <c r="AH109" s="684"/>
      <c r="AI109" s="846"/>
      <c r="AJ109" s="684"/>
      <c r="AK109" s="684"/>
      <c r="AL109" s="684"/>
      <c r="AM109" s="846"/>
      <c r="AN109" s="684"/>
      <c r="AO109" s="684"/>
      <c r="AP109" s="684"/>
      <c r="AQ109" s="835"/>
      <c r="AR109" s="684"/>
      <c r="AS109" s="684"/>
      <c r="AT109" s="684"/>
      <c r="AU109" s="835"/>
      <c r="BS109" s="602"/>
      <c r="DG109" s="602"/>
      <c r="DH109" s="602"/>
      <c r="DI109" s="602"/>
      <c r="DJ109" s="602"/>
      <c r="DK109" s="602"/>
    </row>
    <row r="110" spans="1:115" ht="11.1" customHeight="1" outlineLevel="4">
      <c r="A110" s="602">
        <v>106</v>
      </c>
      <c r="B110" s="779" t="s">
        <v>1038</v>
      </c>
      <c r="C110" s="629">
        <v>2</v>
      </c>
      <c r="D110" s="768">
        <v>0.1</v>
      </c>
      <c r="E110" s="769">
        <v>30</v>
      </c>
      <c r="F110" s="649"/>
      <c r="G110" s="768">
        <f t="shared" si="36"/>
        <v>0</v>
      </c>
      <c r="H110" s="771">
        <v>25</v>
      </c>
      <c r="I110" s="771">
        <f t="shared" si="37"/>
        <v>0</v>
      </c>
      <c r="J110" s="769" t="s">
        <v>1563</v>
      </c>
      <c r="K110" s="774">
        <f>IF(J110&lt;&gt;"L",'Main Creation Page'!$AF$11,'Main Creation Page'!$AG$11)</f>
        <v>5</v>
      </c>
      <c r="L110" s="629">
        <f>$L$106+3</f>
        <v>12</v>
      </c>
      <c r="M110" s="629">
        <f>IF(ISNA(VLOOKUP(T110,$BJ$44:$BN$58,2)),0,VLOOKUP(T110,$BJ$44:$BN$58,2))</f>
        <v>0</v>
      </c>
      <c r="N110" s="620">
        <f>K110+L110+M110</f>
        <v>17</v>
      </c>
      <c r="O110" s="769" t="s">
        <v>4740</v>
      </c>
      <c r="P110" s="629"/>
      <c r="Q110" s="629"/>
      <c r="R110" s="629" t="str">
        <f>IF(AND(ISBLANK(Skills!$X$151),ISNA(Skills!$W$151)),"N",(IF(Skills!$V$152=0,"Y+","Y")))</f>
        <v>N</v>
      </c>
      <c r="S110" s="629">
        <f>Skills!V$151</f>
        <v>5</v>
      </c>
      <c r="T110" s="629" t="str">
        <f>IF(ISNA(Skills!$W$151),IF(ISBLANK(Skills!$X$151)," ",Skills!$X$151),+Skills!$W$151+Skills!$X$151)</f>
        <v xml:space="preserve"> </v>
      </c>
      <c r="U110" s="743">
        <f>IF(R110="Y",Skills!$AC$151,Skills!$AB$151)</f>
        <v>0.1</v>
      </c>
      <c r="V110" s="714">
        <f ca="1">Skills!$Y$151</f>
        <v>0.06</v>
      </c>
      <c r="W110" s="714">
        <f ca="1">Skills!$AA$151</f>
        <v>0.06</v>
      </c>
      <c r="X110" s="777">
        <f ca="1">Skills!AD$152</f>
        <v>0.16</v>
      </c>
      <c r="Y110" s="622">
        <f ca="1">HLOOKUP(W110,$BJ$60:$BO$67,6)</f>
        <v>7</v>
      </c>
      <c r="Z110" s="622">
        <f ca="1">HLOOKUP(X110,$BJ$68:$BO$72,2)</f>
        <v>1</v>
      </c>
      <c r="AA110" s="779" t="s">
        <v>1038</v>
      </c>
      <c r="AB110" s="831">
        <v>0</v>
      </c>
      <c r="AC110" s="621">
        <f>$N110+AB110</f>
        <v>17</v>
      </c>
      <c r="AD110" s="796">
        <v>20</v>
      </c>
      <c r="AE110" s="843">
        <f ca="1">2+IF(R110="Y+",Skills!AE152,Skills!$AE$151)</f>
        <v>2</v>
      </c>
      <c r="AF110" s="834">
        <v>-4</v>
      </c>
      <c r="AG110" s="621">
        <f>$N110+AF110</f>
        <v>13</v>
      </c>
      <c r="AH110" s="796">
        <v>40</v>
      </c>
      <c r="AI110" s="843">
        <f ca="1">$AE110-1</f>
        <v>1</v>
      </c>
      <c r="AJ110" s="834">
        <v>-9</v>
      </c>
      <c r="AK110" s="621">
        <f>$N110+AJ110</f>
        <v>8</v>
      </c>
      <c r="AL110" s="796">
        <v>120</v>
      </c>
      <c r="AM110" s="843">
        <f ca="1">$AE110-2</f>
        <v>0</v>
      </c>
      <c r="AN110" s="834">
        <v>-15</v>
      </c>
      <c r="AO110" s="621">
        <f>$N110+AN110</f>
        <v>2</v>
      </c>
      <c r="AP110" s="796">
        <f>300+IF('Main Creation Page'!$E$16&gt;11,50*('Main Creation Page'!$E$16-12))</f>
        <v>700</v>
      </c>
      <c r="AQ110" s="843">
        <f ca="1">$AE110-2</f>
        <v>0</v>
      </c>
      <c r="AR110" s="834">
        <v>-18</v>
      </c>
      <c r="AS110" s="621">
        <f>$N110+AR110</f>
        <v>-1</v>
      </c>
      <c r="AT110" s="796">
        <f>700+IF('Main Creation Page'!$E$16&gt;11,50*('Main Creation Page'!$E$16-12))</f>
        <v>1100</v>
      </c>
      <c r="AU110" s="843">
        <f ca="1">$AE110-2</f>
        <v>0</v>
      </c>
      <c r="BS110" s="602"/>
      <c r="DG110" s="602"/>
      <c r="DH110" s="602"/>
      <c r="DI110" s="602"/>
      <c r="DJ110" s="602"/>
      <c r="DK110" s="602"/>
    </row>
    <row r="111" spans="1:115" ht="11.1" customHeight="1" outlineLevel="4">
      <c r="A111" s="602">
        <v>107</v>
      </c>
      <c r="B111" s="779" t="s">
        <v>1037</v>
      </c>
      <c r="C111" s="629">
        <v>2</v>
      </c>
      <c r="D111" s="768">
        <v>0.1</v>
      </c>
      <c r="E111" s="769">
        <v>30</v>
      </c>
      <c r="F111" s="649"/>
      <c r="G111" s="768">
        <f t="shared" si="36"/>
        <v>0</v>
      </c>
      <c r="H111" s="771">
        <v>35</v>
      </c>
      <c r="I111" s="771">
        <f t="shared" si="37"/>
        <v>0</v>
      </c>
      <c r="J111" s="769" t="s">
        <v>5221</v>
      </c>
      <c r="K111" s="774">
        <f>IF(J111&lt;&gt;"L",'Main Creation Page'!$AF$11,'Main Creation Page'!$AG$11)</f>
        <v>10</v>
      </c>
      <c r="L111" s="629">
        <f>$L$107+3</f>
        <v>13</v>
      </c>
      <c r="M111" s="629">
        <f>IF(ISNA(VLOOKUP(T111,$BJ$44:$BN$58,3)),0,VLOOKUP(T111,$BJ$44:$BN$58,3))</f>
        <v>0</v>
      </c>
      <c r="N111" s="620">
        <f>K111+L111+M111</f>
        <v>23</v>
      </c>
      <c r="O111" s="769" t="s">
        <v>4740</v>
      </c>
      <c r="P111" s="629"/>
      <c r="Q111" s="629">
        <v>8</v>
      </c>
      <c r="R111" s="629" t="str">
        <f>IF(AND(ISBLANK(Skills!$X$151),ISNA(Skills!$W$151)),"N",(IF(Skills!$V$152=0,"Y+","Y")))</f>
        <v>N</v>
      </c>
      <c r="S111" s="629">
        <f>Skills!V$151</f>
        <v>5</v>
      </c>
      <c r="T111" s="629" t="str">
        <f>IF(ISNA(Skills!$W$151),IF(ISBLANK(Skills!$X$151)," ",Skills!$X$151),+Skills!$W$151+Skills!$X$151)</f>
        <v xml:space="preserve"> </v>
      </c>
      <c r="U111" s="743">
        <f>IF(R111="Y",Skills!$AC$151,Skills!$AB$151)</f>
        <v>0.1</v>
      </c>
      <c r="V111" s="714">
        <f ca="1">Skills!$Y$151</f>
        <v>0.06</v>
      </c>
      <c r="W111" s="714">
        <f ca="1">Skills!$AA$151</f>
        <v>0.06</v>
      </c>
      <c r="X111" s="777">
        <f ca="1">Skills!AD$152</f>
        <v>0.16</v>
      </c>
      <c r="Y111" s="622">
        <f ca="1">HLOOKUP(W111,$BJ$60:$BO$67,6)</f>
        <v>7</v>
      </c>
      <c r="Z111" s="622">
        <f ca="1">HLOOKUP(X111,$BJ$68:$BO$72,3)</f>
        <v>2</v>
      </c>
      <c r="AA111" s="779" t="s">
        <v>1037</v>
      </c>
      <c r="AB111" s="831">
        <v>0</v>
      </c>
      <c r="AC111" s="832">
        <f>$N111+AB111</f>
        <v>23</v>
      </c>
      <c r="AD111" s="796">
        <v>20</v>
      </c>
      <c r="AE111" s="843">
        <f ca="1">2+IF(R111="Y+",Skills!AE152,Skills!$AE$151)</f>
        <v>2</v>
      </c>
      <c r="AF111" s="834">
        <v>-3</v>
      </c>
      <c r="AG111" s="832">
        <f>$N111+AF111</f>
        <v>20</v>
      </c>
      <c r="AH111" s="796">
        <v>40</v>
      </c>
      <c r="AI111" s="843">
        <f ca="1">$AE111-1</f>
        <v>1</v>
      </c>
      <c r="AJ111" s="834">
        <v>-7</v>
      </c>
      <c r="AK111" s="832">
        <f>$N111+AJ111</f>
        <v>16</v>
      </c>
      <c r="AL111" s="796">
        <v>90</v>
      </c>
      <c r="AM111" s="843">
        <f ca="1">$AE111-2</f>
        <v>0</v>
      </c>
      <c r="AN111" s="834">
        <v>-14</v>
      </c>
      <c r="AO111" s="832">
        <f>$N111+AN111</f>
        <v>9</v>
      </c>
      <c r="AP111" s="796">
        <f>175+IF('Main Creation Page'!$E$16&gt;11,50*('Main Creation Page'!$E$16-12))</f>
        <v>575</v>
      </c>
      <c r="AQ111" s="843">
        <f ca="1">$AE111-2</f>
        <v>0</v>
      </c>
      <c r="AR111" s="834">
        <v>-17</v>
      </c>
      <c r="AS111" s="832">
        <f>$N111+AR111</f>
        <v>6</v>
      </c>
      <c r="AT111" s="796">
        <f>525+IF('Main Creation Page'!$E$16&gt;11,50*('Main Creation Page'!$E$16-12))</f>
        <v>925</v>
      </c>
      <c r="AU111" s="843">
        <f ca="1">$AE111-2</f>
        <v>0</v>
      </c>
      <c r="BS111" s="602"/>
      <c r="DG111" s="602"/>
      <c r="DH111" s="602"/>
      <c r="DI111" s="602"/>
      <c r="DJ111" s="602"/>
      <c r="DK111" s="602"/>
    </row>
    <row r="112" spans="1:115" ht="11.1" customHeight="1" outlineLevel="4">
      <c r="A112" s="602">
        <v>108</v>
      </c>
      <c r="B112" s="779" t="s">
        <v>5410</v>
      </c>
      <c r="C112" s="629">
        <v>2</v>
      </c>
      <c r="D112" s="768">
        <v>0.1</v>
      </c>
      <c r="E112" s="769">
        <v>30</v>
      </c>
      <c r="F112" s="649"/>
      <c r="G112" s="768">
        <f t="shared" si="36"/>
        <v>0</v>
      </c>
      <c r="H112" s="771">
        <v>50</v>
      </c>
      <c r="I112" s="771">
        <f t="shared" si="37"/>
        <v>0</v>
      </c>
      <c r="J112" s="769" t="s">
        <v>5221</v>
      </c>
      <c r="K112" s="774">
        <f>IF(J112&lt;&gt;"L",'Main Creation Page'!$AF$11,'Main Creation Page'!$AG$11)</f>
        <v>10</v>
      </c>
      <c r="L112" s="629">
        <f>$L$108+3</f>
        <v>15</v>
      </c>
      <c r="M112" s="629">
        <f>IF(ISNA(VLOOKUP(T112,$BJ$44:$BN$58,3)),0,VLOOKUP(T112,$BJ$44:$BN$58,3))</f>
        <v>0</v>
      </c>
      <c r="N112" s="620">
        <f>K112+L112+M112</f>
        <v>25</v>
      </c>
      <c r="O112" s="769" t="s">
        <v>4740</v>
      </c>
      <c r="P112" s="629"/>
      <c r="Q112" s="629">
        <v>9</v>
      </c>
      <c r="R112" s="629" t="str">
        <f>IF(AND(ISBLANK(Skills!$X$151),ISNA(Skills!$W$151)),"N",(IF(Skills!$V$152=0,"Y+","Y")))</f>
        <v>N</v>
      </c>
      <c r="S112" s="629">
        <f>Skills!V$151</f>
        <v>5</v>
      </c>
      <c r="T112" s="629" t="str">
        <f>IF(ISNA(Skills!$W$151),IF(ISBLANK(Skills!$X$151)," ",Skills!$X$151),+Skills!$W$151+Skills!$X$151)</f>
        <v xml:space="preserve"> </v>
      </c>
      <c r="U112" s="743">
        <f>IF(R112="Y",Skills!$AC$151,Skills!$AB$151)</f>
        <v>0.1</v>
      </c>
      <c r="V112" s="714">
        <f ca="1">Skills!$Y$151</f>
        <v>0.06</v>
      </c>
      <c r="W112" s="714">
        <f ca="1">Skills!$AA$151</f>
        <v>0.06</v>
      </c>
      <c r="X112" s="777">
        <f ca="1">Skills!AD$152</f>
        <v>0.16</v>
      </c>
      <c r="Y112" s="622">
        <f ca="1">HLOOKUP(W112,$BJ$60:$BO$67,6)</f>
        <v>7</v>
      </c>
      <c r="Z112" s="622">
        <f ca="1">HLOOKUP(X112,$BJ$68:$BO$72,3)</f>
        <v>2</v>
      </c>
      <c r="AA112" s="779" t="s">
        <v>5410</v>
      </c>
      <c r="AB112" s="831">
        <v>0</v>
      </c>
      <c r="AC112" s="719">
        <f>$N112+AB112</f>
        <v>25</v>
      </c>
      <c r="AD112" s="796">
        <v>20</v>
      </c>
      <c r="AE112" s="843">
        <f ca="1">2+IF(R112="Y+",Skills!AE152,Skills!$AE$151)</f>
        <v>2</v>
      </c>
      <c r="AF112" s="834">
        <v>-3</v>
      </c>
      <c r="AG112" s="719">
        <f>$N112+AF112</f>
        <v>22</v>
      </c>
      <c r="AH112" s="796">
        <v>40</v>
      </c>
      <c r="AI112" s="843">
        <f ca="1">$AE112-0</f>
        <v>2</v>
      </c>
      <c r="AJ112" s="834">
        <v>-7</v>
      </c>
      <c r="AK112" s="719">
        <f>$N112+AJ112</f>
        <v>18</v>
      </c>
      <c r="AL112" s="796">
        <v>80</v>
      </c>
      <c r="AM112" s="843">
        <f ca="1">$AE112-1</f>
        <v>1</v>
      </c>
      <c r="AN112" s="834">
        <v>-15</v>
      </c>
      <c r="AO112" s="719">
        <f>$N112+AN112</f>
        <v>10</v>
      </c>
      <c r="AP112" s="796">
        <f>150+IF('Main Creation Page'!$E$16&gt;11,50*('Main Creation Page'!$E$16-12))</f>
        <v>550</v>
      </c>
      <c r="AQ112" s="843">
        <f ca="1">$AE112-2</f>
        <v>0</v>
      </c>
      <c r="AR112" s="834">
        <v>-18</v>
      </c>
      <c r="AS112" s="719">
        <f>$N112+AR112</f>
        <v>7</v>
      </c>
      <c r="AT112" s="796">
        <f>375+IF('Main Creation Page'!$E$16&gt;11,50*('Main Creation Page'!$E$16-12))</f>
        <v>775</v>
      </c>
      <c r="AU112" s="843">
        <f ca="1">$AE112-2</f>
        <v>0</v>
      </c>
      <c r="BS112" s="602"/>
      <c r="DG112" s="602"/>
      <c r="DH112" s="602"/>
      <c r="DI112" s="602"/>
      <c r="DJ112" s="602"/>
      <c r="DK112" s="602"/>
    </row>
    <row r="113" spans="1:115" ht="11.1" customHeight="1" outlineLevel="3">
      <c r="A113" s="602">
        <v>109</v>
      </c>
      <c r="B113" s="779" t="s">
        <v>2476</v>
      </c>
      <c r="C113" s="629">
        <v>28</v>
      </c>
      <c r="D113" s="768">
        <v>2.5</v>
      </c>
      <c r="E113" s="769">
        <f>3*12</f>
        <v>36</v>
      </c>
      <c r="F113" s="649"/>
      <c r="G113" s="768">
        <f t="shared" si="36"/>
        <v>0</v>
      </c>
      <c r="H113" s="771">
        <v>2400</v>
      </c>
      <c r="I113" s="771">
        <f t="shared" si="37"/>
        <v>0</v>
      </c>
      <c r="J113" s="769"/>
      <c r="K113" s="774"/>
      <c r="L113" s="629"/>
      <c r="M113" s="629"/>
      <c r="N113" s="745"/>
      <c r="O113" s="769"/>
      <c r="P113" s="629"/>
      <c r="Q113" s="629"/>
      <c r="R113" s="629"/>
      <c r="S113" s="629"/>
      <c r="T113" s="629"/>
      <c r="U113" s="629"/>
      <c r="V113" s="769"/>
      <c r="W113" s="769"/>
      <c r="X113" s="745"/>
      <c r="Y113" s="844"/>
      <c r="Z113" s="844"/>
      <c r="AA113" s="779" t="s">
        <v>2476</v>
      </c>
      <c r="AB113" s="845"/>
      <c r="AC113" s="684"/>
      <c r="AD113" s="684"/>
      <c r="AE113" s="846"/>
      <c r="AF113" s="684"/>
      <c r="AG113" s="684"/>
      <c r="AH113" s="684"/>
      <c r="AI113" s="846"/>
      <c r="AJ113" s="684"/>
      <c r="AK113" s="684"/>
      <c r="AL113" s="684"/>
      <c r="AM113" s="846"/>
      <c r="AN113" s="684"/>
      <c r="AO113" s="684"/>
      <c r="AP113" s="684"/>
      <c r="AQ113" s="835"/>
      <c r="AR113" s="684"/>
      <c r="AS113" s="684"/>
      <c r="AT113" s="684"/>
      <c r="AU113" s="835"/>
      <c r="BS113" s="602"/>
      <c r="DG113" s="602"/>
      <c r="DH113" s="602"/>
      <c r="DI113" s="602"/>
      <c r="DJ113" s="602"/>
      <c r="DK113" s="602"/>
    </row>
    <row r="114" spans="1:115" ht="11.1" customHeight="1" outlineLevel="4">
      <c r="A114" s="602">
        <v>110</v>
      </c>
      <c r="B114" s="779" t="s">
        <v>2474</v>
      </c>
      <c r="C114" s="629">
        <v>2</v>
      </c>
      <c r="D114" s="768">
        <v>0.1</v>
      </c>
      <c r="E114" s="769">
        <v>30</v>
      </c>
      <c r="F114" s="649">
        <v>20</v>
      </c>
      <c r="G114" s="768">
        <f t="shared" si="36"/>
        <v>2</v>
      </c>
      <c r="H114" s="771">
        <v>25</v>
      </c>
      <c r="I114" s="771">
        <f t="shared" si="37"/>
        <v>500</v>
      </c>
      <c r="J114" s="769" t="s">
        <v>1563</v>
      </c>
      <c r="K114" s="774">
        <f>IF(J114&lt;&gt;"L",'Main Creation Page'!$AF$11,'Main Creation Page'!$AG$11)</f>
        <v>5</v>
      </c>
      <c r="L114" s="629">
        <f>$L$106+5</f>
        <v>14</v>
      </c>
      <c r="M114" s="629">
        <f>IF(ISNA(VLOOKUP(T114,$BJ$44:$BN$58,2)),0,VLOOKUP(T114,$BJ$44:$BN$58,2))</f>
        <v>0</v>
      </c>
      <c r="N114" s="620">
        <f>K114+L114+M114</f>
        <v>19</v>
      </c>
      <c r="O114" s="769" t="s">
        <v>4740</v>
      </c>
      <c r="P114" s="629"/>
      <c r="Q114" s="629"/>
      <c r="R114" s="629" t="str">
        <f>IF(AND(ISBLANK(Skills!$X$151),ISNA(Skills!$W$151)),"N",(IF(Skills!$V$155=0,"Y+","Y")))</f>
        <v>N</v>
      </c>
      <c r="S114" s="629">
        <f>Skills!V$151</f>
        <v>5</v>
      </c>
      <c r="T114" s="629" t="str">
        <f>IF(ISNA(Skills!$W$151),IF(ISBLANK(Skills!$X$151)," ",Skills!$X$151),+Skills!$W$151+Skills!$X$151)</f>
        <v xml:space="preserve"> </v>
      </c>
      <c r="U114" s="743">
        <f>IF(R114="Y",Skills!$AC$151,Skills!$AB$151)</f>
        <v>0.1</v>
      </c>
      <c r="V114" s="714">
        <f ca="1">Skills!$Y$151</f>
        <v>0.06</v>
      </c>
      <c r="W114" s="714">
        <f ca="1">Skills!$AA$151</f>
        <v>0.06</v>
      </c>
      <c r="X114" s="777">
        <f ca="1">Skills!AD$155</f>
        <v>0.16</v>
      </c>
      <c r="Y114" s="622">
        <f ca="1">HLOOKUP(W114,$BJ$60:$BO$67,6)</f>
        <v>7</v>
      </c>
      <c r="Z114" s="622">
        <f ca="1">HLOOKUP(X114,$BJ$68:$BO$72,2)</f>
        <v>1</v>
      </c>
      <c r="AA114" s="779" t="s">
        <v>2474</v>
      </c>
      <c r="AB114" s="831">
        <v>0</v>
      </c>
      <c r="AC114" s="621">
        <f>$N114+AB114</f>
        <v>19</v>
      </c>
      <c r="AD114" s="796">
        <v>20</v>
      </c>
      <c r="AE114" s="843">
        <f ca="1">2+IF(R114="Y+",Skills!AE155,Skills!$AE$151)</f>
        <v>2</v>
      </c>
      <c r="AF114" s="834">
        <v>-5</v>
      </c>
      <c r="AG114" s="621">
        <f>$N114+AF114</f>
        <v>14</v>
      </c>
      <c r="AH114" s="796">
        <v>40</v>
      </c>
      <c r="AI114" s="843">
        <f ca="1">$AE114-1</f>
        <v>1</v>
      </c>
      <c r="AJ114" s="834">
        <v>-10</v>
      </c>
      <c r="AK114" s="621">
        <f>$N114+AJ114</f>
        <v>9</v>
      </c>
      <c r="AL114" s="796">
        <v>150</v>
      </c>
      <c r="AM114" s="843">
        <f ca="1">$AE114-2</f>
        <v>0</v>
      </c>
      <c r="AN114" s="834">
        <v>-16</v>
      </c>
      <c r="AO114" s="621">
        <f>$N114+AN114</f>
        <v>3</v>
      </c>
      <c r="AP114" s="796">
        <f>350+IF('Main Creation Page'!$E$16&gt;11,50*('Main Creation Page'!$E$16-12))</f>
        <v>750</v>
      </c>
      <c r="AQ114" s="843">
        <f ca="1">$AE114-2</f>
        <v>0</v>
      </c>
      <c r="AR114" s="834">
        <v>-20</v>
      </c>
      <c r="AS114" s="621">
        <f>$N114+AR114</f>
        <v>-1</v>
      </c>
      <c r="AT114" s="796">
        <f>800+IF('Main Creation Page'!$E$16&gt;11,50*('Main Creation Page'!$E$16-12))</f>
        <v>1200</v>
      </c>
      <c r="AU114" s="843">
        <f ca="1">$AE114-2</f>
        <v>0</v>
      </c>
      <c r="BS114" s="602"/>
      <c r="DG114" s="602"/>
      <c r="DH114" s="602"/>
      <c r="DI114" s="602"/>
      <c r="DJ114" s="602"/>
      <c r="DK114" s="602"/>
    </row>
    <row r="115" spans="1:115" ht="11.1" customHeight="1" outlineLevel="4">
      <c r="A115" s="602">
        <v>111</v>
      </c>
      <c r="B115" s="779" t="s">
        <v>2473</v>
      </c>
      <c r="C115" s="629">
        <v>2</v>
      </c>
      <c r="D115" s="768">
        <v>0.1</v>
      </c>
      <c r="E115" s="769">
        <v>30</v>
      </c>
      <c r="F115" s="649">
        <v>20</v>
      </c>
      <c r="G115" s="768">
        <f t="shared" si="36"/>
        <v>2</v>
      </c>
      <c r="H115" s="771">
        <v>35</v>
      </c>
      <c r="I115" s="771">
        <f t="shared" si="37"/>
        <v>700</v>
      </c>
      <c r="J115" s="769" t="s">
        <v>5221</v>
      </c>
      <c r="K115" s="774">
        <f>IF(J115&lt;&gt;"L",'Main Creation Page'!$AF$11,'Main Creation Page'!$AG$11)</f>
        <v>10</v>
      </c>
      <c r="L115" s="629">
        <f>$L$107+5</f>
        <v>15</v>
      </c>
      <c r="M115" s="629">
        <f>IF(ISNA(VLOOKUP(T115,$BJ$44:$BN$58,3)),0,VLOOKUP(T115,$BJ$44:$BN$58,3))</f>
        <v>0</v>
      </c>
      <c r="N115" s="620">
        <f>K115+L115+M115</f>
        <v>25</v>
      </c>
      <c r="O115" s="769" t="s">
        <v>4740</v>
      </c>
      <c r="P115" s="629"/>
      <c r="Q115" s="629">
        <v>8</v>
      </c>
      <c r="R115" s="629" t="str">
        <f>IF(AND(ISBLANK(Skills!$X$151),ISNA(Skills!$W$151)),"N",(IF(Skills!$V$155=0,"Y+","Y")))</f>
        <v>N</v>
      </c>
      <c r="S115" s="629">
        <f>Skills!V$151</f>
        <v>5</v>
      </c>
      <c r="T115" s="629" t="str">
        <f>IF(ISNA(Skills!$W$151),IF(ISBLANK(Skills!$X$151)," ",Skills!$X$151),+Skills!$W$151+Skills!$X$151)</f>
        <v xml:space="preserve"> </v>
      </c>
      <c r="U115" s="743">
        <f>IF(R115="Y",Skills!$AC$151,Skills!$AB$151)</f>
        <v>0.1</v>
      </c>
      <c r="V115" s="714">
        <f ca="1">Skills!$Y$151</f>
        <v>0.06</v>
      </c>
      <c r="W115" s="714">
        <f ca="1">Skills!$AA$151</f>
        <v>0.06</v>
      </c>
      <c r="X115" s="777">
        <f ca="1">Skills!AD$155</f>
        <v>0.16</v>
      </c>
      <c r="Y115" s="622">
        <f ca="1">HLOOKUP(W115,$BJ$60:$BO$67,6)</f>
        <v>7</v>
      </c>
      <c r="Z115" s="622">
        <f ca="1">HLOOKUP(X115,$BJ$68:$BO$72,3)</f>
        <v>2</v>
      </c>
      <c r="AA115" s="779" t="s">
        <v>2473</v>
      </c>
      <c r="AB115" s="831">
        <v>0</v>
      </c>
      <c r="AC115" s="832">
        <f>$N115+AB115</f>
        <v>25</v>
      </c>
      <c r="AD115" s="796">
        <v>20</v>
      </c>
      <c r="AE115" s="843">
        <f ca="1">2+IF(R115="Y+",Skills!AE155,Skills!$AE$151)</f>
        <v>2</v>
      </c>
      <c r="AF115" s="834">
        <v>-4</v>
      </c>
      <c r="AG115" s="832">
        <f>$N115+AF115</f>
        <v>21</v>
      </c>
      <c r="AH115" s="796">
        <v>40</v>
      </c>
      <c r="AI115" s="843">
        <f ca="1">$AE115-1</f>
        <v>1</v>
      </c>
      <c r="AJ115" s="834">
        <v>-8</v>
      </c>
      <c r="AK115" s="832">
        <f>$N115+AJ115</f>
        <v>17</v>
      </c>
      <c r="AL115" s="796">
        <v>125</v>
      </c>
      <c r="AM115" s="843">
        <f ca="1">$AE115-2</f>
        <v>0</v>
      </c>
      <c r="AN115" s="834">
        <v>-15</v>
      </c>
      <c r="AO115" s="832">
        <f>$N115+AN115</f>
        <v>10</v>
      </c>
      <c r="AP115" s="796">
        <f>250+IF('Main Creation Page'!$E$16&gt;11,50*('Main Creation Page'!$E$16-12))</f>
        <v>650</v>
      </c>
      <c r="AQ115" s="843">
        <f ca="1">$AE115-2</f>
        <v>0</v>
      </c>
      <c r="AR115" s="834">
        <v>-19</v>
      </c>
      <c r="AS115" s="832">
        <f>$N115+AR115</f>
        <v>6</v>
      </c>
      <c r="AT115" s="796">
        <f>600+IF('Main Creation Page'!$E$16&gt;11,50*('Main Creation Page'!$E$16-12))</f>
        <v>1000</v>
      </c>
      <c r="AU115" s="843">
        <f ca="1">$AE115-2</f>
        <v>0</v>
      </c>
      <c r="BS115" s="602"/>
      <c r="DG115" s="602"/>
      <c r="DH115" s="602"/>
      <c r="DI115" s="602"/>
      <c r="DJ115" s="602"/>
      <c r="DK115" s="602"/>
    </row>
    <row r="116" spans="1:115" ht="11.1" customHeight="1" outlineLevel="4">
      <c r="A116" s="602">
        <v>112</v>
      </c>
      <c r="B116" s="779" t="s">
        <v>2477</v>
      </c>
      <c r="C116" s="629">
        <v>2</v>
      </c>
      <c r="D116" s="768">
        <v>0.1</v>
      </c>
      <c r="E116" s="769">
        <v>30</v>
      </c>
      <c r="F116" s="649">
        <v>20</v>
      </c>
      <c r="G116" s="768">
        <f t="shared" si="36"/>
        <v>2</v>
      </c>
      <c r="H116" s="771">
        <v>50</v>
      </c>
      <c r="I116" s="771">
        <f t="shared" si="37"/>
        <v>1000</v>
      </c>
      <c r="J116" s="769" t="s">
        <v>5221</v>
      </c>
      <c r="K116" s="774">
        <f>IF(J116&lt;&gt;"L",'Main Creation Page'!$AF$11,'Main Creation Page'!$AG$11)</f>
        <v>10</v>
      </c>
      <c r="L116" s="629">
        <f>$L$108+5</f>
        <v>17</v>
      </c>
      <c r="M116" s="629">
        <f>IF(ISNA(VLOOKUP(T116,$BJ$44:$BN$58,3)),0,VLOOKUP(T116,$BJ$44:$BN$58,3))</f>
        <v>0</v>
      </c>
      <c r="N116" s="620">
        <f>K116+L116+M116</f>
        <v>27</v>
      </c>
      <c r="O116" s="769" t="s">
        <v>4740</v>
      </c>
      <c r="P116" s="629"/>
      <c r="Q116" s="629">
        <v>9</v>
      </c>
      <c r="R116" s="629" t="str">
        <f>IF(AND(ISBLANK(Skills!$X$151),ISNA(Skills!$W$151)),"N",(IF(Skills!$V$155=0,"Y+","Y")))</f>
        <v>N</v>
      </c>
      <c r="S116" s="629">
        <f>Skills!V$151</f>
        <v>5</v>
      </c>
      <c r="T116" s="629" t="str">
        <f>IF(ISNA(Skills!$W$151),IF(ISBLANK(Skills!$X$151)," ",Skills!$X$151),+Skills!$W$151+Skills!$X$151)</f>
        <v xml:space="preserve"> </v>
      </c>
      <c r="U116" s="743">
        <f>IF(R116="Y",Skills!$AC$151,Skills!$AB$151)</f>
        <v>0.1</v>
      </c>
      <c r="V116" s="714">
        <f ca="1">Skills!$Y$151</f>
        <v>0.06</v>
      </c>
      <c r="W116" s="714">
        <f ca="1">Skills!$AA$151</f>
        <v>0.06</v>
      </c>
      <c r="X116" s="777">
        <f ca="1">Skills!AD$155</f>
        <v>0.16</v>
      </c>
      <c r="Y116" s="622">
        <f ca="1">HLOOKUP(W116,$BJ$60:$BO$67,6)</f>
        <v>7</v>
      </c>
      <c r="Z116" s="622">
        <f ca="1">HLOOKUP(X116,$BJ$68:$BO$72,3)</f>
        <v>2</v>
      </c>
      <c r="AA116" s="779" t="s">
        <v>2477</v>
      </c>
      <c r="AB116" s="831">
        <v>0</v>
      </c>
      <c r="AC116" s="719">
        <f>$N116+AB116</f>
        <v>27</v>
      </c>
      <c r="AD116" s="796">
        <v>20</v>
      </c>
      <c r="AE116" s="843">
        <f ca="1">2+IF(R116="Y+",Skills!AE155,Skills!$AE$151)</f>
        <v>2</v>
      </c>
      <c r="AF116" s="834">
        <v>-7</v>
      </c>
      <c r="AG116" s="719">
        <f>$N116+AF116</f>
        <v>20</v>
      </c>
      <c r="AH116" s="796">
        <v>40</v>
      </c>
      <c r="AI116" s="843">
        <f ca="1">$AE116-0</f>
        <v>2</v>
      </c>
      <c r="AJ116" s="834">
        <v>-8</v>
      </c>
      <c r="AK116" s="719">
        <f>$N116+AJ116</f>
        <v>19</v>
      </c>
      <c r="AL116" s="796">
        <v>80</v>
      </c>
      <c r="AM116" s="843">
        <f ca="1">$AE116-1</f>
        <v>1</v>
      </c>
      <c r="AN116" s="834">
        <v>-16</v>
      </c>
      <c r="AO116" s="719">
        <f>$N116+AN116</f>
        <v>11</v>
      </c>
      <c r="AP116" s="796">
        <f>175+IF('Main Creation Page'!$E$16&gt;11,50*('Main Creation Page'!$E$16-12))</f>
        <v>575</v>
      </c>
      <c r="AQ116" s="843">
        <f ca="1">$AE116-2</f>
        <v>0</v>
      </c>
      <c r="AR116" s="834">
        <v>-20</v>
      </c>
      <c r="AS116" s="719">
        <f>$N116+AR116</f>
        <v>7</v>
      </c>
      <c r="AT116" s="796">
        <f>450+IF('Main Creation Page'!$E$16&gt;11,50*('Main Creation Page'!$E$16-12))</f>
        <v>850</v>
      </c>
      <c r="AU116" s="843">
        <f ca="1">$AE116-2</f>
        <v>0</v>
      </c>
      <c r="BS116" s="602"/>
      <c r="DG116" s="602"/>
      <c r="DH116" s="602"/>
      <c r="DI116" s="602"/>
      <c r="DJ116" s="602"/>
      <c r="DK116" s="602"/>
    </row>
    <row r="117" spans="1:115" ht="11.1" customHeight="1" outlineLevel="3">
      <c r="A117" s="602">
        <v>113</v>
      </c>
      <c r="B117" s="779" t="s">
        <v>4328</v>
      </c>
      <c r="C117" s="629">
        <v>28</v>
      </c>
      <c r="D117" s="768">
        <v>2.5</v>
      </c>
      <c r="E117" s="769">
        <f>6*12</f>
        <v>72</v>
      </c>
      <c r="F117" s="649">
        <v>1</v>
      </c>
      <c r="G117" s="768">
        <f t="shared" si="36"/>
        <v>2.5</v>
      </c>
      <c r="H117" s="771">
        <v>1440</v>
      </c>
      <c r="I117" s="771">
        <f t="shared" si="37"/>
        <v>1440</v>
      </c>
      <c r="J117" s="769"/>
      <c r="K117" s="774"/>
      <c r="L117" s="629"/>
      <c r="M117" s="629"/>
      <c r="N117" s="745"/>
      <c r="O117" s="769"/>
      <c r="P117" s="629"/>
      <c r="Q117" s="629"/>
      <c r="R117" s="629"/>
      <c r="S117" s="629"/>
      <c r="T117" s="629"/>
      <c r="U117" s="629"/>
      <c r="V117" s="769"/>
      <c r="W117" s="769"/>
      <c r="X117" s="745"/>
      <c r="Y117" s="844"/>
      <c r="Z117" s="844"/>
      <c r="AA117" s="779" t="s">
        <v>4328</v>
      </c>
      <c r="AB117" s="845"/>
      <c r="AC117" s="684"/>
      <c r="AD117" s="684"/>
      <c r="AE117" s="846"/>
      <c r="AF117" s="684"/>
      <c r="AG117" s="684"/>
      <c r="AH117" s="684"/>
      <c r="AI117" s="846"/>
      <c r="AJ117" s="684"/>
      <c r="AK117" s="684"/>
      <c r="AL117" s="684"/>
      <c r="AM117" s="846"/>
      <c r="AN117" s="684"/>
      <c r="AO117" s="684"/>
      <c r="AP117" s="684"/>
      <c r="AQ117" s="835"/>
      <c r="AR117" s="684"/>
      <c r="AS117" s="684"/>
      <c r="AT117" s="684"/>
      <c r="AU117" s="835"/>
      <c r="BM117" s="602"/>
      <c r="BN117" s="602"/>
      <c r="BS117" s="602"/>
      <c r="DG117" s="602"/>
      <c r="DH117" s="602"/>
      <c r="DI117" s="602"/>
      <c r="DJ117" s="602"/>
      <c r="DK117" s="602"/>
    </row>
    <row r="118" spans="1:115" ht="11.1" customHeight="1" outlineLevel="4">
      <c r="A118" s="602">
        <v>114</v>
      </c>
      <c r="B118" s="779" t="s">
        <v>2475</v>
      </c>
      <c r="C118" s="629">
        <v>2</v>
      </c>
      <c r="D118" s="768">
        <v>0.1</v>
      </c>
      <c r="E118" s="769">
        <v>30</v>
      </c>
      <c r="F118" s="649"/>
      <c r="G118" s="768">
        <f t="shared" si="36"/>
        <v>0</v>
      </c>
      <c r="H118" s="771">
        <v>25</v>
      </c>
      <c r="I118" s="771">
        <f t="shared" si="37"/>
        <v>0</v>
      </c>
      <c r="J118" s="769" t="s">
        <v>1563</v>
      </c>
      <c r="K118" s="774">
        <f>IF(J118&lt;&gt;"L",'Main Creation Page'!$AF$11,'Main Creation Page'!$AG$11)</f>
        <v>5</v>
      </c>
      <c r="L118" s="629">
        <f>$L$106+5</f>
        <v>14</v>
      </c>
      <c r="M118" s="629">
        <f>IF(ISNA(VLOOKUP(T118,$BJ$44:$BN$58,2)),0,VLOOKUP(T118,$BJ$44:$BN$58,2))+IF(N121="Oak",4,0)+IF(N121="Cypress",2,0)</f>
        <v>0</v>
      </c>
      <c r="N118" s="620">
        <f>K118+L118+M118</f>
        <v>19</v>
      </c>
      <c r="O118" s="769" t="s">
        <v>4740</v>
      </c>
      <c r="P118" s="629"/>
      <c r="Q118" s="629"/>
      <c r="R118" s="629" t="str">
        <f>IF(AND(ISBLANK(Skills!$X$151),ISNA(Skills!$W$151)),"N",(IF(Skills!$V$154=0,"Y+","Y")))</f>
        <v>N</v>
      </c>
      <c r="S118" s="629">
        <f>Skills!V$151</f>
        <v>5</v>
      </c>
      <c r="T118" s="629" t="str">
        <f>IF(ISNA(Skills!$W$151),IF(ISBLANK(Skills!$X$151)," ",Skills!$X$151),+Skills!$W$151+Skills!$X$151)</f>
        <v xml:space="preserve"> </v>
      </c>
      <c r="U118" s="743">
        <f>IF(R118="Y",Skills!$AC$151,Skills!$AB$151)</f>
        <v>0.1</v>
      </c>
      <c r="V118" s="714">
        <f ca="1">Skills!$Y$151</f>
        <v>0.06</v>
      </c>
      <c r="W118" s="714">
        <f ca="1">Skills!$AA$151</f>
        <v>0.06</v>
      </c>
      <c r="X118" s="777">
        <f ca="1">Skills!AD$154</f>
        <v>0.16</v>
      </c>
      <c r="Y118" s="622">
        <f ca="1">HLOOKUP(W118,$BJ$60:$BO$67,6)</f>
        <v>7</v>
      </c>
      <c r="Z118" s="622">
        <f ca="1">HLOOKUP(X118,$BJ$68:$BO$72,2)</f>
        <v>1</v>
      </c>
      <c r="AA118" s="779" t="s">
        <v>2475</v>
      </c>
      <c r="AB118" s="831">
        <v>0</v>
      </c>
      <c r="AC118" s="621">
        <f>$N118+AB118</f>
        <v>19</v>
      </c>
      <c r="AD118" s="796">
        <v>20</v>
      </c>
      <c r="AE118" s="843">
        <f ca="1">2+IF(R118="Y+",Skills!AE154,Skills!$AE$151)+IF(N121="Oak",2,0)+IF(N121="Cypress",1,0)</f>
        <v>2</v>
      </c>
      <c r="AF118" s="834">
        <v>-5</v>
      </c>
      <c r="AG118" s="621">
        <f>$N118+AF118</f>
        <v>14</v>
      </c>
      <c r="AH118" s="796">
        <v>60</v>
      </c>
      <c r="AI118" s="843">
        <f ca="1">$AE118-1</f>
        <v>1</v>
      </c>
      <c r="AJ118" s="834">
        <v>-10</v>
      </c>
      <c r="AK118" s="621">
        <f>$N118+AJ118</f>
        <v>9</v>
      </c>
      <c r="AL118" s="796">
        <v>200</v>
      </c>
      <c r="AM118" s="843">
        <f ca="1">$AE118-2</f>
        <v>0</v>
      </c>
      <c r="AN118" s="834">
        <v>-16</v>
      </c>
      <c r="AO118" s="621">
        <f>$N118+AN118</f>
        <v>3</v>
      </c>
      <c r="AP118" s="796">
        <f>450+IF('Main Creation Page'!$E$16&gt;11,50*('Main Creation Page'!$E$16-12))</f>
        <v>850</v>
      </c>
      <c r="AQ118" s="843">
        <f ca="1">$AE118-2</f>
        <v>0</v>
      </c>
      <c r="AR118" s="834">
        <v>-20</v>
      </c>
      <c r="AS118" s="621">
        <f>$N118+AR118</f>
        <v>-1</v>
      </c>
      <c r="AT118" s="796">
        <f>900+IF('Main Creation Page'!$E$16&gt;11,50*('Main Creation Page'!$E$16-12))</f>
        <v>1300</v>
      </c>
      <c r="AU118" s="843">
        <f ca="1">$AE118-2</f>
        <v>0</v>
      </c>
      <c r="BI118" s="752">
        <v>1</v>
      </c>
      <c r="BJ118" s="970">
        <v>1</v>
      </c>
      <c r="BK118" s="752" t="s">
        <v>4159</v>
      </c>
      <c r="BL118" s="752" t="s">
        <v>4781</v>
      </c>
      <c r="BM118" s="602"/>
      <c r="BN118" s="752"/>
      <c r="BS118" s="602"/>
      <c r="DG118" s="602"/>
      <c r="DH118" s="602"/>
      <c r="DI118" s="602"/>
      <c r="DJ118" s="602"/>
      <c r="DK118" s="602"/>
    </row>
    <row r="119" spans="1:115" ht="11.1" customHeight="1" outlineLevel="4">
      <c r="A119" s="602">
        <v>115</v>
      </c>
      <c r="B119" s="779" t="s">
        <v>5411</v>
      </c>
      <c r="C119" s="629">
        <v>2</v>
      </c>
      <c r="D119" s="768">
        <v>0.1</v>
      </c>
      <c r="E119" s="769">
        <v>30</v>
      </c>
      <c r="F119" s="649"/>
      <c r="G119" s="768">
        <f t="shared" si="36"/>
        <v>0</v>
      </c>
      <c r="H119" s="771">
        <v>35</v>
      </c>
      <c r="I119" s="771">
        <f t="shared" si="37"/>
        <v>0</v>
      </c>
      <c r="J119" s="769" t="s">
        <v>5221</v>
      </c>
      <c r="K119" s="774">
        <f>IF(J119&lt;&gt;"L",'Main Creation Page'!$AF$11,'Main Creation Page'!$AG$11)</f>
        <v>10</v>
      </c>
      <c r="L119" s="629">
        <f>$L$107+5</f>
        <v>15</v>
      </c>
      <c r="M119" s="629">
        <f>IF(ISNA(VLOOKUP(T119,$BJ$44:$BN$58,3)),0,VLOOKUP(T119,$BJ$44:$BN$58,3))+IF(N121="Oak",4,0)+IF(N121="Cypress",2,0)</f>
        <v>0</v>
      </c>
      <c r="N119" s="620">
        <f>K119+L119+M119</f>
        <v>25</v>
      </c>
      <c r="O119" s="769" t="s">
        <v>4740</v>
      </c>
      <c r="P119" s="629"/>
      <c r="Q119" s="629">
        <v>8</v>
      </c>
      <c r="R119" s="629" t="str">
        <f>IF(AND(ISBLANK(Skills!$X$151),ISNA(Skills!$W$151)),"N",(IF(Skills!$V$154=0,"Y+","Y")))</f>
        <v>N</v>
      </c>
      <c r="S119" s="629">
        <f>Skills!V$151</f>
        <v>5</v>
      </c>
      <c r="T119" s="629" t="str">
        <f>IF(ISNA(Skills!$W$151),IF(ISBLANK(Skills!$X$151)," ",Skills!$X$151),+Skills!$W$151+Skills!$X$151)</f>
        <v xml:space="preserve"> </v>
      </c>
      <c r="U119" s="743">
        <f>IF(R119="Y",Skills!$AC$151,Skills!$AB$151)</f>
        <v>0.1</v>
      </c>
      <c r="V119" s="714">
        <f ca="1">Skills!$Y$151</f>
        <v>0.06</v>
      </c>
      <c r="W119" s="714">
        <f ca="1">Skills!$AA$151</f>
        <v>0.06</v>
      </c>
      <c r="X119" s="777">
        <f ca="1">Skills!AD$154</f>
        <v>0.16</v>
      </c>
      <c r="Y119" s="622">
        <f ca="1">HLOOKUP(W119,$BJ$60:$BO$67,6)</f>
        <v>7</v>
      </c>
      <c r="Z119" s="622">
        <f ca="1">HLOOKUP(X119,$BJ$68:$BO$72,3)</f>
        <v>2</v>
      </c>
      <c r="AA119" s="779" t="s">
        <v>5411</v>
      </c>
      <c r="AB119" s="831">
        <v>0</v>
      </c>
      <c r="AC119" s="832">
        <f>$N119+AB119</f>
        <v>25</v>
      </c>
      <c r="AD119" s="796">
        <v>20</v>
      </c>
      <c r="AE119" s="843">
        <f ca="1">2+IF(R119="Y+",Skills!AE154,Skills!$AE$151)+IF(N121="Oak",2,0)+IF(N121="Cypress",1,0)</f>
        <v>2</v>
      </c>
      <c r="AF119" s="834">
        <v>-4</v>
      </c>
      <c r="AG119" s="832">
        <f>$N119+AF119</f>
        <v>21</v>
      </c>
      <c r="AH119" s="796">
        <v>50</v>
      </c>
      <c r="AI119" s="843">
        <f ca="1">$AE119-1</f>
        <v>1</v>
      </c>
      <c r="AJ119" s="834">
        <v>-8</v>
      </c>
      <c r="AK119" s="832">
        <f>$N119+AJ119</f>
        <v>17</v>
      </c>
      <c r="AL119" s="796">
        <v>150</v>
      </c>
      <c r="AM119" s="843">
        <f ca="1">$AE119-2</f>
        <v>0</v>
      </c>
      <c r="AN119" s="834">
        <v>-15</v>
      </c>
      <c r="AO119" s="832">
        <f>$N119+AN119</f>
        <v>10</v>
      </c>
      <c r="AP119" s="796">
        <f>250+IF('Main Creation Page'!$E$16&gt;11,50*('Main Creation Page'!$E$16-12))</f>
        <v>650</v>
      </c>
      <c r="AQ119" s="843">
        <f ca="1">$AE119-2</f>
        <v>0</v>
      </c>
      <c r="AR119" s="834">
        <v>-19</v>
      </c>
      <c r="AS119" s="832">
        <f>$N119+AR119</f>
        <v>6</v>
      </c>
      <c r="AT119" s="796">
        <f>600+IF('Main Creation Page'!$E$16&gt;11,50*('Main Creation Page'!$E$16-12))</f>
        <v>1000</v>
      </c>
      <c r="AU119" s="843">
        <f ca="1">$AE119-2</f>
        <v>0</v>
      </c>
      <c r="BI119" s="752">
        <v>66</v>
      </c>
      <c r="BJ119" s="970">
        <v>2</v>
      </c>
      <c r="BK119" s="752" t="s">
        <v>4160</v>
      </c>
      <c r="BL119" s="752" t="s">
        <v>3964</v>
      </c>
      <c r="BM119" s="847" t="s">
        <v>2427</v>
      </c>
      <c r="BN119" s="752" t="s">
        <v>2225</v>
      </c>
      <c r="BS119" s="602"/>
      <c r="DG119" s="602"/>
      <c r="DH119" s="602"/>
      <c r="DI119" s="602"/>
      <c r="DJ119" s="602"/>
      <c r="DK119" s="602"/>
    </row>
    <row r="120" spans="1:115" ht="11.1" customHeight="1" outlineLevel="4">
      <c r="A120" s="602">
        <v>116</v>
      </c>
      <c r="B120" s="779" t="s">
        <v>1036</v>
      </c>
      <c r="C120" s="629">
        <v>2</v>
      </c>
      <c r="D120" s="768">
        <v>0.1</v>
      </c>
      <c r="E120" s="769">
        <v>30</v>
      </c>
      <c r="F120" s="649"/>
      <c r="G120" s="768">
        <f t="shared" si="36"/>
        <v>0</v>
      </c>
      <c r="H120" s="771">
        <v>50</v>
      </c>
      <c r="I120" s="771">
        <f t="shared" si="37"/>
        <v>0</v>
      </c>
      <c r="J120" s="769" t="s">
        <v>5221</v>
      </c>
      <c r="K120" s="774">
        <f>IF(J120&lt;&gt;"L",'Main Creation Page'!$AF$11,'Main Creation Page'!$AG$11)</f>
        <v>10</v>
      </c>
      <c r="L120" s="629">
        <f>$L$108+5</f>
        <v>17</v>
      </c>
      <c r="M120" s="629">
        <f>IF(ISNA(VLOOKUP(T120,$BJ$44:$BN$58,3)),0,VLOOKUP(T120,$BJ$44:$BN$58,3))+IF(N121="Oak",4,0)+IF(N121="Cypress",2,0)</f>
        <v>0</v>
      </c>
      <c r="N120" s="620">
        <f>K120+L120+M120</f>
        <v>27</v>
      </c>
      <c r="O120" s="769" t="s">
        <v>4740</v>
      </c>
      <c r="P120" s="629"/>
      <c r="Q120" s="629">
        <v>9</v>
      </c>
      <c r="R120" s="629" t="str">
        <f>IF(AND(ISBLANK(Skills!$X$151),ISNA(Skills!$W$151)),"N",(IF(Skills!$V$154=0,"Y+","Y")))</f>
        <v>N</v>
      </c>
      <c r="S120" s="629">
        <f>Skills!V$151</f>
        <v>5</v>
      </c>
      <c r="T120" s="629" t="str">
        <f>IF(ISNA(Skills!$W$151),IF(ISBLANK(Skills!$X$151)," ",Skills!$X$151),+Skills!$W$151+Skills!$X$151)</f>
        <v xml:space="preserve"> </v>
      </c>
      <c r="U120" s="743">
        <f>IF(R120="Y",Skills!$AC$151,Skills!$AB$151)</f>
        <v>0.1</v>
      </c>
      <c r="V120" s="714">
        <f ca="1">Skills!$Y$151</f>
        <v>0.06</v>
      </c>
      <c r="W120" s="714">
        <f ca="1">Skills!$AA$151</f>
        <v>0.06</v>
      </c>
      <c r="X120" s="777">
        <f ca="1">Skills!AD$154</f>
        <v>0.16</v>
      </c>
      <c r="Y120" s="622">
        <f ca="1">HLOOKUP(W120,$BJ$60:$BO$67,6)</f>
        <v>7</v>
      </c>
      <c r="Z120" s="622">
        <f ca="1">HLOOKUP(X120,$BJ$68:$BO$72,3)</f>
        <v>2</v>
      </c>
      <c r="AA120" s="779" t="s">
        <v>1036</v>
      </c>
      <c r="AB120" s="831">
        <v>0</v>
      </c>
      <c r="AC120" s="719">
        <f>$N120+AB120</f>
        <v>27</v>
      </c>
      <c r="AD120" s="796">
        <v>20</v>
      </c>
      <c r="AE120" s="843">
        <f ca="1">2+IF(R120="Y+",Skills!AE154,Skills!$AE$151)+IF(N121="Oak",2,0)+IF(N121="Cypress",1,0)</f>
        <v>2</v>
      </c>
      <c r="AF120" s="834">
        <v>-7</v>
      </c>
      <c r="AG120" s="719">
        <f>$N120+AF120</f>
        <v>20</v>
      </c>
      <c r="AH120" s="796">
        <v>50</v>
      </c>
      <c r="AI120" s="843">
        <f ca="1">$AE120-0</f>
        <v>2</v>
      </c>
      <c r="AJ120" s="834">
        <v>-8</v>
      </c>
      <c r="AK120" s="719">
        <f>$N120+AJ120</f>
        <v>19</v>
      </c>
      <c r="AL120" s="796">
        <v>125</v>
      </c>
      <c r="AM120" s="843">
        <f ca="1">$AE120-1</f>
        <v>1</v>
      </c>
      <c r="AN120" s="834">
        <v>-16</v>
      </c>
      <c r="AO120" s="719">
        <f>$N120+AN120</f>
        <v>11</v>
      </c>
      <c r="AP120" s="796">
        <f>175+IF('Main Creation Page'!$E$16&gt;11,50*('Main Creation Page'!$E$16-12))</f>
        <v>575</v>
      </c>
      <c r="AQ120" s="843">
        <f ca="1">$AE120-2</f>
        <v>0</v>
      </c>
      <c r="AR120" s="834">
        <v>-20</v>
      </c>
      <c r="AS120" s="719">
        <f>$N120+AR120</f>
        <v>7</v>
      </c>
      <c r="AT120" s="796">
        <f>450+IF('Main Creation Page'!$E$16&gt;11,50*('Main Creation Page'!$E$16-12))</f>
        <v>850</v>
      </c>
      <c r="AU120" s="843">
        <f ca="1">$AE120-2</f>
        <v>0</v>
      </c>
      <c r="BI120" s="752">
        <v>74</v>
      </c>
      <c r="BJ120" s="970">
        <v>3</v>
      </c>
      <c r="BK120" s="752" t="s">
        <v>4161</v>
      </c>
      <c r="BL120" s="752" t="s">
        <v>374</v>
      </c>
      <c r="BM120" s="848" t="s">
        <v>2422</v>
      </c>
      <c r="BN120" s="849" t="s">
        <v>2430</v>
      </c>
      <c r="BS120" s="602"/>
      <c r="DG120" s="602"/>
      <c r="DH120" s="602"/>
      <c r="DI120" s="602"/>
      <c r="DJ120" s="602"/>
      <c r="DK120" s="602"/>
    </row>
    <row r="121" spans="1:115" ht="11.1" customHeight="1" outlineLevel="3">
      <c r="A121" s="602">
        <v>117</v>
      </c>
      <c r="B121" s="850" t="s">
        <v>4329</v>
      </c>
      <c r="C121" s="629">
        <v>49</v>
      </c>
      <c r="D121" s="772">
        <v>2.5</v>
      </c>
      <c r="E121" s="769">
        <f>5*12</f>
        <v>60</v>
      </c>
      <c r="F121" s="649"/>
      <c r="G121" s="768">
        <f t="shared" si="36"/>
        <v>0</v>
      </c>
      <c r="H121" s="771">
        <v>0</v>
      </c>
      <c r="I121" s="771">
        <f t="shared" si="37"/>
        <v>0</v>
      </c>
      <c r="J121" s="851"/>
      <c r="K121" s="629"/>
      <c r="L121" s="629"/>
      <c r="M121" s="755">
        <v>50</v>
      </c>
      <c r="N121" s="852" t="str">
        <f>VLOOKUP(M121,BI118:BK124,3)</f>
        <v>Yew</v>
      </c>
      <c r="O121" s="853" t="s">
        <v>4158</v>
      </c>
      <c r="P121" s="629"/>
      <c r="Q121" s="629"/>
      <c r="R121" s="629"/>
      <c r="S121" s="629"/>
      <c r="T121" s="629"/>
      <c r="U121" s="629"/>
      <c r="V121" s="629"/>
      <c r="W121" s="629"/>
      <c r="X121" s="772"/>
      <c r="Y121" s="629"/>
      <c r="Z121" s="629"/>
      <c r="AA121" s="779" t="s">
        <v>4329</v>
      </c>
      <c r="AB121" s="845"/>
      <c r="AC121" s="684"/>
      <c r="AD121" s="684"/>
      <c r="AE121" s="846"/>
      <c r="AF121" s="684"/>
      <c r="AG121" s="684"/>
      <c r="AH121" s="684"/>
      <c r="AI121" s="846"/>
      <c r="AJ121" s="684"/>
      <c r="AK121" s="684"/>
      <c r="AL121" s="684"/>
      <c r="AM121" s="846"/>
      <c r="AN121" s="684"/>
      <c r="AO121" s="684"/>
      <c r="AP121" s="684"/>
      <c r="AQ121" s="835"/>
      <c r="AR121" s="684"/>
      <c r="AS121" s="684"/>
      <c r="AT121" s="684"/>
      <c r="AU121" s="835"/>
      <c r="BI121" s="752">
        <v>80</v>
      </c>
      <c r="BJ121" s="970">
        <v>4</v>
      </c>
      <c r="BK121" s="752" t="s">
        <v>4162</v>
      </c>
      <c r="BL121" s="752" t="s">
        <v>4823</v>
      </c>
      <c r="BM121" s="847" t="s">
        <v>2423</v>
      </c>
      <c r="BN121" s="849" t="s">
        <v>2424</v>
      </c>
      <c r="BS121" s="602"/>
      <c r="DG121" s="602"/>
      <c r="DH121" s="602"/>
      <c r="DI121" s="602"/>
      <c r="DJ121" s="602"/>
      <c r="DK121" s="602"/>
    </row>
    <row r="122" spans="1:115" ht="11.1" customHeight="1" outlineLevel="3" thickBot="1">
      <c r="A122" s="602">
        <v>118</v>
      </c>
      <c r="B122" s="854" t="s">
        <v>1875</v>
      </c>
      <c r="C122" s="782">
        <v>2</v>
      </c>
      <c r="D122" s="855">
        <v>3</v>
      </c>
      <c r="E122" s="784">
        <v>18</v>
      </c>
      <c r="F122" s="856">
        <f>IF('Character Sheet'!G299="",0,'Character Sheet'!G299)</f>
        <v>3</v>
      </c>
      <c r="G122" s="783">
        <f t="shared" si="36"/>
        <v>9</v>
      </c>
      <c r="H122" s="809">
        <v>240</v>
      </c>
      <c r="I122" s="809">
        <f t="shared" si="37"/>
        <v>720</v>
      </c>
      <c r="J122" s="784"/>
      <c r="K122" s="782"/>
      <c r="L122" s="782"/>
      <c r="M122" s="782"/>
      <c r="N122" s="782"/>
      <c r="O122" s="782"/>
      <c r="P122" s="782"/>
      <c r="Q122" s="782"/>
      <c r="R122" s="782"/>
      <c r="S122" s="782"/>
      <c r="T122" s="782"/>
      <c r="U122" s="782"/>
      <c r="V122" s="782"/>
      <c r="W122" s="782"/>
      <c r="X122" s="855"/>
      <c r="Y122" s="782"/>
      <c r="Z122" s="782"/>
      <c r="AB122" s="838" t="s">
        <v>4013</v>
      </c>
      <c r="AC122" s="628" t="s">
        <v>4744</v>
      </c>
      <c r="AD122" s="628" t="s">
        <v>3143</v>
      </c>
      <c r="AE122" s="698" t="s">
        <v>1742</v>
      </c>
      <c r="AF122" s="628" t="s">
        <v>4013</v>
      </c>
      <c r="AG122" s="628" t="s">
        <v>4744</v>
      </c>
      <c r="AH122" s="628" t="s">
        <v>3143</v>
      </c>
      <c r="AI122" s="698" t="s">
        <v>1742</v>
      </c>
      <c r="AJ122" s="628" t="s">
        <v>4013</v>
      </c>
      <c r="AK122" s="628" t="s">
        <v>4744</v>
      </c>
      <c r="AL122" s="628" t="s">
        <v>3143</v>
      </c>
      <c r="AM122" s="698" t="s">
        <v>1742</v>
      </c>
      <c r="AN122" s="628" t="s">
        <v>4013</v>
      </c>
      <c r="AO122" s="628" t="s">
        <v>4744</v>
      </c>
      <c r="AP122" s="628" t="s">
        <v>3143</v>
      </c>
      <c r="AQ122" s="698" t="s">
        <v>1742</v>
      </c>
      <c r="AR122" s="628" t="s">
        <v>4013</v>
      </c>
      <c r="AS122" s="628" t="s">
        <v>4744</v>
      </c>
      <c r="AT122" s="628" t="s">
        <v>3143</v>
      </c>
      <c r="AU122" s="698" t="s">
        <v>1742</v>
      </c>
      <c r="BI122" s="752">
        <v>87</v>
      </c>
      <c r="BJ122" s="970">
        <v>5</v>
      </c>
      <c r="BK122" s="752" t="s">
        <v>4163</v>
      </c>
      <c r="BL122" s="752" t="s">
        <v>2616</v>
      </c>
      <c r="BM122" s="848" t="s">
        <v>2425</v>
      </c>
      <c r="BN122" s="849" t="s">
        <v>2426</v>
      </c>
      <c r="BS122" s="602"/>
      <c r="DG122" s="602"/>
      <c r="DH122" s="602"/>
      <c r="DI122" s="602"/>
      <c r="DJ122" s="602"/>
      <c r="DK122" s="602"/>
    </row>
    <row r="123" spans="1:115" ht="11.1" customHeight="1" outlineLevel="2" thickTop="1">
      <c r="B123" s="779"/>
      <c r="C123" s="786"/>
      <c r="D123" s="824"/>
      <c r="E123" s="788"/>
      <c r="F123" s="857"/>
      <c r="G123" s="787"/>
      <c r="H123" s="823"/>
      <c r="I123" s="823"/>
      <c r="J123" s="788"/>
      <c r="K123" s="786"/>
      <c r="L123" s="786"/>
      <c r="M123" s="786"/>
      <c r="N123" s="786"/>
      <c r="O123" s="786"/>
      <c r="P123" s="786"/>
      <c r="Q123" s="786"/>
      <c r="R123" s="786"/>
      <c r="S123" s="786"/>
      <c r="T123" s="786"/>
      <c r="U123" s="786"/>
      <c r="V123" s="786"/>
      <c r="W123" s="786"/>
      <c r="X123" s="824"/>
      <c r="Y123" s="786"/>
      <c r="Z123" s="786"/>
      <c r="AA123" s="858"/>
      <c r="AB123" s="839"/>
      <c r="AC123" s="840"/>
      <c r="AD123" s="840"/>
      <c r="AE123" s="841"/>
      <c r="AF123" s="842"/>
      <c r="AG123" s="840"/>
      <c r="AH123" s="840"/>
      <c r="AI123" s="841"/>
      <c r="AJ123" s="842"/>
      <c r="AK123" s="840"/>
      <c r="AL123" s="840"/>
      <c r="AM123" s="841"/>
      <c r="AN123" s="842"/>
      <c r="AO123" s="840"/>
      <c r="AP123" s="840"/>
      <c r="AQ123" s="841"/>
      <c r="AR123" s="842"/>
      <c r="AS123" s="840"/>
      <c r="AT123" s="840"/>
      <c r="AU123" s="841"/>
      <c r="BI123" s="752">
        <v>89</v>
      </c>
      <c r="BJ123" s="970">
        <v>6</v>
      </c>
      <c r="BK123" s="752" t="s">
        <v>4164</v>
      </c>
      <c r="BL123" s="752" t="s">
        <v>18</v>
      </c>
      <c r="BM123" s="847" t="s">
        <v>2428</v>
      </c>
      <c r="BN123" s="602" t="s">
        <v>2225</v>
      </c>
      <c r="BS123" s="602"/>
      <c r="DG123" s="602"/>
      <c r="DH123" s="602"/>
      <c r="DI123" s="602"/>
      <c r="DJ123" s="602"/>
      <c r="DK123" s="602"/>
    </row>
    <row r="124" spans="1:115" ht="11.1" customHeight="1" outlineLevel="2">
      <c r="B124" s="785" t="s">
        <v>4152</v>
      </c>
      <c r="C124" s="629"/>
      <c r="D124" s="772"/>
      <c r="E124" s="769"/>
      <c r="F124" s="859"/>
      <c r="G124" s="768"/>
      <c r="H124" s="771"/>
      <c r="I124" s="771"/>
      <c r="J124" s="769"/>
      <c r="K124" s="629"/>
      <c r="L124" s="629"/>
      <c r="M124" s="629"/>
      <c r="N124" s="629"/>
      <c r="O124" s="629"/>
      <c r="P124" s="629"/>
      <c r="Q124" s="629"/>
      <c r="R124" s="629"/>
      <c r="S124" s="629"/>
      <c r="T124" s="629"/>
      <c r="U124" s="629"/>
      <c r="V124" s="629"/>
      <c r="W124" s="629"/>
      <c r="X124" s="772"/>
      <c r="Y124" s="629"/>
      <c r="Z124" s="629"/>
      <c r="AA124" s="827" t="s">
        <v>4494</v>
      </c>
      <c r="AB124" s="839"/>
      <c r="AC124" s="840"/>
      <c r="AD124" s="840"/>
      <c r="AE124" s="841"/>
      <c r="AF124" s="842"/>
      <c r="AG124" s="840"/>
      <c r="AH124" s="840"/>
      <c r="AI124" s="841"/>
      <c r="AJ124" s="842"/>
      <c r="AK124" s="840"/>
      <c r="AL124" s="840"/>
      <c r="AM124" s="841"/>
      <c r="AN124" s="842"/>
      <c r="AO124" s="840"/>
      <c r="AP124" s="840"/>
      <c r="AQ124" s="841"/>
      <c r="AR124" s="842"/>
      <c r="AS124" s="840"/>
      <c r="AT124" s="840"/>
      <c r="AU124" s="841"/>
      <c r="BI124" s="752">
        <v>95</v>
      </c>
      <c r="BJ124" s="970">
        <v>7</v>
      </c>
      <c r="BK124" s="752" t="s">
        <v>4165</v>
      </c>
      <c r="BL124" s="752" t="s">
        <v>4166</v>
      </c>
      <c r="BM124" s="848" t="s">
        <v>2431</v>
      </c>
      <c r="BN124" s="849" t="s">
        <v>2429</v>
      </c>
      <c r="BS124" s="602"/>
      <c r="DG124" s="602"/>
      <c r="DH124" s="602"/>
      <c r="DI124" s="602"/>
      <c r="DJ124" s="602"/>
      <c r="DK124" s="602"/>
    </row>
    <row r="125" spans="1:115" ht="11.1" customHeight="1" outlineLevel="3">
      <c r="A125" s="602">
        <v>119</v>
      </c>
      <c r="B125" s="779" t="s">
        <v>371</v>
      </c>
      <c r="C125" s="629">
        <v>10</v>
      </c>
      <c r="D125" s="768">
        <v>7.5</v>
      </c>
      <c r="E125" s="769">
        <v>30</v>
      </c>
      <c r="F125" s="649"/>
      <c r="G125" s="768">
        <f t="shared" ref="G125:G142" si="38">F125*D125</f>
        <v>0</v>
      </c>
      <c r="H125" s="771">
        <v>2160</v>
      </c>
      <c r="I125" s="771">
        <f t="shared" ref="I125:I142" si="39">H125*F125</f>
        <v>0</v>
      </c>
      <c r="J125" s="769" t="s">
        <v>2763</v>
      </c>
      <c r="K125" s="774">
        <f>IF(J125&lt;&gt;"L",'Main Creation Page'!$AF$11,'Main Creation Page'!$AG$11)</f>
        <v>10</v>
      </c>
      <c r="L125" s="629">
        <v>10</v>
      </c>
      <c r="M125" s="629">
        <f>IF(ISNA(VLOOKUP(T125,$BJ$44:$BN$58,4)),0,VLOOKUP(T125,$BJ$44:$BN$58,4))</f>
        <v>0</v>
      </c>
      <c r="N125" s="620">
        <f t="shared" ref="N125:N131" si="40">K125+L125+M125</f>
        <v>20</v>
      </c>
      <c r="O125" s="769" t="s">
        <v>3805</v>
      </c>
      <c r="P125" s="776"/>
      <c r="Q125" s="776">
        <v>8</v>
      </c>
      <c r="R125" s="629" t="str">
        <f>IF(AND(ISBLANK(Skills!$X$151),ISNA(Skills!$W$151)),"N",(IF(Skills!$V$153=0,"Y+","Y")))</f>
        <v>N</v>
      </c>
      <c r="S125" s="629">
        <f>Skills!V$151</f>
        <v>5</v>
      </c>
      <c r="T125" s="629" t="str">
        <f>IF(ISNA(Skills!$W$151),IF(ISBLANK(Skills!$X$151)," ",Skills!$X$151),+Skills!$W$151+Skills!$X$151)</f>
        <v xml:space="preserve"> </v>
      </c>
      <c r="U125" s="743">
        <f>IF(R125="Y",Skills!$AC$151,Skills!$AB$151)</f>
        <v>0.1</v>
      </c>
      <c r="V125" s="714">
        <f ca="1">Skills!$Y$151</f>
        <v>0.06</v>
      </c>
      <c r="W125" s="714">
        <f ca="1">Skills!$AA$151</f>
        <v>0.06</v>
      </c>
      <c r="X125" s="777">
        <f ca="1">Skills!AD$153</f>
        <v>0.16</v>
      </c>
      <c r="Y125" s="622">
        <f ca="1">HLOOKUP(W125,$BJ$60:$BO$67,6)</f>
        <v>7</v>
      </c>
      <c r="Z125" s="622">
        <f ca="1">HLOOKUP(X125,$BJ$68:$BO$72,4)</f>
        <v>3</v>
      </c>
      <c r="AA125" s="779" t="s">
        <v>371</v>
      </c>
      <c r="AB125" s="831">
        <v>0</v>
      </c>
      <c r="AC125" s="832"/>
      <c r="AD125" s="796">
        <v>20</v>
      </c>
      <c r="AE125" s="835"/>
      <c r="AF125" s="834">
        <v>-2</v>
      </c>
      <c r="AG125" s="832"/>
      <c r="AH125" s="796">
        <v>50</v>
      </c>
      <c r="AI125" s="835"/>
      <c r="AJ125" s="834">
        <v>-5</v>
      </c>
      <c r="AK125" s="832"/>
      <c r="AL125" s="796">
        <v>100</v>
      </c>
      <c r="AM125" s="835"/>
      <c r="AN125" s="834">
        <v>-10</v>
      </c>
      <c r="AO125" s="832"/>
      <c r="AP125" s="796">
        <v>200</v>
      </c>
      <c r="AQ125" s="835"/>
      <c r="AR125" s="834">
        <v>-13</v>
      </c>
      <c r="AS125" s="832"/>
      <c r="AT125" s="796">
        <v>600</v>
      </c>
      <c r="AU125" s="835"/>
      <c r="BJ125" s="970"/>
      <c r="BN125" s="602"/>
      <c r="BS125" s="602"/>
      <c r="DG125" s="602"/>
      <c r="DH125" s="602"/>
      <c r="DI125" s="602"/>
      <c r="DJ125" s="602"/>
      <c r="DK125" s="602"/>
    </row>
    <row r="126" spans="1:115" ht="11.1" customHeight="1" outlineLevel="3">
      <c r="A126" s="602">
        <v>120</v>
      </c>
      <c r="B126" s="779" t="s">
        <v>3471</v>
      </c>
      <c r="C126" s="629">
        <v>15</v>
      </c>
      <c r="D126" s="768">
        <v>12</v>
      </c>
      <c r="E126" s="769">
        <v>42</v>
      </c>
      <c r="F126" s="649"/>
      <c r="G126" s="768">
        <f t="shared" si="38"/>
        <v>0</v>
      </c>
      <c r="H126" s="771">
        <v>2880</v>
      </c>
      <c r="I126" s="771">
        <f t="shared" si="39"/>
        <v>0</v>
      </c>
      <c r="J126" s="769" t="s">
        <v>2763</v>
      </c>
      <c r="K126" s="774">
        <f>IF(J126&lt;&gt;"L",'Main Creation Page'!$AF$11,'Main Creation Page'!$AG$11)</f>
        <v>10</v>
      </c>
      <c r="L126" s="629">
        <v>12</v>
      </c>
      <c r="M126" s="629">
        <f>IF(ISNA(VLOOKUP(T126,$BJ$44:$BN$58,4)),0,VLOOKUP(T126,$BJ$44:$BN$58,4))</f>
        <v>0</v>
      </c>
      <c r="N126" s="620">
        <f t="shared" si="40"/>
        <v>22</v>
      </c>
      <c r="O126" s="769" t="s">
        <v>3805</v>
      </c>
      <c r="P126" s="776"/>
      <c r="Q126" s="776">
        <v>8</v>
      </c>
      <c r="R126" s="629" t="str">
        <f>IF(AND(ISBLANK(Skills!$X$151),ISNA(Skills!$W$151)),"N",(IF(Skills!$V$153=0,"Y+","Y")))</f>
        <v>N</v>
      </c>
      <c r="S126" s="629">
        <f>Skills!V$151</f>
        <v>5</v>
      </c>
      <c r="T126" s="629" t="str">
        <f>IF(ISNA(Skills!$W$151),IF(ISBLANK(Skills!$X$151)," ",Skills!$X$151),+Skills!$W$151+Skills!$X$151)</f>
        <v xml:space="preserve"> </v>
      </c>
      <c r="U126" s="743">
        <f>IF(R126="Y",Skills!$AC$151,Skills!$AB$151)</f>
        <v>0.1</v>
      </c>
      <c r="V126" s="714">
        <f ca="1">Skills!$Y$151</f>
        <v>0.06</v>
      </c>
      <c r="W126" s="714">
        <f ca="1">Skills!$AA$151</f>
        <v>0.06</v>
      </c>
      <c r="X126" s="777">
        <f ca="1">Skills!AD$153</f>
        <v>0.16</v>
      </c>
      <c r="Y126" s="622">
        <f ca="1">HLOOKUP(W126,$BJ$60:$BO$67,6)</f>
        <v>7</v>
      </c>
      <c r="Z126" s="622">
        <f ca="1">HLOOKUP(X126,$BJ$68:$BO$72,4)</f>
        <v>3</v>
      </c>
      <c r="AA126" s="779" t="s">
        <v>3471</v>
      </c>
      <c r="AB126" s="831">
        <v>0</v>
      </c>
      <c r="AC126" s="832"/>
      <c r="AD126" s="796">
        <v>20</v>
      </c>
      <c r="AE126" s="835"/>
      <c r="AF126" s="834">
        <v>-2</v>
      </c>
      <c r="AG126" s="832"/>
      <c r="AH126" s="796">
        <v>50</v>
      </c>
      <c r="AI126" s="835"/>
      <c r="AJ126" s="834">
        <v>-3</v>
      </c>
      <c r="AK126" s="832"/>
      <c r="AL126" s="796">
        <v>100</v>
      </c>
      <c r="AM126" s="835"/>
      <c r="AN126" s="834">
        <v>-10</v>
      </c>
      <c r="AO126" s="832"/>
      <c r="AP126" s="796">
        <v>200</v>
      </c>
      <c r="AQ126" s="835"/>
      <c r="AR126" s="834">
        <v>-13</v>
      </c>
      <c r="AS126" s="832"/>
      <c r="AT126" s="796">
        <v>900</v>
      </c>
      <c r="AU126" s="835"/>
      <c r="BJ126" s="970"/>
      <c r="BN126" s="602"/>
      <c r="BS126" s="602"/>
      <c r="DG126" s="602"/>
      <c r="DH126" s="602"/>
      <c r="DI126" s="602"/>
      <c r="DJ126" s="602"/>
      <c r="DK126" s="602"/>
    </row>
    <row r="127" spans="1:115" ht="11.1" customHeight="1" outlineLevel="3">
      <c r="A127" s="602">
        <v>121</v>
      </c>
      <c r="B127" s="779" t="s">
        <v>372</v>
      </c>
      <c r="C127" s="629">
        <v>8</v>
      </c>
      <c r="D127" s="768">
        <v>18</v>
      </c>
      <c r="E127" s="769">
        <v>42</v>
      </c>
      <c r="F127" s="649"/>
      <c r="G127" s="768">
        <f t="shared" si="38"/>
        <v>0</v>
      </c>
      <c r="H127" s="771">
        <v>4320</v>
      </c>
      <c r="I127" s="771">
        <f t="shared" si="39"/>
        <v>0</v>
      </c>
      <c r="J127" s="769" t="s">
        <v>2763</v>
      </c>
      <c r="K127" s="774">
        <f>IF(J127&lt;&gt;"L",'Main Creation Page'!$AF$11,'Main Creation Page'!$AG$11)</f>
        <v>10</v>
      </c>
      <c r="L127" s="629">
        <v>18</v>
      </c>
      <c r="M127" s="629">
        <f>IF(ISNA(VLOOKUP(T127,$BJ$44:$BN$58,4)),0,VLOOKUP(T127,$BJ$44:$BN$58,4))</f>
        <v>0</v>
      </c>
      <c r="N127" s="620">
        <f t="shared" si="40"/>
        <v>28</v>
      </c>
      <c r="O127" s="769" t="s">
        <v>3805</v>
      </c>
      <c r="P127" s="776"/>
      <c r="Q127" s="776">
        <v>8</v>
      </c>
      <c r="R127" s="629" t="str">
        <f>IF(AND(ISBLANK(Skills!$X$151),ISNA(Skills!$W$151)),"N",(IF(Skills!$V$153=0,"Y+","Y")))</f>
        <v>N</v>
      </c>
      <c r="S127" s="629">
        <f>Skills!V$151</f>
        <v>5</v>
      </c>
      <c r="T127" s="629" t="str">
        <f>IF(ISNA(Skills!$W$151),IF(ISBLANK(Skills!$X$151)," ",Skills!$X$151),+Skills!$W$151+Skills!$X$151)</f>
        <v xml:space="preserve"> </v>
      </c>
      <c r="U127" s="743">
        <f>IF(R127="Y",Skills!$AC$151,Skills!$AB$151)</f>
        <v>0.1</v>
      </c>
      <c r="V127" s="714">
        <f ca="1">Skills!$Y$151</f>
        <v>0.06</v>
      </c>
      <c r="W127" s="714">
        <f ca="1">Skills!$AA$151</f>
        <v>0.06</v>
      </c>
      <c r="X127" s="777">
        <f ca="1">Skills!AD$153</f>
        <v>0.16</v>
      </c>
      <c r="Y127" s="622">
        <f ca="1">HLOOKUP(W127,$BJ$60:$BO$67,6)</f>
        <v>7</v>
      </c>
      <c r="Z127" s="622">
        <f ca="1">HLOOKUP(X127,$BJ$68:$BO$72,4)</f>
        <v>3</v>
      </c>
      <c r="AA127" s="779" t="s">
        <v>372</v>
      </c>
      <c r="AB127" s="831">
        <v>0</v>
      </c>
      <c r="AC127" s="832"/>
      <c r="AD127" s="796">
        <v>20</v>
      </c>
      <c r="AE127" s="835"/>
      <c r="AF127" s="834">
        <v>-3</v>
      </c>
      <c r="AG127" s="832"/>
      <c r="AH127" s="796">
        <v>50</v>
      </c>
      <c r="AI127" s="835"/>
      <c r="AJ127" s="834">
        <v>-6</v>
      </c>
      <c r="AK127" s="832"/>
      <c r="AL127" s="796">
        <v>100</v>
      </c>
      <c r="AM127" s="835"/>
      <c r="AN127" s="834">
        <v>-12</v>
      </c>
      <c r="AO127" s="832"/>
      <c r="AP127" s="796">
        <v>200</v>
      </c>
      <c r="AQ127" s="835"/>
      <c r="AR127" s="834">
        <v>-18</v>
      </c>
      <c r="AS127" s="832"/>
      <c r="AT127" s="796">
        <v>1200</v>
      </c>
      <c r="AU127" s="835"/>
      <c r="BJ127" s="970"/>
      <c r="BS127" s="602"/>
      <c r="DG127" s="602"/>
      <c r="DH127" s="602"/>
      <c r="DI127" s="602"/>
      <c r="DJ127" s="602"/>
      <c r="DK127" s="602"/>
    </row>
    <row r="128" spans="1:115" ht="11.1" customHeight="1" outlineLevel="4">
      <c r="A128" s="602">
        <v>122</v>
      </c>
      <c r="B128" s="780" t="s">
        <v>2780</v>
      </c>
      <c r="C128" s="629">
        <v>2</v>
      </c>
      <c r="D128" s="768">
        <v>0.5</v>
      </c>
      <c r="E128" s="769">
        <v>18</v>
      </c>
      <c r="F128" s="649"/>
      <c r="G128" s="768">
        <f t="shared" si="38"/>
        <v>0</v>
      </c>
      <c r="H128" s="771">
        <v>25</v>
      </c>
      <c r="I128" s="771">
        <f t="shared" si="39"/>
        <v>0</v>
      </c>
      <c r="J128" s="769" t="s">
        <v>1563</v>
      </c>
      <c r="K128" s="774">
        <f>IF(J128&lt;&gt;"L",'Main Creation Page'!$AF$11,'Main Creation Page'!$AG$11)</f>
        <v>5</v>
      </c>
      <c r="L128" s="629">
        <v>6</v>
      </c>
      <c r="M128" s="629">
        <f>IF(ISNA(VLOOKUP(T127,$BJ$44:$BN$58,2)),0,VLOOKUP(T127,$BJ$44:$BN$58,2))</f>
        <v>0</v>
      </c>
      <c r="N128" s="620">
        <f t="shared" si="40"/>
        <v>11</v>
      </c>
      <c r="O128" s="769" t="s">
        <v>4740</v>
      </c>
      <c r="P128" s="629"/>
      <c r="Q128" s="629">
        <v>10</v>
      </c>
      <c r="R128" s="629"/>
      <c r="S128" s="629"/>
      <c r="T128" s="629"/>
      <c r="U128" s="629"/>
      <c r="V128" s="769"/>
      <c r="W128" s="769"/>
      <c r="X128" s="772"/>
      <c r="Y128" s="629"/>
      <c r="Z128" s="629"/>
      <c r="AA128" s="780" t="s">
        <v>2780</v>
      </c>
      <c r="AB128" s="831">
        <v>0</v>
      </c>
      <c r="AC128" s="832">
        <f>$N128+AB128</f>
        <v>11</v>
      </c>
      <c r="AD128" s="796"/>
      <c r="AE128" s="846">
        <f ca="1">0+IF(R127="Y+",Skills!AE153,Skills!$AE$151)</f>
        <v>0</v>
      </c>
      <c r="AF128" s="834">
        <v>0</v>
      </c>
      <c r="AG128" s="832">
        <f>$N128+AF128</f>
        <v>11</v>
      </c>
      <c r="AH128" s="796"/>
      <c r="AI128" s="846">
        <f ca="1">$AE128-0</f>
        <v>0</v>
      </c>
      <c r="AJ128" s="834">
        <v>0</v>
      </c>
      <c r="AK128" s="832">
        <f>$N128+AJ128</f>
        <v>11</v>
      </c>
      <c r="AL128" s="796"/>
      <c r="AM128" s="846">
        <f ca="1">$AE128-1</f>
        <v>-1</v>
      </c>
      <c r="AN128" s="834">
        <v>0</v>
      </c>
      <c r="AO128" s="832">
        <f>$N128+AN128</f>
        <v>11</v>
      </c>
      <c r="AP128" s="796"/>
      <c r="AQ128" s="846">
        <f ca="1">$AE128-1</f>
        <v>-1</v>
      </c>
      <c r="AR128" s="834">
        <v>0</v>
      </c>
      <c r="AS128" s="832">
        <f>$N128+AR128</f>
        <v>11</v>
      </c>
      <c r="AT128" s="796"/>
      <c r="AU128" s="846">
        <f ca="1">$AE128-1</f>
        <v>-1</v>
      </c>
      <c r="BJ128" s="970"/>
      <c r="BS128" s="602"/>
      <c r="DG128" s="602"/>
      <c r="DH128" s="602"/>
      <c r="DI128" s="602"/>
      <c r="DJ128" s="602"/>
      <c r="DK128" s="602"/>
    </row>
    <row r="129" spans="1:115" ht="11.1" customHeight="1" outlineLevel="4">
      <c r="A129" s="602">
        <v>123</v>
      </c>
      <c r="B129" s="780" t="s">
        <v>4422</v>
      </c>
      <c r="C129" s="629">
        <v>2</v>
      </c>
      <c r="D129" s="768">
        <v>0.5</v>
      </c>
      <c r="E129" s="769">
        <v>18</v>
      </c>
      <c r="F129" s="649"/>
      <c r="G129" s="768">
        <f t="shared" si="38"/>
        <v>0</v>
      </c>
      <c r="H129" s="771">
        <v>50</v>
      </c>
      <c r="I129" s="771">
        <f t="shared" si="39"/>
        <v>0</v>
      </c>
      <c r="J129" s="769" t="s">
        <v>5221</v>
      </c>
      <c r="K129" s="774">
        <f>IF(J129&lt;&gt;"L",'Main Creation Page'!$AF$11,'Main Creation Page'!$AG$11)</f>
        <v>10</v>
      </c>
      <c r="L129" s="629">
        <v>10</v>
      </c>
      <c r="M129" s="629">
        <f>IF(ISNA(VLOOKUP(T127,$BJ$44:$BN$58,3)),0,VLOOKUP(T127,$BJ$44:$BN$58,3))</f>
        <v>0</v>
      </c>
      <c r="N129" s="620">
        <f t="shared" si="40"/>
        <v>20</v>
      </c>
      <c r="O129" s="769" t="s">
        <v>4740</v>
      </c>
      <c r="P129" s="629"/>
      <c r="Q129" s="629">
        <v>10</v>
      </c>
      <c r="R129" s="629"/>
      <c r="S129" s="629"/>
      <c r="T129" s="629"/>
      <c r="U129" s="629"/>
      <c r="V129" s="769"/>
      <c r="W129" s="769"/>
      <c r="X129" s="772"/>
      <c r="Y129" s="629"/>
      <c r="Z129" s="629"/>
      <c r="AA129" s="780" t="s">
        <v>4422</v>
      </c>
      <c r="AB129" s="831">
        <v>0</v>
      </c>
      <c r="AC129" s="832">
        <f>$N129+AB129</f>
        <v>20</v>
      </c>
      <c r="AD129" s="796"/>
      <c r="AE129" s="846">
        <f ca="1">1+IF(R127="Y+",Skills!AE153,Skills!$AE$151)</f>
        <v>1</v>
      </c>
      <c r="AF129" s="834">
        <v>0</v>
      </c>
      <c r="AG129" s="832">
        <f>$N129+AF129</f>
        <v>20</v>
      </c>
      <c r="AH129" s="796"/>
      <c r="AI129" s="846">
        <f ca="1">$AE129-0</f>
        <v>1</v>
      </c>
      <c r="AJ129" s="834">
        <v>0</v>
      </c>
      <c r="AK129" s="832">
        <f>$N129+AJ129</f>
        <v>20</v>
      </c>
      <c r="AL129" s="796"/>
      <c r="AM129" s="846">
        <f ca="1">$AE129-1</f>
        <v>0</v>
      </c>
      <c r="AN129" s="834">
        <v>0</v>
      </c>
      <c r="AO129" s="832">
        <f>$N129+AN129</f>
        <v>20</v>
      </c>
      <c r="AP129" s="796"/>
      <c r="AQ129" s="846">
        <f ca="1">$AE129-2</f>
        <v>-1</v>
      </c>
      <c r="AR129" s="834">
        <v>0</v>
      </c>
      <c r="AS129" s="832">
        <f>$N129+AR129</f>
        <v>20</v>
      </c>
      <c r="AT129" s="796"/>
      <c r="AU129" s="846">
        <f ca="1">$AE129-2</f>
        <v>-1</v>
      </c>
      <c r="BJ129" s="970"/>
      <c r="BS129" s="602"/>
      <c r="DG129" s="602"/>
      <c r="DH129" s="602"/>
      <c r="DI129" s="602"/>
      <c r="DJ129" s="602"/>
      <c r="DK129" s="602"/>
    </row>
    <row r="130" spans="1:115" ht="11.1" customHeight="1" outlineLevel="3">
      <c r="A130" s="602">
        <v>124</v>
      </c>
      <c r="B130" s="780" t="s">
        <v>4423</v>
      </c>
      <c r="C130" s="629">
        <v>2</v>
      </c>
      <c r="D130" s="768">
        <v>0.5</v>
      </c>
      <c r="E130" s="769">
        <v>18</v>
      </c>
      <c r="F130" s="649"/>
      <c r="G130" s="768">
        <f t="shared" si="38"/>
        <v>0</v>
      </c>
      <c r="H130" s="771">
        <v>50</v>
      </c>
      <c r="I130" s="771">
        <f t="shared" si="39"/>
        <v>0</v>
      </c>
      <c r="J130" s="769" t="s">
        <v>5221</v>
      </c>
      <c r="K130" s="774">
        <f>IF(J130&lt;&gt;"L",'Main Creation Page'!$AF$11,'Main Creation Page'!$AG$11)</f>
        <v>10</v>
      </c>
      <c r="L130" s="629">
        <v>12</v>
      </c>
      <c r="M130" s="629">
        <f>IF(ISNA(VLOOKUP(T127,$BJ$44:$BN$58,3)),0,VLOOKUP(T127,$BJ$44:$BN$58,3))</f>
        <v>0</v>
      </c>
      <c r="N130" s="620">
        <f t="shared" si="40"/>
        <v>22</v>
      </c>
      <c r="O130" s="769" t="s">
        <v>4740</v>
      </c>
      <c r="P130" s="629"/>
      <c r="Q130" s="629">
        <v>9</v>
      </c>
      <c r="R130" s="629"/>
      <c r="S130" s="629"/>
      <c r="T130" s="629"/>
      <c r="U130" s="629"/>
      <c r="V130" s="769"/>
      <c r="W130" s="769"/>
      <c r="X130" s="772"/>
      <c r="Y130" s="629"/>
      <c r="Z130" s="629"/>
      <c r="AA130" s="780" t="s">
        <v>4423</v>
      </c>
      <c r="AB130" s="831">
        <v>0</v>
      </c>
      <c r="AC130" s="832">
        <f>$N130+AB130</f>
        <v>22</v>
      </c>
      <c r="AD130" s="796"/>
      <c r="AE130" s="846">
        <f ca="1">1+IF(R127="Y+",Skills!AE153,Skills!$AE$151)</f>
        <v>1</v>
      </c>
      <c r="AF130" s="834">
        <v>0</v>
      </c>
      <c r="AG130" s="832">
        <f>$N130+AF130</f>
        <v>22</v>
      </c>
      <c r="AH130" s="796"/>
      <c r="AI130" s="846">
        <f ca="1">$AE130-0</f>
        <v>1</v>
      </c>
      <c r="AJ130" s="834">
        <v>0</v>
      </c>
      <c r="AK130" s="832">
        <f>$N130+AJ130</f>
        <v>22</v>
      </c>
      <c r="AL130" s="796"/>
      <c r="AM130" s="846">
        <f ca="1">$AE130-1</f>
        <v>0</v>
      </c>
      <c r="AN130" s="834">
        <v>0</v>
      </c>
      <c r="AO130" s="832">
        <f>$N130+AN130</f>
        <v>22</v>
      </c>
      <c r="AP130" s="796"/>
      <c r="AQ130" s="846">
        <f ca="1">$AE130-1</f>
        <v>0</v>
      </c>
      <c r="AR130" s="834">
        <v>0</v>
      </c>
      <c r="AS130" s="832">
        <f>$N130+AR130</f>
        <v>22</v>
      </c>
      <c r="AT130" s="796"/>
      <c r="AU130" s="846">
        <f ca="1">$AE130-1</f>
        <v>0</v>
      </c>
      <c r="BJ130" s="970"/>
      <c r="BS130" s="602"/>
      <c r="DG130" s="602"/>
      <c r="DH130" s="602"/>
      <c r="DI130" s="602"/>
      <c r="DJ130" s="602"/>
      <c r="DK130" s="602"/>
    </row>
    <row r="131" spans="1:115" ht="11.1" customHeight="1" outlineLevel="3">
      <c r="A131" s="602">
        <v>125</v>
      </c>
      <c r="B131" s="780" t="s">
        <v>2472</v>
      </c>
      <c r="C131" s="629">
        <v>2</v>
      </c>
      <c r="D131" s="768">
        <v>0.5</v>
      </c>
      <c r="E131" s="769">
        <v>18</v>
      </c>
      <c r="F131" s="649"/>
      <c r="G131" s="768">
        <f t="shared" si="38"/>
        <v>0</v>
      </c>
      <c r="H131" s="771">
        <v>50</v>
      </c>
      <c r="I131" s="771">
        <f t="shared" si="39"/>
        <v>0</v>
      </c>
      <c r="J131" s="769" t="s">
        <v>2763</v>
      </c>
      <c r="K131" s="774">
        <f>IF(J131&lt;&gt;"L",'Main Creation Page'!$AF$11,'Main Creation Page'!$AG$11)</f>
        <v>10</v>
      </c>
      <c r="L131" s="629">
        <v>18</v>
      </c>
      <c r="M131" s="629">
        <f>IF(ISNA(VLOOKUP(T127,$BJ$44:$BN$58,4)),0,VLOOKUP(T127,$BJ$44:$BN$58,4))</f>
        <v>0</v>
      </c>
      <c r="N131" s="620">
        <f t="shared" si="40"/>
        <v>28</v>
      </c>
      <c r="O131" s="769" t="s">
        <v>4740</v>
      </c>
      <c r="P131" s="629"/>
      <c r="Q131" s="629">
        <v>8</v>
      </c>
      <c r="R131" s="629"/>
      <c r="S131" s="629"/>
      <c r="T131" s="629"/>
      <c r="U131" s="629"/>
      <c r="V131" s="769"/>
      <c r="W131" s="769"/>
      <c r="X131" s="772"/>
      <c r="Y131" s="629"/>
      <c r="Z131" s="629"/>
      <c r="AA131" s="780" t="s">
        <v>2472</v>
      </c>
      <c r="AB131" s="831">
        <v>0</v>
      </c>
      <c r="AC131" s="832">
        <f>$N131+AB131</f>
        <v>28</v>
      </c>
      <c r="AD131" s="796"/>
      <c r="AE131" s="846">
        <f ca="1">2+IF(R127="Y+",Skills!AE153,Skills!$AE$151)</f>
        <v>2</v>
      </c>
      <c r="AF131" s="834">
        <v>0</v>
      </c>
      <c r="AG131" s="832">
        <f>$N131+AF131</f>
        <v>28</v>
      </c>
      <c r="AH131" s="796"/>
      <c r="AI131" s="846">
        <f ca="1">$AE131-0</f>
        <v>2</v>
      </c>
      <c r="AJ131" s="834">
        <v>0</v>
      </c>
      <c r="AK131" s="832">
        <f>$N131+AJ131</f>
        <v>28</v>
      </c>
      <c r="AL131" s="796"/>
      <c r="AM131" s="846">
        <f ca="1">$AE131-1</f>
        <v>1</v>
      </c>
      <c r="AN131" s="834">
        <v>0</v>
      </c>
      <c r="AO131" s="832">
        <f>$N131+AN131</f>
        <v>28</v>
      </c>
      <c r="AP131" s="796"/>
      <c r="AQ131" s="846">
        <f ca="1">$AE131-1</f>
        <v>1</v>
      </c>
      <c r="AR131" s="834">
        <v>0</v>
      </c>
      <c r="AS131" s="832">
        <f>$N131+AR131</f>
        <v>28</v>
      </c>
      <c r="AT131" s="796"/>
      <c r="AU131" s="846">
        <f ca="1">$AE131-1</f>
        <v>1</v>
      </c>
      <c r="BJ131" s="970"/>
      <c r="BS131" s="602"/>
      <c r="DG131" s="602"/>
      <c r="DH131" s="602"/>
      <c r="DI131" s="602"/>
      <c r="DJ131" s="602"/>
      <c r="DK131" s="602"/>
    </row>
    <row r="132" spans="1:115" ht="11.1" customHeight="1" outlineLevel="3" collapsed="1">
      <c r="A132" s="602">
        <v>126</v>
      </c>
      <c r="B132" s="779" t="s">
        <v>1876</v>
      </c>
      <c r="C132" s="629">
        <v>2</v>
      </c>
      <c r="D132" s="768">
        <v>2</v>
      </c>
      <c r="E132" s="769">
        <v>22</v>
      </c>
      <c r="F132" s="649"/>
      <c r="G132" s="768">
        <f t="shared" si="38"/>
        <v>0</v>
      </c>
      <c r="H132" s="771">
        <v>240</v>
      </c>
      <c r="I132" s="771">
        <f t="shared" si="39"/>
        <v>0</v>
      </c>
      <c r="J132" s="769"/>
      <c r="K132" s="629"/>
      <c r="L132" s="629"/>
      <c r="M132" s="629"/>
      <c r="N132" s="629"/>
      <c r="O132" s="629"/>
      <c r="P132" s="629"/>
      <c r="Q132" s="629"/>
      <c r="R132" s="629"/>
      <c r="S132" s="629"/>
      <c r="T132" s="629"/>
      <c r="U132" s="629"/>
      <c r="V132" s="629"/>
      <c r="W132" s="629"/>
      <c r="X132" s="772"/>
      <c r="Y132" s="629"/>
      <c r="Z132" s="629"/>
      <c r="AA132" s="779"/>
      <c r="AB132" s="831"/>
      <c r="AC132" s="832"/>
      <c r="AD132" s="796"/>
      <c r="AE132" s="835"/>
      <c r="AF132" s="834"/>
      <c r="AG132" s="832"/>
      <c r="AH132" s="796"/>
      <c r="AI132" s="835"/>
      <c r="AJ132" s="834"/>
      <c r="AK132" s="832"/>
      <c r="AL132" s="796"/>
      <c r="AM132" s="835"/>
      <c r="AN132" s="834"/>
      <c r="AO132" s="832"/>
      <c r="AP132" s="796"/>
      <c r="AQ132" s="835"/>
      <c r="AR132" s="834"/>
      <c r="AS132" s="832"/>
      <c r="AT132" s="796"/>
      <c r="AU132" s="835"/>
      <c r="BJ132" s="970"/>
      <c r="BS132" s="602"/>
      <c r="DG132" s="602"/>
      <c r="DH132" s="602"/>
      <c r="DI132" s="602"/>
      <c r="DJ132" s="602"/>
      <c r="DK132" s="602"/>
    </row>
    <row r="133" spans="1:115" ht="11.1" customHeight="1" outlineLevel="3">
      <c r="A133" s="602">
        <v>127</v>
      </c>
      <c r="B133" s="791" t="s">
        <v>5348</v>
      </c>
      <c r="C133" s="629">
        <v>2</v>
      </c>
      <c r="D133" s="768">
        <v>2</v>
      </c>
      <c r="E133" s="769">
        <v>9</v>
      </c>
      <c r="F133" s="649"/>
      <c r="G133" s="768">
        <f t="shared" si="38"/>
        <v>0</v>
      </c>
      <c r="H133" s="771">
        <v>380</v>
      </c>
      <c r="I133" s="771">
        <f t="shared" si="39"/>
        <v>0</v>
      </c>
      <c r="J133" s="769" t="s">
        <v>1563</v>
      </c>
      <c r="K133" s="774">
        <f>IF(J133&lt;&gt;"L",'Main Creation Page'!$AF$11,'Main Creation Page'!$AG$11)</f>
        <v>5</v>
      </c>
      <c r="L133" s="629">
        <v>2</v>
      </c>
      <c r="M133" s="629">
        <f>IF(ISNA(VLOOKUP(T133,$BJ$44:$BN$58,2)),0,VLOOKUP(T133,$BJ$44:$BN$58,2))</f>
        <v>0</v>
      </c>
      <c r="N133" s="620">
        <f>K133+L133+M133</f>
        <v>7</v>
      </c>
      <c r="O133" s="769" t="s">
        <v>3805</v>
      </c>
      <c r="P133" s="629"/>
      <c r="Q133" s="629">
        <v>8</v>
      </c>
      <c r="R133" s="629" t="str">
        <f>IF(AND(ISBLANK(Skills!$X$151),ISNA(Skills!$W$151)),"N",(IF(Skills!$V$153=0,"Y+","Y")))</f>
        <v>N</v>
      </c>
      <c r="S133" s="629">
        <f>Skills!V$151</f>
        <v>5</v>
      </c>
      <c r="T133" s="629" t="str">
        <f>IF(ISNA(Skills!$W$151),IF(ISBLANK(Skills!$X$151)," ",Skills!$X$151),+Skills!$W$151+Skills!$X$151)</f>
        <v xml:space="preserve"> </v>
      </c>
      <c r="U133" s="743">
        <f>IF(R133="Y",Skills!$AC$151,Skills!$AB$151)</f>
        <v>0.1</v>
      </c>
      <c r="V133" s="714">
        <f ca="1">Skills!$Y$151</f>
        <v>0.06</v>
      </c>
      <c r="W133" s="714">
        <f ca="1">Skills!$AA$151</f>
        <v>0.06</v>
      </c>
      <c r="X133" s="777">
        <f ca="1">Skills!AD$153</f>
        <v>0.16</v>
      </c>
      <c r="Y133" s="622">
        <f ca="1">HLOOKUP(W133,$BJ$60:$BO$67,6)</f>
        <v>7</v>
      </c>
      <c r="Z133" s="622">
        <f ca="1">HLOOKUP(X133,$BJ$68:$BO$72,2)</f>
        <v>1</v>
      </c>
      <c r="AA133" s="827" t="s">
        <v>5348</v>
      </c>
      <c r="AB133" s="838" t="s">
        <v>4013</v>
      </c>
      <c r="AC133" s="628" t="s">
        <v>4744</v>
      </c>
      <c r="AD133" s="628" t="s">
        <v>3143</v>
      </c>
      <c r="AE133" s="698" t="s">
        <v>1742</v>
      </c>
      <c r="AF133" s="628" t="s">
        <v>4013</v>
      </c>
      <c r="AG133" s="628" t="s">
        <v>4744</v>
      </c>
      <c r="AH133" s="628" t="s">
        <v>3143</v>
      </c>
      <c r="AI133" s="698" t="s">
        <v>1742</v>
      </c>
      <c r="AJ133" s="628" t="s">
        <v>4013</v>
      </c>
      <c r="AK133" s="628" t="s">
        <v>4744</v>
      </c>
      <c r="AL133" s="628" t="s">
        <v>3143</v>
      </c>
      <c r="AM133" s="698" t="s">
        <v>1742</v>
      </c>
      <c r="AN133" s="628" t="s">
        <v>4013</v>
      </c>
      <c r="AO133" s="628" t="s">
        <v>4744</v>
      </c>
      <c r="AP133" s="628" t="s">
        <v>3143</v>
      </c>
      <c r="AQ133" s="698" t="s">
        <v>1742</v>
      </c>
      <c r="AR133" s="628" t="s">
        <v>4013</v>
      </c>
      <c r="AS133" s="628" t="s">
        <v>4744</v>
      </c>
      <c r="AT133" s="628" t="s">
        <v>3143</v>
      </c>
      <c r="AU133" s="698" t="s">
        <v>1742</v>
      </c>
      <c r="BJ133" s="970"/>
      <c r="BS133" s="602"/>
      <c r="DG133" s="602"/>
      <c r="DH133" s="602"/>
      <c r="DI133" s="602"/>
      <c r="DJ133" s="602"/>
      <c r="DK133" s="602"/>
    </row>
    <row r="134" spans="1:115" ht="11.1" customHeight="1" outlineLevel="4">
      <c r="A134" s="602">
        <v>128</v>
      </c>
      <c r="B134" s="793" t="s">
        <v>5349</v>
      </c>
      <c r="C134" s="629">
        <v>2</v>
      </c>
      <c r="D134" s="768">
        <v>3</v>
      </c>
      <c r="E134" s="769">
        <v>10</v>
      </c>
      <c r="F134" s="649"/>
      <c r="G134" s="768">
        <f t="shared" si="38"/>
        <v>0</v>
      </c>
      <c r="H134" s="771">
        <v>100</v>
      </c>
      <c r="I134" s="771">
        <f t="shared" si="39"/>
        <v>0</v>
      </c>
      <c r="J134" s="769" t="s">
        <v>2763</v>
      </c>
      <c r="K134" s="774">
        <f>IF(J134&lt;&gt;"L",'Main Creation Page'!$AF$11,'Main Creation Page'!$AG$11)</f>
        <v>10</v>
      </c>
      <c r="L134" s="629">
        <v>15</v>
      </c>
      <c r="M134" s="629">
        <f>IF(ISNA(VLOOKUP(T$133,$BJ$44:$BN$58,4)),0,VLOOKUP(T$133,$BJ$44:$BN$58,4))</f>
        <v>0</v>
      </c>
      <c r="N134" s="620">
        <f>K134+L134+M134</f>
        <v>25</v>
      </c>
      <c r="O134" s="769" t="s">
        <v>4740</v>
      </c>
      <c r="P134" s="629"/>
      <c r="Q134" s="629">
        <v>10</v>
      </c>
      <c r="R134" s="629"/>
      <c r="S134" s="629"/>
      <c r="T134" s="629"/>
      <c r="U134" s="629"/>
      <c r="V134" s="769"/>
      <c r="W134" s="769"/>
      <c r="X134" s="772"/>
      <c r="Y134" s="629"/>
      <c r="Z134" s="629"/>
      <c r="AA134" s="793" t="s">
        <v>5349</v>
      </c>
      <c r="AB134" s="831">
        <v>0</v>
      </c>
      <c r="AC134" s="832">
        <f>$N134+AB134</f>
        <v>25</v>
      </c>
      <c r="AD134" s="796">
        <v>10</v>
      </c>
      <c r="AE134" s="833">
        <f ca="1">1+IF(R134="Y+",Skills!AE153,Skills!$AE$151)</f>
        <v>1</v>
      </c>
      <c r="AF134" s="834">
        <v>-5</v>
      </c>
      <c r="AG134" s="832">
        <f>$N134+AF134</f>
        <v>20</v>
      </c>
      <c r="AH134" s="796">
        <v>14</v>
      </c>
      <c r="AI134" s="846">
        <v>1</v>
      </c>
      <c r="AJ134" s="834">
        <v>-7</v>
      </c>
      <c r="AK134" s="832">
        <f>$N134+AJ134</f>
        <v>18</v>
      </c>
      <c r="AL134" s="796">
        <v>19</v>
      </c>
      <c r="AM134" s="835">
        <v>0</v>
      </c>
      <c r="AN134" s="834">
        <v>-11</v>
      </c>
      <c r="AO134" s="832">
        <f>$N134+AN134</f>
        <v>14</v>
      </c>
      <c r="AP134" s="796">
        <v>24</v>
      </c>
      <c r="AQ134" s="835">
        <v>0</v>
      </c>
      <c r="AR134" s="834">
        <v>-13</v>
      </c>
      <c r="AS134" s="832">
        <f>$N134+AR134</f>
        <v>12</v>
      </c>
      <c r="AT134" s="796">
        <v>30</v>
      </c>
      <c r="AU134" s="835">
        <v>0</v>
      </c>
      <c r="BJ134" s="970"/>
      <c r="BS134" s="602"/>
      <c r="DG134" s="602"/>
      <c r="DH134" s="602"/>
      <c r="DI134" s="602"/>
      <c r="DJ134" s="602"/>
      <c r="DK134" s="602"/>
    </row>
    <row r="135" spans="1:115" ht="11.1" customHeight="1" outlineLevel="4">
      <c r="A135" s="602">
        <v>129</v>
      </c>
      <c r="B135" s="793" t="s">
        <v>4009</v>
      </c>
      <c r="C135" s="629">
        <v>2</v>
      </c>
      <c r="D135" s="768">
        <v>0.5</v>
      </c>
      <c r="E135" s="769">
        <v>10</v>
      </c>
      <c r="F135" s="649"/>
      <c r="G135" s="768">
        <f t="shared" si="38"/>
        <v>0</v>
      </c>
      <c r="H135" s="771">
        <v>60</v>
      </c>
      <c r="I135" s="771">
        <f t="shared" si="39"/>
        <v>0</v>
      </c>
      <c r="J135" s="769" t="s">
        <v>5221</v>
      </c>
      <c r="K135" s="774">
        <f>IF(J135&lt;&gt;"L",'Main Creation Page'!$AF$11,'Main Creation Page'!$AG$11)</f>
        <v>10</v>
      </c>
      <c r="L135" s="629">
        <v>8</v>
      </c>
      <c r="M135" s="629">
        <f>IF(ISNA(VLOOKUP(T$133,$BJ$44:$BN$58,3)),0,VLOOKUP(T$133,$BJ$44:$BN$58,3))</f>
        <v>0</v>
      </c>
      <c r="N135" s="620">
        <f>K135+L135+M135</f>
        <v>18</v>
      </c>
      <c r="O135" s="769" t="s">
        <v>4740</v>
      </c>
      <c r="P135" s="629"/>
      <c r="Q135" s="629">
        <v>10</v>
      </c>
      <c r="R135" s="629"/>
      <c r="S135" s="629"/>
      <c r="T135" s="629"/>
      <c r="U135" s="629"/>
      <c r="V135" s="769"/>
      <c r="W135" s="769"/>
      <c r="X135" s="772"/>
      <c r="Y135" s="629"/>
      <c r="Z135" s="629"/>
      <c r="AA135" s="793" t="s">
        <v>4009</v>
      </c>
      <c r="AB135" s="831">
        <v>0</v>
      </c>
      <c r="AC135" s="832">
        <f>$N135+AB135</f>
        <v>18</v>
      </c>
      <c r="AD135" s="796">
        <v>15</v>
      </c>
      <c r="AE135" s="833">
        <f ca="1">1+IF(R134="Y+",Skills!AE153,Skills!$AE$151)</f>
        <v>1</v>
      </c>
      <c r="AF135" s="834">
        <v>-2</v>
      </c>
      <c r="AG135" s="832">
        <f>$N135+AF135</f>
        <v>16</v>
      </c>
      <c r="AH135" s="796">
        <v>20</v>
      </c>
      <c r="AI135" s="846">
        <v>1</v>
      </c>
      <c r="AJ135" s="834">
        <v>-5</v>
      </c>
      <c r="AK135" s="832">
        <f>$N135+AJ135</f>
        <v>13</v>
      </c>
      <c r="AL135" s="796">
        <v>25</v>
      </c>
      <c r="AM135" s="835">
        <v>0</v>
      </c>
      <c r="AN135" s="834">
        <v>-7</v>
      </c>
      <c r="AO135" s="832">
        <f>$N135+AN135</f>
        <v>11</v>
      </c>
      <c r="AP135" s="796">
        <v>30</v>
      </c>
      <c r="AQ135" s="835">
        <v>0</v>
      </c>
      <c r="AR135" s="834">
        <v>-9</v>
      </c>
      <c r="AS135" s="832">
        <f>$N135+AR135</f>
        <v>9</v>
      </c>
      <c r="AT135" s="796">
        <v>45</v>
      </c>
      <c r="AU135" s="835">
        <v>0</v>
      </c>
      <c r="BJ135" s="970"/>
      <c r="BS135" s="602"/>
      <c r="DG135" s="602"/>
      <c r="DH135" s="602"/>
      <c r="DI135" s="602"/>
      <c r="DJ135" s="602"/>
      <c r="DK135" s="602"/>
    </row>
    <row r="136" spans="1:115" ht="11.1" customHeight="1" outlineLevel="4">
      <c r="A136" s="602">
        <v>130</v>
      </c>
      <c r="B136" s="793" t="s">
        <v>4011</v>
      </c>
      <c r="C136" s="629">
        <v>2</v>
      </c>
      <c r="D136" s="768">
        <v>1</v>
      </c>
      <c r="E136" s="769">
        <v>10</v>
      </c>
      <c r="F136" s="649"/>
      <c r="G136" s="768">
        <f t="shared" si="38"/>
        <v>0</v>
      </c>
      <c r="H136" s="771">
        <v>60</v>
      </c>
      <c r="I136" s="771">
        <f t="shared" si="39"/>
        <v>0</v>
      </c>
      <c r="J136" s="769" t="s">
        <v>5221</v>
      </c>
      <c r="K136" s="774">
        <f>IF(J136&lt;&gt;"L",'Main Creation Page'!$AF$11,'Main Creation Page'!$AG$11)</f>
        <v>10</v>
      </c>
      <c r="L136" s="629">
        <v>11</v>
      </c>
      <c r="M136" s="629">
        <f>IF(ISNA(VLOOKUP(T$133,$BJ$44:$BN$58,3)),0,VLOOKUP(T$133,$BJ$44:$BN$58,3))</f>
        <v>0</v>
      </c>
      <c r="N136" s="620">
        <f>K136+L136+M136</f>
        <v>21</v>
      </c>
      <c r="O136" s="769" t="s">
        <v>4740</v>
      </c>
      <c r="P136" s="629"/>
      <c r="Q136" s="629">
        <v>10</v>
      </c>
      <c r="R136" s="629"/>
      <c r="S136" s="629"/>
      <c r="T136" s="629"/>
      <c r="U136" s="629"/>
      <c r="V136" s="769"/>
      <c r="W136" s="769"/>
      <c r="X136" s="772"/>
      <c r="Y136" s="629"/>
      <c r="Z136" s="629"/>
      <c r="AA136" s="793" t="s">
        <v>4011</v>
      </c>
      <c r="AB136" s="831">
        <v>0</v>
      </c>
      <c r="AC136" s="832">
        <f>$N136+AB136</f>
        <v>21</v>
      </c>
      <c r="AD136" s="796">
        <v>15</v>
      </c>
      <c r="AE136" s="833">
        <f ca="1">2+IF(R134="Y+",Skills!AE153,Skills!$AE$151)</f>
        <v>2</v>
      </c>
      <c r="AF136" s="834">
        <v>-3</v>
      </c>
      <c r="AG136" s="832">
        <f>$N136+AF136</f>
        <v>18</v>
      </c>
      <c r="AH136" s="796">
        <v>18</v>
      </c>
      <c r="AI136" s="846">
        <v>2</v>
      </c>
      <c r="AJ136" s="834">
        <v>-7</v>
      </c>
      <c r="AK136" s="832">
        <f>$N136+AJ136</f>
        <v>14</v>
      </c>
      <c r="AL136" s="796">
        <v>22</v>
      </c>
      <c r="AM136" s="846">
        <v>1</v>
      </c>
      <c r="AN136" s="834">
        <v>-9</v>
      </c>
      <c r="AO136" s="832">
        <f>$N136+AN136</f>
        <v>12</v>
      </c>
      <c r="AP136" s="796">
        <v>29</v>
      </c>
      <c r="AQ136" s="835">
        <v>0</v>
      </c>
      <c r="AR136" s="834">
        <v>-11</v>
      </c>
      <c r="AS136" s="832">
        <f>$N136+AR136</f>
        <v>10</v>
      </c>
      <c r="AT136" s="796">
        <v>40</v>
      </c>
      <c r="AU136" s="835">
        <v>0</v>
      </c>
      <c r="BJ136" s="970"/>
      <c r="BS136" s="602"/>
      <c r="DG136" s="602"/>
      <c r="DH136" s="602"/>
      <c r="DI136" s="602"/>
      <c r="DJ136" s="602"/>
      <c r="DK136" s="602"/>
    </row>
    <row r="137" spans="1:115" ht="11.1" customHeight="1" outlineLevel="4">
      <c r="A137" s="602">
        <v>131</v>
      </c>
      <c r="B137" s="793" t="s">
        <v>4010</v>
      </c>
      <c r="C137" s="629">
        <v>2</v>
      </c>
      <c r="D137" s="768">
        <v>1.5</v>
      </c>
      <c r="E137" s="769">
        <v>10</v>
      </c>
      <c r="F137" s="649"/>
      <c r="G137" s="768">
        <f t="shared" si="38"/>
        <v>0</v>
      </c>
      <c r="H137" s="771">
        <v>60</v>
      </c>
      <c r="I137" s="771">
        <f t="shared" si="39"/>
        <v>0</v>
      </c>
      <c r="J137" s="769" t="s">
        <v>5221</v>
      </c>
      <c r="K137" s="774">
        <f>IF(J137&lt;&gt;"L",'Main Creation Page'!$AF$11,'Main Creation Page'!$AG$11)</f>
        <v>10</v>
      </c>
      <c r="L137" s="629">
        <v>13</v>
      </c>
      <c r="M137" s="629">
        <f>IF(ISNA(VLOOKUP(T$133,$BJ$44:$BN$58,3)),0,VLOOKUP(T$133,$BJ$44:$BN$58,3))</f>
        <v>0</v>
      </c>
      <c r="N137" s="620">
        <f>K137+L137+M137</f>
        <v>23</v>
      </c>
      <c r="O137" s="769" t="s">
        <v>4740</v>
      </c>
      <c r="P137" s="629"/>
      <c r="Q137" s="629">
        <v>10</v>
      </c>
      <c r="R137" s="629"/>
      <c r="S137" s="629"/>
      <c r="T137" s="629"/>
      <c r="U137" s="629"/>
      <c r="V137" s="769"/>
      <c r="W137" s="769"/>
      <c r="X137" s="772"/>
      <c r="Y137" s="629"/>
      <c r="Z137" s="629"/>
      <c r="AA137" s="793" t="s">
        <v>4010</v>
      </c>
      <c r="AB137" s="831">
        <v>0</v>
      </c>
      <c r="AC137" s="832">
        <f>$N137+AB137</f>
        <v>23</v>
      </c>
      <c r="AD137" s="796">
        <v>10</v>
      </c>
      <c r="AE137" s="833">
        <f ca="1">3+IF(R134="Y+",Skills!AE153,Skills!$AE$151)</f>
        <v>3</v>
      </c>
      <c r="AF137" s="834">
        <v>-4</v>
      </c>
      <c r="AG137" s="832">
        <f>$N137+AF137</f>
        <v>19</v>
      </c>
      <c r="AH137" s="796">
        <v>15</v>
      </c>
      <c r="AI137" s="846">
        <v>3</v>
      </c>
      <c r="AJ137" s="834">
        <v>-6</v>
      </c>
      <c r="AK137" s="832">
        <f>$N137+AJ137</f>
        <v>17</v>
      </c>
      <c r="AL137" s="796">
        <v>20</v>
      </c>
      <c r="AM137" s="846">
        <v>2</v>
      </c>
      <c r="AN137" s="834">
        <v>-10</v>
      </c>
      <c r="AO137" s="832">
        <f>$N137+AN137</f>
        <v>13</v>
      </c>
      <c r="AP137" s="796">
        <v>26</v>
      </c>
      <c r="AQ137" s="846">
        <v>1</v>
      </c>
      <c r="AR137" s="834">
        <v>-12</v>
      </c>
      <c r="AS137" s="832">
        <f>$N137+AR137</f>
        <v>11</v>
      </c>
      <c r="AT137" s="796">
        <v>35</v>
      </c>
      <c r="AU137" s="835">
        <v>0</v>
      </c>
      <c r="BJ137" s="970"/>
      <c r="BS137" s="602"/>
      <c r="DG137" s="602"/>
      <c r="DH137" s="602"/>
      <c r="DI137" s="602"/>
      <c r="DJ137" s="602"/>
      <c r="DK137" s="602"/>
    </row>
    <row r="138" spans="1:115" ht="11.1" customHeight="1" outlineLevel="3">
      <c r="A138" s="602">
        <v>132</v>
      </c>
      <c r="B138" s="791" t="s">
        <v>1876</v>
      </c>
      <c r="C138" s="629">
        <v>2</v>
      </c>
      <c r="D138" s="768">
        <v>2.5</v>
      </c>
      <c r="E138" s="769">
        <v>14</v>
      </c>
      <c r="F138" s="649"/>
      <c r="G138" s="768">
        <f t="shared" si="38"/>
        <v>0</v>
      </c>
      <c r="H138" s="771">
        <v>200</v>
      </c>
      <c r="I138" s="771">
        <f t="shared" si="39"/>
        <v>0</v>
      </c>
      <c r="J138" s="769"/>
      <c r="K138" s="629"/>
      <c r="L138" s="629"/>
      <c r="M138" s="629"/>
      <c r="N138" s="629"/>
      <c r="O138" s="629"/>
      <c r="P138" s="629"/>
      <c r="Q138" s="629"/>
      <c r="R138" s="629"/>
      <c r="S138" s="629"/>
      <c r="T138" s="629"/>
      <c r="U138" s="629"/>
      <c r="V138" s="629"/>
      <c r="W138" s="629"/>
      <c r="X138" s="772"/>
      <c r="Y138" s="629"/>
      <c r="Z138" s="629"/>
      <c r="AA138" s="791"/>
      <c r="AB138" s="831"/>
      <c r="AC138" s="832"/>
      <c r="AD138" s="796"/>
      <c r="AE138" s="835"/>
      <c r="AF138" s="834"/>
      <c r="AG138" s="832"/>
      <c r="AH138" s="796"/>
      <c r="AI138" s="835"/>
      <c r="AJ138" s="834"/>
      <c r="AK138" s="832"/>
      <c r="AL138" s="796"/>
      <c r="AM138" s="835"/>
      <c r="AN138" s="834"/>
      <c r="AO138" s="832"/>
      <c r="AP138" s="796"/>
      <c r="AQ138" s="835"/>
      <c r="AR138" s="834"/>
      <c r="AS138" s="832"/>
      <c r="AT138" s="796"/>
      <c r="AU138" s="835"/>
      <c r="BJ138" s="970"/>
      <c r="BS138" s="602"/>
      <c r="DG138" s="602"/>
      <c r="DH138" s="602"/>
      <c r="DI138" s="602"/>
      <c r="DJ138" s="602"/>
      <c r="DK138" s="602"/>
    </row>
    <row r="139" spans="1:115" ht="11.1" customHeight="1" outlineLevel="3">
      <c r="A139" s="602">
        <v>133</v>
      </c>
      <c r="B139" s="860" t="s">
        <v>4452</v>
      </c>
      <c r="C139" s="629">
        <v>10</v>
      </c>
      <c r="D139" s="771">
        <v>1200</v>
      </c>
      <c r="E139" s="769" t="s">
        <v>4012</v>
      </c>
      <c r="F139" s="649"/>
      <c r="G139" s="768">
        <f t="shared" si="38"/>
        <v>0</v>
      </c>
      <c r="H139" s="771">
        <v>6400</v>
      </c>
      <c r="I139" s="771">
        <f t="shared" si="39"/>
        <v>0</v>
      </c>
      <c r="J139" s="769" t="s">
        <v>2763</v>
      </c>
      <c r="K139" s="774">
        <f>IF(J139&lt;&gt;"L",'Main Creation Page'!$AF$11,'Main Creation Page'!$AG$11)</f>
        <v>10</v>
      </c>
      <c r="L139" s="629">
        <v>6</v>
      </c>
      <c r="M139" s="629">
        <f>IF(ISNA(VLOOKUP(T139,$BJ$44:$BN$58,4)),0,VLOOKUP(T139,$BJ$44:$BN$58,4))</f>
        <v>0</v>
      </c>
      <c r="N139" s="620">
        <f>K139+L139+M139</f>
        <v>16</v>
      </c>
      <c r="O139" s="769" t="s">
        <v>3805</v>
      </c>
      <c r="P139" s="629"/>
      <c r="Q139" s="629">
        <v>5</v>
      </c>
      <c r="R139" s="629" t="str">
        <f>IF(AND(ISBLANK(Skills!$X$151),ISNA(Skills!$W$151)),"N",(IF(Skills!$V$153=0,"Y+","Y")))</f>
        <v>N</v>
      </c>
      <c r="S139" s="629">
        <f>Skills!V$151</f>
        <v>5</v>
      </c>
      <c r="T139" s="629" t="str">
        <f>IF(ISNA(Skills!$W$151),IF(ISBLANK(Skills!$X$151)," ",Skills!$X$151),+Skills!$W$151+Skills!$X$151)</f>
        <v xml:space="preserve"> </v>
      </c>
      <c r="U139" s="743">
        <f>IF(R139="Y",Skills!$AC$151,Skills!$AB$151)</f>
        <v>0.1</v>
      </c>
      <c r="V139" s="714">
        <f ca="1">Skills!$Y$151</f>
        <v>0.06</v>
      </c>
      <c r="W139" s="714">
        <f ca="1">Skills!$AA$151</f>
        <v>0.06</v>
      </c>
      <c r="X139" s="777">
        <f ca="1">Skills!AD$153</f>
        <v>0.16</v>
      </c>
      <c r="Y139" s="622">
        <f ca="1">HLOOKUP(W139,$BJ$60:$BO$67,6)</f>
        <v>7</v>
      </c>
      <c r="Z139" s="622">
        <f ca="1">HLOOKUP(X139,$BJ$68:$BO$72,4)</f>
        <v>3</v>
      </c>
      <c r="AA139" s="827" t="s">
        <v>4452</v>
      </c>
      <c r="AB139" s="838" t="s">
        <v>4013</v>
      </c>
      <c r="AC139" s="628" t="s">
        <v>4744</v>
      </c>
      <c r="AD139" s="628" t="s">
        <v>3143</v>
      </c>
      <c r="AE139" s="698" t="s">
        <v>1742</v>
      </c>
      <c r="AF139" s="628" t="s">
        <v>4013</v>
      </c>
      <c r="AG139" s="628" t="s">
        <v>4744</v>
      </c>
      <c r="AH139" s="628" t="s">
        <v>3143</v>
      </c>
      <c r="AI139" s="698" t="s">
        <v>1742</v>
      </c>
      <c r="AJ139" s="628" t="s">
        <v>4013</v>
      </c>
      <c r="AK139" s="628" t="s">
        <v>4744</v>
      </c>
      <c r="AL139" s="628" t="s">
        <v>3143</v>
      </c>
      <c r="AM139" s="698" t="s">
        <v>1742</v>
      </c>
      <c r="AN139" s="628" t="s">
        <v>4013</v>
      </c>
      <c r="AO139" s="628" t="s">
        <v>4744</v>
      </c>
      <c r="AP139" s="628" t="s">
        <v>3143</v>
      </c>
      <c r="AQ139" s="698" t="s">
        <v>1742</v>
      </c>
      <c r="AR139" s="628" t="s">
        <v>4013</v>
      </c>
      <c r="AS139" s="628" t="s">
        <v>4744</v>
      </c>
      <c r="AT139" s="628" t="s">
        <v>3143</v>
      </c>
      <c r="AU139" s="698" t="s">
        <v>1742</v>
      </c>
      <c r="BJ139" s="970"/>
      <c r="BS139" s="602"/>
      <c r="DG139" s="602"/>
      <c r="DH139" s="602"/>
      <c r="DI139" s="602"/>
      <c r="DJ139" s="602"/>
      <c r="DK139" s="602"/>
    </row>
    <row r="140" spans="1:115" ht="11.1" customHeight="1" outlineLevel="4">
      <c r="A140" s="602">
        <v>134</v>
      </c>
      <c r="B140" s="793" t="s">
        <v>5349</v>
      </c>
      <c r="C140" s="629">
        <v>3</v>
      </c>
      <c r="D140" s="768">
        <v>2.5</v>
      </c>
      <c r="E140" s="769">
        <v>27</v>
      </c>
      <c r="F140" s="649"/>
      <c r="G140" s="768">
        <f t="shared" si="38"/>
        <v>0</v>
      </c>
      <c r="H140" s="771">
        <v>75</v>
      </c>
      <c r="I140" s="771">
        <f t="shared" si="39"/>
        <v>0</v>
      </c>
      <c r="J140" s="769" t="s">
        <v>1563</v>
      </c>
      <c r="K140" s="774">
        <f>IF(J140&lt;&gt;"L",'Main Creation Page'!$AF$11,'Main Creation Page'!$AG$11)</f>
        <v>5</v>
      </c>
      <c r="L140" s="629">
        <v>40</v>
      </c>
      <c r="M140" s="629">
        <f>IF(ISNA(VLOOKUP(T139,$BJ$44:$BN$58,2)),0,VLOOKUP(T139,$BJ$44:$BN$58,2))</f>
        <v>0</v>
      </c>
      <c r="N140" s="620">
        <f>K140+L140+M140</f>
        <v>45</v>
      </c>
      <c r="O140" s="769" t="s">
        <v>4740</v>
      </c>
      <c r="P140" s="629"/>
      <c r="Q140" s="629">
        <v>6</v>
      </c>
      <c r="R140" s="629"/>
      <c r="S140" s="629"/>
      <c r="T140" s="629"/>
      <c r="U140" s="629"/>
      <c r="V140" s="769"/>
      <c r="W140" s="769"/>
      <c r="X140" s="772"/>
      <c r="Y140" s="629"/>
      <c r="Z140" s="629"/>
      <c r="AA140" s="793" t="s">
        <v>5349</v>
      </c>
      <c r="AB140" s="831">
        <v>0</v>
      </c>
      <c r="AC140" s="832">
        <f>$N140+AB140</f>
        <v>45</v>
      </c>
      <c r="AD140" s="796">
        <v>500</v>
      </c>
      <c r="AE140" s="846">
        <f ca="1">3+IF(R139="Y+",Skills!AE153,Skills!$AE$151)</f>
        <v>3</v>
      </c>
      <c r="AF140" s="834">
        <v>-8</v>
      </c>
      <c r="AG140" s="832">
        <f>$N140+AF140</f>
        <v>37</v>
      </c>
      <c r="AH140" s="796">
        <v>900</v>
      </c>
      <c r="AI140" s="846">
        <v>2</v>
      </c>
      <c r="AJ140" s="834">
        <v>-14</v>
      </c>
      <c r="AK140" s="832">
        <f>$N140+AJ140</f>
        <v>31</v>
      </c>
      <c r="AL140" s="796">
        <v>1900</v>
      </c>
      <c r="AM140" s="835">
        <v>1</v>
      </c>
      <c r="AN140" s="834">
        <v>-25</v>
      </c>
      <c r="AO140" s="832">
        <f>$N140+AN140</f>
        <v>20</v>
      </c>
      <c r="AP140" s="796">
        <v>2100</v>
      </c>
      <c r="AQ140" s="835">
        <v>0</v>
      </c>
      <c r="AR140" s="834">
        <v>-38</v>
      </c>
      <c r="AS140" s="832">
        <f>$N140+AR140</f>
        <v>7</v>
      </c>
      <c r="AT140" s="796">
        <v>2700</v>
      </c>
      <c r="AU140" s="835">
        <v>-1</v>
      </c>
      <c r="BJ140" s="970"/>
      <c r="BS140" s="602"/>
      <c r="DG140" s="602"/>
      <c r="DH140" s="602"/>
      <c r="DI140" s="602"/>
      <c r="DJ140" s="602"/>
      <c r="DK140" s="602"/>
    </row>
    <row r="141" spans="1:115" ht="11.1" customHeight="1" outlineLevel="4">
      <c r="A141" s="602">
        <v>135</v>
      </c>
      <c r="B141" s="793" t="s">
        <v>5350</v>
      </c>
      <c r="C141" s="629">
        <v>2</v>
      </c>
      <c r="D141" s="768">
        <v>1.5</v>
      </c>
      <c r="E141" s="769">
        <v>27</v>
      </c>
      <c r="F141" s="649"/>
      <c r="G141" s="768">
        <f t="shared" si="38"/>
        <v>0</v>
      </c>
      <c r="H141" s="771">
        <v>60</v>
      </c>
      <c r="I141" s="771">
        <f t="shared" si="39"/>
        <v>0</v>
      </c>
      <c r="J141" s="769" t="s">
        <v>5221</v>
      </c>
      <c r="K141" s="774">
        <f>IF(J141&lt;&gt;"L",'Main Creation Page'!$AF$11,'Main Creation Page'!$AG$11)</f>
        <v>10</v>
      </c>
      <c r="L141" s="629">
        <v>35</v>
      </c>
      <c r="M141" s="629">
        <f>IF(ISNA(VLOOKUP(T139,$BJ$44:$BN$58,3)),0,VLOOKUP(T139,$BJ$44:$BN$58,3))</f>
        <v>0</v>
      </c>
      <c r="N141" s="620">
        <f>K141+L141+M141</f>
        <v>45</v>
      </c>
      <c r="O141" s="769" t="s">
        <v>4740</v>
      </c>
      <c r="P141" s="629"/>
      <c r="Q141" s="629">
        <v>7</v>
      </c>
      <c r="R141" s="629"/>
      <c r="S141" s="629"/>
      <c r="T141" s="629"/>
      <c r="U141" s="629"/>
      <c r="V141" s="769"/>
      <c r="W141" s="769"/>
      <c r="X141" s="772"/>
      <c r="Y141" s="629"/>
      <c r="Z141" s="629"/>
      <c r="AA141" s="793" t="s">
        <v>5350</v>
      </c>
      <c r="AB141" s="831">
        <v>0</v>
      </c>
      <c r="AC141" s="832">
        <f>$N141+AB141</f>
        <v>45</v>
      </c>
      <c r="AD141" s="796">
        <v>600</v>
      </c>
      <c r="AE141" s="846">
        <f ca="1">2+IF(R139="Y+",Skills!AE153,Skills!$AE$151)</f>
        <v>2</v>
      </c>
      <c r="AF141" s="834">
        <v>-11</v>
      </c>
      <c r="AG141" s="832">
        <f>$N141+AF141</f>
        <v>34</v>
      </c>
      <c r="AH141" s="796">
        <v>1200</v>
      </c>
      <c r="AI141" s="846">
        <v>1</v>
      </c>
      <c r="AJ141" s="834">
        <v>-20</v>
      </c>
      <c r="AK141" s="832">
        <f>$N141+AJ141</f>
        <v>25</v>
      </c>
      <c r="AL141" s="796">
        <v>2100</v>
      </c>
      <c r="AM141" s="835">
        <v>0</v>
      </c>
      <c r="AN141" s="834">
        <v>-30</v>
      </c>
      <c r="AO141" s="832">
        <f>$N141+AN141</f>
        <v>15</v>
      </c>
      <c r="AP141" s="796">
        <v>2800</v>
      </c>
      <c r="AQ141" s="835">
        <v>-2</v>
      </c>
      <c r="AR141" s="834">
        <v>-38</v>
      </c>
      <c r="AS141" s="832">
        <f>$N141+AR141</f>
        <v>7</v>
      </c>
      <c r="AT141" s="796">
        <v>3200</v>
      </c>
      <c r="AU141" s="835">
        <v>-3</v>
      </c>
      <c r="BJ141" s="970"/>
      <c r="BS141" s="602"/>
      <c r="DG141" s="602"/>
      <c r="DH141" s="602"/>
      <c r="DI141" s="602"/>
      <c r="DJ141" s="602"/>
      <c r="DK141" s="602"/>
    </row>
    <row r="142" spans="1:115" ht="11.1" customHeight="1" outlineLevel="3">
      <c r="B142" s="791" t="s">
        <v>1876</v>
      </c>
      <c r="C142" s="629">
        <v>2</v>
      </c>
      <c r="D142" s="768">
        <v>2</v>
      </c>
      <c r="E142" s="769">
        <v>22</v>
      </c>
      <c r="F142" s="649"/>
      <c r="G142" s="768">
        <f t="shared" si="38"/>
        <v>0</v>
      </c>
      <c r="H142" s="771">
        <v>240</v>
      </c>
      <c r="I142" s="771">
        <f t="shared" si="39"/>
        <v>0</v>
      </c>
      <c r="J142" s="769"/>
      <c r="K142" s="629"/>
      <c r="L142" s="629"/>
      <c r="M142" s="629"/>
      <c r="N142" s="629"/>
      <c r="O142" s="629"/>
      <c r="P142" s="629"/>
      <c r="Q142" s="629"/>
      <c r="R142" s="629"/>
      <c r="S142" s="629"/>
      <c r="T142" s="629"/>
      <c r="U142" s="629"/>
      <c r="V142" s="629"/>
      <c r="W142" s="629"/>
      <c r="X142" s="772"/>
      <c r="Y142" s="629"/>
      <c r="Z142" s="629"/>
      <c r="AA142" s="791"/>
      <c r="AB142" s="831"/>
      <c r="AC142" s="832"/>
      <c r="AD142" s="796"/>
      <c r="AE142" s="835"/>
      <c r="AF142" s="834"/>
      <c r="AG142" s="832"/>
      <c r="AH142" s="796"/>
      <c r="AI142" s="835"/>
      <c r="AJ142" s="834"/>
      <c r="AK142" s="832"/>
      <c r="AL142" s="796"/>
      <c r="AM142" s="835"/>
      <c r="AN142" s="834"/>
      <c r="AO142" s="832"/>
      <c r="AP142" s="796"/>
      <c r="AQ142" s="835"/>
      <c r="AR142" s="834"/>
      <c r="AS142" s="832"/>
      <c r="AT142" s="796"/>
      <c r="AU142" s="835"/>
      <c r="BJ142" s="970"/>
      <c r="BS142" s="602"/>
      <c r="DG142" s="602"/>
      <c r="DH142" s="602"/>
      <c r="DI142" s="602"/>
      <c r="DJ142" s="602"/>
      <c r="DK142" s="602"/>
    </row>
    <row r="143" spans="1:115" ht="11.1" customHeight="1" outlineLevel="3" thickBot="1">
      <c r="B143" s="861"/>
      <c r="C143" s="782"/>
      <c r="D143" s="783"/>
      <c r="E143" s="784"/>
      <c r="F143" s="808"/>
      <c r="G143" s="783"/>
      <c r="H143" s="809"/>
      <c r="I143" s="809"/>
      <c r="J143" s="784"/>
      <c r="K143" s="782"/>
      <c r="L143" s="782"/>
      <c r="M143" s="782"/>
      <c r="N143" s="782"/>
      <c r="O143" s="782"/>
      <c r="P143" s="782"/>
      <c r="Q143" s="782"/>
      <c r="R143" s="782"/>
      <c r="S143" s="782"/>
      <c r="T143" s="782"/>
      <c r="U143" s="782"/>
      <c r="V143" s="782"/>
      <c r="W143" s="782"/>
      <c r="X143" s="855"/>
      <c r="Y143" s="782"/>
      <c r="Z143" s="782"/>
      <c r="AA143" s="791"/>
      <c r="AB143" s="831"/>
      <c r="AC143" s="832"/>
      <c r="AD143" s="796"/>
      <c r="AE143" s="835"/>
      <c r="AF143" s="834"/>
      <c r="AG143" s="832"/>
      <c r="AH143" s="796"/>
      <c r="AI143" s="835"/>
      <c r="AJ143" s="834"/>
      <c r="AK143" s="832"/>
      <c r="AL143" s="796"/>
      <c r="AM143" s="835"/>
      <c r="AN143" s="834"/>
      <c r="AO143" s="832"/>
      <c r="AP143" s="796"/>
      <c r="AQ143" s="835"/>
      <c r="AR143" s="834"/>
      <c r="AS143" s="832"/>
      <c r="AT143" s="796"/>
      <c r="AU143" s="835"/>
      <c r="BJ143" s="970"/>
      <c r="BS143" s="602"/>
      <c r="DG143" s="602"/>
      <c r="DH143" s="602"/>
      <c r="DI143" s="602"/>
      <c r="DJ143" s="602"/>
      <c r="DK143" s="602"/>
    </row>
    <row r="144" spans="1:115" ht="11.1" customHeight="1" outlineLevel="2" thickTop="1">
      <c r="B144" s="785" t="s">
        <v>2363</v>
      </c>
      <c r="C144" s="786"/>
      <c r="D144" s="787"/>
      <c r="E144" s="788"/>
      <c r="F144" s="862"/>
      <c r="G144" s="787"/>
      <c r="H144" s="823"/>
      <c r="I144" s="823"/>
      <c r="J144" s="788"/>
      <c r="K144" s="786"/>
      <c r="L144" s="786"/>
      <c r="M144" s="786"/>
      <c r="N144" s="786"/>
      <c r="O144" s="786"/>
      <c r="P144" s="786"/>
      <c r="Q144" s="786"/>
      <c r="R144" s="786"/>
      <c r="S144" s="786"/>
      <c r="T144" s="786"/>
      <c r="U144" s="786"/>
      <c r="V144" s="786"/>
      <c r="W144" s="786"/>
      <c r="X144" s="824"/>
      <c r="Y144" s="786"/>
      <c r="Z144" s="786"/>
      <c r="AA144" s="827" t="s">
        <v>4495</v>
      </c>
      <c r="AB144" s="831"/>
      <c r="AC144" s="832"/>
      <c r="AD144" s="796"/>
      <c r="AE144" s="835"/>
      <c r="AF144" s="834"/>
      <c r="AG144" s="832"/>
      <c r="AH144" s="796"/>
      <c r="AI144" s="835"/>
      <c r="AJ144" s="834"/>
      <c r="AK144" s="832"/>
      <c r="AL144" s="796"/>
      <c r="AM144" s="835"/>
      <c r="AN144" s="834"/>
      <c r="AO144" s="832"/>
      <c r="AP144" s="796"/>
      <c r="AQ144" s="835"/>
      <c r="AR144" s="834"/>
      <c r="AS144" s="832"/>
      <c r="AT144" s="796"/>
      <c r="AU144" s="835"/>
      <c r="BJ144" s="970">
        <v>8</v>
      </c>
      <c r="BK144" s="752" t="s">
        <v>5803</v>
      </c>
      <c r="BS144" s="602"/>
      <c r="DG144" s="602"/>
      <c r="DH144" s="602"/>
      <c r="DI144" s="602"/>
      <c r="DJ144" s="602"/>
      <c r="DK144" s="602"/>
    </row>
    <row r="145" spans="1:115" ht="11.1" customHeight="1" outlineLevel="3">
      <c r="A145" s="602">
        <v>136</v>
      </c>
      <c r="B145" s="791" t="s">
        <v>738</v>
      </c>
      <c r="C145" s="629"/>
      <c r="D145" s="768"/>
      <c r="E145" s="769"/>
      <c r="F145" s="649"/>
      <c r="G145" s="768">
        <f>F145*D145</f>
        <v>0</v>
      </c>
      <c r="H145" s="771"/>
      <c r="I145" s="771">
        <f>H145*F145</f>
        <v>0</v>
      </c>
      <c r="J145" s="769" t="s">
        <v>1563</v>
      </c>
      <c r="K145" s="629"/>
      <c r="L145" s="629"/>
      <c r="M145" s="629"/>
      <c r="N145" s="745"/>
      <c r="O145" s="769"/>
      <c r="P145" s="629"/>
      <c r="Q145" s="629">
        <v>10</v>
      </c>
      <c r="R145" s="629" t="str">
        <f>IF(AND(ISBLANK(Skills!$X$163),ISNA(Skills!$W$163)),"N","Y")</f>
        <v>N</v>
      </c>
      <c r="S145" s="629">
        <f>Skills!V$163</f>
        <v>5</v>
      </c>
      <c r="T145" s="629" t="str">
        <f>IF(ISNA(Skills!$W$163),IF(ISBLANK(Skills!$X$163)," ",Skills!$X$163),+Skills!$W$163+Skills!$X$163)</f>
        <v xml:space="preserve"> </v>
      </c>
      <c r="U145" s="743">
        <f>IF(R145="Y",Skills!$AC$163,Skills!$AB$163)</f>
        <v>0.1</v>
      </c>
      <c r="V145" s="714">
        <f ca="1">Skills!$Y$163</f>
        <v>0.12</v>
      </c>
      <c r="W145" s="714">
        <f ca="1">Skills!$AA$163</f>
        <v>0.12</v>
      </c>
      <c r="X145" s="777">
        <f ca="1">Skills!AD$163</f>
        <v>0.22</v>
      </c>
      <c r="Y145" s="622">
        <f ca="1">HLOOKUP(W145,$BJ$60:$BO$67,6)</f>
        <v>7</v>
      </c>
      <c r="Z145" s="622">
        <f ca="1">HLOOKUP(X145,$BJ$68:$BO$72,2)</f>
        <v>1</v>
      </c>
      <c r="AA145" s="792" t="s">
        <v>738</v>
      </c>
      <c r="AB145" s="838" t="s">
        <v>4013</v>
      </c>
      <c r="AC145" s="628" t="s">
        <v>4744</v>
      </c>
      <c r="AD145" s="628" t="s">
        <v>3143</v>
      </c>
      <c r="AE145" s="698" t="s">
        <v>1742</v>
      </c>
      <c r="AF145" s="628" t="s">
        <v>4013</v>
      </c>
      <c r="AG145" s="628" t="s">
        <v>4744</v>
      </c>
      <c r="AH145" s="628" t="s">
        <v>3143</v>
      </c>
      <c r="AI145" s="698" t="s">
        <v>1742</v>
      </c>
      <c r="AJ145" s="628" t="s">
        <v>4013</v>
      </c>
      <c r="AK145" s="628" t="s">
        <v>4744</v>
      </c>
      <c r="AL145" s="628" t="s">
        <v>3143</v>
      </c>
      <c r="AM145" s="698" t="s">
        <v>1742</v>
      </c>
      <c r="AN145" s="628" t="s">
        <v>4013</v>
      </c>
      <c r="AO145" s="628" t="s">
        <v>4744</v>
      </c>
      <c r="AP145" s="628" t="s">
        <v>3143</v>
      </c>
      <c r="AQ145" s="698" t="s">
        <v>1742</v>
      </c>
      <c r="AR145" s="628" t="s">
        <v>4013</v>
      </c>
      <c r="AS145" s="628" t="s">
        <v>4744</v>
      </c>
      <c r="AT145" s="628" t="s">
        <v>3143</v>
      </c>
      <c r="AU145" s="698" t="s">
        <v>1742</v>
      </c>
      <c r="BJ145" s="970"/>
      <c r="BS145" s="602"/>
      <c r="DG145" s="602"/>
      <c r="DH145" s="602"/>
      <c r="DI145" s="602"/>
      <c r="DJ145" s="602"/>
      <c r="DK145" s="602"/>
    </row>
    <row r="146" spans="1:115" ht="11.1" customHeight="1" outlineLevel="4">
      <c r="B146" s="793" t="s">
        <v>739</v>
      </c>
      <c r="C146" s="629"/>
      <c r="D146" s="768"/>
      <c r="E146" s="769"/>
      <c r="F146" s="649"/>
      <c r="G146" s="768"/>
      <c r="H146" s="771"/>
      <c r="I146" s="771"/>
      <c r="J146" s="769"/>
      <c r="K146" s="629"/>
      <c r="L146" s="629"/>
      <c r="M146" s="629"/>
      <c r="N146" s="745"/>
      <c r="O146" s="769"/>
      <c r="P146" s="629"/>
      <c r="Q146" s="629"/>
      <c r="R146" s="629"/>
      <c r="S146" s="629"/>
      <c r="T146" s="629"/>
      <c r="U146" s="743"/>
      <c r="V146" s="714"/>
      <c r="W146" s="714"/>
      <c r="X146" s="777"/>
      <c r="Y146" s="622"/>
      <c r="Z146" s="622"/>
      <c r="AA146" s="792"/>
      <c r="AB146" s="838"/>
      <c r="AC146" s="628"/>
      <c r="AD146" s="628"/>
      <c r="AE146" s="698"/>
      <c r="AF146" s="628"/>
      <c r="AG146" s="628"/>
      <c r="AH146" s="628"/>
      <c r="AI146" s="698"/>
      <c r="AJ146" s="628"/>
      <c r="AK146" s="628"/>
      <c r="AL146" s="628"/>
      <c r="AM146" s="698"/>
      <c r="AN146" s="628"/>
      <c r="AO146" s="628"/>
      <c r="AP146" s="628"/>
      <c r="AQ146" s="698"/>
      <c r="AR146" s="628"/>
      <c r="AS146" s="628"/>
      <c r="AT146" s="628"/>
      <c r="AU146" s="698"/>
      <c r="BJ146" s="970"/>
      <c r="BS146" s="602"/>
      <c r="DG146" s="602"/>
      <c r="DH146" s="602"/>
      <c r="DI146" s="602"/>
      <c r="DJ146" s="602"/>
      <c r="DK146" s="602"/>
    </row>
    <row r="147" spans="1:115" ht="11.1" customHeight="1" outlineLevel="3">
      <c r="A147" s="602">
        <v>137</v>
      </c>
      <c r="B147" s="779" t="s">
        <v>3663</v>
      </c>
      <c r="C147" s="629">
        <v>1</v>
      </c>
      <c r="D147" s="768">
        <v>0.25</v>
      </c>
      <c r="E147" s="769">
        <v>60</v>
      </c>
      <c r="F147" s="649"/>
      <c r="G147" s="768">
        <f t="shared" ref="G147:G152" si="41">F147*D147</f>
        <v>0</v>
      </c>
      <c r="H147" s="771">
        <v>10</v>
      </c>
      <c r="I147" s="771">
        <f t="shared" ref="I147:I152" si="42">H147*F147</f>
        <v>0</v>
      </c>
      <c r="J147" s="769"/>
      <c r="K147" s="629"/>
      <c r="L147" s="629"/>
      <c r="M147" s="629"/>
      <c r="N147" s="745"/>
      <c r="O147" s="769"/>
      <c r="P147" s="629"/>
      <c r="Q147" s="629">
        <v>10</v>
      </c>
      <c r="R147" s="629" t="str">
        <f>IF(AND(ISBLANK(Skills!$X$196),ISNA(Skills!$W$196)),"N","Y")</f>
        <v>N</v>
      </c>
      <c r="S147" s="629">
        <f>Skills!V$196</f>
        <v>4</v>
      </c>
      <c r="T147" s="629" t="str">
        <f>IF(ISNA(Skills!$W$196),IF(ISBLANK(Skills!$X$196)," ",Skills!$X$196),+Skills!$W$196+Skills!$X$196)</f>
        <v xml:space="preserve"> </v>
      </c>
      <c r="U147" s="743">
        <f>IF(R147="Y",Skills!$AC$196,Skills!$AB$196)</f>
        <v>0.2</v>
      </c>
      <c r="V147" s="714">
        <f ca="1">Skills!$Y$196</f>
        <v>0.06</v>
      </c>
      <c r="W147" s="714">
        <f ca="1">Skills!$AA$196</f>
        <v>0.06</v>
      </c>
      <c r="X147" s="777">
        <f ca="1">Skills!AD$196</f>
        <v>0.26</v>
      </c>
      <c r="Y147" s="622">
        <f ca="1">HLOOKUP(W147,$BJ$60:$BO$67,6)</f>
        <v>7</v>
      </c>
      <c r="Z147" s="622">
        <f ca="1">HLOOKUP(X147,$BJ$68:$BO$72,2)</f>
        <v>1</v>
      </c>
      <c r="AA147" s="779" t="s">
        <v>3663</v>
      </c>
      <c r="AB147" s="838" t="s">
        <v>4013</v>
      </c>
      <c r="AC147" s="628" t="s">
        <v>4744</v>
      </c>
      <c r="AD147" s="628" t="s">
        <v>3143</v>
      </c>
      <c r="AE147" s="698" t="s">
        <v>1742</v>
      </c>
      <c r="AF147" s="628" t="s">
        <v>4013</v>
      </c>
      <c r="AG147" s="628" t="s">
        <v>4744</v>
      </c>
      <c r="AH147" s="628" t="s">
        <v>3143</v>
      </c>
      <c r="AI147" s="698" t="s">
        <v>1742</v>
      </c>
      <c r="AJ147" s="628" t="s">
        <v>4013</v>
      </c>
      <c r="AK147" s="628" t="s">
        <v>4744</v>
      </c>
      <c r="AL147" s="628" t="s">
        <v>3143</v>
      </c>
      <c r="AM147" s="698" t="s">
        <v>1742</v>
      </c>
      <c r="AN147" s="628" t="s">
        <v>4013</v>
      </c>
      <c r="AO147" s="628" t="s">
        <v>4744</v>
      </c>
      <c r="AP147" s="628" t="s">
        <v>3143</v>
      </c>
      <c r="AQ147" s="698" t="s">
        <v>1742</v>
      </c>
      <c r="AR147" s="628" t="s">
        <v>4013</v>
      </c>
      <c r="AS147" s="628" t="s">
        <v>4744</v>
      </c>
      <c r="AT147" s="628" t="s">
        <v>3143</v>
      </c>
      <c r="AU147" s="698" t="s">
        <v>1742</v>
      </c>
      <c r="BJ147" s="970"/>
      <c r="DG147" s="602"/>
      <c r="DH147" s="602"/>
      <c r="DI147" s="602"/>
      <c r="DJ147" s="602"/>
      <c r="DK147" s="602"/>
    </row>
    <row r="148" spans="1:115" ht="11.1" customHeight="1" outlineLevel="4">
      <c r="A148" s="602">
        <v>138</v>
      </c>
      <c r="B148" s="780" t="s">
        <v>2012</v>
      </c>
      <c r="C148" s="629" t="s">
        <v>5545</v>
      </c>
      <c r="D148" s="768">
        <v>0.13</v>
      </c>
      <c r="E148" s="769">
        <v>1</v>
      </c>
      <c r="F148" s="649"/>
      <c r="G148" s="768">
        <f t="shared" si="41"/>
        <v>0</v>
      </c>
      <c r="H148" s="771">
        <v>0</v>
      </c>
      <c r="I148" s="771">
        <f t="shared" si="42"/>
        <v>0</v>
      </c>
      <c r="J148" s="769" t="s">
        <v>1563</v>
      </c>
      <c r="K148" s="629"/>
      <c r="L148" s="629">
        <v>4</v>
      </c>
      <c r="M148" s="629">
        <f>IF(ISNA(VLOOKUP(T147,$BJ$44:$BN$58,2)),0,VLOOKUP(T147,$BJ$44:$BN$58,2))</f>
        <v>0</v>
      </c>
      <c r="N148" s="620">
        <f>K148+L148+M148</f>
        <v>4</v>
      </c>
      <c r="O148" s="769" t="s">
        <v>4740</v>
      </c>
      <c r="P148" s="629"/>
      <c r="Q148" s="629"/>
      <c r="R148" s="629"/>
      <c r="S148" s="629"/>
      <c r="T148" s="629"/>
      <c r="U148" s="629"/>
      <c r="V148" s="769"/>
      <c r="W148" s="769"/>
      <c r="X148" s="772"/>
      <c r="Y148" s="629"/>
      <c r="Z148" s="629"/>
      <c r="AA148" s="780" t="s">
        <v>2012</v>
      </c>
      <c r="AB148" s="831">
        <v>4</v>
      </c>
      <c r="AC148" s="832">
        <f>$N148+AB148</f>
        <v>8</v>
      </c>
      <c r="AD148" s="796">
        <v>10</v>
      </c>
      <c r="AE148" s="833">
        <f ca="1">1+Skills!AE196</f>
        <v>1</v>
      </c>
      <c r="AF148" s="834">
        <v>-1</v>
      </c>
      <c r="AG148" s="832">
        <f>$N148+AF148</f>
        <v>3</v>
      </c>
      <c r="AH148" s="796">
        <v>20</v>
      </c>
      <c r="AI148" s="863" t="s">
        <v>3806</v>
      </c>
      <c r="AJ148" s="834">
        <v>-3</v>
      </c>
      <c r="AK148" s="832">
        <f>$N148+AJ148</f>
        <v>1</v>
      </c>
      <c r="AL148" s="796">
        <v>40</v>
      </c>
      <c r="AM148" s="835">
        <v>0</v>
      </c>
      <c r="AN148" s="834">
        <v>-6</v>
      </c>
      <c r="AO148" s="832">
        <f>$N148+AN148</f>
        <v>-2</v>
      </c>
      <c r="AP148" s="796">
        <v>80</v>
      </c>
      <c r="AQ148" s="835">
        <v>0</v>
      </c>
      <c r="AR148" s="834">
        <v>-9</v>
      </c>
      <c r="AS148" s="832">
        <f>$N148+AR148</f>
        <v>-5</v>
      </c>
      <c r="AT148" s="796">
        <v>300</v>
      </c>
      <c r="AU148" s="835">
        <v>0</v>
      </c>
      <c r="BJ148" s="970"/>
      <c r="DG148" s="602"/>
      <c r="DH148" s="602"/>
      <c r="DI148" s="602"/>
      <c r="DJ148" s="602"/>
      <c r="DK148" s="602"/>
    </row>
    <row r="149" spans="1:115" ht="11.1" customHeight="1" outlineLevel="4">
      <c r="A149" s="602">
        <v>139</v>
      </c>
      <c r="B149" s="780" t="s">
        <v>373</v>
      </c>
      <c r="C149" s="629">
        <v>1</v>
      </c>
      <c r="D149" s="768">
        <v>0.25</v>
      </c>
      <c r="E149" s="769">
        <v>1.5</v>
      </c>
      <c r="F149" s="649"/>
      <c r="G149" s="768">
        <f t="shared" si="41"/>
        <v>0</v>
      </c>
      <c r="H149" s="771">
        <v>10</v>
      </c>
      <c r="I149" s="771">
        <f t="shared" si="42"/>
        <v>0</v>
      </c>
      <c r="J149" s="769" t="s">
        <v>1563</v>
      </c>
      <c r="K149" s="629"/>
      <c r="L149" s="629">
        <v>5</v>
      </c>
      <c r="M149" s="629">
        <f>IF(ISNA(VLOOKUP(T147,$BJ$44:$BN$58,2)),0,VLOOKUP(T147,$BJ$44:$BN$58,2))</f>
        <v>0</v>
      </c>
      <c r="N149" s="620">
        <f>K149+L149+M149</f>
        <v>5</v>
      </c>
      <c r="O149" s="769" t="s">
        <v>4740</v>
      </c>
      <c r="P149" s="629"/>
      <c r="Q149" s="629"/>
      <c r="R149" s="629"/>
      <c r="S149" s="629"/>
      <c r="T149" s="629"/>
      <c r="U149" s="629"/>
      <c r="V149" s="769"/>
      <c r="W149" s="769"/>
      <c r="X149" s="772"/>
      <c r="Y149" s="629"/>
      <c r="Z149" s="629"/>
      <c r="AA149" s="780" t="s">
        <v>373</v>
      </c>
      <c r="AB149" s="831">
        <v>9</v>
      </c>
      <c r="AC149" s="832">
        <f>$N149+AB149</f>
        <v>14</v>
      </c>
      <c r="AD149" s="796">
        <v>10</v>
      </c>
      <c r="AE149" s="833">
        <f ca="1">2+Skills!AE196</f>
        <v>2</v>
      </c>
      <c r="AF149" s="834">
        <v>-2</v>
      </c>
      <c r="AG149" s="832">
        <f>$N149+AF149</f>
        <v>3</v>
      </c>
      <c r="AH149" s="796">
        <v>20</v>
      </c>
      <c r="AI149" s="863" t="s">
        <v>5068</v>
      </c>
      <c r="AJ149" s="834">
        <v>-5</v>
      </c>
      <c r="AK149" s="832">
        <f>$N149+AJ149</f>
        <v>0</v>
      </c>
      <c r="AL149" s="796">
        <v>40</v>
      </c>
      <c r="AM149" s="846">
        <v>1</v>
      </c>
      <c r="AN149" s="834">
        <v>-8</v>
      </c>
      <c r="AO149" s="832">
        <f>$N149+AN149</f>
        <v>-3</v>
      </c>
      <c r="AP149" s="796">
        <v>80</v>
      </c>
      <c r="AQ149" s="835">
        <v>0</v>
      </c>
      <c r="AR149" s="834">
        <v>-9</v>
      </c>
      <c r="AS149" s="832">
        <f>$N149+AR149</f>
        <v>-4</v>
      </c>
      <c r="AT149" s="796">
        <v>300</v>
      </c>
      <c r="AU149" s="835">
        <v>0</v>
      </c>
      <c r="BJ149" s="970"/>
      <c r="DG149" s="602"/>
      <c r="DH149" s="602"/>
      <c r="DI149" s="602"/>
      <c r="DJ149" s="602"/>
      <c r="DK149" s="602"/>
    </row>
    <row r="150" spans="1:115" ht="11.1" customHeight="1" outlineLevel="3">
      <c r="A150" s="602">
        <v>140</v>
      </c>
      <c r="B150" s="779" t="s">
        <v>385</v>
      </c>
      <c r="C150" s="830" t="s">
        <v>2224</v>
      </c>
      <c r="D150" s="768">
        <v>5</v>
      </c>
      <c r="E150" s="769">
        <f>7*12</f>
        <v>84</v>
      </c>
      <c r="F150" s="649"/>
      <c r="G150" s="768">
        <f t="shared" si="41"/>
        <v>0</v>
      </c>
      <c r="H150" s="771">
        <v>240</v>
      </c>
      <c r="I150" s="771">
        <f t="shared" si="42"/>
        <v>0</v>
      </c>
      <c r="J150" s="769"/>
      <c r="K150" s="629"/>
      <c r="L150" s="629"/>
      <c r="M150" s="629"/>
      <c r="N150" s="745"/>
      <c r="O150" s="769"/>
      <c r="P150" s="629"/>
      <c r="Q150" s="629">
        <v>10</v>
      </c>
      <c r="R150" s="629" t="str">
        <f>IF(AND(ISBLANK(Skills!$X$196),ISNA(Skills!$W$196)),"N","Y")</f>
        <v>N</v>
      </c>
      <c r="S150" s="629">
        <f>Skills!V$196</f>
        <v>4</v>
      </c>
      <c r="T150" s="629" t="str">
        <f>IF(ISNA(Skills!$W$196),IF(ISBLANK(Skills!$X$196)," ",Skills!$X$196),+Skills!$W$196+Skills!$X$196)</f>
        <v xml:space="preserve"> </v>
      </c>
      <c r="U150" s="743">
        <f>IF(R150="Y",Skills!$AC$196,Skills!$AB$196)</f>
        <v>0.2</v>
      </c>
      <c r="V150" s="714">
        <f ca="1">Skills!$Y$196</f>
        <v>0.06</v>
      </c>
      <c r="W150" s="714">
        <f ca="1">Skills!$AA$196</f>
        <v>0.06</v>
      </c>
      <c r="X150" s="777">
        <f ca="1">Skills!AD$196</f>
        <v>0.26</v>
      </c>
      <c r="Y150" s="622">
        <f ca="1">HLOOKUP(W150,$BJ$60:$BO$67,6)</f>
        <v>7</v>
      </c>
      <c r="Z150" s="622">
        <f ca="1">HLOOKUP(X150,$BJ$68:$BO$72,4)</f>
        <v>3</v>
      </c>
      <c r="AA150" s="779" t="s">
        <v>385</v>
      </c>
      <c r="AB150" s="831"/>
      <c r="AC150" s="832"/>
      <c r="AD150" s="796"/>
      <c r="AE150" s="835"/>
      <c r="AF150" s="834"/>
      <c r="AG150" s="832"/>
      <c r="AH150" s="796"/>
      <c r="AI150" s="835"/>
      <c r="AJ150" s="834"/>
      <c r="AK150" s="832"/>
      <c r="AL150" s="796"/>
      <c r="AM150" s="835"/>
      <c r="AN150" s="834"/>
      <c r="AO150" s="832"/>
      <c r="AP150" s="796"/>
      <c r="AQ150" s="835"/>
      <c r="AR150" s="834"/>
      <c r="AS150" s="832"/>
      <c r="AT150" s="796"/>
      <c r="AU150" s="835"/>
      <c r="BJ150" s="970"/>
      <c r="DG150" s="602"/>
      <c r="DH150" s="602"/>
      <c r="DI150" s="602"/>
      <c r="DJ150" s="602"/>
      <c r="DK150" s="602"/>
    </row>
    <row r="151" spans="1:115" ht="11.1" customHeight="1" outlineLevel="4">
      <c r="A151" s="602">
        <v>141</v>
      </c>
      <c r="B151" s="780" t="s">
        <v>2012</v>
      </c>
      <c r="C151" s="629" t="s">
        <v>5545</v>
      </c>
      <c r="D151" s="768">
        <v>0.13</v>
      </c>
      <c r="E151" s="769">
        <v>1</v>
      </c>
      <c r="F151" s="649"/>
      <c r="G151" s="768">
        <f t="shared" si="41"/>
        <v>0</v>
      </c>
      <c r="H151" s="771">
        <v>0</v>
      </c>
      <c r="I151" s="771">
        <f t="shared" si="42"/>
        <v>0</v>
      </c>
      <c r="J151" s="769" t="s">
        <v>1563</v>
      </c>
      <c r="K151" s="629"/>
      <c r="L151" s="629">
        <v>4</v>
      </c>
      <c r="M151" s="629">
        <f>IF(ISNA(VLOOKUP(T150,$BJ$44:$BN$58,2)),0,VLOOKUP(T150,$BJ$44:$BN$58,2))</f>
        <v>0</v>
      </c>
      <c r="N151" s="620">
        <f>K151+L151+M151</f>
        <v>4</v>
      </c>
      <c r="O151" s="769" t="s">
        <v>4740</v>
      </c>
      <c r="P151" s="629"/>
      <c r="Q151" s="629"/>
      <c r="R151" s="629"/>
      <c r="S151" s="629"/>
      <c r="T151" s="629"/>
      <c r="U151" s="629"/>
      <c r="V151" s="769"/>
      <c r="W151" s="769"/>
      <c r="X151" s="772"/>
      <c r="Y151" s="864"/>
      <c r="Z151" s="864"/>
      <c r="AA151" s="780" t="s">
        <v>2012</v>
      </c>
      <c r="AB151" s="831">
        <v>5</v>
      </c>
      <c r="AC151" s="832">
        <f>$N151+AB151</f>
        <v>9</v>
      </c>
      <c r="AD151" s="796">
        <v>10</v>
      </c>
      <c r="AE151" s="833">
        <f ca="1">1+Skills!AE196</f>
        <v>1</v>
      </c>
      <c r="AF151" s="834">
        <v>1</v>
      </c>
      <c r="AG151" s="832">
        <f>$N151+AF151</f>
        <v>5</v>
      </c>
      <c r="AH151" s="796">
        <v>20</v>
      </c>
      <c r="AI151" s="863" t="s">
        <v>3806</v>
      </c>
      <c r="AJ151" s="834">
        <v>-3</v>
      </c>
      <c r="AK151" s="832">
        <f>$N151+AJ151</f>
        <v>1</v>
      </c>
      <c r="AL151" s="796">
        <v>60</v>
      </c>
      <c r="AM151" s="835">
        <v>0</v>
      </c>
      <c r="AN151" s="834">
        <v>-6</v>
      </c>
      <c r="AO151" s="832">
        <f>$N151+AN151</f>
        <v>-2</v>
      </c>
      <c r="AP151" s="796">
        <v>150</v>
      </c>
      <c r="AQ151" s="835">
        <v>0</v>
      </c>
      <c r="AR151" s="834">
        <v>-9</v>
      </c>
      <c r="AS151" s="832">
        <f>$N151+AR151</f>
        <v>-5</v>
      </c>
      <c r="AT151" s="796">
        <v>600</v>
      </c>
      <c r="AU151" s="835">
        <v>0</v>
      </c>
      <c r="BJ151" s="970"/>
      <c r="DG151" s="602"/>
      <c r="DH151" s="602"/>
      <c r="DI151" s="602"/>
      <c r="DJ151" s="602"/>
      <c r="DK151" s="602"/>
    </row>
    <row r="152" spans="1:115" ht="11.1" customHeight="1" outlineLevel="4" thickBot="1">
      <c r="A152" s="602">
        <v>142</v>
      </c>
      <c r="B152" s="780" t="s">
        <v>373</v>
      </c>
      <c r="C152" s="629">
        <v>1</v>
      </c>
      <c r="D152" s="768">
        <v>0.25</v>
      </c>
      <c r="E152" s="769">
        <v>1.5</v>
      </c>
      <c r="F152" s="649"/>
      <c r="G152" s="768">
        <f t="shared" si="41"/>
        <v>0</v>
      </c>
      <c r="H152" s="771">
        <v>10</v>
      </c>
      <c r="I152" s="771">
        <f t="shared" si="42"/>
        <v>0</v>
      </c>
      <c r="J152" s="769" t="s">
        <v>1563</v>
      </c>
      <c r="K152" s="629"/>
      <c r="L152" s="629">
        <v>5</v>
      </c>
      <c r="M152" s="629">
        <f>IF(ISNA(VLOOKUP(T150,$BJ$44:$BN$58,2)),0,VLOOKUP(T150,$BJ$44:$BN$58,2))</f>
        <v>0</v>
      </c>
      <c r="N152" s="620">
        <f>K152+L152+M152</f>
        <v>5</v>
      </c>
      <c r="O152" s="769" t="s">
        <v>4740</v>
      </c>
      <c r="P152" s="629"/>
      <c r="Q152" s="629"/>
      <c r="R152" s="629"/>
      <c r="S152" s="629"/>
      <c r="T152" s="629"/>
      <c r="U152" s="629"/>
      <c r="V152" s="769"/>
      <c r="W152" s="769"/>
      <c r="X152" s="772"/>
      <c r="Y152" s="864"/>
      <c r="Z152" s="864"/>
      <c r="AA152" s="780" t="s">
        <v>373</v>
      </c>
      <c r="AB152" s="865">
        <v>10</v>
      </c>
      <c r="AC152" s="866">
        <f>$N152+AB152</f>
        <v>15</v>
      </c>
      <c r="AD152" s="800">
        <v>10</v>
      </c>
      <c r="AE152" s="867">
        <f ca="1">2+Skills!AE196</f>
        <v>2</v>
      </c>
      <c r="AF152" s="868">
        <v>-2</v>
      </c>
      <c r="AG152" s="866">
        <f>$N152+AF152</f>
        <v>3</v>
      </c>
      <c r="AH152" s="800">
        <v>20</v>
      </c>
      <c r="AI152" s="869" t="s">
        <v>5068</v>
      </c>
      <c r="AJ152" s="868">
        <v>-5</v>
      </c>
      <c r="AK152" s="866">
        <f>$N152+AJ152</f>
        <v>0</v>
      </c>
      <c r="AL152" s="800">
        <v>60</v>
      </c>
      <c r="AM152" s="870">
        <v>1</v>
      </c>
      <c r="AN152" s="800">
        <v>-8</v>
      </c>
      <c r="AO152" s="866">
        <f>$N152+AN152</f>
        <v>-3</v>
      </c>
      <c r="AP152" s="800">
        <v>150</v>
      </c>
      <c r="AQ152" s="871">
        <v>0</v>
      </c>
      <c r="AR152" s="868">
        <v>-9</v>
      </c>
      <c r="AS152" s="866">
        <f>$N152+AR152</f>
        <v>-4</v>
      </c>
      <c r="AT152" s="800">
        <v>600</v>
      </c>
      <c r="AU152" s="871">
        <v>0</v>
      </c>
      <c r="BJ152" s="970"/>
      <c r="DG152" s="602"/>
      <c r="DH152" s="602"/>
      <c r="DI152" s="602"/>
      <c r="DJ152" s="602"/>
      <c r="DK152" s="602"/>
    </row>
    <row r="153" spans="1:115" ht="11.1" customHeight="1" outlineLevel="3" thickTop="1">
      <c r="A153" s="602">
        <v>143</v>
      </c>
      <c r="B153" s="872"/>
      <c r="K153" s="602"/>
      <c r="L153" s="602"/>
      <c r="N153" s="602"/>
      <c r="O153" s="602"/>
      <c r="P153" s="602"/>
      <c r="Q153" s="602"/>
      <c r="T153" s="602"/>
      <c r="U153" s="602"/>
      <c r="V153" s="602"/>
      <c r="W153" s="602"/>
      <c r="X153" s="602"/>
      <c r="AA153" s="602"/>
      <c r="AE153" s="602"/>
      <c r="AF153" s="602"/>
      <c r="AG153" s="602"/>
      <c r="AH153" s="602"/>
      <c r="AI153" s="602"/>
      <c r="AJ153" s="602"/>
      <c r="AK153" s="602"/>
      <c r="AL153" s="602"/>
      <c r="AM153" s="602"/>
      <c r="AN153" s="602"/>
      <c r="AO153" s="602"/>
      <c r="AP153" s="602"/>
      <c r="AQ153" s="602"/>
      <c r="AR153" s="602"/>
      <c r="AS153" s="602"/>
      <c r="AT153" s="602"/>
      <c r="AU153" s="602"/>
      <c r="BJ153" s="970"/>
      <c r="DG153" s="602"/>
      <c r="DH153" s="602"/>
      <c r="DI153" s="602"/>
      <c r="DJ153" s="602"/>
      <c r="DK153" s="602"/>
    </row>
    <row r="154" spans="1:115" ht="11.1" customHeight="1" outlineLevel="2" thickBot="1">
      <c r="B154" s="850"/>
      <c r="K154" s="602"/>
      <c r="L154" s="602"/>
      <c r="N154" s="602"/>
      <c r="O154" s="602"/>
      <c r="P154" s="602"/>
      <c r="Q154" s="602"/>
      <c r="T154" s="602"/>
      <c r="U154" s="602"/>
      <c r="V154" s="602"/>
      <c r="W154" s="602"/>
      <c r="X154" s="602"/>
      <c r="AA154" s="602"/>
      <c r="AE154" s="602"/>
      <c r="AF154" s="602"/>
      <c r="AG154" s="602"/>
      <c r="AH154" s="602"/>
      <c r="AI154" s="602"/>
      <c r="AJ154" s="602"/>
      <c r="AK154" s="602"/>
      <c r="AL154" s="602"/>
      <c r="AM154" s="602"/>
      <c r="AN154" s="602"/>
      <c r="AO154" s="602"/>
      <c r="AP154" s="602"/>
      <c r="AQ154" s="602"/>
      <c r="AR154" s="602"/>
      <c r="AS154" s="602"/>
      <c r="AT154" s="602"/>
      <c r="AU154" s="602"/>
      <c r="BJ154" s="970">
        <v>9</v>
      </c>
      <c r="BK154" s="974" t="s">
        <v>5804</v>
      </c>
      <c r="BL154" s="976" t="s">
        <v>5805</v>
      </c>
      <c r="DG154" s="602"/>
      <c r="DH154" s="602"/>
      <c r="DI154" s="602"/>
      <c r="DJ154" s="602"/>
      <c r="DK154" s="602"/>
    </row>
    <row r="155" spans="1:115" ht="11.1" customHeight="1" outlineLevel="1" thickBot="1">
      <c r="B155" s="818" t="s">
        <v>2138</v>
      </c>
      <c r="C155" s="598"/>
      <c r="D155" s="598"/>
      <c r="E155" s="611" t="s">
        <v>3977</v>
      </c>
      <c r="F155" s="2664">
        <f>SUM(G90:G152)</f>
        <v>17.5</v>
      </c>
      <c r="G155" s="2665"/>
      <c r="H155" s="2666">
        <f>SUM(I90:I152)</f>
        <v>4360</v>
      </c>
      <c r="I155" s="1237"/>
      <c r="J155" s="874" t="s">
        <v>5217</v>
      </c>
      <c r="K155" s="602"/>
      <c r="L155" s="602"/>
      <c r="N155" s="602"/>
      <c r="O155" s="602"/>
      <c r="P155" s="602"/>
      <c r="Q155" s="602"/>
      <c r="T155" s="602"/>
      <c r="U155" s="602"/>
      <c r="V155" s="602"/>
      <c r="W155" s="602"/>
      <c r="X155" s="602"/>
      <c r="AA155" s="602"/>
      <c r="AE155" s="602"/>
      <c r="AF155" s="602"/>
      <c r="AG155" s="602"/>
      <c r="AH155" s="602"/>
      <c r="AI155" s="602"/>
      <c r="AJ155" s="602"/>
      <c r="AK155" s="602"/>
      <c r="AL155" s="602"/>
      <c r="AM155" s="602"/>
      <c r="AN155" s="602"/>
      <c r="AO155" s="602"/>
      <c r="AP155" s="602"/>
      <c r="AQ155" s="602"/>
      <c r="AR155" s="602"/>
      <c r="AS155" s="602"/>
      <c r="AT155" s="602"/>
      <c r="AU155" s="602"/>
      <c r="BJ155" s="970">
        <v>10</v>
      </c>
      <c r="BK155" s="974" t="s">
        <v>5819</v>
      </c>
      <c r="BL155" s="976" t="s">
        <v>5806</v>
      </c>
      <c r="DG155" s="602"/>
      <c r="DH155" s="602"/>
      <c r="DI155" s="602"/>
      <c r="DJ155" s="602"/>
      <c r="DK155" s="602"/>
    </row>
    <row r="156" spans="1:115" ht="11.1" customHeight="1" outlineLevel="1" thickBot="1">
      <c r="A156" s="602">
        <v>144</v>
      </c>
      <c r="B156" s="785" t="s">
        <v>374</v>
      </c>
      <c r="C156" s="628" t="s">
        <v>5544</v>
      </c>
      <c r="D156" s="754" t="s">
        <v>2743</v>
      </c>
      <c r="E156" s="755" t="s">
        <v>942</v>
      </c>
      <c r="F156" s="875" t="s">
        <v>5043</v>
      </c>
      <c r="G156" s="754" t="s">
        <v>3854</v>
      </c>
      <c r="H156" s="754" t="s">
        <v>2742</v>
      </c>
      <c r="I156" s="754" t="s">
        <v>3854</v>
      </c>
      <c r="J156" s="755" t="s">
        <v>4720</v>
      </c>
      <c r="K156" s="628" t="s">
        <v>3615</v>
      </c>
      <c r="L156" s="628" t="s">
        <v>940</v>
      </c>
      <c r="M156" s="628" t="s">
        <v>2525</v>
      </c>
      <c r="N156" s="628" t="s">
        <v>3807</v>
      </c>
      <c r="O156" s="755" t="s">
        <v>1281</v>
      </c>
      <c r="P156" s="628" t="s">
        <v>1160</v>
      </c>
      <c r="Q156" s="628" t="s">
        <v>3264</v>
      </c>
      <c r="R156" s="628" t="s">
        <v>1279</v>
      </c>
      <c r="S156" s="628"/>
      <c r="T156" s="628"/>
      <c r="U156" s="628"/>
      <c r="V156" s="755" t="s">
        <v>2268</v>
      </c>
      <c r="W156" s="755"/>
      <c r="X156" s="645"/>
      <c r="Y156" s="628" t="s">
        <v>2525</v>
      </c>
      <c r="Z156" s="628" t="s">
        <v>5512</v>
      </c>
      <c r="AA156" s="876" t="s">
        <v>374</v>
      </c>
      <c r="AB156" s="1278" t="s">
        <v>2002</v>
      </c>
      <c r="AC156" s="1247"/>
      <c r="AD156" s="1247"/>
      <c r="AE156" s="1247"/>
      <c r="AF156" s="1247"/>
      <c r="AG156" s="1278" t="s">
        <v>3963</v>
      </c>
      <c r="AH156" s="1247"/>
      <c r="AJ156" s="609"/>
      <c r="AK156" s="609"/>
      <c r="AL156" s="609"/>
      <c r="AM156" s="609"/>
      <c r="AN156" s="609"/>
      <c r="AO156" s="609"/>
      <c r="AP156" s="609"/>
      <c r="AQ156" s="609"/>
      <c r="AR156" s="609"/>
      <c r="AS156" s="609"/>
      <c r="AT156" s="609"/>
      <c r="AU156" s="609"/>
      <c r="AV156" s="609"/>
      <c r="BJ156" s="970">
        <v>11</v>
      </c>
      <c r="BK156" s="974" t="s">
        <v>5820</v>
      </c>
      <c r="BL156" s="976" t="s">
        <v>5807</v>
      </c>
      <c r="DI156" s="602"/>
      <c r="DJ156" s="602"/>
      <c r="DK156" s="602"/>
    </row>
    <row r="157" spans="1:115" ht="11.1" customHeight="1" outlineLevel="2" thickBot="1">
      <c r="A157" s="602">
        <v>145</v>
      </c>
      <c r="B157" s="779" t="s">
        <v>1959</v>
      </c>
      <c r="C157" s="683" t="s">
        <v>4270</v>
      </c>
      <c r="D157" s="760" t="s">
        <v>3350</v>
      </c>
      <c r="E157" s="761" t="s">
        <v>3349</v>
      </c>
      <c r="F157" s="762" t="s">
        <v>4326</v>
      </c>
      <c r="G157" s="760" t="s">
        <v>2743</v>
      </c>
      <c r="H157" s="760" t="s">
        <v>5217</v>
      </c>
      <c r="I157" s="760" t="s">
        <v>4327</v>
      </c>
      <c r="J157" s="761" t="s">
        <v>4721</v>
      </c>
      <c r="K157" s="683" t="s">
        <v>2524</v>
      </c>
      <c r="L157" s="683" t="s">
        <v>1281</v>
      </c>
      <c r="M157" s="683" t="s">
        <v>2524</v>
      </c>
      <c r="N157" s="683" t="s">
        <v>1281</v>
      </c>
      <c r="O157" s="761" t="s">
        <v>941</v>
      </c>
      <c r="P157" s="683" t="s">
        <v>1297</v>
      </c>
      <c r="Q157" s="683"/>
      <c r="R157" s="683" t="s">
        <v>1280</v>
      </c>
      <c r="S157" s="683" t="s">
        <v>3005</v>
      </c>
      <c r="T157" s="683" t="s">
        <v>3046</v>
      </c>
      <c r="U157" s="683" t="s">
        <v>2269</v>
      </c>
      <c r="V157" s="761" t="s">
        <v>3006</v>
      </c>
      <c r="W157" s="761" t="s">
        <v>3047</v>
      </c>
      <c r="X157" s="763" t="s">
        <v>1988</v>
      </c>
      <c r="Y157" s="683" t="s">
        <v>3142</v>
      </c>
      <c r="Z157" s="683" t="s">
        <v>3142</v>
      </c>
      <c r="AA157" s="779" t="s">
        <v>1334</v>
      </c>
      <c r="AB157" s="683" t="s">
        <v>5067</v>
      </c>
      <c r="AC157" s="683" t="s">
        <v>2003</v>
      </c>
      <c r="AD157" s="683" t="s">
        <v>2004</v>
      </c>
      <c r="AE157" s="683" t="s">
        <v>2001</v>
      </c>
      <c r="AF157" s="683" t="s">
        <v>2005</v>
      </c>
      <c r="AG157" s="840" t="s">
        <v>4719</v>
      </c>
      <c r="AH157" s="840" t="s">
        <v>3142</v>
      </c>
      <c r="AJ157" s="609"/>
      <c r="AK157" s="609"/>
      <c r="AL157" s="609"/>
      <c r="AM157" s="609"/>
      <c r="AN157" s="609"/>
      <c r="AO157" s="609"/>
      <c r="AP157" s="609"/>
      <c r="AQ157" s="609"/>
      <c r="AR157" s="609"/>
      <c r="AS157" s="609"/>
      <c r="AT157" s="609"/>
      <c r="AU157" s="609"/>
      <c r="AV157" s="609"/>
      <c r="BJ157" s="970">
        <v>12</v>
      </c>
      <c r="BK157" s="974" t="s">
        <v>5821</v>
      </c>
      <c r="BL157" s="752" t="s">
        <v>5540</v>
      </c>
      <c r="BM157" s="975" t="s">
        <v>5832</v>
      </c>
      <c r="BQ157" s="752"/>
      <c r="BR157" s="608"/>
      <c r="DH157" s="602"/>
      <c r="DI157" s="602"/>
      <c r="DJ157" s="602"/>
      <c r="DK157" s="602"/>
    </row>
    <row r="158" spans="1:115" ht="11.1" customHeight="1" outlineLevel="3" thickBot="1">
      <c r="A158" s="602">
        <v>146</v>
      </c>
      <c r="B158" s="780" t="s">
        <v>436</v>
      </c>
      <c r="C158" s="769">
        <v>1.5</v>
      </c>
      <c r="D158" s="768">
        <v>5</v>
      </c>
      <c r="E158" s="769">
        <v>10</v>
      </c>
      <c r="F158" s="649"/>
      <c r="G158" s="768">
        <f t="shared" ref="G158:G170" si="43">F158*D158</f>
        <v>0</v>
      </c>
      <c r="H158" s="771">
        <v>432</v>
      </c>
      <c r="I158" s="771">
        <f t="shared" ref="I158:I170" si="44">H158*F158</f>
        <v>0</v>
      </c>
      <c r="J158" s="769" t="s">
        <v>1563</v>
      </c>
      <c r="K158" s="774">
        <f>IF(J158&lt;&gt;"L",'Main Creation Page'!$AF$11,'Main Creation Page'!$AG$11)</f>
        <v>5</v>
      </c>
      <c r="L158" s="629">
        <v>2</v>
      </c>
      <c r="M158" s="629">
        <f>IF(ISNA(VLOOKUP(T158,$BJ$44:$BN$58,2)),0,VLOOKUP(T158,$BJ$44:$BN$58,2))</f>
        <v>0</v>
      </c>
      <c r="N158" s="620">
        <f t="shared" ref="N158:N170" si="45">K158+L158+M158</f>
        <v>7</v>
      </c>
      <c r="O158" s="769" t="s">
        <v>3805</v>
      </c>
      <c r="P158" s="775">
        <f ca="1">0+Skills!AE190</f>
        <v>0</v>
      </c>
      <c r="Q158" s="629">
        <v>6</v>
      </c>
      <c r="R158" s="629" t="str">
        <f>IF(AND(ISBLANK(Skills!$X$190),ISNA(Skills!$W$190)),"N","Y")</f>
        <v>N</v>
      </c>
      <c r="S158" s="629">
        <f>Skills!V$190</f>
        <v>4</v>
      </c>
      <c r="T158" s="629" t="str">
        <f>IF(ISNA(Skills!$W$190),IF(ISBLANK(Skills!$X$190)," ",Skills!$X$190),+Skills!$W$190+Skills!$X$190)</f>
        <v xml:space="preserve"> </v>
      </c>
      <c r="U158" s="743">
        <f>IF(R158="Y",Skills!$AC$190,Skills!$AB$190)</f>
        <v>0.2</v>
      </c>
      <c r="V158" s="714">
        <f ca="1">Skills!$Y$190</f>
        <v>0.12</v>
      </c>
      <c r="W158" s="714">
        <f ca="1">Skills!$AA$190</f>
        <v>0.12</v>
      </c>
      <c r="X158" s="777">
        <f ca="1">Skills!AD$190</f>
        <v>0.32</v>
      </c>
      <c r="Y158" s="622">
        <f ca="1">HLOOKUP(W158,$BJ$60:$BO$67,2)</f>
        <v>7</v>
      </c>
      <c r="Z158" s="622">
        <f ca="1">HLOOKUP(X158,$BJ$68:$BO$72,2)</f>
        <v>1</v>
      </c>
      <c r="AA158" s="780" t="s">
        <v>436</v>
      </c>
      <c r="AB158" s="629">
        <v>6</v>
      </c>
      <c r="AC158" s="629">
        <v>5</v>
      </c>
      <c r="AD158" s="629">
        <v>5</v>
      </c>
      <c r="AE158" s="877">
        <v>5</v>
      </c>
      <c r="AF158" s="629">
        <v>5</v>
      </c>
      <c r="AG158" s="629">
        <v>0</v>
      </c>
      <c r="AH158" s="629">
        <f t="shared" ref="AH158:AH170" ca="1" si="46">Z158</f>
        <v>1</v>
      </c>
      <c r="AJ158" s="609"/>
      <c r="AK158" s="609"/>
      <c r="AL158" s="609"/>
      <c r="AM158" s="609"/>
      <c r="AN158" s="609"/>
      <c r="AO158" s="609"/>
      <c r="AP158" s="609"/>
      <c r="AQ158" s="609"/>
      <c r="AR158" s="609"/>
      <c r="AS158" s="609"/>
      <c r="AT158" s="609"/>
      <c r="AU158" s="609"/>
      <c r="AV158" s="609"/>
      <c r="BJ158" s="970">
        <v>13</v>
      </c>
      <c r="BK158" s="974" t="s">
        <v>5822</v>
      </c>
      <c r="BL158" s="976" t="s">
        <v>3963</v>
      </c>
      <c r="BM158" s="975" t="s">
        <v>5833</v>
      </c>
      <c r="DI158" s="602"/>
      <c r="DJ158" s="602"/>
      <c r="DK158" s="602"/>
    </row>
    <row r="159" spans="1:115" ht="11.1" customHeight="1" outlineLevel="3" thickBot="1">
      <c r="A159" s="602">
        <v>147</v>
      </c>
      <c r="B159" s="780" t="s">
        <v>437</v>
      </c>
      <c r="C159" s="769">
        <v>2.5</v>
      </c>
      <c r="D159" s="768">
        <v>6</v>
      </c>
      <c r="E159" s="769">
        <v>10</v>
      </c>
      <c r="F159" s="649"/>
      <c r="G159" s="768">
        <f t="shared" si="43"/>
        <v>0</v>
      </c>
      <c r="H159" s="771">
        <v>600</v>
      </c>
      <c r="I159" s="771">
        <f t="shared" si="44"/>
        <v>0</v>
      </c>
      <c r="J159" s="769" t="s">
        <v>1563</v>
      </c>
      <c r="K159" s="774">
        <f>IF(J159&lt;&gt;"L",'Main Creation Page'!$AF$11,'Main Creation Page'!$AG$11)</f>
        <v>5</v>
      </c>
      <c r="L159" s="629">
        <v>2</v>
      </c>
      <c r="M159" s="629">
        <f>IF(ISNA(VLOOKUP(T159,$BJ$44:$BN$58,2)),0,VLOOKUP(T159,$BJ$44:$BN$58,2))</f>
        <v>0</v>
      </c>
      <c r="N159" s="620">
        <f t="shared" si="45"/>
        <v>7</v>
      </c>
      <c r="O159" s="769" t="s">
        <v>3805</v>
      </c>
      <c r="P159" s="775">
        <f ca="1">0+Skills!AE191</f>
        <v>0</v>
      </c>
      <c r="Q159" s="629">
        <v>6</v>
      </c>
      <c r="R159" s="629" t="str">
        <f>IF(AND(ISBLANK(Skills!$X$190),ISNA(Skills!$W$190)),"N","Y")</f>
        <v>N</v>
      </c>
      <c r="S159" s="629">
        <f>Skills!V$190</f>
        <v>4</v>
      </c>
      <c r="T159" s="629" t="str">
        <f>IF(ISNA(Skills!$W$190),IF(ISBLANK(Skills!$X$190)," ",Skills!$X$190),+Skills!$W$190+Skills!$X$190)</f>
        <v xml:space="preserve"> </v>
      </c>
      <c r="U159" s="743">
        <f>IF(R159="Y",Skills!$AC$190,Skills!$AB$190)</f>
        <v>0.2</v>
      </c>
      <c r="V159" s="714">
        <f ca="1">Skills!$Y$190</f>
        <v>0.12</v>
      </c>
      <c r="W159" s="714">
        <f ca="1">Skills!$AA$190</f>
        <v>0.12</v>
      </c>
      <c r="X159" s="777">
        <f ca="1">Skills!AD$190</f>
        <v>0.32</v>
      </c>
      <c r="Y159" s="622">
        <f ca="1">HLOOKUP(W159,$BJ$60:$BO$67,2)</f>
        <v>7</v>
      </c>
      <c r="Z159" s="622">
        <f ca="1">HLOOKUP(X159,$BJ$68:$BO$72,2)</f>
        <v>1</v>
      </c>
      <c r="AA159" s="780" t="s">
        <v>437</v>
      </c>
      <c r="AB159" s="629">
        <v>6</v>
      </c>
      <c r="AC159" s="629">
        <v>5</v>
      </c>
      <c r="AD159" s="629">
        <v>5</v>
      </c>
      <c r="AE159" s="877">
        <v>5</v>
      </c>
      <c r="AF159" s="629">
        <v>5</v>
      </c>
      <c r="AG159" s="629">
        <v>0</v>
      </c>
      <c r="AH159" s="629">
        <f t="shared" ca="1" si="46"/>
        <v>1</v>
      </c>
      <c r="AJ159" s="609"/>
      <c r="AK159" s="609"/>
      <c r="AL159" s="609"/>
      <c r="AM159" s="609"/>
      <c r="AN159" s="609"/>
      <c r="AO159" s="609"/>
      <c r="AP159" s="609"/>
      <c r="AQ159" s="609"/>
      <c r="AR159" s="609"/>
      <c r="AS159" s="609"/>
      <c r="AT159" s="609"/>
      <c r="AU159" s="609"/>
      <c r="AV159" s="609"/>
      <c r="BJ159" s="970">
        <v>14</v>
      </c>
      <c r="BK159" s="974" t="s">
        <v>5823</v>
      </c>
      <c r="BL159" s="976" t="s">
        <v>5808</v>
      </c>
      <c r="DI159" s="602"/>
      <c r="DJ159" s="602"/>
      <c r="DK159" s="602"/>
    </row>
    <row r="160" spans="1:115" ht="11.1" customHeight="1" outlineLevel="3" thickBot="1">
      <c r="A160" s="602">
        <v>148</v>
      </c>
      <c r="B160" s="780" t="s">
        <v>438</v>
      </c>
      <c r="C160" s="769">
        <v>1</v>
      </c>
      <c r="D160" s="768">
        <v>3</v>
      </c>
      <c r="E160" s="769">
        <v>16</v>
      </c>
      <c r="F160" s="649"/>
      <c r="G160" s="768">
        <f t="shared" si="43"/>
        <v>0</v>
      </c>
      <c r="H160" s="771">
        <v>75</v>
      </c>
      <c r="I160" s="771">
        <f t="shared" si="44"/>
        <v>0</v>
      </c>
      <c r="J160" s="769" t="s">
        <v>5221</v>
      </c>
      <c r="K160" s="774">
        <f>IF(J160&lt;&gt;"L",'Main Creation Page'!$AF$11,'Main Creation Page'!$AG$11)</f>
        <v>10</v>
      </c>
      <c r="L160" s="629">
        <v>3</v>
      </c>
      <c r="M160" s="629">
        <f t="shared" ref="M160:M170" si="47">IF(ISNA(VLOOKUP(T160,$BJ$44:$BN$58,4)),0,VLOOKUP(T160,$BJ$44:$BN$58,4))</f>
        <v>0</v>
      </c>
      <c r="N160" s="620">
        <f t="shared" si="45"/>
        <v>13</v>
      </c>
      <c r="O160" s="769" t="s">
        <v>3805</v>
      </c>
      <c r="P160" s="775">
        <f ca="1">1+Skills!AE191</f>
        <v>1</v>
      </c>
      <c r="Q160" s="629">
        <v>6</v>
      </c>
      <c r="R160" s="629" t="str">
        <f>IF(AND(ISBLANK(Skills!$X$191),ISNA(Skills!$W$191)),"N","Y")</f>
        <v>N</v>
      </c>
      <c r="S160" s="629">
        <f>Skills!V$191</f>
        <v>4</v>
      </c>
      <c r="T160" s="629" t="str">
        <f>IF(ISNA(Skills!$W$191),IF(ISBLANK(Skills!$X$191)," ",Skills!$X$191),+Skills!$W$191+Skills!$X$191)</f>
        <v xml:space="preserve"> </v>
      </c>
      <c r="U160" s="743">
        <f>IF(R160="Y",Skills!$AC$191,Skills!$AB$191)</f>
        <v>0.2</v>
      </c>
      <c r="V160" s="714">
        <f ca="1">Skills!$Y$191</f>
        <v>0.12</v>
      </c>
      <c r="W160" s="714">
        <f ca="1">Skills!$AA$191</f>
        <v>0.12</v>
      </c>
      <c r="X160" s="777">
        <f ca="1">Skills!AD$191</f>
        <v>0.32</v>
      </c>
      <c r="Y160" s="622">
        <f ca="1">HLOOKUP(W160,$BJ$60:$BO$67,3)</f>
        <v>9</v>
      </c>
      <c r="Z160" s="622">
        <f ca="1">HLOOKUP(X160,$BJ$68:$BO$72,3)</f>
        <v>2</v>
      </c>
      <c r="AA160" s="780" t="s">
        <v>438</v>
      </c>
      <c r="AB160" s="629">
        <v>10</v>
      </c>
      <c r="AC160" s="629">
        <v>12</v>
      </c>
      <c r="AD160" s="629">
        <v>8</v>
      </c>
      <c r="AE160" s="629">
        <v>10</v>
      </c>
      <c r="AF160" s="629">
        <v>10</v>
      </c>
      <c r="AG160" s="629">
        <v>0</v>
      </c>
      <c r="AH160" s="629">
        <f t="shared" ca="1" si="46"/>
        <v>2</v>
      </c>
      <c r="AJ160" s="609"/>
      <c r="AK160" s="609"/>
      <c r="AL160" s="609"/>
      <c r="AM160" s="609"/>
      <c r="AN160" s="609"/>
      <c r="AO160" s="609"/>
      <c r="AP160" s="609"/>
      <c r="AQ160" s="609"/>
      <c r="AR160" s="609"/>
      <c r="AS160" s="609"/>
      <c r="AT160" s="609"/>
      <c r="AU160" s="609"/>
      <c r="AV160" s="609"/>
      <c r="BJ160" s="970">
        <v>15</v>
      </c>
      <c r="BK160" s="974" t="s">
        <v>5824</v>
      </c>
      <c r="BL160" s="976" t="s">
        <v>5809</v>
      </c>
      <c r="DI160" s="602"/>
      <c r="DJ160" s="602"/>
      <c r="DK160" s="602"/>
    </row>
    <row r="161" spans="1:115" ht="11.1" customHeight="1" outlineLevel="3" thickBot="1">
      <c r="A161" s="602">
        <v>149</v>
      </c>
      <c r="B161" s="780" t="s">
        <v>439</v>
      </c>
      <c r="C161" s="769">
        <v>1.5</v>
      </c>
      <c r="D161" s="768">
        <v>6</v>
      </c>
      <c r="E161" s="769">
        <v>16</v>
      </c>
      <c r="F161" s="649"/>
      <c r="G161" s="768">
        <f t="shared" si="43"/>
        <v>0</v>
      </c>
      <c r="H161" s="771">
        <v>480</v>
      </c>
      <c r="I161" s="771">
        <f t="shared" si="44"/>
        <v>0</v>
      </c>
      <c r="J161" s="769" t="s">
        <v>5221</v>
      </c>
      <c r="K161" s="774">
        <f>IF(J161&lt;&gt;"L",'Main Creation Page'!$AF$11,'Main Creation Page'!$AG$11)</f>
        <v>10</v>
      </c>
      <c r="L161" s="629">
        <v>3</v>
      </c>
      <c r="M161" s="629">
        <f t="shared" si="47"/>
        <v>0</v>
      </c>
      <c r="N161" s="620">
        <f t="shared" si="45"/>
        <v>13</v>
      </c>
      <c r="O161" s="769" t="s">
        <v>3805</v>
      </c>
      <c r="P161" s="775">
        <f ca="1">1+Skills!AE191</f>
        <v>1</v>
      </c>
      <c r="Q161" s="629">
        <v>6</v>
      </c>
      <c r="R161" s="629" t="str">
        <f>IF(AND(ISBLANK(Skills!$X$191),ISNA(Skills!$W$191)),"N","Y")</f>
        <v>N</v>
      </c>
      <c r="S161" s="629">
        <f>Skills!V$191</f>
        <v>4</v>
      </c>
      <c r="T161" s="629" t="str">
        <f>IF(ISNA(Skills!$W$191),IF(ISBLANK(Skills!$X$191)," ",Skills!$X$191),+Skills!$W$191+Skills!$X$191)</f>
        <v xml:space="preserve"> </v>
      </c>
      <c r="U161" s="743">
        <f>IF(R161="Y",Skills!$AC$191,Skills!$AB$191)</f>
        <v>0.2</v>
      </c>
      <c r="V161" s="714">
        <f ca="1">Skills!$Y$191</f>
        <v>0.12</v>
      </c>
      <c r="W161" s="714">
        <f ca="1">Skills!$AA$191</f>
        <v>0.12</v>
      </c>
      <c r="X161" s="777">
        <f ca="1">Skills!AD$191</f>
        <v>0.32</v>
      </c>
      <c r="Y161" s="622">
        <f ca="1">HLOOKUP(W161,$BJ$60:$BO$67,3)</f>
        <v>9</v>
      </c>
      <c r="Z161" s="622">
        <f ca="1">HLOOKUP(X161,$BJ$68:$BO$72,3)</f>
        <v>2</v>
      </c>
      <c r="AA161" s="780" t="s">
        <v>439</v>
      </c>
      <c r="AB161" s="629">
        <v>10</v>
      </c>
      <c r="AC161" s="629">
        <v>9</v>
      </c>
      <c r="AD161" s="629">
        <v>12</v>
      </c>
      <c r="AE161" s="629">
        <v>10</v>
      </c>
      <c r="AF161" s="629">
        <v>10</v>
      </c>
      <c r="AG161" s="629">
        <v>0</v>
      </c>
      <c r="AH161" s="629">
        <f t="shared" ca="1" si="46"/>
        <v>2</v>
      </c>
      <c r="AJ161" s="609"/>
      <c r="AK161" s="609"/>
      <c r="AL161" s="609"/>
      <c r="AM161" s="609"/>
      <c r="AN161" s="609"/>
      <c r="AO161" s="609"/>
      <c r="AP161" s="609"/>
      <c r="AQ161" s="609"/>
      <c r="AR161" s="609"/>
      <c r="AS161" s="609"/>
      <c r="AT161" s="609"/>
      <c r="AU161" s="609"/>
      <c r="AV161" s="609"/>
      <c r="BJ161" s="970">
        <v>16</v>
      </c>
      <c r="BK161" s="974" t="s">
        <v>5825</v>
      </c>
      <c r="BL161" s="608" t="s">
        <v>3966</v>
      </c>
      <c r="BM161" s="975" t="s">
        <v>5834</v>
      </c>
      <c r="BN161" s="975" t="s">
        <v>5835</v>
      </c>
      <c r="BQ161" s="752"/>
      <c r="BR161" s="608"/>
      <c r="DH161" s="602"/>
      <c r="DI161" s="602"/>
      <c r="DJ161" s="602"/>
      <c r="DK161" s="602"/>
    </row>
    <row r="162" spans="1:115" ht="11.1" customHeight="1" outlineLevel="3" thickBot="1">
      <c r="A162" s="602">
        <v>150</v>
      </c>
      <c r="B162" s="793" t="s">
        <v>2721</v>
      </c>
      <c r="C162" s="769">
        <v>2</v>
      </c>
      <c r="D162" s="768">
        <v>10</v>
      </c>
      <c r="E162" s="769">
        <v>16</v>
      </c>
      <c r="F162" s="649"/>
      <c r="G162" s="768">
        <f t="shared" si="43"/>
        <v>0</v>
      </c>
      <c r="H162" s="771">
        <v>720</v>
      </c>
      <c r="I162" s="771">
        <f t="shared" si="44"/>
        <v>0</v>
      </c>
      <c r="J162" s="769" t="s">
        <v>5221</v>
      </c>
      <c r="K162" s="774">
        <f>IF(J162&lt;&gt;"L",'Main Creation Page'!$AF$11,'Main Creation Page'!$AG$11)</f>
        <v>10</v>
      </c>
      <c r="L162" s="629">
        <v>3</v>
      </c>
      <c r="M162" s="629">
        <f t="shared" si="47"/>
        <v>0</v>
      </c>
      <c r="N162" s="620">
        <f t="shared" si="45"/>
        <v>13</v>
      </c>
      <c r="O162" s="769" t="s">
        <v>3805</v>
      </c>
      <c r="P162" s="775">
        <f ca="1">1+Skills!AE191</f>
        <v>1</v>
      </c>
      <c r="Q162" s="629">
        <v>6</v>
      </c>
      <c r="R162" s="629" t="str">
        <f>IF(AND(ISBLANK(Skills!$X$191),ISNA(Skills!$W$191)),"N","Y")</f>
        <v>N</v>
      </c>
      <c r="S162" s="629">
        <f>Skills!V$191</f>
        <v>4</v>
      </c>
      <c r="T162" s="629" t="str">
        <f>IF(ISNA(Skills!$W$191),IF(ISBLANK(Skills!$X$191)," ",Skills!$X$191),+Skills!$W$191+Skills!$X$191)</f>
        <v xml:space="preserve"> </v>
      </c>
      <c r="U162" s="743">
        <f>IF(R162="Y",Skills!$AC$191,Skills!$AB$191)</f>
        <v>0.2</v>
      </c>
      <c r="V162" s="714">
        <f ca="1">Skills!$Y$191</f>
        <v>0.12</v>
      </c>
      <c r="W162" s="714">
        <f ca="1">Skills!$AA$191</f>
        <v>0.12</v>
      </c>
      <c r="X162" s="777">
        <f ca="1">Skills!AD$191</f>
        <v>0.32</v>
      </c>
      <c r="Y162" s="622">
        <f ca="1">HLOOKUP(W162,$BJ$60:$BO$67,3)</f>
        <v>9</v>
      </c>
      <c r="Z162" s="622">
        <f ca="1">HLOOKUP(X162,$BJ$68:$BO$72,3)</f>
        <v>2</v>
      </c>
      <c r="AA162" s="793" t="s">
        <v>2721</v>
      </c>
      <c r="AB162" s="629">
        <v>14</v>
      </c>
      <c r="AC162" s="629">
        <v>12</v>
      </c>
      <c r="AD162" s="629">
        <v>12</v>
      </c>
      <c r="AE162" s="629">
        <v>12</v>
      </c>
      <c r="AF162" s="629">
        <v>6</v>
      </c>
      <c r="AG162" s="629">
        <v>0</v>
      </c>
      <c r="AH162" s="629">
        <f t="shared" ca="1" si="46"/>
        <v>2</v>
      </c>
      <c r="AJ162" s="609"/>
      <c r="AK162" s="609"/>
      <c r="AL162" s="609"/>
      <c r="AM162" s="609"/>
      <c r="AN162" s="609"/>
      <c r="AO162" s="609"/>
      <c r="AP162" s="609"/>
      <c r="AQ162" s="609"/>
      <c r="AR162" s="609"/>
      <c r="AS162" s="609"/>
      <c r="AT162" s="609"/>
      <c r="AU162" s="609"/>
      <c r="AV162" s="609"/>
      <c r="BJ162" s="970">
        <v>17</v>
      </c>
      <c r="BK162" s="974" t="s">
        <v>5826</v>
      </c>
      <c r="BL162" s="976" t="s">
        <v>5810</v>
      </c>
      <c r="DI162" s="602"/>
      <c r="DJ162" s="602"/>
      <c r="DK162" s="602"/>
    </row>
    <row r="163" spans="1:115" ht="11.1" customHeight="1" outlineLevel="3" thickBot="1">
      <c r="A163" s="602">
        <v>151</v>
      </c>
      <c r="B163" s="780" t="s">
        <v>2765</v>
      </c>
      <c r="C163" s="769">
        <v>2.5</v>
      </c>
      <c r="D163" s="768">
        <v>12</v>
      </c>
      <c r="E163" s="769">
        <v>24</v>
      </c>
      <c r="F163" s="649"/>
      <c r="G163" s="768">
        <f t="shared" si="43"/>
        <v>0</v>
      </c>
      <c r="H163" s="771">
        <v>1200</v>
      </c>
      <c r="I163" s="771">
        <f t="shared" si="44"/>
        <v>0</v>
      </c>
      <c r="J163" s="769" t="s">
        <v>5221</v>
      </c>
      <c r="K163" s="774">
        <f>IF(J163&lt;&gt;"L",'Main Creation Page'!$AF$11,'Main Creation Page'!$AG$11)</f>
        <v>10</v>
      </c>
      <c r="L163" s="629">
        <v>3</v>
      </c>
      <c r="M163" s="629">
        <f t="shared" si="47"/>
        <v>0</v>
      </c>
      <c r="N163" s="620">
        <f t="shared" si="45"/>
        <v>13</v>
      </c>
      <c r="O163" s="769" t="s">
        <v>3805</v>
      </c>
      <c r="P163" s="775">
        <f ca="1">1+Skills!AE191</f>
        <v>1</v>
      </c>
      <c r="Q163" s="629">
        <v>6</v>
      </c>
      <c r="R163" s="629" t="str">
        <f>IF(AND(ISBLANK(Skills!$X$191),ISNA(Skills!$W$191)),"N","Y")</f>
        <v>N</v>
      </c>
      <c r="S163" s="629">
        <f>Skills!V$191</f>
        <v>4</v>
      </c>
      <c r="T163" s="629" t="str">
        <f>IF(ISNA(Skills!$W$191),IF(ISBLANK(Skills!$X$191)," ",Skills!$X$191),+Skills!$W$191+Skills!$X$191)</f>
        <v xml:space="preserve"> </v>
      </c>
      <c r="U163" s="743">
        <f>IF(R163="Y",Skills!$AC$191,Skills!$AB$191)</f>
        <v>0.2</v>
      </c>
      <c r="V163" s="714">
        <f ca="1">Skills!$Y$191</f>
        <v>0.12</v>
      </c>
      <c r="W163" s="714">
        <f ca="1">Skills!$AA$191</f>
        <v>0.12</v>
      </c>
      <c r="X163" s="777">
        <f ca="1">Skills!AD$191</f>
        <v>0.32</v>
      </c>
      <c r="Y163" s="622">
        <f ca="1">HLOOKUP(W163,$BJ$60:$BO$67,3)</f>
        <v>9</v>
      </c>
      <c r="Z163" s="622">
        <f ca="1">HLOOKUP(X163,$BJ$68:$BO$72,3)</f>
        <v>2</v>
      </c>
      <c r="AA163" s="780" t="s">
        <v>2765</v>
      </c>
      <c r="AB163" s="629">
        <v>15</v>
      </c>
      <c r="AC163" s="629">
        <v>15</v>
      </c>
      <c r="AD163" s="629">
        <v>16</v>
      </c>
      <c r="AE163" s="629">
        <v>15</v>
      </c>
      <c r="AF163" s="629">
        <v>15</v>
      </c>
      <c r="AG163" s="629">
        <v>0</v>
      </c>
      <c r="AH163" s="629">
        <f t="shared" ca="1" si="46"/>
        <v>2</v>
      </c>
      <c r="AJ163" s="609"/>
      <c r="AK163" s="609"/>
      <c r="AL163" s="609"/>
      <c r="AM163" s="609"/>
      <c r="AN163" s="609"/>
      <c r="AO163" s="609"/>
      <c r="AP163" s="609"/>
      <c r="AQ163" s="609"/>
      <c r="AR163" s="609"/>
      <c r="AS163" s="609"/>
      <c r="AT163" s="609"/>
      <c r="AU163" s="609"/>
      <c r="AV163" s="609"/>
      <c r="BJ163" s="970">
        <v>18</v>
      </c>
      <c r="BK163" s="974" t="s">
        <v>5827</v>
      </c>
      <c r="BL163" s="976" t="s">
        <v>5811</v>
      </c>
      <c r="DI163" s="602"/>
      <c r="DJ163" s="602"/>
      <c r="DK163" s="602"/>
    </row>
    <row r="164" spans="1:115" ht="11.1" customHeight="1" outlineLevel="3" thickBot="1">
      <c r="A164" s="602">
        <v>152</v>
      </c>
      <c r="B164" s="780" t="s">
        <v>2766</v>
      </c>
      <c r="C164" s="769">
        <v>1</v>
      </c>
      <c r="D164" s="768">
        <v>6</v>
      </c>
      <c r="E164" s="769">
        <v>20</v>
      </c>
      <c r="F164" s="649"/>
      <c r="G164" s="768">
        <f t="shared" si="43"/>
        <v>0</v>
      </c>
      <c r="H164" s="771">
        <v>288</v>
      </c>
      <c r="I164" s="771">
        <f t="shared" si="44"/>
        <v>0</v>
      </c>
      <c r="J164" s="769" t="s">
        <v>2763</v>
      </c>
      <c r="K164" s="774">
        <f>IF(J164&lt;&gt;"L",'Main Creation Page'!$AF$11,'Main Creation Page'!$AG$11)</f>
        <v>10</v>
      </c>
      <c r="L164" s="629">
        <v>4</v>
      </c>
      <c r="M164" s="629">
        <f t="shared" si="47"/>
        <v>0</v>
      </c>
      <c r="N164" s="620">
        <f t="shared" si="45"/>
        <v>14</v>
      </c>
      <c r="O164" s="769" t="s">
        <v>3805</v>
      </c>
      <c r="P164" s="775">
        <f ca="1">0+Skills!AE191</f>
        <v>0</v>
      </c>
      <c r="Q164" s="629">
        <v>5</v>
      </c>
      <c r="R164" s="629" t="str">
        <f>IF(AND(ISBLANK(Skills!$X$191),ISNA(Skills!$W$191)),"N","Y")</f>
        <v>N</v>
      </c>
      <c r="S164" s="629">
        <f>Skills!V$191</f>
        <v>4</v>
      </c>
      <c r="T164" s="629" t="str">
        <f>IF(ISNA(Skills!$W$191),IF(ISBLANK(Skills!$X$191)," ",Skills!$X$191),+Skills!$W$191+Skills!$X$191)</f>
        <v xml:space="preserve"> </v>
      </c>
      <c r="U164" s="743">
        <f>IF(R164="Y",Skills!$AC$191,Skills!$AB$191)</f>
        <v>0.2</v>
      </c>
      <c r="V164" s="714">
        <f ca="1">Skills!$Y$191</f>
        <v>0.12</v>
      </c>
      <c r="W164" s="714">
        <f ca="1">Skills!$AA$191</f>
        <v>0.12</v>
      </c>
      <c r="X164" s="777">
        <f ca="1">Skills!AD$191</f>
        <v>0.32</v>
      </c>
      <c r="Y164" s="622">
        <f t="shared" ref="Y164:Y170" ca="1" si="48">HLOOKUP(W164,$BJ$60:$BO$67,4)</f>
        <v>11</v>
      </c>
      <c r="Z164" s="622">
        <f t="shared" ref="Z164:Z170" ca="1" si="49">HLOOKUP(X164,$BJ$68:$BO$72,4)</f>
        <v>3</v>
      </c>
      <c r="AA164" s="780" t="s">
        <v>2766</v>
      </c>
      <c r="AB164" s="629">
        <v>10</v>
      </c>
      <c r="AC164" s="629">
        <v>12</v>
      </c>
      <c r="AD164" s="629">
        <v>8</v>
      </c>
      <c r="AE164" s="629">
        <v>10</v>
      </c>
      <c r="AF164" s="629">
        <v>10</v>
      </c>
      <c r="AG164" s="629">
        <v>0</v>
      </c>
      <c r="AH164" s="629">
        <f t="shared" ca="1" si="46"/>
        <v>3</v>
      </c>
      <c r="AJ164" s="609"/>
      <c r="AK164" s="609"/>
      <c r="AL164" s="609"/>
      <c r="AM164" s="609"/>
      <c r="AN164" s="609"/>
      <c r="AO164" s="609"/>
      <c r="AP164" s="609"/>
      <c r="AQ164" s="609"/>
      <c r="AR164" s="609"/>
      <c r="AS164" s="609"/>
      <c r="AT164" s="609"/>
      <c r="AU164" s="609"/>
      <c r="AV164" s="609"/>
      <c r="BJ164" s="970">
        <v>19</v>
      </c>
      <c r="BK164" s="974" t="s">
        <v>5818</v>
      </c>
      <c r="BL164" s="976" t="s">
        <v>5812</v>
      </c>
      <c r="BM164" s="608" t="s">
        <v>5837</v>
      </c>
      <c r="DI164" s="602"/>
      <c r="DJ164" s="602"/>
      <c r="DK164" s="602"/>
    </row>
    <row r="165" spans="1:115" ht="11.1" customHeight="1" outlineLevel="3" thickBot="1">
      <c r="A165" s="602">
        <v>153</v>
      </c>
      <c r="B165" s="780" t="s">
        <v>2767</v>
      </c>
      <c r="C165" s="769">
        <v>1.5</v>
      </c>
      <c r="D165" s="768">
        <v>7</v>
      </c>
      <c r="E165" s="769">
        <v>20</v>
      </c>
      <c r="F165" s="649">
        <v>1</v>
      </c>
      <c r="G165" s="768">
        <f t="shared" si="43"/>
        <v>7</v>
      </c>
      <c r="H165" s="771">
        <v>720</v>
      </c>
      <c r="I165" s="771">
        <f t="shared" si="44"/>
        <v>720</v>
      </c>
      <c r="J165" s="769" t="s">
        <v>2763</v>
      </c>
      <c r="K165" s="774">
        <f>IF(J165&lt;&gt;"L",'Main Creation Page'!$AF$11,'Main Creation Page'!$AG$11)</f>
        <v>10</v>
      </c>
      <c r="L165" s="629">
        <v>4</v>
      </c>
      <c r="M165" s="629">
        <f t="shared" si="47"/>
        <v>0</v>
      </c>
      <c r="N165" s="620">
        <f t="shared" si="45"/>
        <v>14</v>
      </c>
      <c r="O165" s="769" t="s">
        <v>3805</v>
      </c>
      <c r="P165" s="775">
        <f ca="1">0+Skills!AE191</f>
        <v>0</v>
      </c>
      <c r="Q165" s="629">
        <v>5</v>
      </c>
      <c r="R165" s="629" t="str">
        <f>IF(AND(ISBLANK(Skills!$X$191),ISNA(Skills!$W$191)),"N","Y")</f>
        <v>N</v>
      </c>
      <c r="S165" s="629">
        <f>Skills!V$191</f>
        <v>4</v>
      </c>
      <c r="T165" s="629" t="str">
        <f>IF(ISNA(Skills!$W$191),IF(ISBLANK(Skills!$X$191)," ",Skills!$X$191),+Skills!$W$191+Skills!$X$191)</f>
        <v xml:space="preserve"> </v>
      </c>
      <c r="U165" s="743">
        <f>IF(R165="Y",Skills!$AC$191,Skills!$AB$191)</f>
        <v>0.2</v>
      </c>
      <c r="V165" s="714">
        <f ca="1">Skills!$Y$191</f>
        <v>0.12</v>
      </c>
      <c r="W165" s="714">
        <f ca="1">Skills!$AA$191</f>
        <v>0.12</v>
      </c>
      <c r="X165" s="777">
        <f ca="1">Skills!AD$191</f>
        <v>0.32</v>
      </c>
      <c r="Y165" s="622">
        <f t="shared" ca="1" si="48"/>
        <v>11</v>
      </c>
      <c r="Z165" s="622">
        <f t="shared" ca="1" si="49"/>
        <v>3</v>
      </c>
      <c r="AA165" s="780" t="s">
        <v>2767</v>
      </c>
      <c r="AB165" s="629">
        <v>10</v>
      </c>
      <c r="AC165" s="629">
        <v>9</v>
      </c>
      <c r="AD165" s="629">
        <v>12</v>
      </c>
      <c r="AE165" s="629">
        <v>10</v>
      </c>
      <c r="AF165" s="629">
        <v>10</v>
      </c>
      <c r="AG165" s="629">
        <v>0</v>
      </c>
      <c r="AH165" s="629">
        <f t="shared" ca="1" si="46"/>
        <v>3</v>
      </c>
      <c r="AJ165" s="609"/>
      <c r="AK165" s="609"/>
      <c r="AL165" s="609"/>
      <c r="AM165" s="609"/>
      <c r="AN165" s="609"/>
      <c r="AO165" s="609"/>
      <c r="AP165" s="609"/>
      <c r="AQ165" s="609"/>
      <c r="AR165" s="609"/>
      <c r="AS165" s="609"/>
      <c r="AT165" s="609"/>
      <c r="AU165" s="609"/>
      <c r="AV165" s="609"/>
      <c r="BJ165" s="970">
        <v>20</v>
      </c>
      <c r="BK165" s="974" t="s">
        <v>5828</v>
      </c>
      <c r="BL165" s="976" t="s">
        <v>5813</v>
      </c>
      <c r="BM165" s="608" t="s">
        <v>5836</v>
      </c>
      <c r="BN165" s="975" t="s">
        <v>5838</v>
      </c>
      <c r="BO165" s="975" t="s">
        <v>5839</v>
      </c>
      <c r="DI165" s="602"/>
      <c r="DJ165" s="602"/>
      <c r="DK165" s="602"/>
    </row>
    <row r="166" spans="1:115" ht="11.1" customHeight="1" outlineLevel="3" thickBot="1">
      <c r="A166" s="602">
        <v>154</v>
      </c>
      <c r="B166" s="780" t="s">
        <v>2768</v>
      </c>
      <c r="C166" s="769">
        <v>1.5</v>
      </c>
      <c r="D166" s="768">
        <v>7</v>
      </c>
      <c r="E166" s="769">
        <v>20</v>
      </c>
      <c r="F166" s="649"/>
      <c r="G166" s="768">
        <f t="shared" si="43"/>
        <v>0</v>
      </c>
      <c r="H166" s="771">
        <v>960</v>
      </c>
      <c r="I166" s="771">
        <f t="shared" si="44"/>
        <v>0</v>
      </c>
      <c r="J166" s="769" t="s">
        <v>2763</v>
      </c>
      <c r="K166" s="774">
        <f>IF(J166&lt;&gt;"L",'Main Creation Page'!$AF$11,'Main Creation Page'!$AG$11)</f>
        <v>10</v>
      </c>
      <c r="L166" s="629">
        <v>4</v>
      </c>
      <c r="M166" s="629">
        <f t="shared" si="47"/>
        <v>0</v>
      </c>
      <c r="N166" s="620">
        <f t="shared" si="45"/>
        <v>14</v>
      </c>
      <c r="O166" s="769" t="s">
        <v>3805</v>
      </c>
      <c r="P166" s="775">
        <f ca="1">0+Skills!AE191</f>
        <v>0</v>
      </c>
      <c r="Q166" s="629">
        <v>5</v>
      </c>
      <c r="R166" s="629" t="str">
        <f>IF(AND(ISBLANK(Skills!$X$191),ISNA(Skills!$W$191)),"N","Y")</f>
        <v>N</v>
      </c>
      <c r="S166" s="629">
        <f>Skills!V$191</f>
        <v>4</v>
      </c>
      <c r="T166" s="629" t="str">
        <f>IF(ISNA(Skills!$W$191),IF(ISBLANK(Skills!$X$191)," ",Skills!$X$191),+Skills!$W$191+Skills!$X$191)</f>
        <v xml:space="preserve"> </v>
      </c>
      <c r="U166" s="743">
        <f>IF(R166="Y",Skills!$AC$191,Skills!$AB$191)</f>
        <v>0.2</v>
      </c>
      <c r="V166" s="714">
        <f ca="1">Skills!$Y$191</f>
        <v>0.12</v>
      </c>
      <c r="W166" s="714">
        <f ca="1">Skills!$AA$191</f>
        <v>0.12</v>
      </c>
      <c r="X166" s="777">
        <f ca="1">Skills!AD$191</f>
        <v>0.32</v>
      </c>
      <c r="Y166" s="622">
        <f t="shared" ca="1" si="48"/>
        <v>11</v>
      </c>
      <c r="Z166" s="622">
        <f t="shared" ca="1" si="49"/>
        <v>3</v>
      </c>
      <c r="AA166" s="780" t="s">
        <v>2768</v>
      </c>
      <c r="AB166" s="629">
        <v>10</v>
      </c>
      <c r="AC166" s="629">
        <v>9</v>
      </c>
      <c r="AD166" s="629">
        <v>15</v>
      </c>
      <c r="AE166" s="629">
        <v>12</v>
      </c>
      <c r="AF166" s="629">
        <v>9</v>
      </c>
      <c r="AG166" s="629">
        <v>0</v>
      </c>
      <c r="AH166" s="629">
        <f t="shared" ca="1" si="46"/>
        <v>3</v>
      </c>
      <c r="AJ166" s="609"/>
      <c r="AK166" s="609"/>
      <c r="AL166" s="609"/>
      <c r="AM166" s="609"/>
      <c r="AN166" s="609"/>
      <c r="AO166" s="609"/>
      <c r="AP166" s="609"/>
      <c r="AQ166" s="609"/>
      <c r="AR166" s="609"/>
      <c r="AS166" s="609"/>
      <c r="AT166" s="609"/>
      <c r="AU166" s="609"/>
      <c r="AV166" s="609"/>
      <c r="BJ166" s="970">
        <v>21</v>
      </c>
      <c r="BK166" s="974" t="s">
        <v>5829</v>
      </c>
      <c r="BL166" s="976" t="s">
        <v>5814</v>
      </c>
      <c r="DI166" s="602"/>
      <c r="DJ166" s="602"/>
      <c r="DK166" s="602"/>
    </row>
    <row r="167" spans="1:115" ht="11.1" customHeight="1" outlineLevel="3" thickBot="1">
      <c r="A167" s="602">
        <v>155</v>
      </c>
      <c r="B167" s="780" t="s">
        <v>2769</v>
      </c>
      <c r="C167" s="769">
        <v>2</v>
      </c>
      <c r="D167" s="768">
        <v>14</v>
      </c>
      <c r="E167" s="769">
        <v>20</v>
      </c>
      <c r="F167" s="649"/>
      <c r="G167" s="768">
        <f t="shared" si="43"/>
        <v>0</v>
      </c>
      <c r="H167" s="771">
        <v>912</v>
      </c>
      <c r="I167" s="771">
        <f t="shared" si="44"/>
        <v>0</v>
      </c>
      <c r="J167" s="769" t="s">
        <v>2763</v>
      </c>
      <c r="K167" s="774">
        <f>IF(J167&lt;&gt;"L",'Main Creation Page'!$AF$11,'Main Creation Page'!$AG$11)</f>
        <v>10</v>
      </c>
      <c r="L167" s="629">
        <v>4</v>
      </c>
      <c r="M167" s="629">
        <f t="shared" si="47"/>
        <v>0</v>
      </c>
      <c r="N167" s="620">
        <f t="shared" si="45"/>
        <v>14</v>
      </c>
      <c r="O167" s="769" t="s">
        <v>3805</v>
      </c>
      <c r="P167" s="775">
        <f ca="1">0+Skills!AE191</f>
        <v>0</v>
      </c>
      <c r="Q167" s="629">
        <v>5</v>
      </c>
      <c r="R167" s="629" t="str">
        <f>IF(AND(ISBLANK(Skills!$X$191),ISNA(Skills!$W$191)),"N","Y")</f>
        <v>N</v>
      </c>
      <c r="S167" s="629">
        <f>Skills!V$191</f>
        <v>4</v>
      </c>
      <c r="T167" s="629" t="str">
        <f>IF(ISNA(Skills!$W$191),IF(ISBLANK(Skills!$X$191)," ",Skills!$X$191),+Skills!$W$191+Skills!$X$191)</f>
        <v xml:space="preserve"> </v>
      </c>
      <c r="U167" s="743">
        <f>IF(R167="Y",Skills!$AC$191,Skills!$AB$191)</f>
        <v>0.2</v>
      </c>
      <c r="V167" s="714">
        <f ca="1">Skills!$Y$191</f>
        <v>0.12</v>
      </c>
      <c r="W167" s="714">
        <f ca="1">Skills!$AA$191</f>
        <v>0.12</v>
      </c>
      <c r="X167" s="777">
        <f ca="1">Skills!AD$191</f>
        <v>0.32</v>
      </c>
      <c r="Y167" s="622">
        <f t="shared" ca="1" si="48"/>
        <v>11</v>
      </c>
      <c r="Z167" s="622">
        <f t="shared" ca="1" si="49"/>
        <v>3</v>
      </c>
      <c r="AA167" s="780" t="s">
        <v>2769</v>
      </c>
      <c r="AB167" s="629">
        <v>14</v>
      </c>
      <c r="AC167" s="629">
        <v>12</v>
      </c>
      <c r="AD167" s="629">
        <v>14</v>
      </c>
      <c r="AE167" s="629">
        <v>14</v>
      </c>
      <c r="AF167" s="629">
        <v>10</v>
      </c>
      <c r="AG167" s="629">
        <v>0</v>
      </c>
      <c r="AH167" s="629">
        <f t="shared" ca="1" si="46"/>
        <v>3</v>
      </c>
      <c r="AJ167" s="609"/>
      <c r="AK167" s="609"/>
      <c r="AL167" s="609"/>
      <c r="AM167" s="609"/>
      <c r="AN167" s="609"/>
      <c r="AO167" s="609"/>
      <c r="AP167" s="609"/>
      <c r="AQ167" s="609"/>
      <c r="AR167" s="609"/>
      <c r="AS167" s="609"/>
      <c r="AT167" s="609"/>
      <c r="AU167" s="609"/>
      <c r="AV167" s="609"/>
      <c r="BJ167" s="970">
        <v>22</v>
      </c>
      <c r="BK167" s="974" t="s">
        <v>5392</v>
      </c>
      <c r="BL167" s="976" t="s">
        <v>5840</v>
      </c>
      <c r="DI167" s="602"/>
      <c r="DJ167" s="602"/>
      <c r="DK167" s="602"/>
    </row>
    <row r="168" spans="1:115" ht="11.1" customHeight="1" outlineLevel="3" thickBot="1">
      <c r="A168" s="602">
        <v>156</v>
      </c>
      <c r="B168" s="780" t="s">
        <v>2770</v>
      </c>
      <c r="C168" s="769">
        <v>2.5</v>
      </c>
      <c r="D168" s="768">
        <v>16</v>
      </c>
      <c r="E168" s="769">
        <v>20</v>
      </c>
      <c r="F168" s="649"/>
      <c r="G168" s="768">
        <f t="shared" si="43"/>
        <v>0</v>
      </c>
      <c r="H168" s="771">
        <v>1152</v>
      </c>
      <c r="I168" s="771">
        <f t="shared" si="44"/>
        <v>0</v>
      </c>
      <c r="J168" s="769" t="s">
        <v>2763</v>
      </c>
      <c r="K168" s="774">
        <f>IF(J168&lt;&gt;"L",'Main Creation Page'!$AF$11,'Main Creation Page'!$AG$11)</f>
        <v>10</v>
      </c>
      <c r="L168" s="629">
        <v>4</v>
      </c>
      <c r="M168" s="629">
        <f t="shared" si="47"/>
        <v>0</v>
      </c>
      <c r="N168" s="620">
        <f t="shared" si="45"/>
        <v>14</v>
      </c>
      <c r="O168" s="769" t="s">
        <v>3805</v>
      </c>
      <c r="P168" s="775">
        <f ca="1">0+Skills!AE191</f>
        <v>0</v>
      </c>
      <c r="Q168" s="629">
        <v>5</v>
      </c>
      <c r="R168" s="629" t="str">
        <f>IF(AND(ISBLANK(Skills!$X$191),ISNA(Skills!$W$191)),"N","Y")</f>
        <v>N</v>
      </c>
      <c r="S168" s="629">
        <f>Skills!V$191</f>
        <v>4</v>
      </c>
      <c r="T168" s="629" t="str">
        <f>IF(ISNA(Skills!$W$191),IF(ISBLANK(Skills!$X$191)," ",Skills!$X$191),+Skills!$W$191+Skills!$X$191)</f>
        <v xml:space="preserve"> </v>
      </c>
      <c r="U168" s="743">
        <f>IF(R168="Y",Skills!$AC$191,Skills!$AB$191)</f>
        <v>0.2</v>
      </c>
      <c r="V168" s="714">
        <f ca="1">Skills!$Y$191</f>
        <v>0.12</v>
      </c>
      <c r="W168" s="714">
        <f ca="1">Skills!$AA$191</f>
        <v>0.12</v>
      </c>
      <c r="X168" s="777">
        <f ca="1">Skills!AD$191</f>
        <v>0.32</v>
      </c>
      <c r="Y168" s="622">
        <f t="shared" ca="1" si="48"/>
        <v>11</v>
      </c>
      <c r="Z168" s="622">
        <f t="shared" ca="1" si="49"/>
        <v>3</v>
      </c>
      <c r="AA168" s="780" t="s">
        <v>2770</v>
      </c>
      <c r="AB168" s="629">
        <v>16</v>
      </c>
      <c r="AC168" s="629">
        <v>16</v>
      </c>
      <c r="AD168" s="629">
        <v>16</v>
      </c>
      <c r="AE168" s="629">
        <v>16</v>
      </c>
      <c r="AF168" s="629">
        <v>16</v>
      </c>
      <c r="AG168" s="629">
        <v>0</v>
      </c>
      <c r="AH168" s="629">
        <f t="shared" ca="1" si="46"/>
        <v>3</v>
      </c>
      <c r="AJ168" s="609"/>
      <c r="AK168" s="609"/>
      <c r="AL168" s="609"/>
      <c r="AM168" s="609"/>
      <c r="AN168" s="609"/>
      <c r="AO168" s="609"/>
      <c r="AP168" s="609"/>
      <c r="AQ168" s="609"/>
      <c r="AR168" s="609"/>
      <c r="AS168" s="609"/>
      <c r="AT168" s="609"/>
      <c r="AU168" s="609"/>
      <c r="AV168" s="609"/>
      <c r="BJ168" s="970">
        <v>23</v>
      </c>
      <c r="BK168" s="974" t="s">
        <v>5830</v>
      </c>
      <c r="BL168" s="608" t="s">
        <v>5536</v>
      </c>
      <c r="BM168" s="975" t="s">
        <v>5841</v>
      </c>
      <c r="BQ168" s="752"/>
      <c r="BR168" s="608"/>
      <c r="DH168" s="602"/>
      <c r="DI168" s="602"/>
      <c r="DJ168" s="602"/>
      <c r="DK168" s="602"/>
    </row>
    <row r="169" spans="1:115" ht="11.1" customHeight="1" outlineLevel="3" thickBot="1">
      <c r="A169" s="602">
        <v>157</v>
      </c>
      <c r="B169" s="780" t="s">
        <v>375</v>
      </c>
      <c r="C169" s="769">
        <v>2.5</v>
      </c>
      <c r="D169" s="768">
        <v>16</v>
      </c>
      <c r="E169" s="769">
        <v>42</v>
      </c>
      <c r="F169" s="649"/>
      <c r="G169" s="768">
        <f t="shared" si="43"/>
        <v>0</v>
      </c>
      <c r="H169" s="771">
        <v>1248</v>
      </c>
      <c r="I169" s="771">
        <f t="shared" si="44"/>
        <v>0</v>
      </c>
      <c r="J169" s="769" t="s">
        <v>2763</v>
      </c>
      <c r="K169" s="774">
        <f>IF(J169&lt;&gt;"L",'Main Creation Page'!$AF$11,'Main Creation Page'!$AG$11)</f>
        <v>10</v>
      </c>
      <c r="L169" s="629">
        <v>4</v>
      </c>
      <c r="M169" s="629">
        <f t="shared" si="47"/>
        <v>0</v>
      </c>
      <c r="N169" s="620">
        <f t="shared" si="45"/>
        <v>14</v>
      </c>
      <c r="O169" s="769" t="s">
        <v>3805</v>
      </c>
      <c r="P169" s="775">
        <f ca="1">0+Skills!AE191</f>
        <v>0</v>
      </c>
      <c r="Q169" s="629">
        <v>5</v>
      </c>
      <c r="R169" s="629" t="str">
        <f>IF(AND(ISBLANK(Skills!$X$191),ISNA(Skills!$W$191)),"N","Y")</f>
        <v>N</v>
      </c>
      <c r="S169" s="629">
        <f>Skills!V$191</f>
        <v>4</v>
      </c>
      <c r="T169" s="629" t="str">
        <f>IF(ISNA(Skills!$W$191),IF(ISBLANK(Skills!$X$191)," ",Skills!$X$191),+Skills!$W$191+Skills!$X$191)</f>
        <v xml:space="preserve"> </v>
      </c>
      <c r="U169" s="743">
        <f>IF(R169="Y",Skills!$AC$191,Skills!$AB$191)</f>
        <v>0.2</v>
      </c>
      <c r="V169" s="714">
        <f ca="1">Skills!$Y$191</f>
        <v>0.12</v>
      </c>
      <c r="W169" s="714">
        <f ca="1">Skills!$AA$191</f>
        <v>0.12</v>
      </c>
      <c r="X169" s="777">
        <f ca="1">Skills!AD$191</f>
        <v>0.32</v>
      </c>
      <c r="Y169" s="622">
        <f t="shared" ca="1" si="48"/>
        <v>11</v>
      </c>
      <c r="Z169" s="622">
        <f t="shared" ca="1" si="49"/>
        <v>3</v>
      </c>
      <c r="AA169" s="780" t="s">
        <v>375</v>
      </c>
      <c r="AB169" s="629">
        <v>18</v>
      </c>
      <c r="AC169" s="629">
        <v>16</v>
      </c>
      <c r="AD169" s="629">
        <v>16</v>
      </c>
      <c r="AE169" s="629">
        <v>16</v>
      </c>
      <c r="AF169" s="629">
        <v>16</v>
      </c>
      <c r="AG169" s="629">
        <v>0</v>
      </c>
      <c r="AH169" s="629">
        <f t="shared" ca="1" si="46"/>
        <v>3</v>
      </c>
      <c r="AJ169" s="609"/>
      <c r="AK169" s="609"/>
      <c r="AL169" s="609"/>
      <c r="AM169" s="609"/>
      <c r="AN169" s="609"/>
      <c r="AO169" s="609"/>
      <c r="AP169" s="609"/>
      <c r="AQ169" s="609"/>
      <c r="AR169" s="609"/>
      <c r="AS169" s="609"/>
      <c r="AT169" s="609"/>
      <c r="AU169" s="609"/>
      <c r="AV169" s="609"/>
      <c r="BJ169" s="970">
        <v>24</v>
      </c>
      <c r="BK169" s="974" t="s">
        <v>5815</v>
      </c>
      <c r="BL169" s="975" t="s">
        <v>5834</v>
      </c>
      <c r="BM169" s="975" t="s">
        <v>5842</v>
      </c>
      <c r="BN169" s="975" t="s">
        <v>5843</v>
      </c>
      <c r="BQ169" s="752"/>
      <c r="BR169" s="608"/>
      <c r="DH169" s="602"/>
      <c r="DI169" s="602"/>
      <c r="DJ169" s="602"/>
      <c r="DK169" s="602"/>
    </row>
    <row r="170" spans="1:115" ht="11.1" customHeight="1" outlineLevel="3" thickBot="1">
      <c r="A170" s="602">
        <v>158</v>
      </c>
      <c r="B170" s="780" t="s">
        <v>4085</v>
      </c>
      <c r="C170" s="769">
        <v>4</v>
      </c>
      <c r="D170" s="768">
        <v>18</v>
      </c>
      <c r="E170" s="769">
        <v>48</v>
      </c>
      <c r="F170" s="649"/>
      <c r="G170" s="768">
        <f t="shared" si="43"/>
        <v>0</v>
      </c>
      <c r="H170" s="771">
        <v>1560</v>
      </c>
      <c r="I170" s="771">
        <f t="shared" si="44"/>
        <v>0</v>
      </c>
      <c r="J170" s="769" t="s">
        <v>2763</v>
      </c>
      <c r="K170" s="774">
        <f>IF(J170&lt;&gt;"L",'Main Creation Page'!$AF$11,'Main Creation Page'!$AG$11)</f>
        <v>10</v>
      </c>
      <c r="L170" s="629">
        <v>4</v>
      </c>
      <c r="M170" s="629">
        <f t="shared" si="47"/>
        <v>0</v>
      </c>
      <c r="N170" s="620">
        <f t="shared" si="45"/>
        <v>14</v>
      </c>
      <c r="O170" s="769" t="s">
        <v>3805</v>
      </c>
      <c r="P170" s="775">
        <f ca="1">0+Skills!AE191</f>
        <v>0</v>
      </c>
      <c r="Q170" s="629">
        <v>5</v>
      </c>
      <c r="R170" s="629" t="str">
        <f>IF(AND(ISBLANK(Skills!$X$191),ISNA(Skills!$W$191)),"N","Y")</f>
        <v>N</v>
      </c>
      <c r="S170" s="629">
        <f>Skills!V$191</f>
        <v>4</v>
      </c>
      <c r="T170" s="629" t="str">
        <f>IF(ISNA(Skills!$W$191),IF(ISBLANK(Skills!$X$191)," ",Skills!$X$191),+Skills!$W$191+Skills!$X$191)</f>
        <v xml:space="preserve"> </v>
      </c>
      <c r="U170" s="743">
        <f>IF(R170="Y",Skills!$AC$191,Skills!$AB$191)</f>
        <v>0.2</v>
      </c>
      <c r="V170" s="714">
        <f ca="1">Skills!$Y$191</f>
        <v>0.12</v>
      </c>
      <c r="W170" s="714">
        <f ca="1">Skills!$AA$191</f>
        <v>0.12</v>
      </c>
      <c r="X170" s="777">
        <f ca="1">Skills!AD$191</f>
        <v>0.32</v>
      </c>
      <c r="Y170" s="622">
        <f t="shared" ca="1" si="48"/>
        <v>11</v>
      </c>
      <c r="Z170" s="622">
        <f t="shared" ca="1" si="49"/>
        <v>3</v>
      </c>
      <c r="AA170" s="780" t="s">
        <v>4085</v>
      </c>
      <c r="AB170" s="629">
        <v>20</v>
      </c>
      <c r="AC170" s="629">
        <v>18</v>
      </c>
      <c r="AD170" s="629">
        <v>20</v>
      </c>
      <c r="AE170" s="629">
        <v>22</v>
      </c>
      <c r="AF170" s="629">
        <v>18</v>
      </c>
      <c r="AG170" s="629">
        <v>0</v>
      </c>
      <c r="AH170" s="629">
        <f t="shared" ca="1" si="46"/>
        <v>3</v>
      </c>
      <c r="AJ170" s="609"/>
      <c r="AK170" s="609"/>
      <c r="AL170" s="609"/>
      <c r="AM170" s="609"/>
      <c r="AN170" s="609"/>
      <c r="AO170" s="609"/>
      <c r="AP170" s="609"/>
      <c r="AQ170" s="609"/>
      <c r="AR170" s="609"/>
      <c r="AS170" s="609"/>
      <c r="AT170" s="609"/>
      <c r="AU170" s="609"/>
      <c r="AV170" s="609"/>
      <c r="BJ170" s="970">
        <v>25</v>
      </c>
      <c r="BK170" s="974" t="s">
        <v>5831</v>
      </c>
      <c r="BL170" s="608" t="s">
        <v>5539</v>
      </c>
      <c r="BM170" s="975" t="s">
        <v>5844</v>
      </c>
      <c r="BQ170" s="752"/>
      <c r="BR170" s="608"/>
      <c r="DH170" s="602"/>
      <c r="DI170" s="602"/>
      <c r="DJ170" s="602"/>
      <c r="DK170" s="602"/>
    </row>
    <row r="171" spans="1:115" ht="11.1" customHeight="1" outlineLevel="2" thickBot="1">
      <c r="A171" s="602">
        <v>159</v>
      </c>
      <c r="B171" s="602"/>
      <c r="C171" s="602"/>
      <c r="D171" s="602"/>
      <c r="G171" s="602"/>
      <c r="H171" s="602"/>
      <c r="I171" s="602"/>
      <c r="N171" s="608"/>
      <c r="S171" s="608"/>
      <c r="AA171" s="602"/>
      <c r="AE171" s="602"/>
      <c r="AF171" s="602"/>
      <c r="AG171" s="602"/>
      <c r="AH171" s="602"/>
      <c r="AI171" s="602"/>
      <c r="AJ171" s="878"/>
      <c r="AK171" s="878"/>
      <c r="AN171" s="609"/>
      <c r="AO171" s="609"/>
      <c r="AP171" s="609"/>
      <c r="AQ171" s="609"/>
      <c r="AR171" s="609"/>
      <c r="AS171" s="609"/>
      <c r="AT171" s="609"/>
      <c r="AU171" s="609"/>
      <c r="AV171" s="609"/>
      <c r="AW171" s="609"/>
      <c r="AX171" s="609"/>
      <c r="AY171" s="609"/>
      <c r="AZ171" s="609"/>
      <c r="BA171" s="609"/>
      <c r="BB171" s="609"/>
      <c r="BC171" s="609"/>
      <c r="BD171" s="609"/>
      <c r="BE171" s="609"/>
      <c r="BF171" s="609"/>
      <c r="BG171" s="609"/>
      <c r="BH171" s="609"/>
      <c r="BJ171" s="970">
        <v>26</v>
      </c>
      <c r="BK171" s="974" t="s">
        <v>5816</v>
      </c>
      <c r="BL171" s="976" t="s">
        <v>5817</v>
      </c>
    </row>
    <row r="172" spans="1:115" ht="11.1" customHeight="1" outlineLevel="2">
      <c r="A172" s="602">
        <v>160</v>
      </c>
      <c r="B172" s="779" t="s">
        <v>2625</v>
      </c>
      <c r="C172" s="879" t="s">
        <v>2743</v>
      </c>
      <c r="D172" s="754" t="s">
        <v>1737</v>
      </c>
      <c r="E172" s="706" t="s">
        <v>5544</v>
      </c>
      <c r="F172" s="756" t="s">
        <v>5043</v>
      </c>
      <c r="G172" s="757" t="s">
        <v>3854</v>
      </c>
      <c r="H172" s="757" t="s">
        <v>2742</v>
      </c>
      <c r="I172" s="757" t="s">
        <v>3854</v>
      </c>
      <c r="J172" s="758" t="s">
        <v>1279</v>
      </c>
      <c r="K172" s="2667" t="s">
        <v>2002</v>
      </c>
      <c r="L172" s="1283"/>
      <c r="M172" s="1283"/>
      <c r="N172" s="1283"/>
      <c r="O172" s="1284"/>
      <c r="P172" s="630" t="s">
        <v>951</v>
      </c>
      <c r="Q172" s="1278" t="s">
        <v>3963</v>
      </c>
      <c r="R172" s="1247"/>
      <c r="V172" s="602"/>
      <c r="W172" s="602"/>
      <c r="X172" s="602"/>
      <c r="AA172" s="602"/>
      <c r="AC172" s="608"/>
      <c r="AD172" s="608"/>
      <c r="AM172" s="609"/>
      <c r="AN172" s="609"/>
      <c r="AO172" s="609"/>
      <c r="AP172" s="609"/>
      <c r="AQ172" s="609"/>
      <c r="AR172" s="609"/>
      <c r="AS172" s="609"/>
      <c r="AT172" s="609"/>
      <c r="AU172" s="609"/>
      <c r="AV172" s="609"/>
      <c r="AW172" s="609"/>
      <c r="AX172" s="609"/>
      <c r="AY172" s="609"/>
      <c r="DK172" s="602"/>
    </row>
    <row r="173" spans="1:115" ht="11.1" customHeight="1" outlineLevel="2">
      <c r="A173" s="602">
        <v>161</v>
      </c>
      <c r="B173" s="785" t="s">
        <v>2838</v>
      </c>
      <c r="C173" s="755" t="s">
        <v>941</v>
      </c>
      <c r="D173" s="880" t="s">
        <v>2743</v>
      </c>
      <c r="E173" s="683" t="s">
        <v>4270</v>
      </c>
      <c r="F173" s="762" t="s">
        <v>4326</v>
      </c>
      <c r="G173" s="760" t="s">
        <v>2743</v>
      </c>
      <c r="H173" s="760" t="s">
        <v>5217</v>
      </c>
      <c r="I173" s="760" t="s">
        <v>4327</v>
      </c>
      <c r="J173" s="761" t="s">
        <v>1280</v>
      </c>
      <c r="K173" s="630" t="s">
        <v>5067</v>
      </c>
      <c r="L173" s="628" t="s">
        <v>2003</v>
      </c>
      <c r="M173" s="628" t="s">
        <v>2004</v>
      </c>
      <c r="N173" s="628" t="s">
        <v>2001</v>
      </c>
      <c r="O173" s="755" t="s">
        <v>2005</v>
      </c>
      <c r="P173" s="630" t="s">
        <v>4719</v>
      </c>
      <c r="Q173" s="628" t="s">
        <v>4719</v>
      </c>
      <c r="R173" s="628" t="s">
        <v>3142</v>
      </c>
      <c r="AL173" s="609"/>
      <c r="AM173" s="609"/>
      <c r="AN173" s="609"/>
      <c r="AO173" s="609"/>
      <c r="AP173" s="609"/>
      <c r="AQ173" s="609"/>
      <c r="AR173" s="609"/>
      <c r="AS173" s="609"/>
      <c r="AT173" s="609"/>
      <c r="AU173" s="609"/>
      <c r="AV173" s="609"/>
      <c r="AW173" s="609"/>
      <c r="AX173" s="609"/>
      <c r="DJ173" s="602"/>
      <c r="DK173" s="602"/>
    </row>
    <row r="174" spans="1:115" ht="11.1" customHeight="1" outlineLevel="3">
      <c r="A174" s="602">
        <v>162</v>
      </c>
      <c r="B174" s="780" t="s">
        <v>2006</v>
      </c>
      <c r="C174" s="881" t="s">
        <v>2008</v>
      </c>
      <c r="D174" s="768">
        <v>0</v>
      </c>
      <c r="E174" s="881" t="s">
        <v>2008</v>
      </c>
      <c r="F174" s="875"/>
      <c r="G174" s="768">
        <f t="shared" ref="G174:G189" si="50">F174*D174</f>
        <v>0</v>
      </c>
      <c r="H174" s="771">
        <v>0</v>
      </c>
      <c r="I174" s="771">
        <f t="shared" ref="I174:I189" si="51">H174*F174</f>
        <v>0</v>
      </c>
      <c r="J174" s="881" t="s">
        <v>2008</v>
      </c>
      <c r="K174" s="852">
        <v>0</v>
      </c>
      <c r="L174" s="629">
        <v>0</v>
      </c>
      <c r="M174" s="629">
        <v>0</v>
      </c>
      <c r="N174" s="629">
        <v>0</v>
      </c>
      <c r="O174" s="769">
        <v>0</v>
      </c>
      <c r="P174" s="852">
        <v>0</v>
      </c>
      <c r="Q174" s="629">
        <v>0</v>
      </c>
      <c r="R174" s="629">
        <v>3</v>
      </c>
      <c r="AL174" s="609"/>
      <c r="AM174" s="609"/>
      <c r="AN174" s="609"/>
      <c r="AO174" s="609"/>
      <c r="AP174" s="609"/>
      <c r="AQ174" s="609"/>
      <c r="AR174" s="609"/>
      <c r="AS174" s="609"/>
      <c r="AT174" s="609"/>
      <c r="AU174" s="609"/>
      <c r="AV174" s="609"/>
      <c r="AW174" s="609"/>
      <c r="AX174" s="609"/>
      <c r="DJ174" s="602"/>
      <c r="DK174" s="602"/>
    </row>
    <row r="175" spans="1:115" ht="11.1" customHeight="1" outlineLevel="3">
      <c r="A175" s="602">
        <v>163</v>
      </c>
      <c r="B175" s="780" t="s">
        <v>2007</v>
      </c>
      <c r="C175" s="881" t="s">
        <v>2008</v>
      </c>
      <c r="D175" s="768">
        <v>0</v>
      </c>
      <c r="E175" s="881" t="s">
        <v>2008</v>
      </c>
      <c r="F175" s="875"/>
      <c r="G175" s="768">
        <f t="shared" si="50"/>
        <v>0</v>
      </c>
      <c r="H175" s="771">
        <v>0</v>
      </c>
      <c r="I175" s="771">
        <f t="shared" si="51"/>
        <v>0</v>
      </c>
      <c r="J175" s="881" t="s">
        <v>2008</v>
      </c>
      <c r="K175" s="852">
        <v>1</v>
      </c>
      <c r="L175" s="629">
        <v>0</v>
      </c>
      <c r="M175" s="629">
        <v>0</v>
      </c>
      <c r="N175" s="629">
        <v>0</v>
      </c>
      <c r="O175" s="769">
        <v>0</v>
      </c>
      <c r="P175" s="852">
        <v>0</v>
      </c>
      <c r="Q175" s="629">
        <v>0</v>
      </c>
      <c r="R175" s="629">
        <v>3</v>
      </c>
      <c r="AL175" s="609"/>
      <c r="AM175" s="609"/>
      <c r="AN175" s="609"/>
      <c r="AO175" s="609"/>
      <c r="AP175" s="609"/>
      <c r="AQ175" s="609"/>
      <c r="AR175" s="609"/>
      <c r="AS175" s="609"/>
      <c r="AT175" s="609"/>
      <c r="AU175" s="609"/>
      <c r="AV175" s="609"/>
      <c r="AW175" s="609"/>
      <c r="AX175" s="609"/>
      <c r="DJ175" s="602"/>
      <c r="DK175" s="602"/>
    </row>
    <row r="176" spans="1:115" ht="11.1" customHeight="1" outlineLevel="3">
      <c r="A176" s="602">
        <v>164</v>
      </c>
      <c r="B176" s="780" t="s">
        <v>4089</v>
      </c>
      <c r="C176" s="882" t="s">
        <v>1563</v>
      </c>
      <c r="D176" s="768">
        <v>1</v>
      </c>
      <c r="E176" s="883">
        <f>1/48</f>
        <v>2.0833333333333332E-2</v>
      </c>
      <c r="F176" s="875"/>
      <c r="G176" s="768">
        <f t="shared" si="50"/>
        <v>0</v>
      </c>
      <c r="H176" s="771">
        <v>80</v>
      </c>
      <c r="I176" s="771">
        <f t="shared" si="51"/>
        <v>0</v>
      </c>
      <c r="J176" s="769" t="str">
        <f>IF(ISBLANK(Skills!X$209),"N","Y")</f>
        <v>N</v>
      </c>
      <c r="K176" s="852">
        <v>4</v>
      </c>
      <c r="L176" s="629">
        <v>5</v>
      </c>
      <c r="M176" s="629">
        <v>3</v>
      </c>
      <c r="N176" s="629">
        <v>4</v>
      </c>
      <c r="O176" s="769">
        <v>4</v>
      </c>
      <c r="P176" s="852">
        <v>0</v>
      </c>
      <c r="Q176" s="629">
        <v>0</v>
      </c>
      <c r="R176" s="629">
        <v>0</v>
      </c>
      <c r="AL176" s="609"/>
      <c r="AM176" s="609"/>
      <c r="AN176" s="609"/>
      <c r="AO176" s="609"/>
      <c r="AP176" s="609"/>
      <c r="AQ176" s="609"/>
      <c r="AR176" s="609"/>
      <c r="AS176" s="609"/>
      <c r="AT176" s="609"/>
      <c r="AU176" s="609"/>
      <c r="AV176" s="609"/>
      <c r="AW176" s="609"/>
      <c r="AX176" s="609"/>
      <c r="DJ176" s="602"/>
      <c r="DK176" s="602"/>
    </row>
    <row r="177" spans="1:115" ht="11.1" customHeight="1" outlineLevel="3">
      <c r="A177" s="602">
        <v>165</v>
      </c>
      <c r="B177" s="780" t="s">
        <v>2771</v>
      </c>
      <c r="C177" s="882" t="s">
        <v>1563</v>
      </c>
      <c r="D177" s="768">
        <v>1</v>
      </c>
      <c r="E177" s="883">
        <f>1/48</f>
        <v>2.0833333333333332E-2</v>
      </c>
      <c r="F177" s="875"/>
      <c r="G177" s="768">
        <f t="shared" si="50"/>
        <v>0</v>
      </c>
      <c r="H177" s="771">
        <v>336</v>
      </c>
      <c r="I177" s="771">
        <f t="shared" si="51"/>
        <v>0</v>
      </c>
      <c r="J177" s="769" t="str">
        <f>IF(ISBLANK(Skills!X$209),"N","Y")</f>
        <v>N</v>
      </c>
      <c r="K177" s="852">
        <v>6</v>
      </c>
      <c r="L177" s="629">
        <v>5</v>
      </c>
      <c r="M177" s="629">
        <v>4</v>
      </c>
      <c r="N177" s="629">
        <v>5</v>
      </c>
      <c r="O177" s="769">
        <v>5</v>
      </c>
      <c r="P177" s="852">
        <v>0</v>
      </c>
      <c r="Q177" s="629">
        <v>0</v>
      </c>
      <c r="R177" s="629">
        <v>0</v>
      </c>
      <c r="AL177" s="609"/>
      <c r="AM177" s="609"/>
      <c r="AN177" s="609"/>
      <c r="AO177" s="609"/>
      <c r="AP177" s="609"/>
      <c r="AQ177" s="609"/>
      <c r="AR177" s="609"/>
      <c r="AS177" s="609"/>
      <c r="AT177" s="609"/>
      <c r="AU177" s="609"/>
      <c r="AV177" s="609"/>
      <c r="AW177" s="609"/>
      <c r="AX177" s="609"/>
      <c r="DJ177" s="602"/>
      <c r="DK177" s="602"/>
    </row>
    <row r="178" spans="1:115" ht="11.1" customHeight="1" outlineLevel="3">
      <c r="A178" s="602">
        <v>166</v>
      </c>
      <c r="B178" s="793" t="s">
        <v>2772</v>
      </c>
      <c r="C178" s="882" t="s">
        <v>1563</v>
      </c>
      <c r="D178" s="768">
        <v>3</v>
      </c>
      <c r="E178" s="882">
        <v>1</v>
      </c>
      <c r="F178" s="875"/>
      <c r="G178" s="768">
        <f t="shared" si="50"/>
        <v>0</v>
      </c>
      <c r="H178" s="771">
        <f>AVERAGE(H177,H179)</f>
        <v>468</v>
      </c>
      <c r="I178" s="771">
        <f t="shared" si="51"/>
        <v>0</v>
      </c>
      <c r="J178" s="769" t="str">
        <f>IF(ISBLANK(Skills!X$209),"N","Y")</f>
        <v>N</v>
      </c>
      <c r="K178" s="852">
        <v>5</v>
      </c>
      <c r="L178" s="629">
        <v>3</v>
      </c>
      <c r="M178" s="629">
        <v>3</v>
      </c>
      <c r="N178" s="629">
        <v>3</v>
      </c>
      <c r="O178" s="769">
        <v>4</v>
      </c>
      <c r="P178" s="852">
        <v>0</v>
      </c>
      <c r="Q178" s="629">
        <v>0</v>
      </c>
      <c r="R178" s="629">
        <v>0</v>
      </c>
      <c r="AL178" s="609"/>
      <c r="AM178" s="609"/>
      <c r="AN178" s="609"/>
      <c r="AO178" s="609"/>
      <c r="AP178" s="609"/>
      <c r="AQ178" s="609"/>
      <c r="AR178" s="609"/>
      <c r="AS178" s="609"/>
      <c r="AT178" s="609"/>
      <c r="AU178" s="609"/>
      <c r="AV178" s="609"/>
      <c r="AW178" s="609"/>
      <c r="AX178" s="609"/>
      <c r="DJ178" s="602"/>
      <c r="DK178" s="602"/>
    </row>
    <row r="179" spans="1:115" ht="11.1" customHeight="1" outlineLevel="3">
      <c r="A179" s="602">
        <v>167</v>
      </c>
      <c r="B179" s="780" t="s">
        <v>4421</v>
      </c>
      <c r="C179" s="882" t="s">
        <v>2763</v>
      </c>
      <c r="D179" s="768">
        <v>3</v>
      </c>
      <c r="E179" s="882">
        <v>2</v>
      </c>
      <c r="F179" s="875"/>
      <c r="G179" s="768">
        <f t="shared" si="50"/>
        <v>0</v>
      </c>
      <c r="H179" s="771">
        <f>AVERAGE(H177,H180)</f>
        <v>600</v>
      </c>
      <c r="I179" s="771">
        <f t="shared" si="51"/>
        <v>0</v>
      </c>
      <c r="J179" s="769" t="str">
        <f>IF(ISBLANK(Skills!X$208),"N","Y")</f>
        <v>N</v>
      </c>
      <c r="K179" s="852">
        <v>10</v>
      </c>
      <c r="L179" s="629">
        <v>8</v>
      </c>
      <c r="M179" s="629">
        <v>7</v>
      </c>
      <c r="N179" s="629">
        <v>8</v>
      </c>
      <c r="O179" s="769">
        <v>7</v>
      </c>
      <c r="P179" s="852">
        <v>0</v>
      </c>
      <c r="Q179" s="629">
        <v>0</v>
      </c>
      <c r="R179" s="629">
        <v>0</v>
      </c>
      <c r="AL179" s="609"/>
      <c r="AM179" s="609"/>
      <c r="AN179" s="609"/>
      <c r="AO179" s="609"/>
      <c r="AP179" s="609"/>
      <c r="AQ179" s="609"/>
      <c r="AR179" s="609"/>
      <c r="AS179" s="609"/>
      <c r="AT179" s="609"/>
      <c r="AU179" s="609"/>
      <c r="AV179" s="609"/>
      <c r="AW179" s="609"/>
      <c r="AX179" s="609"/>
      <c r="DJ179" s="602"/>
      <c r="DK179" s="602"/>
    </row>
    <row r="180" spans="1:115" ht="11.1" customHeight="1" outlineLevel="3">
      <c r="A180" s="602">
        <v>168</v>
      </c>
      <c r="B180" s="780" t="s">
        <v>2773</v>
      </c>
      <c r="C180" s="882" t="s">
        <v>4620</v>
      </c>
      <c r="D180" s="768">
        <v>3</v>
      </c>
      <c r="E180" s="882">
        <v>3</v>
      </c>
      <c r="F180" s="875"/>
      <c r="G180" s="768">
        <f t="shared" si="50"/>
        <v>0</v>
      </c>
      <c r="H180" s="771">
        <v>864</v>
      </c>
      <c r="I180" s="771">
        <f t="shared" si="51"/>
        <v>0</v>
      </c>
      <c r="J180" s="769" t="str">
        <f>IF(ISBLANK(Skills!X$208),"N","Y")</f>
        <v>N</v>
      </c>
      <c r="K180" s="852">
        <v>8</v>
      </c>
      <c r="L180" s="629">
        <v>8</v>
      </c>
      <c r="M180" s="629">
        <v>7</v>
      </c>
      <c r="N180" s="629">
        <v>9</v>
      </c>
      <c r="O180" s="769">
        <v>7</v>
      </c>
      <c r="P180" s="852">
        <v>0</v>
      </c>
      <c r="Q180" s="629">
        <v>0</v>
      </c>
      <c r="R180" s="629">
        <v>0</v>
      </c>
      <c r="AL180" s="609"/>
      <c r="AM180" s="609"/>
      <c r="AN180" s="609"/>
      <c r="AO180" s="609"/>
      <c r="AP180" s="609"/>
      <c r="AQ180" s="609"/>
      <c r="AR180" s="609"/>
      <c r="AS180" s="609"/>
      <c r="AT180" s="609"/>
      <c r="AU180" s="609"/>
      <c r="AV180" s="609"/>
      <c r="AW180" s="609"/>
      <c r="AX180" s="609"/>
      <c r="DJ180" s="602"/>
      <c r="DK180" s="602"/>
    </row>
    <row r="181" spans="1:115" ht="11.1" customHeight="1" outlineLevel="3">
      <c r="A181" s="602">
        <v>169</v>
      </c>
      <c r="B181" s="780" t="s">
        <v>2774</v>
      </c>
      <c r="C181" s="882" t="s">
        <v>2763</v>
      </c>
      <c r="D181" s="768">
        <v>2</v>
      </c>
      <c r="E181" s="882">
        <v>4</v>
      </c>
      <c r="F181" s="875">
        <v>1</v>
      </c>
      <c r="G181" s="768">
        <f t="shared" si="50"/>
        <v>2</v>
      </c>
      <c r="H181" s="771">
        <v>720</v>
      </c>
      <c r="I181" s="771">
        <f t="shared" si="51"/>
        <v>720</v>
      </c>
      <c r="J181" s="769" t="str">
        <f>IF(ISBLANK(Skills!X$208),"N","Y")</f>
        <v>N</v>
      </c>
      <c r="K181" s="852">
        <v>6</v>
      </c>
      <c r="L181" s="629">
        <v>8</v>
      </c>
      <c r="M181" s="629">
        <v>5</v>
      </c>
      <c r="N181" s="629">
        <v>6</v>
      </c>
      <c r="O181" s="769">
        <v>6</v>
      </c>
      <c r="P181" s="852">
        <v>0</v>
      </c>
      <c r="Q181" s="629">
        <v>0</v>
      </c>
      <c r="R181" s="629">
        <v>0</v>
      </c>
      <c r="AL181" s="609"/>
      <c r="AM181" s="609"/>
      <c r="AN181" s="609"/>
      <c r="AO181" s="609"/>
      <c r="AP181" s="609"/>
      <c r="AQ181" s="609"/>
      <c r="AR181" s="609"/>
      <c r="AS181" s="609"/>
      <c r="AT181" s="609"/>
      <c r="AU181" s="609"/>
      <c r="AV181" s="609"/>
      <c r="AW181" s="609"/>
      <c r="AX181" s="609"/>
      <c r="DJ181" s="602"/>
      <c r="DK181" s="602"/>
    </row>
    <row r="182" spans="1:115" ht="11.1" customHeight="1" outlineLevel="3">
      <c r="A182" s="602">
        <v>170</v>
      </c>
      <c r="B182" s="780" t="s">
        <v>4090</v>
      </c>
      <c r="C182" s="882" t="s">
        <v>4620</v>
      </c>
      <c r="D182" s="768">
        <v>3</v>
      </c>
      <c r="E182" s="882">
        <v>6</v>
      </c>
      <c r="F182" s="875"/>
      <c r="G182" s="768">
        <f t="shared" si="50"/>
        <v>0</v>
      </c>
      <c r="H182" s="771">
        <v>1152</v>
      </c>
      <c r="I182" s="771">
        <f t="shared" si="51"/>
        <v>0</v>
      </c>
      <c r="J182" s="769" t="str">
        <f>IF(ISBLANK(Skills!X$207),"N","Y")</f>
        <v>N</v>
      </c>
      <c r="K182" s="852">
        <v>7</v>
      </c>
      <c r="L182" s="629">
        <v>5</v>
      </c>
      <c r="M182" s="629">
        <v>6</v>
      </c>
      <c r="N182" s="629">
        <v>6</v>
      </c>
      <c r="O182" s="769">
        <v>4</v>
      </c>
      <c r="P182" s="852">
        <v>0</v>
      </c>
      <c r="Q182" s="629">
        <v>0</v>
      </c>
      <c r="R182" s="629">
        <v>0</v>
      </c>
      <c r="AL182" s="609"/>
      <c r="AM182" s="609"/>
      <c r="AN182" s="609"/>
      <c r="AO182" s="609"/>
      <c r="AP182" s="609"/>
      <c r="AQ182" s="609"/>
      <c r="AR182" s="609"/>
      <c r="AS182" s="609"/>
      <c r="AT182" s="609"/>
      <c r="AU182" s="609"/>
      <c r="AV182" s="609"/>
      <c r="AW182" s="609"/>
      <c r="AX182" s="609"/>
      <c r="DJ182" s="602"/>
      <c r="DK182" s="602"/>
    </row>
    <row r="183" spans="1:115" ht="11.1" customHeight="1" outlineLevel="3">
      <c r="A183" s="602">
        <v>171</v>
      </c>
      <c r="B183" s="780" t="s">
        <v>4091</v>
      </c>
      <c r="C183" s="882" t="s">
        <v>2763</v>
      </c>
      <c r="D183" s="768">
        <v>4</v>
      </c>
      <c r="E183" s="882">
        <v>6</v>
      </c>
      <c r="F183" s="875"/>
      <c r="G183" s="768">
        <f t="shared" si="50"/>
        <v>0</v>
      </c>
      <c r="H183" s="771">
        <v>1440</v>
      </c>
      <c r="I183" s="771">
        <f t="shared" si="51"/>
        <v>0</v>
      </c>
      <c r="J183" s="769" t="str">
        <f>IF(ISBLANK(Skills!X$207),"N","Y")</f>
        <v>N</v>
      </c>
      <c r="K183" s="852">
        <v>11</v>
      </c>
      <c r="L183" s="629">
        <v>10</v>
      </c>
      <c r="M183" s="629">
        <v>8</v>
      </c>
      <c r="N183" s="629">
        <v>10</v>
      </c>
      <c r="O183" s="769">
        <v>8</v>
      </c>
      <c r="P183" s="852">
        <v>0</v>
      </c>
      <c r="Q183" s="629">
        <v>0</v>
      </c>
      <c r="R183" s="629">
        <v>0</v>
      </c>
      <c r="AL183" s="609"/>
      <c r="AM183" s="609"/>
      <c r="AN183" s="609"/>
      <c r="AO183" s="609"/>
      <c r="AP183" s="609"/>
      <c r="AQ183" s="609"/>
      <c r="AR183" s="609"/>
      <c r="AS183" s="609"/>
      <c r="AT183" s="609"/>
      <c r="AU183" s="609"/>
      <c r="AV183" s="609"/>
      <c r="AW183" s="609"/>
      <c r="AX183" s="609"/>
      <c r="DJ183" s="602"/>
      <c r="DK183" s="602"/>
    </row>
    <row r="184" spans="1:115" ht="11.1" customHeight="1" outlineLevel="3">
      <c r="A184" s="602">
        <v>172</v>
      </c>
      <c r="B184" s="780" t="s">
        <v>2775</v>
      </c>
      <c r="C184" s="882" t="s">
        <v>4620</v>
      </c>
      <c r="D184" s="768">
        <v>7</v>
      </c>
      <c r="E184" s="882">
        <v>8</v>
      </c>
      <c r="F184" s="875"/>
      <c r="G184" s="768">
        <f t="shared" si="50"/>
        <v>0</v>
      </c>
      <c r="H184" s="771">
        <v>2400</v>
      </c>
      <c r="I184" s="771">
        <f t="shared" si="51"/>
        <v>0</v>
      </c>
      <c r="J184" s="769" t="str">
        <f>IF(ISBLANK(Skills!X$207),"N","Y")</f>
        <v>N</v>
      </c>
      <c r="K184" s="852">
        <v>15</v>
      </c>
      <c r="L184" s="629">
        <v>15</v>
      </c>
      <c r="M184" s="629">
        <v>13</v>
      </c>
      <c r="N184" s="629">
        <v>15</v>
      </c>
      <c r="O184" s="769">
        <v>9</v>
      </c>
      <c r="P184" s="852">
        <v>0</v>
      </c>
      <c r="Q184" s="629">
        <v>0</v>
      </c>
      <c r="R184" s="629">
        <v>0</v>
      </c>
      <c r="AL184" s="609"/>
      <c r="AM184" s="609"/>
      <c r="AN184" s="609"/>
      <c r="AO184" s="609"/>
      <c r="AP184" s="609"/>
      <c r="AQ184" s="609"/>
      <c r="AR184" s="609"/>
      <c r="AS184" s="609"/>
      <c r="AT184" s="609"/>
      <c r="AU184" s="609"/>
      <c r="AV184" s="609"/>
      <c r="AW184" s="609"/>
      <c r="AX184" s="609"/>
      <c r="DJ184" s="602"/>
      <c r="DK184" s="602"/>
    </row>
    <row r="185" spans="1:115" ht="11.1" customHeight="1" outlineLevel="3">
      <c r="A185" s="602">
        <v>173</v>
      </c>
      <c r="B185" s="780" t="s">
        <v>2776</v>
      </c>
      <c r="C185" s="882" t="s">
        <v>4620</v>
      </c>
      <c r="D185" s="768">
        <v>3.5</v>
      </c>
      <c r="E185" s="882">
        <v>9</v>
      </c>
      <c r="F185" s="875"/>
      <c r="G185" s="768">
        <f t="shared" si="50"/>
        <v>0</v>
      </c>
      <c r="H185" s="771">
        <v>2880</v>
      </c>
      <c r="I185" s="771">
        <f t="shared" si="51"/>
        <v>0</v>
      </c>
      <c r="J185" s="769" t="str">
        <f>IF(ISBLANK(Skills!X$207),"N","Y")</f>
        <v>N</v>
      </c>
      <c r="K185" s="852">
        <v>18</v>
      </c>
      <c r="L185" s="629">
        <v>17</v>
      </c>
      <c r="M185" s="629">
        <v>15</v>
      </c>
      <c r="N185" s="629">
        <v>15</v>
      </c>
      <c r="O185" s="769">
        <v>9</v>
      </c>
      <c r="P185" s="852">
        <v>1</v>
      </c>
      <c r="Q185" s="629">
        <v>0</v>
      </c>
      <c r="R185" s="629">
        <v>0</v>
      </c>
      <c r="AL185" s="609"/>
      <c r="AM185" s="609"/>
      <c r="AN185" s="609"/>
      <c r="AO185" s="609"/>
      <c r="AP185" s="609"/>
      <c r="AQ185" s="609"/>
      <c r="AR185" s="609"/>
      <c r="AS185" s="609"/>
      <c r="AT185" s="609"/>
      <c r="AU185" s="609"/>
      <c r="AV185" s="609"/>
      <c r="AW185" s="609"/>
      <c r="AX185" s="609"/>
      <c r="DJ185" s="602"/>
      <c r="DK185" s="602"/>
    </row>
    <row r="186" spans="1:115" ht="11.1" customHeight="1" outlineLevel="3">
      <c r="A186" s="602">
        <v>174</v>
      </c>
      <c r="B186" s="780" t="s">
        <v>952</v>
      </c>
      <c r="C186" s="882" t="s">
        <v>4620</v>
      </c>
      <c r="D186" s="768">
        <v>5.5</v>
      </c>
      <c r="E186" s="882">
        <v>10</v>
      </c>
      <c r="F186" s="875"/>
      <c r="G186" s="768">
        <f t="shared" si="50"/>
        <v>0</v>
      </c>
      <c r="H186" s="771">
        <v>3360</v>
      </c>
      <c r="I186" s="771">
        <f t="shared" si="51"/>
        <v>0</v>
      </c>
      <c r="J186" s="769" t="str">
        <f>IF(ISBLANK(Skills!X$207),"N","Y")</f>
        <v>N</v>
      </c>
      <c r="K186" s="852">
        <v>18</v>
      </c>
      <c r="L186" s="629">
        <v>17</v>
      </c>
      <c r="M186" s="629">
        <v>15</v>
      </c>
      <c r="N186" s="629">
        <v>15</v>
      </c>
      <c r="O186" s="769">
        <v>9</v>
      </c>
      <c r="P186" s="852">
        <v>1</v>
      </c>
      <c r="Q186" s="629">
        <v>0</v>
      </c>
      <c r="R186" s="629">
        <v>0</v>
      </c>
      <c r="AL186" s="609"/>
      <c r="AM186" s="609"/>
      <c r="AN186" s="609"/>
      <c r="AO186" s="609"/>
      <c r="AP186" s="609"/>
      <c r="AQ186" s="609"/>
      <c r="AR186" s="609"/>
      <c r="AS186" s="609"/>
      <c r="AT186" s="609"/>
      <c r="AU186" s="609"/>
      <c r="AV186" s="609"/>
      <c r="AW186" s="609"/>
      <c r="AX186" s="609"/>
      <c r="DJ186" s="602"/>
      <c r="DK186" s="602"/>
    </row>
    <row r="187" spans="1:115" ht="11.1" customHeight="1" outlineLevel="3">
      <c r="A187" s="602">
        <v>175</v>
      </c>
      <c r="B187" s="780" t="s">
        <v>4088</v>
      </c>
      <c r="C187" s="882" t="s">
        <v>4620</v>
      </c>
      <c r="D187" s="768">
        <v>5.5</v>
      </c>
      <c r="E187" s="882">
        <v>9</v>
      </c>
      <c r="F187" s="875"/>
      <c r="G187" s="768">
        <f t="shared" si="50"/>
        <v>0</v>
      </c>
      <c r="H187" s="771">
        <v>3840</v>
      </c>
      <c r="I187" s="771">
        <f t="shared" si="51"/>
        <v>0</v>
      </c>
      <c r="J187" s="769" t="str">
        <f>IF(ISBLANK(Skills!X$207),"N","Y")</f>
        <v>N</v>
      </c>
      <c r="K187" s="852">
        <v>20</v>
      </c>
      <c r="L187" s="629">
        <v>17</v>
      </c>
      <c r="M187" s="629">
        <v>17</v>
      </c>
      <c r="N187" s="629">
        <v>17</v>
      </c>
      <c r="O187" s="769">
        <v>10</v>
      </c>
      <c r="P187" s="852">
        <v>1</v>
      </c>
      <c r="Q187" s="629">
        <v>0</v>
      </c>
      <c r="R187" s="629">
        <v>0</v>
      </c>
      <c r="AL187" s="609"/>
      <c r="AM187" s="609"/>
      <c r="AN187" s="609"/>
      <c r="AO187" s="609"/>
      <c r="AP187" s="609"/>
      <c r="AQ187" s="609"/>
      <c r="AR187" s="609"/>
      <c r="AS187" s="609"/>
      <c r="AT187" s="609"/>
      <c r="AU187" s="609"/>
      <c r="AV187" s="609"/>
      <c r="AW187" s="609"/>
      <c r="AX187" s="609"/>
      <c r="DJ187" s="602"/>
      <c r="DK187" s="602"/>
    </row>
    <row r="188" spans="1:115" ht="11.1" customHeight="1" outlineLevel="3">
      <c r="A188" s="602">
        <v>176</v>
      </c>
      <c r="B188" s="780" t="s">
        <v>910</v>
      </c>
      <c r="C188" s="882" t="s">
        <v>4620</v>
      </c>
      <c r="D188" s="768">
        <v>16</v>
      </c>
      <c r="E188" s="882">
        <v>16</v>
      </c>
      <c r="F188" s="875"/>
      <c r="G188" s="768">
        <f t="shared" si="50"/>
        <v>0</v>
      </c>
      <c r="H188" s="771">
        <v>4320</v>
      </c>
      <c r="I188" s="771">
        <f t="shared" si="51"/>
        <v>0</v>
      </c>
      <c r="J188" s="769" t="str">
        <f>IF(ISBLANK(Skills!X$207),"N","Y")</f>
        <v>N</v>
      </c>
      <c r="K188" s="852">
        <v>20</v>
      </c>
      <c r="L188" s="629">
        <v>17</v>
      </c>
      <c r="M188" s="629">
        <v>17</v>
      </c>
      <c r="N188" s="629">
        <v>17</v>
      </c>
      <c r="O188" s="769">
        <v>10</v>
      </c>
      <c r="P188" s="852">
        <v>2</v>
      </c>
      <c r="Q188" s="629">
        <v>0</v>
      </c>
      <c r="R188" s="629">
        <v>0</v>
      </c>
      <c r="AL188" s="609"/>
      <c r="AM188" s="609"/>
      <c r="AN188" s="609"/>
      <c r="AO188" s="609"/>
      <c r="AP188" s="609"/>
      <c r="AQ188" s="609"/>
      <c r="AR188" s="609"/>
      <c r="AS188" s="609"/>
      <c r="AT188" s="609"/>
      <c r="AU188" s="609"/>
      <c r="AV188" s="609"/>
      <c r="AW188" s="609"/>
      <c r="AX188" s="609"/>
      <c r="DJ188" s="602"/>
      <c r="DK188" s="602"/>
    </row>
    <row r="189" spans="1:115" ht="11.1" customHeight="1" outlineLevel="3">
      <c r="A189" s="602">
        <v>177</v>
      </c>
      <c r="B189" s="780" t="s">
        <v>4087</v>
      </c>
      <c r="C189" s="882" t="s">
        <v>4620</v>
      </c>
      <c r="D189" s="768">
        <v>11.5</v>
      </c>
      <c r="E189" s="882">
        <v>12</v>
      </c>
      <c r="F189" s="875"/>
      <c r="G189" s="768">
        <f t="shared" si="50"/>
        <v>0</v>
      </c>
      <c r="H189" s="771">
        <v>4800</v>
      </c>
      <c r="I189" s="771">
        <f t="shared" si="51"/>
        <v>0</v>
      </c>
      <c r="J189" s="769" t="str">
        <f>IF(ISBLANK(Skills!X$207),"N","Y")</f>
        <v>N</v>
      </c>
      <c r="K189" s="852">
        <v>25</v>
      </c>
      <c r="L189" s="629">
        <v>19</v>
      </c>
      <c r="M189" s="629">
        <v>21</v>
      </c>
      <c r="N189" s="629">
        <v>19</v>
      </c>
      <c r="O189" s="769">
        <v>10</v>
      </c>
      <c r="P189" s="852">
        <v>2</v>
      </c>
      <c r="Q189" s="629">
        <v>0</v>
      </c>
      <c r="R189" s="629">
        <v>0</v>
      </c>
      <c r="AL189" s="609"/>
      <c r="AM189" s="609"/>
      <c r="AN189" s="609"/>
      <c r="AO189" s="609"/>
      <c r="AP189" s="609"/>
      <c r="AQ189" s="609"/>
      <c r="AR189" s="609"/>
      <c r="AS189" s="609"/>
      <c r="AT189" s="609"/>
      <c r="AU189" s="609"/>
      <c r="AV189" s="609"/>
      <c r="AW189" s="609"/>
      <c r="AX189" s="609"/>
      <c r="DJ189" s="602"/>
      <c r="DK189" s="602"/>
    </row>
    <row r="190" spans="1:115" ht="11.1" customHeight="1" outlineLevel="2">
      <c r="A190" s="602">
        <v>178</v>
      </c>
      <c r="B190" s="602"/>
      <c r="C190" s="602"/>
      <c r="D190" s="602"/>
      <c r="G190" s="602"/>
      <c r="H190" s="768"/>
      <c r="I190" s="602"/>
      <c r="L190" s="602"/>
      <c r="N190" s="608"/>
      <c r="S190" s="608"/>
      <c r="AS190" s="609"/>
      <c r="AT190" s="609"/>
      <c r="AU190" s="609"/>
      <c r="AV190" s="609"/>
      <c r="AW190" s="609"/>
      <c r="AX190" s="609"/>
      <c r="AY190" s="609"/>
      <c r="AZ190" s="609"/>
      <c r="BA190" s="609"/>
      <c r="BB190" s="609"/>
      <c r="BC190" s="609"/>
      <c r="BD190" s="609"/>
      <c r="BE190" s="609"/>
      <c r="BF190" s="609"/>
      <c r="BG190" s="609"/>
      <c r="BH190" s="609"/>
    </row>
    <row r="191" spans="1:115" ht="11.1" customHeight="1" outlineLevel="2">
      <c r="A191" s="602">
        <v>179</v>
      </c>
      <c r="B191" s="779" t="s">
        <v>2625</v>
      </c>
      <c r="C191" s="879" t="s">
        <v>2743</v>
      </c>
      <c r="D191" s="754" t="s">
        <v>1737</v>
      </c>
      <c r="E191" s="706" t="s">
        <v>5544</v>
      </c>
      <c r="F191" s="756" t="s">
        <v>5043</v>
      </c>
      <c r="G191" s="757" t="s">
        <v>3854</v>
      </c>
      <c r="H191" s="757" t="s">
        <v>2742</v>
      </c>
      <c r="I191" s="757" t="s">
        <v>3854</v>
      </c>
      <c r="J191" s="758" t="s">
        <v>1279</v>
      </c>
      <c r="K191" s="2667" t="s">
        <v>2002</v>
      </c>
      <c r="L191" s="1283"/>
      <c r="M191" s="1283"/>
      <c r="N191" s="1283"/>
      <c r="O191" s="1284"/>
      <c r="P191" s="630" t="s">
        <v>951</v>
      </c>
      <c r="Q191" s="1278" t="s">
        <v>3963</v>
      </c>
      <c r="R191" s="1247"/>
      <c r="U191" s="602"/>
      <c r="AA191" s="602"/>
      <c r="AB191" s="608"/>
      <c r="AC191" s="608"/>
      <c r="AD191" s="608"/>
      <c r="AL191" s="609"/>
      <c r="AM191" s="609"/>
      <c r="AN191" s="609"/>
      <c r="AO191" s="609"/>
      <c r="AP191" s="609"/>
      <c r="AQ191" s="609"/>
      <c r="AR191" s="609"/>
      <c r="AS191" s="609"/>
      <c r="AT191" s="609"/>
      <c r="AU191" s="609"/>
      <c r="AV191" s="609"/>
      <c r="AW191" s="609"/>
      <c r="AX191" s="609"/>
      <c r="DJ191" s="602"/>
      <c r="DK191" s="602"/>
    </row>
    <row r="192" spans="1:115" ht="11.1" customHeight="1" outlineLevel="2">
      <c r="A192" s="602">
        <v>180</v>
      </c>
      <c r="B192" s="785" t="s">
        <v>386</v>
      </c>
      <c r="C192" s="755" t="s">
        <v>941</v>
      </c>
      <c r="D192" s="880" t="s">
        <v>2743</v>
      </c>
      <c r="E192" s="683" t="s">
        <v>4270</v>
      </c>
      <c r="F192" s="762" t="s">
        <v>4326</v>
      </c>
      <c r="G192" s="760" t="s">
        <v>2743</v>
      </c>
      <c r="H192" s="760" t="s">
        <v>5217</v>
      </c>
      <c r="I192" s="760" t="s">
        <v>4327</v>
      </c>
      <c r="J192" s="761" t="s">
        <v>1280</v>
      </c>
      <c r="K192" s="630" t="s">
        <v>5067</v>
      </c>
      <c r="L192" s="628" t="s">
        <v>2003</v>
      </c>
      <c r="M192" s="628" t="s">
        <v>2004</v>
      </c>
      <c r="N192" s="628" t="s">
        <v>2001</v>
      </c>
      <c r="O192" s="755" t="s">
        <v>2005</v>
      </c>
      <c r="P192" s="630" t="s">
        <v>4719</v>
      </c>
      <c r="Q192" s="628" t="s">
        <v>4719</v>
      </c>
      <c r="R192" s="628" t="s">
        <v>3142</v>
      </c>
      <c r="U192" s="602"/>
      <c r="AB192" s="608"/>
      <c r="AC192" s="608"/>
      <c r="AD192" s="608"/>
      <c r="AK192" s="609"/>
      <c r="AL192" s="609"/>
      <c r="AM192" s="609"/>
      <c r="AN192" s="609"/>
      <c r="AO192" s="609"/>
      <c r="AP192" s="609"/>
      <c r="AQ192" s="609"/>
      <c r="AR192" s="609"/>
      <c r="AS192" s="609"/>
      <c r="AT192" s="609"/>
      <c r="AU192" s="609"/>
      <c r="AV192" s="609"/>
      <c r="AW192" s="609"/>
      <c r="DI192" s="602"/>
      <c r="DJ192" s="602"/>
      <c r="DK192" s="602"/>
    </row>
    <row r="193" spans="1:115" ht="11.1" customHeight="1" outlineLevel="3">
      <c r="A193" s="602">
        <v>181</v>
      </c>
      <c r="B193" s="780" t="s">
        <v>2009</v>
      </c>
      <c r="C193" s="881" t="s">
        <v>2008</v>
      </c>
      <c r="D193" s="768">
        <v>0</v>
      </c>
      <c r="E193" s="881" t="s">
        <v>2008</v>
      </c>
      <c r="F193" s="875"/>
      <c r="G193" s="768">
        <f t="shared" ref="G193:G199" si="52">F193*D193</f>
        <v>0</v>
      </c>
      <c r="H193" s="768">
        <v>0</v>
      </c>
      <c r="I193" s="768">
        <f t="shared" ref="I193:I199" si="53">H193*F193</f>
        <v>0</v>
      </c>
      <c r="J193" s="881" t="s">
        <v>2008</v>
      </c>
      <c r="K193" s="852">
        <v>0</v>
      </c>
      <c r="L193" s="629">
        <v>0</v>
      </c>
      <c r="M193" s="629">
        <v>0</v>
      </c>
      <c r="N193" s="629">
        <v>0</v>
      </c>
      <c r="O193" s="769">
        <v>0</v>
      </c>
      <c r="P193" s="852">
        <v>0</v>
      </c>
      <c r="Q193" s="629">
        <v>0</v>
      </c>
      <c r="R193" s="629">
        <v>3</v>
      </c>
      <c r="U193" s="602"/>
      <c r="AB193" s="608"/>
      <c r="AC193" s="608"/>
      <c r="AD193" s="608"/>
      <c r="AK193" s="609"/>
      <c r="AL193" s="609"/>
      <c r="AM193" s="609"/>
      <c r="AN193" s="609"/>
      <c r="AO193" s="609"/>
      <c r="AP193" s="609"/>
      <c r="AQ193" s="609"/>
      <c r="AR193" s="609"/>
      <c r="AS193" s="609"/>
      <c r="AT193" s="609"/>
      <c r="AU193" s="609"/>
      <c r="AV193" s="609"/>
      <c r="AW193" s="609"/>
      <c r="DI193" s="602"/>
      <c r="DJ193" s="602"/>
      <c r="DK193" s="602"/>
    </row>
    <row r="194" spans="1:115" ht="11.1" customHeight="1" outlineLevel="3">
      <c r="A194" s="602">
        <v>182</v>
      </c>
      <c r="B194" s="780" t="s">
        <v>2010</v>
      </c>
      <c r="C194" s="881" t="s">
        <v>2008</v>
      </c>
      <c r="D194" s="768">
        <v>0</v>
      </c>
      <c r="E194" s="881" t="s">
        <v>2008</v>
      </c>
      <c r="F194" s="875"/>
      <c r="G194" s="768">
        <f t="shared" si="52"/>
        <v>0</v>
      </c>
      <c r="H194" s="768">
        <v>0</v>
      </c>
      <c r="I194" s="768">
        <f t="shared" si="53"/>
        <v>0</v>
      </c>
      <c r="J194" s="881" t="s">
        <v>2008</v>
      </c>
      <c r="K194" s="852">
        <v>1</v>
      </c>
      <c r="L194" s="629">
        <v>0</v>
      </c>
      <c r="M194" s="629">
        <v>0</v>
      </c>
      <c r="N194" s="629">
        <v>0</v>
      </c>
      <c r="O194" s="769">
        <v>0</v>
      </c>
      <c r="P194" s="852">
        <v>0</v>
      </c>
      <c r="Q194" s="629">
        <v>0</v>
      </c>
      <c r="R194" s="629">
        <v>3</v>
      </c>
      <c r="U194" s="602"/>
      <c r="AB194" s="608"/>
      <c r="AC194" s="608"/>
      <c r="AD194" s="608"/>
      <c r="AK194" s="609"/>
      <c r="AL194" s="609"/>
      <c r="AM194" s="609"/>
      <c r="AN194" s="609"/>
      <c r="AO194" s="609"/>
      <c r="AP194" s="609"/>
      <c r="AQ194" s="609"/>
      <c r="AR194" s="609"/>
      <c r="AS194" s="609"/>
      <c r="AT194" s="609"/>
      <c r="AU194" s="609"/>
      <c r="AV194" s="609"/>
      <c r="AW194" s="609"/>
      <c r="DI194" s="602"/>
      <c r="DJ194" s="602"/>
      <c r="DK194" s="602"/>
    </row>
    <row r="195" spans="1:115" ht="11.1" customHeight="1" outlineLevel="3">
      <c r="A195" s="602">
        <v>183</v>
      </c>
      <c r="B195" s="780" t="s">
        <v>2011</v>
      </c>
      <c r="C195" s="881" t="s">
        <v>2008</v>
      </c>
      <c r="D195" s="768">
        <v>0</v>
      </c>
      <c r="E195" s="881" t="s">
        <v>2008</v>
      </c>
      <c r="F195" s="875"/>
      <c r="G195" s="768">
        <f t="shared" si="52"/>
        <v>0</v>
      </c>
      <c r="H195" s="768">
        <v>0</v>
      </c>
      <c r="I195" s="768">
        <f t="shared" si="53"/>
        <v>0</v>
      </c>
      <c r="J195" s="881" t="s">
        <v>2008</v>
      </c>
      <c r="K195" s="852">
        <v>2</v>
      </c>
      <c r="L195" s="629">
        <v>1</v>
      </c>
      <c r="M195" s="629">
        <v>2</v>
      </c>
      <c r="N195" s="629">
        <v>2</v>
      </c>
      <c r="O195" s="769">
        <v>2</v>
      </c>
      <c r="P195" s="852">
        <v>0</v>
      </c>
      <c r="Q195" s="629">
        <v>0</v>
      </c>
      <c r="R195" s="629">
        <v>3</v>
      </c>
      <c r="U195" s="602"/>
      <c r="AB195" s="608"/>
      <c r="AC195" s="608"/>
      <c r="AD195" s="608"/>
      <c r="AK195" s="609"/>
      <c r="AL195" s="609"/>
      <c r="AM195" s="609"/>
      <c r="AN195" s="609"/>
      <c r="AO195" s="609"/>
      <c r="AP195" s="609"/>
      <c r="AQ195" s="609"/>
      <c r="AR195" s="609"/>
      <c r="AS195" s="609"/>
      <c r="AT195" s="609"/>
      <c r="AU195" s="609"/>
      <c r="AV195" s="609"/>
      <c r="AW195" s="609"/>
      <c r="DI195" s="602"/>
      <c r="DJ195" s="602"/>
      <c r="DK195" s="602"/>
    </row>
    <row r="196" spans="1:115" ht="11.1" customHeight="1" outlineLevel="3">
      <c r="A196" s="602">
        <v>184</v>
      </c>
      <c r="B196" s="780" t="s">
        <v>2626</v>
      </c>
      <c r="C196" s="882" t="s">
        <v>1563</v>
      </c>
      <c r="D196" s="884">
        <f>5+IF('Main Creation Page'!$O$35&lt;100,-2*1,IF('Main Creation Page'!$O$35&lt;151,-1,IF('Main Creation Page'!$O$35&gt;174,((('Main Creation Page'!$O$35-174)/25)*1),0)))</f>
        <v>5.76</v>
      </c>
      <c r="E196" s="882">
        <v>3</v>
      </c>
      <c r="F196" s="875"/>
      <c r="G196" s="768">
        <f t="shared" si="52"/>
        <v>0</v>
      </c>
      <c r="H196" s="768">
        <v>2</v>
      </c>
      <c r="I196" s="768">
        <f t="shared" si="53"/>
        <v>0</v>
      </c>
      <c r="J196" s="769" t="str">
        <f>IF(ISBLANK(Skills!X$209),"N","Y")</f>
        <v>N</v>
      </c>
      <c r="K196" s="852">
        <v>4</v>
      </c>
      <c r="L196" s="629">
        <v>5</v>
      </c>
      <c r="M196" s="629">
        <v>3</v>
      </c>
      <c r="N196" s="629">
        <v>4</v>
      </c>
      <c r="O196" s="769">
        <v>4</v>
      </c>
      <c r="P196" s="852">
        <v>0</v>
      </c>
      <c r="Q196" s="629">
        <v>0</v>
      </c>
      <c r="R196" s="629">
        <v>0</v>
      </c>
      <c r="U196" s="602"/>
      <c r="AB196" s="608"/>
      <c r="AC196" s="608"/>
      <c r="AD196" s="608"/>
      <c r="AK196" s="609"/>
      <c r="AL196" s="609"/>
      <c r="AM196" s="609"/>
      <c r="AN196" s="609"/>
      <c r="AO196" s="609"/>
      <c r="AP196" s="609"/>
      <c r="AQ196" s="609"/>
      <c r="AR196" s="609"/>
      <c r="AS196" s="609"/>
      <c r="AT196" s="609"/>
      <c r="AU196" s="609"/>
      <c r="AV196" s="609"/>
      <c r="AW196" s="609"/>
      <c r="DI196" s="602"/>
      <c r="DJ196" s="602"/>
      <c r="DK196" s="602"/>
    </row>
    <row r="197" spans="1:115" ht="11.1" customHeight="1" outlineLevel="3">
      <c r="A197" s="602">
        <v>185</v>
      </c>
      <c r="B197" s="780" t="s">
        <v>1960</v>
      </c>
      <c r="C197" s="882" t="s">
        <v>1563</v>
      </c>
      <c r="D197" s="884">
        <f>3.5+IF('Main Creation Page'!$O$35&lt;100,-2*1,IF('Main Creation Page'!$O$35&lt;151,-1,IF('Main Creation Page'!$O$35&gt;174,((('Main Creation Page'!$O$35-174)/25)*1),0)))</f>
        <v>4.26</v>
      </c>
      <c r="E197" s="882">
        <v>2</v>
      </c>
      <c r="F197" s="875"/>
      <c r="G197" s="768">
        <f t="shared" si="52"/>
        <v>0</v>
      </c>
      <c r="H197" s="768">
        <v>3</v>
      </c>
      <c r="I197" s="768">
        <f t="shared" si="53"/>
        <v>0</v>
      </c>
      <c r="J197" s="769" t="str">
        <f>IF(ISBLANK(Skills!X$209),"N","Y")</f>
        <v>N</v>
      </c>
      <c r="K197" s="852">
        <v>6</v>
      </c>
      <c r="L197" s="629">
        <v>5</v>
      </c>
      <c r="M197" s="629">
        <v>4</v>
      </c>
      <c r="N197" s="629">
        <v>5</v>
      </c>
      <c r="O197" s="769">
        <v>5</v>
      </c>
      <c r="P197" s="852">
        <v>0</v>
      </c>
      <c r="Q197" s="629">
        <v>0</v>
      </c>
      <c r="R197" s="629">
        <v>0</v>
      </c>
      <c r="U197" s="602"/>
      <c r="AB197" s="608"/>
      <c r="AC197" s="608"/>
      <c r="AD197" s="608"/>
      <c r="AK197" s="609"/>
      <c r="AL197" s="609"/>
      <c r="AM197" s="609"/>
      <c r="AN197" s="609"/>
      <c r="AO197" s="609"/>
      <c r="AP197" s="609"/>
      <c r="AQ197" s="609"/>
      <c r="AR197" s="609"/>
      <c r="AS197" s="609"/>
      <c r="AT197" s="609"/>
      <c r="AU197" s="609"/>
      <c r="AV197" s="609"/>
      <c r="AW197" s="609"/>
      <c r="DI197" s="602"/>
      <c r="DJ197" s="602"/>
      <c r="DK197" s="602"/>
    </row>
    <row r="198" spans="1:115" ht="11.1" customHeight="1" outlineLevel="3">
      <c r="A198" s="602">
        <v>186</v>
      </c>
      <c r="B198" s="780" t="s">
        <v>3145</v>
      </c>
      <c r="C198" s="882" t="s">
        <v>1563</v>
      </c>
      <c r="D198" s="884">
        <f>8.5+IF('Main Creation Page'!$O$35&lt;100,-2*1.5,IF('Main Creation Page'!$O$35&lt;151,-1.5,IF('Main Creation Page'!$O$35&gt;174,((('Main Creation Page'!$O$35-174)/25)*1.5),0)))</f>
        <v>9.64</v>
      </c>
      <c r="E198" s="882">
        <v>3</v>
      </c>
      <c r="F198" s="875"/>
      <c r="G198" s="768">
        <f t="shared" si="52"/>
        <v>0</v>
      </c>
      <c r="H198" s="768">
        <v>4</v>
      </c>
      <c r="I198" s="768">
        <f t="shared" si="53"/>
        <v>0</v>
      </c>
      <c r="J198" s="769" t="str">
        <f>IF(ISBLANK(Skills!X$209),"N","Y")</f>
        <v>N</v>
      </c>
      <c r="K198" s="852">
        <v>2</v>
      </c>
      <c r="L198" s="629">
        <v>3</v>
      </c>
      <c r="M198" s="629">
        <v>1</v>
      </c>
      <c r="N198" s="629">
        <v>2</v>
      </c>
      <c r="O198" s="769">
        <v>3</v>
      </c>
      <c r="P198" s="852">
        <v>0</v>
      </c>
      <c r="Q198" s="629">
        <v>0</v>
      </c>
      <c r="R198" s="629">
        <v>0</v>
      </c>
      <c r="U198" s="602"/>
      <c r="AB198" s="608"/>
      <c r="AC198" s="608"/>
      <c r="AD198" s="608"/>
      <c r="AK198" s="609"/>
      <c r="AL198" s="609"/>
      <c r="AM198" s="609"/>
      <c r="AN198" s="609"/>
      <c r="AO198" s="609"/>
      <c r="AP198" s="609"/>
      <c r="AQ198" s="609"/>
      <c r="AR198" s="609"/>
      <c r="AS198" s="609"/>
      <c r="AT198" s="609"/>
      <c r="AU198" s="609"/>
      <c r="AV198" s="609"/>
      <c r="AW198" s="609"/>
      <c r="DI198" s="602"/>
      <c r="DJ198" s="602"/>
      <c r="DK198" s="602"/>
    </row>
    <row r="199" spans="1:115" ht="11.1" customHeight="1" outlineLevel="3">
      <c r="A199" s="602">
        <v>187</v>
      </c>
      <c r="B199" s="780" t="s">
        <v>3146</v>
      </c>
      <c r="C199" s="882" t="s">
        <v>1563</v>
      </c>
      <c r="D199" s="884">
        <f>9+IF('Main Creation Page'!$O$35&lt;100,-2*2,IF('Main Creation Page'!$O$35&lt;151,-2,IF('Main Creation Page'!$O$35&gt;174,((('Main Creation Page'!$O$35-174)/25)*2),0)))</f>
        <v>10.52</v>
      </c>
      <c r="E199" s="882">
        <v>7</v>
      </c>
      <c r="F199" s="875">
        <v>1</v>
      </c>
      <c r="G199" s="768">
        <f t="shared" si="52"/>
        <v>10.52</v>
      </c>
      <c r="H199" s="768">
        <v>12</v>
      </c>
      <c r="I199" s="768">
        <f t="shared" si="53"/>
        <v>12</v>
      </c>
      <c r="J199" s="769" t="str">
        <f>IF(ISBLANK(Skills!X$209),"N","Y")</f>
        <v>N</v>
      </c>
      <c r="K199" s="852">
        <v>6</v>
      </c>
      <c r="L199" s="629">
        <v>8</v>
      </c>
      <c r="M199" s="629">
        <v>5</v>
      </c>
      <c r="N199" s="629">
        <v>6</v>
      </c>
      <c r="O199" s="769">
        <v>6</v>
      </c>
      <c r="P199" s="852">
        <v>-1</v>
      </c>
      <c r="Q199" s="629">
        <v>0</v>
      </c>
      <c r="R199" s="629">
        <v>0</v>
      </c>
      <c r="U199" s="602"/>
      <c r="AB199" s="608"/>
      <c r="AC199" s="608"/>
      <c r="AD199" s="608"/>
      <c r="AK199" s="609"/>
      <c r="AL199" s="609"/>
      <c r="AM199" s="609"/>
      <c r="AN199" s="609"/>
      <c r="AO199" s="609"/>
      <c r="AP199" s="609"/>
      <c r="AQ199" s="609"/>
      <c r="AR199" s="609"/>
      <c r="AS199" s="609"/>
      <c r="AT199" s="609"/>
      <c r="AU199" s="609"/>
      <c r="AV199" s="609"/>
      <c r="AW199" s="609"/>
      <c r="DI199" s="602"/>
      <c r="DJ199" s="602"/>
      <c r="DK199" s="602"/>
    </row>
    <row r="200" spans="1:115" ht="11.1" customHeight="1" outlineLevel="2">
      <c r="A200" s="602">
        <v>188</v>
      </c>
      <c r="B200" s="602"/>
      <c r="C200" s="602"/>
      <c r="D200" s="602"/>
      <c r="G200" s="602"/>
      <c r="H200" s="602"/>
      <c r="I200" s="602"/>
      <c r="J200" s="602"/>
      <c r="L200" s="608"/>
      <c r="M200" s="608"/>
      <c r="N200" s="608"/>
      <c r="Q200" s="602"/>
      <c r="U200" s="602"/>
      <c r="AA200" s="602"/>
      <c r="AB200" s="608"/>
      <c r="AC200" s="608"/>
      <c r="AD200" s="608"/>
      <c r="AL200" s="609"/>
      <c r="AM200" s="609"/>
      <c r="AN200" s="609"/>
      <c r="AO200" s="609"/>
      <c r="AP200" s="609"/>
      <c r="AQ200" s="609"/>
      <c r="AR200" s="609"/>
      <c r="AS200" s="609"/>
      <c r="AT200" s="609"/>
      <c r="AU200" s="609"/>
      <c r="AV200" s="609"/>
      <c r="AW200" s="609"/>
      <c r="AX200" s="609"/>
      <c r="DJ200" s="602"/>
      <c r="DK200" s="602"/>
    </row>
    <row r="201" spans="1:115" ht="11.1" customHeight="1" outlineLevel="2">
      <c r="A201" s="602">
        <v>189</v>
      </c>
      <c r="B201" s="779" t="s">
        <v>2625</v>
      </c>
      <c r="C201" s="879" t="s">
        <v>2743</v>
      </c>
      <c r="D201" s="754" t="s">
        <v>1737</v>
      </c>
      <c r="E201" s="706" t="s">
        <v>5544</v>
      </c>
      <c r="F201" s="756" t="s">
        <v>5043</v>
      </c>
      <c r="G201" s="757" t="s">
        <v>3854</v>
      </c>
      <c r="H201" s="757" t="s">
        <v>2742</v>
      </c>
      <c r="I201" s="757" t="s">
        <v>3854</v>
      </c>
      <c r="J201" s="758" t="s">
        <v>1279</v>
      </c>
      <c r="K201" s="2667" t="s">
        <v>2002</v>
      </c>
      <c r="L201" s="1283"/>
      <c r="M201" s="1283"/>
      <c r="N201" s="1283"/>
      <c r="O201" s="1284"/>
      <c r="P201" s="630" t="s">
        <v>951</v>
      </c>
      <c r="Q201" s="1278" t="s">
        <v>3963</v>
      </c>
      <c r="R201" s="1247"/>
      <c r="U201" s="602"/>
      <c r="AA201" s="602"/>
      <c r="AB201" s="608"/>
      <c r="AC201" s="608"/>
      <c r="AD201" s="608"/>
      <c r="AL201" s="609"/>
      <c r="AM201" s="609"/>
      <c r="AN201" s="609"/>
      <c r="AO201" s="609"/>
      <c r="AP201" s="609"/>
      <c r="AQ201" s="609"/>
      <c r="AR201" s="609"/>
      <c r="AS201" s="609"/>
      <c r="AT201" s="609"/>
      <c r="AU201" s="609"/>
      <c r="AV201" s="609"/>
      <c r="AW201" s="609"/>
      <c r="AX201" s="609"/>
      <c r="DJ201" s="602"/>
      <c r="DK201" s="602"/>
    </row>
    <row r="202" spans="1:115" ht="11.1" customHeight="1" outlineLevel="2">
      <c r="A202" s="602">
        <v>190</v>
      </c>
      <c r="B202" s="785" t="s">
        <v>750</v>
      </c>
      <c r="C202" s="755" t="s">
        <v>941</v>
      </c>
      <c r="D202" s="880" t="s">
        <v>2743</v>
      </c>
      <c r="E202" s="683" t="s">
        <v>4270</v>
      </c>
      <c r="F202" s="762" t="s">
        <v>4326</v>
      </c>
      <c r="G202" s="760" t="s">
        <v>2743</v>
      </c>
      <c r="H202" s="760" t="s">
        <v>5217</v>
      </c>
      <c r="I202" s="760" t="s">
        <v>4327</v>
      </c>
      <c r="J202" s="761" t="s">
        <v>1280</v>
      </c>
      <c r="K202" s="630" t="s">
        <v>5067</v>
      </c>
      <c r="L202" s="628" t="s">
        <v>2003</v>
      </c>
      <c r="M202" s="628" t="s">
        <v>2004</v>
      </c>
      <c r="N202" s="628" t="s">
        <v>2001</v>
      </c>
      <c r="O202" s="755" t="s">
        <v>2005</v>
      </c>
      <c r="P202" s="630" t="s">
        <v>4719</v>
      </c>
      <c r="Q202" s="628" t="s">
        <v>4719</v>
      </c>
      <c r="R202" s="628" t="s">
        <v>3142</v>
      </c>
      <c r="U202" s="602"/>
      <c r="AB202" s="608"/>
      <c r="AC202" s="608"/>
      <c r="AD202" s="608"/>
      <c r="AK202" s="609"/>
      <c r="AL202" s="609"/>
      <c r="AM202" s="609"/>
      <c r="AN202" s="609"/>
      <c r="AO202" s="609"/>
      <c r="AP202" s="609"/>
      <c r="AQ202" s="609"/>
      <c r="AR202" s="609"/>
      <c r="AS202" s="609"/>
      <c r="AT202" s="609"/>
      <c r="AU202" s="609"/>
      <c r="AV202" s="609"/>
      <c r="AW202" s="609"/>
      <c r="DI202" s="602"/>
      <c r="DJ202" s="602"/>
      <c r="DK202" s="602"/>
    </row>
    <row r="203" spans="1:115" ht="11.1" customHeight="1" outlineLevel="3">
      <c r="A203" s="602">
        <v>191</v>
      </c>
      <c r="B203" s="780" t="s">
        <v>1961</v>
      </c>
      <c r="C203" s="882" t="s">
        <v>2763</v>
      </c>
      <c r="D203" s="884">
        <f>9+IF('Main Creation Page'!$O$35&lt;100,-2*3,IF('Main Creation Page'!$O$35&lt;151,-3,IF('Main Creation Page'!$O$35&gt;174,((('Main Creation Page'!$O$35-174)/25)*3),0)))</f>
        <v>11.280000000000001</v>
      </c>
      <c r="E203" s="881">
        <v>14</v>
      </c>
      <c r="F203" s="875"/>
      <c r="G203" s="768">
        <f t="shared" ref="G203:G210" si="54">F203*D203</f>
        <v>0</v>
      </c>
      <c r="H203" s="768">
        <v>12</v>
      </c>
      <c r="I203" s="768">
        <f t="shared" ref="I203:I210" si="55">H203*F203</f>
        <v>0</v>
      </c>
      <c r="J203" s="769" t="str">
        <f>IF(ISBLANK(Skills!X$208),"N","Y")</f>
        <v>N</v>
      </c>
      <c r="K203" s="852">
        <v>6</v>
      </c>
      <c r="L203" s="629">
        <v>4</v>
      </c>
      <c r="M203" s="629">
        <v>3</v>
      </c>
      <c r="N203" s="629">
        <v>3</v>
      </c>
      <c r="O203" s="769">
        <v>4</v>
      </c>
      <c r="P203" s="852">
        <v>-2</v>
      </c>
      <c r="Q203" s="629">
        <v>-1</v>
      </c>
      <c r="R203" s="629">
        <v>-3</v>
      </c>
      <c r="U203" s="602"/>
      <c r="AB203" s="608"/>
      <c r="AC203" s="608"/>
      <c r="AD203" s="608"/>
      <c r="AK203" s="609"/>
      <c r="AL203" s="609"/>
      <c r="AM203" s="609"/>
      <c r="AN203" s="609"/>
      <c r="AO203" s="609"/>
      <c r="AP203" s="609"/>
      <c r="AQ203" s="609"/>
      <c r="AR203" s="609"/>
      <c r="AS203" s="609"/>
      <c r="AT203" s="609"/>
      <c r="AU203" s="609"/>
      <c r="AV203" s="609"/>
      <c r="AW203" s="609"/>
      <c r="DI203" s="602"/>
      <c r="DJ203" s="602"/>
      <c r="DK203" s="602"/>
    </row>
    <row r="204" spans="1:115" ht="11.1" customHeight="1" outlineLevel="3">
      <c r="A204" s="602">
        <v>192</v>
      </c>
      <c r="B204" s="780" t="s">
        <v>3148</v>
      </c>
      <c r="C204" s="882" t="s">
        <v>2763</v>
      </c>
      <c r="D204" s="884">
        <f>19+IF('Main Creation Page'!$O$35&lt;100,-2*3,IF('Main Creation Page'!$O$35&lt;151,-3,IF('Main Creation Page'!$O$35&gt;174,((('Main Creation Page'!$O$35-174)/25)*3),0)))</f>
        <v>21.28</v>
      </c>
      <c r="E204" s="881">
        <v>14</v>
      </c>
      <c r="F204" s="875"/>
      <c r="G204" s="768">
        <f t="shared" si="54"/>
        <v>0</v>
      </c>
      <c r="H204" s="768">
        <v>30</v>
      </c>
      <c r="I204" s="768">
        <f t="shared" si="55"/>
        <v>0</v>
      </c>
      <c r="J204" s="769" t="str">
        <f>IF(ISBLANK(Skills!X$208),"N","Y")</f>
        <v>N</v>
      </c>
      <c r="K204" s="852">
        <f>8</f>
        <v>8</v>
      </c>
      <c r="L204" s="629">
        <v>10</v>
      </c>
      <c r="M204" s="629">
        <v>7</v>
      </c>
      <c r="N204" s="629">
        <v>7</v>
      </c>
      <c r="O204" s="769">
        <v>6</v>
      </c>
      <c r="P204" s="852">
        <v>-2</v>
      </c>
      <c r="Q204" s="629">
        <v>-1</v>
      </c>
      <c r="R204" s="629">
        <v>-3</v>
      </c>
      <c r="U204" s="602"/>
      <c r="AB204" s="608"/>
      <c r="AC204" s="608"/>
      <c r="AD204" s="608"/>
      <c r="AK204" s="609"/>
      <c r="AL204" s="609"/>
      <c r="AM204" s="609"/>
      <c r="AN204" s="609"/>
      <c r="AO204" s="609"/>
      <c r="AP204" s="609"/>
      <c r="AQ204" s="609"/>
      <c r="AR204" s="609"/>
      <c r="AS204" s="609"/>
      <c r="AT204" s="609"/>
      <c r="AU204" s="609"/>
      <c r="AV204" s="609"/>
      <c r="AW204" s="609"/>
      <c r="DI204" s="602"/>
      <c r="DJ204" s="602"/>
      <c r="DK204" s="602"/>
    </row>
    <row r="205" spans="1:115" ht="11.1" customHeight="1" outlineLevel="3">
      <c r="A205" s="602">
        <v>193</v>
      </c>
      <c r="B205" s="780" t="s">
        <v>3562</v>
      </c>
      <c r="C205" s="882" t="s">
        <v>2763</v>
      </c>
      <c r="D205" s="884">
        <f>21+IF('Main Creation Page'!$O$35&lt;100,-2*3,IF('Main Creation Page'!$O$35&lt;151,-3,IF('Main Creation Page'!$O$35&gt;174,((('Main Creation Page'!$O$35-174)/25)*3),0)))</f>
        <v>23.28</v>
      </c>
      <c r="E205" s="881">
        <v>14</v>
      </c>
      <c r="F205" s="875"/>
      <c r="G205" s="768">
        <f t="shared" si="54"/>
        <v>0</v>
      </c>
      <c r="H205" s="768">
        <v>20</v>
      </c>
      <c r="I205" s="768">
        <f t="shared" si="55"/>
        <v>0</v>
      </c>
      <c r="J205" s="769" t="str">
        <f>IF(ISBLANK(Skills!X$208),"N","Y")</f>
        <v>N</v>
      </c>
      <c r="K205" s="852">
        <v>10</v>
      </c>
      <c r="L205" s="629">
        <v>8</v>
      </c>
      <c r="M205" s="629">
        <v>7</v>
      </c>
      <c r="N205" s="629">
        <v>8</v>
      </c>
      <c r="O205" s="769">
        <v>7</v>
      </c>
      <c r="P205" s="852">
        <v>-2</v>
      </c>
      <c r="Q205" s="629">
        <v>-1</v>
      </c>
      <c r="R205" s="629">
        <v>-3</v>
      </c>
      <c r="U205" s="602"/>
      <c r="AB205" s="608"/>
      <c r="AC205" s="608"/>
      <c r="AD205" s="608"/>
      <c r="AK205" s="609"/>
      <c r="AL205" s="609"/>
      <c r="AM205" s="609"/>
      <c r="AN205" s="609"/>
      <c r="AO205" s="609"/>
      <c r="AP205" s="609"/>
      <c r="AQ205" s="609"/>
      <c r="AR205" s="609"/>
      <c r="AS205" s="609"/>
      <c r="AT205" s="609"/>
      <c r="AU205" s="609"/>
      <c r="AV205" s="609"/>
      <c r="AW205" s="609"/>
      <c r="DI205" s="602"/>
      <c r="DJ205" s="602"/>
      <c r="DK205" s="602"/>
    </row>
    <row r="206" spans="1:115" ht="11.1" customHeight="1" outlineLevel="3">
      <c r="A206" s="602">
        <v>194</v>
      </c>
      <c r="B206" s="780" t="s">
        <v>3563</v>
      </c>
      <c r="C206" s="882" t="s">
        <v>2763</v>
      </c>
      <c r="D206" s="884">
        <f>13+IF('Main Creation Page'!$O$35&lt;100,-2*4,IF('Main Creation Page'!$O$35&lt;151,-4,IF('Main Creation Page'!$O$35&gt;174,((('Main Creation Page'!$O$35-174)/25)*4),0)))</f>
        <v>16.04</v>
      </c>
      <c r="E206" s="881">
        <v>14</v>
      </c>
      <c r="F206" s="875"/>
      <c r="G206" s="768">
        <f t="shared" si="54"/>
        <v>0</v>
      </c>
      <c r="H206" s="768">
        <v>24</v>
      </c>
      <c r="I206" s="768">
        <f t="shared" si="55"/>
        <v>0</v>
      </c>
      <c r="J206" s="769" t="str">
        <f>IF(ISBLANK(Skills!X$208),"N","Y")</f>
        <v>N</v>
      </c>
      <c r="K206" s="852">
        <v>10</v>
      </c>
      <c r="L206" s="629">
        <v>11</v>
      </c>
      <c r="M206" s="629">
        <v>8</v>
      </c>
      <c r="N206" s="629">
        <v>9</v>
      </c>
      <c r="O206" s="769">
        <v>7</v>
      </c>
      <c r="P206" s="852">
        <v>-2</v>
      </c>
      <c r="Q206" s="629">
        <v>-1</v>
      </c>
      <c r="R206" s="629">
        <v>-3</v>
      </c>
      <c r="U206" s="602"/>
      <c r="AB206" s="608"/>
      <c r="AC206" s="608"/>
      <c r="AD206" s="608"/>
      <c r="AK206" s="609"/>
      <c r="AL206" s="609"/>
      <c r="AM206" s="609"/>
      <c r="AN206" s="609"/>
      <c r="AO206" s="609"/>
      <c r="AP206" s="609"/>
      <c r="AQ206" s="609"/>
      <c r="AR206" s="609"/>
      <c r="AS206" s="609"/>
      <c r="AT206" s="609"/>
      <c r="AU206" s="609"/>
      <c r="AV206" s="609"/>
      <c r="AW206" s="609"/>
      <c r="DI206" s="602"/>
      <c r="DJ206" s="602"/>
      <c r="DK206" s="602"/>
    </row>
    <row r="207" spans="1:115" ht="11.1" customHeight="1" outlineLevel="3">
      <c r="A207" s="602">
        <v>195</v>
      </c>
      <c r="B207" s="780" t="s">
        <v>1975</v>
      </c>
      <c r="C207" s="882" t="s">
        <v>2763</v>
      </c>
      <c r="D207" s="884">
        <f>23+IF('Main Creation Page'!$O$35&lt;100,-2*4,IF('Main Creation Page'!$O$35&lt;151,-4,IF('Main Creation Page'!$O$35&gt;174,((('Main Creation Page'!$O$35-174)/25)*4),0)))</f>
        <v>26.04</v>
      </c>
      <c r="E207" s="881">
        <v>12</v>
      </c>
      <c r="F207" s="875"/>
      <c r="G207" s="768">
        <f t="shared" si="54"/>
        <v>0</v>
      </c>
      <c r="H207" s="768">
        <v>22</v>
      </c>
      <c r="I207" s="768">
        <f t="shared" si="55"/>
        <v>0</v>
      </c>
      <c r="J207" s="769" t="str">
        <f>IF(ISBLANK(Skills!X$208),"N","Y")</f>
        <v>N</v>
      </c>
      <c r="K207" s="852">
        <v>9</v>
      </c>
      <c r="L207" s="629">
        <v>9</v>
      </c>
      <c r="M207" s="629">
        <v>8</v>
      </c>
      <c r="N207" s="629">
        <v>9</v>
      </c>
      <c r="O207" s="769">
        <v>7</v>
      </c>
      <c r="P207" s="852">
        <v>-2</v>
      </c>
      <c r="Q207" s="629">
        <v>-1</v>
      </c>
      <c r="R207" s="629">
        <v>-3</v>
      </c>
      <c r="U207" s="602"/>
      <c r="AB207" s="608"/>
      <c r="AC207" s="608"/>
      <c r="AD207" s="608"/>
      <c r="AK207" s="609"/>
      <c r="AL207" s="609"/>
      <c r="AM207" s="609"/>
      <c r="AN207" s="609"/>
      <c r="AO207" s="609"/>
      <c r="AP207" s="609"/>
      <c r="AQ207" s="609"/>
      <c r="AR207" s="609"/>
      <c r="AS207" s="609"/>
      <c r="AT207" s="609"/>
      <c r="AU207" s="609"/>
      <c r="AV207" s="609"/>
      <c r="AW207" s="609"/>
      <c r="DI207" s="602"/>
      <c r="DJ207" s="602"/>
      <c r="DK207" s="602"/>
    </row>
    <row r="208" spans="1:115" ht="11.1" customHeight="1" outlineLevel="3">
      <c r="A208" s="602">
        <v>196</v>
      </c>
      <c r="B208" s="793" t="s">
        <v>4428</v>
      </c>
      <c r="C208" s="882" t="s">
        <v>2763</v>
      </c>
      <c r="D208" s="884">
        <f>23+IF('Main Creation Page'!$O$35&lt;100,-2*4,IF('Main Creation Page'!$O$35&lt;151,-4,IF('Main Creation Page'!$O$35&gt;174,((('Main Creation Page'!$O$35-174)/25)*4),0)))</f>
        <v>26.04</v>
      </c>
      <c r="E208" s="881">
        <v>14</v>
      </c>
      <c r="F208" s="875"/>
      <c r="G208" s="768">
        <f t="shared" si="54"/>
        <v>0</v>
      </c>
      <c r="H208" s="768">
        <v>27</v>
      </c>
      <c r="I208" s="768">
        <f t="shared" si="55"/>
        <v>0</v>
      </c>
      <c r="J208" s="769" t="str">
        <f>IF(ISBLANK(Skills!X$208),"N","Y")</f>
        <v>N</v>
      </c>
      <c r="K208" s="852">
        <v>8</v>
      </c>
      <c r="L208" s="629">
        <v>4</v>
      </c>
      <c r="M208" s="629">
        <v>6</v>
      </c>
      <c r="N208" s="629">
        <v>8</v>
      </c>
      <c r="O208" s="769">
        <v>7</v>
      </c>
      <c r="P208" s="852">
        <v>-2</v>
      </c>
      <c r="Q208" s="629">
        <v>-1</v>
      </c>
      <c r="R208" s="629">
        <v>-3</v>
      </c>
      <c r="U208" s="602"/>
      <c r="AB208" s="608"/>
      <c r="AC208" s="608"/>
      <c r="AD208" s="608"/>
      <c r="AK208" s="609"/>
      <c r="AL208" s="609"/>
      <c r="AM208" s="609"/>
      <c r="AN208" s="609"/>
      <c r="AO208" s="609"/>
      <c r="AP208" s="609"/>
      <c r="AQ208" s="609"/>
      <c r="AR208" s="609"/>
      <c r="AS208" s="609"/>
      <c r="AT208" s="609"/>
      <c r="AU208" s="609"/>
      <c r="AV208" s="609"/>
      <c r="AW208" s="609"/>
      <c r="DI208" s="602"/>
      <c r="DJ208" s="602"/>
      <c r="DK208" s="602"/>
    </row>
    <row r="209" spans="1:115" ht="11.1" customHeight="1" outlineLevel="3">
      <c r="A209" s="602">
        <v>197</v>
      </c>
      <c r="B209" s="780" t="s">
        <v>4429</v>
      </c>
      <c r="C209" s="882" t="s">
        <v>2763</v>
      </c>
      <c r="D209" s="884">
        <f>24+IF('Main Creation Page'!$O$35&lt;100,-2*4,IF('Main Creation Page'!$O$35&lt;151,-4,IF('Main Creation Page'!$O$35&gt;174,((('Main Creation Page'!$O$35-174)/25)*4),0)))</f>
        <v>27.04</v>
      </c>
      <c r="E209" s="881">
        <v>21</v>
      </c>
      <c r="F209" s="875"/>
      <c r="G209" s="768">
        <f t="shared" si="54"/>
        <v>0</v>
      </c>
      <c r="H209" s="768">
        <v>35</v>
      </c>
      <c r="I209" s="768">
        <f t="shared" si="55"/>
        <v>0</v>
      </c>
      <c r="J209" s="769" t="str">
        <f>IF(ISBLANK(Skills!X$208),"N","Y")</f>
        <v>N</v>
      </c>
      <c r="K209" s="852">
        <v>13</v>
      </c>
      <c r="L209" s="629">
        <v>11</v>
      </c>
      <c r="M209" s="629">
        <v>11</v>
      </c>
      <c r="N209" s="629">
        <v>11</v>
      </c>
      <c r="O209" s="769">
        <v>8</v>
      </c>
      <c r="P209" s="852">
        <v>-2</v>
      </c>
      <c r="Q209" s="629">
        <v>-1</v>
      </c>
      <c r="R209" s="629">
        <v>-3</v>
      </c>
      <c r="U209" s="602"/>
      <c r="AB209" s="608"/>
      <c r="AC209" s="608"/>
      <c r="AD209" s="608"/>
      <c r="AK209" s="609"/>
      <c r="AL209" s="609"/>
      <c r="AM209" s="609"/>
      <c r="AN209" s="609"/>
      <c r="AO209" s="609"/>
      <c r="AP209" s="609"/>
      <c r="AQ209" s="609"/>
      <c r="AR209" s="609"/>
      <c r="AS209" s="609"/>
      <c r="AT209" s="609"/>
      <c r="AU209" s="609"/>
      <c r="AV209" s="609"/>
      <c r="AW209" s="609"/>
      <c r="DI209" s="602"/>
      <c r="DJ209" s="602"/>
      <c r="DK209" s="602"/>
    </row>
    <row r="210" spans="1:115" ht="11.1" customHeight="1" outlineLevel="3">
      <c r="A210" s="602">
        <v>198</v>
      </c>
      <c r="B210" s="780" t="s">
        <v>4430</v>
      </c>
      <c r="C210" s="882" t="s">
        <v>2763</v>
      </c>
      <c r="D210" s="884">
        <f>20+IF('Main Creation Page'!$O$35&lt;100,-2*4,IF('Main Creation Page'!$O$35&lt;151,-4,IF('Main Creation Page'!$O$35&gt;174,((('Main Creation Page'!$O$35-174)/25)*4),0)))</f>
        <v>23.04</v>
      </c>
      <c r="E210" s="881">
        <v>14</v>
      </c>
      <c r="F210" s="875"/>
      <c r="G210" s="768">
        <f t="shared" si="54"/>
        <v>0</v>
      </c>
      <c r="H210" s="768">
        <v>40</v>
      </c>
      <c r="I210" s="768">
        <f t="shared" si="55"/>
        <v>0</v>
      </c>
      <c r="J210" s="769" t="str">
        <f>IF(ISBLANK(Skills!X$208),"N","Y")</f>
        <v>N</v>
      </c>
      <c r="K210" s="852">
        <v>15</v>
      </c>
      <c r="L210" s="629">
        <v>15</v>
      </c>
      <c r="M210" s="629">
        <v>13</v>
      </c>
      <c r="N210" s="629">
        <v>15</v>
      </c>
      <c r="O210" s="769">
        <v>9</v>
      </c>
      <c r="P210" s="852">
        <v>-2</v>
      </c>
      <c r="Q210" s="629">
        <v>-1</v>
      </c>
      <c r="R210" s="629">
        <v>-3</v>
      </c>
      <c r="U210" s="602"/>
      <c r="AB210" s="608"/>
      <c r="AC210" s="608"/>
      <c r="AD210" s="608"/>
      <c r="AK210" s="609"/>
      <c r="AL210" s="609"/>
      <c r="AM210" s="609"/>
      <c r="AN210" s="609"/>
      <c r="AO210" s="609"/>
      <c r="AP210" s="609"/>
      <c r="AQ210" s="609"/>
      <c r="AR210" s="609"/>
      <c r="AS210" s="609"/>
      <c r="AT210" s="609"/>
      <c r="AU210" s="609"/>
      <c r="AV210" s="609"/>
      <c r="AW210" s="609"/>
      <c r="DI210" s="602"/>
      <c r="DJ210" s="602"/>
      <c r="DK210" s="602"/>
    </row>
    <row r="211" spans="1:115" ht="11.1" customHeight="1" outlineLevel="2">
      <c r="A211" s="602">
        <v>199</v>
      </c>
      <c r="B211" s="602"/>
      <c r="C211" s="602"/>
      <c r="D211" s="602"/>
      <c r="G211" s="602"/>
      <c r="H211" s="602"/>
      <c r="I211" s="602"/>
      <c r="J211" s="602"/>
      <c r="L211" s="608"/>
      <c r="M211" s="608"/>
      <c r="N211" s="608"/>
      <c r="Q211" s="602"/>
      <c r="R211" s="608"/>
      <c r="U211" s="602"/>
      <c r="AA211" s="602"/>
      <c r="AB211" s="608"/>
      <c r="AC211" s="608"/>
      <c r="AD211" s="608"/>
      <c r="AL211" s="609"/>
      <c r="AM211" s="609"/>
      <c r="AN211" s="609"/>
      <c r="AO211" s="609"/>
      <c r="AP211" s="609"/>
      <c r="AQ211" s="609"/>
      <c r="AR211" s="609"/>
      <c r="AS211" s="609"/>
      <c r="AT211" s="609"/>
      <c r="AU211" s="609"/>
      <c r="AV211" s="609"/>
      <c r="AW211" s="609"/>
      <c r="AX211" s="609"/>
      <c r="DJ211" s="602"/>
      <c r="DK211" s="602"/>
    </row>
    <row r="212" spans="1:115" ht="11.1" customHeight="1" outlineLevel="2">
      <c r="A212" s="602">
        <v>200</v>
      </c>
      <c r="B212" s="779" t="s">
        <v>2625</v>
      </c>
      <c r="C212" s="879" t="s">
        <v>2743</v>
      </c>
      <c r="D212" s="754" t="s">
        <v>1737</v>
      </c>
      <c r="E212" s="706" t="s">
        <v>5544</v>
      </c>
      <c r="F212" s="756" t="s">
        <v>5043</v>
      </c>
      <c r="G212" s="757" t="s">
        <v>3854</v>
      </c>
      <c r="H212" s="757" t="s">
        <v>2742</v>
      </c>
      <c r="I212" s="757" t="s">
        <v>3854</v>
      </c>
      <c r="J212" s="758" t="s">
        <v>1279</v>
      </c>
      <c r="K212" s="2667" t="s">
        <v>2002</v>
      </c>
      <c r="L212" s="1283"/>
      <c r="M212" s="1283"/>
      <c r="N212" s="1283"/>
      <c r="O212" s="1284"/>
      <c r="P212" s="630" t="s">
        <v>951</v>
      </c>
      <c r="Q212" s="1278" t="s">
        <v>3963</v>
      </c>
      <c r="R212" s="1247"/>
      <c r="U212" s="602"/>
      <c r="AA212" s="602"/>
      <c r="AB212" s="608"/>
      <c r="AC212" s="608"/>
      <c r="AD212" s="608"/>
      <c r="AL212" s="609"/>
      <c r="AM212" s="609"/>
      <c r="AN212" s="609"/>
      <c r="AO212" s="609"/>
      <c r="AP212" s="609"/>
      <c r="AQ212" s="609"/>
      <c r="AR212" s="609"/>
      <c r="AS212" s="609"/>
      <c r="AT212" s="609"/>
      <c r="AU212" s="609"/>
      <c r="AV212" s="609"/>
      <c r="AW212" s="609"/>
      <c r="AX212" s="609"/>
      <c r="DJ212" s="602"/>
      <c r="DK212" s="602"/>
    </row>
    <row r="213" spans="1:115" ht="11.1" customHeight="1" outlineLevel="2">
      <c r="A213" s="602">
        <v>201</v>
      </c>
      <c r="B213" s="785" t="s">
        <v>751</v>
      </c>
      <c r="C213" s="755" t="s">
        <v>941</v>
      </c>
      <c r="D213" s="880" t="s">
        <v>2743</v>
      </c>
      <c r="E213" s="683" t="s">
        <v>4270</v>
      </c>
      <c r="F213" s="762" t="s">
        <v>4326</v>
      </c>
      <c r="G213" s="760" t="s">
        <v>2743</v>
      </c>
      <c r="H213" s="760" t="s">
        <v>5217</v>
      </c>
      <c r="I213" s="760" t="s">
        <v>4327</v>
      </c>
      <c r="J213" s="761" t="s">
        <v>1280</v>
      </c>
      <c r="K213" s="630" t="s">
        <v>5067</v>
      </c>
      <c r="L213" s="628" t="s">
        <v>2003</v>
      </c>
      <c r="M213" s="628" t="s">
        <v>2004</v>
      </c>
      <c r="N213" s="628" t="s">
        <v>2001</v>
      </c>
      <c r="O213" s="755" t="s">
        <v>2005</v>
      </c>
      <c r="P213" s="630" t="s">
        <v>4719</v>
      </c>
      <c r="Q213" s="628" t="s">
        <v>4719</v>
      </c>
      <c r="R213" s="628" t="s">
        <v>3142</v>
      </c>
      <c r="U213" s="602"/>
      <c r="AA213" s="602"/>
      <c r="AB213" s="608"/>
      <c r="AC213" s="608"/>
      <c r="AD213" s="608"/>
      <c r="AL213" s="609"/>
      <c r="AM213" s="609"/>
      <c r="AN213" s="609"/>
      <c r="AO213" s="609"/>
      <c r="AP213" s="609"/>
      <c r="AQ213" s="609"/>
      <c r="AR213" s="609"/>
      <c r="AS213" s="609"/>
      <c r="AT213" s="609"/>
      <c r="AU213" s="609"/>
      <c r="AV213" s="609"/>
      <c r="AW213" s="609"/>
      <c r="AX213" s="609"/>
      <c r="DJ213" s="602"/>
      <c r="DK213" s="602"/>
    </row>
    <row r="214" spans="1:115" ht="11.1" customHeight="1" outlineLevel="3">
      <c r="A214" s="602">
        <v>202</v>
      </c>
      <c r="B214" s="793" t="s">
        <v>4431</v>
      </c>
      <c r="C214" s="882" t="s">
        <v>4620</v>
      </c>
      <c r="D214" s="659">
        <f>40+IF('Main Creation Page'!$O$35&lt;100,-2*5,IF('Main Creation Page'!$O$35&lt;151,-5,IF('Main Creation Page'!$O$35&gt;174,((('Main Creation Page'!$O$35-174)/25)*5),0)))</f>
        <v>43.8</v>
      </c>
      <c r="E214" s="881">
        <f>AVERAGE(E210,E215)</f>
        <v>17.5</v>
      </c>
      <c r="F214" s="875"/>
      <c r="G214" s="768">
        <f>F214*D214</f>
        <v>0</v>
      </c>
      <c r="H214" s="771">
        <v>7000</v>
      </c>
      <c r="I214" s="768">
        <f>H214*F214</f>
        <v>0</v>
      </c>
      <c r="J214" s="769" t="str">
        <f>IF(ISBLANK(Skills!X$207),"N","Y")</f>
        <v>N</v>
      </c>
      <c r="K214" s="852">
        <v>6</v>
      </c>
      <c r="L214" s="629">
        <v>4</v>
      </c>
      <c r="M214" s="629">
        <v>3</v>
      </c>
      <c r="N214" s="629">
        <v>3</v>
      </c>
      <c r="O214" s="769">
        <v>4</v>
      </c>
      <c r="P214" s="852">
        <v>-3</v>
      </c>
      <c r="Q214" s="852">
        <v>-2</v>
      </c>
      <c r="R214" s="629">
        <v>-5</v>
      </c>
      <c r="U214" s="602"/>
      <c r="AA214" s="602"/>
      <c r="AB214" s="608"/>
      <c r="AC214" s="608"/>
      <c r="AD214" s="608"/>
      <c r="AL214" s="609"/>
      <c r="AM214" s="609"/>
      <c r="AN214" s="609"/>
      <c r="AO214" s="609"/>
      <c r="AP214" s="609"/>
      <c r="AQ214" s="609"/>
      <c r="AR214" s="609"/>
      <c r="AS214" s="609"/>
      <c r="AT214" s="609"/>
      <c r="AU214" s="609"/>
      <c r="AV214" s="609"/>
      <c r="AW214" s="609"/>
      <c r="AX214" s="609"/>
      <c r="DJ214" s="602"/>
      <c r="DK214" s="602"/>
    </row>
    <row r="215" spans="1:115" ht="11.1" customHeight="1" outlineLevel="3">
      <c r="A215" s="602">
        <v>203</v>
      </c>
      <c r="B215" s="780" t="s">
        <v>4432</v>
      </c>
      <c r="C215" s="882" t="s">
        <v>4620</v>
      </c>
      <c r="D215" s="659">
        <f>45+IF('Main Creation Page'!$O$35&lt;100,-2*5,IF('Main Creation Page'!$O$35&lt;151,-5,IF('Main Creation Page'!$O$35&gt;174,((('Main Creation Page'!$O$35-174)/25)*5),0)))</f>
        <v>48.8</v>
      </c>
      <c r="E215" s="881">
        <v>21</v>
      </c>
      <c r="F215" s="875"/>
      <c r="G215" s="768">
        <f>F215*D215</f>
        <v>0</v>
      </c>
      <c r="H215" s="771">
        <v>7200</v>
      </c>
      <c r="I215" s="768">
        <f>H215*F215</f>
        <v>0</v>
      </c>
      <c r="J215" s="769" t="str">
        <f>IF(ISBLANK(Skills!X$207),"N","Y")</f>
        <v>N</v>
      </c>
      <c r="K215" s="852">
        <v>10</v>
      </c>
      <c r="L215" s="629">
        <v>8</v>
      </c>
      <c r="M215" s="629">
        <v>7</v>
      </c>
      <c r="N215" s="629">
        <v>8</v>
      </c>
      <c r="O215" s="769">
        <v>7</v>
      </c>
      <c r="P215" s="852">
        <v>-3</v>
      </c>
      <c r="Q215" s="852">
        <v>-2</v>
      </c>
      <c r="R215" s="629">
        <v>-5</v>
      </c>
      <c r="U215" s="602"/>
      <c r="AA215" s="602"/>
      <c r="AB215" s="608"/>
      <c r="AC215" s="608"/>
      <c r="AD215" s="608"/>
      <c r="AL215" s="609"/>
      <c r="AM215" s="609"/>
      <c r="AN215" s="609"/>
      <c r="AO215" s="609"/>
      <c r="AP215" s="609"/>
      <c r="AQ215" s="609"/>
      <c r="AR215" s="609"/>
      <c r="AS215" s="609"/>
      <c r="AT215" s="609"/>
      <c r="AU215" s="609"/>
      <c r="AV215" s="609"/>
      <c r="AW215" s="609"/>
      <c r="AX215" s="609"/>
      <c r="DJ215" s="602"/>
      <c r="DK215" s="602"/>
    </row>
    <row r="216" spans="1:115" ht="11.1" customHeight="1" outlineLevel="3">
      <c r="A216" s="602">
        <v>204</v>
      </c>
      <c r="B216" s="780" t="s">
        <v>4433</v>
      </c>
      <c r="C216" s="882" t="s">
        <v>4620</v>
      </c>
      <c r="D216" s="659">
        <f>49+IF('Main Creation Page'!$O$35&lt;100,-2*5,IF('Main Creation Page'!$O$35&lt;151,-5,IF('Main Creation Page'!$O$35&gt;174,((('Main Creation Page'!$O$35-174)/25)*5),0)))</f>
        <v>52.8</v>
      </c>
      <c r="E216" s="881">
        <v>28</v>
      </c>
      <c r="F216" s="875"/>
      <c r="G216" s="768">
        <f>F216*D216</f>
        <v>0</v>
      </c>
      <c r="H216" s="771">
        <v>7920</v>
      </c>
      <c r="I216" s="768">
        <f>H216*F216</f>
        <v>0</v>
      </c>
      <c r="J216" s="769" t="str">
        <f>IF(ISBLANK(Skills!X$207),"N","Y")</f>
        <v>N</v>
      </c>
      <c r="K216" s="852">
        <v>9</v>
      </c>
      <c r="L216" s="629">
        <v>9</v>
      </c>
      <c r="M216" s="629">
        <v>8</v>
      </c>
      <c r="N216" s="629">
        <v>9</v>
      </c>
      <c r="O216" s="769">
        <v>7</v>
      </c>
      <c r="P216" s="852">
        <v>-3</v>
      </c>
      <c r="Q216" s="852">
        <v>-2</v>
      </c>
      <c r="R216" s="629">
        <v>-5</v>
      </c>
      <c r="U216" s="602"/>
      <c r="AA216" s="602"/>
      <c r="AB216" s="608"/>
      <c r="AC216" s="608"/>
      <c r="AD216" s="608"/>
      <c r="AL216" s="609"/>
      <c r="AM216" s="609"/>
      <c r="AN216" s="609"/>
      <c r="AO216" s="609"/>
      <c r="AP216" s="609"/>
      <c r="AQ216" s="609"/>
      <c r="AR216" s="609"/>
      <c r="AS216" s="609"/>
      <c r="AT216" s="609"/>
      <c r="AU216" s="609"/>
      <c r="AV216" s="609"/>
      <c r="AW216" s="609"/>
      <c r="AX216" s="609"/>
      <c r="DJ216" s="602"/>
      <c r="DK216" s="602"/>
    </row>
    <row r="217" spans="1:115" ht="11.1" customHeight="1" outlineLevel="3">
      <c r="A217" s="602">
        <v>205</v>
      </c>
      <c r="B217" s="793" t="s">
        <v>4434</v>
      </c>
      <c r="C217" s="882" t="s">
        <v>4620</v>
      </c>
      <c r="D217" s="659">
        <f>50+IF('Main Creation Page'!$O$35&lt;100,-2*5,IF('Main Creation Page'!$O$35&lt;151,-5,IF('Main Creation Page'!$O$35&gt;174,((('Main Creation Page'!$O$35-174)/25)*5),0)))</f>
        <v>53.8</v>
      </c>
      <c r="E217" s="881">
        <f>AVERAGE(E214:E216)</f>
        <v>22.166666666666668</v>
      </c>
      <c r="F217" s="875"/>
      <c r="G217" s="768">
        <f>F217*D217</f>
        <v>0</v>
      </c>
      <c r="H217" s="771">
        <v>8000</v>
      </c>
      <c r="I217" s="768">
        <f>H217*F217</f>
        <v>0</v>
      </c>
      <c r="J217" s="769" t="str">
        <f>IF(ISBLANK(Skills!X$207),"N","Y")</f>
        <v>N</v>
      </c>
      <c r="K217" s="852">
        <v>8</v>
      </c>
      <c r="L217" s="629">
        <v>4</v>
      </c>
      <c r="M217" s="629">
        <v>6</v>
      </c>
      <c r="N217" s="629">
        <v>8</v>
      </c>
      <c r="O217" s="769">
        <v>7</v>
      </c>
      <c r="P217" s="852">
        <v>-3</v>
      </c>
      <c r="Q217" s="852">
        <v>-2</v>
      </c>
      <c r="R217" s="629">
        <v>-5</v>
      </c>
      <c r="U217" s="602"/>
      <c r="AA217" s="602"/>
      <c r="AB217" s="608"/>
      <c r="AC217" s="608"/>
      <c r="AD217" s="608"/>
      <c r="AL217" s="609"/>
      <c r="AM217" s="609"/>
      <c r="AN217" s="609"/>
      <c r="AO217" s="609"/>
      <c r="AP217" s="609"/>
      <c r="AQ217" s="609"/>
      <c r="AR217" s="609"/>
      <c r="AS217" s="609"/>
      <c r="AT217" s="609"/>
      <c r="AU217" s="609"/>
      <c r="AV217" s="609"/>
      <c r="AW217" s="609"/>
      <c r="AX217" s="609"/>
      <c r="DJ217" s="602"/>
      <c r="DK217" s="602"/>
    </row>
    <row r="218" spans="1:115" ht="11.1" customHeight="1" outlineLevel="2">
      <c r="A218" s="602">
        <v>206</v>
      </c>
      <c r="B218" s="602"/>
      <c r="C218" s="602"/>
      <c r="D218" s="602"/>
      <c r="G218" s="602"/>
      <c r="H218" s="602"/>
      <c r="I218" s="602"/>
      <c r="J218" s="602"/>
      <c r="L218" s="608"/>
      <c r="M218" s="608"/>
      <c r="N218" s="608"/>
      <c r="Q218" s="602"/>
      <c r="R218" s="608"/>
      <c r="U218" s="602"/>
      <c r="AA218" s="602"/>
      <c r="AB218" s="608"/>
      <c r="AC218" s="608"/>
      <c r="AD218" s="608"/>
      <c r="AL218" s="609"/>
      <c r="AM218" s="609"/>
      <c r="AN218" s="609"/>
      <c r="AO218" s="609"/>
      <c r="AP218" s="609"/>
      <c r="AQ218" s="609"/>
      <c r="AR218" s="609"/>
      <c r="AS218" s="609"/>
      <c r="AT218" s="609"/>
      <c r="AU218" s="609"/>
      <c r="AV218" s="609"/>
      <c r="AW218" s="609"/>
      <c r="AX218" s="609"/>
      <c r="DJ218" s="602"/>
      <c r="DK218" s="602"/>
    </row>
    <row r="219" spans="1:115" ht="11.1" customHeight="1" outlineLevel="2">
      <c r="A219" s="602">
        <v>207</v>
      </c>
      <c r="B219" s="779" t="s">
        <v>2625</v>
      </c>
      <c r="C219" s="879" t="s">
        <v>2743</v>
      </c>
      <c r="D219" s="754" t="s">
        <v>1737</v>
      </c>
      <c r="E219" s="706" t="s">
        <v>5544</v>
      </c>
      <c r="F219" s="756" t="s">
        <v>5043</v>
      </c>
      <c r="G219" s="757" t="s">
        <v>3854</v>
      </c>
      <c r="H219" s="757" t="s">
        <v>2742</v>
      </c>
      <c r="I219" s="757" t="s">
        <v>3854</v>
      </c>
      <c r="J219" s="758" t="s">
        <v>1279</v>
      </c>
      <c r="K219" s="2667" t="s">
        <v>2002</v>
      </c>
      <c r="L219" s="1283"/>
      <c r="M219" s="1283"/>
      <c r="N219" s="1283"/>
      <c r="O219" s="1284"/>
      <c r="P219" s="630" t="s">
        <v>951</v>
      </c>
      <c r="Q219" s="1278" t="s">
        <v>3963</v>
      </c>
      <c r="R219" s="1247"/>
      <c r="U219" s="602"/>
      <c r="AA219" s="602"/>
      <c r="AB219" s="608"/>
      <c r="AC219" s="608"/>
      <c r="AD219" s="608"/>
      <c r="AL219" s="609"/>
      <c r="AM219" s="609"/>
      <c r="AN219" s="609"/>
      <c r="AO219" s="609"/>
      <c r="AP219" s="609"/>
      <c r="AQ219" s="609"/>
      <c r="AR219" s="609"/>
      <c r="AS219" s="609"/>
      <c r="AT219" s="609"/>
      <c r="AU219" s="609"/>
      <c r="AV219" s="609"/>
      <c r="AW219" s="609"/>
      <c r="AX219" s="609"/>
      <c r="DJ219" s="602"/>
      <c r="DK219" s="602"/>
    </row>
    <row r="220" spans="1:115" ht="11.1" customHeight="1" outlineLevel="2">
      <c r="A220" s="602">
        <v>208</v>
      </c>
      <c r="B220" s="785" t="s">
        <v>752</v>
      </c>
      <c r="C220" s="755" t="s">
        <v>941</v>
      </c>
      <c r="D220" s="880" t="s">
        <v>2743</v>
      </c>
      <c r="E220" s="683" t="s">
        <v>4270</v>
      </c>
      <c r="F220" s="762" t="s">
        <v>4326</v>
      </c>
      <c r="G220" s="760" t="s">
        <v>2743</v>
      </c>
      <c r="H220" s="760" t="s">
        <v>5217</v>
      </c>
      <c r="I220" s="760" t="s">
        <v>4327</v>
      </c>
      <c r="J220" s="761" t="s">
        <v>1280</v>
      </c>
      <c r="K220" s="630" t="s">
        <v>5067</v>
      </c>
      <c r="L220" s="628" t="s">
        <v>2003</v>
      </c>
      <c r="M220" s="628" t="s">
        <v>2004</v>
      </c>
      <c r="N220" s="628" t="s">
        <v>2001</v>
      </c>
      <c r="O220" s="755" t="s">
        <v>2005</v>
      </c>
      <c r="P220" s="630" t="s">
        <v>4719</v>
      </c>
      <c r="Q220" s="628" t="s">
        <v>4719</v>
      </c>
      <c r="R220" s="628" t="s">
        <v>3142</v>
      </c>
      <c r="U220" s="602"/>
      <c r="AA220" s="602"/>
      <c r="AB220" s="608"/>
      <c r="AC220" s="608"/>
      <c r="AD220" s="608"/>
      <c r="AL220" s="609"/>
      <c r="AM220" s="609"/>
      <c r="AN220" s="609"/>
      <c r="AO220" s="609"/>
      <c r="AP220" s="609"/>
      <c r="AQ220" s="609"/>
      <c r="AR220" s="609"/>
      <c r="AS220" s="609"/>
      <c r="AT220" s="609"/>
      <c r="AU220" s="609"/>
      <c r="AV220" s="609"/>
      <c r="AW220" s="609"/>
      <c r="AX220" s="609"/>
      <c r="DJ220" s="602"/>
      <c r="DK220" s="602"/>
    </row>
    <row r="221" spans="1:115" ht="11.1" customHeight="1" outlineLevel="3">
      <c r="A221" s="602">
        <v>209</v>
      </c>
      <c r="B221" s="780" t="s">
        <v>4435</v>
      </c>
      <c r="C221" s="882" t="s">
        <v>4620</v>
      </c>
      <c r="D221" s="659">
        <f>40+IF('Main Creation Page'!$O$35&lt;100,-2*5,IF('Main Creation Page'!$O$35&lt;151,-5,IF('Main Creation Page'!$O$35&gt;174,((('Main Creation Page'!$O$35-174)/25)*5),0)))</f>
        <v>43.8</v>
      </c>
      <c r="E221" s="881">
        <v>42</v>
      </c>
      <c r="F221" s="875"/>
      <c r="G221" s="768">
        <f>F221*D221</f>
        <v>0</v>
      </c>
      <c r="H221" s="771">
        <v>24000</v>
      </c>
      <c r="I221" s="768">
        <f>H221*F221</f>
        <v>0</v>
      </c>
      <c r="J221" s="769" t="str">
        <f>IF(ISBLANK(Skills!X$207),"N","Y")</f>
        <v>N</v>
      </c>
      <c r="K221" s="852">
        <v>15</v>
      </c>
      <c r="L221" s="629">
        <v>15</v>
      </c>
      <c r="M221" s="629">
        <v>13</v>
      </c>
      <c r="N221" s="629">
        <v>15</v>
      </c>
      <c r="O221" s="769">
        <v>9</v>
      </c>
      <c r="P221" s="852">
        <v>-4</v>
      </c>
      <c r="Q221" s="852">
        <v>-2</v>
      </c>
      <c r="R221" s="629">
        <v>-5</v>
      </c>
      <c r="U221" s="602"/>
      <c r="AA221" s="602"/>
      <c r="AB221" s="608"/>
      <c r="AC221" s="608"/>
      <c r="AD221" s="608"/>
      <c r="AL221" s="609"/>
      <c r="AM221" s="609"/>
      <c r="AN221" s="609"/>
      <c r="AO221" s="609"/>
      <c r="AP221" s="609"/>
      <c r="AQ221" s="609"/>
      <c r="AR221" s="609"/>
      <c r="AS221" s="609"/>
      <c r="AT221" s="609"/>
      <c r="AU221" s="609"/>
      <c r="AV221" s="609"/>
      <c r="AW221" s="609"/>
      <c r="AX221" s="609"/>
      <c r="BK221" s="602"/>
      <c r="BL221" s="602"/>
      <c r="DJ221" s="602"/>
      <c r="DK221" s="602"/>
    </row>
    <row r="222" spans="1:115" ht="11.1" customHeight="1" outlineLevel="3">
      <c r="A222" s="602">
        <v>210</v>
      </c>
      <c r="B222" s="780" t="s">
        <v>322</v>
      </c>
      <c r="C222" s="882" t="s">
        <v>4620</v>
      </c>
      <c r="D222" s="659">
        <f>55+IF('Main Creation Page'!$O$35&lt;100,-2*6,IF('Main Creation Page'!$O$35&lt;151,-6,IF('Main Creation Page'!$O$35&gt;174,((('Main Creation Page'!$O$35-174)/25)*6),0)))</f>
        <v>59.56</v>
      </c>
      <c r="E222" s="881">
        <v>48</v>
      </c>
      <c r="F222" s="875"/>
      <c r="G222" s="768">
        <f>F222*D222</f>
        <v>0</v>
      </c>
      <c r="H222" s="771">
        <v>30000</v>
      </c>
      <c r="I222" s="768">
        <f>H222*F222</f>
        <v>0</v>
      </c>
      <c r="J222" s="769" t="str">
        <f>IF(ISBLANK(Skills!X$207),"N","Y")</f>
        <v>N</v>
      </c>
      <c r="K222" s="852">
        <v>18</v>
      </c>
      <c r="L222" s="629">
        <v>17</v>
      </c>
      <c r="M222" s="629">
        <v>15</v>
      </c>
      <c r="N222" s="629">
        <v>15</v>
      </c>
      <c r="O222" s="769">
        <v>9</v>
      </c>
      <c r="P222" s="852">
        <v>-5</v>
      </c>
      <c r="Q222" s="852">
        <v>-2</v>
      </c>
      <c r="R222" s="629">
        <v>-5</v>
      </c>
      <c r="U222" s="602"/>
      <c r="AA222" s="602"/>
      <c r="AB222" s="608"/>
      <c r="AC222" s="608"/>
      <c r="AD222" s="608"/>
      <c r="AL222" s="609"/>
      <c r="AM222" s="609"/>
      <c r="AN222" s="609"/>
      <c r="AO222" s="609"/>
      <c r="AP222" s="609"/>
      <c r="AQ222" s="609"/>
      <c r="AR222" s="609"/>
      <c r="AS222" s="609"/>
      <c r="AT222" s="609"/>
      <c r="AU222" s="609"/>
      <c r="AV222" s="609"/>
      <c r="AW222" s="609"/>
      <c r="AX222" s="609"/>
      <c r="DJ222" s="602"/>
      <c r="DK222" s="602"/>
    </row>
    <row r="223" spans="1:115" ht="11.1" customHeight="1" outlineLevel="2">
      <c r="A223" s="602">
        <v>211</v>
      </c>
      <c r="B223" s="602"/>
      <c r="C223" s="602"/>
      <c r="D223" s="602"/>
      <c r="G223" s="602"/>
      <c r="H223" s="602"/>
      <c r="I223" s="602"/>
      <c r="J223" s="602"/>
      <c r="L223" s="608"/>
      <c r="M223" s="608"/>
      <c r="N223" s="608"/>
      <c r="Q223" s="602"/>
      <c r="R223" s="608"/>
      <c r="U223" s="602"/>
      <c r="AA223" s="602"/>
      <c r="AB223" s="608"/>
      <c r="AC223" s="608"/>
      <c r="AD223" s="608"/>
      <c r="AL223" s="609"/>
      <c r="AM223" s="609"/>
      <c r="AN223" s="609"/>
      <c r="AO223" s="609"/>
      <c r="AP223" s="609"/>
      <c r="AQ223" s="609"/>
      <c r="AR223" s="609"/>
      <c r="AS223" s="609"/>
      <c r="AT223" s="609"/>
      <c r="AU223" s="609"/>
      <c r="AV223" s="609"/>
      <c r="AW223" s="609"/>
      <c r="AX223" s="609"/>
      <c r="DJ223" s="602"/>
      <c r="DK223" s="602"/>
    </row>
    <row r="224" spans="1:115" ht="11.1" customHeight="1" outlineLevel="2">
      <c r="A224" s="602">
        <v>212</v>
      </c>
      <c r="B224" s="779" t="s">
        <v>2625</v>
      </c>
      <c r="C224" s="879" t="s">
        <v>2743</v>
      </c>
      <c r="D224" s="754" t="s">
        <v>1737</v>
      </c>
      <c r="E224" s="706" t="s">
        <v>5544</v>
      </c>
      <c r="F224" s="756" t="s">
        <v>5043</v>
      </c>
      <c r="G224" s="757" t="s">
        <v>3854</v>
      </c>
      <c r="H224" s="757" t="s">
        <v>2742</v>
      </c>
      <c r="I224" s="757" t="s">
        <v>3854</v>
      </c>
      <c r="J224" s="758" t="s">
        <v>1279</v>
      </c>
      <c r="K224" s="2667" t="s">
        <v>2002</v>
      </c>
      <c r="L224" s="1283"/>
      <c r="M224" s="1283"/>
      <c r="N224" s="1283"/>
      <c r="O224" s="1284"/>
      <c r="P224" s="630" t="s">
        <v>951</v>
      </c>
      <c r="Q224" s="1278" t="s">
        <v>3963</v>
      </c>
      <c r="R224" s="1247"/>
      <c r="U224" s="602"/>
      <c r="AA224" s="602"/>
      <c r="AB224" s="608"/>
      <c r="AC224" s="608"/>
      <c r="AD224" s="608"/>
      <c r="AL224" s="609"/>
      <c r="AM224" s="609"/>
      <c r="AN224" s="609"/>
      <c r="AO224" s="609"/>
      <c r="AP224" s="609"/>
      <c r="AQ224" s="609"/>
      <c r="AR224" s="609"/>
      <c r="AS224" s="609"/>
      <c r="AT224" s="609"/>
      <c r="AU224" s="609"/>
      <c r="AV224" s="609"/>
      <c r="AW224" s="609"/>
      <c r="AX224" s="609"/>
      <c r="DJ224" s="602"/>
      <c r="DK224" s="602"/>
    </row>
    <row r="225" spans="1:115" ht="11.1" customHeight="1" outlineLevel="2">
      <c r="A225" s="602">
        <v>213</v>
      </c>
      <c r="B225" s="785" t="s">
        <v>753</v>
      </c>
      <c r="C225" s="755" t="s">
        <v>941</v>
      </c>
      <c r="D225" s="880" t="s">
        <v>2743</v>
      </c>
      <c r="E225" s="683" t="s">
        <v>4270</v>
      </c>
      <c r="F225" s="762" t="s">
        <v>4326</v>
      </c>
      <c r="G225" s="760" t="s">
        <v>2743</v>
      </c>
      <c r="H225" s="760" t="s">
        <v>5217</v>
      </c>
      <c r="I225" s="760" t="s">
        <v>4327</v>
      </c>
      <c r="J225" s="761" t="s">
        <v>1280</v>
      </c>
      <c r="K225" s="630" t="s">
        <v>5067</v>
      </c>
      <c r="L225" s="628" t="s">
        <v>2003</v>
      </c>
      <c r="M225" s="628" t="s">
        <v>2004</v>
      </c>
      <c r="N225" s="628" t="s">
        <v>2001</v>
      </c>
      <c r="O225" s="755" t="s">
        <v>2005</v>
      </c>
      <c r="P225" s="630" t="s">
        <v>4719</v>
      </c>
      <c r="Q225" s="628" t="s">
        <v>4719</v>
      </c>
      <c r="R225" s="628" t="s">
        <v>3142</v>
      </c>
      <c r="U225" s="602"/>
      <c r="AA225" s="602"/>
      <c r="AB225" s="608"/>
      <c r="AC225" s="608"/>
      <c r="AD225" s="608"/>
      <c r="AL225" s="609"/>
      <c r="AM225" s="609"/>
      <c r="AN225" s="609"/>
      <c r="AO225" s="609"/>
      <c r="AP225" s="609"/>
      <c r="AQ225" s="609"/>
      <c r="AR225" s="609"/>
      <c r="AS225" s="609"/>
      <c r="AT225" s="609"/>
      <c r="AU225" s="609"/>
      <c r="AV225" s="609"/>
      <c r="AW225" s="609"/>
      <c r="AX225" s="609"/>
      <c r="DJ225" s="602"/>
      <c r="DK225" s="602"/>
    </row>
    <row r="226" spans="1:115" ht="11.1" customHeight="1" outlineLevel="3">
      <c r="A226" s="602">
        <v>214</v>
      </c>
      <c r="B226" s="780" t="s">
        <v>4433</v>
      </c>
      <c r="C226" s="882" t="s">
        <v>4620</v>
      </c>
      <c r="D226" s="659">
        <f>36+IF('Main Creation Page'!$O$35&lt;100,-2*6,IF('Main Creation Page'!$O$35&lt;151,-6,IF('Main Creation Page'!$O$35&gt;174,((('Main Creation Page'!$O$35-174)/25)*6),0)))</f>
        <v>40.56</v>
      </c>
      <c r="E226" s="881">
        <v>49</v>
      </c>
      <c r="F226" s="875"/>
      <c r="G226" s="768">
        <f>F226*D226</f>
        <v>0</v>
      </c>
      <c r="H226" s="771">
        <v>15360</v>
      </c>
      <c r="I226" s="768">
        <f>H226*F226</f>
        <v>0</v>
      </c>
      <c r="J226" s="769" t="str">
        <f>IF(ISBLANK(Skills!X$207),"N","Y")</f>
        <v>N</v>
      </c>
      <c r="K226" s="852">
        <v>9</v>
      </c>
      <c r="L226" s="629">
        <v>9</v>
      </c>
      <c r="M226" s="629">
        <v>8</v>
      </c>
      <c r="N226" s="629">
        <v>9</v>
      </c>
      <c r="O226" s="769">
        <v>7</v>
      </c>
      <c r="P226" s="852">
        <v>-3</v>
      </c>
      <c r="Q226" s="852">
        <v>-2</v>
      </c>
      <c r="R226" s="629">
        <v>-5</v>
      </c>
      <c r="U226" s="602"/>
      <c r="AA226" s="602"/>
      <c r="AB226" s="608"/>
      <c r="AC226" s="608"/>
      <c r="AD226" s="608"/>
      <c r="AL226" s="609"/>
      <c r="AM226" s="609"/>
      <c r="AN226" s="609"/>
      <c r="AO226" s="609"/>
      <c r="AP226" s="609"/>
      <c r="AQ226" s="609"/>
      <c r="AR226" s="609"/>
      <c r="AS226" s="609"/>
      <c r="AT226" s="609"/>
      <c r="AU226" s="609"/>
      <c r="AV226" s="609"/>
      <c r="AW226" s="609"/>
      <c r="AX226" s="609"/>
      <c r="DJ226" s="602"/>
      <c r="DK226" s="602"/>
    </row>
    <row r="227" spans="1:115" ht="11.1" customHeight="1" outlineLevel="3">
      <c r="A227" s="602">
        <v>215</v>
      </c>
      <c r="B227" s="793" t="s">
        <v>4428</v>
      </c>
      <c r="C227" s="882" t="s">
        <v>4620</v>
      </c>
      <c r="D227" s="659">
        <f>41+IF('Main Creation Page'!$O$35&lt;100,-2*6,IF('Main Creation Page'!$O$35&lt;151,-6,IF('Main Creation Page'!$O$35&gt;174,((('Main Creation Page'!$O$35-174)/25)*6),0)))</f>
        <v>45.56</v>
      </c>
      <c r="E227" s="881">
        <v>49</v>
      </c>
      <c r="F227" s="875"/>
      <c r="G227" s="768">
        <f>F227*D227</f>
        <v>0</v>
      </c>
      <c r="H227" s="771">
        <v>15360</v>
      </c>
      <c r="I227" s="768">
        <f>H227*F227</f>
        <v>0</v>
      </c>
      <c r="J227" s="769" t="str">
        <f>IF(ISBLANK(Skills!X$207),"N","Y")</f>
        <v>N</v>
      </c>
      <c r="K227" s="852">
        <v>8</v>
      </c>
      <c r="L227" s="629">
        <v>4</v>
      </c>
      <c r="M227" s="629">
        <v>6</v>
      </c>
      <c r="N227" s="629">
        <v>8</v>
      </c>
      <c r="O227" s="769">
        <v>7</v>
      </c>
      <c r="P227" s="852">
        <v>-3</v>
      </c>
      <c r="Q227" s="852">
        <v>-2</v>
      </c>
      <c r="R227" s="629">
        <v>-5</v>
      </c>
      <c r="U227" s="602"/>
      <c r="AA227" s="602"/>
      <c r="AB227" s="608"/>
      <c r="AC227" s="608"/>
      <c r="AD227" s="608"/>
      <c r="AL227" s="609"/>
      <c r="AM227" s="609"/>
      <c r="AN227" s="609"/>
      <c r="AO227" s="609"/>
      <c r="AP227" s="609"/>
      <c r="AQ227" s="609"/>
      <c r="AR227" s="609"/>
      <c r="AS227" s="609"/>
      <c r="AT227" s="609"/>
      <c r="AU227" s="609"/>
      <c r="AV227" s="609"/>
      <c r="AW227" s="609"/>
      <c r="AX227" s="609"/>
      <c r="DJ227" s="602"/>
      <c r="DK227" s="602"/>
    </row>
    <row r="228" spans="1:115" ht="11.1" customHeight="1" outlineLevel="3">
      <c r="A228" s="602">
        <v>216</v>
      </c>
      <c r="B228" s="780" t="s">
        <v>325</v>
      </c>
      <c r="C228" s="882" t="s">
        <v>4620</v>
      </c>
      <c r="D228" s="659">
        <f>45+IF('Main Creation Page'!$O$35&lt;100,-2*6,IF('Main Creation Page'!$O$35&lt;151,-6,IF('Main Creation Page'!$O$35&gt;174,((('Main Creation Page'!$O$35-174)/25)*6),0)))</f>
        <v>49.56</v>
      </c>
      <c r="E228" s="881">
        <v>49</v>
      </c>
      <c r="F228" s="875"/>
      <c r="G228" s="768">
        <f>F228*D228</f>
        <v>0</v>
      </c>
      <c r="H228" s="771">
        <v>24000</v>
      </c>
      <c r="I228" s="768">
        <f>H228*F228</f>
        <v>0</v>
      </c>
      <c r="J228" s="769" t="str">
        <f>IF(ISBLANK(Skills!X$207),"N","Y")</f>
        <v>N</v>
      </c>
      <c r="K228" s="852">
        <v>15</v>
      </c>
      <c r="L228" s="629">
        <v>15</v>
      </c>
      <c r="M228" s="629">
        <v>13</v>
      </c>
      <c r="N228" s="629">
        <v>15</v>
      </c>
      <c r="O228" s="769">
        <v>9</v>
      </c>
      <c r="P228" s="852">
        <v>-4</v>
      </c>
      <c r="Q228" s="852">
        <v>-2</v>
      </c>
      <c r="R228" s="629">
        <v>-5</v>
      </c>
      <c r="U228" s="602"/>
      <c r="AA228" s="602"/>
      <c r="AB228" s="608"/>
      <c r="AC228" s="608"/>
      <c r="AD228" s="608"/>
      <c r="AL228" s="609"/>
      <c r="AM228" s="609"/>
      <c r="AN228" s="609"/>
      <c r="AO228" s="609"/>
      <c r="AP228" s="609"/>
      <c r="AQ228" s="609"/>
      <c r="AR228" s="609"/>
      <c r="AS228" s="609"/>
      <c r="AT228" s="609"/>
      <c r="AU228" s="609"/>
      <c r="AV228" s="609"/>
      <c r="AW228" s="609"/>
      <c r="AX228" s="609"/>
      <c r="BJ228" s="602"/>
      <c r="BM228" s="602"/>
      <c r="BN228" s="602"/>
      <c r="BO228" s="602"/>
      <c r="DJ228" s="602"/>
      <c r="DK228" s="602"/>
    </row>
    <row r="229" spans="1:115" ht="11.1" customHeight="1" outlineLevel="3">
      <c r="A229" s="602">
        <v>217</v>
      </c>
      <c r="B229" s="780" t="s">
        <v>5028</v>
      </c>
      <c r="C229" s="882" t="s">
        <v>4620</v>
      </c>
      <c r="D229" s="659">
        <f>66+IF('Main Creation Page'!$O$35&lt;100,-2*5,IF('Main Creation Page'!$O$35&lt;151,-5,IF('Main Creation Page'!$O$35&gt;174,((('Main Creation Page'!$O$35-174)/25)*5),0)))</f>
        <v>69.8</v>
      </c>
      <c r="E229" s="881">
        <v>70</v>
      </c>
      <c r="F229" s="875"/>
      <c r="G229" s="768">
        <f>F229*D229</f>
        <v>0</v>
      </c>
      <c r="H229" s="771">
        <v>36000</v>
      </c>
      <c r="I229" s="768">
        <f>H229*F229</f>
        <v>0</v>
      </c>
      <c r="J229" s="769" t="str">
        <f>IF(ISBLANK(Skills!X$207),"N","Y")</f>
        <v>N</v>
      </c>
      <c r="K229" s="852">
        <v>20</v>
      </c>
      <c r="L229" s="629">
        <v>17</v>
      </c>
      <c r="M229" s="629">
        <v>17</v>
      </c>
      <c r="N229" s="629">
        <v>17</v>
      </c>
      <c r="O229" s="769">
        <v>10</v>
      </c>
      <c r="P229" s="852">
        <v>-5</v>
      </c>
      <c r="Q229" s="852">
        <v>-2</v>
      </c>
      <c r="R229" s="629">
        <v>-5</v>
      </c>
      <c r="U229" s="602"/>
      <c r="AA229" s="602"/>
      <c r="AB229" s="608"/>
      <c r="AC229" s="608"/>
      <c r="AD229" s="608"/>
      <c r="AL229" s="609"/>
      <c r="AM229" s="609"/>
      <c r="AN229" s="609"/>
      <c r="AO229" s="609"/>
      <c r="AP229" s="609"/>
      <c r="AQ229" s="609"/>
      <c r="AR229" s="609"/>
      <c r="AS229" s="609"/>
      <c r="AT229" s="609"/>
      <c r="AU229" s="609"/>
      <c r="AV229" s="609"/>
      <c r="AW229" s="609"/>
      <c r="AX229" s="609"/>
      <c r="DJ229" s="602"/>
      <c r="DK229" s="602"/>
    </row>
    <row r="230" spans="1:115" ht="11.1" customHeight="1" outlineLevel="3">
      <c r="A230" s="602">
        <v>218</v>
      </c>
      <c r="B230" s="780" t="s">
        <v>5029</v>
      </c>
      <c r="C230" s="882" t="s">
        <v>4620</v>
      </c>
      <c r="D230" s="659">
        <f>97+IF('Main Creation Page'!$O$35&lt;100,-2*6,IF('Main Creation Page'!$O$35&lt;151,-6,IF('Main Creation Page'!$O$35&gt;174,((('Main Creation Page'!$O$35-174)/25)*6),0)))</f>
        <v>101.56</v>
      </c>
      <c r="E230" s="881">
        <v>84</v>
      </c>
      <c r="F230" s="875"/>
      <c r="G230" s="768">
        <f>F230*D230</f>
        <v>0</v>
      </c>
      <c r="H230" s="771">
        <v>48000</v>
      </c>
      <c r="I230" s="768">
        <f>H230*F230</f>
        <v>0</v>
      </c>
      <c r="J230" s="769" t="str">
        <f>IF(ISBLANK(Skills!X$207),"N","Y")</f>
        <v>N</v>
      </c>
      <c r="K230" s="852">
        <v>25</v>
      </c>
      <c r="L230" s="629">
        <v>19</v>
      </c>
      <c r="M230" s="629">
        <v>21</v>
      </c>
      <c r="N230" s="629">
        <v>19</v>
      </c>
      <c r="O230" s="769">
        <v>10</v>
      </c>
      <c r="P230" s="852">
        <v>-5</v>
      </c>
      <c r="Q230" s="852">
        <v>-2</v>
      </c>
      <c r="R230" s="629">
        <v>-5</v>
      </c>
      <c r="U230" s="602"/>
      <c r="AA230" s="602"/>
      <c r="AB230" s="608"/>
      <c r="AC230" s="608"/>
      <c r="AD230" s="608"/>
      <c r="AL230" s="609"/>
      <c r="AM230" s="609"/>
      <c r="AN230" s="609"/>
      <c r="AO230" s="609"/>
      <c r="AP230" s="609"/>
      <c r="AQ230" s="609"/>
      <c r="AR230" s="609"/>
      <c r="AS230" s="609"/>
      <c r="AT230" s="609"/>
      <c r="AU230" s="609"/>
      <c r="AV230" s="609"/>
      <c r="AW230" s="609"/>
      <c r="AX230" s="609"/>
      <c r="DJ230" s="602"/>
      <c r="DK230" s="602"/>
    </row>
    <row r="231" spans="1:115" ht="11.1" customHeight="1" outlineLevel="2">
      <c r="B231" s="602"/>
      <c r="C231" s="602"/>
      <c r="D231" s="602"/>
      <c r="G231" s="602"/>
      <c r="H231" s="602"/>
      <c r="I231" s="602"/>
      <c r="J231" s="602"/>
      <c r="K231" s="602"/>
      <c r="L231" s="602"/>
      <c r="N231" s="602"/>
      <c r="O231" s="602"/>
      <c r="P231" s="602"/>
      <c r="Q231" s="602"/>
      <c r="T231" s="602"/>
      <c r="U231" s="602"/>
      <c r="V231" s="602"/>
      <c r="W231" s="602"/>
      <c r="X231" s="602"/>
      <c r="Y231" s="602"/>
      <c r="Z231" s="602"/>
      <c r="AA231" s="602"/>
      <c r="AE231" s="602"/>
      <c r="AF231" s="602"/>
      <c r="AG231" s="602"/>
      <c r="AH231" s="602"/>
      <c r="AI231" s="602"/>
      <c r="AJ231" s="602"/>
      <c r="AK231" s="602"/>
      <c r="AL231" s="602"/>
      <c r="AM231" s="602"/>
      <c r="AN231" s="602"/>
      <c r="AO231" s="602"/>
      <c r="AP231" s="602"/>
      <c r="AQ231" s="602"/>
      <c r="AR231" s="602"/>
      <c r="AS231" s="602"/>
      <c r="AT231" s="602"/>
      <c r="AU231" s="602"/>
      <c r="AV231" s="602"/>
      <c r="AW231" s="602"/>
      <c r="AX231" s="602"/>
      <c r="AY231" s="602"/>
      <c r="AZ231" s="602"/>
      <c r="BA231" s="602"/>
      <c r="BB231" s="602"/>
      <c r="BC231" s="602"/>
      <c r="BD231" s="602"/>
      <c r="BE231" s="602"/>
      <c r="BF231" s="602"/>
      <c r="BG231" s="602"/>
      <c r="BH231" s="602"/>
      <c r="BI231" s="602"/>
      <c r="BP231" s="602"/>
      <c r="BQ231" s="602"/>
      <c r="BS231" s="602"/>
      <c r="BT231" s="602"/>
      <c r="BU231" s="602"/>
      <c r="BV231" s="602"/>
      <c r="BW231" s="602"/>
      <c r="BX231" s="602"/>
      <c r="BY231" s="602"/>
      <c r="BZ231" s="602"/>
      <c r="CA231" s="602"/>
      <c r="CB231" s="602"/>
      <c r="CC231" s="602"/>
      <c r="CD231" s="602"/>
      <c r="CE231" s="602"/>
      <c r="CF231" s="602"/>
      <c r="CG231" s="602"/>
      <c r="CH231" s="602"/>
      <c r="CI231" s="602"/>
      <c r="CJ231" s="602"/>
      <c r="CK231" s="602"/>
      <c r="CL231" s="602"/>
      <c r="CM231" s="602"/>
      <c r="CN231" s="602"/>
      <c r="CO231" s="602"/>
      <c r="CP231" s="602"/>
      <c r="CQ231" s="602"/>
      <c r="CR231" s="602"/>
      <c r="CS231" s="602"/>
      <c r="CT231" s="602"/>
      <c r="CU231" s="602"/>
      <c r="CV231" s="602"/>
      <c r="CW231" s="602"/>
      <c r="CX231" s="602"/>
      <c r="CY231" s="602"/>
      <c r="CZ231" s="602"/>
      <c r="DA231" s="602"/>
      <c r="DB231" s="602"/>
      <c r="DC231" s="602"/>
      <c r="DD231" s="602"/>
      <c r="DE231" s="602"/>
      <c r="DF231" s="602"/>
      <c r="DG231" s="602"/>
      <c r="DH231" s="602"/>
      <c r="DI231" s="602"/>
      <c r="DJ231" s="602"/>
      <c r="DK231" s="602"/>
    </row>
    <row r="232" spans="1:115" outlineLevel="1">
      <c r="B232" s="818" t="s">
        <v>697</v>
      </c>
      <c r="C232" s="2668" t="s">
        <v>2139</v>
      </c>
      <c r="D232" s="2669"/>
      <c r="E232" s="2669"/>
      <c r="F232" s="2664">
        <f>SUM(G226:G230)+SUM(G221:G222)+SUM(G214:G217)+SUM(G203:G210)+SUM(G193:G199)+SUM(G174:G189)+SUM(G158:G170)</f>
        <v>19.52</v>
      </c>
      <c r="G232" s="2665"/>
      <c r="H232" s="2666">
        <f>SUM(I226:I230)+SUM(I221:I222)+SUM(I214:I217)+SUM(I203:I210)+SUM(I193:I199)+SUM(I174:I189)+SUM(I158:I170)</f>
        <v>1452</v>
      </c>
      <c r="I232" s="1237"/>
      <c r="J232" s="598" t="s">
        <v>5217</v>
      </c>
      <c r="K232" s="885"/>
      <c r="L232" s="608"/>
      <c r="M232" s="608"/>
      <c r="N232" s="608"/>
      <c r="P232" s="602"/>
      <c r="R232" s="885"/>
      <c r="S232" s="608"/>
      <c r="T232" s="602"/>
      <c r="U232" s="602"/>
      <c r="V232" s="602"/>
      <c r="W232" s="602"/>
      <c r="X232" s="602"/>
      <c r="AA232" s="602"/>
      <c r="AB232" s="608"/>
      <c r="AC232" s="608"/>
      <c r="AD232" s="608"/>
      <c r="DJ232" s="602"/>
      <c r="DK232" s="602"/>
    </row>
    <row r="233" spans="1:115" ht="45.75" thickBot="1">
      <c r="A233" s="602" t="s">
        <v>5610</v>
      </c>
      <c r="B233" s="886" t="s">
        <v>5624</v>
      </c>
      <c r="C233" s="887"/>
      <c r="D233" s="887"/>
      <c r="E233" s="887"/>
      <c r="F233" s="887"/>
      <c r="G233" s="888"/>
      <c r="H233" s="889"/>
      <c r="I233" s="888"/>
      <c r="J233" s="888"/>
      <c r="K233" s="888"/>
      <c r="L233" s="888"/>
      <c r="M233" s="888"/>
      <c r="N233" s="888"/>
      <c r="O233" s="888"/>
      <c r="P233" s="888"/>
      <c r="Q233" s="888"/>
      <c r="R233" s="888"/>
      <c r="S233" s="888"/>
      <c r="T233" s="888"/>
      <c r="U233" s="888"/>
      <c r="V233" s="602"/>
      <c r="W233" s="887"/>
      <c r="X233" s="887"/>
      <c r="Y233" s="887"/>
      <c r="Z233" s="887"/>
      <c r="AA233" s="887"/>
      <c r="AB233" s="888"/>
      <c r="AC233" s="889"/>
      <c r="AD233" s="888"/>
      <c r="AE233" s="888"/>
      <c r="AF233" s="888"/>
      <c r="AG233" s="888"/>
      <c r="AH233" s="888"/>
      <c r="AI233" s="888"/>
      <c r="AJ233" s="888"/>
      <c r="AK233" s="888"/>
      <c r="AL233" s="888"/>
      <c r="AM233" s="888"/>
      <c r="AN233" s="888"/>
      <c r="AO233" s="888"/>
      <c r="AP233" s="888"/>
      <c r="AQ233" s="887"/>
      <c r="AR233" s="887"/>
      <c r="AS233" s="887"/>
      <c r="AT233" s="887"/>
      <c r="AU233" s="887"/>
      <c r="AV233" s="888"/>
      <c r="AW233" s="889"/>
      <c r="AX233" s="888"/>
      <c r="AY233" s="888"/>
      <c r="AZ233" s="888"/>
      <c r="BA233" s="888"/>
      <c r="BB233" s="888"/>
      <c r="BC233" s="888"/>
      <c r="BD233" s="888"/>
      <c r="BE233" s="888"/>
      <c r="BF233" s="888"/>
      <c r="BG233" s="888"/>
      <c r="BH233" s="888"/>
      <c r="BI233" s="888"/>
      <c r="BJ233" s="888"/>
      <c r="DJ233" s="602"/>
      <c r="DK233" s="602"/>
    </row>
    <row r="234" spans="1:115" ht="15.75" customHeight="1" thickTop="1">
      <c r="B234" s="2674" t="s">
        <v>3529</v>
      </c>
      <c r="C234" s="602"/>
      <c r="D234" s="602"/>
      <c r="E234" s="873"/>
      <c r="J234" s="602"/>
      <c r="K234" s="885"/>
      <c r="L234" s="608"/>
      <c r="M234" s="608"/>
      <c r="N234" s="608"/>
      <c r="P234" s="602"/>
      <c r="R234" s="885"/>
      <c r="S234" s="608"/>
      <c r="T234" s="602"/>
      <c r="U234" s="602"/>
      <c r="V234" s="602"/>
      <c r="W234" s="602"/>
      <c r="X234" s="608" t="s">
        <v>5502</v>
      </c>
      <c r="Y234" s="608" t="s">
        <v>3075</v>
      </c>
      <c r="Z234" s="608" t="s">
        <v>3074</v>
      </c>
      <c r="AB234" s="608"/>
      <c r="AC234" s="608"/>
      <c r="AD234" s="608"/>
      <c r="DI234" s="602"/>
      <c r="DJ234" s="602"/>
      <c r="DK234" s="602"/>
    </row>
    <row r="235" spans="1:115" ht="15.75" customHeight="1">
      <c r="B235" s="2674"/>
      <c r="C235" s="602"/>
      <c r="D235" s="602"/>
      <c r="E235" s="873"/>
      <c r="F235" s="2675" t="s">
        <v>3804</v>
      </c>
      <c r="G235" s="2675"/>
      <c r="H235" s="2675"/>
      <c r="I235" s="2675"/>
      <c r="J235" s="2676"/>
      <c r="K235" s="2549" t="s">
        <v>3072</v>
      </c>
      <c r="L235" s="2549"/>
      <c r="M235" s="608"/>
      <c r="N235" s="608"/>
      <c r="O235" s="602"/>
      <c r="Q235" s="885"/>
      <c r="R235" s="608"/>
      <c r="T235" s="602"/>
      <c r="U235" s="602"/>
      <c r="V235" s="602"/>
      <c r="W235" s="602"/>
      <c r="X235" s="890">
        <f>'Main Creation Page'!O40</f>
        <v>48</v>
      </c>
      <c r="Y235" s="891"/>
      <c r="Z235" s="890">
        <f>X235-Y235</f>
        <v>48</v>
      </c>
      <c r="AA235" s="752" t="s">
        <v>3781</v>
      </c>
      <c r="AB235" s="608"/>
      <c r="AC235" s="608"/>
      <c r="AD235" s="608"/>
      <c r="DI235" s="602"/>
      <c r="DJ235" s="602"/>
      <c r="DK235" s="602"/>
    </row>
    <row r="236" spans="1:115" ht="15.75" customHeight="1">
      <c r="B236" s="2674"/>
      <c r="C236" s="602"/>
      <c r="D236" s="602"/>
      <c r="E236" s="873"/>
      <c r="F236" s="602">
        <v>7</v>
      </c>
      <c r="G236" s="602"/>
      <c r="H236" s="602"/>
      <c r="I236" s="602"/>
      <c r="J236" s="602"/>
      <c r="K236" s="892">
        <f>IF(ISBLANK(L241),IF(ISBLANK(L239),IF(ISBLANK(L238),IF(ISBLANK(L237),IF(ISBLANK(L236),NA(),1),2),3),4),5)</f>
        <v>2</v>
      </c>
      <c r="L236" s="893"/>
      <c r="M236" s="608"/>
      <c r="N236" s="608"/>
      <c r="O236" s="602"/>
      <c r="Q236" s="885"/>
      <c r="R236" s="608"/>
      <c r="T236" s="602"/>
      <c r="U236" s="602"/>
      <c r="V236" s="602"/>
      <c r="W236" s="602"/>
      <c r="X236" s="890">
        <f>'Main Creation Page'!AC6</f>
        <v>37</v>
      </c>
      <c r="Y236" s="891"/>
      <c r="Z236" s="890">
        <f>X236-Y236</f>
        <v>37</v>
      </c>
      <c r="AA236" s="752" t="s">
        <v>3848</v>
      </c>
      <c r="AB236" s="608"/>
      <c r="AC236" s="608"/>
      <c r="AD236" s="608"/>
      <c r="DI236" s="602"/>
      <c r="DJ236" s="602"/>
      <c r="DK236" s="602"/>
    </row>
    <row r="237" spans="1:115" ht="15.75" customHeight="1">
      <c r="B237" s="2674"/>
      <c r="C237" s="602"/>
      <c r="D237" s="602"/>
      <c r="E237" s="873"/>
      <c r="F237" s="602">
        <v>54</v>
      </c>
      <c r="G237" s="602"/>
      <c r="H237" s="602"/>
      <c r="I237" s="602"/>
      <c r="J237" s="602"/>
      <c r="K237" s="602"/>
      <c r="L237" s="894" t="s">
        <v>5222</v>
      </c>
      <c r="M237" s="608"/>
      <c r="N237" s="608"/>
      <c r="O237" s="602"/>
      <c r="Q237" s="885"/>
      <c r="R237" s="608"/>
      <c r="T237" s="602"/>
      <c r="U237" s="602"/>
      <c r="V237" s="602"/>
      <c r="W237" s="602"/>
      <c r="X237" s="608" t="s">
        <v>626</v>
      </c>
      <c r="Y237" s="608" t="s">
        <v>3076</v>
      </c>
      <c r="Z237" s="608" t="s">
        <v>1651</v>
      </c>
      <c r="AA237" s="752"/>
      <c r="AB237" s="608"/>
      <c r="AC237" s="608"/>
      <c r="AD237" s="608"/>
      <c r="AE237" s="608" t="s">
        <v>3142</v>
      </c>
      <c r="AI237" s="2542" t="s">
        <v>5388</v>
      </c>
      <c r="AJ237" s="2542"/>
      <c r="AK237" s="2542"/>
      <c r="AL237" s="2542"/>
      <c r="AM237" s="2542"/>
      <c r="AN237" s="2542"/>
      <c r="AO237" s="2542"/>
      <c r="AP237" s="2542"/>
      <c r="AQ237" s="2542"/>
      <c r="AR237" s="2542"/>
      <c r="AS237" s="2542"/>
      <c r="AT237" s="2542"/>
      <c r="AU237" s="2542"/>
      <c r="AV237" s="2542"/>
      <c r="DI237" s="602"/>
      <c r="DJ237" s="602"/>
      <c r="DK237" s="602"/>
    </row>
    <row r="238" spans="1:115" ht="15.75" customHeight="1">
      <c r="B238" s="2674"/>
      <c r="C238" s="602"/>
      <c r="D238" s="602"/>
      <c r="E238" s="873"/>
      <c r="F238" s="602">
        <v>48</v>
      </c>
      <c r="G238" s="602"/>
      <c r="H238" s="602"/>
      <c r="I238" s="602"/>
      <c r="J238" s="602"/>
      <c r="K238" s="602"/>
      <c r="L238" s="894"/>
      <c r="M238" s="608"/>
      <c r="N238" s="608"/>
      <c r="O238" s="602"/>
      <c r="Q238" s="885"/>
      <c r="R238" s="608"/>
      <c r="T238" s="602"/>
      <c r="U238" s="602"/>
      <c r="V238" s="602"/>
      <c r="W238" s="602"/>
      <c r="X238" s="890">
        <f>'Main Creation Page'!AD20</f>
        <v>19</v>
      </c>
      <c r="Y238" s="891">
        <v>5</v>
      </c>
      <c r="Z238" s="890">
        <f>X238+Y238</f>
        <v>24</v>
      </c>
      <c r="AA238" s="752" t="s">
        <v>626</v>
      </c>
      <c r="AB238" s="608"/>
      <c r="AC238" s="608"/>
      <c r="AD238" s="608"/>
      <c r="AE238" s="890">
        <f ca="1">IF(K236=1,'Character Sheet'!AB47,IF(Combat!K236=2,'Character Sheet'!AB48,IF(Combat!K236=3,'Character Sheet'!AB49,IF(Combat!K236=4,'Character Sheet'!AB50,0))))</f>
        <v>9</v>
      </c>
      <c r="AI238" s="890">
        <f ca="1">Z238-AE238</f>
        <v>15</v>
      </c>
      <c r="AJ238" s="895"/>
      <c r="AK238" s="895"/>
      <c r="AL238" s="895"/>
      <c r="AM238" s="890">
        <f ca="1">AI238-AE238</f>
        <v>6</v>
      </c>
      <c r="AN238" s="895"/>
      <c r="AO238" s="895"/>
      <c r="AP238" s="895"/>
      <c r="AQ238" s="890">
        <f ca="1">AM238-AE238</f>
        <v>-3</v>
      </c>
      <c r="AR238" s="895"/>
      <c r="AS238" s="895"/>
      <c r="AT238" s="895"/>
      <c r="AU238" s="890">
        <f ca="1">AQ238-AE238</f>
        <v>-12</v>
      </c>
      <c r="AV238" s="890">
        <f ca="1">AU238-AE238</f>
        <v>-21</v>
      </c>
      <c r="DI238" s="602"/>
      <c r="DJ238" s="602"/>
      <c r="DK238" s="602"/>
    </row>
    <row r="239" spans="1:115" ht="15.75" customHeight="1">
      <c r="B239" s="612"/>
      <c r="C239" s="611"/>
      <c r="D239" s="602"/>
      <c r="E239" s="873"/>
      <c r="F239" s="602">
        <v>15</v>
      </c>
      <c r="G239" s="602"/>
      <c r="H239" s="602"/>
      <c r="I239" s="602"/>
      <c r="J239" s="602"/>
      <c r="K239" s="602"/>
      <c r="L239" s="894"/>
      <c r="M239" s="608"/>
      <c r="N239" s="608"/>
      <c r="O239" s="602"/>
      <c r="Q239" s="885"/>
      <c r="R239" s="608"/>
      <c r="T239" s="602"/>
      <c r="U239" s="602"/>
      <c r="V239" s="602"/>
      <c r="W239" s="602"/>
      <c r="AB239" s="608"/>
      <c r="AC239" s="608"/>
      <c r="AD239" s="608"/>
      <c r="DI239" s="602"/>
      <c r="DJ239" s="602"/>
      <c r="DK239" s="602"/>
    </row>
    <row r="240" spans="1:115" s="1065" customFormat="1" ht="15.75" customHeight="1">
      <c r="B240" s="1059"/>
      <c r="C240" s="1064"/>
      <c r="E240" s="873"/>
      <c r="F240" s="1065">
        <v>63</v>
      </c>
      <c r="L240" s="894"/>
      <c r="M240" s="1061"/>
      <c r="N240" s="1061"/>
      <c r="P240" s="1061"/>
      <c r="Q240" s="885"/>
      <c r="R240" s="1061"/>
      <c r="X240" s="1061"/>
      <c r="Y240" s="1061"/>
      <c r="Z240" s="1061"/>
      <c r="AA240" s="1061"/>
      <c r="AB240" s="1061"/>
      <c r="AC240" s="1061"/>
      <c r="AD240" s="1061"/>
      <c r="AE240" s="1061"/>
      <c r="AF240" s="1061"/>
      <c r="AG240" s="1061"/>
      <c r="AH240" s="1061"/>
      <c r="AI240" s="1061"/>
      <c r="AJ240" s="1061"/>
      <c r="AK240" s="1061"/>
      <c r="AL240" s="1061"/>
      <c r="AM240" s="1061"/>
      <c r="AN240" s="1061"/>
      <c r="AO240" s="1061"/>
      <c r="AP240" s="1061"/>
      <c r="AQ240" s="1061"/>
      <c r="AR240" s="1061"/>
      <c r="AS240" s="1061"/>
      <c r="AT240" s="1061"/>
      <c r="AU240" s="1061"/>
      <c r="AV240" s="1061"/>
      <c r="AW240" s="1061"/>
      <c r="AX240" s="1061"/>
      <c r="AY240" s="1061"/>
      <c r="AZ240" s="1061"/>
      <c r="BA240" s="1061"/>
      <c r="BB240" s="1061"/>
      <c r="BC240" s="1061"/>
      <c r="BD240" s="1061"/>
      <c r="BE240" s="1061"/>
      <c r="BF240" s="1061"/>
      <c r="BG240" s="1061"/>
      <c r="BH240" s="1061"/>
      <c r="BI240" s="1061"/>
      <c r="BJ240" s="1061"/>
      <c r="BK240" s="1061"/>
      <c r="BL240" s="1061"/>
      <c r="BM240" s="1061"/>
      <c r="BN240" s="1061"/>
      <c r="BO240" s="1061"/>
      <c r="BP240" s="1061"/>
      <c r="BQ240" s="1061"/>
      <c r="BR240" s="752"/>
      <c r="BS240" s="1061"/>
      <c r="BT240" s="1061"/>
      <c r="BU240" s="1061"/>
      <c r="BV240" s="1061"/>
      <c r="BW240" s="1061"/>
      <c r="BX240" s="1061"/>
      <c r="BY240" s="1061"/>
      <c r="BZ240" s="1061"/>
      <c r="CA240" s="1061"/>
      <c r="CB240" s="1061"/>
      <c r="CC240" s="1061"/>
      <c r="CD240" s="1061"/>
      <c r="CE240" s="1061"/>
      <c r="CF240" s="1061"/>
      <c r="CG240" s="1061"/>
      <c r="CH240" s="1061"/>
      <c r="CI240" s="1061"/>
      <c r="CJ240" s="1061"/>
      <c r="CK240" s="1061"/>
      <c r="CL240" s="1061"/>
      <c r="CM240" s="1061"/>
      <c r="CN240" s="1061"/>
      <c r="CO240" s="1061"/>
      <c r="CP240" s="1061"/>
      <c r="CQ240" s="1061"/>
      <c r="CR240" s="1061"/>
      <c r="CS240" s="1061"/>
      <c r="CT240" s="1061"/>
      <c r="CU240" s="1061"/>
      <c r="CV240" s="1061"/>
      <c r="CW240" s="1061"/>
      <c r="CX240" s="1061"/>
      <c r="CY240" s="1061"/>
      <c r="CZ240" s="1061"/>
      <c r="DA240" s="1061"/>
      <c r="DB240" s="1061"/>
      <c r="DC240" s="1061"/>
      <c r="DD240" s="1061"/>
      <c r="DE240" s="1061"/>
      <c r="DF240" s="1061"/>
      <c r="DG240" s="1061"/>
      <c r="DH240" s="1061"/>
    </row>
    <row r="241" spans="2:115" ht="9" customHeight="1">
      <c r="B241" s="612" t="s">
        <v>2345</v>
      </c>
      <c r="C241" s="611"/>
      <c r="D241" s="602"/>
      <c r="E241" s="873"/>
      <c r="F241" s="602">
        <v>3</v>
      </c>
      <c r="G241" s="602"/>
      <c r="H241" s="602"/>
      <c r="I241" s="602"/>
      <c r="J241" s="602"/>
      <c r="K241" s="602"/>
      <c r="L241" s="894"/>
      <c r="M241" s="2667"/>
      <c r="N241" s="2670"/>
      <c r="O241" s="897" t="s">
        <v>3073</v>
      </c>
      <c r="Q241" s="885"/>
      <c r="R241" s="608"/>
      <c r="T241" s="602"/>
      <c r="U241" s="602"/>
      <c r="V241" s="602"/>
      <c r="W241" s="602"/>
      <c r="X241" s="602"/>
      <c r="AB241" s="608"/>
      <c r="AC241" s="608"/>
      <c r="AD241" s="608"/>
      <c r="DI241" s="602"/>
      <c r="DJ241" s="602"/>
      <c r="DK241" s="602"/>
    </row>
    <row r="242" spans="2:115" ht="9" customHeight="1">
      <c r="B242" s="612"/>
      <c r="C242" s="611"/>
      <c r="D242" s="602"/>
      <c r="E242" s="873"/>
      <c r="F242" s="898"/>
      <c r="G242" s="899"/>
      <c r="H242" s="899"/>
      <c r="I242" s="607"/>
      <c r="J242" s="898"/>
      <c r="K242" s="2671" t="s">
        <v>4560</v>
      </c>
      <c r="L242" s="2672"/>
      <c r="M242" s="2672"/>
      <c r="N242" s="2672"/>
      <c r="O242" s="2673"/>
      <c r="P242" s="602"/>
      <c r="Q242" s="885"/>
      <c r="R242" s="608"/>
      <c r="T242" s="602"/>
      <c r="U242" s="602"/>
      <c r="V242" s="602"/>
      <c r="W242" s="602"/>
      <c r="X242" s="602"/>
      <c r="AB242" s="608"/>
      <c r="AC242" s="608"/>
      <c r="AD242" s="608"/>
      <c r="DK242" s="602"/>
    </row>
    <row r="243" spans="2:115" ht="15.75" customHeight="1">
      <c r="B243" s="612"/>
      <c r="C243" s="611"/>
      <c r="D243" s="602"/>
      <c r="E243" s="873"/>
      <c r="F243" s="2677" t="s">
        <v>1998</v>
      </c>
      <c r="G243" s="2677"/>
      <c r="H243" s="2677"/>
      <c r="I243" s="2677"/>
      <c r="J243" s="2678"/>
      <c r="K243" s="630" t="s">
        <v>5067</v>
      </c>
      <c r="L243" s="628" t="s">
        <v>3805</v>
      </c>
      <c r="M243" s="628" t="s">
        <v>1333</v>
      </c>
      <c r="N243" s="628" t="s">
        <v>2001</v>
      </c>
      <c r="O243" s="755" t="s">
        <v>2005</v>
      </c>
      <c r="P243" s="602"/>
      <c r="T243" s="602"/>
      <c r="U243" s="602"/>
      <c r="V243" s="602"/>
      <c r="W243" s="602"/>
      <c r="X243" s="602"/>
      <c r="AA243" s="602"/>
      <c r="AD243" s="608"/>
      <c r="DK243" s="602"/>
    </row>
    <row r="244" spans="2:115" ht="15.75" customHeight="1">
      <c r="B244" s="1059" t="s">
        <v>3303</v>
      </c>
      <c r="C244" s="900"/>
      <c r="D244" s="602"/>
      <c r="E244" s="873"/>
      <c r="F244" s="602">
        <v>8</v>
      </c>
      <c r="G244" s="602"/>
      <c r="H244" s="602"/>
      <c r="I244" s="602"/>
      <c r="J244" s="602"/>
      <c r="K244" s="645"/>
      <c r="L244" s="628"/>
      <c r="M244" s="628"/>
      <c r="N244" s="628"/>
      <c r="O244" s="628"/>
      <c r="P244" s="602"/>
      <c r="R244" s="608"/>
      <c r="S244" s="608"/>
      <c r="W244" s="901"/>
      <c r="AA244" s="602"/>
      <c r="AD244" s="608"/>
      <c r="DK244" s="602"/>
    </row>
    <row r="245" spans="2:115" ht="15.75" customHeight="1">
      <c r="B245" s="1059" t="s">
        <v>3781</v>
      </c>
      <c r="C245" s="900"/>
      <c r="D245" s="602"/>
      <c r="E245" s="873"/>
      <c r="F245" s="602">
        <v>7</v>
      </c>
      <c r="G245" s="602"/>
      <c r="H245" s="602"/>
      <c r="I245" s="602"/>
      <c r="J245" s="602"/>
      <c r="K245" s="645"/>
      <c r="L245" s="628"/>
      <c r="M245" s="628"/>
      <c r="N245" s="628"/>
      <c r="O245" s="628"/>
      <c r="P245" s="602"/>
      <c r="R245" s="608"/>
      <c r="S245" s="608"/>
      <c r="AD245" s="608"/>
    </row>
    <row r="246" spans="2:115" ht="9" customHeight="1">
      <c r="B246" s="612"/>
      <c r="C246" s="900"/>
      <c r="D246" s="602"/>
      <c r="E246" s="873"/>
      <c r="F246" s="602">
        <v>4</v>
      </c>
      <c r="G246" s="602"/>
      <c r="H246" s="602"/>
      <c r="I246" s="602"/>
      <c r="J246" s="602"/>
      <c r="K246" s="755"/>
      <c r="L246" s="645"/>
      <c r="M246" s="628"/>
      <c r="N246" s="628"/>
      <c r="O246" s="628"/>
      <c r="S246" s="608"/>
    </row>
    <row r="247" spans="2:115" ht="9" customHeight="1">
      <c r="B247" s="612" t="s">
        <v>422</v>
      </c>
      <c r="C247" s="900"/>
      <c r="D247" s="602"/>
      <c r="E247" s="873"/>
      <c r="F247" s="898"/>
      <c r="G247" s="899"/>
      <c r="H247" s="899"/>
      <c r="I247" s="607"/>
      <c r="J247" s="898"/>
      <c r="K247" s="2671" t="s">
        <v>4560</v>
      </c>
      <c r="L247" s="2672"/>
      <c r="M247" s="2672"/>
      <c r="N247" s="2672"/>
      <c r="O247" s="2673"/>
      <c r="S247" s="608"/>
    </row>
    <row r="248" spans="2:115" ht="15.75" customHeight="1">
      <c r="B248" s="612"/>
      <c r="C248" s="611"/>
      <c r="D248" s="602"/>
      <c r="E248" s="873"/>
      <c r="F248" s="902" t="s">
        <v>3338</v>
      </c>
      <c r="G248" s="902"/>
      <c r="H248" s="902"/>
      <c r="I248" s="902"/>
      <c r="J248" s="903"/>
      <c r="K248" s="630" t="s">
        <v>5067</v>
      </c>
      <c r="L248" s="628" t="s">
        <v>3805</v>
      </c>
      <c r="M248" s="628" t="s">
        <v>1333</v>
      </c>
      <c r="N248" s="628" t="s">
        <v>2001</v>
      </c>
      <c r="O248" s="755" t="s">
        <v>2005</v>
      </c>
    </row>
    <row r="249" spans="2:115" ht="15.75" customHeight="1">
      <c r="B249" s="618" t="s">
        <v>4660</v>
      </c>
      <c r="C249" s="618"/>
      <c r="D249" s="602"/>
      <c r="E249" s="873"/>
      <c r="F249" s="602">
        <v>8</v>
      </c>
      <c r="G249" s="602"/>
      <c r="H249" s="602"/>
      <c r="I249" s="602"/>
      <c r="J249" s="602"/>
      <c r="K249" s="645"/>
      <c r="L249" s="628"/>
      <c r="M249" s="628"/>
      <c r="N249" s="628"/>
      <c r="O249" s="628"/>
    </row>
    <row r="250" spans="2:115" ht="9.9499999999999993" customHeight="1">
      <c r="C250" s="618"/>
      <c r="D250" s="602"/>
      <c r="E250" s="873"/>
      <c r="F250" s="602">
        <v>8</v>
      </c>
      <c r="G250" s="602"/>
      <c r="H250" s="602"/>
      <c r="I250" s="602"/>
      <c r="J250" s="602"/>
      <c r="K250" s="645"/>
      <c r="L250" s="628"/>
      <c r="M250" s="628"/>
      <c r="N250" s="628"/>
      <c r="O250" s="628"/>
    </row>
    <row r="251" spans="2:115" ht="9.9499999999999993" customHeight="1">
      <c r="B251" s="618" t="s">
        <v>4661</v>
      </c>
      <c r="C251" s="602"/>
      <c r="D251" s="602"/>
      <c r="E251" s="873"/>
      <c r="F251" s="904"/>
      <c r="I251" s="602"/>
      <c r="J251" s="885"/>
      <c r="K251" s="2671" t="s">
        <v>4560</v>
      </c>
      <c r="L251" s="2672"/>
      <c r="M251" s="2672"/>
      <c r="N251" s="2672"/>
      <c r="O251" s="2673"/>
      <c r="S251" s="608"/>
    </row>
    <row r="252" spans="2:115" ht="15.75" customHeight="1">
      <c r="C252" s="602"/>
      <c r="D252" s="602"/>
      <c r="E252" s="873"/>
      <c r="F252" s="902" t="s">
        <v>3339</v>
      </c>
      <c r="G252" s="902"/>
      <c r="H252" s="902"/>
      <c r="I252" s="902"/>
      <c r="J252" s="903"/>
      <c r="K252" s="630" t="s">
        <v>5067</v>
      </c>
      <c r="L252" s="628" t="s">
        <v>3805</v>
      </c>
      <c r="M252" s="628" t="s">
        <v>1333</v>
      </c>
      <c r="N252" s="628" t="s">
        <v>2001</v>
      </c>
      <c r="O252" s="755" t="s">
        <v>2005</v>
      </c>
      <c r="S252" s="608"/>
    </row>
    <row r="253" spans="2:115" ht="15.75" customHeight="1">
      <c r="B253" s="618" t="s">
        <v>4660</v>
      </c>
      <c r="C253" s="618"/>
      <c r="D253" s="602"/>
      <c r="E253" s="873"/>
      <c r="F253" s="602">
        <v>8</v>
      </c>
      <c r="G253" s="602"/>
      <c r="H253" s="602"/>
      <c r="I253" s="602"/>
      <c r="J253" s="602"/>
      <c r="K253" s="645"/>
      <c r="L253" s="628"/>
      <c r="M253" s="628"/>
      <c r="N253" s="628"/>
      <c r="O253" s="628"/>
      <c r="S253" s="608"/>
    </row>
    <row r="254" spans="2:115" ht="9" customHeight="1">
      <c r="C254" s="618"/>
      <c r="D254" s="602"/>
      <c r="E254" s="873"/>
      <c r="F254" s="602">
        <v>8</v>
      </c>
      <c r="G254" s="602"/>
      <c r="H254" s="602"/>
      <c r="I254" s="602"/>
      <c r="J254" s="602"/>
      <c r="K254" s="645"/>
      <c r="L254" s="628"/>
      <c r="M254" s="628"/>
      <c r="N254" s="628"/>
      <c r="O254" s="628"/>
      <c r="S254" s="608"/>
    </row>
    <row r="255" spans="2:115" ht="9" customHeight="1">
      <c r="B255" s="618" t="s">
        <v>4661</v>
      </c>
      <c r="C255" s="602"/>
      <c r="D255" s="602"/>
      <c r="E255" s="873"/>
      <c r="F255" s="904"/>
      <c r="I255" s="602"/>
      <c r="J255" s="885"/>
      <c r="K255" s="2671" t="s">
        <v>4560</v>
      </c>
      <c r="L255" s="2672"/>
      <c r="M255" s="2672"/>
      <c r="N255" s="2672"/>
      <c r="O255" s="2673"/>
      <c r="S255" s="608"/>
    </row>
    <row r="256" spans="2:115" ht="13.5" customHeight="1">
      <c r="C256" s="602"/>
      <c r="D256" s="602"/>
      <c r="E256" s="873"/>
      <c r="F256" s="902" t="s">
        <v>3339</v>
      </c>
      <c r="G256" s="902"/>
      <c r="H256" s="902"/>
      <c r="I256" s="902"/>
      <c r="J256" s="903"/>
      <c r="K256" s="630" t="s">
        <v>5067</v>
      </c>
      <c r="L256" s="628" t="s">
        <v>3805</v>
      </c>
      <c r="M256" s="628" t="s">
        <v>1333</v>
      </c>
      <c r="N256" s="628" t="s">
        <v>2001</v>
      </c>
      <c r="O256" s="755" t="s">
        <v>2005</v>
      </c>
      <c r="S256" s="608"/>
    </row>
    <row r="257" spans="2:19" ht="17.25" customHeight="1">
      <c r="B257" s="618" t="s">
        <v>4660</v>
      </c>
      <c r="C257" s="618"/>
      <c r="D257" s="602"/>
      <c r="E257" s="873"/>
      <c r="F257" s="602">
        <v>8</v>
      </c>
      <c r="G257" s="602"/>
      <c r="H257" s="602"/>
      <c r="I257" s="602"/>
      <c r="J257" s="602"/>
      <c r="K257" s="645"/>
      <c r="L257" s="628"/>
      <c r="M257" s="628"/>
      <c r="N257" s="628"/>
      <c r="O257" s="628"/>
      <c r="S257" s="608"/>
    </row>
    <row r="258" spans="2:19">
      <c r="B258" s="618" t="s">
        <v>4661</v>
      </c>
      <c r="C258" s="618"/>
      <c r="D258" s="602"/>
      <c r="E258" s="873"/>
      <c r="F258" s="602">
        <v>8</v>
      </c>
      <c r="G258" s="602"/>
      <c r="H258" s="602"/>
      <c r="I258" s="602"/>
      <c r="J258" s="602"/>
      <c r="K258" s="645"/>
      <c r="L258" s="628"/>
      <c r="M258" s="628"/>
      <c r="N258" s="628"/>
      <c r="O258" s="628"/>
      <c r="S258" s="608"/>
    </row>
    <row r="259" spans="2:19">
      <c r="C259" s="602"/>
      <c r="D259" s="602"/>
      <c r="E259" s="873"/>
      <c r="F259" s="904"/>
      <c r="I259" s="602"/>
      <c r="J259" s="885"/>
      <c r="K259" s="885"/>
      <c r="L259" s="602"/>
      <c r="M259" s="614"/>
      <c r="N259" s="608"/>
      <c r="S259" s="608"/>
    </row>
    <row r="260" spans="2:19">
      <c r="C260" s="602"/>
      <c r="D260" s="602"/>
      <c r="E260" s="873"/>
      <c r="F260" s="904"/>
      <c r="I260" s="602"/>
      <c r="J260" s="885"/>
      <c r="K260" s="885"/>
      <c r="L260" s="602"/>
      <c r="M260" s="614"/>
      <c r="N260" s="608"/>
      <c r="S260" s="608"/>
    </row>
    <row r="261" spans="2:19">
      <c r="C261" s="602"/>
      <c r="D261" s="602"/>
      <c r="E261" s="873"/>
      <c r="F261" s="904"/>
      <c r="I261" s="602"/>
      <c r="J261" s="885"/>
      <c r="K261" s="885"/>
      <c r="L261" s="602"/>
      <c r="M261" s="614"/>
      <c r="N261" s="608"/>
      <c r="S261" s="608"/>
    </row>
    <row r="262" spans="2:19">
      <c r="C262" s="602"/>
      <c r="D262" s="602"/>
      <c r="E262" s="873"/>
      <c r="F262" s="904"/>
      <c r="I262" s="602"/>
      <c r="J262" s="885"/>
      <c r="K262" s="885"/>
      <c r="L262" s="602"/>
      <c r="M262" s="614"/>
      <c r="N262" s="608"/>
      <c r="S262" s="608"/>
    </row>
    <row r="263" spans="2:19">
      <c r="C263" s="602"/>
      <c r="D263" s="602"/>
      <c r="E263" s="873"/>
      <c r="F263" s="904"/>
      <c r="I263" s="602"/>
      <c r="J263" s="885"/>
      <c r="K263" s="885"/>
      <c r="L263" s="602"/>
      <c r="M263" s="614"/>
      <c r="N263" s="608"/>
      <c r="S263" s="608"/>
    </row>
    <row r="264" spans="2:19">
      <c r="F264" s="904"/>
      <c r="I264" s="602"/>
      <c r="J264" s="885"/>
      <c r="K264" s="885"/>
      <c r="L264" s="602"/>
      <c r="M264" s="614"/>
      <c r="N264" s="608"/>
      <c r="S264" s="608"/>
    </row>
  </sheetData>
  <mergeCells count="42">
    <mergeCell ref="M241:N241"/>
    <mergeCell ref="K255:O255"/>
    <mergeCell ref="K242:O242"/>
    <mergeCell ref="B234:B238"/>
    <mergeCell ref="F235:J235"/>
    <mergeCell ref="F243:J243"/>
    <mergeCell ref="K247:O247"/>
    <mergeCell ref="K251:O251"/>
    <mergeCell ref="C232:E232"/>
    <mergeCell ref="F232:G232"/>
    <mergeCell ref="H232:I232"/>
    <mergeCell ref="K235:L235"/>
    <mergeCell ref="K212:O212"/>
    <mergeCell ref="K219:O219"/>
    <mergeCell ref="Q219:R219"/>
    <mergeCell ref="Q212:R212"/>
    <mergeCell ref="K224:O224"/>
    <mergeCell ref="Q201:R201"/>
    <mergeCell ref="AB156:AF156"/>
    <mergeCell ref="K191:O191"/>
    <mergeCell ref="K172:O172"/>
    <mergeCell ref="AJ88:AM88"/>
    <mergeCell ref="K201:O201"/>
    <mergeCell ref="Q191:R191"/>
    <mergeCell ref="Q172:R172"/>
    <mergeCell ref="AG156:AH156"/>
    <mergeCell ref="AI237:AV237"/>
    <mergeCell ref="B1:AU1"/>
    <mergeCell ref="AR87:AU87"/>
    <mergeCell ref="AR88:AU88"/>
    <mergeCell ref="AF87:AI87"/>
    <mergeCell ref="F79:G79"/>
    <mergeCell ref="AN87:AQ87"/>
    <mergeCell ref="AB88:AE88"/>
    <mergeCell ref="AF88:AI88"/>
    <mergeCell ref="AN88:AQ88"/>
    <mergeCell ref="AB87:AE87"/>
    <mergeCell ref="H79:I79"/>
    <mergeCell ref="F155:G155"/>
    <mergeCell ref="H155:I155"/>
    <mergeCell ref="Q224:R224"/>
    <mergeCell ref="AJ87:AM87"/>
  </mergeCells>
  <phoneticPr fontId="17" type="noConversion"/>
  <conditionalFormatting sqref="AI238:AV238">
    <cfRule type="cellIs" dxfId="292" priority="1" stopIfTrue="1" operator="lessThan">
      <formula>0</formula>
    </cfRule>
  </conditionalFormatting>
  <printOptions horizontalCentered="1" verticalCentered="1"/>
  <pageMargins left="0" right="0" top="0" bottom="0" header="0" footer="0"/>
  <pageSetup scale="89" orientation="portrait" horizontalDpi="360" verticalDpi="360" r:id="rId1"/>
  <headerFooter alignWithMargins="0"/>
  <rowBreaks count="2" manualBreakCount="2">
    <brk id="79" max="16383" man="1"/>
    <brk id="155" max="16383" man="1"/>
  </rowBreaks>
  <colBreaks count="1" manualBreakCount="1">
    <brk id="26" max="1048575" man="1"/>
  </colBreaks>
  <legacyDrawing r:id="rId2"/>
</worksheet>
</file>

<file path=xl/worksheets/sheet8.xml><?xml version="1.0" encoding="utf-8"?>
<worksheet xmlns="http://schemas.openxmlformats.org/spreadsheetml/2006/main" xmlns:r="http://schemas.openxmlformats.org/officeDocument/2006/relationships">
  <sheetPr codeName="Sheet10">
    <tabColor rgb="FF0070C0"/>
  </sheetPr>
  <dimension ref="A1:AZ69"/>
  <sheetViews>
    <sheetView zoomScale="70" zoomScaleNormal="70" workbookViewId="0">
      <pane ySplit="1" topLeftCell="A20" activePane="bottomLeft" state="frozen"/>
      <selection activeCell="A2" sqref="A2"/>
      <selection pane="bottomLeft" activeCell="A35" sqref="A35"/>
    </sheetView>
  </sheetViews>
  <sheetFormatPr defaultColWidth="0" defaultRowHeight="12.75" zeroHeight="1"/>
  <cols>
    <col min="1" max="1" width="20.42578125" style="1" customWidth="1"/>
    <col min="2" max="2" width="7.140625" style="28" bestFit="1" customWidth="1"/>
    <col min="3" max="3" width="5.7109375" style="28" bestFit="1" customWidth="1"/>
    <col min="4" max="4" width="5.42578125" style="28" customWidth="1"/>
    <col min="5" max="5" width="6.42578125" style="28" customWidth="1"/>
    <col min="6" max="6" width="7.140625" style="28" bestFit="1" customWidth="1"/>
    <col min="7" max="7" width="7" style="28" bestFit="1" customWidth="1"/>
    <col min="8" max="10" width="5.7109375" style="28" customWidth="1"/>
    <col min="11" max="11" width="1.7109375" style="28" customWidth="1"/>
    <col min="12" max="12" width="17.28515625" customWidth="1"/>
    <col min="13" max="13" width="11" bestFit="1" customWidth="1"/>
    <col min="14" max="14" width="6.42578125" bestFit="1" customWidth="1"/>
    <col min="15" max="15" width="9.28515625" bestFit="1" customWidth="1"/>
    <col min="16" max="16" width="9.140625" style="473" customWidth="1"/>
    <col min="17" max="18" width="9" customWidth="1"/>
    <col min="19" max="19" width="5.85546875" style="469" customWidth="1"/>
    <col min="20" max="20" width="6.42578125" bestFit="1" customWidth="1"/>
    <col min="21" max="21" width="8.7109375" style="473" customWidth="1"/>
    <col min="22" max="22" width="11.140625" bestFit="1" customWidth="1"/>
    <col min="23" max="23" width="9.7109375" customWidth="1"/>
    <col min="24" max="24" width="9.140625" customWidth="1"/>
    <col min="25" max="25" width="7.5703125" bestFit="1" customWidth="1"/>
    <col min="26" max="26" width="10.85546875" style="473" bestFit="1" customWidth="1"/>
    <col min="27" max="27" width="8.7109375" customWidth="1"/>
    <col min="28" max="28" width="7.42578125" customWidth="1"/>
    <col min="29" max="29" width="5.85546875" customWidth="1"/>
    <col min="30" max="33" width="9.140625" customWidth="1"/>
    <col min="34" max="34" width="18.85546875" bestFit="1" customWidth="1"/>
    <col min="35" max="36" width="9.140625" customWidth="1"/>
    <col min="37" max="37" width="9.140625" hidden="1" customWidth="1"/>
    <col min="38" max="38" width="9.140625" customWidth="1" collapsed="1"/>
    <col min="39" max="40" width="9.140625" hidden="1" customWidth="1"/>
    <col min="41" max="41" width="9.140625" customWidth="1" collapsed="1"/>
    <col min="42" max="42" width="20.42578125" bestFit="1" customWidth="1"/>
    <col min="43" max="44" width="9.140625" customWidth="1"/>
    <col min="45" max="45" width="9.140625" hidden="1" customWidth="1"/>
    <col min="46" max="46" width="9.140625" customWidth="1" collapsed="1"/>
    <col min="47" max="52" width="9.140625" customWidth="1"/>
    <col min="53" max="16384" width="9.140625" hidden="1"/>
  </cols>
  <sheetData>
    <row r="1" spans="1:30" ht="24.75">
      <c r="A1" s="2679" t="s">
        <v>5564</v>
      </c>
      <c r="B1" s="2680"/>
      <c r="C1" s="2680"/>
      <c r="D1" s="233">
        <f>'Main Creation Page'!C3</f>
        <v>1</v>
      </c>
      <c r="L1" s="439">
        <v>28</v>
      </c>
      <c r="Q1" s="405"/>
      <c r="R1" s="405"/>
      <c r="S1" s="470"/>
      <c r="T1" s="405"/>
      <c r="U1" s="478"/>
      <c r="V1" s="420" t="s">
        <v>2520</v>
      </c>
      <c r="W1" s="419" t="s">
        <v>4282</v>
      </c>
      <c r="X1" s="58"/>
      <c r="Y1" t="s">
        <v>4547</v>
      </c>
      <c r="Z1" t="s">
        <v>2015</v>
      </c>
      <c r="AA1" t="s">
        <v>3559</v>
      </c>
      <c r="AB1" t="s">
        <v>4713</v>
      </c>
      <c r="AC1" t="s">
        <v>4715</v>
      </c>
    </row>
    <row r="2" spans="1:30" ht="15.95" customHeight="1">
      <c r="B2" s="28" t="s">
        <v>5360</v>
      </c>
      <c r="L2" s="454" t="s">
        <v>3979</v>
      </c>
      <c r="M2" s="245">
        <f>'Main Creation Page'!AD9</f>
        <v>166.54999999999998</v>
      </c>
      <c r="N2" s="251" t="s">
        <v>3775</v>
      </c>
      <c r="O2" s="452">
        <f>O29+U42+AA12+AA37+IF(B6="N",M5,0)+IF('Faith&amp;AOF'!C21="y",'Faith&amp;AOF'!G21,0)+IF('Main Creation Page'!I31="F",Funds!O51,0)</f>
        <v>244.03187500000001</v>
      </c>
      <c r="Q2" s="406" t="s">
        <v>3935</v>
      </c>
      <c r="S2" s="527" t="s">
        <v>4709</v>
      </c>
      <c r="T2" s="526" t="s">
        <v>5217</v>
      </c>
      <c r="W2" s="50">
        <v>1</v>
      </c>
      <c r="X2" s="50"/>
      <c r="Y2" s="44">
        <v>1</v>
      </c>
      <c r="Z2" s="471">
        <f>VLOOKUP($W2,Possessions!$O$3:$W$22,4)*$Y2</f>
        <v>1</v>
      </c>
      <c r="AA2" s="252">
        <f>VLOOKUP($W2,Possessions!$O$3:$W$22,6)*$Y2</f>
        <v>0.5</v>
      </c>
      <c r="AB2" s="410">
        <f>VLOOKUP($W2,Possessions!$O$3:$W$22,7)*$Y2</f>
        <v>10</v>
      </c>
      <c r="AC2" s="412">
        <f>$AB$12/'Main Creation Page'!$Q$44</f>
        <v>7.2857142857142856</v>
      </c>
      <c r="AD2" s="411" t="s">
        <v>3064</v>
      </c>
    </row>
    <row r="3" spans="1:30" ht="15.95" customHeight="1">
      <c r="A3" s="1" t="s">
        <v>1564</v>
      </c>
      <c r="B3" s="234">
        <f ca="1">'Main Creation Page'!J38</f>
        <v>517</v>
      </c>
      <c r="E3" s="601" t="s">
        <v>5358</v>
      </c>
      <c r="F3" s="601" t="s">
        <v>5362</v>
      </c>
      <c r="G3" s="236" t="s">
        <v>5361</v>
      </c>
      <c r="H3" s="601" t="s">
        <v>5360</v>
      </c>
      <c r="I3" s="601" t="s">
        <v>5359</v>
      </c>
      <c r="J3" s="601" t="s">
        <v>5363</v>
      </c>
      <c r="L3" s="468" t="s">
        <v>2668</v>
      </c>
      <c r="M3" s="246">
        <f>O26+U39+Z37+Z12+'Faith&amp;AOF'!F21</f>
        <v>111.921875</v>
      </c>
      <c r="N3" s="251" t="s">
        <v>4551</v>
      </c>
      <c r="O3" s="452">
        <f>O46+O29+U42+AA12+AA37+M5+M7+IF(P12="Y",O12,0)+IF(P13="Y",O13,0)</f>
        <v>6607.0318749999997</v>
      </c>
      <c r="Q3">
        <v>6</v>
      </c>
      <c r="S3" s="409">
        <f>VLOOKUP(Q3,Possessions!X303:AF308,5)</f>
        <v>0</v>
      </c>
      <c r="T3" s="252">
        <f>VLOOKUP(Q3,Possessions!X303:AF308,7)</f>
        <v>0</v>
      </c>
      <c r="W3">
        <v>8</v>
      </c>
      <c r="Y3" s="44">
        <v>1</v>
      </c>
      <c r="Z3" s="471">
        <f>VLOOKUP($W3,Possessions!$O$3:$W$22,4)*$Y3</f>
        <v>1</v>
      </c>
      <c r="AA3" s="252">
        <f>VLOOKUP($W3,Possessions!$O$3:$W$22,6)*$Y3</f>
        <v>0.5</v>
      </c>
      <c r="AB3" s="410">
        <f>VLOOKUP($W3,Possessions!$O$3:$W$22,7)*$Y3</f>
        <v>8</v>
      </c>
      <c r="AC3" s="412">
        <f>$AB$12/'Main Creation Page'!$R$44</f>
        <v>5.666666666666667</v>
      </c>
      <c r="AD3" s="411" t="s">
        <v>3622</v>
      </c>
    </row>
    <row r="4" spans="1:30" ht="15.95" customHeight="1">
      <c r="A4" s="1" t="s">
        <v>487</v>
      </c>
      <c r="B4" s="234">
        <f ca="1">'Main Creation Page'!J39</f>
        <v>1034</v>
      </c>
      <c r="C4" s="439">
        <v>9</v>
      </c>
      <c r="E4" s="237">
        <v>1</v>
      </c>
      <c r="F4" s="237">
        <v>6</v>
      </c>
      <c r="G4" s="237">
        <v>120</v>
      </c>
      <c r="H4" s="237">
        <v>1440</v>
      </c>
      <c r="I4" s="237">
        <v>2880</v>
      </c>
      <c r="J4" s="237">
        <v>5760</v>
      </c>
      <c r="L4" s="408" t="s">
        <v>2669</v>
      </c>
      <c r="M4" s="246">
        <f>Combat!F79+Combat!F155</f>
        <v>21</v>
      </c>
      <c r="Q4">
        <v>8</v>
      </c>
      <c r="S4" s="409">
        <f>VLOOKUP(Q4,Possessions!$X$281:$AF$302,5)</f>
        <v>0.5</v>
      </c>
      <c r="T4" s="252">
        <f>VLOOKUP(Q4,Possessions!$X$281:$AF$302,7)</f>
        <v>2</v>
      </c>
      <c r="W4">
        <v>2</v>
      </c>
      <c r="Y4" s="44">
        <v>1</v>
      </c>
      <c r="Z4" s="471">
        <f>VLOOKUP($W4,Possessions!$O$3:$W$22,4)*$Y4</f>
        <v>1</v>
      </c>
      <c r="AA4" s="252">
        <f>VLOOKUP($W4,Possessions!$O$3:$W$22,6)*$Y4</f>
        <v>0.25</v>
      </c>
      <c r="AB4" s="410">
        <f>VLOOKUP($W4,Possessions!$O$3:$W$22,7)*$Y4</f>
        <v>6</v>
      </c>
      <c r="AC4" s="412">
        <f>$AB$12/'Main Creation Page'!$S$44</f>
        <v>4.25</v>
      </c>
      <c r="AD4" s="411" t="s">
        <v>2980</v>
      </c>
    </row>
    <row r="5" spans="1:30" ht="15.95" customHeight="1">
      <c r="A5" s="1" t="s">
        <v>4618</v>
      </c>
      <c r="E5" s="238"/>
      <c r="F5" s="237">
        <v>1</v>
      </c>
      <c r="G5" s="237">
        <v>20</v>
      </c>
      <c r="H5" s="237">
        <v>240</v>
      </c>
      <c r="I5" s="237">
        <v>480</v>
      </c>
      <c r="J5" s="237">
        <v>960</v>
      </c>
      <c r="L5" s="408" t="s">
        <v>4492</v>
      </c>
      <c r="M5" s="246">
        <f>Combat!H79+Combat!H155</f>
        <v>4792</v>
      </c>
      <c r="O5" s="473"/>
      <c r="Q5">
        <v>7</v>
      </c>
      <c r="S5" s="409">
        <f>VLOOKUP(Q5,Possessions!$X$281:$AF$302,5)</f>
        <v>3.125E-2</v>
      </c>
      <c r="T5" s="252">
        <f>VLOOKUP(Q5,Possessions!$X$281:$AF$302,7)</f>
        <v>0.25</v>
      </c>
      <c r="W5">
        <v>11</v>
      </c>
      <c r="Y5" s="44">
        <v>1</v>
      </c>
      <c r="Z5" s="471">
        <f>VLOOKUP($W5,Possessions!$O$3:$W$22,4)*$Y5</f>
        <v>1</v>
      </c>
      <c r="AA5" s="252">
        <f>VLOOKUP($W5,Possessions!$O$3:$W$22,6)*$Y5</f>
        <v>0.24</v>
      </c>
      <c r="AB5" s="410">
        <f>VLOOKUP($W5,Possessions!$O$3:$W$22,7)*$Y5</f>
        <v>7</v>
      </c>
      <c r="AC5" s="411"/>
      <c r="AD5" s="411"/>
    </row>
    <row r="6" spans="1:30" ht="15.95" customHeight="1">
      <c r="A6" s="3" t="s">
        <v>1568</v>
      </c>
      <c r="B6" s="249" t="str">
        <f>IF(OR('Main Creation Page'!AB2&gt;69,'Main Creation Page'!AB2&lt;83),"Y","N")</f>
        <v>Y</v>
      </c>
      <c r="E6" s="238"/>
      <c r="F6" s="238"/>
      <c r="G6" s="237">
        <v>1</v>
      </c>
      <c r="H6" s="237">
        <v>12</v>
      </c>
      <c r="I6" s="237">
        <v>24</v>
      </c>
      <c r="J6" s="237">
        <v>48</v>
      </c>
      <c r="L6" s="408" t="s">
        <v>2670</v>
      </c>
      <c r="M6" s="246">
        <f>Combat!F232</f>
        <v>19.52</v>
      </c>
      <c r="Q6">
        <v>5</v>
      </c>
      <c r="S6" s="409">
        <f>VLOOKUP(Q6,Possessions!$X$281:$AF$302,5)</f>
        <v>1</v>
      </c>
      <c r="T6" s="252">
        <f>VLOOKUP(Q6,Possessions!$X$281:$AF$302,7)</f>
        <v>4</v>
      </c>
      <c r="W6">
        <v>13</v>
      </c>
      <c r="Y6" s="44">
        <v>1</v>
      </c>
      <c r="Z6" s="471">
        <f>VLOOKUP($W6,Possessions!$O$3:$W$22,4)*$Y6</f>
        <v>1</v>
      </c>
      <c r="AA6" s="252">
        <f>VLOOKUP($W6,Possessions!$O$3:$W$22,6)*$Y6</f>
        <v>0.5</v>
      </c>
      <c r="AB6" s="410">
        <f>VLOOKUP($W6,Possessions!$O$3:$W$22,7)*$Y6</f>
        <v>5</v>
      </c>
      <c r="AC6" s="411"/>
      <c r="AD6" s="411"/>
    </row>
    <row r="7" spans="1:30" ht="15.95" customHeight="1">
      <c r="A7" s="3" t="s">
        <v>1288</v>
      </c>
      <c r="B7" s="2681" t="str">
        <f>'System Lookups'!I206</f>
        <v>Medium</v>
      </c>
      <c r="C7" s="1296"/>
      <c r="E7" s="238"/>
      <c r="F7" s="238"/>
      <c r="G7" s="238"/>
      <c r="H7" s="237">
        <v>1</v>
      </c>
      <c r="I7" s="237">
        <v>2</v>
      </c>
      <c r="J7" s="237">
        <v>4</v>
      </c>
      <c r="L7" s="408" t="s">
        <v>1570</v>
      </c>
      <c r="M7" s="246">
        <f>Combat!H232</f>
        <v>1452</v>
      </c>
      <c r="Q7">
        <v>10</v>
      </c>
      <c r="S7" s="409">
        <f>VLOOKUP(Q7,Possessions!$X$281:$AF$302,5)</f>
        <v>0.125</v>
      </c>
      <c r="T7" s="252">
        <f>VLOOKUP(Q7,Possessions!$X$281:$AF$302,7)</f>
        <v>0.25</v>
      </c>
      <c r="W7">
        <v>12</v>
      </c>
      <c r="Y7" s="44">
        <v>1</v>
      </c>
      <c r="Z7" s="471">
        <f>VLOOKUP($W7,Possessions!$O$3:$W$22,4)*$Y7</f>
        <v>1</v>
      </c>
      <c r="AA7" s="252">
        <f>VLOOKUP($W7,Possessions!$O$3:$W$22,6)*$Y7</f>
        <v>0.5</v>
      </c>
      <c r="AB7" s="410">
        <f>VLOOKUP($W7,Possessions!$O$3:$W$22,7)*$Y7</f>
        <v>5</v>
      </c>
      <c r="AC7" s="411"/>
      <c r="AD7" s="411"/>
    </row>
    <row r="8" spans="1:30" ht="15.95" customHeight="1">
      <c r="A8" s="3" t="s">
        <v>1289</v>
      </c>
      <c r="B8" s="249" t="str">
        <f>IF(B7&lt;&gt;"None", "Y","N")</f>
        <v>Y</v>
      </c>
      <c r="E8" s="238"/>
      <c r="F8" s="238"/>
      <c r="G8" s="238"/>
      <c r="H8" s="238"/>
      <c r="I8" s="237">
        <v>1</v>
      </c>
      <c r="J8" s="237">
        <v>2</v>
      </c>
      <c r="L8" s="408" t="s">
        <v>2015</v>
      </c>
      <c r="M8" s="246">
        <f>M6+M4+M3</f>
        <v>152.44187499999998</v>
      </c>
      <c r="N8" s="481"/>
      <c r="O8" s="50"/>
      <c r="Q8">
        <v>1</v>
      </c>
      <c r="S8" s="409">
        <f>VLOOKUP(Q8,Possessions!$X$281:$AF$302,5)</f>
        <v>3.125E-2</v>
      </c>
      <c r="T8" s="252">
        <f>VLOOKUP(Q8,Possessions!$X$281:$AF$302,7)</f>
        <v>4</v>
      </c>
      <c r="W8">
        <v>15</v>
      </c>
      <c r="Y8" s="44">
        <v>1</v>
      </c>
      <c r="Z8" s="471">
        <f>VLOOKUP($W8,Possessions!$O$3:$W$22,4)*$Y8</f>
        <v>1</v>
      </c>
      <c r="AA8" s="252">
        <f>VLOOKUP($W8,Possessions!$O$3:$W$22,6)*$Y8</f>
        <v>1.5</v>
      </c>
      <c r="AB8" s="410">
        <f>VLOOKUP($W8,Possessions!$O$3:$W$22,7)*$Y8</f>
        <v>0</v>
      </c>
      <c r="AC8" s="411"/>
      <c r="AD8" s="411"/>
    </row>
    <row r="9" spans="1:30" ht="15.95" customHeight="1">
      <c r="A9" s="3" t="s">
        <v>2741</v>
      </c>
      <c r="B9" s="249" t="str">
        <f ca="1">IF('Main Creation Page'!C3=1,'System Lookups'!I197,IF('Main Creation Page'!C3=2,'System Lookups'!J197,'System Lookups'!K197))</f>
        <v>S</v>
      </c>
      <c r="E9" s="238"/>
      <c r="F9" s="238"/>
      <c r="G9" s="238"/>
      <c r="H9" s="239"/>
      <c r="I9" s="239"/>
      <c r="J9" s="483">
        <v>1</v>
      </c>
      <c r="L9" s="408" t="s">
        <v>1569</v>
      </c>
      <c r="M9" s="247">
        <f ca="1">IF(B6="Y",'System Lookups'!Q162,0)</f>
        <v>140</v>
      </c>
      <c r="Q9">
        <v>3</v>
      </c>
      <c r="S9" s="409">
        <f>VLOOKUP(Q9,Possessions!$X$281:$AF$302,5)</f>
        <v>3.125E-2</v>
      </c>
      <c r="T9" s="252">
        <f>VLOOKUP(Q9,Possessions!$X$281:$AF$302,7)</f>
        <v>12</v>
      </c>
      <c r="W9">
        <v>18</v>
      </c>
      <c r="Y9" s="44">
        <v>2</v>
      </c>
      <c r="Z9" s="471">
        <f>VLOOKUP($W9,Possessions!$O$3:$W$22,4)*$Y9</f>
        <v>2</v>
      </c>
      <c r="AA9" s="252">
        <f>VLOOKUP($W9,Possessions!$O$3:$W$22,6)*$Y9</f>
        <v>3</v>
      </c>
      <c r="AB9" s="410">
        <f>VLOOKUP($W9,Possessions!$O$3:$W$22,7)*$Y9</f>
        <v>10</v>
      </c>
      <c r="AC9" s="411"/>
      <c r="AD9" s="411"/>
    </row>
    <row r="10" spans="1:30" ht="15.95" customHeight="1">
      <c r="A10" s="3" t="s">
        <v>4619</v>
      </c>
      <c r="B10" s="241" t="s">
        <v>5224</v>
      </c>
      <c r="E10" s="2684" t="s">
        <v>1072</v>
      </c>
      <c r="F10" s="2684" t="s">
        <v>1073</v>
      </c>
      <c r="G10" s="2684" t="s">
        <v>1074</v>
      </c>
      <c r="H10" s="2692" t="s">
        <v>4708</v>
      </c>
      <c r="I10" s="2693"/>
      <c r="J10" s="2694"/>
      <c r="L10" s="408" t="s">
        <v>4839</v>
      </c>
      <c r="M10" s="247">
        <f ca="1">IF(B6="Y",'System Lookups'!Q162/5,0)</f>
        <v>28</v>
      </c>
      <c r="Q10">
        <v>22</v>
      </c>
      <c r="S10" s="409">
        <f>VLOOKUP(Q10,Possessions!$X$281:$AF$302,5)</f>
        <v>0</v>
      </c>
      <c r="T10" s="252">
        <f>VLOOKUP(Q10,Possessions!$X$281:$AF$302,7)</f>
        <v>0</v>
      </c>
      <c r="W10">
        <v>19</v>
      </c>
      <c r="Y10" s="44">
        <v>2</v>
      </c>
      <c r="Z10" s="471">
        <f>VLOOKUP($W10,Possessions!$O$3:$W$22,4)*$Y10</f>
        <v>0.125</v>
      </c>
      <c r="AA10" s="252">
        <f>VLOOKUP($W10,Possessions!$O$3:$W$22,6)*$Y10</f>
        <v>1</v>
      </c>
      <c r="AB10" s="410">
        <f>VLOOKUP($W10,Possessions!$O$3:$W$22,7)*$Y10</f>
        <v>0</v>
      </c>
      <c r="AC10" s="411"/>
      <c r="AD10" s="411"/>
    </row>
    <row r="11" spans="1:30" ht="15.95" customHeight="1">
      <c r="A11" s="3" t="s">
        <v>4838</v>
      </c>
      <c r="B11" s="242"/>
      <c r="E11" s="2685"/>
      <c r="F11" s="2685"/>
      <c r="G11" s="2685"/>
      <c r="H11" s="2695"/>
      <c r="I11" s="2696"/>
      <c r="J11" s="2697"/>
      <c r="P11" s="476" t="s">
        <v>4554</v>
      </c>
      <c r="Q11">
        <v>22</v>
      </c>
      <c r="S11" s="409">
        <f>VLOOKUP(Q11,Possessions!$X$281:$AF$302,5)</f>
        <v>0</v>
      </c>
      <c r="T11" s="252">
        <f>VLOOKUP(Q11,Possessions!$X$281:$AF$302,7)</f>
        <v>0</v>
      </c>
      <c r="W11">
        <v>20</v>
      </c>
      <c r="Y11" s="316"/>
      <c r="Z11" s="471">
        <f>VLOOKUP($W11,Possessions!$O$3:$W$22,4)*$Y11</f>
        <v>0</v>
      </c>
      <c r="AA11" s="252">
        <f>VLOOKUP($W11,Possessions!$O$3:$W$22,6)*$Y11</f>
        <v>0</v>
      </c>
      <c r="AB11" s="410">
        <f>VLOOKUP($W11,Possessions!$O$3:$W$22,7)*$Y11</f>
        <v>0</v>
      </c>
      <c r="AC11" s="411"/>
      <c r="AD11" s="411"/>
    </row>
    <row r="12" spans="1:30" ht="15.95" customHeight="1">
      <c r="E12" s="237">
        <v>240</v>
      </c>
      <c r="F12" s="237">
        <v>12</v>
      </c>
      <c r="G12" s="484">
        <v>1</v>
      </c>
      <c r="H12" s="2695"/>
      <c r="I12" s="2696"/>
      <c r="J12" s="2697"/>
      <c r="L12">
        <v>4</v>
      </c>
      <c r="M12" s="1175" t="s">
        <v>431</v>
      </c>
      <c r="N12" s="1175"/>
      <c r="O12" s="311">
        <f ca="1">'Character Sheet'!Q406</f>
        <v>1400</v>
      </c>
      <c r="P12" s="477" t="s">
        <v>5224</v>
      </c>
      <c r="Q12">
        <v>22</v>
      </c>
      <c r="S12" s="409">
        <f>VLOOKUP(Q12,Possessions!$X$281:$AF$302,5)</f>
        <v>0</v>
      </c>
      <c r="T12" s="252">
        <f>VLOOKUP(Q12,Possessions!$X$281:$AF$302,7)</f>
        <v>0</v>
      </c>
      <c r="X12" s="2690" t="s">
        <v>4714</v>
      </c>
      <c r="Y12" s="2691"/>
      <c r="Z12" s="421">
        <f>SUM(Z2:Z11)</f>
        <v>9.125</v>
      </c>
      <c r="AA12" s="421">
        <f>SUM(AA2:AA11)</f>
        <v>7.99</v>
      </c>
      <c r="AB12" s="422">
        <f>SUM(AB2:AB11)</f>
        <v>51</v>
      </c>
      <c r="AC12" s="411"/>
      <c r="AD12" s="411"/>
    </row>
    <row r="13" spans="1:30" ht="15.95" customHeight="1">
      <c r="E13" s="237">
        <v>12</v>
      </c>
      <c r="F13" s="237">
        <v>1</v>
      </c>
      <c r="G13" s="485">
        <f>F13/12</f>
        <v>8.3333333333333329E-2</v>
      </c>
      <c r="H13" s="2695"/>
      <c r="I13" s="2696"/>
      <c r="J13" s="2697"/>
      <c r="L13">
        <v>12</v>
      </c>
      <c r="M13" s="1175" t="s">
        <v>432</v>
      </c>
      <c r="N13" s="1175"/>
      <c r="O13" s="311">
        <f ca="1">'Character Sheet'!AW406</f>
        <v>160</v>
      </c>
      <c r="P13" s="477" t="s">
        <v>5224</v>
      </c>
      <c r="Q13">
        <v>22</v>
      </c>
      <c r="S13" s="409">
        <f>VLOOKUP(Q13,Possessions!$X$281:$AF$302,5)</f>
        <v>0</v>
      </c>
      <c r="T13" s="252">
        <f>VLOOKUP(Q13,Possessions!$X$281:$AF$302,7)</f>
        <v>0</v>
      </c>
      <c r="W13" s="411"/>
      <c r="X13" s="411"/>
    </row>
    <row r="14" spans="1:30" ht="15.95" customHeight="1">
      <c r="A14" s="3" t="s">
        <v>1300</v>
      </c>
      <c r="B14" s="28" t="s">
        <v>4326</v>
      </c>
      <c r="C14" s="28" t="s">
        <v>1299</v>
      </c>
      <c r="E14" s="237">
        <v>1</v>
      </c>
      <c r="F14" s="243">
        <f>E14/12</f>
        <v>8.3333333333333329E-2</v>
      </c>
      <c r="G14" s="486">
        <f>F14/12</f>
        <v>6.9444444444444441E-3</v>
      </c>
      <c r="H14" s="2695"/>
      <c r="I14" s="2696"/>
      <c r="J14" s="2697"/>
      <c r="L14">
        <v>12</v>
      </c>
      <c r="M14" s="1175" t="s">
        <v>432</v>
      </c>
      <c r="N14" s="1175"/>
      <c r="O14" s="311">
        <f ca="1">'Character Sheet'!CC406</f>
        <v>160</v>
      </c>
      <c r="P14" s="477" t="s">
        <v>5224</v>
      </c>
      <c r="Q14">
        <v>15</v>
      </c>
      <c r="S14" s="409">
        <f>VLOOKUP(Q14,Possessions!$X$263:$AF$279,5)</f>
        <v>3</v>
      </c>
      <c r="T14" s="252">
        <f>VLOOKUP(Q14,Possessions!$X$263:$AF$279,7)</f>
        <v>7</v>
      </c>
      <c r="V14" s="420" t="s">
        <v>2520</v>
      </c>
      <c r="W14" s="2687" t="s">
        <v>4711</v>
      </c>
      <c r="X14" s="2688"/>
      <c r="Y14" t="s">
        <v>4547</v>
      </c>
      <c r="Z14" t="s">
        <v>2015</v>
      </c>
      <c r="AA14" t="s">
        <v>3559</v>
      </c>
      <c r="AB14" t="s">
        <v>4713</v>
      </c>
      <c r="AC14" t="s">
        <v>4715</v>
      </c>
    </row>
    <row r="15" spans="1:30" ht="15.95" customHeight="1">
      <c r="A15" s="3" t="s">
        <v>1565</v>
      </c>
      <c r="B15" s="235">
        <v>0</v>
      </c>
      <c r="C15" s="235">
        <v>0</v>
      </c>
      <c r="H15" s="2695"/>
      <c r="I15" s="2696"/>
      <c r="J15" s="2697"/>
      <c r="L15" s="406" t="s">
        <v>2519</v>
      </c>
      <c r="M15" s="526" t="s">
        <v>4709</v>
      </c>
      <c r="N15" s="54" t="s">
        <v>5217</v>
      </c>
      <c r="Q15">
        <v>15</v>
      </c>
      <c r="S15" s="409">
        <f>VLOOKUP(Q15,Possessions!$X$263:$AF$279,5)</f>
        <v>3</v>
      </c>
      <c r="T15" s="252">
        <f>VLOOKUP(Q15,Possessions!$X$263:$AF$279,7)</f>
        <v>7</v>
      </c>
      <c r="V15" s="34" t="s">
        <v>4043</v>
      </c>
      <c r="W15">
        <v>2</v>
      </c>
      <c r="Y15" s="317">
        <v>0.25</v>
      </c>
      <c r="Z15" s="472">
        <f>VLOOKUP($W15,Possessions!$O$25:$W$41,4)*$Y15</f>
        <v>0.25</v>
      </c>
      <c r="AA15" s="423">
        <f>VLOOKUP($W15,Possessions!$O$25:$W$41,6)*$Y15</f>
        <v>0.25</v>
      </c>
      <c r="AB15" s="424">
        <f>VLOOKUP($W15,Possessions!$O$25:$W$41,7)*$Y15</f>
        <v>1.5</v>
      </c>
      <c r="AC15" s="425">
        <f>$AB$37/'Main Creation Page'!$Q$44</f>
        <v>11.830357142857142</v>
      </c>
      <c r="AD15" s="411" t="s">
        <v>3064</v>
      </c>
    </row>
    <row r="16" spans="1:30" ht="15.95" customHeight="1">
      <c r="A16" s="3" t="s">
        <v>1566</v>
      </c>
      <c r="B16" s="235">
        <v>0</v>
      </c>
      <c r="C16" s="235">
        <v>5</v>
      </c>
      <c r="E16" s="450">
        <v>1</v>
      </c>
      <c r="F16" s="383">
        <v>1</v>
      </c>
      <c r="G16" s="240"/>
      <c r="H16" s="2695"/>
      <c r="I16" s="2696"/>
      <c r="J16" s="2697"/>
      <c r="L16">
        <v>1</v>
      </c>
      <c r="M16" s="409">
        <f>VLOOKUP(L16,Possessions!$X$187:$AF$189,5)</f>
        <v>2</v>
      </c>
      <c r="N16" s="252">
        <f>VLOOKUP(L16,Possessions!$X$187:$AF$189,7)</f>
        <v>8</v>
      </c>
      <c r="Q16">
        <v>17</v>
      </c>
      <c r="S16" s="409">
        <f>VLOOKUP(Q16,Possessions!$X$263:$AF$279,5)</f>
        <v>0</v>
      </c>
      <c r="T16" s="252">
        <f>VLOOKUP(Q16,Possessions!$X$263:$AF$279,7)</f>
        <v>0</v>
      </c>
      <c r="V16" s="34" t="s">
        <v>4043</v>
      </c>
      <c r="W16">
        <v>10</v>
      </c>
      <c r="Y16" s="44">
        <v>0.25</v>
      </c>
      <c r="Z16" s="471">
        <f>VLOOKUP($W16,Possessions!$O$25:$W$41,4)*$Y16</f>
        <v>0.25</v>
      </c>
      <c r="AA16" s="252">
        <f>VLOOKUP($W16,Possessions!$O$25:$W$41,6)*$Y16</f>
        <v>0.25</v>
      </c>
      <c r="AB16" s="410">
        <f>VLOOKUP($W16,Possessions!$O$25:$W$41,7)*$Y16</f>
        <v>2.5</v>
      </c>
      <c r="AC16" s="412">
        <f>$AB$37/'Main Creation Page'!$R$44</f>
        <v>9.2013888888888893</v>
      </c>
      <c r="AD16" s="411" t="s">
        <v>3622</v>
      </c>
    </row>
    <row r="17" spans="1:30" ht="15.95" customHeight="1">
      <c r="A17" s="3" t="s">
        <v>5360</v>
      </c>
      <c r="B17" s="235">
        <v>10</v>
      </c>
      <c r="C17" s="235">
        <v>6</v>
      </c>
      <c r="E17" s="450">
        <v>0.5</v>
      </c>
      <c r="F17" s="32" t="s">
        <v>4548</v>
      </c>
      <c r="G17" s="240"/>
      <c r="H17" s="2695"/>
      <c r="I17" s="2696"/>
      <c r="J17" s="2697"/>
      <c r="L17">
        <v>3</v>
      </c>
      <c r="M17" s="409">
        <f>VLOOKUP(L17,Possessions!$X$190:$AF$199,5)</f>
        <v>8.5</v>
      </c>
      <c r="N17" s="252">
        <f>VLOOKUP(L17,Possessions!$X$190:$AF$199,7)</f>
        <v>2</v>
      </c>
      <c r="Q17">
        <v>17</v>
      </c>
      <c r="S17" s="409">
        <f>VLOOKUP(Q17,Possessions!$X$263:$AF$279,5)</f>
        <v>0</v>
      </c>
      <c r="T17" s="252">
        <f>VLOOKUP(Q17,Possessions!$X$263:$AF$279,7)</f>
        <v>0</v>
      </c>
      <c r="V17" s="34" t="s">
        <v>4043</v>
      </c>
      <c r="W17">
        <v>13</v>
      </c>
      <c r="Y17" s="44">
        <v>0.5</v>
      </c>
      <c r="Z17" s="471">
        <f>VLOOKUP($W17,Possessions!$O$25:$W$41,4)*$Y17</f>
        <v>0.5</v>
      </c>
      <c r="AA17" s="252">
        <f>VLOOKUP($W17,Possessions!$O$25:$W$41,6)*$Y17</f>
        <v>0.125</v>
      </c>
      <c r="AB17" s="410">
        <f>VLOOKUP($W17,Possessions!$O$25:$W$41,7)*$Y17</f>
        <v>3</v>
      </c>
      <c r="AC17" s="412">
        <f>$AB$37/'Main Creation Page'!$S$44</f>
        <v>6.901041666666667</v>
      </c>
      <c r="AD17" s="411" t="s">
        <v>2980</v>
      </c>
    </row>
    <row r="18" spans="1:30" ht="15.95" customHeight="1">
      <c r="A18" s="3" t="s">
        <v>5359</v>
      </c>
      <c r="B18" s="235">
        <v>13</v>
      </c>
      <c r="C18" s="235">
        <v>7</v>
      </c>
      <c r="E18" s="450">
        <v>0.25</v>
      </c>
      <c r="F18" s="451" t="s">
        <v>4549</v>
      </c>
      <c r="G18" s="405"/>
      <c r="H18" s="2695"/>
      <c r="I18" s="2696"/>
      <c r="J18" s="2697"/>
      <c r="L18">
        <v>10</v>
      </c>
      <c r="M18" s="409">
        <f>VLOOKUP(L18,Possessions!$X$190:$AF$199,5)</f>
        <v>1</v>
      </c>
      <c r="N18" s="252">
        <f>VLOOKUP(L18,Possessions!$X$190:$AF$199,7)</f>
        <v>3</v>
      </c>
      <c r="Q18">
        <v>18</v>
      </c>
      <c r="S18" s="409">
        <f>VLOOKUP(Q18,Possessions!$X$207:$AF$235,5)</f>
        <v>1</v>
      </c>
      <c r="T18" s="252">
        <f>VLOOKUP(Q18,Possessions!$X$207:$AF$235,7)</f>
        <v>1</v>
      </c>
      <c r="V18" s="34" t="s">
        <v>4716</v>
      </c>
      <c r="W18">
        <v>2</v>
      </c>
      <c r="Y18" s="44">
        <v>1</v>
      </c>
      <c r="Z18" s="471">
        <f>VLOOKUP($W18,Possessions!$O$90:$W$95,4)*$Y18</f>
        <v>1</v>
      </c>
      <c r="AA18" s="252">
        <f>VLOOKUP($W18,Possessions!$O$90:$W$95,6)*$Y18</f>
        <v>0.75</v>
      </c>
      <c r="AB18" s="410">
        <f>VLOOKUP($W18,Possessions!$O$90:$W$95,7)*$Y18</f>
        <v>0</v>
      </c>
    </row>
    <row r="19" spans="1:30" ht="15.95" customHeight="1">
      <c r="A19" s="3" t="s">
        <v>1567</v>
      </c>
      <c r="B19" s="235">
        <v>14</v>
      </c>
      <c r="C19" s="235">
        <v>8</v>
      </c>
      <c r="E19" s="450">
        <v>0.125</v>
      </c>
      <c r="F19" s="32" t="s">
        <v>4550</v>
      </c>
      <c r="G19" s="405"/>
      <c r="H19" s="2695"/>
      <c r="I19" s="2696"/>
      <c r="J19" s="2697"/>
      <c r="L19">
        <v>1</v>
      </c>
      <c r="M19" s="409">
        <f>VLOOKUP(L19,Possessions!$X$200:$AF$205,5)</f>
        <v>30</v>
      </c>
      <c r="N19" s="252">
        <f>VLOOKUP(L19,Possessions!$X$200:$AF$205,7)</f>
        <v>48</v>
      </c>
      <c r="Q19">
        <v>7</v>
      </c>
      <c r="S19" s="409">
        <f>VLOOKUP(Q19,Possessions!$X$207:$AF$235,5)</f>
        <v>0.25</v>
      </c>
      <c r="T19" s="252">
        <f>VLOOKUP(Q19,Possessions!$X$207:$AF$235,7)</f>
        <v>15</v>
      </c>
      <c r="V19" s="34" t="s">
        <v>4716</v>
      </c>
      <c r="W19">
        <v>3</v>
      </c>
      <c r="Y19" s="44">
        <v>0.25</v>
      </c>
      <c r="Z19" s="471">
        <f>VLOOKUP($W19,Possessions!$O$90:$W$95,4)*$Y19</f>
        <v>0.25</v>
      </c>
      <c r="AA19" s="252">
        <f>VLOOKUP($W19,Possessions!$O$90:$W$95,6)*$Y19</f>
        <v>0.25</v>
      </c>
      <c r="AB19" s="410">
        <f>VLOOKUP($W19,Possessions!$O$90:$W$95,7)*$Y19</f>
        <v>1.5</v>
      </c>
    </row>
    <row r="20" spans="1:30" ht="15.95" customHeight="1">
      <c r="A20" s="3" t="s">
        <v>4744</v>
      </c>
      <c r="B20" s="234">
        <f>B17+B18/2+B19/4+B16*20+B15*240</f>
        <v>20</v>
      </c>
      <c r="C20" s="246">
        <f>C17+C18/2+C19/4+C16*20+C15*240</f>
        <v>111.5</v>
      </c>
      <c r="E20" s="448"/>
      <c r="F20"/>
      <c r="G20" s="405"/>
      <c r="H20" s="2695"/>
      <c r="I20" s="2696"/>
      <c r="J20" s="2697"/>
      <c r="L20">
        <v>1</v>
      </c>
      <c r="M20" s="409">
        <f>VLOOKUP(L20,Possessions!$X$176:$AF$186,5)</f>
        <v>2</v>
      </c>
      <c r="N20" s="252">
        <f>VLOOKUP(L20,Possessions!$X$176:$AF$186,7)</f>
        <v>0</v>
      </c>
      <c r="Q20">
        <v>20</v>
      </c>
      <c r="S20" s="409">
        <f>VLOOKUP(Q20,Possessions!$X$207:$AF$235,5)</f>
        <v>6</v>
      </c>
      <c r="T20" s="252">
        <f>VLOOKUP(Q20,Possessions!$X$207:$AF$235,7)</f>
        <v>2.2000000000000002</v>
      </c>
      <c r="V20" s="34" t="s">
        <v>4716</v>
      </c>
      <c r="W20">
        <v>5</v>
      </c>
      <c r="Y20" s="44">
        <v>0.25</v>
      </c>
      <c r="Z20" s="471">
        <f>VLOOKUP($W20,Possessions!$O$90:$W$95,4)*$Y20</f>
        <v>7.8125E-2</v>
      </c>
      <c r="AA20" s="252">
        <f>VLOOKUP($W20,Possessions!$O$90:$W$95,6)*$Y20</f>
        <v>6.25E-2</v>
      </c>
      <c r="AB20" s="410">
        <f>VLOOKUP($W20,Possessions!$O$90:$W$95,7)*$Y20</f>
        <v>0</v>
      </c>
    </row>
    <row r="21" spans="1:30" ht="15.95" customHeight="1">
      <c r="E21" s="2682" t="s">
        <v>3769</v>
      </c>
      <c r="F21" s="2683"/>
      <c r="G21" s="405"/>
      <c r="H21" s="2695"/>
      <c r="I21" s="2696"/>
      <c r="J21" s="2697"/>
      <c r="L21">
        <v>6</v>
      </c>
      <c r="M21" s="409">
        <f>VLOOKUP(L21,Possessions!$X$176:$AF$186,5)</f>
        <v>1.5</v>
      </c>
      <c r="N21" s="252">
        <f>VLOOKUP(L21,Possessions!$X$176:$AF$186,7)</f>
        <v>16</v>
      </c>
      <c r="Q21">
        <v>25</v>
      </c>
      <c r="S21" s="409">
        <f>VLOOKUP(Q21,Possessions!$X$207:$AF$235,5)</f>
        <v>6.25E-2</v>
      </c>
      <c r="T21" s="252">
        <f>VLOOKUP(Q21,Possessions!$X$207:$AF$235,7)</f>
        <v>1</v>
      </c>
      <c r="V21" s="34" t="s">
        <v>457</v>
      </c>
      <c r="W21">
        <v>9</v>
      </c>
      <c r="Y21" s="44">
        <v>0.25</v>
      </c>
      <c r="Z21" s="471">
        <f>VLOOKUP($W21,Possessions!$O$43:$W$67,4)*$Y21</f>
        <v>0.25</v>
      </c>
      <c r="AA21" s="252">
        <f>VLOOKUP($W21,Possessions!$O$43:$W$67,6)*$Y21</f>
        <v>6.25E-2</v>
      </c>
      <c r="AB21" s="410">
        <f>VLOOKUP($W21,Possessions!$O$43:$W$67,7)*$Y21</f>
        <v>0.5</v>
      </c>
    </row>
    <row r="22" spans="1:30" ht="15.95" customHeight="1">
      <c r="A22" s="1" t="s">
        <v>4552</v>
      </c>
      <c r="B22" s="453">
        <f>O29</f>
        <v>108.49</v>
      </c>
      <c r="E22" s="408" t="s">
        <v>3772</v>
      </c>
      <c r="F22" s="244">
        <f ca="1">INT(RAND()*10)+INT(RAND()*10)</f>
        <v>15</v>
      </c>
      <c r="G22" s="405"/>
      <c r="H22" s="2695"/>
      <c r="I22" s="2696"/>
      <c r="J22" s="2697"/>
      <c r="L22">
        <v>7</v>
      </c>
      <c r="M22" s="409">
        <f>VLOOKUP(L22,Possessions!$X$176:$AF$186,5)</f>
        <v>2</v>
      </c>
      <c r="N22" s="252">
        <f>VLOOKUP(L22,Possessions!$X$176:$AF$186,7)</f>
        <v>0.24</v>
      </c>
      <c r="P22" s="475"/>
      <c r="Q22">
        <v>14</v>
      </c>
      <c r="S22" s="409">
        <f>VLOOKUP(Q22,Possessions!$X$207:$AF$235,5)</f>
        <v>0</v>
      </c>
      <c r="T22" s="252">
        <f>VLOOKUP(Q22,Possessions!$X$207:$AF$235,7)</f>
        <v>1</v>
      </c>
      <c r="V22" s="34" t="s">
        <v>457</v>
      </c>
      <c r="W22">
        <v>10</v>
      </c>
      <c r="Y22" s="44">
        <v>0.25</v>
      </c>
      <c r="Z22" s="471">
        <f>VLOOKUP($W22,Possessions!$O$43:$W$67,4)*$Y22</f>
        <v>0.25</v>
      </c>
      <c r="AA22" s="252">
        <f>VLOOKUP($W22,Possessions!$O$43:$W$67,6)*$Y22</f>
        <v>0.125</v>
      </c>
      <c r="AB22" s="410">
        <f>VLOOKUP($W22,Possessions!$O$43:$W$67,7)*$Y22</f>
        <v>0.5</v>
      </c>
    </row>
    <row r="23" spans="1:30" ht="15.95" customHeight="1">
      <c r="A23" s="1" t="s">
        <v>4553</v>
      </c>
      <c r="B23" s="247">
        <f ca="1">B4-B22</f>
        <v>925.51</v>
      </c>
      <c r="E23" s="408" t="s">
        <v>5366</v>
      </c>
      <c r="F23" s="244">
        <f ca="1">INT(RAND()*10)+1</f>
        <v>4</v>
      </c>
      <c r="G23" s="405"/>
      <c r="H23" s="2695"/>
      <c r="I23" s="2696"/>
      <c r="J23" s="2697"/>
      <c r="L23">
        <v>3</v>
      </c>
      <c r="M23" s="409">
        <f>VLOOKUP(L23,Possessions!$X$251:$AF$260,5)</f>
        <v>0.5</v>
      </c>
      <c r="N23" s="252">
        <f>VLOOKUP(L23,Possessions!$X$251:$AF$260,7)</f>
        <v>1</v>
      </c>
      <c r="Q23">
        <v>24</v>
      </c>
      <c r="S23" s="409">
        <f>VLOOKUP(Q23,Possessions!$X$207:$AF$235,5)</f>
        <v>0.25</v>
      </c>
      <c r="T23" s="252">
        <f>VLOOKUP(Q23,Possessions!$X$207:$AF$235,7)</f>
        <v>14</v>
      </c>
      <c r="U23" s="479"/>
      <c r="V23" s="34" t="s">
        <v>457</v>
      </c>
      <c r="W23">
        <v>12</v>
      </c>
      <c r="Y23" s="44">
        <v>0.25</v>
      </c>
      <c r="Z23" s="471">
        <f>VLOOKUP($W23,Possessions!$O$43:$W$67,4)*$Y23</f>
        <v>0.25</v>
      </c>
      <c r="AA23" s="252">
        <f>VLOOKUP($W23,Possessions!$O$43:$W$67,6)*$Y23</f>
        <v>6.25E-2</v>
      </c>
      <c r="AB23" s="410">
        <f>VLOOKUP($W23,Possessions!$O$43:$W$67,7)*$Y23</f>
        <v>0.75</v>
      </c>
    </row>
    <row r="24" spans="1:30" ht="15.95" customHeight="1">
      <c r="G24"/>
      <c r="H24" s="2695"/>
      <c r="I24" s="2696"/>
      <c r="J24" s="2697"/>
      <c r="L24">
        <v>1</v>
      </c>
      <c r="M24" s="409">
        <f>VLOOKUP(L24,Possessions!$X$251:$AF$260,5)</f>
        <v>0.5</v>
      </c>
      <c r="N24" s="252">
        <f>VLOOKUP(L24,Possessions!$X$251:$AF$260,7)</f>
        <v>0.5</v>
      </c>
      <c r="O24" s="2686" t="s">
        <v>2667</v>
      </c>
      <c r="Q24">
        <v>27</v>
      </c>
      <c r="S24" s="409">
        <f>VLOOKUP(Q24,Possessions!$X$207:$AF$235,5)</f>
        <v>0.5</v>
      </c>
      <c r="T24" s="252">
        <f>VLOOKUP(Q24,Possessions!$X$207:$AF$235,7)</f>
        <v>0.06</v>
      </c>
      <c r="U24" s="479"/>
      <c r="V24" s="34" t="s">
        <v>457</v>
      </c>
      <c r="W24">
        <v>13</v>
      </c>
      <c r="Y24" s="44">
        <v>0.25</v>
      </c>
      <c r="Z24" s="471">
        <f>VLOOKUP($W24,Possessions!$O$43:$W$67,4)*$Y24</f>
        <v>0.25</v>
      </c>
      <c r="AA24" s="252">
        <f>VLOOKUP($W24,Possessions!$O$43:$W$67,6)*$Y24</f>
        <v>6.25E-2</v>
      </c>
      <c r="AB24" s="410">
        <f>VLOOKUP($W24,Possessions!$O$43:$W$67,7)*$Y24</f>
        <v>0.75</v>
      </c>
    </row>
    <row r="25" spans="1:30" ht="15.95" customHeight="1">
      <c r="A25" s="248" t="s">
        <v>1287</v>
      </c>
      <c r="G25"/>
      <c r="H25" s="2698"/>
      <c r="I25" s="2696"/>
      <c r="J25" s="2697"/>
      <c r="L25">
        <v>5</v>
      </c>
      <c r="M25" s="409">
        <f>VLOOKUP(L25,Possessions!$X$251:$AF$260,5)</f>
        <v>6.25E-2</v>
      </c>
      <c r="N25" s="252">
        <f>VLOOKUP(L25,Possessions!$X$251:$AF$260,7)</f>
        <v>0.25</v>
      </c>
      <c r="O25" s="2686"/>
      <c r="Q25">
        <v>28</v>
      </c>
      <c r="S25" s="409">
        <f>VLOOKUP(Q25,Possessions!$X$207:$AF$235,5)</f>
        <v>6</v>
      </c>
      <c r="T25" s="252">
        <f>VLOOKUP(Q25,Possessions!$X$207:$AF$235,7)</f>
        <v>2</v>
      </c>
      <c r="U25" s="480"/>
      <c r="V25" s="34" t="s">
        <v>458</v>
      </c>
      <c r="W25">
        <v>2</v>
      </c>
      <c r="Y25" s="44">
        <v>0.25</v>
      </c>
      <c r="Z25" s="471">
        <f>VLOOKUP($W25,Possessions!$O$69:$W$87,4)*$Y25</f>
        <v>0.25</v>
      </c>
      <c r="AA25" s="252">
        <f>VLOOKUP($W25,Possessions!$O$69:$W$87,6)*$Y25</f>
        <v>6.25E-2</v>
      </c>
      <c r="AB25" s="410">
        <f>VLOOKUP($W25,Possessions!$O$69:$W$87,7)*$Y25</f>
        <v>0.75</v>
      </c>
    </row>
    <row r="26" spans="1:30" ht="15.95" customHeight="1">
      <c r="A26" s="248" t="s">
        <v>2140</v>
      </c>
      <c r="B26" s="28">
        <f ca="1">'System Lookups'!I202</f>
        <v>0.1</v>
      </c>
      <c r="G26"/>
      <c r="H26" s="2698"/>
      <c r="I26" s="2696"/>
      <c r="J26" s="2697"/>
      <c r="L26">
        <v>7</v>
      </c>
      <c r="M26" s="409">
        <f>VLOOKUP(L26,Possessions!$X$251:$AF$260,5)</f>
        <v>3</v>
      </c>
      <c r="N26" s="252">
        <f>VLOOKUP(L26,Possessions!$X$251:$AF$260,7)</f>
        <v>24</v>
      </c>
      <c r="O26" s="474">
        <f>SUM(M16:M29)</f>
        <v>52.8125</v>
      </c>
      <c r="Q26">
        <v>22</v>
      </c>
      <c r="S26" s="409">
        <f>VLOOKUP(Q26,Possessions!$X$207:$AF$235,5)</f>
        <v>1</v>
      </c>
      <c r="T26" s="252">
        <f>VLOOKUP(Q26,Possessions!$X$207:$AF$235,7)</f>
        <v>1</v>
      </c>
      <c r="V26" s="34" t="s">
        <v>458</v>
      </c>
      <c r="W26">
        <v>3</v>
      </c>
      <c r="Y26" s="44">
        <v>0.25</v>
      </c>
      <c r="Z26" s="471">
        <f>VLOOKUP($W26,Possessions!$O$69:$W$87,4)*$Y26</f>
        <v>0.25</v>
      </c>
      <c r="AA26" s="252">
        <f>VLOOKUP($W26,Possessions!$O$69:$W$87,6)*$Y26</f>
        <v>0.125</v>
      </c>
      <c r="AB26" s="410">
        <f>VLOOKUP($W26,Possessions!$O$69:$W$87,7)*$Y26</f>
        <v>0.75</v>
      </c>
    </row>
    <row r="27" spans="1:30" ht="15.95" customHeight="1">
      <c r="A27" s="248" t="s">
        <v>2141</v>
      </c>
      <c r="B27" s="28">
        <f ca="1">'System Lookups'!I203</f>
        <v>3</v>
      </c>
      <c r="G27"/>
      <c r="H27" s="2698"/>
      <c r="I27" s="2696"/>
      <c r="J27" s="2697"/>
      <c r="L27">
        <v>4</v>
      </c>
      <c r="M27" s="409">
        <f>VLOOKUP(L27,Possessions!$X$236:$AF$250,5)</f>
        <v>1</v>
      </c>
      <c r="N27" s="252">
        <f>VLOOKUP(L27,Possessions!$X$236:$AF$250,7)</f>
        <v>0.5</v>
      </c>
      <c r="O27" s="2686" t="s">
        <v>2518</v>
      </c>
      <c r="Q27">
        <v>21</v>
      </c>
      <c r="S27" s="409">
        <f>VLOOKUP(Q27,Possessions!$X$207:$AF$235,5)</f>
        <v>1</v>
      </c>
      <c r="T27" s="252">
        <f>VLOOKUP(Q27,Possessions!$X$207:$AF$235,7)</f>
        <v>1</v>
      </c>
      <c r="V27" s="34" t="s">
        <v>458</v>
      </c>
      <c r="W27">
        <v>19</v>
      </c>
      <c r="Y27" s="44"/>
      <c r="Z27" s="471">
        <f>VLOOKUP($W27,Possessions!$O$69:$W$87,4)*$Y27</f>
        <v>0</v>
      </c>
      <c r="AA27" s="252">
        <f>VLOOKUP($W27,Possessions!$O$69:$W$87,6)*$Y27</f>
        <v>0</v>
      </c>
      <c r="AB27" s="410">
        <f>VLOOKUP($W27,Possessions!$O$69:$W$87,7)*$Y27</f>
        <v>0</v>
      </c>
    </row>
    <row r="28" spans="1:30" ht="15.95" customHeight="1">
      <c r="A28" s="248" t="s">
        <v>2142</v>
      </c>
      <c r="B28" s="28">
        <f ca="1">'System Lookups'!I204</f>
        <v>36</v>
      </c>
      <c r="G28"/>
      <c r="H28" s="2698"/>
      <c r="I28" s="2696"/>
      <c r="J28" s="2697"/>
      <c r="L28">
        <v>7</v>
      </c>
      <c r="M28" s="409">
        <f>VLOOKUP(L28,Possessions!$X$236:$AF$250,5)</f>
        <v>0.25</v>
      </c>
      <c r="N28" s="252">
        <f>VLOOKUP(L28,Possessions!$X$236:$AF$250,7)</f>
        <v>1</v>
      </c>
      <c r="O28" s="2686"/>
      <c r="Q28">
        <v>29</v>
      </c>
      <c r="S28" s="409">
        <f>VLOOKUP(Q28,Possessions!$X$207:$AF$235,5)</f>
        <v>0</v>
      </c>
      <c r="T28" s="252">
        <f>VLOOKUP(Q28,Possessions!$X$207:$AF$235,7)</f>
        <v>0</v>
      </c>
      <c r="V28" s="34" t="s">
        <v>458</v>
      </c>
      <c r="W28">
        <v>19</v>
      </c>
      <c r="Y28" s="44"/>
      <c r="Z28" s="471">
        <f>VLOOKUP($W28,Possessions!$O$69:$W$87,4)*$Y28</f>
        <v>0</v>
      </c>
      <c r="AA28" s="252">
        <f>VLOOKUP($W28,Possessions!$O$69:$W$87,6)*$Y28</f>
        <v>0</v>
      </c>
      <c r="AB28" s="410">
        <f>VLOOKUP($W28,Possessions!$O$69:$W$87,7)*$Y28</f>
        <v>0</v>
      </c>
    </row>
    <row r="29" spans="1:30" ht="15.95" customHeight="1">
      <c r="H29" s="2698"/>
      <c r="I29" s="2696"/>
      <c r="J29" s="2697"/>
      <c r="L29">
        <v>11</v>
      </c>
      <c r="M29" s="409">
        <f>VLOOKUP(L29,Possessions!$X$236:$AF$250,5)</f>
        <v>0.5</v>
      </c>
      <c r="N29" s="252">
        <f>VLOOKUP(L29,Possessions!$X$236:$AF$250,7)</f>
        <v>4</v>
      </c>
      <c r="O29" s="474">
        <f>SUM(N16:N29)</f>
        <v>108.49</v>
      </c>
      <c r="Q29">
        <v>29</v>
      </c>
      <c r="S29" s="409">
        <f>VLOOKUP(Q29,Possessions!$X$207:$AF$235,5)</f>
        <v>0</v>
      </c>
      <c r="T29" s="252">
        <f>VLOOKUP(Q29,Possessions!$X$207:$AF$235,7)</f>
        <v>0</v>
      </c>
      <c r="V29" s="34" t="s">
        <v>591</v>
      </c>
      <c r="W29">
        <v>3</v>
      </c>
      <c r="Y29" s="44">
        <v>1.2500000000000001E-2</v>
      </c>
      <c r="Z29" s="471">
        <f>VLOOKUP($W29,Possessions!$O$126:$W$131,4)*$Y29</f>
        <v>0.625</v>
      </c>
      <c r="AA29" s="252">
        <f>VLOOKUP($W29,Possessions!$O$126:$W$131,6)*$Y29</f>
        <v>1.8750000000000003E-2</v>
      </c>
      <c r="AB29" s="410">
        <f>VLOOKUP($W29,Possessions!$O$126:$W$131,7)*$Y29</f>
        <v>2.5</v>
      </c>
    </row>
    <row r="30" spans="1:30" ht="15.95" customHeight="1">
      <c r="A30" s="404" t="s">
        <v>2143</v>
      </c>
      <c r="H30" s="514"/>
      <c r="I30" s="514"/>
      <c r="J30" s="514"/>
      <c r="Q30">
        <v>29</v>
      </c>
      <c r="S30" s="409">
        <f>VLOOKUP(Q30,Possessions!$X$207:$AF$235,5)</f>
        <v>0</v>
      </c>
      <c r="T30" s="252">
        <f>VLOOKUP(Q30,Possessions!$X$207:$AF$235,7)</f>
        <v>0</v>
      </c>
      <c r="V30" s="34" t="s">
        <v>591</v>
      </c>
      <c r="W30">
        <v>4</v>
      </c>
      <c r="Y30" s="44">
        <v>1.2500000000000001E-2</v>
      </c>
      <c r="Z30" s="471">
        <f>VLOOKUP($W30,Possessions!$O$126:$W$131,4)*$Y30</f>
        <v>0.625</v>
      </c>
      <c r="AA30" s="252">
        <f>VLOOKUP($W30,Possessions!$O$126:$W$131,6)*$Y30</f>
        <v>1.5625E-2</v>
      </c>
      <c r="AB30" s="410">
        <f>VLOOKUP($W30,Possessions!$O$126:$W$131,7)*$Y30</f>
        <v>2.8125</v>
      </c>
    </row>
    <row r="31" spans="1:30" ht="15.95" customHeight="1">
      <c r="A31" s="404" t="s">
        <v>2140</v>
      </c>
      <c r="B31" s="28">
        <f ca="1">'System Lookups'!I208</f>
        <v>13</v>
      </c>
      <c r="L31" s="487" t="s">
        <v>2203</v>
      </c>
      <c r="M31" s="524" t="s">
        <v>3720</v>
      </c>
      <c r="N31" s="525" t="s">
        <v>5217</v>
      </c>
      <c r="Q31">
        <v>29</v>
      </c>
      <c r="S31" s="409">
        <f>VLOOKUP(Q31,Possessions!$X$207:$AF$235,5)</f>
        <v>0</v>
      </c>
      <c r="T31" s="252">
        <f>VLOOKUP(Q31,Possessions!$X$207:$AF$235,7)</f>
        <v>0</v>
      </c>
      <c r="V31" s="34" t="s">
        <v>592</v>
      </c>
      <c r="W31">
        <v>1</v>
      </c>
      <c r="Y31" s="44">
        <v>2</v>
      </c>
      <c r="Z31" s="471">
        <f>VLOOKUP($W31,Possessions!$O$107:$W$114,4)*$Y31</f>
        <v>20</v>
      </c>
      <c r="AA31" s="252">
        <f>VLOOKUP($W31,Possessions!$O$107:$W$114,6)*$Y31</f>
        <v>7.0000000000000007E-2</v>
      </c>
      <c r="AB31" s="410">
        <f>VLOOKUP($W31,Possessions!$O$107:$W$114,7)*$Y31</f>
        <v>60</v>
      </c>
    </row>
    <row r="32" spans="1:30" ht="15.95" customHeight="1">
      <c r="A32" s="404" t="s">
        <v>2141</v>
      </c>
      <c r="B32" s="28">
        <f ca="1">'System Lookups'!I209</f>
        <v>390</v>
      </c>
      <c r="L32" s="14">
        <v>1</v>
      </c>
      <c r="M32" s="44" t="s">
        <v>589</v>
      </c>
      <c r="N32" s="45">
        <f>IF(Funds!M32="A",VLOOKUP(Funds!L32,Possessions!$B$2:$E$36,3),VLOOKUP(Funds!L32,Possessions!$B$2:$E$36,4))</f>
        <v>36</v>
      </c>
      <c r="Q32">
        <v>3</v>
      </c>
      <c r="S32" s="409">
        <f>VLOOKUP(Q32,Possessions!$X$314:$AF$316,5)</f>
        <v>0</v>
      </c>
      <c r="T32" s="252">
        <f>VLOOKUP(Q32,Possessions!$X$314:$AF$316,7)</f>
        <v>0</v>
      </c>
      <c r="V32" s="34" t="s">
        <v>592</v>
      </c>
      <c r="W32">
        <v>8</v>
      </c>
      <c r="Y32" s="44"/>
      <c r="Z32" s="471">
        <f>VLOOKUP($W32,Possessions!$O$107:$W$114,4)*$Y32</f>
        <v>0</v>
      </c>
      <c r="AA32" s="252">
        <f>VLOOKUP($W32,Possessions!$O$107:$W$114,6)*$Y32</f>
        <v>0</v>
      </c>
      <c r="AB32" s="410">
        <f>VLOOKUP($W32,Possessions!$O$107:$W$114,7)*$Y32</f>
        <v>0</v>
      </c>
    </row>
    <row r="33" spans="1:28" ht="15.95" customHeight="1">
      <c r="A33" s="404" t="s">
        <v>2142</v>
      </c>
      <c r="B33" s="28">
        <f ca="1">'System Lookups'!I210</f>
        <v>4680</v>
      </c>
      <c r="L33" s="14">
        <v>2</v>
      </c>
      <c r="M33" s="44" t="s">
        <v>589</v>
      </c>
      <c r="N33" s="45">
        <f>IF(Funds!M33="A",VLOOKUP(Funds!L33,Possessions!$B$2:$E$36,3),VLOOKUP(Funds!L33,Possessions!$B$2:$E$36,4))</f>
        <v>24</v>
      </c>
      <c r="Q33">
        <v>10</v>
      </c>
      <c r="R33" s="10"/>
      <c r="S33" s="409">
        <f>VLOOKUP(Q33,Possessions!$X$317:$AF$326,5)</f>
        <v>0</v>
      </c>
      <c r="T33" s="252">
        <f>VLOOKUP(Q33,Possessions!$X$317:$AF$326,7)</f>
        <v>0</v>
      </c>
      <c r="U33" s="475"/>
      <c r="V33" s="34" t="s">
        <v>592</v>
      </c>
      <c r="W33">
        <v>8</v>
      </c>
      <c r="Y33" s="44"/>
      <c r="Z33" s="471">
        <f>VLOOKUP($W33,Possessions!$O$107:$W$114,4)*$Y33</f>
        <v>0</v>
      </c>
      <c r="AA33" s="252">
        <f>VLOOKUP($W33,Possessions!$O$107:$W$114,6)*$Y33</f>
        <v>0</v>
      </c>
      <c r="AB33" s="410">
        <f>VLOOKUP($W33,Possessions!$O$107:$W$114,7)*$Y33</f>
        <v>0</v>
      </c>
    </row>
    <row r="34" spans="1:28" ht="15.95" customHeight="1">
      <c r="A34" s="1" t="s">
        <v>627</v>
      </c>
      <c r="B34" s="449" t="s">
        <v>630</v>
      </c>
      <c r="C34" s="28" t="s">
        <v>4857</v>
      </c>
      <c r="D34" s="28" t="s">
        <v>629</v>
      </c>
      <c r="E34" s="28" t="s">
        <v>631</v>
      </c>
      <c r="F34" s="28" t="s">
        <v>4857</v>
      </c>
      <c r="G34" s="28" t="s">
        <v>629</v>
      </c>
      <c r="H34" s="449" t="s">
        <v>630</v>
      </c>
      <c r="L34" s="14">
        <v>3</v>
      </c>
      <c r="M34" s="44" t="s">
        <v>589</v>
      </c>
      <c r="N34" s="45">
        <f>IF(Funds!M34="A",VLOOKUP(Funds!L34,Possessions!$B$2:$E$36,3),VLOOKUP(Funds!L34,Possessions!$B$2:$E$36,4))</f>
        <v>12</v>
      </c>
      <c r="Q34">
        <v>10</v>
      </c>
      <c r="S34" s="409">
        <f>VLOOKUP(Q34,Possessions!$X$317:$AF$326,5)</f>
        <v>0</v>
      </c>
      <c r="T34" s="252">
        <f>VLOOKUP(Q34,Possessions!$X$317:$AF$326,7)</f>
        <v>0</v>
      </c>
      <c r="V34" s="34" t="s">
        <v>4546</v>
      </c>
      <c r="W34">
        <v>3</v>
      </c>
      <c r="Y34" s="44">
        <v>0.5</v>
      </c>
      <c r="Z34" s="471">
        <f>VLOOKUP($W34,Possessions!$O$116:$W$124,4)*$Y34</f>
        <v>0.5</v>
      </c>
      <c r="AA34" s="252">
        <f>VLOOKUP($W34,Possessions!$O$116:$W$124,6)*$Y34</f>
        <v>0.125</v>
      </c>
      <c r="AB34" s="410">
        <f>VLOOKUP($W34,Possessions!$O$116:$W$124,7)*$Y34</f>
        <v>2</v>
      </c>
    </row>
    <row r="35" spans="1:28" ht="15.95" customHeight="1">
      <c r="A35" s="510" t="str">
        <f>'Racial Lookups'!Z281</f>
        <v>Father</v>
      </c>
      <c r="B35" s="969">
        <f>'Racial Lookups'!AA281</f>
        <v>48</v>
      </c>
      <c r="C35" s="241">
        <v>50</v>
      </c>
      <c r="D35" s="989" t="str">
        <f>IF('Racial Lookups'!AA281="","",IF(C35&lt;VLOOKUP('Racial Lookups'!AB281,'System Lookups'!$F$90:$G$105,2),"Y","N"))</f>
        <v>N</v>
      </c>
      <c r="E35" s="241"/>
      <c r="F35" s="513" t="str">
        <f>IF(COUNTIF(K36:K40,"N")&gt;0,"N",IF(AND(OR('Main Creation Page'!I31="F",'Main Creation Page'!C28&lt;21),COUNTIF(K41:K43,"N")&gt;0),"N","Y"))</f>
        <v>N</v>
      </c>
      <c r="G35" s="438">
        <f>IF(AND(COUNTIF(E36:E43,"&lt;13"),COUNTIF(E36:E43,"&gt;0")),8-COUNTIF(G36:G43,"N"),0)</f>
        <v>0</v>
      </c>
      <c r="H35" s="249">
        <f>IF(ISBLANK('Main Creation Page'!D30),'Main Creation Page'!AG38+13+INT('Main Creation Page'!C27/20),'Racial Lookups'!AA282+13+INT('Main Creation Page'!C27/20))</f>
        <v>43</v>
      </c>
      <c r="I35" s="2689" t="s">
        <v>4800</v>
      </c>
      <c r="J35" s="2689"/>
      <c r="L35" s="14">
        <v>8</v>
      </c>
      <c r="M35" s="44" t="s">
        <v>589</v>
      </c>
      <c r="N35" s="45">
        <f>IF(Funds!M35="A",VLOOKUP(Funds!L35,Possessions!$B$2:$E$36,3),VLOOKUP(Funds!L35,Possessions!$B$2:$E$36,4))</f>
        <v>25</v>
      </c>
      <c r="Q35">
        <v>10</v>
      </c>
      <c r="S35" s="409">
        <f>VLOOKUP(Q35,Possessions!$X$317:$AF$326,5)</f>
        <v>0</v>
      </c>
      <c r="T35" s="252">
        <f>VLOOKUP(Q35,Possessions!$X$317:$AF$326,7)</f>
        <v>0</v>
      </c>
      <c r="V35" s="34" t="s">
        <v>4546</v>
      </c>
      <c r="W35">
        <v>8</v>
      </c>
      <c r="Y35" s="44">
        <v>0.5</v>
      </c>
      <c r="Z35" s="471">
        <f>VLOOKUP($W35,Possessions!$O$116:$W$124,4)*$Y35</f>
        <v>0.5</v>
      </c>
      <c r="AA35" s="252">
        <f>VLOOKUP($W35,Possessions!$O$116:$W$124,6)*$Y35</f>
        <v>0.375</v>
      </c>
      <c r="AB35" s="410">
        <f>VLOOKUP($W35,Possessions!$O$116:$W$124,7)*$Y35</f>
        <v>3</v>
      </c>
    </row>
    <row r="36" spans="1:28" ht="15.95" customHeight="1">
      <c r="A36" s="968" t="str">
        <f>'Racial Lookups'!Z282</f>
        <v>Elder sibling, M</v>
      </c>
      <c r="B36" s="969">
        <f>'Racial Lookups'!AA282</f>
        <v>28</v>
      </c>
      <c r="C36" s="241">
        <v>50</v>
      </c>
      <c r="D36" s="989" t="str">
        <f>IF('Racial Lookups'!AA282="","",IF(C36&lt;VLOOKUP('Racial Lookups'!AB282,'System Lookups'!$F$90:$G$105,2),"Y","N"))</f>
        <v>N</v>
      </c>
      <c r="E36" s="241"/>
      <c r="F36" s="512"/>
      <c r="G36" s="249" t="str">
        <f t="shared" ref="G36:G43" si="0">IF(E36=" "," ",IF(OR(ISBLANK(F36),F36&gt;65),"N","Y"))</f>
        <v>N</v>
      </c>
      <c r="H36" s="249" t="str">
        <f>IF(G36="Y",E36+13+INT('Main Creation Page'!C27/20)," ")</f>
        <v xml:space="preserve"> </v>
      </c>
      <c r="K36" s="233" t="str">
        <f>IF(ISBLANK('Main Creation Page'!D$30),"Y",IF('Main Creation Page'!D$31="M",IF(ISBLANK(E36),"N","Y"),IF('Main Creation Page'!$I$31="F",IF(ISBLANK(E36),"N","Y"),"Y")))</f>
        <v>N</v>
      </c>
      <c r="L36" s="14">
        <v>10</v>
      </c>
      <c r="M36" s="44" t="s">
        <v>589</v>
      </c>
      <c r="N36" s="45">
        <f>IF(Funds!M36="A",VLOOKUP(Funds!L36,Possessions!$B$2:$E$36,3),VLOOKUP(Funds!L36,Possessions!$B$2:$E$36,4))</f>
        <v>20</v>
      </c>
      <c r="Q36">
        <v>10</v>
      </c>
      <c r="S36" s="409">
        <f>VLOOKUP(Q36,Possessions!$X$327:$AF$336,5)</f>
        <v>0</v>
      </c>
      <c r="T36" s="252">
        <f>VLOOKUP(Q36,Possessions!$X$327:$AF$336,7)</f>
        <v>0</v>
      </c>
      <c r="V36" s="34" t="s">
        <v>4546</v>
      </c>
      <c r="W36">
        <v>9</v>
      </c>
      <c r="Y36" s="44"/>
      <c r="Z36" s="471">
        <f>VLOOKUP($W36,Possessions!$O$116:$W$124,4)*$Y36</f>
        <v>0</v>
      </c>
      <c r="AA36" s="252">
        <f>VLOOKUP($W36,Possessions!$O$116:$W$124,6)*$Y36</f>
        <v>0</v>
      </c>
      <c r="AB36" s="410">
        <f>VLOOKUP($W36,Possessions!$O$116:$W$124,7)*$Y36</f>
        <v>0</v>
      </c>
    </row>
    <row r="37" spans="1:28" ht="15.95" customHeight="1">
      <c r="A37" s="968" t="str">
        <f>'Racial Lookups'!Z283</f>
        <v>Elder sibling, F</v>
      </c>
      <c r="B37" s="969">
        <f>'Racial Lookups'!AA283</f>
        <v>26</v>
      </c>
      <c r="C37" s="241">
        <v>50</v>
      </c>
      <c r="D37" s="989" t="str">
        <f>IF('Racial Lookups'!AA283="","",IF(C37&lt;VLOOKUP('Racial Lookups'!AB283,'System Lookups'!$F$90:$G$105,2),"Y","N"))</f>
        <v>N</v>
      </c>
      <c r="E37" s="241"/>
      <c r="F37" s="512"/>
      <c r="G37" s="249" t="str">
        <f t="shared" si="0"/>
        <v>N</v>
      </c>
      <c r="H37" s="249" t="str">
        <f>IF(G37="Y",E37+13+INT('Main Creation Page'!C28/20)," ")</f>
        <v xml:space="preserve"> </v>
      </c>
      <c r="K37" s="233" t="str">
        <f>IF(ISBLANK('Main Creation Page'!E$30),"Y",IF('Main Creation Page'!E$31="M",IF(ISBLANK(E37),"N","Y"),IF('Main Creation Page'!$I$31="F",IF(ISBLANK(E37),"N","Y"),"Y")))</f>
        <v>Y</v>
      </c>
      <c r="L37" s="14">
        <v>12</v>
      </c>
      <c r="M37" s="44" t="s">
        <v>589</v>
      </c>
      <c r="N37" s="45">
        <f>IF(Funds!M37="A",VLOOKUP(Funds!L37,Possessions!$B$2:$E$36,3),VLOOKUP(Funds!L37,Possessions!$B$2:$E$36,4))</f>
        <v>5</v>
      </c>
      <c r="Q37">
        <v>10</v>
      </c>
      <c r="R37" s="418"/>
      <c r="S37" s="409">
        <f>VLOOKUP(Q37,Possessions!$X$327:$AF$336,5)</f>
        <v>0</v>
      </c>
      <c r="T37" s="252">
        <f>VLOOKUP(Q37,Possessions!$X$327:$AF$336,7)</f>
        <v>0</v>
      </c>
      <c r="U37" s="2686" t="s">
        <v>2667</v>
      </c>
      <c r="X37" s="2690" t="s">
        <v>4714</v>
      </c>
      <c r="Y37" s="1377"/>
      <c r="Z37" s="471">
        <f>SUM(Z15:Z36)</f>
        <v>26.078125</v>
      </c>
      <c r="AA37" s="409">
        <f>SUM(AA15:AA36)</f>
        <v>2.7918749999999997</v>
      </c>
      <c r="AB37" s="409">
        <f>SUM(AB15:AB36)</f>
        <v>82.8125</v>
      </c>
    </row>
    <row r="38" spans="1:28" ht="15.95" customHeight="1">
      <c r="A38" s="968" t="str">
        <f>'Racial Lookups'!Z284</f>
        <v>Elder sibling, M</v>
      </c>
      <c r="B38" s="969">
        <f>'Racial Lookups'!AA284</f>
        <v>24</v>
      </c>
      <c r="C38" s="241">
        <v>50</v>
      </c>
      <c r="D38" s="249" t="str">
        <f>IF('Racial Lookups'!AA284="","",IF(C38&lt;VLOOKUP('Racial Lookups'!AB284,'System Lookups'!$F$90:$G$105,2),"Y","N"))</f>
        <v>N</v>
      </c>
      <c r="E38" s="241"/>
      <c r="F38" s="512"/>
      <c r="G38" s="249" t="str">
        <f t="shared" si="0"/>
        <v>N</v>
      </c>
      <c r="H38" s="249" t="str">
        <f>IF(G38="Y",E38+13+INT('Main Creation Page'!C30/20)," ")</f>
        <v xml:space="preserve"> </v>
      </c>
      <c r="K38" s="233" t="str">
        <f>IF(ISBLANK('Main Creation Page'!F$30),"Y",IF('Main Creation Page'!F$31="M",IF(ISBLANK(E38),"N","Y"),IF('Main Creation Page'!$I$31="F",IF(ISBLANK(E38),"N","Y"),"Y")))</f>
        <v>N</v>
      </c>
      <c r="L38" s="14">
        <v>18</v>
      </c>
      <c r="M38" s="44" t="s">
        <v>589</v>
      </c>
      <c r="N38" s="45">
        <f>IF(Funds!M38="A",VLOOKUP(Funds!L38,Possessions!$B$2:$E$36,3),VLOOKUP(Funds!L38,Possessions!$B$2:$E$36,4))</f>
        <v>12</v>
      </c>
      <c r="Q38">
        <v>10</v>
      </c>
      <c r="R38" s="418"/>
      <c r="S38" s="409">
        <f>VLOOKUP(Q38,Possessions!$X$327:$AF$336,5)</f>
        <v>0</v>
      </c>
      <c r="T38" s="252">
        <f>VLOOKUP(Q38,Possessions!$X$327:$AF$336,7)</f>
        <v>0</v>
      </c>
      <c r="U38" s="2686"/>
    </row>
    <row r="39" spans="1:28" ht="15.95" customHeight="1">
      <c r="A39" s="968" t="str">
        <f>'Racial Lookups'!Z285</f>
        <v>Elder sibling, F</v>
      </c>
      <c r="B39" s="969">
        <f>'Racial Lookups'!AA285</f>
        <v>22</v>
      </c>
      <c r="C39" s="241">
        <v>50</v>
      </c>
      <c r="D39" s="989" t="str">
        <f>IF('Racial Lookups'!AA285="","",IF(C39&lt;VLOOKUP('Racial Lookups'!AB285,'System Lookups'!$F$90:$G$105,2),"Y","N"))</f>
        <v>N</v>
      </c>
      <c r="E39" s="241"/>
      <c r="F39" s="512"/>
      <c r="G39" s="249" t="str">
        <f t="shared" si="0"/>
        <v>N</v>
      </c>
      <c r="H39" s="249" t="str">
        <f>IF(G39="Y",E39+13+INT('Main Creation Page'!C31/20)," ")</f>
        <v xml:space="preserve"> </v>
      </c>
      <c r="K39" s="233" t="str">
        <f>IF(ISBLANK('Main Creation Page'!G$30),"Y",IF('Main Creation Page'!G$31="M",IF(ISBLANK(E39),"N","Y"),IF('Main Creation Page'!$I$31="F",IF(ISBLANK(E39),"N","Y"),"Y")))</f>
        <v>Y</v>
      </c>
      <c r="L39" s="14">
        <v>22</v>
      </c>
      <c r="M39" s="44" t="s">
        <v>589</v>
      </c>
      <c r="N39" s="45">
        <f>IF(Funds!M39="A",VLOOKUP(Funds!L39,Possessions!$B$2:$E$36,3),VLOOKUP(Funds!L39,Possessions!$B$2:$E$36,4))</f>
        <v>1</v>
      </c>
      <c r="Q39">
        <v>10</v>
      </c>
      <c r="R39" s="417"/>
      <c r="S39" s="409">
        <f>VLOOKUP(Q39,Possessions!$X$337:$AF$341,5)</f>
        <v>0</v>
      </c>
      <c r="T39" s="252">
        <f>VLOOKUP(Q39,Possessions!$X$337:$AF$341,7)</f>
        <v>0</v>
      </c>
      <c r="U39" s="474">
        <f>SUM(S3:S42)</f>
        <v>23.78125</v>
      </c>
      <c r="W39" s="522" t="s">
        <v>5642</v>
      </c>
    </row>
    <row r="40" spans="1:28" ht="15.95" customHeight="1">
      <c r="A40" s="968" t="str">
        <f>'Racial Lookups'!Z286</f>
        <v>Elder sibling, M</v>
      </c>
      <c r="B40" s="969">
        <f>'Racial Lookups'!AA286</f>
        <v>20</v>
      </c>
      <c r="C40" s="241">
        <v>50</v>
      </c>
      <c r="D40" s="989" t="str">
        <f>IF('Racial Lookups'!AA286="","",IF(C40&lt;VLOOKUP('Racial Lookups'!AB286,'System Lookups'!$F$90:$G$105,2),"Y","N"))</f>
        <v>N</v>
      </c>
      <c r="E40" s="241"/>
      <c r="F40" s="512"/>
      <c r="G40" s="249" t="str">
        <f t="shared" si="0"/>
        <v>N</v>
      </c>
      <c r="H40" s="249" t="str">
        <f>IF(G40="Y",E40+13+INT('Main Creation Page'!C32/20)," ")</f>
        <v xml:space="preserve"> </v>
      </c>
      <c r="K40" s="233" t="str">
        <f>IF(ISBLANK('Main Creation Page'!H$30),"Y",IF('Main Creation Page'!H$31="M",IF(ISBLANK(E40),"N","Y"),IF('Main Creation Page'!$I$31="F",IF(ISBLANK(E40),"N","Y"),"Y")))</f>
        <v>N</v>
      </c>
      <c r="L40" s="14">
        <v>26</v>
      </c>
      <c r="M40" s="44" t="s">
        <v>589</v>
      </c>
      <c r="N40" s="45">
        <f>IF(Funds!M40="A",VLOOKUP(Funds!L40,Possessions!$B$2:$E$36,3),VLOOKUP(Funds!L40,Possessions!$B$2:$E$36,4))</f>
        <v>12</v>
      </c>
      <c r="Q40">
        <v>15</v>
      </c>
      <c r="R40" s="417"/>
      <c r="S40" s="409">
        <f>VLOOKUP(Q40,Possessions!$X$342:$AF$356,5)</f>
        <v>0</v>
      </c>
      <c r="T40" s="252">
        <f>VLOOKUP(Q40,Possessions!$X$342:$AF$356,7)</f>
        <v>0</v>
      </c>
      <c r="U40" s="2686" t="s">
        <v>2518</v>
      </c>
    </row>
    <row r="41" spans="1:28" ht="15.95" customHeight="1">
      <c r="A41" s="968" t="str">
        <f>'Racial Lookups'!Z287</f>
        <v>Younger sibling, M</v>
      </c>
      <c r="B41" s="969">
        <f>'Racial Lookups'!AA287</f>
        <v>16</v>
      </c>
      <c r="C41" s="241">
        <v>50</v>
      </c>
      <c r="D41" s="989" t="str">
        <f>IF('Racial Lookups'!AA287="","",IF(C41&lt;VLOOKUP('Racial Lookups'!AB287,'System Lookups'!$F$90:$G$105,2),"Y","N"))</f>
        <v>N</v>
      </c>
      <c r="E41" s="241"/>
      <c r="F41" s="512"/>
      <c r="G41" s="249" t="str">
        <f t="shared" si="0"/>
        <v>N</v>
      </c>
      <c r="H41" s="249" t="str">
        <f>IF(G41="Y",E41+13+INT('Main Creation Page'!C33/20)," ")</f>
        <v xml:space="preserve"> </v>
      </c>
      <c r="K41" s="233" t="str">
        <f>IF(ISBLANK('Main Creation Page'!D$33),"Y",IF('Main Creation Page'!D$34="M",IF(ISBLANK(Funds!$E41),"N","Y"),"Y"))</f>
        <v>N</v>
      </c>
      <c r="L41" s="14">
        <v>30</v>
      </c>
      <c r="M41" s="44" t="s">
        <v>589</v>
      </c>
      <c r="N41" s="45">
        <f>IF(Funds!M41="A",VLOOKUP(Funds!L41,Possessions!$B$2:$E$36,3),VLOOKUP(Funds!L41,Possessions!$B$2:$E$36,4))</f>
        <v>12</v>
      </c>
      <c r="Q41">
        <v>15</v>
      </c>
      <c r="R41" s="417"/>
      <c r="S41" s="409">
        <f>VLOOKUP(Q41,Possessions!$X$342:$AF$356,5)</f>
        <v>0</v>
      </c>
      <c r="T41" s="252">
        <f>VLOOKUP(Q41,Possessions!$X$342:$AF$356,7)</f>
        <v>0</v>
      </c>
      <c r="U41" s="2686"/>
    </row>
    <row r="42" spans="1:28" ht="15.95" customHeight="1">
      <c r="A42" s="968" t="str">
        <f>'Racial Lookups'!Z288</f>
        <v>Younger sibling, F</v>
      </c>
      <c r="B42" s="969">
        <f>'Racial Lookups'!AA288</f>
        <v>14</v>
      </c>
      <c r="C42" s="241">
        <v>50</v>
      </c>
      <c r="D42" s="989" t="str">
        <f>IF('Racial Lookups'!AA288="","",IF(C42&lt;VLOOKUP('Racial Lookups'!AB288,'System Lookups'!$F$90:$G$105,2),"Y","N"))</f>
        <v>N</v>
      </c>
      <c r="E42" s="241"/>
      <c r="F42" s="512"/>
      <c r="G42" s="249" t="str">
        <f t="shared" si="0"/>
        <v>N</v>
      </c>
      <c r="K42" s="233" t="str">
        <f>IF(ISBLANK('Main Creation Page'!E$33),"Y",IF('Main Creation Page'!E$34="M",IF(ISBLANK(Funds!$E42),"N","Y"),"Y"))</f>
        <v>Y</v>
      </c>
      <c r="L42" s="14">
        <v>16</v>
      </c>
      <c r="M42" s="44" t="s">
        <v>589</v>
      </c>
      <c r="N42" s="45">
        <f>IF(Funds!M42="A",VLOOKUP(Funds!L42,Possessions!$B$2:$E$36,3),VLOOKUP(Funds!L42,Possessions!$B$2:$E$36,4))</f>
        <v>10</v>
      </c>
      <c r="Q42">
        <v>15</v>
      </c>
      <c r="R42" s="417"/>
      <c r="S42" s="409">
        <f>VLOOKUP(Q42,Possessions!$X$342:$AF$356,5)</f>
        <v>0</v>
      </c>
      <c r="T42" s="252">
        <f>VLOOKUP(Q42,Possessions!$X$342:$AF$356,7)</f>
        <v>0</v>
      </c>
      <c r="U42" s="474">
        <f>SUM(T3:T42)</f>
        <v>74.760000000000005</v>
      </c>
    </row>
    <row r="43" spans="1:28" ht="15.95" customHeight="1">
      <c r="A43" s="968" t="str">
        <f>'Racial Lookups'!Z289</f>
        <v>Younger sibling, M</v>
      </c>
      <c r="B43" s="969">
        <f>'Racial Lookups'!AA289</f>
        <v>12</v>
      </c>
      <c r="C43" s="241">
        <v>50</v>
      </c>
      <c r="D43" s="989" t="str">
        <f>IF('Racial Lookups'!AA289="","",IF(C43&lt;VLOOKUP('Racial Lookups'!AB289,'System Lookups'!$F$90:$G$105,2),"Y","N"))</f>
        <v>N</v>
      </c>
      <c r="E43" s="241"/>
      <c r="F43" s="512"/>
      <c r="G43" s="249" t="str">
        <f t="shared" si="0"/>
        <v>N</v>
      </c>
      <c r="K43" s="233" t="str">
        <f>IF(ISBLANK('Main Creation Page'!F$33),"Y",IF('Main Creation Page'!F$34="M",IF(ISBLANK(Funds!$E43),"N","Y"),"Y"))</f>
        <v>N</v>
      </c>
      <c r="L43" s="14">
        <v>35</v>
      </c>
      <c r="M43" s="44" t="s">
        <v>589</v>
      </c>
      <c r="N43" s="45">
        <f>IF(Funds!M43="A",VLOOKUP(Funds!L43,Possessions!$B$2:$E$36,3),VLOOKUP(Funds!L43,Possessions!$B$2:$E$36,4))</f>
        <v>0</v>
      </c>
    </row>
    <row r="44" spans="1:28" ht="15.95" customHeight="1">
      <c r="A44" s="1" t="s">
        <v>628</v>
      </c>
      <c r="L44" s="14">
        <v>35</v>
      </c>
      <c r="M44" s="44" t="s">
        <v>589</v>
      </c>
      <c r="N44" s="45">
        <f>IF(Funds!M44="A",VLOOKUP(Funds!L44,Possessions!$B$2:$E$36,3),VLOOKUP(Funds!L44,Possessions!$B$2:$E$36,4))</f>
        <v>0</v>
      </c>
      <c r="O44" s="2686" t="s">
        <v>2518</v>
      </c>
    </row>
    <row r="45" spans="1:28" ht="15.95" customHeight="1">
      <c r="A45" s="1" t="s">
        <v>632</v>
      </c>
      <c r="L45" s="14">
        <v>35</v>
      </c>
      <c r="M45" s="44" t="s">
        <v>589</v>
      </c>
      <c r="N45" s="45">
        <f>IF(Funds!M45="A",VLOOKUP(Funds!L45,Possessions!$B$2:$E$36,3),VLOOKUP(Funds!L45,Possessions!$B$2:$E$36,4))</f>
        <v>0</v>
      </c>
      <c r="O45" s="2686"/>
    </row>
    <row r="46" spans="1:28" ht="15.95" customHeight="1">
      <c r="A46" s="1" t="s">
        <v>633</v>
      </c>
      <c r="L46" s="407">
        <v>35</v>
      </c>
      <c r="M46" s="44" t="s">
        <v>589</v>
      </c>
      <c r="N46" s="45">
        <f>IF(Funds!M46="A",VLOOKUP(Funds!L46,Possessions!$B$2:$E$36,3),VLOOKUP(Funds!L46,Possessions!$B$2:$E$36,4))</f>
        <v>0</v>
      </c>
      <c r="O46" s="474">
        <f>SUM(N32:N46)</f>
        <v>169</v>
      </c>
    </row>
    <row r="47" spans="1:28" ht="15.95" customHeight="1">
      <c r="A47" s="1" t="s">
        <v>634</v>
      </c>
      <c r="L47" s="487" t="s">
        <v>3254</v>
      </c>
      <c r="M47" s="523" t="s">
        <v>3720</v>
      </c>
      <c r="N47" s="523" t="s">
        <v>5217</v>
      </c>
    </row>
    <row r="48" spans="1:28" ht="15.95" customHeight="1">
      <c r="A48" s="1" t="s">
        <v>635</v>
      </c>
      <c r="L48">
        <v>35</v>
      </c>
      <c r="M48" s="44" t="s">
        <v>589</v>
      </c>
      <c r="N48" s="45">
        <f>IF(Funds!M48="A",VLOOKUP(Funds!L48,Possessions!$B$2:$K$36,7),VLOOKUP(Funds!L48,Possessions!$B$2:$K$36,9))</f>
        <v>0</v>
      </c>
    </row>
    <row r="49" spans="1:20" ht="15.95" customHeight="1">
      <c r="A49" s="1" t="s">
        <v>4092</v>
      </c>
      <c r="L49">
        <v>35</v>
      </c>
      <c r="M49" s="44" t="s">
        <v>589</v>
      </c>
      <c r="N49" s="45">
        <f>IF(Funds!M49="A",VLOOKUP(Funds!L49,Possessions!$B$2:$K$36,7),VLOOKUP(Funds!L49,Possessions!$B$2:$K$36,9))</f>
        <v>0</v>
      </c>
      <c r="O49" s="2686" t="s">
        <v>2518</v>
      </c>
    </row>
    <row r="50" spans="1:20" ht="15.95" customHeight="1">
      <c r="A50" s="1" t="s">
        <v>860</v>
      </c>
      <c r="L50">
        <v>35</v>
      </c>
      <c r="M50" s="44" t="s">
        <v>589</v>
      </c>
      <c r="N50" s="45">
        <f>IF(Funds!M50="A",VLOOKUP(Funds!L50,Possessions!$B$2:$K$36,7),VLOOKUP(Funds!L50,Possessions!$B$2:$K$36,9))</f>
        <v>0</v>
      </c>
      <c r="O50" s="2686"/>
    </row>
    <row r="51" spans="1:20" ht="15.95" customHeight="1">
      <c r="A51" s="1" t="s">
        <v>4093</v>
      </c>
      <c r="L51">
        <v>35</v>
      </c>
      <c r="M51" s="44" t="s">
        <v>589</v>
      </c>
      <c r="N51" s="45">
        <f>IF(Funds!M51="A",VLOOKUP(Funds!L51,Possessions!$B$2:$K$36,7),VLOOKUP(Funds!L51,Possessions!$B$2:$K$36,9))</f>
        <v>0</v>
      </c>
      <c r="O51" s="474">
        <f>SUM(N48:N51)</f>
        <v>0</v>
      </c>
    </row>
    <row r="52" spans="1:20" hidden="1">
      <c r="Q52" t="s">
        <v>2758</v>
      </c>
      <c r="S52" s="469">
        <f>SUM(S33:S35)</f>
        <v>0</v>
      </c>
      <c r="T52">
        <f>SUM(T33:T35)</f>
        <v>0</v>
      </c>
    </row>
    <row r="53" spans="1:20" hidden="1">
      <c r="Q53" t="s">
        <v>4544</v>
      </c>
      <c r="S53" s="469">
        <f>SUM(S39:S42)</f>
        <v>0</v>
      </c>
      <c r="T53">
        <f>SUM(T39:T42)</f>
        <v>0</v>
      </c>
    </row>
    <row r="54" spans="1:20" hidden="1">
      <c r="Q54" t="s">
        <v>4545</v>
      </c>
      <c r="S54" s="469">
        <f>SUM(S36:S39)</f>
        <v>0</v>
      </c>
      <c r="T54">
        <f>SUM(T36:T39)</f>
        <v>0</v>
      </c>
    </row>
    <row r="55" spans="1:20">
      <c r="A55" s="1" t="s">
        <v>4094</v>
      </c>
    </row>
    <row r="56" spans="1:20">
      <c r="A56" s="84" t="s">
        <v>6024</v>
      </c>
      <c r="B56" s="514"/>
      <c r="C56" s="84" t="s">
        <v>6025</v>
      </c>
      <c r="D56" s="514"/>
      <c r="E56" s="514"/>
      <c r="F56" s="514"/>
      <c r="G56" s="514"/>
      <c r="H56" s="514"/>
      <c r="I56" s="514"/>
      <c r="J56" s="514"/>
    </row>
    <row r="57" spans="1:20" ht="19.149999999999999" customHeight="1">
      <c r="A57" s="1" t="s">
        <v>6021</v>
      </c>
      <c r="B57" s="28" t="b">
        <v>0</v>
      </c>
      <c r="C57" s="1" t="s">
        <v>6027</v>
      </c>
      <c r="D57" s="1013"/>
      <c r="E57" s="1013"/>
      <c r="F57" s="1013"/>
      <c r="G57" s="1013"/>
      <c r="H57" s="1013"/>
      <c r="I57" s="1013"/>
    </row>
    <row r="58" spans="1:20" ht="19.149999999999999" customHeight="1">
      <c r="A58" s="1" t="s">
        <v>6022</v>
      </c>
      <c r="B58" s="28" t="b">
        <v>0</v>
      </c>
      <c r="C58" s="1" t="s">
        <v>4912</v>
      </c>
      <c r="D58" s="1014" t="str">
        <f t="shared" ref="D58:I58" si="1">IF(ISBLANK(D57)," ",IF(ISEVEN(D57),"F","M"))</f>
        <v xml:space="preserve"> </v>
      </c>
      <c r="E58" s="1014" t="str">
        <f t="shared" si="1"/>
        <v xml:space="preserve"> </v>
      </c>
      <c r="F58" s="1014" t="str">
        <f t="shared" si="1"/>
        <v xml:space="preserve"> </v>
      </c>
      <c r="G58" s="1014" t="str">
        <f t="shared" si="1"/>
        <v xml:space="preserve"> </v>
      </c>
      <c r="H58" s="1014" t="str">
        <f t="shared" si="1"/>
        <v xml:space="preserve"> </v>
      </c>
      <c r="I58" s="1014" t="str">
        <f t="shared" si="1"/>
        <v xml:space="preserve"> </v>
      </c>
    </row>
    <row r="59" spans="1:20" ht="19.149999999999999" customHeight="1">
      <c r="A59" s="1" t="s">
        <v>6023</v>
      </c>
      <c r="B59" s="28" t="b">
        <v>0</v>
      </c>
      <c r="C59" s="1016" t="s">
        <v>6026</v>
      </c>
      <c r="D59" s="1015" t="b">
        <v>0</v>
      </c>
      <c r="E59" s="1015" t="b">
        <v>0</v>
      </c>
      <c r="F59" s="1015" t="b">
        <v>0</v>
      </c>
      <c r="G59" s="1015" t="b">
        <v>0</v>
      </c>
      <c r="H59" s="1015" t="b">
        <v>0</v>
      </c>
      <c r="I59" s="1015" t="b">
        <v>0</v>
      </c>
    </row>
    <row r="60" spans="1:20">
      <c r="C60" s="1" t="s">
        <v>5789</v>
      </c>
      <c r="D60" s="1013"/>
      <c r="E60" s="1013"/>
      <c r="F60" s="1013"/>
      <c r="G60" s="1013"/>
      <c r="H60" s="1013"/>
      <c r="I60" s="1013"/>
    </row>
    <row r="61" spans="1:20"/>
    <row r="62" spans="1:20"/>
    <row r="63" spans="1:20"/>
    <row r="64" spans="1:20"/>
    <row r="65"/>
    <row r="66"/>
    <row r="67"/>
    <row r="68"/>
    <row r="69"/>
  </sheetData>
  <mergeCells count="20">
    <mergeCell ref="W14:X14"/>
    <mergeCell ref="I35:J35"/>
    <mergeCell ref="G10:G11"/>
    <mergeCell ref="X12:Y12"/>
    <mergeCell ref="X37:Y37"/>
    <mergeCell ref="M12:N12"/>
    <mergeCell ref="M13:N13"/>
    <mergeCell ref="M14:N14"/>
    <mergeCell ref="H10:J29"/>
    <mergeCell ref="O49:O50"/>
    <mergeCell ref="U40:U41"/>
    <mergeCell ref="O44:O45"/>
    <mergeCell ref="O27:O28"/>
    <mergeCell ref="O24:O25"/>
    <mergeCell ref="U37:U38"/>
    <mergeCell ref="A1:C1"/>
    <mergeCell ref="B7:C7"/>
    <mergeCell ref="E21:F21"/>
    <mergeCell ref="E10:E11"/>
    <mergeCell ref="F10:F11"/>
  </mergeCells>
  <phoneticPr fontId="17" type="noConversion"/>
  <conditionalFormatting sqref="B31:B33 A30:A33 A26:B28 A25">
    <cfRule type="expression" dxfId="291" priority="16" stopIfTrue="1">
      <formula>$D$1=1</formula>
    </cfRule>
    <cfRule type="expression" dxfId="290" priority="17" stopIfTrue="1">
      <formula>$D$1&lt;&gt;1</formula>
    </cfRule>
  </conditionalFormatting>
  <conditionalFormatting sqref="E3:J3">
    <cfRule type="expression" dxfId="289" priority="18" stopIfTrue="1">
      <formula>$D$1=1</formula>
    </cfRule>
  </conditionalFormatting>
  <conditionalFormatting sqref="F36">
    <cfRule type="expression" dxfId="288" priority="27" stopIfTrue="1">
      <formula>OR(ISBLANK($E$36),$E$36&gt;12)</formula>
    </cfRule>
  </conditionalFormatting>
  <conditionalFormatting sqref="F37">
    <cfRule type="expression" dxfId="287" priority="28" stopIfTrue="1">
      <formula>OR(ISBLANK($E$37),$E$37&gt;12)</formula>
    </cfRule>
  </conditionalFormatting>
  <conditionalFormatting sqref="F38">
    <cfRule type="expression" dxfId="286" priority="29" stopIfTrue="1">
      <formula>OR(ISBLANK($E$38),$E$38&gt;12)</formula>
    </cfRule>
  </conditionalFormatting>
  <conditionalFormatting sqref="F39">
    <cfRule type="expression" dxfId="285" priority="30" stopIfTrue="1">
      <formula>OR(ISBLANK($E$39),$E$39&gt;12)</formula>
    </cfRule>
  </conditionalFormatting>
  <conditionalFormatting sqref="F40">
    <cfRule type="expression" dxfId="284" priority="31" stopIfTrue="1">
      <formula>OR(ISBLANK($E$40),$E$40&gt;12)</formula>
    </cfRule>
  </conditionalFormatting>
  <conditionalFormatting sqref="F41">
    <cfRule type="expression" dxfId="283" priority="32" stopIfTrue="1">
      <formula>OR(ISBLANK($E$41),$E$41&gt;12)</formula>
    </cfRule>
  </conditionalFormatting>
  <conditionalFormatting sqref="F42">
    <cfRule type="expression" dxfId="282" priority="33" stopIfTrue="1">
      <formula>OR(ISBLANK($E$42),$E$42&gt;12)</formula>
    </cfRule>
  </conditionalFormatting>
  <conditionalFormatting sqref="F43">
    <cfRule type="expression" dxfId="281" priority="34" stopIfTrue="1">
      <formula>OR(ISBLANK($E$43),$E$43&gt;12)</formula>
    </cfRule>
  </conditionalFormatting>
  <conditionalFormatting sqref="E10:G11">
    <cfRule type="expression" dxfId="280" priority="15" stopIfTrue="1">
      <formula>$D$1=1</formula>
    </cfRule>
  </conditionalFormatting>
  <conditionalFormatting sqref="A36">
    <cfRule type="expression" dxfId="279" priority="7" stopIfTrue="1">
      <formula>RIGHT($A$36,1)="M"</formula>
    </cfRule>
  </conditionalFormatting>
  <conditionalFormatting sqref="A37">
    <cfRule type="expression" dxfId="278" priority="8" stopIfTrue="1">
      <formula>RIGHT($A$37,1)="M"</formula>
    </cfRule>
  </conditionalFormatting>
  <conditionalFormatting sqref="A38">
    <cfRule type="expression" dxfId="277" priority="9" stopIfTrue="1">
      <formula>RIGHT($A$38,1)="M"</formula>
    </cfRule>
  </conditionalFormatting>
  <conditionalFormatting sqref="A39">
    <cfRule type="expression" dxfId="276" priority="10" stopIfTrue="1">
      <formula>RIGHT($A$39,1)="M"</formula>
    </cfRule>
  </conditionalFormatting>
  <conditionalFormatting sqref="A40">
    <cfRule type="expression" dxfId="275" priority="11" stopIfTrue="1">
      <formula>RIGHT($A$40,1)="M"</formula>
    </cfRule>
  </conditionalFormatting>
  <conditionalFormatting sqref="A41">
    <cfRule type="expression" dxfId="274" priority="12" stopIfTrue="1">
      <formula>RIGHT($A$41,1)="M"</formula>
    </cfRule>
  </conditionalFormatting>
  <conditionalFormatting sqref="A42">
    <cfRule type="expression" dxfId="273" priority="13" stopIfTrue="1">
      <formula>RIGHT($A$42,1)="M"</formula>
    </cfRule>
  </conditionalFormatting>
  <conditionalFormatting sqref="A43">
    <cfRule type="expression" dxfId="272" priority="14" stopIfTrue="1">
      <formula>RIGHT($A$43,1)="M"</formula>
    </cfRule>
  </conditionalFormatting>
  <conditionalFormatting sqref="D58">
    <cfRule type="expression" dxfId="271" priority="2" stopIfTrue="1">
      <formula>#REF!&gt;0</formula>
    </cfRule>
  </conditionalFormatting>
  <conditionalFormatting sqref="E58">
    <cfRule type="expression" dxfId="270" priority="3" stopIfTrue="1">
      <formula>#REF!&gt;1</formula>
    </cfRule>
  </conditionalFormatting>
  <conditionalFormatting sqref="F58">
    <cfRule type="expression" dxfId="269" priority="4" stopIfTrue="1">
      <formula>#REF!&gt;2</formula>
    </cfRule>
  </conditionalFormatting>
  <conditionalFormatting sqref="G58">
    <cfRule type="expression" dxfId="268" priority="5" stopIfTrue="1">
      <formula>#REF!&gt;3</formula>
    </cfRule>
  </conditionalFormatting>
  <conditionalFormatting sqref="H58">
    <cfRule type="expression" dxfId="267" priority="6" stopIfTrue="1">
      <formula>#REF!&gt;4</formula>
    </cfRule>
  </conditionalFormatting>
  <conditionalFormatting sqref="I58">
    <cfRule type="expression" dxfId="266" priority="1" stopIfTrue="1">
      <formula>#REF!&gt;4</formula>
    </cfRule>
  </conditionalFormatting>
  <pageMargins left="0.25" right="0.25" top="0.5" bottom="0.5" header="0" footer="0"/>
  <pageSetup scale="49" orientation="landscape" horizontalDpi="300" verticalDpi="300" r:id="rId1"/>
  <headerFooter alignWithMargins="0"/>
  <colBreaks count="1" manualBreakCount="1">
    <brk id="49" max="1048575" man="1"/>
  </colBreaks>
  <legacyDrawing r:id="rId2"/>
</worksheet>
</file>

<file path=xl/worksheets/sheet9.xml><?xml version="1.0" encoding="utf-8"?>
<worksheet xmlns="http://schemas.openxmlformats.org/spreadsheetml/2006/main" xmlns:r="http://schemas.openxmlformats.org/officeDocument/2006/relationships">
  <sheetPr codeName="Sheet3">
    <tabColor theme="3" tint="0.59999389629810485"/>
  </sheetPr>
  <dimension ref="A1:XDS270"/>
  <sheetViews>
    <sheetView workbookViewId="0">
      <pane ySplit="6" topLeftCell="A35" activePane="bottomLeft" state="frozen"/>
      <selection activeCell="A2" sqref="A2"/>
      <selection pane="bottomLeft" activeCell="F5" sqref="F5:G6"/>
    </sheetView>
  </sheetViews>
  <sheetFormatPr defaultColWidth="0" defaultRowHeight="12" zeroHeight="1" outlineLevelCol="1"/>
  <cols>
    <col min="1" max="1" width="3.7109375" style="602" hidden="1" customWidth="1" outlineLevel="1"/>
    <col min="2" max="2" width="32.140625" style="602" bestFit="1" customWidth="1" collapsed="1"/>
    <col min="3" max="4" width="3.140625" style="609" bestFit="1" customWidth="1"/>
    <col min="5" max="5" width="2.7109375" style="598" hidden="1" customWidth="1"/>
    <col min="6" max="6" width="2" style="609" bestFit="1" customWidth="1"/>
    <col min="7" max="7" width="3.5703125" style="598" bestFit="1" customWidth="1"/>
    <col min="8" max="8" width="1.85546875" style="598" bestFit="1" customWidth="1"/>
    <col min="9" max="9" width="3.42578125" style="598" hidden="1" customWidth="1" outlineLevel="1"/>
    <col min="10" max="10" width="26.140625" style="613" bestFit="1" customWidth="1" collapsed="1"/>
    <col min="11" max="11" width="3.42578125" style="633" customWidth="1"/>
    <col min="12" max="12" width="2.7109375" style="633" customWidth="1"/>
    <col min="13" max="13" width="2.7109375" style="633" hidden="1" customWidth="1"/>
    <col min="14" max="14" width="3.5703125" style="633" customWidth="1"/>
    <col min="15" max="15" width="2.7109375" style="633" customWidth="1"/>
    <col min="16" max="16" width="2.7109375" style="598" customWidth="1"/>
    <col min="17" max="17" width="2.7109375" style="598" hidden="1" customWidth="1" outlineLevel="1"/>
    <col min="18" max="18" width="13.85546875" style="598" bestFit="1" customWidth="1" collapsed="1"/>
    <col min="19" max="19" width="6.28515625" style="609" bestFit="1" customWidth="1"/>
    <col min="20" max="21" width="6" style="609" bestFit="1" customWidth="1"/>
    <col min="22" max="24" width="1.85546875" style="598" hidden="1" customWidth="1"/>
    <col min="25" max="25" width="13.85546875" style="603" customWidth="1"/>
    <col min="26" max="26" width="4.7109375" style="603" hidden="1" customWidth="1" outlineLevel="1"/>
    <col min="27" max="27" width="17.85546875" style="603" customWidth="1" collapsed="1"/>
    <col min="28" max="29" width="17.85546875" style="603" customWidth="1"/>
    <col min="30" max="31" width="3" style="598" bestFit="1" customWidth="1"/>
    <col min="32" max="35" width="2.7109375" style="602" customWidth="1"/>
    <col min="36" max="52" width="9.140625" style="602" customWidth="1"/>
    <col min="53" max="56" width="0" style="602" hidden="1"/>
    <col min="57" max="16347" width="9.140625" style="602" hidden="1"/>
    <col min="16348" max="16384" width="0" style="602" hidden="1"/>
  </cols>
  <sheetData>
    <row r="1" spans="1:35" ht="18.75" customHeight="1">
      <c r="B1" s="1222" t="s">
        <v>3990</v>
      </c>
      <c r="C1" s="1223"/>
      <c r="D1" s="1223"/>
      <c r="E1" s="1223"/>
      <c r="F1" s="1223"/>
      <c r="G1" s="1223"/>
      <c r="H1" s="1223"/>
      <c r="I1" s="1223"/>
      <c r="J1" s="1223"/>
      <c r="K1" s="1223"/>
      <c r="L1" s="1223"/>
      <c r="M1" s="1223"/>
      <c r="N1" s="1223"/>
      <c r="O1" s="1223"/>
      <c r="P1" s="1223"/>
      <c r="Q1" s="1223"/>
      <c r="R1" s="1223"/>
      <c r="S1" s="1223"/>
      <c r="T1" s="1223"/>
      <c r="U1" s="1223"/>
      <c r="V1" s="1223"/>
      <c r="W1" s="1223"/>
      <c r="X1" s="1223"/>
      <c r="Y1" s="1223"/>
      <c r="Z1" s="1223"/>
      <c r="AA1" s="1223"/>
      <c r="AB1" s="1223"/>
      <c r="AC1" s="1223"/>
      <c r="AD1" s="1223"/>
      <c r="AE1" s="1223"/>
      <c r="AF1" s="1223"/>
    </row>
    <row r="2" spans="1:35" ht="9.9499999999999993" customHeight="1">
      <c r="C2" s="609" t="s">
        <v>5216</v>
      </c>
      <c r="D2" s="609" t="s">
        <v>4629</v>
      </c>
      <c r="F2" s="627" t="s">
        <v>5043</v>
      </c>
      <c r="G2" s="612"/>
      <c r="H2" s="612"/>
      <c r="I2" s="612"/>
      <c r="K2" s="609"/>
      <c r="L2" s="609" t="s">
        <v>5216</v>
      </c>
      <c r="M2" s="609"/>
      <c r="N2" s="609"/>
      <c r="O2" s="609"/>
      <c r="R2" s="598" t="s">
        <v>4215</v>
      </c>
    </row>
    <row r="3" spans="1:35" ht="9.9499999999999993" customHeight="1">
      <c r="B3" s="615" t="s">
        <v>5042</v>
      </c>
      <c r="C3" s="628">
        <v>7</v>
      </c>
      <c r="D3" s="628" t="s">
        <v>5222</v>
      </c>
      <c r="E3" s="609"/>
      <c r="F3" s="606">
        <f>IF(D3="n",0,VLOOKUP('SA&amp;DD'!C3,'System Lookups'!K151:L155,2))</f>
        <v>2</v>
      </c>
      <c r="G3" s="609"/>
      <c r="H3" s="609"/>
      <c r="I3" s="609"/>
      <c r="J3" s="615" t="s">
        <v>3548</v>
      </c>
      <c r="K3" s="622" t="str">
        <f>IF(F3&gt;0,"Y", "N")</f>
        <v>Y</v>
      </c>
      <c r="L3" s="628">
        <v>96</v>
      </c>
      <c r="M3" s="629"/>
      <c r="N3" s="622" t="str">
        <f>IF(OR(L3&gt;40,K3="N"),"N","Y")</f>
        <v>N</v>
      </c>
      <c r="O3" s="609"/>
      <c r="R3" s="619" t="s">
        <v>4216</v>
      </c>
      <c r="S3" s="625"/>
      <c r="T3" s="625"/>
      <c r="U3" s="625"/>
      <c r="V3" s="615"/>
    </row>
    <row r="4" spans="1:35" ht="9.9499999999999993" customHeight="1">
      <c r="B4" s="615" t="s">
        <v>2947</v>
      </c>
      <c r="C4" s="606">
        <f>SUM(F7:F69)-F4</f>
        <v>0</v>
      </c>
      <c r="E4" s="609"/>
      <c r="F4" s="630">
        <v>15</v>
      </c>
      <c r="G4" s="627" t="s">
        <v>4857</v>
      </c>
      <c r="H4" s="606">
        <f>IF(D9="Y",1,0)+IF(D17="Y",1,0)+IF(D29="Y",1,0)+IF(D30="Y",1,0)+IF(D32="Y",1,0)+IF(D34="Y",1,0)+IF(D36="Y",1,0)+IF(D40="Y",1,0)+IF(D65="Y",1,0)+IF(D68="Y",1,0)+IF(D10="Y",1,0)+IF(D35="Y",1,0)+IF(D43="Y",1,0)</f>
        <v>0</v>
      </c>
      <c r="J4" s="631" t="s">
        <v>2948</v>
      </c>
      <c r="K4" s="622">
        <f>SUM(N7:N53)+L4</f>
        <v>0</v>
      </c>
      <c r="L4" s="630"/>
      <c r="M4" s="609"/>
      <c r="N4" s="609"/>
      <c r="O4" s="609"/>
      <c r="R4" s="598" t="s">
        <v>4217</v>
      </c>
      <c r="T4" s="625"/>
      <c r="U4" s="625"/>
      <c r="V4" s="615"/>
    </row>
    <row r="5" spans="1:35" ht="9.9499999999999993" customHeight="1">
      <c r="B5" s="598"/>
      <c r="E5" s="632" t="s">
        <v>5217</v>
      </c>
      <c r="F5" s="2704">
        <v>11</v>
      </c>
      <c r="G5" s="1221"/>
      <c r="H5" s="610"/>
      <c r="M5" s="625" t="s">
        <v>5217</v>
      </c>
      <c r="N5" s="2703">
        <v>12</v>
      </c>
      <c r="O5" s="1221"/>
      <c r="S5" s="2702" t="s">
        <v>4895</v>
      </c>
      <c r="T5" s="2542"/>
      <c r="U5" s="2542"/>
      <c r="V5" s="603"/>
      <c r="W5" s="603"/>
      <c r="X5" s="603"/>
      <c r="Y5" s="2703">
        <v>13</v>
      </c>
      <c r="AF5" s="2703">
        <v>10</v>
      </c>
      <c r="AG5" s="1221"/>
    </row>
    <row r="6" spans="1:35" ht="9.9499999999999993" customHeight="1">
      <c r="B6" s="635" t="s">
        <v>4896</v>
      </c>
      <c r="C6" s="625" t="s">
        <v>589</v>
      </c>
      <c r="D6" s="625" t="s">
        <v>2763</v>
      </c>
      <c r="E6" s="636"/>
      <c r="F6" s="1221"/>
      <c r="G6" s="1221"/>
      <c r="H6" s="613"/>
      <c r="J6" s="635" t="s">
        <v>3062</v>
      </c>
      <c r="K6" s="625" t="s">
        <v>589</v>
      </c>
      <c r="L6" s="625" t="s">
        <v>2763</v>
      </c>
      <c r="M6" s="636"/>
      <c r="N6" s="1221"/>
      <c r="O6" s="1221"/>
      <c r="R6" s="623"/>
      <c r="S6" s="637" t="s">
        <v>918</v>
      </c>
      <c r="T6" s="637" t="s">
        <v>919</v>
      </c>
      <c r="U6" s="637" t="s">
        <v>920</v>
      </c>
      <c r="V6" s="615"/>
      <c r="Y6" s="1221"/>
      <c r="AA6" s="2699" t="s">
        <v>1771</v>
      </c>
      <c r="AB6" s="2699"/>
      <c r="AC6" s="2553"/>
      <c r="AD6" s="625" t="s">
        <v>589</v>
      </c>
      <c r="AE6" s="625" t="s">
        <v>2763</v>
      </c>
      <c r="AF6" s="1221"/>
      <c r="AG6" s="1221"/>
      <c r="AH6" s="633"/>
      <c r="AI6" s="638"/>
    </row>
    <row r="7" spans="1:35" s="598" customFormat="1" ht="9.9499999999999993" customHeight="1">
      <c r="A7" s="598">
        <v>1</v>
      </c>
      <c r="B7" s="612" t="s">
        <v>45</v>
      </c>
      <c r="C7" s="622" t="s">
        <v>5222</v>
      </c>
      <c r="D7" s="1018" t="s">
        <v>5224</v>
      </c>
      <c r="E7" s="598">
        <v>-10</v>
      </c>
      <c r="F7" s="627">
        <f>IF((D7="Y"),-E7,0)</f>
        <v>0</v>
      </c>
      <c r="G7" s="613"/>
      <c r="H7" s="613"/>
      <c r="I7" s="598">
        <v>1</v>
      </c>
      <c r="J7" s="612" t="s">
        <v>5111</v>
      </c>
      <c r="K7" s="622" t="s">
        <v>5222</v>
      </c>
      <c r="L7" s="628" t="s">
        <v>5224</v>
      </c>
      <c r="M7" s="609">
        <v>10</v>
      </c>
      <c r="N7" s="609">
        <f>IF((L7="Y"),-M7,0)</f>
        <v>0</v>
      </c>
      <c r="O7" s="609"/>
      <c r="Q7" s="598">
        <v>1</v>
      </c>
      <c r="R7" s="612" t="s">
        <v>2949</v>
      </c>
      <c r="S7" s="628"/>
      <c r="T7" s="628"/>
      <c r="U7" s="628"/>
      <c r="V7" s="611">
        <f t="shared" ref="V7:V41" si="0">IF(ISBLANK(S7),0,1)</f>
        <v>0</v>
      </c>
      <c r="W7" s="611">
        <f t="shared" ref="W7:W41" si="1">IF(ISBLANK(T7),0,1)</f>
        <v>0</v>
      </c>
      <c r="X7" s="611">
        <f t="shared" ref="X7:X41" si="2">IF(ISBLANK(U7),0,1)</f>
        <v>0</v>
      </c>
      <c r="Y7" s="603" t="s">
        <v>5475</v>
      </c>
      <c r="Z7" s="603">
        <v>1</v>
      </c>
      <c r="AA7" s="2536" t="s">
        <v>404</v>
      </c>
      <c r="AB7" s="2536"/>
      <c r="AC7" s="2552"/>
      <c r="AD7" s="622" t="str">
        <f>IF(('Main Creation Page'!$E$6="Poor"),"Y",IF(OR($L$51="Y",$L$52="Y",$L$53="Y"),"Y","N"))</f>
        <v>N</v>
      </c>
      <c r="AE7" s="628" t="s">
        <v>5224</v>
      </c>
      <c r="AF7" s="609" t="str">
        <f>IF(AND(AD7="Y",OR(AE7="Y",AND(ISNUMBER(AE7),AE7&gt;0))),"Y","N")</f>
        <v>N</v>
      </c>
      <c r="AG7" s="609"/>
      <c r="AH7" s="609"/>
    </row>
    <row r="8" spans="1:35" s="598" customFormat="1" ht="9.9499999999999993" customHeight="1">
      <c r="A8" s="598">
        <v>3</v>
      </c>
      <c r="B8" s="612" t="s">
        <v>47</v>
      </c>
      <c r="C8" s="622" t="s">
        <v>5222</v>
      </c>
      <c r="D8" s="628" t="s">
        <v>5224</v>
      </c>
      <c r="E8" s="598">
        <v>-10</v>
      </c>
      <c r="F8" s="627">
        <f>IF((D8="Y"),-E8,0)</f>
        <v>0</v>
      </c>
      <c r="G8" s="613"/>
      <c r="H8" s="613"/>
      <c r="I8" s="598">
        <v>4</v>
      </c>
      <c r="J8" s="612" t="s">
        <v>3695</v>
      </c>
      <c r="K8" s="622" t="s">
        <v>5222</v>
      </c>
      <c r="L8" s="628" t="s">
        <v>5224</v>
      </c>
      <c r="M8" s="609">
        <v>5</v>
      </c>
      <c r="N8" s="609">
        <f t="shared" ref="N8:N35" si="3">IF((L8="Y"),-M8,0)</f>
        <v>0</v>
      </c>
      <c r="O8" s="609"/>
      <c r="Q8" s="598">
        <v>5</v>
      </c>
      <c r="R8" s="612" t="s">
        <v>4177</v>
      </c>
      <c r="S8" s="628"/>
      <c r="T8" s="628"/>
      <c r="U8" s="639"/>
      <c r="V8" s="611">
        <f t="shared" si="0"/>
        <v>0</v>
      </c>
      <c r="W8" s="611">
        <f t="shared" si="1"/>
        <v>0</v>
      </c>
      <c r="X8" s="611">
        <f t="shared" si="2"/>
        <v>0</v>
      </c>
      <c r="Y8" s="613" t="s">
        <v>5243</v>
      </c>
      <c r="Z8" s="613">
        <v>5</v>
      </c>
      <c r="AA8" s="2536" t="s">
        <v>358</v>
      </c>
      <c r="AB8" s="2536"/>
      <c r="AC8" s="2552"/>
      <c r="AD8" s="622" t="str">
        <f>IF(('Main Creation Page'!$E$6="Poor"),"Y",IF(OR($L$51="Y",$L$52="Y",$L$53="Y"),"Y","N"))</f>
        <v>N</v>
      </c>
      <c r="AE8" s="628" t="s">
        <v>5224</v>
      </c>
      <c r="AF8" s="945" t="str">
        <f t="shared" ref="AF8:AF41" si="4">IF(AND(AD8="Y",OR(AE8="Y",AND(ISNUMBER(AE8),AE8&gt;0))),"Y","N")</f>
        <v>N</v>
      </c>
      <c r="AG8" s="609"/>
      <c r="AH8" s="609"/>
    </row>
    <row r="9" spans="1:35" s="598" customFormat="1" ht="9.9499999999999993" customHeight="1">
      <c r="A9" s="598">
        <v>5</v>
      </c>
      <c r="B9" s="617" t="s">
        <v>3461</v>
      </c>
      <c r="C9" s="640" t="s">
        <v>4629</v>
      </c>
      <c r="D9" s="641" t="s">
        <v>5224</v>
      </c>
      <c r="E9" s="598" t="s">
        <v>3694</v>
      </c>
      <c r="F9" s="627"/>
      <c r="G9" s="613"/>
      <c r="H9" s="613"/>
      <c r="I9" s="598">
        <v>7</v>
      </c>
      <c r="J9" s="612" t="s">
        <v>3696</v>
      </c>
      <c r="K9" s="622" t="s">
        <v>5222</v>
      </c>
      <c r="L9" s="628" t="s">
        <v>5224</v>
      </c>
      <c r="M9" s="609">
        <v>3</v>
      </c>
      <c r="N9" s="609">
        <f t="shared" si="3"/>
        <v>0</v>
      </c>
      <c r="O9" s="609"/>
      <c r="Q9" s="598">
        <v>8</v>
      </c>
      <c r="R9" s="612" t="s">
        <v>1179</v>
      </c>
      <c r="S9" s="628"/>
      <c r="T9" s="628"/>
      <c r="U9" s="639"/>
      <c r="V9" s="611">
        <f t="shared" si="0"/>
        <v>0</v>
      </c>
      <c r="W9" s="611">
        <f t="shared" si="1"/>
        <v>0</v>
      </c>
      <c r="X9" s="611">
        <f t="shared" si="2"/>
        <v>0</v>
      </c>
      <c r="Y9" s="613" t="s">
        <v>5476</v>
      </c>
      <c r="Z9" s="613">
        <v>9</v>
      </c>
      <c r="AA9" s="2536" t="s">
        <v>890</v>
      </c>
      <c r="AB9" s="2536"/>
      <c r="AC9" s="2552"/>
      <c r="AD9" s="622" t="str">
        <f>IF(('Main Creation Page'!$E$6="Poor"),"Y",IF(OR($L$51="Y",$L$52="Y",$L$53="Y"),"Y","N"))</f>
        <v>N</v>
      </c>
      <c r="AE9" s="628" t="s">
        <v>5224</v>
      </c>
      <c r="AF9" s="945" t="str">
        <f t="shared" si="4"/>
        <v>N</v>
      </c>
      <c r="AG9" s="609"/>
      <c r="AH9" s="609"/>
    </row>
    <row r="10" spans="1:35" s="598" customFormat="1" ht="9.9499999999999993" customHeight="1">
      <c r="A10" s="598">
        <v>8</v>
      </c>
      <c r="B10" s="642" t="s">
        <v>3462</v>
      </c>
      <c r="C10" s="640" t="str">
        <f>IF(('Main Creation Page'!$E$6="Well"),"Y",(IF(('Main Creation Page'!$E$6="Poor"),"Y","N")))</f>
        <v>Y</v>
      </c>
      <c r="D10" s="628" t="s">
        <v>5224</v>
      </c>
      <c r="E10" s="598" t="s">
        <v>3694</v>
      </c>
      <c r="F10" s="627"/>
      <c r="G10" s="643" t="str">
        <f>IF(D11="Y",0.1," ")</f>
        <v xml:space="preserve"> </v>
      </c>
      <c r="H10" s="613"/>
      <c r="I10" s="598">
        <v>10</v>
      </c>
      <c r="J10" s="612" t="s">
        <v>5110</v>
      </c>
      <c r="K10" s="622" t="s">
        <v>5222</v>
      </c>
      <c r="L10" s="628" t="s">
        <v>5224</v>
      </c>
      <c r="M10" s="609">
        <v>10</v>
      </c>
      <c r="N10" s="609">
        <f t="shared" si="3"/>
        <v>0</v>
      </c>
      <c r="O10" s="609"/>
      <c r="Q10" s="598">
        <v>11</v>
      </c>
      <c r="R10" s="612" t="s">
        <v>1182</v>
      </c>
      <c r="S10" s="628"/>
      <c r="T10" s="628"/>
      <c r="U10" s="639"/>
      <c r="V10" s="611">
        <f t="shared" si="0"/>
        <v>0</v>
      </c>
      <c r="W10" s="611">
        <f t="shared" si="1"/>
        <v>0</v>
      </c>
      <c r="X10" s="611">
        <f t="shared" si="2"/>
        <v>0</v>
      </c>
      <c r="Y10" s="613" t="s">
        <v>5477</v>
      </c>
      <c r="Z10" s="613">
        <v>13</v>
      </c>
      <c r="AA10" s="2700" t="s">
        <v>251</v>
      </c>
      <c r="AB10" s="2700"/>
      <c r="AC10" s="2701"/>
      <c r="AD10" s="622" t="str">
        <f>IF(('Main Creation Page'!$E$6="Poor"),"Y",IF(OR($L$51="Y",$L$52="Y",$L$53="Y"),"Y","N"))</f>
        <v>N</v>
      </c>
      <c r="AE10" s="628" t="s">
        <v>5224</v>
      </c>
      <c r="AF10" s="945" t="str">
        <f t="shared" si="4"/>
        <v>N</v>
      </c>
      <c r="AG10" s="609"/>
      <c r="AH10" s="609"/>
    </row>
    <row r="11" spans="1:35" s="598" customFormat="1" ht="9.9499999999999993" customHeight="1">
      <c r="A11" s="598">
        <v>9</v>
      </c>
      <c r="B11" s="612" t="s">
        <v>3857</v>
      </c>
      <c r="C11" s="622" t="str">
        <f>IF((L38="Y"),"N","Y")</f>
        <v>Y</v>
      </c>
      <c r="D11" s="628" t="s">
        <v>5224</v>
      </c>
      <c r="E11" s="598">
        <v>-5</v>
      </c>
      <c r="F11" s="627">
        <f t="shared" ref="F11:F16" si="5">IF((D11="Y"),-E11,0)</f>
        <v>0</v>
      </c>
      <c r="G11" s="644"/>
      <c r="H11" s="613"/>
      <c r="I11" s="598">
        <v>13</v>
      </c>
      <c r="J11" s="612" t="s">
        <v>3697</v>
      </c>
      <c r="K11" s="622" t="s">
        <v>5222</v>
      </c>
      <c r="L11" s="628" t="s">
        <v>5224</v>
      </c>
      <c r="M11" s="609">
        <v>10</v>
      </c>
      <c r="N11" s="609">
        <f t="shared" si="3"/>
        <v>0</v>
      </c>
      <c r="O11" s="609"/>
      <c r="Q11" s="598">
        <v>14</v>
      </c>
      <c r="R11" s="612" t="s">
        <v>1183</v>
      </c>
      <c r="S11" s="628"/>
      <c r="T11" s="628"/>
      <c r="U11" s="639"/>
      <c r="V11" s="611">
        <f t="shared" si="0"/>
        <v>0</v>
      </c>
      <c r="W11" s="611">
        <f t="shared" si="1"/>
        <v>0</v>
      </c>
      <c r="X11" s="611">
        <f t="shared" si="2"/>
        <v>0</v>
      </c>
      <c r="Y11" s="613" t="s">
        <v>5478</v>
      </c>
      <c r="Z11" s="613">
        <v>17</v>
      </c>
      <c r="AA11" s="2536" t="s">
        <v>4246</v>
      </c>
      <c r="AB11" s="2536"/>
      <c r="AC11" s="2552"/>
      <c r="AD11" s="622" t="str">
        <f>IF(('Main Creation Page'!$E$6="Poor"),"Y",IF(OR($L$51="Y",$L$52="Y",$L$53="Y"),"Y","N"))</f>
        <v>N</v>
      </c>
      <c r="AE11" s="628" t="s">
        <v>5224</v>
      </c>
      <c r="AF11" s="945" t="str">
        <f t="shared" si="4"/>
        <v>N</v>
      </c>
      <c r="AG11" s="609"/>
      <c r="AH11" s="609"/>
    </row>
    <row r="12" spans="1:35" s="598" customFormat="1" ht="9.9499999999999993" customHeight="1">
      <c r="A12" s="598">
        <v>10</v>
      </c>
      <c r="B12" s="612" t="s">
        <v>3856</v>
      </c>
      <c r="C12" s="622" t="str">
        <f>IF((L39="Y"),"N","Y")</f>
        <v>Y</v>
      </c>
      <c r="D12" s="628" t="s">
        <v>5224</v>
      </c>
      <c r="E12" s="598">
        <v>-3</v>
      </c>
      <c r="F12" s="627">
        <f t="shared" si="5"/>
        <v>0</v>
      </c>
      <c r="G12" s="644"/>
      <c r="H12" s="613"/>
      <c r="I12" s="598">
        <v>16</v>
      </c>
      <c r="J12" s="612" t="s">
        <v>5114</v>
      </c>
      <c r="K12" s="622" t="s">
        <v>5222</v>
      </c>
      <c r="L12" s="628" t="s">
        <v>5224</v>
      </c>
      <c r="M12" s="609">
        <v>7</v>
      </c>
      <c r="N12" s="609">
        <f t="shared" si="3"/>
        <v>0</v>
      </c>
      <c r="O12" s="609"/>
      <c r="Q12" s="598">
        <v>17</v>
      </c>
      <c r="R12" s="612" t="s">
        <v>1184</v>
      </c>
      <c r="S12" s="628"/>
      <c r="T12" s="628"/>
      <c r="U12" s="628"/>
      <c r="V12" s="611">
        <f t="shared" si="0"/>
        <v>0</v>
      </c>
      <c r="W12" s="611">
        <f t="shared" si="1"/>
        <v>0</v>
      </c>
      <c r="X12" s="611">
        <f t="shared" si="2"/>
        <v>0</v>
      </c>
      <c r="Y12" s="613" t="s">
        <v>5479</v>
      </c>
      <c r="Z12" s="613">
        <v>21</v>
      </c>
      <c r="AA12" s="2536" t="s">
        <v>2106</v>
      </c>
      <c r="AB12" s="2536"/>
      <c r="AC12" s="2552"/>
      <c r="AD12" s="622" t="str">
        <f>IF(('Main Creation Page'!$E$6="Poor"),"Y",IF(OR($L$51="Y",$L$52="Y",$L$53="Y"),"Y","N"))</f>
        <v>N</v>
      </c>
      <c r="AE12" s="628" t="s">
        <v>5224</v>
      </c>
      <c r="AF12" s="945" t="str">
        <f t="shared" si="4"/>
        <v>N</v>
      </c>
      <c r="AG12" s="609"/>
      <c r="AH12" s="609"/>
    </row>
    <row r="13" spans="1:35" s="598" customFormat="1" ht="9.9499999999999993" customHeight="1">
      <c r="A13" s="598">
        <v>11</v>
      </c>
      <c r="B13" s="612" t="s">
        <v>3858</v>
      </c>
      <c r="C13" s="622" t="str">
        <f>IF((L38="Y"),"N","Y")</f>
        <v>Y</v>
      </c>
      <c r="D13" s="628" t="s">
        <v>5224</v>
      </c>
      <c r="E13" s="598">
        <v>-3</v>
      </c>
      <c r="F13" s="627">
        <f t="shared" si="5"/>
        <v>0</v>
      </c>
      <c r="G13" s="644"/>
      <c r="H13" s="613"/>
      <c r="I13" s="598">
        <v>19</v>
      </c>
      <c r="J13" s="612" t="s">
        <v>3698</v>
      </c>
      <c r="K13" s="622" t="str">
        <f>IF(('Main Creation Page'!E9&lt;12),"Y","N")</f>
        <v>N</v>
      </c>
      <c r="L13" s="628" t="s">
        <v>5224</v>
      </c>
      <c r="M13" s="609">
        <v>10</v>
      </c>
      <c r="N13" s="609">
        <f t="shared" si="3"/>
        <v>0</v>
      </c>
      <c r="O13" s="609"/>
      <c r="Q13" s="598">
        <v>21</v>
      </c>
      <c r="R13" s="612" t="s">
        <v>1180</v>
      </c>
      <c r="S13" s="628"/>
      <c r="T13" s="628"/>
      <c r="U13" s="628"/>
      <c r="V13" s="611">
        <f t="shared" si="0"/>
        <v>0</v>
      </c>
      <c r="W13" s="611">
        <f t="shared" si="1"/>
        <v>0</v>
      </c>
      <c r="X13" s="611">
        <f t="shared" si="2"/>
        <v>0</v>
      </c>
      <c r="Y13" s="613" t="s">
        <v>5244</v>
      </c>
      <c r="Z13" s="613">
        <v>25</v>
      </c>
      <c r="AA13" s="2551" t="s">
        <v>1170</v>
      </c>
      <c r="AB13" s="2551"/>
      <c r="AC13" s="2552"/>
      <c r="AD13" s="622" t="str">
        <f>IF(('Main Creation Page'!$E$6="Poor"),"Y",IF(OR($L$51="Y",$L$52="Y",$L$53="Y"),"Y","N"))</f>
        <v>N</v>
      </c>
      <c r="AE13" s="628" t="s">
        <v>5224</v>
      </c>
      <c r="AF13" s="945" t="str">
        <f t="shared" si="4"/>
        <v>N</v>
      </c>
      <c r="AG13" s="609"/>
      <c r="AH13" s="609"/>
    </row>
    <row r="14" spans="1:35" s="598" customFormat="1" ht="9.9499999999999993" customHeight="1">
      <c r="A14" s="598">
        <v>12</v>
      </c>
      <c r="B14" s="612" t="s">
        <v>3859</v>
      </c>
      <c r="C14" s="622" t="str">
        <f>IF((L35="Y"),"N","Y")</f>
        <v>Y</v>
      </c>
      <c r="D14" s="628" t="s">
        <v>5224</v>
      </c>
      <c r="E14" s="598">
        <v>-3</v>
      </c>
      <c r="F14" s="627">
        <f t="shared" si="5"/>
        <v>0</v>
      </c>
      <c r="G14" s="644"/>
      <c r="H14" s="613"/>
      <c r="I14" s="598">
        <v>22</v>
      </c>
      <c r="J14" s="612" t="s">
        <v>5115</v>
      </c>
      <c r="K14" s="622" t="s">
        <v>5222</v>
      </c>
      <c r="L14" s="628" t="s">
        <v>5224</v>
      </c>
      <c r="M14" s="609">
        <v>10</v>
      </c>
      <c r="N14" s="609">
        <f t="shared" si="3"/>
        <v>0</v>
      </c>
      <c r="O14" s="609"/>
      <c r="Q14" s="598">
        <v>24</v>
      </c>
      <c r="R14" s="612" t="s">
        <v>1181</v>
      </c>
      <c r="S14" s="628"/>
      <c r="T14" s="628"/>
      <c r="U14" s="628"/>
      <c r="V14" s="611">
        <f t="shared" si="0"/>
        <v>0</v>
      </c>
      <c r="W14" s="611">
        <f t="shared" si="1"/>
        <v>0</v>
      </c>
      <c r="X14" s="611">
        <f t="shared" si="2"/>
        <v>0</v>
      </c>
      <c r="Y14" s="613" t="s">
        <v>5249</v>
      </c>
      <c r="Z14" s="613">
        <v>29</v>
      </c>
      <c r="AA14" s="2536" t="s">
        <v>4381</v>
      </c>
      <c r="AB14" s="2536"/>
      <c r="AC14" s="2552"/>
      <c r="AD14" s="622" t="str">
        <f>IF(('Main Creation Page'!$E$6="Poor"),"Y",IF(OR($L$51="Y",$L$52="Y",$L$53="Y"),"Y","N"))</f>
        <v>N</v>
      </c>
      <c r="AE14" s="628" t="s">
        <v>5224</v>
      </c>
      <c r="AF14" s="945" t="str">
        <f t="shared" si="4"/>
        <v>N</v>
      </c>
      <c r="AG14" s="609"/>
      <c r="AH14" s="609"/>
    </row>
    <row r="15" spans="1:35" s="598" customFormat="1" ht="9.9499999999999993" customHeight="1">
      <c r="A15" s="598">
        <v>13</v>
      </c>
      <c r="B15" s="612" t="s">
        <v>3860</v>
      </c>
      <c r="C15" s="622" t="str">
        <f>IF((L52="Y"),"N","Y")</f>
        <v>Y</v>
      </c>
      <c r="D15" s="628" t="s">
        <v>5224</v>
      </c>
      <c r="E15" s="598">
        <v>-3</v>
      </c>
      <c r="F15" s="627">
        <f t="shared" si="5"/>
        <v>0</v>
      </c>
      <c r="G15" s="644"/>
      <c r="H15" s="613"/>
      <c r="I15" s="598">
        <v>25</v>
      </c>
      <c r="J15" s="612" t="s">
        <v>5116</v>
      </c>
      <c r="K15" s="622" t="s">
        <v>5222</v>
      </c>
      <c r="L15" s="628" t="s">
        <v>5224</v>
      </c>
      <c r="M15" s="609">
        <v>7</v>
      </c>
      <c r="N15" s="609">
        <f t="shared" si="3"/>
        <v>0</v>
      </c>
      <c r="O15" s="609"/>
      <c r="Q15" s="598">
        <v>27</v>
      </c>
      <c r="R15" s="612" t="s">
        <v>1185</v>
      </c>
      <c r="S15" s="628"/>
      <c r="T15" s="628"/>
      <c r="U15" s="628"/>
      <c r="V15" s="611">
        <f t="shared" si="0"/>
        <v>0</v>
      </c>
      <c r="W15" s="611">
        <f t="shared" si="1"/>
        <v>0</v>
      </c>
      <c r="X15" s="611">
        <f t="shared" si="2"/>
        <v>0</v>
      </c>
      <c r="Y15" s="613" t="s">
        <v>1728</v>
      </c>
      <c r="Z15" s="613">
        <v>33</v>
      </c>
      <c r="AA15" s="2536" t="s">
        <v>423</v>
      </c>
      <c r="AB15" s="2536"/>
      <c r="AC15" s="2552"/>
      <c r="AD15" s="622" t="str">
        <f>IF(('Main Creation Page'!$E$6="Poor"),"Y",IF(OR($L$51="Y",$L$52="Y",$L$53="Y"),"Y","N"))</f>
        <v>N</v>
      </c>
      <c r="AE15" s="628" t="s">
        <v>5224</v>
      </c>
      <c r="AF15" s="945" t="str">
        <f t="shared" si="4"/>
        <v>N</v>
      </c>
      <c r="AG15" s="609"/>
      <c r="AH15" s="609"/>
    </row>
    <row r="16" spans="1:35" s="598" customFormat="1" ht="9.9499999999999993" customHeight="1">
      <c r="A16" s="598">
        <v>14</v>
      </c>
      <c r="B16" s="616" t="s">
        <v>3463</v>
      </c>
      <c r="C16" s="622" t="str">
        <f>IF(('Main Creation Page'!$E$6="Well"),"Y",(IF(('Main Creation Page'!$E$6="Poor"),"Y","N")))</f>
        <v>Y</v>
      </c>
      <c r="D16" s="628" t="s">
        <v>5224</v>
      </c>
      <c r="E16" s="598">
        <v>-10</v>
      </c>
      <c r="F16" s="627">
        <f t="shared" si="5"/>
        <v>0</v>
      </c>
      <c r="G16" s="645"/>
      <c r="H16" s="613"/>
      <c r="I16" s="598">
        <v>28</v>
      </c>
      <c r="J16" s="612" t="s">
        <v>5113</v>
      </c>
      <c r="K16" s="622" t="s">
        <v>5222</v>
      </c>
      <c r="L16" s="628" t="s">
        <v>5224</v>
      </c>
      <c r="M16" s="609">
        <v>15</v>
      </c>
      <c r="N16" s="609">
        <f t="shared" si="3"/>
        <v>0</v>
      </c>
      <c r="O16" s="609"/>
      <c r="Q16" s="598">
        <v>31</v>
      </c>
      <c r="R16" s="612" t="s">
        <v>1186</v>
      </c>
      <c r="S16" s="628"/>
      <c r="T16" s="628"/>
      <c r="U16" s="639"/>
      <c r="V16" s="611">
        <f t="shared" si="0"/>
        <v>0</v>
      </c>
      <c r="W16" s="611">
        <f t="shared" si="1"/>
        <v>0</v>
      </c>
      <c r="X16" s="611">
        <f t="shared" si="2"/>
        <v>0</v>
      </c>
      <c r="Y16" s="613" t="s">
        <v>5250</v>
      </c>
      <c r="Z16" s="613">
        <v>37</v>
      </c>
      <c r="AA16" s="2536" t="s">
        <v>4247</v>
      </c>
      <c r="AB16" s="2536"/>
      <c r="AC16" s="2552"/>
      <c r="AD16" s="622" t="str">
        <f>IF(('Main Creation Page'!$E$6="Poor"),"Y",IF(OR($L$51="Y",$L$52="Y",$L$53="Y"),"Y","N"))</f>
        <v>N</v>
      </c>
      <c r="AE16" s="628" t="s">
        <v>5224</v>
      </c>
      <c r="AF16" s="945" t="str">
        <f t="shared" si="4"/>
        <v>N</v>
      </c>
      <c r="AG16" s="609"/>
      <c r="AH16" s="609"/>
    </row>
    <row r="17" spans="1:34" s="598" customFormat="1" ht="9.9499999999999993" customHeight="1">
      <c r="A17" s="598">
        <v>15</v>
      </c>
      <c r="B17" s="617" t="s">
        <v>4306</v>
      </c>
      <c r="C17" s="640" t="s">
        <v>4629</v>
      </c>
      <c r="D17" s="641" t="s">
        <v>5224</v>
      </c>
      <c r="E17" s="598" t="s">
        <v>3694</v>
      </c>
      <c r="F17" s="646"/>
      <c r="G17" s="644"/>
      <c r="H17" s="605">
        <f>IF(+G17-IF('Main Creation Page'!E6="Well",2,IF('Main Creation Page'!E6="Poor",7,5))&lt;2,IF('Main Creation Page'!E6="Well",2,1),+G17-IF('Main Creation Page'!E6="Well",2,IF('Main Creation Page'!E6="Poor",7,5)))</f>
        <v>2</v>
      </c>
      <c r="I17" s="598">
        <v>30</v>
      </c>
      <c r="J17" s="612" t="s">
        <v>50</v>
      </c>
      <c r="K17" s="622" t="str">
        <f>IF((D37="Y"),"N","Y")</f>
        <v>Y</v>
      </c>
      <c r="L17" s="628" t="s">
        <v>5224</v>
      </c>
      <c r="M17" s="609">
        <v>5</v>
      </c>
      <c r="N17" s="609">
        <f t="shared" si="3"/>
        <v>0</v>
      </c>
      <c r="O17" s="609"/>
      <c r="Q17" s="598">
        <v>34</v>
      </c>
      <c r="R17" s="612" t="s">
        <v>3501</v>
      </c>
      <c r="S17" s="628"/>
      <c r="T17" s="628"/>
      <c r="U17" s="628"/>
      <c r="V17" s="611">
        <f t="shared" si="0"/>
        <v>0</v>
      </c>
      <c r="W17" s="611">
        <f t="shared" si="1"/>
        <v>0</v>
      </c>
      <c r="X17" s="611">
        <f t="shared" si="2"/>
        <v>0</v>
      </c>
      <c r="Y17" s="613" t="s">
        <v>5251</v>
      </c>
      <c r="Z17" s="613">
        <v>39</v>
      </c>
      <c r="AA17" s="2536" t="s">
        <v>1171</v>
      </c>
      <c r="AB17" s="2536"/>
      <c r="AC17" s="2552"/>
      <c r="AD17" s="622" t="str">
        <f>IF(('Main Creation Page'!$E$6="Poor"),"Y",IF(OR($L$51="Y",$L$52="Y",$L$53="Y"),"Y","N"))</f>
        <v>N</v>
      </c>
      <c r="AE17" s="628" t="s">
        <v>5224</v>
      </c>
      <c r="AF17" s="945" t="str">
        <f t="shared" si="4"/>
        <v>N</v>
      </c>
      <c r="AG17" s="609"/>
      <c r="AH17" s="609"/>
    </row>
    <row r="18" spans="1:34" s="598" customFormat="1" ht="9.9499999999999993" customHeight="1">
      <c r="A18" s="598">
        <v>16</v>
      </c>
      <c r="B18" s="647" t="s">
        <v>852</v>
      </c>
      <c r="C18" s="622" t="str">
        <f>IF(('Main Creation Page'!$E$6="Well"),"Y",(IF(('Main Creation Page'!$E$6="Poor"),"Y","N")))</f>
        <v>Y</v>
      </c>
      <c r="D18" s="628" t="s">
        <v>5224</v>
      </c>
      <c r="E18" s="598">
        <v>-10</v>
      </c>
      <c r="F18" s="627">
        <f t="shared" ref="F18:F28" si="6">IF((D18="Y"),-E18,0)</f>
        <v>0</v>
      </c>
      <c r="G18" s="644"/>
      <c r="H18" s="605">
        <f t="shared" ref="H18:H26" si="7">INT(G18/2)</f>
        <v>0</v>
      </c>
      <c r="I18" s="598">
        <v>34</v>
      </c>
      <c r="J18" s="612" t="s">
        <v>3699</v>
      </c>
      <c r="K18" s="622" t="s">
        <v>5222</v>
      </c>
      <c r="L18" s="628" t="s">
        <v>5224</v>
      </c>
      <c r="M18" s="609">
        <v>7</v>
      </c>
      <c r="N18" s="609">
        <f t="shared" si="3"/>
        <v>0</v>
      </c>
      <c r="O18" s="609"/>
      <c r="Q18" s="598">
        <v>37</v>
      </c>
      <c r="R18" s="612" t="s">
        <v>2932</v>
      </c>
      <c r="S18" s="628"/>
      <c r="T18" s="628"/>
      <c r="U18" s="628"/>
      <c r="V18" s="611">
        <f>IF(ISBLANK(S18),0,1)</f>
        <v>0</v>
      </c>
      <c r="W18" s="611">
        <f>IF(ISBLANK(T18),0,1)</f>
        <v>0</v>
      </c>
      <c r="X18" s="611">
        <f>IF(ISBLANK(U18),0,1)</f>
        <v>0</v>
      </c>
      <c r="Y18" s="613" t="s">
        <v>283</v>
      </c>
      <c r="Z18" s="613">
        <v>41</v>
      </c>
      <c r="AA18" s="2536" t="s">
        <v>1716</v>
      </c>
      <c r="AB18" s="2536"/>
      <c r="AC18" s="2552"/>
      <c r="AD18" s="622" t="str">
        <f>IF(('Main Creation Page'!$E$6="Poor"),"Y",IF(OR($L$51="Y",$L$52="Y",$L$53="Y"),"Y","N"))</f>
        <v>N</v>
      </c>
      <c r="AE18" s="628" t="s">
        <v>5224</v>
      </c>
      <c r="AF18" s="945" t="str">
        <f t="shared" si="4"/>
        <v>N</v>
      </c>
      <c r="AG18" s="609"/>
      <c r="AH18" s="609"/>
    </row>
    <row r="19" spans="1:34" s="598" customFormat="1" ht="9.9499999999999993" customHeight="1">
      <c r="A19" s="598">
        <v>17</v>
      </c>
      <c r="B19" s="647" t="s">
        <v>853</v>
      </c>
      <c r="C19" s="622" t="str">
        <f>IF(('Main Creation Page'!$E$6="Well"),"Y",(IF(('Main Creation Page'!$E$6="Poor"),"Y","N")))</f>
        <v>Y</v>
      </c>
      <c r="D19" s="628" t="s">
        <v>5224</v>
      </c>
      <c r="E19" s="598">
        <v>-10</v>
      </c>
      <c r="F19" s="627">
        <f t="shared" si="6"/>
        <v>0</v>
      </c>
      <c r="G19" s="644"/>
      <c r="H19" s="605">
        <f t="shared" si="7"/>
        <v>0</v>
      </c>
      <c r="I19" s="598">
        <v>36</v>
      </c>
      <c r="J19" s="612" t="s">
        <v>3700</v>
      </c>
      <c r="K19" s="622" t="s">
        <v>5222</v>
      </c>
      <c r="L19" s="628" t="s">
        <v>5224</v>
      </c>
      <c r="M19" s="609">
        <v>7</v>
      </c>
      <c r="N19" s="609">
        <f t="shared" si="3"/>
        <v>0</v>
      </c>
      <c r="O19" s="609"/>
      <c r="Q19" s="598">
        <v>41</v>
      </c>
      <c r="R19" s="612" t="s">
        <v>3502</v>
      </c>
      <c r="S19" s="628"/>
      <c r="T19" s="628"/>
      <c r="U19" s="639"/>
      <c r="V19" s="611">
        <f t="shared" si="0"/>
        <v>0</v>
      </c>
      <c r="W19" s="611">
        <f t="shared" si="1"/>
        <v>0</v>
      </c>
      <c r="X19" s="611">
        <f t="shared" si="2"/>
        <v>0</v>
      </c>
      <c r="Y19" s="613" t="s">
        <v>1729</v>
      </c>
      <c r="Z19" s="613">
        <v>43</v>
      </c>
      <c r="AA19" s="2536" t="s">
        <v>4121</v>
      </c>
      <c r="AB19" s="2536"/>
      <c r="AC19" s="2552"/>
      <c r="AD19" s="622" t="str">
        <f>IF(('Main Creation Page'!$E$6="Poor"),"Y",IF(OR($L$51="Y",$L$52="Y",$L$53="Y"),"Y","N"))</f>
        <v>N</v>
      </c>
      <c r="AE19" s="628" t="s">
        <v>5224</v>
      </c>
      <c r="AF19" s="945" t="str">
        <f t="shared" si="4"/>
        <v>N</v>
      </c>
      <c r="AG19" s="609"/>
      <c r="AH19" s="609"/>
    </row>
    <row r="20" spans="1:34" s="598" customFormat="1" ht="9.9499999999999993" customHeight="1">
      <c r="A20" s="598">
        <v>18</v>
      </c>
      <c r="B20" s="647" t="s">
        <v>854</v>
      </c>
      <c r="C20" s="622" t="str">
        <f>IF(('Main Creation Page'!$E$6="Well"),"Y",(IF(('Main Creation Page'!$E$6="Poor"),"Y","N")))</f>
        <v>Y</v>
      </c>
      <c r="D20" s="628" t="s">
        <v>5224</v>
      </c>
      <c r="E20" s="598">
        <v>-10</v>
      </c>
      <c r="F20" s="627">
        <f t="shared" si="6"/>
        <v>0</v>
      </c>
      <c r="G20" s="644"/>
      <c r="H20" s="605">
        <f t="shared" si="7"/>
        <v>0</v>
      </c>
      <c r="I20" s="598">
        <v>39</v>
      </c>
      <c r="J20" s="612" t="s">
        <v>85</v>
      </c>
      <c r="K20" s="622" t="s">
        <v>5222</v>
      </c>
      <c r="L20" s="628" t="s">
        <v>5224</v>
      </c>
      <c r="M20" s="609">
        <v>5</v>
      </c>
      <c r="N20" s="609">
        <f t="shared" si="3"/>
        <v>0</v>
      </c>
      <c r="O20" s="609"/>
      <c r="Q20" s="598">
        <v>44</v>
      </c>
      <c r="R20" s="612" t="s">
        <v>2263</v>
      </c>
      <c r="S20" s="628"/>
      <c r="T20" s="628"/>
      <c r="U20" s="639"/>
      <c r="V20" s="611">
        <f t="shared" si="0"/>
        <v>0</v>
      </c>
      <c r="W20" s="611">
        <f t="shared" si="1"/>
        <v>0</v>
      </c>
      <c r="X20" s="611">
        <f t="shared" si="2"/>
        <v>0</v>
      </c>
      <c r="Y20" s="613" t="s">
        <v>5252</v>
      </c>
      <c r="Z20" s="613">
        <v>45</v>
      </c>
      <c r="AA20" s="2536" t="s">
        <v>1172</v>
      </c>
      <c r="AB20" s="2536"/>
      <c r="AC20" s="2552"/>
      <c r="AD20" s="622" t="str">
        <f>IF(('Main Creation Page'!$E$6="Poor"),"Y",IF(OR($L$51="Y",$L$52="Y",$L$53="Y"),"Y","N"))</f>
        <v>N</v>
      </c>
      <c r="AE20" s="628" t="s">
        <v>5224</v>
      </c>
      <c r="AF20" s="945" t="str">
        <f t="shared" si="4"/>
        <v>N</v>
      </c>
      <c r="AG20" s="609"/>
      <c r="AH20" s="609"/>
    </row>
    <row r="21" spans="1:34" s="598" customFormat="1" ht="9.9499999999999993" customHeight="1">
      <c r="A21" s="598">
        <v>19</v>
      </c>
      <c r="B21" s="647" t="s">
        <v>855</v>
      </c>
      <c r="C21" s="622" t="str">
        <f>IF(('Main Creation Page'!$E$6="Well"),"Y",(IF(('Main Creation Page'!$E$6="Poor"),"Y","N")))</f>
        <v>Y</v>
      </c>
      <c r="D21" s="628" t="s">
        <v>5224</v>
      </c>
      <c r="E21" s="598">
        <v>-10</v>
      </c>
      <c r="F21" s="627">
        <f t="shared" si="6"/>
        <v>0</v>
      </c>
      <c r="G21" s="644"/>
      <c r="H21" s="605">
        <f t="shared" si="7"/>
        <v>0</v>
      </c>
      <c r="I21" s="598">
        <v>42</v>
      </c>
      <c r="J21" s="612" t="s">
        <v>4745</v>
      </c>
      <c r="K21" s="622" t="s">
        <v>5222</v>
      </c>
      <c r="L21" s="628" t="s">
        <v>5224</v>
      </c>
      <c r="M21" s="609">
        <v>5</v>
      </c>
      <c r="N21" s="609">
        <f t="shared" si="3"/>
        <v>0</v>
      </c>
      <c r="O21" s="609"/>
      <c r="Q21" s="598">
        <v>45</v>
      </c>
      <c r="R21" s="612" t="s">
        <v>2264</v>
      </c>
      <c r="S21" s="628"/>
      <c r="T21" s="628"/>
      <c r="U21" s="628"/>
      <c r="V21" s="611">
        <f t="shared" si="0"/>
        <v>0</v>
      </c>
      <c r="W21" s="611">
        <f t="shared" si="1"/>
        <v>0</v>
      </c>
      <c r="X21" s="611">
        <f t="shared" si="2"/>
        <v>0</v>
      </c>
      <c r="Y21" s="613" t="s">
        <v>5253</v>
      </c>
      <c r="Z21" s="613">
        <v>47</v>
      </c>
      <c r="AA21" s="2536" t="s">
        <v>1173</v>
      </c>
      <c r="AB21" s="2536"/>
      <c r="AC21" s="2552"/>
      <c r="AD21" s="622" t="str">
        <f>IF(('Main Creation Page'!$E$6="Poor"),"Y",IF(OR($L$51="Y",$L$52="Y",$L$53="Y"),"Y","N"))</f>
        <v>N</v>
      </c>
      <c r="AE21" s="628" t="s">
        <v>5224</v>
      </c>
      <c r="AF21" s="945" t="str">
        <f t="shared" si="4"/>
        <v>N</v>
      </c>
      <c r="AG21" s="609"/>
      <c r="AH21" s="609"/>
    </row>
    <row r="22" spans="1:34" s="598" customFormat="1" ht="9.9499999999999993" customHeight="1">
      <c r="A22" s="598">
        <v>20</v>
      </c>
      <c r="B22" s="647" t="s">
        <v>856</v>
      </c>
      <c r="C22" s="622" t="str">
        <f>IF(('Main Creation Page'!$E$6="Well"),"Y",(IF(('Main Creation Page'!$E$6="Poor"),"Y","N")))</f>
        <v>Y</v>
      </c>
      <c r="D22" s="628" t="s">
        <v>5224</v>
      </c>
      <c r="E22" s="598">
        <v>-10</v>
      </c>
      <c r="F22" s="627">
        <f t="shared" si="6"/>
        <v>0</v>
      </c>
      <c r="G22" s="644"/>
      <c r="H22" s="605">
        <f t="shared" si="7"/>
        <v>0</v>
      </c>
      <c r="I22" s="598">
        <v>45</v>
      </c>
      <c r="J22" s="612" t="s">
        <v>1770</v>
      </c>
      <c r="K22" s="622" t="s">
        <v>5222</v>
      </c>
      <c r="L22" s="628" t="s">
        <v>5224</v>
      </c>
      <c r="M22" s="609">
        <v>5</v>
      </c>
      <c r="N22" s="609">
        <f t="shared" si="3"/>
        <v>0</v>
      </c>
      <c r="O22" s="609"/>
      <c r="Q22" s="598">
        <v>46</v>
      </c>
      <c r="R22" s="612" t="s">
        <v>2265</v>
      </c>
      <c r="S22" s="628"/>
      <c r="T22" s="628"/>
      <c r="U22" s="639"/>
      <c r="V22" s="611">
        <f t="shared" si="0"/>
        <v>0</v>
      </c>
      <c r="W22" s="611">
        <f t="shared" si="1"/>
        <v>0</v>
      </c>
      <c r="X22" s="611">
        <f t="shared" si="2"/>
        <v>0</v>
      </c>
      <c r="Y22" s="613" t="s">
        <v>5254</v>
      </c>
      <c r="Z22" s="613">
        <v>51</v>
      </c>
      <c r="AA22" s="2536" t="s">
        <v>24</v>
      </c>
      <c r="AB22" s="2536"/>
      <c r="AC22" s="2552"/>
      <c r="AD22" s="622" t="str">
        <f>IF((D54="Y"),"N","Y")</f>
        <v>Y</v>
      </c>
      <c r="AE22" s="622">
        <f>V$52</f>
        <v>0</v>
      </c>
      <c r="AF22" s="945" t="str">
        <f t="shared" si="4"/>
        <v>N</v>
      </c>
      <c r="AG22" s="609" t="s">
        <v>3043</v>
      </c>
      <c r="AH22" s="609"/>
    </row>
    <row r="23" spans="1:34" s="598" customFormat="1" ht="9.9499999999999993" customHeight="1">
      <c r="A23" s="598">
        <v>21</v>
      </c>
      <c r="B23" s="647" t="s">
        <v>857</v>
      </c>
      <c r="C23" s="622" t="str">
        <f>IF(('Main Creation Page'!$E$6="Well"),"Y",(IF(('Main Creation Page'!$E$6="Poor"),"Y","N")))</f>
        <v>Y</v>
      </c>
      <c r="D23" s="628" t="s">
        <v>5224</v>
      </c>
      <c r="E23" s="598">
        <v>-10</v>
      </c>
      <c r="F23" s="627">
        <f t="shared" si="6"/>
        <v>0</v>
      </c>
      <c r="G23" s="644"/>
      <c r="H23" s="605">
        <f t="shared" si="7"/>
        <v>0</v>
      </c>
      <c r="I23" s="598">
        <v>48</v>
      </c>
      <c r="J23" s="612" t="s">
        <v>3701</v>
      </c>
      <c r="K23" s="622" t="s">
        <v>5222</v>
      </c>
      <c r="L23" s="628" t="s">
        <v>5224</v>
      </c>
      <c r="M23" s="609">
        <v>3</v>
      </c>
      <c r="N23" s="609">
        <f t="shared" si="3"/>
        <v>0</v>
      </c>
      <c r="O23" s="609"/>
      <c r="Q23" s="598">
        <v>48</v>
      </c>
      <c r="R23" s="612" t="s">
        <v>2266</v>
      </c>
      <c r="S23" s="628"/>
      <c r="T23" s="628"/>
      <c r="U23" s="639"/>
      <c r="V23" s="611">
        <f t="shared" si="0"/>
        <v>0</v>
      </c>
      <c r="W23" s="611">
        <f t="shared" si="1"/>
        <v>0</v>
      </c>
      <c r="X23" s="611">
        <f t="shared" si="2"/>
        <v>0</v>
      </c>
      <c r="Y23" s="613" t="s">
        <v>1380</v>
      </c>
      <c r="Z23" s="613">
        <v>61</v>
      </c>
      <c r="AA23" s="2536" t="s">
        <v>4694</v>
      </c>
      <c r="AB23" s="2536"/>
      <c r="AC23" s="2552"/>
      <c r="AD23" s="622" t="str">
        <f>IF((D55="Y"),"N","Y")</f>
        <v>Y</v>
      </c>
      <c r="AE23" s="622">
        <f>W$52</f>
        <v>0</v>
      </c>
      <c r="AF23" s="945" t="str">
        <f t="shared" si="4"/>
        <v>N</v>
      </c>
      <c r="AG23" s="988" t="s">
        <v>3043</v>
      </c>
      <c r="AH23" s="609"/>
    </row>
    <row r="24" spans="1:34" s="598" customFormat="1" ht="9.9499999999999993" customHeight="1">
      <c r="A24" s="598">
        <v>22</v>
      </c>
      <c r="B24" s="647" t="s">
        <v>858</v>
      </c>
      <c r="C24" s="622" t="str">
        <f>IF(('Main Creation Page'!$E$6="Well"),"Y",(IF(('Main Creation Page'!$E$6="Poor"),"Y","N")))</f>
        <v>Y</v>
      </c>
      <c r="D24" s="628" t="s">
        <v>5224</v>
      </c>
      <c r="E24" s="598">
        <v>-10</v>
      </c>
      <c r="F24" s="627">
        <f t="shared" si="6"/>
        <v>0</v>
      </c>
      <c r="G24" s="644"/>
      <c r="H24" s="605">
        <f t="shared" si="7"/>
        <v>0</v>
      </c>
      <c r="I24" s="598">
        <v>51</v>
      </c>
      <c r="J24" s="612" t="s">
        <v>3702</v>
      </c>
      <c r="K24" s="622" t="s">
        <v>5222</v>
      </c>
      <c r="L24" s="628" t="s">
        <v>5224</v>
      </c>
      <c r="M24" s="609">
        <v>3</v>
      </c>
      <c r="N24" s="609">
        <f t="shared" si="3"/>
        <v>0</v>
      </c>
      <c r="O24" s="609"/>
      <c r="Q24" s="598">
        <v>51</v>
      </c>
      <c r="R24" s="612" t="s">
        <v>2267</v>
      </c>
      <c r="S24" s="628"/>
      <c r="T24" s="628"/>
      <c r="U24" s="639"/>
      <c r="V24" s="611">
        <f t="shared" si="0"/>
        <v>0</v>
      </c>
      <c r="W24" s="611">
        <f t="shared" si="1"/>
        <v>0</v>
      </c>
      <c r="X24" s="611">
        <f t="shared" si="2"/>
        <v>0</v>
      </c>
      <c r="Y24" s="613" t="s">
        <v>1381</v>
      </c>
      <c r="Z24" s="613">
        <v>64</v>
      </c>
      <c r="AA24" s="2536" t="s">
        <v>25</v>
      </c>
      <c r="AB24" s="2536"/>
      <c r="AC24" s="2552"/>
      <c r="AD24" s="622" t="str">
        <f>IF((D56="Y"),"N","Y")</f>
        <v>Y</v>
      </c>
      <c r="AE24" s="622">
        <f>X$52</f>
        <v>0</v>
      </c>
      <c r="AF24" s="945" t="str">
        <f t="shared" si="4"/>
        <v>N</v>
      </c>
      <c r="AG24" s="988" t="s">
        <v>3043</v>
      </c>
      <c r="AH24" s="609"/>
    </row>
    <row r="25" spans="1:34" s="598" customFormat="1" ht="9.9499999999999993" customHeight="1">
      <c r="A25" s="598">
        <v>23</v>
      </c>
      <c r="B25" s="647" t="s">
        <v>5310</v>
      </c>
      <c r="C25" s="622" t="str">
        <f>IF(('Main Creation Page'!$E$6="Well"),"Y",(IF(('Main Creation Page'!$E$6="Poor"),"Y","N")))</f>
        <v>Y</v>
      </c>
      <c r="D25" s="628" t="s">
        <v>5224</v>
      </c>
      <c r="E25" s="598">
        <v>-10</v>
      </c>
      <c r="F25" s="627">
        <f t="shared" si="6"/>
        <v>0</v>
      </c>
      <c r="G25" s="644"/>
      <c r="H25" s="605">
        <f t="shared" si="7"/>
        <v>0</v>
      </c>
      <c r="I25" s="598">
        <v>54</v>
      </c>
      <c r="J25" s="612" t="s">
        <v>3703</v>
      </c>
      <c r="K25" s="622" t="s">
        <v>5222</v>
      </c>
      <c r="L25" s="628" t="s">
        <v>5224</v>
      </c>
      <c r="M25" s="609">
        <v>10</v>
      </c>
      <c r="N25" s="609">
        <f t="shared" si="3"/>
        <v>0</v>
      </c>
      <c r="O25" s="609"/>
      <c r="Q25" s="598">
        <v>54</v>
      </c>
      <c r="R25" s="612" t="s">
        <v>167</v>
      </c>
      <c r="S25" s="628"/>
      <c r="T25" s="628"/>
      <c r="U25" s="628"/>
      <c r="V25" s="611">
        <f t="shared" si="0"/>
        <v>0</v>
      </c>
      <c r="W25" s="611">
        <f t="shared" si="1"/>
        <v>0</v>
      </c>
      <c r="X25" s="611">
        <f t="shared" si="2"/>
        <v>0</v>
      </c>
      <c r="Y25" s="613" t="s">
        <v>5035</v>
      </c>
      <c r="Z25" s="613">
        <v>67</v>
      </c>
      <c r="AA25" s="2536" t="s">
        <v>834</v>
      </c>
      <c r="AB25" s="2536"/>
      <c r="AC25" s="2552"/>
      <c r="AD25" s="622" t="str">
        <f>IF(('Main Creation Page'!$E$6="Poor"),"Y",IF(OR($L$51="Y",$L$52="Y",$L$53="Y"),"Y","N"))</f>
        <v>N</v>
      </c>
      <c r="AE25" s="628" t="s">
        <v>5224</v>
      </c>
      <c r="AF25" s="945" t="str">
        <f t="shared" si="4"/>
        <v>N</v>
      </c>
      <c r="AG25" s="609"/>
      <c r="AH25" s="609"/>
    </row>
    <row r="26" spans="1:34" s="598" customFormat="1" ht="9.9499999999999993" customHeight="1">
      <c r="A26" s="598">
        <v>24</v>
      </c>
      <c r="B26" s="647" t="s">
        <v>5311</v>
      </c>
      <c r="C26" s="622" t="str">
        <f>IF(('Main Creation Page'!$E$6="Well"),"Y",(IF(('Main Creation Page'!$E$6="Poor"),"Y","N")))</f>
        <v>Y</v>
      </c>
      <c r="D26" s="628" t="s">
        <v>5224</v>
      </c>
      <c r="E26" s="598">
        <v>-10</v>
      </c>
      <c r="F26" s="627">
        <f t="shared" si="6"/>
        <v>0</v>
      </c>
      <c r="G26" s="644"/>
      <c r="H26" s="605">
        <f t="shared" si="7"/>
        <v>0</v>
      </c>
      <c r="I26" s="598">
        <v>55</v>
      </c>
      <c r="J26" s="612" t="s">
        <v>5117</v>
      </c>
      <c r="K26" s="622" t="s">
        <v>5222</v>
      </c>
      <c r="L26" s="628" t="s">
        <v>5224</v>
      </c>
      <c r="M26" s="609">
        <v>5</v>
      </c>
      <c r="N26" s="609">
        <f t="shared" si="3"/>
        <v>0</v>
      </c>
      <c r="O26" s="609"/>
      <c r="Q26" s="598">
        <v>58</v>
      </c>
      <c r="R26" s="612" t="s">
        <v>168</v>
      </c>
      <c r="S26" s="628"/>
      <c r="T26" s="628"/>
      <c r="U26" s="639"/>
      <c r="V26" s="611">
        <f t="shared" si="0"/>
        <v>0</v>
      </c>
      <c r="W26" s="611">
        <f t="shared" si="1"/>
        <v>0</v>
      </c>
      <c r="X26" s="611">
        <f t="shared" si="2"/>
        <v>0</v>
      </c>
      <c r="Y26" s="613" t="s">
        <v>5036</v>
      </c>
      <c r="Z26" s="613">
        <v>68</v>
      </c>
      <c r="AA26" s="2536" t="s">
        <v>82</v>
      </c>
      <c r="AB26" s="2536"/>
      <c r="AC26" s="2552"/>
      <c r="AD26" s="622" t="str">
        <f>IF(('Main Creation Page'!$E$6="Poor"),"Y",IF(OR($L$51="Y",$L$52="Y",$L$53="Y"),"Y","N"))</f>
        <v>N</v>
      </c>
      <c r="AE26" s="628" t="s">
        <v>5224</v>
      </c>
      <c r="AF26" s="945" t="str">
        <f t="shared" si="4"/>
        <v>N</v>
      </c>
      <c r="AG26" s="609"/>
      <c r="AH26" s="609"/>
    </row>
    <row r="27" spans="1:34" s="598" customFormat="1" ht="9.9499999999999993" customHeight="1">
      <c r="A27" s="598">
        <v>25</v>
      </c>
      <c r="B27" s="616" t="s">
        <v>182</v>
      </c>
      <c r="C27" s="622" t="str">
        <f>IF(('Main Creation Page'!$C$3=2),"N",IF(('Main Creation Page'!E6="Well"),"Y","N"))</f>
        <v>Y</v>
      </c>
      <c r="D27" s="628" t="s">
        <v>5224</v>
      </c>
      <c r="E27" s="598">
        <v>-5</v>
      </c>
      <c r="F27" s="627">
        <f t="shared" si="6"/>
        <v>0</v>
      </c>
      <c r="G27" s="613"/>
      <c r="H27" s="613"/>
      <c r="I27" s="598">
        <v>59</v>
      </c>
      <c r="J27" s="612" t="s">
        <v>3704</v>
      </c>
      <c r="K27" s="622" t="s">
        <v>5222</v>
      </c>
      <c r="L27" s="628" t="s">
        <v>5224</v>
      </c>
      <c r="M27" s="609">
        <v>3</v>
      </c>
      <c r="N27" s="609">
        <f t="shared" si="3"/>
        <v>0</v>
      </c>
      <c r="O27" s="609"/>
      <c r="Q27" s="598">
        <v>61</v>
      </c>
      <c r="R27" s="612" t="s">
        <v>169</v>
      </c>
      <c r="S27" s="628"/>
      <c r="T27" s="628"/>
      <c r="U27" s="639"/>
      <c r="V27" s="611">
        <f t="shared" si="0"/>
        <v>0</v>
      </c>
      <c r="W27" s="611">
        <f t="shared" si="1"/>
        <v>0</v>
      </c>
      <c r="X27" s="611">
        <f t="shared" si="2"/>
        <v>0</v>
      </c>
      <c r="Y27" s="613" t="s">
        <v>5037</v>
      </c>
      <c r="Z27" s="613">
        <v>69</v>
      </c>
      <c r="AA27" s="2536" t="s">
        <v>83</v>
      </c>
      <c r="AB27" s="2536"/>
      <c r="AC27" s="2552"/>
      <c r="AD27" s="622" t="str">
        <f>IF(('Main Creation Page'!$E$6="Poor"),"Y",IF(OR($L$51="Y",$L$52="Y",$L$53="Y"),"Y","N"))</f>
        <v>N</v>
      </c>
      <c r="AE27" s="628" t="s">
        <v>5224</v>
      </c>
      <c r="AF27" s="945" t="str">
        <f t="shared" si="4"/>
        <v>N</v>
      </c>
      <c r="AG27" s="609"/>
      <c r="AH27" s="609"/>
    </row>
    <row r="28" spans="1:34" s="598" customFormat="1" ht="9.9499999999999993" customHeight="1">
      <c r="A28" s="598">
        <v>26</v>
      </c>
      <c r="B28" s="616" t="s">
        <v>433</v>
      </c>
      <c r="C28" s="622" t="str">
        <f>IF(('Main Creation Page'!C3=2),"N",IF(('Main Creation Page'!E6="Well"),"Y","N"))</f>
        <v>Y</v>
      </c>
      <c r="D28" s="628" t="s">
        <v>5224</v>
      </c>
      <c r="E28" s="598">
        <v>-5</v>
      </c>
      <c r="F28" s="627">
        <f t="shared" si="6"/>
        <v>0</v>
      </c>
      <c r="G28" s="643" t="str">
        <f>IF(D33="Y",0.1," ")</f>
        <v xml:space="preserve"> </v>
      </c>
      <c r="H28" s="613"/>
      <c r="I28" s="598">
        <v>62</v>
      </c>
      <c r="J28" s="612" t="s">
        <v>912</v>
      </c>
      <c r="K28" s="622" t="s">
        <v>5222</v>
      </c>
      <c r="L28" s="628" t="s">
        <v>5224</v>
      </c>
      <c r="M28" s="609">
        <v>7</v>
      </c>
      <c r="N28" s="609">
        <f t="shared" si="3"/>
        <v>0</v>
      </c>
      <c r="O28" s="609"/>
      <c r="Q28" s="598">
        <v>64</v>
      </c>
      <c r="R28" s="612" t="s">
        <v>170</v>
      </c>
      <c r="S28" s="628"/>
      <c r="T28" s="628"/>
      <c r="U28" s="639"/>
      <c r="V28" s="611">
        <f t="shared" si="0"/>
        <v>0</v>
      </c>
      <c r="W28" s="611">
        <f t="shared" si="1"/>
        <v>0</v>
      </c>
      <c r="X28" s="611">
        <f t="shared" si="2"/>
        <v>0</v>
      </c>
      <c r="Y28" s="613" t="s">
        <v>1730</v>
      </c>
      <c r="Z28" s="613">
        <v>72</v>
      </c>
      <c r="AA28" s="2536" t="s">
        <v>4245</v>
      </c>
      <c r="AB28" s="2536"/>
      <c r="AC28" s="2552"/>
      <c r="AD28" s="622" t="str">
        <f>IF(('Main Creation Page'!$E$6="Poor"),"Y",IF(OR($L$51="Y",$L$52="Y",$L$53="Y"),"Y","N"))</f>
        <v>N</v>
      </c>
      <c r="AE28" s="628" t="s">
        <v>5224</v>
      </c>
      <c r="AF28" s="945" t="str">
        <f t="shared" si="4"/>
        <v>N</v>
      </c>
      <c r="AG28" s="609"/>
      <c r="AH28" s="609"/>
    </row>
    <row r="29" spans="1:34" s="598" customFormat="1" ht="9.9499999999999993" customHeight="1">
      <c r="A29" s="598">
        <v>27</v>
      </c>
      <c r="B29" s="617" t="s">
        <v>51</v>
      </c>
      <c r="C29" s="640" t="s">
        <v>4629</v>
      </c>
      <c r="D29" s="628" t="s">
        <v>5224</v>
      </c>
      <c r="E29" s="598" t="s">
        <v>3694</v>
      </c>
      <c r="F29" s="627"/>
      <c r="G29" s="643" t="str">
        <f>IF(D29="Y",0.21+IF('Main Creation Page'!C15&gt;10,(('Main Creation Page'!C15*3)/100),0)," ")</f>
        <v xml:space="preserve"> </v>
      </c>
      <c r="H29" s="613"/>
      <c r="I29" s="598">
        <v>64</v>
      </c>
      <c r="J29" s="612" t="s">
        <v>913</v>
      </c>
      <c r="K29" s="622" t="s">
        <v>5222</v>
      </c>
      <c r="L29" s="628" t="s">
        <v>5224</v>
      </c>
      <c r="M29" s="609">
        <v>5</v>
      </c>
      <c r="N29" s="609">
        <f t="shared" si="3"/>
        <v>0</v>
      </c>
      <c r="O29" s="609"/>
      <c r="Q29" s="598">
        <v>67</v>
      </c>
      <c r="R29" s="612" t="s">
        <v>2802</v>
      </c>
      <c r="S29" s="628"/>
      <c r="T29" s="628"/>
      <c r="U29" s="639"/>
      <c r="V29" s="611">
        <f t="shared" si="0"/>
        <v>0</v>
      </c>
      <c r="W29" s="611">
        <f t="shared" si="1"/>
        <v>0</v>
      </c>
      <c r="X29" s="611">
        <f t="shared" si="2"/>
        <v>0</v>
      </c>
      <c r="Y29" s="613" t="s">
        <v>1731</v>
      </c>
      <c r="Z29" s="613">
        <v>76</v>
      </c>
      <c r="AA29" s="2536" t="s">
        <v>3852</v>
      </c>
      <c r="AB29" s="2536"/>
      <c r="AC29" s="2552"/>
      <c r="AD29" s="622" t="str">
        <f>IF(('Main Creation Page'!$E$6="Poor"),"Y",IF(OR($L$51="Y",$L$52="Y",$L$53="Y"),"Y","N"))</f>
        <v>N</v>
      </c>
      <c r="AE29" s="628" t="s">
        <v>5224</v>
      </c>
      <c r="AF29" s="945" t="str">
        <f t="shared" si="4"/>
        <v>N</v>
      </c>
      <c r="AG29" s="609"/>
      <c r="AH29" s="609"/>
    </row>
    <row r="30" spans="1:34" s="598" customFormat="1" ht="9.9499999999999993" customHeight="1">
      <c r="A30" s="598">
        <v>28</v>
      </c>
      <c r="B30" s="617" t="s">
        <v>3058</v>
      </c>
      <c r="C30" s="640" t="s">
        <v>4629</v>
      </c>
      <c r="D30" s="1018" t="s">
        <v>5224</v>
      </c>
      <c r="E30" s="598" t="s">
        <v>3694</v>
      </c>
      <c r="F30" s="627"/>
      <c r="G30" s="644">
        <v>10</v>
      </c>
      <c r="H30" s="613"/>
      <c r="I30" s="598">
        <v>67</v>
      </c>
      <c r="J30" s="612" t="s">
        <v>49</v>
      </c>
      <c r="K30" s="622" t="s">
        <v>5222</v>
      </c>
      <c r="L30" s="622">
        <f>W42</f>
        <v>0</v>
      </c>
      <c r="M30" s="609">
        <v>10</v>
      </c>
      <c r="N30" s="609">
        <f>IF((L30&gt;0),(-(+L30*M30)+IF(L50="Y",M50,0)),0)</f>
        <v>0</v>
      </c>
      <c r="O30" s="609"/>
      <c r="Q30" s="598">
        <v>70</v>
      </c>
      <c r="R30" s="612" t="s">
        <v>3105</v>
      </c>
      <c r="S30" s="628"/>
      <c r="T30" s="628"/>
      <c r="U30" s="628"/>
      <c r="V30" s="611">
        <f t="shared" si="0"/>
        <v>0</v>
      </c>
      <c r="W30" s="611">
        <f t="shared" si="1"/>
        <v>0</v>
      </c>
      <c r="X30" s="611">
        <f t="shared" si="2"/>
        <v>0</v>
      </c>
      <c r="Y30" s="613" t="s">
        <v>1732</v>
      </c>
      <c r="Z30" s="613">
        <v>78</v>
      </c>
      <c r="AA30" s="2536" t="s">
        <v>4583</v>
      </c>
      <c r="AB30" s="2536"/>
      <c r="AC30" s="2552"/>
      <c r="AD30" s="622" t="str">
        <f>IF(('Main Creation Page'!$E$6="Poor"),"Y",IF(OR($L$51="Y",$L$52="Y",$L$53="Y"),"Y","N"))</f>
        <v>N</v>
      </c>
      <c r="AE30" s="628" t="s">
        <v>5224</v>
      </c>
      <c r="AF30" s="945" t="str">
        <f t="shared" si="4"/>
        <v>N</v>
      </c>
      <c r="AG30" s="609"/>
      <c r="AH30" s="609"/>
    </row>
    <row r="31" spans="1:34" s="598" customFormat="1" ht="9.9499999999999993" customHeight="1">
      <c r="A31" s="598">
        <v>29</v>
      </c>
      <c r="B31" s="612" t="s">
        <v>2843</v>
      </c>
      <c r="C31" s="622" t="s">
        <v>5222</v>
      </c>
      <c r="D31" s="628" t="s">
        <v>5224</v>
      </c>
      <c r="E31" s="598">
        <v>-10</v>
      </c>
      <c r="F31" s="627">
        <f>IF((D31="Y"),-E31,0)</f>
        <v>0</v>
      </c>
      <c r="G31" s="602"/>
      <c r="H31" s="613"/>
      <c r="I31" s="598">
        <v>68</v>
      </c>
      <c r="J31" s="612" t="s">
        <v>914</v>
      </c>
      <c r="K31" s="622" t="s">
        <v>5222</v>
      </c>
      <c r="L31" s="1018" t="s">
        <v>5224</v>
      </c>
      <c r="M31" s="609">
        <v>7</v>
      </c>
      <c r="N31" s="609">
        <f t="shared" si="3"/>
        <v>0</v>
      </c>
      <c r="O31" s="609"/>
      <c r="Q31" s="598">
        <v>73</v>
      </c>
      <c r="R31" s="612" t="s">
        <v>5464</v>
      </c>
      <c r="S31" s="628"/>
      <c r="T31" s="628"/>
      <c r="U31" s="628"/>
      <c r="V31" s="611">
        <f t="shared" si="0"/>
        <v>0</v>
      </c>
      <c r="W31" s="611">
        <f t="shared" si="1"/>
        <v>0</v>
      </c>
      <c r="X31" s="611">
        <f t="shared" si="2"/>
        <v>0</v>
      </c>
      <c r="Y31" s="613" t="s">
        <v>678</v>
      </c>
      <c r="Z31" s="613">
        <v>80</v>
      </c>
      <c r="AA31" s="2536" t="s">
        <v>1416</v>
      </c>
      <c r="AB31" s="2536"/>
      <c r="AC31" s="2552"/>
      <c r="AD31" s="622" t="str">
        <f>IF(('Main Creation Page'!$E$6="Poor"),"Y",IF(OR($L$51="Y",$L$52="Y",$L$53="Y"),"Y","N"))</f>
        <v>N</v>
      </c>
      <c r="AE31" s="628" t="s">
        <v>5224</v>
      </c>
      <c r="AF31" s="945" t="str">
        <f t="shared" si="4"/>
        <v>N</v>
      </c>
      <c r="AG31" s="609"/>
      <c r="AH31" s="609"/>
    </row>
    <row r="32" spans="1:34" s="598" customFormat="1" ht="9.9499999999999993" customHeight="1">
      <c r="A32" s="598">
        <v>30</v>
      </c>
      <c r="B32" s="617" t="s">
        <v>3059</v>
      </c>
      <c r="C32" s="640" t="s">
        <v>4629</v>
      </c>
      <c r="D32" s="628" t="s">
        <v>5224</v>
      </c>
      <c r="E32" s="598" t="s">
        <v>3694</v>
      </c>
      <c r="F32" s="627"/>
      <c r="G32" s="644"/>
      <c r="H32" s="613"/>
      <c r="I32" s="598">
        <v>69</v>
      </c>
      <c r="J32" s="612" t="s">
        <v>915</v>
      </c>
      <c r="K32" s="622" t="s">
        <v>5222</v>
      </c>
      <c r="L32" s="628" t="s">
        <v>5224</v>
      </c>
      <c r="M32" s="609">
        <v>7</v>
      </c>
      <c r="N32" s="609">
        <f t="shared" si="3"/>
        <v>0</v>
      </c>
      <c r="O32" s="609"/>
      <c r="Q32" s="598">
        <v>76</v>
      </c>
      <c r="R32" s="612" t="s">
        <v>3106</v>
      </c>
      <c r="S32" s="628"/>
      <c r="T32" s="628"/>
      <c r="U32" s="639"/>
      <c r="V32" s="611">
        <f t="shared" si="0"/>
        <v>0</v>
      </c>
      <c r="W32" s="611">
        <f t="shared" si="1"/>
        <v>0</v>
      </c>
      <c r="X32" s="611">
        <f t="shared" si="2"/>
        <v>0</v>
      </c>
      <c r="Y32" s="613" t="s">
        <v>1733</v>
      </c>
      <c r="Z32" s="613">
        <v>82</v>
      </c>
      <c r="AA32" s="2536" t="s">
        <v>1571</v>
      </c>
      <c r="AB32" s="2536"/>
      <c r="AC32" s="2552"/>
      <c r="AD32" s="622" t="str">
        <f>IF(('Main Creation Page'!$E$6="Poor"),"Y",IF(OR($L$51="Y",$L$52="Y",$L$53="Y"),"Y","N"))</f>
        <v>N</v>
      </c>
      <c r="AE32" s="628" t="s">
        <v>5224</v>
      </c>
      <c r="AF32" s="945" t="str">
        <f t="shared" si="4"/>
        <v>N</v>
      </c>
      <c r="AG32" s="609"/>
      <c r="AH32" s="609"/>
    </row>
    <row r="33" spans="1:34" s="598" customFormat="1" ht="9.9499999999999993" customHeight="1">
      <c r="A33" s="598">
        <v>31</v>
      </c>
      <c r="B33" s="617" t="s">
        <v>5204</v>
      </c>
      <c r="C33" s="640" t="s">
        <v>5222</v>
      </c>
      <c r="D33" s="628" t="s">
        <v>5224</v>
      </c>
      <c r="E33" s="598" t="s">
        <v>3694</v>
      </c>
      <c r="F33" s="627"/>
      <c r="G33" s="644"/>
      <c r="H33" s="613"/>
      <c r="I33" s="598">
        <v>70</v>
      </c>
      <c r="J33" s="612" t="s">
        <v>48</v>
      </c>
      <c r="K33" s="622" t="s">
        <v>5222</v>
      </c>
      <c r="L33" s="622">
        <f>X42</f>
        <v>0</v>
      </c>
      <c r="M33" s="609">
        <v>5</v>
      </c>
      <c r="N33" s="609">
        <f>IF((L33&gt;0),(-(+L33*M33)+IF(L49="Y",M49,0)),0)</f>
        <v>0</v>
      </c>
      <c r="O33" s="609"/>
      <c r="Q33" s="598">
        <v>80</v>
      </c>
      <c r="R33" s="612" t="s">
        <v>1925</v>
      </c>
      <c r="S33" s="628"/>
      <c r="T33" s="628"/>
      <c r="U33" s="628"/>
      <c r="V33" s="611">
        <f t="shared" si="0"/>
        <v>0</v>
      </c>
      <c r="W33" s="611">
        <f t="shared" si="1"/>
        <v>0</v>
      </c>
      <c r="X33" s="611">
        <f t="shared" si="2"/>
        <v>0</v>
      </c>
      <c r="Y33" s="613" t="s">
        <v>5038</v>
      </c>
      <c r="Z33" s="613">
        <v>84</v>
      </c>
      <c r="AA33" s="2536" t="s">
        <v>2872</v>
      </c>
      <c r="AB33" s="2536"/>
      <c r="AC33" s="2552"/>
      <c r="AD33" s="622" t="str">
        <f>IF(('Main Creation Page'!$E$6="Poor"),"Y",IF(OR($L$51="Y",$L$52="Y",$L$53="Y"),"Y","N"))</f>
        <v>N</v>
      </c>
      <c r="AE33" s="628" t="s">
        <v>5224</v>
      </c>
      <c r="AF33" s="945" t="str">
        <f t="shared" si="4"/>
        <v>N</v>
      </c>
      <c r="AG33" s="609"/>
      <c r="AH33" s="609"/>
    </row>
    <row r="34" spans="1:34" s="598" customFormat="1" ht="9.9499999999999993" customHeight="1">
      <c r="A34" s="598">
        <v>32</v>
      </c>
      <c r="B34" s="617" t="s">
        <v>3060</v>
      </c>
      <c r="C34" s="640" t="s">
        <v>4629</v>
      </c>
      <c r="D34" s="628" t="s">
        <v>5224</v>
      </c>
      <c r="E34" s="598" t="s">
        <v>3694</v>
      </c>
      <c r="F34" s="648"/>
      <c r="G34" s="644"/>
      <c r="H34" s="613"/>
      <c r="I34" s="598">
        <v>73</v>
      </c>
      <c r="J34" s="612" t="s">
        <v>4746</v>
      </c>
      <c r="K34" s="622" t="s">
        <v>5222</v>
      </c>
      <c r="L34" s="628" t="s">
        <v>5224</v>
      </c>
      <c r="M34" s="609">
        <v>7</v>
      </c>
      <c r="N34" s="609">
        <f t="shared" si="3"/>
        <v>0</v>
      </c>
      <c r="O34" s="609"/>
      <c r="Q34" s="598">
        <v>83</v>
      </c>
      <c r="R34" s="612" t="s">
        <v>1926</v>
      </c>
      <c r="S34" s="628"/>
      <c r="T34" s="628"/>
      <c r="U34" s="639"/>
      <c r="V34" s="611">
        <f t="shared" si="0"/>
        <v>0</v>
      </c>
      <c r="W34" s="611">
        <f t="shared" si="1"/>
        <v>0</v>
      </c>
      <c r="X34" s="611">
        <f t="shared" si="2"/>
        <v>0</v>
      </c>
      <c r="Y34" s="613" t="s">
        <v>5039</v>
      </c>
      <c r="Z34" s="613">
        <v>91</v>
      </c>
      <c r="AA34" s="2536" t="s">
        <v>2873</v>
      </c>
      <c r="AB34" s="2536"/>
      <c r="AC34" s="2552"/>
      <c r="AD34" s="622" t="str">
        <f>IF(('Main Creation Page'!$E$6="Poor"),"Y",IF(OR($L$51="Y",$L$52="Y",$L$53="Y"),"Y","N"))</f>
        <v>N</v>
      </c>
      <c r="AE34" s="628" t="s">
        <v>5224</v>
      </c>
      <c r="AF34" s="945" t="str">
        <f t="shared" si="4"/>
        <v>N</v>
      </c>
      <c r="AG34" s="609"/>
      <c r="AH34" s="609"/>
    </row>
    <row r="35" spans="1:34" s="598" customFormat="1" ht="9.9499999999999993" customHeight="1">
      <c r="A35" s="598">
        <v>33</v>
      </c>
      <c r="B35" s="642" t="s">
        <v>3061</v>
      </c>
      <c r="C35" s="640" t="str">
        <f>IF(('Main Creation Page'!$E$6="Well"),"Y",(IF(('Main Creation Page'!$E$6="Poor"),"Y","N")))</f>
        <v>Y</v>
      </c>
      <c r="D35" s="628" t="s">
        <v>5224</v>
      </c>
      <c r="E35" s="598" t="s">
        <v>3694</v>
      </c>
      <c r="F35" s="627"/>
      <c r="G35" s="644"/>
      <c r="H35" s="613"/>
      <c r="I35" s="598">
        <v>76</v>
      </c>
      <c r="J35" s="612" t="s">
        <v>916</v>
      </c>
      <c r="K35" s="622" t="s">
        <v>5222</v>
      </c>
      <c r="L35" s="628" t="s">
        <v>5224</v>
      </c>
      <c r="M35" s="609">
        <v>10</v>
      </c>
      <c r="N35" s="609">
        <f t="shared" si="3"/>
        <v>0</v>
      </c>
      <c r="O35" s="609"/>
      <c r="Q35" s="598">
        <v>85</v>
      </c>
      <c r="R35" s="612" t="s">
        <v>5465</v>
      </c>
      <c r="S35" s="628"/>
      <c r="T35" s="628"/>
      <c r="U35" s="628"/>
      <c r="V35" s="611">
        <f t="shared" si="0"/>
        <v>0</v>
      </c>
      <c r="W35" s="611">
        <f t="shared" si="1"/>
        <v>0</v>
      </c>
      <c r="X35" s="611">
        <f t="shared" si="2"/>
        <v>0</v>
      </c>
      <c r="Y35" s="613" t="s">
        <v>4814</v>
      </c>
      <c r="Z35" s="613">
        <v>92</v>
      </c>
      <c r="AA35" s="2536" t="s">
        <v>704</v>
      </c>
      <c r="AB35" s="2536"/>
      <c r="AC35" s="2552"/>
      <c r="AD35" s="622" t="str">
        <f>IF(('Main Creation Page'!$E$6="Poor"),"Y",IF(OR($L$51="Y",$L$52="Y",$L$53="Y"),"Y","N"))</f>
        <v>N</v>
      </c>
      <c r="AE35" s="628" t="s">
        <v>5224</v>
      </c>
      <c r="AF35" s="945" t="str">
        <f t="shared" si="4"/>
        <v>N</v>
      </c>
      <c r="AG35" s="609"/>
      <c r="AH35" s="609"/>
    </row>
    <row r="36" spans="1:34" s="598" customFormat="1" ht="9.9499999999999993" customHeight="1">
      <c r="A36" s="598">
        <v>34</v>
      </c>
      <c r="B36" s="617" t="s">
        <v>3688</v>
      </c>
      <c r="C36" s="640" t="s">
        <v>4629</v>
      </c>
      <c r="D36" s="628" t="s">
        <v>5224</v>
      </c>
      <c r="E36" s="598" t="s">
        <v>3694</v>
      </c>
      <c r="F36" s="627"/>
      <c r="G36" s="644"/>
      <c r="H36" s="613"/>
      <c r="I36" s="598">
        <v>79</v>
      </c>
      <c r="J36" s="612" t="s">
        <v>917</v>
      </c>
      <c r="K36" s="622" t="str">
        <f>IF((D22="Y"),"N","Y")</f>
        <v>Y</v>
      </c>
      <c r="L36" s="622">
        <f>V42</f>
        <v>0</v>
      </c>
      <c r="M36" s="609">
        <v>13</v>
      </c>
      <c r="N36" s="609">
        <f>IF((L36&gt;0),-(+L36*M36),0)</f>
        <v>0</v>
      </c>
      <c r="O36" s="609"/>
      <c r="Q36" s="598">
        <v>88</v>
      </c>
      <c r="R36" s="612" t="s">
        <v>1927</v>
      </c>
      <c r="S36" s="628"/>
      <c r="T36" s="628"/>
      <c r="U36" s="639"/>
      <c r="V36" s="611">
        <f t="shared" si="0"/>
        <v>0</v>
      </c>
      <c r="W36" s="611">
        <f t="shared" si="1"/>
        <v>0</v>
      </c>
      <c r="X36" s="611">
        <f t="shared" si="2"/>
        <v>0</v>
      </c>
      <c r="Y36" s="613" t="s">
        <v>5040</v>
      </c>
      <c r="Z36" s="613">
        <v>93</v>
      </c>
      <c r="AA36" s="2536" t="s">
        <v>84</v>
      </c>
      <c r="AB36" s="2536"/>
      <c r="AC36" s="2552"/>
      <c r="AD36" s="622" t="str">
        <f>IF(('Main Creation Page'!$E$6="Poor"),"Y",IF(OR($L$51="Y",$L$52="Y",$L$53="Y"),"Y","N"))</f>
        <v>N</v>
      </c>
      <c r="AE36" s="628" t="s">
        <v>5224</v>
      </c>
      <c r="AF36" s="945" t="str">
        <f t="shared" si="4"/>
        <v>N</v>
      </c>
      <c r="AG36" s="609"/>
      <c r="AH36" s="609"/>
    </row>
    <row r="37" spans="1:34" s="598" customFormat="1" ht="9.9499999999999993" customHeight="1">
      <c r="A37" s="598">
        <v>42</v>
      </c>
      <c r="B37" s="612" t="s">
        <v>183</v>
      </c>
      <c r="C37" s="622" t="str">
        <f>IF((L17="Y"),"N","Y")</f>
        <v>Y</v>
      </c>
      <c r="D37" s="628" t="s">
        <v>5224</v>
      </c>
      <c r="E37" s="598">
        <v>-5</v>
      </c>
      <c r="F37" s="627">
        <f t="shared" ref="F37:F42" si="8">IF((D37="Y"),-E37,0)</f>
        <v>0</v>
      </c>
      <c r="G37" s="613"/>
      <c r="H37" s="613"/>
      <c r="I37" s="598">
        <v>80</v>
      </c>
      <c r="J37" s="612" t="s">
        <v>2130</v>
      </c>
      <c r="K37" s="622" t="s">
        <v>5222</v>
      </c>
      <c r="L37" s="628" t="s">
        <v>5224</v>
      </c>
      <c r="M37" s="609">
        <v>5</v>
      </c>
      <c r="N37" s="609">
        <f t="shared" ref="N37:N53" si="9">IF((L37="Y"),-M37,0)</f>
        <v>0</v>
      </c>
      <c r="O37" s="609"/>
      <c r="Q37" s="598">
        <v>91</v>
      </c>
      <c r="R37" s="612" t="s">
        <v>4579</v>
      </c>
      <c r="S37" s="628"/>
      <c r="T37" s="747"/>
      <c r="U37" s="628"/>
      <c r="V37" s="611">
        <f t="shared" si="0"/>
        <v>0</v>
      </c>
      <c r="W37" s="611">
        <f t="shared" si="1"/>
        <v>0</v>
      </c>
      <c r="X37" s="611">
        <f t="shared" si="2"/>
        <v>0</v>
      </c>
      <c r="Y37" s="613" t="s">
        <v>1734</v>
      </c>
      <c r="Z37" s="613">
        <v>94</v>
      </c>
      <c r="AA37" s="2536" t="s">
        <v>2870</v>
      </c>
      <c r="AB37" s="2536"/>
      <c r="AC37" s="2552"/>
      <c r="AD37" s="622" t="str">
        <f>IF(('Main Creation Page'!$E$6="Poor"),"Y",IF(OR($L$51="Y",$L$52="Y",$L$53="Y"),"Y","N"))</f>
        <v>N</v>
      </c>
      <c r="AE37" s="628" t="s">
        <v>5224</v>
      </c>
      <c r="AF37" s="945" t="str">
        <f t="shared" si="4"/>
        <v>N</v>
      </c>
      <c r="AG37" s="609"/>
      <c r="AH37" s="609"/>
    </row>
    <row r="38" spans="1:34" s="598" customFormat="1" ht="9.9499999999999993" customHeight="1">
      <c r="A38" s="598">
        <v>47</v>
      </c>
      <c r="B38" s="612" t="s">
        <v>184</v>
      </c>
      <c r="C38" s="622" t="s">
        <v>5222</v>
      </c>
      <c r="D38" s="628" t="s">
        <v>5224</v>
      </c>
      <c r="E38" s="598">
        <v>-5</v>
      </c>
      <c r="F38" s="627">
        <f t="shared" si="8"/>
        <v>0</v>
      </c>
      <c r="G38" s="644"/>
      <c r="H38" s="605">
        <f>ROUNDDOWN(+G38/3,0)</f>
        <v>0</v>
      </c>
      <c r="I38" s="598">
        <v>82</v>
      </c>
      <c r="J38" s="612" t="s">
        <v>3861</v>
      </c>
      <c r="K38" s="622" t="str">
        <f>IF((D11="Y"),"N","Y")</f>
        <v>Y</v>
      </c>
      <c r="L38" s="628" t="s">
        <v>5224</v>
      </c>
      <c r="M38" s="609">
        <v>4</v>
      </c>
      <c r="N38" s="609">
        <f t="shared" si="9"/>
        <v>0</v>
      </c>
      <c r="O38" s="649"/>
      <c r="Q38" s="598">
        <v>93</v>
      </c>
      <c r="R38" s="612" t="s">
        <v>4581</v>
      </c>
      <c r="S38" s="628"/>
      <c r="T38" s="628"/>
      <c r="U38" s="628"/>
      <c r="V38" s="611">
        <f t="shared" si="0"/>
        <v>0</v>
      </c>
      <c r="W38" s="611">
        <f t="shared" si="1"/>
        <v>0</v>
      </c>
      <c r="X38" s="611">
        <f t="shared" si="2"/>
        <v>0</v>
      </c>
      <c r="Y38" s="613" t="s">
        <v>1735</v>
      </c>
      <c r="Z38" s="613">
        <v>96</v>
      </c>
      <c r="AA38" s="2536" t="s">
        <v>2871</v>
      </c>
      <c r="AB38" s="2536"/>
      <c r="AC38" s="2552"/>
      <c r="AD38" s="622" t="str">
        <f>IF(('Main Creation Page'!$E$6="Poor"),"Y",IF(OR($L$51="Y",$L$52="Y",$L$53="Y"),"Y","N"))</f>
        <v>N</v>
      </c>
      <c r="AE38" s="628" t="s">
        <v>5224</v>
      </c>
      <c r="AF38" s="945" t="str">
        <f t="shared" si="4"/>
        <v>N</v>
      </c>
      <c r="AG38" s="609"/>
      <c r="AH38" s="609"/>
    </row>
    <row r="39" spans="1:34" s="598" customFormat="1" ht="9.9499999999999993" customHeight="1">
      <c r="A39" s="598">
        <v>51</v>
      </c>
      <c r="B39" s="612" t="s">
        <v>2839</v>
      </c>
      <c r="C39" s="622" t="s">
        <v>5222</v>
      </c>
      <c r="D39" s="628" t="s">
        <v>5224</v>
      </c>
      <c r="E39" s="598">
        <v>-5</v>
      </c>
      <c r="F39" s="627">
        <f t="shared" si="8"/>
        <v>0</v>
      </c>
      <c r="G39" s="644"/>
      <c r="H39" s="602"/>
      <c r="I39" s="598">
        <v>84</v>
      </c>
      <c r="J39" s="612" t="s">
        <v>3862</v>
      </c>
      <c r="K39" s="622" t="str">
        <f>IF((D12="Y"),"N","Y")</f>
        <v>Y</v>
      </c>
      <c r="L39" s="628" t="s">
        <v>5224</v>
      </c>
      <c r="M39" s="609">
        <v>4</v>
      </c>
      <c r="N39" s="609">
        <f t="shared" si="9"/>
        <v>0</v>
      </c>
      <c r="O39" s="649"/>
      <c r="Q39" s="598">
        <v>94</v>
      </c>
      <c r="R39" s="612" t="s">
        <v>4582</v>
      </c>
      <c r="S39" s="628"/>
      <c r="T39" s="628"/>
      <c r="U39" s="628"/>
      <c r="V39" s="611">
        <f t="shared" si="0"/>
        <v>0</v>
      </c>
      <c r="W39" s="611">
        <f t="shared" si="1"/>
        <v>0</v>
      </c>
      <c r="X39" s="611">
        <f t="shared" si="2"/>
        <v>0</v>
      </c>
      <c r="Y39" s="613" t="s">
        <v>5041</v>
      </c>
      <c r="Z39" s="613">
        <v>97</v>
      </c>
      <c r="AA39" s="2536" t="s">
        <v>4387</v>
      </c>
      <c r="AB39" s="2536"/>
      <c r="AC39" s="2552"/>
      <c r="AD39" s="622" t="str">
        <f>IF(('Main Creation Page'!$E$6="Poor"),"Y",IF(OR($L$51="Y",$L$52="Y",$L$53="Y"),"Y","N"))</f>
        <v>N</v>
      </c>
      <c r="AE39" s="628" t="s">
        <v>5224</v>
      </c>
      <c r="AF39" s="945" t="str">
        <f t="shared" si="4"/>
        <v>N</v>
      </c>
      <c r="AG39" s="609"/>
      <c r="AH39" s="609"/>
    </row>
    <row r="40" spans="1:34" s="598" customFormat="1" ht="9.9499999999999993" customHeight="1">
      <c r="A40" s="598">
        <v>52</v>
      </c>
      <c r="B40" s="617" t="s">
        <v>3689</v>
      </c>
      <c r="C40" s="640" t="s">
        <v>4629</v>
      </c>
      <c r="D40" s="628" t="s">
        <v>5224</v>
      </c>
      <c r="E40" s="598" t="s">
        <v>3694</v>
      </c>
      <c r="F40" s="627">
        <f t="shared" si="8"/>
        <v>0</v>
      </c>
      <c r="G40" s="644"/>
      <c r="H40" s="613"/>
      <c r="I40" s="598">
        <v>86</v>
      </c>
      <c r="J40" s="612" t="s">
        <v>1979</v>
      </c>
      <c r="K40" s="622" t="str">
        <f>IF((D13="Y"),"N","Y")</f>
        <v>Y</v>
      </c>
      <c r="L40" s="628" t="s">
        <v>5224</v>
      </c>
      <c r="M40" s="609">
        <v>4</v>
      </c>
      <c r="N40" s="609">
        <f t="shared" si="9"/>
        <v>0</v>
      </c>
      <c r="O40" s="649"/>
      <c r="Q40" s="598">
        <v>98</v>
      </c>
      <c r="R40" s="612" t="s">
        <v>4580</v>
      </c>
      <c r="S40" s="628"/>
      <c r="T40" s="628"/>
      <c r="U40" s="628"/>
      <c r="V40" s="611">
        <f t="shared" si="0"/>
        <v>0</v>
      </c>
      <c r="W40" s="611">
        <f t="shared" si="1"/>
        <v>0</v>
      </c>
      <c r="X40" s="611">
        <f t="shared" si="2"/>
        <v>0</v>
      </c>
      <c r="Y40" s="613" t="s">
        <v>677</v>
      </c>
      <c r="Z40" s="603">
        <v>98</v>
      </c>
      <c r="AA40" s="2536" t="s">
        <v>5112</v>
      </c>
      <c r="AB40" s="2536"/>
      <c r="AC40" s="2552"/>
      <c r="AD40" s="622" t="str">
        <f>IF((L52="Y"),"N","Y")</f>
        <v>Y</v>
      </c>
      <c r="AE40" s="628" t="s">
        <v>5224</v>
      </c>
      <c r="AF40" s="945" t="str">
        <f t="shared" si="4"/>
        <v>N</v>
      </c>
      <c r="AG40" s="609"/>
      <c r="AH40" s="609"/>
    </row>
    <row r="41" spans="1:34" s="598" customFormat="1" ht="9.9499999999999993" customHeight="1">
      <c r="A41" s="598">
        <v>53</v>
      </c>
      <c r="B41" s="616" t="s">
        <v>179</v>
      </c>
      <c r="C41" s="622" t="str">
        <f>IF(('Main Creation Page'!E6="Well"),"Y",(IF(('Main Creation Page'!E6="Poor"),"Y","N")))</f>
        <v>Y</v>
      </c>
      <c r="D41" s="628" t="s">
        <v>5224</v>
      </c>
      <c r="E41" s="598">
        <v>-5</v>
      </c>
      <c r="F41" s="627">
        <f t="shared" si="8"/>
        <v>0</v>
      </c>
      <c r="G41" s="613"/>
      <c r="H41" s="613"/>
      <c r="I41" s="598">
        <v>87</v>
      </c>
      <c r="J41" s="612" t="s">
        <v>1980</v>
      </c>
      <c r="K41" s="622" t="str">
        <f>IF((D14="Y"),"N","Y")</f>
        <v>Y</v>
      </c>
      <c r="L41" s="628" t="s">
        <v>5224</v>
      </c>
      <c r="M41" s="609">
        <v>4</v>
      </c>
      <c r="N41" s="609">
        <f t="shared" si="9"/>
        <v>0</v>
      </c>
      <c r="O41" s="649"/>
      <c r="Q41" s="598">
        <v>99</v>
      </c>
      <c r="R41" s="650" t="s">
        <v>3767</v>
      </c>
      <c r="S41" s="628"/>
      <c r="T41" s="628"/>
      <c r="U41" s="628"/>
      <c r="V41" s="611">
        <f t="shared" si="0"/>
        <v>0</v>
      </c>
      <c r="W41" s="611">
        <f t="shared" si="1"/>
        <v>0</v>
      </c>
      <c r="X41" s="611">
        <f t="shared" si="2"/>
        <v>0</v>
      </c>
      <c r="Y41" s="651" t="s">
        <v>2933</v>
      </c>
      <c r="Z41" s="603">
        <v>100</v>
      </c>
      <c r="AA41" s="2536" t="s">
        <v>5462</v>
      </c>
      <c r="AB41" s="2536"/>
      <c r="AC41" s="2552"/>
      <c r="AD41" s="622" t="str">
        <f>IF((L53="Y"),"N","Y")</f>
        <v>Y</v>
      </c>
      <c r="AE41" s="628" t="s">
        <v>5224</v>
      </c>
      <c r="AF41" s="945" t="str">
        <f t="shared" si="4"/>
        <v>N</v>
      </c>
      <c r="AG41" s="609"/>
      <c r="AH41" s="609"/>
    </row>
    <row r="42" spans="1:34" s="598" customFormat="1" ht="9.9499999999999993" customHeight="1">
      <c r="A42" s="598">
        <v>57</v>
      </c>
      <c r="B42" s="616" t="s">
        <v>46</v>
      </c>
      <c r="C42" s="622" t="str">
        <f>IF(('Main Creation Page'!E6="Well"),"Y",(IF(('Main Creation Page'!E6="Poor"),"Y","N")))</f>
        <v>Y</v>
      </c>
      <c r="D42" s="628" t="s">
        <v>5224</v>
      </c>
      <c r="E42" s="598">
        <v>-7</v>
      </c>
      <c r="F42" s="627">
        <f t="shared" si="8"/>
        <v>0</v>
      </c>
      <c r="G42" s="613"/>
      <c r="H42" s="613"/>
      <c r="I42" s="598">
        <v>88</v>
      </c>
      <c r="J42" s="612" t="s">
        <v>1981</v>
      </c>
      <c r="K42" s="622" t="str">
        <f>IF((D15="Y"),"N","Y")</f>
        <v>Y</v>
      </c>
      <c r="L42" s="628" t="s">
        <v>5224</v>
      </c>
      <c r="M42" s="609">
        <v>4</v>
      </c>
      <c r="N42" s="609">
        <f t="shared" si="9"/>
        <v>0</v>
      </c>
      <c r="O42" s="649"/>
      <c r="R42" s="652" t="s">
        <v>3768</v>
      </c>
      <c r="S42" s="627"/>
      <c r="T42" s="609"/>
      <c r="U42" s="609"/>
      <c r="V42" s="611">
        <f>SUM(V7:V41)</f>
        <v>0</v>
      </c>
      <c r="W42" s="611">
        <f>SUM(W7:W41)</f>
        <v>0</v>
      </c>
      <c r="X42" s="611">
        <f>SUM(X7:X41)</f>
        <v>0</v>
      </c>
      <c r="Y42" s="653" t="s">
        <v>3766</v>
      </c>
      <c r="Z42" s="603"/>
      <c r="AA42" s="603"/>
      <c r="AB42" s="603"/>
      <c r="AC42" s="603"/>
      <c r="AF42" s="609"/>
      <c r="AG42" s="609"/>
      <c r="AH42" s="609"/>
    </row>
    <row r="43" spans="1:34" s="598" customFormat="1" ht="9.9499999999999993" customHeight="1">
      <c r="A43" s="598">
        <v>60</v>
      </c>
      <c r="B43" s="642" t="s">
        <v>3690</v>
      </c>
      <c r="C43" s="640" t="str">
        <f>IF(('Main Creation Page'!$E$6="Well"),"Y",(IF(('Main Creation Page'!$E$6="Poor"),"Y","N")))</f>
        <v>Y</v>
      </c>
      <c r="D43" s="628" t="s">
        <v>5224</v>
      </c>
      <c r="E43" s="598" t="s">
        <v>3694</v>
      </c>
      <c r="F43" s="627"/>
      <c r="G43" s="613"/>
      <c r="H43" s="613"/>
      <c r="I43" s="598">
        <v>89</v>
      </c>
      <c r="J43" s="612" t="s">
        <v>2131</v>
      </c>
      <c r="K43" s="622" t="s">
        <v>5222</v>
      </c>
      <c r="L43" s="1018" t="s">
        <v>5224</v>
      </c>
      <c r="M43" s="609">
        <v>5</v>
      </c>
      <c r="N43" s="609">
        <f t="shared" si="9"/>
        <v>0</v>
      </c>
      <c r="O43" s="609"/>
      <c r="S43" s="609"/>
      <c r="T43" s="609"/>
      <c r="U43" s="609"/>
      <c r="Y43" s="603"/>
      <c r="Z43" s="603"/>
      <c r="AA43" s="603"/>
      <c r="AB43" s="603"/>
      <c r="AC43" s="603"/>
    </row>
    <row r="44" spans="1:34" s="598" customFormat="1" ht="9.9499999999999993" customHeight="1">
      <c r="A44" s="598">
        <v>61</v>
      </c>
      <c r="B44" s="612" t="s">
        <v>2931</v>
      </c>
      <c r="C44" s="622" t="s">
        <v>5222</v>
      </c>
      <c r="D44" s="628" t="s">
        <v>5224</v>
      </c>
      <c r="E44" s="598">
        <v>-5</v>
      </c>
      <c r="F44" s="627">
        <f t="shared" ref="F44:F64" si="10">IF((D44="Y"),-E44,0)</f>
        <v>0</v>
      </c>
      <c r="G44" s="644"/>
      <c r="H44" s="613"/>
      <c r="I44" s="598">
        <v>91</v>
      </c>
      <c r="J44" s="612" t="s">
        <v>2132</v>
      </c>
      <c r="K44" s="622" t="s">
        <v>5222</v>
      </c>
      <c r="L44" s="628" t="s">
        <v>5224</v>
      </c>
      <c r="M44" s="609">
        <v>5</v>
      </c>
      <c r="N44" s="609">
        <f t="shared" si="9"/>
        <v>0</v>
      </c>
      <c r="O44" s="609"/>
      <c r="S44" s="2702" t="s">
        <v>5466</v>
      </c>
      <c r="T44" s="2542"/>
      <c r="U44" s="2542"/>
      <c r="Y44" s="603"/>
      <c r="Z44" s="603"/>
      <c r="AA44" s="603"/>
      <c r="AB44" s="603"/>
      <c r="AC44" s="603"/>
    </row>
    <row r="45" spans="1:34" s="598" customFormat="1" ht="9.9499999999999993" customHeight="1">
      <c r="A45" s="598">
        <v>64</v>
      </c>
      <c r="B45" s="612" t="s">
        <v>3994</v>
      </c>
      <c r="C45" s="622" t="s">
        <v>5222</v>
      </c>
      <c r="D45" s="628" t="s">
        <v>5224</v>
      </c>
      <c r="E45" s="598">
        <v>-10</v>
      </c>
      <c r="F45" s="627">
        <f>IF((D45="Y"),-E45,0)</f>
        <v>0</v>
      </c>
      <c r="G45" s="644"/>
      <c r="H45" s="613"/>
      <c r="I45" s="598">
        <v>93</v>
      </c>
      <c r="J45" s="612" t="s">
        <v>2133</v>
      </c>
      <c r="K45" s="622" t="s">
        <v>5222</v>
      </c>
      <c r="L45" s="628" t="s">
        <v>5224</v>
      </c>
      <c r="M45" s="609">
        <v>3</v>
      </c>
      <c r="N45" s="609">
        <f t="shared" si="9"/>
        <v>0</v>
      </c>
      <c r="O45" s="609"/>
      <c r="S45" s="625" t="s">
        <v>920</v>
      </c>
      <c r="T45" s="625" t="s">
        <v>919</v>
      </c>
      <c r="U45" s="625" t="s">
        <v>918</v>
      </c>
      <c r="Z45" s="603"/>
      <c r="AA45" s="603"/>
      <c r="AB45" s="603"/>
      <c r="AC45" s="603"/>
    </row>
    <row r="46" spans="1:34" s="598" customFormat="1" ht="9.9499999999999993" customHeight="1">
      <c r="A46" s="598">
        <v>67</v>
      </c>
      <c r="B46" s="612" t="s">
        <v>40</v>
      </c>
      <c r="C46" s="622" t="s">
        <v>5222</v>
      </c>
      <c r="D46" s="628" t="s">
        <v>5224</v>
      </c>
      <c r="E46" s="598">
        <v>-5</v>
      </c>
      <c r="F46" s="627">
        <f>IF((D46="Y"),-E46,0)</f>
        <v>0</v>
      </c>
      <c r="G46" s="644"/>
      <c r="H46" s="613"/>
      <c r="I46" s="598">
        <v>95</v>
      </c>
      <c r="J46" s="612" t="s">
        <v>5460</v>
      </c>
      <c r="K46" s="622" t="s">
        <v>5222</v>
      </c>
      <c r="L46" s="628" t="s">
        <v>5224</v>
      </c>
      <c r="M46" s="609">
        <v>7</v>
      </c>
      <c r="N46" s="609">
        <f t="shared" si="9"/>
        <v>0</v>
      </c>
      <c r="O46" s="609"/>
      <c r="Q46" s="598">
        <v>1</v>
      </c>
      <c r="R46" s="613" t="s">
        <v>5467</v>
      </c>
      <c r="S46" s="628"/>
      <c r="T46" s="628"/>
      <c r="U46" s="628"/>
      <c r="V46" s="611">
        <f t="shared" ref="V46:V51" si="11">IF(ISBLANK(S46),0,1)</f>
        <v>0</v>
      </c>
      <c r="W46" s="611">
        <f t="shared" ref="W46:W51" si="12">IF(ISBLANK(T46),0,1)</f>
        <v>0</v>
      </c>
      <c r="X46" s="611">
        <f t="shared" ref="X46:X51" si="13">IF(ISBLANK(U46),0,1)</f>
        <v>0</v>
      </c>
      <c r="Y46" s="603"/>
      <c r="Z46" s="603"/>
      <c r="AA46" s="603"/>
      <c r="AB46" s="603"/>
      <c r="AC46" s="603"/>
    </row>
    <row r="47" spans="1:34" s="598" customFormat="1" ht="9.9499999999999993" customHeight="1">
      <c r="A47" s="598">
        <v>71</v>
      </c>
      <c r="B47" s="612" t="s">
        <v>41</v>
      </c>
      <c r="C47" s="622" t="s">
        <v>5222</v>
      </c>
      <c r="D47" s="1077" t="s">
        <v>5222</v>
      </c>
      <c r="E47" s="598">
        <v>-5</v>
      </c>
      <c r="F47" s="627">
        <f t="shared" si="10"/>
        <v>5</v>
      </c>
      <c r="G47" s="613"/>
      <c r="H47" s="613"/>
      <c r="I47" s="598">
        <v>97</v>
      </c>
      <c r="J47" s="612" t="s">
        <v>5461</v>
      </c>
      <c r="K47" s="622" t="s">
        <v>5222</v>
      </c>
      <c r="L47" s="628" t="s">
        <v>5224</v>
      </c>
      <c r="M47" s="609">
        <v>10</v>
      </c>
      <c r="N47" s="609">
        <f t="shared" si="9"/>
        <v>0</v>
      </c>
      <c r="O47" s="609"/>
      <c r="Q47" s="598">
        <v>3</v>
      </c>
      <c r="R47" s="613" t="s">
        <v>19</v>
      </c>
      <c r="S47" s="628"/>
      <c r="T47" s="628"/>
      <c r="U47" s="628"/>
      <c r="V47" s="611">
        <f t="shared" si="11"/>
        <v>0</v>
      </c>
      <c r="W47" s="611">
        <f t="shared" si="12"/>
        <v>0</v>
      </c>
      <c r="X47" s="611">
        <f t="shared" si="13"/>
        <v>0</v>
      </c>
      <c r="Y47" s="603"/>
      <c r="Z47" s="603"/>
      <c r="AA47" s="603"/>
      <c r="AB47" s="603"/>
      <c r="AC47" s="603"/>
    </row>
    <row r="48" spans="1:34" s="598" customFormat="1" ht="9.9499999999999993" customHeight="1">
      <c r="A48" s="598">
        <v>75</v>
      </c>
      <c r="B48" s="616" t="s">
        <v>44</v>
      </c>
      <c r="C48" s="622" t="str">
        <f>IF(('Main Creation Page'!E6="Well"),"Y",(IF(('Main Creation Page'!E6="Poor"),"Y","N")))</f>
        <v>Y</v>
      </c>
      <c r="D48" s="628" t="s">
        <v>5224</v>
      </c>
      <c r="E48" s="598">
        <v>-10</v>
      </c>
      <c r="F48" s="627">
        <f t="shared" si="10"/>
        <v>0</v>
      </c>
      <c r="G48" s="613"/>
      <c r="H48" s="613"/>
      <c r="I48" s="598">
        <v>99</v>
      </c>
      <c r="J48" s="612" t="s">
        <v>588</v>
      </c>
      <c r="K48" s="622" t="s">
        <v>5222</v>
      </c>
      <c r="L48" s="628" t="s">
        <v>5224</v>
      </c>
      <c r="M48" s="609">
        <v>10</v>
      </c>
      <c r="N48" s="609">
        <f t="shared" si="9"/>
        <v>0</v>
      </c>
      <c r="O48" s="609"/>
      <c r="Q48" s="598">
        <v>5</v>
      </c>
      <c r="R48" s="613" t="s">
        <v>20</v>
      </c>
      <c r="S48" s="628"/>
      <c r="T48" s="628"/>
      <c r="U48" s="628"/>
      <c r="V48" s="611">
        <f t="shared" si="11"/>
        <v>0</v>
      </c>
      <c r="W48" s="611">
        <f t="shared" si="12"/>
        <v>0</v>
      </c>
      <c r="X48" s="611">
        <f t="shared" si="13"/>
        <v>0</v>
      </c>
      <c r="Y48" s="603"/>
      <c r="Z48" s="603"/>
      <c r="AA48" s="603"/>
      <c r="AB48" s="603"/>
      <c r="AC48" s="603"/>
    </row>
    <row r="49" spans="1:24" ht="9.9499999999999993" customHeight="1">
      <c r="A49" s="598">
        <v>77</v>
      </c>
      <c r="B49" s="616" t="s">
        <v>180</v>
      </c>
      <c r="C49" s="622" t="str">
        <f>IF(('Main Creation Page'!E6="Well"),"Y",(IF(('Main Creation Page'!E6="Poor"),"Y","N")))</f>
        <v>Y</v>
      </c>
      <c r="D49" s="628" t="s">
        <v>5224</v>
      </c>
      <c r="E49" s="598">
        <v>-5</v>
      </c>
      <c r="F49" s="627">
        <f t="shared" si="10"/>
        <v>0</v>
      </c>
      <c r="G49" s="613"/>
      <c r="H49" s="613"/>
      <c r="I49" s="598">
        <v>100</v>
      </c>
      <c r="J49" s="612" t="s">
        <v>86</v>
      </c>
      <c r="K49" s="622" t="s">
        <v>5222</v>
      </c>
      <c r="L49" s="628" t="s">
        <v>5224</v>
      </c>
      <c r="M49" s="609">
        <v>7</v>
      </c>
      <c r="N49" s="609">
        <f t="shared" si="9"/>
        <v>0</v>
      </c>
      <c r="O49" s="609"/>
      <c r="Q49" s="598">
        <v>7</v>
      </c>
      <c r="R49" s="613" t="s">
        <v>21</v>
      </c>
      <c r="S49" s="628"/>
      <c r="T49" s="628"/>
      <c r="U49" s="628"/>
      <c r="V49" s="611">
        <f t="shared" si="11"/>
        <v>0</v>
      </c>
      <c r="W49" s="611">
        <f t="shared" si="12"/>
        <v>0</v>
      </c>
      <c r="X49" s="611">
        <f t="shared" si="13"/>
        <v>0</v>
      </c>
    </row>
    <row r="50" spans="1:24" ht="9.9499999999999993" customHeight="1">
      <c r="A50" s="598">
        <v>79</v>
      </c>
      <c r="B50" s="654" t="s">
        <v>42</v>
      </c>
      <c r="C50" s="655" t="str">
        <f>IF(('Main Creation Page'!E6="Well"),"Y",(IF(('Main Creation Page'!E6="Poor"),"Y","N")))</f>
        <v>Y</v>
      </c>
      <c r="D50" s="628" t="s">
        <v>5224</v>
      </c>
      <c r="E50" s="656">
        <v>-10</v>
      </c>
      <c r="F50" s="657">
        <f t="shared" si="10"/>
        <v>0</v>
      </c>
      <c r="G50" s="658" t="str">
        <f>IF('Main Creation Page'!$C$3="ELF"," AG",(IF('Main Creation Page'!$C$3="Dwarf"," BG ","")))</f>
        <v/>
      </c>
      <c r="H50" s="658"/>
      <c r="I50" s="598">
        <v>106</v>
      </c>
      <c r="J50" s="612" t="s">
        <v>87</v>
      </c>
      <c r="K50" s="622" t="s">
        <v>5222</v>
      </c>
      <c r="L50" s="628" t="s">
        <v>5224</v>
      </c>
      <c r="M50" s="609">
        <v>13</v>
      </c>
      <c r="N50" s="609">
        <f t="shared" si="9"/>
        <v>0</v>
      </c>
      <c r="O50" s="609"/>
      <c r="Q50" s="598">
        <v>9</v>
      </c>
      <c r="R50" s="613" t="s">
        <v>23</v>
      </c>
      <c r="S50" s="628"/>
      <c r="T50" s="628"/>
      <c r="U50" s="628"/>
      <c r="V50" s="611">
        <f t="shared" si="11"/>
        <v>0</v>
      </c>
      <c r="W50" s="611">
        <f t="shared" si="12"/>
        <v>0</v>
      </c>
      <c r="X50" s="611">
        <f t="shared" si="13"/>
        <v>0</v>
      </c>
    </row>
    <row r="51" spans="1:24" ht="9.9499999999999993" customHeight="1">
      <c r="A51" s="598">
        <v>80</v>
      </c>
      <c r="B51" s="612" t="s">
        <v>181</v>
      </c>
      <c r="C51" s="622" t="s">
        <v>5222</v>
      </c>
      <c r="D51" s="628" t="s">
        <v>5224</v>
      </c>
      <c r="E51" s="598">
        <v>-5</v>
      </c>
      <c r="F51" s="627">
        <f t="shared" si="10"/>
        <v>0</v>
      </c>
      <c r="G51" s="613"/>
      <c r="H51" s="613"/>
      <c r="I51" s="598">
        <v>107</v>
      </c>
      <c r="J51" s="612" t="s">
        <v>5463</v>
      </c>
      <c r="K51" s="622" t="s">
        <v>5222</v>
      </c>
      <c r="L51" s="628" t="s">
        <v>5224</v>
      </c>
      <c r="M51" s="609">
        <v>7</v>
      </c>
      <c r="N51" s="609">
        <f t="shared" si="9"/>
        <v>0</v>
      </c>
      <c r="O51" s="609"/>
      <c r="Q51" s="598">
        <v>10</v>
      </c>
      <c r="R51" s="613" t="s">
        <v>22</v>
      </c>
      <c r="S51" s="628"/>
      <c r="T51" s="628"/>
      <c r="U51" s="628"/>
      <c r="V51" s="611">
        <f t="shared" si="11"/>
        <v>0</v>
      </c>
      <c r="W51" s="611">
        <f t="shared" si="12"/>
        <v>0</v>
      </c>
      <c r="X51" s="611">
        <f t="shared" si="13"/>
        <v>0</v>
      </c>
    </row>
    <row r="52" spans="1:24" ht="9.9499999999999993" customHeight="1">
      <c r="A52" s="598">
        <v>81</v>
      </c>
      <c r="B52" s="616" t="s">
        <v>3252</v>
      </c>
      <c r="C52" s="622" t="str">
        <f>IF(('Main Creation Page'!E6="Well"),"Y",(IF(('Main Creation Page'!E6="Poor"),"Y","N")))</f>
        <v>Y</v>
      </c>
      <c r="D52" s="628" t="s">
        <v>5224</v>
      </c>
      <c r="E52" s="598">
        <v>-20</v>
      </c>
      <c r="F52" s="627">
        <f t="shared" si="10"/>
        <v>0</v>
      </c>
      <c r="G52" s="603" t="str">
        <f>IF(D52="Y",CONCATENATE(+'Main Creation Page'!$E$13," hours")," ")</f>
        <v xml:space="preserve"> </v>
      </c>
      <c r="H52" s="613"/>
      <c r="I52" s="598">
        <v>109</v>
      </c>
      <c r="J52" s="612" t="s">
        <v>5112</v>
      </c>
      <c r="K52" s="622" t="s">
        <v>5222</v>
      </c>
      <c r="L52" s="628" t="s">
        <v>5224</v>
      </c>
      <c r="M52" s="609">
        <v>13</v>
      </c>
      <c r="N52" s="609">
        <f t="shared" si="9"/>
        <v>0</v>
      </c>
      <c r="O52" s="609"/>
      <c r="V52" s="611">
        <f>SUM(V46:V51)</f>
        <v>0</v>
      </c>
      <c r="W52" s="611">
        <f>SUM(W46:W51)</f>
        <v>0</v>
      </c>
      <c r="X52" s="611">
        <f>SUM(X46:X51)</f>
        <v>0</v>
      </c>
    </row>
    <row r="53" spans="1:24" ht="9.9499999999999993" customHeight="1">
      <c r="A53" s="598">
        <v>82</v>
      </c>
      <c r="B53" s="616" t="s">
        <v>3253</v>
      </c>
      <c r="C53" s="622" t="str">
        <f>IF(('Main Creation Page'!E6="Well"),"Y",(IF(('Main Creation Page'!E6="Poor"),"Y","N")))</f>
        <v>Y</v>
      </c>
      <c r="D53" s="628" t="s">
        <v>5224</v>
      </c>
      <c r="E53" s="598">
        <v>-20</v>
      </c>
      <c r="F53" s="627">
        <f t="shared" si="10"/>
        <v>0</v>
      </c>
      <c r="G53" s="603" t="str">
        <f>IF(D53="Y",CONCATENATE(+'Main Creation Page'!$E$13," hours")," ")</f>
        <v xml:space="preserve"> </v>
      </c>
      <c r="H53" s="613"/>
      <c r="I53" s="598">
        <v>110</v>
      </c>
      <c r="J53" s="612" t="s">
        <v>5462</v>
      </c>
      <c r="K53" s="622" t="s">
        <v>5222</v>
      </c>
      <c r="L53" s="628" t="s">
        <v>5224</v>
      </c>
      <c r="M53" s="609">
        <v>21</v>
      </c>
      <c r="N53" s="609">
        <f t="shared" si="9"/>
        <v>0</v>
      </c>
      <c r="O53" s="609"/>
      <c r="V53" s="611"/>
      <c r="W53" s="611"/>
      <c r="X53" s="611"/>
    </row>
    <row r="54" spans="1:24" ht="9.9499999999999993" customHeight="1">
      <c r="A54" s="598">
        <v>83</v>
      </c>
      <c r="B54" s="616" t="s">
        <v>4945</v>
      </c>
      <c r="C54" s="622" t="str">
        <f>IF(('Main Creation Page'!E6="Well"),"Y",(IF(('Main Creation Page'!E6="Poor"),"Y","N")))</f>
        <v>Y</v>
      </c>
      <c r="D54" s="628" t="s">
        <v>5224</v>
      </c>
      <c r="E54" s="598">
        <v>-25</v>
      </c>
      <c r="F54" s="627">
        <f t="shared" si="10"/>
        <v>0</v>
      </c>
      <c r="G54" s="603" t="str">
        <f>IF(D54="Y",CONCATENATE(+'Main Creation Page'!$E$13," hours")," ")</f>
        <v xml:space="preserve"> </v>
      </c>
      <c r="H54" s="613"/>
    </row>
    <row r="55" spans="1:24" ht="9.9499999999999993" customHeight="1">
      <c r="A55" s="598">
        <v>84</v>
      </c>
      <c r="B55" s="616" t="s">
        <v>4946</v>
      </c>
      <c r="C55" s="622" t="str">
        <f>IF(('Main Creation Page'!E6="Well"),"Y",(IF(('Main Creation Page'!E6="Poor"),"Y","N")))</f>
        <v>Y</v>
      </c>
      <c r="D55" s="628" t="s">
        <v>5224</v>
      </c>
      <c r="E55" s="598">
        <v>-10</v>
      </c>
      <c r="F55" s="627">
        <f t="shared" si="10"/>
        <v>0</v>
      </c>
      <c r="G55" s="603" t="str">
        <f>IF(D55="Y",CONCATENATE(+'Main Creation Page'!$E$13," hours")," ")</f>
        <v xml:space="preserve"> </v>
      </c>
      <c r="H55" s="613"/>
    </row>
    <row r="56" spans="1:24" ht="9.9499999999999993" customHeight="1">
      <c r="A56" s="598">
        <v>85</v>
      </c>
      <c r="B56" s="616" t="s">
        <v>4947</v>
      </c>
      <c r="C56" s="622" t="str">
        <f>IF(('Main Creation Page'!E6="Well"),"Y",(IF(('Main Creation Page'!E6="Poor"),"Y","N")))</f>
        <v>Y</v>
      </c>
      <c r="D56" s="628" t="s">
        <v>5224</v>
      </c>
      <c r="E56" s="598">
        <v>-15</v>
      </c>
      <c r="F56" s="627">
        <f t="shared" si="10"/>
        <v>0</v>
      </c>
      <c r="G56" s="603" t="str">
        <f>IF(D56="Y",CONCATENATE(+'Main Creation Page'!$E$13," hours")," ")</f>
        <v xml:space="preserve"> </v>
      </c>
      <c r="K56" s="609"/>
      <c r="L56" s="609"/>
      <c r="M56" s="609"/>
      <c r="N56" s="609"/>
      <c r="O56" s="609"/>
    </row>
    <row r="57" spans="1:24" ht="9.9499999999999993" customHeight="1">
      <c r="A57" s="598">
        <v>86</v>
      </c>
      <c r="B57" s="616" t="s">
        <v>2840</v>
      </c>
      <c r="C57" s="622" t="s">
        <v>5222</v>
      </c>
      <c r="D57" s="628" t="s">
        <v>5224</v>
      </c>
      <c r="E57" s="598">
        <v>-3</v>
      </c>
      <c r="F57" s="627">
        <f>IF((D57="Y"),-E57,0)</f>
        <v>0</v>
      </c>
      <c r="G57" s="644"/>
      <c r="H57" s="605">
        <f>ROUNDDOWN(+G57/2,0)</f>
        <v>0</v>
      </c>
      <c r="K57" s="609"/>
      <c r="L57" s="609"/>
      <c r="M57" s="609"/>
      <c r="N57" s="609"/>
      <c r="O57" s="609"/>
    </row>
    <row r="58" spans="1:24" ht="9.9499999999999993" customHeight="1">
      <c r="A58" s="598">
        <v>87</v>
      </c>
      <c r="B58" s="616" t="s">
        <v>2841</v>
      </c>
      <c r="C58" s="622" t="s">
        <v>5222</v>
      </c>
      <c r="D58" s="628" t="s">
        <v>5224</v>
      </c>
      <c r="E58" s="598">
        <v>-7</v>
      </c>
      <c r="F58" s="627">
        <f>IF((D58="Y"),-E58,0)</f>
        <v>0</v>
      </c>
      <c r="G58" s="644"/>
      <c r="H58" s="605">
        <f>ROUNDDOWN(+G58/2,0)+7</f>
        <v>7</v>
      </c>
      <c r="K58" s="609"/>
      <c r="L58" s="609"/>
      <c r="M58" s="609"/>
      <c r="N58" s="609"/>
      <c r="O58" s="609"/>
    </row>
    <row r="59" spans="1:24" ht="9.9499999999999993" customHeight="1">
      <c r="A59" s="598">
        <v>88</v>
      </c>
      <c r="B59" s="616" t="s">
        <v>2842</v>
      </c>
      <c r="C59" s="622" t="s">
        <v>5222</v>
      </c>
      <c r="D59" s="1077" t="s">
        <v>5222</v>
      </c>
      <c r="E59" s="598">
        <v>-10</v>
      </c>
      <c r="F59" s="627">
        <f>IF((D59="Y"),-E59,0)</f>
        <v>10</v>
      </c>
      <c r="G59" s="644">
        <v>10</v>
      </c>
      <c r="H59" s="659">
        <f>ROUNDDOWN(+G59,0)+7</f>
        <v>17</v>
      </c>
      <c r="K59" s="609"/>
      <c r="L59" s="609"/>
      <c r="M59" s="609"/>
      <c r="N59" s="609"/>
      <c r="O59" s="609"/>
    </row>
    <row r="60" spans="1:24" ht="9.9499999999999993" customHeight="1">
      <c r="A60" s="602">
        <v>89</v>
      </c>
      <c r="B60" s="616" t="s">
        <v>4948</v>
      </c>
      <c r="C60" s="622" t="str">
        <f>IF(('Main Creation Page'!E6="Well"),"Y","N")</f>
        <v>Y</v>
      </c>
      <c r="D60" s="628" t="s">
        <v>5224</v>
      </c>
      <c r="E60" s="598">
        <v>-7</v>
      </c>
      <c r="F60" s="627">
        <f t="shared" si="10"/>
        <v>0</v>
      </c>
      <c r="G60" s="613"/>
      <c r="K60" s="609"/>
      <c r="L60" s="609"/>
      <c r="M60" s="609"/>
      <c r="N60" s="609"/>
      <c r="O60" s="609"/>
    </row>
    <row r="61" spans="1:24" ht="9.9499999999999993" customHeight="1">
      <c r="A61" s="602">
        <v>90</v>
      </c>
      <c r="B61" s="616" t="s">
        <v>4949</v>
      </c>
      <c r="C61" s="622" t="str">
        <f>IF(('Main Creation Page'!E6="Well"),"Y","N")</f>
        <v>Y</v>
      </c>
      <c r="D61" s="628" t="s">
        <v>5224</v>
      </c>
      <c r="E61" s="598">
        <v>-7</v>
      </c>
      <c r="F61" s="627">
        <f t="shared" si="10"/>
        <v>0</v>
      </c>
      <c r="G61" s="613"/>
      <c r="K61" s="609"/>
      <c r="L61" s="609"/>
      <c r="M61" s="609"/>
      <c r="N61" s="609"/>
      <c r="O61" s="609"/>
      <c r="V61" s="611"/>
      <c r="W61" s="611"/>
    </row>
    <row r="62" spans="1:24" ht="9.9499999999999993" customHeight="1">
      <c r="A62" s="602">
        <v>91</v>
      </c>
      <c r="B62" s="616" t="s">
        <v>4950</v>
      </c>
      <c r="C62" s="622" t="str">
        <f>IF(('Main Creation Page'!E6="Well"),"Y","N")</f>
        <v>Y</v>
      </c>
      <c r="D62" s="628" t="s">
        <v>5224</v>
      </c>
      <c r="E62" s="598">
        <v>-7</v>
      </c>
      <c r="F62" s="627">
        <f t="shared" si="10"/>
        <v>0</v>
      </c>
      <c r="G62" s="613"/>
      <c r="K62" s="609"/>
      <c r="L62" s="609"/>
      <c r="M62" s="609"/>
      <c r="N62" s="609"/>
      <c r="O62" s="609"/>
      <c r="V62" s="611"/>
      <c r="W62" s="611"/>
    </row>
    <row r="63" spans="1:24" ht="9.9499999999999993" customHeight="1">
      <c r="A63" s="602">
        <v>92</v>
      </c>
      <c r="B63" s="616" t="s">
        <v>4951</v>
      </c>
      <c r="C63" s="622" t="str">
        <f>IF(('Main Creation Page'!E6="Well"),"Y","N")</f>
        <v>Y</v>
      </c>
      <c r="D63" s="628" t="s">
        <v>5224</v>
      </c>
      <c r="E63" s="598">
        <v>-7</v>
      </c>
      <c r="F63" s="627">
        <f t="shared" si="10"/>
        <v>0</v>
      </c>
      <c r="G63" s="613"/>
      <c r="K63" s="609"/>
      <c r="L63" s="609"/>
      <c r="M63" s="609"/>
      <c r="N63" s="609"/>
      <c r="O63" s="609"/>
      <c r="V63" s="611"/>
      <c r="W63" s="611"/>
    </row>
    <row r="64" spans="1:24" ht="9.9499999999999993" customHeight="1">
      <c r="A64" s="602">
        <v>93</v>
      </c>
      <c r="B64" s="616" t="s">
        <v>4952</v>
      </c>
      <c r="C64" s="622" t="str">
        <f>IF(('Main Creation Page'!E6="Well"),"Y","N")</f>
        <v>Y</v>
      </c>
      <c r="D64" s="628" t="s">
        <v>5224</v>
      </c>
      <c r="E64" s="598">
        <v>-7</v>
      </c>
      <c r="F64" s="627">
        <f t="shared" si="10"/>
        <v>0</v>
      </c>
      <c r="G64" s="613"/>
      <c r="K64" s="609"/>
      <c r="L64" s="609"/>
      <c r="M64" s="609"/>
      <c r="N64" s="609"/>
      <c r="O64" s="609"/>
      <c r="V64" s="611"/>
      <c r="W64" s="611"/>
    </row>
    <row r="65" spans="1:24" ht="9.9499999999999993" customHeight="1">
      <c r="A65" s="602">
        <v>94</v>
      </c>
      <c r="B65" s="617" t="s">
        <v>3691</v>
      </c>
      <c r="C65" s="640" t="s">
        <v>4629</v>
      </c>
      <c r="D65" s="1018" t="s">
        <v>5224</v>
      </c>
      <c r="E65" s="598" t="s">
        <v>3694</v>
      </c>
      <c r="F65" s="627"/>
      <c r="G65" s="645">
        <v>10</v>
      </c>
      <c r="V65" s="611"/>
      <c r="W65" s="611"/>
    </row>
    <row r="66" spans="1:24" ht="9.9499999999999993" customHeight="1">
      <c r="A66" s="602">
        <v>95</v>
      </c>
      <c r="B66" s="612" t="s">
        <v>2209</v>
      </c>
      <c r="C66" s="622" t="s">
        <v>5222</v>
      </c>
      <c r="D66" s="628" t="s">
        <v>5224</v>
      </c>
      <c r="E66" s="598">
        <v>-5</v>
      </c>
      <c r="F66" s="627">
        <f>IF((D66="Y"),-E66,0)</f>
        <v>0</v>
      </c>
      <c r="G66" s="613"/>
      <c r="H66" s="613"/>
      <c r="X66" s="611"/>
    </row>
    <row r="67" spans="1:24" ht="9.9499999999999993" customHeight="1">
      <c r="A67" s="602">
        <v>96</v>
      </c>
      <c r="B67" s="612" t="s">
        <v>3692</v>
      </c>
      <c r="C67" s="622" t="s">
        <v>5222</v>
      </c>
      <c r="D67" s="628" t="s">
        <v>5224</v>
      </c>
      <c r="E67" s="598">
        <v>-5</v>
      </c>
      <c r="F67" s="627">
        <f>IF((D67="Y"),-E67,0)</f>
        <v>0</v>
      </c>
      <c r="G67" s="613"/>
      <c r="X67" s="611"/>
    </row>
    <row r="68" spans="1:24" ht="9.9499999999999993" customHeight="1">
      <c r="A68" s="602">
        <v>97</v>
      </c>
      <c r="B68" s="617" t="s">
        <v>3693</v>
      </c>
      <c r="C68" s="640" t="s">
        <v>4629</v>
      </c>
      <c r="D68" s="628" t="s">
        <v>5224</v>
      </c>
      <c r="E68" s="598" t="s">
        <v>3694</v>
      </c>
      <c r="F68" s="627"/>
      <c r="G68" s="644"/>
      <c r="X68" s="611"/>
    </row>
    <row r="69" spans="1:24" ht="9.9499999999999993" customHeight="1">
      <c r="A69" s="602">
        <v>98</v>
      </c>
      <c r="B69" s="612" t="s">
        <v>43</v>
      </c>
      <c r="C69" s="622" t="s">
        <v>5222</v>
      </c>
      <c r="D69" s="628" t="s">
        <v>5224</v>
      </c>
      <c r="E69" s="598">
        <v>-10</v>
      </c>
      <c r="F69" s="627">
        <f>IF((D69="Y"),-E69,0)</f>
        <v>0</v>
      </c>
      <c r="G69" s="613"/>
      <c r="X69" s="611"/>
    </row>
    <row r="70" spans="1:24">
      <c r="B70" s="613"/>
      <c r="F70" s="627"/>
      <c r="X70" s="611"/>
    </row>
    <row r="71" spans="1:24">
      <c r="X71" s="611"/>
    </row>
    <row r="72" spans="1:24">
      <c r="B72" s="598"/>
      <c r="G72" s="613"/>
      <c r="X72" s="611"/>
    </row>
    <row r="73" spans="1:24">
      <c r="B73" s="598"/>
      <c r="G73" s="613"/>
      <c r="X73" s="611"/>
    </row>
    <row r="74" spans="1:24">
      <c r="B74" s="598"/>
      <c r="F74" s="627"/>
      <c r="G74" s="613"/>
      <c r="X74" s="611"/>
    </row>
    <row r="75" spans="1:24" hidden="1">
      <c r="B75" s="598"/>
      <c r="F75" s="627"/>
      <c r="G75" s="613"/>
      <c r="X75" s="611"/>
    </row>
    <row r="76" spans="1:24" hidden="1">
      <c r="B76" s="598"/>
      <c r="F76" s="627"/>
      <c r="G76" s="613"/>
      <c r="X76" s="611"/>
    </row>
    <row r="77" spans="1:24" hidden="1">
      <c r="B77" s="598"/>
      <c r="F77" s="627"/>
      <c r="G77" s="613"/>
      <c r="X77" s="611"/>
    </row>
    <row r="78" spans="1:24" hidden="1">
      <c r="B78" s="598"/>
      <c r="F78" s="627"/>
      <c r="G78" s="613"/>
      <c r="X78" s="611"/>
    </row>
    <row r="79" spans="1:24" hidden="1">
      <c r="B79" s="598"/>
      <c r="F79" s="627"/>
      <c r="G79" s="613"/>
      <c r="X79" s="611"/>
    </row>
    <row r="80" spans="1:24" hidden="1">
      <c r="B80" s="598"/>
      <c r="F80" s="627"/>
      <c r="G80" s="613"/>
    </row>
    <row r="81" spans="2:7" hidden="1">
      <c r="B81" s="598"/>
      <c r="F81" s="627"/>
      <c r="G81" s="613"/>
    </row>
    <row r="82" spans="2:7" hidden="1">
      <c r="B82" s="598"/>
      <c r="F82" s="627"/>
      <c r="G82" s="613"/>
    </row>
    <row r="83" spans="2:7" hidden="1">
      <c r="B83" s="598"/>
      <c r="F83" s="627"/>
    </row>
    <row r="84" spans="2:7" hidden="1">
      <c r="B84" s="598"/>
    </row>
    <row r="85" spans="2:7" hidden="1">
      <c r="B85" s="598"/>
    </row>
    <row r="86" spans="2:7" hidden="1">
      <c r="B86" s="598"/>
    </row>
    <row r="87" spans="2:7" hidden="1">
      <c r="B87" s="598"/>
    </row>
    <row r="88" spans="2:7" hidden="1">
      <c r="B88" s="598"/>
    </row>
    <row r="89" spans="2:7" hidden="1">
      <c r="B89" s="598"/>
    </row>
    <row r="90" spans="2:7" hidden="1">
      <c r="B90" s="598"/>
    </row>
    <row r="91" spans="2:7" hidden="1">
      <c r="B91" s="598"/>
    </row>
    <row r="92" spans="2:7" hidden="1">
      <c r="B92" s="598"/>
    </row>
    <row r="93" spans="2:7" hidden="1">
      <c r="B93" s="598"/>
    </row>
    <row r="94" spans="2:7" hidden="1">
      <c r="B94" s="598"/>
    </row>
    <row r="95" spans="2:7" hidden="1">
      <c r="B95" s="598"/>
    </row>
    <row r="96" spans="2:7" hidden="1">
      <c r="B96" s="598"/>
    </row>
    <row r="97" spans="2:2" hidden="1">
      <c r="B97" s="598"/>
    </row>
    <row r="98" spans="2:2" hidden="1">
      <c r="B98" s="598"/>
    </row>
    <row r="99" spans="2:2" hidden="1">
      <c r="B99" s="598"/>
    </row>
    <row r="100" spans="2:2" hidden="1">
      <c r="B100" s="598"/>
    </row>
    <row r="101" spans="2:2" hidden="1">
      <c r="B101" s="598"/>
    </row>
    <row r="102" spans="2:2" hidden="1">
      <c r="B102" s="598"/>
    </row>
    <row r="103" spans="2:2" hidden="1">
      <c r="B103" s="598"/>
    </row>
    <row r="104" spans="2:2" hidden="1">
      <c r="B104" s="598"/>
    </row>
    <row r="105" spans="2:2" hidden="1">
      <c r="B105" s="598"/>
    </row>
    <row r="106" spans="2:2" hidden="1">
      <c r="B106" s="598"/>
    </row>
    <row r="107" spans="2:2" hidden="1">
      <c r="B107" s="598"/>
    </row>
    <row r="108" spans="2:2" hidden="1">
      <c r="B108" s="598"/>
    </row>
    <row r="109" spans="2:2" hidden="1">
      <c r="B109" s="598"/>
    </row>
    <row r="110" spans="2:2" hidden="1">
      <c r="B110" s="598"/>
    </row>
    <row r="111" spans="2:2" hidden="1">
      <c r="B111" s="598"/>
    </row>
    <row r="112" spans="2:2" hidden="1">
      <c r="B112" s="598"/>
    </row>
    <row r="113" spans="2:2" hidden="1">
      <c r="B113" s="598"/>
    </row>
    <row r="114" spans="2:2" hidden="1">
      <c r="B114" s="598"/>
    </row>
    <row r="115" spans="2:2" hidden="1">
      <c r="B115" s="598"/>
    </row>
    <row r="116" spans="2:2" hidden="1">
      <c r="B116" s="598"/>
    </row>
    <row r="117" spans="2:2" hidden="1">
      <c r="B117" s="598"/>
    </row>
    <row r="118" spans="2:2" hidden="1">
      <c r="B118" s="598"/>
    </row>
    <row r="119" spans="2:2" hidden="1">
      <c r="B119" s="598"/>
    </row>
    <row r="120" spans="2:2" hidden="1">
      <c r="B120" s="598"/>
    </row>
    <row r="121" spans="2:2" hidden="1">
      <c r="B121" s="598"/>
    </row>
    <row r="122" spans="2:2" hidden="1">
      <c r="B122" s="598"/>
    </row>
    <row r="123" spans="2:2" hidden="1">
      <c r="B123" s="598"/>
    </row>
    <row r="124" spans="2:2" hidden="1">
      <c r="B124" s="598"/>
    </row>
    <row r="125" spans="2:2" hidden="1">
      <c r="B125" s="598"/>
    </row>
    <row r="126" spans="2:2" hidden="1">
      <c r="B126" s="598"/>
    </row>
    <row r="127" spans="2:2" hidden="1">
      <c r="B127" s="598"/>
    </row>
    <row r="128" spans="2:2" hidden="1">
      <c r="B128" s="598"/>
    </row>
    <row r="129" spans="2:2" hidden="1">
      <c r="B129" s="598"/>
    </row>
    <row r="130" spans="2:2" hidden="1">
      <c r="B130" s="598"/>
    </row>
    <row r="131" spans="2:2" hidden="1">
      <c r="B131" s="598"/>
    </row>
    <row r="132" spans="2:2" hidden="1">
      <c r="B132" s="598"/>
    </row>
    <row r="133" spans="2:2" hidden="1">
      <c r="B133" s="598"/>
    </row>
    <row r="134" spans="2:2" hidden="1">
      <c r="B134" s="598"/>
    </row>
    <row r="135" spans="2:2" hidden="1">
      <c r="B135" s="598"/>
    </row>
    <row r="136" spans="2:2" hidden="1">
      <c r="B136" s="598"/>
    </row>
    <row r="137" spans="2:2" hidden="1">
      <c r="B137" s="598"/>
    </row>
    <row r="138" spans="2:2" hidden="1">
      <c r="B138" s="598"/>
    </row>
    <row r="139" spans="2:2" hidden="1">
      <c r="B139" s="598"/>
    </row>
    <row r="140" spans="2:2" hidden="1">
      <c r="B140" s="598"/>
    </row>
    <row r="141" spans="2:2" hidden="1">
      <c r="B141" s="598"/>
    </row>
    <row r="142" spans="2:2" hidden="1">
      <c r="B142" s="598"/>
    </row>
    <row r="143" spans="2:2" hidden="1">
      <c r="B143" s="598"/>
    </row>
    <row r="144" spans="2:2" hidden="1">
      <c r="B144" s="598"/>
    </row>
    <row r="145" spans="2:2" hidden="1">
      <c r="B145" s="598"/>
    </row>
    <row r="146" spans="2:2" hidden="1">
      <c r="B146" s="598"/>
    </row>
    <row r="147" spans="2:2" hidden="1">
      <c r="B147" s="598"/>
    </row>
    <row r="148" spans="2:2" hidden="1">
      <c r="B148" s="598"/>
    </row>
    <row r="149" spans="2:2" hidden="1">
      <c r="B149" s="598"/>
    </row>
    <row r="150" spans="2:2" hidden="1">
      <c r="B150" s="598"/>
    </row>
    <row r="151" spans="2:2" hidden="1">
      <c r="B151" s="598"/>
    </row>
    <row r="152" spans="2:2" hidden="1">
      <c r="B152" s="598"/>
    </row>
    <row r="153" spans="2:2" hidden="1">
      <c r="B153" s="598"/>
    </row>
    <row r="154" spans="2:2" hidden="1">
      <c r="B154" s="598"/>
    </row>
    <row r="155" spans="2:2" hidden="1">
      <c r="B155" s="598"/>
    </row>
    <row r="156" spans="2:2" hidden="1">
      <c r="B156" s="598"/>
    </row>
    <row r="157" spans="2:2" hidden="1">
      <c r="B157" s="598"/>
    </row>
    <row r="158" spans="2:2" hidden="1">
      <c r="B158" s="598"/>
    </row>
    <row r="159" spans="2:2" hidden="1">
      <c r="B159" s="598"/>
    </row>
    <row r="160" spans="2:2" hidden="1">
      <c r="B160" s="598"/>
    </row>
    <row r="161" spans="2:2" hidden="1">
      <c r="B161" s="598"/>
    </row>
    <row r="162" spans="2:2" hidden="1">
      <c r="B162" s="598"/>
    </row>
    <row r="163" spans="2:2" hidden="1">
      <c r="B163" s="598"/>
    </row>
    <row r="164" spans="2:2" hidden="1">
      <c r="B164" s="598"/>
    </row>
    <row r="165" spans="2:2" hidden="1">
      <c r="B165" s="598"/>
    </row>
    <row r="166" spans="2:2" hidden="1">
      <c r="B166" s="598"/>
    </row>
    <row r="167" spans="2:2" hidden="1">
      <c r="B167" s="598"/>
    </row>
    <row r="168" spans="2:2" hidden="1">
      <c r="B168" s="598"/>
    </row>
    <row r="169" spans="2:2" hidden="1">
      <c r="B169" s="598"/>
    </row>
    <row r="170" spans="2:2" hidden="1">
      <c r="B170" s="598"/>
    </row>
    <row r="171" spans="2:2" hidden="1">
      <c r="B171" s="598"/>
    </row>
    <row r="172" spans="2:2" hidden="1">
      <c r="B172" s="598"/>
    </row>
    <row r="173" spans="2:2" hidden="1">
      <c r="B173" s="598"/>
    </row>
    <row r="174" spans="2:2" hidden="1">
      <c r="B174" s="598"/>
    </row>
    <row r="175" spans="2:2" hidden="1">
      <c r="B175" s="598"/>
    </row>
    <row r="176" spans="2:2" hidden="1">
      <c r="B176" s="598"/>
    </row>
    <row r="177" spans="2:2" hidden="1">
      <c r="B177" s="598"/>
    </row>
    <row r="178" spans="2:2" hidden="1">
      <c r="B178" s="598"/>
    </row>
    <row r="179" spans="2:2" hidden="1">
      <c r="B179" s="598"/>
    </row>
    <row r="180" spans="2:2" hidden="1">
      <c r="B180" s="598"/>
    </row>
    <row r="181" spans="2:2" hidden="1">
      <c r="B181" s="598"/>
    </row>
    <row r="182" spans="2:2" hidden="1">
      <c r="B182" s="598"/>
    </row>
    <row r="183" spans="2:2" hidden="1">
      <c r="B183" s="598"/>
    </row>
    <row r="184" spans="2:2" hidden="1">
      <c r="B184" s="598"/>
    </row>
    <row r="185" spans="2:2" hidden="1">
      <c r="B185" s="598"/>
    </row>
    <row r="186" spans="2:2" hidden="1">
      <c r="B186" s="598"/>
    </row>
    <row r="187" spans="2:2" hidden="1">
      <c r="B187" s="598"/>
    </row>
    <row r="188" spans="2:2" hidden="1">
      <c r="B188" s="598"/>
    </row>
    <row r="189" spans="2:2" hidden="1">
      <c r="B189" s="598"/>
    </row>
    <row r="190" spans="2:2" hidden="1">
      <c r="B190" s="598"/>
    </row>
    <row r="191" spans="2:2" hidden="1">
      <c r="B191" s="598"/>
    </row>
    <row r="192" spans="2:2" hidden="1">
      <c r="B192" s="598"/>
    </row>
    <row r="193" spans="2:2" hidden="1">
      <c r="B193" s="598"/>
    </row>
    <row r="194" spans="2:2" hidden="1">
      <c r="B194" s="598"/>
    </row>
    <row r="195" spans="2:2" hidden="1">
      <c r="B195" s="598"/>
    </row>
    <row r="196" spans="2:2" hidden="1">
      <c r="B196" s="598"/>
    </row>
    <row r="197" spans="2:2" hidden="1">
      <c r="B197" s="598"/>
    </row>
    <row r="198" spans="2:2" hidden="1">
      <c r="B198" s="598"/>
    </row>
    <row r="199" spans="2:2" hidden="1">
      <c r="B199" s="598"/>
    </row>
    <row r="200" spans="2:2" hidden="1">
      <c r="B200" s="598"/>
    </row>
    <row r="201" spans="2:2" hidden="1">
      <c r="B201" s="598"/>
    </row>
    <row r="202" spans="2:2" hidden="1">
      <c r="B202" s="598"/>
    </row>
    <row r="203" spans="2:2" hidden="1">
      <c r="B203" s="598"/>
    </row>
    <row r="204" spans="2:2" hidden="1">
      <c r="B204" s="598"/>
    </row>
    <row r="205" spans="2:2" hidden="1">
      <c r="B205" s="598"/>
    </row>
    <row r="206" spans="2:2" hidden="1">
      <c r="B206" s="598"/>
    </row>
    <row r="207" spans="2:2" hidden="1">
      <c r="B207" s="598"/>
    </row>
    <row r="208" spans="2:2" hidden="1">
      <c r="B208" s="598"/>
    </row>
    <row r="209" spans="2:2" hidden="1">
      <c r="B209" s="598"/>
    </row>
    <row r="210" spans="2:2" hidden="1">
      <c r="B210" s="598"/>
    </row>
    <row r="211" spans="2:2" hidden="1">
      <c r="B211" s="598"/>
    </row>
    <row r="212" spans="2:2" hidden="1">
      <c r="B212" s="598"/>
    </row>
    <row r="213" spans="2:2" hidden="1">
      <c r="B213" s="598"/>
    </row>
    <row r="214" spans="2:2" hidden="1">
      <c r="B214" s="598"/>
    </row>
    <row r="215" spans="2:2" hidden="1">
      <c r="B215" s="598"/>
    </row>
    <row r="216" spans="2:2" hidden="1">
      <c r="B216" s="598"/>
    </row>
    <row r="217" spans="2:2" hidden="1">
      <c r="B217" s="598"/>
    </row>
    <row r="218" spans="2:2" hidden="1">
      <c r="B218" s="598"/>
    </row>
    <row r="219" spans="2:2" hidden="1">
      <c r="B219" s="598"/>
    </row>
    <row r="220" spans="2:2" hidden="1">
      <c r="B220" s="598"/>
    </row>
    <row r="221" spans="2:2" hidden="1">
      <c r="B221" s="598"/>
    </row>
    <row r="222" spans="2:2" hidden="1">
      <c r="B222" s="598"/>
    </row>
    <row r="223" spans="2:2" hidden="1">
      <c r="B223" s="598"/>
    </row>
    <row r="224" spans="2:2" hidden="1">
      <c r="B224" s="598"/>
    </row>
    <row r="225" spans="2:2" hidden="1">
      <c r="B225" s="598"/>
    </row>
    <row r="226" spans="2:2" hidden="1">
      <c r="B226" s="598"/>
    </row>
    <row r="227" spans="2:2" hidden="1">
      <c r="B227" s="598"/>
    </row>
    <row r="228" spans="2:2" hidden="1">
      <c r="B228" s="598"/>
    </row>
    <row r="229" spans="2:2" hidden="1">
      <c r="B229" s="598"/>
    </row>
    <row r="230" spans="2:2" hidden="1">
      <c r="B230" s="598"/>
    </row>
    <row r="231" spans="2:2" hidden="1">
      <c r="B231" s="598"/>
    </row>
    <row r="232" spans="2:2" hidden="1">
      <c r="B232" s="598"/>
    </row>
    <row r="233" spans="2:2" hidden="1">
      <c r="B233" s="598"/>
    </row>
    <row r="234" spans="2:2" hidden="1">
      <c r="B234" s="598"/>
    </row>
    <row r="235" spans="2:2" hidden="1">
      <c r="B235" s="598"/>
    </row>
    <row r="236" spans="2:2" hidden="1">
      <c r="B236" s="598"/>
    </row>
    <row r="237" spans="2:2" hidden="1">
      <c r="B237" s="598"/>
    </row>
    <row r="238" spans="2:2" hidden="1">
      <c r="B238" s="598"/>
    </row>
    <row r="239" spans="2:2" hidden="1">
      <c r="B239" s="598"/>
    </row>
    <row r="240" spans="2:2" hidden="1">
      <c r="B240" s="598"/>
    </row>
    <row r="241" spans="2:2" hidden="1">
      <c r="B241" s="598"/>
    </row>
    <row r="242" spans="2:2" hidden="1">
      <c r="B242" s="598"/>
    </row>
    <row r="243" spans="2:2" hidden="1">
      <c r="B243" s="598"/>
    </row>
    <row r="244" spans="2:2" hidden="1">
      <c r="B244" s="598"/>
    </row>
    <row r="245" spans="2:2" hidden="1">
      <c r="B245" s="598"/>
    </row>
    <row r="246" spans="2:2" hidden="1">
      <c r="B246" s="598"/>
    </row>
    <row r="247" spans="2:2" hidden="1">
      <c r="B247" s="598"/>
    </row>
    <row r="248" spans="2:2" hidden="1">
      <c r="B248" s="598"/>
    </row>
    <row r="249" spans="2:2" hidden="1">
      <c r="B249" s="598"/>
    </row>
    <row r="250" spans="2:2" hidden="1">
      <c r="B250" s="598"/>
    </row>
    <row r="251" spans="2:2" hidden="1">
      <c r="B251" s="598"/>
    </row>
    <row r="252" spans="2:2" hidden="1">
      <c r="B252" s="598"/>
    </row>
    <row r="253" spans="2:2" hidden="1">
      <c r="B253" s="598"/>
    </row>
    <row r="254" spans="2:2" hidden="1">
      <c r="B254" s="598"/>
    </row>
    <row r="255" spans="2:2" hidden="1">
      <c r="B255" s="598"/>
    </row>
    <row r="256" spans="2:2" hidden="1">
      <c r="B256" s="598"/>
    </row>
    <row r="257" spans="2:2" hidden="1">
      <c r="B257" s="598"/>
    </row>
    <row r="258" spans="2:2" hidden="1">
      <c r="B258" s="598"/>
    </row>
    <row r="259" spans="2:2" hidden="1">
      <c r="B259" s="598"/>
    </row>
    <row r="260" spans="2:2" hidden="1">
      <c r="B260" s="598"/>
    </row>
    <row r="261" spans="2:2" hidden="1">
      <c r="B261" s="598"/>
    </row>
    <row r="262" spans="2:2" hidden="1">
      <c r="B262" s="598"/>
    </row>
    <row r="263" spans="2:2" hidden="1">
      <c r="B263" s="598"/>
    </row>
    <row r="264" spans="2:2" hidden="1">
      <c r="B264" s="598"/>
    </row>
    <row r="265" spans="2:2" hidden="1">
      <c r="B265" s="598"/>
    </row>
    <row r="266" spans="2:2" hidden="1">
      <c r="B266" s="598"/>
    </row>
    <row r="267" spans="2:2" hidden="1">
      <c r="B267" s="598"/>
    </row>
    <row r="268" spans="2:2" hidden="1">
      <c r="B268" s="598"/>
    </row>
    <row r="269" spans="2:2" hidden="1">
      <c r="B269" s="598"/>
    </row>
    <row r="270" spans="2:2" hidden="1">
      <c r="B270" s="598"/>
    </row>
  </sheetData>
  <mergeCells count="43">
    <mergeCell ref="AA17:AC17"/>
    <mergeCell ref="AA14:AC14"/>
    <mergeCell ref="AA15:AC15"/>
    <mergeCell ref="AA16:AC16"/>
    <mergeCell ref="AA27:AC27"/>
    <mergeCell ref="AA18:AC18"/>
    <mergeCell ref="AA19:AC19"/>
    <mergeCell ref="AA20:AC20"/>
    <mergeCell ref="AA21:AC21"/>
    <mergeCell ref="AA22:AC22"/>
    <mergeCell ref="AA23:AC23"/>
    <mergeCell ref="AA24:AC24"/>
    <mergeCell ref="AA25:AC25"/>
    <mergeCell ref="AA26:AC26"/>
    <mergeCell ref="S44:U44"/>
    <mergeCell ref="AA35:AC35"/>
    <mergeCell ref="AA28:AC28"/>
    <mergeCell ref="AA29:AC29"/>
    <mergeCell ref="AA30:AC30"/>
    <mergeCell ref="AA31:AC31"/>
    <mergeCell ref="AA33:AC33"/>
    <mergeCell ref="AA40:AC40"/>
    <mergeCell ref="AA41:AC41"/>
    <mergeCell ref="AA36:AC36"/>
    <mergeCell ref="AA37:AC37"/>
    <mergeCell ref="AA38:AC38"/>
    <mergeCell ref="AA39:AC39"/>
    <mergeCell ref="AA32:AC32"/>
    <mergeCell ref="AA34:AC34"/>
    <mergeCell ref="B1:AF1"/>
    <mergeCell ref="AA11:AC11"/>
    <mergeCell ref="AA13:AC13"/>
    <mergeCell ref="AA12:AC12"/>
    <mergeCell ref="AA7:AC7"/>
    <mergeCell ref="AA8:AC8"/>
    <mergeCell ref="AA9:AC9"/>
    <mergeCell ref="AA6:AC6"/>
    <mergeCell ref="AA10:AC10"/>
    <mergeCell ref="S5:U5"/>
    <mergeCell ref="AF5:AG6"/>
    <mergeCell ref="F5:G6"/>
    <mergeCell ref="N5:O6"/>
    <mergeCell ref="Y5:Y6"/>
  </mergeCells>
  <phoneticPr fontId="17" type="noConversion"/>
  <conditionalFormatting sqref="R47">
    <cfRule type="expression" dxfId="265" priority="1" stopIfTrue="1">
      <formula>OR(ISTEXT($S$47),ISTEXT($T$47),ISTEXT($U$47))</formula>
    </cfRule>
  </conditionalFormatting>
  <conditionalFormatting sqref="R46">
    <cfRule type="expression" dxfId="264" priority="2" stopIfTrue="1">
      <formula>OR(ISTEXT($S$46),ISTEXT($T$46),ISTEXT($U$46))</formula>
    </cfRule>
  </conditionalFormatting>
  <conditionalFormatting sqref="R48">
    <cfRule type="expression" dxfId="263" priority="3" stopIfTrue="1">
      <formula>OR(ISTEXT($S$48),ISTEXT($T$48),ISTEXT($U$48))</formula>
    </cfRule>
  </conditionalFormatting>
  <conditionalFormatting sqref="R49">
    <cfRule type="expression" dxfId="262" priority="4" stopIfTrue="1">
      <formula>OR(ISTEXT($S$49),ISTEXT($T$49),ISTEXT($U$49))</formula>
    </cfRule>
  </conditionalFormatting>
  <conditionalFormatting sqref="R50">
    <cfRule type="expression" dxfId="261" priority="5" stopIfTrue="1">
      <formula>OR(ISTEXT($S$50),ISTEXT($T$50),ISTEXT($U$50))</formula>
    </cfRule>
  </conditionalFormatting>
  <conditionalFormatting sqref="R51">
    <cfRule type="expression" dxfId="260" priority="6" stopIfTrue="1">
      <formula>OR(ISTEXT($S$51),ISTEXT($T$51),ISTEXT($U$51))</formula>
    </cfRule>
  </conditionalFormatting>
  <conditionalFormatting sqref="C7:C8 C10:C16 C66:C67 C33 C35 K7:K53 C69 C37:C39 C41:C64 C31 C18:C28">
    <cfRule type="cellIs" dxfId="259" priority="7" stopIfTrue="1" operator="equal">
      <formula>"Y"</formula>
    </cfRule>
  </conditionalFormatting>
  <conditionalFormatting sqref="B32">
    <cfRule type="expression" dxfId="258" priority="8" stopIfTrue="1">
      <formula>$D$32="Y"</formula>
    </cfRule>
  </conditionalFormatting>
  <conditionalFormatting sqref="B7">
    <cfRule type="expression" dxfId="257" priority="9" stopIfTrue="1">
      <formula>$D$7="Y"</formula>
    </cfRule>
  </conditionalFormatting>
  <conditionalFormatting sqref="B8">
    <cfRule type="expression" dxfId="256" priority="10" stopIfTrue="1">
      <formula>$D$8="Y"</formula>
    </cfRule>
  </conditionalFormatting>
  <conditionalFormatting sqref="B9">
    <cfRule type="expression" dxfId="255" priority="11" stopIfTrue="1">
      <formula>$D$9="Y"</formula>
    </cfRule>
  </conditionalFormatting>
  <conditionalFormatting sqref="B10">
    <cfRule type="expression" dxfId="254" priority="12" stopIfTrue="1">
      <formula>$D$10="Y"</formula>
    </cfRule>
  </conditionalFormatting>
  <conditionalFormatting sqref="B11">
    <cfRule type="expression" dxfId="253" priority="13" stopIfTrue="1">
      <formula>$D$11="Y"</formula>
    </cfRule>
  </conditionalFormatting>
  <conditionalFormatting sqref="B12">
    <cfRule type="expression" dxfId="252" priority="14" stopIfTrue="1">
      <formula>$D$12="Y"</formula>
    </cfRule>
  </conditionalFormatting>
  <conditionalFormatting sqref="B13">
    <cfRule type="expression" dxfId="251" priority="15" stopIfTrue="1">
      <formula>$D$13="Y"</formula>
    </cfRule>
  </conditionalFormatting>
  <conditionalFormatting sqref="B14">
    <cfRule type="expression" dxfId="250" priority="16" stopIfTrue="1">
      <formula>$D$14="Y"</formula>
    </cfRule>
  </conditionalFormatting>
  <conditionalFormatting sqref="B15">
    <cfRule type="expression" dxfId="249" priority="17" stopIfTrue="1">
      <formula>$D$15="Y"</formula>
    </cfRule>
  </conditionalFormatting>
  <conditionalFormatting sqref="B16">
    <cfRule type="expression" dxfId="248" priority="18" stopIfTrue="1">
      <formula>$D$16="Y"</formula>
    </cfRule>
  </conditionalFormatting>
  <conditionalFormatting sqref="B17">
    <cfRule type="expression" dxfId="247" priority="19" stopIfTrue="1">
      <formula>$D$17="Y"</formula>
    </cfRule>
  </conditionalFormatting>
  <conditionalFormatting sqref="B18">
    <cfRule type="expression" dxfId="246" priority="20" stopIfTrue="1">
      <formula>$D$18="Y"</formula>
    </cfRule>
  </conditionalFormatting>
  <conditionalFormatting sqref="B19">
    <cfRule type="expression" dxfId="245" priority="21" stopIfTrue="1">
      <formula>$D$19="Y"</formula>
    </cfRule>
  </conditionalFormatting>
  <conditionalFormatting sqref="B20">
    <cfRule type="expression" dxfId="244" priority="22" stopIfTrue="1">
      <formula>$D$20="Y"</formula>
    </cfRule>
  </conditionalFormatting>
  <conditionalFormatting sqref="B21">
    <cfRule type="expression" dxfId="243" priority="23" stopIfTrue="1">
      <formula>$D$21="Y"</formula>
    </cfRule>
  </conditionalFormatting>
  <conditionalFormatting sqref="B22">
    <cfRule type="expression" dxfId="242" priority="24" stopIfTrue="1">
      <formula>$D$22="Y"</formula>
    </cfRule>
  </conditionalFormatting>
  <conditionalFormatting sqref="B23">
    <cfRule type="expression" dxfId="241" priority="25" stopIfTrue="1">
      <formula>$D$23="Y"</formula>
    </cfRule>
  </conditionalFormatting>
  <conditionalFormatting sqref="B24">
    <cfRule type="expression" dxfId="240" priority="26" stopIfTrue="1">
      <formula>$D$24="Y"</formula>
    </cfRule>
  </conditionalFormatting>
  <conditionalFormatting sqref="B25">
    <cfRule type="expression" dxfId="239" priority="27" stopIfTrue="1">
      <formula>$D$25="Y"</formula>
    </cfRule>
  </conditionalFormatting>
  <conditionalFormatting sqref="B26">
    <cfRule type="expression" dxfId="238" priority="28" stopIfTrue="1">
      <formula>$D$26="Y"</formula>
    </cfRule>
  </conditionalFormatting>
  <conditionalFormatting sqref="B27">
    <cfRule type="expression" dxfId="237" priority="29" stopIfTrue="1">
      <formula>$D$27="Y"</formula>
    </cfRule>
  </conditionalFormatting>
  <conditionalFormatting sqref="B28">
    <cfRule type="expression" dxfId="236" priority="30" stopIfTrue="1">
      <formula>$D$28="Y"</formula>
    </cfRule>
  </conditionalFormatting>
  <conditionalFormatting sqref="B29">
    <cfRule type="expression" dxfId="235" priority="31" stopIfTrue="1">
      <formula>$D$29="Y"</formula>
    </cfRule>
  </conditionalFormatting>
  <conditionalFormatting sqref="B30">
    <cfRule type="expression" dxfId="234" priority="32" stopIfTrue="1">
      <formula>$D$30="Y"</formula>
    </cfRule>
  </conditionalFormatting>
  <conditionalFormatting sqref="B31">
    <cfRule type="expression" dxfId="233" priority="33" stopIfTrue="1">
      <formula>$D$31="Y"</formula>
    </cfRule>
  </conditionalFormatting>
  <conditionalFormatting sqref="B33">
    <cfRule type="expression" dxfId="232" priority="34" stopIfTrue="1">
      <formula>$D$33="Y"</formula>
    </cfRule>
  </conditionalFormatting>
  <conditionalFormatting sqref="B34">
    <cfRule type="expression" dxfId="231" priority="35" stopIfTrue="1">
      <formula>$D$34="Y"</formula>
    </cfRule>
  </conditionalFormatting>
  <conditionalFormatting sqref="B35">
    <cfRule type="expression" dxfId="230" priority="36" stopIfTrue="1">
      <formula>$D$35="Y"</formula>
    </cfRule>
  </conditionalFormatting>
  <conditionalFormatting sqref="B36">
    <cfRule type="expression" dxfId="229" priority="37" stopIfTrue="1">
      <formula>$D$36="Y"</formula>
    </cfRule>
  </conditionalFormatting>
  <conditionalFormatting sqref="B37">
    <cfRule type="expression" dxfId="228" priority="38" stopIfTrue="1">
      <formula>$D$37="Y"</formula>
    </cfRule>
  </conditionalFormatting>
  <conditionalFormatting sqref="B38">
    <cfRule type="expression" dxfId="227" priority="39" stopIfTrue="1">
      <formula>$D$38="Y"</formula>
    </cfRule>
  </conditionalFormatting>
  <conditionalFormatting sqref="B39">
    <cfRule type="expression" dxfId="226" priority="40" stopIfTrue="1">
      <formula>$D$39="Y"</formula>
    </cfRule>
  </conditionalFormatting>
  <conditionalFormatting sqref="B40">
    <cfRule type="expression" dxfId="225" priority="41" stopIfTrue="1">
      <formula>$D$40="Y"</formula>
    </cfRule>
  </conditionalFormatting>
  <conditionalFormatting sqref="B41">
    <cfRule type="expression" dxfId="224" priority="42" stopIfTrue="1">
      <formula>$D$41="Y"</formula>
    </cfRule>
  </conditionalFormatting>
  <conditionalFormatting sqref="B42">
    <cfRule type="expression" dxfId="223" priority="43" stopIfTrue="1">
      <formula>$D$42="Y"</formula>
    </cfRule>
  </conditionalFormatting>
  <conditionalFormatting sqref="B43">
    <cfRule type="expression" dxfId="222" priority="44" stopIfTrue="1">
      <formula>$D$43="Y"</formula>
    </cfRule>
  </conditionalFormatting>
  <conditionalFormatting sqref="B44">
    <cfRule type="expression" dxfId="221" priority="45" stopIfTrue="1">
      <formula>$D$44="Y"</formula>
    </cfRule>
  </conditionalFormatting>
  <conditionalFormatting sqref="B45">
    <cfRule type="expression" dxfId="220" priority="46" stopIfTrue="1">
      <formula>$D$45="Y"</formula>
    </cfRule>
  </conditionalFormatting>
  <conditionalFormatting sqref="B46">
    <cfRule type="expression" dxfId="219" priority="47" stopIfTrue="1">
      <formula>$D$46="Y"</formula>
    </cfRule>
  </conditionalFormatting>
  <conditionalFormatting sqref="B47">
    <cfRule type="expression" dxfId="218" priority="48" stopIfTrue="1">
      <formula>$D$47="Y"</formula>
    </cfRule>
  </conditionalFormatting>
  <conditionalFormatting sqref="B48">
    <cfRule type="expression" dxfId="217" priority="49" stopIfTrue="1">
      <formula>$D$48="Y"</formula>
    </cfRule>
  </conditionalFormatting>
  <conditionalFormatting sqref="B49">
    <cfRule type="expression" dxfId="216" priority="50" stopIfTrue="1">
      <formula>$D$49="Y"</formula>
    </cfRule>
  </conditionalFormatting>
  <conditionalFormatting sqref="B50">
    <cfRule type="expression" dxfId="215" priority="51" stopIfTrue="1">
      <formula>$D$50="Y"</formula>
    </cfRule>
  </conditionalFormatting>
  <conditionalFormatting sqref="B51">
    <cfRule type="expression" dxfId="214" priority="52" stopIfTrue="1">
      <formula>$D$51="Y"</formula>
    </cfRule>
  </conditionalFormatting>
  <conditionalFormatting sqref="B52">
    <cfRule type="expression" dxfId="213" priority="53" stopIfTrue="1">
      <formula>$D$52="Y"</formula>
    </cfRule>
  </conditionalFormatting>
  <conditionalFormatting sqref="B53">
    <cfRule type="expression" dxfId="212" priority="54" stopIfTrue="1">
      <formula>$D$53="Y"</formula>
    </cfRule>
  </conditionalFormatting>
  <conditionalFormatting sqref="B54">
    <cfRule type="expression" dxfId="211" priority="55" stopIfTrue="1">
      <formula>$D$54="Y"</formula>
    </cfRule>
  </conditionalFormatting>
  <conditionalFormatting sqref="B55">
    <cfRule type="expression" dxfId="210" priority="56" stopIfTrue="1">
      <formula>$D$55="Y"</formula>
    </cfRule>
  </conditionalFormatting>
  <conditionalFormatting sqref="B56">
    <cfRule type="expression" dxfId="209" priority="57" stopIfTrue="1">
      <formula>$D$56="Y"</formula>
    </cfRule>
  </conditionalFormatting>
  <conditionalFormatting sqref="B57">
    <cfRule type="expression" dxfId="208" priority="58" stopIfTrue="1">
      <formula>$D$57="Y"</formula>
    </cfRule>
  </conditionalFormatting>
  <conditionalFormatting sqref="B58">
    <cfRule type="expression" dxfId="207" priority="59" stopIfTrue="1">
      <formula>$D$58="Y"</formula>
    </cfRule>
  </conditionalFormatting>
  <conditionalFormatting sqref="B59">
    <cfRule type="expression" dxfId="206" priority="60" stopIfTrue="1">
      <formula>$D$59="Y"</formula>
    </cfRule>
  </conditionalFormatting>
  <conditionalFormatting sqref="B60">
    <cfRule type="expression" dxfId="205" priority="61" stopIfTrue="1">
      <formula>$D$60="Y"</formula>
    </cfRule>
  </conditionalFormatting>
  <conditionalFormatting sqref="B61">
    <cfRule type="expression" dxfId="204" priority="62" stopIfTrue="1">
      <formula>$D$61="Y"</formula>
    </cfRule>
  </conditionalFormatting>
  <conditionalFormatting sqref="B62">
    <cfRule type="expression" dxfId="203" priority="63" stopIfTrue="1">
      <formula>$D$62="Y"</formula>
    </cfRule>
  </conditionalFormatting>
  <conditionalFormatting sqref="B63">
    <cfRule type="expression" dxfId="202" priority="64" stopIfTrue="1">
      <formula>$D$63="Y"</formula>
    </cfRule>
  </conditionalFormatting>
  <conditionalFormatting sqref="B64">
    <cfRule type="expression" dxfId="201" priority="65" stopIfTrue="1">
      <formula>$D$64="Y"</formula>
    </cfRule>
  </conditionalFormatting>
  <conditionalFormatting sqref="B65">
    <cfRule type="expression" dxfId="200" priority="66" stopIfTrue="1">
      <formula>$D$65="Y"</formula>
    </cfRule>
  </conditionalFormatting>
  <conditionalFormatting sqref="B66">
    <cfRule type="expression" dxfId="199" priority="67" stopIfTrue="1">
      <formula>$D$66="Y"</formula>
    </cfRule>
  </conditionalFormatting>
  <conditionalFormatting sqref="B67">
    <cfRule type="expression" dxfId="198" priority="68" stopIfTrue="1">
      <formula>$D$67="Y"</formula>
    </cfRule>
  </conditionalFormatting>
  <conditionalFormatting sqref="B68">
    <cfRule type="expression" dxfId="197" priority="69" stopIfTrue="1">
      <formula>$D$68="Y"</formula>
    </cfRule>
  </conditionalFormatting>
  <conditionalFormatting sqref="B69">
    <cfRule type="expression" dxfId="196" priority="70" stopIfTrue="1">
      <formula>$D$69="Y"</formula>
    </cfRule>
  </conditionalFormatting>
  <conditionalFormatting sqref="R41">
    <cfRule type="expression" dxfId="195" priority="71" stopIfTrue="1">
      <formula>OR(ISTEXT($S$41),ISTEXT($T$41),ISTEXT($U$41))</formula>
    </cfRule>
  </conditionalFormatting>
  <conditionalFormatting sqref="R7">
    <cfRule type="expression" dxfId="194" priority="72" stopIfTrue="1">
      <formula>OR(ISTEXT($S$7),ISTEXT($T$7),ISTEXT($U$7))</formula>
    </cfRule>
  </conditionalFormatting>
  <conditionalFormatting sqref="R8">
    <cfRule type="expression" dxfId="193" priority="73" stopIfTrue="1">
      <formula>OR(ISTEXT($S$8),ISTEXT($T$8),ISTEXT($U$8))</formula>
    </cfRule>
  </conditionalFormatting>
  <conditionalFormatting sqref="R9">
    <cfRule type="expression" dxfId="192" priority="74" stopIfTrue="1">
      <formula>OR(ISTEXT($S$9),ISTEXT($T$9),ISTEXT($U$9))</formula>
    </cfRule>
  </conditionalFormatting>
  <conditionalFormatting sqref="R10">
    <cfRule type="expression" dxfId="191" priority="75" stopIfTrue="1">
      <formula>OR(ISTEXT($S$10),ISTEXT($T$10),ISTEXT($U$10))</formula>
    </cfRule>
  </conditionalFormatting>
  <conditionalFormatting sqref="R11">
    <cfRule type="expression" dxfId="190" priority="76" stopIfTrue="1">
      <formula>OR(ISTEXT($S$11),ISTEXT($T$11),ISTEXT($U$11))</formula>
    </cfRule>
  </conditionalFormatting>
  <conditionalFormatting sqref="R12">
    <cfRule type="expression" dxfId="189" priority="77" stopIfTrue="1">
      <formula>OR(ISTEXT($S$12),ISTEXT($T$12),ISTEXT($U$12))</formula>
    </cfRule>
  </conditionalFormatting>
  <conditionalFormatting sqref="R13">
    <cfRule type="expression" dxfId="188" priority="78" stopIfTrue="1">
      <formula>OR(ISTEXT($S$13),ISTEXT($T$13),ISTEXT($U$13))</formula>
    </cfRule>
  </conditionalFormatting>
  <conditionalFormatting sqref="R14">
    <cfRule type="expression" dxfId="187" priority="79" stopIfTrue="1">
      <formula>OR(ISTEXT($S$14),ISTEXT($T$14),ISTEXT($U$14))</formula>
    </cfRule>
  </conditionalFormatting>
  <conditionalFormatting sqref="R15">
    <cfRule type="expression" dxfId="186" priority="80" stopIfTrue="1">
      <formula>OR(ISTEXT($S$15),ISTEXT($T$15),ISTEXT($U$15))</formula>
    </cfRule>
  </conditionalFormatting>
  <conditionalFormatting sqref="R16">
    <cfRule type="expression" dxfId="185" priority="81" stopIfTrue="1">
      <formula>OR(ISTEXT($S$16),ISTEXT($T$16),ISTEXT($U$16))</formula>
    </cfRule>
  </conditionalFormatting>
  <conditionalFormatting sqref="R17">
    <cfRule type="expression" dxfId="184" priority="82" stopIfTrue="1">
      <formula>OR(ISTEXT($S$17),ISTEXT($T$17),ISTEXT($U$17))</formula>
    </cfRule>
  </conditionalFormatting>
  <conditionalFormatting sqref="R18">
    <cfRule type="expression" dxfId="183" priority="83" stopIfTrue="1">
      <formula>OR(ISTEXT($S$18),ISTEXT($T$18),ISTEXT($U$18))</formula>
    </cfRule>
  </conditionalFormatting>
  <conditionalFormatting sqref="R19">
    <cfRule type="expression" dxfId="182" priority="84" stopIfTrue="1">
      <formula>OR(ISTEXT($S$19),ISTEXT($T$19),ISTEXT($U$19))</formula>
    </cfRule>
  </conditionalFormatting>
  <conditionalFormatting sqref="R20">
    <cfRule type="expression" dxfId="181" priority="85" stopIfTrue="1">
      <formula>OR(ISTEXT($S$20),ISTEXT($T$20),ISTEXT($U$20))</formula>
    </cfRule>
  </conditionalFormatting>
  <conditionalFormatting sqref="R21">
    <cfRule type="expression" dxfId="180" priority="86" stopIfTrue="1">
      <formula>OR(ISTEXT($S$21),ISTEXT($T$21),ISTEXT($U$21))</formula>
    </cfRule>
  </conditionalFormatting>
  <conditionalFormatting sqref="R22">
    <cfRule type="expression" dxfId="179" priority="87" stopIfTrue="1">
      <formula>OR(ISTEXT($S$22),ISTEXT($T$22),ISTEXT($U$22))</formula>
    </cfRule>
  </conditionalFormatting>
  <conditionalFormatting sqref="R23">
    <cfRule type="expression" dxfId="178" priority="88" stopIfTrue="1">
      <formula>OR(ISTEXT($S$23),ISTEXT($T$23),ISTEXT($U$23))</formula>
    </cfRule>
  </conditionalFormatting>
  <conditionalFormatting sqref="R24">
    <cfRule type="expression" dxfId="177" priority="89" stopIfTrue="1">
      <formula>OR(ISTEXT($S$24),ISTEXT($T$24),ISTEXT($U$24))</formula>
    </cfRule>
  </conditionalFormatting>
  <conditionalFormatting sqref="R25">
    <cfRule type="expression" dxfId="176" priority="90" stopIfTrue="1">
      <formula>OR(ISTEXT($S$25),ISTEXT($T$25),ISTEXT($U$25))</formula>
    </cfRule>
  </conditionalFormatting>
  <conditionalFormatting sqref="R26">
    <cfRule type="expression" dxfId="175" priority="91" stopIfTrue="1">
      <formula>OR(ISTEXT($S$26),ISTEXT($T$26),ISTEXT($U$26))</formula>
    </cfRule>
  </conditionalFormatting>
  <conditionalFormatting sqref="R27">
    <cfRule type="expression" dxfId="174" priority="92" stopIfTrue="1">
      <formula>OR(ISTEXT($S$27),ISTEXT($T$27),ISTEXT($U$27))</formula>
    </cfRule>
  </conditionalFormatting>
  <conditionalFormatting sqref="R28">
    <cfRule type="expression" dxfId="173" priority="93" stopIfTrue="1">
      <formula>OR(ISTEXT($S$28),ISTEXT($T$28),ISTEXT($U$28))</formula>
    </cfRule>
  </conditionalFormatting>
  <conditionalFormatting sqref="R29">
    <cfRule type="expression" dxfId="172" priority="94" stopIfTrue="1">
      <formula>OR(ISTEXT($S$29),ISTEXT($T$29),ISTEXT($U$29))</formula>
    </cfRule>
  </conditionalFormatting>
  <conditionalFormatting sqref="R30">
    <cfRule type="expression" dxfId="171" priority="95" stopIfTrue="1">
      <formula>OR(ISTEXT($S$30),ISTEXT($T$30),ISTEXT($U$30))</formula>
    </cfRule>
  </conditionalFormatting>
  <conditionalFormatting sqref="R31">
    <cfRule type="expression" dxfId="170" priority="96" stopIfTrue="1">
      <formula>OR(ISTEXT($S$31),ISTEXT($T$31),ISTEXT($U$31))</formula>
    </cfRule>
  </conditionalFormatting>
  <conditionalFormatting sqref="R32">
    <cfRule type="expression" dxfId="169" priority="97" stopIfTrue="1">
      <formula>OR(ISTEXT($S$32),ISTEXT($T$32),ISTEXT($U$32))</formula>
    </cfRule>
  </conditionalFormatting>
  <conditionalFormatting sqref="R33">
    <cfRule type="expression" dxfId="168" priority="98" stopIfTrue="1">
      <formula>OR(ISTEXT($S$33),ISTEXT($T$33),ISTEXT($U$33))</formula>
    </cfRule>
  </conditionalFormatting>
  <conditionalFormatting sqref="R34">
    <cfRule type="expression" dxfId="167" priority="99" stopIfTrue="1">
      <formula>OR(ISTEXT($S$34),ISTEXT($T$34),ISTEXT($U$34))</formula>
    </cfRule>
  </conditionalFormatting>
  <conditionalFormatting sqref="R35">
    <cfRule type="expression" dxfId="166" priority="100" stopIfTrue="1">
      <formula>OR(ISTEXT($S$35),ISTEXT($T$35),ISTEXT($U$35))</formula>
    </cfRule>
  </conditionalFormatting>
  <conditionalFormatting sqref="R36">
    <cfRule type="expression" dxfId="165" priority="101" stopIfTrue="1">
      <formula>OR(ISTEXT($S$36),ISTEXT($T$36),ISTEXT($U$36))</formula>
    </cfRule>
  </conditionalFormatting>
  <conditionalFormatting sqref="R37">
    <cfRule type="expression" dxfId="164" priority="102" stopIfTrue="1">
      <formula>OR(ISTEXT($S$37),ISTEXT($T$37),ISTEXT($U$37))</formula>
    </cfRule>
  </conditionalFormatting>
  <conditionalFormatting sqref="R38">
    <cfRule type="expression" dxfId="163" priority="103" stopIfTrue="1">
      <formula>OR(ISTEXT($S$38),ISTEXT($T$38),ISTEXT($U$38))</formula>
    </cfRule>
  </conditionalFormatting>
  <conditionalFormatting sqref="R39">
    <cfRule type="expression" dxfId="162" priority="104" stopIfTrue="1">
      <formula>OR(ISTEXT($S$39),ISTEXT($T$39),ISTEXT($U$39))</formula>
    </cfRule>
  </conditionalFormatting>
  <conditionalFormatting sqref="R40">
    <cfRule type="expression" dxfId="161" priority="105" stopIfTrue="1">
      <formula>OR(ISTEXT($S$40),ISTEXT($T$40),ISTEXT($U$40))</formula>
    </cfRule>
  </conditionalFormatting>
  <conditionalFormatting sqref="AA7:AC7">
    <cfRule type="expression" dxfId="160" priority="106" stopIfTrue="1">
      <formula>$AE$7="Y"</formula>
    </cfRule>
  </conditionalFormatting>
  <conditionalFormatting sqref="AA22:AC22">
    <cfRule type="expression" dxfId="159" priority="107" stopIfTrue="1">
      <formula>$AE$22&gt;0</formula>
    </cfRule>
  </conditionalFormatting>
  <conditionalFormatting sqref="AA23:AC23">
    <cfRule type="expression" dxfId="158" priority="108" stopIfTrue="1">
      <formula>$AE$23&gt;0</formula>
    </cfRule>
  </conditionalFormatting>
  <conditionalFormatting sqref="AA24:AC24">
    <cfRule type="expression" dxfId="157" priority="109" stopIfTrue="1">
      <formula>$AE$24&gt;0</formula>
    </cfRule>
  </conditionalFormatting>
  <conditionalFormatting sqref="AA8:AC8">
    <cfRule type="expression" dxfId="156" priority="110" stopIfTrue="1">
      <formula>$AE$8="Y"</formula>
    </cfRule>
  </conditionalFormatting>
  <conditionalFormatting sqref="AA9:AC9">
    <cfRule type="expression" dxfId="155" priority="111" stopIfTrue="1">
      <formula>$AE$9="Y"</formula>
    </cfRule>
  </conditionalFormatting>
  <conditionalFormatting sqref="AA10:AC10">
    <cfRule type="expression" dxfId="154" priority="112" stopIfTrue="1">
      <formula>$AE$10="Y"</formula>
    </cfRule>
  </conditionalFormatting>
  <conditionalFormatting sqref="AA11:AC11">
    <cfRule type="expression" dxfId="153" priority="113" stopIfTrue="1">
      <formula>$AE$11="Y"</formula>
    </cfRule>
  </conditionalFormatting>
  <conditionalFormatting sqref="AA12:AC12">
    <cfRule type="expression" dxfId="152" priority="114" stopIfTrue="1">
      <formula>$AE$12="Y"</formula>
    </cfRule>
  </conditionalFormatting>
  <conditionalFormatting sqref="AA13:AC13">
    <cfRule type="expression" dxfId="151" priority="115" stopIfTrue="1">
      <formula>$AE$13="Y"</formula>
    </cfRule>
  </conditionalFormatting>
  <conditionalFormatting sqref="AA14:AC14">
    <cfRule type="expression" dxfId="150" priority="116" stopIfTrue="1">
      <formula>$AE$14="Y"</formula>
    </cfRule>
  </conditionalFormatting>
  <conditionalFormatting sqref="AA15:AC15">
    <cfRule type="expression" dxfId="149" priority="117" stopIfTrue="1">
      <formula>$AE$15="Y"</formula>
    </cfRule>
  </conditionalFormatting>
  <conditionalFormatting sqref="AA16:AC16">
    <cfRule type="expression" dxfId="148" priority="118" stopIfTrue="1">
      <formula>$AE$16="Y"</formula>
    </cfRule>
  </conditionalFormatting>
  <conditionalFormatting sqref="AA17:AC17">
    <cfRule type="expression" dxfId="147" priority="119" stopIfTrue="1">
      <formula>$AE$17="Y"</formula>
    </cfRule>
  </conditionalFormatting>
  <conditionalFormatting sqref="AA18:AC18">
    <cfRule type="expression" dxfId="146" priority="120" stopIfTrue="1">
      <formula>$AE$18="Y"</formula>
    </cfRule>
  </conditionalFormatting>
  <conditionalFormatting sqref="AA19:AC19">
    <cfRule type="expression" dxfId="145" priority="121" stopIfTrue="1">
      <formula>$AE$19="Y"</formula>
    </cfRule>
  </conditionalFormatting>
  <conditionalFormatting sqref="AA20:AC20">
    <cfRule type="expression" dxfId="144" priority="122" stopIfTrue="1">
      <formula>$AE$20="Y"</formula>
    </cfRule>
  </conditionalFormatting>
  <conditionalFormatting sqref="AA21:AC21">
    <cfRule type="expression" dxfId="143" priority="123" stopIfTrue="1">
      <formula>$AE$21="Y"</formula>
    </cfRule>
  </conditionalFormatting>
  <conditionalFormatting sqref="AA25:AC25">
    <cfRule type="expression" dxfId="142" priority="124" stopIfTrue="1">
      <formula>$AE$25="Y"</formula>
    </cfRule>
  </conditionalFormatting>
  <conditionalFormatting sqref="AA26:AC26">
    <cfRule type="expression" dxfId="141" priority="125" stopIfTrue="1">
      <formula>$AE$26="Y"</formula>
    </cfRule>
  </conditionalFormatting>
  <conditionalFormatting sqref="AA27:AC27">
    <cfRule type="expression" dxfId="140" priority="126" stopIfTrue="1">
      <formula>$AE$27="Y"</formula>
    </cfRule>
  </conditionalFormatting>
  <conditionalFormatting sqref="AA28:AC28">
    <cfRule type="expression" dxfId="139" priority="127" stopIfTrue="1">
      <formula>$AE$28="Y"</formula>
    </cfRule>
  </conditionalFormatting>
  <conditionalFormatting sqref="AA29:AC29">
    <cfRule type="expression" dxfId="138" priority="128" stopIfTrue="1">
      <formula>$AE$29="Y"</formula>
    </cfRule>
  </conditionalFormatting>
  <conditionalFormatting sqref="AA30:AC30">
    <cfRule type="expression" dxfId="137" priority="129" stopIfTrue="1">
      <formula>$AE$30="Y"</formula>
    </cfRule>
  </conditionalFormatting>
  <conditionalFormatting sqref="AA31:AC31">
    <cfRule type="expression" dxfId="136" priority="130" stopIfTrue="1">
      <formula>$AE$31="Y"</formula>
    </cfRule>
  </conditionalFormatting>
  <conditionalFormatting sqref="AA32:AC32">
    <cfRule type="expression" dxfId="135" priority="131" stopIfTrue="1">
      <formula>$AE$32="Y"</formula>
    </cfRule>
  </conditionalFormatting>
  <conditionalFormatting sqref="AA33:AC33">
    <cfRule type="expression" dxfId="134" priority="132" stopIfTrue="1">
      <formula>$AE$33="Y"</formula>
    </cfRule>
  </conditionalFormatting>
  <conditionalFormatting sqref="AA34:AC34">
    <cfRule type="expression" dxfId="133" priority="133" stopIfTrue="1">
      <formula>$AE$34="Y"</formula>
    </cfRule>
  </conditionalFormatting>
  <conditionalFormatting sqref="AA35:AC35">
    <cfRule type="expression" dxfId="132" priority="134" stopIfTrue="1">
      <formula>$AE$35="Y"</formula>
    </cfRule>
  </conditionalFormatting>
  <conditionalFormatting sqref="AA36:AC36">
    <cfRule type="expression" dxfId="131" priority="135" stopIfTrue="1">
      <formula>$AE$36="Y"</formula>
    </cfRule>
  </conditionalFormatting>
  <conditionalFormatting sqref="AA37:AC37">
    <cfRule type="expression" dxfId="130" priority="136" stopIfTrue="1">
      <formula>$AE$37="Y"</formula>
    </cfRule>
  </conditionalFormatting>
  <conditionalFormatting sqref="AA38:AC38">
    <cfRule type="expression" dxfId="129" priority="137" stopIfTrue="1">
      <formula>$AE$38="Y"</formula>
    </cfRule>
  </conditionalFormatting>
  <conditionalFormatting sqref="AA39:AC39">
    <cfRule type="expression" dxfId="128" priority="138" stopIfTrue="1">
      <formula>$AE$39="Y"</formula>
    </cfRule>
  </conditionalFormatting>
  <conditionalFormatting sqref="AA40:AC40">
    <cfRule type="expression" dxfId="127" priority="139" stopIfTrue="1">
      <formula>$AE$40="Y"</formula>
    </cfRule>
  </conditionalFormatting>
  <conditionalFormatting sqref="AA41:AC41">
    <cfRule type="expression" dxfId="126" priority="140" stopIfTrue="1">
      <formula>$AE$41="Y"</formula>
    </cfRule>
  </conditionalFormatting>
  <conditionalFormatting sqref="J7">
    <cfRule type="expression" dxfId="125" priority="141" stopIfTrue="1">
      <formula>$L$7="Y"</formula>
    </cfRule>
  </conditionalFormatting>
  <conditionalFormatting sqref="J30">
    <cfRule type="expression" dxfId="124" priority="142" stopIfTrue="1">
      <formula>$L$30&gt;0</formula>
    </cfRule>
  </conditionalFormatting>
  <conditionalFormatting sqref="J33">
    <cfRule type="expression" dxfId="123" priority="143" stopIfTrue="1">
      <formula>$L$33&gt;0</formula>
    </cfRule>
  </conditionalFormatting>
  <conditionalFormatting sqref="J36">
    <cfRule type="expression" dxfId="122" priority="144" stopIfTrue="1">
      <formula>$L$36&gt;0</formula>
    </cfRule>
  </conditionalFormatting>
  <conditionalFormatting sqref="J31">
    <cfRule type="expression" dxfId="121" priority="145" stopIfTrue="1">
      <formula>$L$31="Y"</formula>
    </cfRule>
  </conditionalFormatting>
  <conditionalFormatting sqref="J32">
    <cfRule type="expression" dxfId="120" priority="146" stopIfTrue="1">
      <formula>$L$32="Y"</formula>
    </cfRule>
  </conditionalFormatting>
  <conditionalFormatting sqref="J34">
    <cfRule type="expression" dxfId="119" priority="147" stopIfTrue="1">
      <formula>$L$34="Y"</formula>
    </cfRule>
  </conditionalFormatting>
  <conditionalFormatting sqref="J35">
    <cfRule type="expression" dxfId="118" priority="148" stopIfTrue="1">
      <formula>$L$35="Y"</formula>
    </cfRule>
  </conditionalFormatting>
  <conditionalFormatting sqref="J51">
    <cfRule type="expression" dxfId="117" priority="149" stopIfTrue="1">
      <formula>$L$51="Y"</formula>
    </cfRule>
  </conditionalFormatting>
  <conditionalFormatting sqref="J52">
    <cfRule type="expression" dxfId="116" priority="150" stopIfTrue="1">
      <formula>$L$52="Y"</formula>
    </cfRule>
  </conditionalFormatting>
  <conditionalFormatting sqref="J53">
    <cfRule type="expression" dxfId="115" priority="151" stopIfTrue="1">
      <formula>$L$53="Y"</formula>
    </cfRule>
  </conditionalFormatting>
  <conditionalFormatting sqref="J49">
    <cfRule type="expression" dxfId="114" priority="152" stopIfTrue="1">
      <formula>$L$49="Y"</formula>
    </cfRule>
  </conditionalFormatting>
  <conditionalFormatting sqref="J50">
    <cfRule type="expression" dxfId="113" priority="153" stopIfTrue="1">
      <formula>$L$50="Y"</formula>
    </cfRule>
  </conditionalFormatting>
  <conditionalFormatting sqref="J37">
    <cfRule type="expression" dxfId="112" priority="154" stopIfTrue="1">
      <formula>$L$37="Y"</formula>
    </cfRule>
  </conditionalFormatting>
  <conditionalFormatting sqref="J38">
    <cfRule type="expression" dxfId="111" priority="155" stopIfTrue="1">
      <formula>$L$38="Y"</formula>
    </cfRule>
  </conditionalFormatting>
  <conditionalFormatting sqref="J39">
    <cfRule type="expression" dxfId="110" priority="156" stopIfTrue="1">
      <formula>$L$39="Y"</formula>
    </cfRule>
  </conditionalFormatting>
  <conditionalFormatting sqref="J40">
    <cfRule type="expression" dxfId="109" priority="157" stopIfTrue="1">
      <formula>$L$40="Y"</formula>
    </cfRule>
  </conditionalFormatting>
  <conditionalFormatting sqref="J41">
    <cfRule type="expression" dxfId="108" priority="158" stopIfTrue="1">
      <formula>$L$41="Y"</formula>
    </cfRule>
  </conditionalFormatting>
  <conditionalFormatting sqref="J42">
    <cfRule type="expression" dxfId="107" priority="159" stopIfTrue="1">
      <formula>$L$42="Y"</formula>
    </cfRule>
  </conditionalFormatting>
  <conditionalFormatting sqref="J43">
    <cfRule type="expression" dxfId="106" priority="160" stopIfTrue="1">
      <formula>$L$43="Y"</formula>
    </cfRule>
  </conditionalFormatting>
  <conditionalFormatting sqref="J44">
    <cfRule type="expression" dxfId="105" priority="161" stopIfTrue="1">
      <formula>$L$44="Y"</formula>
    </cfRule>
  </conditionalFormatting>
  <conditionalFormatting sqref="J45">
    <cfRule type="expression" dxfId="104" priority="162" stopIfTrue="1">
      <formula>$L$45="Y"</formula>
    </cfRule>
  </conditionalFormatting>
  <conditionalFormatting sqref="J46">
    <cfRule type="expression" dxfId="103" priority="163" stopIfTrue="1">
      <formula>$L$46="Y"</formula>
    </cfRule>
  </conditionalFormatting>
  <conditionalFormatting sqref="J47">
    <cfRule type="expression" dxfId="102" priority="164" stopIfTrue="1">
      <formula>$L$47="Y"</formula>
    </cfRule>
  </conditionalFormatting>
  <conditionalFormatting sqref="J48">
    <cfRule type="expression" dxfId="101" priority="165" stopIfTrue="1">
      <formula>$L$48="Y"</formula>
    </cfRule>
  </conditionalFormatting>
  <conditionalFormatting sqref="J8">
    <cfRule type="expression" dxfId="100" priority="166" stopIfTrue="1">
      <formula>$L$8="Y"</formula>
    </cfRule>
  </conditionalFormatting>
  <conditionalFormatting sqref="J9">
    <cfRule type="expression" dxfId="99" priority="167" stopIfTrue="1">
      <formula>$L$9="Y"</formula>
    </cfRule>
  </conditionalFormatting>
  <conditionalFormatting sqref="J10">
    <cfRule type="expression" dxfId="98" priority="168" stopIfTrue="1">
      <formula>$L$10="Y"</formula>
    </cfRule>
  </conditionalFormatting>
  <conditionalFormatting sqref="J11">
    <cfRule type="expression" dxfId="97" priority="169" stopIfTrue="1">
      <formula>$L$11="Y"</formula>
    </cfRule>
  </conditionalFormatting>
  <conditionalFormatting sqref="J12">
    <cfRule type="expression" dxfId="96" priority="170" stopIfTrue="1">
      <formula>$L$12="Y"</formula>
    </cfRule>
  </conditionalFormatting>
  <conditionalFormatting sqref="J13">
    <cfRule type="expression" dxfId="95" priority="171" stopIfTrue="1">
      <formula>$L$13="Y"</formula>
    </cfRule>
  </conditionalFormatting>
  <conditionalFormatting sqref="J14">
    <cfRule type="expression" dxfId="94" priority="172" stopIfTrue="1">
      <formula>$L$14="Y"</formula>
    </cfRule>
  </conditionalFormatting>
  <conditionalFormatting sqref="J15">
    <cfRule type="expression" dxfId="93" priority="173" stopIfTrue="1">
      <formula>$L$15="Y"</formula>
    </cfRule>
  </conditionalFormatting>
  <conditionalFormatting sqref="J16">
    <cfRule type="expression" dxfId="92" priority="174" stopIfTrue="1">
      <formula>$L$16="Y"</formula>
    </cfRule>
  </conditionalFormatting>
  <conditionalFormatting sqref="J17">
    <cfRule type="expression" dxfId="91" priority="175" stopIfTrue="1">
      <formula>$L$17="Y"</formula>
    </cfRule>
  </conditionalFormatting>
  <conditionalFormatting sqref="J18">
    <cfRule type="expression" dxfId="90" priority="176" stopIfTrue="1">
      <formula>$L$18="Y"</formula>
    </cfRule>
  </conditionalFormatting>
  <conditionalFormatting sqref="J19">
    <cfRule type="expression" dxfId="89" priority="177" stopIfTrue="1">
      <formula>$L$19="Y"</formula>
    </cfRule>
  </conditionalFormatting>
  <conditionalFormatting sqref="J20">
    <cfRule type="expression" dxfId="88" priority="178" stopIfTrue="1">
      <formula>$L$20="Y"</formula>
    </cfRule>
  </conditionalFormatting>
  <conditionalFormatting sqref="J21">
    <cfRule type="expression" dxfId="87" priority="179" stopIfTrue="1">
      <formula>$L$21="Y"</formula>
    </cfRule>
  </conditionalFormatting>
  <conditionalFormatting sqref="J22">
    <cfRule type="expression" dxfId="86" priority="180" stopIfTrue="1">
      <formula>$L$22="Y"</formula>
    </cfRule>
  </conditionalFormatting>
  <conditionalFormatting sqref="J23">
    <cfRule type="expression" dxfId="85" priority="181" stopIfTrue="1">
      <formula>$L$23="Y"</formula>
    </cfRule>
  </conditionalFormatting>
  <conditionalFormatting sqref="J24">
    <cfRule type="expression" dxfId="84" priority="182" stopIfTrue="1">
      <formula>$L$24="Y"</formula>
    </cfRule>
  </conditionalFormatting>
  <conditionalFormatting sqref="J25">
    <cfRule type="expression" dxfId="83" priority="183" stopIfTrue="1">
      <formula>$L$25="Y"</formula>
    </cfRule>
  </conditionalFormatting>
  <conditionalFormatting sqref="J26">
    <cfRule type="expression" dxfId="82" priority="184" stopIfTrue="1">
      <formula>$L$26="Y"</formula>
    </cfRule>
  </conditionalFormatting>
  <conditionalFormatting sqref="J27">
    <cfRule type="expression" dxfId="81" priority="185" stopIfTrue="1">
      <formula>$L$27="Y"</formula>
    </cfRule>
  </conditionalFormatting>
  <conditionalFormatting sqref="J28">
    <cfRule type="expression" dxfId="80" priority="186" stopIfTrue="1">
      <formula>$L$28="Y"</formula>
    </cfRule>
  </conditionalFormatting>
  <conditionalFormatting sqref="J29">
    <cfRule type="expression" dxfId="79" priority="187" stopIfTrue="1">
      <formula>$L$29="Y"</formula>
    </cfRule>
  </conditionalFormatting>
  <pageMargins left="0.5" right="0.5" top="0.5" bottom="0.5" header="0" footer="0"/>
  <pageSetup scale="90" orientation="portrait" horizontalDpi="300" verticalDpi="300" r:id="rId1"/>
  <headerFooter alignWithMargins="0"/>
  <colBreaks count="1" manualBreakCount="1">
    <brk id="17" max="1048575" man="1"/>
  </colBreaks>
  <legacyDrawing r:id="rId2"/>
</worksheet>
</file>

<file path=xl/worksheets/sheet10.xml><?xml version="1.0" encoding="utf-8"?>
<worksheet xmlns="http://schemas.openxmlformats.org/spreadsheetml/2006/main" xmlns:r="http://schemas.openxmlformats.org/officeDocument/2006/relationships">
  <sheetPr codeName="Sheet5">
    <tabColor theme="3" tint="0.59999389629810485"/>
  </sheetPr>
  <dimension ref="A1:BL99"/>
  <sheetViews>
    <sheetView zoomScale="85" zoomScaleNormal="85" workbookViewId="0">
      <pane ySplit="2" topLeftCell="A3" activePane="bottomLeft" state="frozen"/>
      <selection activeCell="A2" sqref="A2"/>
      <selection pane="bottomLeft" activeCell="A2" sqref="A2:B2"/>
    </sheetView>
  </sheetViews>
  <sheetFormatPr defaultColWidth="0" defaultRowHeight="12.75" zeroHeight="1" outlineLevelRow="1"/>
  <cols>
    <col min="1" max="1" width="18.42578125" customWidth="1"/>
    <col min="2" max="2" width="15.7109375" customWidth="1"/>
    <col min="3" max="3" width="6.42578125" style="1" customWidth="1"/>
    <col min="4" max="4" width="7.42578125" style="1" bestFit="1" customWidth="1"/>
    <col min="5" max="5" width="8.85546875" style="1" bestFit="1" customWidth="1"/>
    <col min="6" max="6" width="6.5703125" style="1" bestFit="1" customWidth="1"/>
    <col min="7" max="7" width="7.140625" style="1" customWidth="1"/>
    <col min="8" max="8" width="7" style="1" customWidth="1"/>
    <col min="9" max="9" width="5.140625" style="1" bestFit="1" customWidth="1"/>
    <col min="10" max="10" width="7.140625" style="1" customWidth="1"/>
    <col min="11" max="11" width="10.5703125" style="1" bestFit="1" customWidth="1"/>
    <col min="12" max="13" width="7.42578125" style="1" bestFit="1" customWidth="1"/>
    <col min="14" max="14" width="5.7109375" style="1" bestFit="1" customWidth="1"/>
    <col min="15" max="15" width="5.7109375" style="1" customWidth="1"/>
    <col min="16" max="16" width="7.85546875" style="1" customWidth="1"/>
    <col min="17" max="17" width="12.85546875" style="1" bestFit="1" customWidth="1"/>
    <col min="18" max="18" width="6.85546875" style="1" bestFit="1" customWidth="1"/>
    <col min="19" max="20" width="7.42578125" style="1" bestFit="1" customWidth="1"/>
    <col min="21" max="21" width="5.28515625" style="1" bestFit="1" customWidth="1"/>
    <col min="22" max="26" width="4.140625" customWidth="1"/>
    <col min="27" max="27" width="4.7109375" hidden="1" customWidth="1"/>
    <col min="28" max="28" width="16" hidden="1" customWidth="1"/>
    <col min="29" max="29" width="4.28515625" hidden="1" customWidth="1"/>
    <col min="30" max="30" width="5.7109375" hidden="1" customWidth="1"/>
    <col min="31" max="31" width="4.5703125" hidden="1" customWidth="1"/>
    <col min="32" max="36" width="4.7109375" hidden="1" customWidth="1"/>
    <col min="37" max="64" width="9.140625" customWidth="1"/>
    <col min="65" max="16384" width="9.140625" hidden="1"/>
  </cols>
  <sheetData>
    <row r="1" spans="1:40" ht="21" customHeight="1" thickTop="1">
      <c r="A1" s="2710" t="s">
        <v>5622</v>
      </c>
      <c r="B1" s="2711"/>
      <c r="C1" s="2712"/>
      <c r="D1" s="2712"/>
      <c r="E1" s="2712"/>
      <c r="F1" s="2712"/>
      <c r="G1" s="2712"/>
      <c r="H1" s="2712"/>
      <c r="I1" s="2712"/>
      <c r="J1" s="2712"/>
      <c r="K1" s="2712"/>
      <c r="L1" s="2712"/>
      <c r="M1" s="2712"/>
      <c r="N1" s="2712"/>
      <c r="O1" s="2712"/>
      <c r="P1" s="2712"/>
      <c r="Q1" s="2712"/>
      <c r="R1" s="2712"/>
      <c r="S1" s="2712"/>
      <c r="T1" s="2712"/>
      <c r="U1" s="2712"/>
      <c r="V1" s="2712"/>
      <c r="W1" s="2712"/>
      <c r="X1" s="2712"/>
      <c r="Y1" s="445">
        <v>27</v>
      </c>
      <c r="Z1" s="1"/>
    </row>
    <row r="2" spans="1:40" ht="22.5">
      <c r="A2" s="2707" t="s">
        <v>1872</v>
      </c>
      <c r="B2" s="1175"/>
      <c r="C2" s="442" t="s">
        <v>291</v>
      </c>
      <c r="D2" s="440" t="s">
        <v>3045</v>
      </c>
      <c r="E2" s="440" t="s">
        <v>5086</v>
      </c>
      <c r="F2" s="440" t="s">
        <v>5526</v>
      </c>
      <c r="G2" s="440" t="s">
        <v>3044</v>
      </c>
      <c r="H2" s="440" t="s">
        <v>4610</v>
      </c>
      <c r="I2" s="305" t="s">
        <v>3047</v>
      </c>
      <c r="J2" s="305" t="s">
        <v>1988</v>
      </c>
      <c r="K2" s="441" t="s">
        <v>4271</v>
      </c>
      <c r="L2" s="50"/>
      <c r="O2" s="2706" t="s">
        <v>3156</v>
      </c>
      <c r="P2" s="1175"/>
      <c r="Q2" s="1175"/>
      <c r="T2" s="6"/>
      <c r="U2" s="6"/>
      <c r="V2" s="6"/>
      <c r="W2" s="1" t="s">
        <v>4270</v>
      </c>
      <c r="X2" s="1"/>
      <c r="Y2" s="1"/>
      <c r="Z2" s="1"/>
    </row>
    <row r="3" spans="1:40" ht="11.1" customHeight="1">
      <c r="A3" s="9" t="s">
        <v>5385</v>
      </c>
      <c r="B3" s="15" t="s">
        <v>6080</v>
      </c>
      <c r="C3" s="33" t="str">
        <f>Skills!S784</f>
        <v>PTY</v>
      </c>
      <c r="D3" s="18">
        <v>5</v>
      </c>
      <c r="E3" s="18">
        <f>Skills!V784</f>
        <v>3</v>
      </c>
      <c r="F3" s="17">
        <f>IF(ISNA(Skills!$W$784),IF(ISBLANK(Skills!$X$784)," ",Skills!$X$784),+Skills!$W$784+Skills!$X$784)</f>
        <v>6</v>
      </c>
      <c r="G3" s="19">
        <f>VLOOKUP('Main Creation Page'!E15*2,'System Lookups'!A3:D146,2)</f>
        <v>0.2</v>
      </c>
      <c r="H3" s="20">
        <f>Skills!Z784</f>
        <v>0.18</v>
      </c>
      <c r="I3" s="20">
        <f ca="1">Skills!AA784</f>
        <v>0.38</v>
      </c>
      <c r="J3" s="21">
        <f ca="1">IF(ISBLANK(F3),(AA3+G3),(I3+AB3))</f>
        <v>0.78</v>
      </c>
      <c r="K3" s="43" t="s">
        <v>940</v>
      </c>
      <c r="L3" s="40">
        <f>((1*(('Main Creation Page'!E13-10)/2))+(1*(Experience!R15/3)))</f>
        <v>2.8333333333333335</v>
      </c>
      <c r="P3"/>
      <c r="R3" s="2" t="s">
        <v>578</v>
      </c>
      <c r="S3" s="2" t="s">
        <v>2810</v>
      </c>
      <c r="T3" s="8" t="s">
        <v>3940</v>
      </c>
      <c r="U3" s="8" t="s">
        <v>2811</v>
      </c>
      <c r="V3" s="8"/>
      <c r="W3" s="1" t="s">
        <v>5227</v>
      </c>
      <c r="X3" s="1"/>
      <c r="Y3" s="1"/>
      <c r="Z3" s="1"/>
      <c r="AA3" s="19">
        <f>VLOOKUP(E3,'System Lookups'!$J$55:$P$61,3)</f>
        <v>0.3</v>
      </c>
      <c r="AB3" s="19">
        <f>VLOOKUP(E3,'System Lookups'!$J$55:$P$61,4)</f>
        <v>0.4</v>
      </c>
      <c r="AC3" s="1"/>
      <c r="AD3" s="1"/>
      <c r="AE3" s="1"/>
    </row>
    <row r="4" spans="1:40" ht="11.1" customHeight="1">
      <c r="A4" s="9" t="s">
        <v>2301</v>
      </c>
      <c r="C4" s="114" t="str">
        <f>Skills!S788</f>
        <v>DISC</v>
      </c>
      <c r="D4" s="18">
        <f>Skills!U788</f>
        <v>4</v>
      </c>
      <c r="E4" s="18">
        <f>Skills!V788</f>
        <v>4</v>
      </c>
      <c r="F4" s="18" t="str">
        <f>IF(ISNA(Skills!$W788),IF(ISBLANK(Skills!$X788)," ",Skills!$X788),+Skills!$W788+Skills!$X788)</f>
        <v xml:space="preserve"> </v>
      </c>
      <c r="G4" s="21">
        <f ca="1">Skills!Y788</f>
        <v>0.08</v>
      </c>
      <c r="H4" s="21">
        <f>Skills!Z788</f>
        <v>0</v>
      </c>
      <c r="I4" s="21">
        <f ca="1">Skills!AA788</f>
        <v>0.08</v>
      </c>
      <c r="J4" s="21">
        <f ca="1">Skills!AD788</f>
        <v>0.33</v>
      </c>
      <c r="K4" s="43" t="s">
        <v>4272</v>
      </c>
      <c r="L4" s="40">
        <f>L3+5</f>
        <v>7.8333333333333339</v>
      </c>
      <c r="O4" s="2705" t="s">
        <v>3746</v>
      </c>
      <c r="P4" s="1175"/>
      <c r="Q4" s="1766"/>
      <c r="R4" s="18">
        <v>10</v>
      </c>
      <c r="S4" s="18" t="str">
        <f t="shared" ref="S4:S17" si="0">IF($G$18&gt;=R4,"Y","N")</f>
        <v>Y</v>
      </c>
      <c r="T4" s="18">
        <v>-3</v>
      </c>
      <c r="U4" s="18" t="s">
        <v>3157</v>
      </c>
      <c r="V4" s="21"/>
      <c r="W4" s="46" t="str">
        <f>IF(Magick!$A$3=42,+(R4*60)/$G$18," ")</f>
        <v xml:space="preserve"> </v>
      </c>
      <c r="X4" s="46"/>
      <c r="Y4" s="46"/>
      <c r="Z4" s="46"/>
      <c r="AA4" s="19">
        <f>VLOOKUP(E51,'System Lookups'!$J$55:$P$61,3)</f>
        <v>0.05</v>
      </c>
      <c r="AB4" s="19">
        <f>VLOOKUP(E51,'System Lookups'!$J$55:$P$61,4)</f>
        <v>0.1</v>
      </c>
      <c r="AC4" s="1"/>
    </row>
    <row r="5" spans="1:40" ht="11.1" customHeight="1">
      <c r="B5" s="2706" t="s">
        <v>2303</v>
      </c>
      <c r="C5" s="1766"/>
      <c r="D5" s="51" t="s">
        <v>5224</v>
      </c>
      <c r="E5" s="21" t="str">
        <f>IF(D5="Y",IF(F$4=" ",0,F$4/100), " ")</f>
        <v xml:space="preserve"> </v>
      </c>
      <c r="F5" s="18" t="str">
        <f>IF(D5="Y",1," ")</f>
        <v xml:space="preserve"> </v>
      </c>
      <c r="G5" s="2714" t="s">
        <v>3584</v>
      </c>
      <c r="H5" s="1387"/>
      <c r="I5" s="1387"/>
      <c r="J5" s="1388"/>
      <c r="K5" s="113" t="s">
        <v>2363</v>
      </c>
      <c r="L5" s="104">
        <f>L3+3</f>
        <v>5.8333333333333339</v>
      </c>
      <c r="O5" s="2705" t="s">
        <v>4510</v>
      </c>
      <c r="P5" s="1175"/>
      <c r="Q5" s="1766"/>
      <c r="R5" s="18">
        <v>10</v>
      </c>
      <c r="S5" s="18" t="str">
        <f t="shared" si="0"/>
        <v>Y</v>
      </c>
      <c r="T5" s="18">
        <v>-4</v>
      </c>
      <c r="U5" s="18" t="s">
        <v>3157</v>
      </c>
      <c r="V5" s="18"/>
      <c r="W5" s="46" t="str">
        <f>IF(Magick!$A$3=42,+(R5*60)/$G$18," ")</f>
        <v xml:space="preserve"> </v>
      </c>
      <c r="X5" s="46"/>
      <c r="Y5" s="46"/>
      <c r="Z5" s="46"/>
      <c r="AA5" s="19">
        <f>VLOOKUP(E52,'System Lookups'!$J$55:$P$61,3)</f>
        <v>0.1</v>
      </c>
      <c r="AB5" s="19">
        <f>VLOOKUP(E52,'System Lookups'!$J$55:$P$61,4)</f>
        <v>0.2</v>
      </c>
      <c r="AC5" s="1"/>
    </row>
    <row r="6" spans="1:40" ht="11.1" customHeight="1">
      <c r="B6" s="2706" t="s">
        <v>2304</v>
      </c>
      <c r="C6" s="1766"/>
      <c r="D6" s="51" t="s">
        <v>5224</v>
      </c>
      <c r="E6" s="18" t="str">
        <f>IF(D6="Y",1," ")</f>
        <v xml:space="preserve"> </v>
      </c>
      <c r="K6" s="2" t="s">
        <v>377</v>
      </c>
      <c r="L6" s="112">
        <f>'Main Creation Page'!E15</f>
        <v>20</v>
      </c>
      <c r="O6" s="2705" t="s">
        <v>3581</v>
      </c>
      <c r="P6" s="1175"/>
      <c r="Q6" s="1766"/>
      <c r="R6" s="18">
        <v>20</v>
      </c>
      <c r="S6" s="18" t="str">
        <f t="shared" si="0"/>
        <v>Y</v>
      </c>
      <c r="T6" s="18">
        <v>-3</v>
      </c>
      <c r="U6" s="21">
        <f t="shared" ref="U6:U16" ca="1" si="1">$J$3+($H$18/100)</f>
        <v>0.78</v>
      </c>
      <c r="V6" s="21">
        <f t="shared" ref="V6:V17" ca="1" si="2">U6+$D$43</f>
        <v>0.79</v>
      </c>
      <c r="W6" s="46" t="str">
        <f>IF(Magick!$A$3=42,+(R6*60)/$G$18," ")</f>
        <v xml:space="preserve"> </v>
      </c>
      <c r="X6" s="46"/>
      <c r="Y6" s="46"/>
      <c r="Z6" s="46"/>
      <c r="AA6" s="1"/>
      <c r="AB6" s="3"/>
      <c r="AC6" s="1"/>
      <c r="AD6" s="6"/>
      <c r="AE6" s="6"/>
    </row>
    <row r="7" spans="1:40" ht="11.1" customHeight="1">
      <c r="B7" s="2706" t="s">
        <v>4607</v>
      </c>
      <c r="C7" s="1766"/>
      <c r="D7" s="51" t="s">
        <v>5224</v>
      </c>
      <c r="E7" s="21" t="str">
        <f>IF(D7="Y",IF(F$4=" ",0,F$4/100)*2," ")</f>
        <v xml:space="preserve"> </v>
      </c>
      <c r="K7" s="2" t="s">
        <v>5085</v>
      </c>
      <c r="L7" s="21">
        <f>'Main Creation Page'!G15</f>
        <v>0.9</v>
      </c>
      <c r="O7" s="2705" t="s">
        <v>3585</v>
      </c>
      <c r="P7" s="1175"/>
      <c r="Q7" s="1766"/>
      <c r="R7" s="18">
        <v>20</v>
      </c>
      <c r="S7" s="18" t="str">
        <f t="shared" si="0"/>
        <v>Y</v>
      </c>
      <c r="T7" s="18">
        <v>-3</v>
      </c>
      <c r="U7" s="21">
        <f t="shared" ca="1" si="1"/>
        <v>0.78</v>
      </c>
      <c r="V7" s="21">
        <f t="shared" ca="1" si="2"/>
        <v>0.79</v>
      </c>
      <c r="W7" s="46" t="str">
        <f>IF(Magick!$A$3=42,+(R7*60)/$G$18," ")</f>
        <v xml:space="preserve"> </v>
      </c>
      <c r="X7" s="46"/>
      <c r="Y7" s="46"/>
      <c r="Z7" s="46"/>
      <c r="AA7" s="115" t="str">
        <f>TEXT(C58,0)</f>
        <v>10</v>
      </c>
      <c r="AB7" s="115" t="str">
        <f>TEXT(C18,0)</f>
        <v>20</v>
      </c>
      <c r="AC7" s="1"/>
      <c r="AD7" s="1"/>
      <c r="AE7" s="1"/>
    </row>
    <row r="8" spans="1:40" ht="11.1" customHeight="1">
      <c r="A8" s="9" t="str">
        <f>Skills!A782</f>
        <v>Debate</v>
      </c>
      <c r="C8" s="114" t="str">
        <f>Skills!S782</f>
        <v>WIS</v>
      </c>
      <c r="D8" s="18">
        <f>Skills!U782</f>
        <v>4</v>
      </c>
      <c r="E8" s="18">
        <f>Skills!V782</f>
        <v>4</v>
      </c>
      <c r="F8" s="18" t="str">
        <f>IF(ISNA(Skills!$W782),IF(ISBLANK(Skills!$X782)," ",Skills!$X782),+Skills!$W782+Skills!$X782)</f>
        <v xml:space="preserve"> </v>
      </c>
      <c r="G8" s="21">
        <f ca="1">Skills!Y782</f>
        <v>0.1</v>
      </c>
      <c r="H8" s="21">
        <f>Skills!Z782</f>
        <v>0</v>
      </c>
      <c r="I8" s="21">
        <f ca="1">Skills!AA782</f>
        <v>0.1</v>
      </c>
      <c r="J8" s="21">
        <f>Skills!AB782</f>
        <v>0.2</v>
      </c>
      <c r="L8" s="2715" t="s">
        <v>3792</v>
      </c>
      <c r="M8" s="2716"/>
      <c r="N8" s="2717"/>
      <c r="O8" s="2705" t="s">
        <v>3586</v>
      </c>
      <c r="P8" s="1175"/>
      <c r="Q8" s="1766"/>
      <c r="R8" s="18">
        <v>25</v>
      </c>
      <c r="S8" s="18" t="str">
        <f t="shared" si="0"/>
        <v>Y</v>
      </c>
      <c r="T8" s="18">
        <v>-6</v>
      </c>
      <c r="U8" s="21">
        <f t="shared" ca="1" si="1"/>
        <v>0.78</v>
      </c>
      <c r="V8" s="21">
        <f t="shared" ca="1" si="2"/>
        <v>0.79</v>
      </c>
      <c r="W8" s="46" t="str">
        <f>IF(Magick!$A$3=42,+(R8*60)/$G$18," ")</f>
        <v xml:space="preserve"> </v>
      </c>
      <c r="X8" s="46"/>
      <c r="Y8" s="46"/>
      <c r="Z8" s="46"/>
      <c r="AA8" s="1"/>
      <c r="AB8" s="1"/>
      <c r="AC8" s="6"/>
      <c r="AD8" s="6"/>
      <c r="AE8" s="6"/>
      <c r="AF8" s="6"/>
      <c r="AG8" s="6"/>
      <c r="AH8" s="6"/>
      <c r="AI8" s="1"/>
      <c r="AJ8" s="1"/>
      <c r="AK8" s="1"/>
      <c r="AL8" s="1"/>
      <c r="AM8" s="1"/>
      <c r="AN8" s="46"/>
    </row>
    <row r="9" spans="1:40" ht="11.1" customHeight="1">
      <c r="A9" s="108" t="str">
        <f>Skills!A783</f>
        <v>Ethics</v>
      </c>
      <c r="C9" s="114" t="str">
        <f>Skills!S783</f>
        <v>DISC</v>
      </c>
      <c r="D9" s="18">
        <f>Skills!U783</f>
        <v>4</v>
      </c>
      <c r="E9" s="18">
        <f>Skills!V783</f>
        <v>4</v>
      </c>
      <c r="F9" s="18" t="str">
        <f>IF(ISNA(Skills!$W783),IF(ISBLANK(Skills!$X783)," ",Skills!$X783),+Skills!$W783+Skills!$X783)</f>
        <v xml:space="preserve"> </v>
      </c>
      <c r="G9" s="21">
        <f ca="1">Skills!Y783</f>
        <v>0.08</v>
      </c>
      <c r="H9" s="21">
        <f>Skills!Z783</f>
        <v>0</v>
      </c>
      <c r="I9" s="21">
        <f ca="1">Skills!AA783</f>
        <v>0.08</v>
      </c>
      <c r="J9" s="21">
        <f>Skills!AB783</f>
        <v>0.2</v>
      </c>
      <c r="L9" s="2729" t="s">
        <v>940</v>
      </c>
      <c r="M9" s="2730"/>
      <c r="N9" s="40">
        <f>Experience!R24</f>
        <v>3.8333333333333335</v>
      </c>
      <c r="O9" s="2705" t="s">
        <v>1896</v>
      </c>
      <c r="P9" s="1175"/>
      <c r="Q9" s="1766"/>
      <c r="R9" s="18">
        <v>25</v>
      </c>
      <c r="S9" s="18" t="str">
        <f t="shared" si="0"/>
        <v>Y</v>
      </c>
      <c r="T9" s="18">
        <v>-6</v>
      </c>
      <c r="U9" s="21">
        <f t="shared" ca="1" si="1"/>
        <v>0.78</v>
      </c>
      <c r="V9" s="21">
        <f t="shared" ca="1" si="2"/>
        <v>0.79</v>
      </c>
      <c r="W9" s="46" t="str">
        <f>IF(Magick!$A$3=42,+(R9*60)/$G$18," ")</f>
        <v xml:space="preserve"> </v>
      </c>
      <c r="X9" s="46"/>
      <c r="Y9" s="46"/>
      <c r="Z9" s="46"/>
      <c r="AA9" s="1">
        <v>1</v>
      </c>
      <c r="AB9">
        <v>7</v>
      </c>
      <c r="AC9" t="s">
        <v>873</v>
      </c>
      <c r="AD9" t="s">
        <v>873</v>
      </c>
      <c r="AF9" t="s">
        <v>5151</v>
      </c>
    </row>
    <row r="10" spans="1:40" ht="11.1" customHeight="1">
      <c r="A10" s="9" t="str">
        <f>Skills!A786</f>
        <v>Law</v>
      </c>
      <c r="C10" s="114" t="str">
        <f>Skills!S786</f>
        <v>DISC</v>
      </c>
      <c r="D10" s="18">
        <f>Skills!U786</f>
        <v>3</v>
      </c>
      <c r="E10" s="18">
        <f>Skills!V786</f>
        <v>3</v>
      </c>
      <c r="F10" s="18" t="str">
        <f>IF(ISNA(Skills!$W786),IF(ISBLANK(Skills!$X786)," ",Skills!$X786),+Skills!$W786+Skills!$X786)</f>
        <v xml:space="preserve"> </v>
      </c>
      <c r="G10" s="21">
        <f ca="1">Skills!Y786</f>
        <v>0.08</v>
      </c>
      <c r="H10" s="21">
        <f>Skills!Z786</f>
        <v>0</v>
      </c>
      <c r="I10" s="21">
        <f ca="1">Skills!AA786</f>
        <v>0.08</v>
      </c>
      <c r="J10" s="21">
        <f ca="1">Skills!AD786</f>
        <v>0.43</v>
      </c>
      <c r="L10" s="2729" t="s">
        <v>1209</v>
      </c>
      <c r="M10" s="2730"/>
      <c r="N10" s="40">
        <f>N9+4</f>
        <v>7.8333333333333339</v>
      </c>
      <c r="O10" s="2705" t="s">
        <v>3587</v>
      </c>
      <c r="P10" s="1175"/>
      <c r="Q10" s="1766"/>
      <c r="R10" s="18">
        <v>25</v>
      </c>
      <c r="S10" s="18" t="str">
        <f t="shared" si="0"/>
        <v>Y</v>
      </c>
      <c r="T10" s="18">
        <v>-3</v>
      </c>
      <c r="U10" s="21">
        <f t="shared" ca="1" si="1"/>
        <v>0.78</v>
      </c>
      <c r="V10" s="21">
        <f t="shared" ca="1" si="2"/>
        <v>0.79</v>
      </c>
      <c r="W10" s="46" t="str">
        <f>IF(Magick!$A$3=42,+(R10*60)/$G$18," ")</f>
        <v xml:space="preserve"> </v>
      </c>
      <c r="X10" s="46"/>
      <c r="Y10" s="46"/>
      <c r="Z10" s="46"/>
      <c r="AA10" s="1">
        <v>5</v>
      </c>
      <c r="AB10">
        <v>8</v>
      </c>
      <c r="AC10" t="s">
        <v>874</v>
      </c>
      <c r="AD10" t="s">
        <v>1401</v>
      </c>
    </row>
    <row r="11" spans="1:40" ht="11.1" customHeight="1">
      <c r="A11" s="108" t="str">
        <f>Skills!A787</f>
        <v>Philosophy</v>
      </c>
      <c r="C11" s="114" t="str">
        <f>Skills!S787</f>
        <v>WIS</v>
      </c>
      <c r="D11" s="18">
        <f>Skills!U787</f>
        <v>5</v>
      </c>
      <c r="E11" s="18">
        <f>Skills!V787</f>
        <v>5</v>
      </c>
      <c r="F11" s="18" t="str">
        <f>IF(ISNA(Skills!$W787),IF(ISBLANK(Skills!$X787)," ",Skills!$X787),+Skills!$W787+Skills!$X787)</f>
        <v xml:space="preserve"> </v>
      </c>
      <c r="G11" s="21">
        <f ca="1">Skills!Y787</f>
        <v>0.1</v>
      </c>
      <c r="H11" s="21">
        <f>Skills!Z787</f>
        <v>0</v>
      </c>
      <c r="I11" s="21">
        <f ca="1">Skills!AA787</f>
        <v>0.1</v>
      </c>
      <c r="J11" s="21">
        <f ca="1">Skills!AD787</f>
        <v>0.25</v>
      </c>
      <c r="L11" s="2729" t="s">
        <v>2363</v>
      </c>
      <c r="M11" s="2730"/>
      <c r="N11" s="40">
        <f>N9+2</f>
        <v>5.8333333333333339</v>
      </c>
      <c r="O11" s="2705" t="s">
        <v>3588</v>
      </c>
      <c r="P11" s="1175"/>
      <c r="Q11" s="1766"/>
      <c r="R11" s="18">
        <v>30</v>
      </c>
      <c r="S11" s="18" t="str">
        <f t="shared" si="0"/>
        <v>Y</v>
      </c>
      <c r="T11" s="18">
        <v>-3</v>
      </c>
      <c r="U11" s="21">
        <f t="shared" ca="1" si="1"/>
        <v>0.78</v>
      </c>
      <c r="V11" s="21">
        <f t="shared" ca="1" si="2"/>
        <v>0.79</v>
      </c>
      <c r="W11" s="46" t="str">
        <f>IF(Magick!$A$3=42,+(R11*60)/$G$18," ")</f>
        <v xml:space="preserve"> </v>
      </c>
      <c r="X11" s="46"/>
      <c r="Y11" s="46"/>
      <c r="Z11" s="46"/>
      <c r="AA11" s="1">
        <v>10</v>
      </c>
      <c r="AB11">
        <v>9</v>
      </c>
      <c r="AC11" t="s">
        <v>1910</v>
      </c>
      <c r="AD11" t="s">
        <v>3324</v>
      </c>
    </row>
    <row r="12" spans="1:40" ht="11.1" customHeight="1">
      <c r="B12" s="2713" t="s">
        <v>3582</v>
      </c>
      <c r="C12" s="1766"/>
      <c r="D12" s="73" t="str">
        <f>IF(D13="Y","Y",IF(AND('Main Creation Page'!AB2&gt;29,'Main Creation Page'!AB2&lt;38),"Y","N"))</f>
        <v>Y</v>
      </c>
      <c r="E12" s="464" t="s">
        <v>1158</v>
      </c>
      <c r="F12" s="2708" t="str">
        <f>IF(D12="N",IF(E18&lt;11,"Self",IF(E18&lt;21,"Self OR 1 Other",IF(E18&lt;36,"Self &amp; 1 Other",IF(E18&lt;50,CONCATENATE("Self AND ",AA7," Others"),CONCATENATE("Self AND ",AB7," Others"))))),IF(D13="Y",CONCATENATE("Self AND ",3*L6," Others"),IF(D15="Y",CONCATENATE("Self AND ",10*L6," Others"),CONCATENATE("Self AND ",5*L6," Others"))))</f>
        <v>Self AND 100 Others</v>
      </c>
      <c r="G12" s="1387"/>
      <c r="H12" s="1387"/>
      <c r="O12" s="2705" t="s">
        <v>2737</v>
      </c>
      <c r="P12" s="1175"/>
      <c r="Q12" s="1766"/>
      <c r="R12" s="18">
        <v>30</v>
      </c>
      <c r="S12" s="18" t="str">
        <f t="shared" si="0"/>
        <v>Y</v>
      </c>
      <c r="T12" s="18">
        <v>-3</v>
      </c>
      <c r="U12" s="21">
        <f t="shared" ca="1" si="1"/>
        <v>0.78</v>
      </c>
      <c r="V12" s="21">
        <f t="shared" ca="1" si="2"/>
        <v>0.79</v>
      </c>
      <c r="W12" s="46" t="str">
        <f>IF(Magick!$A$3=42,+(R12*60)/$G$18," ")</f>
        <v xml:space="preserve"> </v>
      </c>
      <c r="X12" s="46"/>
      <c r="Y12" s="46"/>
      <c r="Z12" s="46"/>
      <c r="AA12" s="1">
        <v>15</v>
      </c>
      <c r="AB12">
        <v>10</v>
      </c>
      <c r="AC12" t="s">
        <v>875</v>
      </c>
      <c r="AD12" t="s">
        <v>875</v>
      </c>
      <c r="AE12" s="1"/>
    </row>
    <row r="13" spans="1:40" ht="11.1" customHeight="1">
      <c r="A13" s="2713" t="s">
        <v>1799</v>
      </c>
      <c r="B13" s="1175"/>
      <c r="C13" s="1766"/>
      <c r="D13" s="73" t="str">
        <f>IF(AND('Main Creation Page'!AB2&gt;200,'Main Creation Page'!AB2&lt;217),"Y","N")</f>
        <v>N</v>
      </c>
      <c r="O13" s="2705" t="s">
        <v>2738</v>
      </c>
      <c r="P13" s="1175"/>
      <c r="Q13" s="1766"/>
      <c r="R13" s="18">
        <v>35</v>
      </c>
      <c r="S13" s="18" t="str">
        <f t="shared" si="0"/>
        <v>Y</v>
      </c>
      <c r="T13" s="18">
        <v>-12</v>
      </c>
      <c r="U13" s="21">
        <f t="shared" ca="1" si="1"/>
        <v>0.78</v>
      </c>
      <c r="V13" s="21">
        <f t="shared" ca="1" si="2"/>
        <v>0.79</v>
      </c>
      <c r="W13" s="46" t="str">
        <f>IF(Magick!$A$3=42,+(R13*60)/$G$18," ")</f>
        <v xml:space="preserve"> </v>
      </c>
      <c r="X13" s="46"/>
      <c r="Y13" s="46"/>
      <c r="Z13" s="46"/>
      <c r="AA13" s="1">
        <v>20</v>
      </c>
      <c r="AB13">
        <v>11</v>
      </c>
      <c r="AC13" t="s">
        <v>4157</v>
      </c>
      <c r="AD13" t="s">
        <v>3325</v>
      </c>
      <c r="AE13" s="1"/>
    </row>
    <row r="14" spans="1:40" ht="11.1" customHeight="1">
      <c r="A14" s="2713" t="s">
        <v>5315</v>
      </c>
      <c r="B14" s="1175"/>
      <c r="C14" s="1766"/>
      <c r="D14" s="73" t="str">
        <f>IF(G18&gt;=20,"Y","N")</f>
        <v>Y</v>
      </c>
      <c r="E14" s="303"/>
      <c r="F14" s="13"/>
      <c r="G14" s="13"/>
      <c r="O14" s="2705" t="s">
        <v>2739</v>
      </c>
      <c r="P14" s="1175"/>
      <c r="Q14" s="1766"/>
      <c r="R14" s="18">
        <v>40</v>
      </c>
      <c r="S14" s="18" t="str">
        <f t="shared" si="0"/>
        <v>N</v>
      </c>
      <c r="T14" s="18">
        <v>-9</v>
      </c>
      <c r="U14" s="21">
        <f t="shared" ca="1" si="1"/>
        <v>0.78</v>
      </c>
      <c r="V14" s="21">
        <f t="shared" ca="1" si="2"/>
        <v>0.79</v>
      </c>
      <c r="W14" s="46" t="str">
        <f>IF(Magick!$A$3=42,+(R14*60)/$G$18," ")</f>
        <v xml:space="preserve"> </v>
      </c>
      <c r="X14" s="46"/>
      <c r="Y14" s="46"/>
      <c r="Z14" s="46"/>
      <c r="AA14" s="1">
        <v>25</v>
      </c>
      <c r="AB14">
        <v>15</v>
      </c>
      <c r="AC14" t="s">
        <v>3329</v>
      </c>
      <c r="AD14" s="107" t="s">
        <v>3328</v>
      </c>
    </row>
    <row r="15" spans="1:40" ht="11.1" customHeight="1">
      <c r="B15" s="2713" t="s">
        <v>2647</v>
      </c>
      <c r="C15" s="1766"/>
      <c r="D15" s="51" t="s">
        <v>5224</v>
      </c>
      <c r="E15" s="304">
        <f>IF(E18&lt;21,IF(D12="Y",IF(D15="Y",(10*L6),IF(D13="Y",(3*L6),(5*L6))),"0"),IF(E18&lt;36,3*IF(D12="Y",IF(D15="Y",(10*L6),IF(D13="Y",(3*L6),(5*L6))),"0"),IF(E18&lt;50,7*IF(D12="Y",IF(D15="Y",(10*L6),IF(D13="Y",(3*L6),(5*L6))),"0"),12*IF(D12="Y",IF(D15="Y",(10*L6),IF(D13="Y",(3*L6),(5*L6))),"0"))))</f>
        <v>300</v>
      </c>
      <c r="F15" s="305" t="str">
        <f>IF(E15&lt;&gt;0,"People affectable by Clergical Prayers"," ")</f>
        <v>People affectable by Clergical Prayers</v>
      </c>
      <c r="G15" s="13"/>
      <c r="O15" s="2705" t="s">
        <v>2725</v>
      </c>
      <c r="P15" s="1175"/>
      <c r="Q15" s="1766"/>
      <c r="R15" s="18">
        <v>45</v>
      </c>
      <c r="S15" s="18" t="str">
        <f t="shared" si="0"/>
        <v>N</v>
      </c>
      <c r="T15" s="18">
        <v>-5</v>
      </c>
      <c r="U15" s="21">
        <f t="shared" ca="1" si="1"/>
        <v>0.78</v>
      </c>
      <c r="V15" s="21">
        <f t="shared" ca="1" si="2"/>
        <v>0.79</v>
      </c>
      <c r="W15" s="46" t="str">
        <f>IF(Magick!$A$3=42,+(R15*60)/$G$18," ")</f>
        <v xml:space="preserve"> </v>
      </c>
      <c r="X15" s="46"/>
      <c r="Y15" s="46"/>
      <c r="Z15" s="46"/>
      <c r="AA15" s="1">
        <v>30</v>
      </c>
      <c r="AB15" s="1">
        <v>17</v>
      </c>
      <c r="AC15" t="s">
        <v>3234</v>
      </c>
      <c r="AD15" t="s">
        <v>3234</v>
      </c>
    </row>
    <row r="16" spans="1:40" ht="11.1" customHeight="1">
      <c r="B16" s="23"/>
      <c r="C16" s="2719" t="s">
        <v>1275</v>
      </c>
      <c r="D16" s="1516"/>
      <c r="E16" s="23" t="s">
        <v>3854</v>
      </c>
      <c r="F16" s="8" t="s">
        <v>578</v>
      </c>
      <c r="G16" s="8" t="s">
        <v>578</v>
      </c>
      <c r="H16" s="12" t="s">
        <v>1273</v>
      </c>
      <c r="I16" s="12"/>
      <c r="O16" s="2705" t="s">
        <v>4036</v>
      </c>
      <c r="P16" s="1175"/>
      <c r="Q16" s="1766"/>
      <c r="R16" s="18">
        <v>45</v>
      </c>
      <c r="S16" s="18" t="str">
        <f t="shared" si="0"/>
        <v>N</v>
      </c>
      <c r="T16" s="18">
        <v>-12</v>
      </c>
      <c r="U16" s="21">
        <f t="shared" ca="1" si="1"/>
        <v>0.78</v>
      </c>
      <c r="V16" s="21">
        <f t="shared" ca="1" si="2"/>
        <v>0.79</v>
      </c>
      <c r="W16" s="46" t="str">
        <f>IF(Magick!$A$3=42,+(R16*60)/$G$18," ")</f>
        <v xml:space="preserve"> </v>
      </c>
      <c r="X16" s="46"/>
      <c r="Y16" s="46"/>
      <c r="Z16" s="46"/>
      <c r="AA16" s="1">
        <v>35</v>
      </c>
      <c r="AB16" s="1">
        <v>25</v>
      </c>
      <c r="AC16" s="1" t="s">
        <v>146</v>
      </c>
      <c r="AD16" s="1" t="s">
        <v>5152</v>
      </c>
    </row>
    <row r="17" spans="1:32" ht="11.1" customHeight="1">
      <c r="B17" s="23"/>
      <c r="C17" s="23" t="s">
        <v>5382</v>
      </c>
      <c r="D17" s="23" t="s">
        <v>3854</v>
      </c>
      <c r="E17" s="23" t="s">
        <v>378</v>
      </c>
      <c r="F17" s="23" t="s">
        <v>940</v>
      </c>
      <c r="G17" s="23" t="s">
        <v>5090</v>
      </c>
      <c r="H17" s="301" t="s">
        <v>5383</v>
      </c>
      <c r="J17" s="8"/>
      <c r="K17" s="46"/>
      <c r="O17" s="2706" t="s">
        <v>2228</v>
      </c>
      <c r="P17" s="1175"/>
      <c r="Q17" s="1766"/>
      <c r="R17" s="18">
        <v>50</v>
      </c>
      <c r="S17" s="18" t="str">
        <f t="shared" si="0"/>
        <v>N</v>
      </c>
      <c r="T17" s="40">
        <f>0-('Main Creation Page'!AC6/3)</f>
        <v>-12.333333333333334</v>
      </c>
      <c r="U17" s="21">
        <f>$L$7</f>
        <v>0.9</v>
      </c>
      <c r="V17" s="21">
        <f t="shared" si="2"/>
        <v>0.91</v>
      </c>
      <c r="W17" s="46" t="str">
        <f>IF(Magick!$A$3=42,+(R17*60)/$G$18," ")</f>
        <v xml:space="preserve"> </v>
      </c>
      <c r="X17" s="46"/>
      <c r="Y17" s="46"/>
      <c r="Z17" s="46"/>
      <c r="AA17" s="1">
        <v>40</v>
      </c>
      <c r="AB17" s="1">
        <v>40</v>
      </c>
      <c r="AC17" s="1" t="s">
        <v>147</v>
      </c>
      <c r="AD17" s="1" t="s">
        <v>1402</v>
      </c>
    </row>
    <row r="18" spans="1:32" ht="11.1" customHeight="1">
      <c r="A18" s="371" t="s">
        <v>4608</v>
      </c>
      <c r="B18" s="250"/>
      <c r="C18" s="52">
        <f>L6</f>
        <v>20</v>
      </c>
      <c r="D18" s="40">
        <f>C18+INT($G$18/5)</f>
        <v>27</v>
      </c>
      <c r="E18" s="40">
        <f>$H$18+D18</f>
        <v>27</v>
      </c>
      <c r="F18" s="42">
        <f>VLOOKUP('Main Creation Page'!$E$15,'System Lookups'!D3:E26,2)</f>
        <v>18</v>
      </c>
      <c r="G18" s="18">
        <f>F18+(F3*3)</f>
        <v>36</v>
      </c>
      <c r="H18" s="43">
        <v>0</v>
      </c>
      <c r="I18" s="2724" t="str">
        <f>IF(E18&lt;1,"Apostate",IF(E18&lt;4,"Sceptical",IF(E18&lt;7,"Transgressor",IF(E18&lt;11,"Lapsed",IF(E18&lt;21,"True",IF(E18&lt;36,"Devout",IF(E18&lt;50,"Fervent","Sainted")))))))</f>
        <v>Devout</v>
      </c>
      <c r="J18" s="2725"/>
      <c r="K18" s="2726"/>
      <c r="V18" s="46" t="str">
        <f>IF(Magick!$A$3="Druidic",+(B41*60)/$G$18," ")</f>
        <v xml:space="preserve"> </v>
      </c>
      <c r="W18" s="1"/>
      <c r="X18" s="1"/>
      <c r="Y18" s="46"/>
      <c r="Z18" s="46"/>
      <c r="AA18" s="1">
        <v>50</v>
      </c>
      <c r="AB18" s="1">
        <v>50</v>
      </c>
      <c r="AC18" t="s">
        <v>148</v>
      </c>
      <c r="AD18" t="s">
        <v>1403</v>
      </c>
    </row>
    <row r="19" spans="1:32" ht="11.1" customHeight="1">
      <c r="H19" s="84"/>
      <c r="I19" s="2727" t="s">
        <v>3943</v>
      </c>
      <c r="J19" s="2728"/>
      <c r="K19" s="2728"/>
      <c r="R19"/>
      <c r="S19"/>
      <c r="T19"/>
      <c r="U19"/>
      <c r="W19" s="1"/>
      <c r="X19" s="1"/>
      <c r="Y19" s="46"/>
      <c r="Z19" s="46"/>
      <c r="AA19" s="1">
        <v>75</v>
      </c>
      <c r="AB19" s="1">
        <v>70</v>
      </c>
      <c r="AC19" t="s">
        <v>149</v>
      </c>
      <c r="AD19" t="s">
        <v>1404</v>
      </c>
    </row>
    <row r="20" spans="1:32" ht="11.1" customHeight="1">
      <c r="B20" s="9" t="s">
        <v>1800</v>
      </c>
      <c r="C20" s="51" t="s">
        <v>5224</v>
      </c>
      <c r="F20" s="18" t="s">
        <v>3977</v>
      </c>
      <c r="G20" s="18" t="s">
        <v>5217</v>
      </c>
      <c r="H20" s="250"/>
      <c r="I20" s="306">
        <f>IF(E18&lt;1,0,IF(E18&lt;4,-1,IF(E18&lt;7,-1,IF(E18&lt;11,-1,IF(E18&lt;21,-1,IF(E18&lt;36,-2,IF(E18&lt;50,-3,-4)))))))</f>
        <v>-2</v>
      </c>
      <c r="J20" s="12" t="s">
        <v>4719</v>
      </c>
      <c r="X20" s="1"/>
      <c r="Y20" s="1"/>
      <c r="Z20" s="1"/>
      <c r="AA20" s="1"/>
      <c r="AB20" s="1"/>
    </row>
    <row r="21" spans="1:32" ht="11.1" customHeight="1">
      <c r="B21" s="9" t="s">
        <v>2742</v>
      </c>
      <c r="C21" s="51" t="s">
        <v>5222</v>
      </c>
      <c r="D21" s="1">
        <v>6</v>
      </c>
      <c r="F21" s="18">
        <f>IF(C21="Y",VLOOKUP(D21,AA36:AD46,3)," ")</f>
        <v>0.125</v>
      </c>
      <c r="G21" s="18">
        <f>IF(C21="Y",VLOOKUP(D21,AA36:AD46,4)," ")</f>
        <v>50</v>
      </c>
      <c r="I21" s="21">
        <f>IF(E18&lt;1,0.03,IF(E18&lt;4,0.03,IF(E18&lt;7,0.03,IF(E18&lt;11,0.04,IF(E18&lt;21,0.05,IF(E18&lt;36,0.06,IF(E18&lt;50,0.06,0.07)))))))</f>
        <v>0.06</v>
      </c>
      <c r="J21" s="12" t="s">
        <v>3942</v>
      </c>
      <c r="X21" s="1"/>
      <c r="Y21" s="1"/>
      <c r="Z21" s="1"/>
      <c r="AA21" s="1">
        <v>1</v>
      </c>
      <c r="AB21" s="1">
        <v>7</v>
      </c>
      <c r="AC21" s="1" t="s">
        <v>873</v>
      </c>
      <c r="AD21" s="1" t="s">
        <v>873</v>
      </c>
    </row>
    <row r="22" spans="1:32" ht="11.1" customHeight="1">
      <c r="B22" s="9" t="s">
        <v>3583</v>
      </c>
      <c r="C22" s="18">
        <f>IF(D12="Y",ROUNDUP(+'Main Creation Page'!E15/3,0),0)</f>
        <v>7</v>
      </c>
      <c r="D22" s="56" t="s">
        <v>2229</v>
      </c>
      <c r="I22" s="40">
        <f>L6/3</f>
        <v>6.666666666666667</v>
      </c>
      <c r="J22" s="12" t="s">
        <v>3944</v>
      </c>
      <c r="O22" s="2706" t="s">
        <v>3158</v>
      </c>
      <c r="P22" s="1175"/>
      <c r="Q22" s="1175"/>
      <c r="W22" s="1" t="s">
        <v>4270</v>
      </c>
      <c r="X22" s="46"/>
      <c r="Y22" s="1"/>
      <c r="Z22" s="1"/>
      <c r="AA22" s="1">
        <v>5</v>
      </c>
      <c r="AB22" s="1">
        <v>9</v>
      </c>
      <c r="AC22" t="s">
        <v>3739</v>
      </c>
      <c r="AD22" t="s">
        <v>3739</v>
      </c>
    </row>
    <row r="23" spans="1:32" ht="11.1" customHeight="1">
      <c r="E23"/>
      <c r="F23"/>
      <c r="G23"/>
      <c r="R23" s="2" t="s">
        <v>578</v>
      </c>
      <c r="S23" s="2" t="s">
        <v>2810</v>
      </c>
      <c r="T23" s="8" t="s">
        <v>3940</v>
      </c>
      <c r="U23" s="8" t="s">
        <v>2811</v>
      </c>
      <c r="W23" s="1" t="s">
        <v>5227</v>
      </c>
      <c r="X23" s="46"/>
      <c r="Y23" s="1"/>
      <c r="Z23" s="1"/>
      <c r="AA23" s="1">
        <v>10</v>
      </c>
      <c r="AB23" s="1">
        <v>11</v>
      </c>
      <c r="AC23" t="s">
        <v>1405</v>
      </c>
      <c r="AD23" t="s">
        <v>3331</v>
      </c>
    </row>
    <row r="24" spans="1:32" ht="11.1" customHeight="1">
      <c r="B24" s="16" t="s">
        <v>579</v>
      </c>
      <c r="H24" s="1" t="s">
        <v>4270</v>
      </c>
      <c r="I24" s="2731" t="s">
        <v>3159</v>
      </c>
      <c r="J24" s="2732"/>
      <c r="O24" s="1" t="s">
        <v>4270</v>
      </c>
      <c r="P24" s="2722" t="s">
        <v>4037</v>
      </c>
      <c r="Q24" s="2723"/>
      <c r="R24" s="18">
        <v>35</v>
      </c>
      <c r="S24" s="18" t="str">
        <f t="shared" ref="S24:S34" si="3">IF($G$18&gt;=R24,"Y","N")</f>
        <v>Y</v>
      </c>
      <c r="T24" s="18">
        <v>-6</v>
      </c>
      <c r="U24" s="21">
        <f>(L$7/4)+($H$18/100)</f>
        <v>0.22500000000000001</v>
      </c>
      <c r="V24" s="21">
        <f t="shared" ref="V24:V34" si="4">U24+$D$43</f>
        <v>0.23500000000000001</v>
      </c>
      <c r="W24" s="46" t="str">
        <f>IF(Magick!$A$3=42,+(R24*60)/$G$18," ")</f>
        <v xml:space="preserve"> </v>
      </c>
      <c r="X24" s="46"/>
      <c r="Y24" s="46"/>
      <c r="Z24" s="46"/>
      <c r="AA24" s="1">
        <v>15</v>
      </c>
      <c r="AB24" s="1">
        <v>13</v>
      </c>
      <c r="AC24" s="1" t="s">
        <v>1406</v>
      </c>
      <c r="AD24" s="1" t="s">
        <v>1406</v>
      </c>
    </row>
    <row r="25" spans="1:32" ht="11.1" customHeight="1">
      <c r="B25" s="1"/>
      <c r="C25" s="2" t="s">
        <v>578</v>
      </c>
      <c r="D25" s="2" t="s">
        <v>2810</v>
      </c>
      <c r="E25" s="8" t="s">
        <v>3940</v>
      </c>
      <c r="F25" s="8" t="s">
        <v>2811</v>
      </c>
      <c r="G25" s="8"/>
      <c r="H25" s="1" t="s">
        <v>5227</v>
      </c>
      <c r="K25" s="2" t="s">
        <v>578</v>
      </c>
      <c r="L25" s="2" t="s">
        <v>2810</v>
      </c>
      <c r="M25" s="8" t="s">
        <v>3940</v>
      </c>
      <c r="N25" s="8" t="s">
        <v>2811</v>
      </c>
      <c r="O25" s="1" t="s">
        <v>5227</v>
      </c>
      <c r="P25" s="2722" t="s">
        <v>4038</v>
      </c>
      <c r="Q25" s="2723"/>
      <c r="R25" s="18">
        <v>40</v>
      </c>
      <c r="S25" s="18" t="str">
        <f t="shared" si="3"/>
        <v>N</v>
      </c>
      <c r="T25" s="18">
        <v>-9</v>
      </c>
      <c r="U25" s="21">
        <f ca="1">J3*(2/3)+($H$18/100)</f>
        <v>0.52</v>
      </c>
      <c r="V25" s="21">
        <f t="shared" ca="1" si="4"/>
        <v>0.53</v>
      </c>
      <c r="W25" s="46" t="str">
        <f>IF(Magick!$A$3=42,+(R25*60)/$G$18," ")</f>
        <v xml:space="preserve"> </v>
      </c>
      <c r="X25" s="46"/>
      <c r="Y25" s="46"/>
      <c r="Z25" s="46"/>
      <c r="AA25" s="1">
        <v>20</v>
      </c>
      <c r="AB25" s="231">
        <f>AVERAGE(15,18,20)</f>
        <v>17.666666666666668</v>
      </c>
      <c r="AC25" s="1" t="s">
        <v>3740</v>
      </c>
      <c r="AD25" s="1" t="s">
        <v>3327</v>
      </c>
    </row>
    <row r="26" spans="1:32" ht="11.1" customHeight="1">
      <c r="B26" s="9" t="s">
        <v>3220</v>
      </c>
      <c r="C26" s="18">
        <v>5</v>
      </c>
      <c r="D26" s="18" t="str">
        <f t="shared" ref="D26:D35" si="5">IF($G$18&gt;=C26,"Y","N")</f>
        <v>Y</v>
      </c>
      <c r="E26" s="18">
        <v>-1</v>
      </c>
      <c r="F26" s="21">
        <f>$L$7</f>
        <v>0.9</v>
      </c>
      <c r="G26" s="21">
        <f t="shared" ref="G26:G35" si="6">F26+$D$43</f>
        <v>0.91</v>
      </c>
      <c r="H26" s="46" t="str">
        <f>IF(Magick!$A$3=42,+(C26*60)/$G$18," ")</f>
        <v xml:space="preserve"> </v>
      </c>
      <c r="I26" s="2722" t="s">
        <v>3936</v>
      </c>
      <c r="J26" s="1766"/>
      <c r="K26" s="18">
        <v>15</v>
      </c>
      <c r="L26" s="18" t="str">
        <f>IF($G$18&gt;=K26,"Y","N")</f>
        <v>Y</v>
      </c>
      <c r="M26" s="18">
        <v>-6</v>
      </c>
      <c r="N26" s="18" t="s">
        <v>3157</v>
      </c>
      <c r="O26" s="46" t="str">
        <f>IF(Magick!$A$3=42,+(K26*60)/$G$18," ")</f>
        <v xml:space="preserve"> </v>
      </c>
      <c r="P26" s="2722" t="s">
        <v>4039</v>
      </c>
      <c r="Q26" s="2723"/>
      <c r="R26" s="18">
        <v>50</v>
      </c>
      <c r="S26" s="18" t="str">
        <f t="shared" si="3"/>
        <v>N</v>
      </c>
      <c r="T26" s="18">
        <v>-18</v>
      </c>
      <c r="U26" s="21">
        <f>($H$18/100)*(0.666666666666667)</f>
        <v>0</v>
      </c>
      <c r="V26" s="21">
        <f t="shared" si="4"/>
        <v>0.01</v>
      </c>
      <c r="W26" s="46" t="str">
        <f>IF(Magick!$A$3=42,+(R26*60)/$G$18," ")</f>
        <v xml:space="preserve"> </v>
      </c>
      <c r="X26" s="46"/>
      <c r="Y26" s="46"/>
      <c r="Z26" s="46"/>
      <c r="AA26" s="1">
        <v>25</v>
      </c>
      <c r="AB26" s="1">
        <v>25</v>
      </c>
      <c r="AC26" s="1" t="s">
        <v>1194</v>
      </c>
      <c r="AD26" s="1" t="s">
        <v>3330</v>
      </c>
    </row>
    <row r="27" spans="1:32" ht="11.1" customHeight="1">
      <c r="B27" s="9" t="s">
        <v>4819</v>
      </c>
      <c r="C27" s="18">
        <v>5</v>
      </c>
      <c r="D27" s="18" t="str">
        <f t="shared" si="5"/>
        <v>Y</v>
      </c>
      <c r="E27" s="18">
        <v>-1</v>
      </c>
      <c r="F27" s="21">
        <f>$L$7</f>
        <v>0.9</v>
      </c>
      <c r="G27" s="21">
        <f t="shared" si="6"/>
        <v>0.91</v>
      </c>
      <c r="H27" s="46" t="str">
        <f>IF(Magick!$A$3=42,+(C27*60)/$G$18," ")</f>
        <v xml:space="preserve"> </v>
      </c>
      <c r="I27" s="2722" t="s">
        <v>3797</v>
      </c>
      <c r="J27" s="1766"/>
      <c r="K27" s="18">
        <v>40</v>
      </c>
      <c r="L27" s="18" t="str">
        <f>IF($G$18&gt;K27,"Y","N")</f>
        <v>N</v>
      </c>
      <c r="M27" s="18">
        <v>-3</v>
      </c>
      <c r="N27" s="18" t="s">
        <v>3157</v>
      </c>
      <c r="O27" s="46" t="str">
        <f>IF(Magick!$A$3=42,+(K27*60)/$G$18," ")</f>
        <v xml:space="preserve"> </v>
      </c>
      <c r="P27" s="2722" t="s">
        <v>4040</v>
      </c>
      <c r="Q27" s="2723"/>
      <c r="R27" s="18">
        <v>60</v>
      </c>
      <c r="S27" s="18" t="str">
        <f t="shared" si="3"/>
        <v>N</v>
      </c>
      <c r="T27" s="18">
        <v>-24</v>
      </c>
      <c r="U27" s="21">
        <f>($H$18/100)*(3/4)</f>
        <v>0</v>
      </c>
      <c r="V27" s="21">
        <f t="shared" si="4"/>
        <v>0.01</v>
      </c>
      <c r="W27" s="46" t="str">
        <f>IF(Magick!$A$3=42,+(R27*60)/$G$18," ")</f>
        <v xml:space="preserve"> </v>
      </c>
      <c r="X27" s="46"/>
      <c r="Y27" s="46"/>
      <c r="Z27" s="46"/>
      <c r="AA27" s="1">
        <v>30</v>
      </c>
      <c r="AB27" s="1">
        <v>30</v>
      </c>
      <c r="AC27" s="1" t="s">
        <v>1190</v>
      </c>
      <c r="AD27" s="1" t="s">
        <v>1190</v>
      </c>
    </row>
    <row r="28" spans="1:32" ht="11.1" customHeight="1">
      <c r="B28" s="9" t="s">
        <v>3221</v>
      </c>
      <c r="C28" s="18">
        <v>5</v>
      </c>
      <c r="D28" s="18" t="str">
        <f t="shared" si="5"/>
        <v>Y</v>
      </c>
      <c r="E28" s="18">
        <v>-1</v>
      </c>
      <c r="F28" s="21">
        <f>$L$7</f>
        <v>0.9</v>
      </c>
      <c r="G28" s="21">
        <f t="shared" si="6"/>
        <v>0.91</v>
      </c>
      <c r="H28" s="46" t="str">
        <f>IF(Magick!$A$3=42,+(C28*60)/$G$18," ")</f>
        <v xml:space="preserve"> </v>
      </c>
      <c r="I28" s="2722" t="s">
        <v>3798</v>
      </c>
      <c r="J28" s="1766"/>
      <c r="K28" s="18">
        <v>20</v>
      </c>
      <c r="L28" s="18" t="str">
        <f t="shared" ref="L28:L34" si="7">IF($G$18&gt;=K28,"Y","N")</f>
        <v>Y</v>
      </c>
      <c r="M28" s="18">
        <v>-3</v>
      </c>
      <c r="N28" s="18" t="s">
        <v>3157</v>
      </c>
      <c r="O28" s="46" t="str">
        <f>IF(Magick!$A$3=42,+(K28*60)/$G$18," ")</f>
        <v xml:space="preserve"> </v>
      </c>
      <c r="P28" s="2722" t="s">
        <v>4041</v>
      </c>
      <c r="Q28" s="2723"/>
      <c r="R28" s="18">
        <v>60</v>
      </c>
      <c r="S28" s="18" t="str">
        <f t="shared" si="3"/>
        <v>N</v>
      </c>
      <c r="T28" s="18">
        <v>-18</v>
      </c>
      <c r="U28" s="21">
        <f>($H$18/100)*(3/4)</f>
        <v>0</v>
      </c>
      <c r="V28" s="21">
        <f t="shared" si="4"/>
        <v>0.01</v>
      </c>
      <c r="W28" s="46" t="str">
        <f>IF(Magick!$A$3=42,+(R28*60)/$G$18," ")</f>
        <v xml:space="preserve"> </v>
      </c>
      <c r="X28" s="46"/>
      <c r="Y28" s="46"/>
      <c r="Z28" s="46"/>
      <c r="AA28" s="1">
        <v>35</v>
      </c>
      <c r="AB28" s="1">
        <v>40</v>
      </c>
      <c r="AC28" s="1" t="s">
        <v>1191</v>
      </c>
      <c r="AD28" s="1" t="s">
        <v>3326</v>
      </c>
    </row>
    <row r="29" spans="1:32" ht="11.1" customHeight="1">
      <c r="B29" s="9" t="s">
        <v>3222</v>
      </c>
      <c r="C29" s="18">
        <v>5</v>
      </c>
      <c r="D29" s="18" t="str">
        <f t="shared" si="5"/>
        <v>Y</v>
      </c>
      <c r="E29" s="18">
        <v>-1</v>
      </c>
      <c r="F29" s="21">
        <f ca="1">J3/2</f>
        <v>0.39</v>
      </c>
      <c r="G29" s="21">
        <f t="shared" ca="1" si="6"/>
        <v>0.4</v>
      </c>
      <c r="H29" s="46" t="str">
        <f>IF(Magick!$A$3=42,+(C29*60)/$G$18," ")</f>
        <v xml:space="preserve"> </v>
      </c>
      <c r="I29" s="2722" t="s">
        <v>3799</v>
      </c>
      <c r="J29" s="1766"/>
      <c r="K29" s="18">
        <v>20</v>
      </c>
      <c r="L29" s="18" t="str">
        <f t="shared" si="7"/>
        <v>Y</v>
      </c>
      <c r="M29" s="18">
        <v>-3</v>
      </c>
      <c r="N29" s="18" t="s">
        <v>3157</v>
      </c>
      <c r="O29" s="46" t="str">
        <f>IF(Magick!$A$3=42,+(K29*60)/$G$18," ")</f>
        <v xml:space="preserve"> </v>
      </c>
      <c r="P29" s="2722" t="s">
        <v>2126</v>
      </c>
      <c r="Q29" s="2723"/>
      <c r="R29" s="18">
        <v>65</v>
      </c>
      <c r="S29" s="18" t="str">
        <f t="shared" si="3"/>
        <v>N</v>
      </c>
      <c r="T29" s="18">
        <v>-24</v>
      </c>
      <c r="U29" s="21">
        <f>($H$18/100)*(0.666666666666667)</f>
        <v>0</v>
      </c>
      <c r="V29" s="21">
        <f t="shared" si="4"/>
        <v>0.01</v>
      </c>
      <c r="W29" s="46" t="str">
        <f>IF(Magick!$A$3=42,+(R29*60)/$G$18," ")</f>
        <v xml:space="preserve"> </v>
      </c>
      <c r="X29" s="46"/>
      <c r="Y29" s="46"/>
      <c r="Z29" s="46"/>
      <c r="AA29" s="1">
        <v>40</v>
      </c>
      <c r="AB29" s="1">
        <v>55</v>
      </c>
      <c r="AC29" s="1" t="s">
        <v>1192</v>
      </c>
      <c r="AD29" s="1"/>
    </row>
    <row r="30" spans="1:32" ht="11.1" customHeight="1">
      <c r="B30" s="9" t="s">
        <v>3223</v>
      </c>
      <c r="C30" s="18">
        <v>5</v>
      </c>
      <c r="D30" s="18" t="str">
        <f t="shared" si="5"/>
        <v>Y</v>
      </c>
      <c r="E30" s="18" t="s">
        <v>1742</v>
      </c>
      <c r="F30" s="21">
        <f ca="1">J3</f>
        <v>0.78</v>
      </c>
      <c r="G30" s="21">
        <f t="shared" ca="1" si="6"/>
        <v>0.79</v>
      </c>
      <c r="H30" s="46" t="str">
        <f>IF(Magick!$A$3=42,+(C30*60)/$G$18," ")</f>
        <v xml:space="preserve"> </v>
      </c>
      <c r="I30" s="2722" t="s">
        <v>3731</v>
      </c>
      <c r="J30" s="1766"/>
      <c r="K30" s="18">
        <v>20</v>
      </c>
      <c r="L30" s="18" t="str">
        <f t="shared" si="7"/>
        <v>Y</v>
      </c>
      <c r="M30" s="18">
        <v>-3</v>
      </c>
      <c r="N30" s="18" t="s">
        <v>3157</v>
      </c>
      <c r="O30" s="46" t="str">
        <f>IF(Magick!$A$3=42,+(K30*60)/$G$18," ")</f>
        <v xml:space="preserve"> </v>
      </c>
      <c r="P30" s="2722" t="s">
        <v>2302</v>
      </c>
      <c r="Q30" s="2723"/>
      <c r="R30" s="18">
        <v>65</v>
      </c>
      <c r="S30" s="18" t="str">
        <f t="shared" si="3"/>
        <v>N</v>
      </c>
      <c r="T30" s="18">
        <v>-24</v>
      </c>
      <c r="U30" s="21">
        <f>($H$18/100)*(0.666666666666667)</f>
        <v>0</v>
      </c>
      <c r="V30" s="21">
        <f t="shared" si="4"/>
        <v>0.01</v>
      </c>
      <c r="W30" s="46" t="str">
        <f>IF(Magick!$A$3=42,+(R30*60)/$G$18," ")</f>
        <v xml:space="preserve"> </v>
      </c>
      <c r="X30" s="46"/>
      <c r="Y30" s="46"/>
      <c r="Z30" s="46"/>
      <c r="AA30" s="1">
        <v>45</v>
      </c>
      <c r="AB30" s="1">
        <v>75</v>
      </c>
      <c r="AC30" s="1" t="s">
        <v>1193</v>
      </c>
      <c r="AD30" s="1"/>
    </row>
    <row r="31" spans="1:32" ht="11.1" customHeight="1">
      <c r="B31" s="9" t="s">
        <v>3035</v>
      </c>
      <c r="C31" s="18">
        <v>5</v>
      </c>
      <c r="D31" s="18" t="str">
        <f t="shared" si="5"/>
        <v>Y</v>
      </c>
      <c r="E31" s="18">
        <v>-3</v>
      </c>
      <c r="F31" s="21">
        <f ca="1">$J$3</f>
        <v>0.78</v>
      </c>
      <c r="G31" s="21">
        <f t="shared" ca="1" si="6"/>
        <v>0.79</v>
      </c>
      <c r="H31" s="46" t="str">
        <f>IF(Magick!$A$3=42,+(C31*60)/$G$18," ")</f>
        <v xml:space="preserve"> </v>
      </c>
      <c r="I31" s="2722" t="s">
        <v>3732</v>
      </c>
      <c r="J31" s="1766"/>
      <c r="K31" s="18">
        <v>20</v>
      </c>
      <c r="L31" s="18" t="str">
        <f t="shared" si="7"/>
        <v>Y</v>
      </c>
      <c r="M31" s="18">
        <v>-6</v>
      </c>
      <c r="N31" s="18" t="s">
        <v>3157</v>
      </c>
      <c r="O31" s="46" t="str">
        <f>IF(Magick!$A$3=42,+(K31*60)/$G$18," ")</f>
        <v xml:space="preserve"> </v>
      </c>
      <c r="P31" s="2722" t="s">
        <v>2127</v>
      </c>
      <c r="Q31" s="2723"/>
      <c r="R31" s="18">
        <v>90</v>
      </c>
      <c r="S31" s="18" t="str">
        <f t="shared" si="3"/>
        <v>N</v>
      </c>
      <c r="T31" s="18">
        <v>-33</v>
      </c>
      <c r="U31" s="21">
        <f>($H$18/100)*(0.666666666666667)</f>
        <v>0</v>
      </c>
      <c r="V31" s="21">
        <f t="shared" si="4"/>
        <v>0.01</v>
      </c>
      <c r="W31" s="46" t="str">
        <f>IF(Magick!$A$3=42,+(R31*60)/$G$18," ")</f>
        <v xml:space="preserve"> </v>
      </c>
      <c r="X31" s="46"/>
      <c r="Y31" s="46"/>
      <c r="Z31" s="46"/>
      <c r="AA31" s="1">
        <v>50</v>
      </c>
      <c r="AB31" s="1">
        <v>85</v>
      </c>
      <c r="AC31" s="1" t="s">
        <v>1195</v>
      </c>
      <c r="AD31" s="1"/>
    </row>
    <row r="32" spans="1:32" ht="11.1" customHeight="1">
      <c r="A32" s="310"/>
      <c r="B32" s="9" t="s">
        <v>374</v>
      </c>
      <c r="C32" s="18">
        <v>5</v>
      </c>
      <c r="D32" s="18" t="str">
        <f t="shared" si="5"/>
        <v>Y</v>
      </c>
      <c r="E32" s="18">
        <v>-1</v>
      </c>
      <c r="F32" s="21">
        <f ca="1">$J$3</f>
        <v>0.78</v>
      </c>
      <c r="G32" s="21">
        <f t="shared" ca="1" si="6"/>
        <v>0.79</v>
      </c>
      <c r="H32" s="46" t="str">
        <f>IF(Magick!$A$3=42,+(C32*60)/$G$18," ")</f>
        <v xml:space="preserve"> </v>
      </c>
      <c r="I32" s="2722" t="s">
        <v>3733</v>
      </c>
      <c r="J32" s="1766"/>
      <c r="K32" s="18">
        <v>15</v>
      </c>
      <c r="L32" s="18" t="str">
        <f t="shared" si="7"/>
        <v>Y</v>
      </c>
      <c r="M32" s="18">
        <v>-6</v>
      </c>
      <c r="N32" s="18" t="s">
        <v>3157</v>
      </c>
      <c r="O32" s="46" t="str">
        <f>IF(Magick!$A$3=42,+(K32*60)/$G$18," ")</f>
        <v xml:space="preserve"> </v>
      </c>
      <c r="P32" s="2722" t="s">
        <v>2128</v>
      </c>
      <c r="Q32" s="2723"/>
      <c r="R32" s="18">
        <v>90</v>
      </c>
      <c r="S32" s="18" t="str">
        <f t="shared" si="3"/>
        <v>N</v>
      </c>
      <c r="T32" s="18">
        <v>-33</v>
      </c>
      <c r="U32" s="21">
        <f>($H$18/100)*(0.666666666666667)</f>
        <v>0</v>
      </c>
      <c r="V32" s="21">
        <f t="shared" si="4"/>
        <v>0.01</v>
      </c>
      <c r="W32" s="46" t="str">
        <f>IF(Magick!$A$3=42,+(R32*60)/$G$18," ")</f>
        <v xml:space="preserve"> </v>
      </c>
      <c r="X32" s="46"/>
      <c r="Y32" s="46"/>
      <c r="Z32" s="46"/>
      <c r="AA32" s="1">
        <v>60</v>
      </c>
      <c r="AB32" s="1">
        <v>95</v>
      </c>
      <c r="AC32" s="1" t="s">
        <v>1196</v>
      </c>
      <c r="AD32" s="1"/>
      <c r="AF32" s="1"/>
    </row>
    <row r="33" spans="1:32" ht="11.1" customHeight="1">
      <c r="B33" s="9" t="s">
        <v>3224</v>
      </c>
      <c r="C33" s="18">
        <v>5</v>
      </c>
      <c r="D33" s="18" t="str">
        <f t="shared" si="5"/>
        <v>Y</v>
      </c>
      <c r="E33" s="18" t="s">
        <v>1742</v>
      </c>
      <c r="F33" s="21">
        <f ca="1">$J$3</f>
        <v>0.78</v>
      </c>
      <c r="G33" s="21">
        <f t="shared" ca="1" si="6"/>
        <v>0.79</v>
      </c>
      <c r="H33" s="46" t="str">
        <f>IF(Magick!$A$3=42,+(C33*60)/$G$18," ")</f>
        <v xml:space="preserve"> </v>
      </c>
      <c r="I33" s="2722" t="s">
        <v>4400</v>
      </c>
      <c r="J33" s="1766"/>
      <c r="K33" s="18">
        <v>40</v>
      </c>
      <c r="L33" s="18" t="str">
        <f t="shared" si="7"/>
        <v>N</v>
      </c>
      <c r="M33" s="18">
        <v>-9</v>
      </c>
      <c r="N33" s="18" t="s">
        <v>3157</v>
      </c>
      <c r="O33" s="46" t="str">
        <f>IF(Magick!$A$3=42,+(K33*60)/$G$18," ")</f>
        <v xml:space="preserve"> </v>
      </c>
      <c r="P33" s="2722" t="s">
        <v>2129</v>
      </c>
      <c r="Q33" s="2723"/>
      <c r="R33" s="18">
        <v>90</v>
      </c>
      <c r="S33" s="18" t="str">
        <f t="shared" si="3"/>
        <v>N</v>
      </c>
      <c r="T33" s="18">
        <v>-33</v>
      </c>
      <c r="U33" s="21">
        <f>($H$18/100)*(0.666666666666667)</f>
        <v>0</v>
      </c>
      <c r="V33" s="21">
        <f t="shared" si="4"/>
        <v>0.01</v>
      </c>
      <c r="W33" s="46" t="str">
        <f>IF(Magick!$A$3=42,+(R33*60)/$G$18," ")</f>
        <v xml:space="preserve"> </v>
      </c>
      <c r="X33" s="46"/>
      <c r="Y33" s="46"/>
      <c r="Z33" s="46"/>
      <c r="AA33" s="1">
        <v>75</v>
      </c>
      <c r="AB33" s="1">
        <v>100</v>
      </c>
      <c r="AC33" s="1" t="s">
        <v>1197</v>
      </c>
      <c r="AD33" s="1"/>
      <c r="AF33" s="1"/>
    </row>
    <row r="34" spans="1:32" ht="11.1" customHeight="1">
      <c r="B34" s="9" t="s">
        <v>3225</v>
      </c>
      <c r="C34" s="18">
        <v>5</v>
      </c>
      <c r="D34" s="18" t="str">
        <f t="shared" si="5"/>
        <v>Y</v>
      </c>
      <c r="E34" s="18">
        <v>-3</v>
      </c>
      <c r="F34" s="21">
        <f ca="1">J3*(2/3)</f>
        <v>0.52</v>
      </c>
      <c r="G34" s="21">
        <f t="shared" ca="1" si="6"/>
        <v>0.53</v>
      </c>
      <c r="H34" s="46" t="str">
        <f>IF(Magick!$A$3=42,+(C34*60)/$G$18," ")</f>
        <v xml:space="preserve"> </v>
      </c>
      <c r="I34" s="2722" t="s">
        <v>4401</v>
      </c>
      <c r="J34" s="1766"/>
      <c r="K34" s="18">
        <v>20</v>
      </c>
      <c r="L34" s="18" t="str">
        <f t="shared" si="7"/>
        <v>Y</v>
      </c>
      <c r="M34" s="18">
        <v>-3</v>
      </c>
      <c r="N34" s="18" t="s">
        <v>3157</v>
      </c>
      <c r="O34" s="46" t="str">
        <f>IF(Magick!$A$3=42,+(K34*60)/$G$18," ")</f>
        <v xml:space="preserve"> </v>
      </c>
      <c r="P34" s="2722" t="s">
        <v>3796</v>
      </c>
      <c r="Q34" s="2723"/>
      <c r="R34" s="18">
        <v>101</v>
      </c>
      <c r="S34" s="18" t="str">
        <f t="shared" si="3"/>
        <v>N</v>
      </c>
      <c r="T34" s="18">
        <v>-48</v>
      </c>
      <c r="U34" s="21">
        <f>($H$18/100)*(1/3)</f>
        <v>0</v>
      </c>
      <c r="V34" s="21">
        <f t="shared" si="4"/>
        <v>0.01</v>
      </c>
      <c r="W34" s="46" t="str">
        <f>IF(Magick!$A$3=42,+(R34*60)/$G$18," ")</f>
        <v xml:space="preserve"> </v>
      </c>
      <c r="X34" s="46"/>
      <c r="Y34" s="46"/>
      <c r="Z34" s="46"/>
      <c r="AA34" s="1">
        <v>100</v>
      </c>
      <c r="AB34" s="1">
        <v>150</v>
      </c>
      <c r="AC34" s="1" t="s">
        <v>1198</v>
      </c>
      <c r="AD34" s="1"/>
      <c r="AE34" s="1"/>
    </row>
    <row r="35" spans="1:32" ht="11.1" customHeight="1">
      <c r="B35" s="9" t="s">
        <v>2812</v>
      </c>
      <c r="C35" s="18">
        <v>10</v>
      </c>
      <c r="D35" s="18" t="str">
        <f t="shared" si="5"/>
        <v>Y</v>
      </c>
      <c r="E35" s="18">
        <v>-1</v>
      </c>
      <c r="F35" s="21">
        <f ca="1">J3+($H$18/100)</f>
        <v>0.78</v>
      </c>
      <c r="G35" s="21">
        <f t="shared" ca="1" si="6"/>
        <v>0.79</v>
      </c>
      <c r="H35" s="46" t="str">
        <f>IF(Magick!$A$3=42,+(C35*60)/$G$18," ")</f>
        <v xml:space="preserve"> </v>
      </c>
      <c r="V35" s="1"/>
      <c r="W35" s="1"/>
      <c r="X35" s="1"/>
      <c r="Y35" s="1"/>
      <c r="Z35" s="1"/>
      <c r="AE35" s="1"/>
    </row>
    <row r="36" spans="1:32" ht="11.1" customHeight="1">
      <c r="J36" s="2683" t="s">
        <v>2502</v>
      </c>
      <c r="K36" s="1175"/>
      <c r="L36" s="1175"/>
      <c r="M36" s="1175"/>
      <c r="N36" s="1175"/>
      <c r="O36" s="28"/>
      <c r="P36" s="28"/>
      <c r="Q36" s="28"/>
      <c r="R36" s="28"/>
      <c r="S36" s="28"/>
      <c r="T36" s="28"/>
      <c r="U36" s="28"/>
      <c r="V36" s="1"/>
      <c r="AA36" s="1">
        <v>1</v>
      </c>
      <c r="AB36" s="28" t="s">
        <v>4496</v>
      </c>
      <c r="AC36" s="449">
        <v>0.125</v>
      </c>
      <c r="AD36" s="28">
        <v>1</v>
      </c>
      <c r="AE36" s="1"/>
    </row>
    <row r="37" spans="1:32" ht="11.1" customHeight="1">
      <c r="A37" s="9" t="s">
        <v>5314</v>
      </c>
      <c r="H37" s="1" t="s">
        <v>4270</v>
      </c>
      <c r="K37" s="28"/>
      <c r="L37" s="49" t="s">
        <v>2788</v>
      </c>
      <c r="M37" s="49" t="s">
        <v>2500</v>
      </c>
      <c r="N37" s="49" t="s">
        <v>2501</v>
      </c>
      <c r="O37" s="28"/>
      <c r="P37" s="28"/>
      <c r="Q37" s="251" t="s">
        <v>4514</v>
      </c>
      <c r="R37" s="251" t="s">
        <v>940</v>
      </c>
      <c r="S37" s="28" t="s">
        <v>4744</v>
      </c>
      <c r="T37" s="28"/>
      <c r="U37" s="28"/>
      <c r="V37" s="1"/>
      <c r="AA37" s="1">
        <v>2</v>
      </c>
      <c r="AB37" s="28" t="s">
        <v>4497</v>
      </c>
      <c r="AC37" s="449">
        <v>0.125</v>
      </c>
      <c r="AD37" s="28">
        <v>2</v>
      </c>
      <c r="AE37" s="1"/>
    </row>
    <row r="38" spans="1:32" ht="11.1" customHeight="1">
      <c r="A38" s="2"/>
      <c r="B38" s="8" t="s">
        <v>578</v>
      </c>
      <c r="C38" s="2" t="s">
        <v>2810</v>
      </c>
      <c r="D38" s="8" t="s">
        <v>3940</v>
      </c>
      <c r="E38" s="8" t="s">
        <v>3941</v>
      </c>
      <c r="F38" s="8" t="s">
        <v>2811</v>
      </c>
      <c r="H38" s="1" t="s">
        <v>5227</v>
      </c>
      <c r="K38" s="28"/>
      <c r="L38" s="241">
        <v>5</v>
      </c>
      <c r="M38" s="290">
        <f ca="1">(+I3/10+L6)*L38</f>
        <v>100.19</v>
      </c>
      <c r="N38" s="290">
        <f ca="1">M38/3</f>
        <v>33.396666666666668</v>
      </c>
      <c r="O38" s="28"/>
      <c r="P38" s="28"/>
      <c r="Q38" s="28"/>
      <c r="R38" s="241">
        <v>5</v>
      </c>
      <c r="S38" s="231">
        <f>IF(T39="Y",S39,0)+IF(T40="Y",S40,0)+IF(T41="Y",S41,0)+IF(T42="Y",S42,0)+IF(T43="Y",S43,0)+IF(T44="Y",S44,0)+IF(T45="Y",S45,0)+IF(T46="Y",S46,0)</f>
        <v>12.5</v>
      </c>
      <c r="T38" s="28"/>
      <c r="U38" s="28"/>
      <c r="V38" s="1"/>
      <c r="AA38" s="1">
        <v>3</v>
      </c>
      <c r="AB38" s="28" t="s">
        <v>4503</v>
      </c>
      <c r="AC38" s="449">
        <v>0.125</v>
      </c>
      <c r="AD38" s="28">
        <v>3</v>
      </c>
      <c r="AE38" s="1"/>
    </row>
    <row r="39" spans="1:32" ht="11.1" customHeight="1">
      <c r="A39" s="9" t="s">
        <v>5001</v>
      </c>
      <c r="B39" s="18">
        <v>10</v>
      </c>
      <c r="C39" s="18" t="str">
        <f>IF($G$18&gt;=B39,"Y","N")</f>
        <v>Y</v>
      </c>
      <c r="D39" s="74" t="s">
        <v>3938</v>
      </c>
      <c r="E39" s="121">
        <f>(IF(L6&gt;25,10,IF(L6&gt;20,3,IF(L6&gt;15,2,IF(L6&gt;13,1,0)))))</f>
        <v>2</v>
      </c>
      <c r="F39" s="21">
        <f ca="1">J3*(2/3)</f>
        <v>0.52</v>
      </c>
      <c r="G39" s="21">
        <f ca="1">F39+$D$43</f>
        <v>0.53</v>
      </c>
      <c r="H39" s="46" t="str">
        <f>IF(Magick!$A$3=32,+(D39*60)/$G$18," ")</f>
        <v xml:space="preserve"> </v>
      </c>
      <c r="J39" s="2720" t="s">
        <v>98</v>
      </c>
      <c r="K39" s="1175"/>
      <c r="L39" s="49">
        <v>1</v>
      </c>
      <c r="M39" s="290">
        <f t="shared" ref="M39:M46" ca="1" si="8">$M$38*$L39+$S$38</f>
        <v>112.69</v>
      </c>
      <c r="N39" s="290">
        <f t="shared" ref="N39:N46" ca="1" si="9">$N$38*$L39+$S$38</f>
        <v>45.896666666666668</v>
      </c>
      <c r="O39" s="28"/>
      <c r="P39" s="2718" t="s">
        <v>2503</v>
      </c>
      <c r="Q39" s="2718"/>
      <c r="R39" s="49">
        <v>4</v>
      </c>
      <c r="S39" s="290">
        <f t="shared" ref="S39:S46" si="10">$R$38*R39</f>
        <v>20</v>
      </c>
      <c r="T39" s="241" t="s">
        <v>5224</v>
      </c>
      <c r="U39" s="28"/>
      <c r="V39" s="1"/>
      <c r="AA39" s="1">
        <v>4</v>
      </c>
      <c r="AB39" s="28" t="s">
        <v>4498</v>
      </c>
      <c r="AC39" s="449">
        <v>0.125</v>
      </c>
      <c r="AD39" s="28">
        <v>10</v>
      </c>
      <c r="AE39" s="1"/>
    </row>
    <row r="40" spans="1:32" ht="11.1" customHeight="1">
      <c r="A40" s="9" t="s">
        <v>1019</v>
      </c>
      <c r="B40" s="18">
        <v>25</v>
      </c>
      <c r="C40" s="18" t="str">
        <f>IF($G$18&gt;=B40,"Y","N")</f>
        <v>Y</v>
      </c>
      <c r="D40" s="74" t="s">
        <v>3937</v>
      </c>
      <c r="E40" s="121">
        <f>(IF(L6&gt;26,5,IF(L6&gt;22,4,IF(L6&gt;19,3,IF(L6&gt;17,2,IF(L6&gt;14,1,0))))))</f>
        <v>3</v>
      </c>
      <c r="F40" s="21">
        <f>L7/2</f>
        <v>0.45</v>
      </c>
      <c r="G40" s="21">
        <f>F40+$D$43</f>
        <v>0.46</v>
      </c>
      <c r="H40" s="46" t="str">
        <f>IF(Magick!$A$3=32,+(D40*60)/$G$18," ")</f>
        <v xml:space="preserve"> </v>
      </c>
      <c r="J40" s="2720" t="s">
        <v>1657</v>
      </c>
      <c r="K40" s="1175"/>
      <c r="L40" s="49">
        <v>1.5</v>
      </c>
      <c r="M40" s="290">
        <f t="shared" ca="1" si="8"/>
        <v>162.785</v>
      </c>
      <c r="N40" s="290">
        <f t="shared" ca="1" si="9"/>
        <v>62.594999999999999</v>
      </c>
      <c r="O40" s="28"/>
      <c r="P40" s="2718" t="s">
        <v>5547</v>
      </c>
      <c r="Q40" s="2718"/>
      <c r="R40" s="49">
        <v>2.5</v>
      </c>
      <c r="S40" s="290">
        <f t="shared" si="10"/>
        <v>12.5</v>
      </c>
      <c r="T40" s="241" t="s">
        <v>5222</v>
      </c>
      <c r="U40" s="28"/>
      <c r="V40" s="1"/>
      <c r="AA40" s="1">
        <v>5</v>
      </c>
      <c r="AB40" s="28" t="s">
        <v>4499</v>
      </c>
      <c r="AC40" s="449">
        <v>0.125</v>
      </c>
      <c r="AD40" s="28">
        <v>25</v>
      </c>
      <c r="AE40" s="1"/>
    </row>
    <row r="41" spans="1:32" ht="11.1" customHeight="1">
      <c r="A41" s="9" t="s">
        <v>1020</v>
      </c>
      <c r="B41" s="18">
        <v>50</v>
      </c>
      <c r="C41" s="18" t="str">
        <f>IF($G$18&gt;=B41,"Y","N")</f>
        <v>N</v>
      </c>
      <c r="D41" s="74" t="s">
        <v>3939</v>
      </c>
      <c r="E41" s="121">
        <f>(IF(L6&gt;27,5,IF(L6&gt;23,4,IF(L6&gt;19,3,IF(L6&gt;17,2,IF(L6&gt;15,1,0))))))</f>
        <v>3</v>
      </c>
      <c r="F41" s="21">
        <f>$L$7*(1/3)</f>
        <v>0.3</v>
      </c>
      <c r="G41" s="21">
        <f>F41+$D$43</f>
        <v>0.31</v>
      </c>
      <c r="H41" s="46" t="str">
        <f>IF(Magick!$A$3=32,+(D41*60)/$G$18," ")</f>
        <v xml:space="preserve"> </v>
      </c>
      <c r="J41" s="2720" t="s">
        <v>2494</v>
      </c>
      <c r="K41" s="1175"/>
      <c r="L41" s="49">
        <v>2</v>
      </c>
      <c r="M41" s="290">
        <f t="shared" ca="1" si="8"/>
        <v>212.88</v>
      </c>
      <c r="N41" s="290">
        <f t="shared" ca="1" si="9"/>
        <v>79.293333333333337</v>
      </c>
      <c r="O41" s="28"/>
      <c r="P41" s="2718" t="s">
        <v>5548</v>
      </c>
      <c r="Q41" s="2718"/>
      <c r="R41" s="49">
        <v>3.5</v>
      </c>
      <c r="S41" s="290">
        <f t="shared" si="10"/>
        <v>17.5</v>
      </c>
      <c r="T41" s="241" t="s">
        <v>5224</v>
      </c>
      <c r="U41" s="28"/>
      <c r="V41" s="1"/>
      <c r="AA41" s="1">
        <v>6</v>
      </c>
      <c r="AB41" s="28" t="s">
        <v>4500</v>
      </c>
      <c r="AC41" s="449">
        <v>0.125</v>
      </c>
      <c r="AD41" s="28">
        <v>50</v>
      </c>
    </row>
    <row r="42" spans="1:32" ht="11.1" customHeight="1">
      <c r="J42" s="2720" t="s">
        <v>2495</v>
      </c>
      <c r="K42" s="1175"/>
      <c r="L42" s="49">
        <v>3</v>
      </c>
      <c r="M42" s="290">
        <f t="shared" ca="1" si="8"/>
        <v>313.07</v>
      </c>
      <c r="N42" s="290">
        <f t="shared" ca="1" si="9"/>
        <v>112.69</v>
      </c>
      <c r="O42" s="28"/>
      <c r="P42" s="2718" t="s">
        <v>5549</v>
      </c>
      <c r="Q42" s="2718"/>
      <c r="R42" s="49">
        <v>4.5</v>
      </c>
      <c r="S42" s="290">
        <f t="shared" si="10"/>
        <v>22.5</v>
      </c>
      <c r="T42" s="241" t="s">
        <v>5224</v>
      </c>
      <c r="U42" s="28"/>
      <c r="V42" s="1"/>
      <c r="W42" s="1"/>
      <c r="X42" s="1"/>
      <c r="Y42" s="1"/>
      <c r="Z42" s="1"/>
      <c r="AA42" s="1">
        <v>7</v>
      </c>
      <c r="AB42" s="28" t="s">
        <v>4504</v>
      </c>
      <c r="AC42" s="449">
        <v>0.125</v>
      </c>
      <c r="AD42" s="28">
        <v>75</v>
      </c>
    </row>
    <row r="43" spans="1:32" ht="11.1" customHeight="1">
      <c r="A43" s="37"/>
      <c r="B43" s="3" t="s">
        <v>4604</v>
      </c>
      <c r="C43" s="38"/>
      <c r="D43" s="21">
        <f>-(((+C43+20)-(Experience!$R$15+'Main Creation Page'!$E$15))/100)</f>
        <v>0.01</v>
      </c>
      <c r="F43" s="144"/>
      <c r="G43" s="144"/>
      <c r="J43" s="2720" t="s">
        <v>2496</v>
      </c>
      <c r="K43" s="1175"/>
      <c r="L43" s="49">
        <v>1</v>
      </c>
      <c r="M43" s="290">
        <f t="shared" ca="1" si="8"/>
        <v>112.69</v>
      </c>
      <c r="N43" s="290">
        <f t="shared" ca="1" si="9"/>
        <v>45.896666666666668</v>
      </c>
      <c r="O43" s="2718" t="s">
        <v>5550</v>
      </c>
      <c r="P43" s="2718"/>
      <c r="Q43" s="2718"/>
      <c r="R43" s="49">
        <v>6</v>
      </c>
      <c r="S43" s="290">
        <f t="shared" si="10"/>
        <v>30</v>
      </c>
      <c r="T43" s="241" t="s">
        <v>5224</v>
      </c>
      <c r="U43" s="28"/>
      <c r="V43" s="1"/>
      <c r="W43" s="1"/>
      <c r="X43" s="1"/>
      <c r="Y43" s="1"/>
      <c r="Z43" s="1"/>
      <c r="AA43" s="1">
        <v>8</v>
      </c>
      <c r="AB43" s="28" t="s">
        <v>4501</v>
      </c>
      <c r="AC43" s="449">
        <v>0.125</v>
      </c>
      <c r="AD43" s="28">
        <v>80</v>
      </c>
    </row>
    <row r="44" spans="1:32" ht="11.1" customHeight="1">
      <c r="J44" s="2720" t="s">
        <v>2497</v>
      </c>
      <c r="K44" s="1175"/>
      <c r="L44" s="49">
        <v>1.5</v>
      </c>
      <c r="M44" s="290">
        <f t="shared" ca="1" si="8"/>
        <v>162.785</v>
      </c>
      <c r="N44" s="290">
        <f t="shared" ca="1" si="9"/>
        <v>62.594999999999999</v>
      </c>
      <c r="O44" s="2718" t="s">
        <v>4511</v>
      </c>
      <c r="P44" s="2718"/>
      <c r="Q44" s="2718"/>
      <c r="R44" s="49">
        <v>3</v>
      </c>
      <c r="S44" s="290">
        <f t="shared" si="10"/>
        <v>15</v>
      </c>
      <c r="T44" s="241" t="s">
        <v>5224</v>
      </c>
      <c r="U44" s="28"/>
      <c r="V44" s="1"/>
      <c r="W44" s="1"/>
      <c r="X44" s="1"/>
      <c r="Y44" s="1"/>
      <c r="Z44" s="1"/>
      <c r="AA44" s="1">
        <v>9</v>
      </c>
      <c r="AB44" s="28" t="s">
        <v>4502</v>
      </c>
      <c r="AC44" s="449">
        <v>0.125</v>
      </c>
      <c r="AD44" s="28">
        <v>85</v>
      </c>
    </row>
    <row r="45" spans="1:32" ht="11.1" customHeight="1">
      <c r="B45" t="s">
        <v>3741</v>
      </c>
      <c r="C45" s="252">
        <f>VLOOKUP(IF(G18&lt;1,1,G18),$AA$9:$AD$19,2)</f>
        <v>25</v>
      </c>
      <c r="D45" s="311" t="str">
        <f>VLOOKUP(IF(G18&lt;1,1,G18),$AA$9:$AD$19,3)</f>
        <v>circatore</v>
      </c>
      <c r="J45" s="2720" t="s">
        <v>2498</v>
      </c>
      <c r="K45" s="1175"/>
      <c r="L45" s="49">
        <v>2.5</v>
      </c>
      <c r="M45" s="290">
        <f t="shared" ca="1" si="8"/>
        <v>262.97500000000002</v>
      </c>
      <c r="N45" s="290">
        <f t="shared" ca="1" si="9"/>
        <v>95.991666666666674</v>
      </c>
      <c r="O45" s="2718" t="s">
        <v>4512</v>
      </c>
      <c r="P45" s="2718"/>
      <c r="Q45" s="2718"/>
      <c r="R45" s="49">
        <v>6</v>
      </c>
      <c r="S45" s="290">
        <f t="shared" si="10"/>
        <v>30</v>
      </c>
      <c r="T45" s="241" t="s">
        <v>5224</v>
      </c>
      <c r="U45" s="28"/>
      <c r="V45" s="1"/>
      <c r="W45" s="1"/>
      <c r="X45" s="1"/>
      <c r="Y45" s="1"/>
      <c r="Z45" s="1"/>
      <c r="AA45" s="1">
        <v>10</v>
      </c>
      <c r="AB45" s="28" t="s">
        <v>4505</v>
      </c>
      <c r="AC45" s="449">
        <v>0.125</v>
      </c>
      <c r="AD45" s="28">
        <v>90</v>
      </c>
    </row>
    <row r="46" spans="1:32" ht="11.1" customHeight="1">
      <c r="B46" t="s">
        <v>3742</v>
      </c>
      <c r="C46" s="252">
        <f>VLOOKUP(IF(G18&lt;1,1,G18),$AA$21:$AD$34,2)</f>
        <v>40</v>
      </c>
      <c r="D46" s="311" t="str">
        <f>VLOOKUP(IF(G18&lt;1,1,G18),$AA$21:$AD$34,3)</f>
        <v>canon</v>
      </c>
      <c r="J46" s="2720" t="s">
        <v>2499</v>
      </c>
      <c r="K46" s="1175"/>
      <c r="L46" s="49">
        <v>3.5</v>
      </c>
      <c r="M46" s="290">
        <f t="shared" ca="1" si="8"/>
        <v>363.16499999999996</v>
      </c>
      <c r="N46" s="290">
        <f t="shared" ca="1" si="9"/>
        <v>129.38833333333332</v>
      </c>
      <c r="O46" s="2718" t="s">
        <v>4513</v>
      </c>
      <c r="P46" s="2718"/>
      <c r="Q46" s="2718"/>
      <c r="R46" s="49">
        <v>12</v>
      </c>
      <c r="S46" s="290">
        <f t="shared" si="10"/>
        <v>60</v>
      </c>
      <c r="T46" s="241" t="s">
        <v>5224</v>
      </c>
      <c r="U46" s="28"/>
      <c r="V46" s="1"/>
      <c r="W46" s="1"/>
      <c r="X46" s="1"/>
      <c r="Y46" s="1"/>
      <c r="Z46" s="1"/>
      <c r="AA46" s="1">
        <v>11</v>
      </c>
      <c r="AB46" s="1"/>
      <c r="AC46" s="1"/>
    </row>
    <row r="47" spans="1:32" ht="10.5" customHeight="1">
      <c r="C47"/>
      <c r="D47"/>
      <c r="E47"/>
      <c r="F47"/>
      <c r="G47"/>
      <c r="H47"/>
      <c r="I47"/>
      <c r="J47"/>
      <c r="K47"/>
      <c r="L47"/>
      <c r="M47"/>
      <c r="N47"/>
      <c r="O47"/>
      <c r="P47"/>
      <c r="Q47"/>
      <c r="R47"/>
      <c r="S47"/>
      <c r="T47"/>
      <c r="U47"/>
      <c r="AA47" s="1"/>
      <c r="AB47" s="1"/>
      <c r="AC47" s="1"/>
      <c r="AD47" s="1"/>
      <c r="AE47" s="1"/>
    </row>
    <row r="48" spans="1:32" ht="10.5" hidden="1" customHeight="1" outlineLevel="1" thickTop="1">
      <c r="A48" s="366"/>
      <c r="B48" s="366"/>
      <c r="C48" s="367"/>
      <c r="D48" s="367"/>
      <c r="E48" s="367"/>
      <c r="F48" s="367"/>
      <c r="G48" s="367"/>
      <c r="H48" s="367"/>
      <c r="I48" s="368"/>
      <c r="J48" s="369"/>
      <c r="K48" s="370"/>
      <c r="L48" s="370"/>
      <c r="M48" s="368"/>
      <c r="N48" s="368"/>
      <c r="O48" s="368"/>
      <c r="P48" s="368"/>
      <c r="Q48" s="369"/>
      <c r="R48" s="370"/>
      <c r="S48" s="366"/>
      <c r="T48" s="368"/>
      <c r="U48" s="367"/>
      <c r="V48" s="367"/>
      <c r="W48" s="367"/>
      <c r="X48" s="367"/>
      <c r="Y48" s="1"/>
      <c r="Z48" s="1"/>
    </row>
    <row r="49" spans="1:26" hidden="1" outlineLevel="1">
      <c r="A49" s="2707" t="s">
        <v>5384</v>
      </c>
      <c r="B49" s="1175"/>
      <c r="C49" s="2709" t="s">
        <v>291</v>
      </c>
      <c r="D49" s="2709" t="s">
        <v>3045</v>
      </c>
      <c r="E49" s="2709" t="s">
        <v>5086</v>
      </c>
      <c r="F49" s="2709" t="s">
        <v>5526</v>
      </c>
      <c r="G49" s="2709" t="s">
        <v>3044</v>
      </c>
      <c r="H49" s="2709" t="s">
        <v>4610</v>
      </c>
      <c r="I49" s="2721" t="s">
        <v>3047</v>
      </c>
      <c r="J49" s="2721" t="s">
        <v>1988</v>
      </c>
      <c r="K49" s="290"/>
      <c r="L49"/>
      <c r="M49"/>
      <c r="N49" s="290"/>
      <c r="O49" s="28"/>
      <c r="P49" s="2713" t="s">
        <v>579</v>
      </c>
      <c r="Q49" s="2705"/>
      <c r="U49" s="1" t="s">
        <v>4270</v>
      </c>
      <c r="V49" s="1"/>
      <c r="W49" s="1"/>
      <c r="X49" s="1"/>
      <c r="Y49" s="1"/>
      <c r="Z49" s="1"/>
    </row>
    <row r="50" spans="1:26" ht="10.5" hidden="1" customHeight="1" outlineLevel="1">
      <c r="C50" s="1535"/>
      <c r="D50" s="1535"/>
      <c r="E50" s="1535"/>
      <c r="F50" s="1535"/>
      <c r="G50" s="1535"/>
      <c r="H50" s="1535"/>
      <c r="I50" s="1535"/>
      <c r="J50" s="1535"/>
      <c r="L50"/>
      <c r="M50"/>
      <c r="N50"/>
      <c r="O50"/>
      <c r="R50" s="2" t="s">
        <v>578</v>
      </c>
      <c r="S50" s="2" t="s">
        <v>2810</v>
      </c>
      <c r="T50" s="8" t="s">
        <v>3940</v>
      </c>
      <c r="U50" s="8" t="s">
        <v>2811</v>
      </c>
      <c r="V50" s="1" t="s">
        <v>5227</v>
      </c>
      <c r="W50" s="1"/>
      <c r="X50" s="1"/>
    </row>
    <row r="51" spans="1:26" ht="10.5" hidden="1" customHeight="1" outlineLevel="1">
      <c r="A51" s="47" t="s">
        <v>5386</v>
      </c>
      <c r="B51" s="535" t="s">
        <v>6136</v>
      </c>
      <c r="C51" s="308" t="s">
        <v>2486</v>
      </c>
      <c r="D51" s="18">
        <v>5</v>
      </c>
      <c r="E51" s="51">
        <v>6</v>
      </c>
      <c r="F51" s="51"/>
      <c r="G51" s="19">
        <f>VLOOKUP('Main Creation Page'!E15*2,'System Lookups'!A3:D146,2)</f>
        <v>0.2</v>
      </c>
      <c r="H51" s="20">
        <f>F51*0.03</f>
        <v>0</v>
      </c>
      <c r="I51" s="20">
        <f>G51+H51</f>
        <v>0.2</v>
      </c>
      <c r="J51" s="21">
        <f>IF(ISBLANK(F51),(AA4+G51),(I51+AB4))</f>
        <v>0.25</v>
      </c>
      <c r="L51"/>
      <c r="M51"/>
      <c r="N51"/>
      <c r="O51"/>
      <c r="Q51" s="9" t="s">
        <v>3220</v>
      </c>
      <c r="R51" s="18">
        <v>5</v>
      </c>
      <c r="S51" s="18" t="str">
        <f t="shared" ref="S51:S60" si="11">IF($G$58&gt;=R51,"Y","N")</f>
        <v>Y</v>
      </c>
      <c r="T51" s="18">
        <v>-1</v>
      </c>
      <c r="U51" s="21">
        <f>$L$7</f>
        <v>0.9</v>
      </c>
      <c r="V51" s="46" t="str">
        <f>IF(Magick!$A$3=32,+(R51*60)/$G$18," ")</f>
        <v xml:space="preserve"> </v>
      </c>
      <c r="W51" s="1"/>
      <c r="X51" s="1"/>
    </row>
    <row r="52" spans="1:26" ht="10.5" hidden="1" customHeight="1" outlineLevel="1">
      <c r="A52" s="47" t="s">
        <v>1798</v>
      </c>
      <c r="C52" s="309" t="s">
        <v>1841</v>
      </c>
      <c r="D52" s="18">
        <v>4</v>
      </c>
      <c r="E52" s="51">
        <v>5</v>
      </c>
      <c r="F52" s="51"/>
      <c r="G52" s="21">
        <f>VLOOKUP('Main Creation Page'!E$13+'Main Creation Page'!E$14,'System Lookups'!$A$3:$D$146,2)</f>
        <v>0.08</v>
      </c>
      <c r="H52" s="20">
        <f>F52*0.03</f>
        <v>0</v>
      </c>
      <c r="I52" s="20">
        <f>G52+H52</f>
        <v>0.08</v>
      </c>
      <c r="J52" s="21">
        <f>IF(ISBLANK(F52),(AA5+G52),(I52+AB5))</f>
        <v>0.18</v>
      </c>
      <c r="L52"/>
      <c r="M52"/>
      <c r="N52"/>
      <c r="O52"/>
      <c r="Q52" s="9" t="s">
        <v>4819</v>
      </c>
      <c r="R52" s="18">
        <v>5</v>
      </c>
      <c r="S52" s="18" t="str">
        <f t="shared" si="11"/>
        <v>Y</v>
      </c>
      <c r="T52" s="18">
        <v>-1</v>
      </c>
      <c r="U52" s="21">
        <f>$L$7</f>
        <v>0.9</v>
      </c>
      <c r="V52" s="46" t="str">
        <f>IF(Magick!$A$3=32,+(R52*60)/$G$18," ")</f>
        <v xml:space="preserve"> </v>
      </c>
      <c r="W52" s="1"/>
      <c r="X52" s="1"/>
    </row>
    <row r="53" spans="1:26" ht="10.5" hidden="1" customHeight="1" outlineLevel="1">
      <c r="A53" s="192"/>
      <c r="B53" s="1"/>
      <c r="C53" s="9" t="s">
        <v>2303</v>
      </c>
      <c r="D53" s="51" t="s">
        <v>5224</v>
      </c>
      <c r="E53" s="21" t="str">
        <f>IF(D53="Y",IF(F$52=" ",0,F$52/100), " ")</f>
        <v xml:space="preserve"> </v>
      </c>
      <c r="F53" s="18" t="str">
        <f>IF(D53="Y",1," ")</f>
        <v xml:space="preserve"> </v>
      </c>
      <c r="G53"/>
      <c r="H53"/>
      <c r="I53"/>
      <c r="L53"/>
      <c r="M53"/>
      <c r="N53"/>
      <c r="O53"/>
      <c r="Q53" s="9" t="s">
        <v>3221</v>
      </c>
      <c r="R53" s="18">
        <v>5</v>
      </c>
      <c r="S53" s="18" t="str">
        <f t="shared" si="11"/>
        <v>Y</v>
      </c>
      <c r="T53" s="18">
        <v>-1</v>
      </c>
      <c r="U53" s="21">
        <f>$L$7</f>
        <v>0.9</v>
      </c>
      <c r="V53" s="46" t="str">
        <f>IF(Magick!$A$3=32,+(R53*60)/$G$18," ")</f>
        <v xml:space="preserve"> </v>
      </c>
      <c r="X53" s="1"/>
    </row>
    <row r="54" spans="1:26" ht="10.5" hidden="1" customHeight="1" outlineLevel="1">
      <c r="A54" s="192"/>
      <c r="B54" s="1"/>
      <c r="C54" s="9" t="s">
        <v>2304</v>
      </c>
      <c r="D54" s="51" t="s">
        <v>5224</v>
      </c>
      <c r="E54" s="18" t="str">
        <f>IF(D54="Y",1," ")</f>
        <v xml:space="preserve"> </v>
      </c>
      <c r="G54"/>
      <c r="H54"/>
      <c r="I54"/>
      <c r="L54"/>
      <c r="M54"/>
      <c r="N54"/>
      <c r="O54"/>
      <c r="Q54" s="9" t="s">
        <v>3222</v>
      </c>
      <c r="R54" s="18">
        <v>5</v>
      </c>
      <c r="S54" s="18" t="str">
        <f t="shared" si="11"/>
        <v>Y</v>
      </c>
      <c r="T54" s="18">
        <v>-1</v>
      </c>
      <c r="U54" s="21">
        <f>I51/2</f>
        <v>0.1</v>
      </c>
      <c r="V54" s="46" t="str">
        <f>IF(Magick!$A$3=32,+(R54*60)/$G$18," ")</f>
        <v xml:space="preserve"> </v>
      </c>
      <c r="W54" s="1"/>
      <c r="X54" s="1"/>
    </row>
    <row r="55" spans="1:26" ht="10.5" hidden="1" customHeight="1" outlineLevel="1">
      <c r="A55" s="192"/>
      <c r="B55" s="1"/>
      <c r="C55" s="9" t="s">
        <v>4607</v>
      </c>
      <c r="D55" s="51" t="s">
        <v>5224</v>
      </c>
      <c r="E55" s="21" t="str">
        <f>IF(D55="Y",IF(F$52=" ",0,F$52/100)*2," ")</f>
        <v xml:space="preserve"> </v>
      </c>
      <c r="G55"/>
      <c r="H55"/>
      <c r="I55"/>
      <c r="L55"/>
      <c r="M55"/>
      <c r="N55"/>
      <c r="O55"/>
      <c r="Q55" s="9" t="s">
        <v>3223</v>
      </c>
      <c r="R55" s="18">
        <v>5</v>
      </c>
      <c r="S55" s="18" t="str">
        <f t="shared" si="11"/>
        <v>Y</v>
      </c>
      <c r="T55" s="18" t="s">
        <v>1742</v>
      </c>
      <c r="U55" s="21">
        <f>I51</f>
        <v>0.2</v>
      </c>
      <c r="V55" s="46" t="str">
        <f>IF(Magick!$A$3=32,+(R55*60)/$G$18," ")</f>
        <v xml:space="preserve"> </v>
      </c>
      <c r="W55" s="1"/>
      <c r="X55" s="1"/>
    </row>
    <row r="56" spans="1:26" ht="10.5" hidden="1" customHeight="1" outlineLevel="1">
      <c r="A56" s="192"/>
      <c r="C56" s="2719" t="s">
        <v>1275</v>
      </c>
      <c r="D56" s="1516"/>
      <c r="E56" s="23" t="s">
        <v>3854</v>
      </c>
      <c r="F56" s="8" t="s">
        <v>578</v>
      </c>
      <c r="G56" s="8" t="s">
        <v>578</v>
      </c>
      <c r="H56" s="12" t="s">
        <v>1273</v>
      </c>
      <c r="I56" s="296"/>
      <c r="L56"/>
      <c r="M56"/>
      <c r="N56"/>
      <c r="O56"/>
      <c r="Q56" s="9" t="s">
        <v>3035</v>
      </c>
      <c r="R56" s="18">
        <v>5</v>
      </c>
      <c r="S56" s="18" t="str">
        <f t="shared" si="11"/>
        <v>Y</v>
      </c>
      <c r="T56" s="18">
        <v>-3</v>
      </c>
      <c r="U56" s="21">
        <f>I51</f>
        <v>0.2</v>
      </c>
      <c r="V56" s="46" t="str">
        <f>IF(Magick!$A$3=32,+(R56*60)/$G$18," ")</f>
        <v xml:space="preserve"> </v>
      </c>
      <c r="W56" s="1"/>
      <c r="X56" s="1"/>
    </row>
    <row r="57" spans="1:26" ht="10.5" hidden="1" customHeight="1" outlineLevel="1">
      <c r="A57" s="192"/>
      <c r="C57" s="23" t="s">
        <v>5382</v>
      </c>
      <c r="D57" s="23" t="s">
        <v>3854</v>
      </c>
      <c r="E57" s="23" t="s">
        <v>378</v>
      </c>
      <c r="F57" s="23" t="s">
        <v>940</v>
      </c>
      <c r="G57" s="23" t="s">
        <v>5090</v>
      </c>
      <c r="H57" s="301" t="s">
        <v>5383</v>
      </c>
      <c r="I57" s="297"/>
      <c r="J57" s="8"/>
      <c r="K57" s="46"/>
      <c r="L57"/>
      <c r="M57"/>
      <c r="N57"/>
      <c r="O57"/>
      <c r="Q57" s="9" t="s">
        <v>374</v>
      </c>
      <c r="R57" s="18">
        <v>5</v>
      </c>
      <c r="S57" s="18" t="str">
        <f t="shared" si="11"/>
        <v>Y</v>
      </c>
      <c r="T57" s="18">
        <v>-1</v>
      </c>
      <c r="U57" s="21">
        <f>I51</f>
        <v>0.2</v>
      </c>
      <c r="V57" s="46" t="str">
        <f>IF(Magick!$A$3=32,+(R57*60)/$G$18," ")</f>
        <v xml:space="preserve"> </v>
      </c>
      <c r="W57" s="1"/>
      <c r="X57" s="1"/>
    </row>
    <row r="58" spans="1:26" ht="10.5" hidden="1" customHeight="1" outlineLevel="1">
      <c r="A58" s="371" t="s">
        <v>4609</v>
      </c>
      <c r="C58" s="40">
        <f>L6/2</f>
        <v>10</v>
      </c>
      <c r="D58" s="40">
        <f>C58</f>
        <v>10</v>
      </c>
      <c r="E58" s="40">
        <f>$H$58+D58</f>
        <v>10</v>
      </c>
      <c r="F58" s="42">
        <f>VLOOKUP('Main Creation Page'!$E$15,'System Lookups'!D3:E26,2)</f>
        <v>18</v>
      </c>
      <c r="G58" s="18">
        <f>F58+(F51*3)</f>
        <v>18</v>
      </c>
      <c r="H58" s="302">
        <v>0</v>
      </c>
      <c r="I58" s="2724" t="str">
        <f>IF(E58&lt;1,"Unbeliever",IF(E58&lt;4,"Sceptical",IF(E58&lt;7,"Transgressor",IF(E58&lt;11,"Marginal",IF(E58&lt;21,"True",IF(E58&lt;36,"Devout",IF(E58&lt;50,"Fervent","Sainted")))))))</f>
        <v>Marginal</v>
      </c>
      <c r="J58" s="2725"/>
      <c r="K58" s="2726"/>
      <c r="L58"/>
      <c r="M58"/>
      <c r="N58"/>
      <c r="O58"/>
      <c r="Q58" s="9" t="s">
        <v>3224</v>
      </c>
      <c r="R58" s="18">
        <v>5</v>
      </c>
      <c r="S58" s="18" t="str">
        <f t="shared" si="11"/>
        <v>Y</v>
      </c>
      <c r="T58" s="18" t="s">
        <v>1742</v>
      </c>
      <c r="U58" s="21">
        <f>I51</f>
        <v>0.2</v>
      </c>
      <c r="V58" s="46" t="str">
        <f>IF(Magick!$A$3=32,+(R58*60)/$G$18," ")</f>
        <v xml:space="preserve"> </v>
      </c>
      <c r="W58" s="1"/>
      <c r="X58" s="1"/>
    </row>
    <row r="59" spans="1:26" ht="10.5" hidden="1" customHeight="1" outlineLevel="1">
      <c r="H59" s="84"/>
      <c r="I59" s="2727" t="s">
        <v>3943</v>
      </c>
      <c r="J59" s="2728"/>
      <c r="K59" s="2728"/>
      <c r="L59"/>
      <c r="M59"/>
      <c r="N59"/>
      <c r="O59"/>
      <c r="Q59" s="9" t="s">
        <v>3225</v>
      </c>
      <c r="R59" s="18">
        <v>5</v>
      </c>
      <c r="S59" s="18" t="str">
        <f t="shared" si="11"/>
        <v>Y</v>
      </c>
      <c r="T59" s="18">
        <v>-3</v>
      </c>
      <c r="U59" s="21">
        <f>I51*(2/3)</f>
        <v>0.13333333333333333</v>
      </c>
      <c r="V59" s="46" t="str">
        <f>IF(Magick!$A$3=32,+(R59*60)/$G$18," ")</f>
        <v xml:space="preserve"> </v>
      </c>
      <c r="W59" s="1"/>
      <c r="X59" s="1"/>
    </row>
    <row r="60" spans="1:26" ht="10.5" hidden="1" customHeight="1" outlineLevel="1">
      <c r="B60" s="9" t="s">
        <v>1800</v>
      </c>
      <c r="C60" s="51" t="s">
        <v>5224</v>
      </c>
      <c r="H60" s="250"/>
      <c r="I60" s="40">
        <f>L6/3</f>
        <v>6.666666666666667</v>
      </c>
      <c r="J60" s="8" t="s">
        <v>4719</v>
      </c>
      <c r="L60"/>
      <c r="M60"/>
      <c r="N60"/>
      <c r="O60"/>
      <c r="Q60" s="9" t="s">
        <v>2812</v>
      </c>
      <c r="R60" s="18">
        <v>10</v>
      </c>
      <c r="S60" s="18" t="str">
        <f t="shared" si="11"/>
        <v>Y</v>
      </c>
      <c r="T60" s="18">
        <v>-1</v>
      </c>
      <c r="U60" s="21">
        <f>I51+(H58/100)</f>
        <v>0.2</v>
      </c>
      <c r="V60" s="46" t="str">
        <f>IF(Magick!$A$3=32,+(R60*60)/$G$18," ")</f>
        <v xml:space="preserve"> </v>
      </c>
      <c r="W60" s="1"/>
      <c r="X60" s="1"/>
    </row>
    <row r="61" spans="1:26" ht="10.5" hidden="1" customHeight="1" outlineLevel="1">
      <c r="B61" s="9" t="s">
        <v>2742</v>
      </c>
      <c r="C61" s="51" t="s">
        <v>5224</v>
      </c>
      <c r="I61" s="21">
        <f>IF(E58&lt;1,0.03,IF(E58&lt;4,0.03,IF(E58&lt;7,0.03,IF(E58&lt;11,0.04,IF(E58&lt;21,0.05,IF(E58&lt;36,0.06,IF(E58&lt;50,0.06,0.07)))))))</f>
        <v>0.04</v>
      </c>
      <c r="J61" s="8" t="s">
        <v>3942</v>
      </c>
      <c r="L61"/>
      <c r="M61"/>
      <c r="N61"/>
      <c r="O61"/>
      <c r="Q61"/>
      <c r="V61" s="1"/>
      <c r="W61" s="1"/>
      <c r="X61" s="1"/>
    </row>
    <row r="62" spans="1:26" ht="10.5" hidden="1" customHeight="1" outlineLevel="1">
      <c r="B62" s="9" t="s">
        <v>3583</v>
      </c>
      <c r="C62" s="18">
        <f>IF(D52="Y",ROUNDUP(+'Main Creation Page'!E15/3,0),0)</f>
        <v>0</v>
      </c>
      <c r="D62" s="56" t="s">
        <v>2229</v>
      </c>
      <c r="I62" s="18">
        <f>IF(E58&lt;1,0,IF(E58&lt;4,-1,IF(E58&lt;7,-1,IF(E58&lt;11,-1,IF(E58&lt;21,-1,IF(E58&lt;36,-2,IF(E58&lt;50,-3,-4)))))))</f>
        <v>-1</v>
      </c>
      <c r="J62" s="8" t="s">
        <v>3944</v>
      </c>
      <c r="L62"/>
      <c r="M62"/>
      <c r="N62"/>
      <c r="O62"/>
      <c r="Q62" s="9"/>
      <c r="R62" s="9" t="s">
        <v>5314</v>
      </c>
      <c r="V62" s="1" t="s">
        <v>4270</v>
      </c>
      <c r="W62" s="1"/>
      <c r="X62" s="1"/>
    </row>
    <row r="63" spans="1:26" ht="10.5" hidden="1" customHeight="1" outlineLevel="1">
      <c r="L63"/>
      <c r="M63"/>
      <c r="N63"/>
      <c r="O63"/>
      <c r="Q63" s="2"/>
      <c r="R63" s="2" t="s">
        <v>578</v>
      </c>
      <c r="S63" s="2" t="s">
        <v>2810</v>
      </c>
      <c r="T63" s="8" t="s">
        <v>3941</v>
      </c>
      <c r="U63" s="8" t="s">
        <v>2811</v>
      </c>
      <c r="V63" s="1" t="s">
        <v>5227</v>
      </c>
      <c r="W63" s="1"/>
      <c r="X63" s="1"/>
    </row>
    <row r="64" spans="1:26" ht="10.5" hidden="1" customHeight="1" outlineLevel="1">
      <c r="L64"/>
      <c r="M64"/>
      <c r="N64"/>
      <c r="O64"/>
      <c r="Q64" s="9" t="s">
        <v>5001</v>
      </c>
      <c r="R64" s="18">
        <v>10</v>
      </c>
      <c r="S64" s="18" t="str">
        <f>IF($G$58&gt;=R64,"Y","N")</f>
        <v>Y</v>
      </c>
      <c r="T64" s="74" t="s">
        <v>3938</v>
      </c>
      <c r="U64" s="74">
        <f>IF(L48&gt;25,10,IF(L48&gt;20,3,IF(L48&gt;15,2,IF(L48&gt;13,1,0))))</f>
        <v>0</v>
      </c>
      <c r="V64" s="21">
        <f>L45*(2/3)</f>
        <v>1.6666666666666665</v>
      </c>
      <c r="W64" s="1"/>
      <c r="X64" s="1"/>
    </row>
    <row r="65" spans="1:29" ht="10.5" hidden="1" customHeight="1" outlineLevel="1">
      <c r="L65"/>
      <c r="M65"/>
      <c r="N65"/>
      <c r="O65"/>
      <c r="Q65" s="9" t="s">
        <v>1019</v>
      </c>
      <c r="R65" s="18">
        <v>25</v>
      </c>
      <c r="S65" s="18" t="str">
        <f>IF($G$58&gt;=R65,"Y","N")</f>
        <v>N</v>
      </c>
      <c r="T65" s="74" t="s">
        <v>3937</v>
      </c>
      <c r="U65" s="74">
        <f>IF(L48&gt;26,5,IF(L48&gt;22,4,IF(L48&gt;19,3,IF(L48&gt;17,2,IF(L48&gt;14,1,0)))))</f>
        <v>0</v>
      </c>
      <c r="V65" s="21">
        <f>N49/2</f>
        <v>0</v>
      </c>
      <c r="W65" s="1"/>
      <c r="X65" s="1"/>
    </row>
    <row r="66" spans="1:29" ht="10.5" hidden="1" customHeight="1" outlineLevel="1">
      <c r="L66"/>
      <c r="M66"/>
      <c r="N66"/>
      <c r="O66"/>
      <c r="Q66" s="9" t="s">
        <v>1020</v>
      </c>
      <c r="R66" s="18">
        <v>50</v>
      </c>
      <c r="S66" s="18" t="str">
        <f>IF($G$58&gt;=R66,"Y","N")</f>
        <v>N</v>
      </c>
      <c r="T66" s="74" t="s">
        <v>3939</v>
      </c>
      <c r="U66" s="74">
        <f>IF(L48&gt;27,5,IF(L48&gt;23,4,IF(L48&gt;19,3,IF(L48&gt;17,2,IF(L48&gt;15,1,0)))))</f>
        <v>0</v>
      </c>
      <c r="V66" s="21">
        <f>$L$7*(1/3)</f>
        <v>0.3</v>
      </c>
      <c r="W66" s="1"/>
      <c r="X66" s="1"/>
      <c r="AA66" s="1"/>
      <c r="AB66" s="1"/>
      <c r="AC66" s="1"/>
    </row>
    <row r="67" spans="1:29" ht="10.5" hidden="1" customHeight="1" outlineLevel="1">
      <c r="A67" s="286"/>
      <c r="I67"/>
      <c r="J67"/>
      <c r="K67"/>
      <c r="L67"/>
      <c r="M67"/>
      <c r="N67"/>
      <c r="O67"/>
      <c r="P67"/>
      <c r="Q67"/>
      <c r="R67"/>
      <c r="S67"/>
      <c r="V67" s="1"/>
      <c r="W67" s="1"/>
      <c r="X67" s="1"/>
      <c r="Y67" s="1"/>
      <c r="Z67" s="1"/>
      <c r="AA67" s="1"/>
    </row>
    <row r="68" spans="1:29" ht="10.5" hidden="1" customHeight="1" outlineLevel="1">
      <c r="L68"/>
      <c r="M68"/>
      <c r="V68" s="1"/>
      <c r="W68" s="1"/>
      <c r="X68" s="1"/>
      <c r="Y68" s="1"/>
      <c r="Z68" s="1"/>
      <c r="AA68" s="1"/>
    </row>
    <row r="69" spans="1:29" ht="10.5" hidden="1" customHeight="1" outlineLevel="1">
      <c r="V69" s="1"/>
      <c r="W69" s="1"/>
      <c r="X69" s="1"/>
      <c r="Y69" s="1"/>
      <c r="Z69" s="1"/>
      <c r="AA69" s="1"/>
    </row>
    <row r="70" spans="1:29" ht="10.5" hidden="1" customHeight="1" outlineLevel="1">
      <c r="V70" s="1"/>
      <c r="W70" s="1"/>
      <c r="X70" s="1"/>
      <c r="Y70" s="1"/>
      <c r="Z70" s="1"/>
      <c r="AA70" s="1"/>
    </row>
    <row r="71" spans="1:29" ht="10.5" customHeight="1" collapsed="1">
      <c r="A71" s="2707" t="s">
        <v>5384</v>
      </c>
      <c r="B71" s="1175"/>
      <c r="V71" s="1"/>
      <c r="W71" s="1"/>
      <c r="X71" s="1"/>
      <c r="Y71" s="1"/>
      <c r="Z71" s="1"/>
      <c r="AA71" s="1"/>
    </row>
    <row r="72" spans="1:29" ht="10.5" customHeight="1">
      <c r="X72" s="1"/>
      <c r="Y72" s="1"/>
      <c r="Z72" s="1"/>
      <c r="AA72" s="1"/>
    </row>
    <row r="73" spans="1:29" ht="10.5" customHeight="1">
      <c r="X73" s="1"/>
      <c r="Y73" s="1"/>
      <c r="Z73" s="1"/>
      <c r="AA73" s="1"/>
    </row>
    <row r="74" spans="1:29" ht="10.5" customHeight="1">
      <c r="X74" s="1"/>
      <c r="Y74" s="1"/>
      <c r="Z74" s="1"/>
      <c r="AA74" s="1"/>
      <c r="AB74" s="1"/>
      <c r="AC74" s="1"/>
    </row>
    <row r="75" spans="1:29" ht="10.5" customHeight="1">
      <c r="X75" s="1"/>
      <c r="Y75" s="1"/>
      <c r="Z75" s="1"/>
      <c r="AA75" s="1"/>
      <c r="AB75" s="1"/>
      <c r="AC75" s="1"/>
    </row>
    <row r="76" spans="1:29" ht="10.5" customHeight="1">
      <c r="X76" s="1"/>
      <c r="Y76" s="1"/>
      <c r="Z76" s="1"/>
      <c r="AA76" s="1"/>
      <c r="AB76" s="1"/>
      <c r="AC76" s="1"/>
    </row>
    <row r="77" spans="1:29" ht="10.5" customHeight="1">
      <c r="X77" s="1"/>
      <c r="Y77" s="1"/>
      <c r="Z77" s="1"/>
      <c r="AA77" s="1"/>
      <c r="AB77" s="1"/>
      <c r="AC77" s="1"/>
    </row>
    <row r="78" spans="1:29" ht="10.5" customHeight="1">
      <c r="X78" s="1"/>
      <c r="Y78" s="1"/>
      <c r="Z78" s="1"/>
      <c r="AA78" s="1"/>
      <c r="AB78" s="1"/>
      <c r="AC78" s="1"/>
    </row>
    <row r="79" spans="1:29" ht="10.5" customHeight="1">
      <c r="X79" s="1"/>
      <c r="Y79" s="1"/>
      <c r="Z79" s="1"/>
      <c r="AA79" s="1"/>
      <c r="AB79" s="1"/>
      <c r="AC79" s="1"/>
    </row>
    <row r="80" spans="1:29" ht="10.5" customHeight="1">
      <c r="X80" s="1"/>
      <c r="Y80" s="1"/>
      <c r="Z80" s="1"/>
      <c r="AA80" s="1"/>
      <c r="AB80" s="1"/>
      <c r="AC80" s="1"/>
    </row>
    <row r="81" spans="2:29" ht="10.5" customHeight="1">
      <c r="X81" s="1"/>
      <c r="Y81" s="1"/>
      <c r="Z81" s="1"/>
      <c r="AA81" s="1"/>
      <c r="AB81" s="1"/>
      <c r="AC81" s="1"/>
    </row>
    <row r="82" spans="2:29" ht="10.5" customHeight="1">
      <c r="X82" s="1"/>
      <c r="Y82" s="1"/>
      <c r="Z82" s="1"/>
      <c r="AA82" s="1"/>
      <c r="AB82" s="1"/>
      <c r="AC82" s="1"/>
    </row>
    <row r="83" spans="2:29" ht="10.5" customHeight="1">
      <c r="X83" s="1"/>
      <c r="Y83" s="1"/>
      <c r="Z83" s="1"/>
    </row>
    <row r="84" spans="2:29" ht="10.5" customHeight="1">
      <c r="B84" s="1"/>
      <c r="X84" s="1"/>
      <c r="Y84" s="1"/>
      <c r="Z84" s="1"/>
    </row>
    <row r="85" spans="2:29" ht="10.5" customHeight="1"/>
    <row r="86" spans="2:29" ht="10.5" customHeight="1"/>
    <row r="87" spans="2:29" ht="10.5" customHeight="1"/>
    <row r="88" spans="2:29" ht="10.5" customHeight="1"/>
    <row r="89" spans="2:29" ht="10.5" customHeight="1"/>
    <row r="90" spans="2:29" ht="10.5" customHeight="1"/>
    <row r="91" spans="2:29" ht="10.5" customHeight="1"/>
    <row r="92" spans="2:29"/>
    <row r="93" spans="2:29"/>
    <row r="94" spans="2:29"/>
    <row r="95" spans="2:29"/>
    <row r="96" spans="2:29"/>
    <row r="97"/>
    <row r="98"/>
    <row r="99"/>
  </sheetData>
  <mergeCells count="86">
    <mergeCell ref="L9:M9"/>
    <mergeCell ref="L10:M10"/>
    <mergeCell ref="L11:M11"/>
    <mergeCell ref="I59:K59"/>
    <mergeCell ref="I26:J26"/>
    <mergeCell ref="I27:J27"/>
    <mergeCell ref="I28:J28"/>
    <mergeCell ref="I29:J29"/>
    <mergeCell ref="I30:J30"/>
    <mergeCell ref="I33:J33"/>
    <mergeCell ref="I34:J34"/>
    <mergeCell ref="I58:K58"/>
    <mergeCell ref="I24:J24"/>
    <mergeCell ref="J44:K44"/>
    <mergeCell ref="J45:K45"/>
    <mergeCell ref="P26:Q26"/>
    <mergeCell ref="P27:Q27"/>
    <mergeCell ref="J40:K40"/>
    <mergeCell ref="J41:K41"/>
    <mergeCell ref="J42:K42"/>
    <mergeCell ref="P30:Q30"/>
    <mergeCell ref="P31:Q31"/>
    <mergeCell ref="P49:Q49"/>
    <mergeCell ref="P29:Q29"/>
    <mergeCell ref="P28:Q28"/>
    <mergeCell ref="I18:K18"/>
    <mergeCell ref="I19:K19"/>
    <mergeCell ref="P34:Q34"/>
    <mergeCell ref="P24:Q24"/>
    <mergeCell ref="P25:Q25"/>
    <mergeCell ref="P32:Q32"/>
    <mergeCell ref="P33:Q33"/>
    <mergeCell ref="O22:Q22"/>
    <mergeCell ref="J43:K43"/>
    <mergeCell ref="P42:Q42"/>
    <mergeCell ref="O43:Q43"/>
    <mergeCell ref="I31:J31"/>
    <mergeCell ref="I32:J32"/>
    <mergeCell ref="C56:D56"/>
    <mergeCell ref="C16:D16"/>
    <mergeCell ref="J46:K46"/>
    <mergeCell ref="J49:J50"/>
    <mergeCell ref="F49:F50"/>
    <mergeCell ref="G49:G50"/>
    <mergeCell ref="H49:H50"/>
    <mergeCell ref="I49:I50"/>
    <mergeCell ref="J36:N36"/>
    <mergeCell ref="J39:K39"/>
    <mergeCell ref="O46:Q46"/>
    <mergeCell ref="P39:Q39"/>
    <mergeCell ref="P40:Q40"/>
    <mergeCell ref="P41:Q41"/>
    <mergeCell ref="O44:Q44"/>
    <mergeCell ref="O45:Q45"/>
    <mergeCell ref="A1:X1"/>
    <mergeCell ref="B12:C12"/>
    <mergeCell ref="B15:C15"/>
    <mergeCell ref="A14:C14"/>
    <mergeCell ref="A13:C13"/>
    <mergeCell ref="B5:C5"/>
    <mergeCell ref="B6:C6"/>
    <mergeCell ref="B7:C7"/>
    <mergeCell ref="O2:Q2"/>
    <mergeCell ref="G5:J5"/>
    <mergeCell ref="O11:Q11"/>
    <mergeCell ref="O12:Q12"/>
    <mergeCell ref="O13:Q13"/>
    <mergeCell ref="O14:Q14"/>
    <mergeCell ref="O15:Q15"/>
    <mergeCell ref="L8:N8"/>
    <mergeCell ref="O16:Q16"/>
    <mergeCell ref="O17:Q17"/>
    <mergeCell ref="A71:B71"/>
    <mergeCell ref="A2:B2"/>
    <mergeCell ref="F12:H12"/>
    <mergeCell ref="O4:Q4"/>
    <mergeCell ref="O5:Q5"/>
    <mergeCell ref="O6:Q6"/>
    <mergeCell ref="O7:Q7"/>
    <mergeCell ref="O8:Q8"/>
    <mergeCell ref="O9:Q9"/>
    <mergeCell ref="O10:Q10"/>
    <mergeCell ref="A49:B49"/>
    <mergeCell ref="C49:C50"/>
    <mergeCell ref="D49:D50"/>
    <mergeCell ref="E49:E50"/>
  </mergeCells>
  <phoneticPr fontId="17" type="noConversion"/>
  <conditionalFormatting sqref="E15">
    <cfRule type="cellIs" dxfId="78" priority="1" stopIfTrue="1" operator="equal">
      <formula>0</formula>
    </cfRule>
  </conditionalFormatting>
  <conditionalFormatting sqref="F20:G21">
    <cfRule type="expression" dxfId="77" priority="2" stopIfTrue="1">
      <formula>$C$21="N"</formula>
    </cfRule>
  </conditionalFormatting>
  <pageMargins left="0.5" right="0.5" top="0.5" bottom="0.5" header="0" footer="0"/>
  <pageSetup scale="75" orientation="landscape"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sheetPr codeName="Sheet13"/>
  <dimension ref="A1:AN416"/>
  <sheetViews>
    <sheetView workbookViewId="0"/>
  </sheetViews>
  <sheetFormatPr defaultRowHeight="12.75"/>
  <cols>
    <col min="1" max="18" width="3.7109375" customWidth="1"/>
    <col min="19" max="19" width="3.7109375" customWidth="1" collapsed="1"/>
    <col min="20" max="21" width="3.7109375" customWidth="1"/>
    <col min="22" max="22" width="3.7109375" customWidth="1" collapsed="1"/>
    <col min="23" max="27" width="3.7109375" customWidth="1"/>
    <col min="28" max="28" width="3.7109375" customWidth="1" collapsed="1"/>
    <col min="29" max="30" width="3.7109375" customWidth="1"/>
    <col min="31" max="31" width="3.7109375" customWidth="1" collapsed="1"/>
    <col min="32" max="32" width="3.7109375" customWidth="1"/>
    <col min="33" max="39" width="5.7109375" customWidth="1"/>
    <col min="40" max="40" width="5.7109375" customWidth="1" collapsed="1"/>
    <col min="41" max="59" width="5.7109375" customWidth="1"/>
  </cols>
  <sheetData>
    <row r="1" spans="1:23" ht="5.0999999999999996" customHeight="1">
      <c r="A1" t="s">
        <v>1071</v>
      </c>
      <c r="C1" t="s">
        <v>3558</v>
      </c>
      <c r="F1" t="s">
        <v>5221</v>
      </c>
      <c r="G1" t="s">
        <v>4623</v>
      </c>
      <c r="H1" t="s">
        <v>1589</v>
      </c>
      <c r="J1" t="s">
        <v>3015</v>
      </c>
      <c r="L1" t="s">
        <v>3560</v>
      </c>
      <c r="N1" t="s">
        <v>3561</v>
      </c>
      <c r="P1" t="s">
        <v>187</v>
      </c>
      <c r="Q1" t="s">
        <v>3104</v>
      </c>
      <c r="R1" t="s">
        <v>2743</v>
      </c>
      <c r="S1" t="s">
        <v>456</v>
      </c>
      <c r="T1" t="s">
        <v>1871</v>
      </c>
      <c r="U1" t="s">
        <v>555</v>
      </c>
      <c r="V1" t="s">
        <v>2212</v>
      </c>
      <c r="W1" t="s">
        <v>2213</v>
      </c>
    </row>
    <row r="2" spans="1:23" ht="5.0999999999999996" customHeight="1">
      <c r="B2">
        <v>1</v>
      </c>
      <c r="C2" t="str">
        <f>IF('Main Creation Page'!$I$31="M",F2,G2)</f>
        <v>Cloak</v>
      </c>
      <c r="D2">
        <f>IF('Main Creation Page'!$I$31="M",H2,I2)</f>
        <v>36</v>
      </c>
      <c r="E2">
        <f>IF('Main Creation Page'!$I$31="M",J2,K2)</f>
        <v>72</v>
      </c>
      <c r="F2" t="s">
        <v>1590</v>
      </c>
      <c r="G2" t="s">
        <v>1598</v>
      </c>
      <c r="H2">
        <v>36</v>
      </c>
      <c r="I2">
        <v>30</v>
      </c>
      <c r="J2">
        <v>72</v>
      </c>
      <c r="K2">
        <v>60</v>
      </c>
      <c r="L2">
        <v>35</v>
      </c>
      <c r="M2" t="s">
        <v>589</v>
      </c>
      <c r="N2">
        <f>IF(M2="A",VLOOKUP(Possessions!L2,Possessions!$B$2:$E$36,3),VLOOKUP(Possessions!L2,Possessions!$B$2:$E$36,4))</f>
        <v>0</v>
      </c>
      <c r="P2" t="s">
        <v>4710</v>
      </c>
    </row>
    <row r="3" spans="1:23" ht="5.0999999999999996" customHeight="1">
      <c r="B3">
        <v>2</v>
      </c>
      <c r="C3" t="str">
        <f>IF('Main Creation Page'!$I$31="M",F3,G3)</f>
        <v>Tunic</v>
      </c>
      <c r="D3">
        <f>IF('Main Creation Page'!$I$31="M",H3,I3)</f>
        <v>24</v>
      </c>
      <c r="E3">
        <f>IF('Main Creation Page'!$I$31="M",J3,K3)</f>
        <v>48</v>
      </c>
      <c r="F3" t="s">
        <v>1591</v>
      </c>
      <c r="G3" t="s">
        <v>1597</v>
      </c>
      <c r="H3">
        <v>24</v>
      </c>
      <c r="I3">
        <v>20</v>
      </c>
      <c r="J3">
        <v>48</v>
      </c>
      <c r="K3">
        <v>40</v>
      </c>
      <c r="L3">
        <v>35</v>
      </c>
      <c r="M3" t="s">
        <v>589</v>
      </c>
      <c r="N3">
        <f>IF(M3="A",VLOOKUP(Possessions!L3,Possessions!$B$2:$E$36,3),VLOOKUP(Possessions!L3,Possessions!$B$2:$E$36,4))</f>
        <v>0</v>
      </c>
      <c r="O3">
        <v>1</v>
      </c>
      <c r="P3" t="s">
        <v>2652</v>
      </c>
      <c r="R3">
        <v>1</v>
      </c>
      <c r="S3">
        <f t="shared" ref="S3:S21" si="0">R3*Q3</f>
        <v>0</v>
      </c>
      <c r="T3">
        <v>0.5</v>
      </c>
      <c r="U3">
        <v>10</v>
      </c>
      <c r="V3">
        <f t="shared" ref="V3:V21" si="1">Q3*T3</f>
        <v>0</v>
      </c>
      <c r="W3">
        <f t="shared" ref="W3:W21" si="2">Q3*U3</f>
        <v>0</v>
      </c>
    </row>
    <row r="4" spans="1:23" ht="5.0999999999999996" customHeight="1">
      <c r="B4">
        <v>3</v>
      </c>
      <c r="C4" t="str">
        <f>IF('Main Creation Page'!$I$31="M",F4,G4)</f>
        <v>Shirt</v>
      </c>
      <c r="D4">
        <f>IF('Main Creation Page'!$I$31="M",H4,I4)</f>
        <v>12</v>
      </c>
      <c r="E4">
        <f>IF('Main Creation Page'!$I$31="M",J4,K4)</f>
        <v>30</v>
      </c>
      <c r="F4" t="s">
        <v>4419</v>
      </c>
      <c r="G4" t="s">
        <v>1592</v>
      </c>
      <c r="H4">
        <v>12</v>
      </c>
      <c r="I4">
        <v>12</v>
      </c>
      <c r="J4">
        <v>30</v>
      </c>
      <c r="K4">
        <v>24</v>
      </c>
      <c r="L4">
        <v>35</v>
      </c>
      <c r="M4" t="s">
        <v>589</v>
      </c>
      <c r="N4">
        <f>IF(M4="A",VLOOKUP(Possessions!L4,Possessions!$B$2:$E$36,3),VLOOKUP(Possessions!L4,Possessions!$B$2:$E$36,4))</f>
        <v>0</v>
      </c>
      <c r="O4">
        <v>2</v>
      </c>
      <c r="P4" t="s">
        <v>4717</v>
      </c>
      <c r="R4">
        <v>1</v>
      </c>
      <c r="S4">
        <f t="shared" si="0"/>
        <v>0</v>
      </c>
      <c r="T4">
        <v>0.25</v>
      </c>
      <c r="U4">
        <v>6</v>
      </c>
      <c r="V4">
        <f t="shared" si="1"/>
        <v>0</v>
      </c>
      <c r="W4">
        <f t="shared" si="2"/>
        <v>0</v>
      </c>
    </row>
    <row r="5" spans="1:23" ht="5.0999999999999996" customHeight="1">
      <c r="B5">
        <v>4</v>
      </c>
      <c r="C5" t="str">
        <f>IF('Main Creation Page'!$I$31="M",F5,G5)</f>
        <v>Pelisse</v>
      </c>
      <c r="D5">
        <f>IF('Main Creation Page'!$I$31="M",H5,I5)</f>
        <v>50</v>
      </c>
      <c r="E5">
        <f>IF('Main Creation Page'!$I$31="M",J5,K5)</f>
        <v>100</v>
      </c>
      <c r="F5" t="s">
        <v>1593</v>
      </c>
      <c r="G5" t="s">
        <v>1593</v>
      </c>
      <c r="H5">
        <v>50</v>
      </c>
      <c r="I5">
        <v>20</v>
      </c>
      <c r="J5">
        <v>100</v>
      </c>
      <c r="K5">
        <v>40</v>
      </c>
      <c r="L5">
        <v>35</v>
      </c>
      <c r="M5" t="s">
        <v>589</v>
      </c>
      <c r="N5">
        <f>IF(M5="A",VLOOKUP(Possessions!L5,Possessions!$B$2:$E$36,3),VLOOKUP(Possessions!L5,Possessions!$B$2:$E$36,4))</f>
        <v>0</v>
      </c>
      <c r="O5">
        <v>3</v>
      </c>
      <c r="P5" t="s">
        <v>2653</v>
      </c>
      <c r="R5">
        <v>1</v>
      </c>
      <c r="S5">
        <f t="shared" si="0"/>
        <v>0</v>
      </c>
      <c r="T5">
        <v>1</v>
      </c>
      <c r="U5">
        <v>6</v>
      </c>
      <c r="V5">
        <f t="shared" si="1"/>
        <v>0</v>
      </c>
      <c r="W5">
        <f t="shared" si="2"/>
        <v>0</v>
      </c>
    </row>
    <row r="6" spans="1:23" ht="5.0999999999999996" customHeight="1">
      <c r="B6">
        <v>5</v>
      </c>
      <c r="C6" t="str">
        <f>IF('Main Creation Page'!$I$31="M",F6,G6)</f>
        <v>Pellison</v>
      </c>
      <c r="D6">
        <f>IF('Main Creation Page'!$I$31="M",H6,I6)</f>
        <v>20</v>
      </c>
      <c r="E6">
        <f>IF('Main Creation Page'!$I$31="M",J6,K6)</f>
        <v>40</v>
      </c>
      <c r="F6" t="s">
        <v>1594</v>
      </c>
      <c r="G6" t="s">
        <v>1594</v>
      </c>
      <c r="H6">
        <v>20</v>
      </c>
      <c r="I6">
        <v>20</v>
      </c>
      <c r="J6">
        <v>40</v>
      </c>
      <c r="K6">
        <v>40</v>
      </c>
      <c r="L6">
        <v>35</v>
      </c>
      <c r="M6" t="s">
        <v>589</v>
      </c>
      <c r="N6">
        <f>IF(M6="A",VLOOKUP(Possessions!L6,Possessions!$B$2:$E$36,3),VLOOKUP(Possessions!L6,Possessions!$B$2:$E$36,4))</f>
        <v>0</v>
      </c>
      <c r="O6">
        <v>4</v>
      </c>
      <c r="P6" t="s">
        <v>5046</v>
      </c>
      <c r="R6">
        <v>1</v>
      </c>
      <c r="S6">
        <f t="shared" si="0"/>
        <v>0</v>
      </c>
      <c r="T6">
        <v>0.5</v>
      </c>
      <c r="U6">
        <v>8</v>
      </c>
      <c r="V6">
        <f t="shared" si="1"/>
        <v>0</v>
      </c>
      <c r="W6">
        <f t="shared" si="2"/>
        <v>0</v>
      </c>
    </row>
    <row r="7" spans="1:23" ht="5.0999999999999996" customHeight="1">
      <c r="B7">
        <v>6</v>
      </c>
      <c r="C7" t="str">
        <f>IF('Main Creation Page'!$I$31="M",F7,G7)</f>
        <v>Robe</v>
      </c>
      <c r="D7">
        <f>IF('Main Creation Page'!$I$31="M",H7,I7)</f>
        <v>30</v>
      </c>
      <c r="E7">
        <f>IF('Main Creation Page'!$I$31="M",J7,K7)</f>
        <v>60</v>
      </c>
      <c r="F7" t="s">
        <v>2651</v>
      </c>
      <c r="G7" t="s">
        <v>2651</v>
      </c>
      <c r="H7">
        <v>30</v>
      </c>
      <c r="I7">
        <v>30</v>
      </c>
      <c r="J7">
        <v>60</v>
      </c>
      <c r="K7">
        <v>60</v>
      </c>
      <c r="L7">
        <v>35</v>
      </c>
      <c r="M7" t="s">
        <v>589</v>
      </c>
      <c r="N7">
        <f>IF(M7="A",VLOOKUP(Possessions!L7,Possessions!$B$2:$E$36,3),VLOOKUP(Possessions!L7,Possessions!$B$2:$E$36,4))</f>
        <v>0</v>
      </c>
      <c r="O7">
        <v>5</v>
      </c>
      <c r="P7" t="s">
        <v>2654</v>
      </c>
      <c r="R7">
        <v>1</v>
      </c>
      <c r="S7">
        <f t="shared" si="0"/>
        <v>0</v>
      </c>
      <c r="T7">
        <v>0.75</v>
      </c>
      <c r="U7">
        <v>8</v>
      </c>
      <c r="V7">
        <f t="shared" si="1"/>
        <v>0</v>
      </c>
      <c r="W7">
        <f t="shared" si="2"/>
        <v>0</v>
      </c>
    </row>
    <row r="8" spans="1:23" ht="5.0999999999999996" customHeight="1">
      <c r="B8">
        <v>7</v>
      </c>
      <c r="C8" t="str">
        <f>IF('Main Creation Page'!$I$31="M",F8,G8)</f>
        <v>Breeches</v>
      </c>
      <c r="D8">
        <f>IF('Main Creation Page'!$I$31="M",H8,I8)</f>
        <v>24</v>
      </c>
      <c r="E8">
        <f>IF('Main Creation Page'!$I$31="M",J8,K8)</f>
        <v>48</v>
      </c>
      <c r="F8" t="s">
        <v>2853</v>
      </c>
      <c r="G8" t="s">
        <v>1104</v>
      </c>
      <c r="H8">
        <v>24</v>
      </c>
      <c r="I8">
        <v>80</v>
      </c>
      <c r="J8">
        <v>48</v>
      </c>
      <c r="K8">
        <v>240</v>
      </c>
      <c r="L8">
        <v>35</v>
      </c>
      <c r="M8" t="s">
        <v>589</v>
      </c>
      <c r="N8">
        <f>IF(M8="A",VLOOKUP(Possessions!L8,Possessions!$B$2:$E$36,3),VLOOKUP(Possessions!L8,Possessions!$B$2:$E$36,4))</f>
        <v>0</v>
      </c>
      <c r="O8">
        <v>6</v>
      </c>
      <c r="P8" t="s">
        <v>491</v>
      </c>
      <c r="R8">
        <v>1</v>
      </c>
      <c r="S8">
        <f t="shared" si="0"/>
        <v>0</v>
      </c>
      <c r="T8">
        <v>0.25</v>
      </c>
      <c r="U8">
        <v>8</v>
      </c>
      <c r="V8">
        <f t="shared" si="1"/>
        <v>0</v>
      </c>
      <c r="W8">
        <f t="shared" si="2"/>
        <v>0</v>
      </c>
    </row>
    <row r="9" spans="1:23" ht="5.0999999999999996" customHeight="1">
      <c r="B9">
        <v>8</v>
      </c>
      <c r="C9" t="str">
        <f>IF('Main Creation Page'!$I$31="M",F9,G9)</f>
        <v>Trews</v>
      </c>
      <c r="D9">
        <f>IF('Main Creation Page'!$I$31="M",H9,I9)</f>
        <v>25</v>
      </c>
      <c r="E9">
        <f>IF('Main Creation Page'!$I$31="M",J9,K9)</f>
        <v>50</v>
      </c>
      <c r="F9" t="s">
        <v>5153</v>
      </c>
      <c r="G9" t="s">
        <v>1105</v>
      </c>
      <c r="H9">
        <v>25</v>
      </c>
      <c r="I9">
        <v>32</v>
      </c>
      <c r="J9">
        <v>50</v>
      </c>
      <c r="K9">
        <v>80</v>
      </c>
      <c r="L9">
        <v>35</v>
      </c>
      <c r="M9" t="s">
        <v>589</v>
      </c>
      <c r="N9">
        <f>IF(M9="A",VLOOKUP(Possessions!L9,Possessions!$B$2:$E$36,3),VLOOKUP(Possessions!L9,Possessions!$B$2:$E$36,4))</f>
        <v>0</v>
      </c>
      <c r="O9">
        <v>7</v>
      </c>
      <c r="P9" t="s">
        <v>5048</v>
      </c>
      <c r="R9">
        <v>1</v>
      </c>
      <c r="S9">
        <f t="shared" si="0"/>
        <v>0</v>
      </c>
      <c r="T9">
        <v>0.5</v>
      </c>
      <c r="U9">
        <v>7</v>
      </c>
      <c r="V9">
        <f t="shared" si="1"/>
        <v>0</v>
      </c>
      <c r="W9">
        <f t="shared" si="2"/>
        <v>0</v>
      </c>
    </row>
    <row r="10" spans="1:23" ht="5.0999999999999996" customHeight="1">
      <c r="B10">
        <v>9</v>
      </c>
      <c r="C10" t="str">
        <f>IF('Main Creation Page'!$I$31="M",F10,G10)</f>
        <v>Vest</v>
      </c>
      <c r="D10">
        <f>IF('Main Creation Page'!$I$31="M",H10,I10)</f>
        <v>10</v>
      </c>
      <c r="E10">
        <f>IF('Main Creation Page'!$I$31="M",J10,K10)</f>
        <v>20</v>
      </c>
      <c r="F10" t="s">
        <v>5158</v>
      </c>
      <c r="G10" t="s">
        <v>428</v>
      </c>
      <c r="H10">
        <v>10</v>
      </c>
      <c r="I10">
        <v>10</v>
      </c>
      <c r="J10">
        <v>20</v>
      </c>
      <c r="K10">
        <v>20</v>
      </c>
      <c r="L10">
        <v>35</v>
      </c>
      <c r="M10" t="s">
        <v>589</v>
      </c>
      <c r="N10">
        <f>IF(M10="A",VLOOKUP(Possessions!L10,Possessions!$B$2:$E$36,3),VLOOKUP(Possessions!L10,Possessions!$B$2:$E$36,4))</f>
        <v>0</v>
      </c>
      <c r="O10">
        <v>8</v>
      </c>
      <c r="P10" t="s">
        <v>492</v>
      </c>
      <c r="R10">
        <v>1</v>
      </c>
      <c r="S10">
        <f t="shared" si="0"/>
        <v>0</v>
      </c>
      <c r="T10">
        <v>0.5</v>
      </c>
      <c r="U10">
        <v>8</v>
      </c>
      <c r="V10">
        <f t="shared" si="1"/>
        <v>0</v>
      </c>
      <c r="W10">
        <f t="shared" si="2"/>
        <v>0</v>
      </c>
    </row>
    <row r="11" spans="1:23" ht="5.0999999999999996" customHeight="1">
      <c r="B11">
        <v>10</v>
      </c>
      <c r="C11" t="str">
        <f>IF('Main Creation Page'!$I$31="M",F11,G11)</f>
        <v>Jerkin</v>
      </c>
      <c r="D11">
        <f>IF('Main Creation Page'!$I$31="M",H11,I11)</f>
        <v>20</v>
      </c>
      <c r="E11">
        <f>IF('Main Creation Page'!$I$31="M",J11,K11)</f>
        <v>50</v>
      </c>
      <c r="F11" t="s">
        <v>5159</v>
      </c>
      <c r="G11" t="s">
        <v>1585</v>
      </c>
      <c r="H11">
        <v>20</v>
      </c>
      <c r="I11">
        <v>30</v>
      </c>
      <c r="J11">
        <v>50</v>
      </c>
      <c r="K11">
        <v>80</v>
      </c>
      <c r="L11">
        <v>35</v>
      </c>
      <c r="M11" t="s">
        <v>589</v>
      </c>
      <c r="N11">
        <f>IF(M11="A",VLOOKUP(Possessions!L11,Possessions!$B$2:$E$36,3),VLOOKUP(Possessions!L11,Possessions!$B$2:$E$36,4))</f>
        <v>0</v>
      </c>
      <c r="O11">
        <v>9</v>
      </c>
      <c r="P11" t="s">
        <v>493</v>
      </c>
      <c r="R11">
        <v>1</v>
      </c>
      <c r="S11">
        <f t="shared" si="0"/>
        <v>0</v>
      </c>
      <c r="T11">
        <v>0.5</v>
      </c>
      <c r="U11">
        <v>8</v>
      </c>
      <c r="V11">
        <f t="shared" si="1"/>
        <v>0</v>
      </c>
      <c r="W11">
        <f t="shared" si="2"/>
        <v>0</v>
      </c>
    </row>
    <row r="12" spans="1:23" ht="5.0999999999999996" customHeight="1">
      <c r="B12">
        <v>11</v>
      </c>
      <c r="C12" t="str">
        <f>IF('Main Creation Page'!$I$31="M",F12,G12)</f>
        <v>Kilt</v>
      </c>
      <c r="D12">
        <f>IF('Main Creation Page'!$I$31="M",H12,I12)</f>
        <v>40</v>
      </c>
      <c r="E12">
        <f>IF('Main Creation Page'!$I$31="M",J12,K12)</f>
        <v>72</v>
      </c>
      <c r="F12" t="s">
        <v>2854</v>
      </c>
      <c r="G12" t="s">
        <v>4742</v>
      </c>
      <c r="H12">
        <v>40</v>
      </c>
      <c r="I12">
        <v>14</v>
      </c>
      <c r="J12">
        <v>72</v>
      </c>
      <c r="K12">
        <v>40</v>
      </c>
      <c r="L12">
        <v>35</v>
      </c>
      <c r="M12" t="s">
        <v>589</v>
      </c>
      <c r="N12">
        <f>IF(M12="A",VLOOKUP(Possessions!L12,Possessions!$B$2:$E$36,3),VLOOKUP(Possessions!L12,Possessions!$B$2:$E$36,4))</f>
        <v>0</v>
      </c>
      <c r="O12">
        <v>10</v>
      </c>
      <c r="P12" t="s">
        <v>494</v>
      </c>
      <c r="R12">
        <v>1</v>
      </c>
      <c r="S12">
        <f t="shared" si="0"/>
        <v>0</v>
      </c>
      <c r="T12">
        <v>0.25</v>
      </c>
      <c r="U12">
        <v>6</v>
      </c>
      <c r="V12">
        <f t="shared" si="1"/>
        <v>0</v>
      </c>
      <c r="W12">
        <f t="shared" si="2"/>
        <v>0</v>
      </c>
    </row>
    <row r="13" spans="1:23" ht="5.0999999999999996" customHeight="1">
      <c r="B13">
        <v>12</v>
      </c>
      <c r="C13" t="str">
        <f>IF('Main Creation Page'!$I$31="M",F13,G13)</f>
        <v>Tabard</v>
      </c>
      <c r="D13">
        <f>IF('Main Creation Page'!$I$31="M",H13,I13)</f>
        <v>5</v>
      </c>
      <c r="E13">
        <f>IF('Main Creation Page'!$I$31="M",J13,K13)</f>
        <v>10</v>
      </c>
      <c r="F13" t="s">
        <v>5160</v>
      </c>
      <c r="G13" t="s">
        <v>429</v>
      </c>
      <c r="H13">
        <v>5</v>
      </c>
      <c r="I13">
        <v>7</v>
      </c>
      <c r="J13">
        <v>10</v>
      </c>
      <c r="K13">
        <v>10</v>
      </c>
      <c r="L13">
        <v>35</v>
      </c>
      <c r="M13" t="s">
        <v>589</v>
      </c>
      <c r="N13">
        <f>IF(M13="A",VLOOKUP(Possessions!L13,Possessions!$B$2:$E$36,3),VLOOKUP(Possessions!L13,Possessions!$B$2:$E$36,4))</f>
        <v>0</v>
      </c>
      <c r="O13">
        <v>11</v>
      </c>
      <c r="P13" t="s">
        <v>495</v>
      </c>
      <c r="R13">
        <v>1</v>
      </c>
      <c r="S13">
        <f t="shared" si="0"/>
        <v>0</v>
      </c>
      <c r="T13">
        <v>0.24</v>
      </c>
      <c r="U13">
        <v>7</v>
      </c>
      <c r="V13">
        <f t="shared" si="1"/>
        <v>0</v>
      </c>
      <c r="W13">
        <f t="shared" si="2"/>
        <v>0</v>
      </c>
    </row>
    <row r="14" spans="1:23" ht="5.0999999999999996" customHeight="1">
      <c r="B14">
        <v>13</v>
      </c>
      <c r="C14" t="str">
        <f>IF('Main Creation Page'!$I$31="M",F14,G14)</f>
        <v>Scapular</v>
      </c>
      <c r="D14">
        <f>IF('Main Creation Page'!$I$31="M",H14,I14)</f>
        <v>16</v>
      </c>
      <c r="E14">
        <f>IF('Main Creation Page'!$I$31="M",J14,K14)</f>
        <v>32</v>
      </c>
      <c r="F14" t="s">
        <v>1588</v>
      </c>
      <c r="G14" t="s">
        <v>1588</v>
      </c>
      <c r="H14">
        <v>16</v>
      </c>
      <c r="I14">
        <v>18</v>
      </c>
      <c r="J14">
        <v>32</v>
      </c>
      <c r="K14">
        <v>36</v>
      </c>
      <c r="L14">
        <v>35</v>
      </c>
      <c r="M14" t="s">
        <v>589</v>
      </c>
      <c r="N14">
        <f>IF(M14="A",VLOOKUP(Possessions!L14,Possessions!$B$2:$E$36,3),VLOOKUP(Possessions!L14,Possessions!$B$2:$E$36,4))</f>
        <v>0</v>
      </c>
      <c r="O14">
        <v>12</v>
      </c>
      <c r="P14" t="s">
        <v>5045</v>
      </c>
      <c r="R14">
        <v>1</v>
      </c>
      <c r="S14">
        <f t="shared" si="0"/>
        <v>0</v>
      </c>
      <c r="T14">
        <v>0.5</v>
      </c>
      <c r="U14">
        <v>5</v>
      </c>
      <c r="V14">
        <f t="shared" si="1"/>
        <v>0</v>
      </c>
      <c r="W14">
        <f t="shared" si="2"/>
        <v>0</v>
      </c>
    </row>
    <row r="15" spans="1:23" ht="5.0999999999999996" customHeight="1">
      <c r="B15">
        <v>14</v>
      </c>
      <c r="C15" t="str">
        <f>IF('Main Creation Page'!$I$31="M",F15,G15)</f>
        <v>Hood</v>
      </c>
      <c r="D15">
        <f>IF('Main Creation Page'!$I$31="M",H15,I15)</f>
        <v>12</v>
      </c>
      <c r="E15">
        <f>IF('Main Creation Page'!$I$31="M",J15,K15)</f>
        <v>20</v>
      </c>
      <c r="F15" t="s">
        <v>5154</v>
      </c>
      <c r="G15" t="s">
        <v>1587</v>
      </c>
      <c r="H15">
        <v>12</v>
      </c>
      <c r="I15">
        <v>7</v>
      </c>
      <c r="J15">
        <v>20</v>
      </c>
      <c r="K15">
        <v>14</v>
      </c>
      <c r="L15">
        <v>35</v>
      </c>
      <c r="M15" t="s">
        <v>589</v>
      </c>
      <c r="N15">
        <f>IF(M15="A",VLOOKUP(Possessions!L15,Possessions!$B$2:$E$36,3),VLOOKUP(Possessions!L15,Possessions!$B$2:$E$36,4))</f>
        <v>0</v>
      </c>
      <c r="O15">
        <v>13</v>
      </c>
      <c r="P15" t="s">
        <v>1086</v>
      </c>
      <c r="R15">
        <v>1</v>
      </c>
      <c r="S15">
        <f t="shared" si="0"/>
        <v>0</v>
      </c>
      <c r="T15">
        <v>0.5</v>
      </c>
      <c r="U15">
        <v>5</v>
      </c>
      <c r="V15">
        <f t="shared" si="1"/>
        <v>0</v>
      </c>
      <c r="W15">
        <f t="shared" si="2"/>
        <v>0</v>
      </c>
    </row>
    <row r="16" spans="1:23" ht="5.0999999999999996" customHeight="1">
      <c r="B16">
        <v>15</v>
      </c>
      <c r="C16" t="str">
        <f>IF('Main Creation Page'!$I$31="M",F16,G16)</f>
        <v>Kerchief</v>
      </c>
      <c r="D16">
        <f>IF('Main Creation Page'!$I$31="M",H16,I16)</f>
        <v>2.5</v>
      </c>
      <c r="E16">
        <f>IF('Main Creation Page'!$I$31="M",J16,K16)</f>
        <v>5</v>
      </c>
      <c r="F16" t="s">
        <v>1584</v>
      </c>
      <c r="G16" t="s">
        <v>5157</v>
      </c>
      <c r="H16">
        <v>2.5</v>
      </c>
      <c r="I16">
        <v>5</v>
      </c>
      <c r="J16">
        <v>5</v>
      </c>
      <c r="K16">
        <v>48</v>
      </c>
      <c r="L16">
        <v>35</v>
      </c>
      <c r="M16" t="s">
        <v>589</v>
      </c>
      <c r="N16">
        <f>IF(M16="A",VLOOKUP(Possessions!L16,Possessions!$B$2:$E$36,3),VLOOKUP(Possessions!L16,Possessions!$B$2:$E$36,4))</f>
        <v>0</v>
      </c>
      <c r="O16">
        <v>14</v>
      </c>
      <c r="P16" t="s">
        <v>3367</v>
      </c>
      <c r="R16">
        <v>1</v>
      </c>
      <c r="S16">
        <f t="shared" si="0"/>
        <v>0</v>
      </c>
      <c r="T16">
        <v>0.5</v>
      </c>
      <c r="U16">
        <v>5</v>
      </c>
      <c r="V16">
        <f t="shared" si="1"/>
        <v>0</v>
      </c>
      <c r="W16">
        <f t="shared" si="2"/>
        <v>0</v>
      </c>
    </row>
    <row r="17" spans="2:23" ht="5.0999999999999996" customHeight="1">
      <c r="B17">
        <v>16</v>
      </c>
      <c r="C17" t="str">
        <f>IF('Main Creation Page'!$I$31="M",F17,G17)</f>
        <v>Hat</v>
      </c>
      <c r="D17">
        <f>IF('Main Creation Page'!$I$31="M",H17,I17)</f>
        <v>10</v>
      </c>
      <c r="E17">
        <f>IF('Main Creation Page'!$I$31="M",J17,K17)</f>
        <v>16</v>
      </c>
      <c r="F17" t="s">
        <v>4026</v>
      </c>
      <c r="G17" t="s">
        <v>4026</v>
      </c>
      <c r="H17">
        <v>10</v>
      </c>
      <c r="I17">
        <v>15</v>
      </c>
      <c r="J17">
        <v>16</v>
      </c>
      <c r="K17">
        <v>20</v>
      </c>
      <c r="L17">
        <v>35</v>
      </c>
      <c r="M17" t="s">
        <v>589</v>
      </c>
      <c r="N17">
        <f>IF(M17="A",VLOOKUP(Possessions!L17,Possessions!$B$2:$E$36,3),VLOOKUP(Possessions!L17,Possessions!$B$2:$E$36,4))</f>
        <v>0</v>
      </c>
      <c r="O17">
        <v>15</v>
      </c>
      <c r="P17" t="s">
        <v>1345</v>
      </c>
      <c r="R17">
        <v>1</v>
      </c>
      <c r="S17">
        <f t="shared" si="0"/>
        <v>0</v>
      </c>
      <c r="T17">
        <v>1.5</v>
      </c>
      <c r="U17">
        <v>0</v>
      </c>
      <c r="V17">
        <f t="shared" si="1"/>
        <v>0</v>
      </c>
      <c r="W17">
        <f t="shared" si="2"/>
        <v>0</v>
      </c>
    </row>
    <row r="18" spans="2:23" ht="5.0999999999999996" customHeight="1">
      <c r="B18">
        <v>17</v>
      </c>
      <c r="C18" t="str">
        <f>IF('Main Creation Page'!$I$31="M",F18,G18)</f>
        <v>Cowl</v>
      </c>
      <c r="D18">
        <f>IF('Main Creation Page'!$I$31="M",H18,I18)</f>
        <v>15</v>
      </c>
      <c r="E18">
        <f>IF('Main Creation Page'!$I$31="M",J18,K18)</f>
        <v>30</v>
      </c>
      <c r="F18" t="s">
        <v>1586</v>
      </c>
      <c r="G18" t="s">
        <v>4743</v>
      </c>
      <c r="H18">
        <v>15</v>
      </c>
      <c r="I18">
        <v>20</v>
      </c>
      <c r="J18">
        <v>30</v>
      </c>
      <c r="K18">
        <v>40</v>
      </c>
      <c r="L18">
        <v>35</v>
      </c>
      <c r="M18" t="s">
        <v>589</v>
      </c>
      <c r="N18">
        <f>IF(M18="A",VLOOKUP(Possessions!L18,Possessions!$B$2:$E$36,3),VLOOKUP(Possessions!L18,Possessions!$B$2:$E$36,4))</f>
        <v>0</v>
      </c>
      <c r="O18">
        <v>16</v>
      </c>
      <c r="P18" t="s">
        <v>3372</v>
      </c>
      <c r="R18">
        <v>1</v>
      </c>
      <c r="S18">
        <f t="shared" si="0"/>
        <v>0</v>
      </c>
      <c r="T18">
        <v>2.5</v>
      </c>
      <c r="U18">
        <v>6</v>
      </c>
      <c r="V18">
        <f t="shared" si="1"/>
        <v>0</v>
      </c>
      <c r="W18">
        <f t="shared" si="2"/>
        <v>0</v>
      </c>
    </row>
    <row r="19" spans="2:23" ht="5.0999999999999996" customHeight="1">
      <c r="B19">
        <v>18</v>
      </c>
      <c r="C19" t="str">
        <f>IF('Main Creation Page'!$I$31="M",F19,G19)</f>
        <v>Gloves</v>
      </c>
      <c r="D19">
        <f>IF('Main Creation Page'!$I$31="M",H19,I19)</f>
        <v>12</v>
      </c>
      <c r="E19">
        <f>IF('Main Creation Page'!$I$31="M",J19,K19)</f>
        <v>24</v>
      </c>
      <c r="F19" t="s">
        <v>4027</v>
      </c>
      <c r="G19" t="s">
        <v>4027</v>
      </c>
      <c r="H19">
        <v>12</v>
      </c>
      <c r="I19">
        <v>12</v>
      </c>
      <c r="J19">
        <v>24</v>
      </c>
      <c r="K19">
        <v>24</v>
      </c>
      <c r="L19">
        <v>35</v>
      </c>
      <c r="M19" t="s">
        <v>589</v>
      </c>
      <c r="N19">
        <f>IF(M19="A",VLOOKUP(Possessions!L19,Possessions!$B$2:$E$36,3),VLOOKUP(Possessions!L19,Possessions!$B$2:$E$36,4))</f>
        <v>0</v>
      </c>
      <c r="O19">
        <v>17</v>
      </c>
      <c r="P19" t="s">
        <v>5458</v>
      </c>
      <c r="R19">
        <v>1</v>
      </c>
      <c r="S19">
        <f t="shared" si="0"/>
        <v>0</v>
      </c>
      <c r="T19">
        <v>2.5</v>
      </c>
      <c r="U19">
        <v>6</v>
      </c>
      <c r="V19">
        <f t="shared" si="1"/>
        <v>0</v>
      </c>
      <c r="W19">
        <f t="shared" si="2"/>
        <v>0</v>
      </c>
    </row>
    <row r="20" spans="2:23" ht="5.0999999999999996" customHeight="1">
      <c r="B20">
        <v>19</v>
      </c>
      <c r="C20" t="str">
        <f>IF('Main Creation Page'!$I$31="M",F20,G20)</f>
        <v>Gauntlets</v>
      </c>
      <c r="D20">
        <f>IF('Main Creation Page'!$I$31="M",H20,I20)</f>
        <v>20</v>
      </c>
      <c r="E20">
        <f>IF('Main Creation Page'!$I$31="M",J20,K20)</f>
        <v>40</v>
      </c>
      <c r="F20" t="s">
        <v>1595</v>
      </c>
      <c r="G20" t="s">
        <v>1595</v>
      </c>
      <c r="H20">
        <v>20</v>
      </c>
      <c r="I20">
        <v>18</v>
      </c>
      <c r="J20">
        <v>40</v>
      </c>
      <c r="K20">
        <v>36</v>
      </c>
      <c r="L20">
        <v>35</v>
      </c>
      <c r="M20" t="s">
        <v>589</v>
      </c>
      <c r="N20">
        <f>IF(M20="A",VLOOKUP(Possessions!L20,Possessions!$B$2:$E$36,3),VLOOKUP(Possessions!L20,Possessions!$B$2:$E$36,4))</f>
        <v>0</v>
      </c>
      <c r="O20">
        <v>18</v>
      </c>
      <c r="P20" t="s">
        <v>5047</v>
      </c>
      <c r="R20">
        <v>1</v>
      </c>
      <c r="S20">
        <f t="shared" si="0"/>
        <v>0</v>
      </c>
      <c r="T20">
        <v>1.5</v>
      </c>
      <c r="U20">
        <v>5</v>
      </c>
      <c r="V20">
        <f t="shared" si="1"/>
        <v>0</v>
      </c>
      <c r="W20">
        <f t="shared" si="2"/>
        <v>0</v>
      </c>
    </row>
    <row r="21" spans="2:23" ht="5.0999999999999996" customHeight="1">
      <c r="B21">
        <v>20</v>
      </c>
      <c r="C21" t="str">
        <f>IF('Main Creation Page'!$I$31="M",F21,G21)</f>
        <v>Belt</v>
      </c>
      <c r="D21">
        <f>IF('Main Creation Page'!$I$31="M",H21,I21)</f>
        <v>8</v>
      </c>
      <c r="E21">
        <f>IF('Main Creation Page'!$I$31="M",J21,K21)</f>
        <v>20</v>
      </c>
      <c r="F21" t="s">
        <v>4028</v>
      </c>
      <c r="G21" t="s">
        <v>1596</v>
      </c>
      <c r="H21">
        <v>8</v>
      </c>
      <c r="I21">
        <v>12</v>
      </c>
      <c r="J21">
        <v>20</v>
      </c>
      <c r="K21">
        <v>20</v>
      </c>
      <c r="N21">
        <f>SUM(N1:N20)</f>
        <v>0</v>
      </c>
      <c r="O21">
        <v>19</v>
      </c>
      <c r="P21" t="s">
        <v>5044</v>
      </c>
      <c r="R21">
        <v>6.25E-2</v>
      </c>
      <c r="S21">
        <f t="shared" si="0"/>
        <v>0</v>
      </c>
      <c r="T21">
        <v>0.5</v>
      </c>
      <c r="U21">
        <v>0</v>
      </c>
      <c r="V21">
        <f t="shared" si="1"/>
        <v>0</v>
      </c>
      <c r="W21">
        <f t="shared" si="2"/>
        <v>0</v>
      </c>
    </row>
    <row r="22" spans="2:23" ht="5.0999999999999996" customHeight="1" collapsed="1">
      <c r="B22">
        <v>21</v>
      </c>
      <c r="C22" t="str">
        <f>IF('Main Creation Page'!$I$31="M",F22,G22)</f>
        <v>Dagger Sheath</v>
      </c>
      <c r="D22">
        <f>IF('Main Creation Page'!$I$31="M",H22,I22)</f>
        <v>8</v>
      </c>
      <c r="E22">
        <f>IF('Main Creation Page'!$I$31="M",J22,K22)</f>
        <v>20</v>
      </c>
      <c r="F22" t="s">
        <v>4686</v>
      </c>
      <c r="G22" t="s">
        <v>4686</v>
      </c>
      <c r="H22">
        <v>8</v>
      </c>
      <c r="I22">
        <v>10</v>
      </c>
      <c r="J22">
        <v>20</v>
      </c>
      <c r="K22">
        <v>20</v>
      </c>
      <c r="O22">
        <v>20</v>
      </c>
    </row>
    <row r="23" spans="2:23" ht="5.0999999999999996" customHeight="1">
      <c r="B23">
        <v>22</v>
      </c>
      <c r="C23" t="str">
        <f>IF('Main Creation Page'!$I$31="M",F23,G23)</f>
        <v>Pouch</v>
      </c>
      <c r="D23">
        <f>IF('Main Creation Page'!$I$31="M",H23,I23)</f>
        <v>1</v>
      </c>
      <c r="E23">
        <f>IF('Main Creation Page'!$I$31="M",J23,K23)</f>
        <v>1</v>
      </c>
      <c r="F23" t="s">
        <v>5155</v>
      </c>
      <c r="G23" t="s">
        <v>5156</v>
      </c>
      <c r="H23">
        <v>1</v>
      </c>
      <c r="I23">
        <v>2</v>
      </c>
      <c r="J23">
        <v>1</v>
      </c>
      <c r="K23">
        <v>2</v>
      </c>
      <c r="P23" t="s">
        <v>4711</v>
      </c>
    </row>
    <row r="24" spans="2:23" ht="5.0999999999999996" customHeight="1">
      <c r="B24">
        <v>23</v>
      </c>
      <c r="C24" t="str">
        <f>IF('Main Creation Page'!$I$31="M",F24,G24)</f>
        <v>Hose</v>
      </c>
      <c r="D24">
        <f>IF('Main Creation Page'!$I$31="M",H24,I24)</f>
        <v>20</v>
      </c>
      <c r="E24">
        <f>IF('Main Creation Page'!$I$31="M",J24,K24)</f>
        <v>36</v>
      </c>
      <c r="F24" t="s">
        <v>2855</v>
      </c>
      <c r="G24" t="s">
        <v>2855</v>
      </c>
      <c r="H24">
        <v>20</v>
      </c>
      <c r="I24">
        <v>20</v>
      </c>
      <c r="J24">
        <v>36</v>
      </c>
      <c r="K24">
        <v>36</v>
      </c>
      <c r="P24" t="s">
        <v>4043</v>
      </c>
    </row>
    <row r="25" spans="2:23" ht="5.0999999999999996" customHeight="1">
      <c r="B25">
        <v>24</v>
      </c>
      <c r="C25" t="str">
        <f>IF('Main Creation Page'!$I$31="M",F25,G25)</f>
        <v>Slippers</v>
      </c>
      <c r="D25">
        <f>IF('Main Creation Page'!$I$31="M",H25,I25)</f>
        <v>20</v>
      </c>
      <c r="E25">
        <f>IF('Main Creation Page'!$I$31="M",J25,K25)</f>
        <v>50</v>
      </c>
      <c r="F25" t="s">
        <v>1421</v>
      </c>
      <c r="G25" t="s">
        <v>1421</v>
      </c>
      <c r="H25">
        <v>20</v>
      </c>
      <c r="I25">
        <v>20</v>
      </c>
      <c r="J25">
        <v>50</v>
      </c>
      <c r="K25">
        <v>50</v>
      </c>
      <c r="O25">
        <v>1</v>
      </c>
      <c r="P25" t="s">
        <v>1344</v>
      </c>
      <c r="R25">
        <v>1</v>
      </c>
      <c r="S25">
        <f t="shared" ref="S25:S40" si="3">R25*Q25</f>
        <v>0</v>
      </c>
      <c r="T25">
        <v>1.5</v>
      </c>
      <c r="U25">
        <v>6</v>
      </c>
      <c r="V25">
        <f t="shared" ref="V25:V40" si="4">Q25*T25</f>
        <v>0</v>
      </c>
      <c r="W25">
        <f t="shared" ref="W25:W40" si="5">Q25*U25</f>
        <v>0</v>
      </c>
    </row>
    <row r="26" spans="2:23" ht="5.0999999999999996" customHeight="1">
      <c r="B26">
        <v>25</v>
      </c>
      <c r="C26" t="str">
        <f>IF('Main Creation Page'!$I$31="M",F26,G26)</f>
        <v>Sandals</v>
      </c>
      <c r="D26">
        <f>IF('Main Creation Page'!$I$31="M",H26,I26)</f>
        <v>10</v>
      </c>
      <c r="E26">
        <f>IF('Main Creation Page'!$I$31="M",J26,K26)</f>
        <v>20</v>
      </c>
      <c r="F26" t="s">
        <v>1422</v>
      </c>
      <c r="G26" t="s">
        <v>1422</v>
      </c>
      <c r="H26">
        <v>10</v>
      </c>
      <c r="I26">
        <v>12</v>
      </c>
      <c r="J26">
        <v>20</v>
      </c>
      <c r="K26">
        <v>20</v>
      </c>
      <c r="O26">
        <v>2</v>
      </c>
      <c r="P26" t="s">
        <v>1963</v>
      </c>
      <c r="R26">
        <v>1</v>
      </c>
      <c r="S26">
        <f t="shared" si="3"/>
        <v>0</v>
      </c>
      <c r="T26">
        <v>1</v>
      </c>
      <c r="U26">
        <v>6</v>
      </c>
      <c r="V26">
        <f t="shared" si="4"/>
        <v>0</v>
      </c>
      <c r="W26">
        <f t="shared" si="5"/>
        <v>0</v>
      </c>
    </row>
    <row r="27" spans="2:23" ht="5.0999999999999996" customHeight="1">
      <c r="B27">
        <v>26</v>
      </c>
      <c r="C27" t="str">
        <f>IF('Main Creation Page'!$I$31="M",F27,G27)</f>
        <v>Shoes</v>
      </c>
      <c r="D27">
        <f>IF('Main Creation Page'!$I$31="M",H27,I27)</f>
        <v>12</v>
      </c>
      <c r="E27">
        <f>IF('Main Creation Page'!$I$31="M",J27,K27)</f>
        <v>30</v>
      </c>
      <c r="F27" t="s">
        <v>1103</v>
      </c>
      <c r="G27" t="s">
        <v>1103</v>
      </c>
      <c r="H27">
        <v>12</v>
      </c>
      <c r="I27">
        <v>16</v>
      </c>
      <c r="J27">
        <v>30</v>
      </c>
      <c r="K27">
        <v>36</v>
      </c>
      <c r="O27">
        <v>3</v>
      </c>
      <c r="P27" t="s">
        <v>4473</v>
      </c>
      <c r="R27">
        <v>1</v>
      </c>
      <c r="S27">
        <f t="shared" si="3"/>
        <v>0</v>
      </c>
      <c r="T27">
        <v>0.5</v>
      </c>
      <c r="U27">
        <v>5</v>
      </c>
      <c r="V27">
        <f t="shared" si="4"/>
        <v>0</v>
      </c>
      <c r="W27">
        <f t="shared" si="5"/>
        <v>0</v>
      </c>
    </row>
    <row r="28" spans="2:23" ht="5.0999999999999996" customHeight="1">
      <c r="B28">
        <v>27</v>
      </c>
      <c r="C28" t="str">
        <f>IF('Main Creation Page'!$I$31="M",F28,G28)</f>
        <v>Wooden Clogs</v>
      </c>
      <c r="D28">
        <f>IF('Main Creation Page'!$I$31="M",H28,I28)</f>
        <v>6</v>
      </c>
      <c r="E28">
        <f>IF('Main Creation Page'!$I$31="M",J28,K28)</f>
        <v>12</v>
      </c>
      <c r="F28" t="s">
        <v>2782</v>
      </c>
      <c r="G28" t="s">
        <v>2782</v>
      </c>
      <c r="H28">
        <v>6</v>
      </c>
      <c r="I28">
        <v>6</v>
      </c>
      <c r="J28">
        <v>12</v>
      </c>
      <c r="K28">
        <v>12</v>
      </c>
      <c r="O28">
        <v>4</v>
      </c>
      <c r="P28" t="s">
        <v>4474</v>
      </c>
      <c r="R28">
        <v>1</v>
      </c>
      <c r="S28">
        <f t="shared" si="3"/>
        <v>0</v>
      </c>
      <c r="T28">
        <v>0.25</v>
      </c>
      <c r="U28">
        <v>5</v>
      </c>
      <c r="V28">
        <f t="shared" si="4"/>
        <v>0</v>
      </c>
      <c r="W28">
        <f t="shared" si="5"/>
        <v>0</v>
      </c>
    </row>
    <row r="29" spans="2:23" ht="5.0999999999999996" customHeight="1">
      <c r="B29">
        <v>28</v>
      </c>
      <c r="C29" t="str">
        <f>IF('Main Creation Page'!$I$31="M",F29,G29)</f>
        <v>Riding Boots</v>
      </c>
      <c r="D29">
        <f>IF('Main Creation Page'!$I$31="M",H29,I29)</f>
        <v>40</v>
      </c>
      <c r="E29">
        <f>IF('Main Creation Page'!$I$31="M",J29,K29)</f>
        <v>80</v>
      </c>
      <c r="F29" t="s">
        <v>2682</v>
      </c>
      <c r="G29" t="s">
        <v>2682</v>
      </c>
      <c r="H29">
        <v>40</v>
      </c>
      <c r="I29">
        <v>45</v>
      </c>
      <c r="J29">
        <v>80</v>
      </c>
      <c r="K29">
        <v>90</v>
      </c>
      <c r="O29">
        <v>5</v>
      </c>
      <c r="P29" t="s">
        <v>4475</v>
      </c>
      <c r="R29">
        <v>1</v>
      </c>
      <c r="S29">
        <f t="shared" si="3"/>
        <v>0</v>
      </c>
      <c r="T29">
        <v>0.5</v>
      </c>
      <c r="U29">
        <v>5</v>
      </c>
      <c r="V29">
        <f t="shared" si="4"/>
        <v>0</v>
      </c>
      <c r="W29">
        <f t="shared" si="5"/>
        <v>0</v>
      </c>
    </row>
    <row r="30" spans="2:23" ht="5.0999999999999996" customHeight="1">
      <c r="B30">
        <v>29</v>
      </c>
      <c r="C30" t="str">
        <f>IF('Main Creation Page'!$I$31="M",F30,G30)</f>
        <v>Infantry Boots</v>
      </c>
      <c r="D30">
        <f>IF('Main Creation Page'!$I$31="M",H30,I30)</f>
        <v>10</v>
      </c>
      <c r="E30">
        <f>IF('Main Creation Page'!$I$31="M",J30,K30)</f>
        <v>20</v>
      </c>
      <c r="F30" t="s">
        <v>1962</v>
      </c>
      <c r="G30" t="s">
        <v>2681</v>
      </c>
      <c r="H30">
        <v>10</v>
      </c>
      <c r="I30">
        <v>0</v>
      </c>
      <c r="J30">
        <v>20</v>
      </c>
      <c r="K30">
        <v>0</v>
      </c>
      <c r="O30">
        <v>6</v>
      </c>
      <c r="P30" t="s">
        <v>1343</v>
      </c>
      <c r="R30">
        <v>1</v>
      </c>
      <c r="S30">
        <f t="shared" si="3"/>
        <v>0</v>
      </c>
      <c r="T30">
        <v>0.25</v>
      </c>
      <c r="U30">
        <v>3</v>
      </c>
      <c r="V30">
        <f t="shared" si="4"/>
        <v>0</v>
      </c>
      <c r="W30">
        <f t="shared" si="5"/>
        <v>0</v>
      </c>
    </row>
    <row r="31" spans="2:23" ht="5.0999999999999996" customHeight="1">
      <c r="B31">
        <v>30</v>
      </c>
      <c r="C31" t="str">
        <f>IF('Main Creation Page'!$I$31="M",F31,G31)</f>
        <v>Work Boots</v>
      </c>
      <c r="D31">
        <f>IF('Main Creation Page'!$I$31="M",H31,I31)</f>
        <v>12</v>
      </c>
      <c r="E31">
        <f>IF('Main Creation Page'!$I$31="M",J31,K31)</f>
        <v>40</v>
      </c>
      <c r="F31" t="s">
        <v>2681</v>
      </c>
      <c r="G31" t="s">
        <v>1423</v>
      </c>
      <c r="H31">
        <v>12</v>
      </c>
      <c r="I31">
        <v>0</v>
      </c>
      <c r="J31">
        <v>40</v>
      </c>
      <c r="K31">
        <v>0</v>
      </c>
      <c r="O31">
        <v>7</v>
      </c>
      <c r="P31" t="s">
        <v>2311</v>
      </c>
      <c r="R31">
        <v>1</v>
      </c>
      <c r="S31">
        <f t="shared" si="3"/>
        <v>0</v>
      </c>
      <c r="T31">
        <v>2</v>
      </c>
      <c r="U31">
        <v>8</v>
      </c>
      <c r="V31">
        <f t="shared" si="4"/>
        <v>0</v>
      </c>
      <c r="W31">
        <f t="shared" si="5"/>
        <v>0</v>
      </c>
    </row>
    <row r="32" spans="2:23" ht="5.0999999999999996" customHeight="1">
      <c r="B32">
        <v>31</v>
      </c>
      <c r="C32" t="str">
        <f>IF('Main Creation Page'!$I$31="M",F32,G32)</f>
        <v>Dress Boots</v>
      </c>
      <c r="D32">
        <f>IF('Main Creation Page'!$I$31="M",H32,I32)</f>
        <v>20</v>
      </c>
      <c r="E32">
        <f>IF('Main Creation Page'!$I$31="M",J32,K32)</f>
        <v>40</v>
      </c>
      <c r="F32" t="s">
        <v>1423</v>
      </c>
      <c r="G32" t="s">
        <v>1075</v>
      </c>
      <c r="H32">
        <v>20</v>
      </c>
      <c r="I32">
        <v>0</v>
      </c>
      <c r="J32">
        <v>40</v>
      </c>
      <c r="K32">
        <v>0</v>
      </c>
      <c r="O32">
        <v>8</v>
      </c>
      <c r="P32" t="s">
        <v>3102</v>
      </c>
      <c r="R32">
        <v>2</v>
      </c>
      <c r="S32">
        <f t="shared" si="3"/>
        <v>0</v>
      </c>
      <c r="T32">
        <v>0.5</v>
      </c>
      <c r="U32">
        <v>4</v>
      </c>
      <c r="V32">
        <f t="shared" si="4"/>
        <v>0</v>
      </c>
      <c r="W32">
        <f t="shared" si="5"/>
        <v>0</v>
      </c>
    </row>
    <row r="33" spans="2:32" ht="5.0999999999999996" customHeight="1">
      <c r="B33">
        <v>32</v>
      </c>
      <c r="C33" t="str">
        <f>IF('Main Creation Page'!$I$31="M",F33,G33)</f>
        <v>Sword Belt</v>
      </c>
      <c r="D33">
        <f>IF('Main Creation Page'!$I$31="M",H33,I33)</f>
        <v>24</v>
      </c>
      <c r="E33">
        <f>IF('Main Creation Page'!$I$31="M",J33,K33)</f>
        <v>50</v>
      </c>
      <c r="F33" t="s">
        <v>1075</v>
      </c>
      <c r="G33" t="s">
        <v>4029</v>
      </c>
      <c r="H33">
        <v>24</v>
      </c>
      <c r="I33">
        <v>0</v>
      </c>
      <c r="J33">
        <v>50</v>
      </c>
      <c r="K33">
        <v>0</v>
      </c>
      <c r="O33">
        <v>9</v>
      </c>
      <c r="P33" t="s">
        <v>3103</v>
      </c>
      <c r="R33">
        <v>2</v>
      </c>
      <c r="S33">
        <f t="shared" si="3"/>
        <v>0</v>
      </c>
      <c r="T33">
        <v>1</v>
      </c>
      <c r="U33">
        <v>6</v>
      </c>
      <c r="V33">
        <f t="shared" si="4"/>
        <v>0</v>
      </c>
      <c r="W33">
        <f t="shared" si="5"/>
        <v>0</v>
      </c>
    </row>
    <row r="34" spans="2:32" ht="5.0999999999999996" customHeight="1">
      <c r="B34">
        <v>33</v>
      </c>
      <c r="C34" t="str">
        <f>IF('Main Creation Page'!$I$31="M",F34,G34)</f>
        <v>Sword Sheath</v>
      </c>
      <c r="D34">
        <f>IF('Main Creation Page'!$I$31="M",H34,I34)</f>
        <v>24</v>
      </c>
      <c r="E34">
        <f>IF('Main Creation Page'!$I$31="M",J34,K34)</f>
        <v>50</v>
      </c>
      <c r="F34" t="s">
        <v>4029</v>
      </c>
      <c r="G34" t="s">
        <v>2225</v>
      </c>
      <c r="H34">
        <v>24</v>
      </c>
      <c r="I34">
        <v>0</v>
      </c>
      <c r="J34">
        <v>50</v>
      </c>
      <c r="K34">
        <v>0</v>
      </c>
      <c r="O34">
        <v>10</v>
      </c>
      <c r="P34" t="s">
        <v>4476</v>
      </c>
      <c r="R34">
        <v>1</v>
      </c>
      <c r="S34">
        <f t="shared" si="3"/>
        <v>0</v>
      </c>
      <c r="T34">
        <v>1</v>
      </c>
      <c r="U34">
        <v>10</v>
      </c>
      <c r="V34">
        <f t="shared" si="4"/>
        <v>0</v>
      </c>
      <c r="W34">
        <f t="shared" si="5"/>
        <v>0</v>
      </c>
    </row>
    <row r="35" spans="2:32" ht="5.0999999999999996" customHeight="1">
      <c r="B35">
        <v>34</v>
      </c>
      <c r="C35" t="str">
        <f>IF('Main Creation Page'!$I$31="M",F35,G35)</f>
        <v>Behind the Back Dagger Sheath</v>
      </c>
      <c r="D35">
        <f>IF('Main Creation Page'!$I$31="M",H35,I35)</f>
        <v>30</v>
      </c>
      <c r="E35">
        <f>IF('Main Creation Page'!$I$31="M",J35,K35)</f>
        <v>60</v>
      </c>
      <c r="F35" t="s">
        <v>2683</v>
      </c>
      <c r="G35" t="s">
        <v>2225</v>
      </c>
      <c r="H35">
        <v>30</v>
      </c>
      <c r="I35">
        <v>0</v>
      </c>
      <c r="J35">
        <v>60</v>
      </c>
      <c r="K35">
        <v>0</v>
      </c>
      <c r="O35">
        <v>11</v>
      </c>
      <c r="P35" t="s">
        <v>4477</v>
      </c>
      <c r="R35">
        <v>1</v>
      </c>
      <c r="S35">
        <f t="shared" si="3"/>
        <v>0</v>
      </c>
      <c r="T35">
        <v>0.75</v>
      </c>
      <c r="U35">
        <v>10</v>
      </c>
      <c r="V35">
        <f t="shared" si="4"/>
        <v>0</v>
      </c>
      <c r="W35">
        <f t="shared" si="5"/>
        <v>0</v>
      </c>
    </row>
    <row r="36" spans="2:32" ht="5.0999999999999996" customHeight="1">
      <c r="B36">
        <v>35</v>
      </c>
      <c r="O36">
        <v>12</v>
      </c>
      <c r="P36" t="s">
        <v>4478</v>
      </c>
      <c r="R36">
        <v>1</v>
      </c>
      <c r="S36">
        <f t="shared" si="3"/>
        <v>0</v>
      </c>
      <c r="T36">
        <v>0.25</v>
      </c>
      <c r="U36">
        <v>6</v>
      </c>
      <c r="V36">
        <f t="shared" si="4"/>
        <v>0</v>
      </c>
      <c r="W36">
        <f t="shared" si="5"/>
        <v>0</v>
      </c>
    </row>
    <row r="37" spans="2:32" ht="5.0999999999999996" customHeight="1">
      <c r="B37">
        <v>1</v>
      </c>
      <c r="C37" t="str">
        <f>IF('Main Creation Page'!$I$31="f",F2," ")</f>
        <v xml:space="preserve"> </v>
      </c>
      <c r="O37">
        <v>13</v>
      </c>
      <c r="P37" t="s">
        <v>3295</v>
      </c>
      <c r="R37">
        <v>1</v>
      </c>
      <c r="S37">
        <f t="shared" si="3"/>
        <v>0</v>
      </c>
      <c r="T37">
        <v>0.25</v>
      </c>
      <c r="U37">
        <v>6</v>
      </c>
      <c r="V37">
        <f t="shared" si="4"/>
        <v>0</v>
      </c>
      <c r="W37">
        <f t="shared" si="5"/>
        <v>0</v>
      </c>
    </row>
    <row r="38" spans="2:32" ht="5.0999999999999996" customHeight="1">
      <c r="B38">
        <v>2</v>
      </c>
      <c r="C38" t="str">
        <f>IF('Main Creation Page'!$I$31="f",F3," ")</f>
        <v xml:space="preserve"> </v>
      </c>
      <c r="O38">
        <v>14</v>
      </c>
      <c r="P38" t="s">
        <v>4479</v>
      </c>
      <c r="R38">
        <v>1</v>
      </c>
      <c r="S38">
        <f t="shared" si="3"/>
        <v>0</v>
      </c>
      <c r="T38">
        <v>0.25</v>
      </c>
      <c r="U38">
        <v>6</v>
      </c>
      <c r="V38">
        <f t="shared" si="4"/>
        <v>0</v>
      </c>
      <c r="W38">
        <f t="shared" si="5"/>
        <v>0</v>
      </c>
    </row>
    <row r="39" spans="2:32" ht="5.0999999999999996" customHeight="1">
      <c r="B39">
        <v>3</v>
      </c>
      <c r="C39" t="str">
        <f>IF('Main Creation Page'!$I$31="f",F4," ")</f>
        <v xml:space="preserve"> </v>
      </c>
      <c r="O39">
        <v>15</v>
      </c>
      <c r="P39" t="s">
        <v>4558</v>
      </c>
      <c r="R39">
        <v>1</v>
      </c>
      <c r="S39">
        <f t="shared" si="3"/>
        <v>0</v>
      </c>
      <c r="T39">
        <v>1</v>
      </c>
      <c r="U39">
        <v>6</v>
      </c>
      <c r="V39">
        <f t="shared" si="4"/>
        <v>0</v>
      </c>
      <c r="W39">
        <f t="shared" si="5"/>
        <v>0</v>
      </c>
    </row>
    <row r="40" spans="2:32" ht="5.0999999999999996" customHeight="1">
      <c r="B40">
        <v>4</v>
      </c>
      <c r="C40" t="str">
        <f>IF('Main Creation Page'!$I$31="f",F5," ")</f>
        <v xml:space="preserve"> </v>
      </c>
      <c r="O40">
        <v>16</v>
      </c>
      <c r="P40" t="s">
        <v>4559</v>
      </c>
      <c r="R40">
        <v>1</v>
      </c>
      <c r="S40">
        <f t="shared" si="3"/>
        <v>0</v>
      </c>
      <c r="T40">
        <v>0.25</v>
      </c>
      <c r="U40">
        <v>6</v>
      </c>
      <c r="V40">
        <f t="shared" si="4"/>
        <v>0</v>
      </c>
      <c r="W40">
        <f t="shared" si="5"/>
        <v>0</v>
      </c>
    </row>
    <row r="41" spans="2:32" ht="5.0999999999999996" customHeight="1" collapsed="1">
      <c r="B41">
        <v>5</v>
      </c>
      <c r="C41" t="str">
        <f>IF('Main Creation Page'!$I$31="f",F6," ")</f>
        <v xml:space="preserve"> </v>
      </c>
      <c r="O41">
        <v>17</v>
      </c>
      <c r="Z41" t="s">
        <v>3104</v>
      </c>
      <c r="AA41" t="s">
        <v>2743</v>
      </c>
      <c r="AB41" t="s">
        <v>456</v>
      </c>
      <c r="AC41" t="s">
        <v>1871</v>
      </c>
      <c r="AD41" t="s">
        <v>555</v>
      </c>
      <c r="AE41" t="s">
        <v>2212</v>
      </c>
      <c r="AF41" t="s">
        <v>2213</v>
      </c>
    </row>
    <row r="42" spans="2:32" ht="5.0999999999999996" customHeight="1">
      <c r="B42">
        <v>6</v>
      </c>
      <c r="C42" t="str">
        <f>IF('Main Creation Page'!$I$31="f",F7," ")</f>
        <v xml:space="preserve"> </v>
      </c>
      <c r="P42" t="s">
        <v>457</v>
      </c>
      <c r="Y42" t="s">
        <v>943</v>
      </c>
    </row>
    <row r="43" spans="2:32" ht="5.0999999999999996" customHeight="1">
      <c r="B43">
        <v>7</v>
      </c>
      <c r="C43" t="str">
        <f>IF('Main Creation Page'!$I$31="f",F8," ")</f>
        <v xml:space="preserve"> </v>
      </c>
      <c r="O43">
        <v>1</v>
      </c>
      <c r="P43" t="s">
        <v>2399</v>
      </c>
      <c r="R43">
        <v>1</v>
      </c>
      <c r="S43">
        <f t="shared" ref="S43:S66" si="6">R43*Q43</f>
        <v>0</v>
      </c>
      <c r="T43">
        <v>0.25</v>
      </c>
      <c r="U43">
        <v>2</v>
      </c>
      <c r="V43">
        <f t="shared" ref="V43:V66" si="7">Q43*T43</f>
        <v>0</v>
      </c>
      <c r="W43">
        <f t="shared" ref="W43:W66" si="8">Q43*U43</f>
        <v>0</v>
      </c>
      <c r="Y43" t="s">
        <v>496</v>
      </c>
      <c r="AA43">
        <v>1</v>
      </c>
      <c r="AB43">
        <f t="shared" ref="AB43:AB61" si="9">AA43*Z43</f>
        <v>0</v>
      </c>
      <c r="AC43">
        <v>0.75</v>
      </c>
      <c r="AD43">
        <v>5</v>
      </c>
      <c r="AE43">
        <f t="shared" ref="AE43:AE61" si="10">Z43*AC43</f>
        <v>0</v>
      </c>
      <c r="AF43">
        <f t="shared" ref="AF43:AF61" si="11">Z43*AD43</f>
        <v>0</v>
      </c>
    </row>
    <row r="44" spans="2:32" ht="5.0999999999999996" customHeight="1">
      <c r="B44">
        <v>8</v>
      </c>
      <c r="C44" t="str">
        <f>IF('Main Creation Page'!$I$31="f",F9," ")</f>
        <v xml:space="preserve"> </v>
      </c>
      <c r="O44">
        <v>2</v>
      </c>
      <c r="P44" t="s">
        <v>3371</v>
      </c>
      <c r="R44">
        <v>1</v>
      </c>
      <c r="S44">
        <f t="shared" si="6"/>
        <v>0</v>
      </c>
      <c r="T44">
        <v>0.25</v>
      </c>
      <c r="U44">
        <v>2</v>
      </c>
      <c r="V44">
        <f t="shared" si="7"/>
        <v>0</v>
      </c>
      <c r="W44">
        <f t="shared" si="8"/>
        <v>0</v>
      </c>
      <c r="Y44" t="s">
        <v>1879</v>
      </c>
      <c r="AA44">
        <v>1</v>
      </c>
      <c r="AB44">
        <f t="shared" si="9"/>
        <v>0</v>
      </c>
      <c r="AC44">
        <v>1</v>
      </c>
      <c r="AD44">
        <v>6</v>
      </c>
      <c r="AE44">
        <f t="shared" si="10"/>
        <v>0</v>
      </c>
      <c r="AF44">
        <f t="shared" si="11"/>
        <v>0</v>
      </c>
    </row>
    <row r="45" spans="2:32" ht="5.0999999999999996" customHeight="1">
      <c r="B45">
        <v>9</v>
      </c>
      <c r="C45" t="str">
        <f>IF('Main Creation Page'!$I$31="f",F10," ")</f>
        <v xml:space="preserve"> </v>
      </c>
      <c r="O45">
        <v>3</v>
      </c>
      <c r="P45" t="s">
        <v>3370</v>
      </c>
      <c r="R45">
        <v>1</v>
      </c>
      <c r="S45">
        <f t="shared" si="6"/>
        <v>0</v>
      </c>
      <c r="T45">
        <v>0.25</v>
      </c>
      <c r="U45">
        <v>3</v>
      </c>
      <c r="V45">
        <f t="shared" si="7"/>
        <v>0</v>
      </c>
      <c r="W45">
        <f t="shared" si="8"/>
        <v>0</v>
      </c>
      <c r="Y45" t="s">
        <v>3020</v>
      </c>
      <c r="AA45">
        <v>1</v>
      </c>
      <c r="AB45">
        <f t="shared" si="9"/>
        <v>0</v>
      </c>
      <c r="AC45">
        <v>0.75</v>
      </c>
      <c r="AD45">
        <v>5</v>
      </c>
      <c r="AE45">
        <f t="shared" si="10"/>
        <v>0</v>
      </c>
      <c r="AF45">
        <f t="shared" si="11"/>
        <v>0</v>
      </c>
    </row>
    <row r="46" spans="2:32" ht="5.0999999999999996" customHeight="1">
      <c r="B46">
        <v>10</v>
      </c>
      <c r="C46" t="str">
        <f>IF('Main Creation Page'!$I$31="f",F11," ")</f>
        <v xml:space="preserve"> </v>
      </c>
      <c r="O46">
        <v>4</v>
      </c>
      <c r="P46" t="s">
        <v>3369</v>
      </c>
      <c r="R46">
        <v>1</v>
      </c>
      <c r="S46">
        <f t="shared" si="6"/>
        <v>0</v>
      </c>
      <c r="T46">
        <v>0.25</v>
      </c>
      <c r="U46">
        <v>1</v>
      </c>
      <c r="V46">
        <f t="shared" si="7"/>
        <v>0</v>
      </c>
      <c r="W46">
        <f t="shared" si="8"/>
        <v>0</v>
      </c>
      <c r="Y46" t="s">
        <v>3021</v>
      </c>
      <c r="AA46">
        <v>1</v>
      </c>
      <c r="AB46">
        <f t="shared" si="9"/>
        <v>0</v>
      </c>
      <c r="AC46">
        <v>0.5</v>
      </c>
      <c r="AD46">
        <v>5</v>
      </c>
      <c r="AE46">
        <f t="shared" si="10"/>
        <v>0</v>
      </c>
      <c r="AF46">
        <f t="shared" si="11"/>
        <v>0</v>
      </c>
    </row>
    <row r="47" spans="2:32" ht="5.0999999999999996" customHeight="1">
      <c r="B47">
        <v>11</v>
      </c>
      <c r="C47" t="str">
        <f>IF('Main Creation Page'!$I$31="f",F12," ")</f>
        <v xml:space="preserve"> </v>
      </c>
      <c r="O47">
        <v>5</v>
      </c>
      <c r="P47" t="s">
        <v>3368</v>
      </c>
      <c r="R47">
        <v>1</v>
      </c>
      <c r="S47">
        <f t="shared" si="6"/>
        <v>0</v>
      </c>
      <c r="T47">
        <v>0.5</v>
      </c>
      <c r="U47">
        <v>4</v>
      </c>
      <c r="V47">
        <f t="shared" si="7"/>
        <v>0</v>
      </c>
      <c r="W47">
        <f t="shared" si="8"/>
        <v>0</v>
      </c>
      <c r="Y47" t="s">
        <v>3022</v>
      </c>
      <c r="AA47">
        <v>1</v>
      </c>
      <c r="AB47">
        <f t="shared" si="9"/>
        <v>0</v>
      </c>
      <c r="AC47">
        <v>0.25</v>
      </c>
      <c r="AD47">
        <v>5</v>
      </c>
      <c r="AE47">
        <f t="shared" si="10"/>
        <v>0</v>
      </c>
      <c r="AF47">
        <f t="shared" si="11"/>
        <v>0</v>
      </c>
    </row>
    <row r="48" spans="2:32" ht="5.0999999999999996" customHeight="1">
      <c r="B48">
        <v>12</v>
      </c>
      <c r="C48" t="str">
        <f>IF('Main Creation Page'!$I$31="f",F13," ")</f>
        <v xml:space="preserve"> </v>
      </c>
      <c r="O48">
        <v>6</v>
      </c>
      <c r="P48" t="s">
        <v>272</v>
      </c>
      <c r="R48">
        <v>1</v>
      </c>
      <c r="S48">
        <f t="shared" si="6"/>
        <v>0</v>
      </c>
      <c r="T48">
        <v>0.25</v>
      </c>
      <c r="U48">
        <v>3</v>
      </c>
      <c r="V48">
        <f t="shared" si="7"/>
        <v>0</v>
      </c>
      <c r="W48">
        <f t="shared" si="8"/>
        <v>0</v>
      </c>
      <c r="Y48" t="s">
        <v>805</v>
      </c>
      <c r="AA48">
        <f>AVERAGE(15,30)</f>
        <v>22.5</v>
      </c>
      <c r="AB48">
        <f t="shared" si="9"/>
        <v>0</v>
      </c>
      <c r="AC48">
        <v>0.5</v>
      </c>
      <c r="AD48">
        <v>5</v>
      </c>
      <c r="AE48">
        <f t="shared" si="10"/>
        <v>0</v>
      </c>
      <c r="AF48">
        <f t="shared" si="11"/>
        <v>0</v>
      </c>
    </row>
    <row r="49" spans="2:32" ht="5.0999999999999996" customHeight="1">
      <c r="B49">
        <v>13</v>
      </c>
      <c r="C49" t="str">
        <f>IF('Main Creation Page'!$I$31="f",F14," ")</f>
        <v xml:space="preserve"> </v>
      </c>
      <c r="O49">
        <v>7</v>
      </c>
      <c r="P49" t="s">
        <v>5456</v>
      </c>
      <c r="R49">
        <v>1</v>
      </c>
      <c r="S49">
        <f t="shared" si="6"/>
        <v>0</v>
      </c>
      <c r="T49">
        <v>0.25</v>
      </c>
      <c r="U49">
        <v>2</v>
      </c>
      <c r="V49">
        <f t="shared" si="7"/>
        <v>0</v>
      </c>
      <c r="W49">
        <f t="shared" si="8"/>
        <v>0</v>
      </c>
      <c r="Y49" t="s">
        <v>497</v>
      </c>
      <c r="AA49">
        <f>AVERAGE(30,60)</f>
        <v>45</v>
      </c>
      <c r="AB49">
        <f t="shared" si="9"/>
        <v>0</v>
      </c>
      <c r="AC49">
        <v>0.75</v>
      </c>
      <c r="AD49">
        <v>4</v>
      </c>
      <c r="AE49">
        <f t="shared" si="10"/>
        <v>0</v>
      </c>
      <c r="AF49">
        <f t="shared" si="11"/>
        <v>0</v>
      </c>
    </row>
    <row r="50" spans="2:32" ht="5.0999999999999996" customHeight="1">
      <c r="B50">
        <v>14</v>
      </c>
      <c r="C50" t="str">
        <f>IF('Main Creation Page'!$I$31="f",F15," ")</f>
        <v xml:space="preserve"> </v>
      </c>
      <c r="O50">
        <v>8</v>
      </c>
      <c r="P50" t="s">
        <v>3365</v>
      </c>
      <c r="R50">
        <v>1</v>
      </c>
      <c r="S50">
        <f t="shared" si="6"/>
        <v>0</v>
      </c>
      <c r="T50">
        <v>0.25</v>
      </c>
      <c r="U50">
        <v>2</v>
      </c>
      <c r="V50">
        <f t="shared" si="7"/>
        <v>0</v>
      </c>
      <c r="W50">
        <f t="shared" si="8"/>
        <v>0</v>
      </c>
      <c r="Y50" t="s">
        <v>498</v>
      </c>
      <c r="AA50">
        <v>1</v>
      </c>
      <c r="AB50">
        <f t="shared" si="9"/>
        <v>0</v>
      </c>
      <c r="AC50">
        <v>0.5</v>
      </c>
      <c r="AD50">
        <v>4</v>
      </c>
      <c r="AE50">
        <f t="shared" si="10"/>
        <v>0</v>
      </c>
      <c r="AF50">
        <f t="shared" si="11"/>
        <v>0</v>
      </c>
    </row>
    <row r="51" spans="2:32" ht="5.0999999999999996" customHeight="1">
      <c r="B51">
        <v>15</v>
      </c>
      <c r="C51" t="str">
        <f>IF('Main Creation Page'!$I$31="f",F16," ")</f>
        <v xml:space="preserve"> </v>
      </c>
      <c r="O51">
        <v>9</v>
      </c>
      <c r="P51" t="s">
        <v>3364</v>
      </c>
      <c r="R51">
        <v>1</v>
      </c>
      <c r="S51">
        <f t="shared" si="6"/>
        <v>0</v>
      </c>
      <c r="T51">
        <v>0.25</v>
      </c>
      <c r="U51">
        <v>2</v>
      </c>
      <c r="V51">
        <f t="shared" si="7"/>
        <v>0</v>
      </c>
      <c r="W51">
        <f t="shared" si="8"/>
        <v>0</v>
      </c>
      <c r="Y51" t="s">
        <v>1880</v>
      </c>
      <c r="AA51">
        <v>1</v>
      </c>
      <c r="AB51">
        <f t="shared" si="9"/>
        <v>0</v>
      </c>
      <c r="AC51">
        <v>0.75</v>
      </c>
      <c r="AD51">
        <v>6</v>
      </c>
      <c r="AE51">
        <f t="shared" si="10"/>
        <v>0</v>
      </c>
      <c r="AF51">
        <f t="shared" si="11"/>
        <v>0</v>
      </c>
    </row>
    <row r="52" spans="2:32" ht="5.0999999999999996" customHeight="1">
      <c r="B52">
        <v>16</v>
      </c>
      <c r="C52" t="str">
        <f>IF('Main Creation Page'!$I$31="f",F17," ")</f>
        <v xml:space="preserve"> </v>
      </c>
      <c r="O52">
        <v>10</v>
      </c>
      <c r="P52" t="s">
        <v>3363</v>
      </c>
      <c r="R52">
        <v>1</v>
      </c>
      <c r="S52">
        <f t="shared" si="6"/>
        <v>0</v>
      </c>
      <c r="T52">
        <v>0.5</v>
      </c>
      <c r="U52">
        <v>2</v>
      </c>
      <c r="V52">
        <f t="shared" si="7"/>
        <v>0</v>
      </c>
      <c r="W52">
        <f t="shared" si="8"/>
        <v>0</v>
      </c>
      <c r="Y52" t="s">
        <v>3023</v>
      </c>
      <c r="AA52">
        <v>1</v>
      </c>
      <c r="AB52">
        <f t="shared" si="9"/>
        <v>0</v>
      </c>
      <c r="AC52">
        <v>0.75</v>
      </c>
      <c r="AD52">
        <v>5</v>
      </c>
      <c r="AE52">
        <f t="shared" si="10"/>
        <v>0</v>
      </c>
      <c r="AF52">
        <f t="shared" si="11"/>
        <v>0</v>
      </c>
    </row>
    <row r="53" spans="2:32" ht="5.0999999999999996" customHeight="1">
      <c r="B53">
        <v>17</v>
      </c>
      <c r="C53" t="str">
        <f>IF('Main Creation Page'!$I$31="f",F18," ")</f>
        <v xml:space="preserve"> </v>
      </c>
      <c r="O53">
        <v>11</v>
      </c>
      <c r="P53" t="s">
        <v>3362</v>
      </c>
      <c r="R53">
        <v>1</v>
      </c>
      <c r="S53">
        <f t="shared" si="6"/>
        <v>0</v>
      </c>
      <c r="T53">
        <v>0.5</v>
      </c>
      <c r="U53">
        <v>2</v>
      </c>
      <c r="V53">
        <f t="shared" si="7"/>
        <v>0</v>
      </c>
      <c r="W53">
        <f t="shared" si="8"/>
        <v>0</v>
      </c>
      <c r="Y53" t="s">
        <v>3024</v>
      </c>
      <c r="AA53">
        <v>1</v>
      </c>
      <c r="AB53">
        <f t="shared" si="9"/>
        <v>0</v>
      </c>
      <c r="AC53">
        <v>0.5</v>
      </c>
      <c r="AD53">
        <v>5</v>
      </c>
      <c r="AE53">
        <f t="shared" si="10"/>
        <v>0</v>
      </c>
      <c r="AF53">
        <f t="shared" si="11"/>
        <v>0</v>
      </c>
    </row>
    <row r="54" spans="2:32" ht="5.0999999999999996" customHeight="1">
      <c r="B54">
        <v>18</v>
      </c>
      <c r="C54" t="str">
        <f>IF('Main Creation Page'!$I$31="f",F19," ")</f>
        <v xml:space="preserve"> </v>
      </c>
      <c r="O54">
        <v>12</v>
      </c>
      <c r="P54" t="s">
        <v>3361</v>
      </c>
      <c r="R54">
        <v>1</v>
      </c>
      <c r="S54">
        <f t="shared" si="6"/>
        <v>0</v>
      </c>
      <c r="T54">
        <v>0.25</v>
      </c>
      <c r="U54">
        <v>3</v>
      </c>
      <c r="V54">
        <f t="shared" si="7"/>
        <v>0</v>
      </c>
      <c r="W54">
        <f t="shared" si="8"/>
        <v>0</v>
      </c>
      <c r="Y54" t="s">
        <v>3025</v>
      </c>
      <c r="AA54">
        <v>1</v>
      </c>
      <c r="AB54">
        <f t="shared" si="9"/>
        <v>0</v>
      </c>
      <c r="AC54">
        <v>0.25</v>
      </c>
      <c r="AD54">
        <v>5</v>
      </c>
      <c r="AE54">
        <f t="shared" si="10"/>
        <v>0</v>
      </c>
      <c r="AF54">
        <f t="shared" si="11"/>
        <v>0</v>
      </c>
    </row>
    <row r="55" spans="2:32" ht="5.0999999999999996" customHeight="1">
      <c r="B55">
        <v>19</v>
      </c>
      <c r="C55" t="str">
        <f>IF('Main Creation Page'!$I$31="f",F20," ")</f>
        <v xml:space="preserve"> </v>
      </c>
      <c r="O55">
        <v>13</v>
      </c>
      <c r="P55" t="s">
        <v>3360</v>
      </c>
      <c r="R55">
        <v>1</v>
      </c>
      <c r="S55">
        <f t="shared" si="6"/>
        <v>0</v>
      </c>
      <c r="T55">
        <v>0.25</v>
      </c>
      <c r="U55">
        <v>3</v>
      </c>
      <c r="V55">
        <f t="shared" si="7"/>
        <v>0</v>
      </c>
      <c r="W55">
        <f t="shared" si="8"/>
        <v>0</v>
      </c>
      <c r="Y55" t="s">
        <v>801</v>
      </c>
      <c r="AA55">
        <v>1</v>
      </c>
      <c r="AB55">
        <f t="shared" si="9"/>
        <v>0</v>
      </c>
      <c r="AC55">
        <v>0.5</v>
      </c>
      <c r="AD55">
        <v>5</v>
      </c>
      <c r="AE55">
        <f t="shared" si="10"/>
        <v>0</v>
      </c>
      <c r="AF55">
        <f t="shared" si="11"/>
        <v>0</v>
      </c>
    </row>
    <row r="56" spans="2:32" ht="5.0999999999999996" customHeight="1">
      <c r="B56">
        <v>20</v>
      </c>
      <c r="C56" t="str">
        <f>IF('Main Creation Page'!$I$31="f",F21," ")</f>
        <v xml:space="preserve"> </v>
      </c>
      <c r="O56">
        <v>14</v>
      </c>
      <c r="P56" t="s">
        <v>3359</v>
      </c>
      <c r="R56">
        <v>1</v>
      </c>
      <c r="S56">
        <f t="shared" si="6"/>
        <v>0</v>
      </c>
      <c r="T56">
        <v>0.25</v>
      </c>
      <c r="U56">
        <v>2</v>
      </c>
      <c r="V56">
        <f t="shared" si="7"/>
        <v>0</v>
      </c>
      <c r="W56">
        <f t="shared" si="8"/>
        <v>0</v>
      </c>
      <c r="Y56" t="s">
        <v>2337</v>
      </c>
      <c r="AA56">
        <v>1</v>
      </c>
      <c r="AB56">
        <f t="shared" si="9"/>
        <v>0</v>
      </c>
      <c r="AC56">
        <v>0.25</v>
      </c>
      <c r="AD56">
        <v>5</v>
      </c>
      <c r="AE56">
        <f t="shared" si="10"/>
        <v>0</v>
      </c>
      <c r="AF56">
        <f t="shared" si="11"/>
        <v>0</v>
      </c>
    </row>
    <row r="57" spans="2:32" ht="5.0999999999999996" customHeight="1">
      <c r="B57">
        <v>21</v>
      </c>
      <c r="C57" t="str">
        <f>IF('Main Creation Page'!$I$31="f",F22," ")</f>
        <v xml:space="preserve"> </v>
      </c>
      <c r="O57">
        <v>15</v>
      </c>
      <c r="P57" t="s">
        <v>4226</v>
      </c>
      <c r="R57">
        <v>1</v>
      </c>
      <c r="S57">
        <f t="shared" si="6"/>
        <v>0</v>
      </c>
      <c r="T57">
        <v>0.25</v>
      </c>
      <c r="U57">
        <v>3</v>
      </c>
      <c r="V57">
        <f t="shared" si="7"/>
        <v>0</v>
      </c>
      <c r="W57">
        <f t="shared" si="8"/>
        <v>0</v>
      </c>
      <c r="Y57" t="s">
        <v>802</v>
      </c>
      <c r="AA57">
        <v>1</v>
      </c>
      <c r="AB57">
        <f t="shared" si="9"/>
        <v>0</v>
      </c>
      <c r="AC57">
        <v>0.75</v>
      </c>
      <c r="AD57">
        <v>5</v>
      </c>
      <c r="AE57">
        <f t="shared" si="10"/>
        <v>0</v>
      </c>
      <c r="AF57">
        <f t="shared" si="11"/>
        <v>0</v>
      </c>
    </row>
    <row r="58" spans="2:32" ht="5.0999999999999996" customHeight="1">
      <c r="B58">
        <v>22</v>
      </c>
      <c r="C58" t="str">
        <f>IF('Main Creation Page'!$I$31="f",F23," ")</f>
        <v xml:space="preserve"> </v>
      </c>
      <c r="O58">
        <v>16</v>
      </c>
      <c r="P58" t="s">
        <v>3358</v>
      </c>
      <c r="R58">
        <v>1</v>
      </c>
      <c r="S58">
        <f t="shared" si="6"/>
        <v>0</v>
      </c>
      <c r="T58">
        <v>0.25</v>
      </c>
      <c r="U58">
        <v>3</v>
      </c>
      <c r="V58">
        <f t="shared" si="7"/>
        <v>0</v>
      </c>
      <c r="W58">
        <f t="shared" si="8"/>
        <v>0</v>
      </c>
      <c r="Y58" t="s">
        <v>2338</v>
      </c>
      <c r="AA58">
        <v>1</v>
      </c>
      <c r="AB58">
        <f t="shared" si="9"/>
        <v>0</v>
      </c>
      <c r="AC58">
        <v>0.5</v>
      </c>
      <c r="AD58">
        <v>5</v>
      </c>
      <c r="AE58">
        <f t="shared" si="10"/>
        <v>0</v>
      </c>
      <c r="AF58">
        <f t="shared" si="11"/>
        <v>0</v>
      </c>
    </row>
    <row r="59" spans="2:32" ht="5.0999999999999996" customHeight="1">
      <c r="B59">
        <v>23</v>
      </c>
      <c r="C59" t="str">
        <f>IF('Main Creation Page'!$I$31="f",F24," ")</f>
        <v xml:space="preserve"> </v>
      </c>
      <c r="O59">
        <v>17</v>
      </c>
      <c r="P59" t="s">
        <v>4370</v>
      </c>
      <c r="R59">
        <v>1</v>
      </c>
      <c r="S59">
        <f t="shared" si="6"/>
        <v>0</v>
      </c>
      <c r="T59">
        <v>0.25</v>
      </c>
      <c r="U59">
        <v>3</v>
      </c>
      <c r="V59">
        <f t="shared" si="7"/>
        <v>0</v>
      </c>
      <c r="W59">
        <f t="shared" si="8"/>
        <v>0</v>
      </c>
      <c r="Y59" t="s">
        <v>2339</v>
      </c>
      <c r="AA59">
        <v>1</v>
      </c>
      <c r="AB59">
        <f t="shared" si="9"/>
        <v>0</v>
      </c>
      <c r="AC59">
        <v>0.25</v>
      </c>
      <c r="AD59">
        <v>5</v>
      </c>
      <c r="AE59">
        <f t="shared" si="10"/>
        <v>0</v>
      </c>
      <c r="AF59">
        <f t="shared" si="11"/>
        <v>0</v>
      </c>
    </row>
    <row r="60" spans="2:32" ht="5.0999999999999996" customHeight="1">
      <c r="B60">
        <v>24</v>
      </c>
      <c r="C60" t="str">
        <f>IF('Main Creation Page'!$I$31="f",F25," ")</f>
        <v xml:space="preserve"> </v>
      </c>
      <c r="O60">
        <v>18</v>
      </c>
      <c r="P60" t="s">
        <v>5455</v>
      </c>
      <c r="R60">
        <v>1</v>
      </c>
      <c r="S60">
        <f t="shared" si="6"/>
        <v>0</v>
      </c>
      <c r="T60">
        <v>1</v>
      </c>
      <c r="U60">
        <v>2</v>
      </c>
      <c r="V60">
        <f t="shared" si="7"/>
        <v>0</v>
      </c>
      <c r="W60">
        <f t="shared" si="8"/>
        <v>0</v>
      </c>
      <c r="Y60" t="s">
        <v>806</v>
      </c>
      <c r="AA60">
        <v>1</v>
      </c>
      <c r="AB60">
        <f t="shared" si="9"/>
        <v>0</v>
      </c>
      <c r="AC60">
        <v>0.5</v>
      </c>
      <c r="AD60">
        <v>5</v>
      </c>
      <c r="AE60">
        <f t="shared" si="10"/>
        <v>0</v>
      </c>
      <c r="AF60">
        <f t="shared" si="11"/>
        <v>0</v>
      </c>
    </row>
    <row r="61" spans="2:32" ht="5.0999999999999996" customHeight="1">
      <c r="B61">
        <v>25</v>
      </c>
      <c r="C61" t="str">
        <f>IF('Main Creation Page'!$I$31="f",F26," ")</f>
        <v xml:space="preserve"> </v>
      </c>
      <c r="O61">
        <v>19</v>
      </c>
      <c r="P61" t="s">
        <v>3357</v>
      </c>
      <c r="R61">
        <v>1</v>
      </c>
      <c r="S61">
        <f t="shared" si="6"/>
        <v>0</v>
      </c>
      <c r="T61">
        <v>0.25</v>
      </c>
      <c r="U61">
        <v>2</v>
      </c>
      <c r="V61">
        <f t="shared" si="7"/>
        <v>0</v>
      </c>
      <c r="W61">
        <f t="shared" si="8"/>
        <v>0</v>
      </c>
      <c r="Y61" t="s">
        <v>2994</v>
      </c>
      <c r="AA61">
        <v>1</v>
      </c>
      <c r="AB61">
        <f t="shared" si="9"/>
        <v>0</v>
      </c>
      <c r="AC61">
        <v>0.25</v>
      </c>
      <c r="AD61">
        <v>3</v>
      </c>
      <c r="AE61">
        <f t="shared" si="10"/>
        <v>0</v>
      </c>
      <c r="AF61">
        <f t="shared" si="11"/>
        <v>0</v>
      </c>
    </row>
    <row r="62" spans="2:32" ht="5.0999999999999996" customHeight="1">
      <c r="B62">
        <v>26</v>
      </c>
      <c r="C62" t="str">
        <f>IF('Main Creation Page'!$I$31="f",F27," ")</f>
        <v xml:space="preserve"> </v>
      </c>
      <c r="O62">
        <v>20</v>
      </c>
      <c r="P62" t="s">
        <v>3356</v>
      </c>
      <c r="R62">
        <v>1</v>
      </c>
      <c r="S62">
        <f t="shared" si="6"/>
        <v>0</v>
      </c>
      <c r="T62">
        <v>1</v>
      </c>
      <c r="U62">
        <v>2</v>
      </c>
      <c r="V62">
        <f t="shared" si="7"/>
        <v>0</v>
      </c>
      <c r="W62">
        <f t="shared" si="8"/>
        <v>0</v>
      </c>
    </row>
    <row r="63" spans="2:32" ht="5.0999999999999996" customHeight="1">
      <c r="B63">
        <v>27</v>
      </c>
      <c r="C63" t="str">
        <f>IF('Main Creation Page'!$I$31="f",F28," ")</f>
        <v xml:space="preserve"> </v>
      </c>
      <c r="O63">
        <v>21</v>
      </c>
      <c r="P63" t="s">
        <v>3355</v>
      </c>
      <c r="R63">
        <v>1</v>
      </c>
      <c r="S63">
        <f t="shared" si="6"/>
        <v>0</v>
      </c>
      <c r="T63">
        <v>0.25</v>
      </c>
      <c r="U63">
        <v>4</v>
      </c>
      <c r="V63">
        <f t="shared" si="7"/>
        <v>0</v>
      </c>
      <c r="W63">
        <f t="shared" si="8"/>
        <v>0</v>
      </c>
    </row>
    <row r="64" spans="2:32" ht="5.0999999999999996" customHeight="1">
      <c r="B64">
        <v>28</v>
      </c>
      <c r="C64" t="str">
        <f>IF('Main Creation Page'!$I$31="f",F29," ")</f>
        <v xml:space="preserve"> </v>
      </c>
      <c r="O64">
        <v>22</v>
      </c>
      <c r="P64" t="s">
        <v>3354</v>
      </c>
      <c r="R64">
        <v>1</v>
      </c>
      <c r="S64">
        <f t="shared" si="6"/>
        <v>0</v>
      </c>
      <c r="T64">
        <v>2</v>
      </c>
      <c r="U64">
        <v>3</v>
      </c>
      <c r="V64">
        <f t="shared" si="7"/>
        <v>0</v>
      </c>
      <c r="W64">
        <f t="shared" si="8"/>
        <v>0</v>
      </c>
    </row>
    <row r="65" spans="2:32" ht="5.0999999999999996" customHeight="1">
      <c r="B65">
        <v>29</v>
      </c>
      <c r="C65" t="str">
        <f>IF('Main Creation Page'!$I$31="f",F30," ")</f>
        <v xml:space="preserve"> </v>
      </c>
      <c r="O65">
        <v>23</v>
      </c>
      <c r="P65" t="s">
        <v>3353</v>
      </c>
      <c r="R65">
        <v>2</v>
      </c>
      <c r="S65">
        <f t="shared" si="6"/>
        <v>0</v>
      </c>
      <c r="T65">
        <v>2.5</v>
      </c>
      <c r="U65">
        <v>4</v>
      </c>
      <c r="V65">
        <f t="shared" si="7"/>
        <v>0</v>
      </c>
      <c r="W65">
        <f t="shared" si="8"/>
        <v>0</v>
      </c>
    </row>
    <row r="66" spans="2:32" ht="5.0999999999999996" customHeight="1">
      <c r="B66">
        <v>30</v>
      </c>
      <c r="C66" t="str">
        <f>IF('Main Creation Page'!$I$31="f",F31," ")</f>
        <v xml:space="preserve"> </v>
      </c>
      <c r="O66">
        <v>24</v>
      </c>
      <c r="P66" t="s">
        <v>2400</v>
      </c>
      <c r="R66">
        <v>1</v>
      </c>
      <c r="S66">
        <f t="shared" si="6"/>
        <v>0</v>
      </c>
      <c r="T66">
        <v>0.75</v>
      </c>
      <c r="U66">
        <v>0</v>
      </c>
      <c r="V66">
        <f t="shared" si="7"/>
        <v>0</v>
      </c>
      <c r="W66">
        <f t="shared" si="8"/>
        <v>0</v>
      </c>
    </row>
    <row r="67" spans="2:32" ht="5.0999999999999996" customHeight="1" collapsed="1">
      <c r="B67">
        <v>31</v>
      </c>
      <c r="C67" t="str">
        <f>IF('Main Creation Page'!$I$31="f",F32," ")</f>
        <v xml:space="preserve"> </v>
      </c>
      <c r="O67">
        <v>25</v>
      </c>
    </row>
    <row r="68" spans="2:32" ht="5.0999999999999996" customHeight="1">
      <c r="B68">
        <v>32</v>
      </c>
      <c r="C68" t="str">
        <f>IF('Main Creation Page'!$I$31="f",F33," ")</f>
        <v xml:space="preserve"> </v>
      </c>
      <c r="P68" t="s">
        <v>458</v>
      </c>
      <c r="Y68" t="s">
        <v>4042</v>
      </c>
    </row>
    <row r="69" spans="2:32" ht="5.0999999999999996" customHeight="1">
      <c r="B69">
        <v>33</v>
      </c>
      <c r="C69" t="str">
        <f>IF('Main Creation Page'!$I$31="f",F34," ")</f>
        <v xml:space="preserve"> </v>
      </c>
      <c r="O69">
        <v>1</v>
      </c>
      <c r="P69" t="s">
        <v>3388</v>
      </c>
      <c r="R69">
        <v>1</v>
      </c>
      <c r="S69">
        <f t="shared" ref="S69:S86" si="12">R69*Q69</f>
        <v>0</v>
      </c>
      <c r="T69">
        <v>0.25</v>
      </c>
      <c r="U69">
        <v>2</v>
      </c>
      <c r="V69">
        <f t="shared" ref="V69:V86" si="13">Q69*T69</f>
        <v>0</v>
      </c>
      <c r="W69">
        <f t="shared" ref="W69:W86" si="14">Q69*U69</f>
        <v>0</v>
      </c>
      <c r="Y69" t="s">
        <v>554</v>
      </c>
      <c r="AA69">
        <f>AVERAGE(4,7)</f>
        <v>5.5</v>
      </c>
      <c r="AB69">
        <f t="shared" ref="AB69:AB75" si="15">AA69*Z69</f>
        <v>0</v>
      </c>
      <c r="AC69">
        <v>0.25</v>
      </c>
      <c r="AD69">
        <v>5</v>
      </c>
      <c r="AE69">
        <f t="shared" ref="AE69:AE75" si="16">Z69*AC69</f>
        <v>0</v>
      </c>
      <c r="AF69">
        <f t="shared" ref="AF69:AF75" si="17">Z69*AD69</f>
        <v>0</v>
      </c>
    </row>
    <row r="70" spans="2:32" ht="5.0999999999999996" customHeight="1">
      <c r="B70">
        <v>34</v>
      </c>
      <c r="C70" t="str">
        <f>IF('Main Creation Page'!$I$31="f",F35," ")</f>
        <v xml:space="preserve"> </v>
      </c>
      <c r="O70">
        <v>2</v>
      </c>
      <c r="P70" t="s">
        <v>3387</v>
      </c>
      <c r="R70">
        <v>1</v>
      </c>
      <c r="S70">
        <f t="shared" si="12"/>
        <v>0</v>
      </c>
      <c r="T70">
        <v>0.25</v>
      </c>
      <c r="U70">
        <v>3</v>
      </c>
      <c r="V70">
        <f t="shared" si="13"/>
        <v>0</v>
      </c>
      <c r="W70">
        <f t="shared" si="14"/>
        <v>0</v>
      </c>
      <c r="Y70" t="s">
        <v>553</v>
      </c>
      <c r="AA70">
        <f>AVERAGE(4,7)</f>
        <v>5.5</v>
      </c>
      <c r="AB70">
        <f t="shared" si="15"/>
        <v>0</v>
      </c>
      <c r="AC70">
        <v>0.25</v>
      </c>
      <c r="AD70">
        <v>5</v>
      </c>
      <c r="AE70">
        <f t="shared" si="16"/>
        <v>0</v>
      </c>
      <c r="AF70">
        <f t="shared" si="17"/>
        <v>0</v>
      </c>
    </row>
    <row r="71" spans="2:32" ht="5.0999999999999996" customHeight="1">
      <c r="B71">
        <v>35</v>
      </c>
      <c r="C71" t="s">
        <v>2225</v>
      </c>
      <c r="O71">
        <v>3</v>
      </c>
      <c r="P71" t="s">
        <v>3386</v>
      </c>
      <c r="R71">
        <v>1</v>
      </c>
      <c r="S71">
        <f t="shared" si="12"/>
        <v>0</v>
      </c>
      <c r="T71">
        <v>0.5</v>
      </c>
      <c r="U71">
        <v>3</v>
      </c>
      <c r="V71">
        <f t="shared" si="13"/>
        <v>0</v>
      </c>
      <c r="W71">
        <f t="shared" si="14"/>
        <v>0</v>
      </c>
      <c r="Y71" t="s">
        <v>552</v>
      </c>
      <c r="AA71">
        <f>AVERAGE(6,15)</f>
        <v>10.5</v>
      </c>
      <c r="AB71">
        <f t="shared" si="15"/>
        <v>0</v>
      </c>
      <c r="AC71">
        <v>0.5</v>
      </c>
      <c r="AD71">
        <v>5</v>
      </c>
      <c r="AE71">
        <f t="shared" si="16"/>
        <v>0</v>
      </c>
      <c r="AF71">
        <f t="shared" si="17"/>
        <v>0</v>
      </c>
    </row>
    <row r="72" spans="2:32" ht="5.0999999999999996" customHeight="1">
      <c r="O72">
        <v>4</v>
      </c>
      <c r="P72" t="s">
        <v>3385</v>
      </c>
      <c r="R72">
        <v>1</v>
      </c>
      <c r="S72">
        <f t="shared" si="12"/>
        <v>0</v>
      </c>
      <c r="T72">
        <v>0.25</v>
      </c>
      <c r="U72">
        <v>3</v>
      </c>
      <c r="V72">
        <f t="shared" si="13"/>
        <v>0</v>
      </c>
      <c r="W72">
        <f t="shared" si="14"/>
        <v>0</v>
      </c>
      <c r="Y72" t="s">
        <v>2996</v>
      </c>
      <c r="AA72">
        <f>AVERAGE(8,15)</f>
        <v>11.5</v>
      </c>
      <c r="AB72">
        <f t="shared" si="15"/>
        <v>0</v>
      </c>
      <c r="AC72">
        <v>0.5</v>
      </c>
      <c r="AD72">
        <v>5</v>
      </c>
      <c r="AE72">
        <f t="shared" si="16"/>
        <v>0</v>
      </c>
      <c r="AF72">
        <f t="shared" si="17"/>
        <v>0</v>
      </c>
    </row>
    <row r="73" spans="2:32" ht="5.0999999999999996" customHeight="1">
      <c r="O73">
        <v>5</v>
      </c>
      <c r="P73" t="s">
        <v>3384</v>
      </c>
      <c r="R73">
        <v>1</v>
      </c>
      <c r="S73">
        <f t="shared" si="12"/>
        <v>0</v>
      </c>
      <c r="T73">
        <v>0.75</v>
      </c>
      <c r="U73">
        <v>3</v>
      </c>
      <c r="V73">
        <f t="shared" si="13"/>
        <v>0</v>
      </c>
      <c r="W73">
        <f t="shared" si="14"/>
        <v>0</v>
      </c>
      <c r="Y73" t="s">
        <v>2995</v>
      </c>
      <c r="AA73">
        <f>AVERAGE(7,20)</f>
        <v>13.5</v>
      </c>
      <c r="AB73">
        <f t="shared" si="15"/>
        <v>0</v>
      </c>
      <c r="AC73">
        <v>2</v>
      </c>
      <c r="AD73">
        <v>5</v>
      </c>
      <c r="AE73">
        <f t="shared" si="16"/>
        <v>0</v>
      </c>
      <c r="AF73">
        <f t="shared" si="17"/>
        <v>0</v>
      </c>
    </row>
    <row r="74" spans="2:32" ht="5.0999999999999996" customHeight="1">
      <c r="O74">
        <v>6</v>
      </c>
      <c r="P74" t="s">
        <v>3383</v>
      </c>
      <c r="R74">
        <v>1</v>
      </c>
      <c r="S74">
        <f t="shared" si="12"/>
        <v>0</v>
      </c>
      <c r="T74">
        <v>6</v>
      </c>
      <c r="U74">
        <v>1</v>
      </c>
      <c r="V74">
        <f t="shared" si="13"/>
        <v>0</v>
      </c>
      <c r="W74">
        <f t="shared" si="14"/>
        <v>0</v>
      </c>
      <c r="Y74" t="s">
        <v>4369</v>
      </c>
      <c r="AA74">
        <f>AVERAGE(5,15)</f>
        <v>10</v>
      </c>
      <c r="AB74">
        <f t="shared" si="15"/>
        <v>0</v>
      </c>
      <c r="AC74">
        <v>2</v>
      </c>
      <c r="AD74">
        <v>5</v>
      </c>
      <c r="AE74">
        <f t="shared" si="16"/>
        <v>0</v>
      </c>
      <c r="AF74">
        <f t="shared" si="17"/>
        <v>0</v>
      </c>
    </row>
    <row r="75" spans="2:32" ht="5.0999999999999996" customHeight="1">
      <c r="O75">
        <v>7</v>
      </c>
      <c r="P75" t="s">
        <v>3382</v>
      </c>
      <c r="R75">
        <v>1</v>
      </c>
      <c r="S75">
        <f t="shared" si="12"/>
        <v>0</v>
      </c>
      <c r="T75">
        <v>0.5</v>
      </c>
      <c r="U75">
        <v>3</v>
      </c>
      <c r="V75">
        <f t="shared" si="13"/>
        <v>0</v>
      </c>
      <c r="W75">
        <f t="shared" si="14"/>
        <v>0</v>
      </c>
      <c r="Y75" t="s">
        <v>4921</v>
      </c>
      <c r="AA75">
        <v>1</v>
      </c>
      <c r="AB75">
        <f t="shared" si="15"/>
        <v>0</v>
      </c>
      <c r="AC75">
        <v>1</v>
      </c>
      <c r="AD75">
        <v>4</v>
      </c>
      <c r="AE75">
        <f t="shared" si="16"/>
        <v>0</v>
      </c>
      <c r="AF75">
        <f t="shared" si="17"/>
        <v>0</v>
      </c>
    </row>
    <row r="76" spans="2:32" ht="5.0999999999999996" customHeight="1">
      <c r="O76">
        <v>8</v>
      </c>
      <c r="P76" t="s">
        <v>3381</v>
      </c>
      <c r="R76">
        <v>1</v>
      </c>
      <c r="S76">
        <f t="shared" si="12"/>
        <v>0</v>
      </c>
      <c r="T76">
        <v>1.5</v>
      </c>
      <c r="U76">
        <v>1</v>
      </c>
      <c r="V76">
        <f t="shared" si="13"/>
        <v>0</v>
      </c>
      <c r="W76">
        <f t="shared" si="14"/>
        <v>0</v>
      </c>
      <c r="Y76" t="s">
        <v>1932</v>
      </c>
    </row>
    <row r="77" spans="2:32" ht="5.0999999999999996" customHeight="1">
      <c r="O77">
        <v>9</v>
      </c>
      <c r="P77" t="s">
        <v>3380</v>
      </c>
      <c r="R77">
        <v>1</v>
      </c>
      <c r="S77">
        <f t="shared" si="12"/>
        <v>0</v>
      </c>
      <c r="T77">
        <v>1.5</v>
      </c>
      <c r="U77">
        <v>3</v>
      </c>
      <c r="V77">
        <f t="shared" si="13"/>
        <v>0</v>
      </c>
      <c r="W77">
        <f t="shared" si="14"/>
        <v>0</v>
      </c>
      <c r="Y77" t="s">
        <v>497</v>
      </c>
      <c r="AA77">
        <f>AVERAGE(30,75)</f>
        <v>52.5</v>
      </c>
      <c r="AB77">
        <f t="shared" ref="AB77:AB86" si="18">AA77*Z77</f>
        <v>0</v>
      </c>
      <c r="AC77">
        <f>AVERAGE(40,60)</f>
        <v>50</v>
      </c>
      <c r="AD77">
        <v>4</v>
      </c>
      <c r="AE77">
        <f t="shared" ref="AE77:AE86" si="19">Z77*AC77</f>
        <v>0</v>
      </c>
      <c r="AF77">
        <f t="shared" ref="AF77:AF86" si="20">Z77*AD77</f>
        <v>0</v>
      </c>
    </row>
    <row r="78" spans="2:32" ht="5.0999999999999996" customHeight="1">
      <c r="O78">
        <v>10</v>
      </c>
      <c r="P78" t="s">
        <v>3889</v>
      </c>
      <c r="R78">
        <v>1</v>
      </c>
      <c r="S78">
        <f t="shared" si="12"/>
        <v>0</v>
      </c>
      <c r="T78">
        <v>1</v>
      </c>
      <c r="U78">
        <v>3</v>
      </c>
      <c r="V78">
        <f t="shared" si="13"/>
        <v>0</v>
      </c>
      <c r="W78">
        <f t="shared" si="14"/>
        <v>0</v>
      </c>
      <c r="Y78" t="s">
        <v>326</v>
      </c>
      <c r="AA78">
        <v>1</v>
      </c>
      <c r="AB78">
        <f t="shared" si="18"/>
        <v>0</v>
      </c>
      <c r="AC78">
        <v>1</v>
      </c>
      <c r="AD78">
        <v>4</v>
      </c>
      <c r="AE78">
        <f t="shared" si="19"/>
        <v>0</v>
      </c>
      <c r="AF78">
        <f t="shared" si="20"/>
        <v>0</v>
      </c>
    </row>
    <row r="79" spans="2:32" ht="5.0999999999999996" customHeight="1">
      <c r="O79">
        <v>11</v>
      </c>
      <c r="P79" t="s">
        <v>3379</v>
      </c>
      <c r="R79">
        <v>1</v>
      </c>
      <c r="S79">
        <f t="shared" si="12"/>
        <v>0</v>
      </c>
      <c r="T79">
        <v>0.5</v>
      </c>
      <c r="U79">
        <v>3</v>
      </c>
      <c r="V79">
        <f t="shared" si="13"/>
        <v>0</v>
      </c>
      <c r="W79">
        <f t="shared" si="14"/>
        <v>0</v>
      </c>
      <c r="Y79" t="s">
        <v>803</v>
      </c>
      <c r="AA79">
        <v>1</v>
      </c>
      <c r="AB79">
        <f t="shared" si="18"/>
        <v>0</v>
      </c>
      <c r="AC79">
        <v>1</v>
      </c>
      <c r="AD79">
        <v>6</v>
      </c>
      <c r="AE79">
        <f t="shared" si="19"/>
        <v>0</v>
      </c>
      <c r="AF79">
        <f t="shared" si="20"/>
        <v>0</v>
      </c>
    </row>
    <row r="80" spans="2:32" ht="5.0999999999999996" customHeight="1">
      <c r="O80">
        <v>12</v>
      </c>
      <c r="P80" t="s">
        <v>3378</v>
      </c>
      <c r="R80">
        <v>1</v>
      </c>
      <c r="S80">
        <f t="shared" si="12"/>
        <v>0</v>
      </c>
      <c r="T80">
        <v>0.5</v>
      </c>
      <c r="U80">
        <v>3</v>
      </c>
      <c r="V80">
        <f t="shared" si="13"/>
        <v>0</v>
      </c>
      <c r="W80">
        <f t="shared" si="14"/>
        <v>0</v>
      </c>
      <c r="Y80" t="s">
        <v>1877</v>
      </c>
      <c r="AA80">
        <v>1</v>
      </c>
      <c r="AB80">
        <f t="shared" si="18"/>
        <v>0</v>
      </c>
      <c r="AC80">
        <v>0.75</v>
      </c>
      <c r="AD80">
        <v>5</v>
      </c>
      <c r="AE80">
        <f t="shared" si="19"/>
        <v>0</v>
      </c>
      <c r="AF80">
        <f t="shared" si="20"/>
        <v>0</v>
      </c>
    </row>
    <row r="81" spans="15:32" ht="5.0999999999999996" customHeight="1">
      <c r="O81">
        <v>13</v>
      </c>
      <c r="P81" t="s">
        <v>3377</v>
      </c>
      <c r="R81">
        <v>1</v>
      </c>
      <c r="S81">
        <f t="shared" si="12"/>
        <v>0</v>
      </c>
      <c r="T81">
        <v>0.25</v>
      </c>
      <c r="U81">
        <v>2</v>
      </c>
      <c r="V81">
        <f t="shared" si="13"/>
        <v>0</v>
      </c>
      <c r="W81">
        <f t="shared" si="14"/>
        <v>0</v>
      </c>
      <c r="Y81" t="s">
        <v>1878</v>
      </c>
      <c r="AA81">
        <v>1</v>
      </c>
      <c r="AB81">
        <f t="shared" si="18"/>
        <v>0</v>
      </c>
      <c r="AC81">
        <v>0.5</v>
      </c>
      <c r="AD81">
        <v>5</v>
      </c>
      <c r="AE81">
        <f t="shared" si="19"/>
        <v>0</v>
      </c>
      <c r="AF81">
        <f t="shared" si="20"/>
        <v>0</v>
      </c>
    </row>
    <row r="82" spans="15:32" ht="5.0999999999999996" customHeight="1">
      <c r="O82">
        <v>14</v>
      </c>
      <c r="P82" t="s">
        <v>3376</v>
      </c>
      <c r="R82">
        <v>1</v>
      </c>
      <c r="S82">
        <f t="shared" si="12"/>
        <v>0</v>
      </c>
      <c r="T82">
        <v>0.25</v>
      </c>
      <c r="U82">
        <v>3</v>
      </c>
      <c r="V82">
        <f t="shared" si="13"/>
        <v>0</v>
      </c>
      <c r="W82">
        <f t="shared" si="14"/>
        <v>0</v>
      </c>
      <c r="Y82" t="s">
        <v>3016</v>
      </c>
      <c r="AA82">
        <v>1</v>
      </c>
      <c r="AB82">
        <f t="shared" si="18"/>
        <v>0</v>
      </c>
      <c r="AC82">
        <v>0.25</v>
      </c>
      <c r="AD82">
        <v>5</v>
      </c>
      <c r="AE82">
        <f t="shared" si="19"/>
        <v>0</v>
      </c>
      <c r="AF82">
        <f t="shared" si="20"/>
        <v>0</v>
      </c>
    </row>
    <row r="83" spans="15:32" ht="5.0999999999999996" customHeight="1">
      <c r="O83">
        <v>15</v>
      </c>
      <c r="P83" t="s">
        <v>3375</v>
      </c>
      <c r="R83">
        <v>1</v>
      </c>
      <c r="S83">
        <f t="shared" si="12"/>
        <v>0</v>
      </c>
      <c r="T83">
        <v>1</v>
      </c>
      <c r="U83">
        <v>3</v>
      </c>
      <c r="V83">
        <f t="shared" si="13"/>
        <v>0</v>
      </c>
      <c r="W83">
        <f t="shared" si="14"/>
        <v>0</v>
      </c>
      <c r="Y83" t="s">
        <v>804</v>
      </c>
      <c r="AA83">
        <v>1</v>
      </c>
      <c r="AB83">
        <f t="shared" si="18"/>
        <v>0</v>
      </c>
      <c r="AC83">
        <v>3</v>
      </c>
      <c r="AD83">
        <v>6</v>
      </c>
      <c r="AE83">
        <f t="shared" si="19"/>
        <v>0</v>
      </c>
      <c r="AF83">
        <f t="shared" si="20"/>
        <v>0</v>
      </c>
    </row>
    <row r="84" spans="15:32" ht="5.0999999999999996" customHeight="1">
      <c r="O84">
        <v>16</v>
      </c>
      <c r="P84" t="s">
        <v>3374</v>
      </c>
      <c r="R84">
        <v>1</v>
      </c>
      <c r="S84">
        <f t="shared" si="12"/>
        <v>0</v>
      </c>
      <c r="T84">
        <v>0.5</v>
      </c>
      <c r="U84">
        <v>2</v>
      </c>
      <c r="V84">
        <f t="shared" si="13"/>
        <v>0</v>
      </c>
      <c r="W84">
        <f t="shared" si="14"/>
        <v>0</v>
      </c>
      <c r="Y84" t="s">
        <v>3017</v>
      </c>
      <c r="AA84">
        <v>1</v>
      </c>
      <c r="AB84">
        <f t="shared" si="18"/>
        <v>0</v>
      </c>
      <c r="AC84">
        <v>2</v>
      </c>
      <c r="AD84">
        <v>5</v>
      </c>
      <c r="AE84">
        <f t="shared" si="19"/>
        <v>0</v>
      </c>
      <c r="AF84">
        <f t="shared" si="20"/>
        <v>0</v>
      </c>
    </row>
    <row r="85" spans="15:32" ht="5.0999999999999996" customHeight="1">
      <c r="O85">
        <v>17</v>
      </c>
      <c r="P85" t="s">
        <v>3373</v>
      </c>
      <c r="R85">
        <v>1</v>
      </c>
      <c r="S85">
        <f t="shared" si="12"/>
        <v>0</v>
      </c>
      <c r="T85">
        <v>1.5</v>
      </c>
      <c r="U85">
        <v>4</v>
      </c>
      <c r="V85">
        <f t="shared" si="13"/>
        <v>0</v>
      </c>
      <c r="W85">
        <f t="shared" si="14"/>
        <v>0</v>
      </c>
      <c r="Y85" t="s">
        <v>3018</v>
      </c>
      <c r="AA85">
        <v>1</v>
      </c>
      <c r="AB85">
        <f t="shared" si="18"/>
        <v>0</v>
      </c>
      <c r="AC85">
        <v>1</v>
      </c>
      <c r="AD85">
        <v>5</v>
      </c>
      <c r="AE85">
        <f t="shared" si="19"/>
        <v>0</v>
      </c>
      <c r="AF85">
        <f t="shared" si="20"/>
        <v>0</v>
      </c>
    </row>
    <row r="86" spans="15:32" ht="5.0999999999999996" customHeight="1">
      <c r="O86">
        <v>18</v>
      </c>
      <c r="P86" t="s">
        <v>5457</v>
      </c>
      <c r="R86">
        <v>1</v>
      </c>
      <c r="S86">
        <f t="shared" si="12"/>
        <v>0</v>
      </c>
      <c r="T86">
        <v>1.5</v>
      </c>
      <c r="U86">
        <v>4</v>
      </c>
      <c r="V86">
        <f t="shared" si="13"/>
        <v>0</v>
      </c>
      <c r="W86">
        <f t="shared" si="14"/>
        <v>0</v>
      </c>
      <c r="Y86" t="s">
        <v>3019</v>
      </c>
      <c r="AA86">
        <v>1</v>
      </c>
      <c r="AB86">
        <f t="shared" si="18"/>
        <v>0</v>
      </c>
      <c r="AC86">
        <v>0.75</v>
      </c>
      <c r="AD86">
        <v>4</v>
      </c>
      <c r="AE86">
        <f t="shared" si="19"/>
        <v>0</v>
      </c>
      <c r="AF86">
        <f t="shared" si="20"/>
        <v>0</v>
      </c>
    </row>
    <row r="87" spans="15:32" ht="5.0999999999999996" customHeight="1" collapsed="1">
      <c r="O87">
        <v>19</v>
      </c>
    </row>
    <row r="88" spans="15:32" ht="5.0999999999999996" customHeight="1">
      <c r="P88" t="s">
        <v>4712</v>
      </c>
    </row>
    <row r="89" spans="15:32" ht="5.0999999999999996" customHeight="1">
      <c r="P89" t="s">
        <v>3716</v>
      </c>
    </row>
    <row r="90" spans="15:32" ht="5.0999999999999996" customHeight="1">
      <c r="O90">
        <v>1</v>
      </c>
      <c r="P90" t="s">
        <v>3878</v>
      </c>
      <c r="R90">
        <v>1</v>
      </c>
      <c r="S90">
        <f>R90*Q90</f>
        <v>0</v>
      </c>
      <c r="T90">
        <v>1.25</v>
      </c>
      <c r="U90">
        <v>0</v>
      </c>
      <c r="V90">
        <f>Q90*T90</f>
        <v>0</v>
      </c>
      <c r="W90">
        <f>Q90*U90</f>
        <v>0</v>
      </c>
    </row>
    <row r="91" spans="15:32" ht="5.0999999999999996" customHeight="1">
      <c r="O91">
        <v>2</v>
      </c>
      <c r="P91" t="s">
        <v>3877</v>
      </c>
      <c r="R91">
        <v>1</v>
      </c>
      <c r="S91">
        <f>R91*Q91</f>
        <v>0</v>
      </c>
      <c r="T91">
        <v>0.75</v>
      </c>
      <c r="U91">
        <v>0</v>
      </c>
      <c r="V91">
        <f>Q91*T91</f>
        <v>0</v>
      </c>
      <c r="W91">
        <f>Q91*U91</f>
        <v>0</v>
      </c>
    </row>
    <row r="92" spans="15:32" ht="5.0999999999999996" customHeight="1">
      <c r="O92">
        <v>3</v>
      </c>
      <c r="P92" t="s">
        <v>3876</v>
      </c>
      <c r="R92">
        <v>1</v>
      </c>
      <c r="S92">
        <f>R92*Q92</f>
        <v>0</v>
      </c>
      <c r="T92">
        <v>1</v>
      </c>
      <c r="U92">
        <v>6</v>
      </c>
      <c r="V92">
        <f>Q92*T92</f>
        <v>0</v>
      </c>
      <c r="W92">
        <f>Q92*U92</f>
        <v>0</v>
      </c>
    </row>
    <row r="93" spans="15:32" ht="5.0999999999999996" customHeight="1">
      <c r="O93">
        <v>4</v>
      </c>
      <c r="P93" t="s">
        <v>3875</v>
      </c>
      <c r="R93">
        <v>1</v>
      </c>
      <c r="S93">
        <f>R93*Q93</f>
        <v>0</v>
      </c>
      <c r="T93">
        <v>2</v>
      </c>
      <c r="U93">
        <v>5</v>
      </c>
      <c r="V93">
        <f>Q93*T93</f>
        <v>0</v>
      </c>
      <c r="W93">
        <f>Q93*U93</f>
        <v>0</v>
      </c>
    </row>
    <row r="94" spans="15:32" ht="5.0999999999999996" customHeight="1">
      <c r="O94">
        <v>5</v>
      </c>
      <c r="P94" t="s">
        <v>2401</v>
      </c>
      <c r="R94">
        <v>0.3125</v>
      </c>
      <c r="S94">
        <f>R94*Q94</f>
        <v>0</v>
      </c>
      <c r="T94">
        <v>0.25</v>
      </c>
      <c r="U94">
        <v>0</v>
      </c>
      <c r="V94">
        <f>Q94*T94</f>
        <v>0</v>
      </c>
      <c r="W94">
        <f>Q94*U94</f>
        <v>0</v>
      </c>
    </row>
    <row r="95" spans="15:32" ht="5.0999999999999996" customHeight="1" collapsed="1">
      <c r="O95">
        <v>6</v>
      </c>
    </row>
    <row r="96" spans="15:32" ht="5.0999999999999996" customHeight="1">
      <c r="P96" t="s">
        <v>459</v>
      </c>
    </row>
    <row r="97" spans="15:23" ht="5.0999999999999996" customHeight="1">
      <c r="O97">
        <v>1</v>
      </c>
      <c r="P97" t="s">
        <v>3874</v>
      </c>
      <c r="R97">
        <v>1</v>
      </c>
      <c r="S97">
        <f t="shared" ref="S97:S104" si="21">R97*Q97</f>
        <v>0</v>
      </c>
      <c r="T97">
        <v>0.5</v>
      </c>
      <c r="U97">
        <v>0</v>
      </c>
      <c r="V97">
        <f t="shared" ref="V97:V104" si="22">Q97*T97</f>
        <v>0</v>
      </c>
      <c r="W97">
        <f t="shared" ref="W97:W104" si="23">Q97*U97</f>
        <v>0</v>
      </c>
    </row>
    <row r="98" spans="15:23" ht="5.0999999999999996" customHeight="1">
      <c r="O98">
        <v>2</v>
      </c>
      <c r="P98" t="s">
        <v>4803</v>
      </c>
      <c r="R98">
        <v>1</v>
      </c>
      <c r="S98">
        <f t="shared" si="21"/>
        <v>0</v>
      </c>
      <c r="T98">
        <v>1</v>
      </c>
      <c r="U98">
        <v>0</v>
      </c>
      <c r="V98">
        <f t="shared" si="22"/>
        <v>0</v>
      </c>
      <c r="W98">
        <f t="shared" si="23"/>
        <v>0</v>
      </c>
    </row>
    <row r="99" spans="15:23" ht="5.0999999999999996" customHeight="1">
      <c r="O99">
        <v>3</v>
      </c>
      <c r="P99" t="s">
        <v>5237</v>
      </c>
      <c r="R99">
        <v>1</v>
      </c>
      <c r="S99">
        <f t="shared" si="21"/>
        <v>0</v>
      </c>
      <c r="T99">
        <v>1</v>
      </c>
      <c r="U99">
        <v>0</v>
      </c>
      <c r="V99">
        <f t="shared" si="22"/>
        <v>0</v>
      </c>
      <c r="W99">
        <f t="shared" si="23"/>
        <v>0</v>
      </c>
    </row>
    <row r="100" spans="15:23" ht="5.0999999999999996" customHeight="1">
      <c r="O100">
        <v>4</v>
      </c>
      <c r="P100" t="s">
        <v>4801</v>
      </c>
      <c r="R100">
        <v>1</v>
      </c>
      <c r="S100">
        <f t="shared" si="21"/>
        <v>0</v>
      </c>
      <c r="T100">
        <v>0.25</v>
      </c>
      <c r="U100">
        <v>0</v>
      </c>
      <c r="V100">
        <f t="shared" si="22"/>
        <v>0</v>
      </c>
      <c r="W100">
        <f t="shared" si="23"/>
        <v>0</v>
      </c>
    </row>
    <row r="101" spans="15:23" ht="5.0999999999999996" customHeight="1">
      <c r="O101">
        <v>5</v>
      </c>
      <c r="P101" t="s">
        <v>4802</v>
      </c>
      <c r="R101">
        <v>1</v>
      </c>
      <c r="S101">
        <f t="shared" si="21"/>
        <v>0</v>
      </c>
      <c r="T101">
        <v>0.5</v>
      </c>
      <c r="U101">
        <v>0</v>
      </c>
      <c r="V101">
        <f t="shared" si="22"/>
        <v>0</v>
      </c>
      <c r="W101">
        <f t="shared" si="23"/>
        <v>0</v>
      </c>
    </row>
    <row r="102" spans="15:23" ht="5.0999999999999996" customHeight="1">
      <c r="O102">
        <v>6</v>
      </c>
      <c r="P102" t="s">
        <v>5238</v>
      </c>
      <c r="R102">
        <v>1</v>
      </c>
      <c r="S102">
        <f t="shared" si="21"/>
        <v>0</v>
      </c>
      <c r="T102">
        <v>1.5</v>
      </c>
      <c r="U102">
        <v>0</v>
      </c>
      <c r="V102">
        <f t="shared" si="22"/>
        <v>0</v>
      </c>
      <c r="W102">
        <f t="shared" si="23"/>
        <v>0</v>
      </c>
    </row>
    <row r="103" spans="15:23" ht="5.0999999999999996" customHeight="1">
      <c r="O103">
        <v>7</v>
      </c>
      <c r="P103" t="s">
        <v>5239</v>
      </c>
      <c r="R103">
        <v>1</v>
      </c>
      <c r="S103">
        <f t="shared" si="21"/>
        <v>0</v>
      </c>
      <c r="T103">
        <v>2.5</v>
      </c>
      <c r="U103">
        <v>0</v>
      </c>
      <c r="V103">
        <f t="shared" si="22"/>
        <v>0</v>
      </c>
      <c r="W103">
        <f t="shared" si="23"/>
        <v>0</v>
      </c>
    </row>
    <row r="104" spans="15:23" ht="5.0999999999999996" customHeight="1">
      <c r="O104">
        <v>8</v>
      </c>
      <c r="P104" t="s">
        <v>5240</v>
      </c>
      <c r="R104">
        <v>1</v>
      </c>
      <c r="S104">
        <f t="shared" si="21"/>
        <v>0</v>
      </c>
      <c r="T104">
        <v>5</v>
      </c>
      <c r="U104">
        <v>0</v>
      </c>
      <c r="V104">
        <f t="shared" si="22"/>
        <v>0</v>
      </c>
      <c r="W104">
        <f t="shared" si="23"/>
        <v>0</v>
      </c>
    </row>
    <row r="105" spans="15:23" ht="5.0999999999999996" customHeight="1">
      <c r="O105">
        <v>9</v>
      </c>
    </row>
    <row r="106" spans="15:23" ht="5.0999999999999996" customHeight="1">
      <c r="P106" t="s">
        <v>460</v>
      </c>
    </row>
    <row r="107" spans="15:23" ht="5.0999999999999996" customHeight="1">
      <c r="O107">
        <v>1</v>
      </c>
      <c r="P107" t="s">
        <v>2402</v>
      </c>
      <c r="R107">
        <v>10</v>
      </c>
      <c r="S107">
        <f t="shared" ref="S107:S113" si="24">R107*Q107</f>
        <v>0</v>
      </c>
      <c r="T107">
        <v>3.5000000000000003E-2</v>
      </c>
      <c r="U107">
        <v>30</v>
      </c>
      <c r="V107">
        <f t="shared" ref="V107:V113" si="25">Q107*T107</f>
        <v>0</v>
      </c>
      <c r="W107">
        <f t="shared" ref="W107:W113" si="26">Q107*U107</f>
        <v>0</v>
      </c>
    </row>
    <row r="108" spans="15:23" ht="5.0999999999999996" customHeight="1">
      <c r="O108">
        <v>2</v>
      </c>
      <c r="P108" t="s">
        <v>2403</v>
      </c>
      <c r="R108">
        <v>10</v>
      </c>
      <c r="S108">
        <f t="shared" si="24"/>
        <v>0</v>
      </c>
      <c r="T108">
        <v>4.4999999999999998E-2</v>
      </c>
      <c r="U108">
        <v>20</v>
      </c>
      <c r="V108">
        <f t="shared" si="25"/>
        <v>0</v>
      </c>
      <c r="W108">
        <f t="shared" si="26"/>
        <v>0</v>
      </c>
    </row>
    <row r="109" spans="15:23" ht="5.0999999999999996" customHeight="1" collapsed="1">
      <c r="O109">
        <v>3</v>
      </c>
      <c r="P109" t="s">
        <v>4764</v>
      </c>
      <c r="R109">
        <v>10</v>
      </c>
      <c r="S109">
        <f t="shared" si="24"/>
        <v>0</v>
      </c>
      <c r="T109">
        <v>0.03</v>
      </c>
      <c r="U109">
        <v>30</v>
      </c>
      <c r="V109">
        <f t="shared" si="25"/>
        <v>0</v>
      </c>
      <c r="W109">
        <f t="shared" si="26"/>
        <v>0</v>
      </c>
    </row>
    <row r="110" spans="15:23" ht="5.0999999999999996" customHeight="1">
      <c r="O110">
        <v>4</v>
      </c>
      <c r="P110" t="s">
        <v>4763</v>
      </c>
      <c r="R110">
        <v>10</v>
      </c>
      <c r="S110">
        <f t="shared" si="24"/>
        <v>0</v>
      </c>
      <c r="T110">
        <v>2.5000000000000001E-2</v>
      </c>
      <c r="U110">
        <v>30</v>
      </c>
      <c r="V110">
        <f t="shared" si="25"/>
        <v>0</v>
      </c>
      <c r="W110">
        <f t="shared" si="26"/>
        <v>0</v>
      </c>
    </row>
    <row r="111" spans="15:23" ht="5.0999999999999996" customHeight="1">
      <c r="O111">
        <v>5</v>
      </c>
      <c r="P111" t="s">
        <v>2404</v>
      </c>
      <c r="R111">
        <v>10</v>
      </c>
      <c r="S111">
        <f t="shared" si="24"/>
        <v>0</v>
      </c>
      <c r="T111">
        <v>1.4999999999999999E-2</v>
      </c>
      <c r="U111">
        <v>30</v>
      </c>
      <c r="V111">
        <f t="shared" si="25"/>
        <v>0</v>
      </c>
      <c r="W111">
        <f t="shared" si="26"/>
        <v>0</v>
      </c>
    </row>
    <row r="112" spans="15:23" ht="5.0999999999999996" customHeight="1">
      <c r="O112">
        <v>6</v>
      </c>
      <c r="P112" t="s">
        <v>2937</v>
      </c>
      <c r="R112">
        <v>6.25E-2</v>
      </c>
      <c r="S112">
        <f t="shared" si="24"/>
        <v>0</v>
      </c>
      <c r="T112">
        <v>0.01</v>
      </c>
      <c r="V112">
        <f t="shared" si="25"/>
        <v>0</v>
      </c>
      <c r="W112">
        <f t="shared" si="26"/>
        <v>0</v>
      </c>
    </row>
    <row r="113" spans="15:23" ht="5.0999999999999996" customHeight="1">
      <c r="O113">
        <v>7</v>
      </c>
      <c r="P113" t="s">
        <v>2405</v>
      </c>
      <c r="R113">
        <v>6.25E-2</v>
      </c>
      <c r="S113">
        <f t="shared" si="24"/>
        <v>0</v>
      </c>
      <c r="T113">
        <v>0.01</v>
      </c>
      <c r="V113">
        <f t="shared" si="25"/>
        <v>0</v>
      </c>
      <c r="W113">
        <f t="shared" si="26"/>
        <v>0</v>
      </c>
    </row>
    <row r="114" spans="15:23" ht="5.0999999999999996" customHeight="1" collapsed="1">
      <c r="O114">
        <v>8</v>
      </c>
    </row>
    <row r="115" spans="15:23" ht="5.0999999999999996" customHeight="1">
      <c r="P115" t="s">
        <v>461</v>
      </c>
    </row>
    <row r="116" spans="15:23" ht="5.0999999999999996" customHeight="1">
      <c r="O116">
        <v>1</v>
      </c>
      <c r="P116" t="s">
        <v>88</v>
      </c>
      <c r="R116">
        <v>1</v>
      </c>
      <c r="S116">
        <f t="shared" ref="S116:S123" si="27">R116*Q116</f>
        <v>0</v>
      </c>
      <c r="T116">
        <v>0.5</v>
      </c>
      <c r="U116">
        <v>3</v>
      </c>
      <c r="V116">
        <f t="shared" ref="V116:V123" si="28">Q116*T116</f>
        <v>0</v>
      </c>
      <c r="W116">
        <f t="shared" ref="W116:W123" si="29">Q116*U116</f>
        <v>0</v>
      </c>
    </row>
    <row r="117" spans="15:23" ht="5.0999999999999996" customHeight="1">
      <c r="O117">
        <v>2</v>
      </c>
      <c r="P117" t="s">
        <v>2406</v>
      </c>
      <c r="R117">
        <v>1</v>
      </c>
      <c r="S117">
        <f t="shared" si="27"/>
        <v>0</v>
      </c>
      <c r="T117">
        <v>0.5</v>
      </c>
      <c r="U117">
        <v>2</v>
      </c>
      <c r="V117">
        <f t="shared" si="28"/>
        <v>0</v>
      </c>
      <c r="W117">
        <f t="shared" si="29"/>
        <v>0</v>
      </c>
    </row>
    <row r="118" spans="15:23" ht="5.0999999999999996" customHeight="1">
      <c r="O118">
        <v>3</v>
      </c>
      <c r="P118" t="s">
        <v>2407</v>
      </c>
      <c r="R118">
        <v>1</v>
      </c>
      <c r="S118">
        <f t="shared" si="27"/>
        <v>0</v>
      </c>
      <c r="T118">
        <v>0.25</v>
      </c>
      <c r="U118">
        <v>4</v>
      </c>
      <c r="V118">
        <f t="shared" si="28"/>
        <v>0</v>
      </c>
      <c r="W118">
        <f t="shared" si="29"/>
        <v>0</v>
      </c>
    </row>
    <row r="119" spans="15:23" ht="5.0999999999999996" customHeight="1">
      <c r="O119">
        <v>4</v>
      </c>
      <c r="P119" t="s">
        <v>494</v>
      </c>
      <c r="R119">
        <v>1</v>
      </c>
      <c r="S119">
        <f t="shared" si="27"/>
        <v>0</v>
      </c>
      <c r="T119">
        <v>0.5</v>
      </c>
      <c r="U119">
        <v>4</v>
      </c>
      <c r="V119">
        <f t="shared" si="28"/>
        <v>0</v>
      </c>
      <c r="W119">
        <f t="shared" si="29"/>
        <v>0</v>
      </c>
    </row>
    <row r="120" spans="15:23" ht="5.0999999999999996" customHeight="1">
      <c r="O120">
        <v>5</v>
      </c>
      <c r="P120" t="s">
        <v>2408</v>
      </c>
      <c r="R120">
        <v>1</v>
      </c>
      <c r="S120">
        <f t="shared" si="27"/>
        <v>0</v>
      </c>
      <c r="T120">
        <v>0.5</v>
      </c>
      <c r="U120">
        <v>3</v>
      </c>
      <c r="V120">
        <f t="shared" si="28"/>
        <v>0</v>
      </c>
      <c r="W120">
        <f t="shared" si="29"/>
        <v>0</v>
      </c>
    </row>
    <row r="121" spans="15:23" ht="5.0999999999999996" customHeight="1">
      <c r="O121">
        <v>6</v>
      </c>
      <c r="P121" t="s">
        <v>240</v>
      </c>
      <c r="R121">
        <v>1</v>
      </c>
      <c r="S121">
        <f t="shared" si="27"/>
        <v>0</v>
      </c>
      <c r="T121">
        <v>0.5</v>
      </c>
      <c r="U121">
        <v>3</v>
      </c>
      <c r="V121">
        <f t="shared" si="28"/>
        <v>0</v>
      </c>
      <c r="W121">
        <f t="shared" si="29"/>
        <v>0</v>
      </c>
    </row>
    <row r="122" spans="15:23" ht="5.0999999999999996" customHeight="1">
      <c r="O122">
        <v>7</v>
      </c>
      <c r="P122" t="s">
        <v>2409</v>
      </c>
      <c r="R122">
        <v>1</v>
      </c>
      <c r="S122">
        <f t="shared" si="27"/>
        <v>0</v>
      </c>
      <c r="T122">
        <v>0.25</v>
      </c>
      <c r="U122">
        <v>4</v>
      </c>
      <c r="V122">
        <f t="shared" si="28"/>
        <v>0</v>
      </c>
      <c r="W122">
        <f t="shared" si="29"/>
        <v>0</v>
      </c>
    </row>
    <row r="123" spans="15:23" ht="5.0999999999999996" customHeight="1">
      <c r="O123">
        <v>8</v>
      </c>
      <c r="P123" t="s">
        <v>3879</v>
      </c>
      <c r="R123">
        <v>1</v>
      </c>
      <c r="S123">
        <f t="shared" si="27"/>
        <v>0</v>
      </c>
      <c r="T123">
        <v>0.75</v>
      </c>
      <c r="U123">
        <v>6</v>
      </c>
      <c r="V123">
        <f t="shared" si="28"/>
        <v>0</v>
      </c>
      <c r="W123">
        <f t="shared" si="29"/>
        <v>0</v>
      </c>
    </row>
    <row r="124" spans="15:23" ht="5.0999999999999996" customHeight="1">
      <c r="O124">
        <v>9</v>
      </c>
    </row>
    <row r="125" spans="15:23" ht="5.0999999999999996" customHeight="1">
      <c r="P125" t="s">
        <v>5073</v>
      </c>
    </row>
    <row r="126" spans="15:23" ht="5.0999999999999996" customHeight="1">
      <c r="O126">
        <v>1</v>
      </c>
      <c r="P126" t="s">
        <v>94</v>
      </c>
      <c r="R126">
        <v>50</v>
      </c>
      <c r="S126">
        <f t="shared" ref="S126:S131" si="30">R126*Q126</f>
        <v>0</v>
      </c>
      <c r="T126">
        <f>AVERAGE(2,3)</f>
        <v>2.5</v>
      </c>
      <c r="U126">
        <v>200</v>
      </c>
      <c r="V126">
        <f t="shared" ref="V126:V131" si="31">Q126*T126</f>
        <v>0</v>
      </c>
      <c r="W126">
        <f t="shared" ref="W126:W131" si="32">Q126*U126</f>
        <v>0</v>
      </c>
    </row>
    <row r="127" spans="15:23" ht="5.0999999999999996" customHeight="1">
      <c r="O127">
        <v>2</v>
      </c>
      <c r="P127" t="s">
        <v>93</v>
      </c>
      <c r="R127">
        <v>50</v>
      </c>
      <c r="S127">
        <f t="shared" si="30"/>
        <v>0</v>
      </c>
      <c r="T127">
        <f>AVERAGE(1.5,3)</f>
        <v>2.25</v>
      </c>
      <c r="U127">
        <v>150</v>
      </c>
      <c r="V127">
        <f t="shared" si="31"/>
        <v>0</v>
      </c>
      <c r="W127">
        <f t="shared" si="32"/>
        <v>0</v>
      </c>
    </row>
    <row r="128" spans="15:23" ht="5.0999999999999996" customHeight="1">
      <c r="O128">
        <v>3</v>
      </c>
      <c r="P128" t="s">
        <v>92</v>
      </c>
      <c r="R128">
        <v>50</v>
      </c>
      <c r="S128">
        <f t="shared" si="30"/>
        <v>0</v>
      </c>
      <c r="T128">
        <f>AVERAGE(1,2)</f>
        <v>1.5</v>
      </c>
      <c r="U128">
        <v>200</v>
      </c>
      <c r="V128">
        <f t="shared" si="31"/>
        <v>0</v>
      </c>
      <c r="W128">
        <f t="shared" si="32"/>
        <v>0</v>
      </c>
    </row>
    <row r="129" spans="15:23" ht="5.0999999999999996" customHeight="1" collapsed="1">
      <c r="O129">
        <v>4</v>
      </c>
      <c r="P129" t="s">
        <v>91</v>
      </c>
      <c r="R129">
        <v>50</v>
      </c>
      <c r="S129">
        <f t="shared" si="30"/>
        <v>0</v>
      </c>
      <c r="T129">
        <f>AVERAGE(0.5,2)</f>
        <v>1.25</v>
      </c>
      <c r="U129">
        <v>225</v>
      </c>
      <c r="V129">
        <f t="shared" si="31"/>
        <v>0</v>
      </c>
      <c r="W129">
        <f t="shared" si="32"/>
        <v>0</v>
      </c>
    </row>
    <row r="130" spans="15:23" ht="5.0999999999999996" customHeight="1">
      <c r="O130">
        <v>5</v>
      </c>
      <c r="P130" t="s">
        <v>90</v>
      </c>
      <c r="R130">
        <v>50</v>
      </c>
      <c r="S130">
        <f t="shared" si="30"/>
        <v>0</v>
      </c>
      <c r="T130">
        <f>AVERAGE(0.5,1)</f>
        <v>0.75</v>
      </c>
      <c r="U130">
        <v>125</v>
      </c>
      <c r="V130">
        <f t="shared" si="31"/>
        <v>0</v>
      </c>
      <c r="W130">
        <f t="shared" si="32"/>
        <v>0</v>
      </c>
    </row>
    <row r="131" spans="15:23" ht="5.0999999999999996" customHeight="1">
      <c r="O131">
        <v>6</v>
      </c>
      <c r="P131" t="s">
        <v>89</v>
      </c>
      <c r="R131">
        <v>50</v>
      </c>
      <c r="S131">
        <f t="shared" si="30"/>
        <v>0</v>
      </c>
      <c r="T131">
        <f>AVERAGE(0.5,1)</f>
        <v>0.75</v>
      </c>
      <c r="U131">
        <v>75</v>
      </c>
      <c r="V131">
        <f t="shared" si="31"/>
        <v>0</v>
      </c>
      <c r="W131">
        <f t="shared" si="32"/>
        <v>0</v>
      </c>
    </row>
    <row r="132" spans="15:23" ht="5.0999999999999996" customHeight="1" collapsed="1">
      <c r="O132">
        <v>7</v>
      </c>
    </row>
    <row r="133" spans="15:23" ht="5.0999999999999996" customHeight="1">
      <c r="P133" t="s">
        <v>463</v>
      </c>
      <c r="R133" t="s">
        <v>4649</v>
      </c>
      <c r="T133" t="s">
        <v>4406</v>
      </c>
      <c r="U133" t="s">
        <v>4407</v>
      </c>
    </row>
    <row r="134" spans="15:23" ht="5.0999999999999996" customHeight="1">
      <c r="P134" t="s">
        <v>5241</v>
      </c>
      <c r="R134">
        <v>12</v>
      </c>
      <c r="S134">
        <f t="shared" ref="S134:S148" si="33">T134*Q134</f>
        <v>0</v>
      </c>
      <c r="T134">
        <v>1</v>
      </c>
      <c r="U134">
        <v>1.5</v>
      </c>
      <c r="V134">
        <f t="shared" ref="V134:V148" si="34">Q134*U134</f>
        <v>0</v>
      </c>
    </row>
    <row r="135" spans="15:23" ht="5.0999999999999996" customHeight="1">
      <c r="P135" t="s">
        <v>2312</v>
      </c>
      <c r="R135">
        <v>12</v>
      </c>
      <c r="S135">
        <f t="shared" si="33"/>
        <v>0</v>
      </c>
      <c r="T135">
        <v>1</v>
      </c>
      <c r="U135">
        <v>1.25</v>
      </c>
      <c r="V135">
        <f t="shared" si="34"/>
        <v>0</v>
      </c>
    </row>
    <row r="136" spans="15:23" ht="5.0999999999999996" customHeight="1">
      <c r="P136" t="s">
        <v>5242</v>
      </c>
      <c r="R136">
        <v>12</v>
      </c>
      <c r="S136">
        <f t="shared" si="33"/>
        <v>0</v>
      </c>
      <c r="T136">
        <v>1</v>
      </c>
      <c r="U136">
        <v>1</v>
      </c>
      <c r="V136">
        <f t="shared" si="34"/>
        <v>0</v>
      </c>
    </row>
    <row r="137" spans="15:23" ht="5.0999999999999996" customHeight="1" collapsed="1">
      <c r="P137" t="s">
        <v>2313</v>
      </c>
      <c r="R137">
        <v>12</v>
      </c>
      <c r="S137">
        <f t="shared" si="33"/>
        <v>0</v>
      </c>
      <c r="T137">
        <v>1</v>
      </c>
      <c r="U137">
        <v>0.75</v>
      </c>
      <c r="V137">
        <f t="shared" si="34"/>
        <v>0</v>
      </c>
    </row>
    <row r="138" spans="15:23" ht="5.0999999999999996" customHeight="1">
      <c r="P138" t="s">
        <v>298</v>
      </c>
      <c r="R138">
        <v>10</v>
      </c>
      <c r="S138">
        <f t="shared" si="33"/>
        <v>0</v>
      </c>
      <c r="T138">
        <v>1</v>
      </c>
      <c r="U138">
        <v>0.5</v>
      </c>
      <c r="V138">
        <f t="shared" si="34"/>
        <v>0</v>
      </c>
    </row>
    <row r="139" spans="15:23" ht="5.0999999999999996" customHeight="1">
      <c r="P139" t="s">
        <v>299</v>
      </c>
      <c r="R139">
        <v>8</v>
      </c>
      <c r="S139">
        <f t="shared" si="33"/>
        <v>0</v>
      </c>
      <c r="T139">
        <v>1</v>
      </c>
      <c r="U139">
        <v>0.25</v>
      </c>
      <c r="V139">
        <f t="shared" si="34"/>
        <v>0</v>
      </c>
    </row>
    <row r="140" spans="15:23" ht="5.0999999999999996" customHeight="1">
      <c r="P140" t="s">
        <v>300</v>
      </c>
      <c r="R140">
        <v>6</v>
      </c>
      <c r="S140">
        <f t="shared" si="33"/>
        <v>0</v>
      </c>
      <c r="T140">
        <v>2</v>
      </c>
      <c r="U140">
        <v>0.25</v>
      </c>
      <c r="V140">
        <f t="shared" si="34"/>
        <v>0</v>
      </c>
    </row>
    <row r="141" spans="15:23" ht="5.0999999999999996" customHeight="1">
      <c r="P141" t="s">
        <v>301</v>
      </c>
      <c r="R141">
        <v>0</v>
      </c>
      <c r="S141">
        <f t="shared" si="33"/>
        <v>0</v>
      </c>
      <c r="T141">
        <v>1</v>
      </c>
      <c r="U141">
        <v>0.25</v>
      </c>
      <c r="V141">
        <f t="shared" si="34"/>
        <v>0</v>
      </c>
    </row>
    <row r="142" spans="15:23" ht="5.0999999999999996" customHeight="1">
      <c r="P142" t="s">
        <v>302</v>
      </c>
      <c r="R142">
        <v>12</v>
      </c>
      <c r="S142">
        <f t="shared" si="33"/>
        <v>0</v>
      </c>
      <c r="T142">
        <v>1</v>
      </c>
      <c r="U142">
        <v>1.75</v>
      </c>
      <c r="V142">
        <f t="shared" si="34"/>
        <v>0</v>
      </c>
    </row>
    <row r="143" spans="15:23" ht="5.0999999999999996" customHeight="1">
      <c r="P143" t="s">
        <v>2314</v>
      </c>
      <c r="R143">
        <v>12</v>
      </c>
      <c r="S143">
        <f t="shared" si="33"/>
        <v>0</v>
      </c>
      <c r="T143">
        <v>1</v>
      </c>
      <c r="U143">
        <v>1.5</v>
      </c>
      <c r="V143">
        <f t="shared" si="34"/>
        <v>0</v>
      </c>
    </row>
    <row r="144" spans="15:23" ht="5.0999999999999996" customHeight="1">
      <c r="P144" t="s">
        <v>303</v>
      </c>
      <c r="R144">
        <v>12</v>
      </c>
      <c r="S144">
        <f t="shared" si="33"/>
        <v>0</v>
      </c>
      <c r="T144">
        <v>1</v>
      </c>
      <c r="U144">
        <v>1.25</v>
      </c>
      <c r="V144">
        <f t="shared" si="34"/>
        <v>0</v>
      </c>
    </row>
    <row r="145" spans="16:22" ht="5.0999999999999996" customHeight="1">
      <c r="P145" t="s">
        <v>2315</v>
      </c>
      <c r="R145">
        <v>12</v>
      </c>
      <c r="S145">
        <f t="shared" si="33"/>
        <v>0</v>
      </c>
      <c r="T145">
        <v>1</v>
      </c>
      <c r="U145">
        <v>1</v>
      </c>
      <c r="V145">
        <f t="shared" si="34"/>
        <v>0</v>
      </c>
    </row>
    <row r="146" spans="16:22" ht="5.0999999999999996" customHeight="1">
      <c r="P146" t="s">
        <v>2316</v>
      </c>
      <c r="R146">
        <v>10</v>
      </c>
      <c r="S146">
        <f t="shared" si="33"/>
        <v>0</v>
      </c>
      <c r="T146">
        <v>1</v>
      </c>
      <c r="U146">
        <v>0.75</v>
      </c>
      <c r="V146">
        <f t="shared" si="34"/>
        <v>0</v>
      </c>
    </row>
    <row r="147" spans="16:22" ht="5.0999999999999996" customHeight="1" collapsed="1">
      <c r="P147" t="s">
        <v>2317</v>
      </c>
      <c r="R147">
        <v>8</v>
      </c>
      <c r="S147">
        <f t="shared" si="33"/>
        <v>0</v>
      </c>
      <c r="T147">
        <v>1</v>
      </c>
      <c r="U147">
        <v>0.5</v>
      </c>
      <c r="V147">
        <f t="shared" si="34"/>
        <v>0</v>
      </c>
    </row>
    <row r="148" spans="16:22" ht="5.0999999999999996" customHeight="1">
      <c r="P148" t="s">
        <v>2318</v>
      </c>
      <c r="R148">
        <v>0</v>
      </c>
      <c r="S148">
        <f t="shared" si="33"/>
        <v>0</v>
      </c>
      <c r="T148">
        <v>1</v>
      </c>
      <c r="U148">
        <v>0.25</v>
      </c>
      <c r="V148">
        <f t="shared" si="34"/>
        <v>0</v>
      </c>
    </row>
    <row r="149" spans="16:22" ht="5.0999999999999996" customHeight="1"/>
    <row r="150" spans="16:22" ht="5.0999999999999996" customHeight="1">
      <c r="P150" t="s">
        <v>4648</v>
      </c>
    </row>
    <row r="151" spans="16:22" ht="5.0999999999999996" customHeight="1">
      <c r="P151" t="s">
        <v>2319</v>
      </c>
      <c r="R151">
        <v>20</v>
      </c>
      <c r="S151">
        <f t="shared" ref="S151:S160" si="35">T151*Q151</f>
        <v>0</v>
      </c>
      <c r="T151">
        <v>1</v>
      </c>
      <c r="U151">
        <v>1.75</v>
      </c>
      <c r="V151">
        <f t="shared" ref="V151:V160" si="36">Q151*U151</f>
        <v>0</v>
      </c>
    </row>
    <row r="152" spans="16:22" ht="5.0999999999999996" customHeight="1">
      <c r="P152" t="s">
        <v>304</v>
      </c>
      <c r="R152">
        <v>18</v>
      </c>
      <c r="S152">
        <f t="shared" si="35"/>
        <v>0</v>
      </c>
      <c r="T152">
        <v>1</v>
      </c>
      <c r="U152">
        <v>1.25</v>
      </c>
      <c r="V152">
        <f t="shared" si="36"/>
        <v>0</v>
      </c>
    </row>
    <row r="153" spans="16:22" ht="5.0999999999999996" customHeight="1">
      <c r="P153" t="s">
        <v>305</v>
      </c>
      <c r="R153">
        <v>18</v>
      </c>
      <c r="S153">
        <f t="shared" si="35"/>
        <v>0</v>
      </c>
      <c r="T153">
        <v>1</v>
      </c>
      <c r="U153">
        <v>1</v>
      </c>
      <c r="V153">
        <f t="shared" si="36"/>
        <v>0</v>
      </c>
    </row>
    <row r="154" spans="16:22" ht="5.0999999999999996" customHeight="1">
      <c r="P154" t="s">
        <v>2320</v>
      </c>
      <c r="R154">
        <v>18</v>
      </c>
      <c r="S154">
        <f t="shared" si="35"/>
        <v>0</v>
      </c>
      <c r="T154">
        <v>1</v>
      </c>
      <c r="U154">
        <v>0.5</v>
      </c>
      <c r="V154">
        <f t="shared" si="36"/>
        <v>0</v>
      </c>
    </row>
    <row r="155" spans="16:22" ht="5.0999999999999996" customHeight="1">
      <c r="P155" t="s">
        <v>2321</v>
      </c>
      <c r="R155">
        <v>20</v>
      </c>
      <c r="S155">
        <f t="shared" si="35"/>
        <v>0</v>
      </c>
      <c r="T155">
        <v>1</v>
      </c>
      <c r="U155">
        <v>0.75</v>
      </c>
      <c r="V155">
        <f t="shared" si="36"/>
        <v>0</v>
      </c>
    </row>
    <row r="156" spans="16:22" ht="5.0999999999999996" customHeight="1" collapsed="1">
      <c r="P156" t="s">
        <v>306</v>
      </c>
      <c r="R156">
        <v>40</v>
      </c>
      <c r="S156">
        <f t="shared" si="35"/>
        <v>0</v>
      </c>
      <c r="T156">
        <v>1</v>
      </c>
      <c r="U156">
        <v>2.5</v>
      </c>
      <c r="V156">
        <f t="shared" si="36"/>
        <v>0</v>
      </c>
    </row>
    <row r="157" spans="16:22" ht="5.0999999999999996" customHeight="1">
      <c r="P157" t="s">
        <v>307</v>
      </c>
      <c r="R157">
        <v>40</v>
      </c>
      <c r="S157">
        <f t="shared" si="35"/>
        <v>0</v>
      </c>
      <c r="T157">
        <v>1</v>
      </c>
      <c r="U157">
        <v>2</v>
      </c>
      <c r="V157">
        <f t="shared" si="36"/>
        <v>0</v>
      </c>
    </row>
    <row r="158" spans="16:22" ht="5.0999999999999996" customHeight="1">
      <c r="P158" t="s">
        <v>308</v>
      </c>
      <c r="R158">
        <v>40</v>
      </c>
      <c r="S158">
        <f t="shared" si="35"/>
        <v>0</v>
      </c>
      <c r="T158">
        <v>1</v>
      </c>
      <c r="U158">
        <v>1.25</v>
      </c>
      <c r="V158">
        <f t="shared" si="36"/>
        <v>0</v>
      </c>
    </row>
    <row r="159" spans="16:22" ht="5.0999999999999996" customHeight="1">
      <c r="P159" t="s">
        <v>309</v>
      </c>
      <c r="R159">
        <v>40</v>
      </c>
      <c r="S159">
        <f t="shared" si="35"/>
        <v>0</v>
      </c>
      <c r="T159">
        <v>1</v>
      </c>
      <c r="U159">
        <v>1</v>
      </c>
      <c r="V159">
        <f t="shared" si="36"/>
        <v>0</v>
      </c>
    </row>
    <row r="160" spans="16:22" ht="5.0999999999999996" customHeight="1">
      <c r="P160" t="s">
        <v>310</v>
      </c>
      <c r="R160">
        <v>92.5</v>
      </c>
      <c r="S160">
        <f t="shared" si="35"/>
        <v>0</v>
      </c>
      <c r="T160">
        <v>1</v>
      </c>
      <c r="U160">
        <v>2.5</v>
      </c>
      <c r="V160">
        <f t="shared" si="36"/>
        <v>0</v>
      </c>
    </row>
    <row r="161" spans="16:32" ht="5.0999999999999996" customHeight="1"/>
    <row r="162" spans="16:32" ht="5.0999999999999996" customHeight="1">
      <c r="P162" t="s">
        <v>462</v>
      </c>
    </row>
    <row r="163" spans="16:32" ht="5.0999999999999996" customHeight="1">
      <c r="P163" t="s">
        <v>311</v>
      </c>
      <c r="R163">
        <v>8</v>
      </c>
      <c r="S163">
        <f t="shared" ref="S163:S173" si="37">T163*Q163</f>
        <v>0</v>
      </c>
      <c r="T163">
        <v>1</v>
      </c>
      <c r="U163">
        <v>0.5</v>
      </c>
      <c r="V163">
        <f t="shared" ref="V163:V173" si="38">Q163*U163</f>
        <v>0</v>
      </c>
    </row>
    <row r="164" spans="16:32" ht="5.0999999999999996" customHeight="1">
      <c r="P164" t="s">
        <v>2322</v>
      </c>
      <c r="R164">
        <v>5</v>
      </c>
      <c r="S164">
        <f t="shared" si="37"/>
        <v>0</v>
      </c>
      <c r="T164">
        <v>1</v>
      </c>
      <c r="U164">
        <v>0.25</v>
      </c>
      <c r="V164">
        <f t="shared" si="38"/>
        <v>0</v>
      </c>
    </row>
    <row r="165" spans="16:32" ht="5.0999999999999996" customHeight="1">
      <c r="P165" t="s">
        <v>2323</v>
      </c>
      <c r="R165">
        <v>5</v>
      </c>
      <c r="S165">
        <f t="shared" si="37"/>
        <v>0</v>
      </c>
      <c r="T165">
        <v>1</v>
      </c>
      <c r="U165">
        <v>0.25</v>
      </c>
      <c r="V165">
        <f t="shared" si="38"/>
        <v>0</v>
      </c>
    </row>
    <row r="166" spans="16:32" ht="5.0999999999999996" customHeight="1" collapsed="1">
      <c r="P166" t="s">
        <v>312</v>
      </c>
      <c r="R166">
        <v>5</v>
      </c>
      <c r="S166">
        <f t="shared" si="37"/>
        <v>0</v>
      </c>
      <c r="T166">
        <v>1</v>
      </c>
      <c r="U166">
        <v>0.25</v>
      </c>
      <c r="V166">
        <f t="shared" si="38"/>
        <v>0</v>
      </c>
    </row>
    <row r="167" spans="16:32" ht="5.0999999999999996" customHeight="1">
      <c r="P167" t="s">
        <v>313</v>
      </c>
      <c r="R167">
        <v>3</v>
      </c>
      <c r="S167">
        <f t="shared" si="37"/>
        <v>0</v>
      </c>
      <c r="T167">
        <v>2</v>
      </c>
      <c r="U167">
        <v>0.25</v>
      </c>
      <c r="V167">
        <f t="shared" si="38"/>
        <v>0</v>
      </c>
    </row>
    <row r="168" spans="16:32" ht="5.0999999999999996" customHeight="1">
      <c r="P168" t="s">
        <v>2410</v>
      </c>
      <c r="R168">
        <v>10</v>
      </c>
      <c r="S168">
        <f t="shared" si="37"/>
        <v>0</v>
      </c>
      <c r="T168">
        <v>2</v>
      </c>
      <c r="U168">
        <v>1</v>
      </c>
      <c r="V168">
        <f t="shared" si="38"/>
        <v>0</v>
      </c>
    </row>
    <row r="169" spans="16:32" ht="5.0999999999999996" customHeight="1">
      <c r="P169" t="s">
        <v>2411</v>
      </c>
      <c r="R169">
        <v>8</v>
      </c>
      <c r="S169">
        <f t="shared" si="37"/>
        <v>0</v>
      </c>
      <c r="T169">
        <v>1</v>
      </c>
      <c r="U169">
        <v>0.75</v>
      </c>
      <c r="V169">
        <f t="shared" si="38"/>
        <v>0</v>
      </c>
    </row>
    <row r="170" spans="16:32" ht="5.0999999999999996" customHeight="1">
      <c r="P170" t="s">
        <v>4402</v>
      </c>
      <c r="R170">
        <v>6</v>
      </c>
      <c r="S170">
        <f t="shared" si="37"/>
        <v>0</v>
      </c>
      <c r="T170">
        <v>1</v>
      </c>
      <c r="U170">
        <v>0.5</v>
      </c>
      <c r="V170">
        <f t="shared" si="38"/>
        <v>0</v>
      </c>
    </row>
    <row r="171" spans="16:32" ht="5.0999999999999996" customHeight="1">
      <c r="P171" t="s">
        <v>4403</v>
      </c>
      <c r="R171">
        <v>4</v>
      </c>
      <c r="S171">
        <f t="shared" si="37"/>
        <v>0</v>
      </c>
      <c r="T171">
        <v>1</v>
      </c>
      <c r="U171">
        <v>0.25</v>
      </c>
      <c r="V171">
        <f t="shared" si="38"/>
        <v>0</v>
      </c>
    </row>
    <row r="172" spans="16:32" ht="5.0999999999999996" customHeight="1">
      <c r="P172" t="s">
        <v>4404</v>
      </c>
      <c r="R172">
        <v>7</v>
      </c>
      <c r="S172">
        <f t="shared" si="37"/>
        <v>0</v>
      </c>
      <c r="T172">
        <v>1</v>
      </c>
      <c r="U172">
        <v>0.5</v>
      </c>
      <c r="V172">
        <f t="shared" si="38"/>
        <v>0</v>
      </c>
    </row>
    <row r="173" spans="16:32" ht="5.0999999999999996" customHeight="1">
      <c r="P173" t="s">
        <v>4405</v>
      </c>
      <c r="R173">
        <v>4</v>
      </c>
      <c r="S173">
        <f t="shared" si="37"/>
        <v>0</v>
      </c>
      <c r="T173">
        <v>1</v>
      </c>
      <c r="U173">
        <v>0.25</v>
      </c>
      <c r="V173">
        <f t="shared" si="38"/>
        <v>0</v>
      </c>
    </row>
    <row r="174" spans="16:32" ht="5.0999999999999996" customHeight="1" collapsed="1"/>
    <row r="175" spans="16:32" ht="5.0999999999999996" customHeight="1">
      <c r="P175" t="s">
        <v>2742</v>
      </c>
      <c r="Q175" t="s">
        <v>3104</v>
      </c>
      <c r="R175" t="s">
        <v>3720</v>
      </c>
      <c r="S175" t="s">
        <v>2743</v>
      </c>
      <c r="T175" t="s">
        <v>456</v>
      </c>
      <c r="U175" t="s">
        <v>1870</v>
      </c>
      <c r="V175" t="s">
        <v>2746</v>
      </c>
      <c r="W175" t="s">
        <v>3721</v>
      </c>
      <c r="Y175" t="s">
        <v>3553</v>
      </c>
    </row>
    <row r="176" spans="16:32" ht="5.0999999999999996" customHeight="1">
      <c r="P176" t="s">
        <v>2744</v>
      </c>
      <c r="X176">
        <v>1</v>
      </c>
      <c r="Y176" t="s">
        <v>4922</v>
      </c>
      <c r="AA176" t="s">
        <v>589</v>
      </c>
      <c r="AB176">
        <v>2</v>
      </c>
      <c r="AC176">
        <f t="shared" ref="AC176:AC204" si="39">AB176*Z176</f>
        <v>0</v>
      </c>
      <c r="AD176">
        <v>0</v>
      </c>
      <c r="AF176">
        <f t="shared" ref="AF176:AF191" si="40">IF(AA176="A",AD176*Z176,IF((AA176="F"),(AE176*Z176),0))</f>
        <v>0</v>
      </c>
    </row>
    <row r="177" spans="16:32" ht="5.0999999999999996" customHeight="1">
      <c r="P177" t="s">
        <v>809</v>
      </c>
      <c r="R177" t="s">
        <v>589</v>
      </c>
      <c r="S177">
        <v>0.9375</v>
      </c>
      <c r="T177">
        <f t="shared" ref="T177:T203" si="41">S177*Q177</f>
        <v>0</v>
      </c>
      <c r="U177">
        <v>20</v>
      </c>
      <c r="W177">
        <f t="shared" ref="W177:W203" si="42">IF(R177="A",U177*Q177,IF((R177="F"),(V177*Q177),0))</f>
        <v>0</v>
      </c>
      <c r="X177">
        <v>2</v>
      </c>
      <c r="Y177" t="s">
        <v>4239</v>
      </c>
      <c r="AA177" t="s">
        <v>589</v>
      </c>
      <c r="AB177">
        <v>0.5</v>
      </c>
      <c r="AC177">
        <f t="shared" si="39"/>
        <v>0</v>
      </c>
      <c r="AD177">
        <v>0.5</v>
      </c>
      <c r="AF177">
        <f t="shared" si="40"/>
        <v>0</v>
      </c>
    </row>
    <row r="178" spans="16:32" ht="5.0999999999999996" customHeight="1">
      <c r="P178" t="s">
        <v>778</v>
      </c>
      <c r="R178" t="s">
        <v>589</v>
      </c>
      <c r="S178">
        <v>0.5</v>
      </c>
      <c r="T178">
        <f t="shared" si="41"/>
        <v>0</v>
      </c>
      <c r="U178">
        <v>40</v>
      </c>
      <c r="W178">
        <f t="shared" si="42"/>
        <v>0</v>
      </c>
      <c r="X178">
        <v>3</v>
      </c>
      <c r="Y178" t="s">
        <v>988</v>
      </c>
      <c r="AA178" t="s">
        <v>589</v>
      </c>
      <c r="AB178">
        <v>3</v>
      </c>
      <c r="AC178">
        <f t="shared" si="39"/>
        <v>0</v>
      </c>
      <c r="AD178">
        <v>0.4</v>
      </c>
      <c r="AF178">
        <f t="shared" si="40"/>
        <v>0</v>
      </c>
    </row>
    <row r="179" spans="16:32" ht="5.0999999999999996" customHeight="1">
      <c r="P179" t="s">
        <v>3008</v>
      </c>
      <c r="R179" t="s">
        <v>589</v>
      </c>
      <c r="S179">
        <v>0.5</v>
      </c>
      <c r="T179">
        <f t="shared" si="41"/>
        <v>0</v>
      </c>
      <c r="U179">
        <v>184</v>
      </c>
      <c r="W179">
        <f t="shared" si="42"/>
        <v>0</v>
      </c>
      <c r="X179">
        <v>4</v>
      </c>
      <c r="Y179" t="s">
        <v>4238</v>
      </c>
      <c r="AA179" t="s">
        <v>589</v>
      </c>
      <c r="AB179">
        <v>6</v>
      </c>
      <c r="AC179">
        <f t="shared" si="39"/>
        <v>0</v>
      </c>
      <c r="AD179">
        <v>16</v>
      </c>
      <c r="AF179">
        <f t="shared" si="40"/>
        <v>0</v>
      </c>
    </row>
    <row r="180" spans="16:32" ht="5.0999999999999996" customHeight="1">
      <c r="P180" t="s">
        <v>810</v>
      </c>
      <c r="R180" t="s">
        <v>589</v>
      </c>
      <c r="S180">
        <v>0.5</v>
      </c>
      <c r="T180">
        <f t="shared" si="41"/>
        <v>0</v>
      </c>
      <c r="U180">
        <v>300</v>
      </c>
      <c r="W180">
        <f t="shared" si="42"/>
        <v>0</v>
      </c>
      <c r="X180">
        <v>5</v>
      </c>
      <c r="Y180" t="s">
        <v>807</v>
      </c>
      <c r="AA180" t="s">
        <v>589</v>
      </c>
      <c r="AB180">
        <v>1.5</v>
      </c>
      <c r="AC180">
        <f t="shared" si="39"/>
        <v>0</v>
      </c>
      <c r="AD180">
        <v>10</v>
      </c>
      <c r="AF180">
        <f t="shared" si="40"/>
        <v>0</v>
      </c>
    </row>
    <row r="181" spans="16:32" ht="5.0999999999999996" customHeight="1">
      <c r="P181" t="s">
        <v>3009</v>
      </c>
      <c r="R181" t="s">
        <v>589</v>
      </c>
      <c r="S181">
        <v>1</v>
      </c>
      <c r="T181">
        <f t="shared" si="41"/>
        <v>0</v>
      </c>
      <c r="U181">
        <v>5800</v>
      </c>
      <c r="W181">
        <f t="shared" si="42"/>
        <v>0</v>
      </c>
      <c r="X181">
        <v>6</v>
      </c>
      <c r="Y181" t="s">
        <v>808</v>
      </c>
      <c r="AA181" t="s">
        <v>589</v>
      </c>
      <c r="AB181">
        <v>1.5</v>
      </c>
      <c r="AC181">
        <f t="shared" si="39"/>
        <v>0</v>
      </c>
      <c r="AD181">
        <v>16</v>
      </c>
      <c r="AF181">
        <f t="shared" si="40"/>
        <v>0</v>
      </c>
    </row>
    <row r="182" spans="16:32" ht="5.0999999999999996" customHeight="1">
      <c r="P182" t="s">
        <v>2747</v>
      </c>
      <c r="R182" t="s">
        <v>589</v>
      </c>
      <c r="S182">
        <v>1</v>
      </c>
      <c r="T182">
        <f t="shared" si="41"/>
        <v>0</v>
      </c>
      <c r="U182">
        <v>12</v>
      </c>
      <c r="W182">
        <f t="shared" si="42"/>
        <v>0</v>
      </c>
      <c r="X182">
        <v>7</v>
      </c>
      <c r="Y182" t="s">
        <v>533</v>
      </c>
      <c r="AA182" t="s">
        <v>589</v>
      </c>
      <c r="AB182">
        <v>2</v>
      </c>
      <c r="AC182">
        <f t="shared" si="39"/>
        <v>0</v>
      </c>
      <c r="AD182">
        <v>0.24</v>
      </c>
      <c r="AF182">
        <f t="shared" si="40"/>
        <v>0</v>
      </c>
    </row>
    <row r="183" spans="16:32" ht="5.0999999999999996" customHeight="1">
      <c r="P183" t="s">
        <v>2748</v>
      </c>
      <c r="R183" t="s">
        <v>589</v>
      </c>
      <c r="S183">
        <v>2.5</v>
      </c>
      <c r="T183">
        <f t="shared" si="41"/>
        <v>0</v>
      </c>
      <c r="U183">
        <v>10</v>
      </c>
      <c r="W183">
        <f t="shared" si="42"/>
        <v>0</v>
      </c>
      <c r="X183">
        <v>8</v>
      </c>
      <c r="Y183" t="s">
        <v>4240</v>
      </c>
      <c r="AA183" t="s">
        <v>589</v>
      </c>
      <c r="AB183">
        <v>1.5</v>
      </c>
      <c r="AC183">
        <f t="shared" si="39"/>
        <v>0</v>
      </c>
      <c r="AD183">
        <v>2</v>
      </c>
      <c r="AF183">
        <f t="shared" si="40"/>
        <v>0</v>
      </c>
    </row>
    <row r="184" spans="16:32" ht="5.0999999999999996" customHeight="1">
      <c r="P184" t="s">
        <v>2750</v>
      </c>
      <c r="R184" t="s">
        <v>589</v>
      </c>
      <c r="S184">
        <v>5</v>
      </c>
      <c r="T184">
        <f t="shared" si="41"/>
        <v>0</v>
      </c>
      <c r="U184">
        <v>10</v>
      </c>
      <c r="W184">
        <f t="shared" si="42"/>
        <v>0</v>
      </c>
      <c r="X184">
        <v>9</v>
      </c>
      <c r="Y184" t="s">
        <v>987</v>
      </c>
      <c r="AA184" t="s">
        <v>589</v>
      </c>
      <c r="AB184">
        <v>15</v>
      </c>
      <c r="AC184">
        <f t="shared" si="39"/>
        <v>0</v>
      </c>
      <c r="AD184">
        <v>0.8</v>
      </c>
      <c r="AF184">
        <f t="shared" si="40"/>
        <v>0</v>
      </c>
    </row>
    <row r="185" spans="16:32" ht="5.0999999999999996" customHeight="1">
      <c r="P185" t="s">
        <v>2751</v>
      </c>
      <c r="R185" t="s">
        <v>589</v>
      </c>
      <c r="S185">
        <v>5</v>
      </c>
      <c r="T185">
        <f t="shared" si="41"/>
        <v>0</v>
      </c>
      <c r="U185">
        <v>12</v>
      </c>
      <c r="W185">
        <f t="shared" si="42"/>
        <v>0</v>
      </c>
      <c r="X185">
        <v>10</v>
      </c>
      <c r="Y185" t="s">
        <v>4237</v>
      </c>
      <c r="AA185" t="s">
        <v>589</v>
      </c>
      <c r="AB185">
        <v>3</v>
      </c>
      <c r="AC185">
        <f t="shared" si="39"/>
        <v>0</v>
      </c>
      <c r="AD185">
        <v>9</v>
      </c>
      <c r="AF185">
        <f t="shared" si="40"/>
        <v>0</v>
      </c>
    </row>
    <row r="186" spans="16:32" ht="5.0999999999999996" customHeight="1">
      <c r="P186" t="s">
        <v>2752</v>
      </c>
      <c r="R186" t="s">
        <v>589</v>
      </c>
      <c r="S186">
        <v>20</v>
      </c>
      <c r="T186">
        <f t="shared" si="41"/>
        <v>0</v>
      </c>
      <c r="U186">
        <v>10</v>
      </c>
      <c r="W186">
        <f t="shared" si="42"/>
        <v>0</v>
      </c>
      <c r="X186">
        <v>11</v>
      </c>
      <c r="Y186" t="s">
        <v>811</v>
      </c>
      <c r="AA186" t="s">
        <v>589</v>
      </c>
      <c r="AB186">
        <v>10</v>
      </c>
      <c r="AC186">
        <f t="shared" si="39"/>
        <v>0</v>
      </c>
      <c r="AD186">
        <v>48</v>
      </c>
      <c r="AF186">
        <f t="shared" si="40"/>
        <v>0</v>
      </c>
    </row>
    <row r="187" spans="16:32" ht="5.0999999999999996" customHeight="1">
      <c r="P187" t="s">
        <v>3824</v>
      </c>
      <c r="R187" t="s">
        <v>589</v>
      </c>
      <c r="S187">
        <v>3</v>
      </c>
      <c r="T187">
        <f t="shared" si="41"/>
        <v>0</v>
      </c>
      <c r="U187">
        <v>12</v>
      </c>
      <c r="W187">
        <f t="shared" si="42"/>
        <v>0</v>
      </c>
      <c r="X187">
        <v>1</v>
      </c>
      <c r="Y187" t="s">
        <v>3093</v>
      </c>
      <c r="AA187" t="s">
        <v>589</v>
      </c>
      <c r="AB187">
        <v>2</v>
      </c>
      <c r="AC187">
        <f t="shared" si="39"/>
        <v>0</v>
      </c>
      <c r="AD187">
        <v>8</v>
      </c>
      <c r="AF187">
        <f t="shared" si="40"/>
        <v>0</v>
      </c>
    </row>
    <row r="188" spans="16:32" ht="5.0999999999999996" customHeight="1">
      <c r="P188" t="s">
        <v>2856</v>
      </c>
      <c r="R188" t="s">
        <v>589</v>
      </c>
      <c r="S188">
        <v>3</v>
      </c>
      <c r="T188">
        <f t="shared" si="41"/>
        <v>0</v>
      </c>
      <c r="U188">
        <v>4</v>
      </c>
      <c r="W188">
        <f t="shared" si="42"/>
        <v>0</v>
      </c>
      <c r="X188">
        <v>2</v>
      </c>
      <c r="Y188" t="s">
        <v>208</v>
      </c>
      <c r="AA188" t="s">
        <v>589</v>
      </c>
      <c r="AB188">
        <v>4</v>
      </c>
      <c r="AC188">
        <f t="shared" si="39"/>
        <v>0</v>
      </c>
      <c r="AD188">
        <v>12</v>
      </c>
      <c r="AF188">
        <f t="shared" si="40"/>
        <v>0</v>
      </c>
    </row>
    <row r="189" spans="16:32" ht="5.0999999999999996" customHeight="1">
      <c r="P189" t="s">
        <v>4923</v>
      </c>
      <c r="R189" t="s">
        <v>589</v>
      </c>
      <c r="S189">
        <v>200</v>
      </c>
      <c r="T189">
        <f t="shared" si="41"/>
        <v>0</v>
      </c>
      <c r="U189">
        <v>90</v>
      </c>
      <c r="W189">
        <f t="shared" si="42"/>
        <v>0</v>
      </c>
      <c r="X189">
        <v>3</v>
      </c>
      <c r="Y189" t="s">
        <v>3090</v>
      </c>
      <c r="AA189" t="s">
        <v>589</v>
      </c>
      <c r="AB189">
        <v>7</v>
      </c>
      <c r="AC189">
        <f t="shared" si="39"/>
        <v>0</v>
      </c>
      <c r="AD189">
        <v>17</v>
      </c>
      <c r="AF189">
        <f t="shared" si="40"/>
        <v>0</v>
      </c>
    </row>
    <row r="190" spans="16:32" ht="5.0999999999999996" customHeight="1">
      <c r="P190" t="s">
        <v>193</v>
      </c>
      <c r="R190" t="s">
        <v>589</v>
      </c>
      <c r="S190">
        <v>500</v>
      </c>
      <c r="T190">
        <f t="shared" si="41"/>
        <v>0</v>
      </c>
      <c r="U190">
        <v>150</v>
      </c>
      <c r="W190">
        <f t="shared" si="42"/>
        <v>0</v>
      </c>
      <c r="X190">
        <v>1</v>
      </c>
      <c r="Y190" t="s">
        <v>2181</v>
      </c>
      <c r="AA190" t="s">
        <v>589</v>
      </c>
      <c r="AB190">
        <v>2.5</v>
      </c>
      <c r="AC190">
        <f t="shared" si="39"/>
        <v>0</v>
      </c>
      <c r="AD190">
        <v>1</v>
      </c>
      <c r="AF190">
        <f t="shared" si="40"/>
        <v>0</v>
      </c>
    </row>
    <row r="191" spans="16:32" ht="5.0999999999999996" customHeight="1" collapsed="1">
      <c r="P191" t="s">
        <v>194</v>
      </c>
      <c r="R191" t="s">
        <v>589</v>
      </c>
      <c r="S191">
        <v>850</v>
      </c>
      <c r="T191">
        <f t="shared" si="41"/>
        <v>0</v>
      </c>
      <c r="U191">
        <v>200</v>
      </c>
      <c r="W191">
        <f t="shared" si="42"/>
        <v>0</v>
      </c>
      <c r="X191">
        <v>2</v>
      </c>
      <c r="Y191" t="s">
        <v>2182</v>
      </c>
      <c r="AA191" t="s">
        <v>589</v>
      </c>
      <c r="AB191">
        <v>2.5</v>
      </c>
      <c r="AC191">
        <f t="shared" si="39"/>
        <v>0</v>
      </c>
      <c r="AD191">
        <v>1.5</v>
      </c>
      <c r="AF191">
        <f t="shared" si="40"/>
        <v>0</v>
      </c>
    </row>
    <row r="192" spans="16:32" ht="5.0999999999999996" customHeight="1">
      <c r="P192" t="s">
        <v>199</v>
      </c>
      <c r="R192" t="s">
        <v>589</v>
      </c>
      <c r="S192">
        <v>1500</v>
      </c>
      <c r="T192">
        <f t="shared" si="41"/>
        <v>0</v>
      </c>
      <c r="U192">
        <v>300</v>
      </c>
      <c r="W192">
        <f t="shared" si="42"/>
        <v>0</v>
      </c>
      <c r="X192">
        <v>3</v>
      </c>
      <c r="Y192" t="s">
        <v>2941</v>
      </c>
      <c r="AA192" t="s">
        <v>589</v>
      </c>
      <c r="AB192">
        <v>8.5</v>
      </c>
      <c r="AC192">
        <f t="shared" si="39"/>
        <v>0</v>
      </c>
      <c r="AD192">
        <v>2</v>
      </c>
      <c r="AF192">
        <f t="shared" ref="AF192:AF204" si="43">IF(AA192="A",AD192*Z192,IF((AA192="F"),(AE192*Z192),0))</f>
        <v>0</v>
      </c>
    </row>
    <row r="193" spans="16:32" ht="5.0999999999999996" customHeight="1">
      <c r="P193" t="s">
        <v>195</v>
      </c>
      <c r="R193" t="s">
        <v>589</v>
      </c>
      <c r="S193">
        <v>1000</v>
      </c>
      <c r="T193">
        <f t="shared" si="41"/>
        <v>0</v>
      </c>
      <c r="U193">
        <v>360</v>
      </c>
      <c r="W193">
        <f t="shared" si="42"/>
        <v>0</v>
      </c>
      <c r="X193">
        <v>4</v>
      </c>
      <c r="Y193" t="s">
        <v>2942</v>
      </c>
      <c r="AA193" t="s">
        <v>589</v>
      </c>
      <c r="AB193">
        <v>25</v>
      </c>
      <c r="AC193">
        <f t="shared" si="39"/>
        <v>0</v>
      </c>
      <c r="AD193">
        <v>3</v>
      </c>
      <c r="AF193">
        <f t="shared" si="43"/>
        <v>0</v>
      </c>
    </row>
    <row r="194" spans="16:32" ht="5.0999999999999996" customHeight="1">
      <c r="P194" t="s">
        <v>200</v>
      </c>
      <c r="R194" t="s">
        <v>589</v>
      </c>
      <c r="S194">
        <v>2000</v>
      </c>
      <c r="T194">
        <f t="shared" si="41"/>
        <v>0</v>
      </c>
      <c r="U194">
        <v>480</v>
      </c>
      <c r="W194">
        <f t="shared" si="42"/>
        <v>0</v>
      </c>
      <c r="X194">
        <v>5</v>
      </c>
      <c r="Y194" t="s">
        <v>3094</v>
      </c>
      <c r="AA194" t="s">
        <v>589</v>
      </c>
      <c r="AB194">
        <v>42</v>
      </c>
      <c r="AC194">
        <f t="shared" si="39"/>
        <v>0</v>
      </c>
      <c r="AD194">
        <v>4</v>
      </c>
      <c r="AF194">
        <f t="shared" si="43"/>
        <v>0</v>
      </c>
    </row>
    <row r="195" spans="16:32" ht="5.0999999999999996" customHeight="1">
      <c r="P195" t="s">
        <v>196</v>
      </c>
      <c r="R195" t="s">
        <v>589</v>
      </c>
      <c r="S195">
        <v>50</v>
      </c>
      <c r="T195">
        <f t="shared" si="41"/>
        <v>0</v>
      </c>
      <c r="U195">
        <v>60</v>
      </c>
      <c r="W195">
        <f t="shared" si="42"/>
        <v>0</v>
      </c>
      <c r="X195">
        <v>6</v>
      </c>
      <c r="Y195" t="s">
        <v>2324</v>
      </c>
      <c r="AA195" t="s">
        <v>589</v>
      </c>
      <c r="AB195">
        <v>2.75</v>
      </c>
      <c r="AC195">
        <f t="shared" si="39"/>
        <v>0</v>
      </c>
      <c r="AD195">
        <v>1.5</v>
      </c>
      <c r="AF195">
        <f t="shared" si="43"/>
        <v>0</v>
      </c>
    </row>
    <row r="196" spans="16:32" ht="5.0999999999999996" customHeight="1">
      <c r="P196" t="s">
        <v>201</v>
      </c>
      <c r="R196" t="s">
        <v>589</v>
      </c>
      <c r="S196">
        <v>150</v>
      </c>
      <c r="T196">
        <f t="shared" si="41"/>
        <v>0</v>
      </c>
      <c r="U196">
        <v>120</v>
      </c>
      <c r="W196">
        <f t="shared" si="42"/>
        <v>0</v>
      </c>
      <c r="X196">
        <v>7</v>
      </c>
      <c r="Y196" t="s">
        <v>2326</v>
      </c>
      <c r="AA196" t="s">
        <v>589</v>
      </c>
      <c r="AB196">
        <v>2.75</v>
      </c>
      <c r="AC196">
        <f t="shared" si="39"/>
        <v>0</v>
      </c>
      <c r="AD196">
        <v>2</v>
      </c>
      <c r="AF196">
        <f t="shared" si="43"/>
        <v>0</v>
      </c>
    </row>
    <row r="197" spans="16:32" ht="5.0999999999999996" customHeight="1">
      <c r="P197" t="s">
        <v>203</v>
      </c>
      <c r="R197" t="s">
        <v>589</v>
      </c>
      <c r="S197">
        <v>225</v>
      </c>
      <c r="T197">
        <f t="shared" si="41"/>
        <v>0</v>
      </c>
      <c r="U197">
        <v>150</v>
      </c>
      <c r="W197">
        <f t="shared" si="42"/>
        <v>0</v>
      </c>
      <c r="X197">
        <v>8</v>
      </c>
      <c r="Y197" t="s">
        <v>2327</v>
      </c>
      <c r="AA197" t="s">
        <v>589</v>
      </c>
      <c r="AB197">
        <v>8.75</v>
      </c>
      <c r="AC197">
        <f t="shared" si="39"/>
        <v>0</v>
      </c>
      <c r="AD197">
        <v>2.5</v>
      </c>
      <c r="AF197">
        <f t="shared" si="43"/>
        <v>0</v>
      </c>
    </row>
    <row r="198" spans="16:32" ht="5.0999999999999996" customHeight="1">
      <c r="P198" t="s">
        <v>204</v>
      </c>
      <c r="R198" t="s">
        <v>589</v>
      </c>
      <c r="S198">
        <v>350</v>
      </c>
      <c r="T198">
        <f t="shared" si="41"/>
        <v>0</v>
      </c>
      <c r="U198">
        <v>200</v>
      </c>
      <c r="W198">
        <f t="shared" si="42"/>
        <v>0</v>
      </c>
      <c r="X198">
        <v>9</v>
      </c>
      <c r="Y198" t="s">
        <v>812</v>
      </c>
      <c r="AA198" t="s">
        <v>589</v>
      </c>
      <c r="AB198">
        <v>2</v>
      </c>
      <c r="AC198">
        <f t="shared" si="39"/>
        <v>0</v>
      </c>
      <c r="AD198">
        <v>2.5</v>
      </c>
      <c r="AF198">
        <f>IF(AA198="A",AD198*Z198,IF((AA198="F"),(AE198*Z198),0))</f>
        <v>0</v>
      </c>
    </row>
    <row r="199" spans="16:32" ht="5.0999999999999996" customHeight="1">
      <c r="P199" t="s">
        <v>3091</v>
      </c>
      <c r="R199" t="s">
        <v>589</v>
      </c>
      <c r="S199">
        <v>500</v>
      </c>
      <c r="T199">
        <f t="shared" si="41"/>
        <v>0</v>
      </c>
      <c r="U199">
        <v>270</v>
      </c>
      <c r="W199">
        <f t="shared" si="42"/>
        <v>0</v>
      </c>
      <c r="X199">
        <v>10</v>
      </c>
      <c r="Y199" t="s">
        <v>4924</v>
      </c>
      <c r="AA199" t="s">
        <v>589</v>
      </c>
      <c r="AB199">
        <v>1</v>
      </c>
      <c r="AC199">
        <f t="shared" si="39"/>
        <v>0</v>
      </c>
      <c r="AD199">
        <v>3</v>
      </c>
      <c r="AF199">
        <f>IF(AA199="A",AD199*Z199,IF((AA199="F"),(AE199*Z199),0))</f>
        <v>0</v>
      </c>
    </row>
    <row r="200" spans="16:32" ht="5.0999999999999996" customHeight="1">
      <c r="P200" t="s">
        <v>197</v>
      </c>
      <c r="R200" t="s">
        <v>589</v>
      </c>
      <c r="S200">
        <v>750</v>
      </c>
      <c r="T200">
        <f t="shared" si="41"/>
        <v>0</v>
      </c>
      <c r="U200">
        <v>370</v>
      </c>
      <c r="W200">
        <f t="shared" si="42"/>
        <v>0</v>
      </c>
      <c r="X200">
        <v>1</v>
      </c>
      <c r="Y200" t="s">
        <v>198</v>
      </c>
      <c r="AA200" t="s">
        <v>589</v>
      </c>
      <c r="AB200">
        <v>30</v>
      </c>
      <c r="AC200">
        <f t="shared" si="39"/>
        <v>0</v>
      </c>
      <c r="AD200">
        <v>48</v>
      </c>
      <c r="AF200">
        <f t="shared" si="43"/>
        <v>0</v>
      </c>
    </row>
    <row r="201" spans="16:32" ht="5.0999999999999996" customHeight="1">
      <c r="P201" t="s">
        <v>3551</v>
      </c>
      <c r="R201" t="s">
        <v>589</v>
      </c>
      <c r="S201">
        <v>3</v>
      </c>
      <c r="T201">
        <f t="shared" si="41"/>
        <v>0</v>
      </c>
      <c r="U201">
        <v>3</v>
      </c>
      <c r="W201">
        <f t="shared" si="42"/>
        <v>0</v>
      </c>
      <c r="X201">
        <v>2</v>
      </c>
      <c r="Y201" t="s">
        <v>202</v>
      </c>
      <c r="AA201" t="s">
        <v>589</v>
      </c>
      <c r="AB201">
        <v>50</v>
      </c>
      <c r="AC201">
        <f t="shared" si="39"/>
        <v>0</v>
      </c>
      <c r="AD201">
        <v>80</v>
      </c>
      <c r="AF201">
        <f t="shared" si="43"/>
        <v>0</v>
      </c>
    </row>
    <row r="202" spans="16:32" ht="5.0999999999999996" customHeight="1">
      <c r="P202" t="s">
        <v>3552</v>
      </c>
      <c r="R202" t="s">
        <v>589</v>
      </c>
      <c r="S202">
        <v>6</v>
      </c>
      <c r="T202">
        <f t="shared" si="41"/>
        <v>0</v>
      </c>
      <c r="U202">
        <v>5</v>
      </c>
      <c r="W202">
        <f t="shared" si="42"/>
        <v>0</v>
      </c>
      <c r="X202">
        <v>3</v>
      </c>
      <c r="Y202" t="s">
        <v>3397</v>
      </c>
      <c r="AA202" t="s">
        <v>589</v>
      </c>
      <c r="AB202">
        <v>80</v>
      </c>
      <c r="AC202">
        <f t="shared" si="39"/>
        <v>0</v>
      </c>
      <c r="AD202">
        <v>120</v>
      </c>
      <c r="AF202">
        <f t="shared" si="43"/>
        <v>0</v>
      </c>
    </row>
    <row r="203" spans="16:32" ht="5.0999999999999996" customHeight="1" collapsed="1">
      <c r="P203" t="s">
        <v>4227</v>
      </c>
      <c r="R203" t="s">
        <v>589</v>
      </c>
      <c r="S203">
        <v>30</v>
      </c>
      <c r="T203">
        <f t="shared" si="41"/>
        <v>0</v>
      </c>
      <c r="U203">
        <v>60</v>
      </c>
      <c r="W203">
        <f t="shared" si="42"/>
        <v>0</v>
      </c>
      <c r="X203">
        <v>4</v>
      </c>
      <c r="Y203" t="s">
        <v>205</v>
      </c>
      <c r="AA203" t="s">
        <v>589</v>
      </c>
      <c r="AB203">
        <v>100</v>
      </c>
      <c r="AC203">
        <f t="shared" si="39"/>
        <v>0</v>
      </c>
      <c r="AD203">
        <v>150</v>
      </c>
      <c r="AF203">
        <f t="shared" si="43"/>
        <v>0</v>
      </c>
    </row>
    <row r="204" spans="16:32" ht="5.0999999999999996" customHeight="1">
      <c r="P204" t="s">
        <v>529</v>
      </c>
      <c r="R204" t="s">
        <v>589</v>
      </c>
      <c r="S204" t="s">
        <v>3043</v>
      </c>
      <c r="T204" t="s">
        <v>3043</v>
      </c>
      <c r="U204">
        <v>2400</v>
      </c>
      <c r="W204">
        <f>IF(R204="A",U204*Q204,IF((R204="F"),(V204*Q204),0))</f>
        <v>0</v>
      </c>
      <c r="X204">
        <v>5</v>
      </c>
      <c r="Y204" t="s">
        <v>1254</v>
      </c>
      <c r="AA204" t="s">
        <v>589</v>
      </c>
      <c r="AB204">
        <v>100</v>
      </c>
      <c r="AC204">
        <f t="shared" si="39"/>
        <v>0</v>
      </c>
      <c r="AD204">
        <v>200</v>
      </c>
      <c r="AF204">
        <f t="shared" si="43"/>
        <v>0</v>
      </c>
    </row>
    <row r="205" spans="16:32" ht="5.0999999999999996" customHeight="1">
      <c r="P205" t="s">
        <v>530</v>
      </c>
      <c r="R205" t="s">
        <v>589</v>
      </c>
      <c r="S205" t="s">
        <v>3043</v>
      </c>
      <c r="T205" t="s">
        <v>3043</v>
      </c>
      <c r="U205">
        <v>9100</v>
      </c>
      <c r="W205">
        <f>IF(R205="A",U205*Q205,IF((R205="F"),(V205*Q205),0))</f>
        <v>0</v>
      </c>
      <c r="X205">
        <v>6</v>
      </c>
    </row>
    <row r="206" spans="16:32" ht="5.0999999999999996" customHeight="1">
      <c r="P206" t="s">
        <v>531</v>
      </c>
      <c r="R206" t="s">
        <v>589</v>
      </c>
      <c r="S206" t="s">
        <v>3043</v>
      </c>
      <c r="T206" t="s">
        <v>3043</v>
      </c>
      <c r="U206">
        <v>8500</v>
      </c>
      <c r="W206">
        <f>IF(R206="A",U206*Q206,IF((R206="F"),(V206*Q206),0))</f>
        <v>0</v>
      </c>
      <c r="AB206" t="s">
        <v>2880</v>
      </c>
      <c r="AD206" t="s">
        <v>2881</v>
      </c>
      <c r="AE206" t="s">
        <v>2882</v>
      </c>
    </row>
    <row r="207" spans="16:32" ht="5.0999999999999996" customHeight="1">
      <c r="P207" t="s">
        <v>532</v>
      </c>
      <c r="R207" t="s">
        <v>589</v>
      </c>
      <c r="S207" t="s">
        <v>3043</v>
      </c>
      <c r="T207" t="s">
        <v>3043</v>
      </c>
      <c r="U207">
        <v>15000</v>
      </c>
      <c r="W207">
        <f>IF(R207="A",U207*Q207,IF((R207="F"),(V207*Q207),0))</f>
        <v>0</v>
      </c>
      <c r="X207">
        <v>1</v>
      </c>
      <c r="Y207" t="s">
        <v>2818</v>
      </c>
      <c r="AA207" t="s">
        <v>589</v>
      </c>
      <c r="AB207">
        <v>0</v>
      </c>
      <c r="AC207">
        <f t="shared" ref="AC207:AC234" si="44">AB207*Z207</f>
        <v>0</v>
      </c>
      <c r="AD207">
        <v>1.25</v>
      </c>
      <c r="AF207">
        <f t="shared" ref="AF207:AF234" si="45">IF(AA207="A",AD207*Z207,IF((AA207="F"),(AE207*Z207),0))</f>
        <v>0</v>
      </c>
    </row>
    <row r="208" spans="16:32" ht="5.0999999999999996" customHeight="1">
      <c r="X208">
        <v>2</v>
      </c>
      <c r="Y208" t="s">
        <v>2884</v>
      </c>
      <c r="AA208" t="s">
        <v>589</v>
      </c>
      <c r="AB208">
        <v>1</v>
      </c>
      <c r="AC208">
        <f t="shared" si="44"/>
        <v>0</v>
      </c>
      <c r="AD208">
        <v>2</v>
      </c>
      <c r="AF208">
        <f t="shared" si="45"/>
        <v>0</v>
      </c>
    </row>
    <row r="209" spans="16:32" ht="5.0999999999999996" customHeight="1">
      <c r="P209" t="s">
        <v>188</v>
      </c>
      <c r="X209">
        <v>3</v>
      </c>
      <c r="Y209" t="s">
        <v>544</v>
      </c>
      <c r="AA209" t="s">
        <v>589</v>
      </c>
      <c r="AC209">
        <f t="shared" si="44"/>
        <v>0</v>
      </c>
      <c r="AD209">
        <v>0.5</v>
      </c>
      <c r="AF209">
        <f t="shared" si="45"/>
        <v>0</v>
      </c>
    </row>
    <row r="210" spans="16:32" ht="5.0999999999999996" customHeight="1">
      <c r="P210" t="s">
        <v>4925</v>
      </c>
      <c r="R210" t="s">
        <v>589</v>
      </c>
      <c r="S210">
        <v>65</v>
      </c>
      <c r="T210">
        <f t="shared" ref="T210:T241" si="46">S210*Q210</f>
        <v>0</v>
      </c>
      <c r="U210">
        <v>40</v>
      </c>
      <c r="W210">
        <f t="shared" ref="W210:W241" si="47">IF(R210="A",U210*Q210,IF((R210="F"),(V210*Q210),0))</f>
        <v>0</v>
      </c>
      <c r="X210">
        <v>4</v>
      </c>
      <c r="Y210" t="s">
        <v>813</v>
      </c>
      <c r="AA210" t="s">
        <v>589</v>
      </c>
      <c r="AB210">
        <v>5</v>
      </c>
      <c r="AC210">
        <f t="shared" si="44"/>
        <v>0</v>
      </c>
      <c r="AD210">
        <v>1.4</v>
      </c>
      <c r="AF210">
        <f t="shared" si="45"/>
        <v>0</v>
      </c>
    </row>
    <row r="211" spans="16:32" ht="5.0999999999999996" customHeight="1">
      <c r="P211" t="s">
        <v>4926</v>
      </c>
      <c r="R211" t="s">
        <v>589</v>
      </c>
      <c r="S211">
        <v>120</v>
      </c>
      <c r="T211">
        <f t="shared" si="46"/>
        <v>0</v>
      </c>
      <c r="U211">
        <v>72</v>
      </c>
      <c r="W211">
        <f t="shared" si="47"/>
        <v>0</v>
      </c>
      <c r="X211">
        <v>5</v>
      </c>
      <c r="Y211" t="s">
        <v>4192</v>
      </c>
      <c r="AA211" t="s">
        <v>589</v>
      </c>
      <c r="AC211">
        <f t="shared" si="44"/>
        <v>0</v>
      </c>
      <c r="AD211">
        <v>2.5</v>
      </c>
      <c r="AF211">
        <f t="shared" si="45"/>
        <v>0</v>
      </c>
    </row>
    <row r="212" spans="16:32" ht="5.0999999999999996" customHeight="1">
      <c r="P212" t="s">
        <v>4927</v>
      </c>
      <c r="R212" t="s">
        <v>589</v>
      </c>
      <c r="S212">
        <v>30</v>
      </c>
      <c r="T212">
        <f t="shared" si="46"/>
        <v>0</v>
      </c>
      <c r="U212">
        <v>24</v>
      </c>
      <c r="W212">
        <f t="shared" si="47"/>
        <v>0</v>
      </c>
      <c r="X212">
        <v>6</v>
      </c>
      <c r="Y212" t="s">
        <v>545</v>
      </c>
      <c r="AA212" t="s">
        <v>589</v>
      </c>
      <c r="AB212">
        <v>9</v>
      </c>
      <c r="AC212">
        <f t="shared" si="44"/>
        <v>0</v>
      </c>
      <c r="AD212">
        <v>3.2</v>
      </c>
      <c r="AF212">
        <f t="shared" si="45"/>
        <v>0</v>
      </c>
    </row>
    <row r="213" spans="16:32" ht="5.0999999999999996" customHeight="1">
      <c r="P213" t="s">
        <v>4928</v>
      </c>
      <c r="R213" t="s">
        <v>589</v>
      </c>
      <c r="S213">
        <v>60</v>
      </c>
      <c r="T213">
        <f t="shared" si="46"/>
        <v>0</v>
      </c>
      <c r="U213">
        <v>10</v>
      </c>
      <c r="W213">
        <f t="shared" si="47"/>
        <v>0</v>
      </c>
      <c r="X213">
        <v>7</v>
      </c>
      <c r="Y213" t="s">
        <v>2874</v>
      </c>
      <c r="AA213" t="s">
        <v>589</v>
      </c>
      <c r="AB213">
        <v>0.25</v>
      </c>
      <c r="AC213">
        <f t="shared" si="44"/>
        <v>0</v>
      </c>
      <c r="AD213">
        <v>15</v>
      </c>
      <c r="AF213">
        <f t="shared" si="45"/>
        <v>0</v>
      </c>
    </row>
    <row r="214" spans="16:32" ht="5.0999999999999996" customHeight="1">
      <c r="P214" t="s">
        <v>4929</v>
      </c>
      <c r="R214" t="s">
        <v>589</v>
      </c>
      <c r="S214">
        <v>12</v>
      </c>
      <c r="T214">
        <f t="shared" si="46"/>
        <v>0</v>
      </c>
      <c r="U214">
        <v>12</v>
      </c>
      <c r="W214">
        <f t="shared" si="47"/>
        <v>0</v>
      </c>
      <c r="X214">
        <v>8</v>
      </c>
      <c r="Y214" t="s">
        <v>2875</v>
      </c>
      <c r="AA214" t="s">
        <v>589</v>
      </c>
      <c r="AB214">
        <v>0</v>
      </c>
      <c r="AC214">
        <f t="shared" si="44"/>
        <v>0</v>
      </c>
      <c r="AD214">
        <v>10</v>
      </c>
      <c r="AF214">
        <f t="shared" si="45"/>
        <v>0</v>
      </c>
    </row>
    <row r="215" spans="16:32" ht="5.0999999999999996" customHeight="1">
      <c r="P215" t="s">
        <v>4930</v>
      </c>
      <c r="R215" t="s">
        <v>589</v>
      </c>
      <c r="S215">
        <v>4</v>
      </c>
      <c r="T215">
        <f t="shared" si="46"/>
        <v>0</v>
      </c>
      <c r="U215">
        <v>7</v>
      </c>
      <c r="W215">
        <f t="shared" si="47"/>
        <v>0</v>
      </c>
      <c r="X215">
        <v>9</v>
      </c>
      <c r="Y215" t="s">
        <v>2785</v>
      </c>
      <c r="AA215" t="s">
        <v>589</v>
      </c>
      <c r="AB215">
        <v>1</v>
      </c>
      <c r="AC215">
        <f t="shared" si="44"/>
        <v>0</v>
      </c>
      <c r="AD215">
        <v>5</v>
      </c>
      <c r="AF215">
        <f t="shared" si="45"/>
        <v>0</v>
      </c>
    </row>
    <row r="216" spans="16:32" ht="5.0999999999999996" customHeight="1" collapsed="1">
      <c r="P216" t="s">
        <v>4931</v>
      </c>
      <c r="R216" t="s">
        <v>589</v>
      </c>
      <c r="S216">
        <v>27</v>
      </c>
      <c r="T216">
        <f t="shared" si="46"/>
        <v>0</v>
      </c>
      <c r="U216">
        <f>$S$216*450</f>
        <v>12150</v>
      </c>
      <c r="W216">
        <f t="shared" si="47"/>
        <v>0</v>
      </c>
      <c r="X216">
        <v>10</v>
      </c>
      <c r="Y216" t="s">
        <v>2883</v>
      </c>
      <c r="AA216" t="s">
        <v>589</v>
      </c>
      <c r="AB216">
        <v>7</v>
      </c>
      <c r="AC216">
        <f t="shared" si="44"/>
        <v>0</v>
      </c>
      <c r="AD216">
        <v>2.8</v>
      </c>
      <c r="AF216">
        <f t="shared" si="45"/>
        <v>0</v>
      </c>
    </row>
    <row r="217" spans="16:32" ht="5.0999999999999996" customHeight="1">
      <c r="P217" t="s">
        <v>2943</v>
      </c>
      <c r="R217" t="s">
        <v>589</v>
      </c>
      <c r="S217">
        <v>12</v>
      </c>
      <c r="T217">
        <f t="shared" si="46"/>
        <v>0</v>
      </c>
      <c r="U217">
        <f>$S$218*450</f>
        <v>8100</v>
      </c>
      <c r="W217">
        <f t="shared" si="47"/>
        <v>0</v>
      </c>
      <c r="X217">
        <v>11</v>
      </c>
      <c r="Y217" t="s">
        <v>206</v>
      </c>
      <c r="AA217" t="s">
        <v>589</v>
      </c>
      <c r="AB217">
        <v>0</v>
      </c>
      <c r="AC217">
        <f t="shared" si="44"/>
        <v>0</v>
      </c>
      <c r="AD217">
        <v>0.5</v>
      </c>
      <c r="AF217">
        <f t="shared" si="45"/>
        <v>0</v>
      </c>
    </row>
    <row r="218" spans="16:32" ht="5.0999999999999996" customHeight="1">
      <c r="P218" t="s">
        <v>4932</v>
      </c>
      <c r="R218" t="s">
        <v>589</v>
      </c>
      <c r="S218">
        <v>18</v>
      </c>
      <c r="T218">
        <f t="shared" si="46"/>
        <v>0</v>
      </c>
      <c r="U218">
        <f>$S$217*450</f>
        <v>5400</v>
      </c>
      <c r="W218">
        <f t="shared" si="47"/>
        <v>0</v>
      </c>
      <c r="X218">
        <v>12</v>
      </c>
      <c r="Y218" t="s">
        <v>3092</v>
      </c>
      <c r="AA218" t="s">
        <v>589</v>
      </c>
      <c r="AB218">
        <v>0</v>
      </c>
      <c r="AC218">
        <f t="shared" si="44"/>
        <v>0</v>
      </c>
      <c r="AD218">
        <v>1</v>
      </c>
      <c r="AF218">
        <f t="shared" si="45"/>
        <v>0</v>
      </c>
    </row>
    <row r="219" spans="16:32" ht="5.0999999999999996" customHeight="1">
      <c r="P219" t="s">
        <v>2145</v>
      </c>
      <c r="R219" t="s">
        <v>589</v>
      </c>
      <c r="S219">
        <v>27</v>
      </c>
      <c r="T219">
        <f t="shared" si="46"/>
        <v>0</v>
      </c>
      <c r="U219">
        <f>$S$216*30</f>
        <v>810</v>
      </c>
      <c r="W219">
        <f t="shared" si="47"/>
        <v>0</v>
      </c>
      <c r="X219">
        <v>13</v>
      </c>
      <c r="Y219" t="s">
        <v>207</v>
      </c>
      <c r="AA219" t="s">
        <v>589</v>
      </c>
      <c r="AB219">
        <v>0</v>
      </c>
      <c r="AC219">
        <f t="shared" si="44"/>
        <v>0</v>
      </c>
      <c r="AD219">
        <v>1.5</v>
      </c>
      <c r="AF219">
        <f t="shared" si="45"/>
        <v>0</v>
      </c>
    </row>
    <row r="220" spans="16:32" ht="5.0999999999999996" customHeight="1">
      <c r="P220" t="s">
        <v>2944</v>
      </c>
      <c r="R220" t="s">
        <v>589</v>
      </c>
      <c r="S220">
        <v>12</v>
      </c>
      <c r="T220">
        <f t="shared" si="46"/>
        <v>0</v>
      </c>
      <c r="U220">
        <f>$S$218*30</f>
        <v>540</v>
      </c>
      <c r="W220">
        <f t="shared" si="47"/>
        <v>0</v>
      </c>
      <c r="X220">
        <v>14</v>
      </c>
      <c r="Y220" t="s">
        <v>4193</v>
      </c>
      <c r="AA220" t="s">
        <v>589</v>
      </c>
      <c r="AC220">
        <f t="shared" si="44"/>
        <v>0</v>
      </c>
      <c r="AD220">
        <v>1</v>
      </c>
      <c r="AF220">
        <f t="shared" si="45"/>
        <v>0</v>
      </c>
    </row>
    <row r="221" spans="16:32" ht="5.0999999999999996" customHeight="1">
      <c r="P221" t="s">
        <v>2146</v>
      </c>
      <c r="R221" t="s">
        <v>589</v>
      </c>
      <c r="S221">
        <v>18</v>
      </c>
      <c r="T221">
        <f t="shared" si="46"/>
        <v>0</v>
      </c>
      <c r="U221">
        <f>$S$217*30</f>
        <v>360</v>
      </c>
      <c r="W221">
        <f t="shared" si="47"/>
        <v>0</v>
      </c>
      <c r="X221">
        <v>15</v>
      </c>
      <c r="Y221" t="s">
        <v>1641</v>
      </c>
      <c r="AA221" t="s">
        <v>589</v>
      </c>
      <c r="AB221">
        <v>1</v>
      </c>
      <c r="AC221">
        <f t="shared" si="44"/>
        <v>0</v>
      </c>
      <c r="AD221">
        <v>20</v>
      </c>
      <c r="AF221">
        <f t="shared" si="45"/>
        <v>0</v>
      </c>
    </row>
    <row r="222" spans="16:32" ht="5.0999999999999996" customHeight="1">
      <c r="P222" t="s">
        <v>2147</v>
      </c>
      <c r="R222" t="s">
        <v>589</v>
      </c>
      <c r="S222">
        <v>27</v>
      </c>
      <c r="T222">
        <f t="shared" si="46"/>
        <v>0</v>
      </c>
      <c r="U222">
        <f>$S$216*200</f>
        <v>5400</v>
      </c>
      <c r="W222">
        <f t="shared" si="47"/>
        <v>0</v>
      </c>
      <c r="X222">
        <v>16</v>
      </c>
      <c r="Y222" t="s">
        <v>2886</v>
      </c>
      <c r="AA222" t="s">
        <v>589</v>
      </c>
      <c r="AB222">
        <v>5</v>
      </c>
      <c r="AC222">
        <f t="shared" si="44"/>
        <v>0</v>
      </c>
      <c r="AD222">
        <v>1.9</v>
      </c>
      <c r="AF222">
        <f t="shared" si="45"/>
        <v>0</v>
      </c>
    </row>
    <row r="223" spans="16:32" ht="5.0999999999999996" customHeight="1">
      <c r="P223" t="s">
        <v>2945</v>
      </c>
      <c r="R223" t="s">
        <v>589</v>
      </c>
      <c r="S223">
        <v>12</v>
      </c>
      <c r="T223">
        <f t="shared" si="46"/>
        <v>0</v>
      </c>
      <c r="U223">
        <f>$S$218*200</f>
        <v>3600</v>
      </c>
      <c r="W223">
        <f t="shared" si="47"/>
        <v>0</v>
      </c>
      <c r="X223">
        <v>17</v>
      </c>
      <c r="Y223" t="s">
        <v>2879</v>
      </c>
      <c r="AA223" t="s">
        <v>589</v>
      </c>
      <c r="AB223">
        <v>5</v>
      </c>
      <c r="AC223">
        <f t="shared" si="44"/>
        <v>0</v>
      </c>
      <c r="AD223">
        <v>0.96</v>
      </c>
      <c r="AE223">
        <f>AD223*3</f>
        <v>2.88</v>
      </c>
      <c r="AF223">
        <f t="shared" si="45"/>
        <v>0</v>
      </c>
    </row>
    <row r="224" spans="16:32" ht="5.0999999999999996" customHeight="1">
      <c r="P224" t="s">
        <v>2148</v>
      </c>
      <c r="R224" t="s">
        <v>589</v>
      </c>
      <c r="S224">
        <v>18</v>
      </c>
      <c r="T224">
        <f t="shared" si="46"/>
        <v>0</v>
      </c>
      <c r="U224">
        <f>$S$217*200</f>
        <v>2400</v>
      </c>
      <c r="W224">
        <f t="shared" si="47"/>
        <v>0</v>
      </c>
      <c r="X224">
        <v>18</v>
      </c>
      <c r="Y224" t="s">
        <v>4725</v>
      </c>
      <c r="AA224" t="s">
        <v>589</v>
      </c>
      <c r="AB224">
        <v>1</v>
      </c>
      <c r="AC224">
        <f t="shared" si="44"/>
        <v>0</v>
      </c>
      <c r="AD224">
        <v>1</v>
      </c>
      <c r="AF224">
        <f t="shared" si="45"/>
        <v>0</v>
      </c>
    </row>
    <row r="225" spans="16:32" ht="5.0999999999999996" customHeight="1">
      <c r="P225" t="s">
        <v>2149</v>
      </c>
      <c r="R225" t="s">
        <v>589</v>
      </c>
      <c r="S225">
        <v>27</v>
      </c>
      <c r="T225">
        <f t="shared" si="46"/>
        <v>0</v>
      </c>
      <c r="U225">
        <v>24</v>
      </c>
      <c r="W225">
        <f t="shared" si="47"/>
        <v>0</v>
      </c>
      <c r="X225">
        <v>19</v>
      </c>
      <c r="Y225" t="s">
        <v>2876</v>
      </c>
      <c r="AA225" t="s">
        <v>589</v>
      </c>
      <c r="AB225">
        <v>1</v>
      </c>
      <c r="AC225">
        <f t="shared" si="44"/>
        <v>0</v>
      </c>
      <c r="AD225">
        <v>1</v>
      </c>
      <c r="AF225">
        <f t="shared" si="45"/>
        <v>0</v>
      </c>
    </row>
    <row r="226" spans="16:32" ht="5.0999999999999996" customHeight="1">
      <c r="P226" t="s">
        <v>2946</v>
      </c>
      <c r="R226" t="s">
        <v>589</v>
      </c>
      <c r="S226">
        <v>12</v>
      </c>
      <c r="T226">
        <f t="shared" si="46"/>
        <v>0</v>
      </c>
      <c r="U226">
        <v>7</v>
      </c>
      <c r="W226">
        <f t="shared" si="47"/>
        <v>0</v>
      </c>
      <c r="X226">
        <v>20</v>
      </c>
      <c r="Y226" t="s">
        <v>2887</v>
      </c>
      <c r="AA226" t="s">
        <v>589</v>
      </c>
      <c r="AB226">
        <v>6</v>
      </c>
      <c r="AC226">
        <f t="shared" si="44"/>
        <v>0</v>
      </c>
      <c r="AD226">
        <v>2.2000000000000002</v>
      </c>
      <c r="AF226">
        <f t="shared" si="45"/>
        <v>0</v>
      </c>
    </row>
    <row r="227" spans="16:32" ht="5.0999999999999996" customHeight="1">
      <c r="P227" t="s">
        <v>2150</v>
      </c>
      <c r="R227" t="s">
        <v>589</v>
      </c>
      <c r="S227">
        <v>18</v>
      </c>
      <c r="T227">
        <f t="shared" si="46"/>
        <v>0</v>
      </c>
      <c r="U227">
        <v>12</v>
      </c>
      <c r="W227">
        <f t="shared" si="47"/>
        <v>0</v>
      </c>
      <c r="X227">
        <v>21</v>
      </c>
      <c r="Y227" t="s">
        <v>1640</v>
      </c>
      <c r="AA227" t="s">
        <v>589</v>
      </c>
      <c r="AB227">
        <v>1</v>
      </c>
      <c r="AC227">
        <f t="shared" si="44"/>
        <v>0</v>
      </c>
      <c r="AD227">
        <v>1</v>
      </c>
      <c r="AF227">
        <f t="shared" si="45"/>
        <v>0</v>
      </c>
    </row>
    <row r="228" spans="16:32" ht="5.0999999999999996" customHeight="1">
      <c r="P228" t="s">
        <v>2151</v>
      </c>
      <c r="R228" t="s">
        <v>589</v>
      </c>
      <c r="S228">
        <v>27</v>
      </c>
      <c r="T228">
        <f t="shared" si="46"/>
        <v>0</v>
      </c>
      <c r="U228">
        <f>$S$216*60</f>
        <v>1620</v>
      </c>
      <c r="W228">
        <f t="shared" si="47"/>
        <v>0</v>
      </c>
      <c r="X228">
        <v>22</v>
      </c>
      <c r="Y228" t="s">
        <v>3934</v>
      </c>
      <c r="AA228" t="s">
        <v>589</v>
      </c>
      <c r="AB228">
        <v>1</v>
      </c>
      <c r="AC228">
        <f t="shared" si="44"/>
        <v>0</v>
      </c>
      <c r="AD228">
        <v>1</v>
      </c>
      <c r="AF228">
        <f t="shared" si="45"/>
        <v>0</v>
      </c>
    </row>
    <row r="229" spans="16:32" ht="5.0999999999999996" customHeight="1">
      <c r="P229" t="s">
        <v>2398</v>
      </c>
      <c r="R229" t="s">
        <v>589</v>
      </c>
      <c r="S229">
        <v>12</v>
      </c>
      <c r="T229">
        <f t="shared" si="46"/>
        <v>0</v>
      </c>
      <c r="U229">
        <f>$S$218*60</f>
        <v>1080</v>
      </c>
      <c r="W229">
        <f t="shared" si="47"/>
        <v>0</v>
      </c>
      <c r="X229">
        <v>23</v>
      </c>
      <c r="Y229" t="s">
        <v>542</v>
      </c>
      <c r="AA229" t="s">
        <v>589</v>
      </c>
      <c r="AB229">
        <v>5</v>
      </c>
      <c r="AC229">
        <f t="shared" si="44"/>
        <v>0</v>
      </c>
      <c r="AD229">
        <v>0.18</v>
      </c>
      <c r="AE229">
        <f>AD229*3</f>
        <v>0.54</v>
      </c>
      <c r="AF229">
        <f t="shared" si="45"/>
        <v>0</v>
      </c>
    </row>
    <row r="230" spans="16:32" ht="5.0999999999999996" customHeight="1">
      <c r="P230" t="s">
        <v>2152</v>
      </c>
      <c r="R230" t="s">
        <v>589</v>
      </c>
      <c r="S230">
        <v>18</v>
      </c>
      <c r="T230">
        <f t="shared" si="46"/>
        <v>0</v>
      </c>
      <c r="U230">
        <f>$S$217*60</f>
        <v>720</v>
      </c>
      <c r="W230">
        <f t="shared" si="47"/>
        <v>0</v>
      </c>
      <c r="X230">
        <v>24</v>
      </c>
      <c r="Y230" t="s">
        <v>543</v>
      </c>
      <c r="AA230" t="s">
        <v>589</v>
      </c>
      <c r="AB230">
        <v>0.25</v>
      </c>
      <c r="AC230">
        <f t="shared" si="44"/>
        <v>0</v>
      </c>
      <c r="AD230">
        <v>14</v>
      </c>
      <c r="AF230">
        <f t="shared" si="45"/>
        <v>0</v>
      </c>
    </row>
    <row r="231" spans="16:32" ht="5.0999999999999996" customHeight="1">
      <c r="P231" t="s">
        <v>2153</v>
      </c>
      <c r="R231" t="s">
        <v>589</v>
      </c>
      <c r="S231">
        <v>27</v>
      </c>
      <c r="T231">
        <f t="shared" si="46"/>
        <v>0</v>
      </c>
      <c r="U231">
        <f>$S$216*300</f>
        <v>8100</v>
      </c>
      <c r="W231">
        <f t="shared" si="47"/>
        <v>0</v>
      </c>
      <c r="X231">
        <v>25</v>
      </c>
      <c r="Y231" t="s">
        <v>1645</v>
      </c>
      <c r="AA231" t="s">
        <v>589</v>
      </c>
      <c r="AB231">
        <v>6.25E-2</v>
      </c>
      <c r="AC231">
        <f t="shared" si="44"/>
        <v>0</v>
      </c>
      <c r="AD231">
        <v>1</v>
      </c>
      <c r="AF231">
        <f t="shared" si="45"/>
        <v>0</v>
      </c>
    </row>
    <row r="232" spans="16:32" ht="5.0999999999999996" customHeight="1">
      <c r="P232" t="s">
        <v>4969</v>
      </c>
      <c r="R232" t="s">
        <v>589</v>
      </c>
      <c r="S232">
        <v>12</v>
      </c>
      <c r="T232">
        <f t="shared" si="46"/>
        <v>0</v>
      </c>
      <c r="U232">
        <f>$S$218*300</f>
        <v>5400</v>
      </c>
      <c r="W232">
        <f t="shared" si="47"/>
        <v>0</v>
      </c>
      <c r="X232">
        <v>26</v>
      </c>
      <c r="Y232" t="s">
        <v>2885</v>
      </c>
      <c r="AA232" t="s">
        <v>589</v>
      </c>
      <c r="AB232">
        <v>6.25E-2</v>
      </c>
      <c r="AC232">
        <f t="shared" si="44"/>
        <v>0</v>
      </c>
      <c r="AD232">
        <v>2</v>
      </c>
      <c r="AF232">
        <f t="shared" si="45"/>
        <v>0</v>
      </c>
    </row>
    <row r="233" spans="16:32" ht="5.0999999999999996" customHeight="1">
      <c r="P233" t="s">
        <v>2154</v>
      </c>
      <c r="R233" t="s">
        <v>589</v>
      </c>
      <c r="S233">
        <v>18</v>
      </c>
      <c r="T233">
        <f t="shared" si="46"/>
        <v>0</v>
      </c>
      <c r="U233">
        <f>$S$217*300</f>
        <v>3600</v>
      </c>
      <c r="W233">
        <f t="shared" si="47"/>
        <v>0</v>
      </c>
      <c r="X233">
        <v>27</v>
      </c>
      <c r="Y233" t="s">
        <v>608</v>
      </c>
      <c r="AA233" t="s">
        <v>589</v>
      </c>
      <c r="AB233">
        <v>0.5</v>
      </c>
      <c r="AC233">
        <f t="shared" si="44"/>
        <v>0</v>
      </c>
      <c r="AD233">
        <v>0.06</v>
      </c>
      <c r="AF233">
        <f t="shared" si="45"/>
        <v>0</v>
      </c>
    </row>
    <row r="234" spans="16:32" ht="5.0999999999999996" customHeight="1">
      <c r="P234" t="s">
        <v>842</v>
      </c>
      <c r="R234" t="s">
        <v>589</v>
      </c>
      <c r="S234">
        <v>6</v>
      </c>
      <c r="T234">
        <f t="shared" si="46"/>
        <v>0</v>
      </c>
      <c r="U234">
        <f>$S$219*450</f>
        <v>12150</v>
      </c>
      <c r="W234">
        <f t="shared" si="47"/>
        <v>0</v>
      </c>
      <c r="X234">
        <v>28</v>
      </c>
      <c r="Y234" t="s">
        <v>2878</v>
      </c>
      <c r="AA234" t="s">
        <v>589</v>
      </c>
      <c r="AB234">
        <v>6</v>
      </c>
      <c r="AC234">
        <f t="shared" si="44"/>
        <v>0</v>
      </c>
      <c r="AD234">
        <v>2</v>
      </c>
      <c r="AF234">
        <f t="shared" si="45"/>
        <v>0</v>
      </c>
    </row>
    <row r="235" spans="16:32" ht="5.0999999999999996" customHeight="1">
      <c r="P235" t="s">
        <v>843</v>
      </c>
      <c r="R235" t="s">
        <v>589</v>
      </c>
      <c r="S235">
        <v>6</v>
      </c>
      <c r="T235">
        <f t="shared" si="46"/>
        <v>0</v>
      </c>
      <c r="U235">
        <f>$S$219*30</f>
        <v>810</v>
      </c>
      <c r="W235">
        <f t="shared" si="47"/>
        <v>0</v>
      </c>
      <c r="X235">
        <v>29</v>
      </c>
    </row>
    <row r="236" spans="16:32" ht="5.0999999999999996" customHeight="1">
      <c r="P236" t="s">
        <v>5300</v>
      </c>
      <c r="R236" t="s">
        <v>589</v>
      </c>
      <c r="S236">
        <v>6</v>
      </c>
      <c r="T236">
        <f t="shared" si="46"/>
        <v>0</v>
      </c>
      <c r="U236">
        <f>$S$219*200</f>
        <v>5400</v>
      </c>
      <c r="W236">
        <f t="shared" si="47"/>
        <v>0</v>
      </c>
      <c r="X236">
        <v>1</v>
      </c>
      <c r="Y236" t="s">
        <v>546</v>
      </c>
      <c r="AA236" t="s">
        <v>589</v>
      </c>
      <c r="AB236">
        <v>5</v>
      </c>
      <c r="AC236">
        <f t="shared" ref="AC236:AC249" si="48">AB236*Z236</f>
        <v>0</v>
      </c>
      <c r="AD236">
        <v>4.8</v>
      </c>
      <c r="AF236">
        <f t="shared" ref="AF236:AF249" si="49">IF(AA236="A",AD236*Z236,IF((AA236="F"),(AE236*Z236),0))</f>
        <v>0</v>
      </c>
    </row>
    <row r="237" spans="16:32" ht="5.0999999999999996" customHeight="1">
      <c r="P237" t="s">
        <v>5301</v>
      </c>
      <c r="R237" t="s">
        <v>589</v>
      </c>
      <c r="S237">
        <v>6</v>
      </c>
      <c r="T237">
        <f t="shared" si="46"/>
        <v>0</v>
      </c>
      <c r="U237">
        <v>3</v>
      </c>
      <c r="W237">
        <f t="shared" si="47"/>
        <v>0</v>
      </c>
      <c r="X237">
        <v>2</v>
      </c>
      <c r="Y237" t="s">
        <v>547</v>
      </c>
      <c r="AA237" t="s">
        <v>589</v>
      </c>
      <c r="AB237">
        <v>5</v>
      </c>
      <c r="AC237">
        <f t="shared" si="48"/>
        <v>0</v>
      </c>
      <c r="AD237">
        <v>2.4</v>
      </c>
      <c r="AF237">
        <f t="shared" si="49"/>
        <v>0</v>
      </c>
    </row>
    <row r="238" spans="16:32" ht="5.0999999999999996" customHeight="1">
      <c r="P238" t="s">
        <v>5302</v>
      </c>
      <c r="R238" t="s">
        <v>589</v>
      </c>
      <c r="S238">
        <v>6</v>
      </c>
      <c r="T238">
        <f t="shared" si="46"/>
        <v>0</v>
      </c>
      <c r="U238">
        <f>$S$219*60</f>
        <v>1620</v>
      </c>
      <c r="W238">
        <f t="shared" si="47"/>
        <v>0</v>
      </c>
      <c r="X238">
        <v>3</v>
      </c>
      <c r="Y238" t="s">
        <v>548</v>
      </c>
      <c r="AA238" t="s">
        <v>589</v>
      </c>
      <c r="AB238">
        <v>2</v>
      </c>
      <c r="AC238">
        <f t="shared" si="48"/>
        <v>0</v>
      </c>
      <c r="AD238">
        <v>0.72</v>
      </c>
      <c r="AF238">
        <f t="shared" si="49"/>
        <v>0</v>
      </c>
    </row>
    <row r="239" spans="16:32" ht="5.0999999999999996" customHeight="1">
      <c r="P239" t="s">
        <v>5303</v>
      </c>
      <c r="R239" t="s">
        <v>589</v>
      </c>
      <c r="S239">
        <v>6</v>
      </c>
      <c r="T239">
        <f t="shared" si="46"/>
        <v>0</v>
      </c>
      <c r="U239">
        <f>$S$219*300</f>
        <v>8100</v>
      </c>
      <c r="W239">
        <f t="shared" si="47"/>
        <v>0</v>
      </c>
      <c r="X239">
        <v>4</v>
      </c>
      <c r="Y239" t="s">
        <v>549</v>
      </c>
      <c r="AA239" t="s">
        <v>589</v>
      </c>
      <c r="AB239">
        <v>1</v>
      </c>
      <c r="AC239">
        <f t="shared" si="48"/>
        <v>0</v>
      </c>
      <c r="AD239">
        <v>0.5</v>
      </c>
      <c r="AF239">
        <f t="shared" si="49"/>
        <v>0</v>
      </c>
    </row>
    <row r="240" spans="16:32" ht="5.0999999999999996" customHeight="1">
      <c r="P240" t="s">
        <v>315</v>
      </c>
      <c r="R240" t="s">
        <v>589</v>
      </c>
      <c r="S240">
        <v>2.5</v>
      </c>
      <c r="T240">
        <f t="shared" si="46"/>
        <v>0</v>
      </c>
      <c r="U240">
        <f>$S$221*450</f>
        <v>8100</v>
      </c>
      <c r="W240">
        <f t="shared" si="47"/>
        <v>0</v>
      </c>
      <c r="X240">
        <v>5</v>
      </c>
      <c r="Y240" t="s">
        <v>5102</v>
      </c>
      <c r="AA240" t="s">
        <v>589</v>
      </c>
      <c r="AB240">
        <v>1</v>
      </c>
      <c r="AC240">
        <f t="shared" si="48"/>
        <v>0</v>
      </c>
      <c r="AD240">
        <v>2.5</v>
      </c>
      <c r="AF240">
        <f t="shared" si="49"/>
        <v>0</v>
      </c>
    </row>
    <row r="241" spans="16:32" ht="5.0999999999999996" customHeight="1">
      <c r="P241" t="s">
        <v>316</v>
      </c>
      <c r="R241" t="s">
        <v>589</v>
      </c>
      <c r="S241">
        <v>3.5</v>
      </c>
      <c r="T241">
        <f t="shared" si="46"/>
        <v>0</v>
      </c>
      <c r="U241">
        <f>$S$220*450</f>
        <v>5400</v>
      </c>
      <c r="W241">
        <f t="shared" si="47"/>
        <v>0</v>
      </c>
      <c r="X241">
        <v>6</v>
      </c>
      <c r="Y241" t="s">
        <v>3755</v>
      </c>
      <c r="AA241" t="s">
        <v>589</v>
      </c>
      <c r="AB241">
        <v>25</v>
      </c>
      <c r="AC241">
        <f t="shared" si="48"/>
        <v>0</v>
      </c>
      <c r="AD241">
        <v>0.08</v>
      </c>
      <c r="AF241">
        <f t="shared" si="49"/>
        <v>0</v>
      </c>
    </row>
    <row r="242" spans="16:32" ht="5.0999999999999996" customHeight="1">
      <c r="P242" t="s">
        <v>317</v>
      </c>
      <c r="R242" t="s">
        <v>589</v>
      </c>
      <c r="S242">
        <v>2.5</v>
      </c>
      <c r="T242">
        <f t="shared" ref="T242:T263" si="50">S242*Q242</f>
        <v>0</v>
      </c>
      <c r="U242">
        <f>$S$221*30</f>
        <v>540</v>
      </c>
      <c r="W242">
        <f t="shared" ref="W242:W263" si="51">IF(R242="A",U242*Q242,IF((R242="F"),(V242*Q242),0))</f>
        <v>0</v>
      </c>
      <c r="X242">
        <v>7</v>
      </c>
      <c r="Y242" t="s">
        <v>356</v>
      </c>
      <c r="AA242" t="s">
        <v>589</v>
      </c>
      <c r="AB242">
        <v>0.25</v>
      </c>
      <c r="AC242">
        <f t="shared" si="48"/>
        <v>0</v>
      </c>
      <c r="AD242">
        <v>1</v>
      </c>
      <c r="AF242">
        <f t="shared" si="49"/>
        <v>0</v>
      </c>
    </row>
    <row r="243" spans="16:32" ht="5.0999999999999996" customHeight="1">
      <c r="P243" t="s">
        <v>3989</v>
      </c>
      <c r="R243" t="s">
        <v>589</v>
      </c>
      <c r="S243">
        <v>3.5</v>
      </c>
      <c r="T243">
        <f t="shared" si="50"/>
        <v>0</v>
      </c>
      <c r="U243">
        <f>$S$220*30</f>
        <v>360</v>
      </c>
      <c r="W243">
        <f t="shared" si="51"/>
        <v>0</v>
      </c>
      <c r="X243">
        <v>8</v>
      </c>
      <c r="Y243" t="s">
        <v>2325</v>
      </c>
      <c r="AA243" t="s">
        <v>589</v>
      </c>
      <c r="AB243">
        <v>1</v>
      </c>
      <c r="AC243">
        <f t="shared" si="48"/>
        <v>0</v>
      </c>
      <c r="AD243">
        <v>1.5</v>
      </c>
      <c r="AF243">
        <f t="shared" si="49"/>
        <v>0</v>
      </c>
    </row>
    <row r="244" spans="16:32" ht="5.0999999999999996" customHeight="1">
      <c r="P244" t="s">
        <v>5432</v>
      </c>
      <c r="R244" t="s">
        <v>589</v>
      </c>
      <c r="S244">
        <v>2.5</v>
      </c>
      <c r="T244">
        <f t="shared" si="50"/>
        <v>0</v>
      </c>
      <c r="U244">
        <f>$S$221*200</f>
        <v>3600</v>
      </c>
      <c r="W244">
        <f t="shared" si="51"/>
        <v>0</v>
      </c>
      <c r="X244">
        <v>9</v>
      </c>
      <c r="Y244" t="s">
        <v>990</v>
      </c>
      <c r="AA244" t="s">
        <v>589</v>
      </c>
      <c r="AB244">
        <v>1</v>
      </c>
      <c r="AC244">
        <f t="shared" si="48"/>
        <v>0</v>
      </c>
      <c r="AD244">
        <v>5</v>
      </c>
      <c r="AF244">
        <f t="shared" si="49"/>
        <v>0</v>
      </c>
    </row>
    <row r="245" spans="16:32" ht="5.0999999999999996" customHeight="1">
      <c r="P245" t="s">
        <v>5433</v>
      </c>
      <c r="R245" t="s">
        <v>589</v>
      </c>
      <c r="S245">
        <v>3.5</v>
      </c>
      <c r="T245">
        <f t="shared" si="50"/>
        <v>0</v>
      </c>
      <c r="U245">
        <f>$S$220*200</f>
        <v>2400</v>
      </c>
      <c r="W245">
        <f t="shared" si="51"/>
        <v>0</v>
      </c>
      <c r="X245">
        <v>10</v>
      </c>
      <c r="Y245" t="s">
        <v>989</v>
      </c>
      <c r="AA245" t="s">
        <v>589</v>
      </c>
      <c r="AB245">
        <v>3</v>
      </c>
      <c r="AC245">
        <f t="shared" si="48"/>
        <v>0</v>
      </c>
      <c r="AD245">
        <v>24</v>
      </c>
      <c r="AF245">
        <f t="shared" si="49"/>
        <v>0</v>
      </c>
    </row>
    <row r="246" spans="16:32" ht="5.0999999999999996" customHeight="1">
      <c r="P246" t="s">
        <v>454</v>
      </c>
      <c r="R246" t="s">
        <v>589</v>
      </c>
      <c r="S246">
        <v>2.5</v>
      </c>
      <c r="T246">
        <f t="shared" si="50"/>
        <v>0</v>
      </c>
      <c r="U246">
        <v>1</v>
      </c>
      <c r="W246">
        <f t="shared" si="51"/>
        <v>0</v>
      </c>
      <c r="X246">
        <v>11</v>
      </c>
      <c r="Y246" t="s">
        <v>550</v>
      </c>
      <c r="AA246" t="s">
        <v>589</v>
      </c>
      <c r="AB246">
        <v>0.5</v>
      </c>
      <c r="AC246">
        <f t="shared" si="48"/>
        <v>0</v>
      </c>
      <c r="AD246">
        <v>4</v>
      </c>
      <c r="AF246">
        <f t="shared" si="49"/>
        <v>0</v>
      </c>
    </row>
    <row r="247" spans="16:32" ht="5.0999999999999996" customHeight="1">
      <c r="P247" t="s">
        <v>455</v>
      </c>
      <c r="R247" t="s">
        <v>589</v>
      </c>
      <c r="S247">
        <v>3.5</v>
      </c>
      <c r="T247">
        <f t="shared" si="50"/>
        <v>0</v>
      </c>
      <c r="U247">
        <v>2</v>
      </c>
      <c r="W247">
        <f t="shared" si="51"/>
        <v>0</v>
      </c>
      <c r="X247">
        <v>12</v>
      </c>
      <c r="Y247" t="s">
        <v>5101</v>
      </c>
      <c r="AA247" t="s">
        <v>589</v>
      </c>
      <c r="AB247">
        <v>1.5</v>
      </c>
      <c r="AC247">
        <f t="shared" si="48"/>
        <v>0</v>
      </c>
      <c r="AD247">
        <v>0.25</v>
      </c>
      <c r="AF247">
        <f t="shared" si="49"/>
        <v>0</v>
      </c>
    </row>
    <row r="248" spans="16:32" ht="5.0999999999999996" customHeight="1">
      <c r="P248" t="s">
        <v>2305</v>
      </c>
      <c r="R248" t="s">
        <v>589</v>
      </c>
      <c r="S248">
        <v>2.5</v>
      </c>
      <c r="T248">
        <f t="shared" si="50"/>
        <v>0</v>
      </c>
      <c r="U248">
        <f>$S$221*60</f>
        <v>1080</v>
      </c>
      <c r="W248">
        <f t="shared" si="51"/>
        <v>0</v>
      </c>
      <c r="X248">
        <v>13</v>
      </c>
      <c r="Y248" t="s">
        <v>2515</v>
      </c>
      <c r="AA248" t="s">
        <v>589</v>
      </c>
      <c r="AB248">
        <v>1</v>
      </c>
      <c r="AC248">
        <f t="shared" si="48"/>
        <v>0</v>
      </c>
      <c r="AD248">
        <v>0.25</v>
      </c>
      <c r="AF248">
        <f t="shared" si="49"/>
        <v>0</v>
      </c>
    </row>
    <row r="249" spans="16:32" ht="5.0999999999999996" customHeight="1">
      <c r="P249" t="s">
        <v>2306</v>
      </c>
      <c r="R249" t="s">
        <v>589</v>
      </c>
      <c r="S249">
        <v>3.5</v>
      </c>
      <c r="T249">
        <f t="shared" si="50"/>
        <v>0</v>
      </c>
      <c r="U249">
        <f>$S$220*60</f>
        <v>720</v>
      </c>
      <c r="W249">
        <f t="shared" si="51"/>
        <v>0</v>
      </c>
      <c r="X249">
        <v>14</v>
      </c>
      <c r="Y249" t="s">
        <v>536</v>
      </c>
      <c r="AA249" t="s">
        <v>589</v>
      </c>
      <c r="AB249">
        <v>1</v>
      </c>
      <c r="AC249">
        <f t="shared" si="48"/>
        <v>0</v>
      </c>
      <c r="AD249">
        <v>0.25</v>
      </c>
      <c r="AF249">
        <f t="shared" si="49"/>
        <v>0</v>
      </c>
    </row>
    <row r="250" spans="16:32" ht="5.0999999999999996" customHeight="1">
      <c r="P250" t="s">
        <v>2307</v>
      </c>
      <c r="R250" t="s">
        <v>589</v>
      </c>
      <c r="S250">
        <v>2.5</v>
      </c>
      <c r="T250">
        <f t="shared" si="50"/>
        <v>0</v>
      </c>
      <c r="U250">
        <f>$S$221*300</f>
        <v>5400</v>
      </c>
      <c r="W250">
        <f t="shared" si="51"/>
        <v>0</v>
      </c>
      <c r="X250">
        <v>15</v>
      </c>
    </row>
    <row r="251" spans="16:32" ht="5.0999999999999996" customHeight="1">
      <c r="P251" t="s">
        <v>2308</v>
      </c>
      <c r="R251" t="s">
        <v>589</v>
      </c>
      <c r="S251">
        <v>3.5</v>
      </c>
      <c r="T251">
        <f t="shared" si="50"/>
        <v>0</v>
      </c>
      <c r="U251">
        <f>$S$220*300</f>
        <v>3600</v>
      </c>
      <c r="W251">
        <f t="shared" si="51"/>
        <v>0</v>
      </c>
      <c r="X251">
        <v>1</v>
      </c>
      <c r="Y251" t="s">
        <v>1153</v>
      </c>
      <c r="AA251" t="s">
        <v>589</v>
      </c>
      <c r="AB251">
        <v>0.5</v>
      </c>
      <c r="AC251">
        <f t="shared" ref="AC251:AC260" si="52">AB251*Z251</f>
        <v>0</v>
      </c>
      <c r="AD251">
        <v>0.5</v>
      </c>
      <c r="AF251">
        <f t="shared" ref="AF251:AF260" si="53">IF(AA251="A",AD251*Z251,IF((AA251="F"),(AE251*Z251),0))</f>
        <v>0</v>
      </c>
    </row>
    <row r="252" spans="16:32" ht="5.0999999999999996" customHeight="1">
      <c r="P252" t="s">
        <v>535</v>
      </c>
      <c r="R252" t="s">
        <v>589</v>
      </c>
      <c r="S252">
        <v>0.125</v>
      </c>
      <c r="T252">
        <f t="shared" si="50"/>
        <v>0</v>
      </c>
      <c r="U252">
        <f>$S$223*450</f>
        <v>5400</v>
      </c>
      <c r="W252">
        <f t="shared" si="51"/>
        <v>0</v>
      </c>
      <c r="X252">
        <v>2</v>
      </c>
      <c r="Y252" t="s">
        <v>2877</v>
      </c>
      <c r="AA252" t="s">
        <v>589</v>
      </c>
      <c r="AB252">
        <f>(1/16)/5</f>
        <v>1.2500000000000001E-2</v>
      </c>
      <c r="AC252">
        <f t="shared" si="52"/>
        <v>0</v>
      </c>
      <c r="AD252">
        <v>0.5</v>
      </c>
      <c r="AF252">
        <f t="shared" si="53"/>
        <v>0</v>
      </c>
    </row>
    <row r="253" spans="16:32" ht="5.0999999999999996" customHeight="1">
      <c r="P253" t="s">
        <v>534</v>
      </c>
      <c r="R253" t="s">
        <v>589</v>
      </c>
      <c r="S253">
        <v>0.375</v>
      </c>
      <c r="T253">
        <f t="shared" si="50"/>
        <v>0</v>
      </c>
      <c r="U253">
        <f>$S$222*450</f>
        <v>12150</v>
      </c>
      <c r="W253">
        <f t="shared" si="51"/>
        <v>0</v>
      </c>
      <c r="X253">
        <v>3</v>
      </c>
      <c r="Y253" t="s">
        <v>4722</v>
      </c>
      <c r="AA253" t="s">
        <v>589</v>
      </c>
      <c r="AB253">
        <v>0.5</v>
      </c>
      <c r="AC253">
        <f t="shared" si="52"/>
        <v>0</v>
      </c>
      <c r="AD253">
        <v>1</v>
      </c>
      <c r="AF253">
        <f t="shared" si="53"/>
        <v>0</v>
      </c>
    </row>
    <row r="254" spans="16:32" ht="5.0999999999999996" customHeight="1">
      <c r="P254" t="s">
        <v>2412</v>
      </c>
      <c r="R254" t="s">
        <v>589</v>
      </c>
      <c r="S254">
        <v>0.125</v>
      </c>
      <c r="T254">
        <f t="shared" si="50"/>
        <v>0</v>
      </c>
      <c r="U254">
        <f>$S$223*30</f>
        <v>360</v>
      </c>
      <c r="W254">
        <f t="shared" si="51"/>
        <v>0</v>
      </c>
      <c r="X254">
        <v>4</v>
      </c>
      <c r="Y254" t="s">
        <v>537</v>
      </c>
      <c r="AA254" t="s">
        <v>589</v>
      </c>
      <c r="AB254">
        <v>0.5</v>
      </c>
      <c r="AC254">
        <f t="shared" si="52"/>
        <v>0</v>
      </c>
      <c r="AD254">
        <v>0.5</v>
      </c>
      <c r="AF254">
        <f t="shared" si="53"/>
        <v>0</v>
      </c>
    </row>
    <row r="255" spans="16:32" ht="5.0999999999999996" customHeight="1">
      <c r="P255" t="s">
        <v>2413</v>
      </c>
      <c r="R255" t="s">
        <v>589</v>
      </c>
      <c r="S255">
        <v>0.375</v>
      </c>
      <c r="T255">
        <f t="shared" si="50"/>
        <v>0</v>
      </c>
      <c r="U255">
        <f>$S$222*30</f>
        <v>810</v>
      </c>
      <c r="W255">
        <f t="shared" si="51"/>
        <v>0</v>
      </c>
      <c r="X255">
        <v>5</v>
      </c>
      <c r="Y255" t="s">
        <v>3890</v>
      </c>
      <c r="AA255" t="s">
        <v>589</v>
      </c>
      <c r="AB255">
        <v>6.25E-2</v>
      </c>
      <c r="AC255">
        <f t="shared" si="52"/>
        <v>0</v>
      </c>
      <c r="AD255">
        <v>0.25</v>
      </c>
      <c r="AF255">
        <f t="shared" si="53"/>
        <v>0</v>
      </c>
    </row>
    <row r="256" spans="16:32" ht="5.0999999999999996" customHeight="1">
      <c r="P256" t="s">
        <v>2417</v>
      </c>
      <c r="R256" t="s">
        <v>589</v>
      </c>
      <c r="S256">
        <v>0.125</v>
      </c>
      <c r="T256">
        <f t="shared" si="50"/>
        <v>0</v>
      </c>
      <c r="U256">
        <f>$S$223*200</f>
        <v>2400</v>
      </c>
      <c r="W256">
        <f t="shared" si="51"/>
        <v>0</v>
      </c>
      <c r="X256">
        <v>6</v>
      </c>
      <c r="Y256" t="s">
        <v>2516</v>
      </c>
      <c r="AA256" t="s">
        <v>589</v>
      </c>
      <c r="AB256">
        <v>5</v>
      </c>
      <c r="AC256">
        <f t="shared" si="52"/>
        <v>0</v>
      </c>
      <c r="AD256">
        <v>36</v>
      </c>
      <c r="AF256">
        <f t="shared" si="53"/>
        <v>0</v>
      </c>
    </row>
    <row r="257" spans="16:32" ht="5.0999999999999996" customHeight="1">
      <c r="P257" t="s">
        <v>2418</v>
      </c>
      <c r="R257" t="s">
        <v>589</v>
      </c>
      <c r="S257">
        <v>0.375</v>
      </c>
      <c r="T257">
        <f t="shared" si="50"/>
        <v>0</v>
      </c>
      <c r="U257">
        <f>$S$222*200</f>
        <v>5400</v>
      </c>
      <c r="W257">
        <f t="shared" si="51"/>
        <v>0</v>
      </c>
      <c r="X257">
        <v>7</v>
      </c>
      <c r="Y257" t="s">
        <v>2517</v>
      </c>
      <c r="AA257" t="s">
        <v>589</v>
      </c>
      <c r="AB257">
        <v>3</v>
      </c>
      <c r="AC257">
        <f t="shared" si="52"/>
        <v>0</v>
      </c>
      <c r="AD257">
        <v>24</v>
      </c>
      <c r="AF257">
        <f t="shared" si="53"/>
        <v>0</v>
      </c>
    </row>
    <row r="258" spans="16:32" ht="5.0999999999999996" customHeight="1">
      <c r="P258" t="s">
        <v>2414</v>
      </c>
      <c r="R258" t="s">
        <v>589</v>
      </c>
      <c r="S258">
        <v>0.125</v>
      </c>
      <c r="T258">
        <f t="shared" si="50"/>
        <v>0</v>
      </c>
      <c r="U258">
        <v>0.5</v>
      </c>
      <c r="W258">
        <f t="shared" si="51"/>
        <v>0</v>
      </c>
      <c r="X258">
        <v>8</v>
      </c>
      <c r="Y258" t="s">
        <v>5304</v>
      </c>
      <c r="AA258" t="s">
        <v>589</v>
      </c>
      <c r="AB258">
        <v>10</v>
      </c>
      <c r="AC258">
        <f t="shared" si="52"/>
        <v>0</v>
      </c>
      <c r="AD258">
        <v>2.7</v>
      </c>
      <c r="AF258">
        <f t="shared" si="53"/>
        <v>0</v>
      </c>
    </row>
    <row r="259" spans="16:32" ht="5.0999999999999996" customHeight="1">
      <c r="P259" t="s">
        <v>2415</v>
      </c>
      <c r="R259" t="s">
        <v>589</v>
      </c>
      <c r="S259">
        <v>0.375</v>
      </c>
      <c r="T259">
        <f t="shared" si="50"/>
        <v>0</v>
      </c>
      <c r="U259">
        <v>1</v>
      </c>
      <c r="W259">
        <f t="shared" si="51"/>
        <v>0</v>
      </c>
      <c r="X259">
        <v>9</v>
      </c>
      <c r="Y259" t="s">
        <v>5305</v>
      </c>
      <c r="AA259" t="s">
        <v>589</v>
      </c>
      <c r="AB259">
        <v>20</v>
      </c>
      <c r="AC259">
        <f t="shared" si="52"/>
        <v>0</v>
      </c>
      <c r="AD259">
        <v>5.6</v>
      </c>
      <c r="AF259">
        <f t="shared" si="53"/>
        <v>0</v>
      </c>
    </row>
    <row r="260" spans="16:32" ht="5.0999999999999996" customHeight="1">
      <c r="P260" t="s">
        <v>3054</v>
      </c>
      <c r="R260" t="s">
        <v>589</v>
      </c>
      <c r="S260">
        <v>0.125</v>
      </c>
      <c r="T260">
        <f t="shared" si="50"/>
        <v>0</v>
      </c>
      <c r="U260">
        <f>$S$223*60</f>
        <v>720</v>
      </c>
      <c r="W260">
        <f t="shared" si="51"/>
        <v>0</v>
      </c>
      <c r="X260">
        <v>10</v>
      </c>
      <c r="Y260" t="s">
        <v>3265</v>
      </c>
      <c r="AA260" t="s">
        <v>589</v>
      </c>
      <c r="AB260">
        <v>5</v>
      </c>
      <c r="AC260">
        <f t="shared" si="52"/>
        <v>0</v>
      </c>
      <c r="AD260">
        <v>36</v>
      </c>
      <c r="AF260">
        <f t="shared" si="53"/>
        <v>0</v>
      </c>
    </row>
    <row r="261" spans="16:32" ht="5.0999999999999996" customHeight="1">
      <c r="P261" t="s">
        <v>691</v>
      </c>
      <c r="R261" t="s">
        <v>589</v>
      </c>
      <c r="S261">
        <v>0.375</v>
      </c>
      <c r="T261">
        <f t="shared" si="50"/>
        <v>0</v>
      </c>
      <c r="U261">
        <f>$S$222*60</f>
        <v>1620</v>
      </c>
      <c r="W261">
        <f t="shared" si="51"/>
        <v>0</v>
      </c>
      <c r="X261">
        <v>11</v>
      </c>
    </row>
    <row r="262" spans="16:32" ht="5.0999999999999996" customHeight="1">
      <c r="P262" t="s">
        <v>2522</v>
      </c>
      <c r="R262" t="s">
        <v>589</v>
      </c>
      <c r="S262">
        <v>0.125</v>
      </c>
      <c r="T262">
        <f t="shared" si="50"/>
        <v>0</v>
      </c>
      <c r="U262">
        <f>$S$223*300</f>
        <v>3600</v>
      </c>
      <c r="W262">
        <f t="shared" si="51"/>
        <v>0</v>
      </c>
      <c r="Y262" t="s">
        <v>269</v>
      </c>
    </row>
    <row r="263" spans="16:32" ht="5.0999999999999996" customHeight="1">
      <c r="P263" t="s">
        <v>2521</v>
      </c>
      <c r="R263" t="s">
        <v>589</v>
      </c>
      <c r="S263">
        <v>0.375</v>
      </c>
      <c r="T263">
        <f t="shared" si="50"/>
        <v>0</v>
      </c>
      <c r="U263">
        <f>$S$222*300</f>
        <v>8100</v>
      </c>
      <c r="W263">
        <f t="shared" si="51"/>
        <v>0</v>
      </c>
      <c r="X263">
        <v>1</v>
      </c>
      <c r="Y263" t="s">
        <v>3095</v>
      </c>
      <c r="AA263" t="s">
        <v>589</v>
      </c>
      <c r="AB263">
        <v>6</v>
      </c>
      <c r="AC263">
        <f t="shared" ref="AC263:AC278" si="54">AB263*Z263</f>
        <v>0</v>
      </c>
      <c r="AD263">
        <v>12</v>
      </c>
      <c r="AF263">
        <f t="shared" ref="AF263:AF278" si="55">IF(AA263="A",AD263*Z263,IF((AA263="F"),(AE263*Z263),0))</f>
        <v>0</v>
      </c>
    </row>
    <row r="264" spans="16:32" ht="5.0999999999999996" customHeight="1">
      <c r="P264" t="s">
        <v>189</v>
      </c>
      <c r="X264">
        <v>2</v>
      </c>
      <c r="Y264" t="s">
        <v>3715</v>
      </c>
      <c r="AA264" t="s">
        <v>589</v>
      </c>
      <c r="AB264">
        <v>3</v>
      </c>
      <c r="AC264">
        <f t="shared" si="54"/>
        <v>0</v>
      </c>
      <c r="AD264">
        <v>4</v>
      </c>
      <c r="AF264">
        <f t="shared" si="55"/>
        <v>0</v>
      </c>
    </row>
    <row r="265" spans="16:32" ht="5.0999999999999996" customHeight="1">
      <c r="P265" t="s">
        <v>2419</v>
      </c>
      <c r="R265" t="s">
        <v>589</v>
      </c>
      <c r="S265">
        <v>5</v>
      </c>
      <c r="T265">
        <f t="shared" ref="T265:T312" si="56">S265*Q265</f>
        <v>0</v>
      </c>
      <c r="U265">
        <v>0.42</v>
      </c>
      <c r="W265">
        <f>IF(R265="A",U265*Q265,IF((R265="F"),(V265*Q265),0))</f>
        <v>0</v>
      </c>
      <c r="X265">
        <v>3</v>
      </c>
      <c r="Y265" t="s">
        <v>5232</v>
      </c>
      <c r="AA265" t="s">
        <v>589</v>
      </c>
      <c r="AB265">
        <v>2</v>
      </c>
      <c r="AC265">
        <f t="shared" si="54"/>
        <v>0</v>
      </c>
      <c r="AD265">
        <v>20</v>
      </c>
      <c r="AF265">
        <f t="shared" si="55"/>
        <v>0</v>
      </c>
    </row>
    <row r="266" spans="16:32" ht="5.0999999999999996" customHeight="1">
      <c r="P266" t="s">
        <v>2416</v>
      </c>
      <c r="R266" t="s">
        <v>589</v>
      </c>
      <c r="S266">
        <v>5</v>
      </c>
      <c r="T266">
        <f t="shared" si="56"/>
        <v>0</v>
      </c>
      <c r="U266">
        <v>0.2</v>
      </c>
      <c r="W266">
        <f>IF(R266="A",U266*Q266,IF((R266="F"),(V266*Q266),0))</f>
        <v>0</v>
      </c>
      <c r="X266">
        <v>4</v>
      </c>
      <c r="Y266" t="s">
        <v>5233</v>
      </c>
      <c r="AA266" t="s">
        <v>589</v>
      </c>
      <c r="AB266">
        <v>0.5</v>
      </c>
      <c r="AC266">
        <f t="shared" si="54"/>
        <v>0</v>
      </c>
      <c r="AD266">
        <v>8</v>
      </c>
      <c r="AF266">
        <f t="shared" si="55"/>
        <v>0</v>
      </c>
    </row>
    <row r="267" spans="16:32" ht="5.0999999999999996" customHeight="1">
      <c r="P267" t="s">
        <v>0</v>
      </c>
      <c r="R267" t="s">
        <v>589</v>
      </c>
      <c r="S267">
        <v>2.5</v>
      </c>
      <c r="T267">
        <f t="shared" si="56"/>
        <v>0</v>
      </c>
      <c r="U267">
        <v>2</v>
      </c>
      <c r="W267">
        <f t="shared" ref="W267:W312" si="57">IF(R267="A",U267*Q267,IF((R267="F"),(V267*Q267),0))</f>
        <v>0</v>
      </c>
      <c r="X267">
        <v>5</v>
      </c>
      <c r="Y267" t="s">
        <v>4221</v>
      </c>
      <c r="AA267" t="s">
        <v>589</v>
      </c>
      <c r="AB267">
        <v>2</v>
      </c>
      <c r="AC267">
        <f t="shared" si="54"/>
        <v>0</v>
      </c>
      <c r="AD267">
        <v>5</v>
      </c>
      <c r="AF267">
        <f t="shared" si="55"/>
        <v>0</v>
      </c>
    </row>
    <row r="268" spans="16:32" ht="5.0999999999999996" customHeight="1">
      <c r="P268" t="s">
        <v>1</v>
      </c>
      <c r="R268" t="s">
        <v>589</v>
      </c>
      <c r="S268">
        <v>3</v>
      </c>
      <c r="T268">
        <f t="shared" si="56"/>
        <v>0</v>
      </c>
      <c r="U268">
        <v>3</v>
      </c>
      <c r="W268">
        <f t="shared" si="57"/>
        <v>0</v>
      </c>
      <c r="X268">
        <v>6</v>
      </c>
      <c r="Y268" t="s">
        <v>4222</v>
      </c>
      <c r="AA268" t="s">
        <v>589</v>
      </c>
      <c r="AB268">
        <v>1</v>
      </c>
      <c r="AC268">
        <f t="shared" si="54"/>
        <v>0</v>
      </c>
      <c r="AD268">
        <v>2.5</v>
      </c>
      <c r="AF268">
        <f t="shared" si="55"/>
        <v>0</v>
      </c>
    </row>
    <row r="269" spans="16:32" ht="5.0999999999999996" customHeight="1">
      <c r="P269" t="s">
        <v>3</v>
      </c>
      <c r="R269" t="s">
        <v>589</v>
      </c>
      <c r="S269">
        <v>25</v>
      </c>
      <c r="T269">
        <f t="shared" si="56"/>
        <v>0</v>
      </c>
      <c r="U269">
        <v>32</v>
      </c>
      <c r="W269">
        <f>IF(R269="A",U269*Q269,IF((R269="F"),(V269*Q269),0))</f>
        <v>0</v>
      </c>
      <c r="X269">
        <v>7</v>
      </c>
      <c r="Y269" t="s">
        <v>4241</v>
      </c>
      <c r="AA269" t="s">
        <v>589</v>
      </c>
      <c r="AB269">
        <v>2</v>
      </c>
      <c r="AC269">
        <f t="shared" si="54"/>
        <v>0</v>
      </c>
      <c r="AD269">
        <v>20</v>
      </c>
      <c r="AF269">
        <f t="shared" si="55"/>
        <v>0</v>
      </c>
    </row>
    <row r="270" spans="16:32" ht="5.0999999999999996" customHeight="1">
      <c r="P270" t="s">
        <v>4</v>
      </c>
      <c r="R270" t="s">
        <v>589</v>
      </c>
      <c r="S270">
        <v>25</v>
      </c>
      <c r="T270">
        <f t="shared" si="56"/>
        <v>0</v>
      </c>
      <c r="U270">
        <v>12</v>
      </c>
      <c r="W270">
        <f>IF(R270="A",U270*Q270,IF((R270="F"),(V270*Q270),0))</f>
        <v>0</v>
      </c>
      <c r="X270">
        <v>8</v>
      </c>
      <c r="Y270" t="s">
        <v>4242</v>
      </c>
      <c r="AA270" t="s">
        <v>589</v>
      </c>
      <c r="AB270">
        <v>5</v>
      </c>
      <c r="AC270">
        <f t="shared" si="54"/>
        <v>0</v>
      </c>
      <c r="AD270">
        <v>48</v>
      </c>
      <c r="AF270">
        <f t="shared" si="55"/>
        <v>0</v>
      </c>
    </row>
    <row r="271" spans="16:32" ht="5.0999999999999996" customHeight="1">
      <c r="P271" t="s">
        <v>2</v>
      </c>
      <c r="R271" t="s">
        <v>589</v>
      </c>
      <c r="S271">
        <v>0.46875</v>
      </c>
      <c r="T271">
        <f t="shared" si="56"/>
        <v>0</v>
      </c>
      <c r="U271">
        <v>6</v>
      </c>
      <c r="W271">
        <f t="shared" si="57"/>
        <v>0</v>
      </c>
      <c r="X271">
        <v>9</v>
      </c>
      <c r="Y271" t="s">
        <v>3398</v>
      </c>
      <c r="AA271" t="s">
        <v>589</v>
      </c>
      <c r="AB271">
        <v>2</v>
      </c>
      <c r="AC271">
        <f t="shared" si="54"/>
        <v>0</v>
      </c>
      <c r="AD271">
        <v>16</v>
      </c>
      <c r="AF271">
        <f t="shared" si="55"/>
        <v>0</v>
      </c>
    </row>
    <row r="272" spans="16:32" ht="5.0999999999999996" customHeight="1">
      <c r="P272" t="s">
        <v>2523</v>
      </c>
      <c r="R272" t="s">
        <v>589</v>
      </c>
      <c r="S272">
        <v>3</v>
      </c>
      <c r="T272">
        <f t="shared" si="56"/>
        <v>0</v>
      </c>
      <c r="U272">
        <f>$S$268*2</f>
        <v>6</v>
      </c>
      <c r="W272">
        <f t="shared" si="57"/>
        <v>0</v>
      </c>
      <c r="X272">
        <v>10</v>
      </c>
      <c r="Y272" t="s">
        <v>4243</v>
      </c>
      <c r="AA272" t="s">
        <v>589</v>
      </c>
      <c r="AB272">
        <v>7</v>
      </c>
      <c r="AC272">
        <f t="shared" si="54"/>
        <v>0</v>
      </c>
      <c r="AD272">
        <v>28</v>
      </c>
      <c r="AF272">
        <f t="shared" si="55"/>
        <v>0</v>
      </c>
    </row>
    <row r="273" spans="16:32" ht="5.0999999999999996" customHeight="1">
      <c r="P273" t="s">
        <v>3348</v>
      </c>
      <c r="R273" t="s">
        <v>589</v>
      </c>
      <c r="S273">
        <v>0.46875</v>
      </c>
      <c r="T273">
        <f t="shared" si="56"/>
        <v>0</v>
      </c>
      <c r="U273">
        <f>$S$271*2</f>
        <v>0.9375</v>
      </c>
      <c r="W273">
        <f t="shared" si="57"/>
        <v>0</v>
      </c>
      <c r="X273">
        <v>11</v>
      </c>
      <c r="Y273" t="s">
        <v>4244</v>
      </c>
      <c r="AA273" t="s">
        <v>589</v>
      </c>
      <c r="AB273">
        <v>1.5</v>
      </c>
      <c r="AC273">
        <f t="shared" si="54"/>
        <v>0</v>
      </c>
      <c r="AD273">
        <v>6</v>
      </c>
      <c r="AF273">
        <f t="shared" si="55"/>
        <v>0</v>
      </c>
    </row>
    <row r="274" spans="16:32" ht="5.0999999999999996" customHeight="1">
      <c r="P274" t="s">
        <v>2277</v>
      </c>
      <c r="R274" t="s">
        <v>589</v>
      </c>
      <c r="S274">
        <v>3</v>
      </c>
      <c r="T274">
        <f t="shared" si="56"/>
        <v>0</v>
      </c>
      <c r="U274">
        <f>$S$268*20</f>
        <v>60</v>
      </c>
      <c r="W274">
        <f t="shared" si="57"/>
        <v>0</v>
      </c>
      <c r="X274">
        <v>12</v>
      </c>
      <c r="Y274" t="s">
        <v>3399</v>
      </c>
      <c r="AA274" t="s">
        <v>589</v>
      </c>
      <c r="AB274">
        <v>3</v>
      </c>
      <c r="AC274">
        <f t="shared" si="54"/>
        <v>0</v>
      </c>
      <c r="AD274">
        <v>12</v>
      </c>
      <c r="AF274">
        <f t="shared" si="55"/>
        <v>0</v>
      </c>
    </row>
    <row r="275" spans="16:32" ht="5.0999999999999996" customHeight="1">
      <c r="P275" t="s">
        <v>2278</v>
      </c>
      <c r="R275" t="s">
        <v>589</v>
      </c>
      <c r="S275">
        <v>0.46875</v>
      </c>
      <c r="T275">
        <f t="shared" si="56"/>
        <v>0</v>
      </c>
      <c r="U275">
        <f>$S$271*20</f>
        <v>9.375</v>
      </c>
      <c r="W275">
        <f t="shared" si="57"/>
        <v>0</v>
      </c>
      <c r="X275">
        <v>13</v>
      </c>
      <c r="Y275" t="s">
        <v>4956</v>
      </c>
      <c r="AA275" t="s">
        <v>589</v>
      </c>
      <c r="AB275">
        <v>12</v>
      </c>
      <c r="AC275">
        <f t="shared" si="54"/>
        <v>0</v>
      </c>
      <c r="AD275">
        <v>50</v>
      </c>
      <c r="AF275">
        <f t="shared" si="55"/>
        <v>0</v>
      </c>
    </row>
    <row r="276" spans="16:32" ht="5.0999999999999996" customHeight="1">
      <c r="P276" t="s">
        <v>814</v>
      </c>
      <c r="R276" t="s">
        <v>589</v>
      </c>
      <c r="S276">
        <v>0.125</v>
      </c>
      <c r="T276">
        <f t="shared" si="56"/>
        <v>0</v>
      </c>
      <c r="U276">
        <v>1</v>
      </c>
      <c r="W276">
        <f t="shared" si="57"/>
        <v>0</v>
      </c>
      <c r="X276">
        <v>14</v>
      </c>
      <c r="Y276" t="s">
        <v>4957</v>
      </c>
      <c r="AA276" t="s">
        <v>589</v>
      </c>
      <c r="AB276">
        <v>2</v>
      </c>
      <c r="AC276">
        <f t="shared" si="54"/>
        <v>0</v>
      </c>
      <c r="AD276">
        <v>8</v>
      </c>
      <c r="AF276">
        <f t="shared" si="55"/>
        <v>0</v>
      </c>
    </row>
    <row r="277" spans="16:32" ht="5.0999999999999996" customHeight="1">
      <c r="P277" t="s">
        <v>3011</v>
      </c>
      <c r="R277" t="s">
        <v>589</v>
      </c>
      <c r="S277">
        <v>0.125</v>
      </c>
      <c r="T277">
        <f t="shared" si="56"/>
        <v>0</v>
      </c>
      <c r="U277">
        <v>30</v>
      </c>
      <c r="W277">
        <f t="shared" si="57"/>
        <v>0</v>
      </c>
      <c r="X277">
        <v>15</v>
      </c>
      <c r="Y277" t="s">
        <v>815</v>
      </c>
      <c r="AA277" t="s">
        <v>589</v>
      </c>
      <c r="AB277">
        <v>3</v>
      </c>
      <c r="AC277">
        <f t="shared" si="54"/>
        <v>0</v>
      </c>
      <c r="AD277">
        <v>7</v>
      </c>
      <c r="AF277">
        <f t="shared" si="55"/>
        <v>0</v>
      </c>
    </row>
    <row r="278" spans="16:32" ht="5.0999999999999996" customHeight="1">
      <c r="P278" t="s">
        <v>3012</v>
      </c>
      <c r="R278" t="s">
        <v>589</v>
      </c>
      <c r="S278">
        <v>0.125</v>
      </c>
      <c r="T278">
        <f t="shared" si="56"/>
        <v>0</v>
      </c>
      <c r="U278">
        <v>50</v>
      </c>
      <c r="W278">
        <f t="shared" si="57"/>
        <v>0</v>
      </c>
      <c r="X278">
        <v>16</v>
      </c>
      <c r="Y278" t="s">
        <v>4958</v>
      </c>
      <c r="AA278" t="s">
        <v>589</v>
      </c>
      <c r="AB278">
        <v>6.25E-2</v>
      </c>
      <c r="AC278">
        <f t="shared" si="54"/>
        <v>0</v>
      </c>
      <c r="AD278">
        <v>2</v>
      </c>
      <c r="AF278">
        <f t="shared" si="55"/>
        <v>0</v>
      </c>
    </row>
    <row r="279" spans="16:32" ht="5.0999999999999996" customHeight="1">
      <c r="P279" t="s">
        <v>3013</v>
      </c>
      <c r="R279" t="s">
        <v>589</v>
      </c>
      <c r="S279">
        <v>0.125</v>
      </c>
      <c r="T279">
        <f t="shared" si="56"/>
        <v>0</v>
      </c>
      <c r="U279">
        <v>75</v>
      </c>
      <c r="W279">
        <f t="shared" ref="W279:W286" si="58">IF(R279="A",U279*Q279,IF((R279="F"),(V279*Q279),0))</f>
        <v>0</v>
      </c>
      <c r="X279">
        <v>17</v>
      </c>
    </row>
    <row r="280" spans="16:32" ht="5.0999999999999996" customHeight="1">
      <c r="P280" t="s">
        <v>3014</v>
      </c>
      <c r="R280" t="s">
        <v>589</v>
      </c>
      <c r="S280">
        <v>0.125</v>
      </c>
      <c r="T280">
        <f t="shared" si="56"/>
        <v>0</v>
      </c>
      <c r="U280">
        <v>76</v>
      </c>
      <c r="W280">
        <f t="shared" si="58"/>
        <v>0</v>
      </c>
      <c r="Y280" t="s">
        <v>265</v>
      </c>
    </row>
    <row r="281" spans="16:32" ht="5.0999999999999996" customHeight="1">
      <c r="P281" t="s">
        <v>4723</v>
      </c>
      <c r="R281" t="s">
        <v>589</v>
      </c>
      <c r="S281">
        <v>1</v>
      </c>
      <c r="T281">
        <f t="shared" si="56"/>
        <v>0</v>
      </c>
      <c r="U281">
        <v>8</v>
      </c>
      <c r="W281">
        <f t="shared" si="58"/>
        <v>0</v>
      </c>
      <c r="X281">
        <v>1</v>
      </c>
      <c r="Y281" t="s">
        <v>1434</v>
      </c>
      <c r="AA281" t="s">
        <v>589</v>
      </c>
      <c r="AB281">
        <v>3.125E-2</v>
      </c>
      <c r="AC281">
        <f t="shared" ref="AC281:AC301" si="59">AB281*Z281</f>
        <v>0</v>
      </c>
      <c r="AD281">
        <v>4</v>
      </c>
      <c r="AF281">
        <f t="shared" ref="AF281:AF288" si="60">IF(AA281="A",AD281*Z281,IF((AA281="F"),(AE281*Z281),0))</f>
        <v>0</v>
      </c>
    </row>
    <row r="282" spans="16:32" ht="5.0999999999999996" customHeight="1">
      <c r="P282" t="s">
        <v>4724</v>
      </c>
      <c r="R282" t="s">
        <v>589</v>
      </c>
      <c r="S282">
        <v>2</v>
      </c>
      <c r="T282">
        <f t="shared" si="56"/>
        <v>0</v>
      </c>
      <c r="U282">
        <v>72</v>
      </c>
      <c r="W282">
        <f t="shared" si="58"/>
        <v>0</v>
      </c>
      <c r="X282">
        <v>2</v>
      </c>
      <c r="Y282" t="s">
        <v>3761</v>
      </c>
      <c r="AA282" t="s">
        <v>589</v>
      </c>
      <c r="AB282">
        <v>3.125E-2</v>
      </c>
      <c r="AC282">
        <f t="shared" si="59"/>
        <v>0</v>
      </c>
      <c r="AD282">
        <v>16</v>
      </c>
      <c r="AF282">
        <f t="shared" si="60"/>
        <v>0</v>
      </c>
    </row>
    <row r="283" spans="16:32" ht="5.0999999999999996" customHeight="1">
      <c r="P283" t="s">
        <v>5319</v>
      </c>
      <c r="R283" t="s">
        <v>589</v>
      </c>
      <c r="S283">
        <v>0.9375</v>
      </c>
      <c r="T283">
        <f t="shared" si="56"/>
        <v>0</v>
      </c>
      <c r="U283">
        <v>36</v>
      </c>
      <c r="W283">
        <f t="shared" si="58"/>
        <v>0</v>
      </c>
      <c r="X283">
        <v>3</v>
      </c>
      <c r="Y283" t="s">
        <v>1386</v>
      </c>
      <c r="AA283" t="s">
        <v>589</v>
      </c>
      <c r="AB283">
        <v>3.125E-2</v>
      </c>
      <c r="AC283">
        <f t="shared" si="59"/>
        <v>0</v>
      </c>
      <c r="AD283">
        <v>12</v>
      </c>
      <c r="AF283">
        <f t="shared" si="60"/>
        <v>0</v>
      </c>
    </row>
    <row r="284" spans="16:32" ht="5.0999999999999996" customHeight="1">
      <c r="P284" t="s">
        <v>5320</v>
      </c>
      <c r="R284" t="s">
        <v>589</v>
      </c>
      <c r="S284">
        <v>1</v>
      </c>
      <c r="T284">
        <f t="shared" si="56"/>
        <v>0</v>
      </c>
      <c r="U284">
        <v>8</v>
      </c>
      <c r="W284">
        <f t="shared" si="58"/>
        <v>0</v>
      </c>
      <c r="X284">
        <v>4</v>
      </c>
      <c r="Y284" t="s">
        <v>1382</v>
      </c>
      <c r="AA284" t="s">
        <v>589</v>
      </c>
      <c r="AB284">
        <v>3.125E-2</v>
      </c>
      <c r="AC284">
        <f t="shared" si="59"/>
        <v>0</v>
      </c>
      <c r="AD284">
        <v>32</v>
      </c>
      <c r="AF284">
        <f t="shared" si="60"/>
        <v>0</v>
      </c>
    </row>
    <row r="285" spans="16:32" ht="5.0999999999999996" customHeight="1">
      <c r="P285" t="s">
        <v>5317</v>
      </c>
      <c r="R285" t="s">
        <v>589</v>
      </c>
      <c r="S285">
        <v>1</v>
      </c>
      <c r="T285">
        <f t="shared" si="56"/>
        <v>0</v>
      </c>
      <c r="U285">
        <v>8</v>
      </c>
      <c r="W285">
        <f t="shared" si="58"/>
        <v>0</v>
      </c>
      <c r="X285">
        <v>5</v>
      </c>
      <c r="Y285" t="s">
        <v>5071</v>
      </c>
      <c r="AA285" t="s">
        <v>589</v>
      </c>
      <c r="AB285">
        <v>1</v>
      </c>
      <c r="AC285">
        <f t="shared" si="59"/>
        <v>0</v>
      </c>
      <c r="AD285">
        <v>4</v>
      </c>
      <c r="AF285">
        <f t="shared" si="60"/>
        <v>0</v>
      </c>
    </row>
    <row r="286" spans="16:32" ht="5.0999999999999996" customHeight="1">
      <c r="P286" t="s">
        <v>5318</v>
      </c>
      <c r="R286" t="s">
        <v>589</v>
      </c>
      <c r="S286">
        <v>0.125</v>
      </c>
      <c r="T286">
        <f t="shared" si="56"/>
        <v>0</v>
      </c>
      <c r="U286">
        <v>2</v>
      </c>
      <c r="W286">
        <f t="shared" si="58"/>
        <v>0</v>
      </c>
      <c r="X286">
        <v>6</v>
      </c>
      <c r="Y286" t="s">
        <v>2950</v>
      </c>
      <c r="AA286" t="s">
        <v>589</v>
      </c>
      <c r="AB286">
        <v>1</v>
      </c>
      <c r="AC286">
        <f t="shared" si="59"/>
        <v>0</v>
      </c>
      <c r="AD286">
        <v>6</v>
      </c>
      <c r="AF286">
        <f t="shared" si="60"/>
        <v>0</v>
      </c>
    </row>
    <row r="287" spans="16:32" ht="5.0999999999999996" customHeight="1">
      <c r="P287" t="s">
        <v>4219</v>
      </c>
      <c r="R287" t="s">
        <v>589</v>
      </c>
      <c r="S287">
        <v>1</v>
      </c>
      <c r="T287">
        <f t="shared" si="56"/>
        <v>0</v>
      </c>
      <c r="U287">
        <f>$AB$213*4</f>
        <v>1</v>
      </c>
      <c r="W287">
        <f t="shared" si="57"/>
        <v>0</v>
      </c>
      <c r="X287">
        <v>7</v>
      </c>
      <c r="Y287" t="s">
        <v>5072</v>
      </c>
      <c r="AA287" t="s">
        <v>589</v>
      </c>
      <c r="AB287">
        <v>3.125E-2</v>
      </c>
      <c r="AC287">
        <f t="shared" si="59"/>
        <v>0</v>
      </c>
      <c r="AD287">
        <v>0.25</v>
      </c>
      <c r="AF287">
        <f t="shared" si="60"/>
        <v>0</v>
      </c>
    </row>
    <row r="288" spans="16:32" ht="5.0999999999999996" customHeight="1">
      <c r="P288" t="s">
        <v>581</v>
      </c>
      <c r="R288" t="s">
        <v>589</v>
      </c>
      <c r="S288">
        <v>1</v>
      </c>
      <c r="T288">
        <f t="shared" si="56"/>
        <v>0</v>
      </c>
      <c r="U288" t="e">
        <f>#REF!*4</f>
        <v>#REF!</v>
      </c>
      <c r="W288" t="e">
        <f t="shared" si="57"/>
        <v>#REF!</v>
      </c>
      <c r="X288">
        <v>8</v>
      </c>
      <c r="Y288" t="s">
        <v>4233</v>
      </c>
      <c r="AA288" t="s">
        <v>589</v>
      </c>
      <c r="AB288">
        <v>0.5</v>
      </c>
      <c r="AC288">
        <f t="shared" si="59"/>
        <v>0</v>
      </c>
      <c r="AD288">
        <v>2</v>
      </c>
      <c r="AF288">
        <f t="shared" si="60"/>
        <v>0</v>
      </c>
    </row>
    <row r="289" spans="16:32" ht="5.0999999999999996" customHeight="1">
      <c r="P289" t="s">
        <v>820</v>
      </c>
      <c r="R289" t="s">
        <v>589</v>
      </c>
      <c r="S289">
        <v>0.9375</v>
      </c>
      <c r="T289">
        <f t="shared" si="56"/>
        <v>0</v>
      </c>
      <c r="U289" t="e">
        <f>#REF!*4</f>
        <v>#REF!</v>
      </c>
      <c r="W289" t="e">
        <f t="shared" si="57"/>
        <v>#REF!</v>
      </c>
      <c r="X289">
        <v>9</v>
      </c>
      <c r="Y289" t="s">
        <v>4234</v>
      </c>
      <c r="AA289" t="s">
        <v>589</v>
      </c>
      <c r="AB289">
        <v>5</v>
      </c>
      <c r="AC289">
        <f t="shared" si="59"/>
        <v>0</v>
      </c>
      <c r="AD289">
        <v>4</v>
      </c>
      <c r="AF289">
        <f t="shared" ref="AF289:AF297" si="61">IF(AA289="A",AD289*Z289,IF((AA289="F"),(AE289*Z289),0))</f>
        <v>0</v>
      </c>
    </row>
    <row r="290" spans="16:32" ht="5.0999999999999996" customHeight="1">
      <c r="P290" t="s">
        <v>4902</v>
      </c>
      <c r="R290" t="s">
        <v>589</v>
      </c>
      <c r="S290">
        <v>2</v>
      </c>
      <c r="T290">
        <f t="shared" si="56"/>
        <v>0</v>
      </c>
      <c r="U290" t="e">
        <f>#REF!*4</f>
        <v>#REF!</v>
      </c>
      <c r="W290" t="e">
        <f t="shared" si="57"/>
        <v>#REF!</v>
      </c>
      <c r="X290">
        <v>10</v>
      </c>
      <c r="Y290" t="s">
        <v>2646</v>
      </c>
      <c r="AA290" t="s">
        <v>589</v>
      </c>
      <c r="AB290">
        <v>0.125</v>
      </c>
      <c r="AC290">
        <f t="shared" si="59"/>
        <v>0</v>
      </c>
      <c r="AD290">
        <v>0.25</v>
      </c>
      <c r="AF290">
        <f t="shared" si="61"/>
        <v>0</v>
      </c>
    </row>
    <row r="291" spans="16:32" ht="5.0999999999999996" customHeight="1">
      <c r="P291" t="s">
        <v>819</v>
      </c>
      <c r="R291" t="s">
        <v>589</v>
      </c>
      <c r="S291">
        <v>0.125</v>
      </c>
      <c r="T291">
        <f t="shared" si="56"/>
        <v>0</v>
      </c>
      <c r="U291">
        <f>U286*16</f>
        <v>32</v>
      </c>
      <c r="W291">
        <f t="shared" si="57"/>
        <v>0</v>
      </c>
      <c r="X291">
        <v>11</v>
      </c>
      <c r="Y291" t="s">
        <v>2645</v>
      </c>
      <c r="AA291" t="s">
        <v>589</v>
      </c>
      <c r="AB291">
        <v>0.125</v>
      </c>
      <c r="AC291">
        <f t="shared" si="59"/>
        <v>0</v>
      </c>
      <c r="AD291">
        <v>0.5</v>
      </c>
      <c r="AF291">
        <f t="shared" si="61"/>
        <v>0</v>
      </c>
    </row>
    <row r="292" spans="16:32" ht="5.0999999999999996" customHeight="1">
      <c r="P292" t="s">
        <v>4220</v>
      </c>
      <c r="R292" t="s">
        <v>589</v>
      </c>
      <c r="S292">
        <v>1</v>
      </c>
      <c r="T292">
        <f t="shared" si="56"/>
        <v>0</v>
      </c>
      <c r="U292">
        <f>$AB$213*16</f>
        <v>4</v>
      </c>
      <c r="W292">
        <f t="shared" si="57"/>
        <v>0</v>
      </c>
      <c r="X292">
        <v>12</v>
      </c>
      <c r="Y292" t="s">
        <v>4235</v>
      </c>
      <c r="AA292" t="s">
        <v>589</v>
      </c>
      <c r="AB292">
        <v>0.125</v>
      </c>
      <c r="AC292">
        <f t="shared" si="59"/>
        <v>0</v>
      </c>
      <c r="AD292">
        <v>1</v>
      </c>
      <c r="AF292">
        <f t="shared" si="61"/>
        <v>0</v>
      </c>
    </row>
    <row r="293" spans="16:32" ht="5.0999999999999996" customHeight="1">
      <c r="P293" t="s">
        <v>582</v>
      </c>
      <c r="R293" t="s">
        <v>589</v>
      </c>
      <c r="S293">
        <v>1</v>
      </c>
      <c r="T293">
        <f t="shared" si="56"/>
        <v>0</v>
      </c>
      <c r="U293" t="e">
        <f>#REF!*16</f>
        <v>#REF!</v>
      </c>
      <c r="W293" t="e">
        <f t="shared" si="57"/>
        <v>#REF!</v>
      </c>
      <c r="X293">
        <v>13</v>
      </c>
      <c r="Y293" t="s">
        <v>4236</v>
      </c>
      <c r="AA293" t="s">
        <v>589</v>
      </c>
      <c r="AB293">
        <v>10</v>
      </c>
      <c r="AC293">
        <f t="shared" si="59"/>
        <v>0</v>
      </c>
      <c r="AD293">
        <v>84</v>
      </c>
      <c r="AF293">
        <f t="shared" si="61"/>
        <v>0</v>
      </c>
    </row>
    <row r="294" spans="16:32" ht="5.0999999999999996" customHeight="1">
      <c r="P294" t="s">
        <v>821</v>
      </c>
      <c r="R294" t="s">
        <v>589</v>
      </c>
      <c r="S294">
        <v>0.9375</v>
      </c>
      <c r="T294">
        <f t="shared" si="56"/>
        <v>0</v>
      </c>
      <c r="U294" t="e">
        <f>#REF!*16</f>
        <v>#REF!</v>
      </c>
      <c r="W294" t="e">
        <f t="shared" si="57"/>
        <v>#REF!</v>
      </c>
      <c r="X294">
        <v>14</v>
      </c>
      <c r="Y294" t="s">
        <v>817</v>
      </c>
      <c r="AA294" t="s">
        <v>589</v>
      </c>
      <c r="AB294">
        <v>0.5</v>
      </c>
      <c r="AC294">
        <f t="shared" si="59"/>
        <v>0</v>
      </c>
      <c r="AD294">
        <v>16</v>
      </c>
      <c r="AF294">
        <f t="shared" si="61"/>
        <v>0</v>
      </c>
    </row>
    <row r="295" spans="16:32" ht="5.0999999999999996" customHeight="1">
      <c r="P295" t="s">
        <v>583</v>
      </c>
      <c r="R295" t="s">
        <v>589</v>
      </c>
      <c r="S295">
        <v>2</v>
      </c>
      <c r="T295">
        <f t="shared" si="56"/>
        <v>0</v>
      </c>
      <c r="U295" t="e">
        <f>#REF!*16</f>
        <v>#REF!</v>
      </c>
      <c r="W295" t="e">
        <f t="shared" si="57"/>
        <v>#REF!</v>
      </c>
      <c r="X295">
        <v>15</v>
      </c>
      <c r="Y295" t="s">
        <v>818</v>
      </c>
      <c r="AA295" t="s">
        <v>589</v>
      </c>
      <c r="AB295">
        <v>0.625</v>
      </c>
      <c r="AC295">
        <f t="shared" si="59"/>
        <v>0</v>
      </c>
      <c r="AD295">
        <v>32</v>
      </c>
      <c r="AF295">
        <f t="shared" si="61"/>
        <v>0</v>
      </c>
    </row>
    <row r="296" spans="16:32" ht="5.0999999999999996" customHeight="1">
      <c r="P296" t="s">
        <v>4876</v>
      </c>
      <c r="R296" t="s">
        <v>589</v>
      </c>
      <c r="S296">
        <v>12</v>
      </c>
      <c r="T296">
        <f t="shared" si="56"/>
        <v>0</v>
      </c>
      <c r="U296">
        <v>0.06</v>
      </c>
      <c r="V296">
        <f t="shared" ref="V296:V307" si="62">U296*3</f>
        <v>0.18</v>
      </c>
      <c r="W296">
        <f t="shared" si="57"/>
        <v>0</v>
      </c>
      <c r="X296">
        <v>16</v>
      </c>
      <c r="Y296" t="s">
        <v>3759</v>
      </c>
      <c r="AA296" t="s">
        <v>589</v>
      </c>
      <c r="AB296">
        <v>1</v>
      </c>
      <c r="AC296">
        <f t="shared" si="59"/>
        <v>0</v>
      </c>
      <c r="AD296">
        <v>64</v>
      </c>
      <c r="AF296">
        <f t="shared" si="61"/>
        <v>0</v>
      </c>
    </row>
    <row r="297" spans="16:32" ht="5.0999999999999996" customHeight="1">
      <c r="P297" t="s">
        <v>2309</v>
      </c>
      <c r="R297" t="s">
        <v>589</v>
      </c>
      <c r="S297">
        <v>20</v>
      </c>
      <c r="T297">
        <f t="shared" si="56"/>
        <v>0</v>
      </c>
      <c r="U297">
        <v>0.42</v>
      </c>
      <c r="V297">
        <f t="shared" si="62"/>
        <v>1.26</v>
      </c>
      <c r="W297">
        <f t="shared" si="57"/>
        <v>0</v>
      </c>
      <c r="X297">
        <v>17</v>
      </c>
      <c r="Y297" t="s">
        <v>4228</v>
      </c>
      <c r="AA297" t="s">
        <v>589</v>
      </c>
      <c r="AB297">
        <v>1</v>
      </c>
      <c r="AC297">
        <f t="shared" si="59"/>
        <v>0</v>
      </c>
      <c r="AD297">
        <v>5</v>
      </c>
      <c r="AF297">
        <f t="shared" si="61"/>
        <v>0</v>
      </c>
    </row>
    <row r="298" spans="16:32" ht="5.0999999999999996" customHeight="1">
      <c r="P298" t="s">
        <v>2310</v>
      </c>
      <c r="R298" t="s">
        <v>589</v>
      </c>
      <c r="S298">
        <v>40</v>
      </c>
      <c r="T298">
        <f t="shared" si="56"/>
        <v>0</v>
      </c>
      <c r="U298">
        <v>0.8</v>
      </c>
      <c r="V298">
        <f t="shared" si="62"/>
        <v>2.4000000000000004</v>
      </c>
      <c r="W298">
        <f t="shared" si="57"/>
        <v>0</v>
      </c>
      <c r="X298">
        <v>18</v>
      </c>
      <c r="Y298" t="s">
        <v>3758</v>
      </c>
      <c r="AA298" t="s">
        <v>589</v>
      </c>
      <c r="AB298">
        <v>0.25</v>
      </c>
      <c r="AC298">
        <f t="shared" si="59"/>
        <v>0</v>
      </c>
      <c r="AD298">
        <v>2</v>
      </c>
      <c r="AF298">
        <f>IF(AA298="A",AD298*Z298,IF((AA298="F"),(AE298*Z298),0))</f>
        <v>0</v>
      </c>
    </row>
    <row r="299" spans="16:32" ht="5.0999999999999996" customHeight="1">
      <c r="P299" t="s">
        <v>4919</v>
      </c>
      <c r="R299" t="s">
        <v>589</v>
      </c>
      <c r="S299">
        <v>50</v>
      </c>
      <c r="T299">
        <f t="shared" si="56"/>
        <v>0</v>
      </c>
      <c r="U299">
        <v>3.6</v>
      </c>
      <c r="V299">
        <f t="shared" si="62"/>
        <v>10.8</v>
      </c>
      <c r="W299">
        <f t="shared" si="57"/>
        <v>0</v>
      </c>
      <c r="X299">
        <v>19</v>
      </c>
      <c r="Y299" t="s">
        <v>3757</v>
      </c>
      <c r="AA299" t="s">
        <v>589</v>
      </c>
      <c r="AB299">
        <v>0.25</v>
      </c>
      <c r="AC299">
        <f t="shared" si="59"/>
        <v>0</v>
      </c>
      <c r="AD299">
        <v>8</v>
      </c>
      <c r="AF299">
        <f>IF(AA299="A",AD299*Z299,IF((AA299="F"),(AE299*Z299),0))</f>
        <v>0</v>
      </c>
    </row>
    <row r="300" spans="16:32" ht="5.0999999999999996" customHeight="1">
      <c r="P300" t="s">
        <v>3096</v>
      </c>
      <c r="R300" t="s">
        <v>589</v>
      </c>
      <c r="S300">
        <v>50</v>
      </c>
      <c r="T300">
        <f t="shared" si="56"/>
        <v>0</v>
      </c>
      <c r="U300">
        <v>1.8</v>
      </c>
      <c r="V300">
        <f t="shared" si="62"/>
        <v>5.4</v>
      </c>
      <c r="W300">
        <f t="shared" si="57"/>
        <v>0</v>
      </c>
      <c r="X300">
        <v>20</v>
      </c>
      <c r="Y300" t="s">
        <v>3756</v>
      </c>
      <c r="AA300" t="s">
        <v>589</v>
      </c>
      <c r="AB300">
        <v>6.25E-2</v>
      </c>
      <c r="AC300">
        <f t="shared" si="59"/>
        <v>0</v>
      </c>
      <c r="AD300">
        <v>10</v>
      </c>
      <c r="AF300">
        <f>IF(AA300="A",AD300*Z300,IF((AA300="F"),(AE300*Z300),0))</f>
        <v>0</v>
      </c>
    </row>
    <row r="301" spans="16:32" ht="5.0999999999999996" customHeight="1">
      <c r="P301" t="s">
        <v>4915</v>
      </c>
      <c r="R301" t="s">
        <v>589</v>
      </c>
      <c r="S301">
        <v>50</v>
      </c>
      <c r="T301">
        <f t="shared" si="56"/>
        <v>0</v>
      </c>
      <c r="U301">
        <v>1.2</v>
      </c>
      <c r="V301">
        <f t="shared" si="62"/>
        <v>3.5999999999999996</v>
      </c>
      <c r="W301">
        <f t="shared" si="57"/>
        <v>0</v>
      </c>
      <c r="X301">
        <v>21</v>
      </c>
      <c r="Y301" t="s">
        <v>4229</v>
      </c>
      <c r="AA301" t="s">
        <v>589</v>
      </c>
      <c r="AB301">
        <v>0</v>
      </c>
      <c r="AC301">
        <f t="shared" si="59"/>
        <v>0</v>
      </c>
      <c r="AD301">
        <v>4</v>
      </c>
      <c r="AF301">
        <f>IF(AA301="A",AD301*Z301,IF((AA301="F"),(AE301*Z301),0))</f>
        <v>0</v>
      </c>
    </row>
    <row r="302" spans="16:32" ht="5.0999999999999996" customHeight="1">
      <c r="P302" t="s">
        <v>4916</v>
      </c>
      <c r="R302" t="s">
        <v>589</v>
      </c>
      <c r="S302">
        <v>100</v>
      </c>
      <c r="T302">
        <f t="shared" si="56"/>
        <v>0</v>
      </c>
      <c r="U302">
        <v>2.4</v>
      </c>
      <c r="V302">
        <f t="shared" si="62"/>
        <v>7.1999999999999993</v>
      </c>
      <c r="W302">
        <f t="shared" si="57"/>
        <v>0</v>
      </c>
      <c r="X302">
        <v>22</v>
      </c>
    </row>
    <row r="303" spans="16:32" ht="5.0999999999999996" customHeight="1">
      <c r="P303" t="s">
        <v>3097</v>
      </c>
      <c r="R303" t="s">
        <v>589</v>
      </c>
      <c r="S303">
        <v>50</v>
      </c>
      <c r="T303">
        <f t="shared" si="56"/>
        <v>0</v>
      </c>
      <c r="U303">
        <v>2.4</v>
      </c>
      <c r="V303">
        <f t="shared" si="62"/>
        <v>7.1999999999999993</v>
      </c>
      <c r="W303">
        <f t="shared" si="57"/>
        <v>0</v>
      </c>
      <c r="X303">
        <v>1</v>
      </c>
      <c r="Y303" t="s">
        <v>4230</v>
      </c>
      <c r="AA303" t="s">
        <v>589</v>
      </c>
      <c r="AB303">
        <v>0.25</v>
      </c>
      <c r="AC303">
        <f>AB303*Z303</f>
        <v>0</v>
      </c>
      <c r="AD303">
        <v>96</v>
      </c>
      <c r="AF303">
        <f>IF(AA303="A",AD303*Z303,IF((AA303="F"),(AE303*Z303),0))</f>
        <v>0</v>
      </c>
    </row>
    <row r="304" spans="16:32" ht="5.0999999999999996" customHeight="1">
      <c r="P304" t="s">
        <v>4918</v>
      </c>
      <c r="R304" t="s">
        <v>589</v>
      </c>
      <c r="S304">
        <v>100</v>
      </c>
      <c r="T304">
        <f t="shared" si="56"/>
        <v>0</v>
      </c>
      <c r="U304">
        <v>4.8</v>
      </c>
      <c r="V304">
        <f t="shared" si="62"/>
        <v>14.399999999999999</v>
      </c>
      <c r="W304">
        <f t="shared" si="57"/>
        <v>0</v>
      </c>
      <c r="X304">
        <v>2</v>
      </c>
      <c r="Y304" t="s">
        <v>777</v>
      </c>
      <c r="AA304" t="s">
        <v>589</v>
      </c>
      <c r="AB304">
        <v>0.25</v>
      </c>
      <c r="AC304">
        <f>AB304*Z304</f>
        <v>0</v>
      </c>
      <c r="AD304">
        <v>180</v>
      </c>
      <c r="AF304">
        <f>IF(AA304="A",AD304*Z304,IF((AA304="F"),(AE304*Z304),0))</f>
        <v>0</v>
      </c>
    </row>
    <row r="305" spans="16:32" ht="5.0999999999999996" customHeight="1">
      <c r="P305" t="s">
        <v>2879</v>
      </c>
      <c r="R305" t="s">
        <v>589</v>
      </c>
      <c r="S305">
        <v>5</v>
      </c>
      <c r="T305">
        <f t="shared" si="56"/>
        <v>0</v>
      </c>
      <c r="U305">
        <v>0.96</v>
      </c>
      <c r="V305">
        <f t="shared" si="62"/>
        <v>2.88</v>
      </c>
      <c r="W305">
        <f t="shared" si="57"/>
        <v>0</v>
      </c>
      <c r="X305">
        <v>3</v>
      </c>
      <c r="Y305" t="s">
        <v>4231</v>
      </c>
      <c r="AA305" t="s">
        <v>589</v>
      </c>
      <c r="AB305">
        <v>0.25</v>
      </c>
      <c r="AC305">
        <f>AB305*Z305</f>
        <v>0</v>
      </c>
      <c r="AD305">
        <v>260</v>
      </c>
      <c r="AF305">
        <f>IF(AA305="A",AD305*Z305,IF((AA305="F"),(AE305*Z305),0))</f>
        <v>0</v>
      </c>
    </row>
    <row r="306" spans="16:32" ht="5.0999999999999996" customHeight="1">
      <c r="P306" t="s">
        <v>3098</v>
      </c>
      <c r="R306" t="s">
        <v>589</v>
      </c>
      <c r="S306">
        <v>40</v>
      </c>
      <c r="T306">
        <f t="shared" si="56"/>
        <v>0</v>
      </c>
      <c r="U306">
        <v>4.2</v>
      </c>
      <c r="V306">
        <f t="shared" si="62"/>
        <v>12.600000000000001</v>
      </c>
      <c r="W306">
        <f t="shared" si="57"/>
        <v>0</v>
      </c>
      <c r="X306">
        <v>4</v>
      </c>
      <c r="Y306" t="s">
        <v>3010</v>
      </c>
      <c r="AA306" t="s">
        <v>589</v>
      </c>
      <c r="AB306">
        <v>0.25</v>
      </c>
      <c r="AC306">
        <f>AB306*Z306</f>
        <v>0</v>
      </c>
      <c r="AD306">
        <v>400</v>
      </c>
      <c r="AF306">
        <f>IF(AA306="A",AD306*Z306,IF((AA306="F"),(AE306*Z306),0))</f>
        <v>0</v>
      </c>
    </row>
    <row r="307" spans="16:32" ht="5.0999999999999996" customHeight="1">
      <c r="P307" t="s">
        <v>4917</v>
      </c>
      <c r="R307" t="s">
        <v>589</v>
      </c>
      <c r="S307">
        <v>100</v>
      </c>
      <c r="T307">
        <f t="shared" si="56"/>
        <v>0</v>
      </c>
      <c r="U307">
        <v>6</v>
      </c>
      <c r="V307">
        <f t="shared" si="62"/>
        <v>18</v>
      </c>
      <c r="W307">
        <f t="shared" si="57"/>
        <v>0</v>
      </c>
      <c r="X307">
        <v>5</v>
      </c>
      <c r="Y307" t="s">
        <v>4232</v>
      </c>
      <c r="AA307" t="s">
        <v>589</v>
      </c>
      <c r="AB307">
        <v>0.25</v>
      </c>
      <c r="AC307">
        <f>AB307*Z307</f>
        <v>0</v>
      </c>
      <c r="AD307">
        <v>1800</v>
      </c>
      <c r="AF307">
        <f>IF(AA307="A",AD307*Z307,IF((AA307="F"),(AE307*Z307),0))</f>
        <v>0</v>
      </c>
    </row>
    <row r="308" spans="16:32" ht="5.0999999999999996" customHeight="1">
      <c r="P308" t="s">
        <v>4962</v>
      </c>
      <c r="R308" t="s">
        <v>589</v>
      </c>
      <c r="S308">
        <v>2</v>
      </c>
      <c r="T308">
        <f t="shared" si="56"/>
        <v>0</v>
      </c>
      <c r="U308">
        <v>0.48</v>
      </c>
      <c r="V308">
        <v>1.2</v>
      </c>
      <c r="W308">
        <f t="shared" si="57"/>
        <v>0</v>
      </c>
      <c r="X308">
        <v>6</v>
      </c>
    </row>
    <row r="309" spans="16:32" ht="5.0999999999999996" customHeight="1">
      <c r="P309" t="s">
        <v>3413</v>
      </c>
      <c r="R309" t="s">
        <v>589</v>
      </c>
      <c r="S309">
        <v>2</v>
      </c>
      <c r="T309">
        <f t="shared" si="56"/>
        <v>0</v>
      </c>
      <c r="U309">
        <v>2</v>
      </c>
      <c r="W309">
        <f t="shared" si="57"/>
        <v>0</v>
      </c>
    </row>
    <row r="310" spans="16:32" ht="5.0999999999999996" customHeight="1">
      <c r="P310" t="s">
        <v>3099</v>
      </c>
      <c r="R310" t="s">
        <v>589</v>
      </c>
      <c r="S310">
        <v>20</v>
      </c>
      <c r="T310">
        <f t="shared" si="56"/>
        <v>0</v>
      </c>
      <c r="U310">
        <v>2</v>
      </c>
      <c r="V310">
        <v>4.2</v>
      </c>
      <c r="W310">
        <f t="shared" si="57"/>
        <v>0</v>
      </c>
    </row>
    <row r="311" spans="16:32" ht="5.0999999999999996" customHeight="1">
      <c r="P311" t="s">
        <v>4963</v>
      </c>
      <c r="R311" t="s">
        <v>589</v>
      </c>
      <c r="S311">
        <v>2</v>
      </c>
      <c r="T311">
        <f t="shared" si="56"/>
        <v>0</v>
      </c>
      <c r="U311">
        <v>2</v>
      </c>
      <c r="W311">
        <f t="shared" si="57"/>
        <v>0</v>
      </c>
    </row>
    <row r="312" spans="16:32" ht="5.0999999999999996" customHeight="1">
      <c r="P312" t="s">
        <v>4875</v>
      </c>
      <c r="R312" t="s">
        <v>589</v>
      </c>
      <c r="S312">
        <v>25</v>
      </c>
      <c r="T312">
        <f t="shared" si="56"/>
        <v>0</v>
      </c>
      <c r="U312">
        <v>30</v>
      </c>
      <c r="W312">
        <f t="shared" si="57"/>
        <v>0</v>
      </c>
    </row>
    <row r="313" spans="16:32" ht="5.0999999999999996" customHeight="1">
      <c r="P313" t="s">
        <v>266</v>
      </c>
      <c r="Q313" t="s">
        <v>3104</v>
      </c>
      <c r="R313" t="s">
        <v>3720</v>
      </c>
      <c r="S313" t="s">
        <v>2743</v>
      </c>
      <c r="T313" t="s">
        <v>456</v>
      </c>
      <c r="U313" t="s">
        <v>1870</v>
      </c>
      <c r="V313" t="s">
        <v>2746</v>
      </c>
      <c r="W313" t="s">
        <v>3721</v>
      </c>
      <c r="Y313" t="s">
        <v>1756</v>
      </c>
      <c r="Z313" t="s">
        <v>3104</v>
      </c>
      <c r="AA313" t="s">
        <v>3720</v>
      </c>
      <c r="AB313" t="s">
        <v>2743</v>
      </c>
      <c r="AC313" t="s">
        <v>456</v>
      </c>
      <c r="AD313" t="s">
        <v>1870</v>
      </c>
      <c r="AE313" t="s">
        <v>2746</v>
      </c>
      <c r="AF313" t="s">
        <v>3721</v>
      </c>
    </row>
    <row r="314" spans="16:32" ht="5.0999999999999996" customHeight="1">
      <c r="P314" t="s">
        <v>3100</v>
      </c>
      <c r="R314" t="s">
        <v>589</v>
      </c>
      <c r="S314">
        <v>10</v>
      </c>
      <c r="T314">
        <f t="shared" ref="T314:T339" si="63">S314*Q314</f>
        <v>0</v>
      </c>
      <c r="U314">
        <v>7</v>
      </c>
      <c r="W314">
        <f>IF(R314="A",U314*Q314,IF((R314="F"),(V314*Q314),0))</f>
        <v>0</v>
      </c>
      <c r="X314">
        <v>1</v>
      </c>
      <c r="Y314" t="s">
        <v>2757</v>
      </c>
      <c r="AB314">
        <v>20</v>
      </c>
      <c r="AC314">
        <f>AB314*Z314</f>
        <v>0</v>
      </c>
      <c r="AD314">
        <v>600</v>
      </c>
      <c r="AF314">
        <f t="shared" ref="AF314:AF355" si="64">IF(AA314="A",AD314*Z314,IF((AA314="F"),(AE314*Z314),0))</f>
        <v>0</v>
      </c>
    </row>
    <row r="315" spans="16:32" ht="5.0999999999999996" customHeight="1">
      <c r="P315" t="s">
        <v>4167</v>
      </c>
      <c r="R315" t="s">
        <v>589</v>
      </c>
      <c r="S315">
        <v>3</v>
      </c>
      <c r="T315">
        <f t="shared" si="63"/>
        <v>0</v>
      </c>
      <c r="U315">
        <v>2</v>
      </c>
      <c r="W315">
        <f t="shared" ref="W315:W370" si="65">IF(R315="A",U315*Q315,IF((R315="F"),(V315*Q315),0))</f>
        <v>0</v>
      </c>
      <c r="X315">
        <v>2</v>
      </c>
      <c r="Y315" t="s">
        <v>1757</v>
      </c>
      <c r="AA315" t="s">
        <v>589</v>
      </c>
      <c r="AB315">
        <v>15</v>
      </c>
      <c r="AC315">
        <f>AB315*Z315</f>
        <v>0</v>
      </c>
      <c r="AD315">
        <v>800</v>
      </c>
      <c r="AF315">
        <f t="shared" si="64"/>
        <v>0</v>
      </c>
    </row>
    <row r="316" spans="16:32" ht="5.0999999999999996" customHeight="1">
      <c r="P316" t="s">
        <v>3414</v>
      </c>
      <c r="R316" t="s">
        <v>589</v>
      </c>
      <c r="S316">
        <v>2</v>
      </c>
      <c r="T316">
        <f t="shared" si="63"/>
        <v>0</v>
      </c>
      <c r="U316">
        <v>0.18</v>
      </c>
      <c r="W316">
        <f t="shared" si="65"/>
        <v>0</v>
      </c>
      <c r="X316">
        <v>3</v>
      </c>
    </row>
    <row r="317" spans="16:32" ht="5.0999999999999996" customHeight="1">
      <c r="P317" t="s">
        <v>3101</v>
      </c>
      <c r="R317" t="s">
        <v>589</v>
      </c>
      <c r="S317">
        <v>2</v>
      </c>
      <c r="T317">
        <f t="shared" si="63"/>
        <v>0</v>
      </c>
      <c r="U317">
        <v>0.6</v>
      </c>
      <c r="W317">
        <f t="shared" si="65"/>
        <v>0</v>
      </c>
      <c r="X317">
        <v>1</v>
      </c>
      <c r="Y317" t="s">
        <v>1758</v>
      </c>
      <c r="AA317" t="s">
        <v>589</v>
      </c>
      <c r="AB317">
        <v>3</v>
      </c>
      <c r="AC317">
        <f t="shared" ref="AC317:AC325" si="66">AB317*Z317</f>
        <v>0</v>
      </c>
      <c r="AD317">
        <v>11</v>
      </c>
      <c r="AF317">
        <f t="shared" si="64"/>
        <v>0</v>
      </c>
    </row>
    <row r="318" spans="16:32" ht="5.0999999999999996" customHeight="1">
      <c r="P318" t="s">
        <v>3415</v>
      </c>
      <c r="R318" t="s">
        <v>589</v>
      </c>
      <c r="S318">
        <v>2</v>
      </c>
      <c r="T318">
        <f t="shared" si="63"/>
        <v>0</v>
      </c>
      <c r="U318">
        <v>0.6</v>
      </c>
      <c r="W318">
        <f t="shared" si="65"/>
        <v>0</v>
      </c>
      <c r="X318">
        <v>2</v>
      </c>
      <c r="Y318" t="s">
        <v>1759</v>
      </c>
      <c r="AA318" t="s">
        <v>589</v>
      </c>
      <c r="AB318">
        <v>5</v>
      </c>
      <c r="AC318">
        <f t="shared" si="66"/>
        <v>0</v>
      </c>
      <c r="AD318">
        <v>25</v>
      </c>
      <c r="AF318">
        <f t="shared" si="64"/>
        <v>0</v>
      </c>
    </row>
    <row r="319" spans="16:32" ht="5.0999999999999996" customHeight="1">
      <c r="P319" t="s">
        <v>4014</v>
      </c>
      <c r="R319" t="s">
        <v>589</v>
      </c>
      <c r="S319">
        <v>3</v>
      </c>
      <c r="T319">
        <f t="shared" si="63"/>
        <v>0</v>
      </c>
      <c r="U319">
        <v>1.2</v>
      </c>
      <c r="W319">
        <f t="shared" si="65"/>
        <v>0</v>
      </c>
      <c r="X319">
        <v>3</v>
      </c>
      <c r="Y319" t="s">
        <v>1760</v>
      </c>
      <c r="AA319" t="s">
        <v>589</v>
      </c>
      <c r="AB319">
        <v>30</v>
      </c>
      <c r="AC319">
        <f t="shared" si="66"/>
        <v>0</v>
      </c>
      <c r="AD319">
        <v>90</v>
      </c>
      <c r="AF319">
        <f t="shared" si="64"/>
        <v>0</v>
      </c>
    </row>
    <row r="320" spans="16:32" ht="5.0999999999999996" customHeight="1">
      <c r="P320" t="s">
        <v>4920</v>
      </c>
      <c r="R320" t="s">
        <v>589</v>
      </c>
      <c r="S320">
        <v>1</v>
      </c>
      <c r="T320">
        <f t="shared" si="63"/>
        <v>0</v>
      </c>
      <c r="U320">
        <v>0.72</v>
      </c>
      <c r="W320">
        <f t="shared" si="65"/>
        <v>0</v>
      </c>
      <c r="X320">
        <v>4</v>
      </c>
      <c r="Y320" t="s">
        <v>889</v>
      </c>
      <c r="AA320" t="s">
        <v>589</v>
      </c>
      <c r="AB320">
        <v>15</v>
      </c>
      <c r="AC320">
        <f t="shared" si="66"/>
        <v>0</v>
      </c>
      <c r="AD320">
        <v>200</v>
      </c>
      <c r="AF320">
        <f t="shared" si="64"/>
        <v>0</v>
      </c>
    </row>
    <row r="321" spans="16:32" ht="5.0999999999999996" customHeight="1">
      <c r="P321" t="s">
        <v>5506</v>
      </c>
      <c r="R321" t="s">
        <v>589</v>
      </c>
      <c r="S321">
        <v>1</v>
      </c>
      <c r="T321">
        <f t="shared" si="63"/>
        <v>0</v>
      </c>
      <c r="U321">
        <v>1.2</v>
      </c>
      <c r="W321">
        <f t="shared" si="65"/>
        <v>0</v>
      </c>
      <c r="X321">
        <v>5</v>
      </c>
      <c r="Y321" t="s">
        <v>1761</v>
      </c>
      <c r="AA321" t="s">
        <v>589</v>
      </c>
      <c r="AB321">
        <v>1</v>
      </c>
      <c r="AC321">
        <f t="shared" si="66"/>
        <v>0</v>
      </c>
      <c r="AD321">
        <v>10</v>
      </c>
      <c r="AF321">
        <f t="shared" si="64"/>
        <v>0</v>
      </c>
    </row>
    <row r="322" spans="16:32" ht="5.0999999999999996" customHeight="1">
      <c r="P322" t="s">
        <v>4960</v>
      </c>
      <c r="R322" t="s">
        <v>589</v>
      </c>
      <c r="S322">
        <v>1</v>
      </c>
      <c r="T322">
        <f t="shared" si="63"/>
        <v>0</v>
      </c>
      <c r="U322">
        <v>0.6</v>
      </c>
      <c r="W322">
        <f t="shared" si="65"/>
        <v>0</v>
      </c>
      <c r="X322">
        <v>6</v>
      </c>
      <c r="Y322" t="s">
        <v>1762</v>
      </c>
      <c r="AA322" t="s">
        <v>589</v>
      </c>
      <c r="AB322">
        <v>3</v>
      </c>
      <c r="AC322">
        <f t="shared" si="66"/>
        <v>0</v>
      </c>
      <c r="AD322">
        <v>15</v>
      </c>
      <c r="AF322">
        <f t="shared" si="64"/>
        <v>0</v>
      </c>
    </row>
    <row r="323" spans="16:32" ht="5.0999999999999996" customHeight="1">
      <c r="P323" t="s">
        <v>5507</v>
      </c>
      <c r="R323" t="s">
        <v>589</v>
      </c>
      <c r="S323">
        <v>4</v>
      </c>
      <c r="T323">
        <f t="shared" si="63"/>
        <v>0</v>
      </c>
      <c r="U323">
        <v>2</v>
      </c>
      <c r="W323">
        <f t="shared" si="65"/>
        <v>0</v>
      </c>
      <c r="X323">
        <v>7</v>
      </c>
      <c r="Y323" t="s">
        <v>1763</v>
      </c>
      <c r="AA323" t="s">
        <v>589</v>
      </c>
      <c r="AB323">
        <v>5</v>
      </c>
      <c r="AC323">
        <f t="shared" si="66"/>
        <v>0</v>
      </c>
      <c r="AD323">
        <v>20</v>
      </c>
      <c r="AF323">
        <f t="shared" si="64"/>
        <v>0</v>
      </c>
    </row>
    <row r="324" spans="16:32" ht="5.0999999999999996" customHeight="1">
      <c r="P324" t="s">
        <v>5508</v>
      </c>
      <c r="R324" t="s">
        <v>589</v>
      </c>
      <c r="S324">
        <v>2</v>
      </c>
      <c r="T324">
        <f t="shared" si="63"/>
        <v>0</v>
      </c>
      <c r="U324">
        <v>1</v>
      </c>
      <c r="W324">
        <f t="shared" si="65"/>
        <v>0</v>
      </c>
      <c r="X324">
        <v>8</v>
      </c>
      <c r="Y324" t="s">
        <v>1764</v>
      </c>
      <c r="AA324" t="s">
        <v>589</v>
      </c>
      <c r="AB324">
        <v>1</v>
      </c>
      <c r="AC324">
        <f t="shared" si="66"/>
        <v>0</v>
      </c>
      <c r="AD324">
        <v>30</v>
      </c>
      <c r="AF324">
        <f t="shared" si="64"/>
        <v>0</v>
      </c>
    </row>
    <row r="325" spans="16:32" ht="5.0999999999999996" customHeight="1">
      <c r="P325" t="s">
        <v>3416</v>
      </c>
      <c r="R325" t="s">
        <v>589</v>
      </c>
      <c r="S325">
        <v>0.5</v>
      </c>
      <c r="T325">
        <f t="shared" si="63"/>
        <v>0</v>
      </c>
      <c r="U325">
        <v>0.72</v>
      </c>
      <c r="W325">
        <f t="shared" si="65"/>
        <v>0</v>
      </c>
      <c r="X325">
        <v>9</v>
      </c>
      <c r="Y325" t="s">
        <v>1765</v>
      </c>
      <c r="AA325" t="s">
        <v>589</v>
      </c>
      <c r="AB325">
        <v>40</v>
      </c>
      <c r="AC325">
        <f t="shared" si="66"/>
        <v>0</v>
      </c>
      <c r="AD325">
        <v>100</v>
      </c>
      <c r="AF325">
        <f t="shared" si="64"/>
        <v>0</v>
      </c>
    </row>
    <row r="326" spans="16:32" ht="5.0999999999999996" customHeight="1">
      <c r="P326" t="s">
        <v>3417</v>
      </c>
      <c r="R326" t="s">
        <v>589</v>
      </c>
      <c r="S326">
        <v>2</v>
      </c>
      <c r="T326">
        <f t="shared" si="63"/>
        <v>0</v>
      </c>
      <c r="U326">
        <v>1</v>
      </c>
      <c r="W326">
        <f t="shared" si="65"/>
        <v>0</v>
      </c>
      <c r="X326">
        <v>10</v>
      </c>
    </row>
    <row r="327" spans="16:32" ht="5.0999999999999996" customHeight="1">
      <c r="P327" t="s">
        <v>314</v>
      </c>
      <c r="R327" t="s">
        <v>589</v>
      </c>
      <c r="S327">
        <v>1</v>
      </c>
      <c r="T327">
        <f t="shared" si="63"/>
        <v>0</v>
      </c>
      <c r="U327">
        <v>0.12</v>
      </c>
      <c r="W327">
        <f t="shared" si="65"/>
        <v>0</v>
      </c>
      <c r="X327">
        <v>1</v>
      </c>
      <c r="Y327" t="s">
        <v>1766</v>
      </c>
      <c r="AB327">
        <v>1</v>
      </c>
      <c r="AC327">
        <f t="shared" ref="AC327:AC335" si="67">AB327*Z327</f>
        <v>0</v>
      </c>
      <c r="AD327">
        <v>30</v>
      </c>
      <c r="AF327">
        <f t="shared" si="64"/>
        <v>0</v>
      </c>
    </row>
    <row r="328" spans="16:32" ht="5.0999999999999996" customHeight="1">
      <c r="P328" t="s">
        <v>4970</v>
      </c>
      <c r="R328" t="s">
        <v>589</v>
      </c>
      <c r="S328">
        <v>8</v>
      </c>
      <c r="T328">
        <f t="shared" si="63"/>
        <v>0</v>
      </c>
      <c r="U328">
        <v>0.72</v>
      </c>
      <c r="W328">
        <f t="shared" si="65"/>
        <v>0</v>
      </c>
      <c r="X328">
        <v>2</v>
      </c>
      <c r="Y328" t="s">
        <v>1767</v>
      </c>
      <c r="AB328">
        <v>3</v>
      </c>
      <c r="AC328">
        <f t="shared" si="67"/>
        <v>0</v>
      </c>
      <c r="AD328">
        <v>100</v>
      </c>
      <c r="AF328">
        <f t="shared" si="64"/>
        <v>0</v>
      </c>
    </row>
    <row r="329" spans="16:32" ht="5.0999999999999996" customHeight="1">
      <c r="P329" t="s">
        <v>4971</v>
      </c>
      <c r="R329" t="s">
        <v>589</v>
      </c>
      <c r="S329">
        <v>8</v>
      </c>
      <c r="T329">
        <f t="shared" si="63"/>
        <v>0</v>
      </c>
      <c r="U329">
        <v>0.72</v>
      </c>
      <c r="W329">
        <f t="shared" si="65"/>
        <v>0</v>
      </c>
      <c r="X329">
        <v>3</v>
      </c>
      <c r="Y329" t="s">
        <v>4136</v>
      </c>
      <c r="AA329" t="s">
        <v>589</v>
      </c>
      <c r="AB329">
        <v>1</v>
      </c>
      <c r="AC329">
        <f t="shared" si="67"/>
        <v>0</v>
      </c>
      <c r="AD329">
        <v>12</v>
      </c>
      <c r="AF329">
        <f t="shared" si="64"/>
        <v>0</v>
      </c>
    </row>
    <row r="330" spans="16:32" ht="5.0999999999999996" customHeight="1">
      <c r="P330" t="s">
        <v>3266</v>
      </c>
      <c r="R330" t="s">
        <v>589</v>
      </c>
      <c r="S330">
        <v>8</v>
      </c>
      <c r="T330">
        <f t="shared" si="63"/>
        <v>0</v>
      </c>
      <c r="U330">
        <v>0.82</v>
      </c>
      <c r="W330">
        <f t="shared" si="65"/>
        <v>0</v>
      </c>
      <c r="X330">
        <v>4</v>
      </c>
      <c r="Y330" t="s">
        <v>4137</v>
      </c>
      <c r="AA330" t="s">
        <v>589</v>
      </c>
      <c r="AB330">
        <v>1</v>
      </c>
      <c r="AC330">
        <f t="shared" si="67"/>
        <v>0</v>
      </c>
      <c r="AD330">
        <v>1</v>
      </c>
      <c r="AF330">
        <f t="shared" si="64"/>
        <v>0</v>
      </c>
    </row>
    <row r="331" spans="16:32" ht="5.0999999999999996" customHeight="1">
      <c r="P331" t="s">
        <v>3267</v>
      </c>
      <c r="R331" t="s">
        <v>589</v>
      </c>
      <c r="S331">
        <v>8</v>
      </c>
      <c r="T331">
        <f t="shared" si="63"/>
        <v>0</v>
      </c>
      <c r="U331">
        <v>0.9</v>
      </c>
      <c r="W331">
        <f t="shared" si="65"/>
        <v>0</v>
      </c>
      <c r="X331">
        <v>5</v>
      </c>
      <c r="Y331" t="s">
        <v>4455</v>
      </c>
      <c r="AA331" t="s">
        <v>589</v>
      </c>
      <c r="AB331">
        <v>0.5</v>
      </c>
      <c r="AC331">
        <f t="shared" si="67"/>
        <v>0</v>
      </c>
      <c r="AD331">
        <v>3</v>
      </c>
      <c r="AF331">
        <f t="shared" si="64"/>
        <v>0</v>
      </c>
    </row>
    <row r="332" spans="16:32" ht="5.0999999999999996" customHeight="1">
      <c r="P332" t="s">
        <v>2177</v>
      </c>
      <c r="R332" t="s">
        <v>589</v>
      </c>
      <c r="S332">
        <v>8</v>
      </c>
      <c r="T332">
        <f t="shared" si="63"/>
        <v>0</v>
      </c>
      <c r="U332">
        <v>0.95</v>
      </c>
      <c r="W332">
        <f t="shared" si="65"/>
        <v>0</v>
      </c>
      <c r="X332">
        <v>6</v>
      </c>
      <c r="Y332" t="s">
        <v>3400</v>
      </c>
      <c r="AA332" t="s">
        <v>589</v>
      </c>
      <c r="AB332">
        <v>2</v>
      </c>
      <c r="AC332">
        <f t="shared" si="67"/>
        <v>0</v>
      </c>
      <c r="AD332">
        <v>7</v>
      </c>
      <c r="AF332">
        <f t="shared" si="64"/>
        <v>0</v>
      </c>
    </row>
    <row r="333" spans="16:32" ht="5.0999999999999996" customHeight="1">
      <c r="P333" t="s">
        <v>2178</v>
      </c>
      <c r="R333" t="s">
        <v>589</v>
      </c>
      <c r="S333">
        <v>8</v>
      </c>
      <c r="T333">
        <f t="shared" si="63"/>
        <v>0</v>
      </c>
      <c r="U333">
        <v>0.6</v>
      </c>
      <c r="W333">
        <f t="shared" si="65"/>
        <v>0</v>
      </c>
      <c r="X333">
        <v>7</v>
      </c>
      <c r="Y333" t="s">
        <v>816</v>
      </c>
      <c r="AA333" t="s">
        <v>589</v>
      </c>
      <c r="AB333">
        <v>2</v>
      </c>
      <c r="AC333">
        <f t="shared" si="67"/>
        <v>0</v>
      </c>
      <c r="AD333">
        <v>12</v>
      </c>
      <c r="AF333">
        <f t="shared" si="64"/>
        <v>0</v>
      </c>
    </row>
    <row r="334" spans="16:32" ht="5.0999999999999996" customHeight="1">
      <c r="P334" t="s">
        <v>4972</v>
      </c>
      <c r="R334" t="s">
        <v>589</v>
      </c>
      <c r="S334">
        <v>8</v>
      </c>
      <c r="T334">
        <f t="shared" si="63"/>
        <v>0</v>
      </c>
      <c r="U334">
        <v>1</v>
      </c>
      <c r="W334">
        <f t="shared" si="65"/>
        <v>0</v>
      </c>
      <c r="X334">
        <v>8</v>
      </c>
      <c r="Y334" t="s">
        <v>4456</v>
      </c>
      <c r="AA334" t="s">
        <v>589</v>
      </c>
      <c r="AB334">
        <v>1</v>
      </c>
      <c r="AC334">
        <f t="shared" si="67"/>
        <v>0</v>
      </c>
      <c r="AD334">
        <v>10</v>
      </c>
      <c r="AF334">
        <f t="shared" si="64"/>
        <v>0</v>
      </c>
    </row>
    <row r="335" spans="16:32" ht="5.0999999999999996" customHeight="1">
      <c r="P335" t="s">
        <v>2179</v>
      </c>
      <c r="R335" t="s">
        <v>589</v>
      </c>
      <c r="S335">
        <v>8</v>
      </c>
      <c r="T335">
        <f t="shared" si="63"/>
        <v>0</v>
      </c>
      <c r="U335">
        <v>3</v>
      </c>
      <c r="W335">
        <f t="shared" si="65"/>
        <v>0</v>
      </c>
      <c r="X335">
        <v>9</v>
      </c>
      <c r="Y335" t="s">
        <v>4457</v>
      </c>
      <c r="AA335" t="s">
        <v>589</v>
      </c>
      <c r="AB335">
        <v>1</v>
      </c>
      <c r="AC335">
        <f t="shared" si="67"/>
        <v>0</v>
      </c>
      <c r="AD335">
        <v>2</v>
      </c>
      <c r="AF335">
        <f t="shared" si="64"/>
        <v>0</v>
      </c>
    </row>
    <row r="336" spans="16:32" ht="5.0999999999999996" customHeight="1">
      <c r="P336" t="s">
        <v>2180</v>
      </c>
      <c r="R336" t="s">
        <v>589</v>
      </c>
      <c r="S336">
        <v>8</v>
      </c>
      <c r="T336">
        <f t="shared" si="63"/>
        <v>0</v>
      </c>
      <c r="U336">
        <v>5</v>
      </c>
      <c r="W336">
        <f t="shared" si="65"/>
        <v>0</v>
      </c>
      <c r="X336">
        <v>10</v>
      </c>
    </row>
    <row r="337" spans="16:32" ht="5.0999999999999996" customHeight="1">
      <c r="P337" t="s">
        <v>4961</v>
      </c>
      <c r="R337" t="s">
        <v>589</v>
      </c>
      <c r="S337">
        <v>1</v>
      </c>
      <c r="T337">
        <f t="shared" si="63"/>
        <v>0</v>
      </c>
      <c r="U337">
        <v>0.5</v>
      </c>
      <c r="W337">
        <f t="shared" si="65"/>
        <v>0</v>
      </c>
      <c r="X337">
        <v>1</v>
      </c>
      <c r="Y337" t="s">
        <v>4458</v>
      </c>
      <c r="AA337" t="s">
        <v>589</v>
      </c>
      <c r="AB337">
        <v>3</v>
      </c>
      <c r="AC337">
        <f>AB337*Z337</f>
        <v>0</v>
      </c>
      <c r="AD337">
        <v>25</v>
      </c>
      <c r="AF337">
        <f t="shared" si="64"/>
        <v>0</v>
      </c>
    </row>
    <row r="338" spans="16:32" ht="5.0999999999999996" customHeight="1">
      <c r="P338" t="s">
        <v>3418</v>
      </c>
      <c r="R338" t="s">
        <v>589</v>
      </c>
      <c r="S338">
        <v>1</v>
      </c>
      <c r="T338">
        <f t="shared" si="63"/>
        <v>0</v>
      </c>
      <c r="U338">
        <v>0.6</v>
      </c>
      <c r="W338">
        <f t="shared" si="65"/>
        <v>0</v>
      </c>
      <c r="X338">
        <v>2</v>
      </c>
      <c r="Y338" t="s">
        <v>4459</v>
      </c>
      <c r="AA338" t="s">
        <v>589</v>
      </c>
      <c r="AB338">
        <v>0.5</v>
      </c>
      <c r="AC338">
        <f>AB338*Z338</f>
        <v>0</v>
      </c>
      <c r="AD338">
        <v>5</v>
      </c>
      <c r="AF338">
        <f t="shared" si="64"/>
        <v>0</v>
      </c>
    </row>
    <row r="339" spans="16:32" ht="5.0999999999999996" customHeight="1">
      <c r="P339" t="s">
        <v>3419</v>
      </c>
      <c r="R339" t="s">
        <v>589</v>
      </c>
      <c r="S339">
        <v>0.5</v>
      </c>
      <c r="T339">
        <f t="shared" si="63"/>
        <v>0</v>
      </c>
      <c r="U339">
        <v>0.15</v>
      </c>
      <c r="W339">
        <f t="shared" si="65"/>
        <v>0</v>
      </c>
      <c r="X339">
        <v>3</v>
      </c>
      <c r="Y339" t="s">
        <v>4460</v>
      </c>
      <c r="AA339" t="s">
        <v>589</v>
      </c>
      <c r="AB339">
        <v>4</v>
      </c>
      <c r="AC339">
        <f>AB339*Z339</f>
        <v>0</v>
      </c>
      <c r="AD339">
        <v>800</v>
      </c>
      <c r="AF339">
        <f t="shared" si="64"/>
        <v>0</v>
      </c>
    </row>
    <row r="340" spans="16:32" ht="5.0999999999999996" customHeight="1">
      <c r="X340">
        <v>4</v>
      </c>
      <c r="Y340" t="s">
        <v>4461</v>
      </c>
      <c r="AA340" t="s">
        <v>589</v>
      </c>
      <c r="AB340">
        <v>8</v>
      </c>
      <c r="AC340">
        <f>AB340*Z340</f>
        <v>0</v>
      </c>
      <c r="AD340">
        <v>1600</v>
      </c>
      <c r="AF340">
        <f t="shared" si="64"/>
        <v>0</v>
      </c>
    </row>
    <row r="341" spans="16:32" ht="5.0999999999999996" customHeight="1">
      <c r="P341" t="s">
        <v>267</v>
      </c>
      <c r="X341">
        <v>5</v>
      </c>
    </row>
    <row r="342" spans="16:32" ht="5.0999999999999996" customHeight="1">
      <c r="P342" t="s">
        <v>3420</v>
      </c>
      <c r="R342" t="s">
        <v>589</v>
      </c>
      <c r="S342">
        <v>1</v>
      </c>
      <c r="T342">
        <f t="shared" ref="T342:T357" si="68">S342*Q342</f>
        <v>0</v>
      </c>
      <c r="U342">
        <v>0.36</v>
      </c>
      <c r="W342">
        <f t="shared" si="65"/>
        <v>0</v>
      </c>
      <c r="X342">
        <v>1</v>
      </c>
      <c r="Y342" t="s">
        <v>4462</v>
      </c>
      <c r="AA342" t="s">
        <v>589</v>
      </c>
      <c r="AB342">
        <v>15</v>
      </c>
      <c r="AC342">
        <f t="shared" ref="AC342:AC355" si="69">AB342*Z342</f>
        <v>0</v>
      </c>
      <c r="AD342">
        <v>900</v>
      </c>
      <c r="AF342">
        <f t="shared" si="64"/>
        <v>0</v>
      </c>
    </row>
    <row r="343" spans="16:32" ht="5.0999999999999996" customHeight="1">
      <c r="P343" t="s">
        <v>813</v>
      </c>
      <c r="R343" t="s">
        <v>589</v>
      </c>
      <c r="S343">
        <v>5</v>
      </c>
      <c r="T343">
        <f t="shared" si="68"/>
        <v>0</v>
      </c>
      <c r="U343">
        <v>1.4</v>
      </c>
      <c r="W343">
        <f t="shared" si="65"/>
        <v>0</v>
      </c>
      <c r="X343">
        <v>2</v>
      </c>
      <c r="Y343" t="s">
        <v>4463</v>
      </c>
      <c r="AA343" t="s">
        <v>589</v>
      </c>
      <c r="AB343">
        <v>25</v>
      </c>
      <c r="AC343">
        <f t="shared" si="69"/>
        <v>0</v>
      </c>
      <c r="AD343">
        <v>25</v>
      </c>
      <c r="AF343">
        <f t="shared" si="64"/>
        <v>0</v>
      </c>
    </row>
    <row r="344" spans="16:32" ht="5.0999999999999996" customHeight="1">
      <c r="P344" t="s">
        <v>4225</v>
      </c>
      <c r="R344" t="s">
        <v>589</v>
      </c>
      <c r="S344">
        <v>15</v>
      </c>
      <c r="T344">
        <f t="shared" si="68"/>
        <v>0</v>
      </c>
      <c r="U344">
        <v>432</v>
      </c>
      <c r="W344">
        <f t="shared" si="65"/>
        <v>0</v>
      </c>
      <c r="X344">
        <v>3</v>
      </c>
      <c r="Y344" t="s">
        <v>4464</v>
      </c>
      <c r="AA344" t="s">
        <v>589</v>
      </c>
      <c r="AB344">
        <v>10</v>
      </c>
      <c r="AC344">
        <f t="shared" si="69"/>
        <v>0</v>
      </c>
      <c r="AD344">
        <v>300</v>
      </c>
      <c r="AF344">
        <f t="shared" si="64"/>
        <v>0</v>
      </c>
    </row>
    <row r="345" spans="16:32" ht="5.0999999999999996" customHeight="1">
      <c r="P345" t="s">
        <v>2886</v>
      </c>
      <c r="R345" t="s">
        <v>589</v>
      </c>
      <c r="S345">
        <v>5</v>
      </c>
      <c r="T345">
        <f t="shared" si="68"/>
        <v>0</v>
      </c>
      <c r="U345">
        <v>1.9</v>
      </c>
      <c r="W345">
        <f t="shared" si="65"/>
        <v>0</v>
      </c>
      <c r="X345">
        <v>4</v>
      </c>
      <c r="Y345" t="s">
        <v>4465</v>
      </c>
      <c r="AA345" t="s">
        <v>589</v>
      </c>
      <c r="AB345">
        <v>15</v>
      </c>
      <c r="AC345">
        <f t="shared" si="69"/>
        <v>0</v>
      </c>
      <c r="AD345">
        <v>800</v>
      </c>
      <c r="AF345">
        <f t="shared" si="64"/>
        <v>0</v>
      </c>
    </row>
    <row r="346" spans="16:32" ht="5.0999999999999996" customHeight="1">
      <c r="P346" t="s">
        <v>2883</v>
      </c>
      <c r="R346" t="s">
        <v>589</v>
      </c>
      <c r="S346">
        <v>7</v>
      </c>
      <c r="T346">
        <f t="shared" si="68"/>
        <v>0</v>
      </c>
      <c r="U346">
        <v>2.8</v>
      </c>
      <c r="W346">
        <f t="shared" si="65"/>
        <v>0</v>
      </c>
      <c r="X346">
        <v>5</v>
      </c>
      <c r="Y346" t="s">
        <v>4466</v>
      </c>
      <c r="AA346" t="s">
        <v>589</v>
      </c>
      <c r="AB346">
        <v>4</v>
      </c>
      <c r="AC346">
        <f t="shared" si="69"/>
        <v>0</v>
      </c>
      <c r="AD346">
        <v>150</v>
      </c>
      <c r="AF346">
        <f t="shared" si="64"/>
        <v>0</v>
      </c>
    </row>
    <row r="347" spans="16:32" ht="5.0999999999999996" customHeight="1">
      <c r="P347" t="s">
        <v>3421</v>
      </c>
      <c r="R347" t="s">
        <v>589</v>
      </c>
      <c r="S347">
        <v>9</v>
      </c>
      <c r="T347">
        <f t="shared" si="68"/>
        <v>0</v>
      </c>
      <c r="U347">
        <v>3.2</v>
      </c>
      <c r="W347">
        <f t="shared" si="65"/>
        <v>0</v>
      </c>
      <c r="X347">
        <v>6</v>
      </c>
      <c r="Y347" t="s">
        <v>4467</v>
      </c>
      <c r="AA347" t="s">
        <v>589</v>
      </c>
      <c r="AB347">
        <v>1</v>
      </c>
      <c r="AC347">
        <f t="shared" si="69"/>
        <v>0</v>
      </c>
      <c r="AD347">
        <v>20</v>
      </c>
      <c r="AF347">
        <f t="shared" si="64"/>
        <v>0</v>
      </c>
    </row>
    <row r="348" spans="16:32" ht="5.0999999999999996" customHeight="1">
      <c r="P348" t="s">
        <v>3422</v>
      </c>
      <c r="R348" t="s">
        <v>589</v>
      </c>
      <c r="S348">
        <v>16</v>
      </c>
      <c r="T348">
        <f t="shared" si="68"/>
        <v>0</v>
      </c>
      <c r="U348">
        <v>3.6</v>
      </c>
      <c r="W348">
        <f t="shared" si="65"/>
        <v>0</v>
      </c>
      <c r="X348">
        <v>7</v>
      </c>
      <c r="Y348" t="s">
        <v>4468</v>
      </c>
      <c r="AA348" t="s">
        <v>589</v>
      </c>
      <c r="AB348">
        <v>3</v>
      </c>
      <c r="AC348">
        <f t="shared" si="69"/>
        <v>0</v>
      </c>
      <c r="AD348">
        <v>30</v>
      </c>
      <c r="AF348">
        <f t="shared" si="64"/>
        <v>0</v>
      </c>
    </row>
    <row r="349" spans="16:32" ht="5.0999999999999996" customHeight="1">
      <c r="P349" t="s">
        <v>1135</v>
      </c>
      <c r="R349" t="s">
        <v>589</v>
      </c>
      <c r="S349">
        <v>10</v>
      </c>
      <c r="T349">
        <f t="shared" si="68"/>
        <v>0</v>
      </c>
      <c r="U349">
        <v>3.6</v>
      </c>
      <c r="W349">
        <f t="shared" si="65"/>
        <v>0</v>
      </c>
      <c r="X349">
        <v>8</v>
      </c>
      <c r="Y349" t="s">
        <v>4469</v>
      </c>
      <c r="AA349" t="s">
        <v>589</v>
      </c>
      <c r="AB349">
        <v>10</v>
      </c>
      <c r="AC349">
        <f t="shared" si="69"/>
        <v>0</v>
      </c>
      <c r="AD349">
        <v>45</v>
      </c>
      <c r="AF349">
        <f t="shared" si="64"/>
        <v>0</v>
      </c>
    </row>
    <row r="350" spans="16:32" ht="5.0999999999999996" customHeight="1">
      <c r="P350" t="s">
        <v>2134</v>
      </c>
      <c r="R350" t="s">
        <v>589</v>
      </c>
      <c r="S350">
        <v>25</v>
      </c>
      <c r="T350">
        <f t="shared" si="68"/>
        <v>0</v>
      </c>
      <c r="U350">
        <v>10</v>
      </c>
      <c r="W350">
        <f t="shared" si="65"/>
        <v>0</v>
      </c>
      <c r="X350">
        <v>9</v>
      </c>
      <c r="Y350" t="s">
        <v>4470</v>
      </c>
      <c r="AA350" t="s">
        <v>589</v>
      </c>
      <c r="AB350">
        <v>6</v>
      </c>
      <c r="AC350">
        <f t="shared" si="69"/>
        <v>0</v>
      </c>
      <c r="AD350">
        <v>35</v>
      </c>
      <c r="AF350">
        <f t="shared" si="64"/>
        <v>0</v>
      </c>
    </row>
    <row r="351" spans="16:32" ht="5.0999999999999996" customHeight="1">
      <c r="P351" t="s">
        <v>4959</v>
      </c>
      <c r="R351" t="s">
        <v>589</v>
      </c>
      <c r="S351">
        <v>2</v>
      </c>
      <c r="T351">
        <f t="shared" si="68"/>
        <v>0</v>
      </c>
      <c r="U351">
        <v>1</v>
      </c>
      <c r="W351">
        <f t="shared" si="65"/>
        <v>0</v>
      </c>
      <c r="X351">
        <v>10</v>
      </c>
      <c r="Y351" t="s">
        <v>4471</v>
      </c>
      <c r="AA351" t="s">
        <v>589</v>
      </c>
      <c r="AB351">
        <v>10</v>
      </c>
      <c r="AC351">
        <f t="shared" si="69"/>
        <v>0</v>
      </c>
      <c r="AD351">
        <v>500</v>
      </c>
      <c r="AF351">
        <f t="shared" si="64"/>
        <v>0</v>
      </c>
    </row>
    <row r="352" spans="16:32" ht="5.0999999999999996" customHeight="1">
      <c r="P352" t="s">
        <v>1912</v>
      </c>
      <c r="R352" t="s">
        <v>589</v>
      </c>
      <c r="S352">
        <v>4</v>
      </c>
      <c r="T352">
        <f t="shared" si="68"/>
        <v>0</v>
      </c>
      <c r="U352">
        <v>1.8</v>
      </c>
      <c r="W352">
        <f t="shared" si="65"/>
        <v>0</v>
      </c>
      <c r="X352">
        <v>11</v>
      </c>
      <c r="Y352" t="s">
        <v>4472</v>
      </c>
      <c r="AA352" t="s">
        <v>589</v>
      </c>
      <c r="AB352">
        <v>4</v>
      </c>
      <c r="AC352">
        <f t="shared" si="69"/>
        <v>0</v>
      </c>
      <c r="AD352">
        <v>200</v>
      </c>
      <c r="AF352">
        <f t="shared" si="64"/>
        <v>0</v>
      </c>
    </row>
    <row r="353" spans="16:32" ht="5.0999999999999996" customHeight="1">
      <c r="P353" t="s">
        <v>2135</v>
      </c>
      <c r="R353" t="s">
        <v>589</v>
      </c>
      <c r="S353">
        <v>1</v>
      </c>
      <c r="T353">
        <f t="shared" si="68"/>
        <v>0</v>
      </c>
      <c r="U353">
        <v>0.2</v>
      </c>
      <c r="W353">
        <f t="shared" si="65"/>
        <v>0</v>
      </c>
      <c r="X353">
        <v>12</v>
      </c>
      <c r="Y353" t="s">
        <v>886</v>
      </c>
      <c r="AA353" t="s">
        <v>589</v>
      </c>
      <c r="AB353">
        <v>25</v>
      </c>
      <c r="AC353">
        <f t="shared" si="69"/>
        <v>0</v>
      </c>
      <c r="AD353">
        <v>1000</v>
      </c>
      <c r="AF353">
        <f t="shared" si="64"/>
        <v>0</v>
      </c>
    </row>
    <row r="354" spans="16:32" ht="5.0999999999999996" customHeight="1">
      <c r="P354" t="s">
        <v>2136</v>
      </c>
      <c r="R354" t="s">
        <v>589</v>
      </c>
      <c r="S354">
        <v>5</v>
      </c>
      <c r="T354">
        <f t="shared" si="68"/>
        <v>0</v>
      </c>
      <c r="U354">
        <v>0.2</v>
      </c>
      <c r="W354">
        <f t="shared" si="65"/>
        <v>0</v>
      </c>
      <c r="X354">
        <v>13</v>
      </c>
      <c r="Y354" t="s">
        <v>887</v>
      </c>
      <c r="AA354" t="s">
        <v>589</v>
      </c>
      <c r="AB354">
        <v>4</v>
      </c>
      <c r="AC354">
        <f t="shared" si="69"/>
        <v>0</v>
      </c>
      <c r="AD354">
        <v>45</v>
      </c>
      <c r="AF354">
        <f t="shared" si="64"/>
        <v>0</v>
      </c>
    </row>
    <row r="355" spans="16:32" ht="5.0999999999999996" customHeight="1">
      <c r="P355" t="s">
        <v>525</v>
      </c>
      <c r="R355" t="s">
        <v>589</v>
      </c>
      <c r="S355">
        <v>25</v>
      </c>
      <c r="T355">
        <f t="shared" si="68"/>
        <v>0</v>
      </c>
      <c r="U355">
        <v>0.5</v>
      </c>
      <c r="W355">
        <f t="shared" si="65"/>
        <v>0</v>
      </c>
      <c r="X355">
        <v>14</v>
      </c>
      <c r="Y355" t="s">
        <v>888</v>
      </c>
      <c r="AA355" t="s">
        <v>589</v>
      </c>
      <c r="AB355">
        <v>6</v>
      </c>
      <c r="AC355">
        <f t="shared" si="69"/>
        <v>0</v>
      </c>
      <c r="AD355">
        <v>250</v>
      </c>
      <c r="AF355">
        <f t="shared" si="64"/>
        <v>0</v>
      </c>
    </row>
    <row r="356" spans="16:32" ht="5.0999999999999996" customHeight="1">
      <c r="P356" t="s">
        <v>4506</v>
      </c>
      <c r="R356" t="s">
        <v>589</v>
      </c>
      <c r="S356">
        <v>100</v>
      </c>
      <c r="T356">
        <f t="shared" si="68"/>
        <v>0</v>
      </c>
      <c r="U356">
        <v>0.4</v>
      </c>
      <c r="W356">
        <f t="shared" si="65"/>
        <v>0</v>
      </c>
      <c r="X356">
        <v>15</v>
      </c>
    </row>
    <row r="357" spans="16:32" ht="5.0999999999999996" customHeight="1">
      <c r="P357" t="s">
        <v>4507</v>
      </c>
      <c r="R357" t="s">
        <v>589</v>
      </c>
      <c r="S357">
        <v>100</v>
      </c>
      <c r="T357">
        <f t="shared" si="68"/>
        <v>0</v>
      </c>
      <c r="U357">
        <v>0.4</v>
      </c>
      <c r="W357">
        <f t="shared" si="65"/>
        <v>0</v>
      </c>
    </row>
    <row r="358" spans="16:32" ht="5.0999999999999996" customHeight="1"/>
    <row r="359" spans="16:32" ht="5.0999999999999996" customHeight="1">
      <c r="P359" t="s">
        <v>2214</v>
      </c>
    </row>
    <row r="360" spans="16:32" ht="5.0999999999999996" customHeight="1">
      <c r="P360" t="s">
        <v>1035</v>
      </c>
      <c r="R360" t="s">
        <v>589</v>
      </c>
      <c r="S360">
        <v>3</v>
      </c>
      <c r="T360">
        <f t="shared" ref="T360:T391" si="70">S360*Q360</f>
        <v>0</v>
      </c>
      <c r="U360">
        <v>1.8</v>
      </c>
      <c r="W360">
        <f t="shared" si="65"/>
        <v>0</v>
      </c>
    </row>
    <row r="361" spans="16:32" ht="5.0999999999999996" customHeight="1">
      <c r="P361" t="s">
        <v>521</v>
      </c>
      <c r="R361" t="s">
        <v>589</v>
      </c>
      <c r="S361">
        <v>5</v>
      </c>
      <c r="T361">
        <f t="shared" si="70"/>
        <v>0</v>
      </c>
      <c r="U361">
        <v>2.4</v>
      </c>
      <c r="W361">
        <f t="shared" si="65"/>
        <v>0</v>
      </c>
    </row>
    <row r="362" spans="16:32" ht="5.0999999999999996" customHeight="1">
      <c r="P362" t="s">
        <v>522</v>
      </c>
      <c r="R362" t="s">
        <v>589</v>
      </c>
      <c r="S362">
        <v>1.5</v>
      </c>
      <c r="T362">
        <f t="shared" si="70"/>
        <v>0</v>
      </c>
      <c r="U362">
        <v>3</v>
      </c>
      <c r="W362">
        <f t="shared" si="65"/>
        <v>0</v>
      </c>
    </row>
    <row r="363" spans="16:32" ht="5.0999999999999996" customHeight="1">
      <c r="P363" t="s">
        <v>520</v>
      </c>
      <c r="R363" t="s">
        <v>589</v>
      </c>
      <c r="S363">
        <v>3</v>
      </c>
      <c r="T363">
        <f t="shared" si="70"/>
        <v>0</v>
      </c>
      <c r="U363">
        <v>4.8</v>
      </c>
      <c r="W363">
        <f t="shared" si="65"/>
        <v>0</v>
      </c>
    </row>
    <row r="364" spans="16:32" ht="5.0999999999999996" customHeight="1">
      <c r="P364" t="s">
        <v>523</v>
      </c>
      <c r="R364" t="s">
        <v>589</v>
      </c>
      <c r="S364">
        <v>25</v>
      </c>
      <c r="T364">
        <f t="shared" si="70"/>
        <v>0</v>
      </c>
      <c r="U364">
        <v>10.5</v>
      </c>
      <c r="W364">
        <f t="shared" si="65"/>
        <v>0</v>
      </c>
    </row>
    <row r="365" spans="16:32" ht="5.0999999999999996" customHeight="1">
      <c r="P365" t="s">
        <v>524</v>
      </c>
      <c r="R365" t="s">
        <v>589</v>
      </c>
      <c r="S365">
        <v>100</v>
      </c>
      <c r="T365">
        <f t="shared" si="70"/>
        <v>0</v>
      </c>
      <c r="U365">
        <v>30</v>
      </c>
      <c r="W365">
        <f t="shared" si="65"/>
        <v>0</v>
      </c>
    </row>
    <row r="366" spans="16:32" ht="5.0999999999999996" customHeight="1">
      <c r="P366" t="s">
        <v>5234</v>
      </c>
      <c r="R366" t="s">
        <v>589</v>
      </c>
      <c r="S366">
        <v>100</v>
      </c>
      <c r="T366">
        <f t="shared" si="70"/>
        <v>0</v>
      </c>
      <c r="U366">
        <v>12</v>
      </c>
      <c r="W366">
        <f t="shared" si="65"/>
        <v>0</v>
      </c>
    </row>
    <row r="367" spans="16:32" ht="5.0999999999999996" customHeight="1">
      <c r="P367" t="s">
        <v>5235</v>
      </c>
      <c r="R367" t="s">
        <v>589</v>
      </c>
      <c r="S367">
        <v>1000</v>
      </c>
      <c r="T367">
        <f t="shared" si="70"/>
        <v>0</v>
      </c>
      <c r="U367">
        <v>36</v>
      </c>
      <c r="W367">
        <f t="shared" si="65"/>
        <v>0</v>
      </c>
    </row>
    <row r="368" spans="16:32" ht="5.0999999999999996" customHeight="1">
      <c r="P368" t="s">
        <v>5236</v>
      </c>
      <c r="R368" t="s">
        <v>589</v>
      </c>
      <c r="S368">
        <v>1000</v>
      </c>
      <c r="T368">
        <f t="shared" si="70"/>
        <v>0</v>
      </c>
      <c r="U368">
        <v>42</v>
      </c>
      <c r="W368">
        <f t="shared" si="65"/>
        <v>0</v>
      </c>
    </row>
    <row r="369" spans="16:23" ht="5.0999999999999996" customHeight="1">
      <c r="P369" t="s">
        <v>5429</v>
      </c>
      <c r="R369" t="s">
        <v>589</v>
      </c>
      <c r="S369">
        <v>100</v>
      </c>
      <c r="T369">
        <f t="shared" si="70"/>
        <v>0</v>
      </c>
      <c r="U369">
        <v>0.24</v>
      </c>
      <c r="W369">
        <f t="shared" si="65"/>
        <v>0</v>
      </c>
    </row>
    <row r="370" spans="16:23" ht="5.0999999999999996" customHeight="1">
      <c r="P370" t="s">
        <v>526</v>
      </c>
      <c r="R370" t="s">
        <v>589</v>
      </c>
      <c r="S370">
        <v>100</v>
      </c>
      <c r="T370">
        <f t="shared" si="70"/>
        <v>0</v>
      </c>
      <c r="U370">
        <v>0.32</v>
      </c>
      <c r="W370">
        <f t="shared" si="65"/>
        <v>0</v>
      </c>
    </row>
    <row r="371" spans="16:23" ht="5.0999999999999996" customHeight="1">
      <c r="P371" t="s">
        <v>527</v>
      </c>
      <c r="R371" t="s">
        <v>589</v>
      </c>
      <c r="S371">
        <v>100</v>
      </c>
      <c r="T371">
        <f t="shared" si="70"/>
        <v>0</v>
      </c>
      <c r="U371">
        <v>0.32</v>
      </c>
      <c r="W371">
        <f t="shared" ref="W371:W415" si="71">IF(R371="A",U371*Q371,IF((R371="F"),(V371*Q371),0))</f>
        <v>0</v>
      </c>
    </row>
    <row r="372" spans="16:23" ht="5.0999999999999996" customHeight="1">
      <c r="P372" t="s">
        <v>528</v>
      </c>
      <c r="R372" t="s">
        <v>589</v>
      </c>
      <c r="S372">
        <v>5</v>
      </c>
      <c r="T372">
        <f t="shared" si="70"/>
        <v>0</v>
      </c>
      <c r="U372">
        <v>2.7</v>
      </c>
      <c r="W372">
        <f t="shared" si="71"/>
        <v>0</v>
      </c>
    </row>
    <row r="373" spans="16:23" ht="5.0999999999999996" customHeight="1">
      <c r="P373" t="s">
        <v>3408</v>
      </c>
      <c r="R373" t="s">
        <v>589</v>
      </c>
      <c r="S373">
        <v>2</v>
      </c>
      <c r="T373">
        <f t="shared" si="70"/>
        <v>0</v>
      </c>
      <c r="U373">
        <v>0.6</v>
      </c>
      <c r="W373">
        <f t="shared" si="71"/>
        <v>0</v>
      </c>
    </row>
    <row r="374" spans="16:23" ht="5.0999999999999996" customHeight="1">
      <c r="P374" t="s">
        <v>3409</v>
      </c>
      <c r="R374" t="s">
        <v>589</v>
      </c>
      <c r="S374">
        <v>20</v>
      </c>
      <c r="T374">
        <f t="shared" si="70"/>
        <v>0</v>
      </c>
      <c r="U374">
        <v>6</v>
      </c>
      <c r="W374">
        <f t="shared" si="71"/>
        <v>0</v>
      </c>
    </row>
    <row r="375" spans="16:23" ht="5.0999999999999996" customHeight="1">
      <c r="P375" t="s">
        <v>3410</v>
      </c>
      <c r="R375" t="s">
        <v>589</v>
      </c>
      <c r="S375">
        <v>5</v>
      </c>
      <c r="T375">
        <f t="shared" si="70"/>
        <v>0</v>
      </c>
      <c r="U375">
        <v>1.5</v>
      </c>
      <c r="W375">
        <f t="shared" si="71"/>
        <v>0</v>
      </c>
    </row>
    <row r="376" spans="16:23" ht="5.0999999999999996" customHeight="1">
      <c r="P376" t="s">
        <v>3412</v>
      </c>
      <c r="R376" t="s">
        <v>589</v>
      </c>
      <c r="S376">
        <v>5</v>
      </c>
      <c r="T376">
        <f t="shared" si="70"/>
        <v>0</v>
      </c>
      <c r="U376">
        <v>2.4</v>
      </c>
      <c r="W376">
        <f t="shared" si="71"/>
        <v>0</v>
      </c>
    </row>
    <row r="377" spans="16:23" ht="5.0999999999999996" customHeight="1">
      <c r="P377" t="s">
        <v>3411</v>
      </c>
      <c r="R377" t="s">
        <v>589</v>
      </c>
      <c r="S377">
        <v>25</v>
      </c>
      <c r="T377">
        <f t="shared" si="70"/>
        <v>0</v>
      </c>
      <c r="U377">
        <v>6</v>
      </c>
      <c r="W377">
        <f t="shared" si="71"/>
        <v>0</v>
      </c>
    </row>
    <row r="378" spans="16:23" ht="5.0999999999999996" customHeight="1">
      <c r="P378" t="s">
        <v>1033</v>
      </c>
      <c r="R378" t="s">
        <v>589</v>
      </c>
      <c r="S378">
        <v>1</v>
      </c>
      <c r="T378">
        <f t="shared" si="70"/>
        <v>0</v>
      </c>
      <c r="U378">
        <v>1.2</v>
      </c>
      <c r="W378">
        <f t="shared" si="71"/>
        <v>0</v>
      </c>
    </row>
    <row r="379" spans="16:23" ht="5.0999999999999996" customHeight="1">
      <c r="P379" t="s">
        <v>1034</v>
      </c>
      <c r="R379" t="s">
        <v>589</v>
      </c>
      <c r="S379">
        <v>2</v>
      </c>
      <c r="T379">
        <f t="shared" si="70"/>
        <v>0</v>
      </c>
      <c r="U379">
        <v>2</v>
      </c>
      <c r="W379">
        <f t="shared" si="71"/>
        <v>0</v>
      </c>
    </row>
    <row r="380" spans="16:23" ht="5.0999999999999996" customHeight="1">
      <c r="P380" t="s">
        <v>2215</v>
      </c>
      <c r="R380" t="s">
        <v>589</v>
      </c>
      <c r="S380">
        <v>3</v>
      </c>
      <c r="T380">
        <f t="shared" si="70"/>
        <v>0</v>
      </c>
      <c r="U380">
        <v>1.8</v>
      </c>
      <c r="W380">
        <f t="shared" si="71"/>
        <v>0</v>
      </c>
    </row>
    <row r="381" spans="16:23" ht="5.0999999999999996" customHeight="1">
      <c r="P381" t="s">
        <v>2216</v>
      </c>
      <c r="R381" t="s">
        <v>589</v>
      </c>
      <c r="S381">
        <v>8</v>
      </c>
      <c r="T381">
        <f t="shared" si="70"/>
        <v>0</v>
      </c>
      <c r="U381">
        <v>6</v>
      </c>
      <c r="W381">
        <f t="shared" si="71"/>
        <v>0</v>
      </c>
    </row>
    <row r="382" spans="16:23" ht="5.0999999999999996" customHeight="1">
      <c r="P382" t="s">
        <v>3406</v>
      </c>
      <c r="R382" t="s">
        <v>589</v>
      </c>
      <c r="S382">
        <v>10</v>
      </c>
      <c r="T382">
        <f t="shared" si="70"/>
        <v>0</v>
      </c>
      <c r="U382">
        <v>7.2</v>
      </c>
      <c r="W382">
        <f t="shared" si="71"/>
        <v>0</v>
      </c>
    </row>
    <row r="383" spans="16:23" ht="5.0999999999999996" customHeight="1">
      <c r="P383" t="s">
        <v>3407</v>
      </c>
      <c r="R383" t="s">
        <v>589</v>
      </c>
      <c r="S383">
        <v>4</v>
      </c>
      <c r="T383">
        <f t="shared" si="70"/>
        <v>0</v>
      </c>
      <c r="U383">
        <v>1.8</v>
      </c>
      <c r="W383">
        <f t="shared" si="71"/>
        <v>0</v>
      </c>
    </row>
    <row r="384" spans="16:23" ht="5.0999999999999996" customHeight="1">
      <c r="P384" t="s">
        <v>608</v>
      </c>
      <c r="R384" t="s">
        <v>589</v>
      </c>
      <c r="S384">
        <v>0.5</v>
      </c>
      <c r="T384">
        <f t="shared" si="70"/>
        <v>0</v>
      </c>
      <c r="U384">
        <v>0.06</v>
      </c>
      <c r="W384">
        <f t="shared" si="71"/>
        <v>0</v>
      </c>
    </row>
    <row r="385" spans="16:23" ht="5.0999999999999996" customHeight="1">
      <c r="P385" t="s">
        <v>607</v>
      </c>
      <c r="R385" t="s">
        <v>589</v>
      </c>
      <c r="S385">
        <v>100</v>
      </c>
      <c r="T385">
        <f t="shared" si="70"/>
        <v>0</v>
      </c>
      <c r="U385">
        <v>5</v>
      </c>
      <c r="W385">
        <f t="shared" si="71"/>
        <v>0</v>
      </c>
    </row>
    <row r="386" spans="16:23" ht="5.0999999999999996" customHeight="1">
      <c r="P386" t="s">
        <v>4981</v>
      </c>
      <c r="R386" t="s">
        <v>589</v>
      </c>
      <c r="S386">
        <v>25</v>
      </c>
      <c r="T386">
        <f t="shared" si="70"/>
        <v>0</v>
      </c>
      <c r="U386">
        <v>2.5</v>
      </c>
      <c r="W386">
        <f t="shared" si="71"/>
        <v>0</v>
      </c>
    </row>
    <row r="387" spans="16:23" ht="5.0999999999999996" customHeight="1">
      <c r="P387" t="s">
        <v>4982</v>
      </c>
      <c r="R387" t="s">
        <v>589</v>
      </c>
      <c r="S387">
        <v>25</v>
      </c>
      <c r="T387">
        <f t="shared" si="70"/>
        <v>0</v>
      </c>
      <c r="U387">
        <v>25</v>
      </c>
      <c r="W387">
        <f t="shared" si="71"/>
        <v>0</v>
      </c>
    </row>
    <row r="388" spans="16:23" ht="5.0999999999999996" customHeight="1">
      <c r="P388" t="s">
        <v>4983</v>
      </c>
      <c r="R388" t="s">
        <v>589</v>
      </c>
      <c r="S388">
        <v>25</v>
      </c>
      <c r="T388">
        <f t="shared" si="70"/>
        <v>0</v>
      </c>
      <c r="U388">
        <v>25</v>
      </c>
      <c r="W388">
        <f t="shared" si="71"/>
        <v>0</v>
      </c>
    </row>
    <row r="389" spans="16:23" ht="5.0999999999999996" customHeight="1">
      <c r="P389" t="s">
        <v>4984</v>
      </c>
      <c r="R389" t="s">
        <v>589</v>
      </c>
      <c r="S389">
        <v>25</v>
      </c>
      <c r="T389">
        <f t="shared" si="70"/>
        <v>0</v>
      </c>
      <c r="U389">
        <v>25</v>
      </c>
      <c r="W389">
        <f t="shared" si="71"/>
        <v>0</v>
      </c>
    </row>
    <row r="390" spans="16:23" ht="5.0999999999999996" customHeight="1">
      <c r="P390" t="s">
        <v>4223</v>
      </c>
      <c r="R390" t="s">
        <v>589</v>
      </c>
      <c r="S390">
        <v>1</v>
      </c>
      <c r="T390">
        <f t="shared" si="70"/>
        <v>0</v>
      </c>
      <c r="U390">
        <v>15</v>
      </c>
      <c r="W390">
        <f t="shared" si="71"/>
        <v>0</v>
      </c>
    </row>
    <row r="391" spans="16:23" ht="5.0999999999999996" customHeight="1">
      <c r="P391" t="s">
        <v>4224</v>
      </c>
      <c r="R391" t="s">
        <v>589</v>
      </c>
      <c r="S391">
        <v>1</v>
      </c>
      <c r="T391">
        <f t="shared" si="70"/>
        <v>0</v>
      </c>
      <c r="U391">
        <v>225</v>
      </c>
      <c r="W391">
        <f t="shared" si="71"/>
        <v>0</v>
      </c>
    </row>
    <row r="392" spans="16:23" ht="5.0999999999999996" customHeight="1"/>
    <row r="393" spans="16:23" ht="5.0999999999999996" customHeight="1">
      <c r="P393" t="s">
        <v>268</v>
      </c>
    </row>
    <row r="394" spans="16:23" ht="5.0999999999999996" customHeight="1">
      <c r="P394" t="s">
        <v>4976</v>
      </c>
      <c r="R394" t="s">
        <v>589</v>
      </c>
      <c r="S394">
        <v>3</v>
      </c>
      <c r="T394">
        <f t="shared" ref="T394:T404" si="72">S394*Q394</f>
        <v>0</v>
      </c>
      <c r="U394">
        <v>1.2</v>
      </c>
      <c r="W394">
        <f t="shared" si="71"/>
        <v>0</v>
      </c>
    </row>
    <row r="395" spans="16:23" ht="5.0999999999999996" customHeight="1">
      <c r="P395" t="s">
        <v>4977</v>
      </c>
      <c r="R395" t="s">
        <v>589</v>
      </c>
      <c r="S395">
        <v>3</v>
      </c>
      <c r="T395">
        <f t="shared" si="72"/>
        <v>0</v>
      </c>
      <c r="U395">
        <v>1.2</v>
      </c>
      <c r="W395">
        <f t="shared" si="71"/>
        <v>0</v>
      </c>
    </row>
    <row r="396" spans="16:23" ht="5.0999999999999996" customHeight="1">
      <c r="P396" t="s">
        <v>4978</v>
      </c>
      <c r="R396" t="s">
        <v>589</v>
      </c>
      <c r="S396">
        <v>4</v>
      </c>
      <c r="T396">
        <f t="shared" si="72"/>
        <v>0</v>
      </c>
      <c r="U396">
        <v>1.5</v>
      </c>
      <c r="W396">
        <f t="shared" si="71"/>
        <v>0</v>
      </c>
    </row>
    <row r="397" spans="16:23" ht="5.0999999999999996" customHeight="1">
      <c r="P397" t="s">
        <v>4979</v>
      </c>
      <c r="R397" t="s">
        <v>589</v>
      </c>
      <c r="S397">
        <v>4</v>
      </c>
      <c r="T397">
        <f t="shared" si="72"/>
        <v>0</v>
      </c>
      <c r="U397">
        <v>1.4</v>
      </c>
      <c r="W397">
        <f t="shared" si="71"/>
        <v>0</v>
      </c>
    </row>
    <row r="398" spans="16:23" ht="5.0999999999999996" customHeight="1">
      <c r="P398" t="s">
        <v>3404</v>
      </c>
      <c r="R398" t="s">
        <v>589</v>
      </c>
      <c r="S398">
        <v>5</v>
      </c>
      <c r="T398">
        <f t="shared" si="72"/>
        <v>0</v>
      </c>
      <c r="U398">
        <v>1.2</v>
      </c>
      <c r="W398">
        <f t="shared" si="71"/>
        <v>0</v>
      </c>
    </row>
    <row r="399" spans="16:23" ht="5.0999999999999996" customHeight="1">
      <c r="P399" t="s">
        <v>3405</v>
      </c>
      <c r="R399" t="s">
        <v>589</v>
      </c>
      <c r="S399">
        <v>3</v>
      </c>
      <c r="T399">
        <f t="shared" si="72"/>
        <v>0</v>
      </c>
      <c r="U399">
        <v>0.5</v>
      </c>
      <c r="W399">
        <f t="shared" si="71"/>
        <v>0</v>
      </c>
    </row>
    <row r="400" spans="16:23" ht="5.0999999999999996" customHeight="1">
      <c r="P400" t="s">
        <v>1707</v>
      </c>
      <c r="R400" t="s">
        <v>589</v>
      </c>
      <c r="S400">
        <v>3</v>
      </c>
      <c r="T400">
        <f t="shared" si="72"/>
        <v>0</v>
      </c>
      <c r="U400">
        <v>1.2</v>
      </c>
      <c r="W400">
        <f t="shared" si="71"/>
        <v>0</v>
      </c>
    </row>
    <row r="401" spans="16:23" ht="5.0999999999999996" customHeight="1">
      <c r="P401" t="s">
        <v>4980</v>
      </c>
      <c r="R401" t="s">
        <v>589</v>
      </c>
      <c r="S401">
        <v>5</v>
      </c>
      <c r="T401">
        <f t="shared" si="72"/>
        <v>0</v>
      </c>
      <c r="U401">
        <v>1.8</v>
      </c>
      <c r="W401">
        <f t="shared" si="71"/>
        <v>0</v>
      </c>
    </row>
    <row r="402" spans="16:23" ht="5.0999999999999996" customHeight="1">
      <c r="P402" t="s">
        <v>3401</v>
      </c>
      <c r="R402" t="s">
        <v>589</v>
      </c>
      <c r="S402">
        <v>8</v>
      </c>
      <c r="T402">
        <f t="shared" si="72"/>
        <v>0</v>
      </c>
      <c r="U402">
        <v>0.8</v>
      </c>
      <c r="W402">
        <f t="shared" si="71"/>
        <v>0</v>
      </c>
    </row>
    <row r="403" spans="16:23" ht="5.0999999999999996" customHeight="1">
      <c r="P403" t="s">
        <v>3402</v>
      </c>
      <c r="R403" t="s">
        <v>589</v>
      </c>
      <c r="S403">
        <v>50</v>
      </c>
      <c r="T403">
        <f t="shared" si="72"/>
        <v>0</v>
      </c>
      <c r="U403">
        <v>3</v>
      </c>
      <c r="W403">
        <f t="shared" si="71"/>
        <v>0</v>
      </c>
    </row>
    <row r="404" spans="16:23" ht="5.0999999999999996" customHeight="1">
      <c r="P404" t="s">
        <v>3403</v>
      </c>
      <c r="R404" t="s">
        <v>589</v>
      </c>
      <c r="S404">
        <v>25</v>
      </c>
      <c r="T404">
        <f t="shared" si="72"/>
        <v>0</v>
      </c>
      <c r="U404">
        <v>9</v>
      </c>
      <c r="W404">
        <f t="shared" si="71"/>
        <v>0</v>
      </c>
    </row>
    <row r="405" spans="16:23" ht="5.0999999999999996" customHeight="1"/>
    <row r="406" spans="16:23" ht="5.0999999999999996" customHeight="1">
      <c r="P406" t="s">
        <v>4194</v>
      </c>
      <c r="W406">
        <f t="shared" si="71"/>
        <v>0</v>
      </c>
    </row>
    <row r="407" spans="16:23" ht="5.0999999999999996" customHeight="1">
      <c r="P407" t="s">
        <v>1644</v>
      </c>
      <c r="R407" t="s">
        <v>589</v>
      </c>
      <c r="S407">
        <v>6.25E-2</v>
      </c>
      <c r="T407">
        <f t="shared" ref="T407:T415" si="73">S407*Q407</f>
        <v>0</v>
      </c>
      <c r="U407">
        <v>2</v>
      </c>
      <c r="W407">
        <f t="shared" si="71"/>
        <v>0</v>
      </c>
    </row>
    <row r="408" spans="16:23" ht="5.0999999999999996" customHeight="1">
      <c r="P408" t="s">
        <v>1643</v>
      </c>
      <c r="R408" t="s">
        <v>589</v>
      </c>
      <c r="S408">
        <v>6.25E-2</v>
      </c>
      <c r="T408">
        <f t="shared" si="73"/>
        <v>0</v>
      </c>
      <c r="U408">
        <v>2.5</v>
      </c>
      <c r="W408">
        <f t="shared" si="71"/>
        <v>0</v>
      </c>
    </row>
    <row r="409" spans="16:23" ht="5.0999999999999996" customHeight="1">
      <c r="P409" t="s">
        <v>4973</v>
      </c>
      <c r="R409" t="s">
        <v>589</v>
      </c>
      <c r="S409">
        <v>6.25E-2</v>
      </c>
      <c r="T409">
        <f t="shared" si="73"/>
        <v>0</v>
      </c>
      <c r="U409">
        <v>28</v>
      </c>
      <c r="W409">
        <f t="shared" si="71"/>
        <v>0</v>
      </c>
    </row>
    <row r="410" spans="16:23" ht="5.0999999999999996" customHeight="1">
      <c r="P410" t="s">
        <v>2784</v>
      </c>
      <c r="R410" t="s">
        <v>589</v>
      </c>
      <c r="S410">
        <v>6</v>
      </c>
      <c r="T410">
        <f t="shared" si="73"/>
        <v>0</v>
      </c>
      <c r="U410">
        <v>40</v>
      </c>
      <c r="W410">
        <f t="shared" si="71"/>
        <v>0</v>
      </c>
    </row>
    <row r="411" spans="16:23" ht="5.0999999999999996" customHeight="1">
      <c r="P411" t="s">
        <v>4974</v>
      </c>
      <c r="R411" t="s">
        <v>589</v>
      </c>
      <c r="S411">
        <v>25</v>
      </c>
      <c r="T411">
        <f t="shared" si="73"/>
        <v>0</v>
      </c>
      <c r="U411">
        <v>60</v>
      </c>
      <c r="W411">
        <f t="shared" si="71"/>
        <v>0</v>
      </c>
    </row>
    <row r="412" spans="16:23" ht="5.0999999999999996" customHeight="1">
      <c r="P412" t="s">
        <v>4975</v>
      </c>
      <c r="R412" t="s">
        <v>589</v>
      </c>
      <c r="S412">
        <v>25</v>
      </c>
      <c r="T412">
        <f t="shared" si="73"/>
        <v>0</v>
      </c>
      <c r="U412">
        <v>60</v>
      </c>
      <c r="W412">
        <f t="shared" si="71"/>
        <v>0</v>
      </c>
    </row>
    <row r="413" spans="16:23" ht="5.0999999999999996" customHeight="1">
      <c r="P413" t="s">
        <v>5256</v>
      </c>
      <c r="R413" t="s">
        <v>589</v>
      </c>
      <c r="S413">
        <v>20</v>
      </c>
      <c r="T413">
        <f t="shared" si="73"/>
        <v>0</v>
      </c>
      <c r="U413">
        <v>12</v>
      </c>
      <c r="W413">
        <f t="shared" si="71"/>
        <v>0</v>
      </c>
    </row>
    <row r="414" spans="16:23" ht="5.0999999999999996" customHeight="1">
      <c r="P414" t="s">
        <v>2783</v>
      </c>
      <c r="R414" t="s">
        <v>589</v>
      </c>
      <c r="T414">
        <f t="shared" si="73"/>
        <v>0</v>
      </c>
      <c r="U414">
        <v>2.5</v>
      </c>
      <c r="W414">
        <f t="shared" si="71"/>
        <v>0</v>
      </c>
    </row>
    <row r="415" spans="16:23" ht="5.0999999999999996" customHeight="1">
      <c r="P415" t="s">
        <v>1642</v>
      </c>
      <c r="R415" t="s">
        <v>589</v>
      </c>
      <c r="S415">
        <v>6.2399999999999997E-2</v>
      </c>
      <c r="T415">
        <f t="shared" si="73"/>
        <v>0</v>
      </c>
      <c r="U415">
        <v>320</v>
      </c>
      <c r="W415">
        <f t="shared" si="71"/>
        <v>0</v>
      </c>
    </row>
    <row r="416" spans="16:23">
      <c r="T416">
        <f>SUM(T406:T415)</f>
        <v>0</v>
      </c>
    </row>
  </sheetData>
  <phoneticPr fontId="17" type="noConversion"/>
  <pageMargins left="0.75" right="0.75" top="1" bottom="1" header="0.5" footer="0.5"/>
  <pageSetup scale="68" orientation="landscape" verticalDpi="1200" r:id="rId1"/>
  <headerFooter alignWithMargins="0"/>
  <rowBreaks count="1" manualBreakCount="1">
    <brk id="47" max="16383" man="1"/>
  </rowBreaks>
  <legacyDrawing r:id="rId2"/>
</worksheet>
</file>

<file path=xl/worksheets/sheet12.xml><?xml version="1.0" encoding="utf-8"?>
<worksheet xmlns="http://schemas.openxmlformats.org/spreadsheetml/2006/main" xmlns:r="http://schemas.openxmlformats.org/officeDocument/2006/relationships">
  <sheetPr codeName="Sheet6">
    <tabColor theme="3" tint="0.59999389629810485"/>
  </sheetPr>
  <dimension ref="A1:BW318"/>
  <sheetViews>
    <sheetView zoomScale="85" zoomScaleNormal="85" workbookViewId="0">
      <pane ySplit="2" topLeftCell="A3" activePane="bottomLeft" state="frozen"/>
      <selection activeCell="A2" sqref="A2"/>
      <selection pane="bottomLeft" activeCell="A2" sqref="A2"/>
    </sheetView>
  </sheetViews>
  <sheetFormatPr defaultRowHeight="12.75" outlineLevelRow="2" outlineLevelCol="1"/>
  <cols>
    <col min="1" max="1" width="11.42578125" customWidth="1"/>
    <col min="2" max="2" width="4.42578125" customWidth="1"/>
    <col min="3" max="3" width="6.7109375" style="37" customWidth="1"/>
    <col min="4" max="4" width="5.7109375" style="37" customWidth="1"/>
    <col min="5" max="5" width="4.7109375" style="37" customWidth="1"/>
    <col min="6" max="6" width="6.7109375" style="37" customWidth="1"/>
    <col min="7" max="7" width="5.7109375" style="37" customWidth="1"/>
    <col min="8" max="8" width="6.5703125" style="37" customWidth="1"/>
    <col min="9" max="9" width="6.7109375" style="37" customWidth="1"/>
    <col min="10" max="10" width="5.7109375" style="37" customWidth="1"/>
    <col min="11" max="11" width="4.7109375" style="37" customWidth="1"/>
    <col min="12" max="12" width="6.7109375" style="37" customWidth="1"/>
    <col min="13" max="13" width="5.7109375" style="37" customWidth="1"/>
    <col min="14" max="14" width="4.7109375" style="37" customWidth="1"/>
    <col min="15" max="15" width="6.7109375" customWidth="1"/>
    <col min="16" max="16" width="5.7109375" customWidth="1"/>
    <col min="17" max="17" width="4.7109375" customWidth="1"/>
    <col min="18" max="18" width="6.7109375" customWidth="1"/>
    <col min="19" max="19" width="5.7109375" customWidth="1"/>
    <col min="20" max="20" width="4.28515625" bestFit="1" customWidth="1"/>
    <col min="21" max="21" width="6.7109375" customWidth="1"/>
    <col min="22" max="22" width="5.7109375" style="37" customWidth="1"/>
    <col min="23" max="23" width="4.7109375" style="37" customWidth="1"/>
    <col min="24" max="24" width="4.7109375" style="37" hidden="1" customWidth="1"/>
    <col min="25" max="28" width="4.7109375" style="37" customWidth="1"/>
    <col min="29" max="29" width="2.7109375" style="37" customWidth="1"/>
    <col min="30" max="45" width="5.7109375" style="37" customWidth="1" outlineLevel="1"/>
    <col min="46" max="56" width="5.7109375" customWidth="1" outlineLevel="1"/>
    <col min="57" max="57" width="2.7109375" customWidth="1"/>
    <col min="58" max="58" width="5.7109375" customWidth="1"/>
    <col min="59" max="59" width="3.42578125" bestFit="1" customWidth="1"/>
    <col min="60" max="60" width="4.85546875" bestFit="1" customWidth="1"/>
    <col min="61" max="61" width="5.7109375" customWidth="1"/>
    <col min="62" max="62" width="5.28515625" bestFit="1" customWidth="1"/>
    <col min="63" max="63" width="4.42578125" bestFit="1" customWidth="1"/>
    <col min="64" max="64" width="5.7109375" customWidth="1"/>
    <col min="65" max="65" width="4.42578125" bestFit="1" customWidth="1"/>
    <col min="66" max="66" width="5.140625" bestFit="1" customWidth="1"/>
    <col min="67" max="69" width="5" bestFit="1" customWidth="1"/>
    <col min="70" max="72" width="3.5703125" bestFit="1" customWidth="1"/>
    <col min="75" max="75" width="2.28515625" bestFit="1" customWidth="1"/>
  </cols>
  <sheetData>
    <row r="1" spans="1:66" ht="20.25">
      <c r="A1" s="2735" t="s">
        <v>5005</v>
      </c>
      <c r="B1" s="2736"/>
      <c r="C1" s="2737"/>
      <c r="D1" s="2737"/>
      <c r="E1" s="2737"/>
      <c r="F1" s="2737"/>
      <c r="G1" s="2737"/>
      <c r="H1" s="2737"/>
      <c r="I1" s="2737"/>
      <c r="J1" s="2737"/>
      <c r="K1" s="2737"/>
      <c r="L1" s="2737"/>
      <c r="M1" s="2737"/>
      <c r="N1" s="2737"/>
      <c r="O1" s="2737"/>
      <c r="P1" s="2737"/>
      <c r="Q1" s="2737"/>
      <c r="R1" s="2737"/>
      <c r="S1" s="2737"/>
      <c r="T1" s="2737"/>
      <c r="U1" s="2737"/>
      <c r="V1" s="2737"/>
      <c r="W1" s="2737"/>
    </row>
    <row r="2" spans="1:66" ht="25.5">
      <c r="C2" s="537" t="s">
        <v>2801</v>
      </c>
      <c r="D2" s="537" t="s">
        <v>5091</v>
      </c>
      <c r="E2" s="536" t="s">
        <v>3005</v>
      </c>
      <c r="F2" s="530" t="s">
        <v>4731</v>
      </c>
      <c r="G2" s="530" t="s">
        <v>3046</v>
      </c>
      <c r="H2" s="540" t="s">
        <v>2084</v>
      </c>
      <c r="I2" s="530" t="s">
        <v>209</v>
      </c>
      <c r="J2" s="530" t="s">
        <v>4068</v>
      </c>
      <c r="L2" s="6"/>
      <c r="M2" s="6"/>
      <c r="Z2" s="67"/>
      <c r="AD2" s="49" t="s">
        <v>453</v>
      </c>
      <c r="AE2" s="49" t="s">
        <v>5497</v>
      </c>
      <c r="AF2" s="49"/>
      <c r="AG2" s="49"/>
      <c r="AH2" s="49" t="s">
        <v>1295</v>
      </c>
      <c r="AI2" s="49" t="s">
        <v>3589</v>
      </c>
      <c r="AJ2" s="49" t="s">
        <v>3047</v>
      </c>
      <c r="AK2" s="49" t="s">
        <v>5225</v>
      </c>
      <c r="AL2" s="49" t="s">
        <v>940</v>
      </c>
      <c r="AM2" s="49" t="s">
        <v>940</v>
      </c>
      <c r="AN2" s="49" t="s">
        <v>2956</v>
      </c>
      <c r="AO2" s="49" t="s">
        <v>5504</v>
      </c>
      <c r="AP2" s="49" t="s">
        <v>5503</v>
      </c>
      <c r="AQ2" s="49" t="s">
        <v>5503</v>
      </c>
      <c r="AR2" s="49" t="s">
        <v>5498</v>
      </c>
      <c r="AS2" s="49" t="s">
        <v>5499</v>
      </c>
      <c r="AT2" s="28" t="s">
        <v>5502</v>
      </c>
      <c r="AU2" s="49" t="s">
        <v>5503</v>
      </c>
      <c r="AV2" s="49" t="s">
        <v>5502</v>
      </c>
      <c r="AW2" s="49" t="s">
        <v>5502</v>
      </c>
      <c r="AX2" s="28"/>
      <c r="AY2" s="28"/>
      <c r="AZ2" s="28"/>
      <c r="BA2" s="28"/>
      <c r="BB2" s="28"/>
      <c r="BC2" s="28"/>
      <c r="BD2" s="28"/>
    </row>
    <row r="3" spans="1:66" ht="16.5" customHeight="1">
      <c r="A3" s="2706">
        <v>47</v>
      </c>
      <c r="B3" s="1175"/>
      <c r="C3" s="538">
        <f>VLOOKUP(A3,AD5:AU51,13)</f>
        <v>0</v>
      </c>
      <c r="D3" s="539">
        <f>IF(C3+2&gt;10,10,C3+2)</f>
        <v>2</v>
      </c>
      <c r="E3" s="533" t="str">
        <f>IF((A3=47)," ",VLOOKUP(A3,AD5:AQ51,3))</f>
        <v xml:space="preserve"> </v>
      </c>
      <c r="F3" s="531" t="str">
        <f>IF((A3=47)," ",VLOOKUP(E3,'System Lookups'!$J$55:$P$64,4))</f>
        <v xml:space="preserve"> </v>
      </c>
      <c r="G3" s="533" t="str">
        <f>IF((A3=47)," ",VLOOKUP(A3,AD5:AQ51,13))</f>
        <v xml:space="preserve"> </v>
      </c>
      <c r="H3" s="531" t="str">
        <f>IF((A3=47)," ",VLOOKUP(A3,AD5:AQ51,5))</f>
        <v xml:space="preserve"> </v>
      </c>
      <c r="I3" s="531" t="str">
        <f>IF((A3=47)," ",VLOOKUP(A3,AD5:AQ51,6))</f>
        <v xml:space="preserve"> </v>
      </c>
      <c r="J3" s="531" t="str">
        <f>IF((A3=47)," ",VLOOKUP(A3,AD5:AQ51,9))</f>
        <v xml:space="preserve"> </v>
      </c>
      <c r="N3" s="144"/>
      <c r="V3"/>
      <c r="AD3" s="49"/>
      <c r="AE3" s="49"/>
      <c r="AF3" s="49" t="s">
        <v>3005</v>
      </c>
      <c r="AG3" s="49" t="s">
        <v>5500</v>
      </c>
      <c r="AH3" s="49" t="s">
        <v>3006</v>
      </c>
      <c r="AI3" s="49" t="s">
        <v>5216</v>
      </c>
      <c r="AJ3" s="49" t="s">
        <v>5216</v>
      </c>
      <c r="AK3" s="49" t="s">
        <v>3006</v>
      </c>
      <c r="AL3" s="49" t="s">
        <v>2761</v>
      </c>
      <c r="AM3" s="49" t="s">
        <v>1988</v>
      </c>
      <c r="AN3" s="49" t="s">
        <v>1297</v>
      </c>
      <c r="AO3" s="49" t="s">
        <v>1988</v>
      </c>
      <c r="AP3" s="49" t="s">
        <v>5087</v>
      </c>
      <c r="AQ3" s="49" t="s">
        <v>2761</v>
      </c>
      <c r="AR3" s="405" t="s">
        <v>1297</v>
      </c>
      <c r="AS3" s="49" t="s">
        <v>1297</v>
      </c>
      <c r="AT3" s="49" t="s">
        <v>5501</v>
      </c>
      <c r="AU3" s="49" t="s">
        <v>5501</v>
      </c>
      <c r="AV3" s="49" t="s">
        <v>2761</v>
      </c>
      <c r="AW3" s="49" t="s">
        <v>5087</v>
      </c>
      <c r="AX3" s="28"/>
      <c r="AY3" s="28"/>
      <c r="AZ3" s="28">
        <v>1</v>
      </c>
      <c r="BA3" s="516" t="s">
        <v>1576</v>
      </c>
      <c r="BB3" s="28"/>
      <c r="BC3" s="28"/>
      <c r="BD3" s="28"/>
      <c r="BI3" s="9" t="s">
        <v>3492</v>
      </c>
      <c r="BJ3" s="5" t="s">
        <v>511</v>
      </c>
      <c r="BK3" s="5" t="s">
        <v>379</v>
      </c>
      <c r="BM3" s="37"/>
      <c r="BN3" s="37"/>
    </row>
    <row r="4" spans="1:66" ht="9" customHeight="1">
      <c r="A4" s="2751" t="s">
        <v>480</v>
      </c>
      <c r="B4" s="2752"/>
      <c r="C4" s="22" t="str">
        <f>'SA&amp;DD'!D16</f>
        <v>N</v>
      </c>
      <c r="D4" s="18">
        <f>'SA&amp;DD'!G16</f>
        <v>0</v>
      </c>
      <c r="H4" s="123"/>
      <c r="I4"/>
      <c r="J4" s="6"/>
      <c r="K4" s="3" t="s">
        <v>3869</v>
      </c>
      <c r="L4" s="110">
        <f>VLOOKUP(A3,AD5:AU48,12)</f>
        <v>0.1</v>
      </c>
      <c r="N4" s="144"/>
      <c r="O4" s="141"/>
      <c r="P4" s="2"/>
      <c r="Q4" s="1"/>
      <c r="R4" s="47" t="s">
        <v>4200</v>
      </c>
      <c r="S4" s="1"/>
      <c r="V4" s="251" t="s">
        <v>928</v>
      </c>
      <c r="W4" s="576" t="s">
        <v>5613</v>
      </c>
      <c r="Y4" s="2756" t="str">
        <f>IF(ISBLANK(W5), " ",VLOOKUP(W5,AD72:AE81,2))</f>
        <v xml:space="preserve"> </v>
      </c>
      <c r="Z4" s="2757"/>
      <c r="AA4" s="2757"/>
      <c r="AB4" s="2757"/>
      <c r="AC4" s="2758"/>
      <c r="AD4" s="49">
        <v>1</v>
      </c>
      <c r="AE4" s="49">
        <v>2</v>
      </c>
      <c r="AF4" s="49">
        <v>3</v>
      </c>
      <c r="AG4" s="49">
        <v>4</v>
      </c>
      <c r="AH4" s="49">
        <v>5</v>
      </c>
      <c r="AI4" s="49">
        <v>6</v>
      </c>
      <c r="AJ4" s="49">
        <v>7</v>
      </c>
      <c r="AK4" s="49">
        <v>8</v>
      </c>
      <c r="AL4" s="49">
        <v>9</v>
      </c>
      <c r="AM4" s="49">
        <v>10</v>
      </c>
      <c r="AN4" s="49">
        <v>11</v>
      </c>
      <c r="AO4" s="49">
        <v>12</v>
      </c>
      <c r="AP4" s="49">
        <v>13</v>
      </c>
      <c r="AQ4" s="49">
        <v>14</v>
      </c>
      <c r="AR4" s="49">
        <v>15</v>
      </c>
      <c r="AS4" s="49">
        <v>16</v>
      </c>
      <c r="AT4" s="49">
        <v>17</v>
      </c>
      <c r="AU4" s="49">
        <v>18</v>
      </c>
      <c r="AV4" s="49">
        <v>19</v>
      </c>
      <c r="AW4" s="49">
        <v>20</v>
      </c>
      <c r="AX4" s="28"/>
      <c r="AY4" s="28"/>
      <c r="AZ4" s="28">
        <v>2</v>
      </c>
      <c r="BA4" s="516" t="s">
        <v>844</v>
      </c>
      <c r="BB4" s="28"/>
      <c r="BC4" s="28"/>
      <c r="BD4" s="28"/>
      <c r="BI4" s="9" t="s">
        <v>2731</v>
      </c>
      <c r="BJ4" s="5" t="s">
        <v>3593</v>
      </c>
      <c r="BK4" s="5" t="s">
        <v>2724</v>
      </c>
      <c r="BM4" s="37"/>
      <c r="BN4" s="37"/>
    </row>
    <row r="5" spans="1:66" ht="9" customHeight="1">
      <c r="A5" s="2751" t="s">
        <v>3866</v>
      </c>
      <c r="B5" s="2752"/>
      <c r="C5" s="40">
        <f ca="1">SUM(C65:C83)*(VLOOKUP(A3,AD5:AW48,20))+IF('Main Creation Page'!C5=3,VLOOKUP(A3,AD5:AU48,5)/2,IF('Main Creation Page'!C5=4,VLOOKUP(A3,AD5:AU48,5),0))+IF(B51="Y",-10,0)+D4</f>
        <v>0.03</v>
      </c>
      <c r="D5" s="6"/>
      <c r="E5" s="6"/>
      <c r="H5" s="6"/>
      <c r="I5"/>
      <c r="J5" s="3" t="s">
        <v>4604</v>
      </c>
      <c r="K5" s="38"/>
      <c r="L5" s="21">
        <f>-(((+K5+20)-(Experience!$R$15+'Main Creation Page'!$E$15))/100)</f>
        <v>0.01</v>
      </c>
      <c r="N5" s="144"/>
      <c r="O5" s="141"/>
      <c r="P5" s="2705" t="s">
        <v>1298</v>
      </c>
      <c r="Q5" s="1182"/>
      <c r="R5" s="1182"/>
      <c r="S5" s="36">
        <f>C3*0.03</f>
        <v>0</v>
      </c>
      <c r="V5" s="5" t="s">
        <v>258</v>
      </c>
      <c r="W5" s="38"/>
      <c r="Y5" s="2759"/>
      <c r="Z5" s="2760"/>
      <c r="AA5" s="2760"/>
      <c r="AB5" s="2760"/>
      <c r="AC5" s="2761"/>
      <c r="AD5" s="49">
        <v>1</v>
      </c>
      <c r="AE5" s="49" t="str">
        <f>Skills!A670</f>
        <v>Astrologer</v>
      </c>
      <c r="AF5" s="49">
        <f>Skills!V670</f>
        <v>7</v>
      </c>
      <c r="AG5" s="49" t="s">
        <v>5222</v>
      </c>
      <c r="AH5" s="517">
        <f ca="1">Skills!Y670</f>
        <v>0.08</v>
      </c>
      <c r="AI5" s="517">
        <f>Skills!Z670</f>
        <v>0</v>
      </c>
      <c r="AJ5" s="517">
        <f ca="1">Skills!AA670</f>
        <v>0.08</v>
      </c>
      <c r="AK5" s="517">
        <f>IF('Main Creation Page'!$E$6="Poor",0.1,IF('Main Creation Page'!$E$6="Well",0.1,0))</f>
        <v>0.1</v>
      </c>
      <c r="AL5" s="517">
        <f t="shared" ref="AL5:AL50" ca="1" si="0">AK5+AJ5</f>
        <v>0.18</v>
      </c>
      <c r="AM5" s="517">
        <f>Skills!AD670+AK5</f>
        <v>0.1</v>
      </c>
      <c r="AN5" s="517">
        <f t="shared" ref="AN5:AN50" si="1">IF($B$51="Y",$C$51,IF($B$52="Y",$C$52,IF($B$53="Y",$C$53,0)))</f>
        <v>0</v>
      </c>
      <c r="AO5" s="517">
        <f t="shared" ref="AO5:AO50" si="2">AN5+AM5</f>
        <v>0.1</v>
      </c>
      <c r="AP5" s="49">
        <f ca="1">VLOOKUP(AL5*100,magestuff!$B$213:$C$252,2)</f>
        <v>1</v>
      </c>
      <c r="AQ5" s="517">
        <f t="shared" ref="AQ5:AQ50" ca="1" si="3">AL5+AN5</f>
        <v>0.18</v>
      </c>
      <c r="AR5" s="49" t="str">
        <f ca="1">CELL("address",magestuff!B25)</f>
        <v>'[CNS-TR-Master-charsht-September-2015.xlsx]magestuff'!$B$25</v>
      </c>
      <c r="AS5" s="137" t="str">
        <f ca="1">CELL("address",magestuff!B$171)</f>
        <v>'[CNS-TR-Master-charsht-September-2015.xlsx]magestuff'!$B$171</v>
      </c>
      <c r="AT5" s="6" t="str">
        <f>IF(ISNA(Skills!$W670)," ",Skills!$W670)</f>
        <v xml:space="preserve"> </v>
      </c>
      <c r="AU5" s="6" t="str">
        <f>IF(ISNA(Skills!$W670),IF(ISBLANK(Skills!$X670)," ",Skills!$X670),+Skills!$W670+Skills!$X670)</f>
        <v xml:space="preserve"> </v>
      </c>
      <c r="AV5" s="7">
        <f t="shared" ref="AV5:AV50" ca="1" si="4">AH5+IF(AT5=" ",0,AT5*0.03)+AK5</f>
        <v>0.18</v>
      </c>
      <c r="AW5" s="6">
        <f ca="1">VLOOKUP(AV5*100,magestuff!$B$213:$C$247,2)</f>
        <v>1</v>
      </c>
      <c r="AZ5">
        <v>3</v>
      </c>
      <c r="BA5" s="140" t="s">
        <v>847</v>
      </c>
      <c r="BI5" s="3" t="s">
        <v>2732</v>
      </c>
      <c r="BJ5" s="38">
        <v>5</v>
      </c>
      <c r="BK5" s="40">
        <f>BJ5+10</f>
        <v>15</v>
      </c>
      <c r="BM5" s="37"/>
      <c r="BN5" s="37"/>
    </row>
    <row r="6" spans="1:66" ht="9" customHeight="1">
      <c r="A6" s="2751" t="s">
        <v>3867</v>
      </c>
      <c r="B6" s="2752"/>
      <c r="C6" s="40">
        <f ca="1">SUM(D65:D83)*C3+IF('Main Creation Page'!C5=3,VLOOKUP(A3,AD5:AU48,5)/2,IF('Main Creation Page'!C5=4,VLOOKUP(A3,AD5:AU48,5),0))+IF(B51="Y",-10,0)+D4</f>
        <v>0.03</v>
      </c>
      <c r="D6" s="6"/>
      <c r="E6" s="6"/>
      <c r="I6"/>
      <c r="K6" s="251" t="s">
        <v>1976</v>
      </c>
      <c r="L6" s="252" t="str">
        <f>IF(A3&gt;31,"Y","N")</f>
        <v>Y</v>
      </c>
      <c r="N6" s="145"/>
      <c r="O6" s="141"/>
      <c r="P6" s="2705" t="s">
        <v>516</v>
      </c>
      <c r="Q6" s="2705"/>
      <c r="R6" s="2705"/>
      <c r="S6" s="36">
        <f ca="1">Skills!AA143*0.1</f>
        <v>2E-3</v>
      </c>
      <c r="V6"/>
      <c r="W6" s="37">
        <v>28</v>
      </c>
      <c r="AA6" s="2743" t="s">
        <v>4055</v>
      </c>
      <c r="AB6" s="2743"/>
      <c r="AC6" s="2743"/>
      <c r="AD6" s="6">
        <v>2</v>
      </c>
      <c r="AE6" s="6" t="str">
        <f>Skills!A672</f>
        <v>Jewelsmith</v>
      </c>
      <c r="AF6" s="6">
        <f>Skills!V672</f>
        <v>7</v>
      </c>
      <c r="AG6" s="6" t="s">
        <v>5222</v>
      </c>
      <c r="AH6" s="7">
        <f ca="1">Skills!Y672</f>
        <v>0.08</v>
      </c>
      <c r="AI6" s="7">
        <f>Skills!Z672</f>
        <v>0</v>
      </c>
      <c r="AJ6" s="7">
        <f ca="1">Skills!AA672</f>
        <v>0.08</v>
      </c>
      <c r="AK6" s="7">
        <f>IF('Main Creation Page'!$E$6="Poor",0.1,IF('Main Creation Page'!$E$6="Well",0.1,0))</f>
        <v>0.1</v>
      </c>
      <c r="AL6" s="7">
        <f t="shared" ca="1" si="0"/>
        <v>0.18</v>
      </c>
      <c r="AM6" s="7">
        <f>Skills!AD672+AK6</f>
        <v>0.1</v>
      </c>
      <c r="AN6" s="7">
        <f t="shared" si="1"/>
        <v>0</v>
      </c>
      <c r="AO6" s="7">
        <f t="shared" si="2"/>
        <v>0.1</v>
      </c>
      <c r="AP6" s="6">
        <f ca="1">VLOOKUP(AL6*100,magestuff!$B$213:$C$252,2)</f>
        <v>1</v>
      </c>
      <c r="AQ6" s="7">
        <f t="shared" ca="1" si="3"/>
        <v>0.18</v>
      </c>
      <c r="AR6" s="37" t="str">
        <f ca="1">CELL("address",magestuff!N25)</f>
        <v>'[CNS-TR-Master-charsht-September-2015.xlsx]magestuff'!$N$25</v>
      </c>
      <c r="AS6" s="137" t="str">
        <f ca="1">CELL("address",magestuff!D$171)</f>
        <v>'[CNS-TR-Master-charsht-September-2015.xlsx]magestuff'!$D$171</v>
      </c>
      <c r="AT6" s="6" t="str">
        <f>IF(ISNA(Skills!$W672)," ",Skills!$W672)</f>
        <v xml:space="preserve"> </v>
      </c>
      <c r="AU6" s="6" t="str">
        <f>IF(ISNA(Skills!$W672),IF(ISBLANK(Skills!$X672)," ",Skills!$X672),+Skills!$W672+Skills!$X672)</f>
        <v xml:space="preserve"> </v>
      </c>
      <c r="AV6" s="7">
        <f t="shared" ca="1" si="4"/>
        <v>0.18</v>
      </c>
      <c r="AW6" s="6">
        <f ca="1">VLOOKUP(AV6*100,magestuff!$B$213:$C$247,2)</f>
        <v>1</v>
      </c>
      <c r="AZ6">
        <v>4</v>
      </c>
      <c r="BA6" s="140" t="s">
        <v>848</v>
      </c>
      <c r="BI6" s="3" t="s">
        <v>3493</v>
      </c>
      <c r="BJ6" s="38">
        <v>5</v>
      </c>
      <c r="BK6" s="40">
        <f>BJ6+10</f>
        <v>15</v>
      </c>
      <c r="BM6" s="37"/>
      <c r="BN6" s="37"/>
    </row>
    <row r="7" spans="1:66" ht="9" customHeight="1">
      <c r="A7" s="31"/>
      <c r="B7" s="31"/>
      <c r="C7" s="6"/>
      <c r="D7" s="6"/>
      <c r="F7" s="3" t="s">
        <v>3976</v>
      </c>
      <c r="I7" s="6"/>
      <c r="N7" s="144"/>
      <c r="O7" s="141"/>
      <c r="P7" s="2705" t="s">
        <v>517</v>
      </c>
      <c r="Q7" s="2705"/>
      <c r="R7" s="2705"/>
      <c r="S7" s="36">
        <f ca="1">Skills!AA731*0.1</f>
        <v>1.0000000000000002E-2</v>
      </c>
      <c r="V7"/>
      <c r="AA7" s="2762"/>
      <c r="AB7" s="2762"/>
      <c r="AC7" s="2762"/>
      <c r="AD7" s="6">
        <v>3</v>
      </c>
      <c r="AE7" s="6" t="str">
        <f>Skills!A673</f>
        <v>Joiner</v>
      </c>
      <c r="AF7" s="6">
        <f>Skills!V673</f>
        <v>7</v>
      </c>
      <c r="AG7" s="6" t="s">
        <v>5222</v>
      </c>
      <c r="AH7" s="7">
        <f ca="1">Skills!Y673</f>
        <v>0.08</v>
      </c>
      <c r="AI7" s="7">
        <f>Skills!Z673</f>
        <v>0</v>
      </c>
      <c r="AJ7" s="7">
        <f ca="1">Skills!AA673</f>
        <v>0.08</v>
      </c>
      <c r="AK7" s="7">
        <f>IF('Main Creation Page'!$E$6="Poor",0.1,IF('Main Creation Page'!$E$6="Well",0.1,0))</f>
        <v>0.1</v>
      </c>
      <c r="AL7" s="7">
        <f t="shared" ca="1" si="0"/>
        <v>0.18</v>
      </c>
      <c r="AM7" s="7">
        <f>Skills!AD673+AK7</f>
        <v>0.1</v>
      </c>
      <c r="AN7" s="7">
        <f t="shared" si="1"/>
        <v>0</v>
      </c>
      <c r="AO7" s="7">
        <f t="shared" si="2"/>
        <v>0.1</v>
      </c>
      <c r="AP7" s="6">
        <f ca="1">VLOOKUP(AL7*100,magestuff!$B$213:$C$252,2)</f>
        <v>1</v>
      </c>
      <c r="AQ7" s="7">
        <f t="shared" ca="1" si="3"/>
        <v>0.18</v>
      </c>
      <c r="AR7" s="37" t="str">
        <f ca="1">CELL("address",magestuff!$CT$25)</f>
        <v>'[CNS-TR-Master-charsht-September-2015.xlsx]magestuff'!$CT$25</v>
      </c>
      <c r="AS7" s="137" t="str">
        <f ca="1">CELL("address",magestuff!BN$171)</f>
        <v>'[CNS-TR-Master-charsht-September-2015.xlsx]magestuff'!$BN$171</v>
      </c>
      <c r="AT7" s="6" t="str">
        <f>IF(ISNA(Skills!$W673)," ",Skills!$W673)</f>
        <v xml:space="preserve"> </v>
      </c>
      <c r="AU7" s="6" t="str">
        <f>IF(ISNA(Skills!$W673),IF(ISBLANK(Skills!$X673)," ",Skills!$X673),+Skills!$W673+Skills!$X673)</f>
        <v xml:space="preserve"> </v>
      </c>
      <c r="AV7" s="7">
        <f t="shared" ca="1" si="4"/>
        <v>0.18</v>
      </c>
      <c r="AW7" s="6">
        <f ca="1">VLOOKUP(AV7*100,magestuff!$B$213:$C$247,2)</f>
        <v>1</v>
      </c>
      <c r="AZ7">
        <v>5</v>
      </c>
      <c r="BA7" s="140" t="s">
        <v>845</v>
      </c>
      <c r="BI7" s="3" t="s">
        <v>213</v>
      </c>
      <c r="BJ7" s="38">
        <v>15</v>
      </c>
      <c r="BK7" s="21">
        <f>(+BJ7+50)/100</f>
        <v>0.65</v>
      </c>
      <c r="BM7" s="37"/>
      <c r="BN7" s="37"/>
    </row>
    <row r="8" spans="1:66" ht="9" customHeight="1">
      <c r="A8" s="2773" t="s">
        <v>5056</v>
      </c>
      <c r="B8" s="2752"/>
      <c r="C8" s="38">
        <v>50</v>
      </c>
      <c r="D8" s="18" t="str">
        <f>IF(C8&gt;34,"N","Y")</f>
        <v>N</v>
      </c>
      <c r="E8" s="40" t="str">
        <f>IF(A3=8,"Y","N")</f>
        <v>N</v>
      </c>
      <c r="F8" s="490">
        <f>IF(E8="Y",AM14,0)</f>
        <v>0</v>
      </c>
      <c r="I8" s="6"/>
      <c r="N8" s="144"/>
      <c r="O8" s="37"/>
      <c r="R8" s="47" t="s">
        <v>1294</v>
      </c>
      <c r="V8"/>
      <c r="AA8" s="2763"/>
      <c r="AB8" s="2763"/>
      <c r="AC8" s="2763"/>
      <c r="AD8" s="6">
        <v>4</v>
      </c>
      <c r="AE8" s="6" t="str">
        <f>Skills!A674</f>
        <v>Mason</v>
      </c>
      <c r="AF8" s="6">
        <f>Skills!V674</f>
        <v>7</v>
      </c>
      <c r="AG8" s="6" t="s">
        <v>5222</v>
      </c>
      <c r="AH8" s="7">
        <f ca="1">Skills!Y674</f>
        <v>0.12</v>
      </c>
      <c r="AI8" s="7">
        <f>Skills!Z674</f>
        <v>0</v>
      </c>
      <c r="AJ8" s="7">
        <f ca="1">Skills!AA674</f>
        <v>0.12</v>
      </c>
      <c r="AK8" s="7">
        <f>IF('Main Creation Page'!$E$6="Poor",0.1,IF('Main Creation Page'!$E$6="Well",0.1,0))</f>
        <v>0.1</v>
      </c>
      <c r="AL8" s="7">
        <f t="shared" ca="1" si="0"/>
        <v>0.22</v>
      </c>
      <c r="AM8" s="7">
        <f>Skills!AD674+AK8</f>
        <v>0.1</v>
      </c>
      <c r="AN8" s="7">
        <f t="shared" si="1"/>
        <v>0</v>
      </c>
      <c r="AO8" s="7">
        <f t="shared" si="2"/>
        <v>0.1</v>
      </c>
      <c r="AP8" s="6">
        <f ca="1">VLOOKUP(AL8*100,magestuff!$B$213:$C$252,2)</f>
        <v>2</v>
      </c>
      <c r="AQ8" s="7">
        <f t="shared" ca="1" si="3"/>
        <v>0.22</v>
      </c>
      <c r="AR8" s="37" t="str">
        <f ca="1">CELL("address",magestuff!$CH$25)</f>
        <v>'[CNS-TR-Master-charsht-September-2015.xlsx]magestuff'!$CH$25</v>
      </c>
      <c r="AS8" s="137" t="str">
        <f ca="1">CELL("address",magestuff!BP$171)</f>
        <v>'[CNS-TR-Master-charsht-September-2015.xlsx]magestuff'!$BP$171</v>
      </c>
      <c r="AT8" s="6" t="str">
        <f>IF(ISNA(Skills!$W674)," ",Skills!$W674)</f>
        <v xml:space="preserve"> </v>
      </c>
      <c r="AU8" s="6" t="str">
        <f>IF(ISNA(Skills!$W674),IF(ISBLANK(Skills!$X674)," ",Skills!$X674),+Skills!$W674+Skills!$X674)</f>
        <v xml:space="preserve"> </v>
      </c>
      <c r="AV8" s="7">
        <f t="shared" ca="1" si="4"/>
        <v>0.22</v>
      </c>
      <c r="AW8" s="6">
        <f ca="1">VLOOKUP(AV8*100,magestuff!$B$213:$C$247,2)</f>
        <v>2</v>
      </c>
      <c r="AZ8">
        <v>6</v>
      </c>
      <c r="BA8" s="140" t="s">
        <v>846</v>
      </c>
      <c r="BI8" s="3" t="s">
        <v>2761</v>
      </c>
      <c r="BJ8" s="38">
        <v>15</v>
      </c>
      <c r="BK8" s="21">
        <f ca="1">BJ8/100+AJ12</f>
        <v>0.22999999999999998</v>
      </c>
      <c r="BM8" s="37"/>
      <c r="BN8" s="37"/>
    </row>
    <row r="9" spans="1:66" ht="9" customHeight="1">
      <c r="A9" s="2751" t="s">
        <v>1637</v>
      </c>
      <c r="B9" s="2752"/>
      <c r="C9" s="40">
        <f>C3</f>
        <v>0</v>
      </c>
      <c r="D9" s="5" t="s">
        <v>5057</v>
      </c>
      <c r="E9" s="6"/>
      <c r="G9" s="6"/>
      <c r="H9" s="6"/>
      <c r="I9" s="6"/>
      <c r="J9" s="2770" t="s">
        <v>3792</v>
      </c>
      <c r="K9" s="2716"/>
      <c r="L9" s="2717"/>
      <c r="N9" s="144"/>
      <c r="O9" s="37"/>
      <c r="Q9" s="5"/>
      <c r="R9" s="3" t="s">
        <v>4199</v>
      </c>
      <c r="S9" s="21" t="str">
        <f>IF($D$8="Y",0.03, " ")</f>
        <v xml:space="preserve"> </v>
      </c>
      <c r="T9" s="5" t="str">
        <f>IF(D8="Y","+Crit Die for spells w/healing properties", " ")</f>
        <v xml:space="preserve"> </v>
      </c>
      <c r="V9"/>
      <c r="AC9"/>
      <c r="AD9" s="6">
        <v>5</v>
      </c>
      <c r="AE9" s="6" t="str">
        <f>Skills!A675</f>
        <v>Metalsmith</v>
      </c>
      <c r="AF9" s="6">
        <f>Skills!V675</f>
        <v>7</v>
      </c>
      <c r="AG9" s="6" t="s">
        <v>5222</v>
      </c>
      <c r="AH9" s="7">
        <f ca="1">Skills!Y675</f>
        <v>0.12</v>
      </c>
      <c r="AI9" s="7">
        <f>Skills!Z675</f>
        <v>0</v>
      </c>
      <c r="AJ9" s="7">
        <f ca="1">Skills!AA675</f>
        <v>0.12</v>
      </c>
      <c r="AK9" s="7">
        <f>IF('Main Creation Page'!$E$6="Poor",0.1,IF('Main Creation Page'!$E$6="Well",0.1,0))</f>
        <v>0.1</v>
      </c>
      <c r="AL9" s="7">
        <f t="shared" ca="1" si="0"/>
        <v>0.22</v>
      </c>
      <c r="AM9" s="7">
        <f>Skills!AD675+AK9</f>
        <v>0.1</v>
      </c>
      <c r="AN9" s="7">
        <f t="shared" si="1"/>
        <v>0</v>
      </c>
      <c r="AO9" s="7">
        <f t="shared" si="2"/>
        <v>0.1</v>
      </c>
      <c r="AP9" s="6">
        <f ca="1">VLOOKUP(AL9*100,magestuff!$B$213:$C$252,2)</f>
        <v>2</v>
      </c>
      <c r="AQ9" s="7">
        <f t="shared" ca="1" si="3"/>
        <v>0.22</v>
      </c>
      <c r="AR9" s="37" t="str">
        <f ca="1">CELL("address",magestuff!AL25)</f>
        <v>'[CNS-TR-Master-charsht-September-2015.xlsx]magestuff'!$AL$25</v>
      </c>
      <c r="AS9" s="137" t="str">
        <f ca="1">CELL("address",magestuff!H$171)</f>
        <v>'[CNS-TR-Master-charsht-September-2015.xlsx]magestuff'!$H$171</v>
      </c>
      <c r="AT9" s="6" t="str">
        <f>IF(ISNA(Skills!$W675)," ",Skills!$W675)</f>
        <v xml:space="preserve"> </v>
      </c>
      <c r="AU9" s="6" t="str">
        <f>IF(ISNA(Skills!$W675),IF(ISBLANK(Skills!$X675)," ",Skills!$X675),+Skills!$W675+Skills!$X675)</f>
        <v xml:space="preserve"> </v>
      </c>
      <c r="AV9" s="7">
        <f t="shared" ca="1" si="4"/>
        <v>0.22</v>
      </c>
      <c r="AW9" s="6">
        <f ca="1">VLOOKUP(AV9*100,magestuff!$B$213:$C$247,2)</f>
        <v>2</v>
      </c>
      <c r="AZ9">
        <v>7</v>
      </c>
      <c r="BA9" s="140" t="s">
        <v>1577</v>
      </c>
      <c r="BI9" s="3" t="s">
        <v>3494</v>
      </c>
      <c r="BJ9" s="18">
        <f>BK5*3</f>
        <v>45</v>
      </c>
      <c r="BK9" s="249">
        <v>1</v>
      </c>
      <c r="BL9" s="490">
        <f>VLOOKUP(BK9,'System Lookups'!$J$55:$P$64,4)+$BJ$11</f>
        <v>1.05</v>
      </c>
      <c r="BM9" s="249">
        <v>6</v>
      </c>
      <c r="BN9" s="490">
        <f>VLOOKUP(BM9,'System Lookups'!$J$55:$P$64,4)+$BJ$11</f>
        <v>0.55000000000000004</v>
      </c>
    </row>
    <row r="10" spans="1:66" ht="9" customHeight="1">
      <c r="A10" s="31"/>
      <c r="B10" s="31"/>
      <c r="C10" s="6"/>
      <c r="D10" s="6"/>
      <c r="E10" s="6"/>
      <c r="J10" s="2734" t="s">
        <v>940</v>
      </c>
      <c r="K10" s="2730"/>
      <c r="L10" s="40">
        <f>Experience!R24</f>
        <v>3.8333333333333335</v>
      </c>
      <c r="N10" s="144"/>
      <c r="O10" s="37"/>
      <c r="P10" s="5"/>
      <c r="R10" s="47" t="s">
        <v>2699</v>
      </c>
      <c r="V10"/>
      <c r="AD10" s="6">
        <v>6</v>
      </c>
      <c r="AE10" s="6" t="str">
        <f>Skills!A676</f>
        <v>Mechanical</v>
      </c>
      <c r="AF10" s="6">
        <f>Skills!V676</f>
        <v>7</v>
      </c>
      <c r="AG10" s="6" t="s">
        <v>5222</v>
      </c>
      <c r="AH10" s="7">
        <f ca="1">Skills!Y676</f>
        <v>0.1</v>
      </c>
      <c r="AI10" s="7">
        <f>Skills!Z676</f>
        <v>0</v>
      </c>
      <c r="AJ10" s="7">
        <f ca="1">Skills!AA676</f>
        <v>0.1</v>
      </c>
      <c r="AK10" s="7">
        <f>IF('Main Creation Page'!$E$6="Poor",0.1,IF('Main Creation Page'!$E$6="Well",0.1,0))</f>
        <v>0.1</v>
      </c>
      <c r="AL10" s="7">
        <f t="shared" ca="1" si="0"/>
        <v>0.2</v>
      </c>
      <c r="AM10" s="7">
        <f>Skills!AD676+AK10</f>
        <v>0.1</v>
      </c>
      <c r="AN10" s="7">
        <f t="shared" si="1"/>
        <v>0</v>
      </c>
      <c r="AO10" s="7">
        <f t="shared" si="2"/>
        <v>0.1</v>
      </c>
      <c r="AP10" s="6">
        <f ca="1">VLOOKUP(AL10*100,magestuff!$B$213:$C$252,2)</f>
        <v>1</v>
      </c>
      <c r="AQ10" s="7">
        <f t="shared" ca="1" si="3"/>
        <v>0.2</v>
      </c>
      <c r="AR10" s="37" t="str">
        <f ca="1">CELL("address",magestuff!Z25)</f>
        <v>'[CNS-TR-Master-charsht-September-2015.xlsx]magestuff'!$Z$25</v>
      </c>
      <c r="AS10" s="137" t="str">
        <f ca="1">CELL("address",magestuff!F$171)</f>
        <v>'[CNS-TR-Master-charsht-September-2015.xlsx]magestuff'!$F$171</v>
      </c>
      <c r="AT10" s="6" t="str">
        <f>IF(ISNA(Skills!$W676)," ",Skills!$W676)</f>
        <v xml:space="preserve"> </v>
      </c>
      <c r="AU10" s="6" t="str">
        <f>IF(ISNA(Skills!$W676),IF(ISBLANK(Skills!$X676)," ",Skills!$X676),+Skills!$W676+Skills!$X676)</f>
        <v xml:space="preserve"> </v>
      </c>
      <c r="AV10" s="7">
        <f t="shared" ca="1" si="4"/>
        <v>0.2</v>
      </c>
      <c r="AW10" s="6">
        <f ca="1">VLOOKUP(AV10*100,magestuff!$B$213:$C$247,2)</f>
        <v>1</v>
      </c>
      <c r="AZ10">
        <v>8</v>
      </c>
      <c r="BA10" s="140" t="s">
        <v>1579</v>
      </c>
      <c r="BI10" s="251" t="s">
        <v>3491</v>
      </c>
      <c r="BJ10" s="59">
        <f>INT(+BJ9/2)</f>
        <v>22</v>
      </c>
      <c r="BK10" s="249">
        <v>2</v>
      </c>
      <c r="BL10" s="490">
        <f>VLOOKUP(BK10,'System Lookups'!$J$55:$P$64,4)+$BJ$11</f>
        <v>0.95</v>
      </c>
      <c r="BM10" s="249">
        <v>7</v>
      </c>
      <c r="BN10" s="490">
        <f>VLOOKUP(BM10,'System Lookups'!$J$55:$P$64,4)+$BJ$11</f>
        <v>0.52</v>
      </c>
    </row>
    <row r="11" spans="1:66" ht="9" customHeight="1">
      <c r="A11" s="2751" t="s">
        <v>1638</v>
      </c>
      <c r="B11" s="2752"/>
      <c r="C11" s="5" t="s">
        <v>3785</v>
      </c>
      <c r="D11" s="6"/>
      <c r="E11" s="6"/>
      <c r="J11" s="2734" t="s">
        <v>4273</v>
      </c>
      <c r="K11" s="2730"/>
      <c r="L11" s="40">
        <f>L10+4</f>
        <v>7.8333333333333339</v>
      </c>
      <c r="N11" s="144"/>
      <c r="O11" s="37"/>
      <c r="Q11" s="5"/>
      <c r="R11" s="3" t="s">
        <v>4199</v>
      </c>
      <c r="S11" s="21" t="str">
        <f>IF($D$8="Y",0.03, " ")</f>
        <v xml:space="preserve"> </v>
      </c>
      <c r="T11" s="5" t="str">
        <f>IF(D8="Y","+Crit Die", " ")</f>
        <v xml:space="preserve"> </v>
      </c>
      <c r="V11"/>
      <c r="AD11" s="6">
        <v>7</v>
      </c>
      <c r="AE11" s="6" t="str">
        <f>Skills!A677</f>
        <v>Blade Dancer</v>
      </c>
      <c r="AF11" s="6">
        <f>Skills!V677</f>
        <v>7</v>
      </c>
      <c r="AG11" s="6" t="s">
        <v>5222</v>
      </c>
      <c r="AH11" s="7">
        <f ca="1">Skills!Y677</f>
        <v>0.08</v>
      </c>
      <c r="AI11" s="7">
        <f>Skills!Z677</f>
        <v>0</v>
      </c>
      <c r="AJ11" s="7">
        <f ca="1">Skills!AA677</f>
        <v>0.08</v>
      </c>
      <c r="AK11" s="7">
        <f>IF('Main Creation Page'!$E$6="Poor",0.1,IF('Main Creation Page'!$E$6="Well",0.1,0))</f>
        <v>0.1</v>
      </c>
      <c r="AL11" s="7">
        <f t="shared" ca="1" si="0"/>
        <v>0.18</v>
      </c>
      <c r="AM11" s="7">
        <f>Skills!AD677+AK11</f>
        <v>0.1</v>
      </c>
      <c r="AN11" s="7">
        <f t="shared" si="1"/>
        <v>0</v>
      </c>
      <c r="AO11" s="7">
        <f t="shared" si="2"/>
        <v>0.1</v>
      </c>
      <c r="AP11" s="6">
        <f ca="1">VLOOKUP(AL11*100,magestuff!$B$213:$C$252,2)</f>
        <v>1</v>
      </c>
      <c r="AQ11" s="7">
        <f t="shared" ca="1" si="3"/>
        <v>0.18</v>
      </c>
      <c r="AR11" s="37" t="str">
        <f ca="1">CELL("address",magestuff!AX25)</f>
        <v>'[CNS-TR-Master-charsht-September-2015.xlsx]magestuff'!$AX$25</v>
      </c>
      <c r="AS11" s="137" t="str">
        <f ca="1">CELL("address",magestuff!J$171)</f>
        <v>'[CNS-TR-Master-charsht-September-2015.xlsx]magestuff'!$J$171</v>
      </c>
      <c r="AT11" s="6" t="str">
        <f>IF(ISNA(Skills!$W677)," ",Skills!$W677)</f>
        <v xml:space="preserve"> </v>
      </c>
      <c r="AU11" s="6" t="str">
        <f>IF(ISNA(Skills!$W677),IF(ISBLANK(Skills!$X677)," ",Skills!$X677),+Skills!$W677+Skills!$X677)</f>
        <v xml:space="preserve"> </v>
      </c>
      <c r="AV11" s="7">
        <f t="shared" ca="1" si="4"/>
        <v>0.18</v>
      </c>
      <c r="AW11" s="6">
        <f ca="1">VLOOKUP(AV11*100,magestuff!$B$213:$C$247,2)</f>
        <v>1</v>
      </c>
      <c r="AZ11">
        <v>9</v>
      </c>
      <c r="BA11" s="140" t="s">
        <v>849</v>
      </c>
      <c r="BI11" s="3" t="s">
        <v>3495</v>
      </c>
      <c r="BJ11" s="492">
        <f>BK5*3/100</f>
        <v>0.45</v>
      </c>
      <c r="BK11" s="249">
        <v>3</v>
      </c>
      <c r="BL11" s="490">
        <f>VLOOKUP(BK11,'System Lookups'!$J$55:$P$64,4)+$BJ$11</f>
        <v>0.85000000000000009</v>
      </c>
      <c r="BM11" s="249">
        <v>8</v>
      </c>
      <c r="BN11" s="490">
        <f>VLOOKUP(BM11,'System Lookups'!$J$55:$P$64,4)+$BJ$11</f>
        <v>0.48</v>
      </c>
    </row>
    <row r="12" spans="1:66" ht="9" customHeight="1">
      <c r="A12" s="31"/>
      <c r="B12" s="31"/>
      <c r="C12" s="6" t="s">
        <v>3787</v>
      </c>
      <c r="D12" s="6" t="s">
        <v>3786</v>
      </c>
      <c r="E12" s="6" t="s">
        <v>3793</v>
      </c>
      <c r="G12" s="6" t="s">
        <v>1070</v>
      </c>
      <c r="H12" s="3"/>
      <c r="J12" s="2734" t="s">
        <v>2363</v>
      </c>
      <c r="K12" s="2730"/>
      <c r="L12" s="40">
        <f>L10+2</f>
        <v>5.8333333333333339</v>
      </c>
      <c r="N12" s="144"/>
      <c r="O12" s="37"/>
      <c r="P12" s="5"/>
      <c r="R12" s="3" t="s">
        <v>4198</v>
      </c>
      <c r="S12" s="21">
        <f>IF(Skills!H737="Y",IF(Skills!H722="Y",0.07,0),0)</f>
        <v>0</v>
      </c>
      <c r="V12"/>
      <c r="AD12" s="6">
        <v>8</v>
      </c>
      <c r="AE12" s="6" t="str">
        <f>Skills!A678</f>
        <v>Conjuration</v>
      </c>
      <c r="AF12" s="6">
        <f>Skills!V678</f>
        <v>7</v>
      </c>
      <c r="AG12" s="6" t="s">
        <v>5222</v>
      </c>
      <c r="AH12" s="7">
        <f ca="1">Skills!Y678</f>
        <v>0.08</v>
      </c>
      <c r="AI12" s="7">
        <f>Skills!Z678</f>
        <v>0</v>
      </c>
      <c r="AJ12" s="7">
        <f ca="1">Skills!AA678</f>
        <v>0.08</v>
      </c>
      <c r="AK12" s="7">
        <f>IF('Main Creation Page'!$E$6="Poor",0.1,IF('Main Creation Page'!$E$6="Well",0.1,0))</f>
        <v>0.1</v>
      </c>
      <c r="AL12" s="7">
        <f t="shared" ca="1" si="0"/>
        <v>0.18</v>
      </c>
      <c r="AM12" s="7">
        <f>Skills!AD678+AK12</f>
        <v>0.1</v>
      </c>
      <c r="AN12" s="7">
        <f t="shared" si="1"/>
        <v>0</v>
      </c>
      <c r="AO12" s="7">
        <f t="shared" si="2"/>
        <v>0.1</v>
      </c>
      <c r="AP12" s="6">
        <f ca="1">VLOOKUP(AL12*100,magestuff!$B$213:$C$252,2)</f>
        <v>1</v>
      </c>
      <c r="AQ12" s="7">
        <f t="shared" ca="1" si="3"/>
        <v>0.18</v>
      </c>
      <c r="AR12" s="37" t="str">
        <f ca="1">CELL("address",magestuff!BJ25)</f>
        <v>'[CNS-TR-Master-charsht-September-2015.xlsx]magestuff'!$BJ$25</v>
      </c>
      <c r="AS12" s="137" t="str">
        <f ca="1">CELL("address",magestuff!L$171)</f>
        <v>'[CNS-TR-Master-charsht-September-2015.xlsx]magestuff'!$L$171</v>
      </c>
      <c r="AT12" s="6" t="str">
        <f>IF(ISNA(Skills!$W678)," ",Skills!$W678)</f>
        <v xml:space="preserve"> </v>
      </c>
      <c r="AU12" s="6" t="str">
        <f>IF(ISNA(Skills!$W678),IF(ISBLANK(Skills!$X678)," ",Skills!$X678),+Skills!$W678+Skills!$X678)</f>
        <v xml:space="preserve"> </v>
      </c>
      <c r="AV12" s="7">
        <f t="shared" ca="1" si="4"/>
        <v>0.18</v>
      </c>
      <c r="AW12" s="6">
        <f ca="1">VLOOKUP(AV12*100,magestuff!$B$213:$C$247,2)</f>
        <v>1</v>
      </c>
      <c r="AZ12">
        <v>10</v>
      </c>
      <c r="BA12" s="140" t="s">
        <v>1580</v>
      </c>
      <c r="BK12" s="249">
        <v>4</v>
      </c>
      <c r="BL12" s="490">
        <f>VLOOKUP(BK12,'System Lookups'!$J$55:$P$64,4)+$BJ$11</f>
        <v>0.75</v>
      </c>
      <c r="BM12" s="249">
        <v>9</v>
      </c>
      <c r="BN12" s="490">
        <f>VLOOKUP(BM12,'System Lookups'!$J$55:$P$64,4)+$BJ$11</f>
        <v>0.47000000000000003</v>
      </c>
    </row>
    <row r="13" spans="1:66" ht="9.9499999999999993" customHeight="1">
      <c r="A13" s="31"/>
      <c r="B13" s="31"/>
      <c r="C13" s="18" t="str">
        <f>IF(G13="Y","N","Y")</f>
        <v>Y</v>
      </c>
      <c r="D13" s="22" t="str">
        <f>VLOOKUP(A3,AD5:AS48,4)</f>
        <v>Y</v>
      </c>
      <c r="E13" s="38" t="s">
        <v>5222</v>
      </c>
      <c r="G13" s="38" t="s">
        <v>5224</v>
      </c>
      <c r="H13" s="5" t="s">
        <v>256</v>
      </c>
      <c r="N13" s="144"/>
      <c r="O13" s="37"/>
      <c r="R13" s="47" t="s">
        <v>1881</v>
      </c>
      <c r="V13"/>
      <c r="AD13" s="6">
        <v>9</v>
      </c>
      <c r="AE13" s="6" t="s">
        <v>1558</v>
      </c>
      <c r="AF13" s="6">
        <f>Skills!V679</f>
        <v>7</v>
      </c>
      <c r="AG13" s="6" t="s">
        <v>5222</v>
      </c>
      <c r="AH13" s="7">
        <f ca="1">Skills!Y679</f>
        <v>0.06</v>
      </c>
      <c r="AI13" s="7">
        <f>Skills!Z679</f>
        <v>0</v>
      </c>
      <c r="AJ13" s="7">
        <f ca="1">Skills!AA679</f>
        <v>0.06</v>
      </c>
      <c r="AK13" s="7">
        <f>IF('Main Creation Page'!$E$6="Poor",0.1,IF('Main Creation Page'!$E$6="Well",0.1,0))</f>
        <v>0.1</v>
      </c>
      <c r="AL13" s="7">
        <f t="shared" ca="1" si="0"/>
        <v>0.16</v>
      </c>
      <c r="AM13" s="7">
        <f>Skills!AD679+AK13</f>
        <v>0.1</v>
      </c>
      <c r="AN13" s="7">
        <f t="shared" si="1"/>
        <v>0</v>
      </c>
      <c r="AO13" s="7">
        <f t="shared" si="2"/>
        <v>0.1</v>
      </c>
      <c r="AP13" s="6">
        <f ca="1">VLOOKUP(AL13*100,magestuff!$B$213:$C$252,2)</f>
        <v>1</v>
      </c>
      <c r="AQ13" s="7">
        <f t="shared" ca="1" si="3"/>
        <v>0.16</v>
      </c>
      <c r="AR13" s="37" t="str">
        <f ca="1">CELL("address",magestuff!BJ3)</f>
        <v>'[CNS-TR-Master-charsht-September-2015.xlsx]magestuff'!$BJ$3</v>
      </c>
      <c r="AS13" s="137" t="str">
        <f ca="1">CELL("address",magestuff!N$171)</f>
        <v>'[CNS-TR-Master-charsht-September-2015.xlsx]magestuff'!$N$171</v>
      </c>
      <c r="AT13" s="6" t="str">
        <f>IF(ISNA(Skills!$W679)," ",Skills!$W679)</f>
        <v xml:space="preserve"> </v>
      </c>
      <c r="AU13" s="6" t="str">
        <f>IF(ISNA(Skills!$W679),IF(ISBLANK(Skills!$X679)," ",Skills!$X679),+Skills!$W679+Skills!$X679)</f>
        <v xml:space="preserve"> </v>
      </c>
      <c r="AV13" s="7">
        <f t="shared" ca="1" si="4"/>
        <v>0.16</v>
      </c>
      <c r="AW13" s="6">
        <f ca="1">VLOOKUP(AV13*100,magestuff!$B$213:$C$247,2)</f>
        <v>1</v>
      </c>
      <c r="AZ13">
        <v>11</v>
      </c>
      <c r="BA13" s="140" t="s">
        <v>1581</v>
      </c>
      <c r="BK13" s="249">
        <v>5</v>
      </c>
      <c r="BL13" s="490">
        <f>VLOOKUP(BK13,'System Lookups'!$J$55:$P$64,4)+$BJ$11</f>
        <v>0.65</v>
      </c>
      <c r="BM13" s="249">
        <v>10</v>
      </c>
      <c r="BN13" s="490">
        <f>VLOOKUP(BM13,'System Lookups'!$J$55:$P$64,4)+$BJ$11</f>
        <v>0.46</v>
      </c>
    </row>
    <row r="14" spans="1:66" ht="9.9499999999999993" customHeight="1">
      <c r="A14" s="31"/>
      <c r="B14" s="197" t="s">
        <v>4270</v>
      </c>
      <c r="C14" s="40">
        <f>IF(D13="Y",IF(E13="N",IF((21-C3)&lt;1,1,21-C3),IF((13-C3)&lt;1,1,13-C3)),10)</f>
        <v>13</v>
      </c>
      <c r="D14" s="5" t="s">
        <v>3244</v>
      </c>
      <c r="E14" s="6"/>
      <c r="G14" s="38">
        <v>50</v>
      </c>
      <c r="H14" s="5" t="s">
        <v>258</v>
      </c>
      <c r="I14" s="11"/>
      <c r="J14" s="2742" t="s">
        <v>430</v>
      </c>
      <c r="K14" s="2743"/>
      <c r="L14" s="2744"/>
      <c r="N14" s="146"/>
      <c r="O14" s="37"/>
      <c r="R14" s="3" t="s">
        <v>3960</v>
      </c>
      <c r="S14" s="21">
        <f>'Main Creation Page'!E14/100</f>
        <v>0.17</v>
      </c>
      <c r="V14"/>
      <c r="AD14" s="6">
        <v>10</v>
      </c>
      <c r="AE14" s="6" t="str">
        <f>Skills!A680</f>
        <v>Divination</v>
      </c>
      <c r="AF14" s="6">
        <f>Skills!V680</f>
        <v>6</v>
      </c>
      <c r="AG14" s="6" t="s">
        <v>5222</v>
      </c>
      <c r="AH14" s="7">
        <f ca="1">Skills!Y680</f>
        <v>0.1</v>
      </c>
      <c r="AI14" s="7">
        <f>Skills!Z680</f>
        <v>0</v>
      </c>
      <c r="AJ14" s="7">
        <f ca="1">Skills!AA680</f>
        <v>0.1</v>
      </c>
      <c r="AK14" s="7">
        <f>IF('Main Creation Page'!$E$6="Poor",0.1,IF('Main Creation Page'!$E$6="Well",0.1,0))</f>
        <v>0.1</v>
      </c>
      <c r="AL14" s="7">
        <f t="shared" ca="1" si="0"/>
        <v>0.2</v>
      </c>
      <c r="AM14" s="7">
        <f>Skills!AD680+AK13</f>
        <v>0.1</v>
      </c>
      <c r="AN14" s="7">
        <f t="shared" si="1"/>
        <v>0</v>
      </c>
      <c r="AO14" s="7">
        <f t="shared" si="2"/>
        <v>0.1</v>
      </c>
      <c r="AP14" s="6">
        <f ca="1">VLOOKUP(AL14*100,magestuff!$B$213:$C$252,2)</f>
        <v>1</v>
      </c>
      <c r="AQ14" s="7">
        <f t="shared" ca="1" si="3"/>
        <v>0.2</v>
      </c>
      <c r="AR14" s="37" t="str">
        <f ca="1">CELL("address",magestuff!BV25)</f>
        <v>'[CNS-TR-Master-charsht-September-2015.xlsx]magestuff'!$BV$25</v>
      </c>
      <c r="AS14" s="137" t="str">
        <f ca="1">CELL("address",magestuff!P$171)</f>
        <v>'[CNS-TR-Master-charsht-September-2015.xlsx]magestuff'!$P$171</v>
      </c>
      <c r="AT14" s="6" t="str">
        <f>IF(ISNA(Skills!$W680)," ",Skills!$W680)</f>
        <v xml:space="preserve"> </v>
      </c>
      <c r="AU14" s="6" t="str">
        <f>IF(ISNA(Skills!$W680),IF(ISBLANK(Skills!$X680)," ",Skills!$X680),+Skills!$W680+Skills!$X680)</f>
        <v xml:space="preserve"> </v>
      </c>
      <c r="AV14" s="7">
        <f t="shared" ca="1" si="4"/>
        <v>0.2</v>
      </c>
      <c r="AW14" s="6">
        <f ca="1">VLOOKUP(AV14*100,magestuff!$B$213:$C$247,2)</f>
        <v>1</v>
      </c>
      <c r="AZ14">
        <v>12</v>
      </c>
      <c r="BA14" s="140" t="s">
        <v>2899</v>
      </c>
    </row>
    <row r="15" spans="1:66" ht="9" customHeight="1">
      <c r="A15" s="31"/>
      <c r="B15" s="197" t="s">
        <v>3243</v>
      </c>
      <c r="C15" s="40">
        <f>IF(C14="N/A","N/A",+C14*D3)</f>
        <v>26</v>
      </c>
      <c r="D15" s="3"/>
      <c r="E15" s="6"/>
      <c r="G15" s="22" t="str">
        <f ca="1">IF(G14&gt;=VLOOKUP(A3,AD5:AU48,9),"Y","N")</f>
        <v>Y</v>
      </c>
      <c r="H15" s="5" t="s">
        <v>3793</v>
      </c>
      <c r="J15" s="2745"/>
      <c r="K15" s="2746"/>
      <c r="L15" s="2747"/>
      <c r="N15" s="147"/>
      <c r="O15" s="37"/>
      <c r="R15" s="3" t="s">
        <v>862</v>
      </c>
      <c r="S15" s="202">
        <v>-0.1</v>
      </c>
      <c r="V15"/>
      <c r="AD15" s="6">
        <v>11</v>
      </c>
      <c r="AE15" s="6" t="str">
        <f>Skills!A682</f>
        <v>Hexmaster</v>
      </c>
      <c r="AF15" s="6">
        <f>Skills!V682</f>
        <v>7</v>
      </c>
      <c r="AG15" s="6" t="s">
        <v>5222</v>
      </c>
      <c r="AH15" s="7">
        <f ca="1">Skills!Y682</f>
        <v>0.08</v>
      </c>
      <c r="AI15" s="7">
        <f>Skills!Z682</f>
        <v>0</v>
      </c>
      <c r="AJ15" s="7">
        <f ca="1">Skills!AA682</f>
        <v>0.08</v>
      </c>
      <c r="AK15" s="7">
        <f>IF('Main Creation Page'!$E$6="Poor",0.1,IF('Main Creation Page'!$E$6="Well",0.1,0))</f>
        <v>0.1</v>
      </c>
      <c r="AL15" s="7">
        <f t="shared" ca="1" si="0"/>
        <v>0.18</v>
      </c>
      <c r="AM15" s="7">
        <f>Skills!AD682+AK14</f>
        <v>0.1</v>
      </c>
      <c r="AN15" s="7">
        <f t="shared" si="1"/>
        <v>0</v>
      </c>
      <c r="AO15" s="7">
        <f t="shared" si="2"/>
        <v>0.1</v>
      </c>
      <c r="AP15" s="6">
        <f ca="1">VLOOKUP(AL15*100,magestuff!$B$213:$C$252,2)</f>
        <v>1</v>
      </c>
      <c r="AQ15" s="7">
        <f t="shared" ca="1" si="3"/>
        <v>0.18</v>
      </c>
      <c r="AR15" s="37" t="str">
        <f ca="1">CELL("address",magestuff!N47)</f>
        <v>'[CNS-TR-Master-charsht-September-2015.xlsx]magestuff'!$N$47</v>
      </c>
      <c r="AS15" s="137" t="str">
        <f ca="1">CELL("address",magestuff!T$171)</f>
        <v>'[CNS-TR-Master-charsht-September-2015.xlsx]magestuff'!$T$171</v>
      </c>
      <c r="AT15" s="6" t="str">
        <f>IF(ISNA(Skills!$W682)," ",Skills!$W682)</f>
        <v xml:space="preserve"> </v>
      </c>
      <c r="AU15" s="6" t="str">
        <f>IF(ISNA(Skills!$W682),IF(ISBLANK(Skills!$X682)," ",Skills!$X682),+Skills!$W682+Skills!$X682)</f>
        <v xml:space="preserve"> </v>
      </c>
      <c r="AV15" s="7">
        <f t="shared" ca="1" si="4"/>
        <v>0.18</v>
      </c>
      <c r="AW15" s="6">
        <f ca="1">VLOOKUP(AV15*100,magestuff!$B$213:$C$247,2)</f>
        <v>1</v>
      </c>
      <c r="AZ15">
        <v>13</v>
      </c>
      <c r="BA15" s="140" t="s">
        <v>1583</v>
      </c>
    </row>
    <row r="16" spans="1:66" ht="9" customHeight="1">
      <c r="A16" s="31"/>
      <c r="B16" s="197" t="s">
        <v>3245</v>
      </c>
      <c r="C16" s="6"/>
      <c r="D16" s="6"/>
      <c r="E16" s="6"/>
      <c r="G16" s="22" t="str">
        <f ca="1">IF(G15="Y",IF(C3&lt;3,"Y","N"),"N")</f>
        <v>Y</v>
      </c>
      <c r="H16" s="5" t="s">
        <v>5093</v>
      </c>
      <c r="J16" s="37">
        <v>2</v>
      </c>
      <c r="N16" s="144"/>
      <c r="O16" s="37"/>
      <c r="R16" s="47" t="s">
        <v>1883</v>
      </c>
      <c r="V16"/>
      <c r="AD16" s="6">
        <v>12</v>
      </c>
      <c r="AE16" s="6" t="str">
        <f>Skills!A683</f>
        <v>Armourer Magus</v>
      </c>
      <c r="AF16" s="6">
        <f>Skills!V683</f>
        <v>7</v>
      </c>
      <c r="AG16" s="6" t="s">
        <v>5222</v>
      </c>
      <c r="AH16" s="7">
        <f ca="1">Skills!Y683</f>
        <v>0.12</v>
      </c>
      <c r="AI16" s="7">
        <f>Skills!Z683</f>
        <v>0</v>
      </c>
      <c r="AJ16" s="7">
        <f ca="1">Skills!AA683</f>
        <v>0.12</v>
      </c>
      <c r="AK16" s="7">
        <f>IF('Main Creation Page'!$E$6="Poor",0.1,IF('Main Creation Page'!$E$6="Well",0.1,0))</f>
        <v>0.1</v>
      </c>
      <c r="AL16" s="7">
        <f t="shared" ca="1" si="0"/>
        <v>0.22</v>
      </c>
      <c r="AM16" s="7">
        <f>Skills!AD683+AK15</f>
        <v>0.1</v>
      </c>
      <c r="AN16" s="7">
        <f t="shared" si="1"/>
        <v>0</v>
      </c>
      <c r="AO16" s="7">
        <f t="shared" si="2"/>
        <v>0.1</v>
      </c>
      <c r="AP16" s="6">
        <f ca="1">VLOOKUP(AL16*100,magestuff!$B$213:$C$252,2)</f>
        <v>2</v>
      </c>
      <c r="AQ16" s="7">
        <f t="shared" ca="1" si="3"/>
        <v>0.22</v>
      </c>
      <c r="AR16" s="37" t="str">
        <f ca="1">CELL("address",magestuff!B47)</f>
        <v>'[CNS-TR-Master-charsht-September-2015.xlsx]magestuff'!$B$47</v>
      </c>
      <c r="AS16" s="137" t="str">
        <f ca="1">CELL("address",magestuff!R$171)</f>
        <v>'[CNS-TR-Master-charsht-September-2015.xlsx]magestuff'!$R$171</v>
      </c>
      <c r="AT16" s="6" t="str">
        <f>IF(ISNA(Skills!$W683)," ",Skills!$W683)</f>
        <v xml:space="preserve"> </v>
      </c>
      <c r="AU16" s="6" t="str">
        <f>IF(ISNA(Skills!$W683),IF(ISBLANK(Skills!$X683)," ",Skills!$X683),+Skills!$W683+Skills!$X683)</f>
        <v xml:space="preserve"> </v>
      </c>
      <c r="AV16" s="7">
        <f t="shared" ca="1" si="4"/>
        <v>0.22</v>
      </c>
      <c r="AW16" s="6">
        <f ca="1">VLOOKUP(AV16*100,magestuff!$B$213:$C$247,2)</f>
        <v>2</v>
      </c>
      <c r="AZ16">
        <v>14</v>
      </c>
      <c r="BA16" s="140" t="s">
        <v>1831</v>
      </c>
    </row>
    <row r="17" spans="1:75" ht="9" customHeight="1">
      <c r="A17" s="31"/>
      <c r="B17" s="197" t="s">
        <v>3246</v>
      </c>
      <c r="C17" s="18">
        <f>IF('Main Creation Page'!E14&lt;=12,1,IF('Main Creation Page'!E14&lt;=16,2,IF('Main Creation Page'!E14&lt;=19,3,4)))</f>
        <v>3</v>
      </c>
      <c r="D17" s="6"/>
      <c r="E17" s="6"/>
      <c r="N17" s="144"/>
      <c r="O17" s="37"/>
      <c r="R17" s="3" t="s">
        <v>1882</v>
      </c>
      <c r="S17" s="21">
        <f>C3*0.1</f>
        <v>0</v>
      </c>
      <c r="V17"/>
      <c r="AD17" s="6">
        <v>13</v>
      </c>
      <c r="AE17" s="6" t="str">
        <f>Skills!A684</f>
        <v>Weaponsmith Magus</v>
      </c>
      <c r="AF17" s="6">
        <f>Skills!V684</f>
        <v>7</v>
      </c>
      <c r="AG17" s="6" t="s">
        <v>5222</v>
      </c>
      <c r="AH17" s="7">
        <f ca="1">Skills!Y684</f>
        <v>0.12</v>
      </c>
      <c r="AI17" s="7">
        <f>Skills!Z684</f>
        <v>0</v>
      </c>
      <c r="AJ17" s="7">
        <f ca="1">Skills!AA684</f>
        <v>0.12</v>
      </c>
      <c r="AK17" s="7">
        <f>IF('Main Creation Page'!$E$6="Poor",0.1,IF('Main Creation Page'!$E$6="Well",0.1,0))</f>
        <v>0.1</v>
      </c>
      <c r="AL17" s="7">
        <f t="shared" ca="1" si="0"/>
        <v>0.22</v>
      </c>
      <c r="AM17" s="7">
        <f>Skills!AD684+AK16</f>
        <v>0.1</v>
      </c>
      <c r="AN17" s="7">
        <f t="shared" si="1"/>
        <v>0</v>
      </c>
      <c r="AO17" s="7">
        <f t="shared" si="2"/>
        <v>0.1</v>
      </c>
      <c r="AP17" s="6">
        <f ca="1">VLOOKUP(AL17*100,magestuff!$B$213:$C$252,2)</f>
        <v>2</v>
      </c>
      <c r="AQ17" s="7">
        <f t="shared" ca="1" si="3"/>
        <v>0.22</v>
      </c>
      <c r="AR17" s="37" t="str">
        <f ca="1">CELL("address",magestuff!Z47)</f>
        <v>'[CNS-TR-Master-charsht-September-2015.xlsx]magestuff'!$Z$47</v>
      </c>
      <c r="AS17" s="137" t="str">
        <f ca="1">CELL("address",magestuff!V$171)</f>
        <v>'[CNS-TR-Master-charsht-September-2015.xlsx]magestuff'!$V$171</v>
      </c>
      <c r="AT17" s="6" t="str">
        <f>IF(ISNA(Skills!$W684)," ",Skills!$W684)</f>
        <v xml:space="preserve"> </v>
      </c>
      <c r="AU17" s="6" t="str">
        <f>IF(ISNA(Skills!$W684),IF(ISBLANK(Skills!$X684)," ",Skills!$X684),+Skills!$W684+Skills!$X684)</f>
        <v xml:space="preserve"> </v>
      </c>
      <c r="AV17" s="7">
        <f t="shared" ca="1" si="4"/>
        <v>0.22</v>
      </c>
      <c r="AW17" s="6">
        <f ca="1">VLOOKUP(AV17*100,magestuff!$B$213:$C$247,2)</f>
        <v>2</v>
      </c>
      <c r="AZ17">
        <v>15</v>
      </c>
      <c r="BA17" s="86" t="s">
        <v>5416</v>
      </c>
    </row>
    <row r="18" spans="1:75" ht="9" customHeight="1">
      <c r="A18" s="31"/>
      <c r="B18" s="31"/>
      <c r="M18"/>
      <c r="V18"/>
      <c r="AD18" s="6">
        <v>14</v>
      </c>
      <c r="AE18" s="6" t="str">
        <f>Skills!A685</f>
        <v>Enchantment</v>
      </c>
      <c r="AF18" s="6">
        <f>Skills!V685</f>
        <v>7</v>
      </c>
      <c r="AG18" s="6" t="s">
        <v>5222</v>
      </c>
      <c r="AH18" s="7">
        <f ca="1">Skills!Y685</f>
        <v>0.04</v>
      </c>
      <c r="AI18" s="7">
        <f>Skills!Z685</f>
        <v>0</v>
      </c>
      <c r="AJ18" s="7">
        <f ca="1">Skills!AA685</f>
        <v>0.04</v>
      </c>
      <c r="AK18" s="7">
        <f>IF('Main Creation Page'!$E$6="Poor",0.1,IF('Main Creation Page'!$E$6="Well",0.1,0))</f>
        <v>0.1</v>
      </c>
      <c r="AL18" s="7">
        <f t="shared" ca="1" si="0"/>
        <v>0.14000000000000001</v>
      </c>
      <c r="AM18" s="7">
        <f>Skills!AD685+AK17</f>
        <v>0.1</v>
      </c>
      <c r="AN18" s="7">
        <f t="shared" si="1"/>
        <v>0</v>
      </c>
      <c r="AO18" s="7">
        <f t="shared" si="2"/>
        <v>0.1</v>
      </c>
      <c r="AP18" s="6">
        <f ca="1">VLOOKUP(AL18*100,magestuff!$B$213:$C$252,2)</f>
        <v>1</v>
      </c>
      <c r="AQ18" s="7">
        <f t="shared" ca="1" si="3"/>
        <v>0.14000000000000001</v>
      </c>
      <c r="AR18" s="37" t="str">
        <f ca="1">CELL("address",magestuff!BJ47)</f>
        <v>'[CNS-TR-Master-charsht-September-2015.xlsx]magestuff'!$BJ$47</v>
      </c>
      <c r="AS18" s="137" t="str">
        <f ca="1">CELL("address",magestuff!AD$171)</f>
        <v>'[CNS-TR-Master-charsht-September-2015.xlsx]magestuff'!$AD$171</v>
      </c>
      <c r="AT18" s="6" t="str">
        <f>IF(ISNA(Skills!$W685)," ",Skills!$W685)</f>
        <v xml:space="preserve"> </v>
      </c>
      <c r="AU18" s="6" t="str">
        <f>IF(ISNA(Skills!$W685),IF(ISBLANK(Skills!$X685)," ",Skills!$X685),+Skills!$W685+Skills!$X685)</f>
        <v xml:space="preserve"> </v>
      </c>
      <c r="AV18" s="7">
        <f t="shared" ca="1" si="4"/>
        <v>0.14000000000000001</v>
      </c>
      <c r="AW18" s="6">
        <f ca="1">VLOOKUP(AV18*100,magestuff!$B$213:$C$247,2)</f>
        <v>1</v>
      </c>
      <c r="AZ18">
        <v>16</v>
      </c>
      <c r="BA18" s="86" t="s">
        <v>5417</v>
      </c>
    </row>
    <row r="19" spans="1:75" ht="9" customHeight="1">
      <c r="A19" s="31"/>
      <c r="B19" s="197" t="s">
        <v>3783</v>
      </c>
      <c r="C19" s="6" t="s">
        <v>81</v>
      </c>
      <c r="D19" s="6" t="s">
        <v>81</v>
      </c>
      <c r="E19" s="6" t="s">
        <v>81</v>
      </c>
      <c r="F19" s="6" t="s">
        <v>81</v>
      </c>
      <c r="G19" s="6" t="s">
        <v>81</v>
      </c>
      <c r="H19" s="6" t="s">
        <v>81</v>
      </c>
      <c r="I19" s="6" t="s">
        <v>81</v>
      </c>
      <c r="J19" s="6" t="s">
        <v>81</v>
      </c>
      <c r="K19" s="6" t="s">
        <v>81</v>
      </c>
      <c r="L19" s="139" t="s">
        <v>81</v>
      </c>
      <c r="M19" s="6"/>
      <c r="Q19" s="9" t="s">
        <v>4485</v>
      </c>
      <c r="V19"/>
      <c r="AD19" s="6">
        <v>15</v>
      </c>
      <c r="AE19" s="6" t="str">
        <f>CONCATENATE("Elementalist: ",+Skills!A687)</f>
        <v>Elementalist: Air</v>
      </c>
      <c r="AF19" s="6">
        <f>Skills!V687</f>
        <v>8</v>
      </c>
      <c r="AG19" s="6" t="s">
        <v>5222</v>
      </c>
      <c r="AH19" s="7">
        <f ca="1">Skills!Y687</f>
        <v>0.08</v>
      </c>
      <c r="AI19" s="7">
        <f>Skills!Z687</f>
        <v>0</v>
      </c>
      <c r="AJ19" s="7">
        <f ca="1">Skills!AA687</f>
        <v>0.08</v>
      </c>
      <c r="AK19" s="7">
        <f>IF('Main Creation Page'!$E$6="Poor",0.1,IF('Main Creation Page'!$E$6="Well",0.1,0))</f>
        <v>0.1</v>
      </c>
      <c r="AL19" s="7">
        <f t="shared" ca="1" si="0"/>
        <v>0.18</v>
      </c>
      <c r="AM19" s="7">
        <f>Skills!AD687+AK18</f>
        <v>0.1</v>
      </c>
      <c r="AN19" s="7">
        <f t="shared" si="1"/>
        <v>0</v>
      </c>
      <c r="AO19" s="7">
        <f t="shared" si="2"/>
        <v>0.1</v>
      </c>
      <c r="AP19" s="6">
        <f ca="1">VLOOKUP(AL19*100,magestuff!$B$213:$C$252,2)</f>
        <v>1</v>
      </c>
      <c r="AQ19" s="7">
        <f t="shared" ca="1" si="3"/>
        <v>0.18</v>
      </c>
      <c r="AR19" s="37" t="str">
        <f ca="1">CELL("address",magestuff!C91)</f>
        <v>'[CNS-TR-Master-charsht-September-2015.xlsx]magestuff'!$C$91</v>
      </c>
      <c r="AS19" s="137" t="str">
        <f ca="1">CELL("address",magestuff!AF$171)</f>
        <v>'[CNS-TR-Master-charsht-September-2015.xlsx]magestuff'!$AF$171</v>
      </c>
      <c r="AT19" s="6" t="str">
        <f>IF(ISNA(Skills!$W687)," ",Skills!$W687)</f>
        <v xml:space="preserve"> </v>
      </c>
      <c r="AU19" s="6" t="str">
        <f>IF(ISNA(Skills!$W687),IF(ISBLANK(Skills!$X687)," ",Skills!$X687),+Skills!$W687+Skills!$X687)</f>
        <v xml:space="preserve"> </v>
      </c>
      <c r="AV19" s="7">
        <f t="shared" ca="1" si="4"/>
        <v>0.18</v>
      </c>
      <c r="AW19" s="6">
        <f ca="1">VLOOKUP(AV19*100,magestuff!$B$213:$C$247,2)</f>
        <v>1</v>
      </c>
      <c r="AZ19">
        <v>17</v>
      </c>
      <c r="BA19" s="86" t="s">
        <v>5418</v>
      </c>
    </row>
    <row r="20" spans="1:75" ht="9" customHeight="1">
      <c r="A20" s="31"/>
      <c r="B20" s="221"/>
      <c r="C20" s="38">
        <v>1</v>
      </c>
      <c r="D20" s="38">
        <v>2</v>
      </c>
      <c r="E20" s="38">
        <v>3</v>
      </c>
      <c r="F20" s="38">
        <v>4</v>
      </c>
      <c r="G20" s="38">
        <v>5</v>
      </c>
      <c r="H20" s="38">
        <v>6</v>
      </c>
      <c r="I20" s="38">
        <v>7</v>
      </c>
      <c r="J20" s="38">
        <v>8</v>
      </c>
      <c r="K20" s="38">
        <v>9</v>
      </c>
      <c r="L20" s="38">
        <v>10</v>
      </c>
      <c r="P20" s="2802" t="s">
        <v>3047</v>
      </c>
      <c r="Q20" s="2689" t="s">
        <v>4487</v>
      </c>
      <c r="R20" s="2689"/>
      <c r="S20" s="2792" t="s">
        <v>4486</v>
      </c>
      <c r="V20"/>
      <c r="AD20" s="6">
        <v>16</v>
      </c>
      <c r="AE20" s="6" t="str">
        <f>CONCATENATE("Elementalist: ",+Skills!A688)</f>
        <v>Elementalist: Earth</v>
      </c>
      <c r="AF20" s="6">
        <f>Skills!V688</f>
        <v>8</v>
      </c>
      <c r="AG20" s="6" t="s">
        <v>5222</v>
      </c>
      <c r="AH20" s="7">
        <f ca="1">Skills!Y688</f>
        <v>0.08</v>
      </c>
      <c r="AI20" s="7">
        <f>Skills!Z688</f>
        <v>0</v>
      </c>
      <c r="AJ20" s="7">
        <f ca="1">Skills!AA688</f>
        <v>0.08</v>
      </c>
      <c r="AK20" s="7">
        <f>IF('Main Creation Page'!$E$6="Poor",0.1,IF('Main Creation Page'!$E$6="Well",0.1,0))</f>
        <v>0.1</v>
      </c>
      <c r="AL20" s="7">
        <f t="shared" ca="1" si="0"/>
        <v>0.18</v>
      </c>
      <c r="AM20" s="7">
        <f>Skills!AD688+AK19</f>
        <v>0.1</v>
      </c>
      <c r="AN20" s="7">
        <f t="shared" si="1"/>
        <v>0</v>
      </c>
      <c r="AO20" s="7">
        <f t="shared" si="2"/>
        <v>0.1</v>
      </c>
      <c r="AP20" s="6">
        <f ca="1">VLOOKUP(AL20*100,magestuff!$B$213:$C$252,2)</f>
        <v>1</v>
      </c>
      <c r="AQ20" s="7">
        <f t="shared" ca="1" si="3"/>
        <v>0.18</v>
      </c>
      <c r="AR20" s="37" t="str">
        <f ca="1">CELL("address",magestuff!N91)</f>
        <v>'[CNS-TR-Master-charsht-September-2015.xlsx]magestuff'!$N$91</v>
      </c>
      <c r="AS20" s="137" t="str">
        <f ca="1">CELL("address",magestuff!AH$171)</f>
        <v>'[CNS-TR-Master-charsht-September-2015.xlsx]magestuff'!$AH$171</v>
      </c>
      <c r="AT20" s="6" t="str">
        <f>IF(ISNA(Skills!$W688)," ",Skills!$W688)</f>
        <v xml:space="preserve"> </v>
      </c>
      <c r="AU20" s="6" t="str">
        <f>IF(ISNA(Skills!$W688),IF(ISBLANK(Skills!$X688)," ",Skills!$X688),+Skills!$W688+Skills!$X688)</f>
        <v xml:space="preserve"> </v>
      </c>
      <c r="AV20" s="7">
        <f t="shared" ca="1" si="4"/>
        <v>0.18</v>
      </c>
      <c r="AW20" s="6">
        <f ca="1">VLOOKUP(AV20*100,magestuff!$B$213:$C$247,2)</f>
        <v>1</v>
      </c>
      <c r="AZ20">
        <v>18</v>
      </c>
      <c r="BA20" s="86" t="s">
        <v>5419</v>
      </c>
    </row>
    <row r="21" spans="1:75" ht="9" customHeight="1">
      <c r="A21" s="2771" t="s">
        <v>2580</v>
      </c>
      <c r="B21" s="2772"/>
      <c r="C21" s="18">
        <f t="shared" ref="C21:L21" si="5">IF(INT(21*(C20/($C$3+2)))-IF($BW$33&lt;1,0,$BW$33)&lt;1,1,INT(21*(C20/($C$3+2)))-$BW$33)</f>
        <v>10</v>
      </c>
      <c r="D21" s="18">
        <f t="shared" si="5"/>
        <v>21</v>
      </c>
      <c r="E21" s="18">
        <f t="shared" si="5"/>
        <v>31</v>
      </c>
      <c r="F21" s="18">
        <f t="shared" si="5"/>
        <v>42</v>
      </c>
      <c r="G21" s="18">
        <f t="shared" si="5"/>
        <v>52</v>
      </c>
      <c r="H21" s="18">
        <f t="shared" si="5"/>
        <v>63</v>
      </c>
      <c r="I21" s="18">
        <f t="shared" si="5"/>
        <v>73</v>
      </c>
      <c r="J21" s="18">
        <f t="shared" si="5"/>
        <v>84</v>
      </c>
      <c r="K21" s="18">
        <f t="shared" si="5"/>
        <v>94</v>
      </c>
      <c r="L21" s="18">
        <f t="shared" si="5"/>
        <v>105</v>
      </c>
      <c r="P21" s="2803"/>
      <c r="Q21" s="249" t="s">
        <v>940</v>
      </c>
      <c r="R21" s="249" t="s">
        <v>5140</v>
      </c>
      <c r="S21" s="2793"/>
      <c r="AD21" s="6">
        <v>17</v>
      </c>
      <c r="AE21" s="6" t="str">
        <f>CONCATENATE("Elementalist: ",+Skills!A689)</f>
        <v>Elementalist: Fire</v>
      </c>
      <c r="AF21" s="6">
        <f>Skills!V689</f>
        <v>8</v>
      </c>
      <c r="AG21" s="6" t="s">
        <v>5222</v>
      </c>
      <c r="AH21" s="7">
        <f ca="1">Skills!Y689</f>
        <v>0.08</v>
      </c>
      <c r="AI21" s="7">
        <f>Skills!Z689</f>
        <v>0</v>
      </c>
      <c r="AJ21" s="7">
        <f ca="1">Skills!AA689</f>
        <v>0.08</v>
      </c>
      <c r="AK21" s="7">
        <f>IF('Main Creation Page'!$E$6="Poor",0.1,IF('Main Creation Page'!$E$6="Well",0.1,0))</f>
        <v>0.1</v>
      </c>
      <c r="AL21" s="7">
        <f t="shared" ca="1" si="0"/>
        <v>0.18</v>
      </c>
      <c r="AM21" s="7">
        <f>Skills!AD689+AK20</f>
        <v>0.1</v>
      </c>
      <c r="AN21" s="7">
        <f t="shared" si="1"/>
        <v>0</v>
      </c>
      <c r="AO21" s="7">
        <f t="shared" si="2"/>
        <v>0.1</v>
      </c>
      <c r="AP21" s="6">
        <f ca="1">VLOOKUP(AL21*100,magestuff!$B$213:$C$252,2)</f>
        <v>1</v>
      </c>
      <c r="AQ21" s="7">
        <f t="shared" ca="1" si="3"/>
        <v>0.18</v>
      </c>
      <c r="AR21" s="37" t="str">
        <f ca="1">CELL("address",magestuff!Z91)</f>
        <v>'[CNS-TR-Master-charsht-September-2015.xlsx]magestuff'!$Z$91</v>
      </c>
      <c r="AS21" s="137" t="str">
        <f ca="1">CELL("address",magestuff!AJ$171)</f>
        <v>'[CNS-TR-Master-charsht-September-2015.xlsx]magestuff'!$AJ$171</v>
      </c>
      <c r="AT21" s="6" t="str">
        <f>IF(ISNA(Skills!$W689)," ",Skills!$W689)</f>
        <v xml:space="preserve"> </v>
      </c>
      <c r="AU21" s="6" t="str">
        <f>IF(ISNA(Skills!$W689),IF(ISBLANK(Skills!$X689)," ",Skills!$X689),+Skills!$W689+Skills!$X689)</f>
        <v xml:space="preserve"> </v>
      </c>
      <c r="AV21" s="7">
        <f t="shared" ca="1" si="4"/>
        <v>0.18</v>
      </c>
      <c r="AW21" s="6">
        <f ca="1">VLOOKUP(AV21*100,magestuff!$B$213:$C$247,2)</f>
        <v>1</v>
      </c>
      <c r="AZ21">
        <v>19</v>
      </c>
      <c r="BA21" s="86" t="s">
        <v>5420</v>
      </c>
    </row>
    <row r="22" spans="1:75" ht="9" customHeight="1">
      <c r="A22" s="2771" t="s">
        <v>4806</v>
      </c>
      <c r="B22" s="2772"/>
      <c r="C22" s="59">
        <f>IF(((13-$C$3)*C20)&lt;3,3,((13-$C$3)*C20))</f>
        <v>13</v>
      </c>
      <c r="D22" s="59">
        <f t="shared" ref="D22:L22" si="6">IF(((13-$C$3)*D20)&lt;3,3,((13-$C$3)*D20))</f>
        <v>26</v>
      </c>
      <c r="E22" s="59">
        <f t="shared" si="6"/>
        <v>39</v>
      </c>
      <c r="F22" s="59">
        <f t="shared" si="6"/>
        <v>52</v>
      </c>
      <c r="G22" s="59">
        <f t="shared" si="6"/>
        <v>65</v>
      </c>
      <c r="H22" s="59">
        <f t="shared" si="6"/>
        <v>78</v>
      </c>
      <c r="I22" s="59">
        <f t="shared" si="6"/>
        <v>91</v>
      </c>
      <c r="J22" s="59">
        <f t="shared" si="6"/>
        <v>104</v>
      </c>
      <c r="K22" s="59">
        <f t="shared" si="6"/>
        <v>117</v>
      </c>
      <c r="L22" s="59">
        <f t="shared" si="6"/>
        <v>130</v>
      </c>
      <c r="M22" s="1"/>
      <c r="P22" s="490">
        <f ca="1">Skills!AA594</f>
        <v>0.12</v>
      </c>
      <c r="Q22" s="249">
        <f ca="1">VLOOKUP(P22,AM55:AP66,2)</f>
        <v>0</v>
      </c>
      <c r="R22" s="249">
        <f ca="1">VLOOKUP(P22,AM55:AP66,3)</f>
        <v>0</v>
      </c>
      <c r="S22" s="249">
        <f ca="1">VLOOKUP(P22,AM55:AP66,4)</f>
        <v>0</v>
      </c>
      <c r="AD22" s="6">
        <v>18</v>
      </c>
      <c r="AE22" s="6" t="str">
        <f>CONCATENATE("Elementalist: ",+Skills!A690)</f>
        <v>Elementalist: Water</v>
      </c>
      <c r="AF22" s="6">
        <f>Skills!V690</f>
        <v>8</v>
      </c>
      <c r="AG22" s="6" t="s">
        <v>5222</v>
      </c>
      <c r="AH22" s="7">
        <f ca="1">Skills!Y690</f>
        <v>0.08</v>
      </c>
      <c r="AI22" s="7">
        <f>Skills!Z690</f>
        <v>0</v>
      </c>
      <c r="AJ22" s="7">
        <f ca="1">Skills!AA690</f>
        <v>0.08</v>
      </c>
      <c r="AK22" s="7">
        <f>IF('Main Creation Page'!$E$6="Poor",0.1,IF('Main Creation Page'!$E$6="Well",0.1,0))</f>
        <v>0.1</v>
      </c>
      <c r="AL22" s="7">
        <f t="shared" ca="1" si="0"/>
        <v>0.18</v>
      </c>
      <c r="AM22" s="7">
        <f>Skills!AD690+AK21</f>
        <v>0.1</v>
      </c>
      <c r="AN22" s="7">
        <f t="shared" si="1"/>
        <v>0</v>
      </c>
      <c r="AO22" s="7">
        <f t="shared" si="2"/>
        <v>0.1</v>
      </c>
      <c r="AP22" s="6">
        <f ca="1">VLOOKUP(AL22*100,magestuff!$B$213:$C$252,2)</f>
        <v>1</v>
      </c>
      <c r="AQ22" s="7">
        <f t="shared" ca="1" si="3"/>
        <v>0.18</v>
      </c>
      <c r="AR22" s="37" t="str">
        <f ca="1">CELL("address",magestuff!AL91)</f>
        <v>'[CNS-TR-Master-charsht-September-2015.xlsx]magestuff'!$AL$91</v>
      </c>
      <c r="AS22" s="137" t="str">
        <f ca="1">CELL("address",magestuff!AL$171)</f>
        <v>'[CNS-TR-Master-charsht-September-2015.xlsx]magestuff'!$AL$171</v>
      </c>
      <c r="AT22" s="6" t="str">
        <f>IF(ISNA(Skills!$W690)," ",Skills!$W690)</f>
        <v xml:space="preserve"> </v>
      </c>
      <c r="AU22" s="6" t="str">
        <f>IF(ISNA(Skills!$W690),IF(ISBLANK(Skills!$X690)," ",Skills!$X690),+Skills!$W690+Skills!$X690)</f>
        <v xml:space="preserve"> </v>
      </c>
      <c r="AV22" s="7">
        <f t="shared" ca="1" si="4"/>
        <v>0.18</v>
      </c>
      <c r="AW22" s="6">
        <f ca="1">VLOOKUP(AV22*100,magestuff!$B$213:$C$247,2)</f>
        <v>1</v>
      </c>
      <c r="AZ22">
        <v>20</v>
      </c>
      <c r="BA22" s="140" t="s">
        <v>755</v>
      </c>
    </row>
    <row r="23" spans="1:75" ht="9" customHeight="1">
      <c r="A23" s="31"/>
      <c r="B23" s="197" t="s">
        <v>5447</v>
      </c>
      <c r="C23" s="55">
        <f>INT(IF((26*(C$20/($C$3+1)))&gt;154,154,IF((26*(C$20/($C$3+1)))&lt;2,2,((26*(C$20/($C$3+1)))))))</f>
        <v>26</v>
      </c>
      <c r="D23" s="55">
        <f t="shared" ref="D23:L23" si="7">INT(IF((26*(D$20/($C$3+1)))&gt;154,154,IF((26*(D$20/($C$3+1)))&lt;2,2,((26*(D$20/($C$3+1)))))))</f>
        <v>52</v>
      </c>
      <c r="E23" s="55">
        <f t="shared" si="7"/>
        <v>78</v>
      </c>
      <c r="F23" s="55">
        <f t="shared" si="7"/>
        <v>104</v>
      </c>
      <c r="G23" s="55">
        <f t="shared" si="7"/>
        <v>130</v>
      </c>
      <c r="H23" s="55">
        <f t="shared" si="7"/>
        <v>154</v>
      </c>
      <c r="I23" s="55">
        <f t="shared" si="7"/>
        <v>154</v>
      </c>
      <c r="J23" s="55">
        <f t="shared" si="7"/>
        <v>154</v>
      </c>
      <c r="K23" s="55">
        <f t="shared" si="7"/>
        <v>154</v>
      </c>
      <c r="L23" s="55">
        <f t="shared" si="7"/>
        <v>154</v>
      </c>
      <c r="Q23" s="49" t="s">
        <v>4488</v>
      </c>
      <c r="R23" s="49" t="s">
        <v>4489</v>
      </c>
      <c r="AD23" s="6">
        <v>19</v>
      </c>
      <c r="AE23" s="6" t="str">
        <f>Skills!A691</f>
        <v>Master of All Elements</v>
      </c>
      <c r="AF23" s="6">
        <f>Skills!V691</f>
        <v>7</v>
      </c>
      <c r="AG23" s="6" t="s">
        <v>5222</v>
      </c>
      <c r="AH23" s="7">
        <f ca="1">Skills!Y691</f>
        <v>0.08</v>
      </c>
      <c r="AI23" s="7">
        <f>Skills!Z691</f>
        <v>0</v>
      </c>
      <c r="AJ23" s="7">
        <f ca="1">Skills!AA691</f>
        <v>0.08</v>
      </c>
      <c r="AK23" s="7">
        <f>IF('Main Creation Page'!$E$6="Poor",0.1,IF('Main Creation Page'!$E$6="Well",0.1,0))</f>
        <v>0.1</v>
      </c>
      <c r="AL23" s="7">
        <f t="shared" ca="1" si="0"/>
        <v>0.18</v>
      </c>
      <c r="AM23" s="7">
        <f>Skills!AD691+AK22</f>
        <v>0.1</v>
      </c>
      <c r="AN23" s="7">
        <f t="shared" si="1"/>
        <v>0</v>
      </c>
      <c r="AO23" s="7">
        <f t="shared" si="2"/>
        <v>0.1</v>
      </c>
      <c r="AP23" s="6">
        <f ca="1">VLOOKUP(AL23*100,magestuff!$B$213:$C$252,2)</f>
        <v>1</v>
      </c>
      <c r="AQ23" s="7">
        <f t="shared" ca="1" si="3"/>
        <v>0.18</v>
      </c>
      <c r="AR23" s="37" t="str">
        <f ca="1">CELL("address",magestuff!CH91)</f>
        <v>'[CNS-TR-Master-charsht-September-2015.xlsx]magestuff'!$CH$91</v>
      </c>
      <c r="AS23" s="137" t="str">
        <f ca="1">CELL("address",magestuff!BL$171)</f>
        <v>'[CNS-TR-Master-charsht-September-2015.xlsx]magestuff'!$BL$171</v>
      </c>
      <c r="AT23" s="6" t="str">
        <f>IF(ISNA(Skills!$W691)," ",Skills!$W691)</f>
        <v xml:space="preserve"> </v>
      </c>
      <c r="AU23" s="6" t="str">
        <f>IF(ISNA(Skills!$W691),IF(ISBLANK(Skills!$X691)," ",Skills!$X691),+Skills!$W691+Skills!$X691)</f>
        <v xml:space="preserve"> </v>
      </c>
      <c r="AV23" s="7">
        <f t="shared" ca="1" si="4"/>
        <v>0.18</v>
      </c>
      <c r="AW23" s="6">
        <f ca="1">VLOOKUP(AV23*100,magestuff!$B$213:$C$247,2)</f>
        <v>1</v>
      </c>
      <c r="AZ23">
        <v>20</v>
      </c>
      <c r="BA23" s="86" t="s">
        <v>756</v>
      </c>
    </row>
    <row r="24" spans="1:75" ht="9" customHeight="1">
      <c r="A24" s="31"/>
      <c r="B24" s="197" t="s">
        <v>5447</v>
      </c>
      <c r="C24" s="55">
        <f t="shared" ref="C24:L24" si="8">C$23-IF($BF$47="Y",IF($BW$47&gt;INT(C$23/2),INT(C$23/2),$BW$47),0)</f>
        <v>26</v>
      </c>
      <c r="D24" s="55">
        <f t="shared" si="8"/>
        <v>52</v>
      </c>
      <c r="E24" s="55">
        <f t="shared" si="8"/>
        <v>78</v>
      </c>
      <c r="F24" s="55">
        <f t="shared" si="8"/>
        <v>104</v>
      </c>
      <c r="G24" s="55">
        <f t="shared" si="8"/>
        <v>130</v>
      </c>
      <c r="H24" s="55">
        <f t="shared" si="8"/>
        <v>154</v>
      </c>
      <c r="I24" s="55">
        <f t="shared" si="8"/>
        <v>154</v>
      </c>
      <c r="J24" s="55">
        <f t="shared" si="8"/>
        <v>154</v>
      </c>
      <c r="K24" s="55">
        <f t="shared" si="8"/>
        <v>154</v>
      </c>
      <c r="L24" s="55">
        <f t="shared" si="8"/>
        <v>154</v>
      </c>
      <c r="AD24" s="6">
        <v>20</v>
      </c>
      <c r="AE24" s="6" t="str">
        <f>Skills!A693</f>
        <v>Elven Magus</v>
      </c>
      <c r="AF24" s="6">
        <f>Skills!V693</f>
        <v>7</v>
      </c>
      <c r="AG24" s="6" t="s">
        <v>5222</v>
      </c>
      <c r="AH24" s="7">
        <f ca="1">Skills!Y693</f>
        <v>0.04</v>
      </c>
      <c r="AI24" s="7">
        <f>Skills!Z693</f>
        <v>0</v>
      </c>
      <c r="AJ24" s="7">
        <f ca="1">Skills!AA693</f>
        <v>0.04</v>
      </c>
      <c r="AK24" s="7">
        <f>IF('Main Creation Page'!$E$6="Poor",0.1,IF('Main Creation Page'!$E$6="Well",0.1,0))</f>
        <v>0.1</v>
      </c>
      <c r="AL24" s="7">
        <f t="shared" ca="1" si="0"/>
        <v>0.14000000000000001</v>
      </c>
      <c r="AM24" s="7">
        <f>Skills!AD693+AK22</f>
        <v>0.1</v>
      </c>
      <c r="AN24" s="7">
        <f t="shared" si="1"/>
        <v>0</v>
      </c>
      <c r="AO24" s="7">
        <f t="shared" si="2"/>
        <v>0.1</v>
      </c>
      <c r="AP24" s="6">
        <f ca="1">VLOOKUP(AL24*100,magestuff!$B$213:$C$252,2)</f>
        <v>1</v>
      </c>
      <c r="AQ24" s="7">
        <f t="shared" ca="1" si="3"/>
        <v>0.14000000000000001</v>
      </c>
      <c r="AR24" s="37" t="str">
        <f ca="1">CELL("address",magestuff!AX47)</f>
        <v>'[CNS-TR-Master-charsht-September-2015.xlsx]magestuff'!$AX$47</v>
      </c>
      <c r="AS24" s="137" t="str">
        <f ca="1">CELL("address",magestuff!Z$171)</f>
        <v>'[CNS-TR-Master-charsht-September-2015.xlsx]magestuff'!$Z$171</v>
      </c>
      <c r="AT24" s="6" t="str">
        <f>IF(ISNA(Skills!$W693)," ",Skills!$W693)</f>
        <v xml:space="preserve"> </v>
      </c>
      <c r="AU24" s="6" t="str">
        <f>IF(ISNA(Skills!$W693),IF(ISBLANK(Skills!$X693)," ",Skills!$X693),+Skills!$W693+Skills!$X693)</f>
        <v xml:space="preserve"> </v>
      </c>
      <c r="AV24" s="7">
        <f t="shared" ca="1" si="4"/>
        <v>0.14000000000000001</v>
      </c>
      <c r="AW24" s="6">
        <f ca="1">VLOOKUP(AV24*100,magestuff!$B$213:$C$247,2)</f>
        <v>1</v>
      </c>
      <c r="AZ24">
        <v>20</v>
      </c>
      <c r="BA24" s="86" t="s">
        <v>757</v>
      </c>
    </row>
    <row r="25" spans="1:75" ht="9" customHeight="1">
      <c r="A25" s="31"/>
      <c r="B25" s="197" t="s">
        <v>5448</v>
      </c>
      <c r="C25" s="40">
        <f>C24</f>
        <v>26</v>
      </c>
      <c r="D25" s="40">
        <f t="shared" ref="D25:L25" si="9">C25+D24</f>
        <v>78</v>
      </c>
      <c r="E25" s="40">
        <f t="shared" si="9"/>
        <v>156</v>
      </c>
      <c r="F25" s="40">
        <f t="shared" si="9"/>
        <v>260</v>
      </c>
      <c r="G25" s="40">
        <f t="shared" si="9"/>
        <v>390</v>
      </c>
      <c r="H25" s="40">
        <f t="shared" si="9"/>
        <v>544</v>
      </c>
      <c r="I25" s="40">
        <f t="shared" si="9"/>
        <v>698</v>
      </c>
      <c r="J25" s="40">
        <f t="shared" si="9"/>
        <v>852</v>
      </c>
      <c r="K25" s="40">
        <f t="shared" si="9"/>
        <v>1006</v>
      </c>
      <c r="L25" s="40">
        <f t="shared" si="9"/>
        <v>1160</v>
      </c>
      <c r="M25"/>
      <c r="N25"/>
      <c r="AD25" s="6">
        <v>21</v>
      </c>
      <c r="AE25" s="6" t="str">
        <f>Skills!A694</f>
        <v>Bowyer Magus</v>
      </c>
      <c r="AF25" s="6">
        <f>Skills!V694</f>
        <v>7</v>
      </c>
      <c r="AG25" s="6" t="s">
        <v>5222</v>
      </c>
      <c r="AH25" s="7">
        <f ca="1">Skills!Y694</f>
        <v>0.12</v>
      </c>
      <c r="AI25" s="7">
        <f>Skills!Z694</f>
        <v>0</v>
      </c>
      <c r="AJ25" s="7">
        <f ca="1">Skills!AA694</f>
        <v>0.12</v>
      </c>
      <c r="AK25" s="7">
        <f>IF('Main Creation Page'!$E$6="Poor",0.1,IF('Main Creation Page'!$E$6="Well",0.1,0))</f>
        <v>0.1</v>
      </c>
      <c r="AL25" s="7">
        <f t="shared" ca="1" si="0"/>
        <v>0.22</v>
      </c>
      <c r="AM25" s="7">
        <f>Skills!AD694+AK24</f>
        <v>0.1</v>
      </c>
      <c r="AN25" s="7">
        <f t="shared" si="1"/>
        <v>0</v>
      </c>
      <c r="AO25" s="7">
        <f t="shared" si="2"/>
        <v>0.1</v>
      </c>
      <c r="AP25" s="6">
        <f ca="1">VLOOKUP(AL25*100,magestuff!$B$213:$C$252,2)</f>
        <v>2</v>
      </c>
      <c r="AQ25" s="7">
        <f t="shared" ca="1" si="3"/>
        <v>0.22</v>
      </c>
      <c r="AR25" s="37" t="str">
        <f ca="1">CELL("address",magestuff!AL47)</f>
        <v>'[CNS-TR-Master-charsht-September-2015.xlsx]magestuff'!$AL$47</v>
      </c>
      <c r="AS25" s="137" t="str">
        <f ca="1">CELL("address",magestuff!X$171)</f>
        <v>'[CNS-TR-Master-charsht-September-2015.xlsx]magestuff'!$X$171</v>
      </c>
      <c r="AT25" s="6" t="str">
        <f>IF(ISNA(Skills!$W694)," ",Skills!$W694)</f>
        <v xml:space="preserve"> </v>
      </c>
      <c r="AU25" s="6" t="str">
        <f>IF(ISNA(Skills!$W694),IF(ISBLANK(Skills!$X694)," ",Skills!$X694),+Skills!$W694+Skills!$X694)</f>
        <v xml:space="preserve"> </v>
      </c>
      <c r="AV25" s="7">
        <f t="shared" ca="1" si="4"/>
        <v>0.22</v>
      </c>
      <c r="AW25" s="6">
        <f ca="1">VLOOKUP(AV25*100,magestuff!$B$213:$C$247,2)</f>
        <v>2</v>
      </c>
      <c r="AZ25">
        <v>21</v>
      </c>
      <c r="BA25" s="86" t="s">
        <v>1578</v>
      </c>
    </row>
    <row r="26" spans="1:75" ht="9.9499999999999993" customHeight="1">
      <c r="A26" s="31"/>
      <c r="B26" s="31"/>
      <c r="C26" s="501">
        <f>INT(C3)/2</f>
        <v>0</v>
      </c>
      <c r="D26" s="5" t="s">
        <v>832</v>
      </c>
      <c r="E26" s="6"/>
      <c r="F26" s="6"/>
      <c r="G26" s="6"/>
      <c r="H26" s="6"/>
      <c r="I26" s="6"/>
      <c r="J26" s="6"/>
      <c r="M26"/>
      <c r="N26"/>
      <c r="R26" s="5"/>
      <c r="S26" s="6"/>
      <c r="T26" s="6"/>
      <c r="U26" s="6"/>
      <c r="V26" s="6"/>
      <c r="W26" s="6"/>
      <c r="X26" s="6"/>
      <c r="AD26" s="6">
        <v>22</v>
      </c>
      <c r="AE26" s="6" t="str">
        <f>Skills!A695</f>
        <v>Warden Mage</v>
      </c>
      <c r="AF26" s="6">
        <f>Skills!V695</f>
        <v>6</v>
      </c>
      <c r="AG26" s="6" t="s">
        <v>5222</v>
      </c>
      <c r="AH26" s="7">
        <f ca="1">Skills!Y695</f>
        <v>0.08</v>
      </c>
      <c r="AI26" s="7">
        <f>Skills!Z695</f>
        <v>0</v>
      </c>
      <c r="AJ26" s="7">
        <f ca="1">Skills!AA695</f>
        <v>0.08</v>
      </c>
      <c r="AK26" s="7">
        <f>IF('Main Creation Page'!$E$6="Poor",0.1,IF('Main Creation Page'!$E$6="Well",0.1,0))</f>
        <v>0.1</v>
      </c>
      <c r="AL26" s="7">
        <f t="shared" ca="1" si="0"/>
        <v>0.18</v>
      </c>
      <c r="AM26" s="7">
        <f>Skills!AD695+AK25</f>
        <v>0.1</v>
      </c>
      <c r="AN26" s="7">
        <f t="shared" si="1"/>
        <v>0</v>
      </c>
      <c r="AO26" s="7">
        <f t="shared" si="2"/>
        <v>0.1</v>
      </c>
      <c r="AP26" s="6">
        <f ca="1">VLOOKUP(AL26*100,magestuff!$B$213:$C$252,2)</f>
        <v>1</v>
      </c>
      <c r="AQ26" s="7">
        <f t="shared" ca="1" si="3"/>
        <v>0.18</v>
      </c>
      <c r="AR26" s="37" t="str">
        <f ca="1">CELL("address",magestuff!BV47)</f>
        <v>'[CNS-TR-Master-charsht-September-2015.xlsx]magestuff'!$BV$47</v>
      </c>
      <c r="AS26" s="137" t="str">
        <f ca="1">CELL("address",magestuff!AB$171)</f>
        <v>'[CNS-TR-Master-charsht-September-2015.xlsx]magestuff'!$AB$171</v>
      </c>
      <c r="AT26" s="6" t="str">
        <f>IF(ISNA(Skills!$W695)," ",Skills!$W695)</f>
        <v xml:space="preserve"> </v>
      </c>
      <c r="AU26" s="6" t="str">
        <f>IF(ISNA(Skills!$W695),IF(ISBLANK(Skills!$X695)," ",Skills!$X695),+Skills!$W695+Skills!$X695)</f>
        <v xml:space="preserve"> </v>
      </c>
      <c r="AV26" s="7">
        <f t="shared" ca="1" si="4"/>
        <v>0.18</v>
      </c>
      <c r="AW26" s="6">
        <f ca="1">VLOOKUP(AV26*100,magestuff!$B$213:$C$247,2)</f>
        <v>1</v>
      </c>
      <c r="AZ26">
        <v>21</v>
      </c>
      <c r="BA26" s="140" t="s">
        <v>318</v>
      </c>
      <c r="BB26" s="37"/>
    </row>
    <row r="27" spans="1:75" ht="9.9499999999999993" customHeight="1">
      <c r="A27" s="2753" t="s">
        <v>4490</v>
      </c>
      <c r="B27" s="2229"/>
      <c r="C27" s="318">
        <f t="shared" ref="C27:L27" si="10">C20*2</f>
        <v>2</v>
      </c>
      <c r="D27" s="318">
        <f t="shared" si="10"/>
        <v>4</v>
      </c>
      <c r="E27" s="318">
        <f t="shared" si="10"/>
        <v>6</v>
      </c>
      <c r="F27" s="318">
        <f t="shared" si="10"/>
        <v>8</v>
      </c>
      <c r="G27" s="318">
        <f t="shared" si="10"/>
        <v>10</v>
      </c>
      <c r="H27" s="318">
        <f t="shared" si="10"/>
        <v>12</v>
      </c>
      <c r="I27" s="318">
        <f t="shared" si="10"/>
        <v>14</v>
      </c>
      <c r="J27" s="318">
        <f t="shared" si="10"/>
        <v>16</v>
      </c>
      <c r="K27" s="318">
        <f t="shared" si="10"/>
        <v>18</v>
      </c>
      <c r="L27" s="318">
        <f t="shared" si="10"/>
        <v>20</v>
      </c>
      <c r="M27"/>
      <c r="N27"/>
      <c r="R27" s="5"/>
      <c r="S27" s="6"/>
      <c r="T27" s="6"/>
      <c r="U27" s="6"/>
      <c r="V27" s="6"/>
      <c r="W27" s="6"/>
      <c r="X27" s="6"/>
      <c r="AD27" s="6">
        <v>23</v>
      </c>
      <c r="AE27" s="6" t="str">
        <f>Skills!A696</f>
        <v>Gardener Mage</v>
      </c>
      <c r="AF27" s="6">
        <f>Skills!V696</f>
        <v>5</v>
      </c>
      <c r="AG27" s="6" t="s">
        <v>5222</v>
      </c>
      <c r="AH27" s="7">
        <f ca="1">Skills!Y696</f>
        <v>0.08</v>
      </c>
      <c r="AI27" s="7">
        <f>Skills!Z696</f>
        <v>0</v>
      </c>
      <c r="AJ27" s="7">
        <f ca="1">Skills!AA696</f>
        <v>0.08</v>
      </c>
      <c r="AK27" s="7">
        <f>IF('Main Creation Page'!$E$6="Poor",0.1,IF('Main Creation Page'!$E$6="Well",0.1,0))</f>
        <v>0.1</v>
      </c>
      <c r="AL27" s="7">
        <f t="shared" ca="1" si="0"/>
        <v>0.18</v>
      </c>
      <c r="AM27" s="7">
        <f>Skills!AD696+AK26</f>
        <v>0.1</v>
      </c>
      <c r="AN27" s="7">
        <f t="shared" si="1"/>
        <v>0</v>
      </c>
      <c r="AO27" s="7">
        <f t="shared" si="2"/>
        <v>0.1</v>
      </c>
      <c r="AP27" s="6">
        <f ca="1">VLOOKUP(AL27*100,magestuff!$B$213:$C$252,2)</f>
        <v>1</v>
      </c>
      <c r="AQ27" s="7">
        <f t="shared" ca="1" si="3"/>
        <v>0.18</v>
      </c>
      <c r="AR27" s="37" t="str">
        <f ca="1">CELL("address",magestuff!B69)</f>
        <v>'[CNS-TR-Master-charsht-September-2015.xlsx]magestuff'!$B$69</v>
      </c>
      <c r="AS27" s="137" t="str">
        <f ca="1">CELL("address",magestuff!AN$171)</f>
        <v>'[CNS-TR-Master-charsht-September-2015.xlsx]magestuff'!$AN$171</v>
      </c>
      <c r="AT27" s="6" t="str">
        <f>IF(ISNA(Skills!$W696)," ",Skills!$W696)</f>
        <v xml:space="preserve"> </v>
      </c>
      <c r="AU27" s="6" t="str">
        <f>IF(ISNA(Skills!$W696),IF(ISBLANK(Skills!$X696)," ",Skills!$X696),+Skills!$W696+Skills!$X696)</f>
        <v xml:space="preserve"> </v>
      </c>
      <c r="AV27" s="7">
        <f t="shared" ca="1" si="4"/>
        <v>0.18</v>
      </c>
      <c r="AW27" s="6">
        <f ca="1">VLOOKUP(AV27*100,magestuff!$B$213:$C$247,2)</f>
        <v>1</v>
      </c>
      <c r="AZ27">
        <v>22</v>
      </c>
      <c r="BA27" s="140" t="s">
        <v>876</v>
      </c>
      <c r="BB27" s="37"/>
    </row>
    <row r="28" spans="1:75" ht="9.9499999999999993" customHeight="1">
      <c r="A28" s="2753" t="s">
        <v>4491</v>
      </c>
      <c r="B28" s="1296"/>
      <c r="C28" s="40">
        <f>C27</f>
        <v>2</v>
      </c>
      <c r="D28" s="40">
        <f t="shared" ref="D28:L28" si="11">D27+C28</f>
        <v>6</v>
      </c>
      <c r="E28" s="40">
        <f t="shared" si="11"/>
        <v>12</v>
      </c>
      <c r="F28" s="40">
        <f t="shared" si="11"/>
        <v>20</v>
      </c>
      <c r="G28" s="40">
        <f t="shared" si="11"/>
        <v>30</v>
      </c>
      <c r="H28" s="40">
        <f t="shared" si="11"/>
        <v>42</v>
      </c>
      <c r="I28" s="40">
        <f t="shared" si="11"/>
        <v>56</v>
      </c>
      <c r="J28" s="40">
        <f t="shared" si="11"/>
        <v>72</v>
      </c>
      <c r="K28" s="40">
        <f t="shared" si="11"/>
        <v>90</v>
      </c>
      <c r="L28" s="40">
        <f t="shared" si="11"/>
        <v>110</v>
      </c>
      <c r="M28"/>
      <c r="N28"/>
      <c r="R28" s="5"/>
      <c r="S28" s="6"/>
      <c r="T28" s="6"/>
      <c r="U28" s="6"/>
      <c r="V28" s="6"/>
      <c r="W28" s="6"/>
      <c r="X28" s="6"/>
      <c r="AD28" s="6">
        <v>24</v>
      </c>
      <c r="AE28" s="6" t="str">
        <f>Skills!A697</f>
        <v>Haeflin Master Magus</v>
      </c>
      <c r="AF28" s="6">
        <f>Skills!V697</f>
        <v>8</v>
      </c>
      <c r="AG28" s="6" t="s">
        <v>5222</v>
      </c>
      <c r="AH28" s="7">
        <f ca="1">Skills!Y697</f>
        <v>0.08</v>
      </c>
      <c r="AI28" s="7">
        <f>Skills!Z697</f>
        <v>0</v>
      </c>
      <c r="AJ28" s="7">
        <f ca="1">Skills!AA697</f>
        <v>0.08</v>
      </c>
      <c r="AK28" s="7">
        <f>IF('Main Creation Page'!$E$6="Poor",0.1,IF('Main Creation Page'!$E$6="Well",0.1,0))</f>
        <v>0.1</v>
      </c>
      <c r="AL28" s="7">
        <f t="shared" ca="1" si="0"/>
        <v>0.18</v>
      </c>
      <c r="AM28" s="7">
        <f>Skills!AD697+AK26</f>
        <v>0.1</v>
      </c>
      <c r="AN28" s="7">
        <f t="shared" si="1"/>
        <v>0</v>
      </c>
      <c r="AO28" s="7">
        <f t="shared" si="2"/>
        <v>0.1</v>
      </c>
      <c r="AP28" s="6">
        <f ca="1">VLOOKUP(AL28*100,magestuff!$B$213:$C$252,2)</f>
        <v>1</v>
      </c>
      <c r="AQ28" s="7">
        <f t="shared" ca="1" si="3"/>
        <v>0.18</v>
      </c>
      <c r="AR28" s="37" t="str">
        <f ca="1">CELL("address",magestuff!N113)</f>
        <v>'[CNS-TR-Master-charsht-September-2015.xlsx]magestuff'!$N$113</v>
      </c>
      <c r="AS28" s="137" t="str">
        <f ca="1">CELL("address",magestuff!BX$171)</f>
        <v>'[CNS-TR-Master-charsht-September-2015.xlsx]magestuff'!$BX$171</v>
      </c>
      <c r="AT28" s="6" t="str">
        <f>IF(ISNA(Skills!$W697)," ",Skills!$W697)</f>
        <v xml:space="preserve"> </v>
      </c>
      <c r="AU28" s="6" t="str">
        <f>IF(ISNA(Skills!$W697),IF(ISBLANK(Skills!$X697)," ",Skills!$X697),+Skills!$W697+Skills!$X697)</f>
        <v xml:space="preserve"> </v>
      </c>
      <c r="AV28" s="7">
        <f t="shared" ca="1" si="4"/>
        <v>0.18</v>
      </c>
      <c r="AW28" s="6">
        <f ca="1">VLOOKUP(AV28*100,magestuff!$B$213:$C$247,2)</f>
        <v>1</v>
      </c>
      <c r="AZ28">
        <v>23</v>
      </c>
      <c r="BA28" s="140" t="s">
        <v>4761</v>
      </c>
      <c r="BB28" s="37"/>
      <c r="BG28" s="6"/>
      <c r="BH28" s="6"/>
      <c r="BI28" s="6" t="s">
        <v>1295</v>
      </c>
      <c r="BJ28" s="6" t="s">
        <v>3589</v>
      </c>
      <c r="BK28" s="6" t="s">
        <v>3047</v>
      </c>
      <c r="BL28" s="6" t="s">
        <v>4731</v>
      </c>
      <c r="BM28" s="6" t="s">
        <v>1988</v>
      </c>
      <c r="BN28" s="37"/>
      <c r="BO28" s="37"/>
      <c r="BP28" s="37"/>
      <c r="BQ28" s="37"/>
      <c r="BR28" s="37"/>
      <c r="BS28" s="1"/>
      <c r="BU28" s="53"/>
      <c r="BW28" s="111"/>
    </row>
    <row r="29" spans="1:75" ht="9" customHeight="1">
      <c r="A29" s="31"/>
      <c r="B29" s="31"/>
      <c r="C29"/>
      <c r="D29"/>
      <c r="E29"/>
      <c r="F29"/>
      <c r="G29"/>
      <c r="H29"/>
      <c r="I29"/>
      <c r="J29"/>
      <c r="K29"/>
      <c r="L29"/>
      <c r="AD29" s="6">
        <v>25</v>
      </c>
      <c r="AE29" s="6" t="str">
        <f>Skills!A698</f>
        <v>Hexmaster</v>
      </c>
      <c r="AF29" s="6">
        <f>Skills!V698</f>
        <v>7</v>
      </c>
      <c r="AG29" s="6" t="s">
        <v>5222</v>
      </c>
      <c r="AH29" s="7">
        <f ca="1">Skills!Y698</f>
        <v>0.08</v>
      </c>
      <c r="AI29" s="7">
        <f>Skills!Z698</f>
        <v>0</v>
      </c>
      <c r="AJ29" s="7">
        <f ca="1">Skills!AA698</f>
        <v>0.08</v>
      </c>
      <c r="AK29" s="7">
        <f>IF('Main Creation Page'!$E$6="Poor",0.1,IF('Main Creation Page'!$E$6="Well",0.1,0))</f>
        <v>0.1</v>
      </c>
      <c r="AL29" s="7">
        <f t="shared" ca="1" si="0"/>
        <v>0.18</v>
      </c>
      <c r="AM29" s="7">
        <f>Skills!AD698+AK27</f>
        <v>0.1</v>
      </c>
      <c r="AN29" s="7">
        <f t="shared" si="1"/>
        <v>0</v>
      </c>
      <c r="AO29" s="7">
        <f t="shared" si="2"/>
        <v>0.1</v>
      </c>
      <c r="AP29" s="6">
        <f ca="1">VLOOKUP(AL29*100,magestuff!$B$213:$C$252,2)</f>
        <v>1</v>
      </c>
      <c r="AQ29" s="7">
        <f t="shared" ca="1" si="3"/>
        <v>0.18</v>
      </c>
      <c r="AR29" s="37" t="str">
        <f ca="1">CELL("address",magestuff!Z69)</f>
        <v>'[CNS-TR-Master-charsht-September-2015.xlsx]magestuff'!$Z$69</v>
      </c>
      <c r="AS29" s="137" t="str">
        <f ca="1">CELL("address",magestuff!AR$171)</f>
        <v>'[CNS-TR-Master-charsht-September-2015.xlsx]magestuff'!$AR$171</v>
      </c>
      <c r="AT29" s="6" t="str">
        <f>IF(ISNA(Skills!$W698)," ",Skills!$W698)</f>
        <v xml:space="preserve"> </v>
      </c>
      <c r="AU29" s="6" t="str">
        <f>IF(ISNA(Skills!$W698),IF(ISBLANK(Skills!$X698)," ",Skills!$X698),+Skills!$W698+Skills!$X698)</f>
        <v xml:space="preserve"> </v>
      </c>
      <c r="AV29" s="7">
        <f t="shared" ca="1" si="4"/>
        <v>0.18</v>
      </c>
      <c r="AW29" s="6">
        <f ca="1">VLOOKUP(AV29*100,magestuff!$B$213:$C$247,2)</f>
        <v>1</v>
      </c>
      <c r="AZ29">
        <v>23</v>
      </c>
      <c r="BA29" s="140" t="s">
        <v>4340</v>
      </c>
      <c r="BB29" s="37"/>
      <c r="BG29" s="6" t="s">
        <v>3005</v>
      </c>
      <c r="BH29" s="6" t="s">
        <v>1296</v>
      </c>
      <c r="BI29" s="6" t="s">
        <v>3006</v>
      </c>
      <c r="BJ29" s="6" t="s">
        <v>5216</v>
      </c>
      <c r="BK29" s="6" t="s">
        <v>5216</v>
      </c>
      <c r="BL29" s="6" t="s">
        <v>5216</v>
      </c>
      <c r="BM29" s="6" t="s">
        <v>5216</v>
      </c>
      <c r="BN29" s="6"/>
      <c r="BO29" s="6"/>
      <c r="BP29" s="6"/>
      <c r="BQ29" s="37"/>
      <c r="BR29" s="37"/>
      <c r="BS29" s="1"/>
      <c r="BU29" s="53"/>
      <c r="BW29" s="111"/>
    </row>
    <row r="30" spans="1:75" ht="9" customHeight="1">
      <c r="A30" s="3" t="s">
        <v>5146</v>
      </c>
      <c r="B30" s="194">
        <v>1</v>
      </c>
      <c r="Q30" s="67"/>
      <c r="W30" s="6"/>
      <c r="X30" s="6"/>
      <c r="Y30" s="6"/>
      <c r="AD30" s="6">
        <v>26</v>
      </c>
      <c r="AE30" s="6" t="str">
        <f>Skills!A699</f>
        <v>Master Armourer Magus</v>
      </c>
      <c r="AF30" s="6">
        <f>Skills!V699</f>
        <v>7</v>
      </c>
      <c r="AG30" s="6" t="s">
        <v>5222</v>
      </c>
      <c r="AH30" s="7">
        <f ca="1">Skills!Y699</f>
        <v>0.12</v>
      </c>
      <c r="AI30" s="7">
        <f>Skills!Z699</f>
        <v>0</v>
      </c>
      <c r="AJ30" s="7">
        <f ca="1">Skills!AA699</f>
        <v>0.12</v>
      </c>
      <c r="AK30" s="7">
        <f>IF('Main Creation Page'!$E$6="Poor",0.1,IF('Main Creation Page'!$E$6="Well",0.1,0))</f>
        <v>0.1</v>
      </c>
      <c r="AL30" s="7">
        <f t="shared" ca="1" si="0"/>
        <v>0.22</v>
      </c>
      <c r="AM30" s="7">
        <f>Skills!AD699+AK29</f>
        <v>0.1</v>
      </c>
      <c r="AN30" s="7">
        <f t="shared" si="1"/>
        <v>0</v>
      </c>
      <c r="AO30" s="7">
        <f t="shared" si="2"/>
        <v>0.1</v>
      </c>
      <c r="AP30" s="6">
        <f ca="1">VLOOKUP(AL30*100,magestuff!$B$213:$C$252,2)</f>
        <v>2</v>
      </c>
      <c r="AQ30" s="7">
        <f t="shared" ca="1" si="3"/>
        <v>0.22</v>
      </c>
      <c r="AR30" s="37" t="str">
        <f ca="1">CELL("address",magestuff!AL69)</f>
        <v>'[CNS-TR-Master-charsht-September-2015.xlsx]magestuff'!$AL$69</v>
      </c>
      <c r="AS30" s="137" t="str">
        <f ca="1">CELL("address",magestuff!AT$171)</f>
        <v>'[CNS-TR-Master-charsht-September-2015.xlsx]magestuff'!$AT$171</v>
      </c>
      <c r="AT30" s="6" t="str">
        <f>IF(ISNA(Skills!$W699)," ",Skills!$W699)</f>
        <v xml:space="preserve"> </v>
      </c>
      <c r="AU30" s="6" t="str">
        <f>IF(ISNA(Skills!$W699),IF(ISBLANK(Skills!$X699)," ",Skills!$X699),+Skills!$W699+Skills!$X699)</f>
        <v xml:space="preserve"> </v>
      </c>
      <c r="AV30" s="7">
        <f t="shared" ca="1" si="4"/>
        <v>0.22</v>
      </c>
      <c r="AW30" s="6">
        <f ca="1">VLOOKUP(AV30*100,magestuff!$B$213:$C$247,2)</f>
        <v>2</v>
      </c>
      <c r="AZ30">
        <v>24</v>
      </c>
      <c r="BA30" s="140" t="s">
        <v>452</v>
      </c>
      <c r="BB30" s="37"/>
      <c r="BE30" s="2722" t="s">
        <v>5107</v>
      </c>
      <c r="BF30" s="2806"/>
      <c r="BG30" s="31">
        <f>Skills!V621</f>
        <v>4</v>
      </c>
      <c r="BH30" s="67" t="str">
        <f>IF(ISNA(Skills!$W621),IF(ISBLANK(Skills!$X621)," ",Skills!$X621),+Skills!$W621+Skills!$X621)</f>
        <v xml:space="preserve"> </v>
      </c>
      <c r="BI30" s="72">
        <f ca="1">Skills!Y621</f>
        <v>0.1</v>
      </c>
      <c r="BJ30" s="72">
        <f>Skills!Z621</f>
        <v>0</v>
      </c>
      <c r="BK30" s="72">
        <f ca="1">Skills!AA621</f>
        <v>0.1</v>
      </c>
      <c r="BL30" s="72">
        <f>IF(BH30=" ",Skills!AB621,Skills!AC621)</f>
        <v>0.2</v>
      </c>
      <c r="BM30" s="72">
        <f>Skills!AD621</f>
        <v>0</v>
      </c>
      <c r="BN30" s="37"/>
      <c r="BO30" s="6"/>
      <c r="BP30" s="6"/>
      <c r="BQ30" s="37"/>
      <c r="BR30" s="37"/>
      <c r="BS30" s="1"/>
      <c r="BU30" s="53"/>
      <c r="BW30" s="111"/>
    </row>
    <row r="31" spans="1:75" ht="9" customHeight="1" thickBot="1">
      <c r="A31" s="197" t="s">
        <v>689</v>
      </c>
      <c r="B31" s="195">
        <v>2</v>
      </c>
      <c r="G31" s="3" t="s">
        <v>690</v>
      </c>
      <c r="H31" s="196">
        <v>3</v>
      </c>
      <c r="L31"/>
      <c r="M31"/>
      <c r="N31"/>
      <c r="Q31" s="67"/>
      <c r="W31" s="6"/>
      <c r="X31" s="6"/>
      <c r="Y31" s="6"/>
      <c r="AD31" s="6">
        <v>27</v>
      </c>
      <c r="AE31" s="6" t="str">
        <f>Skills!A700</f>
        <v>Mathematics</v>
      </c>
      <c r="AF31" s="6">
        <f>Skills!V700</f>
        <v>7</v>
      </c>
      <c r="AG31" s="6" t="s">
        <v>5222</v>
      </c>
      <c r="AH31" s="7">
        <f ca="1">Skills!Y700</f>
        <v>0.1</v>
      </c>
      <c r="AI31" s="7">
        <f>Skills!Z700</f>
        <v>0</v>
      </c>
      <c r="AJ31" s="7">
        <f ca="1">Skills!AA700</f>
        <v>0.1</v>
      </c>
      <c r="AK31" s="7">
        <f>IF('Main Creation Page'!$E$6="Poor",0.1,IF('Main Creation Page'!$E$6="Well",0.1,0))</f>
        <v>0.1</v>
      </c>
      <c r="AL31" s="7">
        <f t="shared" ca="1" si="0"/>
        <v>0.2</v>
      </c>
      <c r="AM31" s="7">
        <f>Skills!AD700+AK30</f>
        <v>0.1</v>
      </c>
      <c r="AN31" s="7">
        <f t="shared" si="1"/>
        <v>0</v>
      </c>
      <c r="AO31" s="7">
        <f t="shared" si="2"/>
        <v>0.1</v>
      </c>
      <c r="AP31" s="6">
        <f ca="1">VLOOKUP(AL31*100,magestuff!$B$213:$C$252,2)</f>
        <v>1</v>
      </c>
      <c r="AQ31" s="7">
        <f t="shared" ca="1" si="3"/>
        <v>0.2</v>
      </c>
      <c r="AR31" s="37" t="str">
        <f ca="1">CELL("address",magestuff!AX69)</f>
        <v>'[CNS-TR-Master-charsht-September-2015.xlsx]magestuff'!$AX$69</v>
      </c>
      <c r="AS31" s="137" t="str">
        <f ca="1">CELL("address",magestuff!AV$171)</f>
        <v>'[CNS-TR-Master-charsht-September-2015.xlsx]magestuff'!$AV$171</v>
      </c>
      <c r="AT31" s="6" t="str">
        <f>IF(ISNA(Skills!$W700)," ",Skills!$W700)</f>
        <v xml:space="preserve"> </v>
      </c>
      <c r="AU31" s="6" t="str">
        <f>IF(ISNA(Skills!$W700),IF(ISBLANK(Skills!$X700)," ",Skills!$X700),+Skills!$W700+Skills!$X700)</f>
        <v xml:space="preserve"> </v>
      </c>
      <c r="AV31" s="7">
        <f t="shared" ca="1" si="4"/>
        <v>0.2</v>
      </c>
      <c r="AW31" s="6">
        <f ca="1">VLOOKUP(AV31*100,magestuff!$B$213:$C$247,2)</f>
        <v>1</v>
      </c>
      <c r="AZ31">
        <v>25</v>
      </c>
      <c r="BA31" s="140" t="s">
        <v>4762</v>
      </c>
      <c r="BF31" s="25"/>
      <c r="BG31" s="31"/>
      <c r="BH31" s="67"/>
      <c r="BI31" s="72"/>
      <c r="BJ31" s="72"/>
      <c r="BK31" s="72"/>
      <c r="BL31" s="72"/>
      <c r="BM31" s="72"/>
      <c r="BN31" s="37"/>
      <c r="BO31" s="6"/>
      <c r="BP31" s="6"/>
      <c r="BQ31" s="37"/>
      <c r="BR31" s="37"/>
      <c r="BS31" s="1"/>
    </row>
    <row r="32" spans="1:75" ht="9" customHeight="1" thickTop="1" thickBot="1">
      <c r="A32" s="2764" t="s">
        <v>3945</v>
      </c>
      <c r="B32" s="2765"/>
      <c r="C32" s="2748" t="s">
        <v>3946</v>
      </c>
      <c r="D32" s="2749"/>
      <c r="E32" s="2750"/>
      <c r="F32" s="2748" t="s">
        <v>3947</v>
      </c>
      <c r="G32" s="2749"/>
      <c r="H32" s="2750"/>
      <c r="I32" s="2748" t="s">
        <v>3948</v>
      </c>
      <c r="J32" s="2749"/>
      <c r="K32" s="2750"/>
      <c r="L32" s="2748" t="s">
        <v>3949</v>
      </c>
      <c r="M32" s="2749"/>
      <c r="N32" s="2750"/>
      <c r="O32" s="2748" t="s">
        <v>3950</v>
      </c>
      <c r="P32" s="2749"/>
      <c r="Q32" s="2750"/>
      <c r="R32" s="2748" t="s">
        <v>3951</v>
      </c>
      <c r="S32" s="2749"/>
      <c r="T32" s="2750"/>
      <c r="U32" s="2748" t="s">
        <v>3952</v>
      </c>
      <c r="V32" s="2749"/>
      <c r="W32" s="2750"/>
      <c r="X32" s="6"/>
      <c r="Y32" s="6"/>
      <c r="AC32" s="6"/>
      <c r="AD32" s="6">
        <v>28</v>
      </c>
      <c r="AE32" s="6" t="str">
        <f>Skills!A701</f>
        <v>Medium</v>
      </c>
      <c r="AF32" s="6">
        <f>Skills!V701</f>
        <v>7</v>
      </c>
      <c r="AG32" s="6" t="s">
        <v>5222</v>
      </c>
      <c r="AH32" s="7">
        <f ca="1">Skills!Y701</f>
        <v>0.08</v>
      </c>
      <c r="AI32" s="7">
        <f>Skills!Z701</f>
        <v>0</v>
      </c>
      <c r="AJ32" s="7">
        <f ca="1">Skills!AA701</f>
        <v>0.08</v>
      </c>
      <c r="AK32" s="7">
        <f>IF('Main Creation Page'!$E$6="Poor",0.1,IF('Main Creation Page'!$E$6="Well",0.1,0))</f>
        <v>0.1</v>
      </c>
      <c r="AL32" s="7">
        <f t="shared" ca="1" si="0"/>
        <v>0.18</v>
      </c>
      <c r="AM32" s="7">
        <f>Skills!AD701+AK31</f>
        <v>0.1</v>
      </c>
      <c r="AN32" s="7">
        <f t="shared" si="1"/>
        <v>0</v>
      </c>
      <c r="AO32" s="7">
        <f t="shared" si="2"/>
        <v>0.1</v>
      </c>
      <c r="AP32" s="6">
        <f ca="1">VLOOKUP(AL32*100,magestuff!$B$213:$C$252,2)</f>
        <v>1</v>
      </c>
      <c r="AQ32" s="7">
        <f t="shared" ca="1" si="3"/>
        <v>0.18</v>
      </c>
      <c r="AR32" s="37" t="str">
        <f ca="1">CELL("address",magestuff!BJ69)</f>
        <v>'[CNS-TR-Master-charsht-September-2015.xlsx]magestuff'!$BJ$69</v>
      </c>
      <c r="AS32" s="137" t="str">
        <f ca="1">CELL("address",magestuff!AX$171)</f>
        <v>'[CNS-TR-Master-charsht-September-2015.xlsx]magestuff'!$AX$171</v>
      </c>
      <c r="AT32" s="6" t="str">
        <f>IF(ISNA(Skills!$W701)," ",Skills!$W701)</f>
        <v xml:space="preserve"> </v>
      </c>
      <c r="AU32" s="6" t="str">
        <f>IF(ISNA(Skills!$W701),IF(ISBLANK(Skills!$X701)," ",Skills!$X701),+Skills!$W701+Skills!$X701)</f>
        <v xml:space="preserve"> </v>
      </c>
      <c r="AV32" s="7">
        <f t="shared" ca="1" si="4"/>
        <v>0.18</v>
      </c>
      <c r="AW32" s="6">
        <f ca="1">VLOOKUP(AV32*100,magestuff!$B$213:$C$247,2)</f>
        <v>1</v>
      </c>
      <c r="AZ32">
        <v>25</v>
      </c>
      <c r="BA32" s="86" t="s">
        <v>1972</v>
      </c>
      <c r="BF32" s="541"/>
      <c r="BG32" s="2788" t="s">
        <v>4751</v>
      </c>
      <c r="BH32" s="1646"/>
      <c r="BI32" s="1646"/>
      <c r="BJ32" s="1646"/>
      <c r="BK32" s="2788" t="s">
        <v>1884</v>
      </c>
      <c r="BL32" s="2788"/>
      <c r="BM32" s="2788"/>
      <c r="BN32" s="2788"/>
      <c r="BO32" s="2788"/>
      <c r="BP32" s="2788"/>
      <c r="BQ32" s="2788"/>
      <c r="BR32" s="2788"/>
      <c r="BS32" s="2788"/>
      <c r="BT32" s="2788"/>
      <c r="BU32" s="2788"/>
      <c r="BV32" s="2788"/>
      <c r="BW32" s="542"/>
    </row>
    <row r="33" spans="1:75" ht="9" customHeight="1" thickTop="1">
      <c r="A33" s="2766"/>
      <c r="B33" s="2767"/>
      <c r="C33" s="2738" t="s">
        <v>3033</v>
      </c>
      <c r="D33" s="116" t="s">
        <v>3953</v>
      </c>
      <c r="E33" s="2740" t="s">
        <v>81</v>
      </c>
      <c r="F33" s="2738" t="s">
        <v>3033</v>
      </c>
      <c r="G33" s="116" t="s">
        <v>3953</v>
      </c>
      <c r="H33" s="2740" t="s">
        <v>81</v>
      </c>
      <c r="I33" s="2738" t="s">
        <v>3033</v>
      </c>
      <c r="J33" s="116" t="s">
        <v>3953</v>
      </c>
      <c r="K33" s="2740" t="s">
        <v>81</v>
      </c>
      <c r="L33" s="2738" t="s">
        <v>3033</v>
      </c>
      <c r="M33" s="116" t="s">
        <v>3953</v>
      </c>
      <c r="N33" s="2740" t="s">
        <v>81</v>
      </c>
      <c r="O33" s="2738" t="s">
        <v>3033</v>
      </c>
      <c r="P33" s="116" t="s">
        <v>3953</v>
      </c>
      <c r="Q33" s="2740" t="s">
        <v>81</v>
      </c>
      <c r="R33" s="2738" t="s">
        <v>3033</v>
      </c>
      <c r="S33" s="117" t="s">
        <v>3953</v>
      </c>
      <c r="T33" s="2775" t="s">
        <v>81</v>
      </c>
      <c r="U33" s="2774" t="s">
        <v>3033</v>
      </c>
      <c r="V33" s="118" t="s">
        <v>3953</v>
      </c>
      <c r="W33" s="2740" t="s">
        <v>81</v>
      </c>
      <c r="X33" s="6"/>
      <c r="Y33" s="6"/>
      <c r="AB33" s="6"/>
      <c r="AC33" s="6"/>
      <c r="AD33" s="6">
        <v>29</v>
      </c>
      <c r="AE33" s="6" t="str">
        <f>Skills!A702</f>
        <v>Necromancy</v>
      </c>
      <c r="AF33" s="6">
        <f>Skills!V702</f>
        <v>7</v>
      </c>
      <c r="AG33" s="6" t="s">
        <v>5222</v>
      </c>
      <c r="AH33" s="7">
        <f ca="1">Skills!Y702</f>
        <v>0.08</v>
      </c>
      <c r="AI33" s="7">
        <f>Skills!Z702</f>
        <v>0</v>
      </c>
      <c r="AJ33" s="7">
        <f ca="1">Skills!AA702</f>
        <v>0.08</v>
      </c>
      <c r="AK33" s="7">
        <f>IF('Main Creation Page'!$E$6="Poor",0.1,IF('Main Creation Page'!$E$6="Well",0.1,0))</f>
        <v>0.1</v>
      </c>
      <c r="AL33" s="7">
        <f t="shared" ca="1" si="0"/>
        <v>0.18</v>
      </c>
      <c r="AM33" s="7">
        <f>Skills!AD702+AK32</f>
        <v>0.1</v>
      </c>
      <c r="AN33" s="7">
        <f t="shared" si="1"/>
        <v>0</v>
      </c>
      <c r="AO33" s="7">
        <f t="shared" si="2"/>
        <v>0.1</v>
      </c>
      <c r="AP33" s="6">
        <f ca="1">VLOOKUP(AL33*100,magestuff!$B$213:$C$252,2)</f>
        <v>1</v>
      </c>
      <c r="AQ33" s="7">
        <f t="shared" ca="1" si="3"/>
        <v>0.18</v>
      </c>
      <c r="AR33" s="37" t="str">
        <f ca="1">CELL("address",magestuff!BV69)</f>
        <v>'[CNS-TR-Master-charsht-September-2015.xlsx]magestuff'!$BV$69</v>
      </c>
      <c r="AS33" s="137" t="str">
        <f ca="1">CELL("address",magestuff!AZ$171)</f>
        <v>'[CNS-TR-Master-charsht-September-2015.xlsx]magestuff'!$AZ$171</v>
      </c>
      <c r="AT33" s="6" t="str">
        <f>IF(ISNA(Skills!$W702)," ",Skills!$W702)</f>
        <v xml:space="preserve"> </v>
      </c>
      <c r="AU33" s="6" t="str">
        <f>IF(ISNA(Skills!$W702),IF(ISBLANK(Skills!$X702)," ",Skills!$X702),+Skills!$W702+Skills!$X702)</f>
        <v xml:space="preserve"> </v>
      </c>
      <c r="AV33" s="7">
        <f t="shared" ca="1" si="4"/>
        <v>0.18</v>
      </c>
      <c r="AW33" s="6">
        <f ca="1">VLOOKUP(AV33*100,magestuff!$B$213:$C$247,2)</f>
        <v>1</v>
      </c>
      <c r="AZ33">
        <v>25</v>
      </c>
      <c r="BA33" s="86" t="s">
        <v>1973</v>
      </c>
      <c r="BF33" s="543" t="str">
        <f>IF(ISBLANK(Skills!X622),"N","Y")</f>
        <v>N</v>
      </c>
      <c r="BG33" s="2733" t="str">
        <f>CONCATENATE("Law of ",Skills!A622)</f>
        <v>Law of Association</v>
      </c>
      <c r="BH33" s="2733"/>
      <c r="BI33" s="2733"/>
      <c r="BJ33" s="2733"/>
      <c r="BK33" s="2733" t="s">
        <v>986</v>
      </c>
      <c r="BL33" s="2733"/>
      <c r="BM33" s="2733"/>
      <c r="BN33" s="2733"/>
      <c r="BO33" s="2733"/>
      <c r="BP33" s="2733"/>
      <c r="BQ33" s="2733"/>
      <c r="BR33" s="2733"/>
      <c r="BS33" s="2733"/>
      <c r="BT33" s="2733"/>
      <c r="BU33" s="2733"/>
      <c r="BV33" s="2733"/>
      <c r="BW33" s="544">
        <f>IF(BF33="Y",+$C$3,0)</f>
        <v>0</v>
      </c>
    </row>
    <row r="34" spans="1:75" ht="9" customHeight="1" thickBot="1">
      <c r="A34" s="2768"/>
      <c r="B34" s="2769"/>
      <c r="C34" s="2739"/>
      <c r="D34" s="116" t="s">
        <v>3954</v>
      </c>
      <c r="E34" s="2741"/>
      <c r="F34" s="2739"/>
      <c r="G34" s="116" t="s">
        <v>3954</v>
      </c>
      <c r="H34" s="2741"/>
      <c r="I34" s="2739"/>
      <c r="J34" s="116" t="s">
        <v>3954</v>
      </c>
      <c r="K34" s="2741"/>
      <c r="L34" s="2739"/>
      <c r="M34" s="116" t="s">
        <v>3954</v>
      </c>
      <c r="N34" s="2741"/>
      <c r="O34" s="2739"/>
      <c r="P34" s="116" t="s">
        <v>3954</v>
      </c>
      <c r="Q34" s="2741"/>
      <c r="R34" s="2739"/>
      <c r="S34" s="119" t="s">
        <v>3954</v>
      </c>
      <c r="T34" s="2741"/>
      <c r="U34" s="2739"/>
      <c r="V34" s="120" t="s">
        <v>3954</v>
      </c>
      <c r="W34" s="2741"/>
      <c r="X34" s="6"/>
      <c r="Y34" s="6"/>
      <c r="AA34" s="6"/>
      <c r="AB34" s="6"/>
      <c r="AC34" s="6"/>
      <c r="AD34" s="6">
        <v>30</v>
      </c>
      <c r="AE34" s="6" t="str">
        <f>Skills!A703</f>
        <v>Power Word</v>
      </c>
      <c r="AF34" s="6">
        <f>Skills!V703</f>
        <v>7</v>
      </c>
      <c r="AG34" s="6" t="s">
        <v>5222</v>
      </c>
      <c r="AH34" s="7">
        <f ca="1">Skills!Y703</f>
        <v>0.04</v>
      </c>
      <c r="AI34" s="7">
        <f>Skills!Z703</f>
        <v>0</v>
      </c>
      <c r="AJ34" s="7">
        <f ca="1">Skills!AA703</f>
        <v>0.04</v>
      </c>
      <c r="AK34" s="7">
        <f>IF('Main Creation Page'!$E$6="Poor",0.1,IF('Main Creation Page'!$E$6="Well",0.1,0))</f>
        <v>0.1</v>
      </c>
      <c r="AL34" s="7">
        <f t="shared" ca="1" si="0"/>
        <v>0.14000000000000001</v>
      </c>
      <c r="AM34" s="7">
        <f>Skills!AD703+AK33</f>
        <v>0.1</v>
      </c>
      <c r="AN34" s="7">
        <f t="shared" si="1"/>
        <v>0</v>
      </c>
      <c r="AO34" s="7">
        <f t="shared" si="2"/>
        <v>0.1</v>
      </c>
      <c r="AP34" s="6">
        <f ca="1">VLOOKUP(AL34*100,magestuff!$B$213:$C$252,2)</f>
        <v>1</v>
      </c>
      <c r="AQ34" s="7">
        <f t="shared" ca="1" si="3"/>
        <v>0.14000000000000001</v>
      </c>
      <c r="AR34" s="37" t="str">
        <f ca="1">CELL("address",magestuff!AX91)</f>
        <v>'[CNS-TR-Master-charsht-September-2015.xlsx]magestuff'!$AX$91</v>
      </c>
      <c r="AS34" s="137" t="str">
        <f ca="1">CELL("address",magestuff!BB$171)</f>
        <v>'[CNS-TR-Master-charsht-September-2015.xlsx]magestuff'!$BB$171</v>
      </c>
      <c r="AT34" s="6" t="str">
        <f>IF(ISNA(Skills!$W703)," ",Skills!$W703)</f>
        <v xml:space="preserve"> </v>
      </c>
      <c r="AU34" s="6" t="str">
        <f>IF(ISNA(Skills!$W703),IF(ISBLANK(Skills!$X703)," ",Skills!$X703),+Skills!$W703+Skills!$X703)</f>
        <v xml:space="preserve"> </v>
      </c>
      <c r="AV34" s="7">
        <f t="shared" ca="1" si="4"/>
        <v>0.14000000000000001</v>
      </c>
      <c r="AW34" s="6">
        <f ca="1">VLOOKUP(AV34*100,magestuff!$B$213:$C$247,2)</f>
        <v>1</v>
      </c>
      <c r="AZ34">
        <v>25</v>
      </c>
      <c r="BA34" s="86" t="s">
        <v>2898</v>
      </c>
      <c r="BF34" s="543" t="str">
        <f>IF(ISBLANK(Skills!X623),"N","Y")</f>
        <v>N</v>
      </c>
      <c r="BG34" s="2733" t="str">
        <f>CONCATENATE("Law of ",Skills!A623)</f>
        <v>Law of Balance</v>
      </c>
      <c r="BH34" s="2733"/>
      <c r="BI34" s="2733"/>
      <c r="BJ34" s="2733"/>
      <c r="BK34" s="2733" t="s">
        <v>1477</v>
      </c>
      <c r="BL34" s="2733"/>
      <c r="BM34" s="2733"/>
      <c r="BN34" s="2733"/>
      <c r="BO34" s="2733"/>
      <c r="BP34" s="2733"/>
      <c r="BQ34" s="2733"/>
      <c r="BR34" s="2733"/>
      <c r="BS34" s="2733"/>
      <c r="BT34" s="2733"/>
      <c r="BU34" s="2733"/>
      <c r="BV34" s="2733"/>
      <c r="BW34" s="545"/>
    </row>
    <row r="35" spans="1:75" ht="9" customHeight="1" thickTop="1">
      <c r="A35" s="2786" t="str">
        <f>'System Lookups'!P4</f>
        <v>Aries/The Ram</v>
      </c>
      <c r="B35" s="2787"/>
      <c r="C35" s="212" t="s">
        <v>3955</v>
      </c>
      <c r="D35" s="215" t="s">
        <v>4814</v>
      </c>
      <c r="E35" s="209">
        <v>9</v>
      </c>
      <c r="F35" s="213" t="s">
        <v>3956</v>
      </c>
      <c r="G35" s="215" t="s">
        <v>4814</v>
      </c>
      <c r="H35" s="209">
        <v>10</v>
      </c>
      <c r="I35" s="213" t="s">
        <v>3957</v>
      </c>
      <c r="J35" s="215" t="s">
        <v>4814</v>
      </c>
      <c r="K35" s="209">
        <v>2</v>
      </c>
      <c r="L35" s="213" t="s">
        <v>1371</v>
      </c>
      <c r="M35" s="215" t="s">
        <v>3268</v>
      </c>
      <c r="N35" s="209">
        <v>1</v>
      </c>
      <c r="O35" s="213" t="s">
        <v>1372</v>
      </c>
      <c r="P35" s="218" t="s">
        <v>4291</v>
      </c>
      <c r="Q35" s="209">
        <v>3</v>
      </c>
      <c r="R35" s="213" t="s">
        <v>1373</v>
      </c>
      <c r="S35" s="216" t="s">
        <v>3268</v>
      </c>
      <c r="T35" s="210">
        <v>5</v>
      </c>
      <c r="U35" s="212" t="s">
        <v>1374</v>
      </c>
      <c r="V35" s="216" t="s">
        <v>3268</v>
      </c>
      <c r="W35" s="209">
        <v>4</v>
      </c>
      <c r="X35" s="193">
        <f>IF(A35='Main Creation Page'!$AF$31,1,IF(A46='Main Creation Page'!$AF$31,2,IF(A36='Main Creation Page'!$AF$31,2,IF(A41='Main Creation Page'!$AF$31,3,0))))</f>
        <v>3</v>
      </c>
      <c r="Y35" s="193"/>
      <c r="AA35" s="6"/>
      <c r="AC35" s="6"/>
      <c r="AD35" s="6">
        <v>31</v>
      </c>
      <c r="AE35" s="6" t="s">
        <v>2900</v>
      </c>
      <c r="AF35" s="6">
        <f>Skills!V696</f>
        <v>5</v>
      </c>
      <c r="AG35" s="6" t="s">
        <v>5222</v>
      </c>
      <c r="AH35" s="7">
        <f ca="1">Skills!Y696</f>
        <v>0.08</v>
      </c>
      <c r="AI35" s="7">
        <f>Skills!Z696</f>
        <v>0</v>
      </c>
      <c r="AJ35" s="7">
        <f ca="1">Skills!AA696</f>
        <v>0.08</v>
      </c>
      <c r="AK35" s="7">
        <f>IF('Main Creation Page'!$E$6="Poor",0.1,IF('Main Creation Page'!$E$6="Well",0.1,0))</f>
        <v>0.1</v>
      </c>
      <c r="AL35" s="7">
        <f t="shared" ca="1" si="0"/>
        <v>0.18</v>
      </c>
      <c r="AM35" s="7">
        <f>Skills!AD696+AK35</f>
        <v>0.1</v>
      </c>
      <c r="AN35" s="7">
        <f t="shared" si="1"/>
        <v>0</v>
      </c>
      <c r="AO35" s="7">
        <f t="shared" si="2"/>
        <v>0.1</v>
      </c>
      <c r="AP35" s="6">
        <f ca="1">VLOOKUP(AL35*100,magestuff!$B$213:$C$252,2)</f>
        <v>1</v>
      </c>
      <c r="AQ35" s="7">
        <f t="shared" ca="1" si="3"/>
        <v>0.18</v>
      </c>
      <c r="AR35" s="37" t="str">
        <f ca="1">CELL("address",magestuff!B69)</f>
        <v>'[CNS-TR-Master-charsht-September-2015.xlsx]magestuff'!$B$69</v>
      </c>
      <c r="AS35" s="137" t="str">
        <f ca="1">CELL("address",magestuff!BD$171)</f>
        <v>'[CNS-TR-Master-charsht-September-2015.xlsx]magestuff'!$BD$171</v>
      </c>
      <c r="AT35" s="6" t="str">
        <f>IF(ISNA(Skills!$W696)," ",Skills!$W696)</f>
        <v xml:space="preserve"> </v>
      </c>
      <c r="AU35" s="37" t="str">
        <f>IF(ISNA(Skills!$W696),IF(ISBLANK(Skills!$X696)," ",Skills!$X696),+Skills!$W696+Skills!$X696)</f>
        <v xml:space="preserve"> </v>
      </c>
      <c r="AV35" s="7">
        <f t="shared" ca="1" si="4"/>
        <v>0.18</v>
      </c>
      <c r="AW35" s="6">
        <f ca="1">VLOOKUP(AV35*100,magestuff!$B$213:$C$247,2)</f>
        <v>1</v>
      </c>
      <c r="AZ35">
        <v>26</v>
      </c>
      <c r="BA35" s="86" t="s">
        <v>1575</v>
      </c>
      <c r="BF35" s="543" t="str">
        <f>IF(ISBLANK(Skills!X624),"N","Y")</f>
        <v>N</v>
      </c>
      <c r="BG35" s="2733" t="str">
        <f>CONCATENATE("Law of ",Skills!A624)</f>
        <v>Law of Causation</v>
      </c>
      <c r="BH35" s="2733"/>
      <c r="BI35" s="2733"/>
      <c r="BJ35" s="2733"/>
      <c r="BK35" s="2733" t="s">
        <v>3321</v>
      </c>
      <c r="BL35" s="2733"/>
      <c r="BM35" s="2733"/>
      <c r="BN35" s="2733"/>
      <c r="BO35" s="2733"/>
      <c r="BP35" s="2733"/>
      <c r="BQ35" s="2733"/>
      <c r="BR35" s="2733"/>
      <c r="BS35" s="2733"/>
      <c r="BT35" s="2733"/>
      <c r="BU35" s="2733"/>
      <c r="BV35" s="2733"/>
      <c r="BW35" s="545"/>
    </row>
    <row r="36" spans="1:75" ht="9" customHeight="1">
      <c r="A36" s="2754" t="str">
        <f>'System Lookups'!P5</f>
        <v>Taurus/The Bull</v>
      </c>
      <c r="B36" s="2755"/>
      <c r="C36" s="212" t="s">
        <v>1375</v>
      </c>
      <c r="D36" s="216" t="s">
        <v>4816</v>
      </c>
      <c r="E36" s="210">
        <v>3</v>
      </c>
      <c r="F36" s="212" t="s">
        <v>1376</v>
      </c>
      <c r="G36" s="216" t="s">
        <v>3268</v>
      </c>
      <c r="H36" s="210">
        <v>7</v>
      </c>
      <c r="I36" s="212" t="s">
        <v>1377</v>
      </c>
      <c r="J36" s="216" t="s">
        <v>1159</v>
      </c>
      <c r="K36" s="210">
        <v>4</v>
      </c>
      <c r="L36" s="212" t="s">
        <v>1378</v>
      </c>
      <c r="M36" s="216" t="s">
        <v>1159</v>
      </c>
      <c r="N36" s="210">
        <v>3</v>
      </c>
      <c r="O36" s="212" t="s">
        <v>4249</v>
      </c>
      <c r="P36" s="219" t="s">
        <v>4814</v>
      </c>
      <c r="Q36" s="210" t="s">
        <v>4250</v>
      </c>
      <c r="R36" s="212" t="s">
        <v>4251</v>
      </c>
      <c r="S36" s="216" t="s">
        <v>3268</v>
      </c>
      <c r="T36" s="210">
        <v>5</v>
      </c>
      <c r="U36" s="212" t="s">
        <v>4252</v>
      </c>
      <c r="V36" s="216" t="s">
        <v>4816</v>
      </c>
      <c r="W36" s="210">
        <v>4</v>
      </c>
      <c r="X36" s="193">
        <f>IF(A36='Main Creation Page'!$AF$31,1,IF(A35='Main Creation Page'!$AF$31,2,IF(A37='Main Creation Page'!$AF$31,2,IF(A42='Main Creation Page'!$AF$31,3,0))))</f>
        <v>0</v>
      </c>
      <c r="Y36" s="193"/>
      <c r="AC36" s="6"/>
      <c r="AD36" s="6">
        <v>32</v>
      </c>
      <c r="AE36" s="6" t="str">
        <f>Skills!A704</f>
        <v>Rune Mage (Vitkir)</v>
      </c>
      <c r="AF36" s="6">
        <f>Skills!V704</f>
        <v>7</v>
      </c>
      <c r="AG36" s="6" t="s">
        <v>5224</v>
      </c>
      <c r="AH36" s="7">
        <f ca="1">Skills!Y704</f>
        <v>0.08</v>
      </c>
      <c r="AI36" s="7">
        <f>Skills!Z704</f>
        <v>0</v>
      </c>
      <c r="AJ36" s="7">
        <f ca="1">Skills!AA704</f>
        <v>0.08</v>
      </c>
      <c r="AK36" s="7">
        <f>IF('Main Creation Page'!$E$6="Poor",0.1,IF('Main Creation Page'!$E$6="Well",0.1,0))</f>
        <v>0.1</v>
      </c>
      <c r="AL36" s="7">
        <f t="shared" ca="1" si="0"/>
        <v>0.18</v>
      </c>
      <c r="AM36" s="7">
        <f>Skills!AD704+AK36</f>
        <v>0.1</v>
      </c>
      <c r="AN36" s="7">
        <f t="shared" si="1"/>
        <v>0</v>
      </c>
      <c r="AO36" s="7">
        <f t="shared" si="2"/>
        <v>0.1</v>
      </c>
      <c r="AP36" s="6">
        <f ca="1">VLOOKUP(AL36*100,magestuff!$B$213:$C$252,2)</f>
        <v>1</v>
      </c>
      <c r="AQ36" s="7">
        <f t="shared" ca="1" si="3"/>
        <v>0.18</v>
      </c>
      <c r="AR36" s="37" t="e">
        <f>NA()</f>
        <v>#N/A</v>
      </c>
      <c r="AS36" s="37" t="e">
        <f>NA()</f>
        <v>#N/A</v>
      </c>
      <c r="AT36" s="6" t="str">
        <f>IF(ISNA(Skills!$W704)," ",Skills!$W704)</f>
        <v xml:space="preserve"> </v>
      </c>
      <c r="AU36" s="6" t="str">
        <f>IF(ISNA(Skills!$W704),IF(ISBLANK(Skills!$X704)," ",Skills!$X704),+Skills!$W704+Skills!$X704)</f>
        <v xml:space="preserve"> </v>
      </c>
      <c r="AV36" s="7">
        <f t="shared" ca="1" si="4"/>
        <v>0.18</v>
      </c>
      <c r="AW36" s="6">
        <f ca="1">VLOOKUP(AV36*100,magestuff!$B$213:$C$247,2)</f>
        <v>1</v>
      </c>
      <c r="AZ36">
        <v>26</v>
      </c>
      <c r="BA36" s="86" t="s">
        <v>4345</v>
      </c>
      <c r="BF36" s="543" t="str">
        <f>IF(ISBLANK(Skills!X625),"N","Y")</f>
        <v>N</v>
      </c>
      <c r="BG36" s="2733" t="str">
        <f>CONCATENATE("Law of ",Skills!A625)</f>
        <v>Law of Components</v>
      </c>
      <c r="BH36" s="2733"/>
      <c r="BI36" s="2733"/>
      <c r="BJ36" s="2733"/>
      <c r="BK36" s="2733" t="s">
        <v>1480</v>
      </c>
      <c r="BL36" s="2733"/>
      <c r="BM36" s="2733"/>
      <c r="BN36" s="2733"/>
      <c r="BO36" s="2733"/>
      <c r="BP36" s="2733"/>
      <c r="BQ36" s="2733"/>
      <c r="BR36" s="2733"/>
      <c r="BS36" s="2733"/>
      <c r="BT36" s="2733"/>
      <c r="BU36" s="2733"/>
      <c r="BV36" s="2733"/>
      <c r="BW36" s="545"/>
    </row>
    <row r="37" spans="1:75" ht="9" customHeight="1">
      <c r="A37" s="2754" t="str">
        <f>'System Lookups'!P6</f>
        <v>Gemini/The Twins</v>
      </c>
      <c r="B37" s="2755"/>
      <c r="C37" s="212" t="s">
        <v>4253</v>
      </c>
      <c r="D37" s="216" t="s">
        <v>4816</v>
      </c>
      <c r="E37" s="210">
        <v>3</v>
      </c>
      <c r="F37" s="212" t="s">
        <v>4254</v>
      </c>
      <c r="G37" s="216" t="s">
        <v>4816</v>
      </c>
      <c r="H37" s="210">
        <v>1</v>
      </c>
      <c r="I37" s="212" t="s">
        <v>4255</v>
      </c>
      <c r="J37" s="216" t="s">
        <v>4816</v>
      </c>
      <c r="K37" s="210" t="s">
        <v>4256</v>
      </c>
      <c r="L37" s="212" t="s">
        <v>4257</v>
      </c>
      <c r="M37" s="216" t="s">
        <v>1159</v>
      </c>
      <c r="N37" s="210">
        <v>1</v>
      </c>
      <c r="O37" s="212" t="s">
        <v>4258</v>
      </c>
      <c r="P37" s="219" t="s">
        <v>4816</v>
      </c>
      <c r="Q37" s="210">
        <v>6</v>
      </c>
      <c r="R37" s="212" t="s">
        <v>4259</v>
      </c>
      <c r="S37" s="216" t="s">
        <v>3268</v>
      </c>
      <c r="T37" s="210">
        <v>5</v>
      </c>
      <c r="U37" s="212" t="s">
        <v>4259</v>
      </c>
      <c r="V37" s="216" t="s">
        <v>3268</v>
      </c>
      <c r="W37" s="210">
        <v>4</v>
      </c>
      <c r="X37" s="193">
        <f>IF(A37='Main Creation Page'!$AF$31,1,IF(A36='Main Creation Page'!$AF$31,2,IF(A38='Main Creation Page'!$AF$31,2,IF(A43='Main Creation Page'!$AF$31,3,0))))</f>
        <v>0</v>
      </c>
      <c r="Y37" s="193"/>
      <c r="AC37" s="6"/>
      <c r="AD37" s="6">
        <v>33</v>
      </c>
      <c r="AE37" s="6" t="str">
        <f>Skills!A705</f>
        <v>Spinner</v>
      </c>
      <c r="AF37" s="6">
        <f>Skills!V705</f>
        <v>7</v>
      </c>
      <c r="AG37" s="6" t="s">
        <v>5222</v>
      </c>
      <c r="AH37" s="7">
        <f ca="1">Skills!Y705</f>
        <v>0.08</v>
      </c>
      <c r="AI37" s="7">
        <f>Skills!Z705</f>
        <v>0</v>
      </c>
      <c r="AJ37" s="7">
        <f ca="1">Skills!AA705</f>
        <v>0.08</v>
      </c>
      <c r="AK37" s="7">
        <f>IF('Main Creation Page'!$E$6="Poor",0.1,IF('Main Creation Page'!$E$6="Well",0.1,0))</f>
        <v>0.1</v>
      </c>
      <c r="AL37" s="7">
        <f t="shared" ca="1" si="0"/>
        <v>0.18</v>
      </c>
      <c r="AM37" s="7">
        <f>Skills!AD705+AK37</f>
        <v>0.1</v>
      </c>
      <c r="AN37" s="7">
        <f t="shared" si="1"/>
        <v>0</v>
      </c>
      <c r="AO37" s="7">
        <f t="shared" si="2"/>
        <v>0.1</v>
      </c>
      <c r="AP37" s="6">
        <f ca="1">VLOOKUP(AL37*100,magestuff!$B$213:$C$252,2)</f>
        <v>1</v>
      </c>
      <c r="AQ37" s="7">
        <f t="shared" ca="1" si="3"/>
        <v>0.18</v>
      </c>
      <c r="AR37" s="37" t="str">
        <f ca="1">CELL("address",magestuff!Z113)</f>
        <v>'[CNS-TR-Master-charsht-September-2015.xlsx]magestuff'!$Z$113</v>
      </c>
      <c r="AS37" s="137" t="str">
        <f ca="1">CELL("address",magestuff!BT$171)</f>
        <v>'[CNS-TR-Master-charsht-September-2015.xlsx]magestuff'!$BT$171</v>
      </c>
      <c r="AT37" s="6" t="str">
        <f>IF(ISNA(Skills!$W705)," ",Skills!$W705)</f>
        <v xml:space="preserve"> </v>
      </c>
      <c r="AU37" s="6" t="str">
        <f>IF(ISNA(Skills!$W705),IF(ISBLANK(Skills!$X705)," ",Skills!$X705),+Skills!$W705+Skills!$X705)</f>
        <v xml:space="preserve"> </v>
      </c>
      <c r="AV37" s="7">
        <f t="shared" ca="1" si="4"/>
        <v>0.18</v>
      </c>
      <c r="AW37" s="6">
        <f ca="1">VLOOKUP(AV37*100,magestuff!$B$213:$C$247,2)</f>
        <v>1</v>
      </c>
      <c r="AZ37">
        <v>27</v>
      </c>
      <c r="BA37" s="140" t="s">
        <v>5424</v>
      </c>
      <c r="BF37" s="543" t="str">
        <f>IF(ISBLANK(Skills!X626),"N","Y")</f>
        <v>N</v>
      </c>
      <c r="BG37" s="2733" t="str">
        <f>CONCATENATE("Law of ",Skills!A626)</f>
        <v>Law of Contact</v>
      </c>
      <c r="BH37" s="2733"/>
      <c r="BI37" s="2733"/>
      <c r="BJ37" s="2733"/>
      <c r="BK37" s="2733" t="s">
        <v>1718</v>
      </c>
      <c r="BL37" s="2733"/>
      <c r="BM37" s="2733"/>
      <c r="BN37" s="2733"/>
      <c r="BO37" s="2733"/>
      <c r="BP37" s="2733"/>
      <c r="BQ37" s="2733"/>
      <c r="BR37" s="2733"/>
      <c r="BS37" s="2733"/>
      <c r="BT37" s="2733"/>
      <c r="BU37" s="2733"/>
      <c r="BV37" s="2733"/>
      <c r="BW37" s="545"/>
    </row>
    <row r="38" spans="1:75" ht="9" customHeight="1">
      <c r="A38" s="2754" t="str">
        <f>'System Lookups'!P7</f>
        <v>Cancer/The Crab</v>
      </c>
      <c r="B38" s="2755"/>
      <c r="C38" s="212" t="s">
        <v>4260</v>
      </c>
      <c r="D38" s="216" t="s">
        <v>4816</v>
      </c>
      <c r="E38" s="210">
        <v>2</v>
      </c>
      <c r="F38" s="212" t="s">
        <v>4261</v>
      </c>
      <c r="G38" s="216" t="s">
        <v>4816</v>
      </c>
      <c r="H38" s="210">
        <v>1</v>
      </c>
      <c r="I38" s="212" t="s">
        <v>4262</v>
      </c>
      <c r="J38" s="216" t="s">
        <v>4816</v>
      </c>
      <c r="K38" s="210" t="s">
        <v>4263</v>
      </c>
      <c r="L38" s="212" t="s">
        <v>4264</v>
      </c>
      <c r="M38" s="216" t="s">
        <v>1159</v>
      </c>
      <c r="N38" s="210">
        <v>2</v>
      </c>
      <c r="O38" s="212" t="s">
        <v>924</v>
      </c>
      <c r="P38" s="219" t="s">
        <v>4816</v>
      </c>
      <c r="Q38" s="210">
        <v>6</v>
      </c>
      <c r="R38" s="212" t="s">
        <v>925</v>
      </c>
      <c r="S38" s="216" t="s">
        <v>3268</v>
      </c>
      <c r="T38" s="210">
        <v>5</v>
      </c>
      <c r="U38" s="212" t="s">
        <v>926</v>
      </c>
      <c r="V38" s="216" t="s">
        <v>3268</v>
      </c>
      <c r="W38" s="210">
        <v>4</v>
      </c>
      <c r="X38" s="193">
        <f>IF(A38='Main Creation Page'!$AF$31,1,IF(A37='Main Creation Page'!$AF$31,2,IF(A39='Main Creation Page'!$AF$31,2,IF(A44='Main Creation Page'!$AF$31,3,0))))</f>
        <v>0</v>
      </c>
      <c r="Y38" s="193"/>
      <c r="AB38" s="6"/>
      <c r="AC38" s="6"/>
      <c r="AD38" s="6">
        <v>34</v>
      </c>
      <c r="AE38" s="6" t="str">
        <f>Skills!A706</f>
        <v>Symbolist</v>
      </c>
      <c r="AF38" s="6">
        <f>Skills!V706</f>
        <v>7</v>
      </c>
      <c r="AG38" s="6" t="s">
        <v>5222</v>
      </c>
      <c r="AH38" s="7">
        <f ca="1">Skills!Y706</f>
        <v>0.08</v>
      </c>
      <c r="AI38" s="7">
        <f>Skills!Z706</f>
        <v>0</v>
      </c>
      <c r="AJ38" s="7">
        <f ca="1">Skills!AA706</f>
        <v>0.08</v>
      </c>
      <c r="AK38" s="7">
        <f>IF('Main Creation Page'!$E$6="Poor",0.1,IF('Main Creation Page'!$E$6="Well",0.1,0))</f>
        <v>0.1</v>
      </c>
      <c r="AL38" s="7">
        <f t="shared" ca="1" si="0"/>
        <v>0.18</v>
      </c>
      <c r="AM38" s="7">
        <f>Skills!AD706+AK38</f>
        <v>0.1</v>
      </c>
      <c r="AN38" s="7">
        <f t="shared" si="1"/>
        <v>0</v>
      </c>
      <c r="AO38" s="7">
        <f t="shared" si="2"/>
        <v>0.1</v>
      </c>
      <c r="AP38" s="6">
        <f ca="1">VLOOKUP(AL38*100,magestuff!$B$213:$C$252,2)</f>
        <v>1</v>
      </c>
      <c r="AQ38" s="7">
        <f t="shared" ca="1" si="3"/>
        <v>0.18</v>
      </c>
      <c r="AR38" s="37" t="str">
        <f ca="1">CELL("address",magestuff!BJ91)</f>
        <v>'[CNS-TR-Master-charsht-September-2015.xlsx]magestuff'!$BJ$91</v>
      </c>
      <c r="AS38" s="137" t="str">
        <f ca="1">CELL("address",magestuff!BF$171)</f>
        <v>'[CNS-TR-Master-charsht-September-2015.xlsx]magestuff'!$BF$171</v>
      </c>
      <c r="AT38" s="6" t="str">
        <f>IF(ISNA(Skills!$W706)," ",Skills!$W706)</f>
        <v xml:space="preserve"> </v>
      </c>
      <c r="AU38" s="6" t="str">
        <f>IF(ISNA(Skills!$W706),IF(ISBLANK(Skills!$X706)," ",Skills!$X706),+Skills!$W706+Skills!$X706)</f>
        <v xml:space="preserve"> </v>
      </c>
      <c r="AV38" s="7">
        <f t="shared" ca="1" si="4"/>
        <v>0.18</v>
      </c>
      <c r="AW38" s="6">
        <f ca="1">VLOOKUP(AV38*100,magestuff!$B$213:$C$247,2)</f>
        <v>1</v>
      </c>
      <c r="AZ38">
        <v>28</v>
      </c>
      <c r="BA38" s="140" t="s">
        <v>4344</v>
      </c>
      <c r="BB38" s="37"/>
      <c r="BF38" s="543" t="str">
        <f>IF(ISBLANK(Skills!X627),"N","Y")</f>
        <v>N</v>
      </c>
      <c r="BG38" s="2733" t="str">
        <f>CONCATENATE("Law of ",Skills!A627)</f>
        <v>Law of Contrariness</v>
      </c>
      <c r="BH38" s="2733"/>
      <c r="BI38" s="2733"/>
      <c r="BJ38" s="2733"/>
      <c r="BK38" s="2733" t="s">
        <v>4170</v>
      </c>
      <c r="BL38" s="2733"/>
      <c r="BM38" s="2733"/>
      <c r="BN38" s="2733"/>
      <c r="BO38" s="2733"/>
      <c r="BP38" s="2733"/>
      <c r="BQ38" s="2733"/>
      <c r="BR38" s="2733"/>
      <c r="BS38" s="2733"/>
      <c r="BT38" s="2733"/>
      <c r="BU38" s="2733"/>
      <c r="BV38" s="2733"/>
      <c r="BW38" s="546">
        <f>IF(BF38="Y",ROUNDDOWN(+$C$3/2,0),0)</f>
        <v>0</v>
      </c>
    </row>
    <row r="39" spans="1:75" ht="9" customHeight="1">
      <c r="A39" s="2754" t="str">
        <f>'System Lookups'!P8</f>
        <v>Leo/The Lion</v>
      </c>
      <c r="B39" s="2755"/>
      <c r="C39" s="214" t="s">
        <v>927</v>
      </c>
      <c r="D39" s="217" t="s">
        <v>4814</v>
      </c>
      <c r="E39" s="211">
        <v>2</v>
      </c>
      <c r="F39" s="214" t="s">
        <v>3956</v>
      </c>
      <c r="G39" s="217" t="s">
        <v>4814</v>
      </c>
      <c r="H39" s="211">
        <v>9</v>
      </c>
      <c r="I39" s="214" t="s">
        <v>2605</v>
      </c>
      <c r="J39" s="217" t="s">
        <v>4814</v>
      </c>
      <c r="K39" s="211" t="s">
        <v>4263</v>
      </c>
      <c r="L39" s="214" t="s">
        <v>2606</v>
      </c>
      <c r="M39" s="217" t="s">
        <v>4814</v>
      </c>
      <c r="N39" s="211" t="s">
        <v>4250</v>
      </c>
      <c r="O39" s="214" t="s">
        <v>1372</v>
      </c>
      <c r="P39" s="220" t="s">
        <v>4291</v>
      </c>
      <c r="Q39" s="211">
        <v>6</v>
      </c>
      <c r="R39" s="214" t="s">
        <v>2607</v>
      </c>
      <c r="S39" s="217" t="s">
        <v>3268</v>
      </c>
      <c r="T39" s="211">
        <v>5</v>
      </c>
      <c r="U39" s="214" t="s">
        <v>2608</v>
      </c>
      <c r="V39" s="217" t="s">
        <v>4816</v>
      </c>
      <c r="W39" s="211">
        <v>4</v>
      </c>
      <c r="X39" s="193">
        <f>IF(A39='Main Creation Page'!$AF$31,1,IF(A38='Main Creation Page'!$AF$31,2,IF(A40='Main Creation Page'!$AF$31,2,IF(A45='Main Creation Page'!$AF$31,3,0))))</f>
        <v>0</v>
      </c>
      <c r="Y39" s="193"/>
      <c r="AA39" s="6"/>
      <c r="AB39" s="6"/>
      <c r="AC39" s="6"/>
      <c r="AD39" s="6">
        <v>35</v>
      </c>
      <c r="AE39" s="6" t="str">
        <f>Skills!A707</f>
        <v>Tarocchi (Tarock)</v>
      </c>
      <c r="AF39" s="6">
        <f>Skills!V707</f>
        <v>7</v>
      </c>
      <c r="AG39" s="6" t="s">
        <v>5222</v>
      </c>
      <c r="AH39" s="7">
        <f ca="1">Skills!Y707</f>
        <v>0.08</v>
      </c>
      <c r="AI39" s="7">
        <f>Skills!Z707</f>
        <v>0</v>
      </c>
      <c r="AJ39" s="7">
        <f ca="1">Skills!AA707</f>
        <v>0.08</v>
      </c>
      <c r="AK39" s="7">
        <f>IF('Main Creation Page'!$E$6="Poor",0.1,IF('Main Creation Page'!$E$6="Well",0.1,0))</f>
        <v>0.1</v>
      </c>
      <c r="AL39" s="7">
        <f t="shared" ca="1" si="0"/>
        <v>0.18</v>
      </c>
      <c r="AM39" s="7">
        <f>Skills!AD707+AK39</f>
        <v>0.1</v>
      </c>
      <c r="AN39" s="7">
        <f t="shared" si="1"/>
        <v>0</v>
      </c>
      <c r="AO39" s="7">
        <f t="shared" si="2"/>
        <v>0.1</v>
      </c>
      <c r="AP39" s="6">
        <f ca="1">VLOOKUP(AL39*100,magestuff!$B$213:$C$252,2)</f>
        <v>1</v>
      </c>
      <c r="AQ39" s="7">
        <f t="shared" ca="1" si="3"/>
        <v>0.18</v>
      </c>
      <c r="AR39" s="37" t="str">
        <f ca="1">CELL("address",magestuff!AL113)</f>
        <v>'[CNS-TR-Master-charsht-September-2015.xlsx]magestuff'!$AL$113</v>
      </c>
      <c r="AS39" s="137" t="str">
        <f ca="1">CELL("address",magestuff!BR$171)</f>
        <v>'[CNS-TR-Master-charsht-September-2015.xlsx]magestuff'!$BR$171</v>
      </c>
      <c r="AT39" s="6" t="str">
        <f>IF(ISNA(Skills!$W707)," ",Skills!$W707)</f>
        <v xml:space="preserve"> </v>
      </c>
      <c r="AU39" s="6" t="str">
        <f>IF(ISNA(Skills!$W707),IF(ISBLANK(Skills!$X707)," ",Skills!$X707),+Skills!$W707+Skills!$X707)</f>
        <v xml:space="preserve"> </v>
      </c>
      <c r="AV39" s="7">
        <f t="shared" ca="1" si="4"/>
        <v>0.18</v>
      </c>
      <c r="AW39" s="6">
        <f ca="1">VLOOKUP(AV39*100,magestuff!$B$213:$C$247,2)</f>
        <v>1</v>
      </c>
      <c r="AZ39">
        <v>29</v>
      </c>
      <c r="BA39" s="140" t="s">
        <v>4338</v>
      </c>
      <c r="BB39" s="37"/>
      <c r="BF39" s="543" t="str">
        <f>IF(ISBLANK(Skills!X628),"N","Y")</f>
        <v>N</v>
      </c>
      <c r="BG39" s="2733" t="str">
        <f>CONCATENATE("Law of ",Skills!A628)</f>
        <v>Law of Discharge &amp; Recharge</v>
      </c>
      <c r="BH39" s="2733"/>
      <c r="BI39" s="2733"/>
      <c r="BJ39" s="2733"/>
      <c r="BK39" s="2733" t="s">
        <v>3323</v>
      </c>
      <c r="BL39" s="2733"/>
      <c r="BM39" s="2733"/>
      <c r="BN39" s="2733"/>
      <c r="BO39" s="2733"/>
      <c r="BP39" s="2733"/>
      <c r="BQ39" s="2733"/>
      <c r="BR39" s="2733"/>
      <c r="BS39" s="2733"/>
      <c r="BT39" s="2733"/>
      <c r="BU39" s="2733"/>
      <c r="BV39" s="2733"/>
      <c r="BW39" s="545"/>
    </row>
    <row r="40" spans="1:75" ht="9" customHeight="1">
      <c r="A40" s="2754" t="str">
        <f>'System Lookups'!P9</f>
        <v>Virgo/The Maiden</v>
      </c>
      <c r="B40" s="2755"/>
      <c r="C40" s="214" t="s">
        <v>4253</v>
      </c>
      <c r="D40" s="217" t="s">
        <v>4816</v>
      </c>
      <c r="E40" s="211">
        <v>2</v>
      </c>
      <c r="F40" s="214" t="s">
        <v>2609</v>
      </c>
      <c r="G40" s="217" t="s">
        <v>4816</v>
      </c>
      <c r="H40" s="211">
        <v>8</v>
      </c>
      <c r="I40" s="214" t="s">
        <v>2610</v>
      </c>
      <c r="J40" s="217" t="s">
        <v>1159</v>
      </c>
      <c r="K40" s="211" t="s">
        <v>4256</v>
      </c>
      <c r="L40" s="214" t="s">
        <v>2611</v>
      </c>
      <c r="M40" s="217" t="s">
        <v>3268</v>
      </c>
      <c r="N40" s="211">
        <v>2</v>
      </c>
      <c r="O40" s="214" t="s">
        <v>2612</v>
      </c>
      <c r="P40" s="220" t="s">
        <v>4814</v>
      </c>
      <c r="Q40" s="211">
        <v>3</v>
      </c>
      <c r="R40" s="214" t="s">
        <v>2613</v>
      </c>
      <c r="S40" s="217" t="s">
        <v>1159</v>
      </c>
      <c r="T40" s="211">
        <v>5</v>
      </c>
      <c r="U40" s="214" t="s">
        <v>2614</v>
      </c>
      <c r="V40" s="217" t="s">
        <v>3268</v>
      </c>
      <c r="W40" s="211">
        <v>4</v>
      </c>
      <c r="X40" s="193">
        <f>IF(A40='Main Creation Page'!$AF$31,1,IF(A39='Main Creation Page'!$AF$31,2,IF(A41='Main Creation Page'!$AF$31,2,IF(A46='Main Creation Page'!$AF$31,3,0))))</f>
        <v>2</v>
      </c>
      <c r="Y40" s="193"/>
      <c r="AA40" s="6"/>
      <c r="AB40" s="6"/>
      <c r="AC40" s="6"/>
      <c r="AD40" s="6">
        <v>36</v>
      </c>
      <c r="AE40" s="6" t="str">
        <f>Skills!A708</f>
        <v>Tatoo/Painted</v>
      </c>
      <c r="AF40" s="6">
        <f>Skills!V708</f>
        <v>7</v>
      </c>
      <c r="AG40" s="6" t="s">
        <v>5222</v>
      </c>
      <c r="AH40" s="7">
        <f ca="1">Skills!Y708</f>
        <v>0.06</v>
      </c>
      <c r="AI40" s="7">
        <f>Skills!Z708</f>
        <v>0</v>
      </c>
      <c r="AJ40" s="7">
        <f ca="1">Skills!AA708</f>
        <v>0.06</v>
      </c>
      <c r="AK40" s="7">
        <f>IF('Main Creation Page'!$E$6="Poor",0.1,IF('Main Creation Page'!$E$6="Well",0.1,0))</f>
        <v>0.1</v>
      </c>
      <c r="AL40" s="7">
        <f t="shared" ca="1" si="0"/>
        <v>0.16</v>
      </c>
      <c r="AM40" s="7">
        <f>Skills!AD708+AK40</f>
        <v>0.1</v>
      </c>
      <c r="AN40" s="7">
        <f t="shared" si="1"/>
        <v>0</v>
      </c>
      <c r="AO40" s="7">
        <f t="shared" si="2"/>
        <v>0.1</v>
      </c>
      <c r="AP40" s="6">
        <f ca="1">VLOOKUP(AL40*100,magestuff!$B$213:$C$252,2)</f>
        <v>1</v>
      </c>
      <c r="AQ40" s="7">
        <f t="shared" ca="1" si="3"/>
        <v>0.16</v>
      </c>
      <c r="AR40" s="37" t="str">
        <f ca="1">CELL("address",magestuff!AX113)</f>
        <v>'[CNS-TR-Master-charsht-September-2015.xlsx]magestuff'!$AX$113</v>
      </c>
      <c r="AS40" s="137" t="str">
        <f ca="1">CELL("address",magestuff!BV$171)</f>
        <v>'[CNS-TR-Master-charsht-September-2015.xlsx]magestuff'!$BV$171</v>
      </c>
      <c r="AT40" s="6" t="str">
        <f>IF(ISNA(Skills!$W708)," ",Skills!$W708)</f>
        <v xml:space="preserve"> </v>
      </c>
      <c r="AU40" s="6" t="str">
        <f>IF(ISNA(Skills!$W708),IF(ISBLANK(Skills!$X708)," ",Skills!$X708),+Skills!$W708+Skills!$X708)</f>
        <v xml:space="preserve"> </v>
      </c>
      <c r="AV40" s="7">
        <f t="shared" ca="1" si="4"/>
        <v>0.16</v>
      </c>
      <c r="AW40" s="6">
        <f ca="1">VLOOKUP(AV40*100,magestuff!$B$213:$C$247,2)</f>
        <v>1</v>
      </c>
      <c r="AZ40">
        <v>30</v>
      </c>
      <c r="BA40" s="140" t="s">
        <v>4339</v>
      </c>
      <c r="BB40" s="37"/>
      <c r="BF40" s="543" t="str">
        <f>IF(ISBLANK(Skills!X629),"N","Y")</f>
        <v>N</v>
      </c>
      <c r="BG40" s="2733" t="str">
        <f>CONCATENATE("Law of ",Skills!A629)</f>
        <v>Law of Enchanted Objects</v>
      </c>
      <c r="BH40" s="2733"/>
      <c r="BI40" s="2733"/>
      <c r="BJ40" s="2733"/>
      <c r="BK40" s="2733" t="s">
        <v>5055</v>
      </c>
      <c r="BL40" s="2733"/>
      <c r="BM40" s="2733"/>
      <c r="BN40" s="2733"/>
      <c r="BO40" s="2733"/>
      <c r="BP40" s="2733"/>
      <c r="BQ40" s="2733"/>
      <c r="BR40" s="2733"/>
      <c r="BS40" s="2733"/>
      <c r="BT40" s="2733"/>
      <c r="BU40" s="2733"/>
      <c r="BV40" s="2733"/>
      <c r="BW40" s="545"/>
    </row>
    <row r="41" spans="1:75" ht="9" customHeight="1">
      <c r="A41" s="2754" t="str">
        <f>'System Lookups'!P10</f>
        <v>Libra/The Scales</v>
      </c>
      <c r="B41" s="2755"/>
      <c r="C41" s="214" t="s">
        <v>1375</v>
      </c>
      <c r="D41" s="217" t="s">
        <v>4816</v>
      </c>
      <c r="E41" s="211">
        <v>3</v>
      </c>
      <c r="F41" s="214" t="s">
        <v>2615</v>
      </c>
      <c r="G41" s="217" t="s">
        <v>2616</v>
      </c>
      <c r="H41" s="211" t="s">
        <v>2617</v>
      </c>
      <c r="I41" s="214" t="s">
        <v>2618</v>
      </c>
      <c r="J41" s="217" t="s">
        <v>4816</v>
      </c>
      <c r="K41" s="211" t="s">
        <v>4256</v>
      </c>
      <c r="L41" s="214" t="s">
        <v>2619</v>
      </c>
      <c r="M41" s="217" t="s">
        <v>1159</v>
      </c>
      <c r="N41" s="211">
        <v>2</v>
      </c>
      <c r="O41" s="214" t="s">
        <v>2620</v>
      </c>
      <c r="P41" s="220" t="s">
        <v>4291</v>
      </c>
      <c r="Q41" s="211">
        <v>3</v>
      </c>
      <c r="R41" s="214" t="s">
        <v>2621</v>
      </c>
      <c r="S41" s="217" t="s">
        <v>3268</v>
      </c>
      <c r="T41" s="211">
        <v>5</v>
      </c>
      <c r="U41" s="214" t="s">
        <v>2622</v>
      </c>
      <c r="V41" s="217" t="s">
        <v>1159</v>
      </c>
      <c r="W41" s="211">
        <v>4</v>
      </c>
      <c r="X41" s="193">
        <f>IF(A41='Main Creation Page'!$AF$31,1,IF(A40='Main Creation Page'!$AF$31,2,IF(A42='Main Creation Page'!$AF$31,2,IF(A35='Main Creation Page'!$AF$31,3,0))))</f>
        <v>1</v>
      </c>
      <c r="Y41" s="193"/>
      <c r="AA41" s="6"/>
      <c r="AB41" s="6"/>
      <c r="AC41" s="6"/>
      <c r="AD41" s="6">
        <v>37</v>
      </c>
      <c r="AE41" s="6" t="str">
        <f>Skills!A709</f>
        <v>Thaumaturgy</v>
      </c>
      <c r="AF41" s="6">
        <f>Skills!V709</f>
        <v>7</v>
      </c>
      <c r="AG41" s="6" t="s">
        <v>5222</v>
      </c>
      <c r="AH41" s="7">
        <f ca="1">Skills!Y709</f>
        <v>0.1</v>
      </c>
      <c r="AI41" s="7">
        <f>Skills!Z709</f>
        <v>0</v>
      </c>
      <c r="AJ41" s="7">
        <f ca="1">Skills!AA709</f>
        <v>0.1</v>
      </c>
      <c r="AK41" s="7">
        <f>IF('Main Creation Page'!$E$6="Poor",0.1,IF('Main Creation Page'!$E$6="Well",0.1,0))</f>
        <v>0.1</v>
      </c>
      <c r="AL41" s="7">
        <f t="shared" ca="1" si="0"/>
        <v>0.2</v>
      </c>
      <c r="AM41" s="7">
        <f>Skills!AD709+AK41</f>
        <v>0.1</v>
      </c>
      <c r="AN41" s="7">
        <f t="shared" si="1"/>
        <v>0</v>
      </c>
      <c r="AO41" s="7">
        <f t="shared" si="2"/>
        <v>0.1</v>
      </c>
      <c r="AP41" s="6">
        <f ca="1">VLOOKUP(AL41*100,magestuff!$B$213:$C$252,2)</f>
        <v>1</v>
      </c>
      <c r="AQ41" s="7">
        <f t="shared" ca="1" si="3"/>
        <v>0.2</v>
      </c>
      <c r="AR41" s="37" t="str">
        <f ca="1">CELL("address",magestuff!BV91)</f>
        <v>'[CNS-TR-Master-charsht-September-2015.xlsx]magestuff'!$BV$91</v>
      </c>
      <c r="AS41" s="137" t="str">
        <f ca="1">CELL("address",magestuff!BH$171)</f>
        <v>'[CNS-TR-Master-charsht-September-2015.xlsx]magestuff'!$BH$171</v>
      </c>
      <c r="AT41" s="6" t="str">
        <f>IF(ISNA(Skills!$W709)," ",Skills!$W709)</f>
        <v xml:space="preserve"> </v>
      </c>
      <c r="AU41" s="6" t="str">
        <f>IF(ISNA(Skills!$W709),IF(ISBLANK(Skills!$X709)," ",Skills!$X709),+Skills!$W709+Skills!$X709)</f>
        <v xml:space="preserve"> </v>
      </c>
      <c r="AV41" s="7">
        <f t="shared" ca="1" si="4"/>
        <v>0.2</v>
      </c>
      <c r="AW41" s="6">
        <f ca="1">VLOOKUP(AV41*100,magestuff!$B$213:$C$247,2)</f>
        <v>1</v>
      </c>
      <c r="AZ41">
        <v>31</v>
      </c>
      <c r="BA41" s="140" t="s">
        <v>1582</v>
      </c>
      <c r="BB41" s="37"/>
      <c r="BF41" s="543" t="str">
        <f>IF(ISBLANK(Skills!X630),"N","Y")</f>
        <v>N</v>
      </c>
      <c r="BG41" s="2733" t="str">
        <f>CONCATENATE("Law of ",Skills!A630)</f>
        <v>Law of Energy Control</v>
      </c>
      <c r="BH41" s="2733"/>
      <c r="BI41" s="2733"/>
      <c r="BJ41" s="2733"/>
      <c r="BK41" s="2733" t="s">
        <v>4171</v>
      </c>
      <c r="BL41" s="2733"/>
      <c r="BM41" s="2733"/>
      <c r="BN41" s="2733"/>
      <c r="BO41" s="2733"/>
      <c r="BP41" s="2733"/>
      <c r="BQ41" s="2733"/>
      <c r="BR41" s="2733"/>
      <c r="BS41" s="2733"/>
      <c r="BT41" s="2733"/>
      <c r="BU41" s="2733"/>
      <c r="BV41" s="2733"/>
      <c r="BW41" s="545"/>
    </row>
    <row r="42" spans="1:75" ht="9" customHeight="1">
      <c r="A42" s="2754" t="str">
        <f>'System Lookups'!P11</f>
        <v>Scorpio/The Eagle</v>
      </c>
      <c r="B42" s="2755"/>
      <c r="C42" s="214" t="s">
        <v>3955</v>
      </c>
      <c r="D42" s="217" t="s">
        <v>4814</v>
      </c>
      <c r="E42" s="211">
        <v>9</v>
      </c>
      <c r="F42" s="214" t="s">
        <v>2623</v>
      </c>
      <c r="G42" s="217" t="s">
        <v>4814</v>
      </c>
      <c r="H42" s="211">
        <v>6</v>
      </c>
      <c r="I42" s="214" t="s">
        <v>3957</v>
      </c>
      <c r="J42" s="217" t="s">
        <v>4814</v>
      </c>
      <c r="K42" s="211">
        <v>2</v>
      </c>
      <c r="L42" s="214" t="s">
        <v>2624</v>
      </c>
      <c r="M42" s="217" t="s">
        <v>4816</v>
      </c>
      <c r="N42" s="211" t="s">
        <v>4250</v>
      </c>
      <c r="O42" s="214" t="s">
        <v>636</v>
      </c>
      <c r="P42" s="220" t="s">
        <v>4816</v>
      </c>
      <c r="Q42" s="211" t="s">
        <v>637</v>
      </c>
      <c r="R42" s="214" t="s">
        <v>638</v>
      </c>
      <c r="S42" s="217" t="s">
        <v>4814</v>
      </c>
      <c r="T42" s="211">
        <v>5</v>
      </c>
      <c r="U42" s="214" t="s">
        <v>639</v>
      </c>
      <c r="V42" s="217" t="s">
        <v>3268</v>
      </c>
      <c r="W42" s="211">
        <v>4</v>
      </c>
      <c r="X42" s="193">
        <f>IF(A42='Main Creation Page'!$AF$31,1,IF(A41='Main Creation Page'!$AF$31,2,IF(A43='Main Creation Page'!$AF$31,2,IF(A36='Main Creation Page'!$AF$31,3,0))))</f>
        <v>2</v>
      </c>
      <c r="Y42" s="193"/>
      <c r="AA42" s="6"/>
      <c r="AB42" s="6"/>
      <c r="AC42" s="6"/>
      <c r="AD42" s="6">
        <v>38</v>
      </c>
      <c r="AE42" s="6" t="str">
        <f>Skills!A711</f>
        <v>Weaver</v>
      </c>
      <c r="AF42" s="6">
        <f>Skills!V711</f>
        <v>7</v>
      </c>
      <c r="AG42" s="6" t="s">
        <v>5222</v>
      </c>
      <c r="AH42" s="7">
        <f ca="1">Skills!Y711</f>
        <v>0.08</v>
      </c>
      <c r="AI42" s="7">
        <f>Skills!Z711</f>
        <v>0</v>
      </c>
      <c r="AJ42" s="7">
        <f ca="1">Skills!AA711</f>
        <v>0.08</v>
      </c>
      <c r="AK42" s="7">
        <f>IF('Main Creation Page'!$E$6="Poor",0.1,IF('Main Creation Page'!$E$6="Well",0.1,0))</f>
        <v>0.1</v>
      </c>
      <c r="AL42" s="7">
        <f t="shared" ca="1" si="0"/>
        <v>0.18</v>
      </c>
      <c r="AM42" s="7">
        <f>Skills!AD711+AK42</f>
        <v>0.1</v>
      </c>
      <c r="AN42" s="7">
        <f t="shared" si="1"/>
        <v>0</v>
      </c>
      <c r="AO42" s="7">
        <f t="shared" si="2"/>
        <v>0.1</v>
      </c>
      <c r="AP42" s="6">
        <f ca="1">VLOOKUP(AL42*100,magestuff!$B$213:$C$252,2)</f>
        <v>1</v>
      </c>
      <c r="AQ42" s="7">
        <f t="shared" ca="1" si="3"/>
        <v>0.18</v>
      </c>
      <c r="AR42" s="37" t="str">
        <f ca="1">CELL("address",magestuff!B113)</f>
        <v>'[CNS-TR-Master-charsht-September-2015.xlsx]magestuff'!$B$113</v>
      </c>
      <c r="AS42" s="137" t="str">
        <f ca="1">CELL("address",magestuff!BJ$171)</f>
        <v>'[CNS-TR-Master-charsht-September-2015.xlsx]magestuff'!$BJ$171</v>
      </c>
      <c r="AT42" s="6" t="str">
        <f>IF(ISNA(Skills!$W711)," ",Skills!$W711)</f>
        <v xml:space="preserve"> </v>
      </c>
      <c r="AU42" s="6" t="str">
        <f>IF(ISNA(Skills!$W711),IF(ISBLANK(Skills!$X711)," ",Skills!$X711),+Skills!$W711+Skills!$X711)</f>
        <v xml:space="preserve"> </v>
      </c>
      <c r="AV42" s="7">
        <f t="shared" ca="1" si="4"/>
        <v>0.18</v>
      </c>
      <c r="AW42" s="6">
        <f ca="1">VLOOKUP(AV42*100,magestuff!$B$213:$C$247,2)</f>
        <v>1</v>
      </c>
      <c r="AZ42">
        <v>31</v>
      </c>
      <c r="BA42" s="140" t="s">
        <v>4341</v>
      </c>
      <c r="BB42" s="37"/>
      <c r="BF42" s="543" t="str">
        <f>IF(ISBLANK(Skills!X631),"N","Y")</f>
        <v>N</v>
      </c>
      <c r="BG42" s="2733" t="str">
        <f>CONCATENATE("Law of ",Skills!A631)</f>
        <v>Law of Evocation</v>
      </c>
      <c r="BH42" s="2733"/>
      <c r="BI42" s="2733"/>
      <c r="BJ42" s="2733"/>
      <c r="BK42" s="2733" t="s">
        <v>4424</v>
      </c>
      <c r="BL42" s="2733"/>
      <c r="BM42" s="2733"/>
      <c r="BN42" s="2733"/>
      <c r="BO42" s="2733"/>
      <c r="BP42" s="2733"/>
      <c r="BQ42" s="2733"/>
      <c r="BR42" s="2733"/>
      <c r="BS42" s="2733"/>
      <c r="BT42" s="2733"/>
      <c r="BU42" s="2733"/>
      <c r="BV42" s="2733"/>
      <c r="BW42" s="545"/>
    </row>
    <row r="43" spans="1:75" ht="9" customHeight="1">
      <c r="A43" s="2754" t="str">
        <f>'System Lookups'!P12</f>
        <v>Sagittarius/The Archer</v>
      </c>
      <c r="B43" s="2755"/>
      <c r="C43" s="214" t="s">
        <v>640</v>
      </c>
      <c r="D43" s="217" t="s">
        <v>4814</v>
      </c>
      <c r="E43" s="211">
        <v>4</v>
      </c>
      <c r="F43" s="214" t="s">
        <v>5391</v>
      </c>
      <c r="G43" s="217" t="s">
        <v>4814</v>
      </c>
      <c r="H43" s="211">
        <v>1</v>
      </c>
      <c r="I43" s="214" t="s">
        <v>5392</v>
      </c>
      <c r="J43" s="217" t="s">
        <v>4816</v>
      </c>
      <c r="K43" s="211" t="s">
        <v>4256</v>
      </c>
      <c r="L43" s="214" t="s">
        <v>5393</v>
      </c>
      <c r="M43" s="217" t="s">
        <v>4814</v>
      </c>
      <c r="N43" s="211" t="s">
        <v>4263</v>
      </c>
      <c r="O43" s="214" t="s">
        <v>5394</v>
      </c>
      <c r="P43" s="220" t="s">
        <v>4291</v>
      </c>
      <c r="Q43" s="211" t="s">
        <v>4250</v>
      </c>
      <c r="R43" s="214" t="s">
        <v>5395</v>
      </c>
      <c r="S43" s="217" t="s">
        <v>3268</v>
      </c>
      <c r="T43" s="211">
        <v>5</v>
      </c>
      <c r="U43" s="214" t="s">
        <v>5395</v>
      </c>
      <c r="V43" s="217" t="s">
        <v>3268</v>
      </c>
      <c r="W43" s="211">
        <v>4</v>
      </c>
      <c r="X43" s="193">
        <f>IF(A43='Main Creation Page'!$AF$31,1,IF(A42='Main Creation Page'!$AF$31,2,IF(A44='Main Creation Page'!$AF$31,2,IF(A37='Main Creation Page'!$AF$31,3,0))))</f>
        <v>0</v>
      </c>
      <c r="Y43" s="193"/>
      <c r="AA43" s="6"/>
      <c r="AB43" s="6"/>
      <c r="AC43" s="6"/>
      <c r="AD43" s="6">
        <v>39</v>
      </c>
      <c r="AE43" s="6" t="str">
        <f>Skills!A713</f>
        <v>Artificer</v>
      </c>
      <c r="AF43" s="6">
        <f>Skills!V713</f>
        <v>7</v>
      </c>
      <c r="AG43" s="6" t="s">
        <v>5224</v>
      </c>
      <c r="AH43" s="7">
        <f ca="1">Skills!Y713</f>
        <v>0.12</v>
      </c>
      <c r="AI43" s="7">
        <f>Skills!Z713</f>
        <v>0</v>
      </c>
      <c r="AJ43" s="7">
        <f ca="1">Skills!AA713</f>
        <v>0.12</v>
      </c>
      <c r="AK43" s="7">
        <f>IF('Main Creation Page'!$E$6="Poor",0.1,IF('Main Creation Page'!$E$6="Well",0.1,0.1))</f>
        <v>0.1</v>
      </c>
      <c r="AL43" s="7">
        <f t="shared" ca="1" si="0"/>
        <v>0.22</v>
      </c>
      <c r="AM43" s="7">
        <f>Skills!AD713+AK43</f>
        <v>0.1</v>
      </c>
      <c r="AN43" s="7">
        <f t="shared" si="1"/>
        <v>0</v>
      </c>
      <c r="AO43" s="7">
        <f t="shared" si="2"/>
        <v>0.1</v>
      </c>
      <c r="AP43" s="6">
        <f ca="1">VLOOKUP(AL43*100,magestuff!$B$213:$C$252,2)</f>
        <v>2</v>
      </c>
      <c r="AQ43" s="7">
        <f t="shared" ca="1" si="3"/>
        <v>0.22</v>
      </c>
      <c r="AR43" s="37" t="str">
        <f ca="1">CELL("address",magestuff!BV3)</f>
        <v>'[CNS-TR-Master-charsht-September-2015.xlsx]magestuff'!$BV$3</v>
      </c>
      <c r="AS43" s="137" t="str">
        <f ca="1">CELL("address",magestuff!V$149)</f>
        <v>'[CNS-TR-Master-charsht-September-2015.xlsx]magestuff'!$V$149</v>
      </c>
      <c r="AT43" s="6" t="str">
        <f>IF(ISNA(Skills!$W$716)," ",Skills!$W$716)</f>
        <v xml:space="preserve"> </v>
      </c>
      <c r="AU43" s="6" t="str">
        <f>IF(ISNA(Skills!$W713),IF(ISBLANK(Skills!$X713)," ",Skills!$X713),+Skills!$W713+Skills!$X713)</f>
        <v xml:space="preserve"> </v>
      </c>
      <c r="AV43" s="7">
        <f t="shared" ca="1" si="4"/>
        <v>0.22</v>
      </c>
      <c r="AW43" s="6">
        <f ca="1">VLOOKUP(AV43*100,magestuff!$B$213:$C$247,2)</f>
        <v>2</v>
      </c>
      <c r="AZ43">
        <v>32</v>
      </c>
      <c r="BA43" s="140" t="s">
        <v>5421</v>
      </c>
      <c r="BB43" s="37"/>
      <c r="BF43" s="543" t="str">
        <f>IF(ISBLANK(Skills!X632),"N","Y")</f>
        <v>N</v>
      </c>
      <c r="BG43" s="2733" t="str">
        <f>CONCATENATE("Law of ",Skills!A632)</f>
        <v>Law of Focus</v>
      </c>
      <c r="BH43" s="2733"/>
      <c r="BI43" s="2733"/>
      <c r="BJ43" s="2733"/>
      <c r="BK43" s="2733" t="s">
        <v>3322</v>
      </c>
      <c r="BL43" s="2733"/>
      <c r="BM43" s="2733"/>
      <c r="BN43" s="2733"/>
      <c r="BO43" s="2733"/>
      <c r="BP43" s="2733"/>
      <c r="BQ43" s="2733"/>
      <c r="BR43" s="2733"/>
      <c r="BS43" s="2733"/>
      <c r="BT43" s="2733"/>
      <c r="BU43" s="2733"/>
      <c r="BV43" s="2733"/>
      <c r="BW43" s="544">
        <f>IF(BF43="Y",+$C$3*10,0)</f>
        <v>0</v>
      </c>
    </row>
    <row r="44" spans="1:75" ht="9" customHeight="1">
      <c r="A44" s="2754" t="str">
        <f>'System Lookups'!P13</f>
        <v>Capricorn/The Goat</v>
      </c>
      <c r="B44" s="2755"/>
      <c r="C44" s="212" t="s">
        <v>5396</v>
      </c>
      <c r="D44" s="216" t="s">
        <v>3268</v>
      </c>
      <c r="E44" s="210">
        <v>10</v>
      </c>
      <c r="F44" s="212" t="s">
        <v>5397</v>
      </c>
      <c r="G44" s="216" t="s">
        <v>4814</v>
      </c>
      <c r="H44" s="210">
        <v>6</v>
      </c>
      <c r="I44" s="212" t="s">
        <v>5398</v>
      </c>
      <c r="J44" s="216" t="s">
        <v>4816</v>
      </c>
      <c r="K44" s="210">
        <v>3</v>
      </c>
      <c r="L44" s="212" t="s">
        <v>5399</v>
      </c>
      <c r="M44" s="216" t="s">
        <v>4814</v>
      </c>
      <c r="N44" s="210" t="s">
        <v>5400</v>
      </c>
      <c r="O44" s="212" t="s">
        <v>5401</v>
      </c>
      <c r="P44" s="219" t="s">
        <v>4816</v>
      </c>
      <c r="Q44" s="210">
        <v>4</v>
      </c>
      <c r="R44" s="212" t="s">
        <v>5402</v>
      </c>
      <c r="S44" s="216" t="s">
        <v>4816</v>
      </c>
      <c r="T44" s="210">
        <v>5</v>
      </c>
      <c r="U44" s="212" t="s">
        <v>5403</v>
      </c>
      <c r="V44" s="216" t="s">
        <v>3268</v>
      </c>
      <c r="W44" s="210">
        <v>4</v>
      </c>
      <c r="X44" s="193">
        <f>IF(A44='Main Creation Page'!$AF$31,1,IF(A43='Main Creation Page'!$AF$31,2,IF(A45='Main Creation Page'!$AF$31,2,IF(A38='Main Creation Page'!$AF$31,3,0))))</f>
        <v>0</v>
      </c>
      <c r="Y44" s="193"/>
      <c r="AA44" s="6"/>
      <c r="AB44" s="6"/>
      <c r="AC44" s="6"/>
      <c r="AD44" s="6">
        <v>40</v>
      </c>
      <c r="AE44" s="6" t="str">
        <f>Skills!A714</f>
        <v>Cantor</v>
      </c>
      <c r="AF44" s="6">
        <f>Skills!V714</f>
        <v>7</v>
      </c>
      <c r="AG44" s="6" t="s">
        <v>5224</v>
      </c>
      <c r="AH44" s="7">
        <f ca="1">Skills!Y714</f>
        <v>0.06</v>
      </c>
      <c r="AI44" s="7">
        <f>Skills!Z714</f>
        <v>0</v>
      </c>
      <c r="AJ44" s="7">
        <f ca="1">Skills!AA714</f>
        <v>0.06</v>
      </c>
      <c r="AK44" s="7">
        <f>IF('Main Creation Page'!$E$6="Poor",0.1,IF('Main Creation Page'!$E$6="Well",0.1,0.1))</f>
        <v>0.1</v>
      </c>
      <c r="AL44" s="7">
        <f t="shared" ca="1" si="0"/>
        <v>0.16</v>
      </c>
      <c r="AM44" s="7">
        <f>Skills!AD714+AK44</f>
        <v>0.1</v>
      </c>
      <c r="AN44" s="7">
        <f t="shared" si="1"/>
        <v>0</v>
      </c>
      <c r="AO44" s="7">
        <f t="shared" si="2"/>
        <v>0.1</v>
      </c>
      <c r="AP44" s="6">
        <f ca="1">VLOOKUP(AL44*100,magestuff!$B$213:$C$252,2)</f>
        <v>1</v>
      </c>
      <c r="AQ44" s="7">
        <f t="shared" ca="1" si="3"/>
        <v>0.16</v>
      </c>
      <c r="AR44" s="37" t="str">
        <f ca="1">CELL("address",magestuff!CH3)</f>
        <v>'[CNS-TR-Master-charsht-September-2015.xlsx]magestuff'!$CH$3</v>
      </c>
      <c r="AS44" s="137" t="str">
        <f ca="1">CELL("address",magestuff!X$149)</f>
        <v>'[CNS-TR-Master-charsht-September-2015.xlsx]magestuff'!$X$149</v>
      </c>
      <c r="AT44" s="6" t="str">
        <f>IF(ISNA(Skills!$W$716)," ",Skills!$W$716)</f>
        <v xml:space="preserve"> </v>
      </c>
      <c r="AU44" s="6" t="str">
        <f>IF(ISNA(Skills!$W714),IF(ISBLANK(Skills!$X714)," ",Skills!$X714),+Skills!$W714+Skills!$X714)</f>
        <v xml:space="preserve"> </v>
      </c>
      <c r="AV44" s="7">
        <f t="shared" ca="1" si="4"/>
        <v>0.16</v>
      </c>
      <c r="AW44" s="6">
        <f ca="1">VLOOKUP(AV44*100,magestuff!$B$213:$C$247,2)</f>
        <v>1</v>
      </c>
      <c r="AZ44">
        <v>33</v>
      </c>
      <c r="BA44" s="140" t="s">
        <v>4342</v>
      </c>
      <c r="BB44" s="37"/>
      <c r="BF44" s="543" t="str">
        <f>IF(ISBLANK(Skills!X633),"N","Y")</f>
        <v>N</v>
      </c>
      <c r="BG44" s="2733" t="str">
        <f>CONCATENATE("Law of ",Skills!A633)</f>
        <v>Law of Harmony</v>
      </c>
      <c r="BH44" s="2733"/>
      <c r="BI44" s="2733"/>
      <c r="BJ44" s="2733"/>
      <c r="BK44" s="2733" t="s">
        <v>221</v>
      </c>
      <c r="BL44" s="2733"/>
      <c r="BM44" s="2733"/>
      <c r="BN44" s="2733"/>
      <c r="BO44" s="2733"/>
      <c r="BP44" s="2733"/>
      <c r="BQ44" s="2733"/>
      <c r="BR44" s="2733"/>
      <c r="BS44" s="2733"/>
      <c r="BT44" s="2733"/>
      <c r="BU44" s="2733"/>
      <c r="BV44" s="2733"/>
      <c r="BW44" s="545"/>
    </row>
    <row r="45" spans="1:75" ht="9" customHeight="1">
      <c r="A45" s="2754" t="str">
        <f>'System Lookups'!P14</f>
        <v>Aquarius/The Amphorae</v>
      </c>
      <c r="B45" s="2755"/>
      <c r="C45" s="212" t="s">
        <v>5404</v>
      </c>
      <c r="D45" s="216" t="s">
        <v>1159</v>
      </c>
      <c r="E45" s="210">
        <v>6</v>
      </c>
      <c r="F45" s="214" t="s">
        <v>5405</v>
      </c>
      <c r="G45" s="216" t="s">
        <v>4816</v>
      </c>
      <c r="H45" s="210">
        <v>3</v>
      </c>
      <c r="I45" s="212" t="s">
        <v>5406</v>
      </c>
      <c r="J45" s="216" t="s">
        <v>3268</v>
      </c>
      <c r="K45" s="210">
        <v>3</v>
      </c>
      <c r="L45" s="212" t="s">
        <v>1377</v>
      </c>
      <c r="M45" s="216" t="s">
        <v>1159</v>
      </c>
      <c r="N45" s="210">
        <v>4</v>
      </c>
      <c r="O45" s="212" t="s">
        <v>5407</v>
      </c>
      <c r="P45" s="219" t="s">
        <v>4816</v>
      </c>
      <c r="Q45" s="210">
        <v>6</v>
      </c>
      <c r="R45" s="212" t="s">
        <v>5408</v>
      </c>
      <c r="S45" s="216" t="s">
        <v>4816</v>
      </c>
      <c r="T45" s="210">
        <v>5</v>
      </c>
      <c r="U45" s="212" t="s">
        <v>925</v>
      </c>
      <c r="V45" s="216" t="s">
        <v>3268</v>
      </c>
      <c r="W45" s="210">
        <v>4</v>
      </c>
      <c r="X45" s="193">
        <f>IF(A45='Main Creation Page'!$AF$31,1,IF(A44='Main Creation Page'!$AF$31,2,IF(A46='Main Creation Page'!$AF$31,2,IF(A39='Main Creation Page'!$AF$31,3,0))))</f>
        <v>0</v>
      </c>
      <c r="Y45" s="193"/>
      <c r="AA45" s="6"/>
      <c r="AB45" s="6"/>
      <c r="AC45" s="6"/>
      <c r="AD45" s="6">
        <v>41</v>
      </c>
      <c r="AE45" s="6" t="s">
        <v>5415</v>
      </c>
      <c r="AF45" s="6">
        <f>Skills!V715</f>
        <v>7</v>
      </c>
      <c r="AG45" s="6" t="s">
        <v>5224</v>
      </c>
      <c r="AH45" s="7">
        <f ca="1">Skills!Y715</f>
        <v>0.12</v>
      </c>
      <c r="AI45" s="7">
        <f>Skills!Z715</f>
        <v>0</v>
      </c>
      <c r="AJ45" s="7">
        <f ca="1">Skills!AA715</f>
        <v>0.12</v>
      </c>
      <c r="AK45" s="7">
        <f>IF('Main Creation Page'!$E$6="Poor",0.1,IF('Main Creation Page'!$E$6="Well",0.1,0.1))</f>
        <v>0.1</v>
      </c>
      <c r="AL45" s="7">
        <f t="shared" ca="1" si="0"/>
        <v>0.22</v>
      </c>
      <c r="AM45" s="7">
        <f>Skills!AD715+AK45</f>
        <v>0.1</v>
      </c>
      <c r="AN45" s="7">
        <f t="shared" si="1"/>
        <v>0</v>
      </c>
      <c r="AO45" s="7">
        <f t="shared" si="2"/>
        <v>0.1</v>
      </c>
      <c r="AP45" s="6">
        <f ca="1">VLOOKUP(AL45*100,magestuff!$B$213:$C$252,2)</f>
        <v>2</v>
      </c>
      <c r="AQ45" s="7">
        <f t="shared" ca="1" si="3"/>
        <v>0.22</v>
      </c>
      <c r="AR45" s="37" t="str">
        <f ca="1">CELL("address",magestuff!BJ3)</f>
        <v>'[CNS-TR-Master-charsht-September-2015.xlsx]magestuff'!$BJ$3</v>
      </c>
      <c r="AS45" s="137" t="str">
        <f ca="1">CELL("address",magestuff!J$149)</f>
        <v>'[CNS-TR-Master-charsht-September-2015.xlsx]magestuff'!$J$149</v>
      </c>
      <c r="AT45" s="6" t="str">
        <f>IF(ISNA(Skills!$W$716)," ",Skills!$W$716)</f>
        <v xml:space="preserve"> </v>
      </c>
      <c r="AU45" s="6" t="str">
        <f>IF(ISNA(Skills!$W715),IF(ISBLANK(Skills!$X715)," ",Skills!$X715),+Skills!$W715+Skills!$X715)</f>
        <v xml:space="preserve"> </v>
      </c>
      <c r="AV45" s="7">
        <f t="shared" ca="1" si="4"/>
        <v>0.22</v>
      </c>
      <c r="AW45" s="6">
        <f ca="1">VLOOKUP(AV45*100,magestuff!$B$213:$C$247,2)</f>
        <v>2</v>
      </c>
      <c r="AZ45">
        <v>34</v>
      </c>
      <c r="BA45" s="140" t="s">
        <v>5425</v>
      </c>
      <c r="BB45" s="37"/>
      <c r="BF45" s="543" t="str">
        <f>IF(ISBLANK(Skills!X634),"N","Y")</f>
        <v>N</v>
      </c>
      <c r="BG45" s="2733" t="str">
        <f>CONCATENATE("Law of ",Skills!A634)</f>
        <v>Law of Invocation</v>
      </c>
      <c r="BH45" s="2733"/>
      <c r="BI45" s="2733"/>
      <c r="BJ45" s="2733"/>
      <c r="BK45" s="2733" t="s">
        <v>3423</v>
      </c>
      <c r="BL45" s="2733"/>
      <c r="BM45" s="2733"/>
      <c r="BN45" s="2733"/>
      <c r="BO45" s="2733"/>
      <c r="BP45" s="2733"/>
      <c r="BQ45" s="2733"/>
      <c r="BR45" s="2733"/>
      <c r="BS45" s="2733"/>
      <c r="BT45" s="2733"/>
      <c r="BU45" s="2733"/>
      <c r="BV45" s="2733"/>
      <c r="BW45" s="545"/>
    </row>
    <row r="46" spans="1:75" ht="9.9499999999999993" customHeight="1">
      <c r="A46" s="2754" t="str">
        <f>'System Lookups'!P15</f>
        <v>Pisces/The Fish</v>
      </c>
      <c r="B46" s="2755"/>
      <c r="C46" s="212" t="s">
        <v>5006</v>
      </c>
      <c r="D46" s="216" t="s">
        <v>4814</v>
      </c>
      <c r="E46" s="210">
        <v>4</v>
      </c>
      <c r="F46" s="214" t="s">
        <v>5007</v>
      </c>
      <c r="G46" s="217" t="s">
        <v>4816</v>
      </c>
      <c r="H46" s="211">
        <v>1</v>
      </c>
      <c r="I46" s="212" t="s">
        <v>5008</v>
      </c>
      <c r="J46" s="216" t="s">
        <v>4814</v>
      </c>
      <c r="K46" s="210" t="s">
        <v>4256</v>
      </c>
      <c r="L46" s="212" t="s">
        <v>5009</v>
      </c>
      <c r="M46" s="216" t="s">
        <v>4816</v>
      </c>
      <c r="N46" s="210" t="s">
        <v>4263</v>
      </c>
      <c r="O46" s="212" t="s">
        <v>5010</v>
      </c>
      <c r="P46" s="219" t="s">
        <v>4816</v>
      </c>
      <c r="Q46" s="210">
        <v>6</v>
      </c>
      <c r="R46" s="212" t="s">
        <v>5011</v>
      </c>
      <c r="S46" s="216" t="s">
        <v>4816</v>
      </c>
      <c r="T46" s="210">
        <v>5</v>
      </c>
      <c r="U46" s="212" t="s">
        <v>5012</v>
      </c>
      <c r="V46" s="216" t="s">
        <v>3268</v>
      </c>
      <c r="W46" s="210">
        <v>4</v>
      </c>
      <c r="X46" s="193">
        <f>IF(A46='Main Creation Page'!$AF$31,1,IF(A45='Main Creation Page'!$AF$31,2,IF(A35='Main Creation Page'!$AF$31,2,IF(A40='Main Creation Page'!$AF$31,3,0))))</f>
        <v>0</v>
      </c>
      <c r="Y46" s="193"/>
      <c r="AA46" s="6"/>
      <c r="AB46" s="6"/>
      <c r="AC46" s="6"/>
      <c r="AD46" s="6">
        <v>42</v>
      </c>
      <c r="AE46" s="6" t="str">
        <f>Skills!A716</f>
        <v>Druid</v>
      </c>
      <c r="AF46" s="6">
        <f>Skills!V716</f>
        <v>8</v>
      </c>
      <c r="AG46" s="6" t="s">
        <v>5224</v>
      </c>
      <c r="AH46" s="7">
        <f ca="1">Skills!Y716</f>
        <v>0.14000000000000001</v>
      </c>
      <c r="AI46" s="7">
        <f>Skills!Z716</f>
        <v>0</v>
      </c>
      <c r="AJ46" s="7">
        <f ca="1">Skills!AA716</f>
        <v>0.14000000000000001</v>
      </c>
      <c r="AK46" s="7">
        <f>IF('Main Creation Page'!$E$6="Poor",0.1,IF('Main Creation Page'!$E$6="Well",0.1,0.1))</f>
        <v>0.1</v>
      </c>
      <c r="AL46" s="7">
        <f t="shared" ca="1" si="0"/>
        <v>0.24000000000000002</v>
      </c>
      <c r="AM46" s="7">
        <f>Skills!AD716+AK46</f>
        <v>0.1</v>
      </c>
      <c r="AN46" s="7">
        <f t="shared" si="1"/>
        <v>0</v>
      </c>
      <c r="AO46" s="7">
        <f t="shared" si="2"/>
        <v>0.1</v>
      </c>
      <c r="AP46" s="6">
        <f ca="1">VLOOKUP(AL46*100,magestuff!$B$213:$C$252,2)</f>
        <v>2</v>
      </c>
      <c r="AQ46" s="7">
        <f t="shared" ca="1" si="3"/>
        <v>0.24000000000000002</v>
      </c>
      <c r="AR46" s="37" t="str">
        <f ca="1">CELL("address",magestuff!B3)</f>
        <v>'[CNS-TR-Master-charsht-September-2015.xlsx]magestuff'!$B$3</v>
      </c>
      <c r="AS46" s="137" t="str">
        <f ca="1">CELL("address",magestuff!B$149)</f>
        <v>'[CNS-TR-Master-charsht-September-2015.xlsx]magestuff'!$B$149</v>
      </c>
      <c r="AT46" s="6" t="str">
        <f>IF(ISNA(Skills!$W$716)," ",Skills!$W$716)</f>
        <v xml:space="preserve"> </v>
      </c>
      <c r="AU46" s="6" t="str">
        <f>IF(ISNA(Skills!$W716),IF(ISBLANK(Skills!$X716)," ",Skills!$X716),+Skills!$W716+Skills!$X716)</f>
        <v xml:space="preserve"> </v>
      </c>
      <c r="AV46" s="7">
        <f t="shared" ca="1" si="4"/>
        <v>0.24000000000000002</v>
      </c>
      <c r="AW46" s="6">
        <f ca="1">VLOOKUP(AV46*100,magestuff!$B$213:$C$247,2)</f>
        <v>2</v>
      </c>
      <c r="AZ46">
        <v>35</v>
      </c>
      <c r="BA46" s="140" t="s">
        <v>451</v>
      </c>
      <c r="BB46" s="37"/>
      <c r="BF46" s="543" t="str">
        <f>IF(ISBLANK(Skills!X635),"N","Y")</f>
        <v>N</v>
      </c>
      <c r="BG46" s="2733" t="str">
        <f>CONCATENATE("Law of ",Skills!A635)</f>
        <v>Law of Names</v>
      </c>
      <c r="BH46" s="2733"/>
      <c r="BI46" s="2733"/>
      <c r="BJ46" s="2733"/>
      <c r="BK46" s="2733" t="s">
        <v>4425</v>
      </c>
      <c r="BL46" s="2733"/>
      <c r="BM46" s="2733"/>
      <c r="BN46" s="2733"/>
      <c r="BO46" s="2733"/>
      <c r="BP46" s="2733"/>
      <c r="BQ46" s="2733"/>
      <c r="BR46" s="2733"/>
      <c r="BS46" s="2733"/>
      <c r="BT46" s="2733"/>
      <c r="BU46" s="2733"/>
      <c r="BV46" s="2733"/>
      <c r="BW46" s="545"/>
    </row>
    <row r="47" spans="1:75" ht="9.9499999999999993" customHeight="1">
      <c r="A47" s="2776" t="s">
        <v>5013</v>
      </c>
      <c r="B47" s="2777"/>
      <c r="C47" s="2780" t="s">
        <v>5014</v>
      </c>
      <c r="D47" s="2781"/>
      <c r="E47" s="2782"/>
      <c r="F47" s="2780" t="s">
        <v>5015</v>
      </c>
      <c r="G47" s="2781"/>
      <c r="H47" s="2782"/>
      <c r="I47" s="2780" t="s">
        <v>5016</v>
      </c>
      <c r="J47" s="2781"/>
      <c r="K47" s="2782"/>
      <c r="L47" s="2780" t="s">
        <v>1554</v>
      </c>
      <c r="M47" s="2781"/>
      <c r="N47" s="2782"/>
      <c r="O47" s="2780" t="s">
        <v>1555</v>
      </c>
      <c r="P47" s="2781"/>
      <c r="Q47" s="2782"/>
      <c r="R47" s="2780" t="s">
        <v>5245</v>
      </c>
      <c r="S47" s="2781"/>
      <c r="T47" s="2782"/>
      <c r="U47" s="2780" t="s">
        <v>5245</v>
      </c>
      <c r="V47" s="2781"/>
      <c r="W47" s="2782"/>
      <c r="X47" s="6"/>
      <c r="Y47" s="6"/>
      <c r="AA47" s="6"/>
      <c r="AB47" s="6"/>
      <c r="AC47" s="6"/>
      <c r="AD47" s="6">
        <v>43</v>
      </c>
      <c r="AE47" s="6" t="str">
        <f>Skills!A717</f>
        <v>Hermit</v>
      </c>
      <c r="AF47" s="6">
        <f>Skills!V717</f>
        <v>8</v>
      </c>
      <c r="AG47" s="6" t="s">
        <v>5222</v>
      </c>
      <c r="AH47" s="7">
        <f ca="1">Skills!Y717</f>
        <v>0.08</v>
      </c>
      <c r="AI47" s="7">
        <f>Skills!Z717</f>
        <v>0</v>
      </c>
      <c r="AJ47" s="7">
        <f ca="1">Skills!AA717</f>
        <v>0.08</v>
      </c>
      <c r="AK47" s="7">
        <f>IF('Main Creation Page'!$E$6="Poor",0.1,IF('Main Creation Page'!$E$6="Well",0.1,0.1))</f>
        <v>0.1</v>
      </c>
      <c r="AL47" s="7">
        <f t="shared" ca="1" si="0"/>
        <v>0.18</v>
      </c>
      <c r="AM47" s="7">
        <f>Skills!AD717+AK47</f>
        <v>0.1</v>
      </c>
      <c r="AN47" s="7">
        <f t="shared" si="1"/>
        <v>0</v>
      </c>
      <c r="AO47" s="7">
        <f t="shared" si="2"/>
        <v>0.1</v>
      </c>
      <c r="AP47" s="6">
        <f ca="1">VLOOKUP(AL47*100,magestuff!$B$213:$C$252,2)</f>
        <v>1</v>
      </c>
      <c r="AQ47" s="7">
        <f t="shared" ca="1" si="3"/>
        <v>0.18</v>
      </c>
      <c r="AR47" s="37" t="str">
        <f ca="1">CELL("address",magestuff!AX3)</f>
        <v>'[CNS-TR-Master-charsht-September-2015.xlsx]magestuff'!$AX$3</v>
      </c>
      <c r="AS47" s="137" t="str">
        <f ca="1">CELL("address",magestuff!L$149)</f>
        <v>'[CNS-TR-Master-charsht-September-2015.xlsx]magestuff'!$L$149</v>
      </c>
      <c r="AT47" s="6" t="str">
        <f>IF(ISNA(Skills!$W$717)," ",Skills!$W$717)</f>
        <v xml:space="preserve"> </v>
      </c>
      <c r="AU47" s="6" t="str">
        <f>IF(ISNA(Skills!$W$717),IF(ISBLANK(Skills!$X$717)," ",Skills!$X$717),+Skills!$W$717+Skills!$X$717)</f>
        <v xml:space="preserve"> </v>
      </c>
      <c r="AV47" s="7">
        <f t="shared" ca="1" si="4"/>
        <v>0.18</v>
      </c>
      <c r="AW47" s="6">
        <f ca="1">VLOOKUP(AV47*100,magestuff!$B$213:$C$247,2)</f>
        <v>1</v>
      </c>
      <c r="AZ47">
        <v>36</v>
      </c>
      <c r="BA47" s="140" t="s">
        <v>4343</v>
      </c>
      <c r="BB47" s="37"/>
      <c r="BF47" s="543" t="str">
        <f>IF(ISBLANK(Skills!X636),"N","Y")</f>
        <v>N</v>
      </c>
      <c r="BG47" s="2733" t="str">
        <f>CONCATENATE("Law of ",Skills!A636)</f>
        <v>Law of Objects</v>
      </c>
      <c r="BH47" s="2733"/>
      <c r="BI47" s="2733"/>
      <c r="BJ47" s="2733"/>
      <c r="BK47" s="2733" t="s">
        <v>3884</v>
      </c>
      <c r="BL47" s="2733"/>
      <c r="BM47" s="2733"/>
      <c r="BN47" s="2733"/>
      <c r="BO47" s="2733"/>
      <c r="BP47" s="2733"/>
      <c r="BQ47" s="2733"/>
      <c r="BR47" s="2733"/>
      <c r="BS47" s="2733"/>
      <c r="BT47" s="2733"/>
      <c r="BU47" s="2733"/>
      <c r="BV47" s="2733"/>
      <c r="BW47" s="544">
        <f>IF(BF47="Y",+$C$3,0)</f>
        <v>0</v>
      </c>
    </row>
    <row r="48" spans="1:75" ht="9.9499999999999993" customHeight="1" thickBot="1">
      <c r="A48" s="2790" t="s">
        <v>5246</v>
      </c>
      <c r="B48" s="2791"/>
      <c r="C48" s="2783" t="s">
        <v>5247</v>
      </c>
      <c r="D48" s="2784"/>
      <c r="E48" s="2785"/>
      <c r="F48" s="2783" t="s">
        <v>5248</v>
      </c>
      <c r="G48" s="2784"/>
      <c r="H48" s="2785"/>
      <c r="I48" s="2783" t="s">
        <v>3343</v>
      </c>
      <c r="J48" s="2784"/>
      <c r="K48" s="2785"/>
      <c r="L48" s="2783" t="s">
        <v>5248</v>
      </c>
      <c r="M48" s="2784"/>
      <c r="N48" s="2785"/>
      <c r="O48" s="2783" t="s">
        <v>5247</v>
      </c>
      <c r="P48" s="2784"/>
      <c r="Q48" s="2785"/>
      <c r="R48" s="2783" t="s">
        <v>5247</v>
      </c>
      <c r="S48" s="2784"/>
      <c r="T48" s="2785"/>
      <c r="U48" s="2783" t="s">
        <v>5247</v>
      </c>
      <c r="V48" s="2784"/>
      <c r="W48" s="2785"/>
      <c r="X48" s="6"/>
      <c r="Y48" s="6"/>
      <c r="AA48" s="6"/>
      <c r="AB48" s="6"/>
      <c r="AC48" s="6"/>
      <c r="AD48" s="6">
        <v>44</v>
      </c>
      <c r="AE48" s="6" t="str">
        <f>Skills!A718</f>
        <v>Orphic</v>
      </c>
      <c r="AF48" s="6">
        <f>Skills!V718</f>
        <v>7</v>
      </c>
      <c r="AG48" s="6" t="s">
        <v>5222</v>
      </c>
      <c r="AH48" s="7">
        <f ca="1">Skills!Y718</f>
        <v>0.06</v>
      </c>
      <c r="AI48" s="7">
        <f>Skills!Z718</f>
        <v>0</v>
      </c>
      <c r="AJ48" s="7">
        <f ca="1">Skills!AA718</f>
        <v>0.06</v>
      </c>
      <c r="AK48" s="7">
        <f>IF('Main Creation Page'!$E$6="Poor",0.1,IF('Main Creation Page'!$E$6="Well",0.1,0.1))</f>
        <v>0.1</v>
      </c>
      <c r="AL48" s="7">
        <f t="shared" ca="1" si="0"/>
        <v>0.16</v>
      </c>
      <c r="AM48" s="7">
        <f>Skills!AD718+AK48</f>
        <v>0.1</v>
      </c>
      <c r="AN48" s="7">
        <f t="shared" si="1"/>
        <v>0</v>
      </c>
      <c r="AO48" s="7">
        <f t="shared" si="2"/>
        <v>0.1</v>
      </c>
      <c r="AP48" s="6">
        <f ca="1">VLOOKUP(AL48*100,magestuff!$B$213:$C$252,2)</f>
        <v>1</v>
      </c>
      <c r="AQ48" s="7">
        <f t="shared" ca="1" si="3"/>
        <v>0.16</v>
      </c>
      <c r="AR48" s="37" t="str">
        <f ca="1">CELL("address",magestuff!AL3)</f>
        <v>'[CNS-TR-Master-charsht-September-2015.xlsx]magestuff'!$AL$3</v>
      </c>
      <c r="AS48" s="137" t="str">
        <f ca="1">CELL("address",magestuff!H$149)</f>
        <v>'[CNS-TR-Master-charsht-September-2015.xlsx]magestuff'!$H$149</v>
      </c>
      <c r="AT48" s="6" t="str">
        <f>IF(ISNA(Skills!$W$718)," ",Skills!$W$718)</f>
        <v xml:space="preserve"> </v>
      </c>
      <c r="AU48" s="6" t="str">
        <f>IF(ISNA(Skills!$W$718),IF(ISBLANK(Skills!$X$718)," ",Skills!$X$718),+Skills!$W$718+Skills!$X$718)</f>
        <v xml:space="preserve"> </v>
      </c>
      <c r="AV48" s="7">
        <f t="shared" ca="1" si="4"/>
        <v>0.16</v>
      </c>
      <c r="AW48" s="6">
        <f ca="1">VLOOKUP(AV48*100,magestuff!$B$213:$C$247,2)</f>
        <v>1</v>
      </c>
      <c r="AZ48">
        <v>37</v>
      </c>
      <c r="BA48" s="140" t="s">
        <v>4346</v>
      </c>
      <c r="BB48" s="37"/>
      <c r="BF48" s="543" t="str">
        <f>IF(ISBLANK(Skills!X637),"N","Y")</f>
        <v>N</v>
      </c>
      <c r="BG48" s="2733" t="str">
        <f>CONCATENATE("Law of ",Skills!A637)</f>
        <v>Law of Paradoxes</v>
      </c>
      <c r="BH48" s="2733"/>
      <c r="BI48" s="2733"/>
      <c r="BJ48" s="2733"/>
      <c r="BK48" s="2733" t="s">
        <v>2936</v>
      </c>
      <c r="BL48" s="2733"/>
      <c r="BM48" s="2733"/>
      <c r="BN48" s="2733"/>
      <c r="BO48" s="2733"/>
      <c r="BP48" s="2733"/>
      <c r="BQ48" s="2733"/>
      <c r="BR48" s="2733"/>
      <c r="BS48" s="2733"/>
      <c r="BT48" s="2733"/>
      <c r="BU48" s="2733"/>
      <c r="BV48" s="2733"/>
      <c r="BW48" s="544">
        <f>IF(BF48="Y",+$C$3,0)</f>
        <v>0</v>
      </c>
    </row>
    <row r="49" spans="1:75" ht="9.9499999999999993" customHeight="1" thickTop="1">
      <c r="J49" s="49" t="s">
        <v>2788</v>
      </c>
      <c r="K49" s="49" t="s">
        <v>3735</v>
      </c>
      <c r="L49" s="49" t="s">
        <v>3736</v>
      </c>
      <c r="O49" s="5" t="s">
        <v>2956</v>
      </c>
      <c r="P49" s="198"/>
      <c r="Q49" s="2796" t="s">
        <v>4195</v>
      </c>
      <c r="R49" s="2796"/>
      <c r="S49" s="2797"/>
      <c r="T49" s="201"/>
      <c r="U49" s="2796" t="s">
        <v>4196</v>
      </c>
      <c r="V49" s="2796"/>
      <c r="W49" s="2798"/>
      <c r="AA49" s="6"/>
      <c r="AB49" s="6"/>
      <c r="AC49" s="6"/>
      <c r="AD49" s="6">
        <v>45</v>
      </c>
      <c r="AE49" s="6" t="str">
        <f>Skills!A719</f>
        <v>Shaman</v>
      </c>
      <c r="AF49" s="6">
        <f>Skills!V719</f>
        <v>7</v>
      </c>
      <c r="AG49" s="6" t="s">
        <v>5224</v>
      </c>
      <c r="AH49" s="7">
        <f ca="1">Skills!Y719</f>
        <v>0.12</v>
      </c>
      <c r="AI49" s="7">
        <f>Skills!Z719</f>
        <v>0</v>
      </c>
      <c r="AJ49" s="7">
        <f ca="1">Skills!AA719</f>
        <v>0.12</v>
      </c>
      <c r="AK49" s="7">
        <f>IF('Main Creation Page'!$E$6="Poor",0.1,IF('Main Creation Page'!$E$6="Well",0.1,0.1))</f>
        <v>0.1</v>
      </c>
      <c r="AL49" s="7">
        <f t="shared" ca="1" si="0"/>
        <v>0.22</v>
      </c>
      <c r="AM49" s="7">
        <f>Skills!AD719+AK49</f>
        <v>0.1</v>
      </c>
      <c r="AN49" s="7">
        <f t="shared" si="1"/>
        <v>0</v>
      </c>
      <c r="AO49" s="7">
        <f t="shared" si="2"/>
        <v>0.1</v>
      </c>
      <c r="AP49" s="6">
        <f ca="1">VLOOKUP(AL49*100,magestuff!$B$213:$C$252,2)</f>
        <v>2</v>
      </c>
      <c r="AQ49" s="7">
        <f t="shared" ca="1" si="3"/>
        <v>0.22</v>
      </c>
      <c r="AR49" s="37" t="str">
        <f ca="1">CELL("address",magestuff!M3)</f>
        <v>'[CNS-TR-Master-charsht-September-2015.xlsx]magestuff'!$M$3</v>
      </c>
      <c r="AS49" s="137" t="str">
        <f ca="1">CELL("address",magestuff!D$149)</f>
        <v>'[CNS-TR-Master-charsht-September-2015.xlsx]magestuff'!$D$149</v>
      </c>
      <c r="AT49" s="6" t="str">
        <f>IF(ISNA(Skills!$W$718)," ",Skills!$W$718)</f>
        <v xml:space="preserve"> </v>
      </c>
      <c r="AU49" s="6" t="str">
        <f>IF(ISNA(Skills!$W$718),IF(ISBLANK(Skills!$X$718)," ",Skills!$X$718),+Skills!$W$718+Skills!$X$718)</f>
        <v xml:space="preserve"> </v>
      </c>
      <c r="AV49" s="7">
        <f t="shared" ca="1" si="4"/>
        <v>0.22</v>
      </c>
      <c r="AW49" s="6">
        <f ca="1">VLOOKUP(AV49*100,magestuff!$B$213:$C$247,2)</f>
        <v>2</v>
      </c>
      <c r="AZ49">
        <v>38</v>
      </c>
      <c r="BA49" s="140" t="s">
        <v>5422</v>
      </c>
      <c r="BB49" s="37"/>
      <c r="BF49" s="543" t="str">
        <f>IF(ISBLANK(Skills!X638),"N","Y")</f>
        <v>N</v>
      </c>
      <c r="BG49" s="2733" t="str">
        <f>CONCATENATE("Law of ",Skills!A638)</f>
        <v>Law of Personal Attunement</v>
      </c>
      <c r="BH49" s="2733"/>
      <c r="BI49" s="2733"/>
      <c r="BJ49" s="2733"/>
      <c r="BK49" s="2733" t="s">
        <v>3051</v>
      </c>
      <c r="BL49" s="2733"/>
      <c r="BM49" s="2733"/>
      <c r="BN49" s="2733"/>
      <c r="BO49" s="2733"/>
      <c r="BP49" s="2733"/>
      <c r="BQ49" s="2733"/>
      <c r="BR49" s="2733"/>
      <c r="BS49" s="2733"/>
      <c r="BT49" s="2733"/>
      <c r="BU49" s="2733"/>
      <c r="BV49" s="2733"/>
      <c r="BW49" s="545"/>
    </row>
    <row r="50" spans="1:75" ht="9.9499999999999993" customHeight="1">
      <c r="B50" s="6"/>
      <c r="C50" s="54" t="s">
        <v>3047</v>
      </c>
      <c r="D50" s="54" t="s">
        <v>3791</v>
      </c>
      <c r="E50" s="54" t="s">
        <v>4719</v>
      </c>
      <c r="F50" s="54" t="s">
        <v>3456</v>
      </c>
      <c r="G50" s="54" t="s">
        <v>4805</v>
      </c>
      <c r="H50" s="2705" t="s">
        <v>1911</v>
      </c>
      <c r="I50" s="2705"/>
      <c r="J50" s="49" t="s">
        <v>3734</v>
      </c>
      <c r="K50" s="504" t="s">
        <v>3737</v>
      </c>
      <c r="L50" s="49" t="s">
        <v>3734</v>
      </c>
      <c r="O50" s="3" t="s">
        <v>4197</v>
      </c>
      <c r="P50" s="199">
        <v>1</v>
      </c>
      <c r="Q50" s="2778"/>
      <c r="R50" s="2778"/>
      <c r="S50" s="2789"/>
      <c r="T50" s="199">
        <v>1</v>
      </c>
      <c r="U50" s="2778"/>
      <c r="V50" s="2778"/>
      <c r="W50" s="2779"/>
      <c r="AA50" s="6"/>
      <c r="AB50" s="6"/>
      <c r="AC50" s="6"/>
      <c r="AD50" s="6">
        <v>46</v>
      </c>
      <c r="AE50" s="6" t="str">
        <f>Skills!A720</f>
        <v>Witchcraft</v>
      </c>
      <c r="AF50" s="6">
        <f>Skills!V720</f>
        <v>7</v>
      </c>
      <c r="AG50" s="6" t="s">
        <v>5222</v>
      </c>
      <c r="AH50" s="7">
        <f ca="1">Skills!Y720</f>
        <v>0.14000000000000001</v>
      </c>
      <c r="AI50" s="7">
        <f>Skills!Z720</f>
        <v>0</v>
      </c>
      <c r="AJ50" s="7">
        <f ca="1">Skills!AA720</f>
        <v>0.14000000000000001</v>
      </c>
      <c r="AK50" s="7">
        <f>IF('Main Creation Page'!$E$6="Poor",0.1,IF('Main Creation Page'!$E$6="Well",0.1,0.1))+IF('SA&amp;DD'!AE25="Y",0.13,0)</f>
        <v>0.1</v>
      </c>
      <c r="AL50" s="7">
        <f t="shared" ca="1" si="0"/>
        <v>0.24000000000000002</v>
      </c>
      <c r="AM50" s="7">
        <f>Skills!AD720+AK49</f>
        <v>0.1</v>
      </c>
      <c r="AN50" s="7">
        <f t="shared" si="1"/>
        <v>0</v>
      </c>
      <c r="AO50" s="7">
        <f t="shared" si="2"/>
        <v>0.1</v>
      </c>
      <c r="AP50" s="6">
        <f ca="1">VLOOKUP(AL50*100,magestuff!$B$213:$C$252,2)</f>
        <v>2</v>
      </c>
      <c r="AQ50" s="7">
        <f t="shared" ca="1" si="3"/>
        <v>0.24000000000000002</v>
      </c>
      <c r="AR50" s="37" t="str">
        <f ca="1">CELL("address",magestuff!Z3)</f>
        <v>'[CNS-TR-Master-charsht-September-2015.xlsx]magestuff'!$Z$3</v>
      </c>
      <c r="AS50" s="137" t="str">
        <f ca="1">CELL("address",magestuff!F$149)</f>
        <v>'[CNS-TR-Master-charsht-September-2015.xlsx]magestuff'!$F$149</v>
      </c>
      <c r="AT50" s="6" t="str">
        <f>IF(ISNA(Skills!$W$720)," ",Skills!$W$720)</f>
        <v xml:space="preserve"> </v>
      </c>
      <c r="AU50" s="6" t="str">
        <f>IF(ISNA(Skills!$W$720),IF(ISBLANK(Skills!$X$720)," ",Skills!$X$720),+Skills!$W$720+Skills!$X$720)</f>
        <v xml:space="preserve"> </v>
      </c>
      <c r="AV50" s="7">
        <f t="shared" ca="1" si="4"/>
        <v>0.24000000000000002</v>
      </c>
      <c r="AW50" s="6">
        <f ca="1">VLOOKUP(AV50*100,magestuff!$B$213:$C$247,2)</f>
        <v>2</v>
      </c>
      <c r="AZ50">
        <v>39</v>
      </c>
      <c r="BA50" s="140" t="s">
        <v>5423</v>
      </c>
      <c r="BB50" s="37"/>
      <c r="BF50" s="543" t="str">
        <f>IF(ISBLANK(Skills!X639),"N","Y")</f>
        <v>N</v>
      </c>
      <c r="BG50" s="2733" t="str">
        <f>CONCATENATE("Law of ",Skills!A639)</f>
        <v>Law of Personal Reality</v>
      </c>
      <c r="BH50" s="2733"/>
      <c r="BI50" s="2733"/>
      <c r="BJ50" s="2733"/>
      <c r="BK50" s="2733" t="s">
        <v>4605</v>
      </c>
      <c r="BL50" s="2733"/>
      <c r="BM50" s="2733"/>
      <c r="BN50" s="2733"/>
      <c r="BO50" s="2733"/>
      <c r="BP50" s="2733"/>
      <c r="BQ50" s="2733"/>
      <c r="BR50" s="2733"/>
      <c r="BS50" s="2733"/>
      <c r="BT50" s="2733"/>
      <c r="BU50" s="2733"/>
      <c r="BV50" s="2733"/>
      <c r="BW50" s="545"/>
    </row>
    <row r="51" spans="1:75" ht="9.9499999999999993" customHeight="1">
      <c r="A51" s="26" t="s">
        <v>3784</v>
      </c>
      <c r="B51" s="529" t="s">
        <v>5224</v>
      </c>
      <c r="C51" s="203">
        <f>IF($B$51="y",0.07,0)</f>
        <v>0</v>
      </c>
      <c r="D51" s="203">
        <f>IF($B$51="y",0.05,0)</f>
        <v>0</v>
      </c>
      <c r="E51" s="204">
        <f>IF($B$51="y",-2,0)</f>
        <v>0</v>
      </c>
      <c r="F51" s="204">
        <f>IF($B$51="y",3*$C$3,0)</f>
        <v>0</v>
      </c>
      <c r="G51" s="204">
        <f>IF($B$51="y",3*$C$3,0)</f>
        <v>0</v>
      </c>
      <c r="H51" s="204">
        <f>IF($B$51="y",$C$3,0)</f>
        <v>0</v>
      </c>
      <c r="I51" s="142" t="s">
        <v>3789</v>
      </c>
      <c r="J51" s="249" t="str">
        <f>IF(B51="y",50+80," ")</f>
        <v xml:space="preserve"> </v>
      </c>
      <c r="K51" s="307"/>
      <c r="L51" s="252" t="str">
        <f>IF(J51=" "," ",+K51+J51)</f>
        <v xml:space="preserve"> </v>
      </c>
      <c r="P51" s="199">
        <v>2</v>
      </c>
      <c r="Q51" s="2778"/>
      <c r="R51" s="2778"/>
      <c r="S51" s="2789"/>
      <c r="T51" s="199">
        <v>2</v>
      </c>
      <c r="U51" s="2778"/>
      <c r="V51" s="2778"/>
      <c r="W51" s="2779"/>
      <c r="AA51" s="6"/>
      <c r="AC51" s="6"/>
      <c r="AD51" s="6">
        <v>47</v>
      </c>
      <c r="AE51" s="6" t="s">
        <v>4781</v>
      </c>
      <c r="AG51" s="8"/>
      <c r="AH51" s="6"/>
      <c r="AI51" s="6"/>
      <c r="AK51" s="6"/>
      <c r="AO51" s="7"/>
      <c r="AR51" s="37" t="str">
        <f ca="1">CELL("address",magestuff!Z69)</f>
        <v>'[CNS-TR-Master-charsht-September-2015.xlsx]magestuff'!$Z$69</v>
      </c>
      <c r="AS51" s="137" t="str">
        <f ca="1">CELL("address",magestuff!AR$171)</f>
        <v>'[CNS-TR-Master-charsht-September-2015.xlsx]magestuff'!$AR$171</v>
      </c>
      <c r="AT51" s="37"/>
      <c r="AU51" s="37"/>
      <c r="AV51" s="7"/>
      <c r="AW51" s="6"/>
      <c r="AZ51">
        <v>40</v>
      </c>
      <c r="BA51" s="140" t="s">
        <v>3843</v>
      </c>
      <c r="BB51" s="37"/>
      <c r="BF51" s="543" t="str">
        <f>IF(ISBLANK(Skills!X640),"N","Y")</f>
        <v>N</v>
      </c>
      <c r="BG51" s="2733" t="str">
        <f>CONCATENATE("Law of ",Skills!A640)</f>
        <v>Law of Personalities</v>
      </c>
      <c r="BH51" s="2733"/>
      <c r="BI51" s="2733"/>
      <c r="BJ51" s="2733"/>
      <c r="BK51" s="2733" t="s">
        <v>3052</v>
      </c>
      <c r="BL51" s="2733"/>
      <c r="BM51" s="2733"/>
      <c r="BN51" s="2733"/>
      <c r="BO51" s="2733"/>
      <c r="BP51" s="2733"/>
      <c r="BQ51" s="2733"/>
      <c r="BR51" s="2733"/>
      <c r="BS51" s="2733"/>
      <c r="BT51" s="2733"/>
      <c r="BU51" s="2733"/>
      <c r="BV51" s="2733"/>
      <c r="BW51" s="545"/>
    </row>
    <row r="52" spans="1:75" ht="9.9499999999999993" customHeight="1">
      <c r="A52" s="26" t="s">
        <v>5088</v>
      </c>
      <c r="B52" s="38" t="s">
        <v>5224</v>
      </c>
      <c r="C52" s="205">
        <f>IF($B$52="y",0.13,0)</f>
        <v>0</v>
      </c>
      <c r="D52" s="205">
        <f>IF($B$52="y",0.1,0)</f>
        <v>0</v>
      </c>
      <c r="E52" s="205">
        <f>IF($B$52="y",-0.5,0)</f>
        <v>0</v>
      </c>
      <c r="F52" s="206">
        <f>IF($B$52="y",7*$C$3,0)</f>
        <v>0</v>
      </c>
      <c r="G52" s="206">
        <f>IF($B$52="y",7*$C$3,0)</f>
        <v>0</v>
      </c>
      <c r="H52" s="206">
        <f>IF($B$52="y",3*$C$3,0)</f>
        <v>0</v>
      </c>
      <c r="I52" s="142" t="s">
        <v>3789</v>
      </c>
      <c r="J52" s="249" t="str">
        <f>IF(B52="y",100+130," ")</f>
        <v xml:space="preserve"> </v>
      </c>
      <c r="K52" s="307"/>
      <c r="L52" s="252" t="str">
        <f>IF(J52=" "," ",+K52+J52)</f>
        <v xml:space="preserve"> </v>
      </c>
      <c r="P52" s="199">
        <v>3</v>
      </c>
      <c r="Q52" s="2778"/>
      <c r="R52" s="2778"/>
      <c r="S52" s="2789"/>
      <c r="T52" s="199">
        <v>3</v>
      </c>
      <c r="U52" s="2778"/>
      <c r="V52" s="2778"/>
      <c r="W52" s="2779"/>
      <c r="AC52" s="6"/>
      <c r="AD52" s="6"/>
      <c r="AE52" s="2"/>
      <c r="AF52" s="1"/>
      <c r="AG52" s="2"/>
      <c r="AH52" s="1"/>
      <c r="AI52" s="1"/>
      <c r="AK52" s="1"/>
      <c r="AS52" s="140"/>
      <c r="AZ52">
        <v>41</v>
      </c>
      <c r="BA52" s="140" t="s">
        <v>3173</v>
      </c>
      <c r="BB52" s="37"/>
      <c r="BF52" s="543" t="str">
        <f>IF(ISBLANK(Skills!X641),"N","Y")</f>
        <v>N</v>
      </c>
      <c r="BG52" s="2733" t="str">
        <f>CONCATENATE("Law of ",Skills!A641)</f>
        <v>Law of Polarity</v>
      </c>
      <c r="BH52" s="2733"/>
      <c r="BI52" s="2733"/>
      <c r="BJ52" s="2733"/>
      <c r="BK52" s="2733" t="s">
        <v>222</v>
      </c>
      <c r="BL52" s="2733"/>
      <c r="BM52" s="2733"/>
      <c r="BN52" s="2733"/>
      <c r="BO52" s="2733"/>
      <c r="BP52" s="2733"/>
      <c r="BQ52" s="2733"/>
      <c r="BR52" s="2733"/>
      <c r="BS52" s="2733"/>
      <c r="BT52" s="2733"/>
      <c r="BU52" s="2733"/>
      <c r="BV52" s="2733"/>
      <c r="BW52" s="545"/>
    </row>
    <row r="53" spans="1:75" ht="9.9499999999999993" customHeight="1">
      <c r="A53" s="26" t="s">
        <v>5089</v>
      </c>
      <c r="B53" s="38" t="s">
        <v>5224</v>
      </c>
      <c r="C53" s="207">
        <f>IF($B$53="y",0.26,0)</f>
        <v>0</v>
      </c>
      <c r="D53" s="207">
        <f>IF($B$53="y",0.15,0)</f>
        <v>0</v>
      </c>
      <c r="E53" s="207">
        <f>IF($B$53="y",-0.75,0)</f>
        <v>0</v>
      </c>
      <c r="F53" s="208">
        <f>IF($B$53="y",13*$C$3,0)</f>
        <v>0</v>
      </c>
      <c r="G53" s="208">
        <f>IF($B$53="y",13*$C$3,0)</f>
        <v>0</v>
      </c>
      <c r="H53" s="208">
        <f>IF($B$53="y",$C$3,0)</f>
        <v>0</v>
      </c>
      <c r="I53" s="142" t="s">
        <v>3788</v>
      </c>
      <c r="J53" s="249" t="str">
        <f>IF(B53="y",250+210," ")</f>
        <v xml:space="preserve"> </v>
      </c>
      <c r="K53" s="307"/>
      <c r="L53" s="252" t="str">
        <f>IF(J53=" "," ",+K53+J53)</f>
        <v xml:space="preserve"> </v>
      </c>
      <c r="P53" s="199">
        <v>4</v>
      </c>
      <c r="Q53" s="2778"/>
      <c r="R53" s="2778"/>
      <c r="S53" s="2789"/>
      <c r="T53" s="199">
        <v>4</v>
      </c>
      <c r="U53" s="2778"/>
      <c r="V53" s="2778"/>
      <c r="W53" s="2779"/>
      <c r="AC53" s="6"/>
      <c r="AD53" s="6">
        <v>1</v>
      </c>
      <c r="AE53" s="25" t="s">
        <v>3332</v>
      </c>
      <c r="AF53" s="1"/>
      <c r="AG53" s="2"/>
      <c r="AH53" s="1"/>
      <c r="AI53" s="1"/>
      <c r="AK53" s="1"/>
      <c r="AS53" s="86"/>
      <c r="AZ53">
        <v>41</v>
      </c>
      <c r="BA53" s="86" t="s">
        <v>3174</v>
      </c>
      <c r="BB53" s="37"/>
      <c r="BF53" s="543" t="str">
        <f>IF(ISBLANK(Skills!X642),"N","Y")</f>
        <v>N</v>
      </c>
      <c r="BG53" s="2733" t="str">
        <f>CONCATENATE("Law of ",Skills!A642)</f>
        <v>Law of Possession</v>
      </c>
      <c r="BH53" s="2733"/>
      <c r="BI53" s="2733"/>
      <c r="BJ53" s="2733"/>
      <c r="BK53" s="2733" t="s">
        <v>2110</v>
      </c>
      <c r="BL53" s="2733"/>
      <c r="BM53" s="2733"/>
      <c r="BN53" s="2733"/>
      <c r="BO53" s="2733"/>
      <c r="BP53" s="2733"/>
      <c r="BQ53" s="2733"/>
      <c r="BR53" s="2733"/>
      <c r="BS53" s="2733"/>
      <c r="BT53" s="2733"/>
      <c r="BU53" s="2733"/>
      <c r="BV53" s="2733"/>
      <c r="BW53" s="545"/>
    </row>
    <row r="54" spans="1:75" ht="9.9499999999999993" customHeight="1">
      <c r="P54" s="199">
        <v>5</v>
      </c>
      <c r="Q54" s="2778"/>
      <c r="R54" s="2778"/>
      <c r="S54" s="2789"/>
      <c r="T54" s="199">
        <v>5</v>
      </c>
      <c r="U54" s="2778"/>
      <c r="V54" s="2778"/>
      <c r="W54" s="2779"/>
      <c r="Z54" s="6"/>
      <c r="AC54" s="6"/>
      <c r="AD54" s="6">
        <v>2</v>
      </c>
      <c r="AE54" s="25" t="s">
        <v>2361</v>
      </c>
      <c r="AF54" s="1"/>
      <c r="AG54" s="2"/>
      <c r="AH54" s="1"/>
      <c r="AI54" s="1"/>
      <c r="AK54" s="1"/>
      <c r="AS54" s="86"/>
      <c r="AZ54">
        <v>41</v>
      </c>
      <c r="BA54" s="86" t="s">
        <v>259</v>
      </c>
      <c r="BB54" s="37"/>
      <c r="BF54" s="543" t="str">
        <f>IF(ISBLANK(Skills!X643),"N","Y")</f>
        <v>N</v>
      </c>
      <c r="BG54" s="2733" t="str">
        <f>CONCATENATE("Law of ",Skills!A643)</f>
        <v>Law of Quantity</v>
      </c>
      <c r="BH54" s="2733"/>
      <c r="BI54" s="2733"/>
      <c r="BJ54" s="2733"/>
      <c r="BK54" s="2733" t="s">
        <v>5054</v>
      </c>
      <c r="BL54" s="2733"/>
      <c r="BM54" s="2733"/>
      <c r="BN54" s="2733"/>
      <c r="BO54" s="2733"/>
      <c r="BP54" s="2733"/>
      <c r="BQ54" s="2733"/>
      <c r="BR54" s="2733"/>
      <c r="BS54" s="2733"/>
      <c r="BT54" s="2733"/>
      <c r="BU54" s="2733"/>
      <c r="BV54" s="2733"/>
      <c r="BW54" s="544">
        <f>IF(BF54="Y",+$C$3,0)</f>
        <v>0</v>
      </c>
    </row>
    <row r="55" spans="1:75" ht="9.9499999999999993" customHeight="1">
      <c r="A55" s="3" t="s">
        <v>705</v>
      </c>
      <c r="B55" s="41"/>
      <c r="C55" s="41" t="s">
        <v>3456</v>
      </c>
      <c r="D55" s="41"/>
      <c r="E55" s="41" t="s">
        <v>3456</v>
      </c>
      <c r="F55" s="41"/>
      <c r="G55" s="41" t="s">
        <v>3456</v>
      </c>
      <c r="H55" s="41"/>
      <c r="I55" s="41" t="s">
        <v>3456</v>
      </c>
      <c r="J55" s="41"/>
      <c r="K55" s="41" t="s">
        <v>3456</v>
      </c>
      <c r="L55" s="41"/>
      <c r="M55" s="41"/>
      <c r="P55" s="199">
        <v>6</v>
      </c>
      <c r="Q55" s="2778"/>
      <c r="R55" s="2778"/>
      <c r="S55" s="2789"/>
      <c r="T55" s="199">
        <v>6</v>
      </c>
      <c r="U55" s="2778"/>
      <c r="V55" s="2778"/>
      <c r="W55" s="2779"/>
      <c r="Z55" s="6"/>
      <c r="AC55" s="6"/>
      <c r="AD55" s="6">
        <v>3</v>
      </c>
      <c r="AE55" s="25" t="s">
        <v>3458</v>
      </c>
      <c r="AF55" s="1"/>
      <c r="AG55" s="2"/>
      <c r="AH55" s="1"/>
      <c r="AI55" s="1"/>
      <c r="AK55" s="1"/>
      <c r="AM55" s="37">
        <v>0</v>
      </c>
      <c r="AN55" s="37">
        <v>0</v>
      </c>
      <c r="AO55" s="37">
        <v>0</v>
      </c>
      <c r="AP55" s="37">
        <v>0</v>
      </c>
      <c r="AS55" s="86"/>
      <c r="AZ55">
        <v>41</v>
      </c>
      <c r="BA55" s="86" t="s">
        <v>260</v>
      </c>
      <c r="BF55" s="543" t="str">
        <f>IF(ISBLANK(Skills!X644),"N","Y")</f>
        <v>N</v>
      </c>
      <c r="BG55" s="2733" t="str">
        <f>CONCATENATE("Law of ",Skills!A644)</f>
        <v>Law of Reciprocity</v>
      </c>
      <c r="BH55" s="2733"/>
      <c r="BI55" s="2733"/>
      <c r="BJ55" s="2733"/>
      <c r="BK55" s="2733" t="s">
        <v>220</v>
      </c>
      <c r="BL55" s="2733"/>
      <c r="BM55" s="2733"/>
      <c r="BN55" s="2733"/>
      <c r="BO55" s="2733"/>
      <c r="BP55" s="2733"/>
      <c r="BQ55" s="2733"/>
      <c r="BR55" s="2733"/>
      <c r="BS55" s="2733"/>
      <c r="BT55" s="2733"/>
      <c r="BU55" s="2733"/>
      <c r="BV55" s="2733"/>
      <c r="BW55" s="545"/>
    </row>
    <row r="56" spans="1:75" ht="9.9499999999999993" customHeight="1">
      <c r="A56" s="3" t="s">
        <v>1738</v>
      </c>
      <c r="B56" s="41" t="s">
        <v>4274</v>
      </c>
      <c r="C56" s="41"/>
      <c r="D56" s="41" t="s">
        <v>5043</v>
      </c>
      <c r="E56" s="41">
        <v>1</v>
      </c>
      <c r="F56" s="41" t="s">
        <v>5043</v>
      </c>
      <c r="G56" s="41">
        <v>2</v>
      </c>
      <c r="H56" s="41" t="s">
        <v>5043</v>
      </c>
      <c r="I56" s="41">
        <v>3</v>
      </c>
      <c r="J56" s="41" t="s">
        <v>5043</v>
      </c>
      <c r="K56" s="41">
        <v>4</v>
      </c>
      <c r="L56" s="41" t="s">
        <v>5043</v>
      </c>
      <c r="M56" s="41">
        <v>5</v>
      </c>
      <c r="N56" s="41" t="s">
        <v>3721</v>
      </c>
      <c r="P56" s="199">
        <v>7</v>
      </c>
      <c r="Q56" s="2778"/>
      <c r="R56" s="2778"/>
      <c r="S56" s="2789"/>
      <c r="T56" s="199">
        <v>7</v>
      </c>
      <c r="U56" s="2778"/>
      <c r="V56" s="2778"/>
      <c r="W56" s="2779"/>
      <c r="AC56" s="6"/>
      <c r="AD56" s="6">
        <v>4</v>
      </c>
      <c r="AE56" s="25" t="s">
        <v>3457</v>
      </c>
      <c r="AF56" s="1"/>
      <c r="AG56" s="2"/>
      <c r="AH56" s="1"/>
      <c r="AI56" s="1"/>
      <c r="AK56" s="1"/>
      <c r="AM56" s="37">
        <v>21</v>
      </c>
      <c r="AN56" s="37">
        <v>3</v>
      </c>
      <c r="AO56" s="37">
        <v>5</v>
      </c>
      <c r="AP56" s="37">
        <v>5</v>
      </c>
      <c r="AS56" s="86"/>
      <c r="AZ56">
        <v>41</v>
      </c>
      <c r="BA56" s="86" t="s">
        <v>261</v>
      </c>
      <c r="BF56" s="543" t="str">
        <f>IF(ISBLANK(Skills!X645),"N","Y")</f>
        <v>N</v>
      </c>
      <c r="BG56" s="2733" t="str">
        <f>CONCATENATE("Law of ",Skills!A645)</f>
        <v>Law of Resistance</v>
      </c>
      <c r="BH56" s="2733"/>
      <c r="BI56" s="2733"/>
      <c r="BJ56" s="2733"/>
      <c r="BK56" s="2733" t="s">
        <v>646</v>
      </c>
      <c r="BL56" s="2733"/>
      <c r="BM56" s="2733"/>
      <c r="BN56" s="2733"/>
      <c r="BO56" s="2733"/>
      <c r="BP56" s="2733"/>
      <c r="BQ56" s="2733"/>
      <c r="BR56" s="2733"/>
      <c r="BS56" s="2733"/>
      <c r="BT56" s="2733"/>
      <c r="BU56" s="2733"/>
      <c r="BV56" s="2733"/>
      <c r="BW56" s="545"/>
    </row>
    <row r="57" spans="1:75" ht="9.9499999999999993" customHeight="1">
      <c r="A57" s="41" t="s">
        <v>4276</v>
      </c>
      <c r="B57" s="38"/>
      <c r="C57" s="18">
        <f>B57*10+50</f>
        <v>50</v>
      </c>
      <c r="D57" s="38"/>
      <c r="E57" s="18">
        <f>D57*$C$21</f>
        <v>0</v>
      </c>
      <c r="F57" s="38"/>
      <c r="G57" s="18">
        <f>F57*$D$21</f>
        <v>0</v>
      </c>
      <c r="H57" s="38"/>
      <c r="I57" s="18">
        <f>H57*$E$21</f>
        <v>0</v>
      </c>
      <c r="J57" s="38"/>
      <c r="K57" s="18">
        <f>J57*$F$21</f>
        <v>0</v>
      </c>
      <c r="L57" s="38"/>
      <c r="M57" s="18">
        <f>L57*$G$21</f>
        <v>0</v>
      </c>
      <c r="N57" s="18">
        <f>M57+K57+I57+I57+G57+E57+C57</f>
        <v>50</v>
      </c>
      <c r="P57" s="199">
        <v>8</v>
      </c>
      <c r="Q57" s="2778"/>
      <c r="R57" s="2778"/>
      <c r="S57" s="2789"/>
      <c r="T57" s="199">
        <v>8</v>
      </c>
      <c r="U57" s="2778"/>
      <c r="V57" s="2778"/>
      <c r="W57" s="2779"/>
      <c r="AC57" s="6"/>
      <c r="AD57" s="6">
        <v>5</v>
      </c>
      <c r="AE57" s="25" t="s">
        <v>3333</v>
      </c>
      <c r="AF57" s="1"/>
      <c r="AG57" s="2"/>
      <c r="AH57" s="1"/>
      <c r="AI57" s="1"/>
      <c r="AK57" s="1"/>
      <c r="AM57" s="37">
        <v>31</v>
      </c>
      <c r="AN57" s="37">
        <v>6</v>
      </c>
      <c r="AO57" s="37">
        <v>10</v>
      </c>
      <c r="AP57" s="37">
        <v>6</v>
      </c>
      <c r="AS57" s="140"/>
      <c r="AZ57">
        <v>42</v>
      </c>
      <c r="BA57" s="140" t="s">
        <v>262</v>
      </c>
      <c r="BF57" s="543" t="str">
        <f>IF(ISBLANK(Skills!X646),"N","Y")</f>
        <v>N</v>
      </c>
      <c r="BG57" s="2733" t="str">
        <f>CONCATENATE("Law of ",Skills!A646)</f>
        <v>Law of Senses</v>
      </c>
      <c r="BH57" s="2733"/>
      <c r="BI57" s="2733"/>
      <c r="BJ57" s="2733"/>
      <c r="BK57" s="2733" t="s">
        <v>1478</v>
      </c>
      <c r="BL57" s="2733"/>
      <c r="BM57" s="2733"/>
      <c r="BN57" s="2733"/>
      <c r="BO57" s="2733"/>
      <c r="BP57" s="2733"/>
      <c r="BQ57" s="2733"/>
      <c r="BR57" s="2733"/>
      <c r="BS57" s="2733"/>
      <c r="BT57" s="2733"/>
      <c r="BU57" s="2733"/>
      <c r="BV57" s="2733"/>
      <c r="BW57" s="545"/>
    </row>
    <row r="58" spans="1:75" ht="9.9499999999999993" customHeight="1">
      <c r="A58" s="41" t="s">
        <v>4275</v>
      </c>
      <c r="B58" s="38"/>
      <c r="C58" s="18">
        <f>B58*10+100</f>
        <v>100</v>
      </c>
      <c r="D58" s="38"/>
      <c r="E58" s="18">
        <f>D58*$C$21</f>
        <v>0</v>
      </c>
      <c r="F58" s="38"/>
      <c r="G58" s="18">
        <f>F58*$D$21</f>
        <v>0</v>
      </c>
      <c r="H58" s="38"/>
      <c r="I58" s="18">
        <f>H58*$E$21</f>
        <v>0</v>
      </c>
      <c r="J58" s="38"/>
      <c r="K58" s="18">
        <f>J58*$F$21</f>
        <v>0</v>
      </c>
      <c r="L58" s="38"/>
      <c r="M58" s="18">
        <f>L58*$G$21</f>
        <v>0</v>
      </c>
      <c r="N58" s="18">
        <f>M58+K58+I58+I58+G58+E58+C58</f>
        <v>100</v>
      </c>
      <c r="P58" s="199">
        <v>9</v>
      </c>
      <c r="Q58" s="2778"/>
      <c r="R58" s="2778"/>
      <c r="S58" s="2789"/>
      <c r="T58" s="199"/>
      <c r="U58" s="2794"/>
      <c r="V58" s="2794"/>
      <c r="W58" s="2795"/>
      <c r="AC58" s="6"/>
      <c r="AD58" s="6">
        <v>6</v>
      </c>
      <c r="AE58" s="25" t="s">
        <v>3334</v>
      </c>
      <c r="AF58" s="1"/>
      <c r="AG58" s="2"/>
      <c r="AH58" s="1"/>
      <c r="AI58" s="1"/>
      <c r="AK58" s="1"/>
      <c r="AM58" s="37">
        <v>41</v>
      </c>
      <c r="AN58" s="37">
        <v>9</v>
      </c>
      <c r="AO58" s="37">
        <v>15</v>
      </c>
      <c r="AP58" s="37">
        <v>7</v>
      </c>
      <c r="AS58" s="86"/>
      <c r="AZ58">
        <v>42</v>
      </c>
      <c r="BA58" s="86" t="s">
        <v>263</v>
      </c>
      <c r="BF58" s="543" t="str">
        <f>IF(ISBLANK(Skills!X647),"N","Y")</f>
        <v>N</v>
      </c>
      <c r="BG58" s="2733" t="str">
        <f>CONCATENATE("Law of ",Skills!A647)</f>
        <v>Law of Spells</v>
      </c>
      <c r="BH58" s="1315"/>
      <c r="BI58" s="1315"/>
      <c r="BJ58" s="1315"/>
      <c r="BK58" s="2733" t="s">
        <v>2109</v>
      </c>
      <c r="BL58" s="2733"/>
      <c r="BM58" s="2733"/>
      <c r="BN58" s="2733"/>
      <c r="BO58" s="2733"/>
      <c r="BP58" s="2733"/>
      <c r="BQ58" s="2733"/>
      <c r="BR58" s="2733"/>
      <c r="BS58" s="2733"/>
      <c r="BT58" s="2733"/>
      <c r="BU58" s="2733"/>
      <c r="BV58" s="2733"/>
      <c r="BW58" s="545"/>
    </row>
    <row r="59" spans="1:75" ht="9.9499999999999993" customHeight="1">
      <c r="A59" s="41" t="s">
        <v>4277</v>
      </c>
      <c r="B59" s="38"/>
      <c r="C59" s="18">
        <f>B59*10+500</f>
        <v>500</v>
      </c>
      <c r="D59" s="38"/>
      <c r="E59" s="18">
        <f>D59*$C$21</f>
        <v>0</v>
      </c>
      <c r="F59" s="38"/>
      <c r="G59" s="18">
        <f>F59*$D$21</f>
        <v>0</v>
      </c>
      <c r="H59" s="38"/>
      <c r="I59" s="18">
        <f>H59*$E$21</f>
        <v>0</v>
      </c>
      <c r="J59" s="38"/>
      <c r="K59" s="18">
        <f>J59*$F$21</f>
        <v>0</v>
      </c>
      <c r="L59" s="38"/>
      <c r="M59" s="18">
        <f>L59*$G$21</f>
        <v>0</v>
      </c>
      <c r="N59" s="18">
        <f>M59+K59+I59+I59+G59+E59+C59</f>
        <v>500</v>
      </c>
      <c r="P59" s="199">
        <v>10</v>
      </c>
      <c r="Q59" s="2778"/>
      <c r="R59" s="2778"/>
      <c r="S59" s="2789"/>
      <c r="T59" s="199"/>
      <c r="U59" s="2794"/>
      <c r="V59" s="2794"/>
      <c r="W59" s="2795"/>
      <c r="Z59" s="6"/>
      <c r="AD59" s="6">
        <v>7</v>
      </c>
      <c r="AE59" s="25" t="s">
        <v>3459</v>
      </c>
      <c r="AF59" s="1"/>
      <c r="AG59" s="2"/>
      <c r="AH59" s="1"/>
      <c r="AI59" s="1"/>
      <c r="AK59" s="1"/>
      <c r="AM59" s="37">
        <v>51</v>
      </c>
      <c r="AN59" s="37">
        <v>12</v>
      </c>
      <c r="AO59" s="37">
        <v>20</v>
      </c>
      <c r="AP59" s="37">
        <v>8</v>
      </c>
      <c r="AS59" s="86"/>
      <c r="AZ59">
        <v>42</v>
      </c>
      <c r="BA59" s="86" t="s">
        <v>264</v>
      </c>
      <c r="BF59" s="543" t="str">
        <f>IF(ISBLANK(Skills!X648),"N","Y")</f>
        <v>N</v>
      </c>
      <c r="BG59" s="2733" t="str">
        <f>CONCATENATE("Law of ",Skills!A648)</f>
        <v>Law of Sympathetic Magick</v>
      </c>
      <c r="BH59" s="1315"/>
      <c r="BI59" s="1315"/>
      <c r="BJ59" s="1315"/>
      <c r="BK59" s="2733" t="s">
        <v>2111</v>
      </c>
      <c r="BL59" s="2733"/>
      <c r="BM59" s="2733"/>
      <c r="BN59" s="2733"/>
      <c r="BO59" s="2733"/>
      <c r="BP59" s="2733"/>
      <c r="BQ59" s="2733"/>
      <c r="BR59" s="2733"/>
      <c r="BS59" s="2733"/>
      <c r="BT59" s="2733"/>
      <c r="BU59" s="2733"/>
      <c r="BV59" s="2733"/>
      <c r="BW59" s="545"/>
    </row>
    <row r="60" spans="1:75" ht="9.9499999999999993" customHeight="1">
      <c r="P60" s="199">
        <v>11</v>
      </c>
      <c r="Q60" s="2778"/>
      <c r="R60" s="2778"/>
      <c r="S60" s="2789"/>
      <c r="T60" s="199"/>
      <c r="U60" s="2794"/>
      <c r="V60" s="2794"/>
      <c r="W60" s="2795"/>
      <c r="Z60" s="6"/>
      <c r="AD60" s="6">
        <v>8</v>
      </c>
      <c r="AE60" s="25" t="s">
        <v>1661</v>
      </c>
      <c r="AF60" s="1"/>
      <c r="AG60" s="2"/>
      <c r="AH60" s="1"/>
      <c r="AI60" s="1"/>
      <c r="AK60" s="1"/>
      <c r="AM60" s="37">
        <v>61</v>
      </c>
      <c r="AN60" s="37">
        <v>15</v>
      </c>
      <c r="AO60" s="37">
        <v>25</v>
      </c>
      <c r="AP60" s="37">
        <v>9</v>
      </c>
      <c r="AS60" s="86"/>
      <c r="AZ60">
        <v>43</v>
      </c>
      <c r="BA60" s="86" t="s">
        <v>2071</v>
      </c>
      <c r="BF60" s="543" t="str">
        <f>IF(ISBLANK(Skills!X649),"N","Y")</f>
        <v>N</v>
      </c>
      <c r="BG60" s="2733" t="str">
        <f>CONCATENATE("Law of ",Skills!A649)</f>
        <v>Law of Words of Guard</v>
      </c>
      <c r="BH60" s="1315"/>
      <c r="BI60" s="1315"/>
      <c r="BJ60" s="1315"/>
      <c r="BK60" s="2733" t="s">
        <v>1479</v>
      </c>
      <c r="BL60" s="2733"/>
      <c r="BM60" s="2733"/>
      <c r="BN60" s="2733"/>
      <c r="BO60" s="2733"/>
      <c r="BP60" s="2733"/>
      <c r="BQ60" s="2733"/>
      <c r="BR60" s="2733"/>
      <c r="BS60" s="2733"/>
      <c r="BT60" s="2733"/>
      <c r="BU60" s="2733"/>
      <c r="BV60" s="2733"/>
      <c r="BW60" s="545"/>
    </row>
    <row r="61" spans="1:75" ht="9.9499999999999993" customHeight="1" thickBot="1">
      <c r="P61" s="199">
        <v>12</v>
      </c>
      <c r="Q61" s="2778"/>
      <c r="R61" s="2778"/>
      <c r="S61" s="2789"/>
      <c r="T61" s="199"/>
      <c r="U61" s="2794"/>
      <c r="V61" s="2794"/>
      <c r="W61" s="2795"/>
      <c r="Z61" s="6"/>
      <c r="AD61" s="6">
        <v>9</v>
      </c>
      <c r="AE61" s="25" t="s">
        <v>3335</v>
      </c>
      <c r="AI61" s="1"/>
      <c r="AK61" s="1"/>
      <c r="AM61" s="37">
        <v>71</v>
      </c>
      <c r="AN61" s="37">
        <v>21</v>
      </c>
      <c r="AO61" s="37">
        <v>30</v>
      </c>
      <c r="AP61" s="37">
        <v>10</v>
      </c>
      <c r="AS61" s="140"/>
      <c r="AZ61">
        <v>44</v>
      </c>
      <c r="BA61" s="140" t="s">
        <v>2072</v>
      </c>
      <c r="BF61" s="547" t="str">
        <f>IF(ISBLANK(Skills!X650),"N","Y")</f>
        <v>N</v>
      </c>
      <c r="BG61" s="2801" t="str">
        <f>CONCATENATE("Law of ",Skills!A650)</f>
        <v>Law of Words of Power</v>
      </c>
      <c r="BH61" s="1618"/>
      <c r="BI61" s="1618"/>
      <c r="BJ61" s="1618"/>
      <c r="BK61" s="2801" t="s">
        <v>4517</v>
      </c>
      <c r="BL61" s="2801"/>
      <c r="BM61" s="2801"/>
      <c r="BN61" s="2801"/>
      <c r="BO61" s="2801"/>
      <c r="BP61" s="2801"/>
      <c r="BQ61" s="2801"/>
      <c r="BR61" s="2801"/>
      <c r="BS61" s="2801"/>
      <c r="BT61" s="2801"/>
      <c r="BU61" s="2801"/>
      <c r="BV61" s="2801"/>
      <c r="BW61" s="548"/>
    </row>
    <row r="62" spans="1:75" ht="9.9499999999999993" customHeight="1" thickTop="1" thickBot="1">
      <c r="N62" s="122"/>
      <c r="P62" s="200">
        <v>13</v>
      </c>
      <c r="Q62" s="2804"/>
      <c r="R62" s="2804"/>
      <c r="S62" s="2805"/>
      <c r="T62" s="200"/>
      <c r="U62" s="2799"/>
      <c r="V62" s="2799"/>
      <c r="W62" s="2800"/>
      <c r="Z62" s="6"/>
      <c r="AD62" s="6">
        <v>10</v>
      </c>
      <c r="AE62" s="25" t="s">
        <v>1425</v>
      </c>
      <c r="AI62" s="1"/>
      <c r="AK62" s="1"/>
      <c r="AM62" s="37">
        <v>81</v>
      </c>
      <c r="AN62" s="37">
        <v>30</v>
      </c>
      <c r="AO62" s="37">
        <v>35</v>
      </c>
      <c r="AP62" s="37">
        <v>10</v>
      </c>
      <c r="AS62" s="140"/>
      <c r="AZ62">
        <v>44</v>
      </c>
      <c r="BA62" s="140" t="s">
        <v>2073</v>
      </c>
      <c r="BF62" s="49">
        <f>COUNTIF(BF33:BF61,"Y")</f>
        <v>0</v>
      </c>
      <c r="BG62" s="37"/>
      <c r="BH62" s="37"/>
      <c r="BI62" s="37"/>
      <c r="BJ62" s="37"/>
      <c r="BK62" s="37"/>
      <c r="BL62" s="37"/>
      <c r="BM62" s="37"/>
      <c r="BN62" s="37"/>
      <c r="BO62" s="37"/>
      <c r="BP62" s="37"/>
      <c r="BQ62" s="37"/>
      <c r="BR62" s="37"/>
      <c r="BT62" s="53"/>
      <c r="BV62" s="111"/>
      <c r="BW62" s="109"/>
    </row>
    <row r="63" spans="1:75" ht="9.9499999999999993" customHeight="1" thickTop="1">
      <c r="B63" s="67"/>
      <c r="C63" s="67" t="s">
        <v>1651</v>
      </c>
      <c r="D63" s="67" t="s">
        <v>5090</v>
      </c>
      <c r="E63" s="67"/>
      <c r="F63" s="67" t="s">
        <v>1295</v>
      </c>
      <c r="G63" s="67" t="s">
        <v>3589</v>
      </c>
      <c r="H63" s="67" t="s">
        <v>3047</v>
      </c>
      <c r="I63" s="67" t="s">
        <v>940</v>
      </c>
      <c r="J63" s="67" t="s">
        <v>3791</v>
      </c>
      <c r="K63" s="67" t="s">
        <v>940</v>
      </c>
      <c r="L63" s="67" t="s">
        <v>3791</v>
      </c>
      <c r="M63" s="67" t="s">
        <v>3791</v>
      </c>
      <c r="N63" s="67" t="s">
        <v>3886</v>
      </c>
      <c r="U63" s="37"/>
      <c r="Z63" s="6"/>
      <c r="AD63" s="6">
        <v>11</v>
      </c>
      <c r="AE63" s="25" t="s">
        <v>3336</v>
      </c>
      <c r="AI63" s="1"/>
      <c r="AJ63" s="1"/>
      <c r="AM63" s="37">
        <v>91</v>
      </c>
      <c r="AN63" s="37">
        <v>40</v>
      </c>
      <c r="AO63" s="37">
        <v>40</v>
      </c>
      <c r="AP63" s="37">
        <v>10</v>
      </c>
      <c r="AS63" s="140"/>
      <c r="AZ63">
        <v>45</v>
      </c>
      <c r="BA63" s="140" t="s">
        <v>2074</v>
      </c>
    </row>
    <row r="64" spans="1:75" ht="9.9499999999999993" customHeight="1">
      <c r="A64" s="24" t="s">
        <v>1097</v>
      </c>
      <c r="B64" s="67" t="s">
        <v>3005</v>
      </c>
      <c r="C64" s="67" t="s">
        <v>1296</v>
      </c>
      <c r="D64" s="67" t="s">
        <v>1296</v>
      </c>
      <c r="E64" s="67" t="s">
        <v>941</v>
      </c>
      <c r="F64" s="67" t="s">
        <v>3006</v>
      </c>
      <c r="G64" s="67" t="s">
        <v>5216</v>
      </c>
      <c r="H64" s="67" t="s">
        <v>5216</v>
      </c>
      <c r="I64" s="67" t="s">
        <v>1988</v>
      </c>
      <c r="J64" s="67" t="s">
        <v>1297</v>
      </c>
      <c r="K64" s="67" t="s">
        <v>3791</v>
      </c>
      <c r="L64" s="67" t="s">
        <v>3868</v>
      </c>
      <c r="M64" s="67" t="s">
        <v>3885</v>
      </c>
      <c r="N64" s="67" t="s">
        <v>4741</v>
      </c>
      <c r="P64" s="37"/>
      <c r="Y64" s="6"/>
      <c r="AD64" s="6">
        <v>12</v>
      </c>
      <c r="AE64" s="25" t="s">
        <v>1662</v>
      </c>
      <c r="AI64" s="1"/>
      <c r="AJ64" s="1"/>
      <c r="AM64" s="37">
        <v>100</v>
      </c>
      <c r="AN64" s="37">
        <v>50</v>
      </c>
      <c r="AO64" s="37">
        <v>50</v>
      </c>
      <c r="AP64" s="37">
        <v>10</v>
      </c>
      <c r="AS64" s="140"/>
      <c r="AZ64">
        <v>45</v>
      </c>
      <c r="BA64" s="140" t="s">
        <v>2075</v>
      </c>
    </row>
    <row r="65" spans="1:47" ht="9.9499999999999993" customHeight="1">
      <c r="A65" s="25" t="str">
        <f>Skills!A722</f>
        <v>Arcane</v>
      </c>
      <c r="B65" s="31">
        <f>Skills!V722</f>
        <v>7</v>
      </c>
      <c r="C65" s="37" t="str">
        <f>IF(ISNA(Skills!$W722)," ",+Skills!$W722)</f>
        <v xml:space="preserve"> </v>
      </c>
      <c r="D65" s="67" t="str">
        <f>IF(ISNA(Skills!$W722),IF(ISBLANK(Skills!$X722)," ",Skills!$X722),+Skills!$W722+Skills!$X722)</f>
        <v xml:space="preserve"> </v>
      </c>
      <c r="E65" s="294" t="str">
        <f>CONCATENATE(IF(Skills!H722="Y","M",""),Skills!N722,IF(ISNUMBER(FIND("F",Skills!I722)),"Bk",""),IF(ISNUMBER(FIND("Z",Skills!I722)),"ZM",""),IF(Skills!J722="Y","L",""),IF(Skills!K722="Y","Sa",""),IF(Skills!L722&gt;0,"Sa",""),IF(Skills!M722="Y","Sa",""),IF(Skills!F722&lt;&gt;"N","R",""))</f>
        <v>T</v>
      </c>
      <c r="F65" s="72">
        <f ca="1">Skills!Y722</f>
        <v>0.08</v>
      </c>
      <c r="G65" s="72">
        <f>Skills!Z722</f>
        <v>0</v>
      </c>
      <c r="H65" s="72">
        <f t="shared" ref="H65:H83" ca="1" si="12">G65+F65</f>
        <v>0.08</v>
      </c>
      <c r="I65" s="72">
        <f ca="1">IF(D65&lt;&gt;" ",Skills!AC722+H65,Skills!AB722+H65)</f>
        <v>0.11</v>
      </c>
      <c r="J65" s="72">
        <f ca="1">magestuff!A197</f>
        <v>0</v>
      </c>
      <c r="K65" s="72">
        <f t="shared" ref="K65:K83" ca="1" si="13">I65+IF(ISNA(J65),0,J65)</f>
        <v>0.11</v>
      </c>
      <c r="L65" s="72">
        <f t="shared" ref="L65:L77" ca="1" si="14">K65+IF(BF50="Y",0.1,0)</f>
        <v>0.11</v>
      </c>
      <c r="M65" s="72">
        <f t="shared" ref="M65:M83" ca="1" si="15">L65+IF($B$51="Y",$D$51,IF($B$52="Y",$D$52,IF($B$53="Y",$D$53,0)))</f>
        <v>0.11</v>
      </c>
      <c r="N65" s="69">
        <f ca="1">(IF(M65&gt;VLOOKUP(B65,'System Lookups'!$J$55:$P$63,6),(((M65-VLOOKUP(B65,'System Lookups'!$J$55:$P$63,6))*100)/20),0))</f>
        <v>0</v>
      </c>
      <c r="AD65" s="6">
        <v>13</v>
      </c>
      <c r="AE65" s="25" t="s">
        <v>1660</v>
      </c>
      <c r="AF65" s="6"/>
      <c r="AG65" s="6"/>
      <c r="AH65" s="6"/>
      <c r="AI65" s="1"/>
      <c r="AJ65" s="1"/>
      <c r="AM65" s="37">
        <v>120</v>
      </c>
      <c r="AN65" s="37">
        <v>65</v>
      </c>
      <c r="AO65" s="37">
        <v>60</v>
      </c>
      <c r="AP65" s="37">
        <v>10</v>
      </c>
      <c r="AS65"/>
    </row>
    <row r="66" spans="1:47" ht="9.9499999999999993" customHeight="1">
      <c r="A66" s="25" t="str">
        <f>Skills!A723</f>
        <v>Basic Magick: Air</v>
      </c>
      <c r="B66" s="31">
        <f>Skills!V723</f>
        <v>6</v>
      </c>
      <c r="C66" s="37" t="str">
        <f>IF(ISNA(Skills!$W723)," ",+Skills!$W723)</f>
        <v xml:space="preserve"> </v>
      </c>
      <c r="D66" s="67" t="str">
        <f>IF(ISNA(Skills!$W723),IF(ISBLANK(Skills!$X723)," ",Skills!$X723),+Skills!$W723+Skills!$X723)</f>
        <v xml:space="preserve"> </v>
      </c>
      <c r="E66" s="294" t="str">
        <f>CONCATENATE(IF(Skills!H723="Y","M",""),Skills!N723,IF(ISNUMBER(FIND("F",Skills!I723)),"Bk",""),IF(ISNUMBER(FIND("Z",Skills!I723)),"ZM",""),IF(Skills!J723="Y","L",""),IF(Skills!K723="Y","Sa",""),IF(Skills!L723&gt;0,"Sa",""),IF(Skills!M723="Y","Sa",""),IF(Skills!F723&lt;&gt;"N","R",""))</f>
        <v>T</v>
      </c>
      <c r="F66" s="72">
        <f ca="1">Skills!Y723</f>
        <v>0.08</v>
      </c>
      <c r="G66" s="72">
        <f>Skills!Z723</f>
        <v>0</v>
      </c>
      <c r="H66" s="72">
        <f t="shared" ca="1" si="12"/>
        <v>0.08</v>
      </c>
      <c r="I66" s="72">
        <f ca="1">IF(D66&lt;&gt;" ",Skills!AC723+H66,Skills!AB723+H66)</f>
        <v>0.13</v>
      </c>
      <c r="J66" s="72">
        <f ca="1">magestuff!A193</f>
        <v>0</v>
      </c>
      <c r="K66" s="72">
        <f t="shared" ca="1" si="13"/>
        <v>0.13</v>
      </c>
      <c r="L66" s="72">
        <f t="shared" ca="1" si="14"/>
        <v>0.13</v>
      </c>
      <c r="M66" s="72">
        <f t="shared" ca="1" si="15"/>
        <v>0.13</v>
      </c>
      <c r="N66" s="69">
        <f ca="1">(IF(M66&gt;VLOOKUP(B66,'System Lookups'!$J$55:$P$63,6),(((M66-VLOOKUP(B66,'System Lookups'!$J$55:$P$63,6))*100)/20),0))</f>
        <v>0</v>
      </c>
      <c r="AD66" s="6">
        <v>14</v>
      </c>
      <c r="AE66" s="25" t="s">
        <v>1424</v>
      </c>
      <c r="AH66" s="1"/>
      <c r="AI66" s="1"/>
      <c r="AJ66" s="1"/>
      <c r="AM66" s="37">
        <v>140</v>
      </c>
      <c r="AN66" s="37">
        <v>90</v>
      </c>
      <c r="AO66" s="37">
        <v>75</v>
      </c>
      <c r="AP66" s="37">
        <v>10</v>
      </c>
      <c r="AS66"/>
    </row>
    <row r="67" spans="1:47" ht="9.9499999999999993" customHeight="1">
      <c r="A67" s="25" t="str">
        <f>Skills!A724</f>
        <v>Basic Magick: Earth</v>
      </c>
      <c r="B67" s="31">
        <f>Skills!V724</f>
        <v>6</v>
      </c>
      <c r="C67" s="37" t="str">
        <f>IF(ISNA(Skills!$W724)," ",+Skills!$W724)</f>
        <v xml:space="preserve"> </v>
      </c>
      <c r="D67" s="67" t="str">
        <f>IF(ISNA(Skills!$W724),IF(ISBLANK(Skills!$X724)," ",Skills!$X724),+Skills!$W724+Skills!$X724)</f>
        <v xml:space="preserve"> </v>
      </c>
      <c r="E67" s="294" t="str">
        <f>CONCATENATE(IF(Skills!H724="Y","M",""),Skills!N724,IF(ISNUMBER(FIND("F",Skills!I724)),"Bk",""),IF(ISNUMBER(FIND("Z",Skills!I724)),"ZM",""),IF(Skills!J724="Y","L",""),IF(Skills!K724="Y","Sa",""),IF(Skills!L724&gt;0,"Sa",""),IF(Skills!M724="Y","Sa",""),IF(Skills!F724&lt;&gt;"N","R",""))</f>
        <v>T</v>
      </c>
      <c r="F67" s="72">
        <f ca="1">Skills!Y724</f>
        <v>0.08</v>
      </c>
      <c r="G67" s="72">
        <f>Skills!Z724</f>
        <v>0</v>
      </c>
      <c r="H67" s="72">
        <f t="shared" ca="1" si="12"/>
        <v>0.08</v>
      </c>
      <c r="I67" s="72">
        <f ca="1">IF(D67&lt;&gt;" ",Skills!AC724+H67,Skills!AB724+H67)</f>
        <v>0.13</v>
      </c>
      <c r="J67" s="72">
        <f ca="1">magestuff!A194</f>
        <v>0</v>
      </c>
      <c r="K67" s="72">
        <f t="shared" ca="1" si="13"/>
        <v>0.13</v>
      </c>
      <c r="L67" s="72">
        <f t="shared" ca="1" si="14"/>
        <v>0.13</v>
      </c>
      <c r="M67" s="72">
        <f t="shared" ca="1" si="15"/>
        <v>0.13</v>
      </c>
      <c r="N67" s="69">
        <f ca="1">(IF(M67&gt;VLOOKUP(B67,'System Lookups'!$J$55:$P$63,6),(((M67-VLOOKUP(B67,'System Lookups'!$J$55:$P$63,6))*100)/20),0))</f>
        <v>0</v>
      </c>
      <c r="AD67" s="6">
        <v>15</v>
      </c>
      <c r="AE67" s="25" t="s">
        <v>1428</v>
      </c>
      <c r="AH67" s="1"/>
      <c r="AI67" s="1"/>
      <c r="AJ67" s="1"/>
      <c r="AS67"/>
    </row>
    <row r="68" spans="1:47" ht="9.9499999999999993" customHeight="1">
      <c r="A68" s="25" t="str">
        <f>Skills!A725</f>
        <v>Basic Magick: Fire</v>
      </c>
      <c r="B68" s="31">
        <f>Skills!V725</f>
        <v>6</v>
      </c>
      <c r="C68" s="37" t="str">
        <f>IF(ISNA(Skills!$W725)," ",+Skills!$W725)</f>
        <v xml:space="preserve"> </v>
      </c>
      <c r="D68" s="67" t="str">
        <f>IF(ISNA(Skills!$W725),IF(ISBLANK(Skills!$X725)," ",Skills!$X725),+Skills!$W725+Skills!$X725)</f>
        <v xml:space="preserve"> </v>
      </c>
      <c r="E68" s="294" t="str">
        <f>CONCATENATE(IF(Skills!H725="Y","M",""),Skills!N725,IF(ISNUMBER(FIND("F",Skills!I725)),"Bk",""),IF(ISNUMBER(FIND("Z",Skills!I725)),"ZM",""),IF(Skills!J725="Y","L",""),IF(Skills!K725="Y","Sa",""),IF(Skills!L725&gt;0,"Sa",""),IF(Skills!M725="Y","Sa",""),IF(Skills!F725&lt;&gt;"N","R",""))</f>
        <v>T</v>
      </c>
      <c r="F68" s="72">
        <f ca="1">Skills!Y725</f>
        <v>0.08</v>
      </c>
      <c r="G68" s="72">
        <f>Skills!Z725</f>
        <v>0</v>
      </c>
      <c r="H68" s="72">
        <f t="shared" ca="1" si="12"/>
        <v>0.08</v>
      </c>
      <c r="I68" s="72">
        <f ca="1">IF(D68&lt;&gt;" ",Skills!AC725+H68,Skills!AB725+H68)</f>
        <v>0.13</v>
      </c>
      <c r="J68" s="72">
        <f ca="1">magestuff!A195</f>
        <v>0</v>
      </c>
      <c r="K68" s="72">
        <f t="shared" ca="1" si="13"/>
        <v>0.13</v>
      </c>
      <c r="L68" s="72">
        <f t="shared" ca="1" si="14"/>
        <v>0.13</v>
      </c>
      <c r="M68" s="72">
        <f t="shared" ca="1" si="15"/>
        <v>0.13</v>
      </c>
      <c r="N68" s="69">
        <f ca="1">(IF(M68&gt;VLOOKUP(B68,'System Lookups'!$J$55:$P$63,6),(((M68-VLOOKUP(B68,'System Lookups'!$J$55:$P$63,6))*100)/20),0))</f>
        <v>0</v>
      </c>
      <c r="P68" s="1"/>
      <c r="AD68" s="6">
        <v>16</v>
      </c>
      <c r="AE68" s="25" t="s">
        <v>1426</v>
      </c>
      <c r="AH68" s="1"/>
      <c r="AI68" s="1"/>
      <c r="AJ68" s="1"/>
      <c r="AS68"/>
    </row>
    <row r="69" spans="1:47" ht="9.9499999999999993" customHeight="1">
      <c r="A69" s="25" t="str">
        <f>Skills!A726</f>
        <v>Basic Magick: Water</v>
      </c>
      <c r="B69" s="31">
        <f>Skills!V726</f>
        <v>6</v>
      </c>
      <c r="C69" s="37" t="str">
        <f>IF(ISNA(Skills!$W726)," ",+Skills!$W726)</f>
        <v xml:space="preserve"> </v>
      </c>
      <c r="D69" s="67" t="str">
        <f>IF(ISNA(Skills!$W726),IF(ISBLANK(Skills!$X726)," ",Skills!$X726),+Skills!$W726+Skills!$X726)</f>
        <v xml:space="preserve"> </v>
      </c>
      <c r="E69" s="294" t="str">
        <f>CONCATENATE(IF(Skills!H726="Y","M",""),Skills!N726,IF(ISNUMBER(FIND("F",Skills!I726)),"Bk",""),IF(ISNUMBER(FIND("Z",Skills!I726)),"ZM",""),IF(Skills!J726="Y","L",""),IF(Skills!K726="Y","Sa",""),IF(Skills!L726&gt;0,"Sa",""),IF(Skills!M726="Y","Sa",""),IF(Skills!F726&lt;&gt;"N","R",""))</f>
        <v>T</v>
      </c>
      <c r="F69" s="72">
        <f ca="1">Skills!Y726</f>
        <v>0.08</v>
      </c>
      <c r="G69" s="72">
        <f>Skills!Z726</f>
        <v>0</v>
      </c>
      <c r="H69" s="72">
        <f t="shared" ca="1" si="12"/>
        <v>0.08</v>
      </c>
      <c r="I69" s="72">
        <f ca="1">IF(D69&lt;&gt;" ",Skills!AC726+H69,Skills!AB726+H69)</f>
        <v>0.13</v>
      </c>
      <c r="J69" s="72">
        <f ca="1">magestuff!A196</f>
        <v>0</v>
      </c>
      <c r="K69" s="72">
        <f t="shared" ca="1" si="13"/>
        <v>0.13</v>
      </c>
      <c r="L69" s="72">
        <f t="shared" ca="1" si="14"/>
        <v>0.13</v>
      </c>
      <c r="M69" s="72">
        <f t="shared" ca="1" si="15"/>
        <v>0.13</v>
      </c>
      <c r="N69" s="69">
        <f ca="1">(IF(M69&gt;VLOOKUP(B69,'System Lookups'!$J$55:$P$63,6),(((M69-VLOOKUP(B69,'System Lookups'!$J$55:$P$63,6))*100)/20),0))</f>
        <v>0</v>
      </c>
      <c r="AD69" s="6">
        <v>17</v>
      </c>
      <c r="AE69" s="25" t="s">
        <v>953</v>
      </c>
      <c r="AH69" s="1"/>
      <c r="AI69" s="1"/>
      <c r="AJ69" s="1"/>
      <c r="AS69"/>
    </row>
    <row r="70" spans="1:47" ht="9.9499999999999993" hidden="1" customHeight="1" outlineLevel="1">
      <c r="A70" s="25" t="str">
        <f>Skills!A727</f>
        <v>Bow</v>
      </c>
      <c r="B70" s="31">
        <f>Skills!V727</f>
        <v>8</v>
      </c>
      <c r="C70" s="37" t="str">
        <f>IF(ISNA(Skills!$W727)," ",+Skills!$W727)</f>
        <v xml:space="preserve"> </v>
      </c>
      <c r="D70" s="67" t="str">
        <f>IF(ISNA(Skills!$W727),IF(ISBLANK(Skills!$X727)," ",Skills!$X727),+Skills!$W727+Skills!$X727)</f>
        <v xml:space="preserve"> </v>
      </c>
      <c r="E70" s="294" t="str">
        <f>CONCATENATE(IF(Skills!H727="Y","M",""),Skills!N727,IF(ISNUMBER(FIND("F",Skills!I727)),"Bk",""),IF(ISNUMBER(FIND("Z",Skills!I727)),"ZM",""),IF(Skills!J727="Y","L",""),IF(Skills!K727="Y","Sa",""),IF(Skills!L727&gt;0,"Sa",""),IF(Skills!M727="Y","Sa",""),IF(Skills!F727&lt;&gt;"N","R",""))</f>
        <v>T</v>
      </c>
      <c r="F70" s="72">
        <f ca="1">Skills!Y727</f>
        <v>0.08</v>
      </c>
      <c r="G70" s="72">
        <f>Skills!Z727</f>
        <v>0</v>
      </c>
      <c r="H70" s="72">
        <f t="shared" ca="1" si="12"/>
        <v>0.08</v>
      </c>
      <c r="I70" s="72">
        <f ca="1">IF(D70&lt;&gt;" ",Skills!AC727+H70,Skills!AB727+H70)</f>
        <v>0.1</v>
      </c>
      <c r="J70" s="72" t="e">
        <f ca="1">magestuff!A198</f>
        <v>#N/A</v>
      </c>
      <c r="K70" s="72">
        <f t="shared" ca="1" si="13"/>
        <v>0.1</v>
      </c>
      <c r="L70" s="72">
        <f t="shared" ca="1" si="14"/>
        <v>0.1</v>
      </c>
      <c r="M70" s="72">
        <f t="shared" ca="1" si="15"/>
        <v>0.1</v>
      </c>
      <c r="N70" s="69">
        <f ca="1">(IF(M70&gt;VLOOKUP(B70,'System Lookups'!$J$55:$P$63,6),(((M70-VLOOKUP(B70,'System Lookups'!$J$55:$P$63,6))*100)/20),0))</f>
        <v>0</v>
      </c>
      <c r="AD70" s="6">
        <v>18</v>
      </c>
      <c r="AE70" s="25" t="s">
        <v>954</v>
      </c>
      <c r="AF70" s="1"/>
      <c r="AG70" s="1"/>
      <c r="AH70" s="1"/>
      <c r="AI70" s="1"/>
      <c r="AR70"/>
      <c r="AS70"/>
    </row>
    <row r="71" spans="1:47" ht="9.9499999999999993" customHeight="1" collapsed="1">
      <c r="A71" s="25" t="str">
        <f>Skills!A728</f>
        <v>Command</v>
      </c>
      <c r="B71" s="31">
        <f>Skills!V728</f>
        <v>6</v>
      </c>
      <c r="C71" s="37" t="str">
        <f>IF(ISNA(Skills!$W728)," ",+Skills!$W728)</f>
        <v xml:space="preserve"> </v>
      </c>
      <c r="D71" s="67" t="str">
        <f>IF(ISNA(Skills!$W728),IF(ISBLANK(Skills!$X728)," ",Skills!$X728),+Skills!$W728+Skills!$X728)</f>
        <v xml:space="preserve"> </v>
      </c>
      <c r="E71" s="294" t="str">
        <f>CONCATENATE(IF(Skills!H728="Y","M",""),Skills!N728,IF(ISNUMBER(FIND("F",Skills!I728)),"Bk",""),IF(ISNUMBER(FIND("Z",Skills!I728)),"ZM",""),IF(Skills!J728="Y","L",""),IF(Skills!K728="Y","Sa",""),IF(Skills!L728&gt;0,"Sa",""),IF(Skills!M728="Y","Sa",""),IF(Skills!F728&lt;&gt;"N","R",""))</f>
        <v>T</v>
      </c>
      <c r="F71" s="72">
        <f ca="1">Skills!Y728</f>
        <v>0.04</v>
      </c>
      <c r="G71" s="72">
        <f>Skills!Z728</f>
        <v>0</v>
      </c>
      <c r="H71" s="72">
        <f t="shared" ca="1" si="12"/>
        <v>0.04</v>
      </c>
      <c r="I71" s="72">
        <f ca="1">IF(D71&lt;&gt;" ",Skills!AC728+H71,Skills!AB728+H71)</f>
        <v>0.09</v>
      </c>
      <c r="J71" s="72">
        <f ca="1">magestuff!A199</f>
        <v>0</v>
      </c>
      <c r="K71" s="72">
        <f t="shared" ca="1" si="13"/>
        <v>0.09</v>
      </c>
      <c r="L71" s="72">
        <f t="shared" ca="1" si="14"/>
        <v>0.09</v>
      </c>
      <c r="M71" s="72">
        <f t="shared" ca="1" si="15"/>
        <v>0.09</v>
      </c>
      <c r="N71" s="69">
        <f ca="1">(IF(M71&gt;VLOOKUP(B71,'System Lookups'!$J$55:$P$63,6),(((M71-VLOOKUP(B71,'System Lookups'!$J$55:$P$63,6))*100)/20),0))</f>
        <v>0</v>
      </c>
      <c r="AD71" s="6">
        <v>19</v>
      </c>
      <c r="AE71" s="25" t="s">
        <v>1427</v>
      </c>
      <c r="AF71"/>
      <c r="AG71"/>
      <c r="AH71"/>
      <c r="AI71"/>
      <c r="AR71"/>
      <c r="AS71"/>
    </row>
    <row r="72" spans="1:47" ht="9.9499999999999993" customHeight="1">
      <c r="A72" s="25" t="str">
        <f>Skills!A729</f>
        <v>Divination</v>
      </c>
      <c r="B72" s="31">
        <f>Skills!V729</f>
        <v>6</v>
      </c>
      <c r="C72" s="37" t="str">
        <f>IF(ISNA(Skills!$W729)," ",+Skills!$W729)</f>
        <v xml:space="preserve"> </v>
      </c>
      <c r="D72" s="67" t="str">
        <f>IF(ISNA(Skills!$W729),IF(ISBLANK(Skills!$X729)," ",Skills!$X729),+Skills!$W729+Skills!$X729)</f>
        <v xml:space="preserve"> </v>
      </c>
      <c r="E72" s="294" t="str">
        <f>CONCATENATE(IF(Skills!H729="Y","M",""),Skills!N729,IF(ISNUMBER(FIND("F",Skills!I729)),"Bk",""),IF(ISNUMBER(FIND("Z",Skills!I729)),"ZM",""),IF(Skills!J729="Y","L",""),IF(Skills!K729="Y","Sa",""),IF(Skills!L729&gt;0,"Sa",""),IF(Skills!M729="Y","Sa",""),IF(Skills!F729&lt;&gt;"N","R",""))</f>
        <v>T</v>
      </c>
      <c r="F72" s="72">
        <f ca="1">Skills!Y729</f>
        <v>0.1</v>
      </c>
      <c r="G72" s="72">
        <f>Skills!Z729</f>
        <v>0</v>
      </c>
      <c r="H72" s="72">
        <f t="shared" ca="1" si="12"/>
        <v>0.1</v>
      </c>
      <c r="I72" s="72">
        <f ca="1">IF(D72&lt;&gt;" ",Skills!AC729+H72,Skills!AB729+H72)</f>
        <v>0.15000000000000002</v>
      </c>
      <c r="J72" s="72">
        <f ca="1">magestuff!A200</f>
        <v>0</v>
      </c>
      <c r="K72" s="72">
        <f t="shared" ca="1" si="13"/>
        <v>0.15000000000000002</v>
      </c>
      <c r="L72" s="72">
        <f t="shared" ca="1" si="14"/>
        <v>0.15000000000000002</v>
      </c>
      <c r="M72" s="72">
        <f t="shared" ca="1" si="15"/>
        <v>0.15000000000000002</v>
      </c>
      <c r="N72" s="69">
        <f ca="1">(IF(M72&gt;VLOOKUP(B72,'System Lookups'!$J$55:$P$63,6),(((M72-VLOOKUP(B72,'System Lookups'!$J$55:$P$63,6))*100)/20),0))</f>
        <v>0</v>
      </c>
      <c r="AD72" s="6">
        <v>20</v>
      </c>
      <c r="AE72" s="25" t="s">
        <v>2362</v>
      </c>
      <c r="AF72"/>
      <c r="AG72"/>
      <c r="AH72"/>
      <c r="AI72"/>
      <c r="AR72"/>
      <c r="AS72"/>
    </row>
    <row r="73" spans="1:47" ht="9.9499999999999993" hidden="1" customHeight="1" outlineLevel="1">
      <c r="A73" s="25" t="str">
        <f>Skills!A730</f>
        <v>Forge</v>
      </c>
      <c r="B73" s="31">
        <f>Skills!V730</f>
        <v>8</v>
      </c>
      <c r="C73" s="37" t="str">
        <f>IF(ISNA(Skills!$W730)," ",+Skills!$W730)</f>
        <v xml:space="preserve"> </v>
      </c>
      <c r="D73" s="67" t="str">
        <f>IF(ISNA(Skills!$W730),IF(ISBLANK(Skills!$X730)," ",Skills!$X730),+Skills!$W730+Skills!$X730)</f>
        <v xml:space="preserve"> </v>
      </c>
      <c r="E73" s="294" t="str">
        <f>CONCATENATE(IF(Skills!H730="Y","M",""),Skills!N730,IF(ISNUMBER(FIND("F",Skills!I730)),"Bk",""),IF(ISNUMBER(FIND("Z",Skills!I730)),"ZM",""),IF(Skills!J730="Y","L",""),IF(Skills!K730="Y","Sa",""),IF(Skills!L730&gt;0,"Sa",""),IF(Skills!M730="Y","Sa",""),IF(Skills!F730&lt;&gt;"N","R",""))</f>
        <v>T</v>
      </c>
      <c r="F73" s="72">
        <f ca="1">Skills!Y730</f>
        <v>0.14000000000000001</v>
      </c>
      <c r="G73" s="72">
        <f>Skills!Z730</f>
        <v>0</v>
      </c>
      <c r="H73" s="72">
        <f t="shared" ca="1" si="12"/>
        <v>0.14000000000000001</v>
      </c>
      <c r="I73" s="72">
        <f ca="1">IF(D73&lt;&gt;" ",Skills!AC730+H73,Skills!AB730+H73)</f>
        <v>0.16</v>
      </c>
      <c r="J73" s="72" t="e">
        <f ca="1">magestuff!A201</f>
        <v>#N/A</v>
      </c>
      <c r="K73" s="72">
        <f t="shared" ca="1" si="13"/>
        <v>0.16</v>
      </c>
      <c r="L73" s="72">
        <f t="shared" ca="1" si="14"/>
        <v>0.16</v>
      </c>
      <c r="M73" s="72">
        <f t="shared" ca="1" si="15"/>
        <v>0.16</v>
      </c>
      <c r="N73" s="69">
        <f ca="1">(IF(M73&gt;VLOOKUP(B73,'System Lookups'!$J$55:$P$63,6),(((M73-VLOOKUP(B73,'System Lookups'!$J$55:$P$63,6))*100)/20),0))</f>
        <v>0</v>
      </c>
      <c r="AD73" s="6">
        <v>21</v>
      </c>
      <c r="AE73" s="25" t="s">
        <v>1429</v>
      </c>
      <c r="AF73"/>
      <c r="AG73"/>
      <c r="AH73"/>
      <c r="AI73"/>
      <c r="AR73"/>
      <c r="AS73"/>
    </row>
    <row r="74" spans="1:47" ht="9.9499999999999993" customHeight="1" collapsed="1">
      <c r="A74" s="25" t="str">
        <f>Skills!A731</f>
        <v>Illusion</v>
      </c>
      <c r="B74" s="31">
        <f>Skills!V731</f>
        <v>5</v>
      </c>
      <c r="C74" s="37" t="str">
        <f>IF(ISNA(Skills!$W731)," ",+Skills!$W731)</f>
        <v xml:space="preserve"> </v>
      </c>
      <c r="D74" s="67" t="str">
        <f>IF(ISNA(Skills!$W731),IF(ISBLANK(Skills!$X731)," ",Skills!$X731),+Skills!$W731+Skills!$X731)</f>
        <v xml:space="preserve"> </v>
      </c>
      <c r="E74" s="294" t="str">
        <f>CONCATENATE(IF(Skills!H731="Y","M",""),Skills!N731,IF(ISNUMBER(FIND("F",Skills!I731)),"Bk",""),IF(ISNUMBER(FIND("Z",Skills!I731)),"ZM",""),IF(Skills!J731="Y","L",""),IF(Skills!K731="Y","Sa",""),IF(Skills!L731&gt;0,"Sa",""),IF(Skills!M731="Y","Sa",""),IF(Skills!F731&lt;&gt;"N","R",""))</f>
        <v>T</v>
      </c>
      <c r="F74" s="72">
        <f ca="1">Skills!Y731</f>
        <v>0.1</v>
      </c>
      <c r="G74" s="72">
        <f>Skills!Z731</f>
        <v>0</v>
      </c>
      <c r="H74" s="72">
        <f t="shared" ca="1" si="12"/>
        <v>0.1</v>
      </c>
      <c r="I74" s="72">
        <f ca="1">IF(D74&lt;&gt;" ",Skills!AC731+H74,Skills!AB731+H74)</f>
        <v>0.2</v>
      </c>
      <c r="J74" s="72">
        <f ca="1">magestuff!A202</f>
        <v>0</v>
      </c>
      <c r="K74" s="72">
        <f t="shared" ca="1" si="13"/>
        <v>0.2</v>
      </c>
      <c r="L74" s="72">
        <f t="shared" ca="1" si="14"/>
        <v>0.2</v>
      </c>
      <c r="M74" s="72">
        <f t="shared" ca="1" si="15"/>
        <v>0.2</v>
      </c>
      <c r="N74" s="69">
        <f ca="1">(IF(M74&gt;VLOOKUP(B74,'System Lookups'!$J$55:$P$63,6),(((M74-VLOOKUP(B74,'System Lookups'!$J$55:$P$63,6))*100)/20),0))</f>
        <v>0</v>
      </c>
      <c r="AF74"/>
      <c r="AG74"/>
      <c r="AH74"/>
      <c r="AI74"/>
      <c r="AT74" s="37"/>
      <c r="AU74" s="37"/>
    </row>
    <row r="75" spans="1:47" ht="9.9499999999999993" customHeight="1">
      <c r="A75" s="25" t="str">
        <f>Skills!A732</f>
        <v>Plant</v>
      </c>
      <c r="B75" s="31">
        <f>Skills!V732</f>
        <v>6</v>
      </c>
      <c r="C75" s="37" t="str">
        <f>IF(ISNA(Skills!$W732)," ",+Skills!$W732)</f>
        <v xml:space="preserve"> </v>
      </c>
      <c r="D75" s="67" t="str">
        <f>IF(ISNA(Skills!$W732),IF(ISBLANK(Skills!$X732)," ",Skills!$X732),+Skills!$W732+Skills!$X732)</f>
        <v xml:space="preserve"> </v>
      </c>
      <c r="E75" s="294" t="str">
        <f>CONCATENATE(IF(Skills!H732="Y","M",""),Skills!N732,IF(ISNUMBER(FIND("F",Skills!I732)),"Bk",""),IF(ISNUMBER(FIND("Z",Skills!I732)),"ZM",""),IF(Skills!J732="Y","L",""),IF(Skills!K732="Y","Sa",""),IF(Skills!L732&gt;0,"Sa",""),IF(Skills!M732="Y","Sa",""),IF(Skills!F732&lt;&gt;"N","R",""))</f>
        <v>T</v>
      </c>
      <c r="F75" s="72">
        <f ca="1">Skills!Y732</f>
        <v>0.08</v>
      </c>
      <c r="G75" s="72">
        <f>Skills!Z732</f>
        <v>0</v>
      </c>
      <c r="H75" s="72">
        <f t="shared" ca="1" si="12"/>
        <v>0.08</v>
      </c>
      <c r="I75" s="72">
        <f ca="1">IF(D75&lt;&gt;" ",Skills!AC732+H75,Skills!AB732+H75)</f>
        <v>0.13</v>
      </c>
      <c r="J75" s="72">
        <f ca="1">magestuff!A203</f>
        <v>0</v>
      </c>
      <c r="K75" s="72">
        <f t="shared" ca="1" si="13"/>
        <v>0.13</v>
      </c>
      <c r="L75" s="72">
        <f t="shared" ca="1" si="14"/>
        <v>0.13</v>
      </c>
      <c r="M75" s="72">
        <f t="shared" ca="1" si="15"/>
        <v>0.13</v>
      </c>
      <c r="N75" s="69">
        <f ca="1">(IF(M75&gt;VLOOKUP(B75,'System Lookups'!$J$55:$P$63,6),(((M75-VLOOKUP(B75,'System Lookups'!$J$55:$P$63,6))*100)/20),0))</f>
        <v>0</v>
      </c>
      <c r="AD75" s="37">
        <v>1</v>
      </c>
      <c r="AE75" s="10" t="s">
        <v>929</v>
      </c>
      <c r="AL75" s="10"/>
      <c r="AM75" s="10"/>
      <c r="AN75" s="10"/>
      <c r="AO75" s="10"/>
      <c r="AP75" s="10"/>
      <c r="AQ75" s="10"/>
      <c r="AR75" s="10"/>
      <c r="AS75" s="10"/>
      <c r="AT75" s="10"/>
      <c r="AU75" s="10"/>
    </row>
    <row r="76" spans="1:47" ht="9.9499999999999993" hidden="1" customHeight="1" outlineLevel="1">
      <c r="A76" s="25" t="str">
        <f>Skills!A733</f>
        <v>Rune Carving in Stone</v>
      </c>
      <c r="B76" s="31">
        <f>Skills!V733</f>
        <v>7</v>
      </c>
      <c r="C76" s="37" t="str">
        <f>IF(ISNA(Skills!$W733)," ",+Skills!$W733)</f>
        <v xml:space="preserve"> </v>
      </c>
      <c r="D76" s="67" t="str">
        <f>IF(ISNA(Skills!$W733),IF(ISBLANK(Skills!$X733)," ",Skills!$X733),+Skills!$W733+Skills!$X733)</f>
        <v xml:space="preserve"> </v>
      </c>
      <c r="E76" s="294" t="str">
        <f>CONCATENATE(IF(Skills!H733="Y","M",""),Skills!N733,IF(ISNUMBER(FIND("F",Skills!I733)),"Bk",""),IF(ISNUMBER(FIND("Z",Skills!I733)),"ZM",""),IF(Skills!J733="Y","L",""),IF(Skills!K733="Y","Sa",""),IF(Skills!L733&gt;0,"Sa",""),IF(Skills!M733="Y","Sa",""),IF(Skills!F733&lt;&gt;"N","R",""))</f>
        <v>T</v>
      </c>
      <c r="F76" s="72">
        <f ca="1">Skills!Y733</f>
        <v>0.12</v>
      </c>
      <c r="G76" s="72">
        <f>Skills!Z733</f>
        <v>0</v>
      </c>
      <c r="H76" s="72">
        <f t="shared" ca="1" si="12"/>
        <v>0.12</v>
      </c>
      <c r="I76" s="72">
        <f ca="1">IF(D76&lt;&gt;" ",Skills!AC733+H76,Skills!AB733+H76)</f>
        <v>0.15</v>
      </c>
      <c r="J76" s="72" t="e">
        <f ca="1">magestuff!A204</f>
        <v>#N/A</v>
      </c>
      <c r="K76" s="72">
        <f t="shared" ca="1" si="13"/>
        <v>0.15</v>
      </c>
      <c r="L76" s="72">
        <f t="shared" ca="1" si="14"/>
        <v>0.15</v>
      </c>
      <c r="M76" s="72">
        <f t="shared" ca="1" si="15"/>
        <v>0.15</v>
      </c>
      <c r="N76" s="69">
        <f ca="1">(IF(M76&gt;VLOOKUP(B76,'System Lookups'!$J$55:$P$63,6),(((M76-VLOOKUP(B76,'System Lookups'!$J$55:$P$63,6))*100)/20),0))</f>
        <v>0</v>
      </c>
      <c r="AD76" s="37">
        <v>2</v>
      </c>
      <c r="AE76" s="10" t="s">
        <v>930</v>
      </c>
      <c r="AL76" s="10"/>
      <c r="AM76" s="10"/>
      <c r="AN76" s="10"/>
      <c r="AO76" s="10"/>
      <c r="AP76" s="10"/>
      <c r="AQ76" s="10"/>
      <c r="AR76" s="10"/>
      <c r="AS76" s="10"/>
      <c r="AT76" s="10"/>
      <c r="AU76" s="10"/>
    </row>
    <row r="77" spans="1:47" ht="9.9499999999999993" hidden="1" customHeight="1" outlineLevel="1">
      <c r="A77" s="25" t="str">
        <f>Skills!A734</f>
        <v>Rune Carving in Wood</v>
      </c>
      <c r="B77" s="31">
        <f>Skills!V734</f>
        <v>7</v>
      </c>
      <c r="C77" s="37" t="str">
        <f>IF(ISNA(Skills!$W734)," ",+Skills!$W734)</f>
        <v xml:space="preserve"> </v>
      </c>
      <c r="D77" s="67" t="str">
        <f>IF(ISNA(Skills!$W734),IF(ISBLANK(Skills!$X734)," ",Skills!$X734),+Skills!$W734+Skills!$X734)</f>
        <v xml:space="preserve"> </v>
      </c>
      <c r="E77" s="294" t="str">
        <f>CONCATENATE(IF(Skills!H734="Y","M",""),Skills!N734,IF(ISNUMBER(FIND("F",Skills!I734)),"Bk",""),IF(ISNUMBER(FIND("Z",Skills!I734)),"ZM",""),IF(Skills!J734="Y","L",""),IF(Skills!K734="Y","Sa",""),IF(Skills!L734&gt;0,"Sa",""),IF(Skills!M734="Y","Sa",""),IF(Skills!F734&lt;&gt;"N","R",""))</f>
        <v>T</v>
      </c>
      <c r="F77" s="72">
        <f ca="1">Skills!Y734</f>
        <v>0.06</v>
      </c>
      <c r="G77" s="72">
        <f>Skills!Z734</f>
        <v>0</v>
      </c>
      <c r="H77" s="72">
        <f t="shared" ca="1" si="12"/>
        <v>0.06</v>
      </c>
      <c r="I77" s="72">
        <f ca="1">IF(D77&lt;&gt;" ",Skills!AC734+H77,Skills!AB734+H77)</f>
        <v>0.09</v>
      </c>
      <c r="J77" s="72" t="e">
        <f ca="1">magestuff!A205</f>
        <v>#N/A</v>
      </c>
      <c r="K77" s="72">
        <f t="shared" ca="1" si="13"/>
        <v>0.09</v>
      </c>
      <c r="L77" s="72">
        <f t="shared" ca="1" si="14"/>
        <v>0.09</v>
      </c>
      <c r="M77" s="72">
        <f t="shared" ca="1" si="15"/>
        <v>0.09</v>
      </c>
      <c r="N77" s="69">
        <f ca="1">(IF(M77&gt;VLOOKUP(B77,'System Lookups'!$J$55:$P$63,6),(((M77-VLOOKUP(B77,'System Lookups'!$J$55:$P$63,6))*100)/20),0))</f>
        <v>0</v>
      </c>
      <c r="AD77" s="37">
        <v>3</v>
      </c>
      <c r="AE77" s="10" t="s">
        <v>931</v>
      </c>
      <c r="AL77" s="10"/>
      <c r="AM77" s="10"/>
      <c r="AN77" s="10"/>
      <c r="AO77" s="10"/>
      <c r="AP77" s="10"/>
      <c r="AQ77" s="10"/>
      <c r="AR77" s="10"/>
      <c r="AS77" s="10"/>
      <c r="AT77" s="10"/>
      <c r="AU77" s="10"/>
    </row>
    <row r="78" spans="1:47" ht="9.9499999999999993" hidden="1" customHeight="1" outlineLevel="1">
      <c r="A78" s="25" t="str">
        <f>Skills!A735</f>
        <v>Rune Chants</v>
      </c>
      <c r="B78" s="31">
        <f>Skills!V735</f>
        <v>7</v>
      </c>
      <c r="C78" s="37" t="str">
        <f>IF(ISNA(Skills!$W735)," ",+Skills!$W735)</f>
        <v xml:space="preserve"> </v>
      </c>
      <c r="D78" s="67" t="str">
        <f>IF(ISNA(Skills!$W735),IF(ISBLANK(Skills!$X735)," ",Skills!$X735),+Skills!$W735+Skills!$X735)</f>
        <v xml:space="preserve"> </v>
      </c>
      <c r="E78" s="294" t="str">
        <f>CONCATENATE(IF(Skills!H735="Y","M",""),Skills!N735,IF(ISNUMBER(FIND("F",Skills!I735)),"Bk",""),IF(ISNUMBER(FIND("Z",Skills!I735)),"ZM",""),IF(Skills!J735="Y","L",""),IF(Skills!K735="Y","Sa",""),IF(Skills!L735&gt;0,"Sa",""),IF(Skills!M735="Y","Sa",""),IF(Skills!F735&lt;&gt;"N","R",""))</f>
        <v>T</v>
      </c>
      <c r="F78" s="72">
        <f ca="1">Skills!Y735</f>
        <v>0.02</v>
      </c>
      <c r="G78" s="72">
        <f>Skills!Z735</f>
        <v>0</v>
      </c>
      <c r="H78" s="72">
        <f t="shared" ca="1" si="12"/>
        <v>0.02</v>
      </c>
      <c r="I78" s="72">
        <f ca="1">IF(D78&lt;&gt;" ",Skills!AC735+H78,Skills!AB735+H78)</f>
        <v>0.05</v>
      </c>
      <c r="J78" s="72" t="e">
        <f ca="1">magestuff!A206</f>
        <v>#N/A</v>
      </c>
      <c r="K78" s="72">
        <f t="shared" ca="1" si="13"/>
        <v>0.05</v>
      </c>
      <c r="L78" s="72">
        <f ca="1">K78+IF(B124="Y",0.1,0)</f>
        <v>0.05</v>
      </c>
      <c r="M78" s="72">
        <f t="shared" ca="1" si="15"/>
        <v>0.05</v>
      </c>
      <c r="N78" s="69">
        <f ca="1">(IF(M78&gt;VLOOKUP(B78,'System Lookups'!$J$55:$P$63,6),(((M78-VLOOKUP(B78,'System Lookups'!$J$55:$P$63,6))*100)/20),0))</f>
        <v>0</v>
      </c>
      <c r="AD78" s="37">
        <v>4</v>
      </c>
      <c r="AE78" s="10" t="s">
        <v>932</v>
      </c>
      <c r="AL78" s="10"/>
      <c r="AM78" s="10"/>
      <c r="AN78" s="10"/>
      <c r="AO78" s="10"/>
      <c r="AP78" s="10"/>
      <c r="AQ78" s="10"/>
      <c r="AR78" s="10"/>
      <c r="AS78" s="10"/>
      <c r="AT78" s="10"/>
      <c r="AU78" s="10"/>
    </row>
    <row r="79" spans="1:47" ht="9.9499999999999993" customHeight="1" collapsed="1">
      <c r="A79" s="25" t="str">
        <f>Skills!A736</f>
        <v>Summoning</v>
      </c>
      <c r="B79" s="31">
        <f>Skills!V736</f>
        <v>6</v>
      </c>
      <c r="C79" s="37" t="str">
        <f>IF(ISNA(Skills!$W736)," ",+Skills!$W736)</f>
        <v xml:space="preserve"> </v>
      </c>
      <c r="D79" s="67" t="str">
        <f>IF(ISNA(Skills!$W736),IF(ISBLANK(Skills!$X736)," ",Skills!$X736),+Skills!$W736+Skills!$X736)</f>
        <v xml:space="preserve"> </v>
      </c>
      <c r="E79" s="294" t="str">
        <f>CONCATENATE(IF(Skills!H736="Y","M",""),Skills!N736,IF(ISNUMBER(FIND("F",Skills!I736)),"Bk",""),IF(ISNUMBER(FIND("Z",Skills!I736)),"ZM",""),IF(Skills!J736="Y","L",""),IF(Skills!K736="Y","Sa",""),IF(Skills!L736&gt;0,"Sa",""),IF(Skills!M736="Y","Sa",""),IF(Skills!F736&lt;&gt;"N","R",""))</f>
        <v>T</v>
      </c>
      <c r="F79" s="72">
        <f ca="1">Skills!Y736</f>
        <v>0.08</v>
      </c>
      <c r="G79" s="72">
        <f>Skills!Z736</f>
        <v>0</v>
      </c>
      <c r="H79" s="72">
        <f t="shared" ca="1" si="12"/>
        <v>0.08</v>
      </c>
      <c r="I79" s="72">
        <f ca="1">IF(D79&lt;&gt;" ",Skills!AC736+H79,Skills!AB736+H79)</f>
        <v>0.13</v>
      </c>
      <c r="J79" s="72">
        <f ca="1">magestuff!A207</f>
        <v>0</v>
      </c>
      <c r="K79" s="72">
        <f t="shared" ca="1" si="13"/>
        <v>0.13</v>
      </c>
      <c r="L79" s="72">
        <f ca="1">K79+IF(B125="Y",0.1,0)</f>
        <v>0.13</v>
      </c>
      <c r="M79" s="72">
        <f t="shared" ca="1" si="15"/>
        <v>0.13</v>
      </c>
      <c r="N79" s="69">
        <f ca="1">(IF(M79&gt;VLOOKUP(B79,'System Lookups'!$J$55:$P$63,6),(((M79-VLOOKUP(B79,'System Lookups'!$J$55:$P$63,6))*100)/20),0))</f>
        <v>0</v>
      </c>
      <c r="AD79" s="37">
        <v>5</v>
      </c>
      <c r="AE79" s="10" t="s">
        <v>933</v>
      </c>
      <c r="AL79" s="10"/>
      <c r="AM79" s="10"/>
      <c r="AN79" s="10"/>
      <c r="AO79" s="10"/>
      <c r="AP79" s="10"/>
      <c r="AQ79" s="10"/>
      <c r="AR79" s="10"/>
      <c r="AS79" s="10"/>
      <c r="AT79" s="10"/>
      <c r="AU79" s="10"/>
    </row>
    <row r="80" spans="1:47" ht="9.9499999999999993" customHeight="1">
      <c r="A80" s="25" t="str">
        <f>Skills!A737</f>
        <v>Transcendental</v>
      </c>
      <c r="B80" s="31">
        <f>Skills!V737</f>
        <v>6</v>
      </c>
      <c r="C80" s="37" t="str">
        <f>IF(ISNA(Skills!$W737)," ",+Skills!$W737)</f>
        <v xml:space="preserve"> </v>
      </c>
      <c r="D80" s="67" t="str">
        <f>IF(ISNA(Skills!$W737),IF(ISBLANK(Skills!$X737)," ",Skills!$X737),+Skills!$W737+Skills!$X737)</f>
        <v xml:space="preserve"> </v>
      </c>
      <c r="E80" s="294" t="str">
        <f>CONCATENATE(IF(Skills!H737="Y","M",""),Skills!N737,IF(ISNUMBER(FIND("F",Skills!I737)),"Bk",""),IF(ISNUMBER(FIND("Z",Skills!I737)),"ZM",""),IF(Skills!J737="Y","L",""),IF(Skills!K737="Y","Sa",""),IF(Skills!L737&gt;0,"Sa",""),IF(Skills!M737="Y","Sa",""),IF(Skills!F737&lt;&gt;"N","R",""))</f>
        <v>T</v>
      </c>
      <c r="F80" s="72">
        <f ca="1">Skills!Y737</f>
        <v>0.08</v>
      </c>
      <c r="G80" s="72">
        <f>Skills!Z737</f>
        <v>0</v>
      </c>
      <c r="H80" s="72">
        <f t="shared" ca="1" si="12"/>
        <v>0.08</v>
      </c>
      <c r="I80" s="72">
        <f ca="1">IF(D80&lt;&gt;" ",Skills!AC737+H80,Skills!AB737+H80)</f>
        <v>0.13</v>
      </c>
      <c r="J80" s="72">
        <f ca="1">magestuff!A208</f>
        <v>0</v>
      </c>
      <c r="K80" s="72">
        <f t="shared" ca="1" si="13"/>
        <v>0.13</v>
      </c>
      <c r="L80" s="72">
        <f ca="1">K80+IF(B126="Y",0.1,0)</f>
        <v>0.13</v>
      </c>
      <c r="M80" s="72">
        <f t="shared" ca="1" si="15"/>
        <v>0.13</v>
      </c>
      <c r="N80" s="69">
        <f ca="1">(IF(M80&gt;VLOOKUP(B80,'System Lookups'!$J$55:$P$63,6),(((M80-VLOOKUP(B80,'System Lookups'!$J$55:$P$63,6))*100)/20),0))</f>
        <v>0</v>
      </c>
      <c r="AD80" s="37">
        <v>6</v>
      </c>
      <c r="AE80" s="10" t="s">
        <v>934</v>
      </c>
      <c r="AS80"/>
    </row>
    <row r="81" spans="1:45" ht="9.9499999999999993" customHeight="1" collapsed="1">
      <c r="A81" s="25" t="str">
        <f>Skills!A738</f>
        <v>Transmutation</v>
      </c>
      <c r="B81" s="31">
        <f>Skills!V738</f>
        <v>6</v>
      </c>
      <c r="C81" s="37" t="str">
        <f>IF(ISNA(Skills!$W738)," ",+Skills!$W738)</f>
        <v xml:space="preserve"> </v>
      </c>
      <c r="D81" s="67" t="str">
        <f>IF(ISNA(Skills!$W738),IF(ISBLANK(Skills!$X738)," ",Skills!$X738),+Skills!$W738+Skills!$X738)</f>
        <v xml:space="preserve"> </v>
      </c>
      <c r="E81" s="294" t="str">
        <f>CONCATENATE(IF(Skills!H738="Y","M",""),Skills!N738,IF(ISNUMBER(FIND("F",Skills!I738)),"Bk",""),IF(ISNUMBER(FIND("Z",Skills!I738)),"ZM",""),IF(Skills!J738="Y","L",""),IF(Skills!K738="Y","Sa",""),IF(Skills!L738&gt;0,"Sa",""),IF(Skills!M738="Y","Sa",""),IF(Skills!F738&lt;&gt;"N","R",""))</f>
        <v>T</v>
      </c>
      <c r="F81" s="72">
        <f ca="1">Skills!Y738</f>
        <v>0.08</v>
      </c>
      <c r="G81" s="72">
        <f>Skills!Z738</f>
        <v>0</v>
      </c>
      <c r="H81" s="72">
        <f t="shared" ca="1" si="12"/>
        <v>0.08</v>
      </c>
      <c r="I81" s="72">
        <f ca="1">IF(D81&lt;&gt;" ",Skills!AC738+H81,Skills!AB738+H81)</f>
        <v>0.13</v>
      </c>
      <c r="J81" s="72">
        <f ca="1">magestuff!A209</f>
        <v>0</v>
      </c>
      <c r="K81" s="72">
        <f t="shared" ca="1" si="13"/>
        <v>0.13</v>
      </c>
      <c r="L81" s="72">
        <f ca="1">K81+IF(B86="Y",0.1,0)</f>
        <v>0.13</v>
      </c>
      <c r="M81" s="72">
        <f t="shared" ca="1" si="15"/>
        <v>0.13</v>
      </c>
      <c r="N81" s="69">
        <f ca="1">(IF(M81&gt;VLOOKUP(B81,'System Lookups'!$J$55:$P$63,6),(((M81-VLOOKUP(B81,'System Lookups'!$J$55:$P$63,6))*100)/20),0))</f>
        <v>0</v>
      </c>
      <c r="AD81" s="37">
        <v>7</v>
      </c>
      <c r="AE81" s="10" t="s">
        <v>2276</v>
      </c>
      <c r="AS81"/>
    </row>
    <row r="82" spans="1:45" ht="9.9499999999999993" hidden="1" customHeight="1" outlineLevel="2">
      <c r="A82" s="25" t="str">
        <f>Skills!A739</f>
        <v>Troll</v>
      </c>
      <c r="B82" s="31">
        <f>Skills!V739</f>
        <v>6</v>
      </c>
      <c r="C82" s="37" t="str">
        <f>IF(ISNA(Skills!$W739)," ",+Skills!$W739)</f>
        <v xml:space="preserve"> </v>
      </c>
      <c r="D82" s="67" t="str">
        <f>IF(ISNA(Skills!$W739),IF(ISBLANK(Skills!$X739)," ",Skills!$X739),+Skills!$W739+Skills!$X739)</f>
        <v xml:space="preserve"> </v>
      </c>
      <c r="E82" s="294" t="str">
        <f>CONCATENATE(IF(Skills!H739="Y","M",""),Skills!N739,IF(ISNUMBER(FIND("F",Skills!I739)),"Bk",""),IF(ISNUMBER(FIND("Z",Skills!I739)),"ZM",""),IF(Skills!J739="Y","L",""),IF(Skills!K739="Y","Sa",""),IF(Skills!L739&gt;0,"Sa",""),IF(Skills!M739="Y","Sa",""),IF(Skills!F739&lt;&gt;"N","R",""))</f>
        <v>T</v>
      </c>
      <c r="F82" s="72">
        <f ca="1">Skills!Y739</f>
        <v>0.08</v>
      </c>
      <c r="G82" s="72">
        <f>Skills!Z739</f>
        <v>0</v>
      </c>
      <c r="H82" s="72">
        <f t="shared" ca="1" si="12"/>
        <v>0.08</v>
      </c>
      <c r="I82" s="72">
        <f ca="1">IF(D82&lt;&gt;" ",Skills!AC739+H82,Skills!AB739+H82)</f>
        <v>0.13</v>
      </c>
      <c r="J82" s="72" t="e">
        <f ca="1">magestuff!A210</f>
        <v>#N/A</v>
      </c>
      <c r="K82" s="72">
        <f t="shared" ca="1" si="13"/>
        <v>0.13</v>
      </c>
      <c r="L82" s="72">
        <f ca="1">K82+IF(B87="Y",0.1,0)</f>
        <v>0.13</v>
      </c>
      <c r="M82" s="72">
        <f t="shared" ca="1" si="15"/>
        <v>0.13</v>
      </c>
      <c r="N82" s="69">
        <f ca="1">(IF(M82&gt;VLOOKUP(B82,'System Lookups'!$J$55:$P$63,6),(((M82-VLOOKUP(B82,'System Lookups'!$J$55:$P$63,6))*100)/20),0))</f>
        <v>0</v>
      </c>
      <c r="AD82" s="37">
        <v>8</v>
      </c>
      <c r="AE82" s="10" t="s">
        <v>2566</v>
      </c>
      <c r="AS82"/>
    </row>
    <row r="83" spans="1:45" ht="9.9499999999999993" customHeight="1" collapsed="1">
      <c r="A83" s="25" t="str">
        <f>Skills!A740</f>
        <v>Wards</v>
      </c>
      <c r="B83" s="31">
        <f>Skills!V740</f>
        <v>6</v>
      </c>
      <c r="C83" s="37" t="str">
        <f>IF(ISNA(Skills!$W740)," ",+Skills!$W740)</f>
        <v xml:space="preserve"> </v>
      </c>
      <c r="D83" s="67" t="str">
        <f>IF(ISNA(Skills!$W740),IF(ISBLANK(Skills!$X740)," ",Skills!$X740),+Skills!$W740+Skills!$X740)</f>
        <v xml:space="preserve"> </v>
      </c>
      <c r="E83" s="294" t="str">
        <f>CONCATENATE(IF(Skills!H740="Y","M",""),Skills!N740,IF(ISNUMBER(FIND("F",Skills!I740)),"Bk",""),IF(ISNUMBER(FIND("Z",Skills!I740)),"ZM",""),IF(Skills!J740="Y","L",""),IF(Skills!K740="Y","Sa",""),IF(Skills!L740&gt;0,"Sa",""),IF(Skills!M740="Y","Sa",""),IF(Skills!F740&lt;&gt;"N","R",""))</f>
        <v>T</v>
      </c>
      <c r="F83" s="72">
        <f ca="1">Skills!Y740</f>
        <v>0.08</v>
      </c>
      <c r="G83" s="72">
        <f>Skills!Z740</f>
        <v>0</v>
      </c>
      <c r="H83" s="72">
        <f t="shared" ca="1" si="12"/>
        <v>0.08</v>
      </c>
      <c r="I83" s="72">
        <f ca="1">IF(D83&lt;&gt;" ",Skills!AC740+H83,Skills!AB740+H83)</f>
        <v>0.13</v>
      </c>
      <c r="J83" s="72">
        <f ca="1">magestuff!A211</f>
        <v>0</v>
      </c>
      <c r="K83" s="72">
        <f t="shared" ca="1" si="13"/>
        <v>0.13</v>
      </c>
      <c r="L83" s="72">
        <f ca="1">K83+IF(B88="Y",0.1,0)</f>
        <v>0.13</v>
      </c>
      <c r="M83" s="72">
        <f t="shared" ca="1" si="15"/>
        <v>0.13</v>
      </c>
      <c r="N83" s="69">
        <f ca="1">(IF(M83&gt;VLOOKUP(B83,'System Lookups'!$J$55:$P$63,6),(((M83-VLOOKUP(B83,'System Lookups'!$J$55:$P$63,6))*100)/20),0))</f>
        <v>0</v>
      </c>
      <c r="AD83" s="37">
        <v>9</v>
      </c>
      <c r="AE83" s="10" t="s">
        <v>2567</v>
      </c>
      <c r="AS83"/>
    </row>
    <row r="84" spans="1:45" ht="9.9499999999999993" customHeight="1">
      <c r="A84" s="534"/>
      <c r="B84" s="31"/>
      <c r="C84" s="532"/>
      <c r="D84" s="67"/>
      <c r="E84" s="294"/>
      <c r="F84" s="72"/>
      <c r="G84" s="72"/>
      <c r="H84" s="72"/>
      <c r="I84" s="72"/>
      <c r="J84" s="72"/>
      <c r="K84" s="72"/>
      <c r="L84" s="72"/>
      <c r="M84" s="72"/>
      <c r="N84" s="69"/>
      <c r="O84" s="143"/>
      <c r="AD84" s="37">
        <v>10</v>
      </c>
      <c r="AE84" s="10" t="s">
        <v>2568</v>
      </c>
      <c r="AS84"/>
    </row>
    <row r="85" spans="1:45" ht="9.9499999999999993" customHeight="1">
      <c r="A85" s="25"/>
      <c r="B85" s="31"/>
      <c r="D85" s="67"/>
      <c r="E85" s="294"/>
      <c r="F85" s="72"/>
      <c r="G85" s="72"/>
      <c r="H85" s="72"/>
      <c r="I85" s="72"/>
      <c r="J85" s="72"/>
      <c r="K85" s="72"/>
      <c r="L85" s="72"/>
      <c r="M85" s="72"/>
      <c r="N85" s="69"/>
    </row>
    <row r="86" spans="1:45" ht="9.9499999999999993" customHeight="1">
      <c r="A86" s="1"/>
      <c r="B86" s="6"/>
      <c r="C86" s="6"/>
      <c r="D86" s="6" t="s">
        <v>1295</v>
      </c>
      <c r="E86" s="6" t="s">
        <v>3589</v>
      </c>
      <c r="F86" s="6" t="s">
        <v>3047</v>
      </c>
      <c r="G86" s="6"/>
      <c r="H86" s="6"/>
      <c r="I86" s="6"/>
      <c r="J86" s="6"/>
    </row>
    <row r="87" spans="1:45" ht="9.9499999999999993" customHeight="1">
      <c r="A87" s="4" t="s">
        <v>3591</v>
      </c>
      <c r="B87" s="6" t="s">
        <v>3005</v>
      </c>
      <c r="C87" s="6" t="s">
        <v>1296</v>
      </c>
      <c r="D87" s="6" t="s">
        <v>3006</v>
      </c>
      <c r="E87" s="6" t="s">
        <v>5216</v>
      </c>
      <c r="F87" s="6" t="s">
        <v>5216</v>
      </c>
      <c r="G87" s="6" t="s">
        <v>1988</v>
      </c>
      <c r="H87" s="6"/>
      <c r="I87" s="6"/>
      <c r="J87" s="6"/>
      <c r="P87" s="53"/>
      <c r="S87" s="109"/>
    </row>
    <row r="88" spans="1:45" ht="9.9499999999999993" customHeight="1">
      <c r="A88" s="25" t="str">
        <f>Skills!A305</f>
        <v>Elven Tongue (Western)</v>
      </c>
      <c r="B88" s="25">
        <f>Skills!V305</f>
        <v>6</v>
      </c>
      <c r="C88" s="6" t="str">
        <f>IF(ISNA(Skills!$W305),IF(ISBLANK(Skills!$X305)," ",Skills!$X305),+Skills!$W305+Skills!$X305)</f>
        <v xml:space="preserve"> </v>
      </c>
      <c r="D88" s="35">
        <f ca="1">Skills!Y305</f>
        <v>0.08</v>
      </c>
      <c r="E88" s="35">
        <f>Skills!Z305</f>
        <v>0</v>
      </c>
      <c r="F88" s="35">
        <f ca="1">Skills!AA305</f>
        <v>0.08</v>
      </c>
      <c r="G88" s="35">
        <f>Skills!AD305</f>
        <v>0</v>
      </c>
      <c r="H88" s="7"/>
      <c r="I88" s="21"/>
      <c r="J88" s="7"/>
      <c r="P88" s="53"/>
      <c r="S88" s="109"/>
    </row>
    <row r="89" spans="1:45" ht="9.9499999999999993" customHeight="1">
      <c r="A89" s="25" t="str">
        <f>Skills!A143</f>
        <v xml:space="preserve">Oratory </v>
      </c>
      <c r="B89" s="25">
        <f ca="1">Skills!V143</f>
        <v>3</v>
      </c>
      <c r="C89" s="6" t="str">
        <f ca="1">IF(ISNA(Skills!$W143),IF(ISBLANK(Skills!$X143)," ",Skills!$X143),+Skills!$W143+Skills!$X143)</f>
        <v xml:space="preserve"> </v>
      </c>
      <c r="D89" s="35">
        <f ca="1">Skills!Y143</f>
        <v>0.02</v>
      </c>
      <c r="E89" s="35">
        <f ca="1">Skills!Z143</f>
        <v>0</v>
      </c>
      <c r="F89" s="35">
        <f ca="1">Skills!AA143</f>
        <v>0.02</v>
      </c>
      <c r="G89" s="35">
        <f ca="1">Skills!AD143</f>
        <v>0.32</v>
      </c>
      <c r="H89" s="7"/>
      <c r="I89" s="21"/>
      <c r="J89" s="7"/>
      <c r="S89" s="109"/>
    </row>
    <row r="90" spans="1:45" ht="9.9499999999999993" customHeight="1">
      <c r="A90" s="25" t="str">
        <f>Skills!A91</f>
        <v>Poetic Composition</v>
      </c>
      <c r="B90" s="25">
        <f>Skills!V91</f>
        <v>5</v>
      </c>
      <c r="C90" s="6" t="str">
        <f>IF(ISNA(Skills!$W91),IF(ISBLANK(Skills!$X91)," ",Skills!$X91),+Skills!$W91+Skills!$X91)</f>
        <v xml:space="preserve"> </v>
      </c>
      <c r="D90" s="35">
        <f ca="1">Skills!Y91</f>
        <v>0.04</v>
      </c>
      <c r="E90" s="35">
        <f>Skills!Z91</f>
        <v>0</v>
      </c>
      <c r="F90" s="35">
        <f ca="1">Skills!AA91</f>
        <v>0.04</v>
      </c>
      <c r="G90" s="35">
        <f ca="1">Skills!AD91</f>
        <v>0.14000000000000001</v>
      </c>
      <c r="H90" s="7"/>
      <c r="I90" s="21"/>
      <c r="J90" s="7"/>
      <c r="S90" s="109"/>
    </row>
    <row r="91" spans="1:45" ht="9.9499999999999993" customHeight="1">
      <c r="A91" s="25" t="str">
        <f>Skills!A93</f>
        <v>Poetic Recitation</v>
      </c>
      <c r="B91" s="25">
        <f>Skills!V93</f>
        <v>4</v>
      </c>
      <c r="C91" s="6" t="str">
        <f>IF(ISNA(Skills!$W93),IF(ISBLANK(Skills!$X93)," ",Skills!$X93),+Skills!$W93+Skills!$X93)</f>
        <v xml:space="preserve"> </v>
      </c>
      <c r="D91" s="35">
        <f ca="1">Skills!Y93</f>
        <v>0.04</v>
      </c>
      <c r="E91" s="35">
        <f>Skills!Z93</f>
        <v>0</v>
      </c>
      <c r="F91" s="35">
        <f ca="1">Skills!AA93</f>
        <v>0.04</v>
      </c>
      <c r="G91" s="35">
        <f ca="1">Skills!AD93</f>
        <v>0.24000000000000002</v>
      </c>
      <c r="H91" s="7"/>
      <c r="I91" s="21">
        <f>IF(C91=" ",-0.1,0)</f>
        <v>-0.1</v>
      </c>
      <c r="J91" s="7"/>
      <c r="S91" s="109"/>
    </row>
    <row r="92" spans="1:45" ht="9.9499999999999993" customHeight="1">
      <c r="A92" s="25" t="str">
        <f>Skills!A101</f>
        <v>Sleight of Hand</v>
      </c>
      <c r="B92" s="25">
        <f>Skills!V101</f>
        <v>5</v>
      </c>
      <c r="C92" s="6" t="str">
        <f>IF(ISNA(Skills!$W101),IF(ISBLANK(Skills!$X101)," ",Skills!$X101),+Skills!$W101+Skills!$X101)</f>
        <v xml:space="preserve"> </v>
      </c>
      <c r="D92" s="35">
        <f ca="1">Skills!Y101</f>
        <v>0.06</v>
      </c>
      <c r="E92" s="35">
        <f>Skills!Z101</f>
        <v>0</v>
      </c>
      <c r="F92" s="35">
        <f ca="1">Skills!AA101</f>
        <v>0.06</v>
      </c>
      <c r="G92" s="35">
        <f ca="1">Skills!AD101</f>
        <v>0.16</v>
      </c>
      <c r="H92" s="7"/>
      <c r="I92" s="21"/>
      <c r="J92" s="7"/>
    </row>
    <row r="93" spans="1:45" ht="9.9499999999999993" customHeight="1">
      <c r="A93" s="25" t="str">
        <f>Skills!A103</f>
        <v>Storytelling</v>
      </c>
      <c r="B93" s="25">
        <f>Skills!V103</f>
        <v>5</v>
      </c>
      <c r="C93" s="6" t="str">
        <f>IF(ISNA(Skills!$W103),IF(ISBLANK(Skills!$X103)," ",Skills!$X103),+Skills!$W103+Skills!$X103)</f>
        <v xml:space="preserve"> </v>
      </c>
      <c r="D93" s="35">
        <f ca="1">Skills!Y103</f>
        <v>0.04</v>
      </c>
      <c r="E93" s="35">
        <f>Skills!Z103</f>
        <v>0</v>
      </c>
      <c r="F93" s="35">
        <f ca="1">Skills!AA103</f>
        <v>0.04</v>
      </c>
      <c r="G93" s="35">
        <f ca="1">Skills!AD103</f>
        <v>0.14000000000000001</v>
      </c>
      <c r="H93" s="7"/>
      <c r="I93" s="21"/>
      <c r="J93" s="7"/>
    </row>
    <row r="94" spans="1:45" ht="9.9499999999999993" customHeight="1">
      <c r="A94" s="25" t="str">
        <f>Skills!A99</f>
        <v>Singing</v>
      </c>
      <c r="B94" s="25">
        <f>Skills!V99</f>
        <v>5</v>
      </c>
      <c r="C94" s="6" t="str">
        <f>IF(ISNA(Skills!$W99),IF(ISBLANK(Skills!$X99)," ",Skills!$X99),+Skills!$W99+Skills!$X99)</f>
        <v xml:space="preserve"> </v>
      </c>
      <c r="D94" s="35">
        <f ca="1">Skills!Y99</f>
        <v>0.04</v>
      </c>
      <c r="E94" s="35">
        <f>Skills!Z99</f>
        <v>0</v>
      </c>
      <c r="F94" s="35">
        <f ca="1">Skills!AA99</f>
        <v>0.04</v>
      </c>
      <c r="G94" s="35">
        <f ca="1">Skills!AD99</f>
        <v>0.14000000000000001</v>
      </c>
      <c r="H94" s="7"/>
      <c r="I94" s="21">
        <f>IF(C94=" ",-0.1,0)</f>
        <v>-0.1</v>
      </c>
      <c r="J94" s="7"/>
    </row>
    <row r="95" spans="1:45" ht="9.9499999999999993" customHeight="1">
      <c r="A95" s="25" t="str">
        <f>Skills!A67</f>
        <v>Calligraphy &amp; Illumination</v>
      </c>
      <c r="B95" s="25">
        <f>Skills!V67</f>
        <v>5</v>
      </c>
      <c r="C95" s="6" t="str">
        <f>IF(ISNA(Skills!$W67),IF(ISBLANK(Skills!$X67)," ",Skills!$X67),+Skills!$W67+Skills!$X67)</f>
        <v xml:space="preserve"> </v>
      </c>
      <c r="D95" s="35">
        <f ca="1">Skills!Y67</f>
        <v>0.06</v>
      </c>
      <c r="E95" s="35">
        <f>Skills!Z67</f>
        <v>0</v>
      </c>
      <c r="F95" s="35">
        <f ca="1">Skills!AA67</f>
        <v>0.06</v>
      </c>
      <c r="G95" s="35">
        <f>Skills!AD67</f>
        <v>0</v>
      </c>
      <c r="H95" s="7"/>
      <c r="I95" s="21"/>
      <c r="J95" s="7"/>
    </row>
    <row r="96" spans="1:45" ht="9.9499999999999993" customHeight="1">
      <c r="A96" s="25" t="str">
        <f>Skills!A799</f>
        <v>WILLPOWER</v>
      </c>
      <c r="B96" s="25">
        <f>Skills!V799</f>
        <v>3</v>
      </c>
      <c r="C96" s="6">
        <f>IF(ISNA(Skills!$W799),IF(ISBLANK(Skills!$X799)," ",Skills!$X799),+Skills!$W799+Skills!$X799)</f>
        <v>0</v>
      </c>
      <c r="D96" s="35">
        <f ca="1">Skills!Y799</f>
        <v>0.06</v>
      </c>
      <c r="E96" s="35">
        <f>Skills!Z799</f>
        <v>0</v>
      </c>
      <c r="F96" s="35">
        <f ca="1">Skills!AA799</f>
        <v>0.06</v>
      </c>
      <c r="G96" s="35">
        <f ca="1">Skills!AD799</f>
        <v>0.46</v>
      </c>
      <c r="H96" s="7"/>
      <c r="I96" s="21"/>
      <c r="J96" s="7"/>
    </row>
    <row r="97" spans="1:10" ht="9.9499999999999993" customHeight="1">
      <c r="A97" s="25" t="str">
        <f>Skills!A791</f>
        <v>Lucid Dreaming</v>
      </c>
      <c r="B97" s="25">
        <f>Skills!V791</f>
        <v>9</v>
      </c>
      <c r="C97" s="6" t="str">
        <f>IF(ISNA(Skills!$W791),IF(ISBLANK(Skills!$X791)," ",Skills!$X791),+Skills!$W791+Skills!$X791)</f>
        <v xml:space="preserve"> </v>
      </c>
      <c r="D97" s="35">
        <f ca="1">Skills!Y791</f>
        <v>0.1</v>
      </c>
      <c r="E97" s="35">
        <f>Skills!Z791</f>
        <v>0</v>
      </c>
      <c r="F97" s="35">
        <f ca="1">Skills!AA791</f>
        <v>0.1</v>
      </c>
      <c r="G97" s="35">
        <f ca="1">Skills!AD791</f>
        <v>0.11</v>
      </c>
      <c r="H97" s="7"/>
      <c r="I97" s="21"/>
      <c r="J97" s="7"/>
    </row>
    <row r="98" spans="1:10" ht="9.9499999999999993" customHeight="1">
      <c r="A98" s="25" t="str">
        <f>Skills!A793</f>
        <v>Meditation</v>
      </c>
      <c r="B98" s="25">
        <f>Skills!V793</f>
        <v>4</v>
      </c>
      <c r="C98" s="6" t="str">
        <f>IF(ISNA(Skills!$W793),IF(ISBLANK(Skills!$X793)," ",Skills!$X793),+Skills!$W793+Skills!$X793)</f>
        <v xml:space="preserve"> </v>
      </c>
      <c r="D98" s="35">
        <f ca="1">Skills!Y793</f>
        <v>0.06</v>
      </c>
      <c r="E98" s="35">
        <f>Skills!Z793</f>
        <v>0</v>
      </c>
      <c r="F98" s="35">
        <f ca="1">Skills!AA793</f>
        <v>0.06</v>
      </c>
      <c r="G98" s="35">
        <f>Skills!AD793</f>
        <v>0</v>
      </c>
      <c r="H98" s="7"/>
      <c r="I98" s="21"/>
      <c r="J98" s="7"/>
    </row>
    <row r="99" spans="1:10" ht="9.9499999999999993" customHeight="1">
      <c r="A99" s="25" t="str">
        <f>Skills!A845</f>
        <v>Read Character</v>
      </c>
      <c r="B99" s="25">
        <f>Skills!V845</f>
        <v>6</v>
      </c>
      <c r="C99" s="6">
        <f>IF(ISNA(Skills!$W845),IF(ISBLANK(Skills!$X845)," ",Skills!$X845),+Skills!$W845+Skills!$X845)</f>
        <v>1</v>
      </c>
      <c r="D99" s="35">
        <f ca="1">Skills!Y845</f>
        <v>0.1</v>
      </c>
      <c r="E99" s="35">
        <f>Skills!Z845</f>
        <v>0.03</v>
      </c>
      <c r="F99" s="35">
        <f ca="1">Skills!AA845</f>
        <v>0.13</v>
      </c>
      <c r="G99" s="35">
        <f ca="1">Skills!AD845</f>
        <v>0.28000000000000003</v>
      </c>
      <c r="H99" s="7"/>
      <c r="I99" s="21"/>
      <c r="J99" s="7"/>
    </row>
    <row r="100" spans="1:10" ht="9.9499999999999993" customHeight="1">
      <c r="A100" s="25" t="str">
        <f>Skills!A12</f>
        <v>Vegetable Crops</v>
      </c>
      <c r="B100" s="25">
        <f>Skills!V12</f>
        <v>3</v>
      </c>
      <c r="C100" s="6" t="str">
        <f>IF(ISNA(Skills!$W12),IF(ISBLANK(Skills!$X12)," ",Skills!$X12),+Skills!$W12+Skills!$X12)</f>
        <v xml:space="preserve"> </v>
      </c>
      <c r="D100" s="35">
        <f ca="1">Skills!Y12</f>
        <v>0.1</v>
      </c>
      <c r="E100" s="35">
        <f>Skills!Z12</f>
        <v>0</v>
      </c>
      <c r="F100" s="35">
        <f ca="1">Skills!AA12</f>
        <v>0.1</v>
      </c>
      <c r="G100" s="35">
        <f ca="1">Skills!AD12</f>
        <v>0.4</v>
      </c>
      <c r="H100" s="7"/>
      <c r="I100" s="21"/>
      <c r="J100" s="7"/>
    </row>
    <row r="101" spans="1:10" ht="9.9499999999999993" customHeight="1">
      <c r="A101" s="25" t="str">
        <f>Skills!A217</f>
        <v>Cooking</v>
      </c>
      <c r="B101" s="25">
        <f>Skills!V217</f>
        <v>4</v>
      </c>
      <c r="C101" s="6" t="str">
        <f>IF(ISNA(Skills!$W217),IF(ISBLANK(Skills!$X217)," ",Skills!$X217),+Skills!$W217+Skills!$X217)</f>
        <v xml:space="preserve"> </v>
      </c>
      <c r="D101" s="35">
        <f ca="1">Skills!Y217</f>
        <v>0.1</v>
      </c>
      <c r="E101" s="35">
        <f>Skills!Z217</f>
        <v>0</v>
      </c>
      <c r="F101" s="35">
        <f ca="1">Skills!AA217</f>
        <v>0.1</v>
      </c>
      <c r="G101" s="35">
        <f ca="1">Skills!AD217</f>
        <v>0.30000000000000004</v>
      </c>
      <c r="H101" s="7"/>
      <c r="I101" s="21"/>
      <c r="J101" s="7"/>
    </row>
    <row r="102" spans="1:10" ht="9.9499999999999993" customHeight="1">
      <c r="A102" s="25" t="str">
        <f>Skills!A214</f>
        <v>Brewing</v>
      </c>
      <c r="B102" s="25">
        <f>Skills!V214</f>
        <v>4</v>
      </c>
      <c r="C102" s="6" t="str">
        <f>IF(ISNA(Skills!$W214),IF(ISBLANK(Skills!$X214)," ",Skills!$X214),+Skills!$W214+Skills!$X214)</f>
        <v xml:space="preserve"> </v>
      </c>
      <c r="D102" s="35">
        <f ca="1">Skills!Y214</f>
        <v>0.1</v>
      </c>
      <c r="E102" s="35">
        <f>Skills!Z214</f>
        <v>0</v>
      </c>
      <c r="F102" s="35">
        <f ca="1">Skills!AA214</f>
        <v>0.1</v>
      </c>
      <c r="G102" s="35">
        <f>Skills!AD214</f>
        <v>0</v>
      </c>
      <c r="H102" s="7"/>
      <c r="I102" s="21"/>
      <c r="J102" s="7"/>
    </row>
    <row r="103" spans="1:10" ht="9.9499999999999993" customHeight="1">
      <c r="A103" s="25" t="str">
        <f>Skills!A763</f>
        <v>Herbalism</v>
      </c>
      <c r="B103" s="25">
        <f>Skills!V763</f>
        <v>3</v>
      </c>
      <c r="C103" s="6" t="str">
        <f>IF(ISNA(Skills!$W763),IF(ISBLANK(Skills!$X763)," ",Skills!$X763),+Skills!$W763+Skills!$X763)</f>
        <v xml:space="preserve"> </v>
      </c>
      <c r="D103" s="35">
        <f ca="1">Skills!Y763</f>
        <v>0.1</v>
      </c>
      <c r="E103" s="35">
        <f>Skills!Z763</f>
        <v>0</v>
      </c>
      <c r="F103" s="35">
        <f ca="1">Skills!AA763</f>
        <v>0.1</v>
      </c>
      <c r="G103" s="35">
        <f>Skills!AD763</f>
        <v>0</v>
      </c>
      <c r="H103" s="7"/>
      <c r="I103" s="21"/>
      <c r="J103" s="7"/>
    </row>
    <row r="104" spans="1:10" ht="9.9499999999999993" customHeight="1">
      <c r="A104" s="25" t="str">
        <f>Skills!A279</f>
        <v>Perfumery</v>
      </c>
      <c r="B104" s="25">
        <f>Skills!V279</f>
        <v>5</v>
      </c>
      <c r="C104" s="6" t="str">
        <f>IF(ISNA(Skills!$W279),IF(ISBLANK(Skills!$X279)," ",Skills!$X279),+Skills!$W279+Skills!$X279)</f>
        <v xml:space="preserve"> </v>
      </c>
      <c r="D104" s="35">
        <f ca="1">Skills!Y279</f>
        <v>0.08</v>
      </c>
      <c r="E104" s="35">
        <f>Skills!Z279</f>
        <v>0</v>
      </c>
      <c r="F104" s="35">
        <f ca="1">Skills!AA279</f>
        <v>0.08</v>
      </c>
      <c r="G104" s="35">
        <f>Skills!AD279</f>
        <v>0</v>
      </c>
      <c r="H104" s="7"/>
      <c r="I104" s="21"/>
      <c r="J104" s="7"/>
    </row>
    <row r="105" spans="1:10" ht="9.9499999999999993" customHeight="1">
      <c r="A105" s="25" t="str">
        <f>Skills!A278</f>
        <v>Paper &amp; Ink Making</v>
      </c>
      <c r="B105" s="25">
        <f>Skills!V278</f>
        <v>4</v>
      </c>
      <c r="C105" s="6" t="str">
        <f>IF(ISNA(Skills!$W278),IF(ISBLANK(Skills!$X278)," ",Skills!$X278),+Skills!$W278+Skills!$X278)</f>
        <v xml:space="preserve"> </v>
      </c>
      <c r="D105" s="35">
        <f ca="1">Skills!Y278</f>
        <v>0.08</v>
      </c>
      <c r="E105" s="35">
        <f>Skills!Z278</f>
        <v>0</v>
      </c>
      <c r="F105" s="35">
        <f ca="1">Skills!AA278</f>
        <v>0.08</v>
      </c>
      <c r="G105" s="35">
        <f>Skills!AD278</f>
        <v>0</v>
      </c>
      <c r="H105" s="7"/>
      <c r="I105" s="21"/>
      <c r="J105" s="7"/>
    </row>
    <row r="106" spans="1:10" ht="9.9499999999999993" customHeight="1">
      <c r="A106" s="25" t="str">
        <f>Skills!A135</f>
        <v>Con</v>
      </c>
      <c r="B106" s="25">
        <f>Skills!V135</f>
        <v>4</v>
      </c>
      <c r="C106" s="6" t="str">
        <f>IF(ISNA(Skills!$W135),IF(ISBLANK(Skills!$X135)," ",Skills!$X135),+Skills!$W135+Skills!$X135)</f>
        <v xml:space="preserve"> </v>
      </c>
      <c r="D106" s="35">
        <f ca="1">Skills!Y135</f>
        <v>0.04</v>
      </c>
      <c r="E106" s="35">
        <f>Skills!Z135</f>
        <v>0</v>
      </c>
      <c r="F106" s="35">
        <f ca="1">Skills!AA135</f>
        <v>0.04</v>
      </c>
      <c r="G106" s="35">
        <f ca="1">Skills!AD135</f>
        <v>0.24000000000000002</v>
      </c>
      <c r="H106" s="7"/>
      <c r="I106" s="21"/>
      <c r="J106" s="7"/>
    </row>
    <row r="107" spans="1:10" ht="9.9499999999999993" customHeight="1">
      <c r="A107" s="25" t="str">
        <f>Skills!A266</f>
        <v>Gem Cutting</v>
      </c>
      <c r="B107" s="25">
        <f>Skills!V266</f>
        <v>5</v>
      </c>
      <c r="C107" s="6" t="str">
        <f>IF(ISNA(Skills!$W266),IF(ISBLANK(Skills!$X266)," ",Skills!$X266),+Skills!$W266+Skills!$X266)</f>
        <v xml:space="preserve"> </v>
      </c>
      <c r="D107" s="35">
        <f ca="1">Skills!Y266</f>
        <v>0.06</v>
      </c>
      <c r="E107" s="35">
        <f>Skills!Z266</f>
        <v>0</v>
      </c>
      <c r="F107" s="35">
        <f ca="1">Skills!AA266</f>
        <v>0.06</v>
      </c>
      <c r="G107" s="35">
        <f>Skills!AD266</f>
        <v>0</v>
      </c>
      <c r="H107" s="7"/>
      <c r="I107" s="21"/>
      <c r="J107" s="7"/>
    </row>
    <row r="108" spans="1:10" ht="9.9499999999999993" customHeight="1">
      <c r="A108" s="25" t="str">
        <f>Skills!A267</f>
        <v>Glassblowing &amp; Glazing</v>
      </c>
      <c r="B108" s="25">
        <f>Skills!V267</f>
        <v>5</v>
      </c>
      <c r="C108" s="6" t="str">
        <f>IF(ISNA(Skills!$W267),IF(ISBLANK(Skills!$X267)," ",Skills!$X267),+Skills!$W267+Skills!$X267)</f>
        <v xml:space="preserve"> </v>
      </c>
      <c r="D108" s="35">
        <f ca="1">Skills!Y267</f>
        <v>0.06</v>
      </c>
      <c r="E108" s="35">
        <f>Skills!Z267</f>
        <v>0</v>
      </c>
      <c r="F108" s="35">
        <f ca="1">Skills!AA267</f>
        <v>0.06</v>
      </c>
      <c r="G108" s="35">
        <f>Skills!AD267</f>
        <v>0</v>
      </c>
      <c r="H108" s="7"/>
      <c r="I108" s="21"/>
      <c r="J108" s="7"/>
    </row>
    <row r="109" spans="1:10" ht="9.9499999999999993" customHeight="1">
      <c r="A109" s="25" t="str">
        <f>Skills!A269</f>
        <v>Gold &amp; Silversmithing</v>
      </c>
      <c r="B109" s="25">
        <f>Skills!V269</f>
        <v>5</v>
      </c>
      <c r="C109" s="6" t="str">
        <f>IF(ISNA(Skills!$W269),IF(ISBLANK(Skills!$X269)," ",Skills!$X269),+Skills!$W269+Skills!$X269)</f>
        <v xml:space="preserve"> </v>
      </c>
      <c r="D109" s="35">
        <f ca="1">Skills!Y269</f>
        <v>0.06</v>
      </c>
      <c r="E109" s="35">
        <f>Skills!Z269</f>
        <v>0</v>
      </c>
      <c r="F109" s="35">
        <f ca="1">Skills!AA269</f>
        <v>0.06</v>
      </c>
      <c r="G109" s="35">
        <f>Skills!AD269</f>
        <v>0</v>
      </c>
      <c r="H109" s="7"/>
      <c r="I109" s="21"/>
      <c r="J109" s="7"/>
    </row>
    <row r="110" spans="1:10" ht="9.9499999999999993" customHeight="1">
      <c r="A110" s="25" t="str">
        <f>Skills!A287</f>
        <v>Sawyer</v>
      </c>
      <c r="B110" s="25">
        <f>Skills!V287</f>
        <v>3</v>
      </c>
      <c r="C110" s="6" t="str">
        <f>IF(ISNA(Skills!$W287),IF(ISBLANK(Skills!$X287)," ",Skills!$X287),+Skills!$W287+Skills!$X287)</f>
        <v xml:space="preserve"> </v>
      </c>
      <c r="D110" s="35">
        <f ca="1">Skills!Y287</f>
        <v>0.12</v>
      </c>
      <c r="E110" s="35">
        <f>Skills!Z287</f>
        <v>0</v>
      </c>
      <c r="F110" s="35">
        <f ca="1">Skills!AA287</f>
        <v>0.12</v>
      </c>
      <c r="G110" s="35">
        <f>Skills!AD287</f>
        <v>0</v>
      </c>
      <c r="H110" s="7"/>
      <c r="I110" s="21"/>
      <c r="J110" s="7"/>
    </row>
    <row r="111" spans="1:10" ht="9.9499999999999993" customHeight="1">
      <c r="A111" s="25" t="str">
        <f>Skills!A280</f>
        <v>Pottery Making</v>
      </c>
      <c r="B111" s="25">
        <f>Skills!V280</f>
        <v>4</v>
      </c>
      <c r="C111" s="6" t="str">
        <f>IF(ISNA(Skills!$W280),IF(ISBLANK(Skills!$X280)," ",Skills!$X280),+Skills!$W280+Skills!$X280)</f>
        <v xml:space="preserve"> </v>
      </c>
      <c r="D111" s="35">
        <f ca="1">Skills!Y280</f>
        <v>0.08</v>
      </c>
      <c r="E111" s="35">
        <f>Skills!Z280</f>
        <v>0</v>
      </c>
      <c r="F111" s="35">
        <f ca="1">Skills!AA280</f>
        <v>0.08</v>
      </c>
      <c r="G111" s="35">
        <f ca="1">Skills!AD280</f>
        <v>0.28000000000000003</v>
      </c>
      <c r="H111" s="6"/>
      <c r="I111" s="21"/>
      <c r="J111" s="7"/>
    </row>
    <row r="112" spans="1:10" ht="9.9499999999999993" customHeight="1">
      <c r="A112" s="28" t="str">
        <f>Skills!A82</f>
        <v>Musical Instruments</v>
      </c>
      <c r="J112" s="7"/>
    </row>
    <row r="113" spans="1:22" ht="9.9499999999999993" customHeight="1">
      <c r="A113" s="251" t="str">
        <f>Skills!A83</f>
        <v>Bagpipes</v>
      </c>
      <c r="B113" s="25">
        <f>Skills!V83</f>
        <v>5</v>
      </c>
      <c r="C113" s="6" t="str">
        <f>IF(ISNA(Skills!$W83),IF(ISBLANK(Skills!$X83)," ",Skills!$X83),+Skills!$W83+Skills!$X83)</f>
        <v xml:space="preserve"> </v>
      </c>
      <c r="D113" s="35">
        <f ca="1">Skills!Y83</f>
        <v>0.02</v>
      </c>
      <c r="E113" s="35">
        <f>Skills!Z83</f>
        <v>0</v>
      </c>
      <c r="F113" s="35">
        <f ca="1">Skills!AA83</f>
        <v>0.02</v>
      </c>
      <c r="G113" s="35">
        <f ca="1">Skills!AD83</f>
        <v>0.12000000000000001</v>
      </c>
      <c r="H113" s="6"/>
      <c r="I113" s="21">
        <f>IF(C113=" ",-0.1,0)</f>
        <v>-0.1</v>
      </c>
      <c r="J113" s="6"/>
    </row>
    <row r="114" spans="1:22" ht="9.9499999999999993" customHeight="1">
      <c r="A114" s="251" t="str">
        <f>Skills!A84</f>
        <v>Drums</v>
      </c>
      <c r="B114" s="25">
        <f>Skills!V84</f>
        <v>3</v>
      </c>
      <c r="C114" s="6" t="str">
        <f>IF(ISNA(Skills!$W84),IF(ISBLANK(Skills!$X84)," ",Skills!$X84),+Skills!$W84+Skills!$X84)</f>
        <v xml:space="preserve"> </v>
      </c>
      <c r="D114" s="35">
        <f ca="1">Skills!Y84</f>
        <v>0.06</v>
      </c>
      <c r="E114" s="35">
        <f>Skills!Z84</f>
        <v>0</v>
      </c>
      <c r="F114" s="35">
        <f ca="1">Skills!AA84</f>
        <v>0.06</v>
      </c>
      <c r="G114" s="35">
        <f ca="1">Skills!AD84</f>
        <v>0.36</v>
      </c>
      <c r="H114" s="6"/>
      <c r="I114" s="21">
        <f>IF(C114=" ",-0.1,0)</f>
        <v>-0.1</v>
      </c>
      <c r="J114" s="6"/>
    </row>
    <row r="115" spans="1:22" ht="9.9499999999999993" customHeight="1">
      <c r="A115" s="251" t="str">
        <f>Skills!A85</f>
        <v>Flutes</v>
      </c>
      <c r="B115" s="25">
        <f>Skills!V85</f>
        <v>4</v>
      </c>
      <c r="C115" s="6" t="str">
        <f>IF(ISNA(Skills!$W85),IF(ISBLANK(Skills!$X85)," ",Skills!$X85),+Skills!$W85+Skills!$X85)</f>
        <v xml:space="preserve"> </v>
      </c>
      <c r="D115" s="35">
        <f ca="1">Skills!Y85</f>
        <v>0.02</v>
      </c>
      <c r="E115" s="35">
        <f>Skills!Z85</f>
        <v>0</v>
      </c>
      <c r="F115" s="35">
        <f ca="1">Skills!AA85</f>
        <v>0.02</v>
      </c>
      <c r="G115" s="35">
        <f ca="1">Skills!AD85</f>
        <v>0.22</v>
      </c>
      <c r="H115" s="6"/>
      <c r="I115" s="21">
        <f>IF(C115=" ",-0.1,0)</f>
        <v>-0.1</v>
      </c>
    </row>
    <row r="116" spans="1:22" ht="9.9499999999999993" customHeight="1">
      <c r="A116" s="251" t="str">
        <f>Skills!A87</f>
        <v>Horns</v>
      </c>
      <c r="B116" s="25">
        <f>Skills!V87</f>
        <v>4</v>
      </c>
      <c r="C116" s="6" t="str">
        <f>IF(ISNA(Skills!$W87),IF(ISBLANK(Skills!$X87)," ",Skills!$X87),+Skills!$W87+Skills!$X87)</f>
        <v xml:space="preserve"> </v>
      </c>
      <c r="D116" s="35">
        <f ca="1">Skills!Y87</f>
        <v>0.02</v>
      </c>
      <c r="E116" s="35">
        <f>Skills!Z87</f>
        <v>0</v>
      </c>
      <c r="F116" s="35">
        <f ca="1">Skills!AA87</f>
        <v>0.02</v>
      </c>
      <c r="G116" s="35">
        <f ca="1">Skills!AD87</f>
        <v>0.22</v>
      </c>
      <c r="H116" s="6"/>
      <c r="I116" s="21">
        <f>IF(C116=" ",-0.1,0)</f>
        <v>-0.1</v>
      </c>
    </row>
    <row r="117" spans="1:22" ht="9.9499999999999993" customHeight="1">
      <c r="A117" s="251" t="str">
        <f>Skills!A88</f>
        <v>Strings &amp; Harps</v>
      </c>
      <c r="B117" s="25">
        <f>Skills!V88</f>
        <v>4</v>
      </c>
      <c r="C117" s="6" t="str">
        <f>IF(ISNA(Skills!$W88),IF(ISBLANK(Skills!$X88)," ",Skills!$X88),+Skills!$W88+Skills!$X88)</f>
        <v xml:space="preserve"> </v>
      </c>
      <c r="D117" s="35">
        <f ca="1">Skills!Y88</f>
        <v>0.06</v>
      </c>
      <c r="E117" s="35">
        <f>Skills!Z88</f>
        <v>0</v>
      </c>
      <c r="F117" s="35">
        <f ca="1">Skills!AA88</f>
        <v>0.06</v>
      </c>
      <c r="G117" s="35">
        <f ca="1">Skills!AD88</f>
        <v>0.26</v>
      </c>
      <c r="H117" s="6"/>
      <c r="I117" s="21">
        <f>IF(C117=" ",-0.1,0)</f>
        <v>-0.1</v>
      </c>
    </row>
    <row r="118" spans="1:22" ht="9.9499999999999993" customHeight="1">
      <c r="A118" s="28" t="str">
        <f>Skills!A69</f>
        <v>Dancing</v>
      </c>
    </row>
    <row r="119" spans="1:22" ht="9.9499999999999993" customHeight="1">
      <c r="A119" s="251" t="str">
        <f>Skills!A70</f>
        <v>Blade</v>
      </c>
      <c r="B119" s="25">
        <f>Skills!V70</f>
        <v>4</v>
      </c>
      <c r="C119" s="6" t="str">
        <f>IF(ISNA(Skills!$W70),IF(ISBLANK(Skills!$X70)," ",Skills!$X70),+Skills!$W70+Skills!$X70)</f>
        <v xml:space="preserve"> </v>
      </c>
      <c r="D119" s="35">
        <f ca="1">Skills!Y70</f>
        <v>0.06</v>
      </c>
      <c r="E119" s="35">
        <f>Skills!Z70</f>
        <v>0</v>
      </c>
      <c r="F119" s="35">
        <f ca="1">Skills!AA70</f>
        <v>-4.0000000000000008E-2</v>
      </c>
      <c r="G119" s="35">
        <f ca="1">Skills!AD70</f>
        <v>0.16</v>
      </c>
      <c r="H119" s="6"/>
      <c r="I119" s="21"/>
      <c r="V119"/>
    </row>
    <row r="120" spans="1:22" ht="9.9499999999999993" customHeight="1">
      <c r="A120" s="251" t="str">
        <f>Skills!A72</f>
        <v>Choreography</v>
      </c>
      <c r="B120" s="25">
        <f>Skills!V72</f>
        <v>6</v>
      </c>
      <c r="C120" s="6" t="str">
        <f>IF(ISNA(Skills!$W72),IF(ISBLANK(Skills!$X72)," ",Skills!$X72),+Skills!$W72+Skills!$X72)</f>
        <v xml:space="preserve"> </v>
      </c>
      <c r="D120" s="35">
        <f ca="1">Skills!Y72</f>
        <v>0.08</v>
      </c>
      <c r="E120" s="35">
        <f>Skills!Z72</f>
        <v>0</v>
      </c>
      <c r="F120" s="35">
        <f ca="1">Skills!AA72</f>
        <v>-2.0000000000000004E-2</v>
      </c>
      <c r="G120" s="35">
        <f ca="1">Skills!AD72</f>
        <v>0.03</v>
      </c>
      <c r="H120" s="6"/>
      <c r="I120" s="21"/>
      <c r="V120"/>
    </row>
    <row r="121" spans="1:22" ht="9.9499999999999993" customHeight="1">
      <c r="A121" s="251" t="str">
        <f>Skills!A73</f>
        <v>Court</v>
      </c>
      <c r="B121" s="25">
        <f>Skills!V73</f>
        <v>3</v>
      </c>
      <c r="C121" s="6" t="str">
        <f>IF(ISNA(Skills!$W73),IF(ISBLANK(Skills!$X73)," ",Skills!$X73),+Skills!$W73+Skills!$X73)</f>
        <v xml:space="preserve"> </v>
      </c>
      <c r="D121" s="35">
        <f ca="1">Skills!Y73</f>
        <v>0.06</v>
      </c>
      <c r="E121" s="35">
        <f>Skills!Z73</f>
        <v>0</v>
      </c>
      <c r="F121" s="35">
        <f ca="1">Skills!AA73</f>
        <v>0.06</v>
      </c>
      <c r="G121" s="35">
        <f ca="1">Skills!AD73</f>
        <v>0.36</v>
      </c>
      <c r="H121" s="6"/>
      <c r="I121" s="21">
        <f>IF(C121=" ",-0.1,0)</f>
        <v>-0.1</v>
      </c>
      <c r="V121"/>
    </row>
    <row r="122" spans="1:22" ht="9.9499999999999993" customHeight="1">
      <c r="A122" s="251" t="str">
        <f>Skills!A74</f>
        <v>Folk</v>
      </c>
      <c r="B122" s="25">
        <f>Skills!V74</f>
        <v>3</v>
      </c>
      <c r="C122" s="6" t="str">
        <f>IF(ISNA(Skills!$W74),IF(ISBLANK(Skills!$X74)," ",Skills!$X74),+Skills!$W74+Skills!$X74)</f>
        <v xml:space="preserve"> </v>
      </c>
      <c r="D122" s="35">
        <f ca="1">Skills!Y74</f>
        <v>0.06</v>
      </c>
      <c r="E122" s="35">
        <f>Skills!Z74</f>
        <v>0</v>
      </c>
      <c r="F122" s="35">
        <f ca="1">Skills!AA74</f>
        <v>0.06</v>
      </c>
      <c r="G122" s="35">
        <f ca="1">Skills!AD74</f>
        <v>0.36</v>
      </c>
      <c r="H122" s="6"/>
      <c r="I122" s="21">
        <f>IF(C122=" ",-0.1,0)</f>
        <v>-0.1</v>
      </c>
      <c r="V122"/>
    </row>
    <row r="123" spans="1:22" ht="9.9499999999999993" customHeight="1">
      <c r="S123" s="109"/>
      <c r="V123"/>
    </row>
    <row r="124" spans="1:22" ht="9.9499999999999993" customHeight="1">
      <c r="P124" s="1"/>
      <c r="R124" s="111"/>
      <c r="S124" s="109"/>
      <c r="V124"/>
    </row>
    <row r="125" spans="1:22" ht="9.9499999999999993" customHeight="1">
      <c r="K125"/>
      <c r="L125"/>
      <c r="M125"/>
    </row>
    <row r="126" spans="1:22" ht="9.9499999999999993" customHeight="1">
      <c r="C126"/>
      <c r="D126"/>
      <c r="E126"/>
      <c r="F126"/>
      <c r="G126"/>
      <c r="H126"/>
      <c r="I126"/>
      <c r="J126"/>
      <c r="K126" s="6"/>
      <c r="L126" s="6"/>
      <c r="M126" s="6"/>
    </row>
    <row r="127" spans="1:22" ht="9.9499999999999993" customHeight="1">
      <c r="K127" s="6"/>
      <c r="L127" s="6"/>
      <c r="M127" s="6"/>
    </row>
    <row r="128" spans="1:22" ht="9.9499999999999993" customHeight="1">
      <c r="K128" s="7"/>
      <c r="L128" s="6"/>
      <c r="M128" s="6"/>
    </row>
    <row r="129" spans="11:58" ht="9.9499999999999993" customHeight="1">
      <c r="K129" s="7"/>
      <c r="L129" s="6"/>
      <c r="M129" s="6"/>
    </row>
    <row r="130" spans="11:58" ht="9.9499999999999993" customHeight="1">
      <c r="K130" s="7"/>
      <c r="L130" s="6"/>
      <c r="M130" s="6"/>
    </row>
    <row r="131" spans="11:58" ht="9.9499999999999993" customHeight="1">
      <c r="K131" s="7"/>
      <c r="L131" s="6"/>
      <c r="M131" s="6"/>
      <c r="BE131" s="6"/>
      <c r="BF131" s="6"/>
    </row>
    <row r="132" spans="11:58" ht="9.9499999999999993" customHeight="1">
      <c r="K132" s="7"/>
      <c r="L132" s="6"/>
      <c r="M132" s="6"/>
      <c r="BE132" s="37"/>
      <c r="BF132" s="37"/>
    </row>
    <row r="133" spans="11:58" ht="9.9499999999999993" customHeight="1">
      <c r="K133" s="7"/>
      <c r="L133" s="6"/>
      <c r="M133" s="6"/>
      <c r="BE133" s="37"/>
      <c r="BF133" s="37"/>
    </row>
    <row r="134" spans="11:58" ht="9.9499999999999993" customHeight="1">
      <c r="K134" s="7"/>
      <c r="L134" s="6"/>
      <c r="M134" s="6"/>
      <c r="BE134" s="6"/>
      <c r="BF134" s="6"/>
    </row>
    <row r="135" spans="11:58" ht="9.9499999999999993" customHeight="1">
      <c r="K135" s="7"/>
      <c r="L135" s="6"/>
      <c r="M135" s="6"/>
      <c r="BE135" s="6"/>
      <c r="BF135" s="6"/>
    </row>
    <row r="136" spans="11:58" ht="9.9499999999999993" customHeight="1">
      <c r="K136" s="7"/>
      <c r="L136" s="6"/>
      <c r="M136" s="6"/>
      <c r="BD136" s="6"/>
      <c r="BE136" s="6"/>
      <c r="BF136" s="6"/>
    </row>
    <row r="137" spans="11:58" ht="9.9499999999999993" customHeight="1">
      <c r="K137" s="7"/>
      <c r="L137" s="6"/>
      <c r="M137" s="6"/>
      <c r="BD137" s="37"/>
      <c r="BE137" s="6"/>
      <c r="BF137" s="6"/>
    </row>
    <row r="138" spans="11:58" ht="9.9499999999999993" customHeight="1">
      <c r="K138" s="7"/>
      <c r="L138" s="6"/>
      <c r="M138" s="6"/>
      <c r="BD138" s="37"/>
      <c r="BE138" s="6"/>
      <c r="BF138" s="6"/>
    </row>
    <row r="139" spans="11:58" ht="9.9499999999999993" customHeight="1">
      <c r="K139" s="7"/>
      <c r="L139" s="6"/>
      <c r="M139" s="6"/>
      <c r="AO139" s="6"/>
      <c r="AQ139" s="67"/>
      <c r="AT139" s="37"/>
      <c r="AU139" s="37"/>
      <c r="AV139" s="37"/>
      <c r="AW139" s="6"/>
      <c r="AX139" s="6"/>
      <c r="AY139" s="37"/>
      <c r="BD139" s="6"/>
      <c r="BE139" s="6"/>
      <c r="BF139" s="6"/>
    </row>
    <row r="140" spans="11:58" ht="9.9499999999999993" customHeight="1">
      <c r="K140" s="7"/>
      <c r="L140" s="6"/>
      <c r="M140" s="6"/>
      <c r="AO140" s="6"/>
      <c r="AQ140" s="67"/>
      <c r="AT140" s="37"/>
      <c r="AU140" s="37"/>
      <c r="AV140" s="37"/>
      <c r="AW140" s="6"/>
      <c r="AX140" s="6"/>
      <c r="AY140" s="37"/>
      <c r="BD140" s="6"/>
      <c r="BE140" s="6"/>
      <c r="BF140" s="6"/>
    </row>
    <row r="141" spans="11:58" ht="9.9499999999999993" customHeight="1">
      <c r="K141" s="7"/>
      <c r="L141" s="6"/>
      <c r="M141" s="6"/>
      <c r="AO141" s="6"/>
      <c r="AQ141" s="67"/>
      <c r="AT141" s="37"/>
      <c r="AU141" s="37"/>
      <c r="AV141" s="37"/>
      <c r="AW141" s="37"/>
      <c r="AX141" s="6"/>
      <c r="AY141" s="37"/>
      <c r="BD141" s="6"/>
      <c r="BE141" s="6"/>
      <c r="BF141" s="6"/>
    </row>
    <row r="142" spans="11:58" ht="9.9499999999999993" customHeight="1">
      <c r="K142" s="7"/>
      <c r="L142" s="6"/>
      <c r="M142" s="6"/>
      <c r="AO142" s="6"/>
      <c r="AT142" s="37"/>
      <c r="AU142" s="37"/>
      <c r="AV142" s="37"/>
      <c r="AW142" s="37"/>
      <c r="AX142" s="37"/>
      <c r="AY142" s="37"/>
      <c r="BD142" s="6"/>
      <c r="BE142" s="6"/>
      <c r="BF142" s="6"/>
    </row>
    <row r="143" spans="11:58" ht="9.9499999999999993" customHeight="1">
      <c r="K143" s="7"/>
      <c r="L143" s="6"/>
      <c r="M143" s="6"/>
      <c r="N143" s="1"/>
      <c r="O143" s="1"/>
      <c r="AO143" s="6"/>
      <c r="AT143" s="37"/>
      <c r="AU143" s="37"/>
      <c r="AV143" s="37"/>
      <c r="AW143" s="37"/>
      <c r="AX143" s="37"/>
      <c r="AY143" s="37"/>
      <c r="BD143" s="6"/>
      <c r="BE143" s="6"/>
      <c r="BF143" s="6"/>
    </row>
    <row r="144" spans="11:58" ht="9.9499999999999993" customHeight="1">
      <c r="K144" s="7"/>
      <c r="L144" s="6"/>
      <c r="M144" s="6"/>
      <c r="N144" s="1"/>
      <c r="O144" s="1"/>
      <c r="AO144" s="6"/>
      <c r="AT144" s="37"/>
      <c r="AU144" s="37"/>
      <c r="AV144" s="37"/>
      <c r="AW144" s="37"/>
      <c r="AX144" s="37"/>
      <c r="AY144" s="37"/>
      <c r="BD144" s="6"/>
      <c r="BE144" s="6"/>
      <c r="BF144" s="6"/>
    </row>
    <row r="145" spans="11:58" ht="9.9499999999999993" customHeight="1">
      <c r="K145" s="7"/>
      <c r="L145" s="6"/>
      <c r="M145" s="6"/>
      <c r="N145" s="1"/>
      <c r="O145" s="1"/>
      <c r="AO145" s="6"/>
      <c r="AR145"/>
      <c r="AS145"/>
      <c r="AW145" s="37"/>
      <c r="AX145" s="37"/>
      <c r="AY145" s="37"/>
      <c r="BD145" s="6"/>
      <c r="BE145" s="6"/>
      <c r="BF145" s="6"/>
    </row>
    <row r="146" spans="11:58" ht="9.9499999999999993" customHeight="1">
      <c r="K146" s="7"/>
      <c r="L146" s="6"/>
      <c r="M146" s="6"/>
      <c r="N146" s="1"/>
      <c r="O146" s="1"/>
      <c r="AR146"/>
      <c r="AS146"/>
      <c r="AW146" s="37"/>
      <c r="AX146" s="37"/>
      <c r="AY146" s="37"/>
      <c r="BD146" s="6"/>
      <c r="BE146" s="6"/>
      <c r="BF146" s="37"/>
    </row>
    <row r="147" spans="11:58" ht="9.9499999999999993" customHeight="1">
      <c r="K147" s="7"/>
      <c r="L147" s="6"/>
      <c r="M147" s="6"/>
      <c r="N147" s="1"/>
      <c r="O147" s="1"/>
      <c r="AR147"/>
      <c r="AS147"/>
      <c r="AW147" s="37"/>
      <c r="AX147" s="37"/>
      <c r="AY147" s="37"/>
      <c r="BD147" s="6"/>
      <c r="BE147" s="37"/>
      <c r="BF147" s="37"/>
    </row>
    <row r="148" spans="11:58" ht="9.9499999999999993" customHeight="1">
      <c r="K148" s="7"/>
      <c r="L148" s="6"/>
      <c r="M148" s="6"/>
      <c r="N148" s="1"/>
      <c r="O148" s="1"/>
      <c r="AR148"/>
      <c r="AS148"/>
      <c r="AW148" s="37"/>
      <c r="AX148" s="37"/>
      <c r="AY148" s="37"/>
      <c r="BD148" s="6"/>
      <c r="BE148" s="37"/>
      <c r="BF148" s="37"/>
    </row>
    <row r="149" spans="11:58" ht="9.9499999999999993" customHeight="1">
      <c r="K149" s="7"/>
      <c r="L149" s="6"/>
      <c r="M149" s="6"/>
      <c r="N149" s="1"/>
      <c r="O149" s="1"/>
      <c r="AR149"/>
      <c r="AS149"/>
      <c r="AX149" s="37"/>
      <c r="AY149" s="37"/>
      <c r="BD149" s="6"/>
      <c r="BE149" s="37"/>
      <c r="BF149" s="37"/>
    </row>
    <row r="150" spans="11:58" ht="9.9499999999999993" customHeight="1">
      <c r="K150" s="7"/>
      <c r="L150" s="6"/>
      <c r="M150" s="6"/>
      <c r="N150" s="1"/>
      <c r="O150" s="1"/>
      <c r="AR150"/>
      <c r="AS150"/>
      <c r="AY150" s="37"/>
      <c r="BD150" s="6"/>
    </row>
    <row r="151" spans="11:58" ht="9.9499999999999993" customHeight="1">
      <c r="K151" s="7"/>
      <c r="L151" s="6"/>
      <c r="M151" s="6"/>
      <c r="N151" s="1"/>
      <c r="O151" s="1"/>
      <c r="AR151"/>
      <c r="AS151"/>
      <c r="BD151" s="6"/>
    </row>
    <row r="152" spans="11:58" ht="9.9499999999999993" customHeight="1">
      <c r="K152" s="7"/>
      <c r="L152" s="6"/>
      <c r="M152" s="6"/>
      <c r="N152" s="1"/>
      <c r="O152" s="1"/>
      <c r="AR152"/>
      <c r="AS152"/>
      <c r="BD152" s="37"/>
    </row>
    <row r="153" spans="11:58" ht="9.9499999999999993" customHeight="1">
      <c r="K153" s="6"/>
      <c r="L153" s="6"/>
      <c r="M153" s="6"/>
      <c r="N153" s="1"/>
      <c r="O153" s="1"/>
      <c r="AR153"/>
      <c r="AS153"/>
      <c r="BD153" s="37"/>
    </row>
    <row r="154" spans="11:58" ht="9.9499999999999993" customHeight="1">
      <c r="K154" s="6"/>
      <c r="L154" s="6"/>
      <c r="M154" s="6"/>
      <c r="N154" s="1"/>
      <c r="O154" s="1"/>
      <c r="AR154"/>
      <c r="AS154"/>
      <c r="BD154" s="37"/>
    </row>
    <row r="155" spans="11:58" ht="9.9499999999999993" customHeight="1">
      <c r="M155" s="6"/>
      <c r="N155" s="1"/>
      <c r="O155" s="1"/>
      <c r="AR155"/>
      <c r="AS155"/>
    </row>
    <row r="156" spans="11:58" ht="9.9499999999999993" customHeight="1">
      <c r="N156"/>
      <c r="O156" s="1"/>
      <c r="AR156"/>
      <c r="AS156"/>
    </row>
    <row r="157" spans="11:58" ht="9.9499999999999993" customHeight="1">
      <c r="N157"/>
      <c r="O157" s="1"/>
      <c r="P157" s="1"/>
      <c r="T157" s="67"/>
      <c r="U157" s="66"/>
      <c r="V157" s="68"/>
      <c r="AR157"/>
      <c r="AS157"/>
    </row>
    <row r="158" spans="11:58" ht="9.9499999999999993" customHeight="1">
      <c r="N158"/>
      <c r="O158" s="1"/>
      <c r="P158" s="1"/>
      <c r="T158" s="67"/>
      <c r="U158" s="66"/>
      <c r="V158" s="68"/>
      <c r="AR158"/>
      <c r="AS158"/>
    </row>
    <row r="159" spans="11:58" ht="9.9499999999999993" customHeight="1">
      <c r="O159" s="1"/>
      <c r="P159" s="1"/>
      <c r="T159" s="67"/>
      <c r="U159" s="66"/>
      <c r="V159" s="68"/>
      <c r="AR159"/>
      <c r="AS159"/>
    </row>
    <row r="160" spans="11:58" ht="9.9499999999999993" customHeight="1">
      <c r="O160" s="1"/>
      <c r="P160" s="1"/>
      <c r="T160" s="67"/>
      <c r="U160" s="66"/>
      <c r="V160" s="68"/>
      <c r="AR160"/>
      <c r="AS160"/>
    </row>
    <row r="161" spans="1:45" ht="9.9499999999999993" customHeight="1">
      <c r="O161" s="1"/>
      <c r="P161" s="1"/>
      <c r="T161" s="67"/>
      <c r="U161" s="66"/>
      <c r="V161" s="68"/>
      <c r="AR161"/>
      <c r="AS161"/>
    </row>
    <row r="162" spans="1:45" ht="9.9499999999999993" customHeight="1">
      <c r="O162" s="1"/>
      <c r="P162" s="1"/>
      <c r="T162" s="67"/>
      <c r="U162" s="66"/>
      <c r="V162" s="70"/>
      <c r="AR162"/>
      <c r="AS162"/>
    </row>
    <row r="163" spans="1:45" ht="9.9499999999999993" customHeight="1">
      <c r="K163"/>
      <c r="O163" s="1"/>
      <c r="P163" s="1"/>
      <c r="T163" s="67"/>
      <c r="U163" s="66"/>
      <c r="V163" s="68"/>
      <c r="AR163"/>
      <c r="AS163"/>
    </row>
    <row r="164" spans="1:45" ht="9.9499999999999993" customHeight="1">
      <c r="C164"/>
      <c r="D164"/>
      <c r="E164"/>
      <c r="F164"/>
      <c r="G164"/>
      <c r="H164"/>
      <c r="I164"/>
      <c r="J164"/>
      <c r="K164"/>
      <c r="O164" s="1"/>
      <c r="P164" s="1"/>
      <c r="T164" s="67"/>
      <c r="U164" s="66"/>
      <c r="V164" s="68"/>
      <c r="AR164"/>
      <c r="AS164"/>
    </row>
    <row r="165" spans="1:45" ht="9.9499999999999993" customHeight="1">
      <c r="C165"/>
      <c r="D165"/>
      <c r="E165"/>
      <c r="F165"/>
      <c r="G165"/>
      <c r="H165"/>
      <c r="I165"/>
      <c r="J165"/>
      <c r="K165"/>
      <c r="L165"/>
      <c r="M165"/>
      <c r="N165"/>
      <c r="O165" s="1"/>
      <c r="P165" s="1"/>
      <c r="T165" s="67"/>
      <c r="U165" s="66"/>
      <c r="V165" s="68"/>
      <c r="AR165"/>
      <c r="AS165"/>
    </row>
    <row r="166" spans="1:45" ht="9.9499999999999993" customHeight="1">
      <c r="C166"/>
      <c r="D166"/>
      <c r="E166"/>
      <c r="F166"/>
      <c r="G166"/>
      <c r="H166"/>
      <c r="I166"/>
      <c r="J166"/>
      <c r="K166"/>
      <c r="L166"/>
      <c r="M166"/>
      <c r="N166"/>
      <c r="O166" s="1"/>
      <c r="P166" s="1"/>
      <c r="T166" s="67"/>
      <c r="U166" s="66"/>
      <c r="V166" s="68"/>
      <c r="AR166"/>
      <c r="AS166"/>
    </row>
    <row r="167" spans="1:45" ht="9.9499999999999993" hidden="1" customHeight="1">
      <c r="C167"/>
      <c r="D167"/>
      <c r="E167"/>
      <c r="F167"/>
      <c r="G167"/>
      <c r="H167"/>
      <c r="I167"/>
      <c r="J167"/>
      <c r="K167"/>
      <c r="L167"/>
      <c r="M167"/>
      <c r="N167"/>
      <c r="V167"/>
      <c r="W167"/>
      <c r="X167"/>
      <c r="Y167"/>
      <c r="AR167"/>
      <c r="AS167"/>
    </row>
    <row r="168" spans="1:45" ht="9.9499999999999993" hidden="1" customHeight="1">
      <c r="A168" t="s">
        <v>3595</v>
      </c>
      <c r="C168" t="s">
        <v>3596</v>
      </c>
      <c r="D168"/>
      <c r="E168"/>
      <c r="F168"/>
      <c r="G168"/>
      <c r="H168"/>
      <c r="I168"/>
      <c r="J168"/>
      <c r="K168"/>
      <c r="L168"/>
      <c r="M168"/>
      <c r="N168"/>
      <c r="V168"/>
      <c r="W168"/>
      <c r="X168"/>
      <c r="Y168"/>
      <c r="AR168"/>
      <c r="AS168"/>
    </row>
    <row r="169" spans="1:45" ht="9.9499999999999993" hidden="1" customHeight="1">
      <c r="A169" t="s">
        <v>252</v>
      </c>
      <c r="C169" s="1078">
        <f>$C$3</f>
        <v>0</v>
      </c>
      <c r="D169" t="s">
        <v>3118</v>
      </c>
      <c r="E169"/>
      <c r="F169"/>
      <c r="G169"/>
      <c r="H169"/>
      <c r="I169"/>
      <c r="J169"/>
      <c r="K169"/>
      <c r="L169"/>
      <c r="M169"/>
      <c r="N169"/>
      <c r="V169"/>
      <c r="W169"/>
      <c r="X169"/>
      <c r="Y169"/>
      <c r="AR169"/>
      <c r="AS169"/>
    </row>
    <row r="170" spans="1:45" ht="9.9499999999999993" hidden="1" customHeight="1">
      <c r="A170" t="s">
        <v>3120</v>
      </c>
      <c r="C170" t="s">
        <v>2727</v>
      </c>
      <c r="D170"/>
      <c r="E170"/>
      <c r="F170"/>
      <c r="G170"/>
      <c r="H170"/>
      <c r="I170"/>
      <c r="J170"/>
      <c r="K170"/>
      <c r="L170"/>
      <c r="M170"/>
      <c r="N170"/>
      <c r="V170"/>
      <c r="W170"/>
      <c r="X170"/>
      <c r="Y170"/>
      <c r="AR170"/>
      <c r="AS170"/>
    </row>
    <row r="171" spans="1:45" ht="9.9499999999999993" hidden="1" customHeight="1">
      <c r="A171" t="s">
        <v>145</v>
      </c>
      <c r="C171" t="s">
        <v>3121</v>
      </c>
      <c r="D171"/>
      <c r="E171"/>
      <c r="F171" t="s">
        <v>2726</v>
      </c>
      <c r="G171"/>
      <c r="H171"/>
      <c r="I171"/>
      <c r="J171"/>
      <c r="K171"/>
      <c r="L171"/>
      <c r="M171"/>
      <c r="N171"/>
      <c r="V171"/>
      <c r="W171"/>
      <c r="X171"/>
      <c r="Y171"/>
      <c r="AR171"/>
      <c r="AS171"/>
    </row>
    <row r="172" spans="1:45" ht="9.9499999999999993" hidden="1" customHeight="1">
      <c r="A172" t="s">
        <v>3122</v>
      </c>
      <c r="C172" t="s">
        <v>3123</v>
      </c>
      <c r="D172"/>
      <c r="E172"/>
      <c r="F172"/>
      <c r="G172"/>
      <c r="H172"/>
      <c r="I172"/>
      <c r="J172"/>
      <c r="K172"/>
      <c r="L172"/>
      <c r="M172"/>
      <c r="N172"/>
      <c r="V172"/>
      <c r="W172"/>
      <c r="X172"/>
      <c r="Y172"/>
      <c r="AR172"/>
      <c r="AS172"/>
    </row>
    <row r="173" spans="1:45" ht="9.9499999999999993" hidden="1" customHeight="1">
      <c r="A173" t="s">
        <v>1695</v>
      </c>
      <c r="C173" t="s">
        <v>3124</v>
      </c>
      <c r="D173"/>
      <c r="E173"/>
      <c r="F173"/>
      <c r="G173"/>
      <c r="H173"/>
      <c r="I173"/>
      <c r="J173"/>
      <c r="K173"/>
      <c r="L173"/>
      <c r="M173"/>
      <c r="N173"/>
      <c r="V173"/>
      <c r="W173"/>
      <c r="X173"/>
      <c r="Y173"/>
      <c r="AR173"/>
      <c r="AS173"/>
    </row>
    <row r="174" spans="1:45" ht="9.9499999999999993" hidden="1" customHeight="1">
      <c r="A174" t="s">
        <v>3125</v>
      </c>
      <c r="C174" t="s">
        <v>3126</v>
      </c>
      <c r="D174"/>
      <c r="E174"/>
      <c r="F174"/>
      <c r="G174"/>
      <c r="H174"/>
      <c r="I174"/>
      <c r="J174"/>
      <c r="K174" t="s">
        <v>5224</v>
      </c>
      <c r="L174"/>
      <c r="M174"/>
      <c r="N174"/>
      <c r="V174"/>
      <c r="W174"/>
      <c r="X174"/>
      <c r="Y174"/>
      <c r="AC174" s="31"/>
      <c r="AR174"/>
      <c r="AS174"/>
    </row>
    <row r="175" spans="1:45" ht="9.9499999999999993" hidden="1" customHeight="1">
      <c r="A175" t="s">
        <v>4071</v>
      </c>
      <c r="C175" t="s">
        <v>3127</v>
      </c>
      <c r="D175"/>
      <c r="E175"/>
      <c r="F175"/>
      <c r="G175" s="1078">
        <f>$C$3</f>
        <v>0</v>
      </c>
      <c r="H175" t="s">
        <v>2728</v>
      </c>
      <c r="I175"/>
      <c r="J175" t="s">
        <v>3117</v>
      </c>
      <c r="K175"/>
      <c r="L175"/>
      <c r="M175"/>
      <c r="N175"/>
      <c r="V175"/>
      <c r="W175"/>
      <c r="X175"/>
      <c r="Y175"/>
      <c r="AB175" s="31"/>
      <c r="AC175" s="31"/>
      <c r="AD175"/>
      <c r="AL175"/>
      <c r="AM175"/>
      <c r="AN175"/>
      <c r="AR175"/>
      <c r="AS175"/>
    </row>
    <row r="176" spans="1:45" ht="9.9499999999999993" hidden="1" customHeight="1">
      <c r="A176" t="s">
        <v>3129</v>
      </c>
      <c r="C176" t="s">
        <v>4101</v>
      </c>
      <c r="D176"/>
      <c r="E176"/>
      <c r="F176"/>
      <c r="G176"/>
      <c r="H176"/>
      <c r="I176"/>
      <c r="J176"/>
      <c r="K176" t="s">
        <v>5224</v>
      </c>
      <c r="L176"/>
      <c r="M176"/>
      <c r="N176"/>
      <c r="V176"/>
      <c r="W176"/>
      <c r="X176"/>
      <c r="Y176"/>
      <c r="Z176" s="31"/>
      <c r="AA176" s="31"/>
      <c r="AB176" s="31"/>
      <c r="AC176" s="31"/>
      <c r="AD176"/>
      <c r="AL176"/>
      <c r="AM176"/>
      <c r="AN176"/>
      <c r="AO176"/>
      <c r="AP176"/>
      <c r="AQ176"/>
      <c r="AR176"/>
      <c r="AS176"/>
    </row>
    <row r="177" spans="1:45" ht="9.9499999999999993" hidden="1" customHeight="1">
      <c r="A177" t="s">
        <v>4102</v>
      </c>
      <c r="C177" t="s">
        <v>4103</v>
      </c>
      <c r="D177"/>
      <c r="E177"/>
      <c r="F177"/>
      <c r="G177"/>
      <c r="H177"/>
      <c r="I177"/>
      <c r="J177" t="s">
        <v>3128</v>
      </c>
      <c r="K177"/>
      <c r="L177"/>
      <c r="M177"/>
      <c r="N177"/>
      <c r="V177"/>
      <c r="W177"/>
      <c r="X177"/>
      <c r="Y177"/>
      <c r="Z177" s="31"/>
      <c r="AA177" s="31"/>
      <c r="AB177" s="31"/>
      <c r="AC177" s="31"/>
      <c r="AD177" s="31"/>
      <c r="AE177"/>
      <c r="AF177"/>
      <c r="AG177"/>
      <c r="AH177"/>
      <c r="AI177"/>
      <c r="AJ177"/>
      <c r="AK177"/>
      <c r="AL177"/>
      <c r="AM177"/>
      <c r="AN177"/>
      <c r="AO177"/>
      <c r="AP177"/>
      <c r="AQ177"/>
      <c r="AR177"/>
      <c r="AS177"/>
    </row>
    <row r="178" spans="1:45" hidden="1">
      <c r="A178" t="s">
        <v>4104</v>
      </c>
      <c r="C178" t="s">
        <v>4106</v>
      </c>
      <c r="D178"/>
      <c r="E178"/>
      <c r="F178"/>
      <c r="G178"/>
      <c r="H178"/>
      <c r="I178"/>
      <c r="J178"/>
      <c r="K178"/>
      <c r="L178">
        <f>IF(K174="Y",0.15,0.1)</f>
        <v>0.1</v>
      </c>
      <c r="M178"/>
      <c r="N178"/>
      <c r="V178"/>
      <c r="W178"/>
      <c r="X178"/>
      <c r="Y178"/>
      <c r="Z178" s="68"/>
      <c r="AA178" s="31"/>
      <c r="AB178" s="31"/>
      <c r="AC178" s="31"/>
      <c r="AD178" s="31"/>
      <c r="AE178"/>
      <c r="AF178"/>
      <c r="AG178"/>
      <c r="AH178"/>
      <c r="AI178"/>
      <c r="AJ178"/>
      <c r="AK178"/>
      <c r="AL178"/>
      <c r="AM178"/>
      <c r="AN178"/>
      <c r="AO178"/>
      <c r="AP178"/>
      <c r="AQ178"/>
      <c r="AR178"/>
      <c r="AS178"/>
    </row>
    <row r="179" spans="1:45" hidden="1">
      <c r="A179" t="s">
        <v>4105</v>
      </c>
      <c r="C179" t="s">
        <v>4106</v>
      </c>
      <c r="D179"/>
      <c r="E179"/>
      <c r="F179"/>
      <c r="G179"/>
      <c r="H179"/>
      <c r="I179"/>
      <c r="J179"/>
      <c r="K179"/>
      <c r="L179"/>
      <c r="M179"/>
      <c r="N179"/>
      <c r="V179"/>
      <c r="W179"/>
      <c r="X179"/>
      <c r="Y179"/>
      <c r="Z179" s="68"/>
      <c r="AA179" s="31"/>
      <c r="AB179" s="31"/>
      <c r="AC179" s="31"/>
      <c r="AD179" s="31"/>
      <c r="AE179" s="31"/>
      <c r="AF179"/>
      <c r="AG179"/>
      <c r="AH179"/>
      <c r="AI179"/>
      <c r="AJ179"/>
      <c r="AK179"/>
      <c r="AL179"/>
      <c r="AM179"/>
      <c r="AN179"/>
      <c r="AO179"/>
      <c r="AP179"/>
      <c r="AQ179"/>
      <c r="AR179"/>
      <c r="AS179"/>
    </row>
    <row r="180" spans="1:45" hidden="1">
      <c r="A180" t="s">
        <v>1696</v>
      </c>
      <c r="C180">
        <f>$C$3*100</f>
        <v>0</v>
      </c>
      <c r="D180" t="s">
        <v>3975</v>
      </c>
      <c r="E180" t="s">
        <v>4107</v>
      </c>
      <c r="F180"/>
      <c r="G180"/>
      <c r="H180"/>
      <c r="I180"/>
      <c r="J180"/>
      <c r="K180"/>
      <c r="L180">
        <f>IF(K176="Y",0.3,0)</f>
        <v>0</v>
      </c>
      <c r="M180"/>
      <c r="N180"/>
      <c r="V180"/>
      <c r="W180"/>
      <c r="X180"/>
      <c r="Y180"/>
      <c r="Z180" s="68"/>
      <c r="AA180" s="31"/>
      <c r="AB180" s="31"/>
      <c r="AC180" s="31"/>
      <c r="AD180" s="31"/>
      <c r="AE180" s="31"/>
      <c r="AF180"/>
      <c r="AG180"/>
      <c r="AH180"/>
      <c r="AI180"/>
      <c r="AJ180"/>
      <c r="AK180"/>
      <c r="AL180"/>
      <c r="AM180"/>
      <c r="AN180"/>
      <c r="AO180"/>
      <c r="AP180"/>
      <c r="AQ180"/>
      <c r="AR180"/>
      <c r="AS180"/>
    </row>
    <row r="181" spans="1:45" hidden="1">
      <c r="A181" t="s">
        <v>1697</v>
      </c>
      <c r="C181">
        <f>$C$3*100</f>
        <v>0</v>
      </c>
      <c r="D181" t="s">
        <v>3975</v>
      </c>
      <c r="E181" t="s">
        <v>4107</v>
      </c>
      <c r="F181"/>
      <c r="G181"/>
      <c r="H181"/>
      <c r="I181"/>
      <c r="J181"/>
      <c r="K181"/>
      <c r="L181"/>
      <c r="M181"/>
      <c r="N181"/>
      <c r="V181"/>
      <c r="W181"/>
      <c r="X181"/>
      <c r="Y181"/>
      <c r="Z181" s="68"/>
      <c r="AA181" s="31"/>
      <c r="AB181" s="31"/>
      <c r="AC181" s="31"/>
      <c r="AD181" s="31"/>
      <c r="AE181" s="31"/>
      <c r="AF181"/>
      <c r="AG181"/>
      <c r="AH181"/>
      <c r="AI181"/>
      <c r="AJ181"/>
      <c r="AK181"/>
      <c r="AL181"/>
      <c r="AM181"/>
      <c r="AN181"/>
      <c r="AO181"/>
      <c r="AP181"/>
      <c r="AQ181"/>
      <c r="AR181"/>
      <c r="AS181"/>
    </row>
    <row r="182" spans="1:45" hidden="1">
      <c r="A182" t="s">
        <v>1698</v>
      </c>
      <c r="C182">
        <f>$C$3*100</f>
        <v>0</v>
      </c>
      <c r="D182" t="s">
        <v>3975</v>
      </c>
      <c r="E182" t="s">
        <v>4107</v>
      </c>
      <c r="F182"/>
      <c r="G182"/>
      <c r="H182"/>
      <c r="I182"/>
      <c r="J182"/>
      <c r="K182"/>
      <c r="L182"/>
      <c r="M182"/>
      <c r="N182"/>
      <c r="V182"/>
      <c r="W182"/>
      <c r="X182"/>
      <c r="Y182"/>
      <c r="Z182" s="68"/>
      <c r="AA182" s="31"/>
      <c r="AB182" s="31"/>
      <c r="AC182" s="31"/>
      <c r="AD182" s="31"/>
      <c r="AE182" s="31"/>
      <c r="AF182"/>
      <c r="AG182"/>
      <c r="AH182"/>
      <c r="AI182"/>
      <c r="AJ182"/>
      <c r="AK182"/>
      <c r="AL182"/>
      <c r="AM182"/>
      <c r="AN182"/>
      <c r="AO182"/>
      <c r="AP182"/>
      <c r="AQ182"/>
      <c r="AR182"/>
      <c r="AS182"/>
    </row>
    <row r="183" spans="1:45" hidden="1">
      <c r="A183" t="s">
        <v>1699</v>
      </c>
      <c r="C183" t="s">
        <v>3596</v>
      </c>
      <c r="D183"/>
      <c r="E183"/>
      <c r="F183"/>
      <c r="G183"/>
      <c r="H183"/>
      <c r="I183"/>
      <c r="J183"/>
      <c r="K183"/>
      <c r="L183"/>
      <c r="M183"/>
      <c r="N183"/>
      <c r="V183"/>
      <c r="W183"/>
      <c r="X183"/>
      <c r="Y183"/>
      <c r="Z183" s="68"/>
      <c r="AA183" s="31"/>
      <c r="AB183" s="31"/>
      <c r="AC183" s="31"/>
      <c r="AD183" s="31"/>
      <c r="AE183" s="31"/>
      <c r="AF183"/>
      <c r="AG183"/>
      <c r="AH183"/>
      <c r="AI183"/>
      <c r="AJ183"/>
      <c r="AK183"/>
      <c r="AL183"/>
      <c r="AM183"/>
      <c r="AN183"/>
      <c r="AO183"/>
      <c r="AP183"/>
      <c r="AQ183"/>
    </row>
    <row r="184" spans="1:45" hidden="1">
      <c r="A184" t="s">
        <v>1700</v>
      </c>
      <c r="C184" t="s">
        <v>3596</v>
      </c>
      <c r="D184"/>
      <c r="E184"/>
      <c r="F184"/>
      <c r="G184"/>
      <c r="H184"/>
      <c r="I184"/>
      <c r="J184"/>
      <c r="K184"/>
      <c r="L184"/>
      <c r="M184"/>
      <c r="N184"/>
      <c r="V184"/>
      <c r="W184"/>
      <c r="X184"/>
      <c r="Y184"/>
      <c r="Z184" s="68"/>
      <c r="AA184" s="31"/>
      <c r="AB184" s="31"/>
      <c r="AC184" s="31"/>
      <c r="AD184" s="31"/>
      <c r="AE184" s="31"/>
      <c r="AF184"/>
      <c r="AG184"/>
      <c r="AH184"/>
      <c r="AI184"/>
      <c r="AJ184"/>
      <c r="AK184"/>
      <c r="AL184"/>
      <c r="AM184"/>
      <c r="AO184"/>
      <c r="AP184"/>
      <c r="AQ184"/>
    </row>
    <row r="185" spans="1:45" hidden="1">
      <c r="A185" t="s">
        <v>1701</v>
      </c>
      <c r="C185" t="s">
        <v>3596</v>
      </c>
      <c r="D185"/>
      <c r="E185"/>
      <c r="F185"/>
      <c r="G185"/>
      <c r="H185"/>
      <c r="I185"/>
      <c r="J185"/>
      <c r="K185"/>
      <c r="L185"/>
      <c r="M185"/>
      <c r="N185"/>
      <c r="V185"/>
      <c r="W185"/>
      <c r="X185"/>
      <c r="Y185"/>
      <c r="Z185" s="68"/>
      <c r="AA185" s="31"/>
      <c r="AB185" s="31"/>
      <c r="AC185" s="31"/>
      <c r="AD185" s="31"/>
      <c r="AE185" s="31"/>
      <c r="AF185"/>
      <c r="AG185"/>
      <c r="AH185"/>
      <c r="AI185"/>
      <c r="AJ185"/>
      <c r="AK185"/>
      <c r="AL185"/>
    </row>
    <row r="186" spans="1:45" hidden="1">
      <c r="A186" t="s">
        <v>2436</v>
      </c>
      <c r="C186" t="s">
        <v>1669</v>
      </c>
      <c r="D186"/>
      <c r="E186"/>
      <c r="F186"/>
      <c r="G186"/>
      <c r="H186"/>
      <c r="I186"/>
      <c r="J186"/>
      <c r="K186"/>
      <c r="L186"/>
      <c r="M186"/>
      <c r="N186"/>
      <c r="V186"/>
      <c r="W186"/>
      <c r="X186"/>
      <c r="Y186"/>
      <c r="Z186" s="68"/>
      <c r="AA186" s="31"/>
      <c r="AB186" s="31"/>
      <c r="AC186" s="67"/>
      <c r="AD186" s="31"/>
      <c r="AE186" s="31"/>
      <c r="AF186"/>
      <c r="AG186"/>
      <c r="AH186"/>
      <c r="AI186"/>
      <c r="AJ186"/>
      <c r="AK186"/>
    </row>
    <row r="187" spans="1:45" hidden="1">
      <c r="C187">
        <v>0.15</v>
      </c>
      <c r="D187" t="s">
        <v>1670</v>
      </c>
      <c r="E187"/>
      <c r="F187"/>
      <c r="G187"/>
      <c r="H187"/>
      <c r="I187"/>
      <c r="J187"/>
      <c r="K187"/>
      <c r="L187"/>
      <c r="M187"/>
      <c r="N187"/>
      <c r="V187"/>
      <c r="W187"/>
      <c r="X187"/>
      <c r="Y187"/>
      <c r="Z187" s="68"/>
      <c r="AA187" s="31"/>
      <c r="AB187" s="67"/>
      <c r="AC187" s="67"/>
      <c r="AD187" s="67"/>
      <c r="AE187" s="31"/>
      <c r="AF187"/>
      <c r="AG187"/>
      <c r="AH187"/>
      <c r="AI187"/>
      <c r="AJ187"/>
      <c r="AK187"/>
    </row>
    <row r="188" spans="1:45" hidden="1">
      <c r="A188" t="s">
        <v>1702</v>
      </c>
      <c r="C188" t="s">
        <v>2299</v>
      </c>
      <c r="D188"/>
      <c r="E188"/>
      <c r="F188"/>
      <c r="G188"/>
      <c r="H188"/>
      <c r="I188"/>
      <c r="J188"/>
      <c r="K188"/>
      <c r="L188"/>
      <c r="M188"/>
      <c r="N188"/>
      <c r="V188"/>
      <c r="W188"/>
      <c r="X188"/>
      <c r="Y188"/>
      <c r="Z188" s="68"/>
      <c r="AA188" s="67"/>
      <c r="AB188" s="67"/>
      <c r="AC188" s="67"/>
      <c r="AD188" s="67"/>
      <c r="AE188" s="31"/>
      <c r="AF188"/>
      <c r="AG188"/>
      <c r="AH188"/>
      <c r="AI188"/>
      <c r="AJ188"/>
    </row>
    <row r="189" spans="1:45" hidden="1">
      <c r="C189"/>
      <c r="D189"/>
      <c r="E189"/>
      <c r="F189">
        <v>0.05</v>
      </c>
      <c r="G189"/>
      <c r="H189"/>
      <c r="I189"/>
      <c r="J189"/>
      <c r="K189"/>
      <c r="L189"/>
      <c r="M189"/>
      <c r="N189"/>
      <c r="V189"/>
      <c r="W189"/>
      <c r="X189"/>
      <c r="Y189"/>
      <c r="Z189" s="68"/>
      <c r="AA189" s="67"/>
      <c r="AB189" s="67"/>
      <c r="AC189" s="67"/>
      <c r="AD189" s="67"/>
      <c r="AE189" s="67"/>
    </row>
    <row r="190" spans="1:45" hidden="1">
      <c r="A190" t="s">
        <v>1703</v>
      </c>
      <c r="C190" t="s">
        <v>2300</v>
      </c>
      <c r="D190"/>
      <c r="E190"/>
      <c r="F190"/>
      <c r="G190"/>
      <c r="H190"/>
      <c r="I190"/>
      <c r="J190"/>
      <c r="K190"/>
      <c r="L190"/>
      <c r="M190"/>
      <c r="N190"/>
      <c r="V190"/>
      <c r="W190"/>
      <c r="X190"/>
      <c r="Y190"/>
      <c r="Z190" s="68"/>
      <c r="AA190" s="67"/>
      <c r="AB190" s="67"/>
      <c r="AC190" s="67"/>
      <c r="AD190" s="67"/>
      <c r="AE190" s="67"/>
    </row>
    <row r="191" spans="1:45" hidden="1">
      <c r="A191" t="s">
        <v>1704</v>
      </c>
      <c r="C191" t="s">
        <v>3596</v>
      </c>
      <c r="D191"/>
      <c r="E191"/>
      <c r="F191"/>
      <c r="G191" t="s">
        <v>1671</v>
      </c>
      <c r="H191"/>
      <c r="I191" s="1078">
        <f>$C$3</f>
        <v>0</v>
      </c>
      <c r="J191" t="s">
        <v>4396</v>
      </c>
      <c r="K191"/>
      <c r="L191"/>
      <c r="M191"/>
      <c r="N191"/>
      <c r="V191"/>
      <c r="W191"/>
      <c r="X191"/>
      <c r="Y191"/>
      <c r="Z191" s="68"/>
      <c r="AA191" s="67"/>
      <c r="AB191" s="67"/>
      <c r="AC191" s="67"/>
      <c r="AD191" s="67"/>
      <c r="AE191" s="67"/>
    </row>
    <row r="192" spans="1:45" hidden="1">
      <c r="A192" t="s">
        <v>1705</v>
      </c>
      <c r="C192" t="s">
        <v>3596</v>
      </c>
      <c r="D192"/>
      <c r="E192"/>
      <c r="F192"/>
      <c r="G192"/>
      <c r="H192"/>
      <c r="I192"/>
      <c r="J192"/>
      <c r="K192"/>
      <c r="L192"/>
      <c r="M192"/>
      <c r="N192"/>
      <c r="V192"/>
      <c r="W192"/>
      <c r="X192"/>
      <c r="Y192"/>
      <c r="Z192" s="68"/>
      <c r="AA192" s="67"/>
      <c r="AB192" s="67"/>
      <c r="AC192" s="67"/>
      <c r="AD192" s="67"/>
      <c r="AE192" s="67"/>
    </row>
    <row r="193" spans="1:31" hidden="1">
      <c r="A193" t="s">
        <v>1706</v>
      </c>
      <c r="C193" t="s">
        <v>2437</v>
      </c>
      <c r="D193"/>
      <c r="E193"/>
      <c r="F193"/>
      <c r="G193"/>
      <c r="H193"/>
      <c r="I193"/>
      <c r="J193"/>
      <c r="K193"/>
      <c r="L193"/>
      <c r="M193"/>
      <c r="N193"/>
      <c r="V193"/>
      <c r="W193"/>
      <c r="X193"/>
      <c r="Y193"/>
      <c r="Z193" s="68"/>
      <c r="AA193" s="67"/>
      <c r="AB193" s="67"/>
      <c r="AC193" s="67"/>
      <c r="AD193" s="67"/>
      <c r="AE193" s="67"/>
    </row>
    <row r="194" spans="1:31" hidden="1">
      <c r="A194" t="s">
        <v>1707</v>
      </c>
      <c r="C194" t="s">
        <v>2438</v>
      </c>
      <c r="D194"/>
      <c r="E194"/>
      <c r="F194"/>
      <c r="G194"/>
      <c r="H194"/>
      <c r="I194"/>
      <c r="J194"/>
      <c r="K194"/>
      <c r="L194">
        <f>$C$3*3</f>
        <v>0</v>
      </c>
      <c r="M194"/>
      <c r="N194"/>
      <c r="V194"/>
      <c r="W194"/>
      <c r="X194"/>
      <c r="Y194"/>
      <c r="Z194" s="68"/>
      <c r="AA194" s="67"/>
      <c r="AB194" s="67"/>
      <c r="AC194" s="67"/>
      <c r="AD194" s="67"/>
      <c r="AE194" s="67"/>
    </row>
    <row r="195" spans="1:31" hidden="1">
      <c r="A195" t="s">
        <v>4506</v>
      </c>
      <c r="C195" t="s">
        <v>2438</v>
      </c>
      <c r="D195"/>
      <c r="E195"/>
      <c r="F195"/>
      <c r="G195"/>
      <c r="H195"/>
      <c r="I195"/>
      <c r="J195"/>
      <c r="K195"/>
      <c r="L195"/>
      <c r="M195" t="s">
        <v>4397</v>
      </c>
      <c r="N195"/>
      <c r="V195"/>
      <c r="W195"/>
      <c r="X195"/>
      <c r="Y195"/>
      <c r="Z195" s="68"/>
      <c r="AA195" s="67"/>
      <c r="AB195" s="67"/>
      <c r="AC195" s="67"/>
      <c r="AD195" s="67"/>
      <c r="AE195" s="67"/>
    </row>
    <row r="196" spans="1:31" hidden="1">
      <c r="A196" t="s">
        <v>1708</v>
      </c>
      <c r="C196" t="s">
        <v>2438</v>
      </c>
      <c r="D196"/>
      <c r="E196"/>
      <c r="F196"/>
      <c r="G196"/>
      <c r="H196"/>
      <c r="I196"/>
      <c r="J196"/>
      <c r="K196"/>
      <c r="L196"/>
      <c r="M196"/>
      <c r="N196"/>
      <c r="V196"/>
      <c r="W196"/>
      <c r="X196"/>
      <c r="Y196"/>
      <c r="Z196" s="68"/>
      <c r="AA196" s="67"/>
      <c r="AB196" s="67"/>
      <c r="AC196" s="67"/>
      <c r="AD196" s="67"/>
      <c r="AE196" s="67"/>
    </row>
    <row r="197" spans="1:31" hidden="1">
      <c r="A197" t="s">
        <v>5496</v>
      </c>
      <c r="C197" t="s">
        <v>3078</v>
      </c>
      <c r="D197"/>
      <c r="E197"/>
      <c r="F197"/>
      <c r="G197"/>
      <c r="H197"/>
      <c r="I197"/>
      <c r="J197"/>
      <c r="K197"/>
      <c r="L197"/>
      <c r="M197"/>
      <c r="N197"/>
      <c r="V197"/>
      <c r="W197"/>
      <c r="X197"/>
      <c r="Y197"/>
      <c r="Z197" s="68"/>
      <c r="AA197" s="67"/>
      <c r="AB197" s="67"/>
      <c r="AC197" s="67"/>
      <c r="AD197" s="67"/>
      <c r="AE197" s="67"/>
    </row>
    <row r="198" spans="1:31" hidden="1">
      <c r="A198" t="s">
        <v>3079</v>
      </c>
      <c r="C198" t="s">
        <v>3597</v>
      </c>
      <c r="D198"/>
      <c r="E198"/>
      <c r="F198"/>
      <c r="G198"/>
      <c r="H198"/>
      <c r="I198"/>
      <c r="J198"/>
      <c r="K198"/>
      <c r="L198"/>
      <c r="M198"/>
      <c r="N198"/>
      <c r="V198"/>
      <c r="W198"/>
      <c r="X198"/>
      <c r="Y198"/>
      <c r="Z198" s="68"/>
      <c r="AA198" s="67"/>
      <c r="AB198" s="67"/>
      <c r="AC198" s="67"/>
      <c r="AD198" s="67"/>
      <c r="AE198" s="67"/>
    </row>
    <row r="199" spans="1:31" hidden="1">
      <c r="A199" t="s">
        <v>3598</v>
      </c>
      <c r="C199" t="s">
        <v>3599</v>
      </c>
      <c r="D199"/>
      <c r="E199"/>
      <c r="F199"/>
      <c r="G199"/>
      <c r="H199"/>
      <c r="I199"/>
      <c r="J199"/>
      <c r="K199"/>
      <c r="L199"/>
      <c r="M199"/>
      <c r="N199"/>
      <c r="V199"/>
      <c r="W199"/>
      <c r="X199"/>
      <c r="Y199"/>
      <c r="Z199" s="68"/>
      <c r="AA199" s="67"/>
      <c r="AB199" s="67"/>
      <c r="AC199" s="67"/>
      <c r="AD199" s="67"/>
      <c r="AE199" s="67"/>
    </row>
    <row r="200" spans="1:31" hidden="1">
      <c r="A200" t="s">
        <v>3601</v>
      </c>
      <c r="C200" t="s">
        <v>3602</v>
      </c>
      <c r="D200"/>
      <c r="E200"/>
      <c r="F200"/>
      <c r="G200"/>
      <c r="H200"/>
      <c r="I200"/>
      <c r="J200"/>
      <c r="K200"/>
      <c r="L200"/>
      <c r="M200"/>
      <c r="N200"/>
      <c r="V200"/>
      <c r="W200"/>
      <c r="X200"/>
      <c r="Y200"/>
      <c r="Z200" s="68"/>
      <c r="AA200" s="67"/>
      <c r="AB200" s="67"/>
      <c r="AC200" s="67"/>
      <c r="AD200" s="67"/>
      <c r="AE200" s="67"/>
    </row>
    <row r="201" spans="1:31" hidden="1">
      <c r="C201"/>
      <c r="D201"/>
      <c r="E201"/>
      <c r="F201"/>
      <c r="G201"/>
      <c r="H201"/>
      <c r="I201"/>
      <c r="J201"/>
      <c r="K201"/>
      <c r="L201" t="s">
        <v>2439</v>
      </c>
      <c r="M201"/>
      <c r="N201"/>
      <c r="V201"/>
      <c r="W201"/>
      <c r="X201"/>
      <c r="Y201"/>
      <c r="Z201" s="68"/>
      <c r="AA201" s="67"/>
      <c r="AB201" s="67"/>
      <c r="AC201" s="67"/>
      <c r="AD201" s="67"/>
      <c r="AE201" s="67"/>
    </row>
    <row r="202" spans="1:31" hidden="1">
      <c r="C202"/>
      <c r="D202"/>
      <c r="E202"/>
      <c r="F202"/>
      <c r="G202"/>
      <c r="H202"/>
      <c r="I202"/>
      <c r="J202"/>
      <c r="K202"/>
      <c r="L202" t="s">
        <v>5493</v>
      </c>
      <c r="M202">
        <v>0.1</v>
      </c>
      <c r="N202"/>
      <c r="V202"/>
      <c r="W202"/>
      <c r="X202"/>
      <c r="Y202"/>
      <c r="Z202" s="68"/>
      <c r="AA202" s="67"/>
      <c r="AB202" s="67"/>
      <c r="AC202" s="67"/>
      <c r="AD202" s="67"/>
      <c r="AE202" s="67"/>
    </row>
    <row r="203" spans="1:31" hidden="1">
      <c r="C203"/>
      <c r="D203"/>
      <c r="E203"/>
      <c r="F203"/>
      <c r="G203"/>
      <c r="H203"/>
      <c r="I203"/>
      <c r="J203"/>
      <c r="K203"/>
      <c r="L203" t="s">
        <v>5494</v>
      </c>
      <c r="M203">
        <v>0.05</v>
      </c>
      <c r="N203"/>
      <c r="V203"/>
      <c r="W203"/>
      <c r="X203"/>
      <c r="Y203"/>
      <c r="Z203" s="68"/>
      <c r="AA203" s="67"/>
      <c r="AB203" s="67"/>
      <c r="AC203" s="67"/>
      <c r="AD203" s="67"/>
      <c r="AE203" s="67"/>
    </row>
    <row r="204" spans="1:31" hidden="1">
      <c r="C204"/>
      <c r="D204"/>
      <c r="E204"/>
      <c r="F204"/>
      <c r="G204" s="1078">
        <f>$C$3</f>
        <v>0</v>
      </c>
      <c r="H204" t="s">
        <v>3600</v>
      </c>
      <c r="I204"/>
      <c r="J204"/>
      <c r="K204"/>
      <c r="L204" t="s">
        <v>5495</v>
      </c>
      <c r="M204">
        <v>0.05</v>
      </c>
      <c r="N204"/>
      <c r="V204"/>
      <c r="W204"/>
      <c r="X204"/>
      <c r="Y204"/>
      <c r="Z204" s="68"/>
      <c r="AA204" s="67"/>
      <c r="AB204" s="67"/>
      <c r="AC204" s="67"/>
      <c r="AD204" s="67"/>
      <c r="AE204" s="67"/>
    </row>
    <row r="205" spans="1:31" hidden="1">
      <c r="C205"/>
      <c r="D205"/>
      <c r="E205"/>
      <c r="F205"/>
      <c r="G205"/>
      <c r="H205"/>
      <c r="I205"/>
      <c r="J205"/>
      <c r="K205"/>
      <c r="L205"/>
      <c r="M205">
        <v>0.1</v>
      </c>
      <c r="N205"/>
      <c r="V205"/>
      <c r="W205"/>
      <c r="X205"/>
      <c r="Y205"/>
      <c r="Z205" s="68"/>
      <c r="AA205" s="67"/>
      <c r="AB205" s="67"/>
      <c r="AC205" s="67"/>
      <c r="AD205" s="67"/>
      <c r="AE205" s="67"/>
    </row>
    <row r="206" spans="1:31" hidden="1">
      <c r="C206"/>
      <c r="D206"/>
      <c r="E206"/>
      <c r="F206"/>
      <c r="G206"/>
      <c r="H206"/>
      <c r="I206"/>
      <c r="J206"/>
      <c r="K206"/>
      <c r="L206"/>
      <c r="M206"/>
      <c r="N206"/>
      <c r="V206"/>
      <c r="W206"/>
      <c r="X206"/>
      <c r="Y206"/>
      <c r="Z206" s="68"/>
      <c r="AA206" s="67"/>
      <c r="AB206" s="67"/>
      <c r="AC206" s="67"/>
      <c r="AD206" s="67"/>
      <c r="AE206" s="67"/>
    </row>
    <row r="207" spans="1:31" hidden="1">
      <c r="C207"/>
      <c r="D207"/>
      <c r="E207"/>
      <c r="F207"/>
      <c r="G207"/>
      <c r="H207"/>
      <c r="I207"/>
      <c r="J207"/>
      <c r="K207"/>
      <c r="L207"/>
      <c r="M207"/>
      <c r="N207"/>
      <c r="V207"/>
      <c r="W207"/>
      <c r="X207"/>
      <c r="Y207"/>
      <c r="Z207" s="68"/>
      <c r="AA207" s="67"/>
      <c r="AB207" s="67"/>
      <c r="AC207" s="67"/>
      <c r="AD207" s="67"/>
      <c r="AE207" s="67"/>
    </row>
    <row r="208" spans="1:31" hidden="1">
      <c r="C208"/>
      <c r="D208"/>
      <c r="E208"/>
      <c r="F208"/>
      <c r="G208"/>
      <c r="H208"/>
      <c r="I208"/>
      <c r="J208"/>
      <c r="K208"/>
      <c r="L208"/>
      <c r="M208"/>
      <c r="N208"/>
      <c r="V208"/>
      <c r="W208"/>
      <c r="X208"/>
      <c r="Y208"/>
      <c r="Z208" s="68"/>
      <c r="AA208" s="67"/>
      <c r="AB208" s="67"/>
      <c r="AC208" s="67"/>
      <c r="AD208" s="67"/>
      <c r="AE208" s="67"/>
    </row>
    <row r="209" spans="3:31" hidden="1">
      <c r="C209"/>
      <c r="D209"/>
      <c r="E209"/>
      <c r="F209"/>
      <c r="G209"/>
      <c r="H209"/>
      <c r="I209"/>
      <c r="J209"/>
      <c r="K209"/>
      <c r="L209"/>
      <c r="M209"/>
      <c r="N209"/>
      <c r="V209"/>
      <c r="W209"/>
      <c r="X209"/>
      <c r="Y209"/>
      <c r="Z209" s="68"/>
      <c r="AA209" s="67"/>
      <c r="AB209" s="67"/>
      <c r="AC209" s="67"/>
      <c r="AD209" s="67"/>
      <c r="AE209" s="67"/>
    </row>
    <row r="210" spans="3:31" hidden="1">
      <c r="C210"/>
      <c r="D210"/>
      <c r="E210"/>
      <c r="F210"/>
      <c r="G210"/>
      <c r="H210"/>
      <c r="I210"/>
      <c r="J210"/>
      <c r="K210"/>
      <c r="L210"/>
      <c r="M210"/>
      <c r="N210"/>
      <c r="V210"/>
      <c r="W210"/>
      <c r="X210"/>
      <c r="Y210"/>
      <c r="Z210" s="68"/>
      <c r="AA210" s="67"/>
      <c r="AB210" s="67"/>
      <c r="AC210" s="67"/>
      <c r="AD210" s="67"/>
      <c r="AE210" s="67"/>
    </row>
    <row r="211" spans="3:31" hidden="1">
      <c r="C211"/>
      <c r="D211"/>
      <c r="E211"/>
      <c r="F211"/>
      <c r="G211"/>
      <c r="H211"/>
      <c r="I211"/>
      <c r="J211"/>
      <c r="K211"/>
      <c r="L211"/>
      <c r="M211"/>
      <c r="N211"/>
      <c r="V211"/>
      <c r="W211"/>
      <c r="X211"/>
      <c r="Y211"/>
      <c r="Z211" s="68"/>
      <c r="AA211" s="67"/>
      <c r="AB211" s="67"/>
      <c r="AC211" s="67"/>
      <c r="AD211" s="67"/>
      <c r="AE211" s="67"/>
    </row>
    <row r="212" spans="3:31" hidden="1">
      <c r="C212"/>
      <c r="D212"/>
      <c r="E212"/>
      <c r="F212"/>
      <c r="G212"/>
      <c r="H212"/>
      <c r="I212"/>
      <c r="J212"/>
      <c r="K212"/>
      <c r="L212"/>
      <c r="M212"/>
      <c r="N212"/>
      <c r="V212"/>
      <c r="W212"/>
      <c r="X212"/>
      <c r="Y212"/>
      <c r="Z212" s="68"/>
      <c r="AA212" s="67"/>
      <c r="AB212" s="67"/>
      <c r="AC212" s="67"/>
      <c r="AD212" s="67"/>
      <c r="AE212" s="67"/>
    </row>
    <row r="213" spans="3:31" hidden="1">
      <c r="C213"/>
      <c r="D213"/>
      <c r="E213"/>
      <c r="F213"/>
      <c r="G213"/>
      <c r="H213"/>
      <c r="I213"/>
      <c r="J213"/>
      <c r="K213"/>
      <c r="L213"/>
      <c r="M213"/>
      <c r="N213"/>
      <c r="V213"/>
      <c r="W213"/>
      <c r="X213"/>
      <c r="Y213"/>
      <c r="Z213" s="68"/>
      <c r="AA213" s="67"/>
      <c r="AB213" s="67"/>
      <c r="AD213" s="67"/>
      <c r="AE213" s="67"/>
    </row>
    <row r="214" spans="3:31" hidden="1">
      <c r="C214"/>
      <c r="D214"/>
      <c r="E214"/>
      <c r="F214"/>
      <c r="G214"/>
      <c r="H214"/>
      <c r="I214"/>
      <c r="J214"/>
      <c r="K214"/>
      <c r="L214"/>
      <c r="M214"/>
      <c r="N214"/>
      <c r="V214"/>
      <c r="W214"/>
      <c r="X214"/>
      <c r="Y214"/>
      <c r="Z214" s="68"/>
      <c r="AA214" s="67"/>
      <c r="AE214" s="67"/>
    </row>
    <row r="215" spans="3:31" hidden="1">
      <c r="C215"/>
      <c r="D215"/>
      <c r="E215"/>
      <c r="F215"/>
      <c r="G215"/>
      <c r="H215"/>
      <c r="I215"/>
      <c r="J215"/>
      <c r="V215"/>
      <c r="W215"/>
      <c r="X215"/>
      <c r="Y215"/>
      <c r="Z215" s="10"/>
      <c r="AE215" s="67"/>
    </row>
    <row r="216" spans="3:31" hidden="1">
      <c r="V216"/>
      <c r="W216"/>
      <c r="X216"/>
      <c r="Y216"/>
      <c r="Z216" s="10"/>
    </row>
    <row r="217" spans="3:31">
      <c r="V217" s="67"/>
      <c r="W217" s="66"/>
      <c r="X217" s="68"/>
      <c r="Y217" s="68"/>
      <c r="Z217" s="10"/>
    </row>
    <row r="218" spans="3:31">
      <c r="V218" s="67"/>
      <c r="W218" s="66"/>
      <c r="X218" s="68"/>
      <c r="Y218" s="68"/>
      <c r="Z218" s="10"/>
    </row>
    <row r="219" spans="3:31">
      <c r="V219" s="67"/>
      <c r="W219" s="66"/>
      <c r="X219" s="68"/>
      <c r="Y219" s="68"/>
      <c r="Z219" s="10"/>
    </row>
    <row r="220" spans="3:31">
      <c r="V220" s="67"/>
      <c r="W220" s="66"/>
      <c r="X220" s="68"/>
      <c r="Y220" s="68"/>
      <c r="Z220" s="10"/>
    </row>
    <row r="221" spans="3:31">
      <c r="V221" s="67"/>
      <c r="W221" s="66"/>
      <c r="X221" s="68"/>
      <c r="Y221" s="68"/>
      <c r="Z221" s="10"/>
    </row>
    <row r="222" spans="3:31">
      <c r="V222" s="67"/>
      <c r="W222" s="66"/>
      <c r="X222" s="68"/>
      <c r="Y222" s="68"/>
      <c r="Z222" s="10"/>
    </row>
    <row r="223" spans="3:31">
      <c r="V223" s="67"/>
      <c r="W223" s="66"/>
      <c r="X223" s="68"/>
      <c r="Y223" s="68"/>
      <c r="Z223" s="10"/>
    </row>
    <row r="224" spans="3:31">
      <c r="V224" s="67"/>
      <c r="W224" s="66"/>
      <c r="X224" s="68"/>
      <c r="Y224" s="68"/>
      <c r="Z224" s="10"/>
    </row>
    <row r="225" spans="22:26">
      <c r="V225" s="67"/>
      <c r="W225" s="66"/>
      <c r="X225" s="68"/>
      <c r="Y225" s="68"/>
      <c r="Z225" s="10"/>
    </row>
    <row r="226" spans="22:26">
      <c r="V226" s="67"/>
      <c r="W226" s="66"/>
      <c r="X226" s="68"/>
      <c r="Y226" s="68"/>
      <c r="Z226" s="10"/>
    </row>
    <row r="227" spans="22:26">
      <c r="V227" s="67"/>
      <c r="W227" s="66"/>
      <c r="X227" s="68"/>
      <c r="Y227" s="68"/>
      <c r="Z227" s="10"/>
    </row>
    <row r="228" spans="22:26">
      <c r="V228" s="67"/>
      <c r="W228" s="66"/>
      <c r="X228" s="68"/>
      <c r="Y228" s="68"/>
      <c r="Z228" s="10"/>
    </row>
    <row r="229" spans="22:26">
      <c r="V229" s="67"/>
      <c r="W229" s="66"/>
      <c r="X229" s="68"/>
      <c r="Y229" s="68"/>
      <c r="Z229" s="10"/>
    </row>
    <row r="230" spans="22:26">
      <c r="V230" s="67"/>
      <c r="W230" s="67"/>
      <c r="X230" s="68"/>
      <c r="Y230" s="68"/>
      <c r="Z230" s="10"/>
    </row>
    <row r="231" spans="22:26">
      <c r="V231" s="67"/>
      <c r="W231" s="67"/>
      <c r="X231" s="68"/>
      <c r="Y231" s="68"/>
      <c r="Z231" s="10"/>
    </row>
    <row r="232" spans="22:26">
      <c r="V232" s="67"/>
      <c r="W232" s="67"/>
      <c r="X232" s="68"/>
      <c r="Y232" s="68"/>
      <c r="Z232" s="10"/>
    </row>
    <row r="233" spans="22:26">
      <c r="X233" s="68"/>
      <c r="Y233" s="68"/>
      <c r="Z233" s="10"/>
    </row>
    <row r="234" spans="22:26">
      <c r="X234" s="68"/>
      <c r="Y234" s="68"/>
      <c r="Z234" s="10"/>
    </row>
    <row r="235" spans="22:26">
      <c r="X235" s="68"/>
      <c r="Y235" s="68"/>
      <c r="Z235" s="10"/>
    </row>
    <row r="236" spans="22:26">
      <c r="X236" s="68"/>
      <c r="Y236" s="68"/>
      <c r="Z236" s="10"/>
    </row>
    <row r="237" spans="22:26">
      <c r="X237" s="68"/>
      <c r="Y237" s="68"/>
      <c r="Z237" s="10"/>
    </row>
    <row r="238" spans="22:26">
      <c r="X238" s="68"/>
      <c r="Y238" s="68"/>
      <c r="Z238" s="10"/>
    </row>
    <row r="239" spans="22:26">
      <c r="X239" s="10"/>
      <c r="Y239" s="10"/>
      <c r="Z239" s="10"/>
    </row>
    <row r="240" spans="22:26">
      <c r="X240" s="10"/>
      <c r="Y240" s="10"/>
      <c r="Z240" s="10"/>
    </row>
    <row r="241" spans="24:26">
      <c r="X241" s="10"/>
      <c r="Y241" s="10"/>
      <c r="Z241" s="10"/>
    </row>
    <row r="242" spans="24:26">
      <c r="X242" s="10"/>
      <c r="Y242" s="10"/>
      <c r="Z242" s="10"/>
    </row>
    <row r="243" spans="24:26">
      <c r="X243" s="10"/>
      <c r="Y243" s="10"/>
      <c r="Z243" s="10"/>
    </row>
    <row r="244" spans="24:26">
      <c r="X244" s="10"/>
      <c r="Y244" s="10"/>
      <c r="Z244" s="10"/>
    </row>
    <row r="245" spans="24:26">
      <c r="X245" s="10"/>
      <c r="Y245" s="10"/>
      <c r="Z245" s="10"/>
    </row>
    <row r="246" spans="24:26">
      <c r="X246" s="10"/>
      <c r="Y246" s="10"/>
      <c r="Z246" s="10"/>
    </row>
    <row r="247" spans="24:26">
      <c r="X247" s="10"/>
      <c r="Y247" s="10"/>
      <c r="Z247" s="10"/>
    </row>
    <row r="248" spans="24:26">
      <c r="X248" s="10"/>
      <c r="Y248" s="10"/>
      <c r="Z248" s="10"/>
    </row>
    <row r="249" spans="24:26">
      <c r="X249" s="10"/>
      <c r="Y249" s="10"/>
      <c r="Z249" s="10"/>
    </row>
    <row r="250" spans="24:26">
      <c r="X250" s="10"/>
      <c r="Y250" s="10"/>
      <c r="Z250" s="10"/>
    </row>
    <row r="251" spans="24:26">
      <c r="X251" s="10"/>
      <c r="Y251" s="10"/>
      <c r="Z251" s="10"/>
    </row>
    <row r="252" spans="24:26">
      <c r="X252" s="10"/>
      <c r="Y252" s="10"/>
      <c r="Z252" s="10"/>
    </row>
    <row r="253" spans="24:26">
      <c r="X253" s="10"/>
      <c r="Y253" s="10"/>
      <c r="Z253" s="10"/>
    </row>
    <row r="254" spans="24:26">
      <c r="X254" s="10"/>
      <c r="Y254" s="10"/>
      <c r="Z254" s="10"/>
    </row>
    <row r="255" spans="24:26">
      <c r="X255" s="10"/>
      <c r="Y255" s="10"/>
      <c r="Z255" s="10"/>
    </row>
    <row r="256" spans="24:26">
      <c r="X256" s="10"/>
      <c r="Y256" s="10"/>
      <c r="Z256" s="10"/>
    </row>
    <row r="257" spans="24:26">
      <c r="X257" s="10"/>
      <c r="Y257" s="10"/>
      <c r="Z257" s="10"/>
    </row>
    <row r="258" spans="24:26">
      <c r="X258" s="10"/>
      <c r="Y258" s="10"/>
      <c r="Z258" s="10"/>
    </row>
    <row r="259" spans="24:26">
      <c r="X259" s="10"/>
      <c r="Y259" s="10"/>
      <c r="Z259" s="10"/>
    </row>
    <row r="260" spans="24:26">
      <c r="X260" s="10"/>
      <c r="Y260" s="10"/>
      <c r="Z260" s="10"/>
    </row>
    <row r="261" spans="24:26">
      <c r="X261" s="10"/>
      <c r="Y261" s="10"/>
      <c r="Z261" s="10"/>
    </row>
    <row r="262" spans="24:26">
      <c r="X262" s="10"/>
      <c r="Y262" s="10"/>
      <c r="Z262" s="10"/>
    </row>
    <row r="263" spans="24:26">
      <c r="X263" s="10"/>
      <c r="Y263" s="10"/>
      <c r="Z263" s="10"/>
    </row>
    <row r="264" spans="24:26">
      <c r="X264" s="10"/>
      <c r="Y264" s="10"/>
      <c r="Z264" s="10"/>
    </row>
    <row r="265" spans="24:26">
      <c r="X265" s="10"/>
      <c r="Y265" s="10"/>
      <c r="Z265" s="10"/>
    </row>
    <row r="266" spans="24:26">
      <c r="X266" s="10"/>
      <c r="Y266" s="10"/>
      <c r="Z266" s="10"/>
    </row>
    <row r="267" spans="24:26">
      <c r="X267" s="10"/>
      <c r="Y267" s="10"/>
      <c r="Z267" s="10"/>
    </row>
    <row r="268" spans="24:26">
      <c r="X268" s="10"/>
      <c r="Y268" s="10"/>
      <c r="Z268" s="10"/>
    </row>
    <row r="269" spans="24:26">
      <c r="X269" s="10"/>
      <c r="Y269" s="10"/>
      <c r="Z269" s="10"/>
    </row>
    <row r="270" spans="24:26">
      <c r="X270" s="10"/>
      <c r="Y270" s="10"/>
      <c r="Z270" s="10"/>
    </row>
    <row r="271" spans="24:26">
      <c r="X271" s="10"/>
      <c r="Y271" s="10"/>
      <c r="Z271" s="10"/>
    </row>
    <row r="272" spans="24:26">
      <c r="X272" s="10"/>
      <c r="Y272" s="10"/>
      <c r="Z272" s="10"/>
    </row>
    <row r="273" spans="24:26">
      <c r="X273" s="10"/>
      <c r="Y273" s="10"/>
      <c r="Z273" s="10"/>
    </row>
    <row r="274" spans="24:26">
      <c r="X274" s="10"/>
      <c r="Y274" s="10"/>
      <c r="Z274" s="10"/>
    </row>
    <row r="275" spans="24:26">
      <c r="X275" s="10"/>
      <c r="Y275" s="10"/>
      <c r="Z275" s="10"/>
    </row>
    <row r="276" spans="24:26">
      <c r="X276" s="10"/>
      <c r="Y276" s="10"/>
      <c r="Z276" s="10"/>
    </row>
    <row r="277" spans="24:26">
      <c r="X277" s="10"/>
      <c r="Y277" s="10"/>
      <c r="Z277" s="10"/>
    </row>
    <row r="278" spans="24:26">
      <c r="X278" s="10"/>
      <c r="Y278" s="10"/>
      <c r="Z278" s="10"/>
    </row>
    <row r="279" spans="24:26">
      <c r="X279" s="10"/>
      <c r="Y279" s="10"/>
      <c r="Z279" s="10"/>
    </row>
    <row r="280" spans="24:26">
      <c r="X280" s="10"/>
      <c r="Y280" s="10"/>
      <c r="Z280" s="10"/>
    </row>
    <row r="281" spans="24:26">
      <c r="X281" s="10"/>
      <c r="Y281" s="10"/>
      <c r="Z281" s="10"/>
    </row>
    <row r="282" spans="24:26">
      <c r="X282" s="10"/>
      <c r="Y282" s="10"/>
      <c r="Z282" s="10"/>
    </row>
    <row r="283" spans="24:26">
      <c r="X283" s="10"/>
      <c r="Y283" s="10"/>
      <c r="Z283" s="10"/>
    </row>
    <row r="284" spans="24:26">
      <c r="X284" s="10"/>
      <c r="Y284" s="10"/>
      <c r="Z284" s="10"/>
    </row>
    <row r="285" spans="24:26">
      <c r="X285" s="10"/>
      <c r="Y285" s="10"/>
      <c r="Z285" s="10"/>
    </row>
    <row r="286" spans="24:26">
      <c r="X286" s="10"/>
      <c r="Y286" s="10"/>
      <c r="Z286" s="10"/>
    </row>
    <row r="287" spans="24:26">
      <c r="X287" s="10"/>
      <c r="Y287" s="10"/>
      <c r="Z287" s="10"/>
    </row>
    <row r="288" spans="24:26">
      <c r="X288" s="10"/>
      <c r="Y288" s="10"/>
      <c r="Z288" s="10"/>
    </row>
    <row r="289" spans="24:26">
      <c r="X289" s="10"/>
      <c r="Y289" s="10"/>
      <c r="Z289" s="10"/>
    </row>
    <row r="290" spans="24:26">
      <c r="X290" s="10"/>
      <c r="Y290" s="10"/>
      <c r="Z290" s="10"/>
    </row>
    <row r="291" spans="24:26">
      <c r="X291" s="10"/>
      <c r="Y291" s="10"/>
      <c r="Z291" s="10"/>
    </row>
    <row r="292" spans="24:26">
      <c r="X292" s="10"/>
      <c r="Y292" s="10"/>
      <c r="Z292" s="10"/>
    </row>
    <row r="293" spans="24:26">
      <c r="X293" s="10"/>
      <c r="Y293" s="10"/>
      <c r="Z293" s="10"/>
    </row>
    <row r="294" spans="24:26">
      <c r="X294" s="10"/>
      <c r="Y294" s="10"/>
      <c r="Z294" s="10"/>
    </row>
    <row r="295" spans="24:26">
      <c r="X295" s="10"/>
      <c r="Y295" s="10"/>
      <c r="Z295" s="10"/>
    </row>
    <row r="296" spans="24:26">
      <c r="X296" s="10"/>
      <c r="Y296" s="10"/>
      <c r="Z296" s="10"/>
    </row>
    <row r="297" spans="24:26">
      <c r="X297" s="10"/>
      <c r="Y297" s="10"/>
      <c r="Z297" s="10"/>
    </row>
    <row r="298" spans="24:26">
      <c r="X298" s="10"/>
      <c r="Y298" s="10"/>
      <c r="Z298" s="10"/>
    </row>
    <row r="299" spans="24:26">
      <c r="X299" s="10"/>
      <c r="Y299" s="10"/>
      <c r="Z299" s="10"/>
    </row>
    <row r="300" spans="24:26">
      <c r="X300" s="10"/>
      <c r="Y300" s="10"/>
      <c r="Z300" s="10"/>
    </row>
    <row r="301" spans="24:26">
      <c r="X301" s="10"/>
      <c r="Y301" s="10"/>
      <c r="Z301" s="10"/>
    </row>
    <row r="302" spans="24:26">
      <c r="X302" s="10"/>
      <c r="Y302" s="10"/>
      <c r="Z302" s="10"/>
    </row>
    <row r="303" spans="24:26">
      <c r="X303" s="10"/>
      <c r="Y303" s="10"/>
      <c r="Z303" s="10"/>
    </row>
    <row r="304" spans="24:26">
      <c r="X304" s="10"/>
      <c r="Y304" s="10"/>
      <c r="Z304" s="10"/>
    </row>
    <row r="305" spans="24:26">
      <c r="X305" s="10"/>
      <c r="Y305" s="10"/>
      <c r="Z305" s="10"/>
    </row>
    <row r="306" spans="24:26">
      <c r="X306" s="10"/>
      <c r="Y306" s="10"/>
      <c r="Z306" s="10"/>
    </row>
    <row r="307" spans="24:26">
      <c r="X307" s="10"/>
      <c r="Y307" s="10"/>
      <c r="Z307" s="10"/>
    </row>
    <row r="308" spans="24:26">
      <c r="Z308" s="10"/>
    </row>
    <row r="309" spans="24:26">
      <c r="Z309" s="10"/>
    </row>
    <row r="310" spans="24:26">
      <c r="Z310" s="10"/>
    </row>
    <row r="311" spans="24:26">
      <c r="Z311" s="10"/>
    </row>
    <row r="312" spans="24:26">
      <c r="Z312" s="10"/>
    </row>
    <row r="313" spans="24:26">
      <c r="Z313" s="10"/>
    </row>
    <row r="314" spans="24:26">
      <c r="Z314" s="10"/>
    </row>
    <row r="315" spans="24:26">
      <c r="Z315" s="10"/>
    </row>
    <row r="316" spans="24:26">
      <c r="Z316" s="10"/>
    </row>
    <row r="317" spans="24:26">
      <c r="Z317" s="10"/>
    </row>
    <row r="318" spans="24:26">
      <c r="Z318" s="10"/>
    </row>
  </sheetData>
  <mergeCells count="165">
    <mergeCell ref="BG36:BJ36"/>
    <mergeCell ref="BG59:BJ59"/>
    <mergeCell ref="BG60:BJ60"/>
    <mergeCell ref="BG58:BJ58"/>
    <mergeCell ref="BG40:BJ40"/>
    <mergeCell ref="BG41:BJ41"/>
    <mergeCell ref="BG42:BJ42"/>
    <mergeCell ref="BG54:BJ54"/>
    <mergeCell ref="BG55:BJ55"/>
    <mergeCell ref="BG57:BJ57"/>
    <mergeCell ref="BG56:BJ56"/>
    <mergeCell ref="BG44:BJ44"/>
    <mergeCell ref="BG52:BJ52"/>
    <mergeCell ref="BG53:BJ53"/>
    <mergeCell ref="BG48:BJ48"/>
    <mergeCell ref="BG49:BJ49"/>
    <mergeCell ref="BK47:BV47"/>
    <mergeCell ref="BK46:BV46"/>
    <mergeCell ref="BK44:BV44"/>
    <mergeCell ref="BK45:BV45"/>
    <mergeCell ref="BK50:BV50"/>
    <mergeCell ref="Q20:R20"/>
    <mergeCell ref="P20:P21"/>
    <mergeCell ref="Q62:S62"/>
    <mergeCell ref="Q58:S58"/>
    <mergeCell ref="Q59:S59"/>
    <mergeCell ref="Q60:S60"/>
    <mergeCell ref="Q55:S55"/>
    <mergeCell ref="Q52:S52"/>
    <mergeCell ref="Q53:S53"/>
    <mergeCell ref="R48:T48"/>
    <mergeCell ref="Q51:S51"/>
    <mergeCell ref="BE30:BF30"/>
    <mergeCell ref="BK49:BV49"/>
    <mergeCell ref="BG45:BJ45"/>
    <mergeCell ref="BG46:BJ46"/>
    <mergeCell ref="BG47:BJ47"/>
    <mergeCell ref="BG50:BJ50"/>
    <mergeCell ref="BG51:BJ51"/>
    <mergeCell ref="BG61:BJ61"/>
    <mergeCell ref="U62:W62"/>
    <mergeCell ref="BK33:BV33"/>
    <mergeCell ref="BK35:BV35"/>
    <mergeCell ref="BK34:BV34"/>
    <mergeCell ref="BK43:BV43"/>
    <mergeCell ref="BG33:BJ33"/>
    <mergeCell ref="BG34:BJ34"/>
    <mergeCell ref="BK37:BV37"/>
    <mergeCell ref="BK36:BV36"/>
    <mergeCell ref="BK39:BV39"/>
    <mergeCell ref="BK38:BV38"/>
    <mergeCell ref="BK40:BV40"/>
    <mergeCell ref="BK41:BV41"/>
    <mergeCell ref="BK42:BV42"/>
    <mergeCell ref="BG35:BJ35"/>
    <mergeCell ref="BG37:BJ37"/>
    <mergeCell ref="BG38:BJ38"/>
    <mergeCell ref="BG39:BJ39"/>
    <mergeCell ref="BG43:BJ43"/>
    <mergeCell ref="U59:W59"/>
    <mergeCell ref="U60:W60"/>
    <mergeCell ref="U47:W47"/>
    <mergeCell ref="BK61:BV61"/>
    <mergeCell ref="BK48:BV48"/>
    <mergeCell ref="BG32:BJ32"/>
    <mergeCell ref="BK32:BV32"/>
    <mergeCell ref="Q61:S61"/>
    <mergeCell ref="Q57:S57"/>
    <mergeCell ref="Q54:S54"/>
    <mergeCell ref="A48:B48"/>
    <mergeCell ref="S20:S21"/>
    <mergeCell ref="U55:W55"/>
    <mergeCell ref="U56:W56"/>
    <mergeCell ref="U57:W57"/>
    <mergeCell ref="O48:Q48"/>
    <mergeCell ref="I47:K47"/>
    <mergeCell ref="U48:W48"/>
    <mergeCell ref="L47:N47"/>
    <mergeCell ref="O47:Q47"/>
    <mergeCell ref="Q56:S56"/>
    <mergeCell ref="U58:W58"/>
    <mergeCell ref="U53:W53"/>
    <mergeCell ref="U52:W52"/>
    <mergeCell ref="Q49:S49"/>
    <mergeCell ref="Q50:S50"/>
    <mergeCell ref="U54:W54"/>
    <mergeCell ref="U49:W49"/>
    <mergeCell ref="U61:W61"/>
    <mergeCell ref="A39:B39"/>
    <mergeCell ref="A43:B43"/>
    <mergeCell ref="A42:B42"/>
    <mergeCell ref="A46:B46"/>
    <mergeCell ref="A47:B47"/>
    <mergeCell ref="U50:W50"/>
    <mergeCell ref="U51:W51"/>
    <mergeCell ref="A44:B44"/>
    <mergeCell ref="I32:K32"/>
    <mergeCell ref="L32:N32"/>
    <mergeCell ref="L33:L34"/>
    <mergeCell ref="A41:B41"/>
    <mergeCell ref="A40:B40"/>
    <mergeCell ref="R47:T47"/>
    <mergeCell ref="I48:K48"/>
    <mergeCell ref="L48:N48"/>
    <mergeCell ref="C48:E48"/>
    <mergeCell ref="F48:H48"/>
    <mergeCell ref="C47:E47"/>
    <mergeCell ref="H50:I50"/>
    <mergeCell ref="F47:H47"/>
    <mergeCell ref="A45:B45"/>
    <mergeCell ref="A35:B35"/>
    <mergeCell ref="A38:B38"/>
    <mergeCell ref="A37:B37"/>
    <mergeCell ref="A36:B36"/>
    <mergeCell ref="Y4:AC5"/>
    <mergeCell ref="AA6:AC8"/>
    <mergeCell ref="K33:K34"/>
    <mergeCell ref="A4:B4"/>
    <mergeCell ref="N33:N34"/>
    <mergeCell ref="E33:E34"/>
    <mergeCell ref="F32:H32"/>
    <mergeCell ref="J12:K12"/>
    <mergeCell ref="A32:B34"/>
    <mergeCell ref="J9:L9"/>
    <mergeCell ref="A22:B22"/>
    <mergeCell ref="A9:B9"/>
    <mergeCell ref="A5:B5"/>
    <mergeCell ref="A21:B21"/>
    <mergeCell ref="A8:B8"/>
    <mergeCell ref="U33:U34"/>
    <mergeCell ref="W33:W34"/>
    <mergeCell ref="U32:W32"/>
    <mergeCell ref="T33:T34"/>
    <mergeCell ref="O32:Q32"/>
    <mergeCell ref="O33:O34"/>
    <mergeCell ref="Q33:Q34"/>
    <mergeCell ref="J11:K11"/>
    <mergeCell ref="J10:K10"/>
    <mergeCell ref="A1:W1"/>
    <mergeCell ref="F33:F34"/>
    <mergeCell ref="H33:H34"/>
    <mergeCell ref="I33:I34"/>
    <mergeCell ref="P5:R5"/>
    <mergeCell ref="P6:R6"/>
    <mergeCell ref="R33:R34"/>
    <mergeCell ref="J14:L15"/>
    <mergeCell ref="P7:R7"/>
    <mergeCell ref="R32:T32"/>
    <mergeCell ref="A3:B3"/>
    <mergeCell ref="A6:B6"/>
    <mergeCell ref="C32:E32"/>
    <mergeCell ref="C33:C34"/>
    <mergeCell ref="A27:B27"/>
    <mergeCell ref="A28:B28"/>
    <mergeCell ref="A11:B11"/>
    <mergeCell ref="BK60:BV60"/>
    <mergeCell ref="BK59:BV59"/>
    <mergeCell ref="BK58:BV58"/>
    <mergeCell ref="BK57:BV57"/>
    <mergeCell ref="BK52:BV52"/>
    <mergeCell ref="BK53:BV53"/>
    <mergeCell ref="BK51:BV51"/>
    <mergeCell ref="BK56:BV56"/>
    <mergeCell ref="BK55:BV55"/>
    <mergeCell ref="BK54:BV54"/>
  </mergeCells>
  <phoneticPr fontId="17" type="noConversion"/>
  <conditionalFormatting sqref="P50:P53 T50:T52">
    <cfRule type="expression" dxfId="76" priority="1" stopIfTrue="1">
      <formula>$B$51="Y"</formula>
    </cfRule>
    <cfRule type="expression" dxfId="75" priority="2" stopIfTrue="1">
      <formula>$B$52="Y"</formula>
    </cfRule>
    <cfRule type="expression" dxfId="74" priority="3" stopIfTrue="1">
      <formula>$B$53="Y"</formula>
    </cfRule>
  </conditionalFormatting>
  <conditionalFormatting sqref="P57:P62 T56:T57">
    <cfRule type="expression" dxfId="73" priority="4" stopIfTrue="1">
      <formula>$B$53="Y"</formula>
    </cfRule>
  </conditionalFormatting>
  <conditionalFormatting sqref="P54:P56 T53:T55">
    <cfRule type="expression" dxfId="72" priority="5" stopIfTrue="1">
      <formula>$B$52="Y"</formula>
    </cfRule>
    <cfRule type="expression" dxfId="71" priority="6" stopIfTrue="1">
      <formula>$B$53="Y"</formula>
    </cfRule>
  </conditionalFormatting>
  <conditionalFormatting sqref="A35">
    <cfRule type="expression" dxfId="70" priority="7" stopIfTrue="1">
      <formula>$X$35=1</formula>
    </cfRule>
    <cfRule type="expression" dxfId="69" priority="8" stopIfTrue="1">
      <formula>$X$35=2</formula>
    </cfRule>
    <cfRule type="expression" dxfId="68" priority="9" stopIfTrue="1">
      <formula>$X$35=3</formula>
    </cfRule>
  </conditionalFormatting>
  <conditionalFormatting sqref="A36">
    <cfRule type="expression" dxfId="67" priority="10" stopIfTrue="1">
      <formula>$X$36=1</formula>
    </cfRule>
    <cfRule type="expression" dxfId="66" priority="11" stopIfTrue="1">
      <formula>$X$36=2</formula>
    </cfRule>
    <cfRule type="expression" dxfId="65" priority="12" stopIfTrue="1">
      <formula>$X$36=3</formula>
    </cfRule>
  </conditionalFormatting>
  <conditionalFormatting sqref="A37">
    <cfRule type="expression" dxfId="64" priority="13" stopIfTrue="1">
      <formula>$X$37=1</formula>
    </cfRule>
    <cfRule type="expression" dxfId="63" priority="14" stopIfTrue="1">
      <formula>$X$37=2</formula>
    </cfRule>
    <cfRule type="expression" dxfId="62" priority="15" stopIfTrue="1">
      <formula>$X$37=3</formula>
    </cfRule>
  </conditionalFormatting>
  <conditionalFormatting sqref="A38">
    <cfRule type="expression" dxfId="61" priority="16" stopIfTrue="1">
      <formula>$X$38=1</formula>
    </cfRule>
    <cfRule type="expression" dxfId="60" priority="17" stopIfTrue="1">
      <formula>$X$38=2</formula>
    </cfRule>
    <cfRule type="expression" dxfId="59" priority="18" stopIfTrue="1">
      <formula>$X$38=3</formula>
    </cfRule>
  </conditionalFormatting>
  <conditionalFormatting sqref="A39">
    <cfRule type="expression" dxfId="58" priority="19" stopIfTrue="1">
      <formula>$X$39=1</formula>
    </cfRule>
    <cfRule type="expression" dxfId="57" priority="20" stopIfTrue="1">
      <formula>$X$39=2</formula>
    </cfRule>
    <cfRule type="expression" dxfId="56" priority="21" stopIfTrue="1">
      <formula>$X$39=3</formula>
    </cfRule>
  </conditionalFormatting>
  <conditionalFormatting sqref="A40">
    <cfRule type="expression" dxfId="55" priority="22" stopIfTrue="1">
      <formula>$X$40=1</formula>
    </cfRule>
    <cfRule type="expression" dxfId="54" priority="23" stopIfTrue="1">
      <formula>$X$40=2</formula>
    </cfRule>
    <cfRule type="expression" dxfId="53" priority="24" stopIfTrue="1">
      <formula>$X$40=3</formula>
    </cfRule>
  </conditionalFormatting>
  <conditionalFormatting sqref="A41">
    <cfRule type="expression" dxfId="52" priority="25" stopIfTrue="1">
      <formula>$X$41=1</formula>
    </cfRule>
    <cfRule type="expression" dxfId="51" priority="26" stopIfTrue="1">
      <formula>$X$41=2</formula>
    </cfRule>
    <cfRule type="expression" dxfId="50" priority="27" stopIfTrue="1">
      <formula>$X$41=3</formula>
    </cfRule>
  </conditionalFormatting>
  <conditionalFormatting sqref="A42">
    <cfRule type="expression" dxfId="49" priority="28" stopIfTrue="1">
      <formula>$X$42=1</formula>
    </cfRule>
    <cfRule type="expression" dxfId="48" priority="29" stopIfTrue="1">
      <formula>$X$42=2</formula>
    </cfRule>
    <cfRule type="expression" dxfId="47" priority="30" stopIfTrue="1">
      <formula>$X$42=3</formula>
    </cfRule>
  </conditionalFormatting>
  <conditionalFormatting sqref="A43">
    <cfRule type="expression" dxfId="46" priority="31" stopIfTrue="1">
      <formula>$X$43=1</formula>
    </cfRule>
    <cfRule type="expression" dxfId="45" priority="32" stopIfTrue="1">
      <formula>$X$43=2</formula>
    </cfRule>
    <cfRule type="expression" dxfId="44" priority="33" stopIfTrue="1">
      <formula>$X$43=3</formula>
    </cfRule>
  </conditionalFormatting>
  <conditionalFormatting sqref="A44">
    <cfRule type="expression" dxfId="43" priority="34" stopIfTrue="1">
      <formula>$X$44=1</formula>
    </cfRule>
    <cfRule type="expression" dxfId="42" priority="35" stopIfTrue="1">
      <formula>$X$44=2</formula>
    </cfRule>
    <cfRule type="expression" dxfId="41" priority="36" stopIfTrue="1">
      <formula>$X$44=3</formula>
    </cfRule>
  </conditionalFormatting>
  <conditionalFormatting sqref="A45">
    <cfRule type="expression" dxfId="40" priority="37" stopIfTrue="1">
      <formula>$X$45=1</formula>
    </cfRule>
    <cfRule type="expression" dxfId="39" priority="38" stopIfTrue="1">
      <formula>$X$45=2</formula>
    </cfRule>
    <cfRule type="expression" dxfId="38" priority="39" stopIfTrue="1">
      <formula>$X$45=3</formula>
    </cfRule>
  </conditionalFormatting>
  <conditionalFormatting sqref="A46">
    <cfRule type="expression" dxfId="37" priority="40" stopIfTrue="1">
      <formula>$X$46=1</formula>
    </cfRule>
    <cfRule type="expression" dxfId="36" priority="41" stopIfTrue="1">
      <formula>$X$46=2</formula>
    </cfRule>
    <cfRule type="expression" dxfId="35" priority="42" stopIfTrue="1">
      <formula>$X$46=3</formula>
    </cfRule>
  </conditionalFormatting>
  <conditionalFormatting sqref="F35:H35">
    <cfRule type="expression" dxfId="34" priority="43" stopIfTrue="1">
      <formula>OR($X$35=1,$X$35=2,$X$35=3)</formula>
    </cfRule>
  </conditionalFormatting>
  <conditionalFormatting sqref="F36:H36">
    <cfRule type="expression" dxfId="33" priority="44" stopIfTrue="1">
      <formula>OR($X$36=1,$X$36=2,$X$36=3)</formula>
    </cfRule>
  </conditionalFormatting>
  <conditionalFormatting sqref="F37:H37">
    <cfRule type="expression" dxfId="32" priority="45" stopIfTrue="1">
      <formula>OR($X$37=1,$X$37=2,$X$37=3)</formula>
    </cfRule>
  </conditionalFormatting>
  <conditionalFormatting sqref="F38:H38">
    <cfRule type="expression" dxfId="31" priority="46" stopIfTrue="1">
      <formula>OR($X$38=1,$X$38=2,$X$38=3)</formula>
    </cfRule>
  </conditionalFormatting>
  <conditionalFormatting sqref="F39:H39">
    <cfRule type="expression" dxfId="30" priority="47" stopIfTrue="1">
      <formula>OR($X$39=1,$X$39=2,$X$39=3)</formula>
    </cfRule>
  </conditionalFormatting>
  <conditionalFormatting sqref="F40:H40">
    <cfRule type="expression" dxfId="29" priority="48" stopIfTrue="1">
      <formula>OR($X$40=1,$X$40=2,$X$40=3)</formula>
    </cfRule>
  </conditionalFormatting>
  <conditionalFormatting sqref="F41:H41">
    <cfRule type="expression" dxfId="28" priority="49" stopIfTrue="1">
      <formula>OR($X$41=1,$X$41=2,$X$41=3)</formula>
    </cfRule>
  </conditionalFormatting>
  <conditionalFormatting sqref="F42:H42">
    <cfRule type="expression" dxfId="27" priority="50" stopIfTrue="1">
      <formula>OR($X$42=1,$X$42=2,$X$42=3)</formula>
    </cfRule>
  </conditionalFormatting>
  <conditionalFormatting sqref="F43:H43">
    <cfRule type="expression" dxfId="26" priority="51" stopIfTrue="1">
      <formula>OR($X$43=1,$X$43=2,$X$43=3)</formula>
    </cfRule>
  </conditionalFormatting>
  <conditionalFormatting sqref="F44:H44">
    <cfRule type="expression" dxfId="25" priority="52" stopIfTrue="1">
      <formula>OR($X$44=1,$X$44=2,$X$44=3)</formula>
    </cfRule>
  </conditionalFormatting>
  <conditionalFormatting sqref="F45:H45">
    <cfRule type="expression" dxfId="24" priority="53" stopIfTrue="1">
      <formula>OR($X$45=1,$X$45=2,$X$45=3)</formula>
    </cfRule>
  </conditionalFormatting>
  <conditionalFormatting sqref="F46:H46">
    <cfRule type="expression" dxfId="23" priority="54" stopIfTrue="1">
      <formula>OR($X$46=1,$X$46=2,$X$46=3)</formula>
    </cfRule>
  </conditionalFormatting>
  <conditionalFormatting sqref="C35:E35 I35:W35">
    <cfRule type="expression" dxfId="22" priority="55" stopIfTrue="1">
      <formula>OR($X$35=1,$X$35=2)</formula>
    </cfRule>
  </conditionalFormatting>
  <conditionalFormatting sqref="C36:E36 I36:W36">
    <cfRule type="expression" dxfId="21" priority="56" stopIfTrue="1">
      <formula>OR($X$36=1,$X$36=2)</formula>
    </cfRule>
  </conditionalFormatting>
  <conditionalFormatting sqref="C37:E37 I37:W37">
    <cfRule type="expression" dxfId="20" priority="57" stopIfTrue="1">
      <formula>OR($X$37=1,$X$37=2)</formula>
    </cfRule>
  </conditionalFormatting>
  <conditionalFormatting sqref="C38:E38 I38:W38">
    <cfRule type="expression" dxfId="19" priority="58" stopIfTrue="1">
      <formula>OR($X$38=1,$X$38=2)</formula>
    </cfRule>
  </conditionalFormatting>
  <conditionalFormatting sqref="C39:E39 I39:W39">
    <cfRule type="expression" dxfId="18" priority="59" stopIfTrue="1">
      <formula>OR($X$39=1,$X$39=2)</formula>
    </cfRule>
  </conditionalFormatting>
  <conditionalFormatting sqref="C40:E40 I40:W40">
    <cfRule type="expression" dxfId="17" priority="60" stopIfTrue="1">
      <formula>OR($X$40=1,$X$40=2)</formula>
    </cfRule>
  </conditionalFormatting>
  <conditionalFormatting sqref="C41:E41 I41:W41">
    <cfRule type="expression" dxfId="16" priority="61" stopIfTrue="1">
      <formula>OR($X$41=1,$X$41=2)</formula>
    </cfRule>
  </conditionalFormatting>
  <conditionalFormatting sqref="C42:E42 I42:W42">
    <cfRule type="expression" dxfId="15" priority="62" stopIfTrue="1">
      <formula>OR($X$42=1,$X$42=2)</formula>
    </cfRule>
  </conditionalFormatting>
  <conditionalFormatting sqref="C43:E43 I43:W43">
    <cfRule type="expression" dxfId="14" priority="63" stopIfTrue="1">
      <formula>OR($X$43=1,$X$43=2)</formula>
    </cfRule>
  </conditionalFormatting>
  <conditionalFormatting sqref="C44:E44 I44:W44">
    <cfRule type="expression" dxfId="13" priority="64" stopIfTrue="1">
      <formula>OR($X$44=1,$X$44=2)</formula>
    </cfRule>
  </conditionalFormatting>
  <conditionalFormatting sqref="C45:E45 I45:W45">
    <cfRule type="expression" dxfId="12" priority="65" stopIfTrue="1">
      <formula>OR($X$45=1,$X$45=2)</formula>
    </cfRule>
  </conditionalFormatting>
  <conditionalFormatting sqref="C46:E46 I46:W46">
    <cfRule type="expression" dxfId="11" priority="66" stopIfTrue="1">
      <formula>OR($X$46=1,$X$46=2)</formula>
    </cfRule>
  </conditionalFormatting>
  <conditionalFormatting sqref="V5">
    <cfRule type="expression" dxfId="10" priority="67" stopIfTrue="1">
      <formula>$W$4="N"</formula>
    </cfRule>
  </conditionalFormatting>
  <conditionalFormatting sqref="W5 Y4:AC5 AA6:AC8">
    <cfRule type="expression" dxfId="9" priority="68" stopIfTrue="1">
      <formula>$W$4="N"</formula>
    </cfRule>
  </conditionalFormatting>
  <conditionalFormatting sqref="A29:L29">
    <cfRule type="expression" priority="159" stopIfTrue="1">
      <formula>ISNA($J$73)</formula>
    </cfRule>
  </conditionalFormatting>
  <conditionalFormatting sqref="A27:L28">
    <cfRule type="expression" dxfId="8" priority="160" stopIfTrue="1">
      <formula>ISNA($J$73)</formula>
    </cfRule>
  </conditionalFormatting>
  <pageMargins left="0" right="0" top="0" bottom="0" header="0" footer="0"/>
  <pageSetup scale="66" orientation="landscape" horizontalDpi="300" verticalDpi="300" r:id="rId1"/>
  <headerFooter alignWithMargins="0"/>
  <legacyDrawing r:id="rId2"/>
</worksheet>
</file>

<file path=xl/worksheets/sheet13.xml><?xml version="1.0" encoding="utf-8"?>
<worksheet xmlns="http://schemas.openxmlformats.org/spreadsheetml/2006/main" xmlns:r="http://schemas.openxmlformats.org/officeDocument/2006/relationships">
  <sheetPr codeName="Sheet8">
    <tabColor rgb="FF0070C0"/>
  </sheetPr>
  <dimension ref="A1:BN1062"/>
  <sheetViews>
    <sheetView workbookViewId="0">
      <pane xSplit="1" ySplit="2" topLeftCell="C3" activePane="bottomRight" state="frozen"/>
      <selection activeCell="A2" sqref="A2"/>
      <selection pane="topRight" activeCell="A2" sqref="A2"/>
      <selection pane="bottomLeft" activeCell="A2" sqref="A2"/>
      <selection pane="bottomRight" activeCell="A2" sqref="A2"/>
    </sheetView>
  </sheetViews>
  <sheetFormatPr defaultRowHeight="12.75" outlineLevelRow="1" outlineLevelCol="1"/>
  <cols>
    <col min="1" max="1" width="33" style="31" bestFit="1" customWidth="1"/>
    <col min="2" max="2" width="4.5703125" style="67" hidden="1" customWidth="1" outlineLevel="1"/>
    <col min="3" max="3" width="6.5703125" style="67" customWidth="1" collapsed="1"/>
    <col min="4" max="4" width="6.5703125" style="67" customWidth="1"/>
    <col min="5" max="5" width="5" style="77" hidden="1" customWidth="1" outlineLevel="1"/>
    <col min="6" max="6" width="7.85546875" style="67" bestFit="1" customWidth="1" collapsed="1"/>
    <col min="7" max="7" width="6.42578125" style="152" customWidth="1"/>
    <col min="8" max="8" width="6.140625" style="67" hidden="1" customWidth="1" outlineLevel="1"/>
    <col min="9" max="9" width="4.28515625" style="31" hidden="1" customWidth="1" outlineLevel="1"/>
    <col min="10" max="10" width="5.140625" style="31" hidden="1" customWidth="1" outlineLevel="1"/>
    <col min="11" max="11" width="5.42578125" style="67" bestFit="1" customWidth="1" collapsed="1"/>
    <col min="12" max="12" width="6.140625" style="67" bestFit="1" customWidth="1"/>
    <col min="13" max="13" width="6.7109375" style="67" bestFit="1" customWidth="1"/>
    <col min="14" max="14" width="7.5703125" style="67" bestFit="1" customWidth="1"/>
    <col min="15" max="16" width="7.5703125" style="67" hidden="1" customWidth="1" outlineLevel="1"/>
    <col min="17" max="17" width="5.5703125" style="67" bestFit="1" customWidth="1" collapsed="1"/>
    <col min="18" max="18" width="4.42578125" style="67" bestFit="1" customWidth="1"/>
    <col min="19" max="19" width="5.7109375" style="67" bestFit="1" customWidth="1"/>
    <col min="20" max="20" width="9.42578125" style="67" bestFit="1" customWidth="1"/>
    <col min="21" max="21" width="9.42578125" style="67" customWidth="1"/>
    <col min="22" max="22" width="7.85546875" style="67" bestFit="1" customWidth="1"/>
    <col min="23" max="23" width="3.140625" style="31" bestFit="1" customWidth="1"/>
    <col min="24" max="24" width="3.5703125" style="31" bestFit="1" customWidth="1"/>
    <col min="26" max="27" width="0" hidden="1" customWidth="1"/>
  </cols>
  <sheetData>
    <row r="1" spans="1:27" ht="21.75" customHeight="1">
      <c r="A1" s="2807" t="s">
        <v>4070</v>
      </c>
      <c r="B1" s="2808"/>
      <c r="C1" s="2808"/>
      <c r="D1" s="2808"/>
      <c r="E1" s="2808"/>
      <c r="F1" s="2808"/>
      <c r="G1" s="2808"/>
      <c r="H1" s="2808"/>
      <c r="I1" s="2808"/>
      <c r="J1" s="2808"/>
      <c r="K1" s="2808"/>
      <c r="L1" s="2808"/>
      <c r="M1" s="2808"/>
      <c r="N1" s="2808"/>
      <c r="O1" s="2808"/>
      <c r="P1" s="2808"/>
      <c r="Q1" s="2808"/>
      <c r="R1" s="2808"/>
      <c r="S1" s="2808"/>
      <c r="T1" s="2808"/>
      <c r="U1" s="2808"/>
      <c r="V1" s="2808"/>
      <c r="W1" s="2808"/>
      <c r="X1" s="2808"/>
      <c r="Y1" s="444"/>
      <c r="Z1" s="444"/>
    </row>
    <row r="2" spans="1:27" ht="27.75">
      <c r="A2" s="48" t="s">
        <v>4771</v>
      </c>
      <c r="B2" s="76" t="s">
        <v>2789</v>
      </c>
      <c r="C2" s="76" t="s">
        <v>2790</v>
      </c>
      <c r="D2" s="76" t="s">
        <v>2635</v>
      </c>
      <c r="E2" s="76" t="s">
        <v>1017</v>
      </c>
      <c r="F2" s="149" t="s">
        <v>2791</v>
      </c>
      <c r="G2" s="76" t="s">
        <v>132</v>
      </c>
      <c r="H2" s="150" t="s">
        <v>861</v>
      </c>
      <c r="I2" s="76" t="s">
        <v>1018</v>
      </c>
      <c r="J2" s="76" t="s">
        <v>3119</v>
      </c>
      <c r="K2" s="76" t="s">
        <v>4719</v>
      </c>
      <c r="L2" s="76" t="s">
        <v>3141</v>
      </c>
      <c r="M2" s="76" t="s">
        <v>3047</v>
      </c>
      <c r="N2" s="76" t="s">
        <v>2786</v>
      </c>
      <c r="O2" s="76" t="s">
        <v>2793</v>
      </c>
      <c r="P2" s="76" t="s">
        <v>2792</v>
      </c>
      <c r="Q2" s="76" t="s">
        <v>941</v>
      </c>
      <c r="R2" s="76" t="s">
        <v>3142</v>
      </c>
      <c r="S2" s="76" t="s">
        <v>3143</v>
      </c>
      <c r="T2" s="76" t="s">
        <v>3144</v>
      </c>
      <c r="U2" s="149" t="s">
        <v>3026</v>
      </c>
      <c r="V2" s="76" t="s">
        <v>5133</v>
      </c>
      <c r="W2" s="76" t="s">
        <v>1742</v>
      </c>
      <c r="X2" s="76" t="s">
        <v>1265</v>
      </c>
      <c r="Y2" s="76" t="s">
        <v>3027</v>
      </c>
      <c r="Z2" s="522" t="s">
        <v>4770</v>
      </c>
      <c r="AA2" s="1074" t="s">
        <v>4771</v>
      </c>
    </row>
    <row r="3" spans="1:27">
      <c r="A3" s="48" t="s">
        <v>4819</v>
      </c>
      <c r="B3" s="76">
        <f>SUM(B4:B20)</f>
        <v>44</v>
      </c>
      <c r="C3" s="76">
        <f>SUM(C4:C20)</f>
        <v>44</v>
      </c>
      <c r="D3" s="76">
        <f>SUM(D4:D20)</f>
        <v>0</v>
      </c>
      <c r="E3" s="76"/>
      <c r="F3" s="149">
        <f>SUM(C4:C10)+IF(F11="Y",SUM(C11:C18),0)+IF(F19="Y",SUM(C19:C19),0)+IF(F20="Y",C20,0)</f>
        <v>10</v>
      </c>
      <c r="G3" s="76"/>
      <c r="H3" s="150"/>
      <c r="I3" s="76"/>
      <c r="J3" s="76"/>
      <c r="K3" s="76"/>
      <c r="L3" s="76"/>
      <c r="M3" s="222">
        <f>Magick!$L$4</f>
        <v>0.1</v>
      </c>
      <c r="N3" s="222">
        <f>Magick!$L$4</f>
        <v>0.1</v>
      </c>
      <c r="O3" s="222">
        <f>Magick!$L$4</f>
        <v>0.1</v>
      </c>
      <c r="P3" s="222">
        <f>Magick!$L$4</f>
        <v>0.1</v>
      </c>
      <c r="Q3" s="76"/>
      <c r="R3" s="76"/>
      <c r="S3" s="76"/>
      <c r="T3" s="76"/>
      <c r="U3" s="149">
        <f>SUM(U4:U20)</f>
        <v>0</v>
      </c>
      <c r="V3" s="76"/>
      <c r="W3" s="76"/>
      <c r="X3" s="149"/>
      <c r="Y3" s="509">
        <f>SUM(X4:X1057)</f>
        <v>0</v>
      </c>
      <c r="Z3" s="1054" t="str">
        <f t="shared" ref="Z3:Z65" si="0">A3</f>
        <v>Common</v>
      </c>
      <c r="AA3" t="str">
        <f t="shared" ref="AA3:AA66" si="1">IF(ISNUMBER(MATCH($Z3,Spell_Methods,0)),$Z3,$AA2)</f>
        <v>Common</v>
      </c>
    </row>
    <row r="4" spans="1:27" hidden="1" outlineLevel="1">
      <c r="A4" s="31" t="s">
        <v>4360</v>
      </c>
      <c r="B4" s="67">
        <v>1</v>
      </c>
      <c r="C4" s="67">
        <f t="shared" ref="C4:C21" si="2">B4</f>
        <v>1</v>
      </c>
      <c r="D4" s="67">
        <f t="shared" ref="D4:D21" si="3">IF(AND(ISNUMBER(H4),H4=0),C4,0)</f>
        <v>0</v>
      </c>
      <c r="E4" s="77">
        <f>IF(F4="y",HLOOKUP((IF(C4&lt;1,1,C4)),Magick!$C$20:$L$21,2),NA())</f>
        <v>10</v>
      </c>
      <c r="F4" s="67" t="str">
        <f>IF(C4&lt;=Magick!$D$3,"Y","N")</f>
        <v>Y</v>
      </c>
      <c r="G4" s="148" t="s">
        <v>128</v>
      </c>
      <c r="H4" s="151"/>
      <c r="I4" s="77" t="e">
        <f>IF(H4&gt;0,(HLOOKUP(C4,Magick!$C$20:$L$21,2)-HLOOKUP(H4,Magick!$C$20:$L$21,2)),NA())</f>
        <v>#N/A</v>
      </c>
      <c r="J4" s="77"/>
      <c r="K4" s="67">
        <v>2</v>
      </c>
      <c r="L4" s="72" t="str">
        <f>IF(H4&gt;0,M4-('Master Spell List'!H16*0.1),"N/A")</f>
        <v>N/A</v>
      </c>
      <c r="M4" s="72">
        <f>Magick!$L$4</f>
        <v>0.1</v>
      </c>
      <c r="N4" s="72">
        <f>Magick!$L$4</f>
        <v>0.1</v>
      </c>
      <c r="O4" s="72"/>
      <c r="P4" s="72"/>
      <c r="Q4" s="67" t="str">
        <f>IF('Main Creation Page'!$AB$2=53,"Word","Cantrip")</f>
        <v>Cantrip</v>
      </c>
      <c r="R4" s="67">
        <f ca="1">IF(Q4="Ritual","N/A",IF(Q4="I.E.","N/A",IF(Q4="WOG",VLOOKUP(VLOOKUP(Magick!$A$3,Magick!$AD$5:$AU$48,9)*100,magestuff!$B$134:$F$138,2),IF(Q4="Cantrip",VLOOKUP(VLOOKUP(Magick!$A$3,Magick!$AD$5:$AU$48,9)*100,magestuff!$B$134:$F$138,3),IF(Q4="Hex",VLOOKUP(VLOOKUP(Magick!$A$3,Magick!$AD$5:$AU$48,9)*100,magestuff!$B$134:$F$138,4),VLOOKUP(VLOOKUP(Magick!$A$3,Magick!$AD$5:$AU$48,9)*100,magestuff!$B$134:$F$138,5))))))</f>
        <v>9</v>
      </c>
      <c r="S4" s="67" t="s">
        <v>5545</v>
      </c>
      <c r="T4" s="67" t="s">
        <v>5545</v>
      </c>
      <c r="U4" s="67" t="str">
        <f t="shared" ref="U4:U21" si="4">IF(ISBLANK(H4)," ",IF(H4&gt;0,0,C4*10))</f>
        <v xml:space="preserve"> </v>
      </c>
      <c r="V4" s="515"/>
      <c r="W4" s="125"/>
      <c r="X4" s="31">
        <f t="shared" ref="X4:X21" si="5">W4*3</f>
        <v>0</v>
      </c>
      <c r="Y4" s="509"/>
      <c r="Z4" s="1054" t="str">
        <f t="shared" si="0"/>
        <v>Affix</v>
      </c>
      <c r="AA4" s="1072" t="str">
        <f t="shared" si="1"/>
        <v>Common</v>
      </c>
    </row>
    <row r="5" spans="1:27" hidden="1" outlineLevel="1">
      <c r="A5" s="31" t="s">
        <v>4359</v>
      </c>
      <c r="B5" s="67">
        <v>1</v>
      </c>
      <c r="C5" s="67">
        <f t="shared" si="2"/>
        <v>1</v>
      </c>
      <c r="D5" s="67">
        <f t="shared" si="3"/>
        <v>0</v>
      </c>
      <c r="E5" s="77">
        <f>IF(F5="y",HLOOKUP((IF(C5&lt;1,1,C5)),Magick!$C$20:$L$21,2),NA())</f>
        <v>10</v>
      </c>
      <c r="F5" s="67" t="str">
        <f>IF(C5&lt;=Magick!$D$3,"Y","N")</f>
        <v>Y</v>
      </c>
      <c r="G5" s="148" t="s">
        <v>128</v>
      </c>
      <c r="H5" s="151"/>
      <c r="I5" s="77" t="e">
        <f>IF(H5&gt;0,(HLOOKUP(C5,Magick!$C$20:$L$21,2)-HLOOKUP(H5,Magick!$C$20:$L$21,2)),NA())</f>
        <v>#N/A</v>
      </c>
      <c r="J5" s="77"/>
      <c r="K5" s="67">
        <v>2</v>
      </c>
      <c r="L5" s="72" t="str">
        <f>IF(H5&gt;0,M5-('Master Spell List'!H15*0.1),"N/A")</f>
        <v>N/A</v>
      </c>
      <c r="M5" s="72">
        <f>Magick!$L$4</f>
        <v>0.1</v>
      </c>
      <c r="N5" s="72">
        <f>Magick!$L$4</f>
        <v>0.1</v>
      </c>
      <c r="O5" s="72"/>
      <c r="P5" s="72"/>
      <c r="Q5" s="67" t="str">
        <f>IF('Main Creation Page'!$AB$2=53,"Word","Cantrip")</f>
        <v>Cantrip</v>
      </c>
      <c r="R5" s="67">
        <f ca="1">IF(Q5="Ritual","N/A",IF(Q5="I.E.","N/A",IF(Q5="WOG",VLOOKUP(VLOOKUP(Magick!$A$3,Magick!$AD$5:$AU$48,9)*100,magestuff!$B$134:$F$138,2),IF(Q5="Cantrip",VLOOKUP(VLOOKUP(Magick!$A$3,Magick!$AD$5:$AU$48,9)*100,magestuff!$B$134:$F$138,3),IF(Q5="Hex",VLOOKUP(VLOOKUP(Magick!$A$3,Magick!$AD$5:$AU$48,9)*100,magestuff!$B$134:$F$138,4),VLOOKUP(VLOOKUP(Magick!$A$3,Magick!$AD$5:$AU$48,9)*100,magestuff!$B$134:$F$138,5))))))</f>
        <v>9</v>
      </c>
      <c r="S5" s="67" t="s">
        <v>5545</v>
      </c>
      <c r="T5" s="67" t="s">
        <v>5545</v>
      </c>
      <c r="U5" s="67" t="str">
        <f t="shared" si="4"/>
        <v xml:space="preserve"> </v>
      </c>
      <c r="V5" s="515"/>
      <c r="W5" s="125"/>
      <c r="X5" s="31">
        <f t="shared" si="5"/>
        <v>0</v>
      </c>
      <c r="Y5" s="509"/>
      <c r="Z5" s="1054" t="str">
        <f t="shared" si="0"/>
        <v>Detach</v>
      </c>
      <c r="AA5" s="1072" t="str">
        <f t="shared" si="1"/>
        <v>Common</v>
      </c>
    </row>
    <row r="6" spans="1:27" hidden="1" outlineLevel="1">
      <c r="A6" s="31" t="s">
        <v>5105</v>
      </c>
      <c r="B6" s="67">
        <v>1</v>
      </c>
      <c r="C6" s="67">
        <f t="shared" si="2"/>
        <v>1</v>
      </c>
      <c r="D6" s="67">
        <f t="shared" si="3"/>
        <v>0</v>
      </c>
      <c r="E6" s="77">
        <f>IF(F6="y",HLOOKUP((IF(C6&lt;1,1,C6)),Magick!$C$20:$L$21,2),NA())</f>
        <v>10</v>
      </c>
      <c r="F6" s="67" t="str">
        <f>IF(C6&lt;=Magick!$D$3,"Y","N")</f>
        <v>Y</v>
      </c>
      <c r="G6" s="148" t="s">
        <v>128</v>
      </c>
      <c r="H6" s="151"/>
      <c r="I6" s="77" t="e">
        <f>IF(H6&gt;0,(HLOOKUP(C6,Magick!$C$20:$L$21,2)-HLOOKUP(H6,Magick!$C$20:$L$21,2)),NA())</f>
        <v>#N/A</v>
      </c>
      <c r="J6" s="77"/>
      <c r="K6" s="67">
        <v>2</v>
      </c>
      <c r="L6" s="72" t="str">
        <f>IF(H6&gt;0,M6-('Master Spell List'!H6*0.1),"N/A")</f>
        <v>N/A</v>
      </c>
      <c r="M6" s="72">
        <f>Magick!$L$4</f>
        <v>0.1</v>
      </c>
      <c r="N6" s="72">
        <f>Magick!$L$4</f>
        <v>0.1</v>
      </c>
      <c r="O6" s="72"/>
      <c r="P6" s="72"/>
      <c r="Q6" s="67" t="str">
        <f>IF('Main Creation Page'!$AB$2=53,"Word","Cantrip")</f>
        <v>Cantrip</v>
      </c>
      <c r="R6" s="67">
        <f ca="1">IF(Q6="Ritual","N/A",IF(Q6="I.E.","N/A",IF(Q6="WOG",VLOOKUP(VLOOKUP(Magick!$A$3,Magick!$AD$5:$AU$48,9)*100,magestuff!$B$134:$F$138,2),IF(Q6="Cantrip",VLOOKUP(VLOOKUP(Magick!$A$3,Magick!$AD$5:$AU$48,9)*100,magestuff!$B$134:$F$138,3),IF(Q6="Hex",VLOOKUP(VLOOKUP(Magick!$A$3,Magick!$AD$5:$AU$48,9)*100,magestuff!$B$134:$F$138,4),VLOOKUP(VLOOKUP(Magick!$A$3,Magick!$AD$5:$AU$48,9)*100,magestuff!$B$134:$F$138,5))))))</f>
        <v>9</v>
      </c>
      <c r="S6" s="69" t="str">
        <f>CONCATENATE(IF(Magick!$C$3&gt;0,Magick!$C$3*10," "),"ft.")</f>
        <v xml:space="preserve"> ft.</v>
      </c>
      <c r="U6" s="67" t="str">
        <f t="shared" si="4"/>
        <v xml:space="preserve"> </v>
      </c>
      <c r="V6" s="515"/>
      <c r="W6" s="125"/>
      <c r="X6" s="31">
        <f t="shared" si="5"/>
        <v>0</v>
      </c>
      <c r="Y6" s="509"/>
      <c r="Z6" s="1054" t="str">
        <f t="shared" si="0"/>
        <v>Link</v>
      </c>
      <c r="AA6" s="1072" t="str">
        <f t="shared" si="1"/>
        <v>Common</v>
      </c>
    </row>
    <row r="7" spans="1:27" hidden="1" outlineLevel="1">
      <c r="A7" s="31" t="s">
        <v>4356</v>
      </c>
      <c r="B7" s="67">
        <v>1</v>
      </c>
      <c r="C7" s="67">
        <f t="shared" si="2"/>
        <v>1</v>
      </c>
      <c r="D7" s="67">
        <f t="shared" si="3"/>
        <v>0</v>
      </c>
      <c r="E7" s="77">
        <f>IF(F7="y",HLOOKUP((IF(C7&lt;1,1,C7)),Magick!$C$20:$L$21,2),NA())</f>
        <v>10</v>
      </c>
      <c r="F7" s="67" t="str">
        <f>IF(C7&lt;=Magick!$D$3,"Y","N")</f>
        <v>Y</v>
      </c>
      <c r="G7" s="148" t="s">
        <v>128</v>
      </c>
      <c r="H7" s="151"/>
      <c r="I7" s="77" t="e">
        <f>IF(H7&gt;0,(HLOOKUP(C7,Magick!$C$20:$L$21,2)-HLOOKUP(H7,Magick!$C$20:$L$21,2)),NA())</f>
        <v>#N/A</v>
      </c>
      <c r="J7" s="77"/>
      <c r="K7" s="67">
        <v>2</v>
      </c>
      <c r="L7" s="72" t="str">
        <f>IF(H7&gt;0,M7-('Master Spell List'!H8*0.1),"N/A")</f>
        <v>N/A</v>
      </c>
      <c r="M7" s="72">
        <f>Magick!$L$4</f>
        <v>0.1</v>
      </c>
      <c r="N7" s="72">
        <f>Magick!$L$4</f>
        <v>0.1</v>
      </c>
      <c r="O7" s="72"/>
      <c r="P7" s="72"/>
      <c r="Q7" s="67" t="s">
        <v>3725</v>
      </c>
      <c r="R7" s="67" t="str">
        <f>IF(Q7="Ritual","N/A",IF(Q7="I.E.","N/A",IF(Q7="WOG",VLOOKUP(VLOOKUP(Magick!$A$3,Magick!$AD$5:$AU$48,9)*100,magestuff!$B$134:$F$138,2),IF(Q7="Cantrip",VLOOKUP(VLOOKUP(Magick!$A$3,Magick!$AD$5:$AU$48,9)*100,magestuff!$B$134:$F$138,3),IF(Q7="Hex",VLOOKUP(VLOOKUP(Magick!$A$3,Magick!$AD$5:$AU$48,9)*100,magestuff!$B$134:$F$138,4),VLOOKUP(VLOOKUP(Magick!$A$3,Magick!$AD$5:$AU$48,9)*100,magestuff!$B$134:$F$138,5))))))</f>
        <v>N/A</v>
      </c>
      <c r="S7" s="69" t="str">
        <f>CONCATENATE(IF(Magick!$C$3&gt;0,Magick!$C$3*10," "),"ft.")</f>
        <v xml:space="preserve"> ft.</v>
      </c>
      <c r="T7" s="69">
        <f>2*Magick!$C$3</f>
        <v>0</v>
      </c>
      <c r="U7" s="67" t="str">
        <f t="shared" si="4"/>
        <v xml:space="preserve"> </v>
      </c>
      <c r="V7" s="515"/>
      <c r="W7" s="125"/>
      <c r="X7" s="31">
        <f t="shared" si="5"/>
        <v>0</v>
      </c>
      <c r="Y7" s="509"/>
      <c r="Z7" s="1054" t="str">
        <f t="shared" si="0"/>
        <v>Prepare Combination</v>
      </c>
      <c r="AA7" s="1072" t="str">
        <f t="shared" si="1"/>
        <v>Common</v>
      </c>
    </row>
    <row r="8" spans="1:27" hidden="1" outlineLevel="1">
      <c r="A8" s="31" t="s">
        <v>4361</v>
      </c>
      <c r="B8" s="67">
        <v>2</v>
      </c>
      <c r="C8" s="67">
        <f t="shared" si="2"/>
        <v>2</v>
      </c>
      <c r="D8" s="67">
        <f t="shared" si="3"/>
        <v>0</v>
      </c>
      <c r="E8" s="77">
        <f>IF(F8="y",HLOOKUP((IF(C8&lt;1,1,C8)),Magick!$C$20:$L$21,2),NA())</f>
        <v>21</v>
      </c>
      <c r="F8" s="67" t="str">
        <f>IF(C8&lt;=Magick!$D$3,"Y","N")</f>
        <v>Y</v>
      </c>
      <c r="G8" s="148" t="s">
        <v>128</v>
      </c>
      <c r="H8" s="151"/>
      <c r="I8" s="77" t="e">
        <f>IF(H8&gt;0,(HLOOKUP(C8,Magick!$C$20:$L$21,2)-HLOOKUP(H8,Magick!$C$20:$L$21,2)),NA())</f>
        <v>#N/A</v>
      </c>
      <c r="J8" s="77"/>
      <c r="K8" s="67">
        <v>3</v>
      </c>
      <c r="L8" s="72" t="str">
        <f>IF(H8&gt;0,M8-('Master Spell List'!H17*0.1),"N/A")</f>
        <v>N/A</v>
      </c>
      <c r="M8" s="72">
        <f>Magick!$L$4</f>
        <v>0.1</v>
      </c>
      <c r="N8" s="72">
        <f>Magick!$L$4</f>
        <v>0.1</v>
      </c>
      <c r="O8" s="72"/>
      <c r="P8" s="72"/>
      <c r="Q8" s="67" t="str">
        <f>IF('Main Creation Page'!$AB$2=53,"Word","Cantrip")</f>
        <v>Cantrip</v>
      </c>
      <c r="R8" s="67">
        <f ca="1">IF(Q8="Ritual","N/A",IF(Q8="I.E.","N/A",IF(Q8="WOG",VLOOKUP(VLOOKUP(Magick!$A$3,Magick!$AD$5:$AU$48,9)*100,magestuff!$B$134:$F$138,2),IF(Q8="Cantrip",VLOOKUP(VLOOKUP(Magick!$A$3,Magick!$AD$5:$AU$48,9)*100,magestuff!$B$134:$F$138,3),IF(Q8="Hex",VLOOKUP(VLOOKUP(Magick!$A$3,Magick!$AD$5:$AU$48,9)*100,magestuff!$B$134:$F$138,4),VLOOKUP(VLOOKUP(Magick!$A$3,Magick!$AD$5:$AU$48,9)*100,magestuff!$B$134:$F$138,5))))))</f>
        <v>9</v>
      </c>
      <c r="S8" s="67" t="s">
        <v>5545</v>
      </c>
      <c r="T8" s="67" t="s">
        <v>5545</v>
      </c>
      <c r="U8" s="67" t="str">
        <f t="shared" si="4"/>
        <v xml:space="preserve"> </v>
      </c>
      <c r="V8" s="515"/>
      <c r="W8" s="125"/>
      <c r="X8" s="31">
        <f t="shared" si="5"/>
        <v>0</v>
      </c>
      <c r="Y8" s="509"/>
      <c r="Z8" s="1054" t="str">
        <f t="shared" si="0"/>
        <v>Accelerate</v>
      </c>
      <c r="AA8" s="1072" t="str">
        <f t="shared" si="1"/>
        <v>Common</v>
      </c>
    </row>
    <row r="9" spans="1:27" hidden="1" outlineLevel="1">
      <c r="A9" s="31" t="s">
        <v>5103</v>
      </c>
      <c r="B9" s="67">
        <v>2</v>
      </c>
      <c r="C9" s="67">
        <f t="shared" si="2"/>
        <v>2</v>
      </c>
      <c r="D9" s="67">
        <f t="shared" si="3"/>
        <v>0</v>
      </c>
      <c r="E9" s="77">
        <f>IF(F9="y",HLOOKUP((IF(C9&lt;1,1,C9)),Magick!$C$20:$L$21,2),NA())</f>
        <v>21</v>
      </c>
      <c r="F9" s="67" t="str">
        <f>IF(C9&lt;=Magick!$D$3,"Y","N")</f>
        <v>Y</v>
      </c>
      <c r="G9" s="148" t="s">
        <v>128</v>
      </c>
      <c r="H9" s="151"/>
      <c r="I9" s="77" t="e">
        <f>IF(H9&gt;0,(HLOOKUP(C9,Magick!$C$20:$L$21,2)-HLOOKUP(H9,Magick!$C$20:$L$21,2)),NA())</f>
        <v>#N/A</v>
      </c>
      <c r="J9" s="77"/>
      <c r="K9" s="67">
        <v>3</v>
      </c>
      <c r="L9" s="72" t="str">
        <f>IF(H9&gt;0,M9-('Master Spell List'!H4*0.1),"N/A")</f>
        <v>N/A</v>
      </c>
      <c r="M9" s="72">
        <f>Magick!$L$4</f>
        <v>0.1</v>
      </c>
      <c r="N9" s="72">
        <f>Magick!$L$4</f>
        <v>0.1</v>
      </c>
      <c r="O9" s="72"/>
      <c r="P9" s="72"/>
      <c r="Q9" s="67" t="str">
        <f>IF('Main Creation Page'!$AB$2=53,"Sorcery","Ritual")</f>
        <v>Ritual</v>
      </c>
      <c r="R9" s="67" t="str">
        <f>IF(Q9="Ritual","N/A",IF(Q9="I.E.","N/A",IF(Q9="WOG",VLOOKUP(VLOOKUP(Magick!$A$3,Magick!$AD$5:$AU$48,9)*100,magestuff!$B$134:$F$138,2),IF(Q9="Cantrip",VLOOKUP(VLOOKUP(Magick!$A$3,Magick!$AD$5:$AU$48,9)*100,magestuff!$B$134:$F$138,3),IF(Q9="Hex",VLOOKUP(VLOOKUP(Magick!$A$3,Magick!$AD$5:$AU$48,9)*100,magestuff!$B$134:$F$138,4),VLOOKUP(VLOOKUP(Magick!$A$3,Magick!$AD$5:$AU$48,9)*100,magestuff!$B$134:$F$138,5))))))</f>
        <v>N/A</v>
      </c>
      <c r="S9" s="69" t="str">
        <f>CONCATENATE(IF(Magick!$C$3&gt;0,Magick!$C$3," "),"ft.")</f>
        <v xml:space="preserve"> ft.</v>
      </c>
      <c r="T9" s="67" t="s">
        <v>4601</v>
      </c>
      <c r="U9" s="67" t="str">
        <f t="shared" si="4"/>
        <v xml:space="preserve"> </v>
      </c>
      <c r="V9" s="515"/>
      <c r="W9" s="125"/>
      <c r="X9" s="31">
        <f t="shared" si="5"/>
        <v>0</v>
      </c>
      <c r="Y9" s="509"/>
      <c r="Z9" s="1054" t="str">
        <f t="shared" si="0"/>
        <v>Enchant Materials</v>
      </c>
      <c r="AA9" s="1072" t="str">
        <f t="shared" si="1"/>
        <v>Common</v>
      </c>
    </row>
    <row r="10" spans="1:27" hidden="1" outlineLevel="1">
      <c r="A10" s="31" t="s">
        <v>3139</v>
      </c>
      <c r="B10" s="67">
        <v>2</v>
      </c>
      <c r="C10" s="67">
        <f t="shared" si="2"/>
        <v>2</v>
      </c>
      <c r="D10" s="67">
        <f t="shared" si="3"/>
        <v>0</v>
      </c>
      <c r="E10" s="77">
        <f>IF(F10="y",HLOOKUP((IF(C10&lt;1,1,C10)),Magick!$C$20:$L$21,2),NA())</f>
        <v>21</v>
      </c>
      <c r="F10" s="67" t="str">
        <f>IF(C10&lt;=Magick!$D$3,"Y","N")</f>
        <v>Y</v>
      </c>
      <c r="G10" s="148" t="s">
        <v>128</v>
      </c>
      <c r="H10" s="151"/>
      <c r="I10" s="77" t="e">
        <f>IF(H10&gt;0,(HLOOKUP(C10,Magick!$C$20:$L$21,2)-HLOOKUP(H10,Magick!$C$20:$L$21,2)),NA())</f>
        <v>#N/A</v>
      </c>
      <c r="J10" s="77"/>
      <c r="K10" s="67">
        <v>4</v>
      </c>
      <c r="L10" s="72" t="str">
        <f>IF(H10&gt;0,M10-('Master Spell List'!H18*0.1),"N/A")</f>
        <v>N/A</v>
      </c>
      <c r="M10" s="72">
        <f>Magick!$L$4</f>
        <v>0.1</v>
      </c>
      <c r="N10" s="72">
        <f>Magick!$L$4</f>
        <v>0.1</v>
      </c>
      <c r="O10" s="72"/>
      <c r="P10" s="72"/>
      <c r="Q10" s="67" t="str">
        <f>IF('Main Creation Page'!$AB$2=53,"Word","Cantrip")</f>
        <v>Cantrip</v>
      </c>
      <c r="R10" s="67">
        <f ca="1">IF(Q10="Ritual","N/A",IF(Q10="I.E.","N/A",IF(Q10="WOG",VLOOKUP(VLOOKUP(Magick!$A$3,Magick!$AD$5:$AU$48,9)*100,magestuff!$B$134:$F$138,2),IF(Q10="Cantrip",VLOOKUP(VLOOKUP(Magick!$A$3,Magick!$AD$5:$AU$48,9)*100,magestuff!$B$134:$F$138,3),IF(Q10="Hex",VLOOKUP(VLOOKUP(Magick!$A$3,Magick!$AD$5:$AU$48,9)*100,magestuff!$B$134:$F$138,4),VLOOKUP(VLOOKUP(Magick!$A$3,Magick!$AD$5:$AU$48,9)*100,magestuff!$B$134:$F$138,5))))))</f>
        <v>9</v>
      </c>
      <c r="S10" s="67" t="s">
        <v>5545</v>
      </c>
      <c r="T10" s="67" t="s">
        <v>5545</v>
      </c>
      <c r="U10" s="67" t="str">
        <f t="shared" si="4"/>
        <v xml:space="preserve"> </v>
      </c>
      <c r="V10" s="515"/>
      <c r="W10" s="125"/>
      <c r="X10" s="31">
        <f t="shared" si="5"/>
        <v>0</v>
      </c>
      <c r="Y10" s="509"/>
      <c r="Z10" s="1054" t="str">
        <f t="shared" si="0"/>
        <v>Slow</v>
      </c>
      <c r="AA10" s="1072" t="str">
        <f t="shared" si="1"/>
        <v>Common</v>
      </c>
    </row>
    <row r="11" spans="1:27" hidden="1" outlineLevel="1">
      <c r="A11" s="31" t="s">
        <v>1441</v>
      </c>
      <c r="B11" s="67">
        <v>3</v>
      </c>
      <c r="C11" s="67">
        <f t="shared" si="2"/>
        <v>3</v>
      </c>
      <c r="D11" s="67">
        <f t="shared" si="3"/>
        <v>0</v>
      </c>
      <c r="E11" s="77" t="e">
        <f>IF(F11="y",HLOOKUP((IF(C11&lt;1,1,C11)),Magick!$C$20:$L$21,2),NA())</f>
        <v>#N/A</v>
      </c>
      <c r="F11" s="67" t="str">
        <f>IF(C11&lt;=Magick!$D$3,"Y","N")</f>
        <v>N</v>
      </c>
      <c r="G11" s="148" t="s">
        <v>128</v>
      </c>
      <c r="H11" s="151"/>
      <c r="I11" s="77" t="e">
        <f>IF(H11&gt;0,(HLOOKUP(C11,Magick!$C$20:$L$21,2)-HLOOKUP(H11,Magick!$C$20:$L$21,2)),NA())</f>
        <v>#N/A</v>
      </c>
      <c r="J11" s="77"/>
      <c r="K11" s="67">
        <v>5</v>
      </c>
      <c r="L11" s="72" t="str">
        <f>IF(H11&gt;0,M11-('Master Spell List'!H12*0.1),"N/A")</f>
        <v>N/A</v>
      </c>
      <c r="M11" s="72">
        <f>Magick!$L$4</f>
        <v>0.1</v>
      </c>
      <c r="N11" s="72">
        <f>Magick!$L$4</f>
        <v>0.1</v>
      </c>
      <c r="O11" s="72"/>
      <c r="P11" s="72"/>
      <c r="Q11" s="67" t="s">
        <v>3725</v>
      </c>
      <c r="R11" s="67" t="str">
        <f>IF(Q11="Ritual","N/A",IF(Q11="I.E.","N/A",IF(Q11="WOG",VLOOKUP(VLOOKUP(Magick!$A$3,Magick!$AD$5:$AU$48,9)*100,magestuff!$B$134:$F$138,2),IF(Q11="Cantrip",VLOOKUP(VLOOKUP(Magick!$A$3,Magick!$AD$5:$AU$48,9)*100,magestuff!$B$134:$F$138,3),IF(Q11="Hex",VLOOKUP(VLOOKUP(Magick!$A$3,Magick!$AD$5:$AU$48,9)*100,magestuff!$B$134:$F$138,4),VLOOKUP(VLOOKUP(Magick!$A$3,Magick!$AD$5:$AU$48,9)*100,magestuff!$B$134:$F$138,5))))))</f>
        <v>N/A</v>
      </c>
      <c r="S11" s="69" t="str">
        <f>CONCATENATE(IF(Magick!$C$3&gt;0,Magick!$C$3*100," "),"ft.")</f>
        <v xml:space="preserve"> ft.</v>
      </c>
      <c r="U11" s="67" t="str">
        <f t="shared" si="4"/>
        <v xml:space="preserve"> </v>
      </c>
      <c r="V11" s="515"/>
      <c r="W11" s="125"/>
      <c r="X11" s="31">
        <f t="shared" si="5"/>
        <v>0</v>
      </c>
      <c r="Y11" s="509"/>
      <c r="Z11" s="1054" t="str">
        <f t="shared" si="0"/>
        <v>Arm Trigger</v>
      </c>
      <c r="AA11" s="1072" t="str">
        <f t="shared" si="1"/>
        <v>Common</v>
      </c>
    </row>
    <row r="12" spans="1:27" hidden="1" outlineLevel="1">
      <c r="A12" s="31" t="s">
        <v>4358</v>
      </c>
      <c r="B12" s="67">
        <v>3</v>
      </c>
      <c r="C12" s="67">
        <f t="shared" si="2"/>
        <v>3</v>
      </c>
      <c r="D12" s="67">
        <f t="shared" si="3"/>
        <v>0</v>
      </c>
      <c r="E12" s="77" t="e">
        <f>IF(F12="y",HLOOKUP((IF(C12&lt;1,1,C12)),Magick!$C$20:$L$21,2),NA())</f>
        <v>#N/A</v>
      </c>
      <c r="F12" s="67" t="str">
        <f>IF(C12&lt;=Magick!$D$3,"Y","N")</f>
        <v>N</v>
      </c>
      <c r="G12" s="148" t="s">
        <v>128</v>
      </c>
      <c r="H12" s="151"/>
      <c r="I12" s="77" t="e">
        <f>IF(H12&gt;0,(HLOOKUP(C12,Magick!$C$20:$L$21,2)-HLOOKUP(H12,Magick!$C$20:$L$21,2)),NA())</f>
        <v>#N/A</v>
      </c>
      <c r="J12" s="77"/>
      <c r="K12" s="67">
        <v>5</v>
      </c>
      <c r="L12" s="72" t="str">
        <f>IF(H12&gt;0,M12-('Master Spell List'!H14*0.1),"N/A")</f>
        <v>N/A</v>
      </c>
      <c r="M12" s="72">
        <f>Magick!$L$4</f>
        <v>0.1</v>
      </c>
      <c r="N12" s="72">
        <f>Magick!$L$4</f>
        <v>0.1</v>
      </c>
      <c r="O12" s="72"/>
      <c r="P12" s="72"/>
      <c r="Q12" s="67" t="str">
        <f>IF('Main Creation Page'!$AB$2=53,"Cantrip","Hex")</f>
        <v>Hex</v>
      </c>
      <c r="R12" s="67">
        <f ca="1">IF(Q12="Ritual","N/A",IF(Q12="I.E.","N/A",IF(Q12="WOG",VLOOKUP(VLOOKUP(Magick!$A$3,Magick!$AD$5:$AU$48,9)*100,magestuff!$B$134:$F$138,2),IF(Q12="Cantrip",VLOOKUP(VLOOKUP(Magick!$A$3,Magick!$AD$5:$AU$48,9)*100,magestuff!$B$134:$F$138,3),IF(Q12="Hex",VLOOKUP(VLOOKUP(Magick!$A$3,Magick!$AD$5:$AU$48,9)*100,magestuff!$B$134:$F$138,4),VLOOKUP(VLOOKUP(Magick!$A$3,Magick!$AD$5:$AU$48,9)*100,magestuff!$B$134:$F$138,5))))))</f>
        <v>19</v>
      </c>
      <c r="S12" s="69" t="str">
        <f>CONCATENATE(IF(Magick!$C$3&gt;0,Magick!$C$3," "),"people")</f>
        <v xml:space="preserve"> people</v>
      </c>
      <c r="T12" s="67" t="s">
        <v>3256</v>
      </c>
      <c r="U12" s="67" t="str">
        <f t="shared" si="4"/>
        <v xml:space="preserve"> </v>
      </c>
      <c r="V12" s="515"/>
      <c r="W12" s="125"/>
      <c r="X12" s="31">
        <f t="shared" si="5"/>
        <v>0</v>
      </c>
      <c r="Y12" s="509"/>
      <c r="Z12" s="1054" t="str">
        <f t="shared" si="0"/>
        <v>Channelling</v>
      </c>
      <c r="AA12" s="1072" t="str">
        <f t="shared" si="1"/>
        <v>Common</v>
      </c>
    </row>
    <row r="13" spans="1:27" hidden="1" outlineLevel="1">
      <c r="A13" s="31" t="s">
        <v>434</v>
      </c>
      <c r="B13" s="67">
        <v>3</v>
      </c>
      <c r="C13" s="67">
        <f t="shared" si="2"/>
        <v>3</v>
      </c>
      <c r="D13" s="67">
        <f t="shared" si="3"/>
        <v>0</v>
      </c>
      <c r="E13" s="77" t="e">
        <f>IF(F13="y",HLOOKUP((IF(C13&lt;1,1,C13)),Magick!$C$20:$L$21,2),NA())</f>
        <v>#N/A</v>
      </c>
      <c r="F13" s="67" t="str">
        <f>IF(C13&lt;=Magick!$D$3,"Y","N")</f>
        <v>N</v>
      </c>
      <c r="G13" s="148" t="s">
        <v>128</v>
      </c>
      <c r="H13" s="151"/>
      <c r="I13" s="77" t="e">
        <f>IF(H13&gt;0,(HLOOKUP(C13,Magick!$C$20:$L$21,2)-HLOOKUP(H13,Magick!$C$20:$L$21,2)),NA())</f>
        <v>#N/A</v>
      </c>
      <c r="J13" s="77"/>
      <c r="K13" s="67">
        <v>5</v>
      </c>
      <c r="L13" s="72" t="str">
        <f>IF(H13&gt;0,M13-('Master Spell List'!H13*0.1),"N/A")</f>
        <v>N/A</v>
      </c>
      <c r="M13" s="72">
        <f>Magick!$L$4</f>
        <v>0.1</v>
      </c>
      <c r="N13" s="72">
        <f>Magick!$L$4</f>
        <v>0.1</v>
      </c>
      <c r="O13" s="72"/>
      <c r="P13" s="72"/>
      <c r="Q13" s="67" t="s">
        <v>3725</v>
      </c>
      <c r="R13" s="67" t="str">
        <f>IF(Q13="Ritual","N/A",IF(Q13="I.E.","N/A",IF(Q13="WOG",VLOOKUP(VLOOKUP(Magick!$A$3,Magick!$AD$5:$AU$48,9)*100,magestuff!$B$134:$F$138,2),IF(Q13="Cantrip",VLOOKUP(VLOOKUP(Magick!$A$3,Magick!$AD$5:$AU$48,9)*100,magestuff!$B$134:$F$138,3),IF(Q13="Hex",VLOOKUP(VLOOKUP(Magick!$A$3,Magick!$AD$5:$AU$48,9)*100,magestuff!$B$134:$F$138,4),VLOOKUP(VLOOKUP(Magick!$A$3,Magick!$AD$5:$AU$48,9)*100,magestuff!$B$134:$F$138,5))))))</f>
        <v>N/A</v>
      </c>
      <c r="S13" s="69" t="str">
        <f>CONCATENATE(IF(Magick!$C$3&gt;0,Magick!$C$3*100," "),"ft.")</f>
        <v xml:space="preserve"> ft.</v>
      </c>
      <c r="U13" s="67" t="str">
        <f t="shared" si="4"/>
        <v xml:space="preserve"> </v>
      </c>
      <c r="V13" s="515"/>
      <c r="W13" s="125"/>
      <c r="X13" s="31">
        <f t="shared" si="5"/>
        <v>0</v>
      </c>
      <c r="Y13" s="509"/>
      <c r="Z13" s="1054" t="str">
        <f t="shared" si="0"/>
        <v xml:space="preserve">Disarm Trigger </v>
      </c>
      <c r="AA13" s="1072" t="str">
        <f t="shared" si="1"/>
        <v>Common</v>
      </c>
    </row>
    <row r="14" spans="1:27" hidden="1" outlineLevel="1">
      <c r="A14" s="31" t="s">
        <v>4355</v>
      </c>
      <c r="B14" s="67">
        <v>3</v>
      </c>
      <c r="C14" s="67">
        <f t="shared" si="2"/>
        <v>3</v>
      </c>
      <c r="D14" s="67">
        <f t="shared" si="3"/>
        <v>0</v>
      </c>
      <c r="E14" s="77" t="e">
        <f>IF(F14="y",HLOOKUP((IF(C14&lt;1,1,C14)),Magick!$C$20:$L$21,2),NA())</f>
        <v>#N/A</v>
      </c>
      <c r="F14" s="67" t="str">
        <f>IF(C14&lt;=Magick!$D$3,"Y","N")</f>
        <v>N</v>
      </c>
      <c r="G14" s="148" t="s">
        <v>128</v>
      </c>
      <c r="H14" s="151"/>
      <c r="I14" s="77" t="e">
        <f>IF(H14&gt;0,(HLOOKUP(C14,Magick!$C$20:$L$21,2)-HLOOKUP(H14,Magick!$C$20:$L$21,2)),NA())</f>
        <v>#N/A</v>
      </c>
      <c r="J14" s="77"/>
      <c r="K14" s="71" t="s">
        <v>111</v>
      </c>
      <c r="L14" s="72" t="str">
        <f>IF(H14&gt;0,M14-('Master Spell List'!H7*0.1),"N/A")</f>
        <v>N/A</v>
      </c>
      <c r="M14" s="72">
        <f>Magick!$L$4</f>
        <v>0.1</v>
      </c>
      <c r="N14" s="72">
        <f>Magick!$L$4</f>
        <v>0.1</v>
      </c>
      <c r="O14" s="72"/>
      <c r="P14" s="72"/>
      <c r="Q14" s="67" t="str">
        <f>IF('Main Creation Page'!$AB$2=53,"Word","Cantrip")</f>
        <v>Cantrip</v>
      </c>
      <c r="R14" s="67">
        <f ca="1">IF(Q14="Ritual","N/A",IF(Q14="I.E.","N/A",IF(Q14="WOG",VLOOKUP(VLOOKUP(Magick!$A$3,Magick!$AD$5:$AU$48,9)*100,magestuff!$B$134:$F$138,2),IF(Q14="Cantrip",VLOOKUP(VLOOKUP(Magick!$A$3,Magick!$AD$5:$AU$48,9)*100,magestuff!$B$134:$F$138,3),IF(Q14="Hex",VLOOKUP(VLOOKUP(Magick!$A$3,Magick!$AD$5:$AU$48,9)*100,magestuff!$B$134:$F$138,4),VLOOKUP(VLOOKUP(Magick!$A$3,Magick!$AD$5:$AU$48,9)*100,magestuff!$B$134:$F$138,5))))))</f>
        <v>9</v>
      </c>
      <c r="S14" s="67" t="s">
        <v>5545</v>
      </c>
      <c r="T14" s="67" t="s">
        <v>5545</v>
      </c>
      <c r="U14" s="67" t="str">
        <f t="shared" si="4"/>
        <v xml:space="preserve"> </v>
      </c>
      <c r="V14" s="515"/>
      <c r="W14" s="125"/>
      <c r="X14" s="31">
        <f t="shared" si="5"/>
        <v>0</v>
      </c>
      <c r="Y14" s="509"/>
      <c r="Z14" s="1054" t="str">
        <f t="shared" si="0"/>
        <v>Extend</v>
      </c>
      <c r="AA14" s="1072" t="str">
        <f t="shared" si="1"/>
        <v>Common</v>
      </c>
    </row>
    <row r="15" spans="1:27" hidden="1" outlineLevel="1">
      <c r="A15" s="31" t="s">
        <v>1439</v>
      </c>
      <c r="B15" s="67">
        <v>3</v>
      </c>
      <c r="C15" s="67">
        <f t="shared" si="2"/>
        <v>3</v>
      </c>
      <c r="D15" s="67">
        <f t="shared" si="3"/>
        <v>0</v>
      </c>
      <c r="E15" s="77" t="e">
        <f>IF(F15="y",HLOOKUP((IF(C15&lt;1,1,C15)),Magick!$C$20:$L$21,2),NA())</f>
        <v>#N/A</v>
      </c>
      <c r="F15" s="67" t="str">
        <f>IF(C15&lt;=Magick!$D$3,"Y","N")</f>
        <v>N</v>
      </c>
      <c r="G15" s="148" t="s">
        <v>128</v>
      </c>
      <c r="H15" s="151"/>
      <c r="I15" s="77" t="e">
        <f>IF(H15&gt;0,(HLOOKUP(C15,Magick!$C$20:$L$21,2)-HLOOKUP(H15,Magick!$C$20:$L$21,2)),NA())</f>
        <v>#N/A</v>
      </c>
      <c r="J15" s="77"/>
      <c r="K15" s="67">
        <v>5</v>
      </c>
      <c r="L15" s="72" t="str">
        <f>IF(H15&gt;0,M15-('Master Spell List'!H10*0.1),"N/A")</f>
        <v>N/A</v>
      </c>
      <c r="M15" s="72">
        <f>Magick!$L$4</f>
        <v>0.1</v>
      </c>
      <c r="N15" s="72">
        <f>Magick!$L$4</f>
        <v>0.1</v>
      </c>
      <c r="O15" s="72"/>
      <c r="P15" s="72"/>
      <c r="Q15" s="67" t="s">
        <v>3725</v>
      </c>
      <c r="R15" s="67" t="str">
        <f>IF(Q15="Ritual","N/A",IF(Q15="I.E.","N/A",IF(Q15="WOG",VLOOKUP(VLOOKUP(Magick!$A$3,Magick!$AD$5:$AU$48,9)*100,magestuff!$B$134:$F$138,2),IF(Q15="Cantrip",VLOOKUP(VLOOKUP(Magick!$A$3,Magick!$AD$5:$AU$48,9)*100,magestuff!$B$134:$F$138,3),IF(Q15="Hex",VLOOKUP(VLOOKUP(Magick!$A$3,Magick!$AD$5:$AU$48,9)*100,magestuff!$B$134:$F$138,4),VLOOKUP(VLOOKUP(Magick!$A$3,Magick!$AD$5:$AU$48,9)*100,magestuff!$B$134:$F$138,5))))))</f>
        <v>N/A</v>
      </c>
      <c r="S15" s="69" t="str">
        <f>CONCATENATE(IF(Magick!$C$3&gt;0,Magick!$C$3*100," "),"ft.")</f>
        <v xml:space="preserve"> ft.</v>
      </c>
      <c r="U15" s="67" t="str">
        <f t="shared" si="4"/>
        <v xml:space="preserve"> </v>
      </c>
      <c r="V15" s="515"/>
      <c r="W15" s="125"/>
      <c r="X15" s="31">
        <f t="shared" si="5"/>
        <v>0</v>
      </c>
      <c r="Y15" s="509"/>
      <c r="Z15" s="1054" t="str">
        <f t="shared" si="0"/>
        <v>Hold Trigger</v>
      </c>
      <c r="AA15" s="1072" t="str">
        <f t="shared" si="1"/>
        <v>Common</v>
      </c>
    </row>
    <row r="16" spans="1:27" hidden="1" outlineLevel="1">
      <c r="A16" s="31" t="s">
        <v>5104</v>
      </c>
      <c r="B16" s="67">
        <v>3</v>
      </c>
      <c r="C16" s="67">
        <f t="shared" si="2"/>
        <v>3</v>
      </c>
      <c r="D16" s="67">
        <f t="shared" si="3"/>
        <v>0</v>
      </c>
      <c r="E16" s="77" t="e">
        <f>IF(F16="y",HLOOKUP((IF(C16&lt;1,1,C16)),Magick!$C$20:$L$21,2),NA())</f>
        <v>#N/A</v>
      </c>
      <c r="F16" s="67" t="str">
        <f>IF(C16&lt;=Magick!$D$3,"Y","N")</f>
        <v>N</v>
      </c>
      <c r="G16" s="148" t="s">
        <v>128</v>
      </c>
      <c r="H16" s="151"/>
      <c r="I16" s="77" t="e">
        <f>IF(H16&gt;0,(HLOOKUP(C16,Magick!$C$20:$L$21,2)-HLOOKUP(H16,Magick!$C$20:$L$21,2)),NA())</f>
        <v>#N/A</v>
      </c>
      <c r="J16" s="77"/>
      <c r="K16" s="67">
        <v>5</v>
      </c>
      <c r="L16" s="72" t="str">
        <f>IF(H16&gt;0,M16-('Master Spell List'!H5*0.1),"N/A")</f>
        <v>N/A</v>
      </c>
      <c r="M16" s="72">
        <f>Magick!$L$4</f>
        <v>0.1</v>
      </c>
      <c r="N16" s="72">
        <f>Magick!$L$4</f>
        <v>0.1</v>
      </c>
      <c r="O16" s="72"/>
      <c r="P16" s="72"/>
      <c r="Q16" s="67" t="str">
        <f>IF('Main Creation Page'!$AB$2=53,"Cantrip","Hex")</f>
        <v>Hex</v>
      </c>
      <c r="R16" s="67">
        <f ca="1">IF(Q16="Ritual","N/A",IF(Q16="I.E.","N/A",IF(Q16="WOG",VLOOKUP(VLOOKUP(Magick!$A$3,Magick!$AD$5:$AU$48,9)*100,magestuff!$B$134:$F$138,2),IF(Q16="Cantrip",VLOOKUP(VLOOKUP(Magick!$A$3,Magick!$AD$5:$AU$48,9)*100,magestuff!$B$134:$F$138,3),IF(Q16="Hex",VLOOKUP(VLOOKUP(Magick!$A$3,Magick!$AD$5:$AU$48,9)*100,magestuff!$B$134:$F$138,4),VLOOKUP(VLOOKUP(Magick!$A$3,Magick!$AD$5:$AU$48,9)*100,magestuff!$B$134:$F$138,5))))))</f>
        <v>19</v>
      </c>
      <c r="S16" s="69" t="str">
        <f>CONCATENATE(IF(Magick!$C$3&gt;0,Magick!$C$3," "),"people")</f>
        <v xml:space="preserve"> people</v>
      </c>
      <c r="T16" s="67" t="s">
        <v>3256</v>
      </c>
      <c r="U16" s="67" t="str">
        <f t="shared" si="4"/>
        <v xml:space="preserve"> </v>
      </c>
      <c r="V16" s="515"/>
      <c r="W16" s="125"/>
      <c r="X16" s="31">
        <f t="shared" si="5"/>
        <v>0</v>
      </c>
      <c r="Y16" s="509"/>
      <c r="Z16" s="1054" t="str">
        <f t="shared" si="0"/>
        <v>Transfer</v>
      </c>
      <c r="AA16" s="1072" t="str">
        <f t="shared" si="1"/>
        <v>Common</v>
      </c>
    </row>
    <row r="17" spans="1:27" hidden="1" outlineLevel="1">
      <c r="A17" s="31" t="s">
        <v>1438</v>
      </c>
      <c r="B17" s="67">
        <v>3</v>
      </c>
      <c r="C17" s="67">
        <f t="shared" si="2"/>
        <v>3</v>
      </c>
      <c r="D17" s="67">
        <f t="shared" si="3"/>
        <v>0</v>
      </c>
      <c r="E17" s="77" t="e">
        <f>IF(F17="y",HLOOKUP((IF(C17&lt;1,1,C17)),Magick!$C$20:$L$21,2),NA())</f>
        <v>#N/A</v>
      </c>
      <c r="F17" s="67" t="str">
        <f>IF(C17&lt;=Magick!$D$3,"Y","N")</f>
        <v>N</v>
      </c>
      <c r="G17" s="148" t="s">
        <v>128</v>
      </c>
      <c r="H17" s="151"/>
      <c r="I17" s="77" t="e">
        <f>IF(H17&gt;0,(HLOOKUP(C17,Magick!$C$20:$L$21,2)-HLOOKUP(H17,Magick!$C$20:$L$21,2)),NA())</f>
        <v>#N/A</v>
      </c>
      <c r="J17" s="77"/>
      <c r="K17" s="67">
        <v>5</v>
      </c>
      <c r="L17" s="72" t="str">
        <f>IF(H17&gt;0,M17-('Master Spell List'!H9*0.1),"N/A")</f>
        <v>N/A</v>
      </c>
      <c r="M17" s="72">
        <f>Magick!$L$4</f>
        <v>0.1</v>
      </c>
      <c r="N17" s="72">
        <f>Magick!$L$4</f>
        <v>0.1</v>
      </c>
      <c r="O17" s="72"/>
      <c r="P17" s="72"/>
      <c r="Q17" s="67" t="s">
        <v>3725</v>
      </c>
      <c r="R17" s="67" t="str">
        <f>IF(Q17="Ritual","N/A",IF(Q17="I.E.","N/A",IF(Q17="WOG",VLOOKUP(VLOOKUP(Magick!$A$3,Magick!$AD$5:$AU$48,9)*100,magestuff!$B$134:$F$138,2),IF(Q17="Cantrip",VLOOKUP(VLOOKUP(Magick!$A$3,Magick!$AD$5:$AU$48,9)*100,magestuff!$B$134:$F$138,3),IF(Q17="Hex",VLOOKUP(VLOOKUP(Magick!$A$3,Magick!$AD$5:$AU$48,9)*100,magestuff!$B$134:$F$138,4),VLOOKUP(VLOOKUP(Magick!$A$3,Magick!$AD$5:$AU$48,9)*100,magestuff!$B$134:$F$138,5))))))</f>
        <v>N/A</v>
      </c>
      <c r="S17" s="69" t="str">
        <f>CONCATENATE(IF(Magick!$C$3&gt;0,Magick!$C$3*100," "),"ft.")</f>
        <v xml:space="preserve"> ft.</v>
      </c>
      <c r="U17" s="67" t="str">
        <f t="shared" si="4"/>
        <v xml:space="preserve"> </v>
      </c>
      <c r="V17" s="515"/>
      <c r="W17" s="125"/>
      <c r="X17" s="31">
        <f t="shared" si="5"/>
        <v>0</v>
      </c>
      <c r="Y17" s="509"/>
      <c r="Z17" s="1054" t="str">
        <f t="shared" si="0"/>
        <v>Trigger Effect</v>
      </c>
      <c r="AA17" s="1072" t="str">
        <f t="shared" si="1"/>
        <v>Common</v>
      </c>
    </row>
    <row r="18" spans="1:27" hidden="1" outlineLevel="1">
      <c r="A18" s="31" t="s">
        <v>1440</v>
      </c>
      <c r="B18" s="67">
        <v>3</v>
      </c>
      <c r="C18" s="67">
        <f t="shared" si="2"/>
        <v>3</v>
      </c>
      <c r="D18" s="67">
        <f t="shared" si="3"/>
        <v>0</v>
      </c>
      <c r="E18" s="77" t="e">
        <f>IF(F18="y",HLOOKUP((IF(C18&lt;1,1,C18)),Magick!$C$20:$L$21,2),NA())</f>
        <v>#N/A</v>
      </c>
      <c r="F18" s="67" t="str">
        <f>IF(C18&lt;=Magick!$D$3,"Y","N")</f>
        <v>N</v>
      </c>
      <c r="G18" s="148" t="s">
        <v>128</v>
      </c>
      <c r="H18" s="151"/>
      <c r="I18" s="77" t="e">
        <f>IF(H18&gt;0,(HLOOKUP(C18,Magick!$C$20:$L$21,2)-HLOOKUP(H18,Magick!$C$20:$L$21,2)),NA())</f>
        <v>#N/A</v>
      </c>
      <c r="J18" s="77"/>
      <c r="K18" s="67">
        <v>5</v>
      </c>
      <c r="L18" s="72" t="str">
        <f>IF(H18&gt;0,M18-('Master Spell List'!H11*0.1),"N/A")</f>
        <v>N/A</v>
      </c>
      <c r="M18" s="72">
        <f>Magick!$L$4</f>
        <v>0.1</v>
      </c>
      <c r="N18" s="72">
        <f>Magick!$L$4</f>
        <v>0.1</v>
      </c>
      <c r="O18" s="72"/>
      <c r="P18" s="72"/>
      <c r="Q18" s="67" t="s">
        <v>3725</v>
      </c>
      <c r="R18" s="67" t="str">
        <f>IF(Q18="Ritual","N/A",IF(Q18="I.E.","N/A",IF(Q18="WOG",VLOOKUP(VLOOKUP(Magick!$A$3,Magick!$AD$5:$AU$48,9)*100,magestuff!$B$134:$F$138,2),IF(Q18="Cantrip",VLOOKUP(VLOOKUP(Magick!$A$3,Magick!$AD$5:$AU$48,9)*100,magestuff!$B$134:$F$138,3),IF(Q18="Hex",VLOOKUP(VLOOKUP(Magick!$A$3,Magick!$AD$5:$AU$48,9)*100,magestuff!$B$134:$F$138,4),VLOOKUP(VLOOKUP(Magick!$A$3,Magick!$AD$5:$AU$48,9)*100,magestuff!$B$134:$F$138,5))))))</f>
        <v>N/A</v>
      </c>
      <c r="S18" s="69" t="str">
        <f>CONCATENATE(IF(Magick!$C$3&gt;0,Magick!$C$3*100," "),"ft.")</f>
        <v xml:space="preserve"> ft.</v>
      </c>
      <c r="U18" s="67" t="str">
        <f t="shared" si="4"/>
        <v xml:space="preserve"> </v>
      </c>
      <c r="V18" s="515"/>
      <c r="W18" s="125"/>
      <c r="X18" s="31">
        <f t="shared" si="5"/>
        <v>0</v>
      </c>
      <c r="Y18" s="509"/>
      <c r="Z18" s="1054" t="str">
        <f t="shared" si="0"/>
        <v>Trigger When</v>
      </c>
      <c r="AA18" s="1072" t="str">
        <f t="shared" si="1"/>
        <v>Common</v>
      </c>
    </row>
    <row r="19" spans="1:27" hidden="1" outlineLevel="1">
      <c r="A19" s="31" t="s">
        <v>3140</v>
      </c>
      <c r="B19" s="67">
        <v>4</v>
      </c>
      <c r="C19" s="67">
        <f t="shared" si="2"/>
        <v>4</v>
      </c>
      <c r="D19" s="67">
        <f t="shared" si="3"/>
        <v>0</v>
      </c>
      <c r="E19" s="77" t="e">
        <f>IF(F19="y",HLOOKUP((IF(C19&lt;1,1,C19)),Magick!$C$20:$L$21,2),NA())</f>
        <v>#N/A</v>
      </c>
      <c r="F19" s="67" t="str">
        <f>IF(C19&lt;=Magick!$D$3,"Y","N")</f>
        <v>N</v>
      </c>
      <c r="G19" s="148" t="s">
        <v>128</v>
      </c>
      <c r="H19" s="151"/>
      <c r="I19" s="77" t="e">
        <f>IF(H19&gt;0,(HLOOKUP(C19,Magick!$C$20:$L$21,2)-HLOOKUP(H19,Magick!$C$20:$L$21,2)),NA())</f>
        <v>#N/A</v>
      </c>
      <c r="J19" s="77"/>
      <c r="K19" s="67">
        <v>7</v>
      </c>
      <c r="L19" s="72" t="str">
        <f>IF(H19&gt;0,M19-('Master Spell List'!H19*0.1),"N/A")</f>
        <v>N/A</v>
      </c>
      <c r="M19" s="72">
        <f>Magick!$L$4</f>
        <v>0.1</v>
      </c>
      <c r="N19" s="72">
        <f>Magick!$L$4</f>
        <v>0.1</v>
      </c>
      <c r="O19" s="72"/>
      <c r="P19" s="72"/>
      <c r="Q19" s="67" t="str">
        <f>IF('Main Creation Page'!$AB$2=53,"Word","Cantrip")</f>
        <v>Cantrip</v>
      </c>
      <c r="R19" s="67">
        <f ca="1">IF(Q19="Ritual","N/A",IF(Q19="I.E.","N/A",IF(Q19="WOG",VLOOKUP(VLOOKUP(Magick!$A$3,Magick!$AD$5:$AU$48,9)*100,magestuff!$B$134:$F$138,2),IF(Q19="Cantrip",VLOOKUP(VLOOKUP(Magick!$A$3,Magick!$AD$5:$AU$48,9)*100,magestuff!$B$134:$F$138,3),IF(Q19="Hex",VLOOKUP(VLOOKUP(Magick!$A$3,Magick!$AD$5:$AU$48,9)*100,magestuff!$B$134:$F$138,4),VLOOKUP(VLOOKUP(Magick!$A$3,Magick!$AD$5:$AU$48,9)*100,magestuff!$B$134:$F$138,5))))))</f>
        <v>9</v>
      </c>
      <c r="S19" s="67" t="s">
        <v>5545</v>
      </c>
      <c r="T19" s="67" t="s">
        <v>5545</v>
      </c>
      <c r="U19" s="67" t="str">
        <f t="shared" si="4"/>
        <v xml:space="preserve"> </v>
      </c>
      <c r="V19" s="515"/>
      <c r="W19" s="125"/>
      <c r="X19" s="31">
        <f t="shared" si="5"/>
        <v>0</v>
      </c>
      <c r="Y19" s="509"/>
      <c r="Z19" s="1054" t="str">
        <f t="shared" si="0"/>
        <v>Dispel</v>
      </c>
      <c r="AA19" s="1072" t="str">
        <f t="shared" si="1"/>
        <v>Common</v>
      </c>
    </row>
    <row r="20" spans="1:27" hidden="1" outlineLevel="1">
      <c r="A20" s="83" t="s">
        <v>6083</v>
      </c>
      <c r="B20" s="67">
        <v>6</v>
      </c>
      <c r="C20" s="67">
        <f t="shared" si="2"/>
        <v>6</v>
      </c>
      <c r="D20" s="67">
        <f t="shared" si="3"/>
        <v>0</v>
      </c>
      <c r="E20" s="77" t="e">
        <f>IF(F20="y",HLOOKUP((IF(C20&lt;1,1,C20)),Magick!$C$20:$L$21,2),NA())</f>
        <v>#N/A</v>
      </c>
      <c r="F20" s="67" t="str">
        <f>IF(C20&lt;=Magick!$D$3,"Y","N")</f>
        <v>N</v>
      </c>
      <c r="G20" s="148" t="s">
        <v>6052</v>
      </c>
      <c r="H20" s="151"/>
      <c r="I20" s="77" t="e">
        <f>IF(H20&gt;0,(HLOOKUP(C20,Magick!$C$20:$L$21,2)-HLOOKUP(H20,Magick!$C$20:$L$21,2)),NA())</f>
        <v>#N/A</v>
      </c>
      <c r="J20" s="77"/>
      <c r="K20" s="67">
        <v>23</v>
      </c>
      <c r="L20" s="72" t="str">
        <f>IF(H20&gt;0,M20-('Master Spell List'!H21*0.1),"N/A")</f>
        <v>N/A</v>
      </c>
      <c r="M20" s="72">
        <f>Magick!$L$4</f>
        <v>0.1</v>
      </c>
      <c r="N20" s="72">
        <f>Magick!$L$4</f>
        <v>0.1</v>
      </c>
      <c r="O20" s="72"/>
      <c r="P20" s="72"/>
      <c r="Q20" s="67" t="s">
        <v>113</v>
      </c>
      <c r="R20" s="67" t="str">
        <f>IF(Q20="Ritual","N/A",IF(Q20="I.E.","N/A",IF(Q20="WOG",VLOOKUP(VLOOKUP(Magick!$A$3,Magick!$AD$5:$AU$48,9)*100,magestuff!$B$134:$F$138,2),IF(Q20="Cantrip",VLOOKUP(VLOOKUP(Magick!$A$3,Magick!$AD$5:$AU$48,9)*100,magestuff!$B$134:$F$138,3),IF(Q20="Hex",VLOOKUP(VLOOKUP(Magick!$A$3,Magick!$AD$5:$AU$48,9)*100,magestuff!$B$134:$F$138,4),VLOOKUP(VLOOKUP(Magick!$A$3,Magick!$AD$5:$AU$48,9)*100,magestuff!$B$134:$F$138,5))))))</f>
        <v>N/A</v>
      </c>
      <c r="S20" s="67" t="s">
        <v>2329</v>
      </c>
      <c r="T20" s="69" t="str">
        <f>CONCATENATE(IF(Magick!$C$3&gt;0,Magick!$C$3," ")," hours")</f>
        <v xml:space="preserve">  hours</v>
      </c>
      <c r="U20" s="67" t="str">
        <f t="shared" si="4"/>
        <v xml:space="preserve"> </v>
      </c>
      <c r="V20" s="515"/>
      <c r="W20" s="125"/>
      <c r="X20" s="31">
        <f t="shared" si="5"/>
        <v>0</v>
      </c>
      <c r="Y20" s="509"/>
      <c r="Z20" s="1054" t="str">
        <f t="shared" si="0"/>
        <v>Suspension</v>
      </c>
      <c r="AA20" s="1072" t="str">
        <f t="shared" si="1"/>
        <v>Common</v>
      </c>
    </row>
    <row r="21" spans="1:27" s="1046" customFormat="1" hidden="1" outlineLevel="1">
      <c r="A21" s="83" t="s">
        <v>2435</v>
      </c>
      <c r="B21" s="67">
        <v>7</v>
      </c>
      <c r="C21" s="67">
        <f t="shared" si="2"/>
        <v>7</v>
      </c>
      <c r="D21" s="67">
        <f t="shared" si="3"/>
        <v>0</v>
      </c>
      <c r="E21" s="77" t="e">
        <f>IF(F21="y",HLOOKUP((IF(C21&lt;1,1,C21)),Magick!$C$20:$L$21,2),NA())</f>
        <v>#N/A</v>
      </c>
      <c r="F21" s="67" t="str">
        <f>IF(C21&lt;=Magick!$D$3,"Y","N")</f>
        <v>N</v>
      </c>
      <c r="G21" s="148" t="s">
        <v>1616</v>
      </c>
      <c r="H21" s="151"/>
      <c r="I21" s="77" t="e">
        <f>IF(H21&gt;0,(HLOOKUP(C21,Magick!$C$20:$L$21,2)-HLOOKUP(H21,Magick!$C$20:$L$21,2)),NA())</f>
        <v>#N/A</v>
      </c>
      <c r="J21" s="77"/>
      <c r="K21" s="67">
        <v>7</v>
      </c>
      <c r="L21" s="72" t="str">
        <f>IF(H21&gt;0,M21-('Master Spell List'!H20*0.1),"N/A")</f>
        <v>N/A</v>
      </c>
      <c r="M21" s="72">
        <f>Magick!$L$4</f>
        <v>0.1</v>
      </c>
      <c r="N21" s="72">
        <f>Magick!$L$4</f>
        <v>0.1</v>
      </c>
      <c r="O21" s="72"/>
      <c r="P21" s="72"/>
      <c r="Q21" s="67" t="str">
        <f>IF('Main Creation Page'!$AB$2=53,"Word","Cantrip")</f>
        <v>Cantrip</v>
      </c>
      <c r="R21" s="67">
        <f ca="1">IF(Q21="Ritual","N/A",IF(Q21="I.E.","N/A",IF(Q21="WOG",VLOOKUP(VLOOKUP(Magick!$A$3,Magick!$AD$5:$AU$48,9)*100,magestuff!$B$134:$F$138,2),IF(Q21="Cantrip",VLOOKUP(VLOOKUP(Magick!$A$3,Magick!$AD$5:$AU$48,9)*100,magestuff!$B$134:$F$138,3),IF(Q21="Hex",VLOOKUP(VLOOKUP(Magick!$A$3,Magick!$AD$5:$AU$48,9)*100,magestuff!$B$134:$F$138,4),VLOOKUP(VLOOKUP(Magick!$A$3,Magick!$AD$5:$AU$48,9)*100,magestuff!$B$134:$F$138,5))))))</f>
        <v>9</v>
      </c>
      <c r="S21" s="67" t="s">
        <v>185</v>
      </c>
      <c r="T21" s="67" t="s">
        <v>185</v>
      </c>
      <c r="U21" s="67" t="str">
        <f t="shared" si="4"/>
        <v xml:space="preserve"> </v>
      </c>
      <c r="V21" s="515"/>
      <c r="W21" s="125"/>
      <c r="X21" s="31">
        <f t="shared" si="5"/>
        <v>0</v>
      </c>
      <c r="Y21" s="1045"/>
      <c r="Z21" s="1054" t="str">
        <f t="shared" si="0"/>
        <v>Repetition</v>
      </c>
      <c r="AA21" s="1072" t="str">
        <f t="shared" si="1"/>
        <v>Common</v>
      </c>
    </row>
    <row r="22" spans="1:27" collapsed="1">
      <c r="A22" s="48" t="s">
        <v>1560</v>
      </c>
      <c r="B22" s="76">
        <f>SUM(B23:B53)</f>
        <v>168</v>
      </c>
      <c r="C22" s="76">
        <f ca="1">SUM(C23:C53)</f>
        <v>165</v>
      </c>
      <c r="D22" s="76">
        <f>SUM(D23:D53)</f>
        <v>0</v>
      </c>
      <c r="E22" s="76"/>
      <c r="F22" s="149">
        <f ca="1">SUM(C23:C30)+IF(F31="Y",SUM(C31:C32),0)+IF(F33="Y",SUM(C33:C40),0)+IF(F41="Y",SUM(C41:C42),0)+IF(F43="Y",SUM(C43:C44),0)+IF(F45="Y",SUM(C45),0)+IF(F46="Y",SUM(C46:C52),0)+IF(F53="Y",SUM(C53),0)</f>
        <v>15</v>
      </c>
      <c r="G22" s="76"/>
      <c r="H22" s="150"/>
      <c r="I22" s="76"/>
      <c r="J22" s="76"/>
      <c r="K22" s="76"/>
      <c r="L22" s="76"/>
      <c r="M22" s="222">
        <f ca="1">Magick!$H$66</f>
        <v>0.08</v>
      </c>
      <c r="N22" s="222">
        <f ca="1">Magick!$K$66</f>
        <v>0.13</v>
      </c>
      <c r="O22" s="222">
        <f ca="1">Magick!$L$66</f>
        <v>0.13</v>
      </c>
      <c r="P22" s="222">
        <f ca="1">Magick!$M$66</f>
        <v>0.13</v>
      </c>
      <c r="Q22" s="76"/>
      <c r="R22" s="76"/>
      <c r="S22" s="76"/>
      <c r="T22" s="76"/>
      <c r="U22" s="149">
        <f>SUM(U23:U53)</f>
        <v>0</v>
      </c>
      <c r="V22" s="76"/>
      <c r="W22" s="76"/>
      <c r="X22" s="149"/>
      <c r="Y22" s="509"/>
      <c r="Z22" s="1054" t="str">
        <f t="shared" si="0"/>
        <v>Basic Elemental Magick - Air</v>
      </c>
      <c r="AA22" s="1072" t="str">
        <f t="shared" si="1"/>
        <v>Common</v>
      </c>
    </row>
    <row r="23" spans="1:27" hidden="1" outlineLevel="1">
      <c r="A23" s="31" t="s">
        <v>2594</v>
      </c>
      <c r="B23" s="67">
        <v>1</v>
      </c>
      <c r="C23" s="67">
        <f ca="1">IF(magestuff!$C$193&lt;1,1,magestuff!$C$193)</f>
        <v>1</v>
      </c>
      <c r="D23" s="67">
        <f t="shared" ref="D23:D53" si="6">IF(AND(ISNUMBER(H23),H23=0),C23,0)</f>
        <v>0</v>
      </c>
      <c r="E23" s="77">
        <f ca="1">IF(F23="y",HLOOKUP((IF(C23&lt;1,1,C23)),Magick!$C$20:$L$21,2),NA())</f>
        <v>10</v>
      </c>
      <c r="F23" s="67" t="str">
        <f ca="1">IF(C23&lt;=Magick!$D$3,"Y","N")</f>
        <v>Y</v>
      </c>
      <c r="G23" s="148" t="s">
        <v>128</v>
      </c>
      <c r="H23" s="151"/>
      <c r="I23" s="77" t="e">
        <f>IF(H23&gt;0,(HLOOKUP(C23,Magick!$C$20:$L$21,2)-HLOOKUP(H23,Magick!$C$20:$L$21,2)),NA())</f>
        <v>#N/A</v>
      </c>
      <c r="J23" s="77"/>
      <c r="K23" s="67">
        <v>2</v>
      </c>
      <c r="L23" s="72" t="str">
        <f>IF(H23&gt;0,Magick!$M$157-('Master Spell List'!H28*0.1),"N/A")</f>
        <v>N/A</v>
      </c>
      <c r="M23" s="72">
        <f ca="1">Magick!$H$66</f>
        <v>0.08</v>
      </c>
      <c r="N23" s="72">
        <f ca="1">Magick!$K$66</f>
        <v>0.13</v>
      </c>
      <c r="O23" s="72">
        <f ca="1">Magick!$L$66</f>
        <v>0.13</v>
      </c>
      <c r="P23" s="72">
        <f ca="1">Magick!$M$66</f>
        <v>0.13</v>
      </c>
      <c r="Q23" s="67" t="str">
        <f>IF('Main Creation Page'!$AB$2=53,"Hex","Sorcery")</f>
        <v>Sorcery</v>
      </c>
      <c r="R23" s="67">
        <f ca="1">IF(Q23="Ritual","N/A",IF(Q23="I.E.","N/A",IF(Q23="WOG",VLOOKUP(Magick!$I$66*100,magestuff!$B$134:$F$138,2),IF(Q23="Cantrip",VLOOKUP(Magick!$I$66*100,magestuff!$B$134:$F$138,3),IF(Q23="Hex",VLOOKUP(Magick!$I$66*100,magestuff!$B$134:$F$138,4),VLOOKUP(Magick!$I$66*100,magestuff!$B$134:$F$138,5))))))</f>
        <v>29</v>
      </c>
      <c r="S23" s="69" t="str">
        <f>CONCATENATE(IF(Magick!$C$3&gt;0,Magick!$C$3*100," "),"ft.")</f>
        <v xml:space="preserve"> ft.</v>
      </c>
      <c r="T23" s="67" t="s">
        <v>1242</v>
      </c>
      <c r="U23" s="67" t="str">
        <f t="shared" ref="U23:U53" si="7">IF(ISBLANK(H23)," ",IF(H23&gt;0,0,C23*10))</f>
        <v xml:space="preserve"> </v>
      </c>
      <c r="V23" s="515"/>
      <c r="W23" s="125"/>
      <c r="X23" s="31">
        <f t="shared" ref="X23:X53" si="8">W23*3</f>
        <v>0</v>
      </c>
      <c r="Y23" s="509"/>
      <c r="Z23" s="1054" t="str">
        <f t="shared" si="0"/>
        <v>Warm/Cool</v>
      </c>
      <c r="AA23" s="1072" t="str">
        <f t="shared" si="1"/>
        <v>Common</v>
      </c>
    </row>
    <row r="24" spans="1:27" hidden="1" outlineLevel="1">
      <c r="A24" s="31" t="s">
        <v>906</v>
      </c>
      <c r="B24" s="67">
        <v>2</v>
      </c>
      <c r="C24" s="67">
        <f ca="1">IF(magestuff!$F$193&lt;1,1,magestuff!$F$193)</f>
        <v>2</v>
      </c>
      <c r="D24" s="67">
        <f t="shared" si="6"/>
        <v>0</v>
      </c>
      <c r="E24" s="77">
        <f ca="1">IF(F24="y",HLOOKUP((IF(C24&lt;1,1,C24)),Magick!$C$20:$L$21,2),NA())</f>
        <v>21</v>
      </c>
      <c r="F24" s="67" t="str">
        <f ca="1">IF(C24&lt;=Magick!$D$3,"Y","N")</f>
        <v>Y</v>
      </c>
      <c r="G24" s="148" t="s">
        <v>128</v>
      </c>
      <c r="H24" s="151"/>
      <c r="I24" s="77" t="e">
        <f>IF(H24&gt;0,(HLOOKUP(C24,Magick!$C$20:$L$21,2)-HLOOKUP(H24,Magick!$C$20:$L$21,2)),NA())</f>
        <v>#N/A</v>
      </c>
      <c r="J24" s="77"/>
      <c r="K24" s="75" t="s">
        <v>110</v>
      </c>
      <c r="L24" s="72" t="str">
        <f>IF(H24&gt;0,Magick!$M$157-('Master Spell List'!H35*0.1),"N/A")</f>
        <v>N/A</v>
      </c>
      <c r="M24" s="72">
        <f ca="1">Magick!$H$66</f>
        <v>0.08</v>
      </c>
      <c r="N24" s="72">
        <f ca="1">Magick!$K$66</f>
        <v>0.13</v>
      </c>
      <c r="O24" s="72">
        <f ca="1">Magick!$L$66</f>
        <v>0.13</v>
      </c>
      <c r="P24" s="72">
        <f ca="1">Magick!$M$66</f>
        <v>0.13</v>
      </c>
      <c r="Q24" s="67" t="str">
        <f>IF('Main Creation Page'!$AB$2=53,"Sorcery","Ritual")</f>
        <v>Ritual</v>
      </c>
      <c r="R24" s="67" t="str">
        <f>IF(Q24="Ritual","N/A",IF(Q24="I.E.","N/A",IF(Q24="WOG",VLOOKUP(Magick!$I$66*100,magestuff!$B$134:$F$138,2),IF(Q24="Cantrip",VLOOKUP(Magick!$I$66*100,magestuff!$B$134:$F$138,3),IF(Q24="Hex",VLOOKUP(Magick!$I$66*100,magestuff!$B$134:$F$138,4),VLOOKUP(Magick!$I$66*100,magestuff!$B$134:$F$138,5))))))</f>
        <v>N/A</v>
      </c>
      <c r="S24" s="67" t="s">
        <v>3617</v>
      </c>
      <c r="T24" s="69" t="str">
        <f>CONCATENATE(IF(Magick!$C$3&gt;0,Magick!$C$3*15," ")," Min.")</f>
        <v xml:space="preserve">  Min.</v>
      </c>
      <c r="U24" s="67" t="str">
        <f t="shared" si="7"/>
        <v xml:space="preserve"> </v>
      </c>
      <c r="V24" s="515"/>
      <c r="W24" s="125"/>
      <c r="X24" s="31">
        <f t="shared" si="8"/>
        <v>0</v>
      </c>
      <c r="Y24" s="509"/>
      <c r="Z24" s="1054" t="str">
        <f t="shared" si="0"/>
        <v>Clouds &amp; Rain</v>
      </c>
      <c r="AA24" s="1072" t="str">
        <f t="shared" si="1"/>
        <v>Common</v>
      </c>
    </row>
    <row r="25" spans="1:27" hidden="1" outlineLevel="1">
      <c r="A25" s="31" t="s">
        <v>293</v>
      </c>
      <c r="B25" s="67">
        <v>2</v>
      </c>
      <c r="C25" s="67">
        <f ca="1">IF(magestuff!$F$193&lt;1,1,magestuff!$F$193)</f>
        <v>2</v>
      </c>
      <c r="D25" s="67">
        <f t="shared" si="6"/>
        <v>0</v>
      </c>
      <c r="E25" s="77">
        <f ca="1">IF(F25="y",HLOOKUP((IF(C25&lt;1,1,C25)),Magick!$C$20:$L$21,2),NA())</f>
        <v>21</v>
      </c>
      <c r="F25" s="67" t="str">
        <f ca="1">IF(C25&lt;=Magick!$D$3,"Y","N")</f>
        <v>Y</v>
      </c>
      <c r="G25" s="148" t="s">
        <v>128</v>
      </c>
      <c r="H25" s="151"/>
      <c r="I25" s="77" t="e">
        <f>IF(H25&gt;0,(HLOOKUP(C25,Magick!$C$20:$L$21,2)-HLOOKUP(H25,Magick!$C$20:$L$21,2)),NA())</f>
        <v>#N/A</v>
      </c>
      <c r="J25" s="77"/>
      <c r="K25" s="67">
        <v>3</v>
      </c>
      <c r="L25" s="72" t="str">
        <f>IF(H25&gt;0,Magick!$M$157-('Master Spell List'!H24*0.1),"N/A")</f>
        <v>N/A</v>
      </c>
      <c r="M25" s="72">
        <f ca="1">Magick!$H$66</f>
        <v>0.08</v>
      </c>
      <c r="N25" s="72">
        <f ca="1">Magick!$K$66</f>
        <v>0.13</v>
      </c>
      <c r="O25" s="72">
        <f ca="1">Magick!$L$66</f>
        <v>0.13</v>
      </c>
      <c r="P25" s="72">
        <f ca="1">Magick!$M$66</f>
        <v>0.13</v>
      </c>
      <c r="Q25" s="67" t="str">
        <f>IF('Main Creation Page'!$AB$2=53,"Word","Cantrip")</f>
        <v>Cantrip</v>
      </c>
      <c r="R25" s="67">
        <f ca="1">IF(Q25="Ritual","N/A",IF(Q25="I.E.","N/A",IF(Q25="WOG",VLOOKUP(Magick!$I$66*100,magestuff!$B$134:$F$138,2),IF(Q25="Cantrip",VLOOKUP(Magick!$I$66*100,magestuff!$B$134:$F$138,3),IF(Q25="Hex",VLOOKUP(Magick!$I$66*100,magestuff!$B$134:$F$138,4),VLOOKUP(Magick!$I$66*100,magestuff!$B$134:$F$138,5))))))</f>
        <v>9</v>
      </c>
      <c r="S25" s="67" t="s">
        <v>5545</v>
      </c>
      <c r="T25" s="67" t="s">
        <v>5545</v>
      </c>
      <c r="U25" s="67" t="str">
        <f t="shared" si="7"/>
        <v xml:space="preserve"> </v>
      </c>
      <c r="V25" s="515"/>
      <c r="W25" s="125"/>
      <c r="X25" s="31">
        <f t="shared" si="8"/>
        <v>0</v>
      </c>
      <c r="Y25" s="509"/>
      <c r="Z25" s="1054" t="str">
        <f t="shared" si="0"/>
        <v>Command Air</v>
      </c>
      <c r="AA25" s="1072" t="str">
        <f t="shared" si="1"/>
        <v>Common</v>
      </c>
    </row>
    <row r="26" spans="1:27" hidden="1" outlineLevel="1">
      <c r="A26" s="31" t="s">
        <v>292</v>
      </c>
      <c r="B26" s="67">
        <v>2</v>
      </c>
      <c r="C26" s="67">
        <f ca="1">IF(magestuff!$F$193&lt;1,1,magestuff!$F$193)</f>
        <v>2</v>
      </c>
      <c r="D26" s="67">
        <f t="shared" si="6"/>
        <v>0</v>
      </c>
      <c r="E26" s="77">
        <f ca="1">IF(F26="y",HLOOKUP((IF(C26&lt;1,1,C26)),Magick!$C$20:$L$21,2),NA())</f>
        <v>21</v>
      </c>
      <c r="F26" s="67" t="str">
        <f ca="1">IF(C26&lt;=Magick!$D$3,"Y","N")</f>
        <v>Y</v>
      </c>
      <c r="G26" s="148" t="s">
        <v>128</v>
      </c>
      <c r="H26" s="151"/>
      <c r="I26" s="77" t="e">
        <f>IF(H26&gt;0,(HLOOKUP(C26,Magick!$C$20:$L$21,2)-HLOOKUP(H26,Magick!$C$20:$L$21,2)),NA())</f>
        <v>#N/A</v>
      </c>
      <c r="J26" s="77"/>
      <c r="K26" s="67">
        <v>3</v>
      </c>
      <c r="L26" s="72" t="str">
        <f>IF(H26&gt;0,Magick!$M$157-('Master Spell List'!H23*0.1),"N/A")</f>
        <v>N/A</v>
      </c>
      <c r="M26" s="72">
        <f ca="1">Magick!$H$66</f>
        <v>0.08</v>
      </c>
      <c r="N26" s="72">
        <f ca="1">Magick!$K$66</f>
        <v>0.13</v>
      </c>
      <c r="O26" s="72">
        <f ca="1">Magick!$L$66</f>
        <v>0.13</v>
      </c>
      <c r="P26" s="72">
        <f ca="1">Magick!$M$66</f>
        <v>0.13</v>
      </c>
      <c r="Q26" s="67" t="str">
        <f>IF('Main Creation Page'!$AB$2=53,"Word","Cantrip")</f>
        <v>Cantrip</v>
      </c>
      <c r="R26" s="67">
        <f ca="1">IF(Q26="Ritual","N/A",IF(Q26="I.E.","N/A",IF(Q26="WOG",VLOOKUP(Magick!$I$66*100,magestuff!$B$134:$F$138,2),IF(Q26="Cantrip",VLOOKUP(Magick!$I$66*100,magestuff!$B$134:$F$138,3),IF(Q26="Hex",VLOOKUP(Magick!$I$66*100,magestuff!$B$134:$F$138,4),VLOOKUP(Magick!$I$66*100,magestuff!$B$134:$F$138,5))))))</f>
        <v>9</v>
      </c>
      <c r="S26" s="71" t="s">
        <v>5545</v>
      </c>
      <c r="T26" s="67" t="s">
        <v>5545</v>
      </c>
      <c r="U26" s="67" t="str">
        <f t="shared" si="7"/>
        <v xml:space="preserve"> </v>
      </c>
      <c r="V26" s="515"/>
      <c r="W26" s="125"/>
      <c r="X26" s="31">
        <f t="shared" si="8"/>
        <v>0</v>
      </c>
      <c r="Y26" s="509"/>
      <c r="Z26" s="1054" t="str">
        <f t="shared" si="0"/>
        <v>Create Air</v>
      </c>
      <c r="AA26" s="1072" t="str">
        <f t="shared" si="1"/>
        <v>Common</v>
      </c>
    </row>
    <row r="27" spans="1:27" hidden="1" outlineLevel="1">
      <c r="A27" s="31" t="s">
        <v>2593</v>
      </c>
      <c r="B27" s="67">
        <v>2</v>
      </c>
      <c r="C27" s="67">
        <f ca="1">IF(magestuff!$F$193&lt;1,1,magestuff!$F$193)</f>
        <v>2</v>
      </c>
      <c r="D27" s="67">
        <f t="shared" si="6"/>
        <v>0</v>
      </c>
      <c r="E27" s="77">
        <f ca="1">IF(F27="y",HLOOKUP((IF(C27&lt;1,1,C27)),Magick!$C$20:$L$21,2),NA())</f>
        <v>21</v>
      </c>
      <c r="F27" s="67" t="str">
        <f ca="1">IF(C27&lt;=Magick!$D$3,"Y","N")</f>
        <v>Y</v>
      </c>
      <c r="G27" s="148" t="s">
        <v>128</v>
      </c>
      <c r="H27" s="151"/>
      <c r="I27" s="77" t="e">
        <f>IF(H27&gt;0,(HLOOKUP(C27,Magick!$C$20:$L$21,2)-HLOOKUP(H27,Magick!$C$20:$L$21,2)),NA())</f>
        <v>#N/A</v>
      </c>
      <c r="J27" s="77"/>
      <c r="K27" s="67" t="s">
        <v>107</v>
      </c>
      <c r="L27" s="72" t="str">
        <f>IF(H27&gt;0,Magick!$M$157-('Master Spell List'!H27*0.1),"N/A")</f>
        <v>N/A</v>
      </c>
      <c r="M27" s="72">
        <f ca="1">Magick!$H$66</f>
        <v>0.08</v>
      </c>
      <c r="N27" s="72">
        <f ca="1">Magick!$K$66</f>
        <v>0.13</v>
      </c>
      <c r="O27" s="72">
        <f ca="1">Magick!$L$66</f>
        <v>0.13</v>
      </c>
      <c r="P27" s="72">
        <f ca="1">Magick!$M$66</f>
        <v>0.13</v>
      </c>
      <c r="Q27" s="67" t="str">
        <f>IF('Main Creation Page'!$AB$2=53,"Hex","Sorcery")</f>
        <v>Sorcery</v>
      </c>
      <c r="R27" s="67">
        <f ca="1">IF(Q27="Ritual","N/A",IF(Q27="I.E.","N/A",IF(Q27="WOG",VLOOKUP(Magick!$I$66*100,magestuff!$B$134:$F$138,2),IF(Q27="Cantrip",VLOOKUP(Magick!$I$66*100,magestuff!$B$134:$F$138,3),IF(Q27="Hex",VLOOKUP(Magick!$I$66*100,magestuff!$B$134:$F$138,4),VLOOKUP(Magick!$I$66*100,magestuff!$B$134:$F$138,5))))))</f>
        <v>29</v>
      </c>
      <c r="S27" s="69" t="str">
        <f>CONCATENATE(IF(Magick!$C$3&gt;0,Magick!$C$3*20," "),"ft.")</f>
        <v xml:space="preserve"> ft.</v>
      </c>
      <c r="T27" s="67" t="s">
        <v>1243</v>
      </c>
      <c r="U27" s="67" t="str">
        <f t="shared" si="7"/>
        <v xml:space="preserve"> </v>
      </c>
      <c r="V27" s="515"/>
      <c r="W27" s="125"/>
      <c r="X27" s="31">
        <f t="shared" si="8"/>
        <v>0</v>
      </c>
      <c r="Y27" s="509"/>
      <c r="Z27" s="1054" t="str">
        <f t="shared" si="0"/>
        <v>Diffuse</v>
      </c>
      <c r="AA27" s="1072" t="str">
        <f t="shared" si="1"/>
        <v>Common</v>
      </c>
    </row>
    <row r="28" spans="1:27" hidden="1" outlineLevel="1">
      <c r="A28" s="31" t="s">
        <v>905</v>
      </c>
      <c r="B28" s="67">
        <v>2</v>
      </c>
      <c r="C28" s="67">
        <f ca="1">IF(magestuff!$F$193&lt;1,1,magestuff!$F$193)</f>
        <v>2</v>
      </c>
      <c r="D28" s="67">
        <f t="shared" si="6"/>
        <v>0</v>
      </c>
      <c r="E28" s="77">
        <f ca="1">IF(F28="y",HLOOKUP((IF(C28&lt;1,1,C28)),Magick!$C$20:$L$21,2),NA())</f>
        <v>21</v>
      </c>
      <c r="F28" s="67" t="str">
        <f ca="1">IF(C28&lt;=Magick!$D$3,"Y","N")</f>
        <v>Y</v>
      </c>
      <c r="G28" s="148" t="s">
        <v>128</v>
      </c>
      <c r="H28" s="151"/>
      <c r="I28" s="77" t="e">
        <f>IF(H28&gt;0,(HLOOKUP(C28,Magick!$C$20:$L$21,2)-HLOOKUP(H28,Magick!$C$20:$L$21,2)),NA())</f>
        <v>#N/A</v>
      </c>
      <c r="J28" s="77"/>
      <c r="K28" s="67" t="s">
        <v>107</v>
      </c>
      <c r="L28" s="72" t="str">
        <f>IF(H28&gt;0,Magick!$M$157-('Master Spell List'!H34*0.1),"N/A")</f>
        <v>N/A</v>
      </c>
      <c r="M28" s="72">
        <f ca="1">Magick!$H$66</f>
        <v>0.08</v>
      </c>
      <c r="N28" s="72">
        <f ca="1">Magick!$K$66</f>
        <v>0.13</v>
      </c>
      <c r="O28" s="72">
        <f ca="1">Magick!$L$66</f>
        <v>0.13</v>
      </c>
      <c r="P28" s="72">
        <f ca="1">Magick!$M$66</f>
        <v>0.13</v>
      </c>
      <c r="Q28" s="67" t="str">
        <f>IF('Main Creation Page'!$AB$2=53,"Cantrip","Hex")</f>
        <v>Hex</v>
      </c>
      <c r="R28" s="67">
        <f ca="1">IF(Q28="Ritual","N/A",IF(Q28="I.E.","N/A",IF(Q28="WOG",VLOOKUP(Magick!$I$66*100,magestuff!$B$134:$F$138,2),IF(Q28="Cantrip",VLOOKUP(Magick!$I$66*100,magestuff!$B$134:$F$138,3),IF(Q28="Hex",VLOOKUP(Magick!$I$66*100,magestuff!$B$134:$F$138,4),VLOOKUP(Magick!$I$66*100,magestuff!$B$134:$F$138,5))))))</f>
        <v>19</v>
      </c>
      <c r="S28" s="69" t="str">
        <f>CONCATENATE(IF(Magick!$C$3&gt;0,Magick!$C$3*500," "),"ft.")</f>
        <v xml:space="preserve"> ft.</v>
      </c>
      <c r="T28" s="69" t="str">
        <f>CONCATENATE(IF(Magick!$C$3&gt;0,Magick!$C$3*10," ")," min.")</f>
        <v xml:space="preserve">  min.</v>
      </c>
      <c r="U28" s="67" t="str">
        <f t="shared" si="7"/>
        <v xml:space="preserve"> </v>
      </c>
      <c r="V28" s="515"/>
      <c r="W28" s="125"/>
      <c r="X28" s="31">
        <f t="shared" si="8"/>
        <v>0</v>
      </c>
      <c r="Y28" s="509"/>
      <c r="Z28" s="1054" t="str">
        <f t="shared" si="0"/>
        <v>Mist &amp; Fog</v>
      </c>
      <c r="AA28" s="1072" t="str">
        <f t="shared" si="1"/>
        <v>Common</v>
      </c>
    </row>
    <row r="29" spans="1:27" hidden="1" outlineLevel="1">
      <c r="A29" s="31" t="s">
        <v>2595</v>
      </c>
      <c r="B29" s="67">
        <v>2</v>
      </c>
      <c r="C29" s="67">
        <f ca="1">IF(magestuff!$F$193&lt;1,1,magestuff!$F$193)</f>
        <v>2</v>
      </c>
      <c r="D29" s="67">
        <f t="shared" si="6"/>
        <v>0</v>
      </c>
      <c r="E29" s="77">
        <f ca="1">IF(F29="y",HLOOKUP((IF(C29&lt;1,1,C29)),Magick!$C$20:$L$21,2),NA())</f>
        <v>21</v>
      </c>
      <c r="F29" s="67" t="str">
        <f ca="1">IF(C29&lt;=Magick!$D$3,"Y","N")</f>
        <v>Y</v>
      </c>
      <c r="G29" s="148" t="s">
        <v>128</v>
      </c>
      <c r="H29" s="151"/>
      <c r="I29" s="77" t="e">
        <f>IF(H29&gt;0,(HLOOKUP(C29,Magick!$C$20:$L$21,2)-HLOOKUP(H29,Magick!$C$20:$L$21,2)),NA())</f>
        <v>#N/A</v>
      </c>
      <c r="J29" s="77"/>
      <c r="K29" s="67">
        <v>4</v>
      </c>
      <c r="L29" s="72" t="str">
        <f>IF(H29&gt;0,Magick!$M$157-('Master Spell List'!H29*0.1),"N/A")</f>
        <v>N/A</v>
      </c>
      <c r="M29" s="72">
        <f ca="1">Magick!$H$66</f>
        <v>0.08</v>
      </c>
      <c r="N29" s="72">
        <f ca="1">Magick!$K$66</f>
        <v>0.13</v>
      </c>
      <c r="O29" s="72">
        <f ca="1">Magick!$L$66</f>
        <v>0.13</v>
      </c>
      <c r="P29" s="72">
        <f ca="1">Magick!$M$66</f>
        <v>0.13</v>
      </c>
      <c r="Q29" s="67" t="str">
        <f>IF('Main Creation Page'!$AB$2=53,"Word","Cantrip")</f>
        <v>Cantrip</v>
      </c>
      <c r="R29" s="67">
        <f ca="1">IF(Q29="Ritual","N/A",IF(Q29="I.E.","N/A",IF(Q29="WOG",VLOOKUP(Magick!$I$66*100,magestuff!$B$134:$F$138,2),IF(Q29="Cantrip",VLOOKUP(Magick!$I$66*100,magestuff!$B$134:$F$138,3),IF(Q29="Hex",VLOOKUP(Magick!$I$66*100,magestuff!$B$134:$F$138,4),VLOOKUP(Magick!$I$66*100,magestuff!$B$134:$F$138,5))))))</f>
        <v>9</v>
      </c>
      <c r="S29" s="69" t="str">
        <f>CONCATENATE(IF(Magick!$C$3&gt;0,Magick!$C$3*10," "),"ft.")</f>
        <v xml:space="preserve"> ft.</v>
      </c>
      <c r="T29" s="67" t="s">
        <v>3725</v>
      </c>
      <c r="U29" s="67" t="str">
        <f t="shared" si="7"/>
        <v xml:space="preserve"> </v>
      </c>
      <c r="V29" s="515"/>
      <c r="W29" s="125"/>
      <c r="X29" s="31">
        <f t="shared" si="8"/>
        <v>0</v>
      </c>
      <c r="Y29" s="509"/>
      <c r="Z29" s="1054" t="str">
        <f t="shared" si="0"/>
        <v>Puff</v>
      </c>
      <c r="AA29" s="1072" t="str">
        <f t="shared" si="1"/>
        <v>Common</v>
      </c>
    </row>
    <row r="30" spans="1:27" hidden="1" outlineLevel="1">
      <c r="A30" s="31" t="s">
        <v>2591</v>
      </c>
      <c r="B30" s="67">
        <v>2</v>
      </c>
      <c r="C30" s="67">
        <f ca="1">IF(magestuff!$F$193&lt;1,1,magestuff!$F$193)</f>
        <v>2</v>
      </c>
      <c r="D30" s="67">
        <f t="shared" si="6"/>
        <v>0</v>
      </c>
      <c r="E30" s="77">
        <f ca="1">IF(F30="y",HLOOKUP((IF(C30&lt;1,1,C30)),Magick!$C$20:$L$21,2),NA())</f>
        <v>21</v>
      </c>
      <c r="F30" s="67" t="str">
        <f ca="1">IF(C30&lt;=Magick!$D$3,"Y","N")</f>
        <v>Y</v>
      </c>
      <c r="G30" s="148" t="s">
        <v>128</v>
      </c>
      <c r="H30" s="151"/>
      <c r="I30" s="77" t="e">
        <f>IF(H30&gt;0,(HLOOKUP(C30,Magick!$C$20:$L$21,2)-HLOOKUP(H30,Magick!$C$20:$L$21,2)),NA())</f>
        <v>#N/A</v>
      </c>
      <c r="J30" s="77"/>
      <c r="K30" s="67" t="s">
        <v>105</v>
      </c>
      <c r="L30" s="72" t="str">
        <f>IF(H30&gt;0,Magick!$M$157-('Master Spell List'!H25*0.1),"N/A")</f>
        <v>N/A</v>
      </c>
      <c r="M30" s="72">
        <f ca="1">Magick!$H$66</f>
        <v>0.08</v>
      </c>
      <c r="N30" s="72">
        <f ca="1">Magick!$K$66</f>
        <v>0.13</v>
      </c>
      <c r="O30" s="72">
        <f ca="1">Magick!$L$66</f>
        <v>0.13</v>
      </c>
      <c r="P30" s="72">
        <f ca="1">Magick!$M$66</f>
        <v>0.13</v>
      </c>
      <c r="Q30" s="67" t="str">
        <f>IF('Main Creation Page'!$AB$2=53,"Cantrip","Hex")</f>
        <v>Hex</v>
      </c>
      <c r="R30" s="67">
        <f ca="1">IF(Q30="Ritual","N/A",IF(Q30="I.E.","N/A",IF(Q30="WOG",VLOOKUP(Magick!$I$66*100,magestuff!$B$134:$F$138,2),IF(Q30="Cantrip",VLOOKUP(Magick!$I$66*100,magestuff!$B$134:$F$138,3),IF(Q30="Hex",VLOOKUP(Magick!$I$66*100,magestuff!$B$134:$F$138,4),VLOOKUP(Magick!$I$66*100,magestuff!$B$134:$F$138,5))))))</f>
        <v>19</v>
      </c>
      <c r="S30" s="69" t="str">
        <f>CONCATENATE(IF(Magick!$C$3&gt;0,Magick!$C$3*100," "),"ft.")</f>
        <v xml:space="preserve"> ft.</v>
      </c>
      <c r="T30" s="67" t="s">
        <v>1244</v>
      </c>
      <c r="U30" s="67" t="str">
        <f t="shared" si="7"/>
        <v xml:space="preserve"> </v>
      </c>
      <c r="V30" s="515"/>
      <c r="W30" s="125"/>
      <c r="X30" s="31">
        <f t="shared" si="8"/>
        <v>0</v>
      </c>
      <c r="Y30" s="509"/>
      <c r="Z30" s="1054" t="str">
        <f t="shared" si="0"/>
        <v>Remove Air</v>
      </c>
      <c r="AA30" s="1072" t="str">
        <f t="shared" si="1"/>
        <v>Common</v>
      </c>
    </row>
    <row r="31" spans="1:27" hidden="1" outlineLevel="1">
      <c r="A31" s="83" t="s">
        <v>606</v>
      </c>
      <c r="B31" s="67">
        <v>3</v>
      </c>
      <c r="C31" s="67">
        <f ca="1">IF(magestuff!$I$193&lt;1,1,magestuff!$I$193)</f>
        <v>3</v>
      </c>
      <c r="D31" s="67">
        <f t="shared" si="6"/>
        <v>0</v>
      </c>
      <c r="E31" s="77" t="e">
        <f ca="1">IF(F31="y",HLOOKUP((IF(C31&lt;1,1,C31)),Magick!$C$20:$L$21,2),NA())</f>
        <v>#N/A</v>
      </c>
      <c r="F31" s="67" t="str">
        <f ca="1">IF(C31&lt;=Magick!$D$3,"Y","N")</f>
        <v>N</v>
      </c>
      <c r="G31" s="148" t="s">
        <v>1616</v>
      </c>
      <c r="H31" s="151"/>
      <c r="I31" s="77" t="e">
        <f>IF(H31&gt;0,(HLOOKUP(C31,Magick!$C$20:$L$21,2)-HLOOKUP(H31,Magick!$C$20:$L$21,2)),NA())</f>
        <v>#N/A</v>
      </c>
      <c r="J31" s="77"/>
      <c r="K31" s="67">
        <v>5</v>
      </c>
      <c r="L31" s="72" t="str">
        <f>IF(H31&gt;0,Magick!$M$157-('Master Spell List'!H38*0.1),"N/A")</f>
        <v>N/A</v>
      </c>
      <c r="M31" s="72">
        <f ca="1">Magick!$H$66</f>
        <v>0.08</v>
      </c>
      <c r="N31" s="72">
        <f ca="1">Magick!$K$66</f>
        <v>0.13</v>
      </c>
      <c r="O31" s="72">
        <f ca="1">Magick!$L$66</f>
        <v>0.13</v>
      </c>
      <c r="P31" s="72">
        <f ca="1">Magick!$M$66</f>
        <v>0.13</v>
      </c>
      <c r="Q31" s="67" t="str">
        <f>IF('Main Creation Page'!$AB$2=53,"Word","Cantrip")</f>
        <v>Cantrip</v>
      </c>
      <c r="R31" s="67">
        <f ca="1">IF(Q31="Ritual","N/A",IF(Q31="I.E.","N/A",IF(Q31="WOG",VLOOKUP(Magick!$I$66*100,magestuff!$B$134:$F$138,2),IF(Q31="Cantrip",VLOOKUP(Magick!$I$66*100,magestuff!$B$134:$F$138,3),IF(Q31="Hex",VLOOKUP(Magick!$I$66*100,magestuff!$B$134:$F$138,4),VLOOKUP(Magick!$I$66*100,magestuff!$B$134:$F$138,5))))))</f>
        <v>9</v>
      </c>
      <c r="S31" s="69" t="str">
        <f>CONCATENATE(IF(Magick!$C$3&gt;0,Magick!$C$3*10," "),"ft.")</f>
        <v xml:space="preserve"> ft.</v>
      </c>
      <c r="T31" s="69" t="str">
        <f>CONCATENATE(IF(Magick!$C$3&gt;0,Magick!$C$3," ")," min.")</f>
        <v xml:space="preserve">  min.</v>
      </c>
      <c r="U31" s="67" t="str">
        <f t="shared" si="7"/>
        <v xml:space="preserve"> </v>
      </c>
      <c r="V31" s="515"/>
      <c r="W31" s="125"/>
      <c r="X31" s="31">
        <f t="shared" si="8"/>
        <v>0</v>
      </c>
      <c r="Y31" s="509"/>
      <c r="Z31" s="1054" t="str">
        <f t="shared" si="0"/>
        <v>Area of Silence</v>
      </c>
      <c r="AA31" s="1072" t="str">
        <f t="shared" si="1"/>
        <v>Common</v>
      </c>
    </row>
    <row r="32" spans="1:27" hidden="1" outlineLevel="1">
      <c r="A32" s="31" t="s">
        <v>2592</v>
      </c>
      <c r="B32" s="67">
        <v>3</v>
      </c>
      <c r="C32" s="67">
        <f ca="1">IF(magestuff!$I$193&lt;1,1,magestuff!$I$193)</f>
        <v>3</v>
      </c>
      <c r="D32" s="67">
        <f t="shared" si="6"/>
        <v>0</v>
      </c>
      <c r="E32" s="77" t="e">
        <f ca="1">IF(F32="y",HLOOKUP((IF(C32&lt;1,1,C32)),Magick!$C$20:$L$21,2),NA())</f>
        <v>#N/A</v>
      </c>
      <c r="F32" s="67" t="str">
        <f ca="1">IF(C32&lt;=Magick!$D$3,"Y","N")</f>
        <v>N</v>
      </c>
      <c r="G32" s="148" t="s">
        <v>128</v>
      </c>
      <c r="H32" s="151"/>
      <c r="I32" s="77" t="e">
        <f>IF(H32&gt;0,(HLOOKUP(C32,Magick!$C$20:$L$21,2)-HLOOKUP(H32,Magick!$C$20:$L$21,2)),NA())</f>
        <v>#N/A</v>
      </c>
      <c r="J32" s="77"/>
      <c r="K32" s="67" t="s">
        <v>106</v>
      </c>
      <c r="L32" s="72" t="str">
        <f>IF(H32&gt;0,Magick!$M$157-('Master Spell List'!H26*0.1),"N/A")</f>
        <v>N/A</v>
      </c>
      <c r="M32" s="72">
        <f ca="1">Magick!$H$66</f>
        <v>0.08</v>
      </c>
      <c r="N32" s="72">
        <f ca="1">Magick!$K$66</f>
        <v>0.13</v>
      </c>
      <c r="O32" s="72">
        <f ca="1">Magick!$L$66</f>
        <v>0.13</v>
      </c>
      <c r="P32" s="72">
        <f ca="1">Magick!$M$66</f>
        <v>0.13</v>
      </c>
      <c r="Q32" s="67" t="str">
        <f>IF('Main Creation Page'!$AB$2=53,"Hex","Sorcery")</f>
        <v>Sorcery</v>
      </c>
      <c r="R32" s="67">
        <f ca="1">IF(Q32="Ritual","N/A",IF(Q32="I.E.","N/A",IF(Q32="WOG",VLOOKUP(Magick!$I$66*100,magestuff!$B$134:$F$138,2),IF(Q32="Cantrip",VLOOKUP(Magick!$I$66*100,magestuff!$B$134:$F$138,3),IF(Q32="Hex",VLOOKUP(Magick!$I$66*100,magestuff!$B$134:$F$138,4),VLOOKUP(Magick!$I$66*100,magestuff!$B$134:$F$138,5))))))</f>
        <v>29</v>
      </c>
      <c r="S32" s="69" t="str">
        <f>CONCATENATE(IF(Magick!$C$3&gt;0,Magick!$C$3*20," "),"ft.")</f>
        <v xml:space="preserve"> ft.</v>
      </c>
      <c r="T32" s="67" t="s">
        <v>1242</v>
      </c>
      <c r="U32" s="67" t="str">
        <f t="shared" si="7"/>
        <v xml:space="preserve"> </v>
      </c>
      <c r="V32" s="515"/>
      <c r="W32" s="125"/>
      <c r="X32" s="31">
        <f t="shared" si="8"/>
        <v>0</v>
      </c>
      <c r="Y32" s="509"/>
      <c r="Z32" s="1054" t="str">
        <f t="shared" si="0"/>
        <v>Concentrate</v>
      </c>
      <c r="AA32" s="1072" t="str">
        <f t="shared" si="1"/>
        <v>Common</v>
      </c>
    </row>
    <row r="33" spans="1:27" hidden="1" outlineLevel="1">
      <c r="A33" s="31" t="s">
        <v>2598</v>
      </c>
      <c r="B33" s="67">
        <v>4</v>
      </c>
      <c r="C33" s="67">
        <f ca="1">magestuff!$L$193</f>
        <v>4</v>
      </c>
      <c r="D33" s="67">
        <f t="shared" si="6"/>
        <v>0</v>
      </c>
      <c r="E33" s="77" t="e">
        <f ca="1">IF(F33="y",HLOOKUP((IF(C33&lt;1,1,C33)),Magick!$C$20:$L$21,2),NA())</f>
        <v>#N/A</v>
      </c>
      <c r="F33" s="67" t="str">
        <f ca="1">IF(C33&lt;=Magick!$D$3,"Y","N")</f>
        <v>N</v>
      </c>
      <c r="G33" s="148" t="s">
        <v>128</v>
      </c>
      <c r="H33" s="151"/>
      <c r="I33" s="77" t="e">
        <f>IF(H33&gt;0,(HLOOKUP(C33,Magick!$C$20:$L$21,2)-HLOOKUP(H33,Magick!$C$20:$L$21,2)),NA())</f>
        <v>#N/A</v>
      </c>
      <c r="J33" s="77"/>
      <c r="K33" s="67" t="s">
        <v>109</v>
      </c>
      <c r="L33" s="72" t="str">
        <f>IF(H33&gt;0,Magick!$M$157-('Master Spell List'!H32*0.1),"N/A")</f>
        <v>N/A</v>
      </c>
      <c r="M33" s="72">
        <f ca="1">Magick!$H$66</f>
        <v>0.08</v>
      </c>
      <c r="N33" s="72">
        <f ca="1">Magick!$K$66</f>
        <v>0.13</v>
      </c>
      <c r="O33" s="72">
        <f ca="1">Magick!$L$66</f>
        <v>0.13</v>
      </c>
      <c r="P33" s="72">
        <f ca="1">Magick!$M$66</f>
        <v>0.13</v>
      </c>
      <c r="Q33" s="67" t="str">
        <f>IF('Main Creation Page'!$AB$2=53,"Cantrip","Hex")</f>
        <v>Hex</v>
      </c>
      <c r="R33" s="67">
        <f ca="1">IF(Q33="Ritual","N/A",IF(Q33="I.E.","N/A",IF(Q33="WOG",VLOOKUP(Magick!$I$66*100,magestuff!$B$134:$F$138,2),IF(Q33="Cantrip",VLOOKUP(Magick!$I$66*100,magestuff!$B$134:$F$138,3),IF(Q33="Hex",VLOOKUP(Magick!$I$66*100,magestuff!$B$134:$F$138,4),VLOOKUP(Magick!$I$66*100,magestuff!$B$134:$F$138,5))))))</f>
        <v>19</v>
      </c>
      <c r="S33" s="69" t="str">
        <f>CONCATENATE(IF(Magick!$C$3&gt;0,Magick!$C$3*50," "),"ft.")</f>
        <v xml:space="preserve"> ft.</v>
      </c>
      <c r="T33" s="67" t="s">
        <v>3725</v>
      </c>
      <c r="U33" s="67" t="str">
        <f t="shared" si="7"/>
        <v xml:space="preserve"> </v>
      </c>
      <c r="V33" s="515"/>
      <c r="W33" s="125"/>
      <c r="X33" s="31">
        <f t="shared" si="8"/>
        <v>0</v>
      </c>
      <c r="Y33" s="509"/>
      <c r="Z33" s="1054" t="str">
        <f t="shared" si="0"/>
        <v>Air Beam</v>
      </c>
      <c r="AA33" s="1072" t="str">
        <f t="shared" si="1"/>
        <v>Common</v>
      </c>
    </row>
    <row r="34" spans="1:27" hidden="1" outlineLevel="1">
      <c r="A34" s="31" t="s">
        <v>2597</v>
      </c>
      <c r="B34" s="67">
        <v>4</v>
      </c>
      <c r="C34" s="67">
        <f ca="1">magestuff!$L$193</f>
        <v>4</v>
      </c>
      <c r="D34" s="67">
        <f t="shared" si="6"/>
        <v>0</v>
      </c>
      <c r="E34" s="77" t="e">
        <f ca="1">IF(F34="y",HLOOKUP((IF(C34&lt;1,1,C34)),Magick!$C$20:$L$21,2),NA())</f>
        <v>#N/A</v>
      </c>
      <c r="F34" s="67" t="str">
        <f ca="1">IF(C34&lt;=Magick!$D$3,"Y","N")</f>
        <v>N</v>
      </c>
      <c r="G34" s="148" t="s">
        <v>128</v>
      </c>
      <c r="H34" s="151"/>
      <c r="I34" s="77" t="e">
        <f>IF(H34&gt;0,(HLOOKUP(C34,Magick!$C$20:$L$21,2)-HLOOKUP(H34,Magick!$C$20:$L$21,2)),NA())</f>
        <v>#N/A</v>
      </c>
      <c r="J34" s="77"/>
      <c r="K34" s="67">
        <v>7</v>
      </c>
      <c r="L34" s="72" t="str">
        <f>IF(H34&gt;0,Magick!$M$157-('Master Spell List'!H31*0.1),"N/A")</f>
        <v>N/A</v>
      </c>
      <c r="M34" s="72">
        <f ca="1">Magick!$H$66</f>
        <v>0.08</v>
      </c>
      <c r="N34" s="72">
        <f ca="1">Magick!$K$66</f>
        <v>0.13</v>
      </c>
      <c r="O34" s="72">
        <f ca="1">Magick!$L$66</f>
        <v>0.13</v>
      </c>
      <c r="P34" s="72">
        <f ca="1">Magick!$M$66</f>
        <v>0.13</v>
      </c>
      <c r="Q34" s="67" t="str">
        <f>IF('Main Creation Page'!$AB$2=53,"Word","Cantrip")</f>
        <v>Cantrip</v>
      </c>
      <c r="R34" s="67">
        <f ca="1">IF(Q34="Ritual","N/A",IF(Q34="I.E.","N/A",IF(Q34="WOG",VLOOKUP(Magick!$I$66*100,magestuff!$B$134:$F$138,2),IF(Q34="Cantrip",VLOOKUP(Magick!$I$66*100,magestuff!$B$134:$F$138,3),IF(Q34="Hex",VLOOKUP(Magick!$I$66*100,magestuff!$B$134:$F$138,4),VLOOKUP(Magick!$I$66*100,magestuff!$B$134:$F$138,5))))))</f>
        <v>9</v>
      </c>
      <c r="S34" s="69" t="str">
        <f>CONCATENATE(IF(Magick!$C$3&gt;0,Magick!$C$3*25," "),"ft.")</f>
        <v xml:space="preserve"> ft.</v>
      </c>
      <c r="T34" s="67" t="s">
        <v>3725</v>
      </c>
      <c r="U34" s="67" t="str">
        <f t="shared" si="7"/>
        <v xml:space="preserve"> </v>
      </c>
      <c r="V34" s="515"/>
      <c r="W34" s="125"/>
      <c r="X34" s="31">
        <f t="shared" si="8"/>
        <v>0</v>
      </c>
      <c r="Y34" s="509"/>
      <c r="Z34" s="1054" t="str">
        <f t="shared" si="0"/>
        <v>Airbolt</v>
      </c>
      <c r="AA34" s="1072" t="str">
        <f t="shared" si="1"/>
        <v>Common</v>
      </c>
    </row>
    <row r="35" spans="1:27" hidden="1" outlineLevel="1">
      <c r="A35" s="31" t="s">
        <v>2596</v>
      </c>
      <c r="B35" s="67">
        <v>4</v>
      </c>
      <c r="C35" s="67">
        <f ca="1">magestuff!$L$193</f>
        <v>4</v>
      </c>
      <c r="D35" s="67">
        <f t="shared" si="6"/>
        <v>0</v>
      </c>
      <c r="E35" s="77" t="e">
        <f ca="1">IF(F35="y",HLOOKUP((IF(C35&lt;1,1,C35)),Magick!$C$20:$L$21,2),NA())</f>
        <v>#N/A</v>
      </c>
      <c r="F35" s="67" t="str">
        <f ca="1">IF(C35&lt;=Magick!$D$3,"Y","N")</f>
        <v>N</v>
      </c>
      <c r="G35" s="148" t="s">
        <v>128</v>
      </c>
      <c r="H35" s="151"/>
      <c r="I35" s="77" t="e">
        <f>IF(H35&gt;0,(HLOOKUP(C35,Magick!$C$20:$L$21,2)-HLOOKUP(H35,Magick!$C$20:$L$21,2)),NA())</f>
        <v>#N/A</v>
      </c>
      <c r="J35" s="77"/>
      <c r="K35" s="67" t="s">
        <v>108</v>
      </c>
      <c r="L35" s="72" t="str">
        <f>IF(H35&gt;0,Magick!$M$157-('Master Spell List'!H30*0.1),"N/A")</f>
        <v>N/A</v>
      </c>
      <c r="M35" s="72">
        <f ca="1">Magick!$H$66</f>
        <v>0.08</v>
      </c>
      <c r="N35" s="72">
        <f ca="1">Magick!$K$66</f>
        <v>0.13</v>
      </c>
      <c r="O35" s="72">
        <f ca="1">Magick!$L$66</f>
        <v>0.13</v>
      </c>
      <c r="P35" s="72">
        <f ca="1">Magick!$M$66</f>
        <v>0.13</v>
      </c>
      <c r="Q35" s="67" t="str">
        <f>IF('Main Creation Page'!$AB$2=53,"Hex","Sorcery")</f>
        <v>Sorcery</v>
      </c>
      <c r="R35" s="67">
        <f ca="1">IF(Q35="Ritual","N/A",IF(Q35="I.E.","N/A",IF(Q35="WOG",VLOOKUP(Magick!$I$66*100,magestuff!$B$134:$F$138,2),IF(Q35="Cantrip",VLOOKUP(Magick!$I$66*100,magestuff!$B$134:$F$138,3),IF(Q35="Hex",VLOOKUP(Magick!$I$66*100,magestuff!$B$134:$F$138,4),VLOOKUP(Magick!$I$66*100,magestuff!$B$134:$F$138,5))))))</f>
        <v>29</v>
      </c>
      <c r="S35" s="69" t="str">
        <f>CONCATENATE(IF(Magick!$C$3&gt;0,Magick!$C$3*10," "),"ft.")</f>
        <v xml:space="preserve"> ft.</v>
      </c>
      <c r="T35" s="69" t="str">
        <f>CONCATENATE(IF(Magick!$C$3&gt;0,Magick!$C$3*3," ")," min.")</f>
        <v xml:space="preserve">  min.</v>
      </c>
      <c r="U35" s="67" t="str">
        <f t="shared" si="7"/>
        <v xml:space="preserve"> </v>
      </c>
      <c r="V35" s="515"/>
      <c r="W35" s="125"/>
      <c r="X35" s="31">
        <f t="shared" si="8"/>
        <v>0</v>
      </c>
      <c r="Y35" s="509"/>
      <c r="Z35" s="1054" t="str">
        <f t="shared" si="0"/>
        <v>Airwall</v>
      </c>
      <c r="AA35" s="1072" t="str">
        <f t="shared" si="1"/>
        <v>Common</v>
      </c>
    </row>
    <row r="36" spans="1:27" hidden="1" outlineLevel="1">
      <c r="A36" s="31" t="s">
        <v>907</v>
      </c>
      <c r="B36" s="67">
        <v>4</v>
      </c>
      <c r="C36" s="67">
        <f ca="1">magestuff!$L$193</f>
        <v>4</v>
      </c>
      <c r="D36" s="67">
        <f t="shared" si="6"/>
        <v>0</v>
      </c>
      <c r="E36" s="77" t="e">
        <f ca="1">IF(F36="y",HLOOKUP((IF(C36&lt;1,1,C36)),Magick!$C$20:$L$21,2),NA())</f>
        <v>#N/A</v>
      </c>
      <c r="F36" s="67" t="str">
        <f ca="1">IF(C36&lt;=Magick!$D$3,"Y","N")</f>
        <v>N</v>
      </c>
      <c r="G36" s="148" t="s">
        <v>128</v>
      </c>
      <c r="H36" s="151"/>
      <c r="I36" s="77" t="e">
        <f>IF(H36&gt;0,(HLOOKUP(C36,Magick!$C$20:$L$21,2)-HLOOKUP(H36,Magick!$C$20:$L$21,2)),NA())</f>
        <v>#N/A</v>
      </c>
      <c r="J36" s="77"/>
      <c r="K36" s="67">
        <v>5</v>
      </c>
      <c r="L36" s="72" t="str">
        <f>IF(H36&gt;0,Magick!$M$157-('Master Spell List'!H36*0.1),"N/A")</f>
        <v>N/A</v>
      </c>
      <c r="M36" s="72">
        <f ca="1">Magick!$H$66</f>
        <v>0.08</v>
      </c>
      <c r="N36" s="72">
        <f ca="1">Magick!$K$66</f>
        <v>0.13</v>
      </c>
      <c r="O36" s="72">
        <f ca="1">Magick!$L$66</f>
        <v>0.13</v>
      </c>
      <c r="P36" s="72">
        <f ca="1">Magick!$M$66</f>
        <v>0.13</v>
      </c>
      <c r="Q36" s="67" t="str">
        <f>IF('Main Creation Page'!$AB$2=53,"Hex","Sorcery")</f>
        <v>Sorcery</v>
      </c>
      <c r="R36" s="67">
        <f ca="1">IF(Q36="Ritual","N/A",IF(Q36="I.E.","N/A",IF(Q36="WOG",VLOOKUP(Magick!$I$66*100,magestuff!$B$134:$F$138,2),IF(Q36="Cantrip",VLOOKUP(Magick!$I$66*100,magestuff!$B$134:$F$138,3),IF(Q36="Hex",VLOOKUP(Magick!$I$66*100,magestuff!$B$134:$F$138,4),VLOOKUP(Magick!$I$66*100,magestuff!$B$134:$F$138,5))))))</f>
        <v>29</v>
      </c>
      <c r="S36" s="69" t="str">
        <f>CONCATENATE(IF(Magick!$C$3&gt;0,Magick!$C$3*100," "),"ft.")</f>
        <v xml:space="preserve"> ft.</v>
      </c>
      <c r="T36" s="69" t="str">
        <f>CONCATENATE(IF(Magick!$C$3&gt;0,Magick!$C$3*1," ")," min.")</f>
        <v xml:space="preserve">  min.</v>
      </c>
      <c r="U36" s="67" t="str">
        <f t="shared" si="7"/>
        <v xml:space="preserve"> </v>
      </c>
      <c r="V36" s="515"/>
      <c r="W36" s="125"/>
      <c r="X36" s="31">
        <f t="shared" si="8"/>
        <v>0</v>
      </c>
      <c r="Y36" s="509"/>
      <c r="Z36" s="1054" t="str">
        <f t="shared" si="0"/>
        <v>Dust Devils</v>
      </c>
      <c r="AA36" s="1072" t="str">
        <f t="shared" si="1"/>
        <v>Common</v>
      </c>
    </row>
    <row r="37" spans="1:27" hidden="1" outlineLevel="1">
      <c r="A37" s="377" t="s">
        <v>271</v>
      </c>
      <c r="B37" s="67">
        <v>4</v>
      </c>
      <c r="C37" s="67">
        <f ca="1">magestuff!$L$193</f>
        <v>4</v>
      </c>
      <c r="D37" s="67">
        <f t="shared" si="6"/>
        <v>0</v>
      </c>
      <c r="E37" s="77" t="e">
        <f ca="1">IF(F37="y",HLOOKUP((IF(C37&lt;1,1,C37)),Magick!$C$20:$L$21,2),NA())</f>
        <v>#N/A</v>
      </c>
      <c r="F37" s="67" t="str">
        <f ca="1">IF(C37&lt;=Magick!$D$3,"Y","N")</f>
        <v>N</v>
      </c>
      <c r="G37" s="148" t="s">
        <v>859</v>
      </c>
      <c r="H37" s="151"/>
      <c r="I37" s="77" t="e">
        <f>IF(H37&gt;0,(HLOOKUP(C37,Magick!$C$20:$L$21,2)-HLOOKUP(H37,Magick!$C$20:$L$21,2)),NA())</f>
        <v>#N/A</v>
      </c>
      <c r="J37" s="77"/>
      <c r="K37" s="67">
        <v>7</v>
      </c>
      <c r="L37" s="72" t="str">
        <f>IF(H37&gt;0,Magick!$M$157-('Master Spell List'!H39*0.1),"N/A")</f>
        <v>N/A</v>
      </c>
      <c r="M37" s="72">
        <f ca="1">Magick!$H$66</f>
        <v>0.08</v>
      </c>
      <c r="N37" s="72">
        <f ca="1">Magick!$K$66</f>
        <v>0.13</v>
      </c>
      <c r="O37" s="72">
        <f ca="1">Magick!$L$66</f>
        <v>0.13</v>
      </c>
      <c r="P37" s="72">
        <f ca="1">Magick!$M$66</f>
        <v>0.13</v>
      </c>
      <c r="Q37" s="67" t="s">
        <v>4603</v>
      </c>
      <c r="R37" s="67">
        <f ca="1">IF(Q37="Ritual","N/A",IF(Q37="I.E.","N/A",IF(Q37="WOG",VLOOKUP(Magick!$I$66*100,magestuff!$B$134:$F$138,2),IF(Q37="Cantrip",VLOOKUP(Magick!$I$66*100,magestuff!$B$134:$F$138,3),IF(Q37="Hex",VLOOKUP(Magick!$I$66*100,magestuff!$B$134:$F$138,4),VLOOKUP(Magick!$I$66*100,magestuff!$B$134:$F$138,5))))))</f>
        <v>9</v>
      </c>
      <c r="S37" s="69" t="s">
        <v>4018</v>
      </c>
      <c r="T37" s="69" t="s">
        <v>4018</v>
      </c>
      <c r="U37" s="67" t="str">
        <f t="shared" si="7"/>
        <v xml:space="preserve"> </v>
      </c>
      <c r="V37" s="515"/>
      <c r="W37" s="125"/>
      <c r="X37" s="31">
        <f t="shared" si="8"/>
        <v>0</v>
      </c>
      <c r="Y37" s="509"/>
      <c r="Z37" s="1054" t="str">
        <f t="shared" si="0"/>
        <v>Least Gain Strength from the Storm</v>
      </c>
      <c r="AA37" s="1072" t="str">
        <f t="shared" si="1"/>
        <v>Common</v>
      </c>
    </row>
    <row r="38" spans="1:27" hidden="1" outlineLevel="1">
      <c r="A38" s="31" t="s">
        <v>1290</v>
      </c>
      <c r="B38" s="67">
        <v>4</v>
      </c>
      <c r="C38" s="67">
        <f ca="1">magestuff!$L$193</f>
        <v>4</v>
      </c>
      <c r="D38" s="67">
        <f t="shared" si="6"/>
        <v>0</v>
      </c>
      <c r="E38" s="77" t="e">
        <f ca="1">IF(F38="y",HLOOKUP((IF(C38&lt;1,1,C38)),Magick!$C$20:$L$21,2),NA())</f>
        <v>#N/A</v>
      </c>
      <c r="F38" s="67" t="str">
        <f ca="1">IF(C38&lt;=Magick!$D$3,"Y","N")</f>
        <v>N</v>
      </c>
      <c r="G38" s="148" t="s">
        <v>128</v>
      </c>
      <c r="H38" s="151"/>
      <c r="I38" s="77" t="e">
        <f>IF(H38&gt;0,(HLOOKUP(C38,Magick!$C$20:$L$21,2)-HLOOKUP(H38,Magick!$C$20:$L$21,2)),NA())</f>
        <v>#N/A</v>
      </c>
      <c r="J38" s="77"/>
      <c r="K38" s="67">
        <v>6</v>
      </c>
      <c r="L38" s="72" t="str">
        <f>IF(H38&gt;0,Magick!$M$157-('Master Spell List'!H38*0.1),"N/A")</f>
        <v>N/A</v>
      </c>
      <c r="M38" s="72">
        <f ca="1">Magick!$H$66</f>
        <v>0.08</v>
      </c>
      <c r="N38" s="72">
        <f ca="1">Magick!$K$66</f>
        <v>0.13</v>
      </c>
      <c r="O38" s="72">
        <f ca="1">Magick!$L$66</f>
        <v>0.13</v>
      </c>
      <c r="P38" s="72">
        <f ca="1">Magick!$M$66</f>
        <v>0.13</v>
      </c>
      <c r="Q38" s="67" t="str">
        <f>IF('Main Creation Page'!$AB$2=53,"Word","Cantrip")</f>
        <v>Cantrip</v>
      </c>
      <c r="R38" s="67">
        <f ca="1">IF(Q38="Ritual","N/A",IF(Q38="I.E.","N/A",IF(Q38="WOG",VLOOKUP(Magick!$I$66*100,magestuff!$B$134:$F$138,2),IF(Q38="Cantrip",VLOOKUP(Magick!$I$66*100,magestuff!$B$134:$F$138,3),IF(Q38="Hex",VLOOKUP(Magick!$I$66*100,magestuff!$B$134:$F$138,4),VLOOKUP(Magick!$I$66*100,magestuff!$B$134:$F$138,5))))))</f>
        <v>9</v>
      </c>
      <c r="S38" s="69" t="str">
        <f>CONCATENATE(IF(Magick!$C$3&gt;0,Magick!$C$3*25," "),"ft.")</f>
        <v xml:space="preserve"> ft.</v>
      </c>
      <c r="T38" s="67" t="s">
        <v>3725</v>
      </c>
      <c r="U38" s="67" t="str">
        <f t="shared" si="7"/>
        <v xml:space="preserve"> </v>
      </c>
      <c r="V38" s="515"/>
      <c r="W38" s="125"/>
      <c r="X38" s="31">
        <f t="shared" si="8"/>
        <v>0</v>
      </c>
      <c r="Y38" s="509"/>
      <c r="Z38" s="1054" t="str">
        <f t="shared" si="0"/>
        <v>Lightning Darts</v>
      </c>
      <c r="AA38" s="1072" t="str">
        <f t="shared" si="1"/>
        <v>Common</v>
      </c>
    </row>
    <row r="39" spans="1:27" hidden="1" outlineLevel="1">
      <c r="A39" s="83" t="s">
        <v>2655</v>
      </c>
      <c r="B39" s="67">
        <v>4</v>
      </c>
      <c r="C39" s="67">
        <f ca="1">magestuff!$L$193</f>
        <v>4</v>
      </c>
      <c r="D39" s="67">
        <f t="shared" si="6"/>
        <v>0</v>
      </c>
      <c r="E39" s="77" t="e">
        <f ca="1">IF(F39="y",HLOOKUP((IF(C39&lt;1,1,C39)),Magick!$C$20:$L$21,2),NA())</f>
        <v>#N/A</v>
      </c>
      <c r="F39" s="67" t="str">
        <f ca="1">IF(C39&lt;=Magick!$D$3,"Y","N")</f>
        <v>N</v>
      </c>
      <c r="G39" s="148" t="s">
        <v>1616</v>
      </c>
      <c r="H39" s="151"/>
      <c r="I39" s="77" t="e">
        <f>IF(H39&gt;0,(HLOOKUP(C39,Magick!$C$20:$L$21,2)-HLOOKUP(H39,Magick!$C$20:$L$21,2)),NA())</f>
        <v>#N/A</v>
      </c>
      <c r="J39" s="77"/>
      <c r="K39" s="67">
        <v>5</v>
      </c>
      <c r="L39" s="72" t="str">
        <f>IF(H39&gt;0,Magick!$M$157-('Master Spell List'!H38*0.1),"N/A")</f>
        <v>N/A</v>
      </c>
      <c r="M39" s="72">
        <f ca="1">Magick!$H$66</f>
        <v>0.08</v>
      </c>
      <c r="N39" s="72">
        <f ca="1">Magick!$K$66</f>
        <v>0.13</v>
      </c>
      <c r="O39" s="72">
        <f ca="1">Magick!$L$66</f>
        <v>0.13</v>
      </c>
      <c r="P39" s="72">
        <f ca="1">Magick!$M$66</f>
        <v>0.13</v>
      </c>
      <c r="Q39" s="67" t="str">
        <f>IF('Main Creation Page'!$AB$2=53,"Word","Cantrip")</f>
        <v>Cantrip</v>
      </c>
      <c r="R39" s="67">
        <f ca="1">IF(Q39="Ritual","N/A",IF(Q39="I.E.","N/A",IF(Q39="WOG",VLOOKUP(Magick!$I$66*100,magestuff!$B$134:$F$138,2),IF(Q39="Cantrip",VLOOKUP(Magick!$I$66*100,magestuff!$B$134:$F$138,3),IF(Q39="Hex",VLOOKUP(Magick!$I$66*100,magestuff!$B$134:$F$138,4),VLOOKUP(Magick!$I$66*100,magestuff!$B$134:$F$138,5))))))</f>
        <v>9</v>
      </c>
      <c r="S39" s="69" t="str">
        <f>CONCATENATE(IF(Magick!$C$3&gt;0,Magick!$C$3*10," "),"ft.")</f>
        <v xml:space="preserve"> ft.</v>
      </c>
      <c r="T39" s="69" t="str">
        <f>CONCATENATE(IF(Magick!$C$3&gt;0,Magick!$C$3," ")," min.")</f>
        <v xml:space="preserve">  min.</v>
      </c>
      <c r="U39" s="67" t="str">
        <f t="shared" si="7"/>
        <v xml:space="preserve"> </v>
      </c>
      <c r="V39" s="515"/>
      <c r="W39" s="125"/>
      <c r="X39" s="31">
        <f t="shared" si="8"/>
        <v>0</v>
      </c>
      <c r="Y39" s="509"/>
      <c r="Z39" s="1054" t="str">
        <f t="shared" si="0"/>
        <v>Moving Area of Silence</v>
      </c>
      <c r="AA39" s="1072" t="str">
        <f t="shared" si="1"/>
        <v>Common</v>
      </c>
    </row>
    <row r="40" spans="1:27" hidden="1" outlineLevel="1">
      <c r="A40" s="83" t="s">
        <v>1141</v>
      </c>
      <c r="B40" s="67">
        <v>4</v>
      </c>
      <c r="C40" s="67">
        <f ca="1">magestuff!$L$193</f>
        <v>4</v>
      </c>
      <c r="D40" s="67">
        <f t="shared" si="6"/>
        <v>0</v>
      </c>
      <c r="E40" s="77" t="e">
        <f ca="1">IF(F40="y",HLOOKUP((IF(C40&lt;1,1,C40)),Magick!$C$20:$L$21,2),NA())</f>
        <v>#N/A</v>
      </c>
      <c r="F40" s="67" t="str">
        <f ca="1">IF(C40&lt;=Magick!$D$3,"Y","N")</f>
        <v>N</v>
      </c>
      <c r="G40" s="148" t="s">
        <v>1617</v>
      </c>
      <c r="H40" s="151"/>
      <c r="I40" s="77" t="e">
        <f>IF(H40&gt;0,(HLOOKUP(C40,Magick!$C$20:$L$21,2)-HLOOKUP(H40,Magick!$C$20:$L$21,2)),NA())</f>
        <v>#N/A</v>
      </c>
      <c r="J40" s="77"/>
      <c r="K40" s="67">
        <v>6</v>
      </c>
      <c r="L40" s="72" t="str">
        <f>IF(H40&gt;0,Magick!$M$157-('Master Spell List'!H41*0.1),"N/A")</f>
        <v>N/A</v>
      </c>
      <c r="M40" s="72">
        <f ca="1">Magick!$H$66</f>
        <v>0.08</v>
      </c>
      <c r="N40" s="72">
        <f ca="1">Magick!$K$66</f>
        <v>0.13</v>
      </c>
      <c r="O40" s="72">
        <f ca="1">Magick!$L$66</f>
        <v>0.13</v>
      </c>
      <c r="P40" s="72">
        <f ca="1">Magick!$M$66</f>
        <v>0.13</v>
      </c>
      <c r="Q40" s="67" t="str">
        <f>IF('Main Creation Page'!$AB$2=53,"Word","Cantrip")</f>
        <v>Cantrip</v>
      </c>
      <c r="R40" s="67">
        <f ca="1">IF(Q40="Ritual","N/A",IF(Q40="I.E.","N/A",IF(Q40="WOG",VLOOKUP(Magick!$I$66*100,magestuff!$B$134:$F$138,2),IF(Q40="Cantrip",VLOOKUP(Magick!$I$66*100,magestuff!$B$134:$F$138,3),IF(Q40="Hex",VLOOKUP(Magick!$I$66*100,magestuff!$B$134:$F$138,4),VLOOKUP(Magick!$I$66*100,magestuff!$B$134:$F$138,5))))))</f>
        <v>9</v>
      </c>
      <c r="S40" s="69">
        <f>25*Magick!$C$3</f>
        <v>0</v>
      </c>
      <c r="T40" s="67" t="s">
        <v>3725</v>
      </c>
      <c r="U40" s="67" t="str">
        <f t="shared" si="7"/>
        <v xml:space="preserve"> </v>
      </c>
      <c r="V40" s="515"/>
      <c r="W40" s="125"/>
      <c r="X40" s="31">
        <f t="shared" si="8"/>
        <v>0</v>
      </c>
      <c r="Y40" s="509"/>
      <c r="Z40" s="1054" t="str">
        <f t="shared" si="0"/>
        <v>Thunderclap</v>
      </c>
      <c r="AA40" s="1072" t="str">
        <f t="shared" si="1"/>
        <v>Common</v>
      </c>
    </row>
    <row r="41" spans="1:27" hidden="1" outlineLevel="1">
      <c r="A41" s="377" t="s">
        <v>835</v>
      </c>
      <c r="B41" s="67">
        <v>6</v>
      </c>
      <c r="C41" s="67">
        <f ca="1">magestuff!$R$193</f>
        <v>6</v>
      </c>
      <c r="D41" s="67">
        <f t="shared" si="6"/>
        <v>0</v>
      </c>
      <c r="E41" s="77" t="e">
        <f ca="1">IF(F41="y",HLOOKUP((IF(C41&lt;1,1,C41)),Magick!$C$20:$L$21,2),NA())</f>
        <v>#N/A</v>
      </c>
      <c r="F41" s="67" t="str">
        <f ca="1">IF(C41&lt;=Magick!$D$3,"Y","N")</f>
        <v>N</v>
      </c>
      <c r="G41" s="148" t="s">
        <v>859</v>
      </c>
      <c r="H41" s="151"/>
      <c r="I41" s="77" t="e">
        <f>IF(H41&gt;0,(HLOOKUP(C41,Magick!$C$20:$L$21,2)-HLOOKUP(H41,Magick!$C$20:$L$21,2)),NA())</f>
        <v>#N/A</v>
      </c>
      <c r="J41" s="77"/>
      <c r="K41" s="67">
        <v>9</v>
      </c>
      <c r="L41" s="72" t="str">
        <f>IF(H41&gt;0,Magick!$M$157-('Master Spell List'!H40*0.1),"N/A")</f>
        <v>N/A</v>
      </c>
      <c r="M41" s="72">
        <f ca="1">Magick!$H$66</f>
        <v>0.08</v>
      </c>
      <c r="N41" s="72">
        <f ca="1">Magick!$K$66</f>
        <v>0.13</v>
      </c>
      <c r="O41" s="72">
        <f ca="1">Magick!$L$66</f>
        <v>0.13</v>
      </c>
      <c r="P41" s="72">
        <f ca="1">Magick!$M$66</f>
        <v>0.13</v>
      </c>
      <c r="Q41" s="67" t="s">
        <v>4602</v>
      </c>
      <c r="R41" s="67">
        <f ca="1">IF(Q41="Ritual","N/A",IF(Q41="I.E.","N/A",IF(Q41="WOG",VLOOKUP(Magick!$I$66*100,magestuff!$B$134:$F$138,2),IF(Q41="Cantrip",VLOOKUP(Magick!$I$66*100,magestuff!$B$134:$F$138,3),IF(Q41="Hex",VLOOKUP(Magick!$I$66*100,magestuff!$B$134:$F$138,4),VLOOKUP(Magick!$I$66*100,magestuff!$B$134:$F$138,5))))))</f>
        <v>19</v>
      </c>
      <c r="S41" s="69" t="s">
        <v>4018</v>
      </c>
      <c r="T41" s="69" t="s">
        <v>4018</v>
      </c>
      <c r="U41" s="67" t="str">
        <f t="shared" si="7"/>
        <v xml:space="preserve"> </v>
      </c>
      <c r="V41" s="515"/>
      <c r="W41" s="125"/>
      <c r="X41" s="31">
        <f t="shared" si="8"/>
        <v>0</v>
      </c>
      <c r="Y41" s="509"/>
      <c r="Z41" s="1054" t="str">
        <f t="shared" si="0"/>
        <v>Lesser Gain Strength from the Storm</v>
      </c>
      <c r="AA41" s="1072" t="str">
        <f t="shared" si="1"/>
        <v>Common</v>
      </c>
    </row>
    <row r="42" spans="1:27" hidden="1" outlineLevel="1">
      <c r="A42" s="31" t="s">
        <v>1291</v>
      </c>
      <c r="B42" s="67">
        <v>6</v>
      </c>
      <c r="C42" s="67">
        <f ca="1">magestuff!$R$193</f>
        <v>6</v>
      </c>
      <c r="D42" s="67">
        <f t="shared" si="6"/>
        <v>0</v>
      </c>
      <c r="E42" s="77" t="e">
        <f ca="1">IF(F42="y",HLOOKUP((IF(C42&lt;1,1,C42)),Magick!$C$20:$L$21,2),NA())</f>
        <v>#N/A</v>
      </c>
      <c r="F42" s="67" t="str">
        <f ca="1">IF(C42&lt;=Magick!$D$3,"Y","N")</f>
        <v>N</v>
      </c>
      <c r="G42" s="148" t="s">
        <v>128</v>
      </c>
      <c r="H42" s="151"/>
      <c r="I42" s="77" t="e">
        <f>IF(H42&gt;0,(HLOOKUP(C42,Magick!$C$20:$L$21,2)-HLOOKUP(H42,Magick!$C$20:$L$21,2)),NA())</f>
        <v>#N/A</v>
      </c>
      <c r="J42" s="77"/>
      <c r="K42" s="67">
        <v>8</v>
      </c>
      <c r="L42" s="72" t="str">
        <f>IF(H42&gt;0,Magick!$M$157-('Master Spell List'!H39*0.1),"N/A")</f>
        <v>N/A</v>
      </c>
      <c r="M42" s="72">
        <f ca="1">Magick!$H$66</f>
        <v>0.08</v>
      </c>
      <c r="N42" s="72">
        <f ca="1">Magick!$K$66</f>
        <v>0.13</v>
      </c>
      <c r="O42" s="72">
        <f ca="1">Magick!$L$66</f>
        <v>0.13</v>
      </c>
      <c r="P42" s="72">
        <f ca="1">Magick!$M$66</f>
        <v>0.13</v>
      </c>
      <c r="Q42" s="67" t="str">
        <f>IF('Main Creation Page'!$AB$2=53,"Cantrip","Hex")</f>
        <v>Hex</v>
      </c>
      <c r="R42" s="67">
        <f ca="1">IF(Q42="Ritual","N/A",IF(Q42="I.E.","N/A",IF(Q42="WOG",VLOOKUP(Magick!$I$66*100,magestuff!$B$134:$F$138,2),IF(Q42="Cantrip",VLOOKUP(Magick!$I$66*100,magestuff!$B$134:$F$138,3),IF(Q42="Hex",VLOOKUP(Magick!$I$66*100,magestuff!$B$134:$F$138,4),VLOOKUP(Magick!$I$66*100,magestuff!$B$134:$F$138,5))))))</f>
        <v>19</v>
      </c>
      <c r="S42" s="69" t="str">
        <f>CONCATENATE(IF(Magick!$C$3&gt;0,Magick!$C$3*100," "),"ft.")</f>
        <v xml:space="preserve"> ft.</v>
      </c>
      <c r="T42" s="67" t="s">
        <v>3725</v>
      </c>
      <c r="U42" s="67" t="str">
        <f t="shared" si="7"/>
        <v xml:space="preserve"> </v>
      </c>
      <c r="V42" s="515"/>
      <c r="W42" s="125"/>
      <c r="X42" s="31">
        <f t="shared" si="8"/>
        <v>0</v>
      </c>
      <c r="Y42" s="509"/>
      <c r="Z42" s="1054" t="str">
        <f t="shared" si="0"/>
        <v>Lightning Bolt</v>
      </c>
      <c r="AA42" s="1072" t="str">
        <f t="shared" si="1"/>
        <v>Common</v>
      </c>
    </row>
    <row r="43" spans="1:27" hidden="1" outlineLevel="1">
      <c r="A43" s="31" t="s">
        <v>2599</v>
      </c>
      <c r="B43" s="67">
        <v>7</v>
      </c>
      <c r="C43" s="67">
        <f ca="1">magestuff!$U$193</f>
        <v>7</v>
      </c>
      <c r="D43" s="67">
        <f t="shared" si="6"/>
        <v>0</v>
      </c>
      <c r="E43" s="77" t="e">
        <f ca="1">IF(F43="y",HLOOKUP((IF(C43&lt;1,1,C43)),Magick!$C$20:$L$21,2),NA())</f>
        <v>#N/A</v>
      </c>
      <c r="F43" s="67" t="str">
        <f ca="1">IF(C43&lt;=Magick!$D$3,"Y","N")</f>
        <v>N</v>
      </c>
      <c r="G43" s="148" t="s">
        <v>128</v>
      </c>
      <c r="H43" s="151"/>
      <c r="I43" s="77" t="e">
        <f>IF(H43&gt;0,(HLOOKUP(C43,Magick!$C$20:$L$21,2)-HLOOKUP(H43,Magick!$C$20:$L$21,2)),NA())</f>
        <v>#N/A</v>
      </c>
      <c r="J43" s="77"/>
      <c r="K43" s="67">
        <v>9</v>
      </c>
      <c r="L43" s="72" t="str">
        <f>IF(H43&gt;0,Magick!$M$157-('Master Spell List'!H33*0.1),"N/A")</f>
        <v>N/A</v>
      </c>
      <c r="M43" s="72">
        <f ca="1">Magick!$H$66</f>
        <v>0.08</v>
      </c>
      <c r="N43" s="72">
        <f ca="1">Magick!$K$66</f>
        <v>0.13</v>
      </c>
      <c r="O43" s="72">
        <f ca="1">Magick!$L$66</f>
        <v>0.13</v>
      </c>
      <c r="P43" s="72">
        <f ca="1">Magick!$M$66</f>
        <v>0.13</v>
      </c>
      <c r="Q43" s="67" t="str">
        <f>IF('Main Creation Page'!$AB$2=53,"Hex","Sorcery")</f>
        <v>Sorcery</v>
      </c>
      <c r="R43" s="67">
        <f ca="1">IF(Q43="Ritual","N/A",IF(Q43="I.E.","N/A",IF(Q43="WOG",VLOOKUP(Magick!$I$66*100,magestuff!$B$134:$F$138,2),IF(Q43="Cantrip",VLOOKUP(Magick!$I$66*100,magestuff!$B$134:$F$138,3),IF(Q43="Hex",VLOOKUP(Magick!$I$66*100,magestuff!$B$134:$F$138,4),VLOOKUP(Magick!$I$66*100,magestuff!$B$134:$F$138,5))))))</f>
        <v>29</v>
      </c>
      <c r="S43" s="69" t="str">
        <f>CONCATENATE(IF(Magick!$C$3&gt;0,Magick!$C$3*25," "),"ft.")</f>
        <v xml:space="preserve"> ft.</v>
      </c>
      <c r="T43" s="67" t="s">
        <v>3725</v>
      </c>
      <c r="U43" s="67" t="str">
        <f t="shared" si="7"/>
        <v xml:space="preserve"> </v>
      </c>
      <c r="V43" s="515"/>
      <c r="W43" s="125"/>
      <c r="X43" s="31">
        <f t="shared" si="8"/>
        <v>0</v>
      </c>
      <c r="Y43" s="509"/>
      <c r="Z43" s="1054" t="str">
        <f t="shared" si="0"/>
        <v>Air Ram</v>
      </c>
      <c r="AA43" s="1072" t="str">
        <f t="shared" si="1"/>
        <v>Common</v>
      </c>
    </row>
    <row r="44" spans="1:27" hidden="1" outlineLevel="1">
      <c r="A44" s="377" t="s">
        <v>837</v>
      </c>
      <c r="B44" s="67">
        <v>7</v>
      </c>
      <c r="C44" s="67">
        <f ca="1">magestuff!$U$193</f>
        <v>7</v>
      </c>
      <c r="D44" s="67">
        <f t="shared" si="6"/>
        <v>0</v>
      </c>
      <c r="E44" s="77" t="e">
        <f ca="1">IF(F44="y",HLOOKUP((IF(C44&lt;1,1,C44)),Magick!$C$20:$L$21,2),NA())</f>
        <v>#N/A</v>
      </c>
      <c r="F44" s="67" t="str">
        <f ca="1">IF(C44&lt;=Magick!$D$3,"Y","N")</f>
        <v>N</v>
      </c>
      <c r="G44" s="148" t="s">
        <v>859</v>
      </c>
      <c r="H44" s="151"/>
      <c r="I44" s="77" t="e">
        <f>IF(H44&gt;0,(HLOOKUP(C44,Magick!$C$20:$L$21,2)-HLOOKUP(H44,Magick!$C$20:$L$21,2)),NA())</f>
        <v>#N/A</v>
      </c>
      <c r="J44" s="77"/>
      <c r="K44" s="67">
        <v>11</v>
      </c>
      <c r="L44" s="72" t="str">
        <f>IF(H44&gt;0,Magick!$M$157-('Master Spell List'!H41*0.1),"N/A")</f>
        <v>N/A</v>
      </c>
      <c r="M44" s="72">
        <f ca="1">Magick!$H$66</f>
        <v>0.08</v>
      </c>
      <c r="N44" s="72">
        <f ca="1">Magick!$K$66</f>
        <v>0.13</v>
      </c>
      <c r="O44" s="72">
        <f ca="1">Magick!$L$66</f>
        <v>0.13</v>
      </c>
      <c r="P44" s="72">
        <f ca="1">Magick!$M$66</f>
        <v>0.13</v>
      </c>
      <c r="Q44" s="67" t="s">
        <v>4602</v>
      </c>
      <c r="R44" s="67">
        <f ca="1">IF(Q44="Ritual","N/A",IF(Q44="I.E.","N/A",IF(Q44="WOG",VLOOKUP(Magick!$I$66*100,magestuff!$B$134:$F$138,2),IF(Q44="Cantrip",VLOOKUP(Magick!$I$66*100,magestuff!$B$134:$F$138,3),IF(Q44="Hex",VLOOKUP(Magick!$I$66*100,magestuff!$B$134:$F$138,4),VLOOKUP(Magick!$I$66*100,magestuff!$B$134:$F$138,5))))))</f>
        <v>19</v>
      </c>
      <c r="S44" s="69" t="s">
        <v>4018</v>
      </c>
      <c r="T44" s="69" t="s">
        <v>4018</v>
      </c>
      <c r="U44" s="67" t="str">
        <f t="shared" si="7"/>
        <v xml:space="preserve"> </v>
      </c>
      <c r="V44" s="515"/>
      <c r="W44" s="125"/>
      <c r="X44" s="31">
        <f t="shared" si="8"/>
        <v>0</v>
      </c>
      <c r="Y44" s="509"/>
      <c r="Z44" s="1054" t="str">
        <f t="shared" si="0"/>
        <v>Great Gain Strength from the Storm</v>
      </c>
      <c r="AA44" s="1072" t="str">
        <f t="shared" si="1"/>
        <v>Common</v>
      </c>
    </row>
    <row r="45" spans="1:27" hidden="1" outlineLevel="1">
      <c r="A45" s="83" t="s">
        <v>6084</v>
      </c>
      <c r="B45" s="67">
        <v>7</v>
      </c>
      <c r="C45" s="67">
        <f ca="1">magestuff!$AD$193</f>
        <v>10</v>
      </c>
      <c r="D45" s="67">
        <f t="shared" si="6"/>
        <v>0</v>
      </c>
      <c r="E45" s="77" t="e">
        <f ca="1">IF(F45="y",HLOOKUP((IF(C45&lt;1,1,C45)),Magick!$C$20:$L$21,2),NA())</f>
        <v>#N/A</v>
      </c>
      <c r="F45" s="67" t="str">
        <f ca="1">IF(C45&lt;=Magick!$D$3,"Y","N")</f>
        <v>N</v>
      </c>
      <c r="G45" s="148" t="s">
        <v>6052</v>
      </c>
      <c r="H45" s="151"/>
      <c r="I45" s="77" t="e">
        <f>IF(H45&gt;0,(HLOOKUP(C45,Magick!$C$20:$L$21,2)-HLOOKUP(H45,Magick!$C$20:$L$21,2)),NA())</f>
        <v>#N/A</v>
      </c>
      <c r="J45" s="77"/>
      <c r="K45" s="67">
        <v>17</v>
      </c>
      <c r="L45" s="72" t="str">
        <f>IF(H45&gt;0,Magick!$M$157-('Master Spell List'!H35*0.1),"N/A")</f>
        <v>N/A</v>
      </c>
      <c r="M45" s="72">
        <f ca="1">Magick!$H$66</f>
        <v>0.08</v>
      </c>
      <c r="N45" s="72">
        <f ca="1">Magick!$K$66</f>
        <v>0.13</v>
      </c>
      <c r="O45" s="72">
        <f ca="1">Magick!$L$66</f>
        <v>0.13</v>
      </c>
      <c r="P45" s="72">
        <f ca="1">Magick!$M$66</f>
        <v>0.13</v>
      </c>
      <c r="Q45" s="67" t="str">
        <f>IF('Main Creation Page'!$AB$2=53,"Sorcery","Ritual")</f>
        <v>Ritual</v>
      </c>
      <c r="R45" s="67" t="str">
        <f>IF(Q45="Ritual","N/A",IF(Q45="I.E.","N/A",IF(Q45="WOG",VLOOKUP(Magick!$I$66*100,magestuff!$B$134:$F$138,2),IF(Q45="Cantrip",VLOOKUP(Magick!$I$66*100,magestuff!$B$134:$F$138,3),IF(Q45="Hex",VLOOKUP(Magick!$I$66*100,magestuff!$B$134:$F$138,4),VLOOKUP(Magick!$I$66*100,magestuff!$B$134:$F$138,5))))))</f>
        <v>N/A</v>
      </c>
      <c r="S45" s="69" t="str">
        <f>CONCATENATE(IF(Magick!$C$3&gt;0,Magick!$C$3*50," "),"ft.")</f>
        <v xml:space="preserve"> ft.</v>
      </c>
      <c r="T45" s="69" t="str">
        <f>CONCATENATE(IF(Magick!$C$3&gt;0,Magick!$C$3*1," "),"min..")</f>
        <v xml:space="preserve"> min..</v>
      </c>
      <c r="U45" s="67" t="str">
        <f t="shared" si="7"/>
        <v xml:space="preserve"> </v>
      </c>
      <c r="V45" s="515"/>
      <c r="W45" s="125"/>
      <c r="X45" s="31">
        <f t="shared" si="8"/>
        <v>0</v>
      </c>
      <c r="Y45" s="509"/>
      <c r="Z45" s="1054" t="str">
        <f t="shared" si="0"/>
        <v>Least Create Scented Air</v>
      </c>
      <c r="AA45" s="1072" t="str">
        <f t="shared" si="1"/>
        <v>Common</v>
      </c>
    </row>
    <row r="46" spans="1:27" hidden="1" outlineLevel="1">
      <c r="A46" s="377" t="s">
        <v>836</v>
      </c>
      <c r="B46" s="67">
        <v>8</v>
      </c>
      <c r="C46" s="67">
        <f ca="1">magestuff!$X$193</f>
        <v>8</v>
      </c>
      <c r="D46" s="67">
        <f t="shared" si="6"/>
        <v>0</v>
      </c>
      <c r="E46" s="77" t="e">
        <f ca="1">IF(F46="y",HLOOKUP((IF(C46&lt;1,1,C46)),Magick!$C$20:$L$21,2),NA())</f>
        <v>#N/A</v>
      </c>
      <c r="F46" s="67" t="str">
        <f ca="1">IF(C46&lt;=Magick!$D$3,"Y","N")</f>
        <v>N</v>
      </c>
      <c r="G46" s="148" t="s">
        <v>859</v>
      </c>
      <c r="H46" s="151"/>
      <c r="I46" s="77" t="e">
        <f>IF(H46&gt;0,(HLOOKUP(C46,Magick!$C$20:$L$21,2)-HLOOKUP(H46,Magick!$C$20:$L$21,2)),NA())</f>
        <v>#N/A</v>
      </c>
      <c r="J46" s="77"/>
      <c r="K46" s="67">
        <v>14</v>
      </c>
      <c r="L46" s="72" t="str">
        <f>IF(H46&gt;0,Magick!$M$157-('Master Spell List'!H42*0.1),"N/A")</f>
        <v>N/A</v>
      </c>
      <c r="M46" s="72">
        <f ca="1">Magick!$H$66</f>
        <v>0.08</v>
      </c>
      <c r="N46" s="72">
        <f ca="1">Magick!$K$66</f>
        <v>0.13</v>
      </c>
      <c r="O46" s="72">
        <f ca="1">Magick!$L$66</f>
        <v>0.13</v>
      </c>
      <c r="P46" s="72">
        <f ca="1">Magick!$M$66</f>
        <v>0.13</v>
      </c>
      <c r="Q46" s="67" t="s">
        <v>3723</v>
      </c>
      <c r="R46" s="67">
        <f ca="1">IF(Q46="Ritual","N/A",IF(Q46="I.E.","N/A",IF(Q46="WOG",VLOOKUP(Magick!$I$66*100,magestuff!$B$134:$F$138,2),IF(Q46="Cantrip",VLOOKUP(Magick!$I$66*100,magestuff!$B$134:$F$138,3),IF(Q46="Hex",VLOOKUP(Magick!$I$66*100,magestuff!$B$134:$F$138,4),VLOOKUP(Magick!$I$66*100,magestuff!$B$134:$F$138,5))))))</f>
        <v>29</v>
      </c>
      <c r="S46" s="69" t="s">
        <v>4018</v>
      </c>
      <c r="T46" s="69" t="s">
        <v>4018</v>
      </c>
      <c r="U46" s="67" t="str">
        <f t="shared" si="7"/>
        <v xml:space="preserve"> </v>
      </c>
      <c r="V46" s="515"/>
      <c r="W46" s="125"/>
      <c r="X46" s="31">
        <f t="shared" si="8"/>
        <v>0</v>
      </c>
      <c r="Y46" s="509"/>
      <c r="Z46" s="1054" t="str">
        <f t="shared" si="0"/>
        <v>Greater Gain Strength from the Storm</v>
      </c>
      <c r="AA46" s="1072" t="str">
        <f t="shared" si="1"/>
        <v>Common</v>
      </c>
    </row>
    <row r="47" spans="1:27" s="1046" customFormat="1" hidden="1" outlineLevel="1">
      <c r="A47" s="377" t="s">
        <v>838</v>
      </c>
      <c r="B47" s="67">
        <v>9</v>
      </c>
      <c r="C47" s="67">
        <f ca="1">magestuff!$AA$193</f>
        <v>9</v>
      </c>
      <c r="D47" s="67">
        <f t="shared" si="6"/>
        <v>0</v>
      </c>
      <c r="E47" s="77" t="e">
        <f ca="1">IF(F47="y",HLOOKUP((IF(C47&lt;1,1,C47)),Magick!$C$20:$L$21,2),NA())</f>
        <v>#N/A</v>
      </c>
      <c r="F47" s="67" t="str">
        <f ca="1">IF(C47&lt;=Magick!$D$3,"Y","N")</f>
        <v>N</v>
      </c>
      <c r="G47" s="148" t="s">
        <v>859</v>
      </c>
      <c r="H47" s="151"/>
      <c r="I47" s="77" t="e">
        <f>IF(H47&gt;0,(HLOOKUP(C47,Magick!$C$20:$L$21,2)-HLOOKUP(H47,Magick!$C$20:$L$21,2)),NA())</f>
        <v>#N/A</v>
      </c>
      <c r="J47" s="77"/>
      <c r="K47" s="67">
        <v>15</v>
      </c>
      <c r="L47" s="72" t="str">
        <f>IF(H47&gt;0,Magick!$M$157-('Master Spell List'!H43*0.1),"N/A")</f>
        <v>N/A</v>
      </c>
      <c r="M47" s="72">
        <f ca="1">Magick!$H$66</f>
        <v>0.08</v>
      </c>
      <c r="N47" s="72">
        <f ca="1">Magick!$K$66</f>
        <v>0.13</v>
      </c>
      <c r="O47" s="72">
        <f ca="1">Magick!$L$66</f>
        <v>0.13</v>
      </c>
      <c r="P47" s="72">
        <f ca="1">Magick!$M$66</f>
        <v>0.13</v>
      </c>
      <c r="Q47" s="67" t="s">
        <v>3723</v>
      </c>
      <c r="R47" s="67">
        <f ca="1">IF(Q47="Ritual","N/A",IF(Q47="I.E.","N/A",IF(Q47="WOG",VLOOKUP(Magick!$I$66*100,magestuff!$B$134:$F$138,2),IF(Q47="Cantrip",VLOOKUP(Magick!$I$66*100,magestuff!$B$134:$F$138,3),IF(Q47="Hex",VLOOKUP(Magick!$I$66*100,magestuff!$B$134:$F$138,4),VLOOKUP(Magick!$I$66*100,magestuff!$B$134:$F$138,5))))))</f>
        <v>29</v>
      </c>
      <c r="S47" s="69" t="s">
        <v>4018</v>
      </c>
      <c r="T47" s="69" t="s">
        <v>4018</v>
      </c>
      <c r="U47" s="67" t="str">
        <f t="shared" si="7"/>
        <v xml:space="preserve"> </v>
      </c>
      <c r="V47" s="515"/>
      <c r="W47" s="125"/>
      <c r="X47" s="31">
        <f t="shared" si="8"/>
        <v>0</v>
      </c>
      <c r="Y47" s="1045"/>
      <c r="Z47" s="1054" t="str">
        <f t="shared" si="0"/>
        <v>Greatest Gain Strength from the Storm</v>
      </c>
      <c r="AA47" s="1072" t="str">
        <f t="shared" si="1"/>
        <v>Common</v>
      </c>
    </row>
    <row r="48" spans="1:27" s="1046" customFormat="1" hidden="1" outlineLevel="1">
      <c r="A48" s="83" t="s">
        <v>6085</v>
      </c>
      <c r="B48" s="67">
        <v>9</v>
      </c>
      <c r="C48" s="67">
        <f ca="1">magestuff!$AD$193</f>
        <v>10</v>
      </c>
      <c r="D48" s="67">
        <f t="shared" si="6"/>
        <v>0</v>
      </c>
      <c r="E48" s="77" t="e">
        <f ca="1">IF(F48="y",HLOOKUP((IF(C48&lt;1,1,C48)),Magick!$C$20:$L$21,2),NA())</f>
        <v>#N/A</v>
      </c>
      <c r="F48" s="67" t="str">
        <f ca="1">IF(C48&lt;=Magick!$D$3,"Y","N")</f>
        <v>N</v>
      </c>
      <c r="G48" s="148" t="s">
        <v>6052</v>
      </c>
      <c r="H48" s="151"/>
      <c r="I48" s="77" t="e">
        <f>IF(H48&gt;0,(HLOOKUP(C48,Magick!$C$20:$L$21,2)-HLOOKUP(H48,Magick!$C$20:$L$21,2)),NA())</f>
        <v>#N/A</v>
      </c>
      <c r="J48" s="77"/>
      <c r="K48" s="67">
        <v>21</v>
      </c>
      <c r="L48" s="72" t="str">
        <f>IF(H48&gt;0,Magick!$M$157-('Master Spell List'!H36*0.1),"N/A")</f>
        <v>N/A</v>
      </c>
      <c r="M48" s="72">
        <f ca="1">Magick!$H$66</f>
        <v>0.08</v>
      </c>
      <c r="N48" s="72">
        <f ca="1">Magick!$K$66</f>
        <v>0.13</v>
      </c>
      <c r="O48" s="72">
        <f ca="1">Magick!$L$66</f>
        <v>0.13</v>
      </c>
      <c r="P48" s="72">
        <f ca="1">Magick!$M$66</f>
        <v>0.13</v>
      </c>
      <c r="Q48" s="67" t="str">
        <f>IF('Main Creation Page'!$AB$2=53,"Sorcery","Ritual")</f>
        <v>Ritual</v>
      </c>
      <c r="R48" s="67" t="str">
        <f>IF(Q48="Ritual","N/A",IF(Q48="I.E.","N/A",IF(Q48="WOG",VLOOKUP(Magick!$I$66*100,magestuff!$B$134:$F$138,2),IF(Q48="Cantrip",VLOOKUP(Magick!$I$66*100,magestuff!$B$134:$F$138,3),IF(Q48="Hex",VLOOKUP(Magick!$I$66*100,magestuff!$B$134:$F$138,4),VLOOKUP(Magick!$I$66*100,magestuff!$B$134:$F$138,5))))))</f>
        <v>N/A</v>
      </c>
      <c r="S48" s="69" t="str">
        <f>CONCATENATE(IF(Magick!$C$3&gt;0,Magick!$C$3*75," "),"ft.")</f>
        <v xml:space="preserve"> ft.</v>
      </c>
      <c r="T48" s="69" t="str">
        <f>CONCATENATE(IF(Magick!$C$3&gt;0,Magick!$C$3*5," "),"min..")</f>
        <v xml:space="preserve"> min..</v>
      </c>
      <c r="U48" s="67" t="str">
        <f t="shared" si="7"/>
        <v xml:space="preserve"> </v>
      </c>
      <c r="V48" s="515"/>
      <c r="W48" s="125"/>
      <c r="X48" s="31">
        <f t="shared" si="8"/>
        <v>0</v>
      </c>
      <c r="Y48" s="1045"/>
      <c r="Z48" s="1054" t="str">
        <f t="shared" si="0"/>
        <v>Lesser Create Scented Air</v>
      </c>
      <c r="AA48" s="1072" t="str">
        <f t="shared" si="1"/>
        <v>Common</v>
      </c>
    </row>
    <row r="49" spans="1:27" hidden="1" outlineLevel="1">
      <c r="A49" s="31" t="s">
        <v>1292</v>
      </c>
      <c r="B49" s="67">
        <v>9</v>
      </c>
      <c r="C49" s="67">
        <f ca="1">magestuff!$AA$193</f>
        <v>9</v>
      </c>
      <c r="D49" s="67">
        <f t="shared" si="6"/>
        <v>0</v>
      </c>
      <c r="E49" s="77" t="e">
        <f ca="1">IF(F49="y",HLOOKUP((IF(C49&lt;1,1,C49)),Magick!$C$20:$L$21,2),NA())</f>
        <v>#N/A</v>
      </c>
      <c r="F49" s="67" t="str">
        <f ca="1">IF(C49&lt;=Magick!$D$3,"Y","N")</f>
        <v>N</v>
      </c>
      <c r="G49" s="148" t="s">
        <v>128</v>
      </c>
      <c r="H49" s="151"/>
      <c r="I49" s="77" t="e">
        <f>IF(H49&gt;0,(HLOOKUP(C49,Magick!$C$20:$L$21,2)-HLOOKUP(H49,Magick!$C$20:$L$21,2)),NA())</f>
        <v>#N/A</v>
      </c>
      <c r="J49" s="77"/>
      <c r="K49" s="67">
        <v>11</v>
      </c>
      <c r="L49" s="72" t="str">
        <f>IF(H49&gt;0,Magick!$M$157-('Master Spell List'!H40*0.1),"N/A")</f>
        <v>N/A</v>
      </c>
      <c r="M49" s="72">
        <f ca="1">Magick!$H$66</f>
        <v>0.08</v>
      </c>
      <c r="N49" s="72">
        <f ca="1">Magick!$K$66</f>
        <v>0.13</v>
      </c>
      <c r="O49" s="72">
        <f ca="1">Magick!$L$66</f>
        <v>0.13</v>
      </c>
      <c r="P49" s="72">
        <f ca="1">Magick!$M$66</f>
        <v>0.13</v>
      </c>
      <c r="Q49" s="67" t="str">
        <f>IF('Main Creation Page'!$AB$2=53,"Hex","Sorcery")</f>
        <v>Sorcery</v>
      </c>
      <c r="R49" s="67">
        <f ca="1">IF(Q49="Ritual","N/A",IF(Q49="I.E.","N/A",IF(Q49="WOG",VLOOKUP(Magick!$I$66*100,magestuff!$B$134:$F$138,2),IF(Q49="Cantrip",VLOOKUP(Magick!$I$66*100,magestuff!$B$134:$F$138,3),IF(Q49="Hex",VLOOKUP(Magick!$I$66*100,magestuff!$B$134:$F$138,4),VLOOKUP(Magick!$I$66*100,magestuff!$B$134:$F$138,5))))))</f>
        <v>29</v>
      </c>
      <c r="S49" s="69" t="str">
        <f>CONCATENATE(IF(Magick!$C$3&gt;0,Magick!$C$3*250," "),"ft.")</f>
        <v xml:space="preserve"> ft.</v>
      </c>
      <c r="T49" s="67" t="s">
        <v>3725</v>
      </c>
      <c r="U49" s="67" t="str">
        <f t="shared" si="7"/>
        <v xml:space="preserve"> </v>
      </c>
      <c r="V49" s="515"/>
      <c r="W49" s="125"/>
      <c r="X49" s="31">
        <f t="shared" si="8"/>
        <v>0</v>
      </c>
      <c r="Y49" s="1045"/>
      <c r="Z49" s="1054" t="str">
        <f t="shared" si="0"/>
        <v>Thunderbolt</v>
      </c>
      <c r="AA49" s="1072" t="str">
        <f t="shared" si="1"/>
        <v>Common</v>
      </c>
    </row>
    <row r="50" spans="1:27" s="1046" customFormat="1" hidden="1" outlineLevel="1">
      <c r="A50" s="31" t="s">
        <v>908</v>
      </c>
      <c r="B50" s="67">
        <v>10</v>
      </c>
      <c r="C50" s="67">
        <f ca="1">magestuff!$AD$193</f>
        <v>10</v>
      </c>
      <c r="D50" s="67">
        <f t="shared" si="6"/>
        <v>0</v>
      </c>
      <c r="E50" s="77" t="e">
        <f ca="1">IF(F50="y",HLOOKUP((IF(C50&lt;1,1,C50)),Magick!$C$20:$L$21,2),NA())</f>
        <v>#N/A</v>
      </c>
      <c r="F50" s="67" t="str">
        <f ca="1">IF(C50&lt;=Magick!$D$3,"Y","N")</f>
        <v>N</v>
      </c>
      <c r="G50" s="148" t="s">
        <v>128</v>
      </c>
      <c r="H50" s="151"/>
      <c r="I50" s="77" t="e">
        <f>IF(H50&gt;0,(HLOOKUP(C50,Magick!$C$20:$L$21,2)-HLOOKUP(H50,Magick!$C$20:$L$21,2)),NA())</f>
        <v>#N/A</v>
      </c>
      <c r="J50" s="77"/>
      <c r="K50" s="67">
        <v>9</v>
      </c>
      <c r="L50" s="72" t="str">
        <f>IF(H50&gt;0,Magick!$M$157-('Master Spell List'!H37*0.1),"N/A")</f>
        <v>N/A</v>
      </c>
      <c r="M50" s="72">
        <f ca="1">Magick!$H$66</f>
        <v>0.08</v>
      </c>
      <c r="N50" s="72">
        <f ca="1">Magick!$K$66</f>
        <v>0.13</v>
      </c>
      <c r="O50" s="72">
        <f ca="1">Magick!$L$66</f>
        <v>0.13</v>
      </c>
      <c r="P50" s="72">
        <f ca="1">Magick!$M$66</f>
        <v>0.13</v>
      </c>
      <c r="Q50" s="67" t="str">
        <f>IF('Main Creation Page'!$AB$2=53,"Sorcery","Ritual")</f>
        <v>Ritual</v>
      </c>
      <c r="R50" s="67" t="str">
        <f>IF(Q50="Ritual","N/A",IF(Q50="I.E.","N/A",IF(Q50="WOG",VLOOKUP(Magick!$I$66*100,magestuff!$B$134:$F$138,2),IF(Q50="Cantrip",VLOOKUP(Magick!$I$66*100,magestuff!$B$134:$F$138,3),IF(Q50="Hex",VLOOKUP(Magick!$I$66*100,magestuff!$B$134:$F$138,4),VLOOKUP(Magick!$I$66*100,magestuff!$B$134:$F$138,5))))))</f>
        <v>N/A</v>
      </c>
      <c r="S50" s="69" t="str">
        <f>CONCATENATE(IF(Magick!$C$3&gt;0,Magick!$C$3*250," "),"ft.")</f>
        <v xml:space="preserve"> ft.</v>
      </c>
      <c r="T50" s="69" t="str">
        <f>CONCATENATE(IF(Magick!$C$3&gt;0,Magick!$C$3*5," "),"min..")</f>
        <v xml:space="preserve"> min..</v>
      </c>
      <c r="U50" s="67" t="str">
        <f t="shared" si="7"/>
        <v xml:space="preserve"> </v>
      </c>
      <c r="V50" s="515"/>
      <c r="W50" s="125"/>
      <c r="X50" s="31">
        <f t="shared" si="8"/>
        <v>0</v>
      </c>
      <c r="Y50" s="1045"/>
      <c r="Z50" s="1054" t="str">
        <f t="shared" si="0"/>
        <v>Tornado</v>
      </c>
      <c r="AA50" s="1072" t="str">
        <f t="shared" si="1"/>
        <v>Common</v>
      </c>
    </row>
    <row r="51" spans="1:27" s="1046" customFormat="1" hidden="1" outlineLevel="1">
      <c r="A51" s="83" t="s">
        <v>6086</v>
      </c>
      <c r="B51" s="67">
        <v>11</v>
      </c>
      <c r="C51" s="67">
        <f ca="1">magestuff!$AD$193</f>
        <v>10</v>
      </c>
      <c r="D51" s="67">
        <f t="shared" si="6"/>
        <v>0</v>
      </c>
      <c r="E51" s="77" t="e">
        <f ca="1">IF(F51="y",HLOOKUP((IF(C51&lt;1,1,C51)),Magick!$C$20:$L$21,2),NA())</f>
        <v>#N/A</v>
      </c>
      <c r="F51" s="67" t="str">
        <f ca="1">IF(C51&lt;=Magick!$D$3,"Y","N")</f>
        <v>N</v>
      </c>
      <c r="G51" s="148" t="s">
        <v>6052</v>
      </c>
      <c r="H51" s="151"/>
      <c r="I51" s="77" t="e">
        <f>IF(H51&gt;0,(HLOOKUP(C51,Magick!$C$20:$L$21,2)-HLOOKUP(H51,Magick!$C$20:$L$21,2)),NA())</f>
        <v>#N/A</v>
      </c>
      <c r="J51" s="77"/>
      <c r="K51" s="67">
        <v>23</v>
      </c>
      <c r="L51" s="72" t="str">
        <f>IF(H51&gt;0,Magick!$M$157-('Master Spell List'!H36*0.1),"N/A")</f>
        <v>N/A</v>
      </c>
      <c r="M51" s="72">
        <f ca="1">Magick!$H$66</f>
        <v>0.08</v>
      </c>
      <c r="N51" s="72">
        <f ca="1">Magick!$K$66</f>
        <v>0.13</v>
      </c>
      <c r="O51" s="72">
        <f ca="1">Magick!$L$66</f>
        <v>0.13</v>
      </c>
      <c r="P51" s="72">
        <f ca="1">Magick!$M$66</f>
        <v>0.13</v>
      </c>
      <c r="Q51" s="67" t="str">
        <f>IF('Main Creation Page'!$AB$2=53,"Sorcery","Ritual")</f>
        <v>Ritual</v>
      </c>
      <c r="R51" s="67" t="str">
        <f>IF(Q51="Ritual","N/A",IF(Q51="I.E.","N/A",IF(Q51="WOG",VLOOKUP(Magick!$I$66*100,magestuff!$B$134:$F$138,2),IF(Q51="Cantrip",VLOOKUP(Magick!$I$66*100,magestuff!$B$134:$F$138,3),IF(Q51="Hex",VLOOKUP(Magick!$I$66*100,magestuff!$B$134:$F$138,4),VLOOKUP(Magick!$I$66*100,magestuff!$B$134:$F$138,5))))))</f>
        <v>N/A</v>
      </c>
      <c r="S51" s="69" t="str">
        <f>CONCATENATE(IF(Magick!$C$3&gt;0,Magick!$C$3*100," "),"ft.")</f>
        <v xml:space="preserve"> ft.</v>
      </c>
      <c r="T51" s="69" t="str">
        <f>CONCATENATE(IF(Magick!$C$3&gt;0,Magick!$C$3*7," "),"min..")</f>
        <v xml:space="preserve"> min..</v>
      </c>
      <c r="U51" s="67" t="str">
        <f t="shared" si="7"/>
        <v xml:space="preserve"> </v>
      </c>
      <c r="V51" s="515"/>
      <c r="W51" s="125"/>
      <c r="X51" s="31">
        <f t="shared" si="8"/>
        <v>0</v>
      </c>
      <c r="Y51" s="1045"/>
      <c r="Z51" s="1054" t="str">
        <f t="shared" si="0"/>
        <v>Great Create Scented Air</v>
      </c>
      <c r="AA51" s="1072" t="str">
        <f t="shared" si="1"/>
        <v>Common</v>
      </c>
    </row>
    <row r="52" spans="1:27" hidden="1" outlineLevel="1">
      <c r="A52" s="83" t="s">
        <v>6087</v>
      </c>
      <c r="B52" s="67">
        <v>13</v>
      </c>
      <c r="C52" s="67">
        <f ca="1">magestuff!$AD$193</f>
        <v>10</v>
      </c>
      <c r="D52" s="67">
        <f t="shared" si="6"/>
        <v>0</v>
      </c>
      <c r="E52" s="77" t="e">
        <f ca="1">IF(F52="y",HLOOKUP((IF(C52&lt;1,1,C52)),Magick!$C$20:$L$21,2),NA())</f>
        <v>#N/A</v>
      </c>
      <c r="F52" s="67" t="str">
        <f ca="1">IF(C52&lt;=Magick!$D$3,"Y","N")</f>
        <v>N</v>
      </c>
      <c r="G52" s="148" t="s">
        <v>6052</v>
      </c>
      <c r="H52" s="151"/>
      <c r="I52" s="77" t="e">
        <f>IF(H52&gt;0,(HLOOKUP(C52,Magick!$C$20:$L$21,2)-HLOOKUP(H52,Magick!$C$20:$L$21,2)),NA())</f>
        <v>#N/A</v>
      </c>
      <c r="J52" s="77"/>
      <c r="K52" s="67">
        <v>29</v>
      </c>
      <c r="L52" s="72" t="str">
        <f>IF(H52&gt;0,Magick!$M$157-('Master Spell List'!H37*0.1),"N/A")</f>
        <v>N/A</v>
      </c>
      <c r="M52" s="72">
        <f ca="1">Magick!$H$66</f>
        <v>0.08</v>
      </c>
      <c r="N52" s="72">
        <f ca="1">Magick!$K$66</f>
        <v>0.13</v>
      </c>
      <c r="O52" s="72">
        <f ca="1">Magick!$L$66</f>
        <v>0.13</v>
      </c>
      <c r="P52" s="72">
        <f ca="1">Magick!$M$66</f>
        <v>0.13</v>
      </c>
      <c r="Q52" s="67" t="str">
        <f>IF('Main Creation Page'!$AB$2=53,"Sorcery","Ritual")</f>
        <v>Ritual</v>
      </c>
      <c r="R52" s="67" t="str">
        <f>IF(Q52="Ritual","N/A",IF(Q52="I.E.","N/A",IF(Q52="WOG",VLOOKUP(Magick!$I$66*100,magestuff!$B$134:$F$138,2),IF(Q52="Cantrip",VLOOKUP(Magick!$I$66*100,magestuff!$B$134:$F$138,3),IF(Q52="Hex",VLOOKUP(Magick!$I$66*100,magestuff!$B$134:$F$138,4),VLOOKUP(Magick!$I$66*100,magestuff!$B$134:$F$138,5))))))</f>
        <v>N/A</v>
      </c>
      <c r="S52" s="69" t="str">
        <f>CONCATENATE(IF(Magick!$C$3&gt;0,Magick!$C$3*150," "),"ft.")</f>
        <v xml:space="preserve"> ft.</v>
      </c>
      <c r="T52" s="69" t="str">
        <f>CONCATENATE(IF(Magick!$C$3&gt;0,Magick!$C$3*15," "),"min..")</f>
        <v xml:space="preserve"> min..</v>
      </c>
      <c r="U52" s="67" t="str">
        <f t="shared" si="7"/>
        <v xml:space="preserve"> </v>
      </c>
      <c r="V52" s="515"/>
      <c r="W52" s="125"/>
      <c r="X52" s="31">
        <f t="shared" si="8"/>
        <v>0</v>
      </c>
      <c r="Y52" s="509"/>
      <c r="Z52" s="1054" t="str">
        <f t="shared" si="0"/>
        <v>Greater Create Scented Air</v>
      </c>
      <c r="AA52" s="1072" t="str">
        <f t="shared" si="1"/>
        <v>Common</v>
      </c>
    </row>
    <row r="53" spans="1:27" hidden="1" outlineLevel="1" collapsed="1">
      <c r="A53" s="83" t="s">
        <v>6088</v>
      </c>
      <c r="B53" s="67">
        <v>13</v>
      </c>
      <c r="C53" s="67">
        <f ca="1">magestuff!$AD$193</f>
        <v>10</v>
      </c>
      <c r="D53" s="67">
        <f t="shared" si="6"/>
        <v>0</v>
      </c>
      <c r="E53" s="77" t="e">
        <f ca="1">IF(F53="y",HLOOKUP((IF(C53&lt;1,1,C53)),Magick!$C$20:$L$21,2),NA())</f>
        <v>#N/A</v>
      </c>
      <c r="F53" s="67" t="str">
        <f ca="1">IF(C53&lt;=Magick!$D$3,"Y","N")</f>
        <v>N</v>
      </c>
      <c r="G53" s="148" t="s">
        <v>6052</v>
      </c>
      <c r="H53" s="151"/>
      <c r="I53" s="77" t="e">
        <f>IF(H53&gt;0,(HLOOKUP(C53,Magick!$C$20:$L$21,2)-HLOOKUP(H53,Magick!$C$20:$L$21,2)),NA())</f>
        <v>#N/A</v>
      </c>
      <c r="J53" s="77"/>
      <c r="K53" s="67">
        <v>29</v>
      </c>
      <c r="L53" s="72" t="str">
        <f>IF(H53&gt;0,Magick!$M$157-('Master Spell List'!H38*0.1),"N/A")</f>
        <v>N/A</v>
      </c>
      <c r="M53" s="72">
        <f ca="1">Magick!$H$66</f>
        <v>0.08</v>
      </c>
      <c r="N53" s="72">
        <f ca="1">Magick!$K$66</f>
        <v>0.13</v>
      </c>
      <c r="O53" s="72">
        <f ca="1">Magick!$L$66</f>
        <v>0.13</v>
      </c>
      <c r="P53" s="72">
        <f ca="1">Magick!$M$66</f>
        <v>0.13</v>
      </c>
      <c r="Q53" s="67" t="str">
        <f>IF('Main Creation Page'!$AB$2=53,"Sorcery","Ritual")</f>
        <v>Ritual</v>
      </c>
      <c r="R53" s="67" t="str">
        <f>IF(Q53="Ritual","N/A",IF(Q53="I.E.","N/A",IF(Q53="WOG",VLOOKUP(Magick!$I$66*100,magestuff!$B$134:$F$138,2),IF(Q53="Cantrip",VLOOKUP(Magick!$I$66*100,magestuff!$B$134:$F$138,3),IF(Q53="Hex",VLOOKUP(Magick!$I$66*100,magestuff!$B$134:$F$138,4),VLOOKUP(Magick!$I$66*100,magestuff!$B$134:$F$138,5))))))</f>
        <v>N/A</v>
      </c>
      <c r="S53" s="69" t="str">
        <f>CONCATENATE(IF(Magick!$C$3&gt;0,Magick!$C$3*300," "),"ft.")</f>
        <v xml:space="preserve"> ft.</v>
      </c>
      <c r="T53" s="69" t="str">
        <f>CONCATENATE(IF(Magick!$C$3&gt;0,Magick!$C$3*30," "),"min..")</f>
        <v xml:space="preserve"> min..</v>
      </c>
      <c r="U53" s="67" t="str">
        <f t="shared" si="7"/>
        <v xml:space="preserve"> </v>
      </c>
      <c r="V53" s="515"/>
      <c r="W53" s="125"/>
      <c r="X53" s="31">
        <f t="shared" si="8"/>
        <v>0</v>
      </c>
      <c r="Y53" s="509"/>
      <c r="Z53" s="1054" t="str">
        <f t="shared" si="0"/>
        <v>Greatest Create Scented Air</v>
      </c>
      <c r="AA53" s="1072" t="str">
        <f t="shared" si="1"/>
        <v>Common</v>
      </c>
    </row>
    <row r="54" spans="1:27" collapsed="1">
      <c r="A54" s="48" t="s">
        <v>1561</v>
      </c>
      <c r="B54" s="76">
        <f>SUM(B55:B134)</f>
        <v>618</v>
      </c>
      <c r="C54" s="76">
        <f ca="1">SUM(C55:C134)</f>
        <v>626</v>
      </c>
      <c r="D54" s="76">
        <f>SUM(D55:D134)</f>
        <v>0</v>
      </c>
      <c r="E54" s="76"/>
      <c r="F54" s="149">
        <f ca="1">SUM(C55:C62)+IF(F63="Y",SUM(C63:C66),0)+IF(F67="Y",SUM(C67:C70),0)+IF(F71="Y",SUM(C71:C73),0)+IF(F74="Y",SUM(C74:C77),0)+IF(F78="Y",SUM(C78:C82),0)+IF(F83="Y",SUM(C83:C85),0)+IF(F86="Y",SUM(C86:C91),0)+IF(F122="Y",SUM(C122:C126),0)+IF(F127="Y",SUM(C127:C133),0)+IF(F134="Y",SUM(C134:C134),0)</f>
        <v>16</v>
      </c>
      <c r="G54" s="76"/>
      <c r="H54" s="150"/>
      <c r="I54" s="76"/>
      <c r="J54" s="76"/>
      <c r="K54" s="76"/>
      <c r="L54" s="76"/>
      <c r="M54" s="222">
        <f ca="1">Magick!$H$67</f>
        <v>0.08</v>
      </c>
      <c r="N54" s="222">
        <f ca="1">Magick!$K$67</f>
        <v>0.13</v>
      </c>
      <c r="O54" s="222">
        <f ca="1">Magick!$L$67</f>
        <v>0.13</v>
      </c>
      <c r="P54" s="222">
        <f ca="1">Magick!$M$67</f>
        <v>0.13</v>
      </c>
      <c r="Q54" s="76"/>
      <c r="R54" s="76"/>
      <c r="S54" s="76"/>
      <c r="T54" s="76"/>
      <c r="U54" s="149">
        <f>SUM(U55:U134)</f>
        <v>0</v>
      </c>
      <c r="V54" s="76"/>
      <c r="W54" s="76"/>
      <c r="X54" s="149"/>
      <c r="Y54" s="509"/>
      <c r="Z54" s="1054" t="str">
        <f t="shared" si="0"/>
        <v>Basic Elemental Magick - Earth</v>
      </c>
      <c r="AA54" s="1072" t="str">
        <f t="shared" si="1"/>
        <v>Common</v>
      </c>
    </row>
    <row r="55" spans="1:27" hidden="1" outlineLevel="1">
      <c r="A55" s="31" t="s">
        <v>295</v>
      </c>
      <c r="B55" s="67">
        <v>2</v>
      </c>
      <c r="C55" s="67">
        <f ca="1">IF(magestuff!$F$194&lt;1,1,magestuff!$F$194)</f>
        <v>2</v>
      </c>
      <c r="D55" s="67">
        <f t="shared" ref="D55:D86" si="9">IF(AND(ISNUMBER(H55),H55=0),C55,0)</f>
        <v>0</v>
      </c>
      <c r="E55" s="77">
        <f ca="1">IF(F55="y",HLOOKUP((IF(C55&lt;1,1,C55)),Magick!$C$20:$L$21,2),NA())</f>
        <v>21</v>
      </c>
      <c r="F55" s="67" t="str">
        <f ca="1">IF(C55&lt;=Magick!$D$3,"Y","N")</f>
        <v>Y</v>
      </c>
      <c r="G55" s="148" t="s">
        <v>128</v>
      </c>
      <c r="H55" s="151"/>
      <c r="I55" s="77" t="e">
        <f>IF(H55&gt;0,(HLOOKUP(C55,Magick!$C$20:$L$21,2)-HLOOKUP(H55,Magick!$C$20:$L$21,2)),NA())</f>
        <v>#N/A</v>
      </c>
      <c r="J55" s="77"/>
      <c r="K55" s="67" t="s">
        <v>107</v>
      </c>
      <c r="L55" s="72" t="str">
        <f>IF(H55&gt;0,Magick!$AR$18-('Master Spell List'!H56*0.1),"N/A")</f>
        <v>N/A</v>
      </c>
      <c r="M55" s="72">
        <f ca="1">Magick!$H$67</f>
        <v>0.08</v>
      </c>
      <c r="N55" s="72">
        <f ca="1">Magick!$K$67</f>
        <v>0.13</v>
      </c>
      <c r="O55" s="72">
        <f ca="1">Magick!$L$67</f>
        <v>0.13</v>
      </c>
      <c r="P55" s="72">
        <f ca="1">Magick!$M$67</f>
        <v>0.13</v>
      </c>
      <c r="Q55" s="67" t="s">
        <v>4603</v>
      </c>
      <c r="R55" s="67">
        <f ca="1">IF(Q55="Ritual","N/A",IF(Q55="I.E.","N/A",IF(Q55="WOG",VLOOKUP(Magick!$I$67*100,magestuff!$B$134:$F$138,2),IF(Q55="Cantrip",VLOOKUP(Magick!$I$67*100,magestuff!$B$134:$F$138,3),IF(Q55="Hex",VLOOKUP(Magick!$I$67*100,magestuff!$B$134:$F$138,4),VLOOKUP(Magick!$I$67*100,magestuff!$B$134:$F$138,5))))))</f>
        <v>9</v>
      </c>
      <c r="T55" s="67" t="s">
        <v>4601</v>
      </c>
      <c r="U55" s="67" t="str">
        <f t="shared" ref="U55:U86" si="10">IF(ISBLANK(H55)," ",IF(H55&gt;0,0,C55*10))</f>
        <v xml:space="preserve"> </v>
      </c>
      <c r="V55" s="515"/>
      <c r="W55" s="125"/>
      <c r="X55" s="31">
        <f t="shared" ref="X55:X86" si="11">W55*3</f>
        <v>0</v>
      </c>
      <c r="Y55" s="509"/>
      <c r="Z55" s="1054" t="str">
        <f t="shared" si="0"/>
        <v>Command Earth</v>
      </c>
      <c r="AA55" s="1072" t="str">
        <f t="shared" si="1"/>
        <v>Common</v>
      </c>
    </row>
    <row r="56" spans="1:27" hidden="1" outlineLevel="1">
      <c r="A56" s="31" t="s">
        <v>2592</v>
      </c>
      <c r="B56" s="67">
        <v>2</v>
      </c>
      <c r="C56" s="67">
        <f ca="1">IF(magestuff!$F$194&lt;1,1,magestuff!$F$194)</f>
        <v>2</v>
      </c>
      <c r="D56" s="67">
        <f t="shared" si="9"/>
        <v>0</v>
      </c>
      <c r="E56" s="77">
        <f ca="1">IF(F56="y",HLOOKUP((IF(C56&lt;1,1,C56)),Magick!$C$20:$L$21,2),NA())</f>
        <v>21</v>
      </c>
      <c r="F56" s="67" t="str">
        <f ca="1">IF(C56&lt;=Magick!$D$3,"Y","N")</f>
        <v>Y</v>
      </c>
      <c r="G56" s="148" t="s">
        <v>128</v>
      </c>
      <c r="H56" s="151"/>
      <c r="I56" s="77" t="e">
        <f>IF(H56&gt;0,(HLOOKUP(C56,Magick!$C$20:$L$21,2)-HLOOKUP(H56,Magick!$C$20:$L$21,2)),NA())</f>
        <v>#N/A</v>
      </c>
      <c r="J56" s="77"/>
      <c r="K56" s="67" t="s">
        <v>112</v>
      </c>
      <c r="L56" s="72" t="str">
        <f>IF(H56&gt;0,Magick!$AR$18-('Master Spell List'!H58*0.1),"N/A")</f>
        <v>N/A</v>
      </c>
      <c r="M56" s="72">
        <f ca="1">Magick!$H$67</f>
        <v>0.08</v>
      </c>
      <c r="N56" s="72">
        <f ca="1">Magick!$K$67</f>
        <v>0.13</v>
      </c>
      <c r="O56" s="72">
        <f ca="1">Magick!$L$67</f>
        <v>0.13</v>
      </c>
      <c r="P56" s="72">
        <f ca="1">Magick!$M$67</f>
        <v>0.13</v>
      </c>
      <c r="Q56" s="67" t="s">
        <v>113</v>
      </c>
      <c r="R56" s="67" t="str">
        <f>IF(Q56="Ritual","N/A",IF(Q56="I.E.","N/A",IF(Q56="WOG",VLOOKUP(Magick!$I$67*100,magestuff!$B$134:$F$138,2),IF(Q56="Cantrip",VLOOKUP(Magick!$I$67*100,magestuff!$B$134:$F$138,3),IF(Q56="Hex",VLOOKUP(Magick!$I$67*100,magestuff!$B$134:$F$138,4),VLOOKUP(Magick!$I$67*100,magestuff!$B$134:$F$138,5))))))</f>
        <v>N/A</v>
      </c>
      <c r="S56" s="69">
        <f>10*Magick!$C$3</f>
        <v>0</v>
      </c>
      <c r="U56" s="67" t="str">
        <f t="shared" si="10"/>
        <v xml:space="preserve"> </v>
      </c>
      <c r="V56" s="515"/>
      <c r="W56" s="125"/>
      <c r="X56" s="31">
        <f t="shared" si="11"/>
        <v>0</v>
      </c>
      <c r="Y56" s="509"/>
      <c r="Z56" s="1054" t="str">
        <f t="shared" si="0"/>
        <v>Concentrate</v>
      </c>
      <c r="AA56" s="1072" t="str">
        <f t="shared" si="1"/>
        <v>Common</v>
      </c>
    </row>
    <row r="57" spans="1:27" hidden="1" outlineLevel="1">
      <c r="A57" s="31" t="s">
        <v>294</v>
      </c>
      <c r="B57" s="67">
        <v>2</v>
      </c>
      <c r="C57" s="67">
        <f ca="1">IF(magestuff!$F$194&lt;1,1,magestuff!$F$194)</f>
        <v>2</v>
      </c>
      <c r="D57" s="67">
        <f t="shared" si="9"/>
        <v>0</v>
      </c>
      <c r="E57" s="77">
        <f ca="1">IF(F57="y",HLOOKUP((IF(C57&lt;1,1,C57)),Magick!$C$20:$L$21,2),NA())</f>
        <v>21</v>
      </c>
      <c r="F57" s="67" t="str">
        <f ca="1">IF(C57&lt;=Magick!$D$3,"Y","N")</f>
        <v>Y</v>
      </c>
      <c r="G57" s="148" t="s">
        <v>128</v>
      </c>
      <c r="H57" s="151"/>
      <c r="I57" s="77" t="e">
        <f>IF(H57&gt;0,(HLOOKUP(C57,Magick!$C$20:$L$21,2)-HLOOKUP(H57,Magick!$C$20:$L$21,2)),NA())</f>
        <v>#N/A</v>
      </c>
      <c r="J57" s="77"/>
      <c r="K57" s="67" t="s">
        <v>107</v>
      </c>
      <c r="L57" s="72" t="str">
        <f>IF(H57&gt;0,Magick!$AR$18-('Master Spell List'!H55*0.1),"N/A")</f>
        <v>N/A</v>
      </c>
      <c r="M57" s="72">
        <f ca="1">Magick!$H$67</f>
        <v>0.08</v>
      </c>
      <c r="N57" s="72">
        <f ca="1">Magick!$K$67</f>
        <v>0.13</v>
      </c>
      <c r="O57" s="72">
        <f ca="1">Magick!$L$67</f>
        <v>0.13</v>
      </c>
      <c r="P57" s="72">
        <f ca="1">Magick!$M$67</f>
        <v>0.13</v>
      </c>
      <c r="Q57" s="67" t="s">
        <v>4603</v>
      </c>
      <c r="R57" s="67">
        <f ca="1">IF(Q57="Ritual","N/A",IF(Q57="I.E.","N/A",IF(Q57="WOG",VLOOKUP(Magick!$I$67*100,magestuff!$B$134:$F$138,2),IF(Q57="Cantrip",VLOOKUP(Magick!$I$67*100,magestuff!$B$134:$F$138,3),IF(Q57="Hex",VLOOKUP(Magick!$I$67*100,magestuff!$B$134:$F$138,4),VLOOKUP(Magick!$I$67*100,magestuff!$B$134:$F$138,5))))))</f>
        <v>9</v>
      </c>
      <c r="T57" s="67" t="s">
        <v>4601</v>
      </c>
      <c r="U57" s="67" t="str">
        <f t="shared" si="10"/>
        <v xml:space="preserve"> </v>
      </c>
      <c r="V57" s="515"/>
      <c r="W57" s="125"/>
      <c r="X57" s="31">
        <f t="shared" si="11"/>
        <v>0</v>
      </c>
      <c r="Y57" s="509"/>
      <c r="Z57" s="1054" t="str">
        <f t="shared" si="0"/>
        <v>Create Earth</v>
      </c>
      <c r="AA57" s="1072" t="str">
        <f t="shared" si="1"/>
        <v>Common</v>
      </c>
    </row>
    <row r="58" spans="1:27" hidden="1" outlineLevel="1">
      <c r="A58" s="83" t="s">
        <v>2661</v>
      </c>
      <c r="B58" s="67">
        <v>2</v>
      </c>
      <c r="C58" s="67">
        <f ca="1">IF(magestuff!$F$194&lt;1,1,magestuff!$F$194)</f>
        <v>2</v>
      </c>
      <c r="D58" s="67">
        <f t="shared" si="9"/>
        <v>0</v>
      </c>
      <c r="E58" s="77">
        <f ca="1">IF(F58="y",HLOOKUP((IF(C58&lt;1,1,C58)),Magick!$C$20:$L$21,2),NA())</f>
        <v>21</v>
      </c>
      <c r="F58" s="67" t="str">
        <f ca="1">IF(C58&lt;=Magick!$D$3,"Y","N")</f>
        <v>Y</v>
      </c>
      <c r="G58" s="148" t="s">
        <v>1616</v>
      </c>
      <c r="H58" s="151"/>
      <c r="I58" s="77" t="e">
        <f>IF(H58&gt;0,(HLOOKUP(C58,Magick!$C$20:$L$21,2)-HLOOKUP(H58,Magick!$C$20:$L$21,2)),NA())</f>
        <v>#N/A</v>
      </c>
      <c r="J58" s="77"/>
      <c r="K58" s="67">
        <v>4</v>
      </c>
      <c r="L58" s="72" t="str">
        <f>IF(H58&gt;0,Magick!$AR$18-('Master Spell List'!H88*0.1),"N/A")</f>
        <v>N/A</v>
      </c>
      <c r="M58" s="72">
        <f ca="1">Magick!$H$67</f>
        <v>0.08</v>
      </c>
      <c r="N58" s="72">
        <f ca="1">Magick!$K$67</f>
        <v>0.13</v>
      </c>
      <c r="O58" s="72">
        <f ca="1">Magick!$L$67</f>
        <v>0.13</v>
      </c>
      <c r="P58" s="72">
        <f ca="1">Magick!$M$67</f>
        <v>0.13</v>
      </c>
      <c r="Q58" s="67" t="s">
        <v>4603</v>
      </c>
      <c r="R58" s="67">
        <f ca="1">IF(Q58="Ritual","N/A",IF(Q58="I.E.","N/A",IF(Q58="WOG",VLOOKUP(Magick!$I$67*100,magestuff!$B$134:$F$138,2),IF(Q58="Cantrip",VLOOKUP(Magick!$I$67*100,magestuff!$B$134:$F$138,3),IF(Q58="Hex",VLOOKUP(Magick!$I$67*100,magestuff!$B$134:$F$138,4),VLOOKUP(Magick!$I$67*100,magestuff!$B$134:$F$138,5))))))</f>
        <v>9</v>
      </c>
      <c r="S58" s="69"/>
      <c r="U58" s="67" t="str">
        <f t="shared" si="10"/>
        <v xml:space="preserve"> </v>
      </c>
      <c r="V58" s="515"/>
      <c r="W58" s="125"/>
      <c r="X58" s="31">
        <f t="shared" si="11"/>
        <v>0</v>
      </c>
      <c r="Y58" s="509"/>
      <c r="Z58" s="1054" t="str">
        <f t="shared" si="0"/>
        <v>Harrow</v>
      </c>
      <c r="AA58" s="1072" t="str">
        <f t="shared" si="1"/>
        <v>Common</v>
      </c>
    </row>
    <row r="59" spans="1:27" hidden="1" outlineLevel="1">
      <c r="A59" s="31" t="s">
        <v>1293</v>
      </c>
      <c r="B59" s="67">
        <v>2</v>
      </c>
      <c r="C59" s="67">
        <f ca="1">IF(magestuff!$F$194&lt;1,1,magestuff!$F$194)</f>
        <v>2</v>
      </c>
      <c r="D59" s="67">
        <f t="shared" si="9"/>
        <v>0</v>
      </c>
      <c r="E59" s="77">
        <f ca="1">IF(F59="y",HLOOKUP((IF(C59&lt;1,1,C59)),Magick!$C$20:$L$21,2),NA())</f>
        <v>21</v>
      </c>
      <c r="F59" s="67" t="str">
        <f ca="1">IF(C59&lt;=Magick!$D$3,"Y","N")</f>
        <v>Y</v>
      </c>
      <c r="G59" s="148" t="s">
        <v>128</v>
      </c>
      <c r="H59" s="151"/>
      <c r="I59" s="77" t="e">
        <f>IF(H59&gt;0,(HLOOKUP(C59,Magick!$C$20:$L$21,2)-HLOOKUP(H59,Magick!$C$20:$L$21,2)),NA())</f>
        <v>#N/A</v>
      </c>
      <c r="J59" s="77"/>
      <c r="K59" s="67">
        <v>3</v>
      </c>
      <c r="L59" s="72" t="str">
        <f>IF(H59&gt;0,Magick!$AR$18-('Master Spell List'!H57*0.1),"N/A")</f>
        <v>N/A</v>
      </c>
      <c r="M59" s="72">
        <f ca="1">Magick!$H$67</f>
        <v>0.08</v>
      </c>
      <c r="N59" s="72">
        <f ca="1">Magick!$K$67</f>
        <v>0.13</v>
      </c>
      <c r="O59" s="72">
        <f ca="1">Magick!$L$67</f>
        <v>0.13</v>
      </c>
      <c r="P59" s="72">
        <f ca="1">Magick!$M$67</f>
        <v>0.13</v>
      </c>
      <c r="Q59" s="67" t="s">
        <v>113</v>
      </c>
      <c r="R59" s="67" t="str">
        <f>IF(Q59="Ritual","N/A",IF(Q59="I.E.","N/A",IF(Q59="WOG",VLOOKUP(Magick!$I$67*100,magestuff!$B$134:$F$138,2),IF(Q59="Cantrip",VLOOKUP(Magick!$I$67*100,magestuff!$B$134:$F$138,3),IF(Q59="Hex",VLOOKUP(Magick!$I$67*100,magestuff!$B$134:$F$138,4),VLOOKUP(Magick!$I$67*100,magestuff!$B$134:$F$138,5))))))</f>
        <v>N/A</v>
      </c>
      <c r="S59" s="69">
        <f>10*Magick!$C$3</f>
        <v>0</v>
      </c>
      <c r="U59" s="67" t="str">
        <f t="shared" si="10"/>
        <v xml:space="preserve"> </v>
      </c>
      <c r="V59" s="515"/>
      <c r="W59" s="125"/>
      <c r="X59" s="31">
        <f t="shared" si="11"/>
        <v>0</v>
      </c>
      <c r="Y59" s="509"/>
      <c r="Z59" s="1054" t="str">
        <f t="shared" si="0"/>
        <v>Remove Earth</v>
      </c>
      <c r="AA59" s="1072" t="str">
        <f t="shared" si="1"/>
        <v>Common</v>
      </c>
    </row>
    <row r="60" spans="1:27" hidden="1" outlineLevel="1">
      <c r="A60" s="31" t="s">
        <v>4939</v>
      </c>
      <c r="B60" s="67">
        <v>2</v>
      </c>
      <c r="C60" s="67">
        <f ca="1">IF(magestuff!$F$194&lt;1,1,magestuff!$F$194)</f>
        <v>2</v>
      </c>
      <c r="D60" s="67">
        <f t="shared" si="9"/>
        <v>0</v>
      </c>
      <c r="E60" s="77">
        <f ca="1">IF(F60="y",HLOOKUP((IF(C60&lt;1,1,C60)),Magick!$C$20:$L$21,2),NA())</f>
        <v>21</v>
      </c>
      <c r="F60" s="67" t="str">
        <f ca="1">IF(C60&lt;=Magick!$D$3,"Y","N")</f>
        <v>Y</v>
      </c>
      <c r="G60" s="148" t="s">
        <v>128</v>
      </c>
      <c r="H60" s="151"/>
      <c r="I60" s="77" t="e">
        <f>IF(H60&gt;0,(HLOOKUP(C60,Magick!$C$20:$L$21,2)-HLOOKUP(H60,Magick!$C$20:$L$21,2)),NA())</f>
        <v>#N/A</v>
      </c>
      <c r="J60" s="77"/>
      <c r="K60" s="71" t="s">
        <v>4017</v>
      </c>
      <c r="L60" s="72" t="str">
        <f>IF(H60&gt;0,Magick!$AR$18-('Master Spell List'!H85*0.1),"N/A")</f>
        <v>N/A</v>
      </c>
      <c r="M60" s="72">
        <f ca="1">Magick!$H$67</f>
        <v>0.08</v>
      </c>
      <c r="N60" s="72">
        <f ca="1">Magick!$K$67</f>
        <v>0.13</v>
      </c>
      <c r="O60" s="72">
        <f ca="1">Magick!$L$67</f>
        <v>0.13</v>
      </c>
      <c r="P60" s="72">
        <f ca="1">Magick!$M$67</f>
        <v>0.13</v>
      </c>
      <c r="Q60" s="67" t="s">
        <v>3723</v>
      </c>
      <c r="R60" s="67">
        <f ca="1">IF(Q60="Ritual","N/A",IF(Q60="I.E.","N/A",IF(Q60="WOG",VLOOKUP(Magick!$I$67*100,magestuff!$B$134:$F$138,2),IF(Q60="Cantrip",VLOOKUP(Magick!$I$67*100,magestuff!$B$134:$F$138,3),IF(Q60="Hex",VLOOKUP(Magick!$I$67*100,magestuff!$B$134:$F$138,4),VLOOKUP(Magick!$I$67*100,magestuff!$B$134:$F$138,5))))))</f>
        <v>29</v>
      </c>
      <c r="S60" s="69">
        <f>10*Magick!$C$3</f>
        <v>0</v>
      </c>
      <c r="U60" s="67" t="str">
        <f t="shared" si="10"/>
        <v xml:space="preserve"> </v>
      </c>
      <c r="V60" s="515"/>
      <c r="W60" s="125"/>
      <c r="X60" s="31">
        <f t="shared" si="11"/>
        <v>0</v>
      </c>
      <c r="Y60" s="509"/>
      <c r="Z60" s="1054" t="str">
        <f t="shared" si="0"/>
        <v>Sheet</v>
      </c>
      <c r="AA60" s="1072" t="str">
        <f t="shared" si="1"/>
        <v>Common</v>
      </c>
    </row>
    <row r="61" spans="1:27" hidden="1" outlineLevel="1">
      <c r="A61" s="31" t="s">
        <v>4938</v>
      </c>
      <c r="B61" s="67">
        <v>2</v>
      </c>
      <c r="C61" s="67">
        <f ca="1">IF(magestuff!$F$194&lt;1,1,magestuff!$F$194)</f>
        <v>2</v>
      </c>
      <c r="D61" s="67">
        <f t="shared" si="9"/>
        <v>0</v>
      </c>
      <c r="E61" s="77">
        <f ca="1">IF(F61="y",HLOOKUP((IF(C61&lt;1,1,C61)),Magick!$C$20:$L$21,2),NA())</f>
        <v>21</v>
      </c>
      <c r="F61" s="67" t="str">
        <f ca="1">IF(C61&lt;=Magick!$D$3,"Y","N")</f>
        <v>Y</v>
      </c>
      <c r="G61" s="148" t="s">
        <v>128</v>
      </c>
      <c r="H61" s="151"/>
      <c r="I61" s="77" t="e">
        <f>IF(H61&gt;0,(HLOOKUP(C61,Magick!$C$20:$L$21,2)-HLOOKUP(H61,Magick!$C$20:$L$21,2)),NA())</f>
        <v>#N/A</v>
      </c>
      <c r="J61" s="77"/>
      <c r="K61" s="71" t="s">
        <v>5409</v>
      </c>
      <c r="L61" s="72" t="str">
        <f>IF(H61&gt;0,Magick!$AR$18-('Master Spell List'!H84*0.1),"N/A")</f>
        <v>N/A</v>
      </c>
      <c r="M61" s="72">
        <f ca="1">Magick!$H$67</f>
        <v>0.08</v>
      </c>
      <c r="N61" s="72">
        <f ca="1">Magick!$K$67</f>
        <v>0.13</v>
      </c>
      <c r="O61" s="72">
        <f ca="1">Magick!$L$67</f>
        <v>0.13</v>
      </c>
      <c r="P61" s="72">
        <f ca="1">Magick!$M$67</f>
        <v>0.13</v>
      </c>
      <c r="Q61" s="67" t="s">
        <v>3723</v>
      </c>
      <c r="R61" s="67">
        <f ca="1">IF(Q61="Ritual","N/A",IF(Q61="I.E.","N/A",IF(Q61="WOG",VLOOKUP(Magick!$I$67*100,magestuff!$B$134:$F$138,2),IF(Q61="Cantrip",VLOOKUP(Magick!$I$67*100,magestuff!$B$134:$F$138,3),IF(Q61="Hex",VLOOKUP(Magick!$I$67*100,magestuff!$B$134:$F$138,4),VLOOKUP(Magick!$I$67*100,magestuff!$B$134:$F$138,5))))))</f>
        <v>29</v>
      </c>
      <c r="S61" s="69">
        <f>10*Magick!$C$3</f>
        <v>0</v>
      </c>
      <c r="U61" s="67" t="str">
        <f t="shared" si="10"/>
        <v xml:space="preserve"> </v>
      </c>
      <c r="V61" s="515"/>
      <c r="W61" s="125"/>
      <c r="X61" s="31">
        <f t="shared" si="11"/>
        <v>0</v>
      </c>
      <c r="Y61" s="509"/>
      <c r="Z61" s="1054" t="str">
        <f t="shared" si="0"/>
        <v>Wall</v>
      </c>
      <c r="AA61" s="1072" t="str">
        <f t="shared" si="1"/>
        <v>Common</v>
      </c>
    </row>
    <row r="62" spans="1:27" hidden="1" outlineLevel="1">
      <c r="A62" s="31" t="s">
        <v>2594</v>
      </c>
      <c r="B62" s="67">
        <v>2</v>
      </c>
      <c r="C62" s="67">
        <f ca="1">IF(magestuff!$F$194&lt;1,1,magestuff!$F$194)</f>
        <v>2</v>
      </c>
      <c r="D62" s="67">
        <f t="shared" si="9"/>
        <v>0</v>
      </c>
      <c r="E62" s="77">
        <f ca="1">IF(F62="y",HLOOKUP((IF(C62&lt;1,1,C62)),Magick!$C$20:$L$21,2),NA())</f>
        <v>21</v>
      </c>
      <c r="F62" s="67" t="str">
        <f ca="1">IF(C62&lt;=Magick!$D$3,"Y","N")</f>
        <v>Y</v>
      </c>
      <c r="G62" s="148" t="s">
        <v>128</v>
      </c>
      <c r="H62" s="151"/>
      <c r="I62" s="77" t="e">
        <f>IF(H62&gt;0,(HLOOKUP(C62,Magick!$C$20:$L$21,2)-HLOOKUP(H62,Magick!$C$20:$L$21,2)),NA())</f>
        <v>#N/A</v>
      </c>
      <c r="J62" s="77"/>
      <c r="K62" s="67">
        <v>4</v>
      </c>
      <c r="L62" s="72" t="str">
        <f>IF(H62&gt;0,Magick!$AR$18-('Master Spell List'!H60*0.1),"N/A")</f>
        <v>N/A</v>
      </c>
      <c r="M62" s="72">
        <f ca="1">Magick!$H$67</f>
        <v>0.08</v>
      </c>
      <c r="N62" s="72">
        <f ca="1">Magick!$K$67</f>
        <v>0.13</v>
      </c>
      <c r="O62" s="72">
        <f ca="1">Magick!$L$67</f>
        <v>0.13</v>
      </c>
      <c r="P62" s="72">
        <f ca="1">Magick!$M$67</f>
        <v>0.13</v>
      </c>
      <c r="Q62" s="67" t="s">
        <v>3723</v>
      </c>
      <c r="R62" s="67">
        <f ca="1">IF(Q62="Ritual","N/A",IF(Q62="I.E.","N/A",IF(Q62="WOG",VLOOKUP(Magick!$I$67*100,magestuff!$B$134:$F$138,2),IF(Q62="Cantrip",VLOOKUP(Magick!$I$67*100,magestuff!$B$134:$F$138,3),IF(Q62="Hex",VLOOKUP(Magick!$I$67*100,magestuff!$B$134:$F$138,4),VLOOKUP(Magick!$I$67*100,magestuff!$B$134:$F$138,5))))))</f>
        <v>29</v>
      </c>
      <c r="S62" s="69">
        <f>10*Magick!$C$3</f>
        <v>0</v>
      </c>
      <c r="U62" s="67" t="str">
        <f t="shared" si="10"/>
        <v xml:space="preserve"> </v>
      </c>
      <c r="V62" s="515"/>
      <c r="W62" s="125"/>
      <c r="X62" s="31">
        <f t="shared" si="11"/>
        <v>0</v>
      </c>
      <c r="Y62" s="509"/>
      <c r="Z62" s="1054" t="str">
        <f t="shared" si="0"/>
        <v>Warm/Cool</v>
      </c>
      <c r="AA62" s="1072" t="str">
        <f t="shared" si="1"/>
        <v>Common</v>
      </c>
    </row>
    <row r="63" spans="1:27" hidden="1" outlineLevel="1">
      <c r="A63" s="31" t="s">
        <v>4940</v>
      </c>
      <c r="B63" s="67">
        <v>3</v>
      </c>
      <c r="C63" s="67">
        <f ca="1">IF(magestuff!$I$194&lt;1,1,magestuff!$I$194)</f>
        <v>3</v>
      </c>
      <c r="D63" s="67">
        <f t="shared" si="9"/>
        <v>0</v>
      </c>
      <c r="E63" s="77" t="e">
        <f ca="1">IF(F63="y",HLOOKUP((IF(C63&lt;1,1,C63)),Magick!$C$20:$L$21,2),NA())</f>
        <v>#N/A</v>
      </c>
      <c r="F63" s="67" t="str">
        <f ca="1">IF(C63&lt;=Magick!$D$3,"Y","N")</f>
        <v>N</v>
      </c>
      <c r="G63" s="148" t="s">
        <v>128</v>
      </c>
      <c r="H63" s="151"/>
      <c r="I63" s="77" t="e">
        <f>IF(H63&gt;0,(HLOOKUP(C63,Magick!$C$20:$L$21,2)-HLOOKUP(H63,Magick!$C$20:$L$21,2)),NA())</f>
        <v>#N/A</v>
      </c>
      <c r="J63" s="77"/>
      <c r="K63" s="71" t="s">
        <v>4017</v>
      </c>
      <c r="L63" s="72" t="str">
        <f>IF(H63&gt;0,Magick!$AR$18-('Master Spell List'!H86*0.1),"N/A")</f>
        <v>N/A</v>
      </c>
      <c r="M63" s="72">
        <f ca="1">Magick!$H$67</f>
        <v>0.08</v>
      </c>
      <c r="N63" s="72">
        <f ca="1">Magick!$K$67</f>
        <v>0.13</v>
      </c>
      <c r="O63" s="72">
        <f ca="1">Magick!$L$67</f>
        <v>0.13</v>
      </c>
      <c r="P63" s="72">
        <f ca="1">Magick!$M$67</f>
        <v>0.13</v>
      </c>
      <c r="Q63" s="67" t="s">
        <v>3723</v>
      </c>
      <c r="R63" s="67">
        <f ca="1">IF(Q63="Ritual","N/A",IF(Q63="I.E.","N/A",IF(Q63="WOG",VLOOKUP(Magick!$I$67*100,magestuff!$B$134:$F$138,2),IF(Q63="Cantrip",VLOOKUP(Magick!$I$67*100,magestuff!$B$134:$F$138,3),IF(Q63="Hex",VLOOKUP(Magick!$I$67*100,magestuff!$B$134:$F$138,4),VLOOKUP(Magick!$I$67*100,magestuff!$B$134:$F$138,5))))))</f>
        <v>29</v>
      </c>
      <c r="S63" s="69">
        <f>50*Magick!$C$3</f>
        <v>0</v>
      </c>
      <c r="T63" s="67" t="s">
        <v>3725</v>
      </c>
      <c r="U63" s="67" t="str">
        <f t="shared" si="10"/>
        <v xml:space="preserve"> </v>
      </c>
      <c r="V63" s="515"/>
      <c r="W63" s="125"/>
      <c r="X63" s="31">
        <f t="shared" si="11"/>
        <v>0</v>
      </c>
      <c r="Y63" s="509"/>
      <c r="Z63" s="1054" t="str">
        <f t="shared" si="0"/>
        <v>Landslide</v>
      </c>
      <c r="AA63" s="1072" t="str">
        <f t="shared" si="1"/>
        <v>Common</v>
      </c>
    </row>
    <row r="64" spans="1:27" hidden="1" outlineLevel="1">
      <c r="A64" s="83" t="s">
        <v>4279</v>
      </c>
      <c r="B64" s="67">
        <v>3</v>
      </c>
      <c r="C64" s="67">
        <f ca="1">IF(magestuff!$I$194&lt;1,1,magestuff!$I$194)</f>
        <v>3</v>
      </c>
      <c r="D64" s="67">
        <f t="shared" si="9"/>
        <v>0</v>
      </c>
      <c r="E64" s="77" t="e">
        <f ca="1">IF(F64="y",HLOOKUP((IF(C64&lt;1,1,C64)),Magick!$C$20:$L$21,2),NA())</f>
        <v>#N/A</v>
      </c>
      <c r="F64" s="67" t="str">
        <f ca="1">IF(C64&lt;=Magick!$D$3,"Y","N")</f>
        <v>N</v>
      </c>
      <c r="G64" s="148" t="s">
        <v>859</v>
      </c>
      <c r="H64" s="151"/>
      <c r="I64" s="77" t="e">
        <f>IF(H64&gt;0,(HLOOKUP(C64,Magick!$C$20:$L$21,2)-HLOOKUP(H64,Magick!$C$20:$L$21,2)),NA())</f>
        <v>#N/A</v>
      </c>
      <c r="J64" s="77"/>
      <c r="K64" s="67">
        <v>4</v>
      </c>
      <c r="L64" s="72" t="str">
        <f>IF(H64&gt;0,Magick!$AR$18-('Master Spell List'!H62*0.1),"N/A")</f>
        <v>N/A</v>
      </c>
      <c r="M64" s="72">
        <f ca="1">Magick!$H$67</f>
        <v>0.08</v>
      </c>
      <c r="N64" s="72">
        <f ca="1">Magick!$K$67</f>
        <v>0.13</v>
      </c>
      <c r="O64" s="72">
        <f ca="1">Magick!$L$67</f>
        <v>0.13</v>
      </c>
      <c r="P64" s="72">
        <f ca="1">Magick!$M$67</f>
        <v>0.13</v>
      </c>
      <c r="Q64" s="67" t="s">
        <v>3723</v>
      </c>
      <c r="R64" s="67">
        <f ca="1">IF(Q64="Ritual","N/A",IF(Q64="I.E.","N/A",IF(Q64="WOG",VLOOKUP(Magick!$I$67*100,magestuff!$B$134:$F$138,2),IF(Q64="Cantrip",VLOOKUP(Magick!$I$67*100,magestuff!$B$134:$F$138,3),IF(Q64="Hex",VLOOKUP(Magick!$I$67*100,magestuff!$B$134:$F$138,4),VLOOKUP(Magick!$I$67*100,magestuff!$B$134:$F$138,5))))))</f>
        <v>29</v>
      </c>
      <c r="S64" s="69">
        <f>10*Magick!$C$3</f>
        <v>0</v>
      </c>
      <c r="U64" s="67" t="str">
        <f t="shared" si="10"/>
        <v xml:space="preserve"> </v>
      </c>
      <c r="V64" s="515"/>
      <c r="W64" s="125"/>
      <c r="X64" s="31">
        <f t="shared" si="11"/>
        <v>0</v>
      </c>
      <c r="Y64" s="509"/>
      <c r="Z64" s="1054" t="str">
        <f t="shared" si="0"/>
        <v>Least Earth's Cell</v>
      </c>
      <c r="AA64" s="1072" t="str">
        <f t="shared" si="1"/>
        <v>Common</v>
      </c>
    </row>
    <row r="65" spans="1:27" hidden="1" outlineLevel="1">
      <c r="A65" s="83" t="s">
        <v>2660</v>
      </c>
      <c r="B65" s="67">
        <v>3</v>
      </c>
      <c r="C65" s="67">
        <f ca="1">IF(magestuff!$I$194&lt;1,1,magestuff!$I$194)</f>
        <v>3</v>
      </c>
      <c r="D65" s="67">
        <f t="shared" si="9"/>
        <v>0</v>
      </c>
      <c r="E65" s="77" t="e">
        <f ca="1">IF(F65="y",HLOOKUP((IF(C65&lt;1,1,C65)),Magick!$C$20:$L$21,2),NA())</f>
        <v>#N/A</v>
      </c>
      <c r="F65" s="67" t="str">
        <f ca="1">IF(C65&lt;=Magick!$D$3,"Y","N")</f>
        <v>N</v>
      </c>
      <c r="G65" s="148" t="s">
        <v>1616</v>
      </c>
      <c r="H65" s="151"/>
      <c r="I65" s="77" t="e">
        <f>IF(H65&gt;0,(HLOOKUP(C65,Magick!$C$20:$L$21,2)-HLOOKUP(H65,Magick!$C$20:$L$21,2)),NA())</f>
        <v>#N/A</v>
      </c>
      <c r="J65" s="77"/>
      <c r="K65" s="67">
        <v>5</v>
      </c>
      <c r="L65" s="72" t="str">
        <f>IF(H65&gt;0,Magick!$AR$18-('Master Spell List'!H87*0.1),"N/A")</f>
        <v>N/A</v>
      </c>
      <c r="M65" s="72">
        <f ca="1">Magick!$H$67</f>
        <v>0.08</v>
      </c>
      <c r="N65" s="72">
        <f ca="1">Magick!$K$67</f>
        <v>0.13</v>
      </c>
      <c r="O65" s="72">
        <f ca="1">Magick!$L$67</f>
        <v>0.13</v>
      </c>
      <c r="P65" s="72">
        <f ca="1">Magick!$M$67</f>
        <v>0.13</v>
      </c>
      <c r="Q65" s="67" t="s">
        <v>4603</v>
      </c>
      <c r="R65" s="67">
        <f ca="1">IF(Q65="Ritual","N/A",IF(Q65="I.E.","N/A",IF(Q65="WOG",VLOOKUP(Magick!$I$67*100,magestuff!$B$134:$F$138,2),IF(Q65="Cantrip",VLOOKUP(Magick!$I$67*100,magestuff!$B$134:$F$138,3),IF(Q65="Hex",VLOOKUP(Magick!$I$67*100,magestuff!$B$134:$F$138,4),VLOOKUP(Magick!$I$67*100,magestuff!$B$134:$F$138,5))))))</f>
        <v>9</v>
      </c>
      <c r="S65" s="69"/>
      <c r="U65" s="67" t="str">
        <f t="shared" si="10"/>
        <v xml:space="preserve"> </v>
      </c>
      <c r="V65" s="515"/>
      <c r="W65" s="125"/>
      <c r="X65" s="31">
        <f t="shared" si="11"/>
        <v>0</v>
      </c>
      <c r="Y65" s="509"/>
      <c r="Z65" s="1054" t="str">
        <f t="shared" si="0"/>
        <v>Plow</v>
      </c>
      <c r="AA65" s="1072" t="str">
        <f t="shared" si="1"/>
        <v>Common</v>
      </c>
    </row>
    <row r="66" spans="1:27" hidden="1" outlineLevel="1">
      <c r="A66" s="83" t="s">
        <v>2656</v>
      </c>
      <c r="B66" s="67">
        <v>3</v>
      </c>
      <c r="C66" s="67">
        <f ca="1">IF(magestuff!$I$194&lt;1,1,magestuff!$I$194)</f>
        <v>3</v>
      </c>
      <c r="D66" s="67">
        <f t="shared" si="9"/>
        <v>0</v>
      </c>
      <c r="E66" s="77" t="e">
        <f ca="1">IF(F66="y",HLOOKUP((IF(C66&lt;1,1,C66)),Magick!$C$20:$L$21,2),NA())</f>
        <v>#N/A</v>
      </c>
      <c r="F66" s="67" t="str">
        <f ca="1">IF(C66&lt;=Magick!$D$3,"Y","N")</f>
        <v>N</v>
      </c>
      <c r="G66" s="148" t="s">
        <v>1616</v>
      </c>
      <c r="H66" s="151"/>
      <c r="I66" s="77" t="e">
        <f>IF(H66&gt;0,(HLOOKUP(C66,Magick!$C$20:$L$21,2)-HLOOKUP(H66,Magick!$C$20:$L$21,2)),NA())</f>
        <v>#N/A</v>
      </c>
      <c r="J66" s="77"/>
      <c r="K66" s="67">
        <v>7</v>
      </c>
      <c r="L66" s="72" t="str">
        <f>IF(H66&gt;0,Magick!$AR$18-('Master Spell List'!H83*0.1),"N/A")</f>
        <v>N/A</v>
      </c>
      <c r="M66" s="72">
        <f ca="1">Magick!$H$67</f>
        <v>0.08</v>
      </c>
      <c r="N66" s="72">
        <f ca="1">Magick!$K$67</f>
        <v>0.13</v>
      </c>
      <c r="O66" s="72">
        <f ca="1">Magick!$L$67</f>
        <v>0.13</v>
      </c>
      <c r="P66" s="72">
        <f ca="1">Magick!$M$67</f>
        <v>0.13</v>
      </c>
      <c r="Q66" s="67" t="s">
        <v>4603</v>
      </c>
      <c r="R66" s="67">
        <f ca="1">IF(Q66="Ritual","N/A",IF(Q66="I.E.","N/A",IF(Q66="WOG",VLOOKUP(Magick!$I$67*100,magestuff!$B$134:$F$138,2),IF(Q66="Cantrip",VLOOKUP(Magick!$I$67*100,magestuff!$B$134:$F$138,3),IF(Q66="Hex",VLOOKUP(Magick!$I$67*100,magestuff!$B$134:$F$138,4),VLOOKUP(Magick!$I$67*100,magestuff!$B$134:$F$138,5))))))</f>
        <v>9</v>
      </c>
      <c r="S66" s="69"/>
      <c r="U66" s="67" t="str">
        <f t="shared" si="10"/>
        <v xml:space="preserve"> </v>
      </c>
      <c r="V66" s="515"/>
      <c r="W66" s="125"/>
      <c r="X66" s="31">
        <f t="shared" si="11"/>
        <v>0</v>
      </c>
      <c r="Y66" s="509"/>
      <c r="Z66" s="1054" t="str">
        <f t="shared" ref="Z66:Z129" si="12">A66</f>
        <v>Solidify Mud</v>
      </c>
      <c r="AA66" s="1072" t="str">
        <f t="shared" si="1"/>
        <v>Common</v>
      </c>
    </row>
    <row r="67" spans="1:27" hidden="1" outlineLevel="1">
      <c r="A67" s="83" t="s">
        <v>6104</v>
      </c>
      <c r="B67" s="67">
        <v>3</v>
      </c>
      <c r="C67" s="67">
        <f ca="1">IF(magestuff!$I$194&lt;1,1,magestuff!$I$194)</f>
        <v>3</v>
      </c>
      <c r="D67" s="67">
        <f t="shared" si="9"/>
        <v>0</v>
      </c>
      <c r="E67" s="77" t="e">
        <f ca="1">IF(F67="y",HLOOKUP((IF(C67&lt;1,1,C67)),Magick!$C$20:$L$21,2),NA())</f>
        <v>#N/A</v>
      </c>
      <c r="F67" s="67" t="str">
        <f ca="1">IF(C67&lt;=Magick!$D$3,"Y","N")</f>
        <v>N</v>
      </c>
      <c r="G67" s="148" t="s">
        <v>6052</v>
      </c>
      <c r="H67" s="151"/>
      <c r="I67" s="77" t="e">
        <f>IF(H67&gt;0,(HLOOKUP(C67,Magick!$C$20:$L$21,2)-HLOOKUP(H67,Magick!$C$20:$L$21,2)),NA())</f>
        <v>#N/A</v>
      </c>
      <c r="J67" s="77"/>
      <c r="K67" s="67" t="s">
        <v>3215</v>
      </c>
      <c r="L67" s="72" t="str">
        <f>IF(H67&gt;0,Magick!$AR$18-('Master Spell List'!H75*0.1),"N/A")</f>
        <v>N/A</v>
      </c>
      <c r="M67" s="72">
        <f ca="1">Magick!$H$67</f>
        <v>0.08</v>
      </c>
      <c r="N67" s="72">
        <f ca="1">Magick!$K$67</f>
        <v>0.13</v>
      </c>
      <c r="O67" s="72">
        <f ca="1">Magick!$L$67</f>
        <v>0.13</v>
      </c>
      <c r="P67" s="72">
        <f ca="1">Magick!$M$67</f>
        <v>0.13</v>
      </c>
      <c r="Q67" s="67" t="s">
        <v>113</v>
      </c>
      <c r="R67" s="67" t="str">
        <f>IF(Q67="Ritual","N/A",IF(Q67="I.E.","N/A",IF(Q67="WOG",VLOOKUP(Magick!$I$67*100,magestuff!$B$134:$F$138,2),IF(Q67="Cantrip",VLOOKUP(Magick!$I$67*100,magestuff!$B$134:$F$138,3),IF(Q67="Hex",VLOOKUP(Magick!$I$67*100,magestuff!$B$134:$F$138,4),VLOOKUP(Magick!$I$67*100,magestuff!$B$134:$F$138,5))))))</f>
        <v>N/A</v>
      </c>
      <c r="S67" s="69">
        <f>5*Magick!$C$3</f>
        <v>0</v>
      </c>
      <c r="T67" s="67" t="s">
        <v>3725</v>
      </c>
      <c r="U67" s="67" t="str">
        <f t="shared" si="10"/>
        <v xml:space="preserve"> </v>
      </c>
      <c r="V67" s="515"/>
      <c r="W67" s="125"/>
      <c r="X67" s="31">
        <f t="shared" si="11"/>
        <v>0</v>
      </c>
      <c r="Y67" s="509"/>
      <c r="Z67" s="1054" t="str">
        <f t="shared" si="12"/>
        <v>Create Clay</v>
      </c>
      <c r="AA67" s="1072" t="str">
        <f t="shared" ref="AA67:AA130" si="13">IF(ISNUMBER(MATCH($Z67,Spell_Methods,0)),$Z67,$AA66)</f>
        <v>Common</v>
      </c>
    </row>
    <row r="68" spans="1:27" hidden="1" outlineLevel="1">
      <c r="A68" s="83" t="s">
        <v>6105</v>
      </c>
      <c r="B68" s="67">
        <v>3</v>
      </c>
      <c r="C68" s="67">
        <f ca="1">IF(magestuff!$I$194&lt;1,1,magestuff!$I$194)</f>
        <v>3</v>
      </c>
      <c r="D68" s="67">
        <f t="shared" si="9"/>
        <v>0</v>
      </c>
      <c r="E68" s="77" t="e">
        <f ca="1">IF(F68="y",HLOOKUP((IF(C68&lt;1,1,C68)),Magick!$C$20:$L$21,2),NA())</f>
        <v>#N/A</v>
      </c>
      <c r="F68" s="67" t="str">
        <f ca="1">IF(C68&lt;=Magick!$D$3,"Y","N")</f>
        <v>N</v>
      </c>
      <c r="G68" s="148" t="s">
        <v>6052</v>
      </c>
      <c r="H68" s="151"/>
      <c r="I68" s="77" t="e">
        <f>IF(H68&gt;0,(HLOOKUP(C68,Magick!$C$20:$L$21,2)-HLOOKUP(H68,Magick!$C$20:$L$21,2)),NA())</f>
        <v>#N/A</v>
      </c>
      <c r="J68" s="77"/>
      <c r="K68" s="67" t="s">
        <v>3215</v>
      </c>
      <c r="L68" s="72" t="str">
        <f>IF(H68&gt;0,Magick!$AR$18-('Master Spell List'!H75*0.1),"N/A")</f>
        <v>N/A</v>
      </c>
      <c r="M68" s="72">
        <f ca="1">Magick!$H$67</f>
        <v>0.08</v>
      </c>
      <c r="N68" s="72">
        <f ca="1">Magick!$K$67</f>
        <v>0.13</v>
      </c>
      <c r="O68" s="72">
        <f ca="1">Magick!$L$67</f>
        <v>0.13</v>
      </c>
      <c r="P68" s="72">
        <f ca="1">Magick!$M$67</f>
        <v>0.13</v>
      </c>
      <c r="Q68" s="67" t="s">
        <v>113</v>
      </c>
      <c r="R68" s="67" t="str">
        <f>IF(Q68="Ritual","N/A",IF(Q68="I.E.","N/A",IF(Q68="WOG",VLOOKUP(Magick!$I$67*100,magestuff!$B$134:$F$138,2),IF(Q68="Cantrip",VLOOKUP(Magick!$I$67*100,magestuff!$B$134:$F$138,3),IF(Q68="Hex",VLOOKUP(Magick!$I$67*100,magestuff!$B$134:$F$138,4),VLOOKUP(Magick!$I$67*100,magestuff!$B$134:$F$138,5))))))</f>
        <v>N/A</v>
      </c>
      <c r="S68" s="69">
        <f>5*Magick!$C$3</f>
        <v>0</v>
      </c>
      <c r="T68" s="67" t="s">
        <v>3725</v>
      </c>
      <c r="U68" s="67" t="str">
        <f t="shared" si="10"/>
        <v xml:space="preserve"> </v>
      </c>
      <c r="V68" s="515"/>
      <c r="W68" s="125"/>
      <c r="X68" s="31">
        <f t="shared" si="11"/>
        <v>0</v>
      </c>
      <c r="Y68" s="509"/>
      <c r="Z68" s="1054" t="str">
        <f t="shared" si="12"/>
        <v>Command Clay</v>
      </c>
      <c r="AA68" s="1072" t="str">
        <f t="shared" si="13"/>
        <v>Common</v>
      </c>
    </row>
    <row r="69" spans="1:27" hidden="1" outlineLevel="1">
      <c r="A69" s="83" t="s">
        <v>6111</v>
      </c>
      <c r="B69" s="67">
        <v>3</v>
      </c>
      <c r="C69" s="67">
        <f ca="1">IF(magestuff!$I$194&lt;1,1,magestuff!$I$194)</f>
        <v>3</v>
      </c>
      <c r="D69" s="67">
        <f t="shared" si="9"/>
        <v>0</v>
      </c>
      <c r="E69" s="77" t="e">
        <f ca="1">IF(F69="y",HLOOKUP((IF(C69&lt;1,1,C69)),Magick!$C$20:$L$21,2),NA())</f>
        <v>#N/A</v>
      </c>
      <c r="F69" s="67" t="str">
        <f ca="1">IF(C69&lt;=Magick!$D$3,"Y","N")</f>
        <v>N</v>
      </c>
      <c r="G69" s="148" t="s">
        <v>6052</v>
      </c>
      <c r="H69" s="151"/>
      <c r="I69" s="77" t="e">
        <f>IF(H69&gt;0,(HLOOKUP(C69,Magick!$C$20:$L$21,2)-HLOOKUP(H69,Magick!$C$20:$L$21,2)),NA())</f>
        <v>#N/A</v>
      </c>
      <c r="J69" s="77"/>
      <c r="K69" s="67" t="s">
        <v>3215</v>
      </c>
      <c r="L69" s="72" t="str">
        <f>IF(H69&gt;0,Magick!$AR$18-('Master Spell List'!H80*0.1),"N/A")</f>
        <v>N/A</v>
      </c>
      <c r="M69" s="72">
        <f ca="1">Magick!$H$67</f>
        <v>0.08</v>
      </c>
      <c r="N69" s="72">
        <f ca="1">Magick!$K$67</f>
        <v>0.13</v>
      </c>
      <c r="O69" s="72">
        <f ca="1">Magick!$L$67</f>
        <v>0.13</v>
      </c>
      <c r="P69" s="72">
        <f ca="1">Magick!$M$67</f>
        <v>0.13</v>
      </c>
      <c r="Q69" s="67" t="s">
        <v>113</v>
      </c>
      <c r="R69" s="67" t="str">
        <f>IF(Q69="Ritual","N/A",IF(Q69="I.E.","N/A",IF(Q69="WOG",VLOOKUP(Magick!$I$67*100,magestuff!$B$134:$F$138,2),IF(Q69="Cantrip",VLOOKUP(Magick!$I$67*100,magestuff!$B$134:$F$138,3),IF(Q69="Hex",VLOOKUP(Magick!$I$67*100,magestuff!$B$134:$F$138,4),VLOOKUP(Magick!$I$67*100,magestuff!$B$134:$F$138,5))))))</f>
        <v>N/A</v>
      </c>
      <c r="S69" s="69">
        <f>5*Magick!$C$3</f>
        <v>0</v>
      </c>
      <c r="T69" s="67" t="s">
        <v>3725</v>
      </c>
      <c r="U69" s="67" t="str">
        <f t="shared" si="10"/>
        <v xml:space="preserve"> </v>
      </c>
      <c r="V69" s="515"/>
      <c r="W69" s="125"/>
      <c r="X69" s="31">
        <f t="shared" si="11"/>
        <v>0</v>
      </c>
      <c r="Y69" s="509"/>
      <c r="Z69" s="1054" t="str">
        <f t="shared" si="12"/>
        <v>Create Glass</v>
      </c>
      <c r="AA69" s="1072" t="str">
        <f t="shared" si="13"/>
        <v>Common</v>
      </c>
    </row>
    <row r="70" spans="1:27" hidden="1" outlineLevel="1">
      <c r="A70" s="83" t="s">
        <v>6112</v>
      </c>
      <c r="B70" s="67">
        <v>3</v>
      </c>
      <c r="C70" s="67">
        <f ca="1">IF(magestuff!$I$194&lt;1,1,magestuff!$I$194)</f>
        <v>3</v>
      </c>
      <c r="D70" s="67">
        <f t="shared" si="9"/>
        <v>0</v>
      </c>
      <c r="E70" s="77" t="e">
        <f ca="1">IF(F70="y",HLOOKUP((IF(C70&lt;1,1,C70)),Magick!$C$20:$L$21,2),NA())</f>
        <v>#N/A</v>
      </c>
      <c r="F70" s="67" t="str">
        <f ca="1">IF(C70&lt;=Magick!$D$3,"Y","N")</f>
        <v>N</v>
      </c>
      <c r="G70" s="148" t="s">
        <v>6052</v>
      </c>
      <c r="H70" s="151"/>
      <c r="I70" s="77" t="e">
        <f>IF(H70&gt;0,(HLOOKUP(C70,Magick!$C$20:$L$21,2)-HLOOKUP(H70,Magick!$C$20:$L$21,2)),NA())</f>
        <v>#N/A</v>
      </c>
      <c r="J70" s="77"/>
      <c r="K70" s="67" t="s">
        <v>3215</v>
      </c>
      <c r="L70" s="72" t="str">
        <f>IF(H70&gt;0,Magick!$AR$18-('Master Spell List'!H81*0.1),"N/A")</f>
        <v>N/A</v>
      </c>
      <c r="M70" s="72">
        <f ca="1">Magick!$H$67</f>
        <v>0.08</v>
      </c>
      <c r="N70" s="72">
        <f ca="1">Magick!$K$67</f>
        <v>0.13</v>
      </c>
      <c r="O70" s="72">
        <f ca="1">Magick!$L$67</f>
        <v>0.13</v>
      </c>
      <c r="P70" s="72">
        <f ca="1">Magick!$M$67</f>
        <v>0.13</v>
      </c>
      <c r="Q70" s="67" t="s">
        <v>113</v>
      </c>
      <c r="R70" s="67" t="str">
        <f>IF(Q70="Ritual","N/A",IF(Q70="I.E.","N/A",IF(Q70="WOG",VLOOKUP(Magick!$I$67*100,magestuff!$B$134:$F$138,2),IF(Q70="Cantrip",VLOOKUP(Magick!$I$67*100,magestuff!$B$134:$F$138,3),IF(Q70="Hex",VLOOKUP(Magick!$I$67*100,magestuff!$B$134:$F$138,4),VLOOKUP(Magick!$I$67*100,magestuff!$B$134:$F$138,5))))))</f>
        <v>N/A</v>
      </c>
      <c r="S70" s="69">
        <f>5*Magick!$C$3</f>
        <v>0</v>
      </c>
      <c r="T70" s="67" t="s">
        <v>3725</v>
      </c>
      <c r="U70" s="67" t="str">
        <f t="shared" si="10"/>
        <v xml:space="preserve"> </v>
      </c>
      <c r="V70" s="515"/>
      <c r="W70" s="125"/>
      <c r="X70" s="31">
        <f t="shared" si="11"/>
        <v>0</v>
      </c>
      <c r="Y70" s="509"/>
      <c r="Z70" s="1054" t="str">
        <f t="shared" si="12"/>
        <v>Command Glass</v>
      </c>
      <c r="AA70" s="1072" t="str">
        <f t="shared" si="13"/>
        <v>Common</v>
      </c>
    </row>
    <row r="71" spans="1:27" hidden="1" outlineLevel="1">
      <c r="A71" s="83" t="s">
        <v>4280</v>
      </c>
      <c r="B71" s="67">
        <v>4</v>
      </c>
      <c r="C71" s="67">
        <f ca="1">magestuff!$L$194</f>
        <v>4</v>
      </c>
      <c r="D71" s="67">
        <f t="shared" si="9"/>
        <v>0</v>
      </c>
      <c r="E71" s="77" t="e">
        <f ca="1">IF(F71="y",HLOOKUP((IF(C71&lt;1,1,C71)),Magick!$C$20:$L$21,2),NA())</f>
        <v>#N/A</v>
      </c>
      <c r="F71" s="67" t="str">
        <f ca="1">IF(C71&lt;=Magick!$D$3,"Y","N")</f>
        <v>N</v>
      </c>
      <c r="G71" s="148" t="s">
        <v>859</v>
      </c>
      <c r="H71" s="151"/>
      <c r="I71" s="77" t="e">
        <f>IF(H71&gt;0,(HLOOKUP(C71,Magick!$C$20:$L$21,2)-HLOOKUP(H71,Magick!$C$20:$L$21,2)),NA())</f>
        <v>#N/A</v>
      </c>
      <c r="J71" s="77"/>
      <c r="K71" s="67">
        <v>4</v>
      </c>
      <c r="L71" s="72" t="str">
        <f>IF(H71&gt;0,Magick!$AR$18-('Master Spell List'!H63*0.1),"N/A")</f>
        <v>N/A</v>
      </c>
      <c r="M71" s="72">
        <f ca="1">Magick!$H$67</f>
        <v>0.08</v>
      </c>
      <c r="N71" s="72">
        <f ca="1">Magick!$K$67</f>
        <v>0.13</v>
      </c>
      <c r="O71" s="72">
        <f ca="1">Magick!$L$67</f>
        <v>0.13</v>
      </c>
      <c r="P71" s="72">
        <f ca="1">Magick!$M$67</f>
        <v>0.13</v>
      </c>
      <c r="Q71" s="67" t="s">
        <v>3723</v>
      </c>
      <c r="R71" s="67">
        <f ca="1">IF(Q71="Ritual","N/A",IF(Q71="I.E.","N/A",IF(Q71="WOG",VLOOKUP(Magick!$I$67*100,magestuff!$B$134:$F$138,2),IF(Q71="Cantrip",VLOOKUP(Magick!$I$67*100,magestuff!$B$134:$F$138,3),IF(Q71="Hex",VLOOKUP(Magick!$I$67*100,magestuff!$B$134:$F$138,4),VLOOKUP(Magick!$I$67*100,magestuff!$B$134:$F$138,5))))))</f>
        <v>29</v>
      </c>
      <c r="S71" s="69">
        <f>10*Magick!$C$3</f>
        <v>0</v>
      </c>
      <c r="U71" s="67" t="str">
        <f t="shared" si="10"/>
        <v xml:space="preserve"> </v>
      </c>
      <c r="V71" s="515"/>
      <c r="W71" s="125"/>
      <c r="X71" s="31">
        <f t="shared" si="11"/>
        <v>0</v>
      </c>
      <c r="Y71" s="509"/>
      <c r="Z71" s="1054" t="str">
        <f t="shared" si="12"/>
        <v>Lesser Earth's Cell</v>
      </c>
      <c r="AA71" s="1072" t="str">
        <f t="shared" si="13"/>
        <v>Common</v>
      </c>
    </row>
    <row r="72" spans="1:27" hidden="1" outlineLevel="1">
      <c r="A72" s="31" t="s">
        <v>7</v>
      </c>
      <c r="B72" s="67">
        <v>4</v>
      </c>
      <c r="C72" s="67">
        <f ca="1">magestuff!$L$194</f>
        <v>4</v>
      </c>
      <c r="D72" s="67">
        <f t="shared" si="9"/>
        <v>0</v>
      </c>
      <c r="E72" s="77" t="e">
        <f ca="1">IF(F72="y",HLOOKUP((IF(C72&lt;1,1,C72)),Magick!$C$20:$L$21,2),NA())</f>
        <v>#N/A</v>
      </c>
      <c r="F72" s="67" t="str">
        <f ca="1">IF(C72&lt;=Magick!$D$3,"Y","N")</f>
        <v>N</v>
      </c>
      <c r="G72" s="148" t="s">
        <v>128</v>
      </c>
      <c r="H72" s="151"/>
      <c r="I72" s="77" t="e">
        <f>IF(H72&gt;0,(HLOOKUP(C72,Magick!$C$20:$L$21,2)-HLOOKUP(H72,Magick!$C$20:$L$21,2)),NA())</f>
        <v>#N/A</v>
      </c>
      <c r="J72" s="77"/>
      <c r="K72" s="67">
        <v>7</v>
      </c>
      <c r="L72" s="72" t="str">
        <f>IF(H72&gt;0,Magick!$AR$18-('Master Spell List'!H62*0.1),"N/A")</f>
        <v>N/A</v>
      </c>
      <c r="M72" s="72">
        <f ca="1">Magick!$H$67</f>
        <v>0.08</v>
      </c>
      <c r="N72" s="72">
        <f ca="1">Magick!$K$67</f>
        <v>0.13</v>
      </c>
      <c r="O72" s="72">
        <f ca="1">Magick!$L$67</f>
        <v>0.13</v>
      </c>
      <c r="P72" s="72">
        <f ca="1">Magick!$M$67</f>
        <v>0.13</v>
      </c>
      <c r="Q72" s="67" t="s">
        <v>4603</v>
      </c>
      <c r="R72" s="67">
        <f ca="1">IF(Q72="Ritual","N/A",IF(Q72="I.E.","N/A",IF(Q72="WOG",VLOOKUP(Magick!$I$67*100,magestuff!$B$134:$F$138,2),IF(Q72="Cantrip",VLOOKUP(Magick!$I$67*100,magestuff!$B$134:$F$138,3),IF(Q72="Hex",VLOOKUP(Magick!$I$67*100,magestuff!$B$134:$F$138,4),VLOOKUP(Magick!$I$67*100,magestuff!$B$134:$F$138,5))))))</f>
        <v>9</v>
      </c>
      <c r="S72" s="69">
        <f>10*Magick!$C$3</f>
        <v>0</v>
      </c>
      <c r="T72" s="67" t="s">
        <v>3725</v>
      </c>
      <c r="U72" s="67" t="str">
        <f t="shared" si="10"/>
        <v xml:space="preserve"> </v>
      </c>
      <c r="V72" s="515"/>
      <c r="W72" s="125"/>
      <c r="X72" s="31">
        <f t="shared" si="11"/>
        <v>0</v>
      </c>
      <c r="Y72" s="509"/>
      <c r="Z72" s="1054" t="str">
        <f t="shared" si="12"/>
        <v>Puff of Dust</v>
      </c>
      <c r="AA72" s="1072" t="str">
        <f t="shared" si="13"/>
        <v>Common</v>
      </c>
    </row>
    <row r="73" spans="1:27" hidden="1" outlineLevel="1">
      <c r="A73" s="83" t="s">
        <v>2657</v>
      </c>
      <c r="B73" s="67">
        <v>4</v>
      </c>
      <c r="C73" s="67">
        <f ca="1">magestuff!$L$194</f>
        <v>4</v>
      </c>
      <c r="D73" s="67">
        <f t="shared" si="9"/>
        <v>0</v>
      </c>
      <c r="E73" s="77" t="e">
        <f ca="1">IF(F73="y",HLOOKUP((IF(C73&lt;1,1,C73)),Magick!$C$20:$L$21,2),NA())</f>
        <v>#N/A</v>
      </c>
      <c r="F73" s="67" t="str">
        <f ca="1">IF(C73&lt;=Magick!$D$3,"Y","N")</f>
        <v>N</v>
      </c>
      <c r="G73" s="148" t="s">
        <v>1616</v>
      </c>
      <c r="H73" s="151"/>
      <c r="I73" s="77" t="e">
        <f>IF(H73&gt;0,(HLOOKUP(C73,Magick!$C$20:$L$21,2)-HLOOKUP(H73,Magick!$C$20:$L$21,2)),NA())</f>
        <v>#N/A</v>
      </c>
      <c r="J73" s="77"/>
      <c r="K73" s="67" t="s">
        <v>108</v>
      </c>
      <c r="L73" s="72" t="str">
        <f>IF(H73&gt;0,Magick!$AR$18-('Master Spell List'!H84*0.1),"N/A")</f>
        <v>N/A</v>
      </c>
      <c r="M73" s="72">
        <f ca="1">Magick!$H$67</f>
        <v>0.08</v>
      </c>
      <c r="N73" s="72">
        <f ca="1">Magick!$K$67</f>
        <v>0.13</v>
      </c>
      <c r="O73" s="72">
        <f ca="1">Magick!$L$67</f>
        <v>0.13</v>
      </c>
      <c r="P73" s="72">
        <f ca="1">Magick!$M$67</f>
        <v>0.13</v>
      </c>
      <c r="Q73" s="67" t="s">
        <v>4602</v>
      </c>
      <c r="R73" s="67">
        <f ca="1">IF(Q73="Ritual","N/A",IF(Q73="I.E.","N/A",IF(Q73="WOG",VLOOKUP(Magick!$I$67*100,magestuff!$B$134:$F$138,2),IF(Q73="Cantrip",VLOOKUP(Magick!$I$67*100,magestuff!$B$134:$F$138,3),IF(Q73="Hex",VLOOKUP(Magick!$I$67*100,magestuff!$B$134:$F$138,4),VLOOKUP(Magick!$I$67*100,magestuff!$B$134:$F$138,5))))))</f>
        <v>19</v>
      </c>
      <c r="S73" s="69"/>
      <c r="U73" s="67" t="str">
        <f t="shared" si="10"/>
        <v xml:space="preserve"> </v>
      </c>
      <c r="V73" s="515"/>
      <c r="W73" s="125"/>
      <c r="X73" s="31">
        <f t="shared" si="11"/>
        <v>0</v>
      </c>
      <c r="Y73" s="509"/>
      <c r="Z73" s="1054" t="str">
        <f t="shared" si="12"/>
        <v>Walk through Earth (Dirt)</v>
      </c>
      <c r="AA73" s="1072" t="str">
        <f t="shared" si="13"/>
        <v>Common</v>
      </c>
    </row>
    <row r="74" spans="1:27" hidden="1" outlineLevel="1">
      <c r="A74" s="83" t="s">
        <v>6089</v>
      </c>
      <c r="B74" s="67">
        <v>4</v>
      </c>
      <c r="C74" s="67">
        <f ca="1">magestuff!$L$194</f>
        <v>4</v>
      </c>
      <c r="D74" s="67">
        <f t="shared" si="9"/>
        <v>0</v>
      </c>
      <c r="E74" s="77" t="e">
        <f ca="1">IF(F74="y",HLOOKUP((IF(C74&lt;1,1,C74)),Magick!$C$20:$L$21,2),NA())</f>
        <v>#N/A</v>
      </c>
      <c r="F74" s="67" t="str">
        <f ca="1">IF(C74&lt;=Magick!$D$3,"Y","N")</f>
        <v>N</v>
      </c>
      <c r="G74" s="148" t="s">
        <v>6052</v>
      </c>
      <c r="H74" s="151"/>
      <c r="I74" s="77" t="e">
        <f>IF(H74&gt;0,(HLOOKUP(C74,Magick!$C$20:$L$21,2)-HLOOKUP(H74,Magick!$C$20:$L$21,2)),NA())</f>
        <v>#N/A</v>
      </c>
      <c r="J74" s="77"/>
      <c r="K74" s="67" t="s">
        <v>3215</v>
      </c>
      <c r="L74" s="72" t="str">
        <f>IF(H74&gt;0,Magick!$AR$18-('Master Spell List'!H60*0.1),"N/A")</f>
        <v>N/A</v>
      </c>
      <c r="M74" s="72">
        <f ca="1">Magick!$H$67</f>
        <v>0.08</v>
      </c>
      <c r="N74" s="72">
        <f ca="1">Magick!$K$67</f>
        <v>0.13</v>
      </c>
      <c r="O74" s="72">
        <f ca="1">Magick!$L$67</f>
        <v>0.13</v>
      </c>
      <c r="P74" s="72">
        <f ca="1">Magick!$M$67</f>
        <v>0.13</v>
      </c>
      <c r="Q74" s="67" t="s">
        <v>113</v>
      </c>
      <c r="R74" s="67" t="str">
        <f>IF(Q74="Ritual","N/A",IF(Q74="I.E.","N/A",IF(Q74="WOG",VLOOKUP(Magick!$I$67*100,magestuff!$B$134:$F$138,2),IF(Q74="Cantrip",VLOOKUP(Magick!$I$67*100,magestuff!$B$134:$F$138,3),IF(Q74="Hex",VLOOKUP(Magick!$I$67*100,magestuff!$B$134:$F$138,4),VLOOKUP(Magick!$I$67*100,magestuff!$B$134:$F$138,5))))))</f>
        <v>N/A</v>
      </c>
      <c r="S74" s="69">
        <f>5*Magick!$C$3</f>
        <v>0</v>
      </c>
      <c r="T74" s="67" t="s">
        <v>3725</v>
      </c>
      <c r="U74" s="67" t="str">
        <f t="shared" si="10"/>
        <v xml:space="preserve"> </v>
      </c>
      <c r="V74" s="515"/>
      <c r="W74" s="125"/>
      <c r="X74" s="31">
        <f t="shared" si="11"/>
        <v>0</v>
      </c>
      <c r="Y74" s="509"/>
      <c r="Z74" s="1054" t="str">
        <f t="shared" si="12"/>
        <v>Least Divide</v>
      </c>
      <c r="AA74" s="1072" t="str">
        <f t="shared" si="13"/>
        <v>Common</v>
      </c>
    </row>
    <row r="75" spans="1:27" hidden="1" outlineLevel="1">
      <c r="A75" s="83" t="s">
        <v>6106</v>
      </c>
      <c r="B75" s="67">
        <v>4</v>
      </c>
      <c r="C75" s="67">
        <f ca="1">magestuff!$L$194</f>
        <v>4</v>
      </c>
      <c r="D75" s="67">
        <f t="shared" si="9"/>
        <v>0</v>
      </c>
      <c r="E75" s="77" t="e">
        <f ca="1">IF(F75="y",HLOOKUP((IF(C75&lt;1,1,C75)),Magick!$C$20:$L$21,2),NA())</f>
        <v>#N/A</v>
      </c>
      <c r="F75" s="67" t="str">
        <f ca="1">IF(C75&lt;=Magick!$D$3,"Y","N")</f>
        <v>N</v>
      </c>
      <c r="G75" s="148" t="s">
        <v>6052</v>
      </c>
      <c r="H75" s="151"/>
      <c r="I75" s="77" t="e">
        <f>IF(H75&gt;0,(HLOOKUP(C75,Magick!$C$20:$L$21,2)-HLOOKUP(H75,Magick!$C$20:$L$21,2)),NA())</f>
        <v>#N/A</v>
      </c>
      <c r="J75" s="77"/>
      <c r="K75" s="67" t="s">
        <v>3215</v>
      </c>
      <c r="L75" s="72" t="str">
        <f>IF(H75&gt;0,Magick!$AR$18-('Master Spell List'!H75*0.1),"N/A")</f>
        <v>N/A</v>
      </c>
      <c r="M75" s="72">
        <f ca="1">Magick!$H$67</f>
        <v>0.08</v>
      </c>
      <c r="N75" s="72">
        <f ca="1">Magick!$K$67</f>
        <v>0.13</v>
      </c>
      <c r="O75" s="72">
        <f ca="1">Magick!$L$67</f>
        <v>0.13</v>
      </c>
      <c r="P75" s="72">
        <f ca="1">Magick!$M$67</f>
        <v>0.13</v>
      </c>
      <c r="Q75" s="67" t="s">
        <v>113</v>
      </c>
      <c r="R75" s="67" t="str">
        <f>IF(Q75="Ritual","N/A",IF(Q75="I.E.","N/A",IF(Q75="WOG",VLOOKUP(Magick!$I$67*100,magestuff!$B$134:$F$138,2),IF(Q75="Cantrip",VLOOKUP(Magick!$I$67*100,magestuff!$B$134:$F$138,3),IF(Q75="Hex",VLOOKUP(Magick!$I$67*100,magestuff!$B$134:$F$138,4),VLOOKUP(Magick!$I$67*100,magestuff!$B$134:$F$138,5))))))</f>
        <v>N/A</v>
      </c>
      <c r="S75" s="69">
        <f>5*Magick!$C$3</f>
        <v>0</v>
      </c>
      <c r="T75" s="67" t="s">
        <v>3725</v>
      </c>
      <c r="U75" s="67" t="str">
        <f t="shared" si="10"/>
        <v xml:space="preserve"> </v>
      </c>
      <c r="V75" s="515"/>
      <c r="W75" s="125"/>
      <c r="X75" s="31">
        <f t="shared" si="11"/>
        <v>0</v>
      </c>
      <c r="Y75" s="509"/>
      <c r="Z75" s="1054" t="str">
        <f t="shared" si="12"/>
        <v>Dry Clay</v>
      </c>
      <c r="AA75" s="1072" t="str">
        <f t="shared" si="13"/>
        <v>Common</v>
      </c>
    </row>
    <row r="76" spans="1:27" hidden="1" outlineLevel="1">
      <c r="A76" s="83" t="s">
        <v>6107</v>
      </c>
      <c r="B76" s="67">
        <v>4</v>
      </c>
      <c r="C76" s="67">
        <f ca="1">magestuff!$L$194</f>
        <v>4</v>
      </c>
      <c r="D76" s="67">
        <f t="shared" si="9"/>
        <v>0</v>
      </c>
      <c r="E76" s="77" t="e">
        <f ca="1">IF(F76="y",HLOOKUP((IF(C76&lt;1,1,C76)),Magick!$C$20:$L$21,2),NA())</f>
        <v>#N/A</v>
      </c>
      <c r="F76" s="67" t="str">
        <f ca="1">IF(C76&lt;=Magick!$D$3,"Y","N")</f>
        <v>N</v>
      </c>
      <c r="G76" s="148" t="s">
        <v>6052</v>
      </c>
      <c r="H76" s="151"/>
      <c r="I76" s="77" t="e">
        <f>IF(H76&gt;0,(HLOOKUP(C76,Magick!$C$20:$L$21,2)-HLOOKUP(H76,Magick!$C$20:$L$21,2)),NA())</f>
        <v>#N/A</v>
      </c>
      <c r="J76" s="77"/>
      <c r="K76" s="67" t="s">
        <v>3215</v>
      </c>
      <c r="L76" s="72" t="str">
        <f>IF(H76&gt;0,Magick!$AR$18-('Master Spell List'!H76*0.1),"N/A")</f>
        <v>N/A</v>
      </c>
      <c r="M76" s="72">
        <f ca="1">Magick!$H$67</f>
        <v>0.08</v>
      </c>
      <c r="N76" s="72">
        <f ca="1">Magick!$K$67</f>
        <v>0.13</v>
      </c>
      <c r="O76" s="72">
        <f ca="1">Magick!$L$67</f>
        <v>0.13</v>
      </c>
      <c r="P76" s="72">
        <f ca="1">Magick!$M$67</f>
        <v>0.13</v>
      </c>
      <c r="Q76" s="67" t="s">
        <v>113</v>
      </c>
      <c r="R76" s="67" t="str">
        <f>IF(Q76="Ritual","N/A",IF(Q76="I.E.","N/A",IF(Q76="WOG",VLOOKUP(Magick!$I$67*100,magestuff!$B$134:$F$138,2),IF(Q76="Cantrip",VLOOKUP(Magick!$I$67*100,magestuff!$B$134:$F$138,3),IF(Q76="Hex",VLOOKUP(Magick!$I$67*100,magestuff!$B$134:$F$138,4),VLOOKUP(Magick!$I$67*100,magestuff!$B$134:$F$138,5))))))</f>
        <v>N/A</v>
      </c>
      <c r="S76" s="69">
        <f>5*Magick!$C$3</f>
        <v>0</v>
      </c>
      <c r="T76" s="67" t="s">
        <v>3725</v>
      </c>
      <c r="U76" s="67" t="str">
        <f t="shared" si="10"/>
        <v xml:space="preserve"> </v>
      </c>
      <c r="V76" s="515"/>
      <c r="W76" s="125"/>
      <c r="X76" s="31">
        <f t="shared" si="11"/>
        <v>0</v>
      </c>
      <c r="Y76" s="509"/>
      <c r="Z76" s="1054" t="str">
        <f t="shared" si="12"/>
        <v>Wedge Clay</v>
      </c>
      <c r="AA76" s="1072" t="str">
        <f t="shared" si="13"/>
        <v>Common</v>
      </c>
    </row>
    <row r="77" spans="1:27" hidden="1" outlineLevel="1">
      <c r="A77" s="83" t="s">
        <v>6109</v>
      </c>
      <c r="B77" s="67">
        <v>4</v>
      </c>
      <c r="C77" s="67">
        <f ca="1">magestuff!$L$194</f>
        <v>4</v>
      </c>
      <c r="D77" s="67">
        <f t="shared" si="9"/>
        <v>0</v>
      </c>
      <c r="E77" s="77" t="e">
        <f ca="1">IF(F77="y",HLOOKUP((IF(C77&lt;1,1,C77)),Magick!$C$20:$L$21,2),NA())</f>
        <v>#N/A</v>
      </c>
      <c r="F77" s="67" t="str">
        <f ca="1">IF(C77&lt;=Magick!$D$3,"Y","N")</f>
        <v>N</v>
      </c>
      <c r="G77" s="148" t="s">
        <v>6052</v>
      </c>
      <c r="H77" s="151"/>
      <c r="I77" s="77" t="e">
        <f>IF(H77&gt;0,(HLOOKUP(C77,Magick!$C$20:$L$21,2)-HLOOKUP(H77,Magick!$C$20:$L$21,2)),NA())</f>
        <v>#N/A</v>
      </c>
      <c r="J77" s="77"/>
      <c r="K77" s="67" t="s">
        <v>3215</v>
      </c>
      <c r="L77" s="72" t="str">
        <f>IF(H77&gt;0,Magick!$AR$18-('Master Spell List'!H80*0.1),"N/A")</f>
        <v>N/A</v>
      </c>
      <c r="M77" s="72">
        <f ca="1">Magick!$H$67</f>
        <v>0.08</v>
      </c>
      <c r="N77" s="72">
        <f ca="1">Magick!$K$67</f>
        <v>0.13</v>
      </c>
      <c r="O77" s="72">
        <f ca="1">Magick!$L$67</f>
        <v>0.13</v>
      </c>
      <c r="P77" s="72">
        <f ca="1">Magick!$M$67</f>
        <v>0.13</v>
      </c>
      <c r="Q77" s="67" t="s">
        <v>113</v>
      </c>
      <c r="R77" s="67" t="str">
        <f>IF(Q77="Ritual","N/A",IF(Q77="I.E.","N/A",IF(Q77="WOG",VLOOKUP(Magick!$I$67*100,magestuff!$B$134:$F$138,2),IF(Q77="Cantrip",VLOOKUP(Magick!$I$67*100,magestuff!$B$134:$F$138,3),IF(Q77="Hex",VLOOKUP(Magick!$I$67*100,magestuff!$B$134:$F$138,4),VLOOKUP(Magick!$I$67*100,magestuff!$B$134:$F$138,5))))))</f>
        <v>N/A</v>
      </c>
      <c r="S77" s="69">
        <f>5*Magick!$C$3</f>
        <v>0</v>
      </c>
      <c r="T77" s="67" t="s">
        <v>3725</v>
      </c>
      <c r="U77" s="67" t="str">
        <f t="shared" si="10"/>
        <v xml:space="preserve"> </v>
      </c>
      <c r="V77" s="515"/>
      <c r="W77" s="125"/>
      <c r="X77" s="31">
        <f t="shared" si="11"/>
        <v>0</v>
      </c>
      <c r="Y77" s="509"/>
      <c r="Z77" s="1054" t="str">
        <f t="shared" si="12"/>
        <v>Create Slip</v>
      </c>
      <c r="AA77" s="1072" t="str">
        <f t="shared" si="13"/>
        <v>Common</v>
      </c>
    </row>
    <row r="78" spans="1:27" hidden="1" outlineLevel="1">
      <c r="A78" s="83" t="s">
        <v>6110</v>
      </c>
      <c r="B78" s="67">
        <v>4</v>
      </c>
      <c r="C78" s="67">
        <f ca="1">magestuff!$L$194</f>
        <v>4</v>
      </c>
      <c r="D78" s="67">
        <f t="shared" si="9"/>
        <v>0</v>
      </c>
      <c r="E78" s="77" t="e">
        <f ca="1">IF(F78="y",HLOOKUP((IF(C78&lt;1,1,C78)),Magick!$C$20:$L$21,2),NA())</f>
        <v>#N/A</v>
      </c>
      <c r="F78" s="67" t="str">
        <f ca="1">IF(C78&lt;=Magick!$D$3,"Y","N")</f>
        <v>N</v>
      </c>
      <c r="G78" s="148" t="s">
        <v>6052</v>
      </c>
      <c r="H78" s="151"/>
      <c r="I78" s="77" t="e">
        <f>IF(H78&gt;0,(HLOOKUP(C78,Magick!$C$20:$L$21,2)-HLOOKUP(H78,Magick!$C$20:$L$21,2)),NA())</f>
        <v>#N/A</v>
      </c>
      <c r="J78" s="77"/>
      <c r="K78" s="67" t="s">
        <v>3215</v>
      </c>
      <c r="L78" s="72" t="str">
        <f>IF(H78&gt;0,Magick!$AR$18-('Master Spell List'!H80*0.1),"N/A")</f>
        <v>N/A</v>
      </c>
      <c r="M78" s="72">
        <f ca="1">Magick!$H$67</f>
        <v>0.08</v>
      </c>
      <c r="N78" s="72">
        <f ca="1">Magick!$K$67</f>
        <v>0.13</v>
      </c>
      <c r="O78" s="72">
        <f ca="1">Magick!$L$67</f>
        <v>0.13</v>
      </c>
      <c r="P78" s="72">
        <f ca="1">Magick!$M$67</f>
        <v>0.13</v>
      </c>
      <c r="Q78" s="67" t="s">
        <v>113</v>
      </c>
      <c r="R78" s="67" t="str">
        <f>IF(Q78="Ritual","N/A",IF(Q78="I.E.","N/A",IF(Q78="WOG",VLOOKUP(Magick!$I$67*100,magestuff!$B$134:$F$138,2),IF(Q78="Cantrip",VLOOKUP(Magick!$I$67*100,magestuff!$B$134:$F$138,3),IF(Q78="Hex",VLOOKUP(Magick!$I$67*100,magestuff!$B$134:$F$138,4),VLOOKUP(Magick!$I$67*100,magestuff!$B$134:$F$138,5))))))</f>
        <v>N/A</v>
      </c>
      <c r="S78" s="69">
        <f>5*Magick!$C$3</f>
        <v>0</v>
      </c>
      <c r="T78" s="67" t="s">
        <v>3725</v>
      </c>
      <c r="U78" s="67" t="str">
        <f t="shared" si="10"/>
        <v xml:space="preserve"> </v>
      </c>
      <c r="V78" s="515"/>
      <c r="W78" s="125"/>
      <c r="X78" s="31">
        <f t="shared" si="11"/>
        <v>0</v>
      </c>
      <c r="Y78" s="509"/>
      <c r="Z78" s="1054" t="str">
        <f t="shared" si="12"/>
        <v>Command Slip</v>
      </c>
      <c r="AA78" s="1072" t="str">
        <f t="shared" si="13"/>
        <v>Common</v>
      </c>
    </row>
    <row r="79" spans="1:27" hidden="1" outlineLevel="1">
      <c r="A79" s="31" t="s">
        <v>2593</v>
      </c>
      <c r="B79" s="67">
        <v>5</v>
      </c>
      <c r="C79" s="67">
        <f ca="1">magestuff!$O$194</f>
        <v>5</v>
      </c>
      <c r="D79" s="67">
        <f t="shared" si="9"/>
        <v>0</v>
      </c>
      <c r="E79" s="77" t="e">
        <f ca="1">IF(F79="y",HLOOKUP((IF(C79&lt;1,1,C79)),Magick!$C$20:$L$21,2),NA())</f>
        <v>#N/A</v>
      </c>
      <c r="F79" s="67" t="str">
        <f ca="1">IF(C79&lt;=Magick!$D$3,"Y","N")</f>
        <v>N</v>
      </c>
      <c r="G79" s="148" t="s">
        <v>128</v>
      </c>
      <c r="H79" s="151"/>
      <c r="I79" s="77" t="e">
        <f>IF(H79&gt;0,(HLOOKUP(C79,Magick!$C$20:$L$21,2)-HLOOKUP(H79,Magick!$C$20:$L$21,2)),NA())</f>
        <v>#N/A</v>
      </c>
      <c r="J79" s="77"/>
      <c r="K79" s="67">
        <v>5</v>
      </c>
      <c r="L79" s="72" t="str">
        <f>IF(H79&gt;0,Magick!$AR$18-('Master Spell List'!H59*0.1),"N/A")</f>
        <v>N/A</v>
      </c>
      <c r="M79" s="72">
        <f ca="1">Magick!$H$67</f>
        <v>0.08</v>
      </c>
      <c r="N79" s="72">
        <f ca="1">Magick!$K$67</f>
        <v>0.13</v>
      </c>
      <c r="O79" s="72">
        <f ca="1">Magick!$L$67</f>
        <v>0.13</v>
      </c>
      <c r="P79" s="72">
        <f ca="1">Magick!$M$67</f>
        <v>0.13</v>
      </c>
      <c r="Q79" s="67" t="s">
        <v>113</v>
      </c>
      <c r="R79" s="67" t="str">
        <f>IF(Q79="Ritual","N/A",IF(Q79="I.E.","N/A",IF(Q79="WOG",VLOOKUP(Magick!$I$67*100,magestuff!$B$134:$F$138,2),IF(Q79="Cantrip",VLOOKUP(Magick!$I$67*100,magestuff!$B$134:$F$138,3),IF(Q79="Hex",VLOOKUP(Magick!$I$67*100,magestuff!$B$134:$F$138,4),VLOOKUP(Magick!$I$67*100,magestuff!$B$134:$F$138,5))))))</f>
        <v>N/A</v>
      </c>
      <c r="S79" s="69">
        <f>10*Magick!$C$3</f>
        <v>0</v>
      </c>
      <c r="U79" s="67" t="str">
        <f t="shared" si="10"/>
        <v xml:space="preserve"> </v>
      </c>
      <c r="V79" s="515"/>
      <c r="W79" s="125"/>
      <c r="X79" s="31">
        <f t="shared" si="11"/>
        <v>0</v>
      </c>
      <c r="Y79" s="509"/>
      <c r="Z79" s="1054" t="str">
        <f t="shared" si="12"/>
        <v>Diffuse</v>
      </c>
      <c r="AA79" s="1072" t="str">
        <f t="shared" si="13"/>
        <v>Common</v>
      </c>
    </row>
    <row r="80" spans="1:27" hidden="1" outlineLevel="1">
      <c r="A80" s="83" t="s">
        <v>1938</v>
      </c>
      <c r="B80" s="67">
        <v>5</v>
      </c>
      <c r="C80" s="67">
        <f ca="1">magestuff!$O$194</f>
        <v>5</v>
      </c>
      <c r="D80" s="67">
        <f t="shared" si="9"/>
        <v>0</v>
      </c>
      <c r="E80" s="77" t="e">
        <f ca="1">IF(F80="y",HLOOKUP((IF(C80&lt;1,1,C80)),Magick!$C$20:$L$21,2),NA())</f>
        <v>#N/A</v>
      </c>
      <c r="F80" s="67" t="str">
        <f ca="1">IF(C80&lt;=Magick!$D$3,"Y","N")</f>
        <v>N</v>
      </c>
      <c r="G80" s="148" t="s">
        <v>859</v>
      </c>
      <c r="H80" s="151"/>
      <c r="I80" s="77" t="e">
        <f>IF(H80&gt;0,(HLOOKUP(C80,Magick!$C$20:$L$21,2)-HLOOKUP(H80,Magick!$C$20:$L$21,2)),NA())</f>
        <v>#N/A</v>
      </c>
      <c r="J80" s="77"/>
      <c r="K80" s="67">
        <v>4</v>
      </c>
      <c r="L80" s="72" t="str">
        <f>IF(H80&gt;0,Magick!$AR$18-('Master Spell List'!H64*0.1),"N/A")</f>
        <v>N/A</v>
      </c>
      <c r="M80" s="72">
        <f ca="1">Magick!$H$67</f>
        <v>0.08</v>
      </c>
      <c r="N80" s="72">
        <f ca="1">Magick!$K$67</f>
        <v>0.13</v>
      </c>
      <c r="O80" s="72">
        <f ca="1">Magick!$L$67</f>
        <v>0.13</v>
      </c>
      <c r="P80" s="72">
        <f ca="1">Magick!$M$67</f>
        <v>0.13</v>
      </c>
      <c r="Q80" s="67" t="s">
        <v>3723</v>
      </c>
      <c r="R80" s="67">
        <f ca="1">IF(Q80="Ritual","N/A",IF(Q80="I.E.","N/A",IF(Q80="WOG",VLOOKUP(Magick!$I$67*100,magestuff!$B$134:$F$138,2),IF(Q80="Cantrip",VLOOKUP(Magick!$I$67*100,magestuff!$B$134:$F$138,3),IF(Q80="Hex",VLOOKUP(Magick!$I$67*100,magestuff!$B$134:$F$138,4),VLOOKUP(Magick!$I$67*100,magestuff!$B$134:$F$138,5))))))</f>
        <v>29</v>
      </c>
      <c r="S80" s="69">
        <f>10*Magick!$C$3</f>
        <v>0</v>
      </c>
      <c r="U80" s="67" t="str">
        <f t="shared" si="10"/>
        <v xml:space="preserve"> </v>
      </c>
      <c r="V80" s="515"/>
      <c r="W80" s="125"/>
      <c r="X80" s="31">
        <f t="shared" si="11"/>
        <v>0</v>
      </c>
      <c r="Y80" s="509"/>
      <c r="Z80" s="1054" t="str">
        <f t="shared" si="12"/>
        <v>Greater Earth's Cell</v>
      </c>
      <c r="AA80" s="1072" t="str">
        <f t="shared" si="13"/>
        <v>Common</v>
      </c>
    </row>
    <row r="81" spans="1:27" hidden="1" outlineLevel="1">
      <c r="A81" s="31" t="s">
        <v>538</v>
      </c>
      <c r="B81" s="67">
        <v>5</v>
      </c>
      <c r="C81" s="67">
        <f ca="1">magestuff!$O$194</f>
        <v>5</v>
      </c>
      <c r="D81" s="67">
        <f t="shared" si="9"/>
        <v>0</v>
      </c>
      <c r="E81" s="77" t="e">
        <f ca="1">IF(F81="y",HLOOKUP((IF(C81&lt;1,1,C81)),Magick!$C$20:$L$21,2),NA())</f>
        <v>#N/A</v>
      </c>
      <c r="F81" s="67" t="str">
        <f ca="1">IF(C81&lt;=Magick!$D$3,"Y","N")</f>
        <v>N</v>
      </c>
      <c r="G81" s="148" t="s">
        <v>128</v>
      </c>
      <c r="H81" s="151"/>
      <c r="I81" s="77" t="e">
        <f>IF(H81&gt;0,(HLOOKUP(C81,Magick!$C$20:$L$21,2)-HLOOKUP(H81,Magick!$C$20:$L$21,2)),NA())</f>
        <v>#N/A</v>
      </c>
      <c r="J81" s="77"/>
      <c r="K81" s="67" t="s">
        <v>114</v>
      </c>
      <c r="L81" s="72" t="str">
        <f>IF(H81&gt;0,Magick!$AR$18-('Master Spell List'!H63*0.1),"N/A")</f>
        <v>N/A</v>
      </c>
      <c r="M81" s="72">
        <f ca="1">Magick!$H$67</f>
        <v>0.08</v>
      </c>
      <c r="N81" s="72">
        <f ca="1">Magick!$K$67</f>
        <v>0.13</v>
      </c>
      <c r="O81" s="72">
        <f ca="1">Magick!$L$67</f>
        <v>0.13</v>
      </c>
      <c r="P81" s="72">
        <f ca="1">Magick!$M$67</f>
        <v>0.13</v>
      </c>
      <c r="Q81" s="67" t="s">
        <v>4603</v>
      </c>
      <c r="R81" s="67">
        <f ca="1">IF(Q81="Ritual","N/A",IF(Q81="I.E.","N/A",IF(Q81="WOG",VLOOKUP(Magick!$I$67*100,magestuff!$B$134:$F$138,2),IF(Q81="Cantrip",VLOOKUP(Magick!$I$67*100,magestuff!$B$134:$F$138,3),IF(Q81="Hex",VLOOKUP(Magick!$I$67*100,magestuff!$B$134:$F$138,4),VLOOKUP(Magick!$I$67*100,magestuff!$B$134:$F$138,5))))))</f>
        <v>9</v>
      </c>
      <c r="S81" s="69">
        <f>50*Magick!$C$3</f>
        <v>0</v>
      </c>
      <c r="T81" s="67" t="s">
        <v>3725</v>
      </c>
      <c r="U81" s="67" t="str">
        <f t="shared" si="10"/>
        <v xml:space="preserve"> </v>
      </c>
      <c r="V81" s="515"/>
      <c r="W81" s="125"/>
      <c r="X81" s="31">
        <f t="shared" si="11"/>
        <v>0</v>
      </c>
      <c r="Y81" s="509"/>
      <c r="Z81" s="1054" t="str">
        <f t="shared" si="12"/>
        <v>Sand Blast</v>
      </c>
      <c r="AA81" s="1072" t="str">
        <f t="shared" si="13"/>
        <v>Common</v>
      </c>
    </row>
    <row r="82" spans="1:27" hidden="1" outlineLevel="1">
      <c r="A82" s="83" t="s">
        <v>2658</v>
      </c>
      <c r="B82" s="67">
        <v>5</v>
      </c>
      <c r="C82" s="67">
        <f ca="1">magestuff!$O$194</f>
        <v>5</v>
      </c>
      <c r="D82" s="67">
        <f t="shared" si="9"/>
        <v>0</v>
      </c>
      <c r="E82" s="77" t="e">
        <f ca="1">IF(F82="y",HLOOKUP((IF(C82&lt;1,1,C82)),Magick!$C$20:$L$21,2),NA())</f>
        <v>#N/A</v>
      </c>
      <c r="F82" s="67" t="str">
        <f ca="1">IF(C82&lt;=Magick!$D$3,"Y","N")</f>
        <v>N</v>
      </c>
      <c r="G82" s="148" t="s">
        <v>1616</v>
      </c>
      <c r="H82" s="151"/>
      <c r="I82" s="77" t="e">
        <f>IF(H82&gt;0,(HLOOKUP(C82,Magick!$C$20:$L$21,2)-HLOOKUP(H82,Magick!$C$20:$L$21,2)),NA())</f>
        <v>#N/A</v>
      </c>
      <c r="J82" s="77"/>
      <c r="K82" s="67" t="s">
        <v>1646</v>
      </c>
      <c r="L82" s="72" t="str">
        <f>IF(H82&gt;0,Magick!$AR$18-('Master Spell List'!H85*0.1),"N/A")</f>
        <v>N/A</v>
      </c>
      <c r="M82" s="72">
        <f ca="1">Magick!$H$67</f>
        <v>0.08</v>
      </c>
      <c r="N82" s="72">
        <f ca="1">Magick!$K$67</f>
        <v>0.13</v>
      </c>
      <c r="O82" s="72">
        <f ca="1">Magick!$L$67</f>
        <v>0.13</v>
      </c>
      <c r="P82" s="72">
        <f ca="1">Magick!$M$67</f>
        <v>0.13</v>
      </c>
      <c r="Q82" s="67" t="s">
        <v>3723</v>
      </c>
      <c r="R82" s="67">
        <f ca="1">IF(Q82="Ritual","N/A",IF(Q82="I.E.","N/A",IF(Q82="WOG",VLOOKUP(Magick!$I$67*100,magestuff!$B$134:$F$138,2),IF(Q82="Cantrip",VLOOKUP(Magick!$I$67*100,magestuff!$B$134:$F$138,3),IF(Q82="Hex",VLOOKUP(Magick!$I$67*100,magestuff!$B$134:$F$138,4),VLOOKUP(Magick!$I$67*100,magestuff!$B$134:$F$138,5))))))</f>
        <v>29</v>
      </c>
      <c r="S82" s="69"/>
      <c r="U82" s="67" t="str">
        <f t="shared" si="10"/>
        <v xml:space="preserve"> </v>
      </c>
      <c r="V82" s="515"/>
      <c r="W82" s="125"/>
      <c r="X82" s="31">
        <f t="shared" si="11"/>
        <v>0</v>
      </c>
      <c r="Y82" s="509"/>
      <c r="Z82" s="1054" t="str">
        <f t="shared" si="12"/>
        <v>Walk through Porous Rock</v>
      </c>
      <c r="AA82" s="1072" t="str">
        <f t="shared" si="13"/>
        <v>Common</v>
      </c>
    </row>
    <row r="83" spans="1:27" hidden="1" outlineLevel="1">
      <c r="A83" s="83" t="s">
        <v>6113</v>
      </c>
      <c r="B83" s="67">
        <v>5</v>
      </c>
      <c r="C83" s="67">
        <f ca="1">magestuff!$AA$194</f>
        <v>9</v>
      </c>
      <c r="D83" s="67">
        <f t="shared" si="9"/>
        <v>0</v>
      </c>
      <c r="E83" s="77" t="e">
        <f ca="1">IF(F83="y",HLOOKUP((IF(C83&lt;1,1,C83)),Magick!$C$20:$L$21,2),NA())</f>
        <v>#N/A</v>
      </c>
      <c r="F83" s="67" t="str">
        <f ca="1">IF(C83&lt;=Magick!$D$3,"Y","N")</f>
        <v>N</v>
      </c>
      <c r="G83" s="148" t="s">
        <v>6052</v>
      </c>
      <c r="H83" s="151"/>
      <c r="I83" s="77" t="e">
        <f>IF(H83&gt;0,(HLOOKUP(C83,Magick!$C$20:$L$21,2)-HLOOKUP(H83,Magick!$C$20:$L$21,2)),NA())</f>
        <v>#N/A</v>
      </c>
      <c r="J83" s="77"/>
      <c r="K83" s="67" t="s">
        <v>3215</v>
      </c>
      <c r="L83" s="72" t="str">
        <f>IF(H83&gt;0,Magick!$AR$18-('Master Spell List'!H82*0.1),"N/A")</f>
        <v>N/A</v>
      </c>
      <c r="M83" s="72">
        <f ca="1">Magick!$H$67</f>
        <v>0.08</v>
      </c>
      <c r="N83" s="72">
        <f ca="1">Magick!$K$67</f>
        <v>0.13</v>
      </c>
      <c r="O83" s="72">
        <f ca="1">Magick!$L$67</f>
        <v>0.13</v>
      </c>
      <c r="P83" s="72">
        <f ca="1">Magick!$M$67</f>
        <v>0.13</v>
      </c>
      <c r="Q83" s="67" t="s">
        <v>113</v>
      </c>
      <c r="R83" s="67" t="str">
        <f>IF(Q83="Ritual","N/A",IF(Q83="I.E.","N/A",IF(Q83="WOG",VLOOKUP(Magick!$I$67*100,magestuff!$B$134:$F$138,2),IF(Q83="Cantrip",VLOOKUP(Magick!$I$67*100,magestuff!$B$134:$F$138,3),IF(Q83="Hex",VLOOKUP(Magick!$I$67*100,magestuff!$B$134:$F$138,4),VLOOKUP(Magick!$I$67*100,magestuff!$B$134:$F$138,5))))))</f>
        <v>N/A</v>
      </c>
      <c r="S83" s="69">
        <f>5*Magick!$C$3</f>
        <v>0</v>
      </c>
      <c r="T83" s="67" t="s">
        <v>3725</v>
      </c>
      <c r="U83" s="67" t="str">
        <f t="shared" si="10"/>
        <v xml:space="preserve"> </v>
      </c>
      <c r="V83" s="515"/>
      <c r="W83" s="125"/>
      <c r="X83" s="31">
        <f t="shared" si="11"/>
        <v>0</v>
      </c>
      <c r="Y83" s="509"/>
      <c r="Z83" s="1054" t="str">
        <f t="shared" si="12"/>
        <v>Create Perfect Glass</v>
      </c>
      <c r="AA83" s="1072" t="str">
        <f t="shared" si="13"/>
        <v>Common</v>
      </c>
    </row>
    <row r="84" spans="1:27" hidden="1" outlineLevel="1">
      <c r="A84" s="83" t="s">
        <v>6114</v>
      </c>
      <c r="B84" s="67">
        <v>5</v>
      </c>
      <c r="C84" s="67">
        <f ca="1">magestuff!$AA$194</f>
        <v>9</v>
      </c>
      <c r="D84" s="67">
        <f t="shared" si="9"/>
        <v>0</v>
      </c>
      <c r="E84" s="77" t="e">
        <f ca="1">IF(F84="y",HLOOKUP((IF(C84&lt;1,1,C84)),Magick!$C$20:$L$21,2),NA())</f>
        <v>#N/A</v>
      </c>
      <c r="F84" s="67" t="str">
        <f ca="1">IF(C84&lt;=Magick!$D$3,"Y","N")</f>
        <v>N</v>
      </c>
      <c r="G84" s="148" t="s">
        <v>6052</v>
      </c>
      <c r="H84" s="151"/>
      <c r="I84" s="77" t="e">
        <f>IF(H84&gt;0,(HLOOKUP(C84,Magick!$C$20:$L$21,2)-HLOOKUP(H84,Magick!$C$20:$L$21,2)),NA())</f>
        <v>#N/A</v>
      </c>
      <c r="J84" s="77"/>
      <c r="K84" s="67" t="s">
        <v>3215</v>
      </c>
      <c r="L84" s="72" t="str">
        <f>IF(H84&gt;0,Magick!$AR$18-('Master Spell List'!H80*0.1),"N/A")</f>
        <v>N/A</v>
      </c>
      <c r="M84" s="72">
        <f ca="1">Magick!$H$67</f>
        <v>0.08</v>
      </c>
      <c r="N84" s="72">
        <f ca="1">Magick!$K$67</f>
        <v>0.13</v>
      </c>
      <c r="O84" s="72">
        <f ca="1">Magick!$L$67</f>
        <v>0.13</v>
      </c>
      <c r="P84" s="72">
        <f ca="1">Magick!$M$67</f>
        <v>0.13</v>
      </c>
      <c r="Q84" s="67" t="s">
        <v>113</v>
      </c>
      <c r="R84" s="67" t="str">
        <f>IF(Q84="Ritual","N/A",IF(Q84="I.E.","N/A",IF(Q84="WOG",VLOOKUP(Magick!$I$67*100,magestuff!$B$134:$F$138,2),IF(Q84="Cantrip",VLOOKUP(Magick!$I$67*100,magestuff!$B$134:$F$138,3),IF(Q84="Hex",VLOOKUP(Magick!$I$67*100,magestuff!$B$134:$F$138,4),VLOOKUP(Magick!$I$67*100,magestuff!$B$134:$F$138,5))))))</f>
        <v>N/A</v>
      </c>
      <c r="S84" s="69">
        <f>5*Magick!$C$3</f>
        <v>0</v>
      </c>
      <c r="T84" s="67" t="s">
        <v>3725</v>
      </c>
      <c r="U84" s="67" t="str">
        <f t="shared" si="10"/>
        <v xml:space="preserve"> </v>
      </c>
      <c r="V84" s="515"/>
      <c r="W84" s="125"/>
      <c r="X84" s="31">
        <f t="shared" si="11"/>
        <v>0</v>
      </c>
      <c r="Y84" s="509"/>
      <c r="Z84" s="1054" t="str">
        <f t="shared" si="12"/>
        <v>Command Perfect Glass</v>
      </c>
      <c r="AA84" s="1072" t="str">
        <f t="shared" si="13"/>
        <v>Common</v>
      </c>
    </row>
    <row r="85" spans="1:27" hidden="1" outlineLevel="1">
      <c r="A85" s="83" t="s">
        <v>840</v>
      </c>
      <c r="B85" s="67">
        <v>6</v>
      </c>
      <c r="C85" s="67">
        <f ca="1">magestuff!$R$194</f>
        <v>6</v>
      </c>
      <c r="D85" s="67">
        <f t="shared" si="9"/>
        <v>0</v>
      </c>
      <c r="E85" s="77" t="e">
        <f ca="1">IF(F85="y",HLOOKUP((IF(C85&lt;1,1,C85)),Magick!$C$20:$L$21,2),NA())</f>
        <v>#N/A</v>
      </c>
      <c r="F85" s="67" t="str">
        <f ca="1">IF(C85&lt;=Magick!$D$3,"Y","N")</f>
        <v>N</v>
      </c>
      <c r="G85" s="148" t="s">
        <v>859</v>
      </c>
      <c r="H85" s="151"/>
      <c r="I85" s="77" t="e">
        <f>IF(H85&gt;0,(HLOOKUP(C85,Magick!$C$20:$L$21,2)-HLOOKUP(H85,Magick!$C$20:$L$21,2)),NA())</f>
        <v>#N/A</v>
      </c>
      <c r="J85" s="77"/>
      <c r="K85" s="67" t="s">
        <v>2225</v>
      </c>
      <c r="L85" s="72" t="str">
        <f>IF(H85&gt;0,Magick!$AR$18-('Master Spell List'!H65*0.1),"N/A")</f>
        <v>N/A</v>
      </c>
      <c r="M85" s="72">
        <f ca="1">Magick!$H$67</f>
        <v>0.08</v>
      </c>
      <c r="N85" s="72">
        <f ca="1">Magick!$K$67</f>
        <v>0.13</v>
      </c>
      <c r="O85" s="72">
        <f ca="1">Magick!$L$67</f>
        <v>0.13</v>
      </c>
      <c r="P85" s="72">
        <f ca="1">Magick!$M$67</f>
        <v>0.13</v>
      </c>
      <c r="Q85" s="67" t="s">
        <v>2225</v>
      </c>
      <c r="R85" s="67">
        <f ca="1">IF(Q85="Ritual","N/A",IF(Q85="I.E.","N/A",IF(Q85="WOG",VLOOKUP(Magick!$I$67*100,magestuff!$B$134:$F$138,2),IF(Q85="Cantrip",VLOOKUP(Magick!$I$67*100,magestuff!$B$134:$F$138,3),IF(Q85="Hex",VLOOKUP(Magick!$I$67*100,magestuff!$B$134:$F$138,4),VLOOKUP(Magick!$I$67*100,magestuff!$B$134:$F$138,5))))))</f>
        <v>29</v>
      </c>
      <c r="S85" s="69">
        <f>10*Magick!$C$3</f>
        <v>0</v>
      </c>
      <c r="U85" s="67" t="str">
        <f t="shared" si="10"/>
        <v xml:space="preserve"> </v>
      </c>
      <c r="V85" s="515"/>
      <c r="W85" s="125"/>
      <c r="X85" s="31">
        <f t="shared" si="11"/>
        <v>0</v>
      </c>
      <c r="Y85" s="509"/>
      <c r="Z85" s="1054" t="str">
        <f t="shared" si="12"/>
        <v>Earth Mantrap</v>
      </c>
      <c r="AA85" s="1072" t="str">
        <f t="shared" si="13"/>
        <v>Common</v>
      </c>
    </row>
    <row r="86" spans="1:27" hidden="1" outlineLevel="1">
      <c r="A86" s="83" t="s">
        <v>3196</v>
      </c>
      <c r="B86" s="67">
        <v>6</v>
      </c>
      <c r="C86" s="67">
        <f ca="1">magestuff!$R$194</f>
        <v>6</v>
      </c>
      <c r="D86" s="67">
        <f t="shared" si="9"/>
        <v>0</v>
      </c>
      <c r="E86" s="77" t="e">
        <f ca="1">IF(F86="y",HLOOKUP((IF(C86&lt;1,1,C86)),Magick!$C$20:$L$21,2),NA())</f>
        <v>#N/A</v>
      </c>
      <c r="F86" s="67" t="str">
        <f ca="1">IF(C86&lt;=Magick!$D$3,"Y","N")</f>
        <v>N</v>
      </c>
      <c r="G86" s="148" t="s">
        <v>1217</v>
      </c>
      <c r="H86" s="151"/>
      <c r="I86" s="77" t="e">
        <f>IF(H86&gt;0,(HLOOKUP(C86,Magick!$C$20:$L$21,2)-HLOOKUP(H86,Magick!$C$20:$L$21,2)),NA())</f>
        <v>#N/A</v>
      </c>
      <c r="J86" s="77"/>
      <c r="K86" s="67" t="s">
        <v>3208</v>
      </c>
      <c r="L86" s="72" t="str">
        <f>IF(H86&gt;0,Magick!$AR$18-('Master Spell List'!H39*0.1),"N/A")</f>
        <v>N/A</v>
      </c>
      <c r="M86" s="72">
        <f ca="1">Magick!$H$67</f>
        <v>0.08</v>
      </c>
      <c r="N86" s="72">
        <f ca="1">Magick!$K$67</f>
        <v>0.13</v>
      </c>
      <c r="O86" s="72">
        <f ca="1">Magick!$L$67</f>
        <v>0.13</v>
      </c>
      <c r="P86" s="72">
        <f ca="1">Magick!$M$67</f>
        <v>0.13</v>
      </c>
      <c r="Q86" s="67" t="s">
        <v>3723</v>
      </c>
      <c r="R86" s="67">
        <f ca="1">IF(Q86="Ritual","N/A",IF(Q86="I.E.","N/A",IF(Q86="WOG",VLOOKUP(Magick!$I$67*100,magestuff!$B$134:$F$138,2),IF(Q86="Cantrip",VLOOKUP(Magick!$I$67*100,magestuff!$B$134:$F$138,3),IF(Q86="Hex",VLOOKUP(Magick!$I$67*100,magestuff!$B$134:$F$138,4),VLOOKUP(Magick!$I$67*100,magestuff!$B$134:$F$138,5))))))</f>
        <v>29</v>
      </c>
      <c r="S86" s="69">
        <f>5*Magick!$C$3</f>
        <v>0</v>
      </c>
      <c r="T86" s="67" t="s">
        <v>3725</v>
      </c>
      <c r="U86" s="67" t="str">
        <f t="shared" si="10"/>
        <v xml:space="preserve"> </v>
      </c>
      <c r="V86" s="515"/>
      <c r="W86" s="125"/>
      <c r="X86" s="31">
        <f t="shared" si="11"/>
        <v>0</v>
      </c>
      <c r="Y86" s="509"/>
      <c r="Z86" s="1054" t="str">
        <f t="shared" si="12"/>
        <v>Lesser Shave Enchanted Metals</v>
      </c>
      <c r="AA86" s="1072" t="str">
        <f t="shared" si="13"/>
        <v>Common</v>
      </c>
    </row>
    <row r="87" spans="1:27" hidden="1" outlineLevel="1">
      <c r="A87" s="31" t="s">
        <v>539</v>
      </c>
      <c r="B87" s="67">
        <v>6</v>
      </c>
      <c r="C87" s="67">
        <f ca="1">magestuff!$R$194</f>
        <v>6</v>
      </c>
      <c r="D87" s="67">
        <f t="shared" ref="D87:D118" si="14">IF(AND(ISNUMBER(H87),H87=0),C87,0)</f>
        <v>0</v>
      </c>
      <c r="E87" s="77" t="e">
        <f ca="1">IF(F87="y",HLOOKUP((IF(C87&lt;1,1,C87)),Magick!$C$20:$L$21,2),NA())</f>
        <v>#N/A</v>
      </c>
      <c r="F87" s="67" t="str">
        <f ca="1">IF(C87&lt;=Magick!$D$3,"Y","N")</f>
        <v>N</v>
      </c>
      <c r="G87" s="148" t="s">
        <v>128</v>
      </c>
      <c r="H87" s="151"/>
      <c r="I87" s="77" t="e">
        <f>IF(H87&gt;0,(HLOOKUP(C87,Magick!$C$20:$L$21,2)-HLOOKUP(H87,Magick!$C$20:$L$21,2)),NA())</f>
        <v>#N/A</v>
      </c>
      <c r="J87" s="77"/>
      <c r="K87" s="67">
        <v>9</v>
      </c>
      <c r="L87" s="72" t="str">
        <f>IF(H87&gt;0,Magick!$AR$18-('Master Spell List'!H80*0.1),"N/A")</f>
        <v>N/A</v>
      </c>
      <c r="M87" s="72">
        <f ca="1">Magick!$H$67</f>
        <v>0.08</v>
      </c>
      <c r="N87" s="72">
        <f ca="1">Magick!$K$67</f>
        <v>0.13</v>
      </c>
      <c r="O87" s="72">
        <f ca="1">Magick!$L$67</f>
        <v>0.13</v>
      </c>
      <c r="P87" s="72">
        <f ca="1">Magick!$M$67</f>
        <v>0.13</v>
      </c>
      <c r="Q87" s="67" t="s">
        <v>4602</v>
      </c>
      <c r="R87" s="67">
        <f ca="1">IF(Q87="Ritual","N/A",IF(Q87="I.E.","N/A",IF(Q87="WOG",VLOOKUP(Magick!$I$67*100,magestuff!$B$134:$F$138,2),IF(Q87="Cantrip",VLOOKUP(Magick!$I$67*100,magestuff!$B$134:$F$138,3),IF(Q87="Hex",VLOOKUP(Magick!$I$67*100,magestuff!$B$134:$F$138,4),VLOOKUP(Magick!$I$67*100,magestuff!$B$134:$F$138,5))))))</f>
        <v>19</v>
      </c>
      <c r="S87" s="69">
        <f>100*Magick!$C$3</f>
        <v>0</v>
      </c>
      <c r="T87" s="67" t="s">
        <v>3725</v>
      </c>
      <c r="U87" s="67" t="str">
        <f t="shared" ref="U87:U118" si="15">IF(ISBLANK(H87)," ",IF(H87&gt;0,0,C87*10))</f>
        <v xml:space="preserve"> </v>
      </c>
      <c r="V87" s="515"/>
      <c r="W87" s="125"/>
      <c r="X87" s="31">
        <f t="shared" ref="X87:X118" si="16">W87*3</f>
        <v>0</v>
      </c>
      <c r="Y87" s="509"/>
      <c r="Z87" s="1054" t="str">
        <f t="shared" si="12"/>
        <v>Shower of Stones</v>
      </c>
      <c r="AA87" s="1072" t="str">
        <f t="shared" si="13"/>
        <v>Common</v>
      </c>
    </row>
    <row r="88" spans="1:27" hidden="1" outlineLevel="1">
      <c r="A88" s="83" t="s">
        <v>2659</v>
      </c>
      <c r="B88" s="67">
        <v>6</v>
      </c>
      <c r="C88" s="67">
        <f ca="1">magestuff!$R$194</f>
        <v>6</v>
      </c>
      <c r="D88" s="67">
        <f t="shared" si="14"/>
        <v>0</v>
      </c>
      <c r="E88" s="77" t="e">
        <f ca="1">IF(F88="y",HLOOKUP((IF(C88&lt;1,1,C88)),Magick!$C$20:$L$21,2),NA())</f>
        <v>#N/A</v>
      </c>
      <c r="F88" s="67" t="str">
        <f ca="1">IF(C88&lt;=Magick!$D$3,"Y","N")</f>
        <v>N</v>
      </c>
      <c r="G88" s="148" t="s">
        <v>1616</v>
      </c>
      <c r="H88" s="151"/>
      <c r="I88" s="77" t="e">
        <f>IF(H88&gt;0,(HLOOKUP(C88,Magick!$C$20:$L$21,2)-HLOOKUP(H88,Magick!$C$20:$L$21,2)),NA())</f>
        <v>#N/A</v>
      </c>
      <c r="J88" s="77"/>
      <c r="K88" s="67" t="s">
        <v>2233</v>
      </c>
      <c r="L88" s="72" t="str">
        <f>IF(H88&gt;0,Magick!$AR$18-('Master Spell List'!H86*0.1),"N/A")</f>
        <v>N/A</v>
      </c>
      <c r="M88" s="72">
        <f ca="1">Magick!$H$67</f>
        <v>0.08</v>
      </c>
      <c r="N88" s="72">
        <f ca="1">Magick!$K$67</f>
        <v>0.13</v>
      </c>
      <c r="O88" s="72">
        <f ca="1">Magick!$L$67</f>
        <v>0.13</v>
      </c>
      <c r="P88" s="72">
        <f ca="1">Magick!$M$67</f>
        <v>0.13</v>
      </c>
      <c r="Q88" s="67" t="s">
        <v>3723</v>
      </c>
      <c r="R88" s="67">
        <f ca="1">IF(Q88="Ritual","N/A",IF(Q88="I.E.","N/A",IF(Q88="WOG",VLOOKUP(Magick!$I$67*100,magestuff!$B$134:$F$138,2),IF(Q88="Cantrip",VLOOKUP(Magick!$I$67*100,magestuff!$B$134:$F$138,3),IF(Q88="Hex",VLOOKUP(Magick!$I$67*100,magestuff!$B$134:$F$138,4),VLOOKUP(Magick!$I$67*100,magestuff!$B$134:$F$138,5))))))</f>
        <v>29</v>
      </c>
      <c r="S88" s="69"/>
      <c r="U88" s="67" t="str">
        <f t="shared" si="15"/>
        <v xml:space="preserve"> </v>
      </c>
      <c r="V88" s="515"/>
      <c r="W88" s="125"/>
      <c r="X88" s="31">
        <f t="shared" si="16"/>
        <v>0</v>
      </c>
      <c r="Y88" s="509"/>
      <c r="Z88" s="1054" t="str">
        <f t="shared" si="12"/>
        <v>Walk through Dense Rock</v>
      </c>
      <c r="AA88" s="1072" t="str">
        <f t="shared" si="13"/>
        <v>Common</v>
      </c>
    </row>
    <row r="89" spans="1:27" hidden="1" outlineLevel="1">
      <c r="A89" s="83" t="s">
        <v>6090</v>
      </c>
      <c r="B89" s="67">
        <v>6</v>
      </c>
      <c r="C89" s="67">
        <f ca="1">magestuff!$R$194</f>
        <v>6</v>
      </c>
      <c r="D89" s="67">
        <f t="shared" si="14"/>
        <v>0</v>
      </c>
      <c r="E89" s="77" t="e">
        <f ca="1">IF(F89="y",HLOOKUP((IF(C89&lt;1,1,C89)),Magick!$C$20:$L$21,2),NA())</f>
        <v>#N/A</v>
      </c>
      <c r="F89" s="67" t="str">
        <f ca="1">IF(C89&lt;=Magick!$D$3,"Y","N")</f>
        <v>N</v>
      </c>
      <c r="G89" s="148" t="s">
        <v>6052</v>
      </c>
      <c r="H89" s="151"/>
      <c r="I89" s="77" t="e">
        <f>IF(H89&gt;0,(HLOOKUP(C89,Magick!$C$20:$L$21,2)-HLOOKUP(H89,Magick!$C$20:$L$21,2)),NA())</f>
        <v>#N/A</v>
      </c>
      <c r="J89" s="77"/>
      <c r="K89" s="67" t="s">
        <v>3215</v>
      </c>
      <c r="L89" s="72" t="str">
        <f>IF(H89&gt;0,Magick!$AR$18-('Master Spell List'!H60*0.1),"N/A")</f>
        <v>N/A</v>
      </c>
      <c r="M89" s="72">
        <f ca="1">Magick!$H$67</f>
        <v>0.08</v>
      </c>
      <c r="N89" s="72">
        <f ca="1">Magick!$K$67</f>
        <v>0.13</v>
      </c>
      <c r="O89" s="72">
        <f ca="1">Magick!$L$67</f>
        <v>0.13</v>
      </c>
      <c r="P89" s="72">
        <f ca="1">Magick!$M$67</f>
        <v>0.13</v>
      </c>
      <c r="Q89" s="67" t="s">
        <v>113</v>
      </c>
      <c r="R89" s="67" t="str">
        <f>IF(Q89="Ritual","N/A",IF(Q89="I.E.","N/A",IF(Q89="WOG",VLOOKUP(Magick!$I$67*100,magestuff!$B$134:$F$138,2),IF(Q89="Cantrip",VLOOKUP(Magick!$I$67*100,magestuff!$B$134:$F$138,3),IF(Q89="Hex",VLOOKUP(Magick!$I$67*100,magestuff!$B$134:$F$138,4),VLOOKUP(Magick!$I$67*100,magestuff!$B$134:$F$138,5))))))</f>
        <v>N/A</v>
      </c>
      <c r="S89" s="69">
        <f>5*Magick!$C$3</f>
        <v>0</v>
      </c>
      <c r="T89" s="67" t="s">
        <v>3725</v>
      </c>
      <c r="U89" s="67" t="str">
        <f t="shared" si="15"/>
        <v xml:space="preserve"> </v>
      </c>
      <c r="V89" s="515"/>
      <c r="W89" s="125"/>
      <c r="X89" s="31">
        <f t="shared" si="16"/>
        <v>0</v>
      </c>
      <c r="Y89" s="509"/>
      <c r="Z89" s="1054" t="str">
        <f t="shared" si="12"/>
        <v>Lesser Divide</v>
      </c>
      <c r="AA89" s="1072" t="str">
        <f t="shared" si="13"/>
        <v>Common</v>
      </c>
    </row>
    <row r="90" spans="1:27" hidden="1" outlineLevel="1">
      <c r="A90" s="83" t="s">
        <v>6108</v>
      </c>
      <c r="B90" s="67">
        <v>6</v>
      </c>
      <c r="C90" s="67">
        <f ca="1">magestuff!$R$194</f>
        <v>6</v>
      </c>
      <c r="D90" s="67">
        <f t="shared" si="14"/>
        <v>0</v>
      </c>
      <c r="E90" s="77" t="e">
        <f ca="1">IF(F90="y",HLOOKUP((IF(C90&lt;1,1,C90)),Magick!$C$20:$L$21,2),NA())</f>
        <v>#N/A</v>
      </c>
      <c r="F90" s="67" t="str">
        <f ca="1">IF(C90&lt;=Magick!$D$3,"Y","N")</f>
        <v>N</v>
      </c>
      <c r="G90" s="148" t="s">
        <v>6052</v>
      </c>
      <c r="H90" s="151"/>
      <c r="I90" s="77" t="e">
        <f>IF(H90&gt;0,(HLOOKUP(C90,Magick!$C$20:$L$21,2)-HLOOKUP(H90,Magick!$C$20:$L$21,2)),NA())</f>
        <v>#N/A</v>
      </c>
      <c r="J90" s="77"/>
      <c r="K90" s="67" t="s">
        <v>3215</v>
      </c>
      <c r="L90" s="72" t="str">
        <f>IF(H90&gt;0,Magick!$AR$18-('Master Spell List'!H77*0.1),"N/A")</f>
        <v>N/A</v>
      </c>
      <c r="M90" s="72">
        <f ca="1">Magick!$H$67</f>
        <v>0.08</v>
      </c>
      <c r="N90" s="72">
        <f ca="1">Magick!$K$67</f>
        <v>0.13</v>
      </c>
      <c r="O90" s="72">
        <f ca="1">Magick!$L$67</f>
        <v>0.13</v>
      </c>
      <c r="P90" s="72">
        <f ca="1">Magick!$M$67</f>
        <v>0.13</v>
      </c>
      <c r="Q90" s="67" t="s">
        <v>113</v>
      </c>
      <c r="R90" s="67" t="str">
        <f>IF(Q90="Ritual","N/A",IF(Q90="I.E.","N/A",IF(Q90="WOG",VLOOKUP(Magick!$I$67*100,magestuff!$B$134:$F$138,2),IF(Q90="Cantrip",VLOOKUP(Magick!$I$67*100,magestuff!$B$134:$F$138,3),IF(Q90="Hex",VLOOKUP(Magick!$I$67*100,magestuff!$B$134:$F$138,4),VLOOKUP(Magick!$I$67*100,magestuff!$B$134:$F$138,5))))))</f>
        <v>N/A</v>
      </c>
      <c r="S90" s="69">
        <f>5*Magick!$C$3</f>
        <v>0</v>
      </c>
      <c r="T90" s="67" t="s">
        <v>3725</v>
      </c>
      <c r="U90" s="67" t="str">
        <f t="shared" si="15"/>
        <v xml:space="preserve"> </v>
      </c>
      <c r="V90" s="515"/>
      <c r="W90" s="125"/>
      <c r="X90" s="31">
        <f t="shared" si="16"/>
        <v>0</v>
      </c>
      <c r="Y90" s="509"/>
      <c r="Z90" s="1054" t="str">
        <f t="shared" si="12"/>
        <v>Refine Clay</v>
      </c>
      <c r="AA90" s="1072" t="str">
        <f t="shared" si="13"/>
        <v>Common</v>
      </c>
    </row>
    <row r="91" spans="1:27" hidden="1" outlineLevel="1">
      <c r="A91" s="83" t="s">
        <v>2379</v>
      </c>
      <c r="B91" s="67">
        <v>7</v>
      </c>
      <c r="C91" s="67">
        <f ca="1">magestuff!$U$194</f>
        <v>7</v>
      </c>
      <c r="D91" s="67">
        <f t="shared" si="14"/>
        <v>0</v>
      </c>
      <c r="E91" s="77" t="e">
        <f ca="1">IF(F91="y",HLOOKUP((IF(C91&lt;1,1,C91)),Magick!$C$20:$L$21,2),NA())</f>
        <v>#N/A</v>
      </c>
      <c r="F91" s="67" t="str">
        <f ca="1">IF(C91&lt;=Magick!$D$3,"Y","N")</f>
        <v>N</v>
      </c>
      <c r="G91" s="148" t="s">
        <v>1614</v>
      </c>
      <c r="H91" s="151"/>
      <c r="I91" s="77" t="e">
        <f>IF(H91&gt;0,(HLOOKUP(C91,Magick!$C$20:$L$21,2)-HLOOKUP(H91,Magick!$C$20:$L$21,2)),NA())</f>
        <v>#N/A</v>
      </c>
      <c r="J91" s="77"/>
      <c r="K91" s="67">
        <v>11</v>
      </c>
      <c r="L91" s="72" t="str">
        <f>IF(H91&gt;0,Magick!$AR$18-('Master Spell List'!H66*0.1),"N/A")</f>
        <v>N/A</v>
      </c>
      <c r="M91" s="72">
        <f ca="1">Magick!$H$67</f>
        <v>0.08</v>
      </c>
      <c r="N91" s="72">
        <f ca="1">Magick!$K$67</f>
        <v>0.13</v>
      </c>
      <c r="O91" s="72">
        <f ca="1">Magick!$L$67</f>
        <v>0.13</v>
      </c>
      <c r="P91" s="72">
        <f ca="1">Magick!$M$67</f>
        <v>0.13</v>
      </c>
      <c r="Q91" s="67" t="s">
        <v>4602</v>
      </c>
      <c r="R91" s="67">
        <f ca="1">IF(Q91="Ritual","N/A",IF(Q91="I.E.","N/A",IF(Q91="WOG",VLOOKUP(Magick!$I$67*100,magestuff!$B$134:$F$138,2),IF(Q91="Cantrip",VLOOKUP(Magick!$I$67*100,magestuff!$B$134:$F$138,3),IF(Q91="Hex",VLOOKUP(Magick!$I$67*100,magestuff!$B$134:$F$138,4),VLOOKUP(Magick!$I$67*100,magestuff!$B$134:$F$138,5))))))</f>
        <v>19</v>
      </c>
      <c r="S91" s="69" t="s">
        <v>1984</v>
      </c>
      <c r="T91" s="294" t="str">
        <f>CONCATENATE(IF(Magick!$C$3&gt;0,Magick!$C$3*5," ")," min.")</f>
        <v xml:space="preserve">  min.</v>
      </c>
      <c r="U91" s="67" t="str">
        <f t="shared" si="15"/>
        <v xml:space="preserve"> </v>
      </c>
      <c r="V91" s="515"/>
      <c r="W91" s="125"/>
      <c r="X91" s="31">
        <f t="shared" si="16"/>
        <v>0</v>
      </c>
      <c r="Y91" s="509"/>
      <c r="Z91" s="1054" t="str">
        <f t="shared" si="12"/>
        <v>Earth Meld</v>
      </c>
      <c r="AA91" s="1072" t="str">
        <f t="shared" si="13"/>
        <v>Common</v>
      </c>
    </row>
    <row r="92" spans="1:27" s="1046" customFormat="1" hidden="1" outlineLevel="1">
      <c r="A92" s="83" t="s">
        <v>3197</v>
      </c>
      <c r="B92" s="67">
        <v>7</v>
      </c>
      <c r="C92" s="67">
        <f ca="1">magestuff!$U$194</f>
        <v>7</v>
      </c>
      <c r="D92" s="67">
        <f t="shared" si="14"/>
        <v>0</v>
      </c>
      <c r="E92" s="77" t="e">
        <f ca="1">IF(F92="y",HLOOKUP((IF(C92&lt;1,1,C92)),Magick!$C$20:$L$21,2),NA())</f>
        <v>#N/A</v>
      </c>
      <c r="F92" s="67" t="str">
        <f ca="1">IF(C92&lt;=Magick!$D$3,"Y","N")</f>
        <v>N</v>
      </c>
      <c r="G92" s="148" t="s">
        <v>1217</v>
      </c>
      <c r="H92" s="151"/>
      <c r="I92" s="77" t="e">
        <f>IF(H92&gt;0,(HLOOKUP(C92,Magick!$C$20:$L$21,2)-HLOOKUP(H92,Magick!$C$20:$L$21,2)),NA())</f>
        <v>#N/A</v>
      </c>
      <c r="J92" s="77"/>
      <c r="K92" s="67" t="s">
        <v>3209</v>
      </c>
      <c r="L92" s="72" t="str">
        <f>IF(H92&gt;0,Magick!$AR$18-('Master Spell List'!H40*0.1),"N/A")</f>
        <v>N/A</v>
      </c>
      <c r="M92" s="72">
        <f ca="1">Magick!$H$67</f>
        <v>0.08</v>
      </c>
      <c r="N92" s="72">
        <f ca="1">Magick!$K$67</f>
        <v>0.13</v>
      </c>
      <c r="O92" s="72">
        <f ca="1">Magick!$L$67</f>
        <v>0.13</v>
      </c>
      <c r="P92" s="72">
        <f ca="1">Magick!$M$67</f>
        <v>0.13</v>
      </c>
      <c r="Q92" s="67" t="s">
        <v>113</v>
      </c>
      <c r="R92" s="67" t="str">
        <f>IF(Q92="Ritual","N/A",IF(Q92="I.E.","N/A",IF(Q92="WOG",VLOOKUP(Magick!$I$67*100,magestuff!$B$134:$F$138,2),IF(Q92="Cantrip",VLOOKUP(Magick!$I$67*100,magestuff!$B$134:$F$138,3),IF(Q92="Hex",VLOOKUP(Magick!$I$67*100,magestuff!$B$134:$F$138,4),VLOOKUP(Magick!$I$67*100,magestuff!$B$134:$F$138,5))))))</f>
        <v>N/A</v>
      </c>
      <c r="S92" s="69">
        <f>10*Magick!$C$3</f>
        <v>0</v>
      </c>
      <c r="T92" s="67" t="s">
        <v>3725</v>
      </c>
      <c r="U92" s="67" t="str">
        <f t="shared" si="15"/>
        <v xml:space="preserve"> </v>
      </c>
      <c r="V92" s="515"/>
      <c r="W92" s="125"/>
      <c r="X92" s="31">
        <f t="shared" si="16"/>
        <v>0</v>
      </c>
      <c r="Y92" s="1045"/>
      <c r="Z92" s="1054" t="str">
        <f t="shared" si="12"/>
        <v>Great Shave Enchanted Metals</v>
      </c>
      <c r="AA92" s="1072" t="str">
        <f t="shared" si="13"/>
        <v>Common</v>
      </c>
    </row>
    <row r="93" spans="1:27" s="1046" customFormat="1" hidden="1" outlineLevel="1">
      <c r="A93" s="83" t="s">
        <v>3077</v>
      </c>
      <c r="B93" s="67">
        <v>7</v>
      </c>
      <c r="C93" s="67">
        <f ca="1">magestuff!$U$194</f>
        <v>7</v>
      </c>
      <c r="D93" s="67">
        <f t="shared" si="14"/>
        <v>0</v>
      </c>
      <c r="E93" s="77" t="e">
        <f ca="1">IF(F93="y",HLOOKUP((IF(C93&lt;1,1,C93)),Magick!$C$20:$L$21,2),NA())</f>
        <v>#N/A</v>
      </c>
      <c r="F93" s="67" t="str">
        <f ca="1">IF(C93&lt;=Magick!$D$3,"Y","N")</f>
        <v>N</v>
      </c>
      <c r="G93" s="148" t="s">
        <v>859</v>
      </c>
      <c r="H93" s="151"/>
      <c r="I93" s="77" t="e">
        <f>IF(H93&gt;0,(HLOOKUP(C93,Magick!$C$20:$L$21,2)-HLOOKUP(H93,Magick!$C$20:$L$21,2)),NA())</f>
        <v>#N/A</v>
      </c>
      <c r="J93" s="77"/>
      <c r="K93" s="67">
        <v>4</v>
      </c>
      <c r="L93" s="72" t="str">
        <f>IF(H93&gt;0,Magick!$AR$18-('Master Spell List'!H61*0.1),"N/A")</f>
        <v>N/A</v>
      </c>
      <c r="M93" s="72">
        <f ca="1">Magick!$H$67</f>
        <v>0.08</v>
      </c>
      <c r="N93" s="72">
        <f ca="1">Magick!$K$67</f>
        <v>0.13</v>
      </c>
      <c r="O93" s="72">
        <f ca="1">Magick!$L$67</f>
        <v>0.13</v>
      </c>
      <c r="P93" s="72">
        <f ca="1">Magick!$M$67</f>
        <v>0.13</v>
      </c>
      <c r="Q93" s="67" t="s">
        <v>3723</v>
      </c>
      <c r="R93" s="67">
        <f ca="1">IF(Q93="Ritual","N/A",IF(Q93="I.E.","N/A",IF(Q93="WOG",VLOOKUP(Magick!$I$67*100,magestuff!$B$134:$F$138,2),IF(Q93="Cantrip",VLOOKUP(Magick!$I$67*100,magestuff!$B$134:$F$138,3),IF(Q93="Hex",VLOOKUP(Magick!$I$67*100,magestuff!$B$134:$F$138,4),VLOOKUP(Magick!$I$67*100,magestuff!$B$134:$F$138,5))))))</f>
        <v>29</v>
      </c>
      <c r="S93" s="69">
        <f>10*Magick!$C$3</f>
        <v>0</v>
      </c>
      <c r="T93" s="67"/>
      <c r="U93" s="67" t="str">
        <f t="shared" si="15"/>
        <v xml:space="preserve"> </v>
      </c>
      <c r="V93" s="515"/>
      <c r="W93" s="125"/>
      <c r="X93" s="31">
        <f t="shared" si="16"/>
        <v>0</v>
      </c>
      <c r="Y93" s="1045"/>
      <c r="Z93" s="1054" t="str">
        <f t="shared" si="12"/>
        <v>Greatest Earth's Cell</v>
      </c>
      <c r="AA93" s="1072" t="str">
        <f t="shared" si="13"/>
        <v>Common</v>
      </c>
    </row>
    <row r="94" spans="1:27" s="1046" customFormat="1" hidden="1" outlineLevel="1">
      <c r="A94" s="83" t="s">
        <v>1314</v>
      </c>
      <c r="B94" s="67">
        <v>7</v>
      </c>
      <c r="C94" s="67">
        <f ca="1">magestuff!$U$194</f>
        <v>7</v>
      </c>
      <c r="D94" s="67">
        <f t="shared" si="14"/>
        <v>0</v>
      </c>
      <c r="E94" s="77" t="e">
        <f ca="1">IF(F94="y",HLOOKUP((IF(C94&lt;1,1,C94)),Magick!$C$20:$L$21,2),NA())</f>
        <v>#N/A</v>
      </c>
      <c r="F94" s="67" t="str">
        <f ca="1">IF(C94&lt;=Magick!$D$3,"Y","N")</f>
        <v>N</v>
      </c>
      <c r="G94" s="148" t="s">
        <v>859</v>
      </c>
      <c r="H94" s="151"/>
      <c r="I94" s="77" t="e">
        <f>IF(H94&gt;0,(HLOOKUP(C94,Magick!$C$20:$L$21,2)-HLOOKUP(H94,Magick!$C$20:$L$21,2)),NA())</f>
        <v>#N/A</v>
      </c>
      <c r="J94" s="77"/>
      <c r="K94" s="67">
        <v>14</v>
      </c>
      <c r="L94" s="72" t="str">
        <f>IF(H94&gt;0,Magick!$AR$18-('Master Spell List'!H61*0.1),"N/A")</f>
        <v>N/A</v>
      </c>
      <c r="M94" s="72">
        <f ca="1">Magick!$H$67</f>
        <v>0.08</v>
      </c>
      <c r="N94" s="72">
        <f ca="1">Magick!$K$67</f>
        <v>0.13</v>
      </c>
      <c r="O94" s="72">
        <f ca="1">Magick!$L$67</f>
        <v>0.13</v>
      </c>
      <c r="P94" s="72">
        <f ca="1">Magick!$M$67</f>
        <v>0.13</v>
      </c>
      <c r="Q94" s="67" t="s">
        <v>4602</v>
      </c>
      <c r="R94" s="67">
        <f ca="1">IF(Q94="Ritual","N/A",IF(Q94="I.E.","N/A",IF(Q94="WOG",VLOOKUP(Magick!$I$67*100,magestuff!$B$134:$F$138,2),IF(Q94="Cantrip",VLOOKUP(Magick!$I$67*100,magestuff!$B$134:$F$138,3),IF(Q94="Hex",VLOOKUP(Magick!$I$67*100,magestuff!$B$134:$F$138,4),VLOOKUP(Magick!$I$67*100,magestuff!$B$134:$F$138,5))))))</f>
        <v>19</v>
      </c>
      <c r="S94" s="67" t="str">
        <f>CONCATENATE(IF(Magick!$C$3&gt;0,Magick!$C$3," ")," ft.")</f>
        <v xml:space="preserve">  ft.</v>
      </c>
      <c r="T94" s="67" t="s">
        <v>3256</v>
      </c>
      <c r="U94" s="67" t="str">
        <f t="shared" si="15"/>
        <v xml:space="preserve"> </v>
      </c>
      <c r="V94" s="515"/>
      <c r="W94" s="125"/>
      <c r="X94" s="31">
        <f t="shared" si="16"/>
        <v>0</v>
      </c>
      <c r="Y94" s="1045"/>
      <c r="Z94" s="1054" t="str">
        <f t="shared" si="12"/>
        <v>Least Jeweller’s Tumbler - Coarse</v>
      </c>
      <c r="AA94" s="1072" t="str">
        <f t="shared" si="13"/>
        <v>Common</v>
      </c>
    </row>
    <row r="95" spans="1:27" s="1046" customFormat="1" hidden="1" outlineLevel="1">
      <c r="A95" s="83" t="s">
        <v>3202</v>
      </c>
      <c r="B95" s="67">
        <v>7</v>
      </c>
      <c r="C95" s="67">
        <f ca="1">magestuff!$U$194</f>
        <v>7</v>
      </c>
      <c r="D95" s="67">
        <f t="shared" si="14"/>
        <v>0</v>
      </c>
      <c r="E95" s="77" t="e">
        <f ca="1">IF(F95="y",HLOOKUP((IF(C95&lt;1,1,C95)),Magick!$C$20:$L$21,2),NA())</f>
        <v>#N/A</v>
      </c>
      <c r="F95" s="67" t="str">
        <f ca="1">IF(C95&lt;=Magick!$D$3,"Y","N")</f>
        <v>N</v>
      </c>
      <c r="G95" s="148" t="s">
        <v>1217</v>
      </c>
      <c r="H95" s="151"/>
      <c r="I95" s="77" t="e">
        <f>IF(H95&gt;0,(HLOOKUP(C95,Magick!$C$20:$L$21,2)-HLOOKUP(H95,Magick!$C$20:$L$21,2)),NA())</f>
        <v>#N/A</v>
      </c>
      <c r="J95" s="77"/>
      <c r="K95" s="67" t="s">
        <v>3214</v>
      </c>
      <c r="L95" s="72" t="str">
        <f>IF(H95&gt;0,Magick!$AR$18-('Master Spell List'!H54*0.1),"N/A")</f>
        <v>N/A</v>
      </c>
      <c r="M95" s="72">
        <f ca="1">Magick!$H$67</f>
        <v>0.08</v>
      </c>
      <c r="N95" s="72">
        <f ca="1">Magick!$K$67</f>
        <v>0.13</v>
      </c>
      <c r="O95" s="72">
        <f ca="1">Magick!$L$67</f>
        <v>0.13</v>
      </c>
      <c r="P95" s="72">
        <f ca="1">Magick!$M$67</f>
        <v>0.13</v>
      </c>
      <c r="Q95" s="67" t="s">
        <v>113</v>
      </c>
      <c r="R95" s="67" t="str">
        <f>IF(Q95="Ritual","N/A",IF(Q95="I.E.","N/A",IF(Q95="WOG",VLOOKUP(Magick!$I$67*100,magestuff!$B$134:$F$138,2),IF(Q95="Cantrip",VLOOKUP(Magick!$I$67*100,magestuff!$B$134:$F$138,3),IF(Q95="Hex",VLOOKUP(Magick!$I$67*100,magestuff!$B$134:$F$138,4),VLOOKUP(Magick!$I$67*100,magestuff!$B$134:$F$138,5))))))</f>
        <v>N/A</v>
      </c>
      <c r="S95" s="69">
        <f>5*Magick!$C$3</f>
        <v>0</v>
      </c>
      <c r="T95" s="67" t="s">
        <v>3725</v>
      </c>
      <c r="U95" s="67" t="str">
        <f t="shared" si="15"/>
        <v xml:space="preserve"> </v>
      </c>
      <c r="V95" s="515"/>
      <c r="W95" s="125"/>
      <c r="X95" s="31">
        <f t="shared" si="16"/>
        <v>0</v>
      </c>
      <c r="Y95" s="1045"/>
      <c r="Z95" s="1054" t="str">
        <f t="shared" si="12"/>
        <v>Lesser Powder Enchanted Metals</v>
      </c>
      <c r="AA95" s="1072" t="str">
        <f t="shared" si="13"/>
        <v>Common</v>
      </c>
    </row>
    <row r="96" spans="1:27" s="1046" customFormat="1" hidden="1" outlineLevel="1">
      <c r="A96" s="83" t="s">
        <v>6115</v>
      </c>
      <c r="B96" s="67">
        <v>7</v>
      </c>
      <c r="C96" s="67">
        <f ca="1">magestuff!$U$194</f>
        <v>7</v>
      </c>
      <c r="D96" s="67">
        <f t="shared" si="14"/>
        <v>0</v>
      </c>
      <c r="E96" s="77" t="e">
        <f ca="1">IF(F96="y",HLOOKUP((IF(C96&lt;1,1,C96)),Magick!$C$20:$L$21,2),NA())</f>
        <v>#N/A</v>
      </c>
      <c r="F96" s="67" t="str">
        <f ca="1">IF(C96&lt;=Magick!$D$3,"Y","N")</f>
        <v>N</v>
      </c>
      <c r="G96" s="148" t="s">
        <v>6052</v>
      </c>
      <c r="H96" s="151"/>
      <c r="I96" s="77" t="e">
        <f>IF(H96&gt;0,(HLOOKUP(C96,Magick!$C$20:$L$21,2)-HLOOKUP(H96,Magick!$C$20:$L$21,2)),NA())</f>
        <v>#N/A</v>
      </c>
      <c r="J96" s="77"/>
      <c r="K96" s="67" t="s">
        <v>3215</v>
      </c>
      <c r="L96" s="72" t="str">
        <f>IF(H96&gt;0,Magick!$AR$18-('Master Spell List'!H80*0.1),"N/A")</f>
        <v>N/A</v>
      </c>
      <c r="M96" s="72">
        <f ca="1">Magick!$H$67</f>
        <v>0.08</v>
      </c>
      <c r="N96" s="72">
        <f ca="1">Magick!$K$67</f>
        <v>0.13</v>
      </c>
      <c r="O96" s="72">
        <f ca="1">Magick!$L$67</f>
        <v>0.13</v>
      </c>
      <c r="P96" s="72">
        <f ca="1">Magick!$M$67</f>
        <v>0.13</v>
      </c>
      <c r="Q96" s="67" t="s">
        <v>113</v>
      </c>
      <c r="R96" s="67" t="str">
        <f>IF(Q96="Ritual","N/A",IF(Q96="I.E.","N/A",IF(Q96="WOG",VLOOKUP(Magick!$I$67*100,magestuff!$B$134:$F$138,2),IF(Q96="Cantrip",VLOOKUP(Magick!$I$67*100,magestuff!$B$134:$F$138,3),IF(Q96="Hex",VLOOKUP(Magick!$I$67*100,magestuff!$B$134:$F$138,4),VLOOKUP(Magick!$I$67*100,magestuff!$B$134:$F$138,5))))))</f>
        <v>N/A</v>
      </c>
      <c r="S96" s="69">
        <f>5*Magick!$C$3</f>
        <v>0</v>
      </c>
      <c r="T96" s="67" t="s">
        <v>3725</v>
      </c>
      <c r="U96" s="67" t="str">
        <f t="shared" si="15"/>
        <v xml:space="preserve"> </v>
      </c>
      <c r="V96" s="515"/>
      <c r="W96" s="125"/>
      <c r="X96" s="31">
        <f t="shared" si="16"/>
        <v>0</v>
      </c>
      <c r="Y96" s="1045"/>
      <c r="Z96" s="1054" t="str">
        <f t="shared" si="12"/>
        <v>Create Stained Glass</v>
      </c>
      <c r="AA96" s="1072" t="str">
        <f t="shared" si="13"/>
        <v>Common</v>
      </c>
    </row>
    <row r="97" spans="1:27" s="1046" customFormat="1" hidden="1" outlineLevel="1">
      <c r="A97" s="83" t="s">
        <v>6116</v>
      </c>
      <c r="B97" s="67">
        <v>7</v>
      </c>
      <c r="C97" s="67">
        <f ca="1">magestuff!$U$194</f>
        <v>7</v>
      </c>
      <c r="D97" s="67">
        <f t="shared" si="14"/>
        <v>0</v>
      </c>
      <c r="E97" s="77" t="e">
        <f ca="1">IF(F97="y",HLOOKUP((IF(C97&lt;1,1,C97)),Magick!$C$20:$L$21,2),NA())</f>
        <v>#N/A</v>
      </c>
      <c r="F97" s="67" t="str">
        <f ca="1">IF(C97&lt;=Magick!$D$3,"Y","N")</f>
        <v>N</v>
      </c>
      <c r="G97" s="148" t="s">
        <v>6052</v>
      </c>
      <c r="H97" s="151"/>
      <c r="I97" s="77" t="e">
        <f>IF(H97&gt;0,(HLOOKUP(C97,Magick!$C$20:$L$21,2)-HLOOKUP(H97,Magick!$C$20:$L$21,2)),NA())</f>
        <v>#N/A</v>
      </c>
      <c r="J97" s="77"/>
      <c r="K97" s="67" t="s">
        <v>3215</v>
      </c>
      <c r="L97" s="72" t="str">
        <f>IF(H97&gt;0,Magick!$AR$18-('Master Spell List'!H80*0.1),"N/A")</f>
        <v>N/A</v>
      </c>
      <c r="M97" s="72">
        <f ca="1">Magick!$H$67</f>
        <v>0.08</v>
      </c>
      <c r="N97" s="72">
        <f ca="1">Magick!$K$67</f>
        <v>0.13</v>
      </c>
      <c r="O97" s="72">
        <f ca="1">Magick!$L$67</f>
        <v>0.13</v>
      </c>
      <c r="P97" s="72">
        <f ca="1">Magick!$M$67</f>
        <v>0.13</v>
      </c>
      <c r="Q97" s="67" t="s">
        <v>113</v>
      </c>
      <c r="R97" s="67" t="str">
        <f>IF(Q97="Ritual","N/A",IF(Q97="I.E.","N/A",IF(Q97="WOG",VLOOKUP(Magick!$I$67*100,magestuff!$B$134:$F$138,2),IF(Q97="Cantrip",VLOOKUP(Magick!$I$67*100,magestuff!$B$134:$F$138,3),IF(Q97="Hex",VLOOKUP(Magick!$I$67*100,magestuff!$B$134:$F$138,4),VLOOKUP(Magick!$I$67*100,magestuff!$B$134:$F$138,5))))))</f>
        <v>N/A</v>
      </c>
      <c r="S97" s="69">
        <f>5*Magick!$C$3</f>
        <v>0</v>
      </c>
      <c r="T97" s="67" t="s">
        <v>3725</v>
      </c>
      <c r="U97" s="67" t="str">
        <f t="shared" si="15"/>
        <v xml:space="preserve"> </v>
      </c>
      <c r="V97" s="515"/>
      <c r="W97" s="125"/>
      <c r="X97" s="31">
        <f t="shared" si="16"/>
        <v>0</v>
      </c>
      <c r="Y97" s="1045"/>
      <c r="Z97" s="1054" t="str">
        <f t="shared" si="12"/>
        <v>Command Stained Glass</v>
      </c>
      <c r="AA97" s="1072" t="str">
        <f t="shared" si="13"/>
        <v>Common</v>
      </c>
    </row>
    <row r="98" spans="1:27" s="1046" customFormat="1" hidden="1" outlineLevel="1">
      <c r="A98" s="83" t="s">
        <v>2380</v>
      </c>
      <c r="B98" s="67">
        <v>8</v>
      </c>
      <c r="C98" s="67">
        <f ca="1">magestuff!$X$194</f>
        <v>8</v>
      </c>
      <c r="D98" s="67">
        <f t="shared" si="14"/>
        <v>0</v>
      </c>
      <c r="E98" s="77" t="e">
        <f ca="1">IF(F98="y",HLOOKUP((IF(C98&lt;1,1,C98)),Magick!$C$20:$L$21,2),NA())</f>
        <v>#N/A</v>
      </c>
      <c r="F98" s="67" t="str">
        <f ca="1">IF(C98&lt;=Magick!$D$3,"Y","N")</f>
        <v>N</v>
      </c>
      <c r="G98" s="148" t="s">
        <v>1614</v>
      </c>
      <c r="H98" s="151"/>
      <c r="I98" s="77" t="e">
        <f>IF(H98&gt;0,(HLOOKUP(C98,Magick!$C$20:$L$21,2)-HLOOKUP(H98,Magick!$C$20:$L$21,2)),NA())</f>
        <v>#N/A</v>
      </c>
      <c r="J98" s="77"/>
      <c r="K98" s="67">
        <v>12</v>
      </c>
      <c r="L98" s="72" t="str">
        <f>IF(H98&gt;0,Magick!$AR$18-('Master Spell List'!H79*0.1),"N/A")</f>
        <v>N/A</v>
      </c>
      <c r="M98" s="72">
        <f ca="1">Magick!$H$67</f>
        <v>0.08</v>
      </c>
      <c r="N98" s="72">
        <f ca="1">Magick!$K$67</f>
        <v>0.13</v>
      </c>
      <c r="O98" s="72">
        <f ca="1">Magick!$L$67</f>
        <v>0.13</v>
      </c>
      <c r="P98" s="72">
        <f ca="1">Magick!$M$67</f>
        <v>0.13</v>
      </c>
      <c r="Q98" s="67" t="s">
        <v>4602</v>
      </c>
      <c r="R98" s="67">
        <f ca="1">IF(Q98="Ritual","N/A",IF(Q98="I.E.","N/A",IF(Q98="WOG",VLOOKUP(Magick!$I$67*100,magestuff!$B$134:$F$138,2),IF(Q98="Cantrip",VLOOKUP(Magick!$I$67*100,magestuff!$B$134:$F$138,3),IF(Q98="Hex",VLOOKUP(Magick!$I$67*100,magestuff!$B$134:$F$138,4),VLOOKUP(Magick!$I$67*100,magestuff!$B$134:$F$138,5))))))</f>
        <v>19</v>
      </c>
      <c r="S98" s="294" t="str">
        <f>CONCATENATE(IF(Magick!$C$3&gt;0,Magick!$C$3*5," ")," ft.")</f>
        <v xml:space="preserve">  ft.</v>
      </c>
      <c r="T98" s="294" t="s">
        <v>2381</v>
      </c>
      <c r="U98" s="67" t="str">
        <f t="shared" si="15"/>
        <v xml:space="preserve"> </v>
      </c>
      <c r="V98" s="515"/>
      <c r="W98" s="125"/>
      <c r="X98" s="31">
        <f t="shared" si="16"/>
        <v>0</v>
      </c>
      <c r="Y98" s="1045"/>
      <c r="Z98" s="1054" t="str">
        <f t="shared" si="12"/>
        <v>Child of Durin</v>
      </c>
      <c r="AA98" s="1072" t="str">
        <f t="shared" si="13"/>
        <v>Common</v>
      </c>
    </row>
    <row r="99" spans="1:27" s="1046" customFormat="1" hidden="1" outlineLevel="1">
      <c r="A99" s="83" t="s">
        <v>1315</v>
      </c>
      <c r="B99" s="67">
        <v>8</v>
      </c>
      <c r="C99" s="67">
        <f ca="1">magestuff!$X$194</f>
        <v>8</v>
      </c>
      <c r="D99" s="67">
        <f t="shared" si="14"/>
        <v>0</v>
      </c>
      <c r="E99" s="77" t="e">
        <f ca="1">IF(F99="y",HLOOKUP((IF(C99&lt;1,1,C99)),Magick!$C$20:$L$21,2),NA())</f>
        <v>#N/A</v>
      </c>
      <c r="F99" s="67" t="str">
        <f ca="1">IF(C99&lt;=Magick!$D$3,"Y","N")</f>
        <v>N</v>
      </c>
      <c r="G99" s="148" t="s">
        <v>859</v>
      </c>
      <c r="H99" s="151"/>
      <c r="I99" s="77" t="e">
        <f>IF(H99&gt;0,(HLOOKUP(C99,Magick!$C$20:$L$21,2)-HLOOKUP(H99,Magick!$C$20:$L$21,2)),NA())</f>
        <v>#N/A</v>
      </c>
      <c r="J99" s="77"/>
      <c r="K99" s="67">
        <v>17</v>
      </c>
      <c r="L99" s="72" t="str">
        <f>IF(H99&gt;0,Magick!$AR$18-('Master Spell List'!H62*0.1),"N/A")</f>
        <v>N/A</v>
      </c>
      <c r="M99" s="72">
        <f ca="1">Magick!$H$67</f>
        <v>0.08</v>
      </c>
      <c r="N99" s="72">
        <f ca="1">Magick!$K$67</f>
        <v>0.13</v>
      </c>
      <c r="O99" s="72">
        <f ca="1">Magick!$L$67</f>
        <v>0.13</v>
      </c>
      <c r="P99" s="72">
        <f ca="1">Magick!$M$67</f>
        <v>0.13</v>
      </c>
      <c r="Q99" s="67" t="s">
        <v>4602</v>
      </c>
      <c r="R99" s="67">
        <f ca="1">IF(Q99="Ritual","N/A",IF(Q99="I.E.","N/A",IF(Q99="WOG",VLOOKUP(Magick!$I$67*100,magestuff!$B$134:$F$138,2),IF(Q99="Cantrip",VLOOKUP(Magick!$I$67*100,magestuff!$B$134:$F$138,3),IF(Q99="Hex",VLOOKUP(Magick!$I$67*100,magestuff!$B$134:$F$138,4),VLOOKUP(Magick!$I$67*100,magestuff!$B$134:$F$138,5))))))</f>
        <v>19</v>
      </c>
      <c r="S99" s="67" t="str">
        <f>CONCATENATE(IF(Magick!$C$3&gt;0,Magick!$C$3," ")," ft.")</f>
        <v xml:space="preserve">  ft.</v>
      </c>
      <c r="T99" s="67" t="s">
        <v>3256</v>
      </c>
      <c r="U99" s="67" t="str">
        <f t="shared" si="15"/>
        <v xml:space="preserve"> </v>
      </c>
      <c r="V99" s="515"/>
      <c r="W99" s="125"/>
      <c r="X99" s="31">
        <f t="shared" si="16"/>
        <v>0</v>
      </c>
      <c r="Y99" s="1045"/>
      <c r="Z99" s="1054" t="str">
        <f t="shared" si="12"/>
        <v>Lesser Jeweller’s Tumbler - Medium</v>
      </c>
      <c r="AA99" s="1072" t="str">
        <f t="shared" si="13"/>
        <v>Common</v>
      </c>
    </row>
    <row r="100" spans="1:27" s="1046" customFormat="1" hidden="1" outlineLevel="1">
      <c r="A100" s="83" t="s">
        <v>3199</v>
      </c>
      <c r="B100" s="67">
        <v>8</v>
      </c>
      <c r="C100" s="67">
        <f ca="1">magestuff!$X$194</f>
        <v>8</v>
      </c>
      <c r="D100" s="67">
        <f t="shared" si="14"/>
        <v>0</v>
      </c>
      <c r="E100" s="77" t="e">
        <f ca="1">IF(F100="y",HLOOKUP((IF(C100&lt;1,1,C100)),Magick!$C$20:$L$21,2),NA())</f>
        <v>#N/A</v>
      </c>
      <c r="F100" s="67" t="str">
        <f ca="1">IF(C100&lt;=Magick!$D$3,"Y","N")</f>
        <v>N</v>
      </c>
      <c r="G100" s="148" t="s">
        <v>1217</v>
      </c>
      <c r="H100" s="151"/>
      <c r="I100" s="77" t="e">
        <f>IF(H100&gt;0,(HLOOKUP(C100,Magick!$C$20:$L$21,2)-HLOOKUP(H100,Magick!$C$20:$L$21,2)),NA())</f>
        <v>#N/A</v>
      </c>
      <c r="J100" s="77"/>
      <c r="K100" s="67" t="s">
        <v>3211</v>
      </c>
      <c r="L100" s="72" t="str">
        <f>IF(H100&gt;0,Magick!$AR$18-('Master Spell List'!H44*0.1),"N/A")</f>
        <v>N/A</v>
      </c>
      <c r="M100" s="72">
        <f ca="1">Magick!$H$67</f>
        <v>0.08</v>
      </c>
      <c r="N100" s="72">
        <f ca="1">Magick!$K$67</f>
        <v>0.13</v>
      </c>
      <c r="O100" s="72">
        <f ca="1">Magick!$L$67</f>
        <v>0.13</v>
      </c>
      <c r="P100" s="72">
        <f ca="1">Magick!$M$67</f>
        <v>0.13</v>
      </c>
      <c r="Q100" s="67" t="s">
        <v>113</v>
      </c>
      <c r="R100" s="67" t="str">
        <f>IF(Q100="Ritual","N/A",IF(Q100="I.E.","N/A",IF(Q100="WOG",VLOOKUP(Magick!$I$67*100,magestuff!$B$134:$F$138,2),IF(Q100="Cantrip",VLOOKUP(Magick!$I$67*100,magestuff!$B$134:$F$138,3),IF(Q100="Hex",VLOOKUP(Magick!$I$67*100,magestuff!$B$134:$F$138,4),VLOOKUP(Magick!$I$67*100,magestuff!$B$134:$F$138,5))))))</f>
        <v>N/A</v>
      </c>
      <c r="S100" s="69">
        <f>5*Magick!$C$3</f>
        <v>0</v>
      </c>
      <c r="T100" s="67" t="s">
        <v>3725</v>
      </c>
      <c r="U100" s="67" t="str">
        <f t="shared" si="15"/>
        <v xml:space="preserve"> </v>
      </c>
      <c r="V100" s="515"/>
      <c r="W100" s="125"/>
      <c r="X100" s="31">
        <f t="shared" si="16"/>
        <v>0</v>
      </c>
      <c r="Y100" s="1045"/>
      <c r="Z100" s="1054" t="str">
        <f t="shared" si="12"/>
        <v>Lesser Shave Non-Enchanted Metals</v>
      </c>
      <c r="AA100" s="1072" t="str">
        <f t="shared" si="13"/>
        <v>Common</v>
      </c>
    </row>
    <row r="101" spans="1:27" s="1046" customFormat="1" hidden="1" outlineLevel="1">
      <c r="A101" s="31" t="s">
        <v>3687</v>
      </c>
      <c r="B101" s="67">
        <v>9</v>
      </c>
      <c r="C101" s="67">
        <f ca="1">magestuff!$AA$194</f>
        <v>9</v>
      </c>
      <c r="D101" s="67">
        <f t="shared" si="14"/>
        <v>0</v>
      </c>
      <c r="E101" s="77" t="e">
        <f ca="1">IF(F101="y",HLOOKUP((IF(C101&lt;1,1,C101)),Magick!$C$20:$L$21,2),NA())</f>
        <v>#N/A</v>
      </c>
      <c r="F101" s="67" t="str">
        <f ca="1">IF(C101&lt;=Magick!$D$3,"Y","N")</f>
        <v>N</v>
      </c>
      <c r="G101" s="148" t="s">
        <v>128</v>
      </c>
      <c r="H101" s="151"/>
      <c r="I101" s="77" t="e">
        <f>IF(H101&gt;0,(HLOOKUP(C101,Magick!$C$20:$L$21,2)-HLOOKUP(H101,Magick!$C$20:$L$21,2)),NA())</f>
        <v>#N/A</v>
      </c>
      <c r="J101" s="77"/>
      <c r="K101" s="67">
        <v>12</v>
      </c>
      <c r="L101" s="72" t="str">
        <f>IF(H101&gt;0,Magick!$AR$18-('Master Spell List'!H83*0.1),"N/A")</f>
        <v>N/A</v>
      </c>
      <c r="M101" s="72">
        <f ca="1">Magick!$H$67</f>
        <v>0.08</v>
      </c>
      <c r="N101" s="72">
        <f ca="1">Magick!$K$67</f>
        <v>0.13</v>
      </c>
      <c r="O101" s="72">
        <f ca="1">Magick!$L$67</f>
        <v>0.13</v>
      </c>
      <c r="P101" s="72">
        <f ca="1">Magick!$M$67</f>
        <v>0.13</v>
      </c>
      <c r="Q101" s="67" t="s">
        <v>3723</v>
      </c>
      <c r="R101" s="67">
        <f ca="1">IF(Q101="Ritual","N/A",IF(Q101="I.E.","N/A",IF(Q101="WOG",VLOOKUP(Magick!$I$67*100,magestuff!$B$134:$F$138,2),IF(Q101="Cantrip",VLOOKUP(Magick!$I$67*100,magestuff!$B$134:$F$138,3),IF(Q101="Hex",VLOOKUP(Magick!$I$67*100,magestuff!$B$134:$F$138,4),VLOOKUP(Magick!$I$67*100,magestuff!$B$134:$F$138,5))))))</f>
        <v>29</v>
      </c>
      <c r="S101" s="69">
        <f>50*Magick!$C$3</f>
        <v>0</v>
      </c>
      <c r="T101" s="67" t="s">
        <v>3725</v>
      </c>
      <c r="U101" s="67" t="str">
        <f t="shared" si="15"/>
        <v xml:space="preserve"> </v>
      </c>
      <c r="V101" s="515"/>
      <c r="W101" s="125"/>
      <c r="X101" s="31">
        <f t="shared" si="16"/>
        <v>0</v>
      </c>
      <c r="Y101" s="1045"/>
      <c r="Z101" s="1054" t="str">
        <f t="shared" si="12"/>
        <v>Battering Ram</v>
      </c>
      <c r="AA101" s="1072" t="str">
        <f t="shared" si="13"/>
        <v>Common</v>
      </c>
    </row>
    <row r="102" spans="1:27" s="1046" customFormat="1" hidden="1" outlineLevel="1">
      <c r="A102" s="83" t="s">
        <v>1316</v>
      </c>
      <c r="B102" s="67">
        <v>9</v>
      </c>
      <c r="C102" s="67">
        <f ca="1">magestuff!$AA$194</f>
        <v>9</v>
      </c>
      <c r="D102" s="67">
        <f t="shared" si="14"/>
        <v>0</v>
      </c>
      <c r="E102" s="77" t="e">
        <f ca="1">IF(F102="y",HLOOKUP((IF(C102&lt;1,1,C102)),Magick!$C$20:$L$21,2),NA())</f>
        <v>#N/A</v>
      </c>
      <c r="F102" s="67" t="str">
        <f ca="1">IF(C102&lt;=Magick!$D$3,"Y","N")</f>
        <v>N</v>
      </c>
      <c r="G102" s="148" t="s">
        <v>859</v>
      </c>
      <c r="H102" s="151"/>
      <c r="I102" s="77" t="e">
        <f>IF(H102&gt;0,(HLOOKUP(C102,Magick!$C$20:$L$21,2)-HLOOKUP(H102,Magick!$C$20:$L$21,2)),NA())</f>
        <v>#N/A</v>
      </c>
      <c r="J102" s="77"/>
      <c r="K102" s="67">
        <v>23</v>
      </c>
      <c r="L102" s="72" t="str">
        <f>IF(H102&gt;0,Magick!$AR$18-('Master Spell List'!H63*0.1),"N/A")</f>
        <v>N/A</v>
      </c>
      <c r="M102" s="72">
        <f ca="1">Magick!$H$67</f>
        <v>0.08</v>
      </c>
      <c r="N102" s="72">
        <f ca="1">Magick!$K$67</f>
        <v>0.13</v>
      </c>
      <c r="O102" s="72">
        <f ca="1">Magick!$L$67</f>
        <v>0.13</v>
      </c>
      <c r="P102" s="72">
        <f ca="1">Magick!$M$67</f>
        <v>0.13</v>
      </c>
      <c r="Q102" s="67" t="s">
        <v>3723</v>
      </c>
      <c r="R102" s="67">
        <f ca="1">IF(Q102="Ritual","N/A",IF(Q102="I.E.","N/A",IF(Q102="WOG",VLOOKUP(Magick!$I$67*100,magestuff!$B$134:$F$138,2),IF(Q102="Cantrip",VLOOKUP(Magick!$I$67*100,magestuff!$B$134:$F$138,3),IF(Q102="Hex",VLOOKUP(Magick!$I$67*100,magestuff!$B$134:$F$138,4),VLOOKUP(Magick!$I$67*100,magestuff!$B$134:$F$138,5))))))</f>
        <v>29</v>
      </c>
      <c r="S102" s="67" t="str">
        <f>CONCATENATE(IF(Magick!$C$3&gt;0,Magick!$C$3," ")," ft.")</f>
        <v xml:space="preserve">  ft.</v>
      </c>
      <c r="T102" s="67" t="s">
        <v>3256</v>
      </c>
      <c r="U102" s="67" t="str">
        <f t="shared" si="15"/>
        <v xml:space="preserve"> </v>
      </c>
      <c r="V102" s="515"/>
      <c r="W102" s="125"/>
      <c r="X102" s="31">
        <f t="shared" si="16"/>
        <v>0</v>
      </c>
      <c r="Y102" s="1045"/>
      <c r="Z102" s="1054" t="str">
        <f t="shared" si="12"/>
        <v>Great Jeweller’s Tumbler - Fine</v>
      </c>
      <c r="AA102" s="1072" t="str">
        <f t="shared" si="13"/>
        <v>Common</v>
      </c>
    </row>
    <row r="103" spans="1:27" s="1046" customFormat="1" hidden="1" outlineLevel="1">
      <c r="A103" s="83" t="s">
        <v>3203</v>
      </c>
      <c r="B103" s="67">
        <v>9</v>
      </c>
      <c r="C103" s="67">
        <f ca="1">magestuff!$AA$194</f>
        <v>9</v>
      </c>
      <c r="D103" s="67">
        <f t="shared" si="14"/>
        <v>0</v>
      </c>
      <c r="E103" s="77" t="e">
        <f ca="1">IF(F103="y",HLOOKUP((IF(C103&lt;1,1,C103)),Magick!$C$20:$L$21,2),NA())</f>
        <v>#N/A</v>
      </c>
      <c r="F103" s="67" t="str">
        <f ca="1">IF(C103&lt;=Magick!$D$3,"Y","N")</f>
        <v>N</v>
      </c>
      <c r="G103" s="148" t="s">
        <v>1217</v>
      </c>
      <c r="H103" s="151"/>
      <c r="I103" s="77" t="e">
        <f>IF(H103&gt;0,(HLOOKUP(C103,Magick!$C$20:$L$21,2)-HLOOKUP(H103,Magick!$C$20:$L$21,2)),NA())</f>
        <v>#N/A</v>
      </c>
      <c r="J103" s="77"/>
      <c r="K103" s="67" t="s">
        <v>3212</v>
      </c>
      <c r="L103" s="72" t="str">
        <f>IF(H103&gt;0,Magick!$AR$18-('Master Spell List'!H55*0.1),"N/A")</f>
        <v>N/A</v>
      </c>
      <c r="M103" s="72">
        <f ca="1">Magick!$H$67</f>
        <v>0.08</v>
      </c>
      <c r="N103" s="72">
        <f ca="1">Magick!$K$67</f>
        <v>0.13</v>
      </c>
      <c r="O103" s="72">
        <f ca="1">Magick!$L$67</f>
        <v>0.13</v>
      </c>
      <c r="P103" s="72">
        <f ca="1">Magick!$M$67</f>
        <v>0.13</v>
      </c>
      <c r="Q103" s="67" t="s">
        <v>113</v>
      </c>
      <c r="R103" s="67" t="str">
        <f>IF(Q103="Ritual","N/A",IF(Q103="I.E.","N/A",IF(Q103="WOG",VLOOKUP(Magick!$I$67*100,magestuff!$B$134:$F$138,2),IF(Q103="Cantrip",VLOOKUP(Magick!$I$67*100,magestuff!$B$134:$F$138,3),IF(Q103="Hex",VLOOKUP(Magick!$I$67*100,magestuff!$B$134:$F$138,4),VLOOKUP(Magick!$I$67*100,magestuff!$B$134:$F$138,5))))))</f>
        <v>N/A</v>
      </c>
      <c r="S103" s="69">
        <f>10*Magick!$C$3</f>
        <v>0</v>
      </c>
      <c r="T103" s="67" t="s">
        <v>3725</v>
      </c>
      <c r="U103" s="67" t="str">
        <f t="shared" si="15"/>
        <v xml:space="preserve"> </v>
      </c>
      <c r="V103" s="515"/>
      <c r="W103" s="125"/>
      <c r="X103" s="31">
        <f t="shared" si="16"/>
        <v>0</v>
      </c>
      <c r="Y103" s="1045"/>
      <c r="Z103" s="1054" t="str">
        <f t="shared" si="12"/>
        <v>Great Powder Enchanted Metals</v>
      </c>
      <c r="AA103" s="1072" t="str">
        <f t="shared" si="13"/>
        <v>Common</v>
      </c>
    </row>
    <row r="104" spans="1:27" s="1046" customFormat="1" hidden="1" outlineLevel="1">
      <c r="A104" s="83" t="s">
        <v>3200</v>
      </c>
      <c r="B104" s="67">
        <v>9</v>
      </c>
      <c r="C104" s="67">
        <f ca="1">magestuff!$AA$194</f>
        <v>9</v>
      </c>
      <c r="D104" s="67">
        <f t="shared" si="14"/>
        <v>0</v>
      </c>
      <c r="E104" s="77" t="e">
        <f ca="1">IF(F104="y",HLOOKUP((IF(C104&lt;1,1,C104)),Magick!$C$20:$L$21,2),NA())</f>
        <v>#N/A</v>
      </c>
      <c r="F104" s="67" t="str">
        <f ca="1">IF(C104&lt;=Magick!$D$3,"Y","N")</f>
        <v>N</v>
      </c>
      <c r="G104" s="148" t="s">
        <v>1217</v>
      </c>
      <c r="H104" s="151"/>
      <c r="I104" s="77" t="e">
        <f>IF(H104&gt;0,(HLOOKUP(C104,Magick!$C$20:$L$21,2)-HLOOKUP(H104,Magick!$C$20:$L$21,2)),NA())</f>
        <v>#N/A</v>
      </c>
      <c r="J104" s="77"/>
      <c r="K104" s="67" t="s">
        <v>3212</v>
      </c>
      <c r="L104" s="72" t="str">
        <f>IF(H104&gt;0,Magick!$AR$18-('Master Spell List'!H45*0.1),"N/A")</f>
        <v>N/A</v>
      </c>
      <c r="M104" s="72">
        <f ca="1">Magick!$H$67</f>
        <v>0.08</v>
      </c>
      <c r="N104" s="72">
        <f ca="1">Magick!$K$67</f>
        <v>0.13</v>
      </c>
      <c r="O104" s="72">
        <f ca="1">Magick!$L$67</f>
        <v>0.13</v>
      </c>
      <c r="P104" s="72">
        <f ca="1">Magick!$M$67</f>
        <v>0.13</v>
      </c>
      <c r="Q104" s="67" t="s">
        <v>113</v>
      </c>
      <c r="R104" s="67" t="str">
        <f>IF(Q104="Ritual","N/A",IF(Q104="I.E.","N/A",IF(Q104="WOG",VLOOKUP(Magick!$I$67*100,magestuff!$B$134:$F$138,2),IF(Q104="Cantrip",VLOOKUP(Magick!$I$67*100,magestuff!$B$134:$F$138,3),IF(Q104="Hex",VLOOKUP(Magick!$I$67*100,magestuff!$B$134:$F$138,4),VLOOKUP(Magick!$I$67*100,magestuff!$B$134:$F$138,5))))))</f>
        <v>N/A</v>
      </c>
      <c r="S104" s="69">
        <f>10*Magick!$C$3</f>
        <v>0</v>
      </c>
      <c r="T104" s="67" t="s">
        <v>3725</v>
      </c>
      <c r="U104" s="67" t="str">
        <f t="shared" si="15"/>
        <v xml:space="preserve"> </v>
      </c>
      <c r="V104" s="515"/>
      <c r="W104" s="125"/>
      <c r="X104" s="31">
        <f t="shared" si="16"/>
        <v>0</v>
      </c>
      <c r="Y104" s="1045"/>
      <c r="Z104" s="1054" t="str">
        <f t="shared" si="12"/>
        <v>Great Shave Non-Enchanted Metals</v>
      </c>
      <c r="AA104" s="1072" t="str">
        <f t="shared" si="13"/>
        <v>Common</v>
      </c>
    </row>
    <row r="105" spans="1:27" s="1046" customFormat="1" hidden="1" outlineLevel="1">
      <c r="A105" s="83" t="s">
        <v>3198</v>
      </c>
      <c r="B105" s="67">
        <v>9</v>
      </c>
      <c r="C105" s="67">
        <f ca="1">magestuff!$AA$194</f>
        <v>9</v>
      </c>
      <c r="D105" s="67">
        <f t="shared" si="14"/>
        <v>0</v>
      </c>
      <c r="E105" s="77" t="e">
        <f ca="1">IF(F105="y",HLOOKUP((IF(C105&lt;1,1,C105)),Magick!$C$20:$L$21,2),NA())</f>
        <v>#N/A</v>
      </c>
      <c r="F105" s="67" t="str">
        <f ca="1">IF(C105&lt;=Magick!$D$3,"Y","N")</f>
        <v>N</v>
      </c>
      <c r="G105" s="148" t="s">
        <v>1217</v>
      </c>
      <c r="H105" s="151"/>
      <c r="I105" s="77" t="e">
        <f>IF(H105&gt;0,(HLOOKUP(C105,Magick!$C$20:$L$21,2)-HLOOKUP(H105,Magick!$C$20:$L$21,2)),NA())</f>
        <v>#N/A</v>
      </c>
      <c r="J105" s="77"/>
      <c r="K105" s="67" t="s">
        <v>3210</v>
      </c>
      <c r="L105" s="72" t="str">
        <f>IF(H105&gt;0,Magick!$AR$18-('Master Spell List'!H41*0.1),"N/A")</f>
        <v>N/A</v>
      </c>
      <c r="M105" s="72">
        <f ca="1">Magick!$H$67</f>
        <v>0.08</v>
      </c>
      <c r="N105" s="72">
        <f ca="1">Magick!$K$67</f>
        <v>0.13</v>
      </c>
      <c r="O105" s="72">
        <f ca="1">Magick!$L$67</f>
        <v>0.13</v>
      </c>
      <c r="P105" s="72">
        <f ca="1">Magick!$M$67</f>
        <v>0.13</v>
      </c>
      <c r="Q105" s="67" t="s">
        <v>113</v>
      </c>
      <c r="R105" s="67" t="str">
        <f>IF(Q105="Ritual","N/A",IF(Q105="I.E.","N/A",IF(Q105="WOG",VLOOKUP(Magick!$I$67*100,magestuff!$B$134:$F$138,2),IF(Q105="Cantrip",VLOOKUP(Magick!$I$67*100,magestuff!$B$134:$F$138,3),IF(Q105="Hex",VLOOKUP(Magick!$I$67*100,magestuff!$B$134:$F$138,4),VLOOKUP(Magick!$I$67*100,magestuff!$B$134:$F$138,5))))))</f>
        <v>N/A</v>
      </c>
      <c r="S105" s="69">
        <f>15*Magick!$C$3</f>
        <v>0</v>
      </c>
      <c r="T105" s="67" t="s">
        <v>3725</v>
      </c>
      <c r="U105" s="67" t="str">
        <f t="shared" si="15"/>
        <v xml:space="preserve"> </v>
      </c>
      <c r="V105" s="515"/>
      <c r="W105" s="125"/>
      <c r="X105" s="31">
        <f t="shared" si="16"/>
        <v>0</v>
      </c>
      <c r="Y105" s="1045"/>
      <c r="Z105" s="1054" t="str">
        <f t="shared" si="12"/>
        <v>Greater Shave Enchanted Metals</v>
      </c>
      <c r="AA105" s="1072" t="str">
        <f t="shared" si="13"/>
        <v>Common</v>
      </c>
    </row>
    <row r="106" spans="1:27" s="1046" customFormat="1" hidden="1" outlineLevel="1">
      <c r="A106" s="83" t="s">
        <v>3205</v>
      </c>
      <c r="B106" s="67">
        <v>9</v>
      </c>
      <c r="C106" s="67">
        <f ca="1">magestuff!$AA$194</f>
        <v>9</v>
      </c>
      <c r="D106" s="67">
        <f t="shared" si="14"/>
        <v>0</v>
      </c>
      <c r="E106" s="77" t="e">
        <f ca="1">IF(F106="y",HLOOKUP((IF(C106&lt;1,1,C106)),Magick!$C$20:$L$21,2),NA())</f>
        <v>#N/A</v>
      </c>
      <c r="F106" s="67" t="str">
        <f ca="1">IF(C106&lt;=Magick!$D$3,"Y","N")</f>
        <v>N</v>
      </c>
      <c r="G106" s="148" t="s">
        <v>1217</v>
      </c>
      <c r="H106" s="151"/>
      <c r="I106" s="77" t="e">
        <f>IF(H106&gt;0,(HLOOKUP(C106,Magick!$C$20:$L$21,2)-HLOOKUP(H106,Magick!$C$20:$L$21,2)),NA())</f>
        <v>#N/A</v>
      </c>
      <c r="J106" s="77"/>
      <c r="K106" s="67" t="s">
        <v>3215</v>
      </c>
      <c r="L106" s="72" t="str">
        <f>IF(H106&gt;0,Magick!$AR$18-('Master Spell List'!H59*0.1),"N/A")</f>
        <v>N/A</v>
      </c>
      <c r="M106" s="72">
        <f ca="1">Magick!$H$67</f>
        <v>0.08</v>
      </c>
      <c r="N106" s="72">
        <f ca="1">Magick!$K$67</f>
        <v>0.13</v>
      </c>
      <c r="O106" s="72">
        <f ca="1">Magick!$L$67</f>
        <v>0.13</v>
      </c>
      <c r="P106" s="72">
        <f ca="1">Magick!$M$67</f>
        <v>0.13</v>
      </c>
      <c r="Q106" s="67" t="s">
        <v>113</v>
      </c>
      <c r="R106" s="67" t="str">
        <f>IF(Q106="Ritual","N/A",IF(Q106="I.E.","N/A",IF(Q106="WOG",VLOOKUP(Magick!$I$67*100,magestuff!$B$134:$F$138,2),IF(Q106="Cantrip",VLOOKUP(Magick!$I$67*100,magestuff!$B$134:$F$138,3),IF(Q106="Hex",VLOOKUP(Magick!$I$67*100,magestuff!$B$134:$F$138,4),VLOOKUP(Magick!$I$67*100,magestuff!$B$134:$F$138,5))))))</f>
        <v>N/A</v>
      </c>
      <c r="S106" s="69">
        <f>5*Magick!$C$3</f>
        <v>0</v>
      </c>
      <c r="T106" s="67" t="s">
        <v>3725</v>
      </c>
      <c r="U106" s="67" t="str">
        <f t="shared" si="15"/>
        <v xml:space="preserve"> </v>
      </c>
      <c r="V106" s="515"/>
      <c r="W106" s="125"/>
      <c r="X106" s="31">
        <f t="shared" si="16"/>
        <v>0</v>
      </c>
      <c r="Y106" s="1045"/>
      <c r="Z106" s="1054" t="str">
        <f t="shared" si="12"/>
        <v>Lesser Powder Non-Enchanted Metals</v>
      </c>
      <c r="AA106" s="1072" t="str">
        <f t="shared" si="13"/>
        <v>Common</v>
      </c>
    </row>
    <row r="107" spans="1:27" s="1048" customFormat="1" hidden="1" outlineLevel="1">
      <c r="A107" s="83" t="s">
        <v>6091</v>
      </c>
      <c r="B107" s="67">
        <v>9</v>
      </c>
      <c r="C107" s="67">
        <f ca="1">magestuff!$AA$194</f>
        <v>9</v>
      </c>
      <c r="D107" s="67">
        <f t="shared" si="14"/>
        <v>0</v>
      </c>
      <c r="E107" s="77" t="e">
        <f ca="1">IF(F107="y",HLOOKUP((IF(C107&lt;1,1,C107)),Magick!$C$20:$L$21,2),NA())</f>
        <v>#N/A</v>
      </c>
      <c r="F107" s="67" t="str">
        <f ca="1">IF(C107&lt;=Magick!$D$3,"Y","N")</f>
        <v>N</v>
      </c>
      <c r="G107" s="148" t="s">
        <v>6052</v>
      </c>
      <c r="H107" s="151"/>
      <c r="I107" s="77" t="e">
        <f>IF(H107&gt;0,(HLOOKUP(C107,Magick!$C$20:$L$21,2)-HLOOKUP(H107,Magick!$C$20:$L$21,2)),NA())</f>
        <v>#N/A</v>
      </c>
      <c r="J107" s="77"/>
      <c r="K107" s="67" t="s">
        <v>3215</v>
      </c>
      <c r="L107" s="72" t="str">
        <f>IF(H107&gt;0,Magick!$AR$18-('Master Spell List'!H60*0.1),"N/A")</f>
        <v>N/A</v>
      </c>
      <c r="M107" s="72">
        <f ca="1">Magick!$H$67</f>
        <v>0.08</v>
      </c>
      <c r="N107" s="72">
        <f ca="1">Magick!$K$67</f>
        <v>0.13</v>
      </c>
      <c r="O107" s="72">
        <f ca="1">Magick!$L$67</f>
        <v>0.13</v>
      </c>
      <c r="P107" s="72">
        <f ca="1">Magick!$M$67</f>
        <v>0.13</v>
      </c>
      <c r="Q107" s="67" t="s">
        <v>113</v>
      </c>
      <c r="R107" s="67" t="str">
        <f>IF(Q107="Ritual","N/A",IF(Q107="I.E.","N/A",IF(Q107="WOG",VLOOKUP(Magick!$I$67*100,magestuff!$B$134:$F$138,2),IF(Q107="Cantrip",VLOOKUP(Magick!$I$67*100,magestuff!$B$134:$F$138,3),IF(Q107="Hex",VLOOKUP(Magick!$I$67*100,magestuff!$B$134:$F$138,4),VLOOKUP(Magick!$I$67*100,magestuff!$B$134:$F$138,5))))))</f>
        <v>N/A</v>
      </c>
      <c r="S107" s="69">
        <f>5*Magick!$C$3</f>
        <v>0</v>
      </c>
      <c r="T107" s="67" t="s">
        <v>3725</v>
      </c>
      <c r="U107" s="67" t="str">
        <f t="shared" si="15"/>
        <v xml:space="preserve"> </v>
      </c>
      <c r="V107" s="515"/>
      <c r="W107" s="125"/>
      <c r="X107" s="31">
        <f t="shared" si="16"/>
        <v>0</v>
      </c>
      <c r="Y107" s="1047"/>
      <c r="Z107" s="1054" t="str">
        <f t="shared" si="12"/>
        <v>Great Divide</v>
      </c>
      <c r="AA107" s="1072" t="str">
        <f t="shared" si="13"/>
        <v>Common</v>
      </c>
    </row>
    <row r="108" spans="1:27" s="1048" customFormat="1" hidden="1" outlineLevel="1">
      <c r="A108" s="83" t="s">
        <v>6117</v>
      </c>
      <c r="B108" s="67">
        <v>9</v>
      </c>
      <c r="C108" s="67">
        <f ca="1">magestuff!$AA$194</f>
        <v>9</v>
      </c>
      <c r="D108" s="67">
        <f t="shared" si="14"/>
        <v>0</v>
      </c>
      <c r="E108" s="77" t="e">
        <f ca="1">IF(F108="y",HLOOKUP((IF(C108&lt;1,1,C108)),Magick!$C$20:$L$21,2),NA())</f>
        <v>#N/A</v>
      </c>
      <c r="F108" s="67" t="str">
        <f ca="1">IF(C108&lt;=Magick!$D$3,"Y","N")</f>
        <v>N</v>
      </c>
      <c r="G108" s="148" t="s">
        <v>6052</v>
      </c>
      <c r="H108" s="151"/>
      <c r="I108" s="77" t="e">
        <f>IF(H108&gt;0,(HLOOKUP(C108,Magick!$C$20:$L$21,2)-HLOOKUP(H108,Magick!$C$20:$L$21,2)),NA())</f>
        <v>#N/A</v>
      </c>
      <c r="J108" s="77"/>
      <c r="K108" s="67" t="s">
        <v>3215</v>
      </c>
      <c r="L108" s="72" t="str">
        <f>IF(H108&gt;0,Magick!$AR$18-('Master Spell List'!H77*0.1),"N/A")</f>
        <v>N/A</v>
      </c>
      <c r="M108" s="72">
        <f ca="1">Magick!$H$67</f>
        <v>0.08</v>
      </c>
      <c r="N108" s="72">
        <f ca="1">Magick!$K$67</f>
        <v>0.13</v>
      </c>
      <c r="O108" s="72">
        <f ca="1">Magick!$L$67</f>
        <v>0.13</v>
      </c>
      <c r="P108" s="72">
        <f ca="1">Magick!$M$67</f>
        <v>0.13</v>
      </c>
      <c r="Q108" s="67" t="s">
        <v>113</v>
      </c>
      <c r="R108" s="67" t="str">
        <f>IF(Q108="Ritual","N/A",IF(Q108="I.E.","N/A",IF(Q108="WOG",VLOOKUP(Magick!$I$67*100,magestuff!$B$134:$F$138,2),IF(Q108="Cantrip",VLOOKUP(Magick!$I$67*100,magestuff!$B$134:$F$138,3),IF(Q108="Hex",VLOOKUP(Magick!$I$67*100,magestuff!$B$134:$F$138,4),VLOOKUP(Magick!$I$67*100,magestuff!$B$134:$F$138,5))))))</f>
        <v>N/A</v>
      </c>
      <c r="S108" s="69">
        <f>5*Magick!$C$3</f>
        <v>0</v>
      </c>
      <c r="T108" s="67" t="s">
        <v>3725</v>
      </c>
      <c r="U108" s="67" t="str">
        <f t="shared" si="15"/>
        <v xml:space="preserve"> </v>
      </c>
      <c r="V108" s="515"/>
      <c r="W108" s="125"/>
      <c r="X108" s="31">
        <f t="shared" si="16"/>
        <v>0</v>
      </c>
      <c r="Y108" s="1047"/>
      <c r="Z108" s="1054" t="str">
        <f t="shared" si="12"/>
        <v>Create Imperfect Glass Wand</v>
      </c>
      <c r="AA108" s="1072" t="str">
        <f t="shared" si="13"/>
        <v>Common</v>
      </c>
    </row>
    <row r="109" spans="1:27" s="1048" customFormat="1" hidden="1" outlineLevel="1">
      <c r="A109" s="83" t="s">
        <v>6094</v>
      </c>
      <c r="B109" s="67">
        <v>10</v>
      </c>
      <c r="C109" s="67">
        <f ca="1">magestuff!$AD$194</f>
        <v>10</v>
      </c>
      <c r="D109" s="67">
        <f t="shared" si="14"/>
        <v>0</v>
      </c>
      <c r="E109" s="77" t="e">
        <f ca="1">IF(F109="y",HLOOKUP((IF(C109&lt;1,1,C109)),Magick!$C$20:$L$21,2),NA())</f>
        <v>#N/A</v>
      </c>
      <c r="F109" s="67" t="str">
        <f ca="1">IF(C109&lt;=Magick!$D$3,"Y","N")</f>
        <v>N</v>
      </c>
      <c r="G109" s="148" t="s">
        <v>6052</v>
      </c>
      <c r="H109" s="151"/>
      <c r="I109" s="77" t="e">
        <f>IF(H109&gt;0,(HLOOKUP(C109,Magick!$C$20:$L$21,2)-HLOOKUP(H109,Magick!$C$20:$L$21,2)),NA())</f>
        <v>#N/A</v>
      </c>
      <c r="J109" s="77"/>
      <c r="K109" s="67" t="s">
        <v>3215</v>
      </c>
      <c r="L109" s="72" t="str">
        <f>IF(H109&gt;0,Magick!$AR$18-('Master Spell List'!H65*0.1),"N/A")</f>
        <v>N/A</v>
      </c>
      <c r="M109" s="72">
        <f ca="1">Magick!$H$67</f>
        <v>0.08</v>
      </c>
      <c r="N109" s="72">
        <f ca="1">Magick!$K$67</f>
        <v>0.13</v>
      </c>
      <c r="O109" s="72">
        <f ca="1">Magick!$L$67</f>
        <v>0.13</v>
      </c>
      <c r="P109" s="72">
        <f ca="1">Magick!$M$67</f>
        <v>0.13</v>
      </c>
      <c r="Q109" s="67" t="s">
        <v>113</v>
      </c>
      <c r="R109" s="67" t="str">
        <f>IF(Q109="Ritual","N/A",IF(Q109="I.E.","N/A",IF(Q109="WOG",VLOOKUP(Magick!$I$67*100,magestuff!$B$134:$F$138,2),IF(Q109="Cantrip",VLOOKUP(Magick!$I$67*100,magestuff!$B$134:$F$138,3),IF(Q109="Hex",VLOOKUP(Magick!$I$67*100,magestuff!$B$134:$F$138,4),VLOOKUP(Magick!$I$67*100,magestuff!$B$134:$F$138,5))))))</f>
        <v>N/A</v>
      </c>
      <c r="S109" s="69">
        <f>5*Magick!$C$3</f>
        <v>0</v>
      </c>
      <c r="T109" s="67" t="s">
        <v>3725</v>
      </c>
      <c r="U109" s="67" t="str">
        <f t="shared" si="15"/>
        <v xml:space="preserve"> </v>
      </c>
      <c r="V109" s="515"/>
      <c r="W109" s="125"/>
      <c r="X109" s="31">
        <f t="shared" si="16"/>
        <v>0</v>
      </c>
      <c r="Y109" s="1047"/>
      <c r="Z109" s="1054" t="str">
        <f t="shared" si="12"/>
        <v>Least Refine Metal Ore</v>
      </c>
      <c r="AA109" s="1072" t="str">
        <f t="shared" si="13"/>
        <v>Common</v>
      </c>
    </row>
    <row r="110" spans="1:27" s="1048" customFormat="1" hidden="1" outlineLevel="1">
      <c r="A110" s="83" t="s">
        <v>1317</v>
      </c>
      <c r="B110" s="67">
        <v>10</v>
      </c>
      <c r="C110" s="67">
        <f ca="1">magestuff!$AD$194</f>
        <v>10</v>
      </c>
      <c r="D110" s="67">
        <f t="shared" si="14"/>
        <v>0</v>
      </c>
      <c r="E110" s="77" t="e">
        <f ca="1">IF(F110="y",HLOOKUP((IF(C110&lt;1,1,C110)),Magick!$C$20:$L$21,2),NA())</f>
        <v>#N/A</v>
      </c>
      <c r="F110" s="67" t="str">
        <f ca="1">IF(C110&lt;=Magick!$D$3,"Y","N")</f>
        <v>N</v>
      </c>
      <c r="G110" s="148" t="s">
        <v>859</v>
      </c>
      <c r="H110" s="151"/>
      <c r="I110" s="77" t="e">
        <f>IF(H110&gt;0,(HLOOKUP(C110,Magick!$C$20:$L$21,2)-HLOOKUP(H110,Magick!$C$20:$L$21,2)),NA())</f>
        <v>#N/A</v>
      </c>
      <c r="J110" s="77"/>
      <c r="K110" s="67">
        <v>29</v>
      </c>
      <c r="L110" s="72" t="str">
        <f>IF(H110&gt;0,Magick!$AR$18-('Master Spell List'!H64*0.1),"N/A")</f>
        <v>N/A</v>
      </c>
      <c r="M110" s="72">
        <f ca="1">Magick!$H$67</f>
        <v>0.08</v>
      </c>
      <c r="N110" s="72">
        <f ca="1">Magick!$K$67</f>
        <v>0.13</v>
      </c>
      <c r="O110" s="72">
        <f ca="1">Magick!$L$67</f>
        <v>0.13</v>
      </c>
      <c r="P110" s="72">
        <f ca="1">Magick!$M$67</f>
        <v>0.13</v>
      </c>
      <c r="Q110" s="67" t="s">
        <v>113</v>
      </c>
      <c r="R110" s="67" t="str">
        <f>IF(Q110="Ritual","N/A",IF(Q110="I.E.","N/A",IF(Q110="WOG",VLOOKUP(Magick!$I$67*100,magestuff!$B$134:$F$138,2),IF(Q110="Cantrip",VLOOKUP(Magick!$I$67*100,magestuff!$B$134:$F$138,3),IF(Q110="Hex",VLOOKUP(Magick!$I$67*100,magestuff!$B$134:$F$138,4),VLOOKUP(Magick!$I$67*100,magestuff!$B$134:$F$138,5))))))</f>
        <v>N/A</v>
      </c>
      <c r="S110" s="67" t="str">
        <f>CONCATENATE(IF(Magick!$C$3&gt;0,Magick!$C$3," ")," ft.")</f>
        <v xml:space="preserve">  ft.</v>
      </c>
      <c r="T110" s="67" t="s">
        <v>3256</v>
      </c>
      <c r="U110" s="67" t="str">
        <f t="shared" si="15"/>
        <v xml:space="preserve"> </v>
      </c>
      <c r="V110" s="515"/>
      <c r="W110" s="125"/>
      <c r="X110" s="31">
        <f t="shared" si="16"/>
        <v>0</v>
      </c>
      <c r="Y110" s="1047"/>
      <c r="Z110" s="1054" t="str">
        <f t="shared" si="12"/>
        <v>Greater Jeweller’s Tumbler - Polish</v>
      </c>
      <c r="AA110" s="1072" t="str">
        <f t="shared" si="13"/>
        <v>Common</v>
      </c>
    </row>
    <row r="111" spans="1:27" s="1048" customFormat="1" hidden="1" outlineLevel="1">
      <c r="A111" s="31" t="s">
        <v>4941</v>
      </c>
      <c r="B111" s="67">
        <v>10</v>
      </c>
      <c r="C111" s="67">
        <f ca="1">magestuff!$AD$194</f>
        <v>10</v>
      </c>
      <c r="D111" s="67">
        <f t="shared" si="14"/>
        <v>0</v>
      </c>
      <c r="E111" s="77" t="e">
        <f ca="1">IF(F111="y",HLOOKUP((IF(C111&lt;1,1,C111)),Magick!$C$20:$L$21,2),NA())</f>
        <v>#N/A</v>
      </c>
      <c r="F111" s="67" t="str">
        <f ca="1">IF(C111&lt;=Magick!$D$3,"Y","N")</f>
        <v>N</v>
      </c>
      <c r="G111" s="148" t="s">
        <v>128</v>
      </c>
      <c r="H111" s="151"/>
      <c r="I111" s="77" t="e">
        <f>IF(H111&gt;0,(HLOOKUP(C111,Magick!$C$20:$L$21,2)-HLOOKUP(H111,Magick!$C$20:$L$21,2)),NA())</f>
        <v>#N/A</v>
      </c>
      <c r="J111" s="77"/>
      <c r="K111" s="67" t="s">
        <v>4018</v>
      </c>
      <c r="L111" s="72" t="str">
        <f>IF(H111&gt;0,Magick!$AR$18-('Master Spell List'!H87*0.1),"N/A")</f>
        <v>N/A</v>
      </c>
      <c r="M111" s="72">
        <f ca="1">Magick!$H$67</f>
        <v>0.08</v>
      </c>
      <c r="N111" s="72">
        <f ca="1">Magick!$K$67</f>
        <v>0.13</v>
      </c>
      <c r="O111" s="72">
        <f ca="1">Magick!$L$67</f>
        <v>0.13</v>
      </c>
      <c r="P111" s="72">
        <f ca="1">Magick!$M$67</f>
        <v>0.13</v>
      </c>
      <c r="Q111" s="67" t="s">
        <v>3725</v>
      </c>
      <c r="R111" s="67" t="str">
        <f>IF(Q111="Ritual","N/A",IF(Q111="I.E.","N/A",IF(Q111="WOG",VLOOKUP(Magick!$I$67*100,magestuff!$B$134:$F$138,2),IF(Q111="Cantrip",VLOOKUP(Magick!$I$67*100,magestuff!$B$134:$F$138,3),IF(Q111="Hex",VLOOKUP(Magick!$I$67*100,magestuff!$B$134:$F$138,4),VLOOKUP(Magick!$I$67*100,magestuff!$B$134:$F$138,5))))))</f>
        <v>N/A</v>
      </c>
      <c r="S111" s="69">
        <f>0.25*Magick!$C$3</f>
        <v>0</v>
      </c>
      <c r="T111" s="67" t="s">
        <v>3725</v>
      </c>
      <c r="U111" s="67" t="str">
        <f t="shared" si="15"/>
        <v xml:space="preserve"> </v>
      </c>
      <c r="V111" s="515"/>
      <c r="W111" s="125"/>
      <c r="X111" s="31">
        <f t="shared" si="16"/>
        <v>0</v>
      </c>
      <c r="Y111" s="1047"/>
      <c r="Z111" s="1054" t="str">
        <f t="shared" si="12"/>
        <v>Quake</v>
      </c>
      <c r="AA111" s="1072" t="str">
        <f t="shared" si="13"/>
        <v>Common</v>
      </c>
    </row>
    <row r="112" spans="1:27" s="1048" customFormat="1" hidden="1" outlineLevel="1">
      <c r="A112" s="31" t="s">
        <v>540</v>
      </c>
      <c r="B112" s="67">
        <v>10</v>
      </c>
      <c r="C112" s="67">
        <f ca="1">magestuff!$AD$194</f>
        <v>10</v>
      </c>
      <c r="D112" s="67">
        <f t="shared" si="14"/>
        <v>0</v>
      </c>
      <c r="E112" s="77" t="e">
        <f ca="1">IF(F112="y",HLOOKUP((IF(C112&lt;1,1,C112)),Magick!$C$20:$L$21,2),NA())</f>
        <v>#N/A</v>
      </c>
      <c r="F112" s="67" t="str">
        <f ca="1">IF(C112&lt;=Magick!$D$3,"Y","N")</f>
        <v>N</v>
      </c>
      <c r="G112" s="148" t="s">
        <v>128</v>
      </c>
      <c r="H112" s="151"/>
      <c r="I112" s="77" t="e">
        <f>IF(H112&gt;0,(HLOOKUP(C112,Magick!$C$20:$L$21,2)-HLOOKUP(H112,Magick!$C$20:$L$21,2)),NA())</f>
        <v>#N/A</v>
      </c>
      <c r="J112" s="77"/>
      <c r="K112" s="67">
        <v>15</v>
      </c>
      <c r="L112" s="72" t="str">
        <f>IF(H112&gt;0,Magick!$AR$18-('Master Spell List'!H81*0.1),"N/A")</f>
        <v>N/A</v>
      </c>
      <c r="M112" s="72">
        <f ca="1">Magick!$H$67</f>
        <v>0.08</v>
      </c>
      <c r="N112" s="72">
        <f ca="1">Magick!$K$67</f>
        <v>0.13</v>
      </c>
      <c r="O112" s="72">
        <f ca="1">Magick!$L$67</f>
        <v>0.13</v>
      </c>
      <c r="P112" s="72">
        <f ca="1">Magick!$M$67</f>
        <v>0.13</v>
      </c>
      <c r="Q112" s="67" t="s">
        <v>3723</v>
      </c>
      <c r="R112" s="67">
        <f ca="1">IF(Q112="Ritual","N/A",IF(Q112="I.E.","N/A",IF(Q112="WOG",VLOOKUP(Magick!$I$67*100,magestuff!$B$134:$F$138,2),IF(Q112="Cantrip",VLOOKUP(Magick!$I$67*100,magestuff!$B$134:$F$138,3),IF(Q112="Hex",VLOOKUP(Magick!$I$67*100,magestuff!$B$134:$F$138,4),VLOOKUP(Magick!$I$67*100,magestuff!$B$134:$F$138,5))))))</f>
        <v>29</v>
      </c>
      <c r="S112" s="69">
        <f>125*Magick!$C$3</f>
        <v>0</v>
      </c>
      <c r="T112" s="67" t="s">
        <v>3725</v>
      </c>
      <c r="U112" s="67" t="str">
        <f t="shared" si="15"/>
        <v xml:space="preserve"> </v>
      </c>
      <c r="V112" s="515"/>
      <c r="W112" s="125"/>
      <c r="X112" s="31">
        <f t="shared" si="16"/>
        <v>0</v>
      </c>
      <c r="Y112" s="1047"/>
      <c r="Z112" s="1054" t="str">
        <f t="shared" si="12"/>
        <v>Scorpion's Strike</v>
      </c>
      <c r="AA112" s="1072" t="str">
        <f t="shared" si="13"/>
        <v>Common</v>
      </c>
    </row>
    <row r="113" spans="1:27" s="1048" customFormat="1" hidden="1" outlineLevel="1">
      <c r="A113" s="31" t="s">
        <v>541</v>
      </c>
      <c r="B113" s="67">
        <v>10</v>
      </c>
      <c r="C113" s="67">
        <f ca="1">magestuff!$AD$194</f>
        <v>10</v>
      </c>
      <c r="D113" s="67">
        <f t="shared" si="14"/>
        <v>0</v>
      </c>
      <c r="E113" s="77" t="e">
        <f ca="1">IF(F113="y",HLOOKUP((IF(C113&lt;1,1,C113)),Magick!$C$20:$L$21,2),NA())</f>
        <v>#N/A</v>
      </c>
      <c r="F113" s="67" t="str">
        <f ca="1">IF(C113&lt;=Magick!$D$3,"Y","N")</f>
        <v>N</v>
      </c>
      <c r="G113" s="148" t="s">
        <v>128</v>
      </c>
      <c r="H113" s="151"/>
      <c r="I113" s="77" t="e">
        <f>IF(H113&gt;0,(HLOOKUP(C113,Magick!$C$20:$L$21,2)-HLOOKUP(H113,Magick!$C$20:$L$21,2)),NA())</f>
        <v>#N/A</v>
      </c>
      <c r="J113" s="77"/>
      <c r="K113" s="67">
        <v>17</v>
      </c>
      <c r="L113" s="72" t="str">
        <f>IF(H113&gt;0,Magick!$AR$18-('Master Spell List'!H82*0.1),"N/A")</f>
        <v>N/A</v>
      </c>
      <c r="M113" s="72">
        <f ca="1">Magick!$H$67</f>
        <v>0.08</v>
      </c>
      <c r="N113" s="72">
        <f ca="1">Magick!$K$67</f>
        <v>0.13</v>
      </c>
      <c r="O113" s="72">
        <f ca="1">Magick!$L$67</f>
        <v>0.13</v>
      </c>
      <c r="P113" s="72">
        <f ca="1">Magick!$M$67</f>
        <v>0.13</v>
      </c>
      <c r="Q113" s="67" t="s">
        <v>3723</v>
      </c>
      <c r="R113" s="67">
        <f ca="1">IF(Q113="Ritual","N/A",IF(Q113="I.E.","N/A",IF(Q113="WOG",VLOOKUP(Magick!$I$67*100,magestuff!$B$134:$F$138,2),IF(Q113="Cantrip",VLOOKUP(Magick!$I$67*100,magestuff!$B$134:$F$138,3),IF(Q113="Hex",VLOOKUP(Magick!$I$67*100,magestuff!$B$134:$F$138,4),VLOOKUP(Magick!$I$67*100,magestuff!$B$134:$F$138,5))))))</f>
        <v>29</v>
      </c>
      <c r="S113" s="69">
        <f>200*Magick!$C$3</f>
        <v>0</v>
      </c>
      <c r="T113" s="67" t="s">
        <v>3725</v>
      </c>
      <c r="U113" s="67" t="str">
        <f t="shared" si="15"/>
        <v xml:space="preserve"> </v>
      </c>
      <c r="V113" s="515"/>
      <c r="W113" s="125"/>
      <c r="X113" s="31">
        <f t="shared" si="16"/>
        <v>0</v>
      </c>
      <c r="Y113" s="1047"/>
      <c r="Z113" s="1054" t="str">
        <f t="shared" si="12"/>
        <v>Trebuchet</v>
      </c>
      <c r="AA113" s="1072" t="str">
        <f t="shared" si="13"/>
        <v>Common</v>
      </c>
    </row>
    <row r="114" spans="1:27" s="1048" customFormat="1" hidden="1" outlineLevel="1">
      <c r="A114" s="83" t="s">
        <v>839</v>
      </c>
      <c r="B114" s="67">
        <v>10</v>
      </c>
      <c r="C114" s="67">
        <f ca="1">magestuff!$AD$194</f>
        <v>10</v>
      </c>
      <c r="D114" s="67">
        <f t="shared" si="14"/>
        <v>0</v>
      </c>
      <c r="E114" s="77" t="e">
        <f ca="1">IF(F114="y",HLOOKUP((IF(C114&lt;1,1,C114)),Magick!$C$20:$L$21,2),NA())</f>
        <v>#N/A</v>
      </c>
      <c r="F114" s="67" t="str">
        <f ca="1">IF(C114&lt;=Magick!$D$3,"Y","N")</f>
        <v>N</v>
      </c>
      <c r="G114" s="148" t="s">
        <v>859</v>
      </c>
      <c r="H114" s="151"/>
      <c r="I114" s="77" t="e">
        <f>IF(H114&gt;0,(HLOOKUP(C114,Magick!$C$20:$L$21,2)-HLOOKUP(H114,Magick!$C$20:$L$21,2)),NA())</f>
        <v>#N/A</v>
      </c>
      <c r="J114" s="77"/>
      <c r="K114" s="67" t="s">
        <v>2225</v>
      </c>
      <c r="L114" s="72" t="str">
        <f>IF(H114&gt;0,Magick!$AR$18-('Master Spell List'!H87*0.1),"N/A")</f>
        <v>N/A</v>
      </c>
      <c r="M114" s="72">
        <f ca="1">Magick!$H$67</f>
        <v>0.08</v>
      </c>
      <c r="N114" s="72">
        <f ca="1">Magick!$K$67</f>
        <v>0.13</v>
      </c>
      <c r="O114" s="72">
        <f ca="1">Magick!$L$67</f>
        <v>0.13</v>
      </c>
      <c r="P114" s="72">
        <f ca="1">Magick!$M$67</f>
        <v>0.13</v>
      </c>
      <c r="Q114" s="67" t="s">
        <v>2225</v>
      </c>
      <c r="R114" s="67">
        <f ca="1">IF(Q114="Ritual","N/A",IF(Q114="I.E.","N/A",IF(Q114="WOG",VLOOKUP(Magick!$I$67*100,magestuff!$B$134:$F$138,2),IF(Q114="Cantrip",VLOOKUP(Magick!$I$67*100,magestuff!$B$134:$F$138,3),IF(Q114="Hex",VLOOKUP(Magick!$I$67*100,magestuff!$B$134:$F$138,4),VLOOKUP(Magick!$I$67*100,magestuff!$B$134:$F$138,5))))))</f>
        <v>29</v>
      </c>
      <c r="S114" s="69"/>
      <c r="T114" s="67"/>
      <c r="U114" s="67" t="str">
        <f t="shared" si="15"/>
        <v xml:space="preserve"> </v>
      </c>
      <c r="V114" s="515"/>
      <c r="W114" s="125"/>
      <c r="X114" s="31">
        <f t="shared" si="16"/>
        <v>0</v>
      </c>
      <c r="Y114" s="1047"/>
      <c r="Z114" s="1054" t="str">
        <f t="shared" si="12"/>
        <v>Walk through Metal</v>
      </c>
      <c r="AA114" s="1072" t="str">
        <f t="shared" si="13"/>
        <v>Common</v>
      </c>
    </row>
    <row r="115" spans="1:27" s="1048" customFormat="1" hidden="1" outlineLevel="1">
      <c r="A115" s="83" t="s">
        <v>6092</v>
      </c>
      <c r="B115" s="67">
        <v>11</v>
      </c>
      <c r="C115" s="67">
        <f ca="1">magestuff!$AD$194+1</f>
        <v>11</v>
      </c>
      <c r="D115" s="67">
        <f t="shared" si="14"/>
        <v>0</v>
      </c>
      <c r="E115" s="77" t="e">
        <f ca="1">IF(F115="y",HLOOKUP((IF(C115&lt;1,1,C115)),Magick!$C$20:$L$21,2),NA())</f>
        <v>#N/A</v>
      </c>
      <c r="F115" s="67" t="str">
        <f ca="1">IF(C115&lt;=Magick!$D$3,"Y","N")</f>
        <v>N</v>
      </c>
      <c r="G115" s="148" t="s">
        <v>6052</v>
      </c>
      <c r="H115" s="151"/>
      <c r="I115" s="77" t="e">
        <f>IF(H115&gt;0,(HLOOKUP(C115,Magick!$C$20:$L$21,2)-HLOOKUP(H115,Magick!$C$20:$L$21,2)),NA())</f>
        <v>#N/A</v>
      </c>
      <c r="J115" s="77"/>
      <c r="K115" s="67" t="s">
        <v>3215</v>
      </c>
      <c r="L115" s="72" t="str">
        <f>IF(H115&gt;0,Magick!$AR$18-('Master Spell List'!H61*0.1),"N/A")</f>
        <v>N/A</v>
      </c>
      <c r="M115" s="72">
        <f ca="1">Magick!$H$67</f>
        <v>0.08</v>
      </c>
      <c r="N115" s="72">
        <f ca="1">Magick!$K$67</f>
        <v>0.13</v>
      </c>
      <c r="O115" s="72">
        <f ca="1">Magick!$L$67</f>
        <v>0.13</v>
      </c>
      <c r="P115" s="72">
        <f ca="1">Magick!$M$67</f>
        <v>0.13</v>
      </c>
      <c r="Q115" s="67" t="s">
        <v>113</v>
      </c>
      <c r="R115" s="67" t="str">
        <f>IF(Q115="Ritual","N/A",IF(Q115="I.E.","N/A",IF(Q115="WOG",VLOOKUP(Magick!$I$67*100,magestuff!$B$134:$F$138,2),IF(Q115="Cantrip",VLOOKUP(Magick!$I$67*100,magestuff!$B$134:$F$138,3),IF(Q115="Hex",VLOOKUP(Magick!$I$67*100,magestuff!$B$134:$F$138,4),VLOOKUP(Magick!$I$67*100,magestuff!$B$134:$F$138,5))))))</f>
        <v>N/A</v>
      </c>
      <c r="S115" s="69">
        <f>5*Magick!$C$3</f>
        <v>0</v>
      </c>
      <c r="T115" s="67" t="s">
        <v>3725</v>
      </c>
      <c r="U115" s="67" t="str">
        <f t="shared" si="15"/>
        <v xml:space="preserve"> </v>
      </c>
      <c r="V115" s="515"/>
      <c r="W115" s="125"/>
      <c r="X115" s="31">
        <f t="shared" si="16"/>
        <v>0</v>
      </c>
      <c r="Y115" s="1047"/>
      <c r="Z115" s="1054" t="str">
        <f t="shared" si="12"/>
        <v>Greater Divide</v>
      </c>
      <c r="AA115" s="1072" t="str">
        <f t="shared" si="13"/>
        <v>Common</v>
      </c>
    </row>
    <row r="116" spans="1:27" s="1048" customFormat="1" hidden="1" outlineLevel="1">
      <c r="A116" s="83" t="s">
        <v>3206</v>
      </c>
      <c r="B116" s="67">
        <v>11</v>
      </c>
      <c r="C116" s="67">
        <f ca="1">magestuff!$AD$194+1</f>
        <v>11</v>
      </c>
      <c r="D116" s="67">
        <f t="shared" si="14"/>
        <v>0</v>
      </c>
      <c r="E116" s="77" t="e">
        <f ca="1">IF(F116="y",HLOOKUP((IF(C116&lt;1,1,C116)),Magick!$C$20:$L$21,2),NA())</f>
        <v>#N/A</v>
      </c>
      <c r="F116" s="67" t="str">
        <f ca="1">IF(C116&lt;=Magick!$D$3,"Y","N")</f>
        <v>N</v>
      </c>
      <c r="G116" s="148" t="s">
        <v>1217</v>
      </c>
      <c r="H116" s="151"/>
      <c r="I116" s="77" t="e">
        <f>IF(H116&gt;0,(HLOOKUP(C116,Magick!$C$20:$L$21,2)-HLOOKUP(H116,Magick!$C$20:$L$21,2)),NA())</f>
        <v>#N/A</v>
      </c>
      <c r="J116" s="77"/>
      <c r="K116" s="67" t="s">
        <v>3216</v>
      </c>
      <c r="L116" s="72" t="str">
        <f>IF(H116&gt;0,Magick!$AR$18-('Master Spell List'!H60*0.1),"N/A")</f>
        <v>N/A</v>
      </c>
      <c r="M116" s="72">
        <f ca="1">Magick!$H$67</f>
        <v>0.08</v>
      </c>
      <c r="N116" s="72">
        <f ca="1">Magick!$K$67</f>
        <v>0.13</v>
      </c>
      <c r="O116" s="72">
        <f ca="1">Magick!$L$67</f>
        <v>0.13</v>
      </c>
      <c r="P116" s="72">
        <f ca="1">Magick!$M$67</f>
        <v>0.13</v>
      </c>
      <c r="Q116" s="67" t="s">
        <v>113</v>
      </c>
      <c r="R116" s="67" t="str">
        <f>IF(Q116="Ritual","N/A",IF(Q116="I.E.","N/A",IF(Q116="WOG",VLOOKUP(Magick!$I$67*100,magestuff!$B$134:$F$138,2),IF(Q116="Cantrip",VLOOKUP(Magick!$I$67*100,magestuff!$B$134:$F$138,3),IF(Q116="Hex",VLOOKUP(Magick!$I$67*100,magestuff!$B$134:$F$138,4),VLOOKUP(Magick!$I$67*100,magestuff!$B$134:$F$138,5))))))</f>
        <v>N/A</v>
      </c>
      <c r="S116" s="69">
        <f>10*Magick!$C$3</f>
        <v>0</v>
      </c>
      <c r="T116" s="67" t="s">
        <v>3725</v>
      </c>
      <c r="U116" s="67" t="str">
        <f t="shared" si="15"/>
        <v xml:space="preserve"> </v>
      </c>
      <c r="V116" s="515"/>
      <c r="W116" s="125"/>
      <c r="X116" s="31">
        <f t="shared" si="16"/>
        <v>0</v>
      </c>
      <c r="Y116" s="1047"/>
      <c r="Z116" s="1054" t="str">
        <f t="shared" si="12"/>
        <v>Great Powder Non-Enchanted Metals</v>
      </c>
      <c r="AA116" s="1072" t="str">
        <f t="shared" si="13"/>
        <v>Common</v>
      </c>
    </row>
    <row r="117" spans="1:27" s="1048" customFormat="1" hidden="1" outlineLevel="1">
      <c r="A117" s="83" t="s">
        <v>3204</v>
      </c>
      <c r="B117" s="67">
        <v>11</v>
      </c>
      <c r="C117" s="67">
        <f ca="1">magestuff!$AD$194+1</f>
        <v>11</v>
      </c>
      <c r="D117" s="67">
        <f t="shared" si="14"/>
        <v>0</v>
      </c>
      <c r="E117" s="77" t="e">
        <f ca="1">IF(F117="y",HLOOKUP((IF(C117&lt;1,1,C117)),Magick!$C$20:$L$21,2),NA())</f>
        <v>#N/A</v>
      </c>
      <c r="F117" s="67" t="str">
        <f ca="1">IF(C117&lt;=Magick!$D$3,"Y","N")</f>
        <v>N</v>
      </c>
      <c r="G117" s="148" t="s">
        <v>1217</v>
      </c>
      <c r="H117" s="151"/>
      <c r="I117" s="77" t="e">
        <f>IF(H117&gt;0,(HLOOKUP(C117,Magick!$C$20:$L$21,2)-HLOOKUP(H117,Magick!$C$20:$L$21,2)),NA())</f>
        <v>#N/A</v>
      </c>
      <c r="J117" s="77"/>
      <c r="K117" s="67" t="s">
        <v>3213</v>
      </c>
      <c r="L117" s="72" t="str">
        <f>IF(H117&gt;0,Magick!$AR$18-('Master Spell List'!H56*0.1),"N/A")</f>
        <v>N/A</v>
      </c>
      <c r="M117" s="72">
        <f ca="1">Magick!$H$67</f>
        <v>0.08</v>
      </c>
      <c r="N117" s="72">
        <f ca="1">Magick!$K$67</f>
        <v>0.13</v>
      </c>
      <c r="O117" s="72">
        <f ca="1">Magick!$L$67</f>
        <v>0.13</v>
      </c>
      <c r="P117" s="72">
        <f ca="1">Magick!$M$67</f>
        <v>0.13</v>
      </c>
      <c r="Q117" s="67" t="s">
        <v>113</v>
      </c>
      <c r="R117" s="67" t="str">
        <f>IF(Q117="Ritual","N/A",IF(Q117="I.E.","N/A",IF(Q117="WOG",VLOOKUP(Magick!$I$67*100,magestuff!$B$134:$F$138,2),IF(Q117="Cantrip",VLOOKUP(Magick!$I$67*100,magestuff!$B$134:$F$138,3),IF(Q117="Hex",VLOOKUP(Magick!$I$67*100,magestuff!$B$134:$F$138,4),VLOOKUP(Magick!$I$67*100,magestuff!$B$134:$F$138,5))))))</f>
        <v>N/A</v>
      </c>
      <c r="S117" s="69">
        <f>15*Magick!$C$3</f>
        <v>0</v>
      </c>
      <c r="T117" s="67" t="s">
        <v>3725</v>
      </c>
      <c r="U117" s="67" t="str">
        <f t="shared" si="15"/>
        <v xml:space="preserve"> </v>
      </c>
      <c r="V117" s="515"/>
      <c r="W117" s="125"/>
      <c r="X117" s="31">
        <f t="shared" si="16"/>
        <v>0</v>
      </c>
      <c r="Y117" s="1047"/>
      <c r="Z117" s="1054" t="str">
        <f t="shared" si="12"/>
        <v>Greater Powder Enchanted Metals</v>
      </c>
      <c r="AA117" s="1072" t="str">
        <f t="shared" si="13"/>
        <v>Common</v>
      </c>
    </row>
    <row r="118" spans="1:27" s="1048" customFormat="1" hidden="1" outlineLevel="1">
      <c r="A118" s="83" t="s">
        <v>3201</v>
      </c>
      <c r="B118" s="67">
        <v>11</v>
      </c>
      <c r="C118" s="67">
        <f ca="1">magestuff!$AD$194+1</f>
        <v>11</v>
      </c>
      <c r="D118" s="67">
        <f t="shared" si="14"/>
        <v>0</v>
      </c>
      <c r="E118" s="77" t="e">
        <f ca="1">IF(F118="y",HLOOKUP((IF(C118&lt;1,1,C118)),Magick!$C$20:$L$21,2),NA())</f>
        <v>#N/A</v>
      </c>
      <c r="F118" s="67" t="str">
        <f ca="1">IF(C118&lt;=Magick!$D$3,"Y","N")</f>
        <v>N</v>
      </c>
      <c r="G118" s="148" t="s">
        <v>1217</v>
      </c>
      <c r="H118" s="151"/>
      <c r="I118" s="77" t="e">
        <f>IF(H118&gt;0,(HLOOKUP(C118,Magick!$C$20:$L$21,2)-HLOOKUP(H118,Magick!$C$20:$L$21,2)),NA())</f>
        <v>#N/A</v>
      </c>
      <c r="J118" s="77"/>
      <c r="K118" s="67" t="s">
        <v>3213</v>
      </c>
      <c r="L118" s="72" t="str">
        <f>IF(H118&gt;0,Magick!$AR$18-('Master Spell List'!H46*0.1),"N/A")</f>
        <v>N/A</v>
      </c>
      <c r="M118" s="72">
        <f ca="1">Magick!$H$67</f>
        <v>0.08</v>
      </c>
      <c r="N118" s="72">
        <f ca="1">Magick!$K$67</f>
        <v>0.13</v>
      </c>
      <c r="O118" s="72">
        <f ca="1">Magick!$L$67</f>
        <v>0.13</v>
      </c>
      <c r="P118" s="72">
        <f ca="1">Magick!$M$67</f>
        <v>0.13</v>
      </c>
      <c r="Q118" s="67" t="s">
        <v>113</v>
      </c>
      <c r="R118" s="67" t="str">
        <f>IF(Q118="Ritual","N/A",IF(Q118="I.E.","N/A",IF(Q118="WOG",VLOOKUP(Magick!$I$67*100,magestuff!$B$134:$F$138,2),IF(Q118="Cantrip",VLOOKUP(Magick!$I$67*100,magestuff!$B$134:$F$138,3),IF(Q118="Hex",VLOOKUP(Magick!$I$67*100,magestuff!$B$134:$F$138,4),VLOOKUP(Magick!$I$67*100,magestuff!$B$134:$F$138,5))))))</f>
        <v>N/A</v>
      </c>
      <c r="S118" s="69">
        <f>15*Magick!$C$3</f>
        <v>0</v>
      </c>
      <c r="T118" s="67" t="s">
        <v>3725</v>
      </c>
      <c r="U118" s="67" t="str">
        <f t="shared" si="15"/>
        <v xml:space="preserve"> </v>
      </c>
      <c r="V118" s="515"/>
      <c r="W118" s="125"/>
      <c r="X118" s="31">
        <f t="shared" si="16"/>
        <v>0</v>
      </c>
      <c r="Y118" s="1047"/>
      <c r="Z118" s="1054" t="str">
        <f t="shared" si="12"/>
        <v>Greater Shave Non-Enchanted Metals</v>
      </c>
      <c r="AA118" s="1072" t="str">
        <f t="shared" si="13"/>
        <v>Common</v>
      </c>
    </row>
    <row r="119" spans="1:27" s="1048" customFormat="1" hidden="1" outlineLevel="1">
      <c r="A119" s="83" t="s">
        <v>6120</v>
      </c>
      <c r="B119" s="67">
        <v>11</v>
      </c>
      <c r="C119" s="67">
        <f ca="1">magestuff!$AD$194+1</f>
        <v>11</v>
      </c>
      <c r="D119" s="67">
        <f t="shared" ref="D119:D134" si="17">IF(AND(ISNUMBER(H119),H119=0),C119,0)</f>
        <v>0</v>
      </c>
      <c r="E119" s="77" t="e">
        <f ca="1">IF(F119="y",HLOOKUP((IF(C119&lt;1,1,C119)),Magick!$C$20:$L$21,2),NA())</f>
        <v>#N/A</v>
      </c>
      <c r="F119" s="67" t="str">
        <f ca="1">IF(C119&lt;=Magick!$D$3,"Y","N")</f>
        <v>N</v>
      </c>
      <c r="G119" s="148" t="s">
        <v>6052</v>
      </c>
      <c r="H119" s="151"/>
      <c r="I119" s="77" t="e">
        <f>IF(H119&gt;0,(HLOOKUP(C119,Magick!$C$20:$L$21,2)-HLOOKUP(H119,Magick!$C$20:$L$21,2)),NA())</f>
        <v>#N/A</v>
      </c>
      <c r="J119" s="77"/>
      <c r="K119" s="67" t="s">
        <v>3215</v>
      </c>
      <c r="L119" s="72" t="str">
        <f>IF(H119&gt;0,Magick!$AR$18-('Master Spell List'!H80*0.1),"N/A")</f>
        <v>N/A</v>
      </c>
      <c r="M119" s="72">
        <f ca="1">Magick!$H$67</f>
        <v>0.08</v>
      </c>
      <c r="N119" s="72">
        <f ca="1">Magick!$K$67</f>
        <v>0.13</v>
      </c>
      <c r="O119" s="72">
        <f ca="1">Magick!$L$67</f>
        <v>0.13</v>
      </c>
      <c r="P119" s="72">
        <f ca="1">Magick!$M$67</f>
        <v>0.13</v>
      </c>
      <c r="Q119" s="67" t="s">
        <v>113</v>
      </c>
      <c r="R119" s="67" t="str">
        <f>IF(Q119="Ritual","N/A",IF(Q119="I.E.","N/A",IF(Q119="WOG",VLOOKUP(Magick!$I$67*100,magestuff!$B$134:$F$138,2),IF(Q119="Cantrip",VLOOKUP(Magick!$I$67*100,magestuff!$B$134:$F$138,3),IF(Q119="Hex",VLOOKUP(Magick!$I$67*100,magestuff!$B$134:$F$138,4),VLOOKUP(Magick!$I$67*100,magestuff!$B$134:$F$138,5))))))</f>
        <v>N/A</v>
      </c>
      <c r="S119" s="69">
        <f>5*Magick!$C$3</f>
        <v>0</v>
      </c>
      <c r="T119" s="67" t="s">
        <v>3725</v>
      </c>
      <c r="U119" s="67" t="str">
        <f t="shared" ref="U119:U134" si="18">IF(ISBLANK(H119)," ",IF(H119&gt;0,0,C119*10))</f>
        <v xml:space="preserve"> </v>
      </c>
      <c r="V119" s="515"/>
      <c r="W119" s="125"/>
      <c r="X119" s="31">
        <f t="shared" ref="X119:X134" si="19">W119*3</f>
        <v>0</v>
      </c>
      <c r="Y119" s="1047"/>
      <c r="Z119" s="1054" t="str">
        <f t="shared" si="12"/>
        <v>Create Perfect Glass Wand</v>
      </c>
      <c r="AA119" s="1072" t="str">
        <f t="shared" si="13"/>
        <v>Common</v>
      </c>
    </row>
    <row r="120" spans="1:27" s="1048" customFormat="1" hidden="1" outlineLevel="1">
      <c r="A120" s="83" t="s">
        <v>6095</v>
      </c>
      <c r="B120" s="67">
        <v>12</v>
      </c>
      <c r="C120" s="67">
        <f ca="1">magestuff!$AD$194+2</f>
        <v>12</v>
      </c>
      <c r="D120" s="67">
        <f t="shared" si="17"/>
        <v>0</v>
      </c>
      <c r="E120" s="77" t="e">
        <f ca="1">IF(F120="y",HLOOKUP((IF(C120&lt;1,1,C120)),Magick!$C$20:$L$21,2),NA())</f>
        <v>#N/A</v>
      </c>
      <c r="F120" s="67" t="str">
        <f ca="1">IF(C120&lt;=Magick!$D$3,"Y","N")</f>
        <v>N</v>
      </c>
      <c r="G120" s="148" t="s">
        <v>6052</v>
      </c>
      <c r="H120" s="151"/>
      <c r="I120" s="77" t="e">
        <f>IF(H120&gt;0,(HLOOKUP(C120,Magick!$C$20:$L$21,2)-HLOOKUP(H120,Magick!$C$20:$L$21,2)),NA())</f>
        <v>#N/A</v>
      </c>
      <c r="J120" s="77"/>
      <c r="K120" s="67" t="s">
        <v>3215</v>
      </c>
      <c r="L120" s="72" t="str">
        <f>IF(H120&gt;0,Magick!$AR$18-('Master Spell List'!H65*0.1),"N/A")</f>
        <v>N/A</v>
      </c>
      <c r="M120" s="72">
        <f ca="1">Magick!$H$67</f>
        <v>0.08</v>
      </c>
      <c r="N120" s="72">
        <f ca="1">Magick!$K$67</f>
        <v>0.13</v>
      </c>
      <c r="O120" s="72">
        <f ca="1">Magick!$L$67</f>
        <v>0.13</v>
      </c>
      <c r="P120" s="72">
        <f ca="1">Magick!$M$67</f>
        <v>0.13</v>
      </c>
      <c r="Q120" s="67" t="s">
        <v>113</v>
      </c>
      <c r="R120" s="67" t="str">
        <f>IF(Q120="Ritual","N/A",IF(Q120="I.E.","N/A",IF(Q120="WOG",VLOOKUP(Magick!$I$67*100,magestuff!$B$134:$F$138,2),IF(Q120="Cantrip",VLOOKUP(Magick!$I$67*100,magestuff!$B$134:$F$138,3),IF(Q120="Hex",VLOOKUP(Magick!$I$67*100,magestuff!$B$134:$F$138,4),VLOOKUP(Magick!$I$67*100,magestuff!$B$134:$F$138,5))))))</f>
        <v>N/A</v>
      </c>
      <c r="S120" s="69">
        <f>5*Magick!$C$3</f>
        <v>0</v>
      </c>
      <c r="T120" s="67" t="s">
        <v>3725</v>
      </c>
      <c r="U120" s="67" t="str">
        <f t="shared" si="18"/>
        <v xml:space="preserve"> </v>
      </c>
      <c r="V120" s="515"/>
      <c r="W120" s="125"/>
      <c r="X120" s="31">
        <f t="shared" si="19"/>
        <v>0</v>
      </c>
      <c r="Y120" s="1047"/>
      <c r="Z120" s="1054" t="str">
        <f t="shared" si="12"/>
        <v>Lesser Refine Metal Ore</v>
      </c>
      <c r="AA120" s="1072" t="str">
        <f t="shared" si="13"/>
        <v>Common</v>
      </c>
    </row>
    <row r="121" spans="1:27" s="1048" customFormat="1" hidden="1" outlineLevel="1">
      <c r="A121" s="83" t="s">
        <v>6099</v>
      </c>
      <c r="B121" s="67">
        <v>12</v>
      </c>
      <c r="C121" s="67">
        <f ca="1">magestuff!$AD$194+2</f>
        <v>12</v>
      </c>
      <c r="D121" s="67">
        <f t="shared" si="17"/>
        <v>0</v>
      </c>
      <c r="E121" s="77" t="e">
        <f ca="1">IF(F121="y",HLOOKUP((IF(C121&lt;1,1,C121)),Magick!$C$20:$L$21,2),NA())</f>
        <v>#N/A</v>
      </c>
      <c r="F121" s="67" t="str">
        <f ca="1">IF(C121&lt;=Magick!$D$3,"Y","N")</f>
        <v>N</v>
      </c>
      <c r="G121" s="148" t="s">
        <v>6052</v>
      </c>
      <c r="H121" s="151"/>
      <c r="I121" s="77" t="e">
        <f>IF(H121&gt;0,(HLOOKUP(C121,Magick!$C$20:$L$21,2)-HLOOKUP(H121,Magick!$C$20:$L$21,2)),NA())</f>
        <v>#N/A</v>
      </c>
      <c r="J121" s="77"/>
      <c r="K121" s="67" t="s">
        <v>3215</v>
      </c>
      <c r="L121" s="72" t="str">
        <f>IF(H121&gt;0,Magick!$AR$18-('Master Spell List'!H70*0.1),"N/A")</f>
        <v>N/A</v>
      </c>
      <c r="M121" s="72">
        <f ca="1">Magick!$H$67</f>
        <v>0.08</v>
      </c>
      <c r="N121" s="72">
        <f ca="1">Magick!$K$67</f>
        <v>0.13</v>
      </c>
      <c r="O121" s="72">
        <f ca="1">Magick!$L$67</f>
        <v>0.13</v>
      </c>
      <c r="P121" s="72">
        <f ca="1">Magick!$M$67</f>
        <v>0.13</v>
      </c>
      <c r="Q121" s="67" t="s">
        <v>113</v>
      </c>
      <c r="R121" s="67" t="str">
        <f>IF(Q121="Ritual","N/A",IF(Q121="I.E.","N/A",IF(Q121="WOG",VLOOKUP(Magick!$I$67*100,magestuff!$B$134:$F$138,2),IF(Q121="Cantrip",VLOOKUP(Magick!$I$67*100,magestuff!$B$134:$F$138,3),IF(Q121="Hex",VLOOKUP(Magick!$I$67*100,magestuff!$B$134:$F$138,4),VLOOKUP(Magick!$I$67*100,magestuff!$B$134:$F$138,5))))))</f>
        <v>N/A</v>
      </c>
      <c r="S121" s="69">
        <f>5*Magick!$C$3</f>
        <v>0</v>
      </c>
      <c r="T121" s="67" t="s">
        <v>3725</v>
      </c>
      <c r="U121" s="67" t="str">
        <f t="shared" si="18"/>
        <v xml:space="preserve"> </v>
      </c>
      <c r="V121" s="515"/>
      <c r="W121" s="125"/>
      <c r="X121" s="31">
        <f t="shared" si="19"/>
        <v>0</v>
      </c>
      <c r="Y121" s="1047"/>
      <c r="Z121" s="1054" t="str">
        <f t="shared" si="12"/>
        <v>Least Refine Gem Ore</v>
      </c>
      <c r="AA121" s="1072" t="str">
        <f t="shared" si="13"/>
        <v>Common</v>
      </c>
    </row>
    <row r="122" spans="1:27" hidden="1" outlineLevel="1">
      <c r="A122" s="83" t="s">
        <v>6118</v>
      </c>
      <c r="B122" s="67">
        <v>12</v>
      </c>
      <c r="C122" s="67">
        <f ca="1">magestuff!$AD$194+2</f>
        <v>12</v>
      </c>
      <c r="D122" s="67">
        <f t="shared" si="17"/>
        <v>0</v>
      </c>
      <c r="E122" s="77" t="e">
        <f ca="1">IF(F122="y",HLOOKUP((IF(C122&lt;1,1,C122)),Magick!$C$20:$L$21,2),NA())</f>
        <v>#N/A</v>
      </c>
      <c r="F122" s="67" t="str">
        <f ca="1">IF(C122&lt;=Magick!$D$3,"Y","N")</f>
        <v>N</v>
      </c>
      <c r="G122" s="148" t="s">
        <v>6052</v>
      </c>
      <c r="H122" s="151"/>
      <c r="I122" s="77" t="e">
        <f>IF(H122&gt;0,(HLOOKUP(C122,Magick!$C$20:$L$21,2)-HLOOKUP(H122,Magick!$C$20:$L$21,2)),NA())</f>
        <v>#N/A</v>
      </c>
      <c r="J122" s="77"/>
      <c r="K122" s="67" t="s">
        <v>3215</v>
      </c>
      <c r="L122" s="72" t="str">
        <f>IF(H122&gt;0,Magick!$AR$18-('Master Spell List'!H78*0.1),"N/A")</f>
        <v>N/A</v>
      </c>
      <c r="M122" s="72">
        <f ca="1">Magick!$H$67</f>
        <v>0.08</v>
      </c>
      <c r="N122" s="72">
        <f ca="1">Magick!$K$67</f>
        <v>0.13</v>
      </c>
      <c r="O122" s="72">
        <f ca="1">Magick!$L$67</f>
        <v>0.13</v>
      </c>
      <c r="P122" s="72">
        <f ca="1">Magick!$M$67</f>
        <v>0.13</v>
      </c>
      <c r="Q122" s="67" t="s">
        <v>113</v>
      </c>
      <c r="R122" s="67" t="str">
        <f>IF(Q122="Ritual","N/A",IF(Q122="I.E.","N/A",IF(Q122="WOG",VLOOKUP(Magick!$I$67*100,magestuff!$B$134:$F$138,2),IF(Q122="Cantrip",VLOOKUP(Magick!$I$67*100,magestuff!$B$134:$F$138,3),IF(Q122="Hex",VLOOKUP(Magick!$I$67*100,magestuff!$B$134:$F$138,4),VLOOKUP(Magick!$I$67*100,magestuff!$B$134:$F$138,5))))))</f>
        <v>N/A</v>
      </c>
      <c r="S122" s="69">
        <f>5*Magick!$C$3</f>
        <v>0</v>
      </c>
      <c r="T122" s="67" t="s">
        <v>3725</v>
      </c>
      <c r="U122" s="67" t="str">
        <f t="shared" si="18"/>
        <v xml:space="preserve"> </v>
      </c>
      <c r="V122" s="515"/>
      <c r="W122" s="125"/>
      <c r="X122" s="31">
        <f t="shared" si="19"/>
        <v>0</v>
      </c>
      <c r="Y122" s="509"/>
      <c r="Z122" s="1054" t="str">
        <f t="shared" si="12"/>
        <v>Create Imperfect Glass Scepter</v>
      </c>
      <c r="AA122" s="1072" t="str">
        <f t="shared" si="13"/>
        <v>Common</v>
      </c>
    </row>
    <row r="123" spans="1:27" hidden="1" outlineLevel="1">
      <c r="A123" s="83" t="s">
        <v>3207</v>
      </c>
      <c r="B123" s="67">
        <v>13</v>
      </c>
      <c r="C123" s="67">
        <f ca="1">magestuff!$AD$194+3</f>
        <v>13</v>
      </c>
      <c r="D123" s="67">
        <f t="shared" si="17"/>
        <v>0</v>
      </c>
      <c r="E123" s="77" t="e">
        <f ca="1">IF(F123="y",HLOOKUP((IF(C123&lt;1,1,C123)),Magick!$C$20:$L$21,2),NA())</f>
        <v>#N/A</v>
      </c>
      <c r="F123" s="67" t="str">
        <f ca="1">IF(C123&lt;=Magick!$D$3,"Y","N")</f>
        <v>N</v>
      </c>
      <c r="G123" s="148" t="s">
        <v>1217</v>
      </c>
      <c r="H123" s="151"/>
      <c r="I123" s="77" t="e">
        <f>IF(H123&gt;0,(HLOOKUP(C123,Magick!$C$20:$L$21,2)-HLOOKUP(H123,Magick!$C$20:$L$21,2)),NA())</f>
        <v>#N/A</v>
      </c>
      <c r="J123" s="77"/>
      <c r="K123" s="67" t="s">
        <v>3217</v>
      </c>
      <c r="L123" s="72" t="str">
        <f>IF(H123&gt;0,Magick!$AR$18-('Master Spell List'!H61*0.1),"N/A")</f>
        <v>N/A</v>
      </c>
      <c r="M123" s="72">
        <f ca="1">Magick!$H$67</f>
        <v>0.08</v>
      </c>
      <c r="N123" s="72">
        <f ca="1">Magick!$K$67</f>
        <v>0.13</v>
      </c>
      <c r="O123" s="72">
        <f ca="1">Magick!$L$67</f>
        <v>0.13</v>
      </c>
      <c r="P123" s="72">
        <f ca="1">Magick!$M$67</f>
        <v>0.13</v>
      </c>
      <c r="Q123" s="67" t="s">
        <v>113</v>
      </c>
      <c r="R123" s="67" t="str">
        <f>IF(Q123="Ritual","N/A",IF(Q123="I.E.","N/A",IF(Q123="WOG",VLOOKUP(Magick!$I$67*100,magestuff!$B$134:$F$138,2),IF(Q123="Cantrip",VLOOKUP(Magick!$I$67*100,magestuff!$B$134:$F$138,3),IF(Q123="Hex",VLOOKUP(Magick!$I$67*100,magestuff!$B$134:$F$138,4),VLOOKUP(Magick!$I$67*100,magestuff!$B$134:$F$138,5))))))</f>
        <v>N/A</v>
      </c>
      <c r="S123" s="69">
        <f>15*Magick!$C$3</f>
        <v>0</v>
      </c>
      <c r="T123" s="67" t="s">
        <v>3725</v>
      </c>
      <c r="U123" s="67" t="str">
        <f t="shared" si="18"/>
        <v xml:space="preserve"> </v>
      </c>
      <c r="V123" s="515"/>
      <c r="W123" s="125"/>
      <c r="X123" s="31">
        <f t="shared" si="19"/>
        <v>0</v>
      </c>
      <c r="Y123" s="509"/>
      <c r="Z123" s="1054" t="str">
        <f t="shared" si="12"/>
        <v>Greater Powder Non-Enchanted Metals</v>
      </c>
      <c r="AA123" s="1072" t="str">
        <f t="shared" si="13"/>
        <v>Common</v>
      </c>
    </row>
    <row r="124" spans="1:27" hidden="1" outlineLevel="1">
      <c r="A124" s="83" t="s">
        <v>6093</v>
      </c>
      <c r="B124" s="67">
        <v>14</v>
      </c>
      <c r="C124" s="67">
        <f ca="1">magestuff!$AD$194+4</f>
        <v>14</v>
      </c>
      <c r="D124" s="67">
        <f t="shared" si="17"/>
        <v>0</v>
      </c>
      <c r="E124" s="77" t="e">
        <f ca="1">IF(F124="y",HLOOKUP((IF(C124&lt;1,1,C124)),Magick!$C$20:$L$21,2),NA())</f>
        <v>#N/A</v>
      </c>
      <c r="F124" s="67" t="str">
        <f ca="1">IF(C124&lt;=Magick!$D$3,"Y","N")</f>
        <v>N</v>
      </c>
      <c r="G124" s="148" t="s">
        <v>6052</v>
      </c>
      <c r="H124" s="151"/>
      <c r="I124" s="77" t="e">
        <f>IF(H124&gt;0,(HLOOKUP(C124,Magick!$C$20:$L$21,2)-HLOOKUP(H124,Magick!$C$20:$L$21,2)),NA())</f>
        <v>#N/A</v>
      </c>
      <c r="J124" s="77"/>
      <c r="K124" s="67" t="s">
        <v>3215</v>
      </c>
      <c r="L124" s="72" t="str">
        <f>IF(H124&gt;0,Magick!$AR$18-('Master Spell List'!H62*0.1),"N/A")</f>
        <v>N/A</v>
      </c>
      <c r="M124" s="72">
        <f ca="1">Magick!$H$67</f>
        <v>0.08</v>
      </c>
      <c r="N124" s="72">
        <f ca="1">Magick!$K$67</f>
        <v>0.13</v>
      </c>
      <c r="O124" s="72">
        <f ca="1">Magick!$L$67</f>
        <v>0.13</v>
      </c>
      <c r="P124" s="72">
        <f ca="1">Magick!$M$67</f>
        <v>0.13</v>
      </c>
      <c r="Q124" s="67" t="s">
        <v>113</v>
      </c>
      <c r="R124" s="67" t="str">
        <f>IF(Q124="Ritual","N/A",IF(Q124="I.E.","N/A",IF(Q124="WOG",VLOOKUP(Magick!$I$67*100,magestuff!$B$134:$F$138,2),IF(Q124="Cantrip",VLOOKUP(Magick!$I$67*100,magestuff!$B$134:$F$138,3),IF(Q124="Hex",VLOOKUP(Magick!$I$67*100,magestuff!$B$134:$F$138,4),VLOOKUP(Magick!$I$67*100,magestuff!$B$134:$F$138,5))))))</f>
        <v>N/A</v>
      </c>
      <c r="S124" s="69">
        <f>5*Magick!$C$3</f>
        <v>0</v>
      </c>
      <c r="T124" s="67" t="s">
        <v>3725</v>
      </c>
      <c r="U124" s="67" t="str">
        <f t="shared" si="18"/>
        <v xml:space="preserve"> </v>
      </c>
      <c r="V124" s="515"/>
      <c r="W124" s="125"/>
      <c r="X124" s="31">
        <f t="shared" si="19"/>
        <v>0</v>
      </c>
      <c r="Y124" s="509"/>
      <c r="Z124" s="1054" t="str">
        <f t="shared" si="12"/>
        <v>Greatest Divide</v>
      </c>
      <c r="AA124" s="1072" t="str">
        <f t="shared" si="13"/>
        <v>Common</v>
      </c>
    </row>
    <row r="125" spans="1:27" hidden="1" outlineLevel="1">
      <c r="A125" s="83" t="s">
        <v>6096</v>
      </c>
      <c r="B125" s="67">
        <v>14</v>
      </c>
      <c r="C125" s="67">
        <f ca="1">magestuff!$AD$194+4</f>
        <v>14</v>
      </c>
      <c r="D125" s="67">
        <f t="shared" si="17"/>
        <v>0</v>
      </c>
      <c r="E125" s="77" t="e">
        <f ca="1">IF(F125="y",HLOOKUP((IF(C125&lt;1,1,C125)),Magick!$C$20:$L$21,2),NA())</f>
        <v>#N/A</v>
      </c>
      <c r="F125" s="67" t="str">
        <f ca="1">IF(C125&lt;=Magick!$D$3,"Y","N")</f>
        <v>N</v>
      </c>
      <c r="G125" s="148" t="s">
        <v>6052</v>
      </c>
      <c r="H125" s="151"/>
      <c r="I125" s="77" t="e">
        <f>IF(H125&gt;0,(HLOOKUP(C125,Magick!$C$20:$L$21,2)-HLOOKUP(H125,Magick!$C$20:$L$21,2)),NA())</f>
        <v>#N/A</v>
      </c>
      <c r="J125" s="77"/>
      <c r="K125" s="67" t="s">
        <v>3215</v>
      </c>
      <c r="L125" s="72" t="str">
        <f>IF(H125&gt;0,Magick!$AR$18-('Master Spell List'!H65*0.1),"N/A")</f>
        <v>N/A</v>
      </c>
      <c r="M125" s="72">
        <f ca="1">Magick!$H$67</f>
        <v>0.08</v>
      </c>
      <c r="N125" s="72">
        <f ca="1">Magick!$K$67</f>
        <v>0.13</v>
      </c>
      <c r="O125" s="72">
        <f ca="1">Magick!$L$67</f>
        <v>0.13</v>
      </c>
      <c r="P125" s="72">
        <f ca="1">Magick!$M$67</f>
        <v>0.13</v>
      </c>
      <c r="Q125" s="67" t="s">
        <v>113</v>
      </c>
      <c r="R125" s="67" t="str">
        <f>IF(Q125="Ritual","N/A",IF(Q125="I.E.","N/A",IF(Q125="WOG",VLOOKUP(Magick!$I$67*100,magestuff!$B$134:$F$138,2),IF(Q125="Cantrip",VLOOKUP(Magick!$I$67*100,magestuff!$B$134:$F$138,3),IF(Q125="Hex",VLOOKUP(Magick!$I$67*100,magestuff!$B$134:$F$138,4),VLOOKUP(Magick!$I$67*100,magestuff!$B$134:$F$138,5))))))</f>
        <v>N/A</v>
      </c>
      <c r="S125" s="69">
        <f>5*Magick!$C$3</f>
        <v>0</v>
      </c>
      <c r="T125" s="67" t="s">
        <v>3725</v>
      </c>
      <c r="U125" s="67" t="str">
        <f t="shared" si="18"/>
        <v xml:space="preserve"> </v>
      </c>
      <c r="V125" s="515"/>
      <c r="W125" s="125"/>
      <c r="X125" s="31">
        <f t="shared" si="19"/>
        <v>0</v>
      </c>
      <c r="Y125" s="509"/>
      <c r="Z125" s="1054" t="str">
        <f t="shared" si="12"/>
        <v>Great Refine Metal Ore</v>
      </c>
      <c r="AA125" s="1072" t="str">
        <f t="shared" si="13"/>
        <v>Common</v>
      </c>
    </row>
    <row r="126" spans="1:27" hidden="1" outlineLevel="1">
      <c r="A126" s="83" t="s">
        <v>6100</v>
      </c>
      <c r="B126" s="67">
        <v>14</v>
      </c>
      <c r="C126" s="67">
        <f ca="1">magestuff!$AD$194+4</f>
        <v>14</v>
      </c>
      <c r="D126" s="67">
        <f t="shared" si="17"/>
        <v>0</v>
      </c>
      <c r="E126" s="77" t="e">
        <f ca="1">IF(F126="y",HLOOKUP((IF(C126&lt;1,1,C126)),Magick!$C$20:$L$21,2),NA())</f>
        <v>#N/A</v>
      </c>
      <c r="F126" s="67" t="str">
        <f ca="1">IF(C126&lt;=Magick!$D$3,"Y","N")</f>
        <v>N</v>
      </c>
      <c r="G126" s="148" t="s">
        <v>6052</v>
      </c>
      <c r="H126" s="151"/>
      <c r="I126" s="77" t="e">
        <f>IF(H126&gt;0,(HLOOKUP(C126,Magick!$C$20:$L$21,2)-HLOOKUP(H126,Magick!$C$20:$L$21,2)),NA())</f>
        <v>#N/A</v>
      </c>
      <c r="J126" s="77"/>
      <c r="K126" s="67" t="s">
        <v>3215</v>
      </c>
      <c r="L126" s="72" t="str">
        <f>IF(H126&gt;0,Magick!$AR$18-('Master Spell List'!H70*0.1),"N/A")</f>
        <v>N/A</v>
      </c>
      <c r="M126" s="72">
        <f ca="1">Magick!$H$67</f>
        <v>0.08</v>
      </c>
      <c r="N126" s="72">
        <f ca="1">Magick!$K$67</f>
        <v>0.13</v>
      </c>
      <c r="O126" s="72">
        <f ca="1">Magick!$L$67</f>
        <v>0.13</v>
      </c>
      <c r="P126" s="72">
        <f ca="1">Magick!$M$67</f>
        <v>0.13</v>
      </c>
      <c r="Q126" s="67" t="s">
        <v>113</v>
      </c>
      <c r="R126" s="67" t="str">
        <f>IF(Q126="Ritual","N/A",IF(Q126="I.E.","N/A",IF(Q126="WOG",VLOOKUP(Magick!$I$67*100,magestuff!$B$134:$F$138,2),IF(Q126="Cantrip",VLOOKUP(Magick!$I$67*100,magestuff!$B$134:$F$138,3),IF(Q126="Hex",VLOOKUP(Magick!$I$67*100,magestuff!$B$134:$F$138,4),VLOOKUP(Magick!$I$67*100,magestuff!$B$134:$F$138,5))))))</f>
        <v>N/A</v>
      </c>
      <c r="S126" s="69">
        <f>5*Magick!$C$3</f>
        <v>0</v>
      </c>
      <c r="T126" s="67" t="s">
        <v>3725</v>
      </c>
      <c r="U126" s="67" t="str">
        <f t="shared" si="18"/>
        <v xml:space="preserve"> </v>
      </c>
      <c r="V126" s="515"/>
      <c r="W126" s="125"/>
      <c r="X126" s="31">
        <f t="shared" si="19"/>
        <v>0</v>
      </c>
      <c r="Y126" s="509"/>
      <c r="Z126" s="1054" t="str">
        <f t="shared" si="12"/>
        <v>Lesser Refine Gem Ore</v>
      </c>
      <c r="AA126" s="1072" t="str">
        <f t="shared" si="13"/>
        <v>Common</v>
      </c>
    </row>
    <row r="127" spans="1:27" hidden="1" outlineLevel="1">
      <c r="A127" s="83" t="s">
        <v>6119</v>
      </c>
      <c r="B127" s="67">
        <v>14</v>
      </c>
      <c r="C127" s="67">
        <f ca="1">magestuff!$AD$194+4</f>
        <v>14</v>
      </c>
      <c r="D127" s="67">
        <f t="shared" si="17"/>
        <v>0</v>
      </c>
      <c r="E127" s="77" t="e">
        <f ca="1">IF(F127="y",HLOOKUP((IF(C127&lt;1,1,C127)),Magick!$C$20:$L$21,2),NA())</f>
        <v>#N/A</v>
      </c>
      <c r="F127" s="67" t="str">
        <f ca="1">IF(C127&lt;=Magick!$D$3,"Y","N")</f>
        <v>N</v>
      </c>
      <c r="G127" s="148" t="s">
        <v>6052</v>
      </c>
      <c r="H127" s="151"/>
      <c r="I127" s="77" t="e">
        <f>IF(H127&gt;0,(HLOOKUP(C127,Magick!$C$20:$L$21,2)-HLOOKUP(H127,Magick!$C$20:$L$21,2)),NA())</f>
        <v>#N/A</v>
      </c>
      <c r="J127" s="77"/>
      <c r="K127" s="67" t="s">
        <v>3215</v>
      </c>
      <c r="L127" s="72" t="str">
        <f>IF(H127&gt;0,Magick!$AR$18-('Master Spell List'!H79*0.1),"N/A")</f>
        <v>N/A</v>
      </c>
      <c r="M127" s="72">
        <f ca="1">Magick!$H$67</f>
        <v>0.08</v>
      </c>
      <c r="N127" s="72">
        <f ca="1">Magick!$K$67</f>
        <v>0.13</v>
      </c>
      <c r="O127" s="72">
        <f ca="1">Magick!$L$67</f>
        <v>0.13</v>
      </c>
      <c r="P127" s="72">
        <f ca="1">Magick!$M$67</f>
        <v>0.13</v>
      </c>
      <c r="Q127" s="67" t="s">
        <v>113</v>
      </c>
      <c r="R127" s="67" t="str">
        <f>IF(Q127="Ritual","N/A",IF(Q127="I.E.","N/A",IF(Q127="WOG",VLOOKUP(Magick!$I$67*100,magestuff!$B$134:$F$138,2),IF(Q127="Cantrip",VLOOKUP(Magick!$I$67*100,magestuff!$B$134:$F$138,3),IF(Q127="Hex",VLOOKUP(Magick!$I$67*100,magestuff!$B$134:$F$138,4),VLOOKUP(Magick!$I$67*100,magestuff!$B$134:$F$138,5))))))</f>
        <v>N/A</v>
      </c>
      <c r="S127" s="69">
        <f>5*Magick!$C$3</f>
        <v>0</v>
      </c>
      <c r="T127" s="67" t="s">
        <v>3725</v>
      </c>
      <c r="U127" s="67" t="str">
        <f t="shared" si="18"/>
        <v xml:space="preserve"> </v>
      </c>
      <c r="V127" s="515"/>
      <c r="W127" s="125"/>
      <c r="X127" s="31">
        <f t="shared" si="19"/>
        <v>0</v>
      </c>
      <c r="Y127" s="509"/>
      <c r="Z127" s="1054" t="str">
        <f t="shared" si="12"/>
        <v>Create Imperfect Glass Sphere</v>
      </c>
      <c r="AA127" s="1072" t="str">
        <f t="shared" si="13"/>
        <v>Common</v>
      </c>
    </row>
    <row r="128" spans="1:27" hidden="1" outlineLevel="1">
      <c r="A128" s="83" t="s">
        <v>6121</v>
      </c>
      <c r="B128" s="67">
        <v>14</v>
      </c>
      <c r="C128" s="67">
        <f ca="1">magestuff!$AD$194+4</f>
        <v>14</v>
      </c>
      <c r="D128" s="67">
        <f t="shared" si="17"/>
        <v>0</v>
      </c>
      <c r="E128" s="77" t="e">
        <f ca="1">IF(F128="y",HLOOKUP((IF(C128&lt;1,1,C128)),Magick!$C$20:$L$21,2),NA())</f>
        <v>#N/A</v>
      </c>
      <c r="F128" s="67" t="str">
        <f ca="1">IF(C128&lt;=Magick!$D$3,"Y","N")</f>
        <v>N</v>
      </c>
      <c r="G128" s="148" t="s">
        <v>6052</v>
      </c>
      <c r="H128" s="151"/>
      <c r="I128" s="77" t="e">
        <f>IF(H128&gt;0,(HLOOKUP(C128,Magick!$C$20:$L$21,2)-HLOOKUP(H128,Magick!$C$20:$L$21,2)),NA())</f>
        <v>#N/A</v>
      </c>
      <c r="J128" s="77"/>
      <c r="K128" s="67" t="s">
        <v>3215</v>
      </c>
      <c r="L128" s="72" t="str">
        <f>IF(H128&gt;0,Magick!$AR$18-('Master Spell List'!H81*0.1),"N/A")</f>
        <v>N/A</v>
      </c>
      <c r="M128" s="72">
        <f ca="1">Magick!$H$67</f>
        <v>0.08</v>
      </c>
      <c r="N128" s="72">
        <f ca="1">Magick!$K$67</f>
        <v>0.13</v>
      </c>
      <c r="O128" s="72">
        <f ca="1">Magick!$L$67</f>
        <v>0.13</v>
      </c>
      <c r="P128" s="72">
        <f ca="1">Magick!$M$67</f>
        <v>0.13</v>
      </c>
      <c r="Q128" s="67" t="s">
        <v>113</v>
      </c>
      <c r="R128" s="67" t="str">
        <f>IF(Q128="Ritual","N/A",IF(Q128="I.E.","N/A",IF(Q128="WOG",VLOOKUP(Magick!$I$67*100,magestuff!$B$134:$F$138,2),IF(Q128="Cantrip",VLOOKUP(Magick!$I$67*100,magestuff!$B$134:$F$138,3),IF(Q128="Hex",VLOOKUP(Magick!$I$67*100,magestuff!$B$134:$F$138,4),VLOOKUP(Magick!$I$67*100,magestuff!$B$134:$F$138,5))))))</f>
        <v>N/A</v>
      </c>
      <c r="S128" s="69">
        <f>5*Magick!$C$3</f>
        <v>0</v>
      </c>
      <c r="T128" s="67" t="s">
        <v>3725</v>
      </c>
      <c r="U128" s="67" t="str">
        <f t="shared" si="18"/>
        <v xml:space="preserve"> </v>
      </c>
      <c r="V128" s="515"/>
      <c r="W128" s="125"/>
      <c r="X128" s="31">
        <f t="shared" si="19"/>
        <v>0</v>
      </c>
      <c r="Y128" s="509"/>
      <c r="Z128" s="1054" t="str">
        <f t="shared" si="12"/>
        <v>Create Perfect Glass Scepter</v>
      </c>
      <c r="AA128" s="1072" t="str">
        <f t="shared" si="13"/>
        <v>Common</v>
      </c>
    </row>
    <row r="129" spans="1:27" s="1048" customFormat="1" hidden="1" outlineLevel="1">
      <c r="A129" s="83" t="s">
        <v>6122</v>
      </c>
      <c r="B129" s="67">
        <v>15</v>
      </c>
      <c r="C129" s="67">
        <f ca="1">magestuff!$AD$194+5</f>
        <v>15</v>
      </c>
      <c r="D129" s="67">
        <f t="shared" si="17"/>
        <v>0</v>
      </c>
      <c r="E129" s="77" t="e">
        <f ca="1">IF(F129="y",HLOOKUP((IF(C129&lt;1,1,C129)),Magick!$C$20:$L$21,2),NA())</f>
        <v>#N/A</v>
      </c>
      <c r="F129" s="67" t="str">
        <f ca="1">IF(C129&lt;=Magick!$D$3,"Y","N")</f>
        <v>N</v>
      </c>
      <c r="G129" s="148" t="s">
        <v>6052</v>
      </c>
      <c r="H129" s="151"/>
      <c r="I129" s="77" t="e">
        <f>IF(H129&gt;0,(HLOOKUP(C129,Magick!$C$20:$L$21,2)-HLOOKUP(H129,Magick!$C$20:$L$21,2)),NA())</f>
        <v>#N/A</v>
      </c>
      <c r="J129" s="77"/>
      <c r="K129" s="67" t="s">
        <v>3215</v>
      </c>
      <c r="L129" s="72" t="str">
        <f>IF(H129&gt;0,Magick!$AR$18-('Master Spell List'!H82*0.1),"N/A")</f>
        <v>N/A</v>
      </c>
      <c r="M129" s="72">
        <f ca="1">Magick!$H$67</f>
        <v>0.08</v>
      </c>
      <c r="N129" s="72">
        <f ca="1">Magick!$K$67</f>
        <v>0.13</v>
      </c>
      <c r="O129" s="72">
        <f ca="1">Magick!$L$67</f>
        <v>0.13</v>
      </c>
      <c r="P129" s="72">
        <f ca="1">Magick!$M$67</f>
        <v>0.13</v>
      </c>
      <c r="Q129" s="67" t="s">
        <v>113</v>
      </c>
      <c r="R129" s="67" t="str">
        <f>IF(Q129="Ritual","N/A",IF(Q129="I.E.","N/A",IF(Q129="WOG",VLOOKUP(Magick!$I$67*100,magestuff!$B$134:$F$138,2),IF(Q129="Cantrip",VLOOKUP(Magick!$I$67*100,magestuff!$B$134:$F$138,3),IF(Q129="Hex",VLOOKUP(Magick!$I$67*100,magestuff!$B$134:$F$138,4),VLOOKUP(Magick!$I$67*100,magestuff!$B$134:$F$138,5))))))</f>
        <v>N/A</v>
      </c>
      <c r="S129" s="69">
        <f>5*Magick!$C$3</f>
        <v>0</v>
      </c>
      <c r="T129" s="67" t="s">
        <v>3725</v>
      </c>
      <c r="U129" s="67" t="str">
        <f t="shared" si="18"/>
        <v xml:space="preserve"> </v>
      </c>
      <c r="V129" s="515"/>
      <c r="W129" s="125"/>
      <c r="X129" s="31">
        <f t="shared" si="19"/>
        <v>0</v>
      </c>
      <c r="Y129" s="1047"/>
      <c r="Z129" s="1054" t="str">
        <f t="shared" si="12"/>
        <v>Create Perfect Glass Sphere</v>
      </c>
      <c r="AA129" s="1072" t="str">
        <f t="shared" si="13"/>
        <v>Common</v>
      </c>
    </row>
    <row r="130" spans="1:27" s="1048" customFormat="1" hidden="1" outlineLevel="1" collapsed="1">
      <c r="A130" s="83" t="s">
        <v>6097</v>
      </c>
      <c r="B130" s="67">
        <v>16</v>
      </c>
      <c r="C130" s="67">
        <f ca="1">magestuff!$AD$194+6</f>
        <v>16</v>
      </c>
      <c r="D130" s="67">
        <f t="shared" si="17"/>
        <v>0</v>
      </c>
      <c r="E130" s="77" t="e">
        <f ca="1">IF(F130="y",HLOOKUP((IF(C130&lt;1,1,C130)),Magick!$C$20:$L$21,2),NA())</f>
        <v>#N/A</v>
      </c>
      <c r="F130" s="67" t="str">
        <f ca="1">IF(C130&lt;=Magick!$D$3,"Y","N")</f>
        <v>N</v>
      </c>
      <c r="G130" s="148" t="s">
        <v>6052</v>
      </c>
      <c r="H130" s="151"/>
      <c r="I130" s="77" t="e">
        <f>IF(H130&gt;0,(HLOOKUP(C130,Magick!$C$20:$L$21,2)-HLOOKUP(H130,Magick!$C$20:$L$21,2)),NA())</f>
        <v>#N/A</v>
      </c>
      <c r="J130" s="77"/>
      <c r="K130" s="67" t="s">
        <v>3215</v>
      </c>
      <c r="L130" s="72" t="str">
        <f>IF(H130&gt;0,Magick!$AR$18-('Master Spell List'!H66*0.1),"N/A")</f>
        <v>N/A</v>
      </c>
      <c r="M130" s="72">
        <f ca="1">Magick!$H$67</f>
        <v>0.08</v>
      </c>
      <c r="N130" s="72">
        <f ca="1">Magick!$K$67</f>
        <v>0.13</v>
      </c>
      <c r="O130" s="72">
        <f ca="1">Magick!$L$67</f>
        <v>0.13</v>
      </c>
      <c r="P130" s="72">
        <f ca="1">Magick!$M$67</f>
        <v>0.13</v>
      </c>
      <c r="Q130" s="67" t="s">
        <v>113</v>
      </c>
      <c r="R130" s="67" t="str">
        <f>IF(Q130="Ritual","N/A",IF(Q130="I.E.","N/A",IF(Q130="WOG",VLOOKUP(Magick!$I$67*100,magestuff!$B$134:$F$138,2),IF(Q130="Cantrip",VLOOKUP(Magick!$I$67*100,magestuff!$B$134:$F$138,3),IF(Q130="Hex",VLOOKUP(Magick!$I$67*100,magestuff!$B$134:$F$138,4),VLOOKUP(Magick!$I$67*100,magestuff!$B$134:$F$138,5))))))</f>
        <v>N/A</v>
      </c>
      <c r="S130" s="69">
        <f>5*Magick!$C$3</f>
        <v>0</v>
      </c>
      <c r="T130" s="67" t="s">
        <v>3725</v>
      </c>
      <c r="U130" s="67" t="str">
        <f t="shared" si="18"/>
        <v xml:space="preserve"> </v>
      </c>
      <c r="V130" s="515"/>
      <c r="W130" s="125"/>
      <c r="X130" s="31">
        <f t="shared" si="19"/>
        <v>0</v>
      </c>
      <c r="Y130" s="1047"/>
      <c r="Z130" s="1054" t="str">
        <f t="shared" ref="Z130:Z193" si="20">A130</f>
        <v>Greater Refine Metal Ore</v>
      </c>
      <c r="AA130" s="1072" t="str">
        <f t="shared" si="13"/>
        <v>Common</v>
      </c>
    </row>
    <row r="131" spans="1:27" s="1048" customFormat="1" hidden="1" outlineLevel="1">
      <c r="A131" s="83" t="s">
        <v>6101</v>
      </c>
      <c r="B131" s="67">
        <v>16</v>
      </c>
      <c r="C131" s="67">
        <f ca="1">magestuff!$AD$194+6</f>
        <v>16</v>
      </c>
      <c r="D131" s="67">
        <f t="shared" si="17"/>
        <v>0</v>
      </c>
      <c r="E131" s="77" t="e">
        <f ca="1">IF(F131="y",HLOOKUP((IF(C131&lt;1,1,C131)),Magick!$C$20:$L$21,2),NA())</f>
        <v>#N/A</v>
      </c>
      <c r="F131" s="67" t="str">
        <f ca="1">IF(C131&lt;=Magick!$D$3,"Y","N")</f>
        <v>N</v>
      </c>
      <c r="G131" s="148" t="s">
        <v>6052</v>
      </c>
      <c r="H131" s="151"/>
      <c r="I131" s="77" t="e">
        <f>IF(H131&gt;0,(HLOOKUP(C131,Magick!$C$20:$L$21,2)-HLOOKUP(H131,Magick!$C$20:$L$21,2)),NA())</f>
        <v>#N/A</v>
      </c>
      <c r="J131" s="77"/>
      <c r="K131" s="67" t="s">
        <v>3215</v>
      </c>
      <c r="L131" s="72" t="str">
        <f>IF(H131&gt;0,Magick!$AR$18-('Master Spell List'!H70*0.1),"N/A")</f>
        <v>N/A</v>
      </c>
      <c r="M131" s="72">
        <f ca="1">Magick!$H$67</f>
        <v>0.08</v>
      </c>
      <c r="N131" s="72">
        <f ca="1">Magick!$K$67</f>
        <v>0.13</v>
      </c>
      <c r="O131" s="72">
        <f ca="1">Magick!$L$67</f>
        <v>0.13</v>
      </c>
      <c r="P131" s="72">
        <f ca="1">Magick!$M$67</f>
        <v>0.13</v>
      </c>
      <c r="Q131" s="67" t="s">
        <v>113</v>
      </c>
      <c r="R131" s="67" t="str">
        <f>IF(Q131="Ritual","N/A",IF(Q131="I.E.","N/A",IF(Q131="WOG",VLOOKUP(Magick!$I$67*100,magestuff!$B$134:$F$138,2),IF(Q131="Cantrip",VLOOKUP(Magick!$I$67*100,magestuff!$B$134:$F$138,3),IF(Q131="Hex",VLOOKUP(Magick!$I$67*100,magestuff!$B$134:$F$138,4),VLOOKUP(Magick!$I$67*100,magestuff!$B$134:$F$138,5))))))</f>
        <v>N/A</v>
      </c>
      <c r="S131" s="69">
        <f>5*Magick!$C$3</f>
        <v>0</v>
      </c>
      <c r="T131" s="67" t="s">
        <v>3725</v>
      </c>
      <c r="U131" s="67" t="str">
        <f t="shared" si="18"/>
        <v xml:space="preserve"> </v>
      </c>
      <c r="V131" s="515"/>
      <c r="W131" s="125"/>
      <c r="X131" s="31">
        <f t="shared" si="19"/>
        <v>0</v>
      </c>
      <c r="Y131" s="1047"/>
      <c r="Z131" s="1054" t="str">
        <f t="shared" si="20"/>
        <v>Great Refine GemOre</v>
      </c>
      <c r="AA131" s="1072" t="str">
        <f t="shared" ref="AA131:AA194" si="21">IF(ISNUMBER(MATCH($Z131,Spell_Methods,0)),$Z131,$AA130)</f>
        <v>Common</v>
      </c>
    </row>
    <row r="132" spans="1:27" s="1048" customFormat="1" hidden="1" outlineLevel="1" collapsed="1">
      <c r="A132" s="83" t="s">
        <v>6098</v>
      </c>
      <c r="B132" s="67">
        <v>18</v>
      </c>
      <c r="C132" s="67">
        <f ca="1">magestuff!$AD$194+8</f>
        <v>18</v>
      </c>
      <c r="D132" s="67">
        <f t="shared" si="17"/>
        <v>0</v>
      </c>
      <c r="E132" s="77" t="e">
        <f ca="1">IF(F132="y",HLOOKUP((IF(C132&lt;1,1,C132)),Magick!$C$20:$L$21,2),NA())</f>
        <v>#N/A</v>
      </c>
      <c r="F132" s="67" t="str">
        <f ca="1">IF(C132&lt;=Magick!$D$3,"Y","N")</f>
        <v>N</v>
      </c>
      <c r="G132" s="148" t="s">
        <v>6052</v>
      </c>
      <c r="H132" s="151"/>
      <c r="I132" s="77" t="e">
        <f>IF(H132&gt;0,(HLOOKUP(C132,Magick!$C$20:$L$21,2)-HLOOKUP(H132,Magick!$C$20:$L$21,2)),NA())</f>
        <v>#N/A</v>
      </c>
      <c r="J132" s="77"/>
      <c r="K132" s="67" t="s">
        <v>3215</v>
      </c>
      <c r="L132" s="72" t="str">
        <f>IF(H132&gt;0,Magick!$AR$18-('Master Spell List'!H67*0.1),"N/A")</f>
        <v>N/A</v>
      </c>
      <c r="M132" s="72">
        <f ca="1">Magick!$H$67</f>
        <v>0.08</v>
      </c>
      <c r="N132" s="72">
        <f ca="1">Magick!$K$67</f>
        <v>0.13</v>
      </c>
      <c r="O132" s="72">
        <f ca="1">Magick!$L$67</f>
        <v>0.13</v>
      </c>
      <c r="P132" s="72">
        <f ca="1">Magick!$M$67</f>
        <v>0.13</v>
      </c>
      <c r="Q132" s="67" t="s">
        <v>113</v>
      </c>
      <c r="R132" s="67" t="str">
        <f>IF(Q132="Ritual","N/A",IF(Q132="I.E.","N/A",IF(Q132="WOG",VLOOKUP(Magick!$I$67*100,magestuff!$B$134:$F$138,2),IF(Q132="Cantrip",VLOOKUP(Magick!$I$67*100,magestuff!$B$134:$F$138,3),IF(Q132="Hex",VLOOKUP(Magick!$I$67*100,magestuff!$B$134:$F$138,4),VLOOKUP(Magick!$I$67*100,magestuff!$B$134:$F$138,5))))))</f>
        <v>N/A</v>
      </c>
      <c r="S132" s="69">
        <f>5*Magick!$C$3</f>
        <v>0</v>
      </c>
      <c r="T132" s="67" t="s">
        <v>3725</v>
      </c>
      <c r="U132" s="67" t="str">
        <f t="shared" si="18"/>
        <v xml:space="preserve"> </v>
      </c>
      <c r="V132" s="515"/>
      <c r="W132" s="125"/>
      <c r="X132" s="31">
        <f t="shared" si="19"/>
        <v>0</v>
      </c>
      <c r="Y132" s="1047"/>
      <c r="Z132" s="1054" t="str">
        <f t="shared" si="20"/>
        <v>Greatest Refine Metal Ore</v>
      </c>
      <c r="AA132" s="1072" t="str">
        <f t="shared" si="21"/>
        <v>Common</v>
      </c>
    </row>
    <row r="133" spans="1:27" hidden="1" outlineLevel="1">
      <c r="A133" s="83" t="s">
        <v>6102</v>
      </c>
      <c r="B133" s="67">
        <v>18</v>
      </c>
      <c r="C133" s="67">
        <f ca="1">magestuff!$AD$194+8</f>
        <v>18</v>
      </c>
      <c r="D133" s="67">
        <f t="shared" si="17"/>
        <v>0</v>
      </c>
      <c r="E133" s="77" t="e">
        <f ca="1">IF(F133="y",HLOOKUP((IF(C133&lt;1,1,C133)),Magick!$C$20:$L$21,2),NA())</f>
        <v>#N/A</v>
      </c>
      <c r="F133" s="67" t="str">
        <f ca="1">IF(C133&lt;=Magick!$D$3,"Y","N")</f>
        <v>N</v>
      </c>
      <c r="G133" s="148" t="s">
        <v>6052</v>
      </c>
      <c r="H133" s="151"/>
      <c r="I133" s="77" t="e">
        <f>IF(H133&gt;0,(HLOOKUP(C133,Magick!$C$20:$L$21,2)-HLOOKUP(H133,Magick!$C$20:$L$21,2)),NA())</f>
        <v>#N/A</v>
      </c>
      <c r="J133" s="77"/>
      <c r="K133" s="67" t="s">
        <v>3215</v>
      </c>
      <c r="L133" s="72" t="str">
        <f>IF(H133&gt;0,Magick!$AR$18-('Master Spell List'!H71*0.1),"N/A")</f>
        <v>N/A</v>
      </c>
      <c r="M133" s="72">
        <f ca="1">Magick!$H$67</f>
        <v>0.08</v>
      </c>
      <c r="N133" s="72">
        <f ca="1">Magick!$K$67</f>
        <v>0.13</v>
      </c>
      <c r="O133" s="72">
        <f ca="1">Magick!$L$67</f>
        <v>0.13</v>
      </c>
      <c r="P133" s="72">
        <f ca="1">Magick!$M$67</f>
        <v>0.13</v>
      </c>
      <c r="Q133" s="67" t="s">
        <v>113</v>
      </c>
      <c r="R133" s="67" t="str">
        <f>IF(Q133="Ritual","N/A",IF(Q133="I.E.","N/A",IF(Q133="WOG",VLOOKUP(Magick!$I$67*100,magestuff!$B$134:$F$138,2),IF(Q133="Cantrip",VLOOKUP(Magick!$I$67*100,magestuff!$B$134:$F$138,3),IF(Q133="Hex",VLOOKUP(Magick!$I$67*100,magestuff!$B$134:$F$138,4),VLOOKUP(Magick!$I$67*100,magestuff!$B$134:$F$138,5))))))</f>
        <v>N/A</v>
      </c>
      <c r="S133" s="69">
        <f>5*Magick!$C$3</f>
        <v>0</v>
      </c>
      <c r="T133" s="67" t="s">
        <v>3725</v>
      </c>
      <c r="U133" s="67" t="str">
        <f t="shared" si="18"/>
        <v xml:space="preserve"> </v>
      </c>
      <c r="V133" s="515"/>
      <c r="W133" s="125"/>
      <c r="X133" s="31">
        <f t="shared" si="19"/>
        <v>0</v>
      </c>
      <c r="Y133" s="509"/>
      <c r="Z133" s="1054" t="str">
        <f t="shared" si="20"/>
        <v>Greater Refine Gem Ore</v>
      </c>
      <c r="AA133" s="1072" t="str">
        <f t="shared" si="21"/>
        <v>Common</v>
      </c>
    </row>
    <row r="134" spans="1:27" hidden="1" outlineLevel="1" collapsed="1">
      <c r="A134" s="83" t="s">
        <v>6103</v>
      </c>
      <c r="B134" s="67">
        <v>18</v>
      </c>
      <c r="C134" s="67">
        <f ca="1">magestuff!$AD$194+8</f>
        <v>18</v>
      </c>
      <c r="D134" s="67">
        <f t="shared" si="17"/>
        <v>0</v>
      </c>
      <c r="E134" s="77" t="e">
        <f ca="1">IF(F134="y",HLOOKUP((IF(C134&lt;1,1,C134)),Magick!$C$20:$L$21,2),NA())</f>
        <v>#N/A</v>
      </c>
      <c r="F134" s="67" t="str">
        <f ca="1">IF(C134&lt;=Magick!$D$3,"Y","N")</f>
        <v>N</v>
      </c>
      <c r="G134" s="148" t="s">
        <v>6052</v>
      </c>
      <c r="H134" s="151"/>
      <c r="I134" s="77" t="e">
        <f>IF(H134&gt;0,(HLOOKUP(C134,Magick!$C$20:$L$21,2)-HLOOKUP(H134,Magick!$C$20:$L$21,2)),NA())</f>
        <v>#N/A</v>
      </c>
      <c r="J134" s="77"/>
      <c r="K134" s="67" t="s">
        <v>3215</v>
      </c>
      <c r="L134" s="72" t="str">
        <f>IF(H134&gt;0,Magick!$AR$18-('Master Spell List'!H72*0.1),"N/A")</f>
        <v>N/A</v>
      </c>
      <c r="M134" s="72">
        <f ca="1">Magick!$H$67</f>
        <v>0.08</v>
      </c>
      <c r="N134" s="72">
        <f ca="1">Magick!$K$67</f>
        <v>0.13</v>
      </c>
      <c r="O134" s="72">
        <f ca="1">Magick!$L$67</f>
        <v>0.13</v>
      </c>
      <c r="P134" s="72">
        <f ca="1">Magick!$M$67</f>
        <v>0.13</v>
      </c>
      <c r="Q134" s="67" t="s">
        <v>113</v>
      </c>
      <c r="R134" s="67" t="str">
        <f>IF(Q134="Ritual","N/A",IF(Q134="I.E.","N/A",IF(Q134="WOG",VLOOKUP(Magick!$I$67*100,magestuff!$B$134:$F$138,2),IF(Q134="Cantrip",VLOOKUP(Magick!$I$67*100,magestuff!$B$134:$F$138,3),IF(Q134="Hex",VLOOKUP(Magick!$I$67*100,magestuff!$B$134:$F$138,4),VLOOKUP(Magick!$I$67*100,magestuff!$B$134:$F$138,5))))))</f>
        <v>N/A</v>
      </c>
      <c r="S134" s="69">
        <f>5*Magick!$C$3</f>
        <v>0</v>
      </c>
      <c r="T134" s="67" t="s">
        <v>3725</v>
      </c>
      <c r="U134" s="67" t="str">
        <f t="shared" si="18"/>
        <v xml:space="preserve"> </v>
      </c>
      <c r="V134" s="515"/>
      <c r="W134" s="125"/>
      <c r="X134" s="31">
        <f t="shared" si="19"/>
        <v>0</v>
      </c>
      <c r="Y134" s="509"/>
      <c r="Z134" s="1054" t="str">
        <f t="shared" si="20"/>
        <v>Greatest Refine Gem Ore</v>
      </c>
      <c r="AA134" s="1072" t="str">
        <f t="shared" si="21"/>
        <v>Common</v>
      </c>
    </row>
    <row r="135" spans="1:27" collapsed="1">
      <c r="A135" s="48" t="s">
        <v>1003</v>
      </c>
      <c r="B135" s="76">
        <f>SUM(B136:B183)</f>
        <v>299</v>
      </c>
      <c r="C135" s="76">
        <f ca="1">SUM(C136:C183)</f>
        <v>299</v>
      </c>
      <c r="D135" s="76">
        <f>SUM(D136:D183)</f>
        <v>0</v>
      </c>
      <c r="E135" s="76"/>
      <c r="F135" s="149">
        <f ca="1">SUM(C136:C139)+IF(F140="Y",SUM(C140:C146),0)+IF(F147="Y",SUM(C147:C153),0)+IF(F154="Y",SUM(C154:C159),0)+IF(F160="Y",SUM(C160:C163),0)+IF(F164="Y",SUM(C164:C172),0)+IF(F173="Y",SUM(C173),0)+IF(F174="Y",SUM(C174:C176),0)+IF(F177="Y",SUM(C177:C179),0)+IF(F180="Y",SUM(C180:C180),0)+IF(F181="Y",SUM(C181:C181),0)++IF(F182="Y",SUM(C182:C182),0)+IF(F183="Y",SUM(C183:C183),0)</f>
        <v>8</v>
      </c>
      <c r="G135" s="76"/>
      <c r="H135" s="150"/>
      <c r="I135" s="76"/>
      <c r="J135" s="76"/>
      <c r="K135" s="76"/>
      <c r="L135" s="76"/>
      <c r="M135" s="222">
        <f ca="1">Magick!$H$68</f>
        <v>0.08</v>
      </c>
      <c r="N135" s="222">
        <f ca="1">Magick!$K$68</f>
        <v>0.13</v>
      </c>
      <c r="O135" s="222">
        <f ca="1">Magick!$L$68</f>
        <v>0.13</v>
      </c>
      <c r="P135" s="222">
        <f ca="1">Magick!$M$68</f>
        <v>0.13</v>
      </c>
      <c r="Q135" s="76"/>
      <c r="R135" s="76"/>
      <c r="S135" s="76"/>
      <c r="T135" s="76"/>
      <c r="U135" s="149">
        <f>SUM(U136:U183)</f>
        <v>0</v>
      </c>
      <c r="V135" s="76"/>
      <c r="W135" s="76"/>
      <c r="X135" s="149"/>
      <c r="Y135" s="509"/>
      <c r="Z135" s="1054" t="str">
        <f t="shared" si="20"/>
        <v>Basic Elemental Magick - Fire</v>
      </c>
      <c r="AA135" s="1072" t="str">
        <f t="shared" si="21"/>
        <v>Common</v>
      </c>
    </row>
    <row r="136" spans="1:27" hidden="1" outlineLevel="1">
      <c r="A136" s="31" t="s">
        <v>2184</v>
      </c>
      <c r="B136" s="67">
        <v>2</v>
      </c>
      <c r="C136" s="67">
        <f ca="1">IF(magestuff!$F$195&lt;1,1,magestuff!$F$195)</f>
        <v>2</v>
      </c>
      <c r="D136" s="67">
        <f t="shared" ref="D136:D152" si="22">IF(AND(ISNUMBER(H136),H136=0),C136,0)</f>
        <v>0</v>
      </c>
      <c r="E136" s="77">
        <f ca="1">IF(F136="y",HLOOKUP((IF(C136&lt;1,1,C136)),Magick!$C$20:$L$21,2),NA())</f>
        <v>21</v>
      </c>
      <c r="F136" s="67" t="str">
        <f ca="1">IF(C136&lt;=Magick!$D$3,"Y","N")</f>
        <v>Y</v>
      </c>
      <c r="G136" s="148" t="s">
        <v>128</v>
      </c>
      <c r="H136" s="151"/>
      <c r="I136" s="77" t="e">
        <f>IF(H136&gt;0,(HLOOKUP(C136,Magick!$C$20:$L$21,2)-HLOOKUP(H136,Magick!$C$20:$L$21,2)),NA())</f>
        <v>#N/A</v>
      </c>
      <c r="J136" s="77"/>
      <c r="L136" s="72" t="str">
        <f>IF(H136&gt;0,Magick!$AR$19-('Master Spell List'!H137*0.1),"N/A")</f>
        <v>N/A</v>
      </c>
      <c r="M136" s="72">
        <f ca="1">Magick!$H$68</f>
        <v>0.08</v>
      </c>
      <c r="N136" s="72">
        <f ca="1">Magick!$K$68</f>
        <v>0.13</v>
      </c>
      <c r="O136" s="72">
        <f ca="1">Magick!$L$68</f>
        <v>0.13</v>
      </c>
      <c r="P136" s="72">
        <f ca="1">Magick!$M$68</f>
        <v>0.13</v>
      </c>
      <c r="Q136" s="67" t="s">
        <v>4603</v>
      </c>
      <c r="R136" s="67">
        <f ca="1">IF(Q136="Ritual","N/A",IF(Q136="I.E.","N/A",IF(Q136="WOG",VLOOKUP(Magick!$I$68*100,magestuff!$B$134:$F$138,2),IF(Q136="Cantrip",VLOOKUP(Magick!$I$68*100,magestuff!$B$134:$F$138,3),IF(Q136="Hex",VLOOKUP(Magick!$I$68*100,magestuff!$B$134:$F$138,4),VLOOKUP(Magick!$I$68*100,magestuff!$B$134:$F$138,5))))))</f>
        <v>9</v>
      </c>
      <c r="U136" s="67" t="str">
        <f t="shared" ref="U136:U183" si="23">IF(ISBLANK(H136)," ",IF(H136&gt;0,0,C136*10))</f>
        <v xml:space="preserve"> </v>
      </c>
      <c r="V136" s="515"/>
      <c r="W136" s="125"/>
      <c r="X136" s="31">
        <f t="shared" ref="X136:X183" si="24">W136*3</f>
        <v>0</v>
      </c>
      <c r="Y136" s="509"/>
      <c r="Z136" s="1054" t="str">
        <f t="shared" si="20"/>
        <v>Command Natural Fire</v>
      </c>
      <c r="AA136" s="1072" t="str">
        <f t="shared" si="21"/>
        <v>Common</v>
      </c>
    </row>
    <row r="137" spans="1:27" hidden="1" outlineLevel="1">
      <c r="A137" s="31" t="s">
        <v>296</v>
      </c>
      <c r="B137" s="67">
        <v>2</v>
      </c>
      <c r="C137" s="67">
        <f ca="1">IF(magestuff!$F$195&lt;1,1,magestuff!$F$195)</f>
        <v>2</v>
      </c>
      <c r="D137" s="67">
        <f t="shared" si="22"/>
        <v>0</v>
      </c>
      <c r="E137" s="77">
        <f ca="1">IF(F137="y",HLOOKUP((IF(C137&lt;1,1,C137)),Magick!$C$20:$L$21,2),NA())</f>
        <v>21</v>
      </c>
      <c r="F137" s="67" t="str">
        <f ca="1">IF(C137&lt;=Magick!$D$3,"Y","N")</f>
        <v>Y</v>
      </c>
      <c r="G137" s="148" t="s">
        <v>128</v>
      </c>
      <c r="H137" s="151"/>
      <c r="I137" s="77" t="e">
        <f>IF(H137&gt;0,(HLOOKUP(C137,Magick!$C$20:$L$21,2)-HLOOKUP(H137,Magick!$C$20:$L$21,2)),NA())</f>
        <v>#N/A</v>
      </c>
      <c r="J137" s="77"/>
      <c r="L137" s="72" t="str">
        <f>IF(H137&gt;0,Magick!$AR$19-('Master Spell List'!H136*0.1),"N/A")</f>
        <v>N/A</v>
      </c>
      <c r="M137" s="72">
        <f ca="1">Magick!$H$68</f>
        <v>0.08</v>
      </c>
      <c r="N137" s="72">
        <f ca="1">Magick!$K$68</f>
        <v>0.13</v>
      </c>
      <c r="O137" s="72">
        <f ca="1">Magick!$L$68</f>
        <v>0.13</v>
      </c>
      <c r="P137" s="72">
        <f ca="1">Magick!$M$68</f>
        <v>0.13</v>
      </c>
      <c r="Q137" s="67" t="s">
        <v>4603</v>
      </c>
      <c r="R137" s="67">
        <f ca="1">IF(Q137="Ritual","N/A",IF(Q137="I.E.","N/A",IF(Q137="WOG",VLOOKUP(Magick!$I$68*100,magestuff!$B$134:$F$138,2),IF(Q137="Cantrip",VLOOKUP(Magick!$I$68*100,magestuff!$B$134:$F$138,3),IF(Q137="Hex",VLOOKUP(Magick!$I$68*100,magestuff!$B$134:$F$138,4),VLOOKUP(Magick!$I$68*100,magestuff!$B$134:$F$138,5))))))</f>
        <v>9</v>
      </c>
      <c r="U137" s="67" t="str">
        <f t="shared" si="23"/>
        <v xml:space="preserve"> </v>
      </c>
      <c r="V137" s="515"/>
      <c r="W137" s="125"/>
      <c r="X137" s="31">
        <f t="shared" si="24"/>
        <v>0</v>
      </c>
      <c r="Y137" s="509"/>
      <c r="Z137" s="1054" t="str">
        <f t="shared" si="20"/>
        <v>Create Natural Fire</v>
      </c>
      <c r="AA137" s="1072" t="str">
        <f t="shared" si="21"/>
        <v>Common</v>
      </c>
    </row>
    <row r="138" spans="1:27" hidden="1" outlineLevel="1">
      <c r="A138" s="31" t="s">
        <v>1727</v>
      </c>
      <c r="B138" s="67">
        <v>2</v>
      </c>
      <c r="C138" s="67">
        <f ca="1">IF(magestuff!$F$195&lt;1,1,magestuff!$F$195)</f>
        <v>2</v>
      </c>
      <c r="D138" s="67">
        <f t="shared" si="22"/>
        <v>0</v>
      </c>
      <c r="E138" s="77">
        <f ca="1">IF(F138="y",HLOOKUP((IF(C138&lt;1,1,C138)),Magick!$C$20:$L$21,2),NA())</f>
        <v>21</v>
      </c>
      <c r="F138" s="67" t="str">
        <f ca="1">IF(C138&lt;=Magick!$D$3,"Y","N")</f>
        <v>Y</v>
      </c>
      <c r="G138" s="148" t="s">
        <v>128</v>
      </c>
      <c r="H138" s="151"/>
      <c r="I138" s="77" t="e">
        <f>IF(H138&gt;0,(HLOOKUP(C138,Magick!$C$20:$L$21,2)-HLOOKUP(H138,Magick!$C$20:$L$21,2)),NA())</f>
        <v>#N/A</v>
      </c>
      <c r="J138" s="77"/>
      <c r="K138" s="67" t="s">
        <v>2174</v>
      </c>
      <c r="L138" s="72" t="str">
        <f>IF(H138&gt;0,Magick!$AR$19-('Master Spell List'!H154*0.1),"N/A")</f>
        <v>N/A</v>
      </c>
      <c r="M138" s="72">
        <f ca="1">Magick!$H$68</f>
        <v>0.08</v>
      </c>
      <c r="N138" s="72">
        <f ca="1">Magick!$K$68</f>
        <v>0.13</v>
      </c>
      <c r="O138" s="72">
        <f ca="1">Magick!$L$68</f>
        <v>0.13</v>
      </c>
      <c r="P138" s="72">
        <f ca="1">Magick!$M$68</f>
        <v>0.13</v>
      </c>
      <c r="Q138" s="67" t="s">
        <v>4603</v>
      </c>
      <c r="R138" s="67">
        <f ca="1">IF(Q138="Ritual","N/A",IF(Q138="I.E.","N/A",IF(Q138="WOG",VLOOKUP(Magick!$I$68*100,magestuff!$B$134:$F$138,2),IF(Q138="Cantrip",VLOOKUP(Magick!$I$68*100,magestuff!$B$134:$F$138,3),IF(Q138="Hex",VLOOKUP(Magick!$I$68*100,magestuff!$B$134:$F$138,4),VLOOKUP(Magick!$I$68*100,magestuff!$B$134:$F$138,5))))))</f>
        <v>9</v>
      </c>
      <c r="U138" s="67" t="str">
        <f t="shared" si="23"/>
        <v xml:space="preserve"> </v>
      </c>
      <c r="V138" s="515"/>
      <c r="W138" s="125"/>
      <c r="X138" s="31">
        <f t="shared" si="24"/>
        <v>0</v>
      </c>
      <c r="Y138" s="509"/>
      <c r="Z138" s="1054" t="str">
        <f t="shared" si="20"/>
        <v>Fiery Arrows - Natural Flame</v>
      </c>
      <c r="AA138" s="1072" t="str">
        <f t="shared" si="21"/>
        <v>Common</v>
      </c>
    </row>
    <row r="139" spans="1:27" hidden="1" outlineLevel="1">
      <c r="A139" s="31" t="s">
        <v>2594</v>
      </c>
      <c r="B139" s="67">
        <v>2</v>
      </c>
      <c r="C139" s="67">
        <f ca="1">IF(magestuff!$F$195&lt;1,1,magestuff!$F$195)</f>
        <v>2</v>
      </c>
      <c r="D139" s="67">
        <f t="shared" si="22"/>
        <v>0</v>
      </c>
      <c r="E139" s="77">
        <f ca="1">IF(F139="y",HLOOKUP((IF(C139&lt;1,1,C139)),Magick!$C$20:$L$21,2),NA())</f>
        <v>21</v>
      </c>
      <c r="F139" s="67" t="str">
        <f ca="1">IF(C139&lt;=Magick!$D$3,"Y","N")</f>
        <v>Y</v>
      </c>
      <c r="G139" s="148" t="s">
        <v>128</v>
      </c>
      <c r="H139" s="151"/>
      <c r="I139" s="77" t="e">
        <f>IF(H139&gt;0,(HLOOKUP(C139,Magick!$C$20:$L$21,2)-HLOOKUP(H139,Magick!$C$20:$L$21,2)),NA())</f>
        <v>#N/A</v>
      </c>
      <c r="J139" s="77"/>
      <c r="L139" s="72" t="str">
        <f>IF(H139&gt;0,Magick!$AR$19-('Master Spell List'!H151*0.1),"N/A")</f>
        <v>N/A</v>
      </c>
      <c r="M139" s="72">
        <f ca="1">Magick!$H$68</f>
        <v>0.08</v>
      </c>
      <c r="N139" s="72">
        <f ca="1">Magick!$K$68</f>
        <v>0.13</v>
      </c>
      <c r="O139" s="72">
        <f ca="1">Magick!$L$68</f>
        <v>0.13</v>
      </c>
      <c r="P139" s="72">
        <f ca="1">Magick!$M$68</f>
        <v>0.13</v>
      </c>
      <c r="Q139" s="67" t="s">
        <v>3723</v>
      </c>
      <c r="R139" s="67">
        <f ca="1">IF(Q139="Ritual","N/A",IF(Q139="I.E.","N/A",IF(Q139="WOG",VLOOKUP(Magick!$I$68*100,magestuff!$B$134:$F$138,2),IF(Q139="Cantrip",VLOOKUP(Magick!$I$68*100,magestuff!$B$134:$F$138,3),IF(Q139="Hex",VLOOKUP(Magick!$I$68*100,magestuff!$B$134:$F$138,4),VLOOKUP(Magick!$I$68*100,magestuff!$B$134:$F$138,5))))))</f>
        <v>29</v>
      </c>
      <c r="U139" s="67" t="str">
        <f t="shared" si="23"/>
        <v xml:space="preserve"> </v>
      </c>
      <c r="V139" s="515"/>
      <c r="W139" s="125"/>
      <c r="X139" s="31">
        <f t="shared" si="24"/>
        <v>0</v>
      </c>
      <c r="Y139" s="509"/>
      <c r="Z139" s="1054" t="str">
        <f t="shared" si="20"/>
        <v>Warm/Cool</v>
      </c>
      <c r="AA139" s="1072" t="str">
        <f t="shared" si="21"/>
        <v>Common</v>
      </c>
    </row>
    <row r="140" spans="1:27" hidden="1" outlineLevel="1">
      <c r="A140" s="83" t="s">
        <v>4858</v>
      </c>
      <c r="B140" s="67">
        <v>3</v>
      </c>
      <c r="C140" s="67">
        <f ca="1">IF(magestuff!$I$195&lt;1,1,magestuff!$I$195)</f>
        <v>3</v>
      </c>
      <c r="D140" s="67">
        <f t="shared" si="22"/>
        <v>0</v>
      </c>
      <c r="E140" s="77" t="e">
        <f ca="1">IF(F140="y",HLOOKUP((IF(C140&lt;1,1,C140)),Magick!$C$20:$L$21,2),NA())</f>
        <v>#N/A</v>
      </c>
      <c r="F140" s="67" t="str">
        <f ca="1">IF(C140&lt;=Magick!$D$3,"Y","N")</f>
        <v>N</v>
      </c>
      <c r="G140" s="148" t="s">
        <v>1617</v>
      </c>
      <c r="H140" s="151"/>
      <c r="I140" s="77" t="e">
        <f>IF(H140&gt;0,(HLOOKUP(C140,Magick!$C$20:$L$21,2)-HLOOKUP(H140,Magick!$C$20:$L$21,2)),NA())</f>
        <v>#N/A</v>
      </c>
      <c r="J140" s="77"/>
      <c r="K140" s="67">
        <v>7</v>
      </c>
      <c r="L140" s="72" t="str">
        <f>IF(H140&gt;0,Magick!$AR$19-('Master Spell List'!H166*0.1),"N/A")</f>
        <v>N/A</v>
      </c>
      <c r="M140" s="72">
        <f ca="1">Magick!$H$68</f>
        <v>0.08</v>
      </c>
      <c r="N140" s="72">
        <f ca="1">Magick!$K$68</f>
        <v>0.13</v>
      </c>
      <c r="O140" s="72">
        <f ca="1">Magick!$L$68</f>
        <v>0.13</v>
      </c>
      <c r="P140" s="72">
        <f ca="1">Magick!$M$68</f>
        <v>0.13</v>
      </c>
      <c r="Q140" s="67" t="s">
        <v>1143</v>
      </c>
      <c r="R140" s="67">
        <f ca="1">IF(Q140="Ritual","N/A",IF(Q140="I.E.","N/A",IF(Q140="WoG",VLOOKUP(Magick!$I$68*100,magestuff!$B$134:$F$138,2),IF(Q140="Cantrip",VLOOKUP(Magick!$I$68*100,magestuff!$B$134:$F$138,3),IF(Q140="Hex",VLOOKUP(Magick!$I$68*100,magestuff!$B$134:$F$138,4),VLOOKUP(Magick!$I$68*100,magestuff!$B$134:$F$138,5))))))</f>
        <v>3</v>
      </c>
      <c r="S140" s="67" t="s">
        <v>1984</v>
      </c>
      <c r="U140" s="67" t="str">
        <f t="shared" si="23"/>
        <v xml:space="preserve"> </v>
      </c>
      <c r="V140" s="515"/>
      <c r="W140" s="125"/>
      <c r="X140" s="31">
        <f t="shared" si="24"/>
        <v>0</v>
      </c>
      <c r="Y140" s="509"/>
      <c r="Z140" s="1054" t="str">
        <f t="shared" si="20"/>
        <v>Burning Touch - Normal Fire</v>
      </c>
      <c r="AA140" s="1072" t="str">
        <f t="shared" si="21"/>
        <v>Common</v>
      </c>
    </row>
    <row r="141" spans="1:27" hidden="1" outlineLevel="1">
      <c r="A141" s="31" t="s">
        <v>4944</v>
      </c>
      <c r="B141" s="67">
        <v>3</v>
      </c>
      <c r="C141" s="67">
        <f ca="1">IF(magestuff!$I$195&lt;1,1,magestuff!$I$195)</f>
        <v>3</v>
      </c>
      <c r="D141" s="67">
        <f t="shared" si="22"/>
        <v>0</v>
      </c>
      <c r="E141" s="77" t="e">
        <f ca="1">IF(F141="y",HLOOKUP((IF(C141&lt;1,1,C141)),Magick!$C$20:$L$21,2),NA())</f>
        <v>#N/A</v>
      </c>
      <c r="F141" s="67" t="str">
        <f ca="1">IF(C141&lt;=Magick!$D$3,"Y","N")</f>
        <v>N</v>
      </c>
      <c r="G141" s="148" t="s">
        <v>128</v>
      </c>
      <c r="H141" s="151"/>
      <c r="I141" s="77" t="e">
        <f>IF(H141&gt;0,(HLOOKUP(C141,Magick!$C$20:$L$21,2)-HLOOKUP(H141,Magick!$C$20:$L$21,2)),NA())</f>
        <v>#N/A</v>
      </c>
      <c r="J141" s="77"/>
      <c r="L141" s="72" t="str">
        <f>IF(H141&gt;0,Magick!$AR$19-('Master Spell List'!H144*0.1),"N/A")</f>
        <v>N/A</v>
      </c>
      <c r="M141" s="72">
        <f ca="1">Magick!$H$68</f>
        <v>0.08</v>
      </c>
      <c r="N141" s="72">
        <f ca="1">Magick!$K$68</f>
        <v>0.13</v>
      </c>
      <c r="O141" s="72">
        <f ca="1">Magick!$L$68</f>
        <v>0.13</v>
      </c>
      <c r="P141" s="72">
        <f ca="1">Magick!$M$68</f>
        <v>0.13</v>
      </c>
      <c r="Q141" s="67" t="s">
        <v>3723</v>
      </c>
      <c r="R141" s="67">
        <f ca="1">IF(Q141="Ritual","N/A",IF(Q141="I.E.","N/A",IF(Q141="WOG",VLOOKUP(Magick!$I$68*100,magestuff!$B$134:$F$138,2),IF(Q141="Cantrip",VLOOKUP(Magick!$I$68*100,magestuff!$B$134:$F$138,3),IF(Q141="Hex",VLOOKUP(Magick!$I$68*100,magestuff!$B$134:$F$138,4),VLOOKUP(Magick!$I$68*100,magestuff!$B$134:$F$138,5))))))</f>
        <v>29</v>
      </c>
      <c r="U141" s="67" t="str">
        <f t="shared" si="23"/>
        <v xml:space="preserve"> </v>
      </c>
      <c r="V141" s="515"/>
      <c r="W141" s="125"/>
      <c r="X141" s="31">
        <f t="shared" si="24"/>
        <v>0</v>
      </c>
      <c r="Y141" s="509"/>
      <c r="Z141" s="1054" t="str">
        <f t="shared" si="20"/>
        <v>Create Smoke</v>
      </c>
      <c r="AA141" s="1072" t="str">
        <f t="shared" si="21"/>
        <v>Common</v>
      </c>
    </row>
    <row r="142" spans="1:27" hidden="1" outlineLevel="1">
      <c r="A142" s="31" t="s">
        <v>5431</v>
      </c>
      <c r="B142" s="67">
        <v>3</v>
      </c>
      <c r="C142" s="67">
        <f ca="1">IF(magestuff!$I$195&lt;1,1,magestuff!$I$195)</f>
        <v>3</v>
      </c>
      <c r="D142" s="67">
        <f t="shared" si="22"/>
        <v>0</v>
      </c>
      <c r="E142" s="77" t="e">
        <f ca="1">IF(F142="y",HLOOKUP((IF(C142&lt;1,1,C142)),Magick!$C$20:$L$21,2),NA())</f>
        <v>#N/A</v>
      </c>
      <c r="F142" s="67" t="str">
        <f ca="1">IF(C142&lt;=Magick!$D$3,"Y","N")</f>
        <v>N</v>
      </c>
      <c r="G142" s="148" t="s">
        <v>128</v>
      </c>
      <c r="H142" s="151"/>
      <c r="I142" s="77" t="e">
        <f>IF(H142&gt;0,(HLOOKUP(C142,Magick!$C$20:$L$21,2)-HLOOKUP(H142,Magick!$C$20:$L$21,2)),NA())</f>
        <v>#N/A</v>
      </c>
      <c r="J142" s="77"/>
      <c r="K142" s="67" t="s">
        <v>108</v>
      </c>
      <c r="L142" s="72" t="str">
        <f>IF(H142&gt;0,Magick!$AR$19-('Master Spell List'!H155*0.1),"N/A")</f>
        <v>N/A</v>
      </c>
      <c r="M142" s="72">
        <f ca="1">Magick!$H$68</f>
        <v>0.08</v>
      </c>
      <c r="N142" s="72">
        <f ca="1">Magick!$K$68</f>
        <v>0.13</v>
      </c>
      <c r="O142" s="72">
        <f ca="1">Magick!$L$68</f>
        <v>0.13</v>
      </c>
      <c r="P142" s="72">
        <f ca="1">Magick!$M$68</f>
        <v>0.13</v>
      </c>
      <c r="Q142" s="67" t="s">
        <v>4603</v>
      </c>
      <c r="R142" s="67">
        <f ca="1">IF(Q142="Ritual","N/A",IF(Q142="I.E.","N/A",IF(Q142="WOG",VLOOKUP(Magick!$I$68*100,magestuff!$B$134:$F$138,2),IF(Q142="Cantrip",VLOOKUP(Magick!$I$68*100,magestuff!$B$134:$F$138,3),IF(Q142="Hex",VLOOKUP(Magick!$I$68*100,magestuff!$B$134:$F$138,4),VLOOKUP(Magick!$I$68*100,magestuff!$B$134:$F$138,5))))))</f>
        <v>9</v>
      </c>
      <c r="U142" s="67" t="str">
        <f t="shared" si="23"/>
        <v xml:space="preserve"> </v>
      </c>
      <c r="V142" s="515"/>
      <c r="W142" s="125"/>
      <c r="X142" s="31">
        <f t="shared" si="24"/>
        <v>0</v>
      </c>
      <c r="Y142" s="509"/>
      <c r="Z142" s="1054" t="str">
        <f t="shared" si="20"/>
        <v>Fiery Arrows - Magick Fire</v>
      </c>
      <c r="AA142" s="1072" t="str">
        <f t="shared" si="21"/>
        <v>Common</v>
      </c>
    </row>
    <row r="143" spans="1:27" hidden="1" outlineLevel="1">
      <c r="A143" s="31" t="s">
        <v>1046</v>
      </c>
      <c r="B143" s="67">
        <v>3</v>
      </c>
      <c r="C143" s="67">
        <f ca="1">IF(magestuff!$I$195&lt;1,1,magestuff!$I$195)</f>
        <v>3</v>
      </c>
      <c r="D143" s="67">
        <f t="shared" si="22"/>
        <v>0</v>
      </c>
      <c r="E143" s="77" t="e">
        <f ca="1">IF(F143="y",HLOOKUP((IF(C143&lt;1,1,C143)),Magick!$C$20:$L$21,2),NA())</f>
        <v>#N/A</v>
      </c>
      <c r="F143" s="67" t="str">
        <f ca="1">IF(C143&lt;=Magick!$D$3,"Y","N")</f>
        <v>N</v>
      </c>
      <c r="G143" s="148" t="s">
        <v>128</v>
      </c>
      <c r="H143" s="151"/>
      <c r="I143" s="77" t="e">
        <f>IF(H143&gt;0,(HLOOKUP(C143,Magick!$C$20:$L$21,2)-HLOOKUP(H143,Magick!$C$20:$L$21,2)),NA())</f>
        <v>#N/A</v>
      </c>
      <c r="J143" s="77"/>
      <c r="K143" s="67" t="s">
        <v>659</v>
      </c>
      <c r="L143" s="72" t="str">
        <f>IF(H143&gt;0,Magick!$AR$19-('Master Spell List'!H153*0.1),"N/A")</f>
        <v>N/A</v>
      </c>
      <c r="M143" s="72">
        <f ca="1">Magick!$H$68</f>
        <v>0.08</v>
      </c>
      <c r="N143" s="72">
        <f ca="1">Magick!$K$68</f>
        <v>0.13</v>
      </c>
      <c r="O143" s="72">
        <f ca="1">Magick!$L$68</f>
        <v>0.13</v>
      </c>
      <c r="P143" s="72">
        <f ca="1">Magick!$M$68</f>
        <v>0.13</v>
      </c>
      <c r="Q143" s="67" t="s">
        <v>3723</v>
      </c>
      <c r="R143" s="67">
        <f ca="1">IF(Q143="Ritual","N/A",IF(Q143="I.E.","N/A",IF(Q143="WOG",VLOOKUP(Magick!$I$68*100,magestuff!$B$134:$F$138,2),IF(Q143="Cantrip",VLOOKUP(Magick!$I$68*100,magestuff!$B$134:$F$138,3),IF(Q143="Hex",VLOOKUP(Magick!$I$68*100,magestuff!$B$134:$F$138,4),VLOOKUP(Magick!$I$68*100,magestuff!$B$134:$F$138,5))))))</f>
        <v>29</v>
      </c>
      <c r="U143" s="67" t="str">
        <f t="shared" si="23"/>
        <v xml:space="preserve"> </v>
      </c>
      <c r="V143" s="515"/>
      <c r="W143" s="125"/>
      <c r="X143" s="31">
        <f t="shared" si="24"/>
        <v>0</v>
      </c>
      <c r="Y143" s="509"/>
      <c r="Z143" s="1054" t="str">
        <f t="shared" si="20"/>
        <v>Flame Wall</v>
      </c>
      <c r="AA143" s="1072" t="str">
        <f t="shared" si="21"/>
        <v>Common</v>
      </c>
    </row>
    <row r="144" spans="1:27" hidden="1" outlineLevel="1">
      <c r="A144" s="83" t="s">
        <v>4389</v>
      </c>
      <c r="B144" s="67">
        <v>3</v>
      </c>
      <c r="C144" s="67">
        <f ca="1">IF(magestuff!$I$195&lt;1,1,magestuff!$I$195)</f>
        <v>3</v>
      </c>
      <c r="D144" s="67">
        <f t="shared" si="22"/>
        <v>0</v>
      </c>
      <c r="E144" s="77" t="e">
        <f ca="1">IF(F144="y",HLOOKUP((IF(C144&lt;1,1,C144)),Magick!$C$20:$L$21,2),NA())</f>
        <v>#N/A</v>
      </c>
      <c r="F144" s="67" t="str">
        <f ca="1">IF(C144&lt;=Magick!$D$3,"Y","N")</f>
        <v>N</v>
      </c>
      <c r="G144" s="148" t="s">
        <v>1617</v>
      </c>
      <c r="H144" s="151"/>
      <c r="I144" s="77" t="e">
        <f>IF(H144&gt;0,(HLOOKUP(C144,Magick!$C$20:$L$21,2)-HLOOKUP(H144,Magick!$C$20:$L$21,2)),NA())</f>
        <v>#N/A</v>
      </c>
      <c r="J144" s="77"/>
      <c r="K144" s="67">
        <v>7</v>
      </c>
      <c r="L144" s="72" t="str">
        <f>IF(H144&gt;0,Magick!$AR$19-('Master Spell List'!H176*0.1),"N/A")</f>
        <v>N/A</v>
      </c>
      <c r="M144" s="72">
        <f ca="1">Magick!$H$68</f>
        <v>0.08</v>
      </c>
      <c r="N144" s="72">
        <f ca="1">Magick!$K$68</f>
        <v>0.13</v>
      </c>
      <c r="O144" s="72">
        <f ca="1">Magick!$L$68</f>
        <v>0.13</v>
      </c>
      <c r="P144" s="72">
        <f ca="1">Magick!$M$68</f>
        <v>0.13</v>
      </c>
      <c r="Q144" s="67" t="s">
        <v>4602</v>
      </c>
      <c r="R144" s="67">
        <f ca="1">IF(Q144="Ritual","N/A",IF(Q144="I.E.","N/A",IF(Q144="WOG",VLOOKUP(Magick!$I$68*100,magestuff!$B$134:$F$138,2),IF(Q144="Cantrip",VLOOKUP(Magick!$I$68*100,magestuff!$B$134:$F$138,3),IF(Q144="Hex",VLOOKUP(Magick!$I$68*100,magestuff!$B$134:$F$138,4),VLOOKUP(Magick!$I$68*100,magestuff!$B$134:$F$138,5))))))</f>
        <v>19</v>
      </c>
      <c r="S144" s="67" t="s">
        <v>1984</v>
      </c>
      <c r="U144" s="67" t="str">
        <f t="shared" si="23"/>
        <v xml:space="preserve"> </v>
      </c>
      <c r="V144" s="515"/>
      <c r="W144" s="125"/>
      <c r="X144" s="31">
        <f t="shared" si="24"/>
        <v>0</v>
      </c>
      <c r="Y144" s="509"/>
      <c r="Z144" s="1054" t="str">
        <f t="shared" si="20"/>
        <v>Flaming Weapon  - Normal Fire</v>
      </c>
      <c r="AA144" s="1072" t="str">
        <f t="shared" si="21"/>
        <v>Common</v>
      </c>
    </row>
    <row r="145" spans="1:27" hidden="1" outlineLevel="1">
      <c r="A145" s="83" t="s">
        <v>4943</v>
      </c>
      <c r="B145" s="67">
        <v>3</v>
      </c>
      <c r="C145" s="67">
        <f ca="1">IF(magestuff!$I$195&lt;1,1,magestuff!$I$195)</f>
        <v>3</v>
      </c>
      <c r="D145" s="67">
        <f t="shared" si="22"/>
        <v>0</v>
      </c>
      <c r="E145" s="77" t="e">
        <f ca="1">IF(F145="y",HLOOKUP((IF(C145&lt;1,1,C145)),Magick!$C$20:$L$21,2),NA())</f>
        <v>#N/A</v>
      </c>
      <c r="F145" s="67" t="str">
        <f ca="1">IF(C145&lt;=Magick!$D$3,"Y","N")</f>
        <v>N</v>
      </c>
      <c r="G145" s="148"/>
      <c r="H145" s="151"/>
      <c r="I145" s="77" t="e">
        <f>IF(H145&gt;0,(HLOOKUP(C145,Magick!$C$20:$L$21,2)-HLOOKUP(H145,Magick!$C$20:$L$21,2)),NA())</f>
        <v>#N/A</v>
      </c>
      <c r="J145" s="77"/>
      <c r="L145" s="72" t="str">
        <f>IF(H145&gt;0,Magick!$AR$19-('Master Spell List'!H150*0.1),"N/A")</f>
        <v>N/A</v>
      </c>
      <c r="M145" s="72">
        <f ca="1">Magick!$H$68</f>
        <v>0.08</v>
      </c>
      <c r="N145" s="72">
        <f ca="1">Magick!$K$68</f>
        <v>0.13</v>
      </c>
      <c r="O145" s="72">
        <f ca="1">Magick!$L$68</f>
        <v>0.13</v>
      </c>
      <c r="P145" s="72">
        <f ca="1">Magick!$M$68</f>
        <v>0.13</v>
      </c>
      <c r="Q145" s="67" t="s">
        <v>3723</v>
      </c>
      <c r="R145" s="67">
        <f ca="1">IF(Q145="Ritual","N/A",IF(Q145="I.E.","N/A",IF(Q145="WOG",VLOOKUP(Magick!$I$68*100,magestuff!$B$134:$F$138,2),IF(Q145="Cantrip",VLOOKUP(Magick!$I$68*100,magestuff!$B$134:$F$138,3),IF(Q145="Hex",VLOOKUP(Magick!$I$68*100,magestuff!$B$134:$F$138,4),VLOOKUP(Magick!$I$68*100,magestuff!$B$134:$F$138,5))))))</f>
        <v>29</v>
      </c>
      <c r="U145" s="67" t="str">
        <f t="shared" si="23"/>
        <v xml:space="preserve"> </v>
      </c>
      <c r="V145" s="515"/>
      <c r="W145" s="125"/>
      <c r="X145" s="31">
        <f t="shared" si="24"/>
        <v>0</v>
      </c>
      <c r="Y145" s="509"/>
      <c r="Z145" s="1054" t="str">
        <f t="shared" si="20"/>
        <v>Intensify Fire</v>
      </c>
      <c r="AA145" s="1072" t="str">
        <f t="shared" si="21"/>
        <v>Common</v>
      </c>
    </row>
    <row r="146" spans="1:27" hidden="1" outlineLevel="1">
      <c r="A146" s="31" t="s">
        <v>4942</v>
      </c>
      <c r="B146" s="67">
        <v>3</v>
      </c>
      <c r="C146" s="67">
        <f ca="1">IF(magestuff!$I$195&lt;1,1,magestuff!$I$195)</f>
        <v>3</v>
      </c>
      <c r="D146" s="67">
        <f t="shared" si="22"/>
        <v>0</v>
      </c>
      <c r="E146" s="77" t="e">
        <f ca="1">IF(F146="y",HLOOKUP((IF(C146&lt;1,1,C146)),Magick!$C$20:$L$21,2),NA())</f>
        <v>#N/A</v>
      </c>
      <c r="F146" s="67" t="str">
        <f ca="1">IF(C146&lt;=Magick!$D$3,"Y","N")</f>
        <v>N</v>
      </c>
      <c r="G146" s="148" t="s">
        <v>128</v>
      </c>
      <c r="H146" s="151"/>
      <c r="I146" s="77" t="e">
        <f>IF(H146&gt;0,(HLOOKUP(C146,Magick!$C$20:$L$21,2)-HLOOKUP(H146,Magick!$C$20:$L$21,2)),NA())</f>
        <v>#N/A</v>
      </c>
      <c r="J146" s="77"/>
      <c r="L146" s="72" t="str">
        <f>IF(H146&gt;0,Magick!$AR$19-('Master Spell List'!H149*0.1),"N/A")</f>
        <v>N/A</v>
      </c>
      <c r="M146" s="72">
        <f ca="1">Magick!$H$68</f>
        <v>0.08</v>
      </c>
      <c r="N146" s="72">
        <f ca="1">Magick!$K$68</f>
        <v>0.13</v>
      </c>
      <c r="O146" s="72">
        <f ca="1">Magick!$L$68</f>
        <v>0.13</v>
      </c>
      <c r="P146" s="72">
        <f ca="1">Magick!$M$68</f>
        <v>0.13</v>
      </c>
      <c r="Q146" s="67" t="s">
        <v>3723</v>
      </c>
      <c r="R146" s="67">
        <f ca="1">IF(Q146="Ritual","N/A",IF(Q146="I.E.","N/A",IF(Q146="WOG",VLOOKUP(Magick!$I$68*100,magestuff!$B$134:$F$138,2),IF(Q146="Cantrip",VLOOKUP(Magick!$I$68*100,magestuff!$B$134:$F$138,3),IF(Q146="Hex",VLOOKUP(Magick!$I$68*100,magestuff!$B$134:$F$138,4),VLOOKUP(Magick!$I$68*100,magestuff!$B$134:$F$138,5))))))</f>
        <v>29</v>
      </c>
      <c r="U146" s="67" t="str">
        <f t="shared" si="23"/>
        <v xml:space="preserve"> </v>
      </c>
      <c r="V146" s="515"/>
      <c r="W146" s="125"/>
      <c r="X146" s="31">
        <f t="shared" si="24"/>
        <v>0</v>
      </c>
      <c r="Y146" s="509"/>
      <c r="Z146" s="1054" t="str">
        <f t="shared" si="20"/>
        <v>Remove Fire</v>
      </c>
      <c r="AA146" s="1072" t="str">
        <f t="shared" si="21"/>
        <v>Common</v>
      </c>
    </row>
    <row r="147" spans="1:27" hidden="1" outlineLevel="1">
      <c r="A147" s="31" t="s">
        <v>2186</v>
      </c>
      <c r="B147" s="67">
        <v>4</v>
      </c>
      <c r="C147" s="67">
        <f ca="1">magestuff!$L$195</f>
        <v>4</v>
      </c>
      <c r="D147" s="67">
        <f t="shared" si="22"/>
        <v>0</v>
      </c>
      <c r="E147" s="77" t="e">
        <f ca="1">IF(F147="y",HLOOKUP((IF(C147&lt;1,1,C147)),Magick!$C$20:$L$21,2),NA())</f>
        <v>#N/A</v>
      </c>
      <c r="F147" s="67" t="str">
        <f ca="1">IF(C147&lt;=Magick!$D$3,"Y","N")</f>
        <v>N</v>
      </c>
      <c r="G147" s="148" t="s">
        <v>128</v>
      </c>
      <c r="H147" s="151"/>
      <c r="I147" s="77" t="e">
        <f>IF(H147&gt;0,(HLOOKUP(C147,Magick!$C$20:$L$21,2)-HLOOKUP(H147,Magick!$C$20:$L$21,2)),NA())</f>
        <v>#N/A</v>
      </c>
      <c r="J147" s="77"/>
      <c r="L147" s="72" t="str">
        <f>IF(H147&gt;0,Magick!$AR$19-('Master Spell List'!H139*0.1),"N/A")</f>
        <v>N/A</v>
      </c>
      <c r="M147" s="72">
        <f ca="1">Magick!$H$68</f>
        <v>0.08</v>
      </c>
      <c r="N147" s="72">
        <f ca="1">Magick!$K$68</f>
        <v>0.13</v>
      </c>
      <c r="O147" s="72">
        <f ca="1">Magick!$L$68</f>
        <v>0.13</v>
      </c>
      <c r="P147" s="72">
        <f ca="1">Magick!$M$68</f>
        <v>0.13</v>
      </c>
      <c r="Q147" s="67" t="s">
        <v>3723</v>
      </c>
      <c r="R147" s="67">
        <f ca="1">IF(Q147="Ritual","N/A",IF(Q147="I.E.","N/A",IF(Q147="WOG",VLOOKUP(Magick!$I$68*100,magestuff!$B$134:$F$138,2),IF(Q147="Cantrip",VLOOKUP(Magick!$I$68*100,magestuff!$B$134:$F$138,3),IF(Q147="Hex",VLOOKUP(Magick!$I$68*100,magestuff!$B$134:$F$138,4),VLOOKUP(Magick!$I$68*100,magestuff!$B$134:$F$138,5))))))</f>
        <v>29</v>
      </c>
      <c r="U147" s="67" t="str">
        <f t="shared" si="23"/>
        <v xml:space="preserve"> </v>
      </c>
      <c r="V147" s="515"/>
      <c r="W147" s="125"/>
      <c r="X147" s="31">
        <f t="shared" si="24"/>
        <v>0</v>
      </c>
      <c r="Y147" s="509"/>
      <c r="Z147" s="1054" t="str">
        <f t="shared" si="20"/>
        <v>Command Magick Fire</v>
      </c>
      <c r="AA147" s="1072" t="str">
        <f t="shared" si="21"/>
        <v>Common</v>
      </c>
    </row>
    <row r="148" spans="1:27" hidden="1" outlineLevel="1">
      <c r="A148" s="31" t="s">
        <v>4391</v>
      </c>
      <c r="B148" s="67">
        <v>4</v>
      </c>
      <c r="C148" s="67">
        <f ca="1">magestuff!$L$195</f>
        <v>4</v>
      </c>
      <c r="D148" s="67">
        <f t="shared" si="22"/>
        <v>0</v>
      </c>
      <c r="E148" s="77" t="e">
        <f ca="1">IF(F148="y",HLOOKUP((IF(C148&lt;1,1,C148)),Magick!$C$20:$L$21,2),NA())</f>
        <v>#N/A</v>
      </c>
      <c r="F148" s="67" t="str">
        <f ca="1">IF(C148&lt;=Magick!$D$3,"Y","N")</f>
        <v>N</v>
      </c>
      <c r="G148" s="148" t="s">
        <v>128</v>
      </c>
      <c r="H148" s="151"/>
      <c r="I148" s="77" t="e">
        <f>IF(H148&gt;0,(HLOOKUP(C148,Magick!$C$20:$L$21,2)-HLOOKUP(H148,Magick!$C$20:$L$21,2)),NA())</f>
        <v>#N/A</v>
      </c>
      <c r="J148" s="77"/>
      <c r="L148" s="72" t="str">
        <f>IF(H148&gt;0,Magick!$AR$19-('Master Spell List'!H141*0.1),"N/A")</f>
        <v>N/A</v>
      </c>
      <c r="M148" s="72">
        <f ca="1">Magick!$H$68</f>
        <v>0.08</v>
      </c>
      <c r="N148" s="72">
        <f ca="1">Magick!$K$68</f>
        <v>0.13</v>
      </c>
      <c r="O148" s="72">
        <f ca="1">Magick!$L$68</f>
        <v>0.13</v>
      </c>
      <c r="P148" s="72">
        <f ca="1">Magick!$M$68</f>
        <v>0.13</v>
      </c>
      <c r="Q148" s="67" t="s">
        <v>3723</v>
      </c>
      <c r="R148" s="67">
        <f ca="1">IF(Q148="Ritual","N/A",IF(Q148="I.E.","N/A",IF(Q148="WOG",VLOOKUP(Magick!$I$68*100,magestuff!$B$134:$F$138,2),IF(Q148="Cantrip",VLOOKUP(Magick!$I$68*100,magestuff!$B$134:$F$138,3),IF(Q148="Hex",VLOOKUP(Magick!$I$68*100,magestuff!$B$134:$F$138,4),VLOOKUP(Magick!$I$68*100,magestuff!$B$134:$F$138,5))))))</f>
        <v>29</v>
      </c>
      <c r="U148" s="67" t="str">
        <f t="shared" si="23"/>
        <v xml:space="preserve"> </v>
      </c>
      <c r="V148" s="515"/>
      <c r="W148" s="125"/>
      <c r="X148" s="31">
        <f t="shared" si="24"/>
        <v>0</v>
      </c>
      <c r="Y148" s="509"/>
      <c r="Z148" s="1054" t="str">
        <f t="shared" si="20"/>
        <v>Command Salamander Fire</v>
      </c>
      <c r="AA148" s="1072" t="str">
        <f t="shared" si="21"/>
        <v>Common</v>
      </c>
    </row>
    <row r="149" spans="1:27" hidden="1" outlineLevel="1">
      <c r="A149" s="31" t="s">
        <v>2185</v>
      </c>
      <c r="B149" s="67">
        <v>4</v>
      </c>
      <c r="C149" s="67">
        <f ca="1">magestuff!$L$195</f>
        <v>4</v>
      </c>
      <c r="D149" s="67">
        <f t="shared" si="22"/>
        <v>0</v>
      </c>
      <c r="E149" s="77" t="e">
        <f ca="1">IF(F149="y",HLOOKUP((IF(C149&lt;1,1,C149)),Magick!$C$20:$L$21,2),NA())</f>
        <v>#N/A</v>
      </c>
      <c r="F149" s="67" t="str">
        <f ca="1">IF(C149&lt;=Magick!$D$3,"Y","N")</f>
        <v>N</v>
      </c>
      <c r="G149" s="148" t="s">
        <v>128</v>
      </c>
      <c r="H149" s="151"/>
      <c r="I149" s="77" t="e">
        <f>IF(H149&gt;0,(HLOOKUP(C149,Magick!$C$20:$L$21,2)-HLOOKUP(H149,Magick!$C$20:$L$21,2)),NA())</f>
        <v>#N/A</v>
      </c>
      <c r="J149" s="77"/>
      <c r="L149" s="72" t="str">
        <f>IF(H149&gt;0,Magick!$AR$19-('Master Spell List'!H138*0.1),"N/A")</f>
        <v>N/A</v>
      </c>
      <c r="M149" s="72">
        <f ca="1">Magick!$H$68</f>
        <v>0.08</v>
      </c>
      <c r="N149" s="72">
        <f ca="1">Magick!$K$68</f>
        <v>0.13</v>
      </c>
      <c r="O149" s="72">
        <f ca="1">Magick!$L$68</f>
        <v>0.13</v>
      </c>
      <c r="P149" s="72">
        <f ca="1">Magick!$M$68</f>
        <v>0.13</v>
      </c>
      <c r="Q149" s="67" t="s">
        <v>3723</v>
      </c>
      <c r="R149" s="67">
        <f ca="1">IF(Q149="Ritual","N/A",IF(Q149="I.E.","N/A",IF(Q149="WOG",VLOOKUP(Magick!$I$68*100,magestuff!$B$134:$F$138,2),IF(Q149="Cantrip",VLOOKUP(Magick!$I$68*100,magestuff!$B$134:$F$138,3),IF(Q149="Hex",VLOOKUP(Magick!$I$68*100,magestuff!$B$134:$F$138,4),VLOOKUP(Magick!$I$68*100,magestuff!$B$134:$F$138,5))))))</f>
        <v>29</v>
      </c>
      <c r="U149" s="67" t="str">
        <f t="shared" si="23"/>
        <v xml:space="preserve"> </v>
      </c>
      <c r="V149" s="515"/>
      <c r="W149" s="125"/>
      <c r="X149" s="31">
        <f t="shared" si="24"/>
        <v>0</v>
      </c>
      <c r="Y149" s="509"/>
      <c r="Z149" s="1054" t="str">
        <f t="shared" si="20"/>
        <v>Create Magick Fire</v>
      </c>
      <c r="AA149" s="1072" t="str">
        <f t="shared" si="21"/>
        <v>Common</v>
      </c>
    </row>
    <row r="150" spans="1:27" hidden="1" outlineLevel="1">
      <c r="A150" s="31" t="s">
        <v>2187</v>
      </c>
      <c r="B150" s="67">
        <v>4</v>
      </c>
      <c r="C150" s="67">
        <f ca="1">magestuff!$L$195</f>
        <v>4</v>
      </c>
      <c r="D150" s="67">
        <f t="shared" si="22"/>
        <v>0</v>
      </c>
      <c r="E150" s="77" t="e">
        <f ca="1">IF(F150="y",HLOOKUP((IF(C150&lt;1,1,C150)),Magick!$C$20:$L$21,2),NA())</f>
        <v>#N/A</v>
      </c>
      <c r="F150" s="67" t="str">
        <f ca="1">IF(C150&lt;=Magick!$D$3,"Y","N")</f>
        <v>N</v>
      </c>
      <c r="G150" s="148" t="s">
        <v>128</v>
      </c>
      <c r="H150" s="151"/>
      <c r="I150" s="77" t="e">
        <f>IF(H150&gt;0,(HLOOKUP(C150,Magick!$C$20:$L$21,2)-HLOOKUP(H150,Magick!$C$20:$L$21,2)),NA())</f>
        <v>#N/A</v>
      </c>
      <c r="J150" s="77"/>
      <c r="L150" s="72" t="str">
        <f>IF(H150&gt;0,Magick!$AR$19-('Master Spell List'!H140*0.1),"N/A")</f>
        <v>N/A</v>
      </c>
      <c r="M150" s="72">
        <f ca="1">Magick!$H$68</f>
        <v>0.08</v>
      </c>
      <c r="N150" s="72">
        <f ca="1">Magick!$K$68</f>
        <v>0.13</v>
      </c>
      <c r="O150" s="72">
        <f ca="1">Magick!$L$68</f>
        <v>0.13</v>
      </c>
      <c r="P150" s="72">
        <f ca="1">Magick!$M$68</f>
        <v>0.13</v>
      </c>
      <c r="Q150" s="67" t="s">
        <v>3723</v>
      </c>
      <c r="R150" s="67">
        <f ca="1">IF(Q150="Ritual","N/A",IF(Q150="I.E.","N/A",IF(Q150="WOG",VLOOKUP(Magick!$I$68*100,magestuff!$B$134:$F$138,2),IF(Q150="Cantrip",VLOOKUP(Magick!$I$68*100,magestuff!$B$134:$F$138,3),IF(Q150="Hex",VLOOKUP(Magick!$I$68*100,magestuff!$B$134:$F$138,4),VLOOKUP(Magick!$I$68*100,magestuff!$B$134:$F$138,5))))))</f>
        <v>29</v>
      </c>
      <c r="U150" s="67" t="str">
        <f t="shared" si="23"/>
        <v xml:space="preserve"> </v>
      </c>
      <c r="V150" s="515"/>
      <c r="W150" s="125"/>
      <c r="X150" s="31">
        <f t="shared" si="24"/>
        <v>0</v>
      </c>
      <c r="Y150" s="509"/>
      <c r="Z150" s="1054" t="str">
        <f t="shared" si="20"/>
        <v>Create Salamander Fire</v>
      </c>
      <c r="AA150" s="1072" t="str">
        <f t="shared" si="21"/>
        <v>Common</v>
      </c>
    </row>
    <row r="151" spans="1:27" hidden="1" outlineLevel="1">
      <c r="A151" s="31" t="s">
        <v>5469</v>
      </c>
      <c r="B151" s="67">
        <v>4</v>
      </c>
      <c r="C151" s="67">
        <f ca="1">magestuff!$L$195</f>
        <v>4</v>
      </c>
      <c r="D151" s="67">
        <f t="shared" si="22"/>
        <v>0</v>
      </c>
      <c r="E151" s="77" t="e">
        <f ca="1">IF(F151="y",HLOOKUP((IF(C151&lt;1,1,C151)),Magick!$C$20:$L$21,2),NA())</f>
        <v>#N/A</v>
      </c>
      <c r="F151" s="67" t="str">
        <f ca="1">IF(C151&lt;=Magick!$D$3,"Y","N")</f>
        <v>N</v>
      </c>
      <c r="G151" s="148" t="s">
        <v>128</v>
      </c>
      <c r="H151" s="151"/>
      <c r="I151" s="77" t="e">
        <f>IF(H151&gt;0,(HLOOKUP(C151,Magick!$C$20:$L$21,2)-HLOOKUP(H151,Magick!$C$20:$L$21,2)),NA())</f>
        <v>#N/A</v>
      </c>
      <c r="J151" s="77"/>
      <c r="K151" s="67" t="s">
        <v>2175</v>
      </c>
      <c r="L151" s="72" t="str">
        <f>IF(H151&gt;0,Magick!$AR$19-('Master Spell List'!H156*0.1),"N/A")</f>
        <v>N/A</v>
      </c>
      <c r="M151" s="72">
        <f ca="1">Magick!$H$68</f>
        <v>0.08</v>
      </c>
      <c r="N151" s="72">
        <f ca="1">Magick!$K$68</f>
        <v>0.13</v>
      </c>
      <c r="O151" s="72">
        <f ca="1">Magick!$L$68</f>
        <v>0.13</v>
      </c>
      <c r="P151" s="72">
        <f ca="1">Magick!$M$68</f>
        <v>0.13</v>
      </c>
      <c r="Q151" s="67" t="s">
        <v>4603</v>
      </c>
      <c r="R151" s="67">
        <f ca="1">IF(Q151="Ritual","N/A",IF(Q151="I.E.","N/A",IF(Q151="WOG",VLOOKUP(Magick!$I$68*100,magestuff!$B$134:$F$138,2),IF(Q151="Cantrip",VLOOKUP(Magick!$I$68*100,magestuff!$B$134:$F$138,3),IF(Q151="Hex",VLOOKUP(Magick!$I$68*100,magestuff!$B$134:$F$138,4),VLOOKUP(Magick!$I$68*100,magestuff!$B$134:$F$138,5))))))</f>
        <v>9</v>
      </c>
      <c r="U151" s="67" t="str">
        <f t="shared" si="23"/>
        <v xml:space="preserve"> </v>
      </c>
      <c r="V151" s="515"/>
      <c r="W151" s="125"/>
      <c r="X151" s="31">
        <f t="shared" si="24"/>
        <v>0</v>
      </c>
      <c r="Y151" s="509"/>
      <c r="Z151" s="1054" t="str">
        <f t="shared" si="20"/>
        <v>Fiery Arrows - Salamander Fire</v>
      </c>
      <c r="AA151" s="1072" t="str">
        <f t="shared" si="21"/>
        <v>Common</v>
      </c>
    </row>
    <row r="152" spans="1:27" hidden="1" outlineLevel="1">
      <c r="A152" s="83" t="s">
        <v>4390</v>
      </c>
      <c r="B152" s="67">
        <v>4</v>
      </c>
      <c r="C152" s="67">
        <f ca="1">magestuff!$L$195</f>
        <v>4</v>
      </c>
      <c r="D152" s="67">
        <f t="shared" si="22"/>
        <v>0</v>
      </c>
      <c r="E152" s="77" t="e">
        <f ca="1">IF(F152="y",HLOOKUP((IF(C152&lt;1,1,C152)),Magick!$C$20:$L$21,2),NA())</f>
        <v>#N/A</v>
      </c>
      <c r="F152" s="67" t="str">
        <f ca="1">IF(C152&lt;=Magick!$D$3,"Y","N")</f>
        <v>N</v>
      </c>
      <c r="G152" s="148" t="s">
        <v>1617</v>
      </c>
      <c r="H152" s="151"/>
      <c r="I152" s="77" t="e">
        <f>IF(H152&gt;0,(HLOOKUP(C152,Magick!$C$20:$L$21,2)-HLOOKUP(H152,Magick!$C$20:$L$21,2)),NA())</f>
        <v>#N/A</v>
      </c>
      <c r="J152" s="77"/>
      <c r="K152" s="67">
        <v>10</v>
      </c>
      <c r="L152" s="72" t="str">
        <f>IF(H152&gt;0,Magick!$AR$19-('Master Spell List'!H177*0.1),"N/A")</f>
        <v>N/A</v>
      </c>
      <c r="M152" s="72">
        <f ca="1">Magick!$H$68</f>
        <v>0.08</v>
      </c>
      <c r="N152" s="72">
        <f ca="1">Magick!$K$68</f>
        <v>0.13</v>
      </c>
      <c r="O152" s="72">
        <f ca="1">Magick!$L$68</f>
        <v>0.13</v>
      </c>
      <c r="P152" s="72">
        <f ca="1">Magick!$M$68</f>
        <v>0.13</v>
      </c>
      <c r="Q152" s="67" t="s">
        <v>4602</v>
      </c>
      <c r="R152" s="67">
        <f ca="1">IF(Q152="Ritual","N/A",IF(Q152="I.E.","N/A",IF(Q152="WOG",VLOOKUP(Magick!$I$68*100,magestuff!$B$134:$F$138,2),IF(Q152="Cantrip",VLOOKUP(Magick!$I$68*100,magestuff!$B$134:$F$138,3),IF(Q152="Hex",VLOOKUP(Magick!$I$68*100,magestuff!$B$134:$F$138,4),VLOOKUP(Magick!$I$68*100,magestuff!$B$134:$F$138,5))))))</f>
        <v>19</v>
      </c>
      <c r="S152" s="67" t="s">
        <v>1984</v>
      </c>
      <c r="U152" s="67" t="str">
        <f t="shared" si="23"/>
        <v xml:space="preserve"> </v>
      </c>
      <c r="V152" s="515"/>
      <c r="W152" s="125"/>
      <c r="X152" s="31">
        <f t="shared" si="24"/>
        <v>0</v>
      </c>
      <c r="Y152" s="509"/>
      <c r="Z152" s="1054" t="str">
        <f t="shared" si="20"/>
        <v>Flaming Weapon  - Magick Fire</v>
      </c>
      <c r="AA152" s="1072" t="str">
        <f t="shared" si="21"/>
        <v>Common</v>
      </c>
    </row>
    <row r="153" spans="1:27" hidden="1" outlineLevel="1">
      <c r="A153" s="31" t="s">
        <v>5021</v>
      </c>
      <c r="B153" s="67">
        <v>4</v>
      </c>
      <c r="C153" s="67">
        <f ca="1">magestuff!$L$195</f>
        <v>4</v>
      </c>
      <c r="D153" s="67">
        <f t="shared" ref="D153:D183" si="25">IF(AND(ISNUMBER(H153),H153=0),C153,0)</f>
        <v>0</v>
      </c>
      <c r="E153" s="77" t="e">
        <f ca="1">IF(F153="y",HLOOKUP((IF(C153&lt;1,1,C153)),Magick!$C$20:$L$21,2),NA())</f>
        <v>#N/A</v>
      </c>
      <c r="F153" s="67" t="str">
        <f ca="1">IF(C153&lt;=Magick!$D$3,"Y","N")</f>
        <v>N</v>
      </c>
      <c r="G153" s="148" t="s">
        <v>128</v>
      </c>
      <c r="H153" s="151"/>
      <c r="I153" s="77" t="e">
        <f>IF(H153&gt;0,(HLOOKUP(C153,Magick!$C$20:$L$21,2)-HLOOKUP(H153,Magick!$C$20:$L$21,2)),NA())</f>
        <v>#N/A</v>
      </c>
      <c r="J153" s="77"/>
      <c r="K153" s="67" t="s">
        <v>2175</v>
      </c>
      <c r="L153" s="72" t="str">
        <f>IF(H153&gt;0,Magick!$AR$19-('Master Spell List'!H158*0.1),"N/A")</f>
        <v>N/A</v>
      </c>
      <c r="M153" s="72">
        <f ca="1">Magick!$H$68</f>
        <v>0.08</v>
      </c>
      <c r="N153" s="72">
        <f ca="1">Magick!$K$68</f>
        <v>0.13</v>
      </c>
      <c r="O153" s="72">
        <f ca="1">Magick!$L$68</f>
        <v>0.13</v>
      </c>
      <c r="P153" s="72">
        <f ca="1">Magick!$M$68</f>
        <v>0.13</v>
      </c>
      <c r="Q153" s="67" t="s">
        <v>3723</v>
      </c>
      <c r="R153" s="67">
        <f ca="1">IF(Q153="Ritual","N/A",IF(Q153="I.E.","N/A",IF(Q153="WOG",VLOOKUP(Magick!$I$68*100,magestuff!$B$134:$F$138,2),IF(Q153="Cantrip",VLOOKUP(Magick!$I$68*100,magestuff!$B$134:$F$138,3),IF(Q153="Hex",VLOOKUP(Magick!$I$68*100,magestuff!$B$134:$F$138,4),VLOOKUP(Magick!$I$68*100,magestuff!$B$134:$F$138,5))))))</f>
        <v>29</v>
      </c>
      <c r="U153" s="67" t="str">
        <f t="shared" si="23"/>
        <v xml:space="preserve"> </v>
      </c>
      <c r="V153" s="515"/>
      <c r="W153" s="125"/>
      <c r="X153" s="31">
        <f t="shared" si="24"/>
        <v>0</v>
      </c>
      <c r="Y153" s="509"/>
      <c r="Z153" s="1054" t="str">
        <f t="shared" si="20"/>
        <v>Jets Of Flame - Normal Fire</v>
      </c>
      <c r="AA153" s="1072" t="str">
        <f t="shared" si="21"/>
        <v>Common</v>
      </c>
    </row>
    <row r="154" spans="1:27" hidden="1" outlineLevel="1">
      <c r="A154" s="83" t="s">
        <v>841</v>
      </c>
      <c r="B154" s="67">
        <v>5</v>
      </c>
      <c r="C154" s="67">
        <f ca="1">magestuff!$O$195</f>
        <v>5</v>
      </c>
      <c r="D154" s="67">
        <f t="shared" si="25"/>
        <v>0</v>
      </c>
      <c r="E154" s="77" t="e">
        <f ca="1">IF(F154="y",HLOOKUP((IF(C154&lt;1,1,C154)),Magick!$C$20:$L$21,2),NA())</f>
        <v>#N/A</v>
      </c>
      <c r="F154" s="67" t="str">
        <f ca="1">IF(C154&lt;=Magick!$D$3,"Y","N")</f>
        <v>N</v>
      </c>
      <c r="G154" s="148" t="s">
        <v>1617</v>
      </c>
      <c r="H154" s="151"/>
      <c r="I154" s="77" t="e">
        <f>IF(H154&gt;0,(HLOOKUP(C154,Magick!$C$20:$L$21,2)-HLOOKUP(H154,Magick!$C$20:$L$21,2)),NA())</f>
        <v>#N/A</v>
      </c>
      <c r="J154" s="77"/>
      <c r="K154" s="67">
        <v>9</v>
      </c>
      <c r="L154" s="72" t="str">
        <f>IF(H154&gt;0,Magick!$AR$19-('Master Spell List'!H167*0.1),"N/A")</f>
        <v>N/A</v>
      </c>
      <c r="M154" s="72">
        <f ca="1">Magick!$H$68</f>
        <v>0.08</v>
      </c>
      <c r="N154" s="72">
        <f ca="1">Magick!$K$68</f>
        <v>0.13</v>
      </c>
      <c r="O154" s="72">
        <f ca="1">Magick!$L$68</f>
        <v>0.13</v>
      </c>
      <c r="P154" s="72">
        <f ca="1">Magick!$M$68</f>
        <v>0.13</v>
      </c>
      <c r="Q154" s="67" t="s">
        <v>4603</v>
      </c>
      <c r="R154" s="67">
        <f ca="1">IF(Q154="Ritual","N/A",IF(Q154="I.E.","N/A",IF(Q154="WOG",VLOOKUP(Magick!$I$68*100,magestuff!$B$134:$F$138,2),IF(Q154="Cantrip",VLOOKUP(Magick!$I$68*100,magestuff!$B$134:$F$138,3),IF(Q154="Hex",VLOOKUP(Magick!$I$68*100,magestuff!$B$134:$F$138,4),VLOOKUP(Magick!$I$68*100,magestuff!$B$134:$F$138,5))))))</f>
        <v>9</v>
      </c>
      <c r="S154" s="67" t="s">
        <v>1984</v>
      </c>
      <c r="U154" s="67" t="str">
        <f t="shared" si="23"/>
        <v xml:space="preserve"> </v>
      </c>
      <c r="V154" s="515"/>
      <c r="W154" s="125"/>
      <c r="X154" s="31">
        <f t="shared" si="24"/>
        <v>0</v>
      </c>
      <c r="Y154" s="509"/>
      <c r="Z154" s="1054" t="str">
        <f t="shared" si="20"/>
        <v>Burning Touch (Fiery Touch)  - Magick Fire</v>
      </c>
      <c r="AA154" s="1072" t="str">
        <f t="shared" si="21"/>
        <v>Common</v>
      </c>
    </row>
    <row r="155" spans="1:27" hidden="1" outlineLevel="1">
      <c r="A155" s="31" t="s">
        <v>658</v>
      </c>
      <c r="B155" s="67">
        <v>5</v>
      </c>
      <c r="C155" s="67">
        <f ca="1">magestuff!$O$195</f>
        <v>5</v>
      </c>
      <c r="D155" s="67">
        <f t="shared" si="25"/>
        <v>0</v>
      </c>
      <c r="E155" s="77" t="e">
        <f ca="1">IF(F155="y",HLOOKUP((IF(C155&lt;1,1,C155)),Magick!$C$20:$L$21,2),NA())</f>
        <v>#N/A</v>
      </c>
      <c r="F155" s="67" t="str">
        <f ca="1">IF(C155&lt;=Magick!$D$3,"Y","N")</f>
        <v>N</v>
      </c>
      <c r="G155" s="148" t="s">
        <v>128</v>
      </c>
      <c r="H155" s="151"/>
      <c r="I155" s="77" t="e">
        <f>IF(H155&gt;0,(HLOOKUP(C155,Magick!$C$20:$L$21,2)-HLOOKUP(H155,Magick!$C$20:$L$21,2)),NA())</f>
        <v>#N/A</v>
      </c>
      <c r="J155" s="77"/>
      <c r="K155" s="67" t="s">
        <v>2054</v>
      </c>
      <c r="L155" s="72" t="str">
        <f>IF(H155&gt;0,Magick!$AR$19-('Master Spell List'!H157*0.1),"N/A")</f>
        <v>N/A</v>
      </c>
      <c r="M155" s="72">
        <f ca="1">Magick!$H$68</f>
        <v>0.08</v>
      </c>
      <c r="N155" s="72">
        <f ca="1">Magick!$K$68</f>
        <v>0.13</v>
      </c>
      <c r="O155" s="72">
        <f ca="1">Magick!$L$68</f>
        <v>0.13</v>
      </c>
      <c r="P155" s="72">
        <f ca="1">Magick!$M$68</f>
        <v>0.13</v>
      </c>
      <c r="Q155" s="67" t="s">
        <v>4603</v>
      </c>
      <c r="R155" s="67">
        <f ca="1">IF(Q155="Ritual","N/A",IF(Q155="I.E.","N/A",IF(Q155="WOG",VLOOKUP(Magick!$I$68*100,magestuff!$B$134:$F$138,2),IF(Q155="Cantrip",VLOOKUP(Magick!$I$68*100,magestuff!$B$134:$F$138,3),IF(Q155="Hex",VLOOKUP(Magick!$I$68*100,magestuff!$B$134:$F$138,4),VLOOKUP(Magick!$I$68*100,magestuff!$B$134:$F$138,5))))))</f>
        <v>9</v>
      </c>
      <c r="U155" s="67" t="str">
        <f t="shared" si="23"/>
        <v xml:space="preserve"> </v>
      </c>
      <c r="V155" s="515"/>
      <c r="W155" s="125"/>
      <c r="X155" s="31">
        <f t="shared" si="24"/>
        <v>0</v>
      </c>
      <c r="Y155" s="509"/>
      <c r="Z155" s="1054" t="str">
        <f t="shared" si="20"/>
        <v>Fiery Arrows - Dragon Fire</v>
      </c>
      <c r="AA155" s="1072" t="str">
        <f t="shared" si="21"/>
        <v>Common</v>
      </c>
    </row>
    <row r="156" spans="1:27" hidden="1" outlineLevel="1">
      <c r="A156" s="31" t="s">
        <v>2293</v>
      </c>
      <c r="B156" s="67">
        <v>5</v>
      </c>
      <c r="C156" s="67">
        <f ca="1">magestuff!$O$195</f>
        <v>5</v>
      </c>
      <c r="D156" s="67">
        <f t="shared" si="25"/>
        <v>0</v>
      </c>
      <c r="E156" s="77" t="e">
        <f ca="1">IF(F156="y",HLOOKUP((IF(C156&lt;1,1,C156)),Magick!$C$20:$L$21,2),NA())</f>
        <v>#N/A</v>
      </c>
      <c r="F156" s="67" t="str">
        <f ca="1">IF(C156&lt;=Magick!$D$3,"Y","N")</f>
        <v>N</v>
      </c>
      <c r="G156" s="148" t="s">
        <v>128</v>
      </c>
      <c r="H156" s="151"/>
      <c r="I156" s="77" t="e">
        <f>IF(H156&gt;0,(HLOOKUP(C156,Magick!$C$20:$L$21,2)-HLOOKUP(H156,Magick!$C$20:$L$21,2)),NA())</f>
        <v>#N/A</v>
      </c>
      <c r="J156" s="77"/>
      <c r="K156" s="67" t="s">
        <v>114</v>
      </c>
      <c r="L156" s="72" t="str">
        <f>IF(H156&gt;0,Magick!$AR$19-('Master Spell List'!H162*0.1),"N/A")</f>
        <v>N/A</v>
      </c>
      <c r="M156" s="72">
        <f ca="1">Magick!$H$68</f>
        <v>0.08</v>
      </c>
      <c r="N156" s="72">
        <f ca="1">Magick!$K$68</f>
        <v>0.13</v>
      </c>
      <c r="O156" s="72">
        <f ca="1">Magick!$L$68</f>
        <v>0.13</v>
      </c>
      <c r="P156" s="72">
        <f ca="1">Magick!$M$68</f>
        <v>0.13</v>
      </c>
      <c r="Q156" s="67" t="s">
        <v>3723</v>
      </c>
      <c r="R156" s="67">
        <f ca="1">IF(Q156="Ritual","N/A",IF(Q156="I.E.","N/A",IF(Q156="WOG",VLOOKUP(Magick!$I$68*100,magestuff!$B$134:$F$138,2),IF(Q156="Cantrip",VLOOKUP(Magick!$I$68*100,magestuff!$B$134:$F$138,3),IF(Q156="Hex",VLOOKUP(Magick!$I$68*100,magestuff!$B$134:$F$138,4),VLOOKUP(Magick!$I$68*100,magestuff!$B$134:$F$138,5))))))</f>
        <v>29</v>
      </c>
      <c r="U156" s="67" t="str">
        <f t="shared" si="23"/>
        <v xml:space="preserve"> </v>
      </c>
      <c r="V156" s="515"/>
      <c r="W156" s="125"/>
      <c r="X156" s="31">
        <f t="shared" si="24"/>
        <v>0</v>
      </c>
      <c r="Y156" s="509"/>
      <c r="Z156" s="1054" t="str">
        <f t="shared" si="20"/>
        <v>Fire Ball  - Normal Fire</v>
      </c>
      <c r="AA156" s="1072" t="str">
        <f t="shared" si="21"/>
        <v>Common</v>
      </c>
    </row>
    <row r="157" spans="1:27" hidden="1" outlineLevel="1">
      <c r="A157" s="83" t="s">
        <v>1625</v>
      </c>
      <c r="B157" s="67">
        <v>5</v>
      </c>
      <c r="C157" s="67">
        <f ca="1">magestuff!$O$195</f>
        <v>5</v>
      </c>
      <c r="D157" s="67">
        <f t="shared" si="25"/>
        <v>0</v>
      </c>
      <c r="E157" s="77" t="e">
        <f ca="1">IF(F157="y",HLOOKUP((IF(C157&lt;1,1,C157)),Magick!$C$20:$L$21,2),NA())</f>
        <v>#N/A</v>
      </c>
      <c r="F157" s="67" t="str">
        <f ca="1">IF(C157&lt;=Magick!$D$3,"Y","N")</f>
        <v>N</v>
      </c>
      <c r="G157" s="148" t="s">
        <v>1617</v>
      </c>
      <c r="H157" s="151"/>
      <c r="I157" s="77" t="e">
        <f>IF(H157&gt;0,(HLOOKUP(C157,Magick!$C$20:$L$21,2)-HLOOKUP(H157,Magick!$C$20:$L$21,2)),NA())</f>
        <v>#N/A</v>
      </c>
      <c r="J157" s="77"/>
      <c r="K157" s="67">
        <v>9</v>
      </c>
      <c r="L157" s="72" t="str">
        <f>IF(H157&gt;0,Magick!$AR$19-('Master Spell List'!H170*0.1),"N/A")</f>
        <v>N/A</v>
      </c>
      <c r="M157" s="72">
        <f ca="1">Magick!$H$68</f>
        <v>0.08</v>
      </c>
      <c r="N157" s="72">
        <f ca="1">Magick!$K$68</f>
        <v>0.13</v>
      </c>
      <c r="O157" s="72">
        <f ca="1">Magick!$L$68</f>
        <v>0.13</v>
      </c>
      <c r="P157" s="72">
        <f ca="1">Magick!$M$68</f>
        <v>0.13</v>
      </c>
      <c r="Q157" s="67" t="s">
        <v>4602</v>
      </c>
      <c r="R157" s="67">
        <f ca="1">IF(Q157="Ritual","N/A",IF(Q157="I.E.","N/A",IF(Q157="WOG",VLOOKUP(Magick!$I$68*100,magestuff!$B$134:$F$138,2),IF(Q157="Cantrip",VLOOKUP(Magick!$I$68*100,magestuff!$B$134:$F$138,3),IF(Q157="Hex",VLOOKUP(Magick!$I$68*100,magestuff!$B$134:$F$138,4),VLOOKUP(Magick!$I$68*100,magestuff!$B$134:$F$138,5))))))</f>
        <v>19</v>
      </c>
      <c r="S157" s="67" t="s">
        <v>1984</v>
      </c>
      <c r="U157" s="67" t="str">
        <f t="shared" si="23"/>
        <v xml:space="preserve"> </v>
      </c>
      <c r="V157" s="515"/>
      <c r="W157" s="125"/>
      <c r="X157" s="31">
        <f t="shared" si="24"/>
        <v>0</v>
      </c>
      <c r="Y157" s="509"/>
      <c r="Z157" s="1054" t="str">
        <f t="shared" si="20"/>
        <v>Fire Coat</v>
      </c>
      <c r="AA157" s="1072" t="str">
        <f t="shared" si="21"/>
        <v>Common</v>
      </c>
    </row>
    <row r="158" spans="1:27" hidden="1" outlineLevel="1">
      <c r="A158" s="31" t="s">
        <v>2289</v>
      </c>
      <c r="B158" s="67">
        <v>5</v>
      </c>
      <c r="C158" s="67">
        <f ca="1">magestuff!$O$195</f>
        <v>5</v>
      </c>
      <c r="D158" s="67">
        <f t="shared" si="25"/>
        <v>0</v>
      </c>
      <c r="E158" s="77" t="e">
        <f ca="1">IF(F158="y",HLOOKUP((IF(C158&lt;1,1,C158)),Magick!$C$20:$L$21,2),NA())</f>
        <v>#N/A</v>
      </c>
      <c r="F158" s="67" t="str">
        <f ca="1">IF(C158&lt;=Magick!$D$3,"Y","N")</f>
        <v>N</v>
      </c>
      <c r="G158" s="148" t="s">
        <v>128</v>
      </c>
      <c r="H158" s="151"/>
      <c r="I158" s="77" t="e">
        <f>IF(H158&gt;0,(HLOOKUP(C158,Magick!$C$20:$L$21,2)-HLOOKUP(H158,Magick!$C$20:$L$21,2)),NA())</f>
        <v>#N/A</v>
      </c>
      <c r="J158" s="77"/>
      <c r="K158" s="67" t="s">
        <v>2055</v>
      </c>
      <c r="L158" s="72" t="str">
        <f>IF(H158&gt;0,Magick!$AR$19-('Master Spell List'!H159*0.1),"N/A")</f>
        <v>N/A</v>
      </c>
      <c r="M158" s="72">
        <f ca="1">Magick!$H$68</f>
        <v>0.08</v>
      </c>
      <c r="N158" s="72">
        <f ca="1">Magick!$K$68</f>
        <v>0.13</v>
      </c>
      <c r="O158" s="72">
        <f ca="1">Magick!$L$68</f>
        <v>0.13</v>
      </c>
      <c r="P158" s="72">
        <f ca="1">Magick!$M$68</f>
        <v>0.13</v>
      </c>
      <c r="Q158" s="67" t="s">
        <v>3723</v>
      </c>
      <c r="R158" s="67">
        <f ca="1">IF(Q158="Ritual","N/A",IF(Q158="I.E.","N/A",IF(Q158="WOG",VLOOKUP(Magick!$I$68*100,magestuff!$B$134:$F$138,2),IF(Q158="Cantrip",VLOOKUP(Magick!$I$68*100,magestuff!$B$134:$F$138,3),IF(Q158="Hex",VLOOKUP(Magick!$I$68*100,magestuff!$B$134:$F$138,4),VLOOKUP(Magick!$I$68*100,magestuff!$B$134:$F$138,5))))))</f>
        <v>29</v>
      </c>
      <c r="U158" s="67" t="str">
        <f t="shared" si="23"/>
        <v xml:space="preserve"> </v>
      </c>
      <c r="V158" s="515"/>
      <c r="W158" s="125"/>
      <c r="X158" s="31">
        <f t="shared" si="24"/>
        <v>0</v>
      </c>
      <c r="Y158" s="509"/>
      <c r="Z158" s="1054" t="str">
        <f t="shared" si="20"/>
        <v>Jets Of Flame - Magick Fire</v>
      </c>
      <c r="AA158" s="1072" t="str">
        <f t="shared" si="21"/>
        <v>Common</v>
      </c>
    </row>
    <row r="159" spans="1:27" hidden="1" outlineLevel="1">
      <c r="A159" s="83" t="s">
        <v>1144</v>
      </c>
      <c r="B159" s="67">
        <v>5</v>
      </c>
      <c r="C159" s="67">
        <f ca="1">magestuff!$O$195</f>
        <v>5</v>
      </c>
      <c r="D159" s="67">
        <f t="shared" si="25"/>
        <v>0</v>
      </c>
      <c r="E159" s="77" t="e">
        <f ca="1">IF(F159="y",HLOOKUP((IF(C159&lt;1,1,C159)),Magick!$C$20:$L$21,2),NA())</f>
        <v>#N/A</v>
      </c>
      <c r="F159" s="67" t="str">
        <f ca="1">IF(C159&lt;=Magick!$D$3,"Y","N")</f>
        <v>N</v>
      </c>
      <c r="G159" s="148" t="s">
        <v>1617</v>
      </c>
      <c r="H159" s="151"/>
      <c r="I159" s="77" t="e">
        <f>IF(H159&gt;0,(HLOOKUP(C159,Magick!$C$20:$L$21,2)-HLOOKUP(H159,Magick!$C$20:$L$21,2)),NA())</f>
        <v>#N/A</v>
      </c>
      <c r="J159" s="77"/>
      <c r="K159" s="67">
        <v>8</v>
      </c>
      <c r="L159" s="72" t="str">
        <f>IF(H159&gt;0,Magick!$AR$19-('Master Spell List'!H172*0.1),"N/A")</f>
        <v>N/A</v>
      </c>
      <c r="M159" s="72">
        <f ca="1">Magick!$H$68</f>
        <v>0.08</v>
      </c>
      <c r="N159" s="72">
        <f ca="1">Magick!$K$68</f>
        <v>0.13</v>
      </c>
      <c r="O159" s="72">
        <f ca="1">Magick!$L$68</f>
        <v>0.13</v>
      </c>
      <c r="P159" s="72">
        <f ca="1">Magick!$M$68</f>
        <v>0.13</v>
      </c>
      <c r="Q159" s="67" t="s">
        <v>4603</v>
      </c>
      <c r="R159" s="67">
        <f ca="1">IF(Q159="Ritual","N/A",IF(Q159="I.E.","N/A",IF(Q159="WOG",VLOOKUP(Magick!$I$68*100,magestuff!$B$134:$F$138,2),IF(Q159="Cantrip",VLOOKUP(Magick!$I$68*100,magestuff!$B$134:$F$138,3),IF(Q159="Hex",VLOOKUP(Magick!$I$68*100,magestuff!$B$134:$F$138,4),VLOOKUP(Magick!$I$68*100,magestuff!$B$134:$F$138,5))))))</f>
        <v>9</v>
      </c>
      <c r="U159" s="67" t="str">
        <f t="shared" si="23"/>
        <v xml:space="preserve"> </v>
      </c>
      <c r="V159" s="515"/>
      <c r="W159" s="125"/>
      <c r="X159" s="31">
        <f t="shared" si="24"/>
        <v>0</v>
      </c>
      <c r="Y159" s="509"/>
      <c r="Z159" s="1054" t="str">
        <f t="shared" si="20"/>
        <v>Turn Flame  - Normal Fire</v>
      </c>
      <c r="AA159" s="1072" t="str">
        <f t="shared" si="21"/>
        <v>Common</v>
      </c>
    </row>
    <row r="160" spans="1:27" hidden="1" outlineLevel="1">
      <c r="A160" s="83" t="s">
        <v>1142</v>
      </c>
      <c r="B160" s="67">
        <v>6</v>
      </c>
      <c r="C160" s="67">
        <f ca="1">magestuff!$R$195</f>
        <v>6</v>
      </c>
      <c r="D160" s="67">
        <f t="shared" si="25"/>
        <v>0</v>
      </c>
      <c r="E160" s="77" t="e">
        <f ca="1">IF(F160="y",HLOOKUP((IF(C160&lt;1,1,C160)),Magick!$C$20:$L$21,2),NA())</f>
        <v>#N/A</v>
      </c>
      <c r="F160" s="67" t="str">
        <f ca="1">IF(C160&lt;=Magick!$D$3,"Y","N")</f>
        <v>N</v>
      </c>
      <c r="G160" s="148" t="s">
        <v>1617</v>
      </c>
      <c r="H160" s="151"/>
      <c r="I160" s="77" t="e">
        <f>IF(H160&gt;0,(HLOOKUP(C160,Magick!$C$20:$L$21,2)-HLOOKUP(H160,Magick!$C$20:$L$21,2)),NA())</f>
        <v>#N/A</v>
      </c>
      <c r="J160" s="77"/>
      <c r="K160" s="67">
        <v>11</v>
      </c>
      <c r="L160" s="72" t="str">
        <f>IF(H160&gt;0,Magick!$AR$19-('Master Spell List'!H168*0.1),"N/A")</f>
        <v>N/A</v>
      </c>
      <c r="M160" s="72">
        <f ca="1">Magick!$H$68</f>
        <v>0.08</v>
      </c>
      <c r="N160" s="72">
        <f ca="1">Magick!$K$68</f>
        <v>0.13</v>
      </c>
      <c r="O160" s="72">
        <f ca="1">Magick!$L$68</f>
        <v>0.13</v>
      </c>
      <c r="P160" s="72">
        <f ca="1">Magick!$M$68</f>
        <v>0.13</v>
      </c>
      <c r="Q160" s="67" t="s">
        <v>4602</v>
      </c>
      <c r="R160" s="67">
        <f ca="1">IF(Q160="Ritual","N/A",IF(Q160="I.E.","N/A",IF(Q160="WOG",VLOOKUP(Magick!$I$68*100,magestuff!$B$134:$F$138,2),IF(Q160="Cantrip",VLOOKUP(Magick!$I$68*100,magestuff!$B$134:$F$138,3),IF(Q160="Hex",VLOOKUP(Magick!$I$68*100,magestuff!$B$134:$F$138,4),VLOOKUP(Magick!$I$68*100,magestuff!$B$134:$F$138,5))))))</f>
        <v>19</v>
      </c>
      <c r="S160" s="67" t="s">
        <v>1984</v>
      </c>
      <c r="U160" s="67" t="str">
        <f t="shared" si="23"/>
        <v xml:space="preserve"> </v>
      </c>
      <c r="V160" s="515"/>
      <c r="W160" s="125"/>
      <c r="X160" s="31">
        <f t="shared" si="24"/>
        <v>0</v>
      </c>
      <c r="Y160" s="509"/>
      <c r="Z160" s="1054" t="str">
        <f t="shared" si="20"/>
        <v>Burning Touch (Vulcan's Touch)  - Salamander Fire</v>
      </c>
      <c r="AA160" s="1072" t="str">
        <f t="shared" si="21"/>
        <v>Common</v>
      </c>
    </row>
    <row r="161" spans="1:27" hidden="1" outlineLevel="1">
      <c r="A161" s="31" t="s">
        <v>2294</v>
      </c>
      <c r="B161" s="67">
        <v>6</v>
      </c>
      <c r="C161" s="67">
        <f ca="1">magestuff!$R$195</f>
        <v>6</v>
      </c>
      <c r="D161" s="67">
        <f t="shared" si="25"/>
        <v>0</v>
      </c>
      <c r="E161" s="77" t="e">
        <f ca="1">IF(F161="y",HLOOKUP((IF(C161&lt;1,1,C161)),Magick!$C$20:$L$21,2),NA())</f>
        <v>#N/A</v>
      </c>
      <c r="F161" s="67" t="str">
        <f ca="1">IF(C161&lt;=Magick!$D$3,"Y","N")</f>
        <v>N</v>
      </c>
      <c r="G161" s="148" t="s">
        <v>128</v>
      </c>
      <c r="H161" s="151"/>
      <c r="I161" s="77" t="e">
        <f>IF(H161&gt;0,(HLOOKUP(C161,Magick!$C$20:$L$21,2)-HLOOKUP(H161,Magick!$C$20:$L$21,2)),NA())</f>
        <v>#N/A</v>
      </c>
      <c r="J161" s="77"/>
      <c r="K161" s="67" t="s">
        <v>342</v>
      </c>
      <c r="L161" s="72" t="str">
        <f>IF(H161&gt;0,Magick!$AR$19-('Master Spell List'!H163*0.1),"N/A")</f>
        <v>N/A</v>
      </c>
      <c r="M161" s="72">
        <f ca="1">Magick!$H$68</f>
        <v>0.08</v>
      </c>
      <c r="N161" s="72">
        <f ca="1">Magick!$K$68</f>
        <v>0.13</v>
      </c>
      <c r="O161" s="72">
        <f ca="1">Magick!$L$68</f>
        <v>0.13</v>
      </c>
      <c r="P161" s="72">
        <f ca="1">Magick!$M$68</f>
        <v>0.13</v>
      </c>
      <c r="Q161" s="67" t="s">
        <v>3723</v>
      </c>
      <c r="R161" s="67">
        <f ca="1">IF(Q161="Ritual","N/A",IF(Q161="I.E.","N/A",IF(Q161="WOG",VLOOKUP(Magick!$I$68*100,magestuff!$B$134:$F$138,2),IF(Q161="Cantrip",VLOOKUP(Magick!$I$68*100,magestuff!$B$134:$F$138,3),IF(Q161="Hex",VLOOKUP(Magick!$I$68*100,magestuff!$B$134:$F$138,4),VLOOKUP(Magick!$I$68*100,magestuff!$B$134:$F$138,5))))))</f>
        <v>29</v>
      </c>
      <c r="U161" s="67" t="str">
        <f t="shared" si="23"/>
        <v xml:space="preserve"> </v>
      </c>
      <c r="V161" s="515"/>
      <c r="W161" s="125"/>
      <c r="X161" s="31">
        <f t="shared" si="24"/>
        <v>0</v>
      </c>
      <c r="Y161" s="509"/>
      <c r="Z161" s="1054" t="str">
        <f t="shared" si="20"/>
        <v>Fire Ball  - Magick Fire</v>
      </c>
      <c r="AA161" s="1072" t="str">
        <f t="shared" si="21"/>
        <v>Common</v>
      </c>
    </row>
    <row r="162" spans="1:27" hidden="1" outlineLevel="1">
      <c r="A162" s="83" t="s">
        <v>946</v>
      </c>
      <c r="B162" s="67">
        <v>6</v>
      </c>
      <c r="C162" s="67">
        <f ca="1">magestuff!$R$195</f>
        <v>6</v>
      </c>
      <c r="D162" s="67">
        <f t="shared" si="25"/>
        <v>0</v>
      </c>
      <c r="E162" s="77" t="e">
        <f ca="1">IF(F162="y",HLOOKUP((IF(C162&lt;1,1,C162)),Magick!$C$20:$L$21,2),NA())</f>
        <v>#N/A</v>
      </c>
      <c r="F162" s="67" t="str">
        <f ca="1">IF(C162&lt;=Magick!$D$3,"Y","N")</f>
        <v>N</v>
      </c>
      <c r="G162" s="148" t="s">
        <v>1617</v>
      </c>
      <c r="H162" s="151"/>
      <c r="I162" s="77" t="e">
        <f>IF(H162&gt;0,(HLOOKUP(C162,Magick!$C$20:$L$21,2)-HLOOKUP(H162,Magick!$C$20:$L$21,2)),NA())</f>
        <v>#N/A</v>
      </c>
      <c r="J162" s="77"/>
      <c r="K162" s="67">
        <v>12</v>
      </c>
      <c r="L162" s="72" t="str">
        <f>IF(H162&gt;0,Magick!$AR$19-('Master Spell List'!H178*0.1),"N/A")</f>
        <v>N/A</v>
      </c>
      <c r="M162" s="72">
        <f ca="1">Magick!$H$68</f>
        <v>0.08</v>
      </c>
      <c r="N162" s="72">
        <f ca="1">Magick!$K$68</f>
        <v>0.13</v>
      </c>
      <c r="O162" s="72">
        <f ca="1">Magick!$L$68</f>
        <v>0.13</v>
      </c>
      <c r="P162" s="72">
        <f ca="1">Magick!$M$68</f>
        <v>0.13</v>
      </c>
      <c r="Q162" s="67" t="s">
        <v>3723</v>
      </c>
      <c r="R162" s="67">
        <f ca="1">IF(Q162="Ritual","N/A",IF(Q162="I.E.","N/A",IF(Q162="WOG",VLOOKUP(Magick!$I$68*100,magestuff!$B$134:$F$138,2),IF(Q162="Cantrip",VLOOKUP(Magick!$I$68*100,magestuff!$B$134:$F$138,3),IF(Q162="Hex",VLOOKUP(Magick!$I$68*100,magestuff!$B$134:$F$138,4),VLOOKUP(Magick!$I$68*100,magestuff!$B$134:$F$138,5))))))</f>
        <v>29</v>
      </c>
      <c r="S162" s="67" t="s">
        <v>1984</v>
      </c>
      <c r="U162" s="67" t="str">
        <f t="shared" si="23"/>
        <v xml:space="preserve"> </v>
      </c>
      <c r="V162" s="515"/>
      <c r="W162" s="125"/>
      <c r="X162" s="31">
        <f t="shared" si="24"/>
        <v>0</v>
      </c>
      <c r="Y162" s="509"/>
      <c r="Z162" s="1054" t="str">
        <f t="shared" si="20"/>
        <v>Flaming Weapon  - Salamander Fire</v>
      </c>
      <c r="AA162" s="1072" t="str">
        <f t="shared" si="21"/>
        <v>Common</v>
      </c>
    </row>
    <row r="163" spans="1:27" hidden="1" outlineLevel="1">
      <c r="A163" s="83" t="s">
        <v>1145</v>
      </c>
      <c r="B163" s="67">
        <v>6</v>
      </c>
      <c r="C163" s="67">
        <f ca="1">magestuff!$R$195</f>
        <v>6</v>
      </c>
      <c r="D163" s="67">
        <f t="shared" si="25"/>
        <v>0</v>
      </c>
      <c r="E163" s="77" t="e">
        <f ca="1">IF(F163="y",HLOOKUP((IF(C163&lt;1,1,C163)),Magick!$C$20:$L$21,2),NA())</f>
        <v>#N/A</v>
      </c>
      <c r="F163" s="67" t="str">
        <f ca="1">IF(C163&lt;=Magick!$D$3,"Y","N")</f>
        <v>N</v>
      </c>
      <c r="G163" s="148" t="s">
        <v>1617</v>
      </c>
      <c r="H163" s="151"/>
      <c r="I163" s="77" t="e">
        <f>IF(H163&gt;0,(HLOOKUP(C163,Magick!$C$20:$L$21,2)-HLOOKUP(H163,Magick!$C$20:$L$21,2)),NA())</f>
        <v>#N/A</v>
      </c>
      <c r="J163" s="77"/>
      <c r="K163" s="67">
        <v>11</v>
      </c>
      <c r="L163" s="72" t="str">
        <f>IF(H163&gt;0,Magick!$AR$19-('Master Spell List'!H173*0.1),"N/A")</f>
        <v>N/A</v>
      </c>
      <c r="M163" s="72">
        <f ca="1">Magick!$H$68</f>
        <v>0.08</v>
      </c>
      <c r="N163" s="72">
        <f ca="1">Magick!$K$68</f>
        <v>0.13</v>
      </c>
      <c r="O163" s="72">
        <f ca="1">Magick!$L$68</f>
        <v>0.13</v>
      </c>
      <c r="P163" s="72">
        <f ca="1">Magick!$M$68</f>
        <v>0.13</v>
      </c>
      <c r="Q163" s="67" t="s">
        <v>4602</v>
      </c>
      <c r="R163" s="67">
        <f ca="1">IF(Q163="Ritual","N/A",IF(Q163="I.E.","N/A",IF(Q163="WOG",VLOOKUP(Magick!$I$68*100,magestuff!$B$134:$F$138,2),IF(Q163="Cantrip",VLOOKUP(Magick!$I$68*100,magestuff!$B$134:$F$138,3),IF(Q163="Hex",VLOOKUP(Magick!$I$68*100,magestuff!$B$134:$F$138,4),VLOOKUP(Magick!$I$68*100,magestuff!$B$134:$F$138,5))))))</f>
        <v>19</v>
      </c>
      <c r="U163" s="67" t="str">
        <f t="shared" si="23"/>
        <v xml:space="preserve"> </v>
      </c>
      <c r="V163" s="515"/>
      <c r="W163" s="125"/>
      <c r="X163" s="31">
        <f t="shared" si="24"/>
        <v>0</v>
      </c>
      <c r="Y163" s="509"/>
      <c r="Z163" s="1054" t="str">
        <f t="shared" si="20"/>
        <v>Turn Flame  - Magick Fire</v>
      </c>
      <c r="AA163" s="1072" t="str">
        <f t="shared" si="21"/>
        <v>Common</v>
      </c>
    </row>
    <row r="164" spans="1:27" hidden="1" outlineLevel="1">
      <c r="A164" s="83" t="s">
        <v>1804</v>
      </c>
      <c r="B164" s="67">
        <v>7</v>
      </c>
      <c r="C164" s="67">
        <f ca="1">magestuff!$U$195</f>
        <v>7</v>
      </c>
      <c r="D164" s="67">
        <f t="shared" si="25"/>
        <v>0</v>
      </c>
      <c r="E164" s="77" t="e">
        <f ca="1">IF(F164="y",HLOOKUP((IF(C164&lt;1,1,C164)),Magick!$C$20:$L$21,2),NA())</f>
        <v>#N/A</v>
      </c>
      <c r="F164" s="67" t="str">
        <f ca="1">IF(C164&lt;=Magick!$D$3,"Y","N")</f>
        <v>N</v>
      </c>
      <c r="G164" s="148" t="s">
        <v>1617</v>
      </c>
      <c r="H164" s="151"/>
      <c r="I164" s="77" t="e">
        <f>IF(H164&gt;0,(HLOOKUP(C164,Magick!$C$20:$L$21,2)-HLOOKUP(H164,Magick!$C$20:$L$21,2)),NA())</f>
        <v>#N/A</v>
      </c>
      <c r="J164" s="77"/>
      <c r="K164" s="67">
        <v>13</v>
      </c>
      <c r="L164" s="72" t="str">
        <f>IF(H164&gt;0,Magick!$AR$19-('Master Spell List'!H169*0.1),"N/A")</f>
        <v>N/A</v>
      </c>
      <c r="M164" s="72">
        <f ca="1">Magick!$H$68</f>
        <v>0.08</v>
      </c>
      <c r="N164" s="72">
        <f ca="1">Magick!$K$68</f>
        <v>0.13</v>
      </c>
      <c r="O164" s="72">
        <f ca="1">Magick!$L$68</f>
        <v>0.13</v>
      </c>
      <c r="P164" s="72">
        <f ca="1">Magick!$M$68</f>
        <v>0.13</v>
      </c>
      <c r="Q164" s="67" t="s">
        <v>3723</v>
      </c>
      <c r="R164" s="67">
        <f ca="1">IF(Q164="Ritual","N/A",IF(Q164="I.E.","N/A",IF(Q164="WOG",VLOOKUP(Magick!$I$68*100,magestuff!$B$134:$F$138,2),IF(Q164="Cantrip",VLOOKUP(Magick!$I$68*100,magestuff!$B$134:$F$138,3),IF(Q164="Hex",VLOOKUP(Magick!$I$68*100,magestuff!$B$134:$F$138,4),VLOOKUP(Magick!$I$68*100,magestuff!$B$134:$F$138,5))))))</f>
        <v>29</v>
      </c>
      <c r="S164" s="67" t="s">
        <v>1984</v>
      </c>
      <c r="U164" s="67" t="str">
        <f t="shared" si="23"/>
        <v xml:space="preserve"> </v>
      </c>
      <c r="V164" s="515"/>
      <c r="W164" s="125"/>
      <c r="X164" s="31">
        <f t="shared" si="24"/>
        <v>0</v>
      </c>
      <c r="Y164" s="509"/>
      <c r="Z164" s="1054" t="str">
        <f t="shared" si="20"/>
        <v>Burning Touch (Dragon's Touch)  - Dragon Fire</v>
      </c>
      <c r="AA164" s="1072" t="str">
        <f t="shared" si="21"/>
        <v>Common</v>
      </c>
    </row>
    <row r="165" spans="1:27" hidden="1" outlineLevel="1">
      <c r="A165" s="83" t="s">
        <v>4903</v>
      </c>
      <c r="B165" s="67">
        <v>7</v>
      </c>
      <c r="C165" s="67">
        <f ca="1">magestuff!$U$195</f>
        <v>7</v>
      </c>
      <c r="D165" s="67">
        <f t="shared" si="25"/>
        <v>0</v>
      </c>
      <c r="E165" s="77" t="e">
        <f ca="1">IF(F165="y",HLOOKUP((IF(C165&lt;1,1,C165)),Magick!$C$20:$L$21,2),NA())</f>
        <v>#N/A</v>
      </c>
      <c r="F165" s="67" t="str">
        <f ca="1">IF(C165&lt;=Magick!$D$3,"Y","N")</f>
        <v>N</v>
      </c>
      <c r="G165" s="148" t="s">
        <v>1617</v>
      </c>
      <c r="H165" s="151"/>
      <c r="I165" s="77" t="e">
        <f>IF(H165&gt;0,(HLOOKUP(C165,Magick!$C$20:$L$21,2)-HLOOKUP(H165,Magick!$C$20:$L$21,2)),NA())</f>
        <v>#N/A</v>
      </c>
      <c r="J165" s="77"/>
      <c r="K165" s="67">
        <v>13</v>
      </c>
      <c r="L165" s="72" t="str">
        <f>IF(H165&gt;0,Magick!$AR$19-('Master Spell List'!H171*0.1),"N/A")</f>
        <v>N/A</v>
      </c>
      <c r="M165" s="72">
        <f ca="1">Magick!$H$68</f>
        <v>0.08</v>
      </c>
      <c r="N165" s="72">
        <f ca="1">Magick!$K$68</f>
        <v>0.13</v>
      </c>
      <c r="O165" s="72">
        <f ca="1">Magick!$L$68</f>
        <v>0.13</v>
      </c>
      <c r="P165" s="72">
        <f ca="1">Magick!$M$68</f>
        <v>0.13</v>
      </c>
      <c r="Q165" s="67" t="s">
        <v>3723</v>
      </c>
      <c r="R165" s="67">
        <f ca="1">IF(Q165="Ritual","N/A",IF(Q165="I.E.","N/A",IF(Q165="WOG",VLOOKUP(Magick!$I$68*100,magestuff!$B$134:$F$138,2),IF(Q165="Cantrip",VLOOKUP(Magick!$I$68*100,magestuff!$B$134:$F$138,3),IF(Q165="Hex",VLOOKUP(Magick!$I$68*100,magestuff!$B$134:$F$138,4),VLOOKUP(Magick!$I$68*100,magestuff!$B$134:$F$138,5))))))</f>
        <v>29</v>
      </c>
      <c r="S165" s="67" t="s">
        <v>1984</v>
      </c>
      <c r="U165" s="67" t="str">
        <f t="shared" si="23"/>
        <v xml:space="preserve"> </v>
      </c>
      <c r="V165" s="515"/>
      <c r="W165" s="125"/>
      <c r="X165" s="31">
        <f t="shared" si="24"/>
        <v>0</v>
      </c>
      <c r="Y165" s="509"/>
      <c r="Z165" s="1054" t="str">
        <f t="shared" si="20"/>
        <v>Coat of The Fire Drake</v>
      </c>
      <c r="AA165" s="1072" t="str">
        <f t="shared" si="21"/>
        <v>Common</v>
      </c>
    </row>
    <row r="166" spans="1:27" hidden="1" outlineLevel="1">
      <c r="A166" s="31" t="s">
        <v>580</v>
      </c>
      <c r="B166" s="67">
        <v>7</v>
      </c>
      <c r="C166" s="67">
        <f ca="1">magestuff!$U$195</f>
        <v>7</v>
      </c>
      <c r="D166" s="67">
        <f t="shared" si="25"/>
        <v>0</v>
      </c>
      <c r="E166" s="77" t="e">
        <f ca="1">IF(F166="y",HLOOKUP((IF(C166&lt;1,1,C166)),Magick!$C$20:$L$21,2),NA())</f>
        <v>#N/A</v>
      </c>
      <c r="F166" s="67" t="str">
        <f ca="1">IF(C166&lt;=Magick!$D$3,"Y","N")</f>
        <v>N</v>
      </c>
      <c r="G166" s="148" t="s">
        <v>128</v>
      </c>
      <c r="H166" s="151"/>
      <c r="I166" s="77" t="e">
        <f>IF(H166&gt;0,(HLOOKUP(C166,Magick!$C$20:$L$21,2)-HLOOKUP(H166,Magick!$C$20:$L$21,2)),NA())</f>
        <v>#N/A</v>
      </c>
      <c r="J166" s="77"/>
      <c r="K166" s="67">
        <v>2</v>
      </c>
      <c r="L166" s="72" t="str">
        <f>IF(H166&gt;0,Magick!$AR$19-('Master Spell List'!H145*0.1),"N/A")</f>
        <v>N/A</v>
      </c>
      <c r="M166" s="72">
        <f ca="1">Magick!$H$68</f>
        <v>0.08</v>
      </c>
      <c r="N166" s="72">
        <f ca="1">Magick!$K$68</f>
        <v>0.13</v>
      </c>
      <c r="O166" s="72">
        <f ca="1">Magick!$L$68</f>
        <v>0.13</v>
      </c>
      <c r="P166" s="72">
        <f ca="1">Magick!$M$68</f>
        <v>0.13</v>
      </c>
      <c r="Q166" s="67" t="s">
        <v>3723</v>
      </c>
      <c r="R166" s="67">
        <f ca="1">IF(Q166="Ritual","N/A",IF(Q166="I.E.","N/A",IF(Q166="WOG",VLOOKUP(Magick!$I$68*100,magestuff!$B$134:$F$138,2),IF(Q166="Cantrip",VLOOKUP(Magick!$I$68*100,magestuff!$B$134:$F$138,3),IF(Q166="Hex",VLOOKUP(Magick!$I$68*100,magestuff!$B$134:$F$138,4),VLOOKUP(Magick!$I$68*100,magestuff!$B$134:$F$138,5))))))</f>
        <v>29</v>
      </c>
      <c r="U166" s="67" t="str">
        <f t="shared" si="23"/>
        <v xml:space="preserve"> </v>
      </c>
      <c r="V166" s="515"/>
      <c r="W166" s="125"/>
      <c r="X166" s="31">
        <f t="shared" si="24"/>
        <v>0</v>
      </c>
      <c r="Y166" s="509"/>
      <c r="Z166" s="1054" t="str">
        <f t="shared" si="20"/>
        <v>Create Acrid Smoke</v>
      </c>
      <c r="AA166" s="1072" t="str">
        <f t="shared" si="21"/>
        <v>Common</v>
      </c>
    </row>
    <row r="167" spans="1:27" hidden="1" outlineLevel="1">
      <c r="A167" s="31" t="s">
        <v>2857</v>
      </c>
      <c r="B167" s="67">
        <v>7</v>
      </c>
      <c r="C167" s="67">
        <f ca="1">magestuff!$U$195</f>
        <v>7</v>
      </c>
      <c r="D167" s="67">
        <f t="shared" si="25"/>
        <v>0</v>
      </c>
      <c r="E167" s="77" t="e">
        <f ca="1">IF(F167="y",HLOOKUP((IF(C167&lt;1,1,C167)),Magick!$C$20:$L$21,2),NA())</f>
        <v>#N/A</v>
      </c>
      <c r="F167" s="67" t="str">
        <f ca="1">IF(C167&lt;=Magick!$D$3,"Y","N")</f>
        <v>N</v>
      </c>
      <c r="G167" s="148" t="s">
        <v>128</v>
      </c>
      <c r="H167" s="151"/>
      <c r="I167" s="77" t="e">
        <f>IF(H167&gt;0,(HLOOKUP(C167,Magick!$C$20:$L$21,2)-HLOOKUP(H167,Magick!$C$20:$L$21,2)),NA())</f>
        <v>#N/A</v>
      </c>
      <c r="J167" s="77"/>
      <c r="K167" s="67">
        <v>4</v>
      </c>
      <c r="L167" s="72" t="str">
        <f>IF(H167&gt;0,Magick!$AR$19-('Master Spell List'!H147*0.1),"N/A")</f>
        <v>N/A</v>
      </c>
      <c r="M167" s="72">
        <f ca="1">Magick!$H$68</f>
        <v>0.08</v>
      </c>
      <c r="N167" s="72">
        <f ca="1">Magick!$K$68</f>
        <v>0.13</v>
      </c>
      <c r="O167" s="72">
        <f ca="1">Magick!$L$68</f>
        <v>0.13</v>
      </c>
      <c r="P167" s="72">
        <f ca="1">Magick!$M$68</f>
        <v>0.13</v>
      </c>
      <c r="Q167" s="67" t="s">
        <v>3723</v>
      </c>
      <c r="R167" s="67">
        <f ca="1">IF(Q167="Ritual","N/A",IF(Q167="I.E.","N/A",IF(Q167="WOG",VLOOKUP(Magick!$I$68*100,magestuff!$B$134:$F$138,2),IF(Q167="Cantrip",VLOOKUP(Magick!$I$68*100,magestuff!$B$134:$F$138,3),IF(Q167="Hex",VLOOKUP(Magick!$I$68*100,magestuff!$B$134:$F$138,4),VLOOKUP(Magick!$I$68*100,magestuff!$B$134:$F$138,5))))))</f>
        <v>29</v>
      </c>
      <c r="U167" s="67" t="str">
        <f t="shared" si="23"/>
        <v xml:space="preserve"> </v>
      </c>
      <c r="V167" s="515"/>
      <c r="W167" s="125"/>
      <c r="X167" s="31">
        <f t="shared" si="24"/>
        <v>0</v>
      </c>
      <c r="Y167" s="509"/>
      <c r="Z167" s="1054" t="str">
        <f t="shared" si="20"/>
        <v>Create Deadly Vapors</v>
      </c>
      <c r="AA167" s="1072" t="str">
        <f t="shared" si="21"/>
        <v>Common</v>
      </c>
    </row>
    <row r="168" spans="1:27" hidden="1" outlineLevel="1">
      <c r="A168" s="31" t="s">
        <v>2858</v>
      </c>
      <c r="B168" s="67">
        <v>7</v>
      </c>
      <c r="C168" s="67">
        <f ca="1">magestuff!$U$195</f>
        <v>7</v>
      </c>
      <c r="D168" s="67">
        <f t="shared" si="25"/>
        <v>0</v>
      </c>
      <c r="E168" s="77" t="e">
        <f ca="1">IF(F168="y",HLOOKUP((IF(C168&lt;1,1,C168)),Magick!$C$20:$L$21,2),NA())</f>
        <v>#N/A</v>
      </c>
      <c r="F168" s="67" t="str">
        <f ca="1">IF(C168&lt;=Magick!$D$3,"Y","N")</f>
        <v>N</v>
      </c>
      <c r="G168" s="148" t="s">
        <v>128</v>
      </c>
      <c r="H168" s="151"/>
      <c r="I168" s="77" t="e">
        <f>IF(H168&gt;0,(HLOOKUP(C168,Magick!$C$20:$L$21,2)-HLOOKUP(H168,Magick!$C$20:$L$21,2)),NA())</f>
        <v>#N/A</v>
      </c>
      <c r="J168" s="77"/>
      <c r="L168" s="72" t="str">
        <f>IF(H168&gt;0,Magick!$AR$19-('Master Spell List'!H148*0.1),"N/A")</f>
        <v>N/A</v>
      </c>
      <c r="M168" s="72">
        <f ca="1">Magick!$H$68</f>
        <v>0.08</v>
      </c>
      <c r="N168" s="72">
        <f ca="1">Magick!$K$68</f>
        <v>0.13</v>
      </c>
      <c r="O168" s="72">
        <f ca="1">Magick!$L$68</f>
        <v>0.13</v>
      </c>
      <c r="P168" s="72">
        <f ca="1">Magick!$M$68</f>
        <v>0.13</v>
      </c>
      <c r="Q168" s="67" t="s">
        <v>3723</v>
      </c>
      <c r="R168" s="67">
        <f ca="1">IF(Q168="Ritual","N/A",IF(Q168="I.E.","N/A",IF(Q168="WOG",VLOOKUP(Magick!$I$68*100,magestuff!$B$134:$F$138,2),IF(Q168="Cantrip",VLOOKUP(Magick!$I$68*100,magestuff!$B$134:$F$138,3),IF(Q168="Hex",VLOOKUP(Magick!$I$68*100,magestuff!$B$134:$F$138,4),VLOOKUP(Magick!$I$68*100,magestuff!$B$134:$F$138,5))))))</f>
        <v>29</v>
      </c>
      <c r="U168" s="67" t="str">
        <f t="shared" si="23"/>
        <v xml:space="preserve"> </v>
      </c>
      <c r="V168" s="515"/>
      <c r="W168" s="125"/>
      <c r="X168" s="31">
        <f t="shared" si="24"/>
        <v>0</v>
      </c>
      <c r="Y168" s="509"/>
      <c r="Z168" s="1054" t="str">
        <f t="shared" si="20"/>
        <v>Create Sulphur &amp; Brimstone</v>
      </c>
      <c r="AA168" s="1072" t="str">
        <f t="shared" si="21"/>
        <v>Common</v>
      </c>
    </row>
    <row r="169" spans="1:27" hidden="1" outlineLevel="1">
      <c r="A169" s="31" t="s">
        <v>5346</v>
      </c>
      <c r="B169" s="67">
        <v>7</v>
      </c>
      <c r="C169" s="67">
        <f ca="1">magestuff!$U$195</f>
        <v>7</v>
      </c>
      <c r="D169" s="67">
        <f t="shared" si="25"/>
        <v>0</v>
      </c>
      <c r="E169" s="77" t="e">
        <f ca="1">IF(F169="y",HLOOKUP((IF(C169&lt;1,1,C169)),Magick!$C$20:$L$21,2),NA())</f>
        <v>#N/A</v>
      </c>
      <c r="F169" s="67" t="str">
        <f ca="1">IF(C169&lt;=Magick!$D$3,"Y","N")</f>
        <v>N</v>
      </c>
      <c r="G169" s="148" t="s">
        <v>128</v>
      </c>
      <c r="H169" s="151"/>
      <c r="I169" s="77" t="e">
        <f>IF(H169&gt;0,(HLOOKUP(C169,Magick!$C$20:$L$21,2)-HLOOKUP(H169,Magick!$C$20:$L$21,2)),NA())</f>
        <v>#N/A</v>
      </c>
      <c r="J169" s="77"/>
      <c r="K169" s="67">
        <v>3</v>
      </c>
      <c r="L169" s="72" t="str">
        <f>IF(H169&gt;0,Magick!$AR$19-('Master Spell List'!H146*0.1),"N/A")</f>
        <v>N/A</v>
      </c>
      <c r="M169" s="72">
        <f ca="1">Magick!$H$68</f>
        <v>0.08</v>
      </c>
      <c r="N169" s="72">
        <f ca="1">Magick!$K$68</f>
        <v>0.13</v>
      </c>
      <c r="O169" s="72">
        <f ca="1">Magick!$L$68</f>
        <v>0.13</v>
      </c>
      <c r="P169" s="72">
        <f ca="1">Magick!$M$68</f>
        <v>0.13</v>
      </c>
      <c r="Q169" s="67" t="s">
        <v>3723</v>
      </c>
      <c r="R169" s="67">
        <f ca="1">IF(Q169="Ritual","N/A",IF(Q169="I.E.","N/A",IF(Q169="WOG",VLOOKUP(Magick!$I$68*100,magestuff!$B$134:$F$138,2),IF(Q169="Cantrip",VLOOKUP(Magick!$I$68*100,magestuff!$B$134:$F$138,3),IF(Q169="Hex",VLOOKUP(Magick!$I$68*100,magestuff!$B$134:$F$138,4),VLOOKUP(Magick!$I$68*100,magestuff!$B$134:$F$138,5))))))</f>
        <v>29</v>
      </c>
      <c r="U169" s="67" t="str">
        <f t="shared" si="23"/>
        <v xml:space="preserve"> </v>
      </c>
      <c r="V169" s="515"/>
      <c r="W169" s="125"/>
      <c r="X169" s="31">
        <f t="shared" si="24"/>
        <v>0</v>
      </c>
      <c r="Y169" s="509"/>
      <c r="Z169" s="1054" t="str">
        <f t="shared" si="20"/>
        <v>Create Sulphurous Fumes</v>
      </c>
      <c r="AA169" s="1072" t="str">
        <f t="shared" si="21"/>
        <v>Common</v>
      </c>
    </row>
    <row r="170" spans="1:27" hidden="1" outlineLevel="1">
      <c r="A170" s="83" t="s">
        <v>1624</v>
      </c>
      <c r="B170" s="67">
        <v>7</v>
      </c>
      <c r="C170" s="67">
        <f ca="1">magestuff!$U$195</f>
        <v>7</v>
      </c>
      <c r="D170" s="67">
        <f t="shared" si="25"/>
        <v>0</v>
      </c>
      <c r="E170" s="77" t="e">
        <f ca="1">IF(F170="y",HLOOKUP((IF(C170&lt;1,1,C170)),Magick!$C$20:$L$21,2),NA())</f>
        <v>#N/A</v>
      </c>
      <c r="F170" s="67" t="str">
        <f ca="1">IF(C170&lt;=Magick!$D$3,"Y","N")</f>
        <v>N</v>
      </c>
      <c r="G170" s="148" t="s">
        <v>1617</v>
      </c>
      <c r="H170" s="151"/>
      <c r="I170" s="77" t="e">
        <f>IF(H170&gt;0,(HLOOKUP(C170,Magick!$C$20:$L$21,2)-HLOOKUP(H170,Magick!$C$20:$L$21,2)),NA())</f>
        <v>#N/A</v>
      </c>
      <c r="J170" s="77"/>
      <c r="K170" s="67">
        <v>13</v>
      </c>
      <c r="L170" s="72" t="str">
        <f>IF(H170&gt;0,Magick!$AR$19-('Master Spell List'!H183*0.1),"N/A")</f>
        <v>N/A</v>
      </c>
      <c r="M170" s="72">
        <f ca="1">Magick!$H$68</f>
        <v>0.08</v>
      </c>
      <c r="N170" s="72">
        <f ca="1">Magick!$K$68</f>
        <v>0.13</v>
      </c>
      <c r="O170" s="72">
        <f ca="1">Magick!$L$68</f>
        <v>0.13</v>
      </c>
      <c r="P170" s="72">
        <f ca="1">Magick!$M$68</f>
        <v>0.13</v>
      </c>
      <c r="Q170" s="67" t="s">
        <v>3723</v>
      </c>
      <c r="R170" s="67">
        <f ca="1">IF(Q170="Ritual","N/A",IF(Q170="I.E.","N/A",IF(Q170="WOG",VLOOKUP(Magick!$I$68*100,magestuff!$B$134:$F$138,2),IF(Q170="Cantrip",VLOOKUP(Magick!$I$68*100,magestuff!$B$134:$F$138,3),IF(Q170="Hex",VLOOKUP(Magick!$I$68*100,magestuff!$B$134:$F$138,4),VLOOKUP(Magick!$I$68*100,magestuff!$B$134:$F$138,5))))))</f>
        <v>29</v>
      </c>
      <c r="S170" s="67" t="s">
        <v>1984</v>
      </c>
      <c r="U170" s="67" t="str">
        <f t="shared" si="23"/>
        <v xml:space="preserve"> </v>
      </c>
      <c r="V170" s="515"/>
      <c r="W170" s="125"/>
      <c r="X170" s="31">
        <f t="shared" si="24"/>
        <v>0</v>
      </c>
      <c r="Y170" s="509"/>
      <c r="Z170" s="1054" t="str">
        <f t="shared" si="20"/>
        <v>Flaming Weapon  - Dragon Fire</v>
      </c>
      <c r="AA170" s="1072" t="str">
        <f t="shared" si="21"/>
        <v>Common</v>
      </c>
    </row>
    <row r="171" spans="1:27" hidden="1" outlineLevel="1">
      <c r="A171" s="31" t="s">
        <v>2859</v>
      </c>
      <c r="B171" s="67">
        <v>7</v>
      </c>
      <c r="C171" s="67">
        <f ca="1">magestuff!$U$195</f>
        <v>7</v>
      </c>
      <c r="D171" s="67">
        <f t="shared" si="25"/>
        <v>0</v>
      </c>
      <c r="E171" s="77" t="e">
        <f ca="1">IF(F171="y",HLOOKUP((IF(C171&lt;1,1,C171)),Magick!$C$20:$L$21,2),NA())</f>
        <v>#N/A</v>
      </c>
      <c r="F171" s="67" t="str">
        <f ca="1">IF(C171&lt;=Magick!$D$3,"Y","N")</f>
        <v>N</v>
      </c>
      <c r="G171" s="148" t="s">
        <v>128</v>
      </c>
      <c r="H171" s="151"/>
      <c r="I171" s="77" t="e">
        <f>IF(H171&gt;0,(HLOOKUP(C171,Magick!$C$20:$L$21,2)-HLOOKUP(H171,Magick!$C$20:$L$21,2)),NA())</f>
        <v>#N/A</v>
      </c>
      <c r="J171" s="77"/>
      <c r="L171" s="72" t="str">
        <f>IF(H171&gt;0,Magick!$AR$19-('Master Spell List'!H152*0.1),"N/A")</f>
        <v>N/A</v>
      </c>
      <c r="M171" s="72">
        <f ca="1">Magick!$H$68</f>
        <v>0.08</v>
      </c>
      <c r="N171" s="72">
        <f ca="1">Magick!$K$68</f>
        <v>0.13</v>
      </c>
      <c r="O171" s="72">
        <f ca="1">Magick!$L$68</f>
        <v>0.13</v>
      </c>
      <c r="P171" s="72">
        <f ca="1">Magick!$M$68</f>
        <v>0.13</v>
      </c>
      <c r="Q171" s="67" t="s">
        <v>3723</v>
      </c>
      <c r="R171" s="67">
        <f ca="1">IF(Q171="Ritual","N/A",IF(Q171="I.E.","N/A",IF(Q171="WOG",VLOOKUP(Magick!$I$68*100,magestuff!$B$134:$F$138,2),IF(Q171="Cantrip",VLOOKUP(Magick!$I$68*100,magestuff!$B$134:$F$138,3),IF(Q171="Hex",VLOOKUP(Magick!$I$68*100,magestuff!$B$134:$F$138,4),VLOOKUP(Magick!$I$68*100,magestuff!$B$134:$F$138,5))))))</f>
        <v>29</v>
      </c>
      <c r="U171" s="67" t="str">
        <f t="shared" si="23"/>
        <v xml:space="preserve"> </v>
      </c>
      <c r="V171" s="515"/>
      <c r="W171" s="125"/>
      <c r="X171" s="31">
        <f t="shared" si="24"/>
        <v>0</v>
      </c>
      <c r="Y171" s="509"/>
      <c r="Z171" s="1054" t="str">
        <f t="shared" si="20"/>
        <v>Fuel For the Flames</v>
      </c>
      <c r="AA171" s="1072" t="str">
        <f t="shared" si="21"/>
        <v>Common</v>
      </c>
    </row>
    <row r="172" spans="1:27" hidden="1" outlineLevel="1">
      <c r="A172" s="83" t="s">
        <v>1146</v>
      </c>
      <c r="B172" s="67">
        <v>7</v>
      </c>
      <c r="C172" s="67">
        <f ca="1">magestuff!$U$195</f>
        <v>7</v>
      </c>
      <c r="D172" s="67">
        <f t="shared" si="25"/>
        <v>0</v>
      </c>
      <c r="E172" s="77" t="e">
        <f ca="1">IF(F172="y",HLOOKUP((IF(C172&lt;1,1,C172)),Magick!$C$20:$L$21,2),NA())</f>
        <v>#N/A</v>
      </c>
      <c r="F172" s="67" t="str">
        <f ca="1">IF(C172&lt;=Magick!$D$3,"Y","N")</f>
        <v>N</v>
      </c>
      <c r="G172" s="148" t="s">
        <v>1617</v>
      </c>
      <c r="H172" s="151"/>
      <c r="I172" s="77" t="e">
        <f>IF(H172&gt;0,(HLOOKUP(C172,Magick!$C$20:$L$21,2)-HLOOKUP(H172,Magick!$C$20:$L$21,2)),NA())</f>
        <v>#N/A</v>
      </c>
      <c r="J172" s="77"/>
      <c r="K172" s="67">
        <v>13</v>
      </c>
      <c r="L172" s="72" t="str">
        <f>IF(H172&gt;0,Magick!$AR$19-('Master Spell List'!H174*0.1),"N/A")</f>
        <v>N/A</v>
      </c>
      <c r="M172" s="72">
        <f ca="1">Magick!$H$68</f>
        <v>0.08</v>
      </c>
      <c r="N172" s="72">
        <f ca="1">Magick!$K$68</f>
        <v>0.13</v>
      </c>
      <c r="O172" s="72">
        <f ca="1">Magick!$L$68</f>
        <v>0.13</v>
      </c>
      <c r="P172" s="72">
        <f ca="1">Magick!$M$68</f>
        <v>0.13</v>
      </c>
      <c r="Q172" s="67" t="s">
        <v>3723</v>
      </c>
      <c r="R172" s="67">
        <f ca="1">IF(Q172="Ritual","N/A",IF(Q172="I.E.","N/A",IF(Q172="WOG",VLOOKUP(Magick!$I$68*100,magestuff!$B$134:$F$138,2),IF(Q172="Cantrip",VLOOKUP(Magick!$I$68*100,magestuff!$B$134:$F$138,3),IF(Q172="Hex",VLOOKUP(Magick!$I$68*100,magestuff!$B$134:$F$138,4),VLOOKUP(Magick!$I$68*100,magestuff!$B$134:$F$138,5))))))</f>
        <v>29</v>
      </c>
      <c r="U172" s="67" t="str">
        <f t="shared" si="23"/>
        <v xml:space="preserve"> </v>
      </c>
      <c r="V172" s="515"/>
      <c r="W172" s="125"/>
      <c r="X172" s="31">
        <f t="shared" si="24"/>
        <v>0</v>
      </c>
      <c r="Y172" s="509"/>
      <c r="Z172" s="1054" t="str">
        <f t="shared" si="20"/>
        <v>Turn Flame  - Salamander Fire</v>
      </c>
      <c r="AA172" s="1072" t="str">
        <f t="shared" si="21"/>
        <v>Common</v>
      </c>
    </row>
    <row r="173" spans="1:27" hidden="1" outlineLevel="1">
      <c r="A173" s="31" t="s">
        <v>2290</v>
      </c>
      <c r="B173" s="67">
        <v>8</v>
      </c>
      <c r="C173" s="67">
        <f ca="1">magestuff!$X$195</f>
        <v>8</v>
      </c>
      <c r="D173" s="67">
        <f t="shared" si="25"/>
        <v>0</v>
      </c>
      <c r="E173" s="77" t="e">
        <f ca="1">IF(F173="y",HLOOKUP((IF(C173&lt;1,1,C173)),Magick!$C$20:$L$21,2),NA())</f>
        <v>#N/A</v>
      </c>
      <c r="F173" s="67" t="str">
        <f ca="1">IF(C173&lt;=Magick!$D$3,"Y","N")</f>
        <v>N</v>
      </c>
      <c r="G173" s="148" t="s">
        <v>128</v>
      </c>
      <c r="H173" s="151"/>
      <c r="I173" s="77" t="e">
        <f>IF(H173&gt;0,(HLOOKUP(C173,Magick!$C$20:$L$21,2)-HLOOKUP(H173,Magick!$C$20:$L$21,2)),NA())</f>
        <v>#N/A</v>
      </c>
      <c r="J173" s="77"/>
      <c r="K173" s="67" t="s">
        <v>2292</v>
      </c>
      <c r="L173" s="72" t="str">
        <f>IF(H173&gt;0,Magick!$AR$19-('Master Spell List'!H160*0.1),"N/A")</f>
        <v>N/A</v>
      </c>
      <c r="M173" s="72">
        <f ca="1">Magick!$H$68</f>
        <v>0.08</v>
      </c>
      <c r="N173" s="72">
        <f ca="1">Magick!$K$68</f>
        <v>0.13</v>
      </c>
      <c r="O173" s="72">
        <f ca="1">Magick!$L$68</f>
        <v>0.13</v>
      </c>
      <c r="P173" s="72">
        <f ca="1">Magick!$M$68</f>
        <v>0.13</v>
      </c>
      <c r="Q173" s="67" t="s">
        <v>3723</v>
      </c>
      <c r="R173" s="67">
        <f ca="1">IF(Q173="Ritual","N/A",IF(Q173="I.E.","N/A",IF(Q173="WOG",VLOOKUP(Magick!$I$68*100,magestuff!$B$134:$F$138,2),IF(Q173="Cantrip",VLOOKUP(Magick!$I$68*100,magestuff!$B$134:$F$138,3),IF(Q173="Hex",VLOOKUP(Magick!$I$68*100,magestuff!$B$134:$F$138,4),VLOOKUP(Magick!$I$68*100,magestuff!$B$134:$F$138,5))))))</f>
        <v>29</v>
      </c>
      <c r="U173" s="67" t="str">
        <f t="shared" si="23"/>
        <v xml:space="preserve"> </v>
      </c>
      <c r="V173" s="515"/>
      <c r="W173" s="125"/>
      <c r="X173" s="31">
        <f t="shared" si="24"/>
        <v>0</v>
      </c>
      <c r="Y173" s="509"/>
      <c r="Z173" s="1054" t="str">
        <f t="shared" si="20"/>
        <v>Jets Of Flame - Salamander Fire</v>
      </c>
      <c r="AA173" s="1072" t="str">
        <f t="shared" si="21"/>
        <v>Common</v>
      </c>
    </row>
    <row r="174" spans="1:27" hidden="1" outlineLevel="1">
      <c r="A174" s="31" t="s">
        <v>340</v>
      </c>
      <c r="B174" s="67">
        <v>9</v>
      </c>
      <c r="C174" s="67">
        <f ca="1">magestuff!$AA$195</f>
        <v>9</v>
      </c>
      <c r="D174" s="67">
        <f t="shared" si="25"/>
        <v>0</v>
      </c>
      <c r="E174" s="77" t="e">
        <f ca="1">IF(F174="y",HLOOKUP((IF(C174&lt;1,1,C174)),Magick!$C$20:$L$21,2),NA())</f>
        <v>#N/A</v>
      </c>
      <c r="F174" s="67" t="str">
        <f ca="1">IF(C174&lt;=Magick!$D$3,"Y","N")</f>
        <v>N</v>
      </c>
      <c r="G174" s="148" t="s">
        <v>128</v>
      </c>
      <c r="H174" s="151"/>
      <c r="I174" s="77" t="e">
        <f>IF(H174&gt;0,(HLOOKUP(C174,Magick!$C$20:$L$21,2)-HLOOKUP(H174,Magick!$C$20:$L$21,2)),NA())</f>
        <v>#N/A</v>
      </c>
      <c r="J174" s="77"/>
      <c r="K174" s="67" t="s">
        <v>343</v>
      </c>
      <c r="L174" s="72" t="str">
        <f>IF(H174&gt;0,Magick!$AR$19-('Master Spell List'!H164*0.1),"N/A")</f>
        <v>N/A</v>
      </c>
      <c r="M174" s="72">
        <f ca="1">Magick!$H$68</f>
        <v>0.08</v>
      </c>
      <c r="N174" s="72">
        <f ca="1">Magick!$K$68</f>
        <v>0.13</v>
      </c>
      <c r="O174" s="72">
        <f ca="1">Magick!$L$68</f>
        <v>0.13</v>
      </c>
      <c r="P174" s="72">
        <f ca="1">Magick!$M$68</f>
        <v>0.13</v>
      </c>
      <c r="Q174" s="67" t="s">
        <v>3723</v>
      </c>
      <c r="R174" s="67">
        <f ca="1">IF(Q174="Ritual","N/A",IF(Q174="I.E.","N/A",IF(Q174="WOG",VLOOKUP(Magick!$I$68*100,magestuff!$B$134:$F$138,2),IF(Q174="Cantrip",VLOOKUP(Magick!$I$68*100,magestuff!$B$134:$F$138,3),IF(Q174="Hex",VLOOKUP(Magick!$I$68*100,magestuff!$B$134:$F$138,4),VLOOKUP(Magick!$I$68*100,magestuff!$B$134:$F$138,5))))))</f>
        <v>29</v>
      </c>
      <c r="U174" s="67" t="str">
        <f t="shared" si="23"/>
        <v xml:space="preserve"> </v>
      </c>
      <c r="V174" s="515"/>
      <c r="W174" s="125"/>
      <c r="X174" s="31">
        <f t="shared" si="24"/>
        <v>0</v>
      </c>
      <c r="Y174" s="509"/>
      <c r="Z174" s="1054" t="str">
        <f t="shared" si="20"/>
        <v>Fire Ball  - Salamander Fire</v>
      </c>
      <c r="AA174" s="1072" t="str">
        <f t="shared" si="21"/>
        <v>Common</v>
      </c>
    </row>
    <row r="175" spans="1:27" hidden="1" outlineLevel="1">
      <c r="A175" s="31" t="s">
        <v>2291</v>
      </c>
      <c r="B175" s="67">
        <v>9</v>
      </c>
      <c r="C175" s="67">
        <f ca="1">magestuff!$AA$195</f>
        <v>9</v>
      </c>
      <c r="D175" s="67">
        <f t="shared" si="25"/>
        <v>0</v>
      </c>
      <c r="E175" s="77" t="e">
        <f ca="1">IF(F175="y",HLOOKUP((IF(C175&lt;1,1,C175)),Magick!$C$20:$L$21,2),NA())</f>
        <v>#N/A</v>
      </c>
      <c r="F175" s="67" t="str">
        <f ca="1">IF(C175&lt;=Magick!$D$3,"Y","N")</f>
        <v>N</v>
      </c>
      <c r="G175" s="148" t="s">
        <v>128</v>
      </c>
      <c r="H175" s="151"/>
      <c r="I175" s="77" t="e">
        <f>IF(H175&gt;0,(HLOOKUP(C175,Magick!$C$20:$L$21,2)-HLOOKUP(H175,Magick!$C$20:$L$21,2)),NA())</f>
        <v>#N/A</v>
      </c>
      <c r="J175" s="77"/>
      <c r="K175" s="67" t="s">
        <v>346</v>
      </c>
      <c r="L175" s="72" t="str">
        <f>IF(H175&gt;0,Magick!$AR$19-('Master Spell List'!H161*0.1),"N/A")</f>
        <v>N/A</v>
      </c>
      <c r="M175" s="72">
        <f ca="1">Magick!$H$68</f>
        <v>0.08</v>
      </c>
      <c r="N175" s="72">
        <f ca="1">Magick!$K$68</f>
        <v>0.13</v>
      </c>
      <c r="O175" s="72">
        <f ca="1">Magick!$L$68</f>
        <v>0.13</v>
      </c>
      <c r="P175" s="72">
        <f ca="1">Magick!$M$68</f>
        <v>0.13</v>
      </c>
      <c r="Q175" s="67" t="s">
        <v>3723</v>
      </c>
      <c r="R175" s="67">
        <f ca="1">IF(Q175="Ritual","N/A",IF(Q175="I.E.","N/A",IF(Q175="WOG",VLOOKUP(Magick!$I$68*100,magestuff!$B$134:$F$138,2),IF(Q175="Cantrip",VLOOKUP(Magick!$I$68*100,magestuff!$B$134:$F$138,3),IF(Q175="Hex",VLOOKUP(Magick!$I$68*100,magestuff!$B$134:$F$138,4),VLOOKUP(Magick!$I$68*100,magestuff!$B$134:$F$138,5))))))</f>
        <v>29</v>
      </c>
      <c r="U175" s="67" t="str">
        <f t="shared" si="23"/>
        <v xml:space="preserve"> </v>
      </c>
      <c r="V175" s="515"/>
      <c r="W175" s="125"/>
      <c r="X175" s="31">
        <f t="shared" si="24"/>
        <v>0</v>
      </c>
      <c r="Y175" s="509"/>
      <c r="Z175" s="1054" t="str">
        <f t="shared" si="20"/>
        <v>Jets Of Flame - Dragon Fire</v>
      </c>
      <c r="AA175" s="1072" t="str">
        <f t="shared" si="21"/>
        <v>Common</v>
      </c>
    </row>
    <row r="176" spans="1:27" hidden="1" outlineLevel="1">
      <c r="A176" s="83" t="s">
        <v>4388</v>
      </c>
      <c r="B176" s="67">
        <v>9</v>
      </c>
      <c r="C176" s="67">
        <f ca="1">magestuff!$AA$195</f>
        <v>9</v>
      </c>
      <c r="D176" s="67">
        <f t="shared" si="25"/>
        <v>0</v>
      </c>
      <c r="E176" s="77" t="e">
        <f ca="1">IF(F176="y",HLOOKUP((IF(C176&lt;1,1,C176)),Magick!$C$20:$L$21,2),NA())</f>
        <v>#N/A</v>
      </c>
      <c r="F176" s="67" t="str">
        <f ca="1">IF(C176&lt;=Magick!$D$3,"Y","N")</f>
        <v>N</v>
      </c>
      <c r="G176" s="148" t="s">
        <v>1617</v>
      </c>
      <c r="H176" s="151"/>
      <c r="I176" s="77" t="e">
        <f>IF(H176&gt;0,(HLOOKUP(C176,Magick!$C$20:$L$21,2)-HLOOKUP(H176,Magick!$C$20:$L$21,2)),NA())</f>
        <v>#N/A</v>
      </c>
      <c r="J176" s="77"/>
      <c r="K176" s="67">
        <v>19</v>
      </c>
      <c r="L176" s="72" t="str">
        <f>IF(H176&gt;0,Magick!$AR$19-('Master Spell List'!H175*0.1),"N/A")</f>
        <v>N/A</v>
      </c>
      <c r="M176" s="72">
        <f ca="1">Magick!$H$68</f>
        <v>0.08</v>
      </c>
      <c r="N176" s="72">
        <f ca="1">Magick!$K$68</f>
        <v>0.13</v>
      </c>
      <c r="O176" s="72">
        <f ca="1">Magick!$L$68</f>
        <v>0.13</v>
      </c>
      <c r="P176" s="72">
        <f ca="1">Magick!$M$68</f>
        <v>0.13</v>
      </c>
      <c r="Q176" s="67" t="s">
        <v>3723</v>
      </c>
      <c r="R176" s="67">
        <f ca="1">IF(Q176="Ritual","N/A",IF(Q176="I.E.","N/A",IF(Q176="WOG",VLOOKUP(Magick!$I$68*100,magestuff!$B$134:$F$138,2),IF(Q176="Cantrip",VLOOKUP(Magick!$I$68*100,magestuff!$B$134:$F$138,3),IF(Q176="Hex",VLOOKUP(Magick!$I$68*100,magestuff!$B$134:$F$138,4),VLOOKUP(Magick!$I$68*100,magestuff!$B$134:$F$138,5))))))</f>
        <v>29</v>
      </c>
      <c r="U176" s="67" t="str">
        <f t="shared" si="23"/>
        <v xml:space="preserve"> </v>
      </c>
      <c r="V176" s="515"/>
      <c r="W176" s="125"/>
      <c r="X176" s="31">
        <f t="shared" si="24"/>
        <v>0</v>
      </c>
      <c r="Y176" s="509"/>
      <c r="Z176" s="1054" t="str">
        <f t="shared" si="20"/>
        <v>Turn Flame  - Dragon Fire</v>
      </c>
      <c r="AA176" s="1072" t="str">
        <f t="shared" si="21"/>
        <v>Common</v>
      </c>
    </row>
    <row r="177" spans="1:27" hidden="1" outlineLevel="1">
      <c r="A177" s="31" t="s">
        <v>4393</v>
      </c>
      <c r="B177" s="67">
        <v>10</v>
      </c>
      <c r="C177" s="67">
        <f ca="1">magestuff!$AD$195</f>
        <v>10</v>
      </c>
      <c r="D177" s="67">
        <f t="shared" si="25"/>
        <v>0</v>
      </c>
      <c r="E177" s="77" t="e">
        <f ca="1">IF(F177="y",HLOOKUP((IF(C177&lt;1,1,C177)),Magick!$C$20:$L$21,2),NA())</f>
        <v>#N/A</v>
      </c>
      <c r="F177" s="67" t="str">
        <f ca="1">IF(C177&lt;=Magick!$D$3,"Y","N")</f>
        <v>N</v>
      </c>
      <c r="G177" s="148" t="s">
        <v>128</v>
      </c>
      <c r="H177" s="151"/>
      <c r="I177" s="77" t="e">
        <f>IF(H177&gt;0,(HLOOKUP(C177,Magick!$C$20:$L$21,2)-HLOOKUP(H177,Magick!$C$20:$L$21,2)),NA())</f>
        <v>#N/A</v>
      </c>
      <c r="J177" s="77"/>
      <c r="L177" s="72" t="str">
        <f>IF(H177&gt;0,Magick!$AR$19-('Master Spell List'!H143*0.1),"N/A")</f>
        <v>N/A</v>
      </c>
      <c r="M177" s="72">
        <f ca="1">Magick!$H$68</f>
        <v>0.08</v>
      </c>
      <c r="N177" s="72">
        <f ca="1">Magick!$K$68</f>
        <v>0.13</v>
      </c>
      <c r="O177" s="72">
        <f ca="1">Magick!$L$68</f>
        <v>0.13</v>
      </c>
      <c r="P177" s="72">
        <f ca="1">Magick!$M$68</f>
        <v>0.13</v>
      </c>
      <c r="Q177" s="67" t="s">
        <v>3723</v>
      </c>
      <c r="R177" s="67">
        <f ca="1">IF(Q177="Ritual","N/A",IF(Q177="I.E.","N/A",IF(Q177="WOG",VLOOKUP(Magick!$I$68*100,magestuff!$B$134:$F$138,2),IF(Q177="Cantrip",VLOOKUP(Magick!$I$68*100,magestuff!$B$134:$F$138,3),IF(Q177="Hex",VLOOKUP(Magick!$I$68*100,magestuff!$B$134:$F$138,4),VLOOKUP(Magick!$I$68*100,magestuff!$B$134:$F$138,5))))))</f>
        <v>29</v>
      </c>
      <c r="U177" s="67" t="str">
        <f t="shared" si="23"/>
        <v xml:space="preserve"> </v>
      </c>
      <c r="V177" s="515"/>
      <c r="W177" s="125"/>
      <c r="X177" s="31">
        <f t="shared" si="24"/>
        <v>0</v>
      </c>
      <c r="Y177" s="509"/>
      <c r="Z177" s="1054" t="str">
        <f t="shared" si="20"/>
        <v>Command Dragon Fire</v>
      </c>
      <c r="AA177" s="1072" t="str">
        <f t="shared" si="21"/>
        <v>Common</v>
      </c>
    </row>
    <row r="178" spans="1:27" hidden="1" outlineLevel="1">
      <c r="A178" s="31" t="s">
        <v>4392</v>
      </c>
      <c r="B178" s="67">
        <v>10</v>
      </c>
      <c r="C178" s="67">
        <f ca="1">magestuff!$AD$195</f>
        <v>10</v>
      </c>
      <c r="D178" s="67">
        <f t="shared" si="25"/>
        <v>0</v>
      </c>
      <c r="E178" s="77" t="e">
        <f ca="1">IF(F178="y",HLOOKUP((IF(C178&lt;1,1,C178)),Magick!$C$20:$L$21,2),NA())</f>
        <v>#N/A</v>
      </c>
      <c r="F178" s="67" t="str">
        <f ca="1">IF(C178&lt;=Magick!$D$3,"Y","N")</f>
        <v>N</v>
      </c>
      <c r="G178" s="148" t="s">
        <v>128</v>
      </c>
      <c r="H178" s="151"/>
      <c r="I178" s="77" t="e">
        <f>IF(H178&gt;0,(HLOOKUP(C178,Magick!$C$20:$L$21,2)-HLOOKUP(H178,Magick!$C$20:$L$21,2)),NA())</f>
        <v>#N/A</v>
      </c>
      <c r="J178" s="77"/>
      <c r="L178" s="72" t="str">
        <f>IF(H178&gt;0,Magick!$AR$19-('Master Spell List'!H142*0.1),"N/A")</f>
        <v>N/A</v>
      </c>
      <c r="M178" s="72">
        <f ca="1">Magick!$H$68</f>
        <v>0.08</v>
      </c>
      <c r="N178" s="72">
        <f ca="1">Magick!$K$68</f>
        <v>0.13</v>
      </c>
      <c r="O178" s="72">
        <f ca="1">Magick!$L$68</f>
        <v>0.13</v>
      </c>
      <c r="P178" s="72">
        <f ca="1">Magick!$M$68</f>
        <v>0.13</v>
      </c>
      <c r="Q178" s="67" t="s">
        <v>3723</v>
      </c>
      <c r="R178" s="67">
        <f ca="1">IF(Q178="Ritual","N/A",IF(Q178="I.E.","N/A",IF(Q178="WOG",VLOOKUP(Magick!$I$68*100,magestuff!$B$134:$F$138,2),IF(Q178="Cantrip",VLOOKUP(Magick!$I$68*100,magestuff!$B$134:$F$138,3),IF(Q178="Hex",VLOOKUP(Magick!$I$68*100,magestuff!$B$134:$F$138,4),VLOOKUP(Magick!$I$68*100,magestuff!$B$134:$F$138,5))))))</f>
        <v>29</v>
      </c>
      <c r="U178" s="67" t="str">
        <f t="shared" si="23"/>
        <v xml:space="preserve"> </v>
      </c>
      <c r="V178" s="515"/>
      <c r="W178" s="125"/>
      <c r="X178" s="31">
        <f t="shared" si="24"/>
        <v>0</v>
      </c>
      <c r="Y178" s="509"/>
      <c r="Z178" s="1054" t="str">
        <f t="shared" si="20"/>
        <v>Create Dragon Fire</v>
      </c>
      <c r="AA178" s="1072" t="str">
        <f t="shared" si="21"/>
        <v>Common</v>
      </c>
    </row>
    <row r="179" spans="1:27" hidden="1" outlineLevel="1">
      <c r="A179" s="31" t="s">
        <v>341</v>
      </c>
      <c r="B179" s="67">
        <v>10</v>
      </c>
      <c r="C179" s="67">
        <f ca="1">magestuff!$AD$195</f>
        <v>10</v>
      </c>
      <c r="D179" s="67">
        <f t="shared" si="25"/>
        <v>0</v>
      </c>
      <c r="E179" s="77" t="e">
        <f ca="1">IF(F179="y",HLOOKUP((IF(C179&lt;1,1,C179)),Magick!$C$20:$L$21,2),NA())</f>
        <v>#N/A</v>
      </c>
      <c r="F179" s="67" t="str">
        <f ca="1">IF(C179&lt;=Magick!$D$3,"Y","N")</f>
        <v>N</v>
      </c>
      <c r="G179" s="148" t="s">
        <v>128</v>
      </c>
      <c r="H179" s="151"/>
      <c r="I179" s="77" t="e">
        <f>IF(H179&gt;0,(HLOOKUP(C179,Magick!$C$20:$L$21,2)-HLOOKUP(H179,Magick!$C$20:$L$21,2)),NA())</f>
        <v>#N/A</v>
      </c>
      <c r="J179" s="77"/>
      <c r="K179" s="67" t="s">
        <v>344</v>
      </c>
      <c r="L179" s="72" t="str">
        <f>IF(H179&gt;0,Magick!$AR$19-('Master Spell List'!H165*0.1),"N/A")</f>
        <v>N/A</v>
      </c>
      <c r="M179" s="72">
        <f ca="1">Magick!$H$68</f>
        <v>0.08</v>
      </c>
      <c r="N179" s="72">
        <f ca="1">Magick!$K$68</f>
        <v>0.13</v>
      </c>
      <c r="O179" s="72">
        <f ca="1">Magick!$L$68</f>
        <v>0.13</v>
      </c>
      <c r="P179" s="72">
        <f ca="1">Magick!$M$68</f>
        <v>0.13</v>
      </c>
      <c r="Q179" s="67" t="s">
        <v>3723</v>
      </c>
      <c r="R179" s="67">
        <f ca="1">IF(Q179="Ritual","N/A",IF(Q179="I.E.","N/A",IF(Q179="WOG",VLOOKUP(Magick!$I$68*100,magestuff!$B$134:$F$138,2),IF(Q179="Cantrip",VLOOKUP(Magick!$I$68*100,magestuff!$B$134:$F$138,3),IF(Q179="Hex",VLOOKUP(Magick!$I$68*100,magestuff!$B$134:$F$138,4),VLOOKUP(Magick!$I$68*100,magestuff!$B$134:$F$138,5))))))</f>
        <v>29</v>
      </c>
      <c r="U179" s="67" t="str">
        <f t="shared" si="23"/>
        <v xml:space="preserve"> </v>
      </c>
      <c r="V179" s="515"/>
      <c r="W179" s="125"/>
      <c r="X179" s="31">
        <f t="shared" si="24"/>
        <v>0</v>
      </c>
      <c r="Y179" s="509"/>
      <c r="Z179" s="1054" t="str">
        <f t="shared" si="20"/>
        <v>Fire Ball  - Dragon Fire</v>
      </c>
      <c r="AA179" s="1072" t="str">
        <f t="shared" si="21"/>
        <v>Common</v>
      </c>
    </row>
    <row r="180" spans="1:27" hidden="1" outlineLevel="1">
      <c r="A180" s="83" t="s">
        <v>4859</v>
      </c>
      <c r="B180" s="67">
        <v>11</v>
      </c>
      <c r="C180" s="67">
        <f ca="1">magestuff!$AD$195+1</f>
        <v>11</v>
      </c>
      <c r="D180" s="67">
        <f t="shared" si="25"/>
        <v>0</v>
      </c>
      <c r="E180" s="77" t="e">
        <f ca="1">IF(F180="y",HLOOKUP((IF(C180&lt;1,1,C180)),Magick!$C$20:$L$21,2),NA())</f>
        <v>#N/A</v>
      </c>
      <c r="F180" s="67" t="str">
        <f ca="1">IF(C180&lt;=Magick!$D$3,"Y","N")</f>
        <v>N</v>
      </c>
      <c r="G180" s="148" t="s">
        <v>859</v>
      </c>
      <c r="H180" s="151"/>
      <c r="I180" s="77" t="e">
        <f>IF(H180&gt;0,(HLOOKUP(C180,Magick!$C$20:$L$21,2)-HLOOKUP(H180,Magick!$C$20:$L$21,2)),NA())</f>
        <v>#N/A</v>
      </c>
      <c r="J180" s="77"/>
      <c r="K180" s="67" t="s">
        <v>2225</v>
      </c>
      <c r="L180" s="72" t="str">
        <f>IF(H180&gt;0,Magick!$AR$19-('Master Spell List'!H176*0.1),"N/A")</f>
        <v>N/A</v>
      </c>
      <c r="M180" s="72">
        <f ca="1">Magick!$H$68</f>
        <v>0.08</v>
      </c>
      <c r="N180" s="72">
        <f ca="1">Magick!$K$68</f>
        <v>0.13</v>
      </c>
      <c r="O180" s="72">
        <f ca="1">Magick!$L$68</f>
        <v>0.13</v>
      </c>
      <c r="P180" s="72">
        <f ca="1">Magick!$M$68</f>
        <v>0.13</v>
      </c>
      <c r="Q180" s="67" t="s">
        <v>2225</v>
      </c>
      <c r="R180" s="67">
        <f ca="1">IF(Q180="Ritual","N/A",IF(Q180="I.E.","N/A",IF(Q180="WOG",VLOOKUP(Magick!$I$68*100,magestuff!$B$134:$F$138,2),IF(Q180="Cantrip",VLOOKUP(Magick!$I$68*100,magestuff!$B$134:$F$138,3),IF(Q180="Hex",VLOOKUP(Magick!$I$68*100,magestuff!$B$134:$F$138,4),VLOOKUP(Magick!$I$68*100,magestuff!$B$134:$F$138,5))))))</f>
        <v>29</v>
      </c>
      <c r="U180" s="67" t="str">
        <f t="shared" si="23"/>
        <v xml:space="preserve"> </v>
      </c>
      <c r="V180" s="515"/>
      <c r="W180" s="125"/>
      <c r="X180" s="31">
        <f t="shared" si="24"/>
        <v>0</v>
      </c>
      <c r="Y180" s="509"/>
      <c r="Z180" s="1054" t="str">
        <f t="shared" si="20"/>
        <v>Fire Devil</v>
      </c>
      <c r="AA180" s="1072" t="str">
        <f t="shared" si="21"/>
        <v>Common</v>
      </c>
    </row>
    <row r="181" spans="1:27" hidden="1" outlineLevel="1">
      <c r="A181" s="83" t="s">
        <v>4860</v>
      </c>
      <c r="B181" s="67">
        <v>13</v>
      </c>
      <c r="C181" s="67">
        <f ca="1">magestuff!$AD$195+3</f>
        <v>13</v>
      </c>
      <c r="D181" s="67">
        <f t="shared" si="25"/>
        <v>0</v>
      </c>
      <c r="E181" s="77" t="e">
        <f ca="1">IF(F181="y",HLOOKUP((IF(C181&lt;1,1,C181)),Magick!$C$20:$L$21,2),NA())</f>
        <v>#N/A</v>
      </c>
      <c r="F181" s="67" t="str">
        <f ca="1">IF(C181&lt;=Magick!$D$3,"Y","N")</f>
        <v>N</v>
      </c>
      <c r="G181" s="148" t="s">
        <v>859</v>
      </c>
      <c r="H181" s="151"/>
      <c r="I181" s="77" t="e">
        <f>IF(H181&gt;0,(HLOOKUP(C181,Magick!$C$20:$L$21,2)-HLOOKUP(H181,Magick!$C$20:$L$21,2)),NA())</f>
        <v>#N/A</v>
      </c>
      <c r="J181" s="77"/>
      <c r="K181" s="67" t="s">
        <v>2225</v>
      </c>
      <c r="L181" s="72" t="str">
        <f>IF(H181&gt;0,Magick!$AR$19-('Master Spell List'!H177*0.1),"N/A")</f>
        <v>N/A</v>
      </c>
      <c r="M181" s="72">
        <f ca="1">Magick!$H$68</f>
        <v>0.08</v>
      </c>
      <c r="N181" s="72">
        <f ca="1">Magick!$K$68</f>
        <v>0.13</v>
      </c>
      <c r="O181" s="72">
        <f ca="1">Magick!$L$68</f>
        <v>0.13</v>
      </c>
      <c r="P181" s="72">
        <f ca="1">Magick!$M$68</f>
        <v>0.13</v>
      </c>
      <c r="Q181" s="67" t="s">
        <v>2225</v>
      </c>
      <c r="R181" s="67">
        <f ca="1">IF(Q181="Ritual","N/A",IF(Q181="I.E.","N/A",IF(Q181="WOG",VLOOKUP(Magick!$I$68*100,magestuff!$B$134:$F$138,2),IF(Q181="Cantrip",VLOOKUP(Magick!$I$68*100,magestuff!$B$134:$F$138,3),IF(Q181="Hex",VLOOKUP(Magick!$I$68*100,magestuff!$B$134:$F$138,4),VLOOKUP(Magick!$I$68*100,magestuff!$B$134:$F$138,5))))))</f>
        <v>29</v>
      </c>
      <c r="U181" s="67" t="str">
        <f t="shared" si="23"/>
        <v xml:space="preserve"> </v>
      </c>
      <c r="V181" s="515"/>
      <c r="W181" s="125"/>
      <c r="X181" s="31">
        <f t="shared" si="24"/>
        <v>0</v>
      </c>
      <c r="Y181" s="509"/>
      <c r="Z181" s="1054" t="str">
        <f t="shared" si="20"/>
        <v>Great Fire Devil</v>
      </c>
      <c r="AA181" s="1072" t="str">
        <f t="shared" si="21"/>
        <v>Common</v>
      </c>
    </row>
    <row r="182" spans="1:27" hidden="1" outlineLevel="1">
      <c r="A182" s="83" t="s">
        <v>4862</v>
      </c>
      <c r="B182" s="67">
        <v>16</v>
      </c>
      <c r="C182" s="67">
        <f ca="1">magestuff!$AD$195+6</f>
        <v>16</v>
      </c>
      <c r="D182" s="67">
        <f t="shared" si="25"/>
        <v>0</v>
      </c>
      <c r="E182" s="77" t="e">
        <f ca="1">IF(F182="y",HLOOKUP((IF(C182&lt;1,1,C182)),Magick!$C$20:$L$21,2),NA())</f>
        <v>#N/A</v>
      </c>
      <c r="F182" s="67" t="str">
        <f ca="1">IF(C182&lt;=Magick!$D$3,"Y","N")</f>
        <v>N</v>
      </c>
      <c r="G182" s="148" t="s">
        <v>859</v>
      </c>
      <c r="H182" s="151"/>
      <c r="I182" s="77" t="e">
        <f>IF(H182&gt;0,(HLOOKUP(C182,Magick!$C$20:$L$21,2)-HLOOKUP(H182,Magick!$C$20:$L$21,2)),NA())</f>
        <v>#N/A</v>
      </c>
      <c r="J182" s="77"/>
      <c r="K182" s="67" t="s">
        <v>2225</v>
      </c>
      <c r="L182" s="72" t="str">
        <f>IF(H182&gt;0,Magick!$AR$19-('Master Spell List'!H178*0.1),"N/A")</f>
        <v>N/A</v>
      </c>
      <c r="M182" s="72">
        <f ca="1">Magick!$H$68</f>
        <v>0.08</v>
      </c>
      <c r="N182" s="72">
        <f ca="1">Magick!$K$68</f>
        <v>0.13</v>
      </c>
      <c r="O182" s="72">
        <f ca="1">Magick!$L$68</f>
        <v>0.13</v>
      </c>
      <c r="P182" s="72">
        <f ca="1">Magick!$M$68</f>
        <v>0.13</v>
      </c>
      <c r="Q182" s="67" t="s">
        <v>2225</v>
      </c>
      <c r="R182" s="67">
        <f ca="1">IF(Q182="Ritual","N/A",IF(Q182="I.E.","N/A",IF(Q182="WOG",VLOOKUP(Magick!$I$68*100,magestuff!$B$134:$F$138,2),IF(Q182="Cantrip",VLOOKUP(Magick!$I$68*100,magestuff!$B$134:$F$138,3),IF(Q182="Hex",VLOOKUP(Magick!$I$68*100,magestuff!$B$134:$F$138,4),VLOOKUP(Magick!$I$68*100,magestuff!$B$134:$F$138,5))))))</f>
        <v>29</v>
      </c>
      <c r="U182" s="67" t="str">
        <f t="shared" si="23"/>
        <v xml:space="preserve"> </v>
      </c>
      <c r="V182" s="515"/>
      <c r="W182" s="125"/>
      <c r="X182" s="31">
        <f t="shared" si="24"/>
        <v>0</v>
      </c>
      <c r="Y182" s="509"/>
      <c r="Z182" s="1054" t="str">
        <f t="shared" si="20"/>
        <v>Great Fire Tornado (F2) (Fire Storm)</v>
      </c>
      <c r="AA182" s="1072" t="str">
        <f t="shared" si="21"/>
        <v>Common</v>
      </c>
    </row>
    <row r="183" spans="1:27" hidden="1" outlineLevel="1" collapsed="1">
      <c r="A183" s="83" t="s">
        <v>4861</v>
      </c>
      <c r="B183" s="67">
        <v>20</v>
      </c>
      <c r="C183" s="67">
        <f ca="1">magestuff!$AD$195+10</f>
        <v>20</v>
      </c>
      <c r="D183" s="67">
        <f t="shared" si="25"/>
        <v>0</v>
      </c>
      <c r="E183" s="77" t="e">
        <f ca="1">IF(F183="y",HLOOKUP((IF(C183&lt;1,1,C183)),Magick!$C$20:$L$21,2),NA())</f>
        <v>#N/A</v>
      </c>
      <c r="F183" s="67" t="str">
        <f ca="1">IF(C183&lt;=Magick!$D$3,"Y","N")</f>
        <v>N</v>
      </c>
      <c r="G183" s="148" t="s">
        <v>859</v>
      </c>
      <c r="H183" s="151"/>
      <c r="I183" s="77" t="e">
        <f>IF(H183&gt;0,(HLOOKUP(C183,Magick!$C$20:$L$21,2)-HLOOKUP(H183,Magick!$C$20:$L$21,2)),NA())</f>
        <v>#N/A</v>
      </c>
      <c r="J183" s="77"/>
      <c r="K183" s="67" t="s">
        <v>2225</v>
      </c>
      <c r="L183" s="72" t="str">
        <f>IF(H183&gt;0,Magick!$AR$19-('Master Spell List'!H179*0.1),"N/A")</f>
        <v>N/A</v>
      </c>
      <c r="M183" s="72">
        <f ca="1">Magick!$H$68</f>
        <v>0.08</v>
      </c>
      <c r="N183" s="72">
        <f ca="1">Magick!$K$68</f>
        <v>0.13</v>
      </c>
      <c r="O183" s="72">
        <f ca="1">Magick!$L$68</f>
        <v>0.13</v>
      </c>
      <c r="P183" s="72">
        <f ca="1">Magick!$M$68</f>
        <v>0.13</v>
      </c>
      <c r="Q183" s="67" t="s">
        <v>2225</v>
      </c>
      <c r="R183" s="67">
        <f ca="1">IF(Q183="Ritual","N/A",IF(Q183="I.E.","N/A",IF(Q183="WOG",VLOOKUP(Magick!$I$68*100,magestuff!$B$134:$F$138,2),IF(Q183="Cantrip",VLOOKUP(Magick!$I$68*100,magestuff!$B$134:$F$138,3),IF(Q183="Hex",VLOOKUP(Magick!$I$68*100,magestuff!$B$134:$F$138,4),VLOOKUP(Magick!$I$68*100,magestuff!$B$134:$F$138,5))))))</f>
        <v>29</v>
      </c>
      <c r="U183" s="67" t="str">
        <f t="shared" si="23"/>
        <v xml:space="preserve"> </v>
      </c>
      <c r="V183" s="515"/>
      <c r="W183" s="125"/>
      <c r="X183" s="31">
        <f t="shared" si="24"/>
        <v>0</v>
      </c>
      <c r="Y183" s="509"/>
      <c r="Z183" s="1054" t="str">
        <f t="shared" si="20"/>
        <v>Greatest Fire Tornado (F5) (Holocaust Storm )</v>
      </c>
      <c r="AA183" s="1072" t="str">
        <f t="shared" si="21"/>
        <v>Common</v>
      </c>
    </row>
    <row r="184" spans="1:27" collapsed="1">
      <c r="A184" s="48" t="s">
        <v>4278</v>
      </c>
      <c r="B184" s="76">
        <f>SUM(B185:B252)</f>
        <v>426</v>
      </c>
      <c r="C184" s="76">
        <f ca="1">SUM(C185:C252)</f>
        <v>426</v>
      </c>
      <c r="D184" s="76">
        <f>SUM(D185:D252)</f>
        <v>0</v>
      </c>
      <c r="E184" s="76"/>
      <c r="F184" s="149">
        <f ca="1">SUM(C185:C191)+IF(F192="Y",SUM(C192:C194),0)+IF(F195="Y",SUM(C195:C204),0)+IF(F205="Y",SUM(C205:C216),0)+IF(F217="Y",SUM(C217:C225),0)+IF(F226="Y",SUM(C226:C231),0)+IF(F232="Y",SUM(C232:C235),0)+IF(F236="Y",SUM(C236:C239),0)+IF(F240="Y",SUM(C240:C245),0)+IF(F246="Y",SUM(C246:C251),0)+IF(F252="Y",SUM(C252:C252),0)</f>
        <v>14</v>
      </c>
      <c r="G184" s="76"/>
      <c r="H184" s="150"/>
      <c r="I184" s="76"/>
      <c r="J184" s="76"/>
      <c r="K184" s="76"/>
      <c r="L184" s="76"/>
      <c r="M184" s="222">
        <f ca="1">Magick!$H$69</f>
        <v>0.08</v>
      </c>
      <c r="N184" s="222">
        <f ca="1">Magick!$K$69</f>
        <v>0.13</v>
      </c>
      <c r="O184" s="222">
        <f ca="1">Magick!$L$69</f>
        <v>0.13</v>
      </c>
      <c r="P184" s="222">
        <f ca="1">Magick!$M$69</f>
        <v>0.13</v>
      </c>
      <c r="Q184" s="76"/>
      <c r="R184" s="76"/>
      <c r="S184" s="76"/>
      <c r="T184" s="76"/>
      <c r="U184" s="149">
        <f>SUM(U185:U252)</f>
        <v>0</v>
      </c>
      <c r="V184" s="76"/>
      <c r="W184" s="76"/>
      <c r="X184" s="149"/>
      <c r="Y184" s="509"/>
      <c r="Z184" s="1054" t="str">
        <f t="shared" si="20"/>
        <v>Basic Elemental Magick - Water</v>
      </c>
      <c r="AA184" s="1072" t="str">
        <f t="shared" si="21"/>
        <v>Common</v>
      </c>
    </row>
    <row r="185" spans="1:27" hidden="1" outlineLevel="1">
      <c r="A185" s="31" t="s">
        <v>906</v>
      </c>
      <c r="B185" s="67">
        <v>2</v>
      </c>
      <c r="C185" s="67">
        <f ca="1">IF(magestuff!$F$196&lt;1,1,magestuff!$F$196)</f>
        <v>2</v>
      </c>
      <c r="D185" s="67">
        <f t="shared" ref="D185:D248" si="26">IF(AND(ISNUMBER(H185),H185=0),C185,0)</f>
        <v>0</v>
      </c>
      <c r="E185" s="77">
        <f ca="1">IF(F185="y",HLOOKUP((IF(C185&lt;1,1,C185)),Magick!$C$20:$L$21,2),NA())</f>
        <v>21</v>
      </c>
      <c r="F185" s="67" t="str">
        <f ca="1">IF(C185&lt;=Magick!$D$3,"Y","N")</f>
        <v>Y</v>
      </c>
      <c r="G185" s="148" t="s">
        <v>128</v>
      </c>
      <c r="H185" s="151"/>
      <c r="I185" s="77" t="e">
        <f>IF(H185&gt;0,(HLOOKUP(C185,Magick!$C$20:$L$21,2)-HLOOKUP(H185,Magick!$C$20:$L$21,2)),NA())</f>
        <v>#N/A</v>
      </c>
      <c r="J185" s="77"/>
      <c r="L185" s="72" t="str">
        <f>IF(H185&gt;0,Magick!$AR$20-('Master Spell List'!H192*0.1),"N/A")</f>
        <v>N/A</v>
      </c>
      <c r="M185" s="72">
        <f ca="1">Magick!$H$69</f>
        <v>0.08</v>
      </c>
      <c r="N185" s="72">
        <f ca="1">Magick!$K$69</f>
        <v>0.13</v>
      </c>
      <c r="O185" s="72">
        <f ca="1">Magick!$L$69</f>
        <v>0.13</v>
      </c>
      <c r="P185" s="72">
        <f ca="1">Magick!$M$69</f>
        <v>0.13</v>
      </c>
      <c r="Q185" s="67" t="s">
        <v>113</v>
      </c>
      <c r="R185" s="67" t="str">
        <f>IF(Q185="Ritual","N/A",IF(Q185="I.E.","N/A",IF(Q185="WOG",VLOOKUP(Magick!$I$69*100,magestuff!$B$134:$F$138,2),IF(Q185="Cantrip",VLOOKUP(Magick!$I$69*100,magestuff!$B$134:$F$138,3),IF(Q185="Hex",VLOOKUP(Magick!$I$69*100,magestuff!$B$134:$F$138,4),VLOOKUP(Magick!$I$69*100,magestuff!$B$134:$F$138,5))))))</f>
        <v>N/A</v>
      </c>
      <c r="U185" s="67" t="str">
        <f t="shared" ref="U185:U248" si="27">IF(ISBLANK(H185)," ",IF(H185&gt;0,0,C185*10))</f>
        <v xml:space="preserve"> </v>
      </c>
      <c r="V185" s="515"/>
      <c r="W185" s="125"/>
      <c r="X185" s="31">
        <f t="shared" ref="X185:X216" si="28">W185*3</f>
        <v>0</v>
      </c>
      <c r="Y185" s="509"/>
      <c r="Z185" s="1054" t="str">
        <f t="shared" si="20"/>
        <v>Clouds &amp; Rain</v>
      </c>
      <c r="AA185" s="1072" t="str">
        <f t="shared" si="21"/>
        <v>Common</v>
      </c>
    </row>
    <row r="186" spans="1:27" hidden="1" outlineLevel="1">
      <c r="A186" s="31" t="s">
        <v>5312</v>
      </c>
      <c r="B186" s="67">
        <v>2</v>
      </c>
      <c r="C186" s="67">
        <f ca="1">IF(magestuff!$F$196&lt;1,1,magestuff!$F$196)</f>
        <v>2</v>
      </c>
      <c r="D186" s="67">
        <f t="shared" si="26"/>
        <v>0</v>
      </c>
      <c r="E186" s="77">
        <f ca="1">IF(F186="y",HLOOKUP((IF(C186&lt;1,1,C186)),Magick!$C$20:$L$21,2),NA())</f>
        <v>21</v>
      </c>
      <c r="F186" s="67" t="str">
        <f ca="1">IF(C186&lt;=Magick!$D$3,"Y","N")</f>
        <v>Y</v>
      </c>
      <c r="G186" s="148" t="s">
        <v>128</v>
      </c>
      <c r="H186" s="151"/>
      <c r="I186" s="77" t="e">
        <f>IF(H186&gt;0,(HLOOKUP(C186,Magick!$C$20:$L$21,2)-HLOOKUP(H186,Magick!$C$20:$L$21,2)),NA())</f>
        <v>#N/A</v>
      </c>
      <c r="J186" s="77"/>
      <c r="K186" s="67" t="s">
        <v>106</v>
      </c>
      <c r="L186" s="72" t="str">
        <f>IF(H186&gt;0,Magick!$AR$20-('Master Spell List'!H186*0.1),"N/A")</f>
        <v>N/A</v>
      </c>
      <c r="M186" s="72">
        <f ca="1">Magick!$H$69</f>
        <v>0.08</v>
      </c>
      <c r="N186" s="72">
        <f ca="1">Magick!$K$69</f>
        <v>0.13</v>
      </c>
      <c r="O186" s="72">
        <f ca="1">Magick!$L$69</f>
        <v>0.13</v>
      </c>
      <c r="P186" s="72">
        <f ca="1">Magick!$M$69</f>
        <v>0.13</v>
      </c>
      <c r="Q186" s="67" t="s">
        <v>3723</v>
      </c>
      <c r="R186" s="67">
        <f ca="1">IF(Q186="Ritual","N/A",IF(Q186="I.E.","N/A",IF(Q186="WOG",VLOOKUP(Magick!$I$69*100,magestuff!$B$134:$F$138,2),IF(Q186="Cantrip",VLOOKUP(Magick!$I$69*100,magestuff!$B$134:$F$138,3),IF(Q186="Hex",VLOOKUP(Magick!$I$69*100,magestuff!$B$134:$F$138,4),VLOOKUP(Magick!$I$69*100,magestuff!$B$134:$F$138,5))))))</f>
        <v>29</v>
      </c>
      <c r="U186" s="67" t="str">
        <f t="shared" si="27"/>
        <v xml:space="preserve"> </v>
      </c>
      <c r="V186" s="515"/>
      <c r="W186" s="125"/>
      <c r="X186" s="31">
        <f t="shared" si="28"/>
        <v>0</v>
      </c>
      <c r="Y186" s="509"/>
      <c r="Z186" s="1054" t="str">
        <f t="shared" si="20"/>
        <v>Command Water</v>
      </c>
      <c r="AA186" s="1072" t="str">
        <f t="shared" si="21"/>
        <v>Common</v>
      </c>
    </row>
    <row r="187" spans="1:27" hidden="1" outlineLevel="1">
      <c r="A187" s="31" t="s">
        <v>2176</v>
      </c>
      <c r="B187" s="67">
        <v>2</v>
      </c>
      <c r="C187" s="67">
        <f ca="1">IF(magestuff!$F$196&lt;1,1,magestuff!$F$196)</f>
        <v>2</v>
      </c>
      <c r="D187" s="67">
        <f t="shared" si="26"/>
        <v>0</v>
      </c>
      <c r="E187" s="77">
        <f ca="1">IF(F187="y",HLOOKUP((IF(C187&lt;1,1,C187)),Magick!$C$20:$L$21,2),NA())</f>
        <v>21</v>
      </c>
      <c r="F187" s="67" t="str">
        <f ca="1">IF(C187&lt;=Magick!$D$3,"Y","N")</f>
        <v>Y</v>
      </c>
      <c r="G187" s="148" t="s">
        <v>128</v>
      </c>
      <c r="H187" s="151"/>
      <c r="I187" s="77" t="e">
        <f>IF(H187&gt;0,(HLOOKUP(C187,Magick!$C$20:$L$21,2)-HLOOKUP(H187,Magick!$C$20:$L$21,2)),NA())</f>
        <v>#N/A</v>
      </c>
      <c r="J187" s="77"/>
      <c r="K187" s="67" t="s">
        <v>106</v>
      </c>
      <c r="L187" s="72" t="str">
        <f>IF(H187&gt;0,Magick!$AR$20-('Master Spell List'!H185*0.1),"N/A")</f>
        <v>N/A</v>
      </c>
      <c r="M187" s="72">
        <f ca="1">Magick!$H$69</f>
        <v>0.08</v>
      </c>
      <c r="N187" s="72">
        <f ca="1">Magick!$K$69</f>
        <v>0.13</v>
      </c>
      <c r="O187" s="72">
        <f ca="1">Magick!$L$69</f>
        <v>0.13</v>
      </c>
      <c r="P187" s="72">
        <f ca="1">Magick!$M$69</f>
        <v>0.13</v>
      </c>
      <c r="Q187" s="67" t="s">
        <v>3723</v>
      </c>
      <c r="R187" s="67">
        <f ca="1">IF(Q187="Ritual","N/A",IF(Q187="I.E.","N/A",IF(Q187="WOG",VLOOKUP(Magick!$I$69*100,magestuff!$B$134:$F$138,2),IF(Q187="Cantrip",VLOOKUP(Magick!$I$69*100,magestuff!$B$134:$F$138,3),IF(Q187="Hex",VLOOKUP(Magick!$I$69*100,magestuff!$B$134:$F$138,4),VLOOKUP(Magick!$I$69*100,magestuff!$B$134:$F$138,5))))))</f>
        <v>29</v>
      </c>
      <c r="U187" s="67" t="str">
        <f t="shared" si="27"/>
        <v xml:space="preserve"> </v>
      </c>
      <c r="V187" s="515"/>
      <c r="W187" s="125"/>
      <c r="X187" s="31">
        <f t="shared" si="28"/>
        <v>0</v>
      </c>
      <c r="Y187" s="509"/>
      <c r="Z187" s="1054" t="str">
        <f t="shared" si="20"/>
        <v>Create Water</v>
      </c>
      <c r="AA187" s="1072" t="str">
        <f t="shared" si="21"/>
        <v>Common</v>
      </c>
    </row>
    <row r="188" spans="1:27" hidden="1" outlineLevel="1">
      <c r="A188" s="31" t="s">
        <v>905</v>
      </c>
      <c r="B188" s="67">
        <v>2</v>
      </c>
      <c r="C188" s="67">
        <f ca="1">IF(magestuff!$F$196&lt;1,1,magestuff!$F$196)</f>
        <v>2</v>
      </c>
      <c r="D188" s="67">
        <f t="shared" si="26"/>
        <v>0</v>
      </c>
      <c r="E188" s="77">
        <f ca="1">IF(F188="y",HLOOKUP((IF(C188&lt;1,1,C188)),Magick!$C$20:$L$21,2),NA())</f>
        <v>21</v>
      </c>
      <c r="F188" s="67" t="str">
        <f ca="1">IF(C188&lt;=Magick!$D$3,"Y","N")</f>
        <v>Y</v>
      </c>
      <c r="G188" s="148" t="s">
        <v>128</v>
      </c>
      <c r="H188" s="151"/>
      <c r="I188" s="77" t="e">
        <f>IF(H188&gt;0,(HLOOKUP(C188,Magick!$C$20:$L$21,2)-HLOOKUP(H188,Magick!$C$20:$L$21,2)),NA())</f>
        <v>#N/A</v>
      </c>
      <c r="J188" s="77"/>
      <c r="L188" s="72" t="str">
        <f>IF(H188&gt;0,Magick!$AR$20-('Master Spell List'!H191*0.1),"N/A")</f>
        <v>N/A</v>
      </c>
      <c r="M188" s="72">
        <f ca="1">Magick!$H$69</f>
        <v>0.08</v>
      </c>
      <c r="N188" s="72">
        <f ca="1">Magick!$K$69</f>
        <v>0.13</v>
      </c>
      <c r="O188" s="72">
        <f ca="1">Magick!$L$69</f>
        <v>0.13</v>
      </c>
      <c r="P188" s="72">
        <f ca="1">Magick!$M$69</f>
        <v>0.13</v>
      </c>
      <c r="Q188" s="67" t="s">
        <v>4602</v>
      </c>
      <c r="R188" s="67">
        <f ca="1">IF(Q188="Ritual","N/A",IF(Q188="I.E.","N/A",IF(Q188="WOG",VLOOKUP(Magick!$I$69*100,magestuff!$B$134:$F$138,2),IF(Q188="Cantrip",VLOOKUP(Magick!$I$69*100,magestuff!$B$134:$F$138,3),IF(Q188="Hex",VLOOKUP(Magick!$I$69*100,magestuff!$B$134:$F$138,4),VLOOKUP(Magick!$I$69*100,magestuff!$B$134:$F$138,5))))))</f>
        <v>19</v>
      </c>
      <c r="U188" s="67" t="str">
        <f t="shared" si="27"/>
        <v xml:space="preserve"> </v>
      </c>
      <c r="V188" s="515"/>
      <c r="W188" s="125"/>
      <c r="X188" s="31">
        <f t="shared" si="28"/>
        <v>0</v>
      </c>
      <c r="Y188" s="509"/>
      <c r="Z188" s="1054" t="str">
        <f t="shared" si="20"/>
        <v>Mist &amp; Fog</v>
      </c>
      <c r="AA188" s="1072" t="str">
        <f t="shared" si="21"/>
        <v>Common</v>
      </c>
    </row>
    <row r="189" spans="1:27" hidden="1" outlineLevel="1">
      <c r="A189" s="83" t="s">
        <v>4869</v>
      </c>
      <c r="B189" s="67">
        <v>2</v>
      </c>
      <c r="C189" s="67">
        <f ca="1">IF(magestuff!$F$196&lt;1,1,magestuff!$F$196)</f>
        <v>2</v>
      </c>
      <c r="D189" s="67">
        <f t="shared" si="26"/>
        <v>0</v>
      </c>
      <c r="E189" s="77">
        <f ca="1">IF(F189="y",HLOOKUP((IF(C189&lt;1,1,C189)),Magick!$C$20:$L$21,2),NA())</f>
        <v>21</v>
      </c>
      <c r="F189" s="67" t="str">
        <f ca="1">IF(C189&lt;=Magick!$D$3,"Y","N")</f>
        <v>Y</v>
      </c>
      <c r="G189" s="148" t="s">
        <v>859</v>
      </c>
      <c r="H189" s="151"/>
      <c r="I189" s="77" t="e">
        <f>IF(H189&gt;0,(HLOOKUP(C189,Magick!$C$20:$L$21,2)-HLOOKUP(H189,Magick!$C$20:$L$21,2)),NA())</f>
        <v>#N/A</v>
      </c>
      <c r="J189" s="77"/>
      <c r="K189" s="67" t="s">
        <v>2225</v>
      </c>
      <c r="L189" s="72" t="str">
        <f>IF(H189&gt;0,Magick!$AR$20-('Master Spell List'!H215*0.1),"N/A")</f>
        <v>N/A</v>
      </c>
      <c r="M189" s="72">
        <f ca="1">Magick!$H$69</f>
        <v>0.08</v>
      </c>
      <c r="N189" s="72">
        <f ca="1">Magick!$K$69</f>
        <v>0.13</v>
      </c>
      <c r="O189" s="72">
        <f ca="1">Magick!$L$69</f>
        <v>0.13</v>
      </c>
      <c r="P189" s="72">
        <f ca="1">Magick!$M$69</f>
        <v>0.13</v>
      </c>
      <c r="Q189" s="67" t="s">
        <v>2225</v>
      </c>
      <c r="R189" s="67">
        <f ca="1">IF(Q189="Ritual","N/A",IF(Q189="I.E.","N/A",IF(Q189="WOG",VLOOKUP(Magick!$I$69*100,magestuff!$B$134:$F$138,2),IF(Q189="Cantrip",VLOOKUP(Magick!$I$69*100,magestuff!$B$134:$F$138,3),IF(Q189="Hex",VLOOKUP(Magick!$I$69*100,magestuff!$B$134:$F$138,4),VLOOKUP(Magick!$I$69*100,magestuff!$B$134:$F$138,5))))))</f>
        <v>29</v>
      </c>
      <c r="U189" s="67" t="str">
        <f t="shared" si="27"/>
        <v xml:space="preserve"> </v>
      </c>
      <c r="V189" s="515"/>
      <c r="W189" s="125"/>
      <c r="X189" s="31">
        <f t="shared" si="28"/>
        <v>0</v>
      </c>
      <c r="Y189" s="509"/>
      <c r="Z189" s="1054" t="str">
        <f t="shared" si="20"/>
        <v>Remove Magick Water</v>
      </c>
      <c r="AA189" s="1072" t="str">
        <f t="shared" si="21"/>
        <v>Common</v>
      </c>
    </row>
    <row r="190" spans="1:27" hidden="1" outlineLevel="1">
      <c r="A190" s="31" t="s">
        <v>1047</v>
      </c>
      <c r="B190" s="67">
        <v>2</v>
      </c>
      <c r="C190" s="67">
        <f ca="1">IF(magestuff!$F$196&lt;1,1,magestuff!$F$196)</f>
        <v>2</v>
      </c>
      <c r="D190" s="67">
        <f t="shared" si="26"/>
        <v>0</v>
      </c>
      <c r="E190" s="77">
        <f ca="1">IF(F190="y",HLOOKUP((IF(C190&lt;1,1,C190)),Magick!$C$20:$L$21,2),NA())</f>
        <v>21</v>
      </c>
      <c r="F190" s="67" t="str">
        <f ca="1">IF(C190&lt;=Magick!$D$3,"Y","N")</f>
        <v>Y</v>
      </c>
      <c r="G190" s="148" t="s">
        <v>128</v>
      </c>
      <c r="H190" s="151"/>
      <c r="I190" s="77" t="e">
        <f>IF(H190&gt;0,(HLOOKUP(C190,Magick!$C$20:$L$21,2)-HLOOKUP(H190,Magick!$C$20:$L$21,2)),NA())</f>
        <v>#N/A</v>
      </c>
      <c r="J190" s="77"/>
      <c r="K190" s="67" t="s">
        <v>106</v>
      </c>
      <c r="L190" s="72" t="str">
        <f>IF(H190&gt;0,Magick!$AR$20-('Master Spell List'!H187*0.1),"N/A")</f>
        <v>N/A</v>
      </c>
      <c r="M190" s="72">
        <f ca="1">Magick!$H$69</f>
        <v>0.08</v>
      </c>
      <c r="N190" s="72">
        <f ca="1">Magick!$K$69</f>
        <v>0.13</v>
      </c>
      <c r="O190" s="72">
        <f ca="1">Magick!$L$69</f>
        <v>0.13</v>
      </c>
      <c r="P190" s="72">
        <f ca="1">Magick!$M$69</f>
        <v>0.13</v>
      </c>
      <c r="Q190" s="67" t="s">
        <v>3723</v>
      </c>
      <c r="R190" s="67">
        <f ca="1">IF(Q190="Ritual","N/A",IF(Q190="I.E.","N/A",IF(Q190="WOG",VLOOKUP(Magick!$I$69*100,magestuff!$B$134:$F$138,2),IF(Q190="Cantrip",VLOOKUP(Magick!$I$69*100,magestuff!$B$134:$F$138,3),IF(Q190="Hex",VLOOKUP(Magick!$I$69*100,magestuff!$B$134:$F$138,4),VLOOKUP(Magick!$I$69*100,magestuff!$B$134:$F$138,5))))))</f>
        <v>29</v>
      </c>
      <c r="U190" s="67" t="str">
        <f t="shared" si="27"/>
        <v xml:space="preserve"> </v>
      </c>
      <c r="V190" s="515"/>
      <c r="W190" s="125"/>
      <c r="X190" s="31">
        <f t="shared" si="28"/>
        <v>0</v>
      </c>
      <c r="Y190" s="509"/>
      <c r="Z190" s="1054" t="str">
        <f t="shared" si="20"/>
        <v>Remove Water</v>
      </c>
      <c r="AA190" s="1072" t="str">
        <f t="shared" si="21"/>
        <v>Common</v>
      </c>
    </row>
    <row r="191" spans="1:27" hidden="1" outlineLevel="1">
      <c r="A191" s="31" t="s">
        <v>2594</v>
      </c>
      <c r="B191" s="67">
        <v>2</v>
      </c>
      <c r="C191" s="67">
        <f ca="1">IF(magestuff!$F$196&lt;1,1,magestuff!$F$196)</f>
        <v>2</v>
      </c>
      <c r="D191" s="67">
        <f t="shared" si="26"/>
        <v>0</v>
      </c>
      <c r="E191" s="77">
        <f ca="1">IF(F191="y",HLOOKUP((IF(C191&lt;1,1,C191)),Magick!$C$20:$L$21,2),NA())</f>
        <v>21</v>
      </c>
      <c r="F191" s="67" t="str">
        <f ca="1">IF(C191&lt;=Magick!$D$3,"Y","N")</f>
        <v>Y</v>
      </c>
      <c r="G191" s="148" t="s">
        <v>128</v>
      </c>
      <c r="H191" s="151"/>
      <c r="I191" s="77" t="e">
        <f>IF(H191&gt;0,(HLOOKUP(C191,Magick!$C$20:$L$21,2)-HLOOKUP(H191,Magick!$C$20:$L$21,2)),NA())</f>
        <v>#N/A</v>
      </c>
      <c r="J191" s="77"/>
      <c r="K191" s="67" t="s">
        <v>106</v>
      </c>
      <c r="L191" s="72" t="str">
        <f>IF(H191&gt;0,Magick!$AR$20-('Master Spell List'!H188*0.1),"N/A")</f>
        <v>N/A</v>
      </c>
      <c r="M191" s="72">
        <f ca="1">Magick!$H$69</f>
        <v>0.08</v>
      </c>
      <c r="N191" s="72">
        <f ca="1">Magick!$K$69</f>
        <v>0.13</v>
      </c>
      <c r="O191" s="72">
        <f ca="1">Magick!$L$69</f>
        <v>0.13</v>
      </c>
      <c r="P191" s="72">
        <f ca="1">Magick!$M$69</f>
        <v>0.13</v>
      </c>
      <c r="Q191" s="67" t="s">
        <v>3723</v>
      </c>
      <c r="R191" s="67">
        <f ca="1">IF(Q191="Ritual","N/A",IF(Q191="I.E.","N/A",IF(Q191="WOG",VLOOKUP(Magick!$I$69*100,magestuff!$B$134:$F$138,2),IF(Q191="Cantrip",VLOOKUP(Magick!$I$69*100,magestuff!$B$134:$F$138,3),IF(Q191="Hex",VLOOKUP(Magick!$I$69*100,magestuff!$B$134:$F$138,4),VLOOKUP(Magick!$I$69*100,magestuff!$B$134:$F$138,5))))))</f>
        <v>29</v>
      </c>
      <c r="U191" s="67" t="str">
        <f t="shared" si="27"/>
        <v xml:space="preserve"> </v>
      </c>
      <c r="V191" s="515"/>
      <c r="W191" s="125"/>
      <c r="X191" s="31">
        <f t="shared" si="28"/>
        <v>0</v>
      </c>
      <c r="Y191" s="509"/>
      <c r="Z191" s="1054" t="str">
        <f t="shared" si="20"/>
        <v>Warm/Cool</v>
      </c>
      <c r="AA191" s="1072" t="str">
        <f t="shared" si="21"/>
        <v>Common</v>
      </c>
    </row>
    <row r="192" spans="1:27" hidden="1" outlineLevel="1">
      <c r="A192" s="31" t="s">
        <v>4939</v>
      </c>
      <c r="B192" s="67">
        <v>3</v>
      </c>
      <c r="C192" s="67">
        <f ca="1">IF(magestuff!$I$196&lt;1,1,magestuff!$I$196)</f>
        <v>3</v>
      </c>
      <c r="D192" s="67">
        <f t="shared" si="26"/>
        <v>0</v>
      </c>
      <c r="E192" s="77" t="e">
        <f ca="1">IF(F192="y",HLOOKUP((IF(C192&lt;1,1,C192)),Magick!$C$20:$L$21,2),NA())</f>
        <v>#N/A</v>
      </c>
      <c r="F192" s="67" t="str">
        <f ca="1">IF(C192&lt;=Magick!$D$3,"Y","N")</f>
        <v>N</v>
      </c>
      <c r="G192" s="148" t="s">
        <v>128</v>
      </c>
      <c r="H192" s="151"/>
      <c r="I192" s="77" t="e">
        <f>IF(H192&gt;0,(HLOOKUP(C192,Magick!$C$20:$L$21,2)-HLOOKUP(H192,Magick!$C$20:$L$21,2)),NA())</f>
        <v>#N/A</v>
      </c>
      <c r="J192" s="77"/>
      <c r="K192" s="67">
        <v>5</v>
      </c>
      <c r="L192" s="72" t="str">
        <f>IF(H192&gt;0,Magick!$AR$20-('Master Spell List'!H190*0.1),"N/A")</f>
        <v>N/A</v>
      </c>
      <c r="M192" s="72">
        <f ca="1">Magick!$H$69</f>
        <v>0.08</v>
      </c>
      <c r="N192" s="72">
        <f ca="1">Magick!$K$69</f>
        <v>0.13</v>
      </c>
      <c r="O192" s="72">
        <f ca="1">Magick!$L$69</f>
        <v>0.13</v>
      </c>
      <c r="P192" s="72">
        <f ca="1">Magick!$M$69</f>
        <v>0.13</v>
      </c>
      <c r="Q192" s="67" t="s">
        <v>4602</v>
      </c>
      <c r="R192" s="67">
        <f ca="1">IF(Q192="Ritual","N/A",IF(Q192="I.E.","N/A",IF(Q192="WOG",VLOOKUP(Magick!$I$69*100,magestuff!$B$134:$F$138,2),IF(Q192="Cantrip",VLOOKUP(Magick!$I$69*100,magestuff!$B$134:$F$138,3),IF(Q192="Hex",VLOOKUP(Magick!$I$69*100,magestuff!$B$134:$F$138,4),VLOOKUP(Magick!$I$69*100,magestuff!$B$134:$F$138,5))))))</f>
        <v>19</v>
      </c>
      <c r="U192" s="67" t="str">
        <f t="shared" si="27"/>
        <v xml:space="preserve"> </v>
      </c>
      <c r="V192" s="515"/>
      <c r="W192" s="125"/>
      <c r="X192" s="31">
        <f t="shared" si="28"/>
        <v>0</v>
      </c>
      <c r="Y192" s="509"/>
      <c r="Z192" s="1054" t="str">
        <f t="shared" si="20"/>
        <v>Sheet</v>
      </c>
      <c r="AA192" s="1072" t="str">
        <f t="shared" si="21"/>
        <v>Common</v>
      </c>
    </row>
    <row r="193" spans="1:27" hidden="1" outlineLevel="1">
      <c r="A193" s="31" t="s">
        <v>1050</v>
      </c>
      <c r="B193" s="67">
        <v>3</v>
      </c>
      <c r="C193" s="67">
        <f ca="1">IF(magestuff!$I$196&lt;1,1,magestuff!$I$196)</f>
        <v>3</v>
      </c>
      <c r="D193" s="67">
        <f t="shared" si="26"/>
        <v>0</v>
      </c>
      <c r="E193" s="77" t="e">
        <f ca="1">IF(F193="y",HLOOKUP((IF(C193&lt;1,1,C193)),Magick!$C$20:$L$21,2),NA())</f>
        <v>#N/A</v>
      </c>
      <c r="F193" s="67" t="str">
        <f ca="1">IF(C193&lt;=Magick!$D$3,"Y","N")</f>
        <v>N</v>
      </c>
      <c r="G193" s="148" t="s">
        <v>128</v>
      </c>
      <c r="H193" s="151"/>
      <c r="I193" s="77" t="e">
        <f>IF(H193&gt;0,(HLOOKUP(C193,Magick!$C$20:$L$21,2)-HLOOKUP(H193,Magick!$C$20:$L$21,2)),NA())</f>
        <v>#N/A</v>
      </c>
      <c r="J193" s="77"/>
      <c r="K193" s="67">
        <v>5</v>
      </c>
      <c r="L193" s="72" t="str">
        <f>IF(H193&gt;0,Magick!$AR$20-('Master Spell List'!H194*0.1),"N/A")</f>
        <v>N/A</v>
      </c>
      <c r="M193" s="72">
        <f ca="1">Magick!$H$69</f>
        <v>0.08</v>
      </c>
      <c r="N193" s="72">
        <f ca="1">Magick!$K$69</f>
        <v>0.13</v>
      </c>
      <c r="O193" s="72">
        <f ca="1">Magick!$L$69</f>
        <v>0.13</v>
      </c>
      <c r="P193" s="72">
        <f ca="1">Magick!$M$69</f>
        <v>0.13</v>
      </c>
      <c r="Q193" s="67" t="s">
        <v>4602</v>
      </c>
      <c r="R193" s="67">
        <f ca="1">IF(Q193="Ritual","N/A",IF(Q193="I.E.","N/A",IF(Q193="WOG",VLOOKUP(Magick!$I$69*100,magestuff!$B$134:$F$138,2),IF(Q193="Cantrip",VLOOKUP(Magick!$I$69*100,magestuff!$B$134:$F$138,3),IF(Q193="Hex",VLOOKUP(Magick!$I$69*100,magestuff!$B$134:$F$138,4),VLOOKUP(Magick!$I$69*100,magestuff!$B$134:$F$138,5))))))</f>
        <v>19</v>
      </c>
      <c r="U193" s="67" t="str">
        <f t="shared" si="27"/>
        <v xml:space="preserve"> </v>
      </c>
      <c r="V193" s="515"/>
      <c r="W193" s="125"/>
      <c r="X193" s="31">
        <f t="shared" si="28"/>
        <v>0</v>
      </c>
      <c r="Y193" s="509"/>
      <c r="Z193" s="1054" t="str">
        <f t="shared" si="20"/>
        <v>Spray</v>
      </c>
      <c r="AA193" s="1072" t="str">
        <f t="shared" si="21"/>
        <v>Common</v>
      </c>
    </row>
    <row r="194" spans="1:27" hidden="1" outlineLevel="1">
      <c r="A194" s="31" t="s">
        <v>1048</v>
      </c>
      <c r="B194" s="67">
        <v>3</v>
      </c>
      <c r="C194" s="67">
        <f ca="1">IF(magestuff!$I$196&lt;1,1,magestuff!$I$196)</f>
        <v>3</v>
      </c>
      <c r="D194" s="67">
        <f t="shared" si="26"/>
        <v>0</v>
      </c>
      <c r="E194" s="77" t="e">
        <f ca="1">IF(F194="y",HLOOKUP((IF(C194&lt;1,1,C194)),Magick!$C$20:$L$21,2),NA())</f>
        <v>#N/A</v>
      </c>
      <c r="F194" s="67" t="str">
        <f ca="1">IF(C194&lt;=Magick!$D$3,"Y","N")</f>
        <v>N</v>
      </c>
      <c r="G194" s="148" t="s">
        <v>128</v>
      </c>
      <c r="H194" s="151"/>
      <c r="I194" s="77" t="e">
        <f>IF(H194&gt;0,(HLOOKUP(C194,Magick!$C$20:$L$21,2)-HLOOKUP(H194,Magick!$C$20:$L$21,2)),NA())</f>
        <v>#N/A</v>
      </c>
      <c r="J194" s="77"/>
      <c r="K194" s="67">
        <v>5</v>
      </c>
      <c r="L194" s="72" t="str">
        <f>IF(H194&gt;0,Magick!$AR$20-('Master Spell List'!H189*0.1),"N/A")</f>
        <v>N/A</v>
      </c>
      <c r="M194" s="72">
        <f ca="1">Magick!$H$69</f>
        <v>0.08</v>
      </c>
      <c r="N194" s="72">
        <f ca="1">Magick!$K$69</f>
        <v>0.13</v>
      </c>
      <c r="O194" s="72">
        <f ca="1">Magick!$L$69</f>
        <v>0.13</v>
      </c>
      <c r="P194" s="72">
        <f ca="1">Magick!$M$69</f>
        <v>0.13</v>
      </c>
      <c r="Q194" s="67" t="s">
        <v>4602</v>
      </c>
      <c r="R194" s="67">
        <f ca="1">IF(Q194="Ritual","N/A",IF(Q194="I.E.","N/A",IF(Q194="WOG",VLOOKUP(Magick!$I$69*100,magestuff!$B$134:$F$138,2),IF(Q194="Cantrip",VLOOKUP(Magick!$I$69*100,magestuff!$B$134:$F$138,3),IF(Q194="Hex",VLOOKUP(Magick!$I$69*100,magestuff!$B$134:$F$138,4),VLOOKUP(Magick!$I$69*100,magestuff!$B$134:$F$138,5))))))</f>
        <v>19</v>
      </c>
      <c r="U194" s="67" t="str">
        <f t="shared" si="27"/>
        <v xml:space="preserve"> </v>
      </c>
      <c r="V194" s="515"/>
      <c r="W194" s="125"/>
      <c r="X194" s="31">
        <f t="shared" si="28"/>
        <v>0</v>
      </c>
      <c r="Y194" s="509"/>
      <c r="Z194" s="1054" t="str">
        <f t="shared" ref="Z194:Z257" si="29">A194</f>
        <v>Wall of Water</v>
      </c>
      <c r="AA194" s="1072" t="str">
        <f t="shared" si="21"/>
        <v>Common</v>
      </c>
    </row>
    <row r="195" spans="1:27" hidden="1" outlineLevel="1">
      <c r="A195" s="83" t="s">
        <v>1110</v>
      </c>
      <c r="B195" s="67">
        <v>4</v>
      </c>
      <c r="C195" s="67">
        <f ca="1">magestuff!$L$196</f>
        <v>4</v>
      </c>
      <c r="D195" s="67">
        <f t="shared" si="26"/>
        <v>0</v>
      </c>
      <c r="E195" s="77" t="e">
        <f ca="1">IF(F195="y",HLOOKUP((IF(C195&lt;1,1,C195)),Magick!$C$20:$L$21,2),NA())</f>
        <v>#N/A</v>
      </c>
      <c r="F195" s="67" t="str">
        <f ca="1">IF(C195&lt;=Magick!$D$3,"Y","N")</f>
        <v>N</v>
      </c>
      <c r="G195" s="148" t="s">
        <v>1617</v>
      </c>
      <c r="H195" s="151"/>
      <c r="I195" s="77" t="e">
        <f>IF(H195&gt;0,(HLOOKUP(C195,Magick!$C$20:$L$21,2)-HLOOKUP(H195,Magick!$C$20:$L$21,2)),NA())</f>
        <v>#N/A</v>
      </c>
      <c r="J195" s="77"/>
      <c r="K195" s="67">
        <v>9</v>
      </c>
      <c r="L195" s="72" t="str">
        <f>IF(H195&gt;0,Magick!$AR$20-('Master Spell List'!H207*0.1),"N/A")</f>
        <v>N/A</v>
      </c>
      <c r="M195" s="72">
        <f ca="1">Magick!$H$69</f>
        <v>0.08</v>
      </c>
      <c r="N195" s="72">
        <f ca="1">Magick!$K$69</f>
        <v>0.13</v>
      </c>
      <c r="O195" s="72">
        <f ca="1">Magick!$L$69</f>
        <v>0.13</v>
      </c>
      <c r="P195" s="72">
        <f ca="1">Magick!$M$69</f>
        <v>0.13</v>
      </c>
      <c r="Q195" s="67" t="s">
        <v>4603</v>
      </c>
      <c r="R195" s="67">
        <f ca="1">IF(Q195="Ritual","N/A",IF(Q195="I.E.","N/A",IF(Q195="WOG",VLOOKUP(Magick!$I$69*100,magestuff!$B$134:$F$138,2),IF(Q195="Cantrip",VLOOKUP(Magick!$I$69*100,magestuff!$B$134:$F$138,3),IF(Q195="Hex",VLOOKUP(Magick!$I$69*100,magestuff!$B$134:$F$138,4),VLOOKUP(Magick!$I$69*100,magestuff!$B$134:$F$138,5))))))</f>
        <v>9</v>
      </c>
      <c r="S195" s="67" t="s">
        <v>2329</v>
      </c>
      <c r="U195" s="67" t="str">
        <f t="shared" si="27"/>
        <v xml:space="preserve"> </v>
      </c>
      <c r="V195" s="515"/>
      <c r="W195" s="125"/>
      <c r="X195" s="31">
        <f t="shared" si="28"/>
        <v>0</v>
      </c>
      <c r="Y195" s="509"/>
      <c r="Z195" s="1054" t="str">
        <f t="shared" si="29"/>
        <v>Armor of Ice</v>
      </c>
      <c r="AA195" s="1072" t="str">
        <f t="shared" ref="AA195:AA258" si="30">IF(ISNUMBER(MATCH($Z195,Spell_Methods,0)),$Z195,$AA194)</f>
        <v>Common</v>
      </c>
    </row>
    <row r="196" spans="1:27" hidden="1" outlineLevel="1">
      <c r="A196" s="83" t="s">
        <v>4522</v>
      </c>
      <c r="B196" s="67">
        <v>4</v>
      </c>
      <c r="C196" s="67">
        <f ca="1">magestuff!$L$196</f>
        <v>4</v>
      </c>
      <c r="D196" s="67">
        <f t="shared" si="26"/>
        <v>0</v>
      </c>
      <c r="E196" s="77" t="e">
        <f ca="1">IF(F196="y",HLOOKUP((IF(C196&lt;1,1,C196)),Magick!$C$20:$L$21,2),NA())</f>
        <v>#N/A</v>
      </c>
      <c r="F196" s="67" t="str">
        <f ca="1">IF(C196&lt;=Magick!$D$3,"Y","N")</f>
        <v>N</v>
      </c>
      <c r="G196" s="148" t="s">
        <v>859</v>
      </c>
      <c r="H196" s="151"/>
      <c r="I196" s="77" t="e">
        <f>IF(H196&gt;0,(HLOOKUP(C196,Magick!$C$20:$L$21,2)-HLOOKUP(H196,Magick!$C$20:$L$21,2)),NA())</f>
        <v>#N/A</v>
      </c>
      <c r="J196" s="77"/>
      <c r="K196" s="67" t="s">
        <v>2225</v>
      </c>
      <c r="L196" s="72" t="str">
        <f>IF(H196&gt;0,Magick!$AR$20-('Master Spell List'!H229*0.1),"N/A")</f>
        <v>N/A</v>
      </c>
      <c r="M196" s="72">
        <f ca="1">Magick!$H$69</f>
        <v>0.08</v>
      </c>
      <c r="N196" s="72">
        <f ca="1">Magick!$K$69</f>
        <v>0.13</v>
      </c>
      <c r="O196" s="72">
        <f ca="1">Magick!$L$69</f>
        <v>0.13</v>
      </c>
      <c r="P196" s="72">
        <f ca="1">Magick!$M$69</f>
        <v>0.13</v>
      </c>
      <c r="Q196" s="67" t="s">
        <v>2225</v>
      </c>
      <c r="R196" s="67">
        <f ca="1">IF(Q196="Ritual","N/A",IF(Q196="I.E.","N/A",IF(Q196="WOG",VLOOKUP(Magick!$I$69*100,magestuff!$B$134:$F$138,2),IF(Q196="Cantrip",VLOOKUP(Magick!$I$69*100,magestuff!$B$134:$F$138,3),IF(Q196="Hex",VLOOKUP(Magick!$I$69*100,magestuff!$B$134:$F$138,4),VLOOKUP(Magick!$I$69*100,magestuff!$B$134:$F$138,5))))))</f>
        <v>29</v>
      </c>
      <c r="U196" s="67" t="str">
        <f t="shared" si="27"/>
        <v xml:space="preserve"> </v>
      </c>
      <c r="V196" s="515"/>
      <c r="W196" s="125"/>
      <c r="X196" s="31">
        <f t="shared" si="28"/>
        <v>0</v>
      </c>
      <c r="Y196" s="509"/>
      <c r="Z196" s="1054" t="str">
        <f t="shared" si="29"/>
        <v>Cell of Ice</v>
      </c>
      <c r="AA196" s="1072" t="str">
        <f t="shared" si="30"/>
        <v>Common</v>
      </c>
    </row>
    <row r="197" spans="1:27" hidden="1" outlineLevel="1">
      <c r="A197" s="83" t="s">
        <v>3524</v>
      </c>
      <c r="B197" s="67">
        <v>4</v>
      </c>
      <c r="C197" s="67">
        <f ca="1">magestuff!$L$196</f>
        <v>4</v>
      </c>
      <c r="D197" s="67">
        <f t="shared" si="26"/>
        <v>0</v>
      </c>
      <c r="E197" s="77" t="e">
        <f ca="1">IF(F197="y",HLOOKUP((IF(C197&lt;1,1,C197)),Magick!$C$20:$L$21,2),NA())</f>
        <v>#N/A</v>
      </c>
      <c r="F197" s="67" t="str">
        <f ca="1">IF(C197&lt;=Magick!$D$3,"Y","N")</f>
        <v>N</v>
      </c>
      <c r="G197" s="148" t="s">
        <v>1617</v>
      </c>
      <c r="H197" s="151"/>
      <c r="I197" s="77" t="e">
        <f>IF(H197&gt;0,(HLOOKUP(C197,Magick!$C$20:$L$21,2)-HLOOKUP(H197,Magick!$C$20:$L$21,2)),NA())</f>
        <v>#N/A</v>
      </c>
      <c r="J197" s="77"/>
      <c r="K197" s="67">
        <v>6</v>
      </c>
      <c r="L197" s="72" t="str">
        <f>IF(H197&gt;0,Magick!$AR$20-('Master Spell List'!H206*0.1),"N/A")</f>
        <v>N/A</v>
      </c>
      <c r="M197" s="72">
        <f ca="1">Magick!$H$69</f>
        <v>0.08</v>
      </c>
      <c r="N197" s="72">
        <f ca="1">Magick!$K$69</f>
        <v>0.13</v>
      </c>
      <c r="O197" s="72">
        <f ca="1">Magick!$L$69</f>
        <v>0.13</v>
      </c>
      <c r="P197" s="72">
        <f ca="1">Magick!$M$69</f>
        <v>0.13</v>
      </c>
      <c r="Q197" s="67" t="s">
        <v>4602</v>
      </c>
      <c r="R197" s="67">
        <f ca="1">IF(Q197="Ritual","N/A",IF(Q197="I.E.","N/A",IF(Q197="WOG",VLOOKUP(Magick!$I$69*100,magestuff!$B$134:$F$138,2),IF(Q197="Cantrip",VLOOKUP(Magick!$I$69*100,magestuff!$B$134:$F$138,3),IF(Q197="Hex",VLOOKUP(Magick!$I$69*100,magestuff!$B$134:$F$138,4),VLOOKUP(Magick!$I$69*100,magestuff!$B$134:$F$138,5))))))</f>
        <v>19</v>
      </c>
      <c r="U197" s="67" t="str">
        <f t="shared" si="27"/>
        <v xml:space="preserve"> </v>
      </c>
      <c r="V197" s="515"/>
      <c r="W197" s="125"/>
      <c r="X197" s="31">
        <f t="shared" si="28"/>
        <v>0</v>
      </c>
      <c r="Y197" s="509"/>
      <c r="Z197" s="1054" t="str">
        <f t="shared" si="29"/>
        <v>Cloud of Steam</v>
      </c>
      <c r="AA197" s="1072" t="str">
        <f t="shared" si="30"/>
        <v>Common</v>
      </c>
    </row>
    <row r="198" spans="1:27" hidden="1" outlineLevel="1">
      <c r="A198" s="83" t="s">
        <v>4863</v>
      </c>
      <c r="B198" s="67">
        <v>4</v>
      </c>
      <c r="C198" s="67">
        <f ca="1">magestuff!$L$196</f>
        <v>4</v>
      </c>
      <c r="D198" s="67">
        <f t="shared" si="26"/>
        <v>0</v>
      </c>
      <c r="E198" s="77" t="e">
        <f ca="1">IF(F198="y",HLOOKUP((IF(C198&lt;1,1,C198)),Magick!$C$20:$L$21,2),NA())</f>
        <v>#N/A</v>
      </c>
      <c r="F198" s="67" t="str">
        <f ca="1">IF(C198&lt;=Magick!$D$3,"Y","N")</f>
        <v>N</v>
      </c>
      <c r="G198" s="148" t="s">
        <v>859</v>
      </c>
      <c r="H198" s="151"/>
      <c r="I198" s="77" t="e">
        <f>IF(H198&gt;0,(HLOOKUP(C198,Magick!$C$20:$L$21,2)-HLOOKUP(H198,Magick!$C$20:$L$21,2)),NA())</f>
        <v>#N/A</v>
      </c>
      <c r="J198" s="77"/>
      <c r="K198" s="67" t="s">
        <v>2225</v>
      </c>
      <c r="L198" s="72" t="str">
        <f>IF(H198&gt;0,Magick!$AR$20-('Master Spell List'!H211*0.1),"N/A")</f>
        <v>N/A</v>
      </c>
      <c r="M198" s="72">
        <f ca="1">Magick!$H$69</f>
        <v>0.08</v>
      </c>
      <c r="N198" s="72">
        <f ca="1">Magick!$K$69</f>
        <v>0.13</v>
      </c>
      <c r="O198" s="72">
        <f ca="1">Magick!$L$69</f>
        <v>0.13</v>
      </c>
      <c r="P198" s="72">
        <f ca="1">Magick!$M$69</f>
        <v>0.13</v>
      </c>
      <c r="Q198" s="67" t="s">
        <v>2225</v>
      </c>
      <c r="R198" s="67">
        <f ca="1">IF(Q198="Ritual","N/A",IF(Q198="I.E.","N/A",IF(Q198="WOG",VLOOKUP(Magick!$I$69*100,magestuff!$B$134:$F$138,2),IF(Q198="Cantrip",VLOOKUP(Magick!$I$69*100,magestuff!$B$134:$F$138,3),IF(Q198="Hex",VLOOKUP(Magick!$I$69*100,magestuff!$B$134:$F$138,4),VLOOKUP(Magick!$I$69*100,magestuff!$B$134:$F$138,5))))))</f>
        <v>29</v>
      </c>
      <c r="U198" s="67" t="str">
        <f t="shared" si="27"/>
        <v xml:space="preserve"> </v>
      </c>
      <c r="V198" s="515"/>
      <c r="W198" s="125"/>
      <c r="X198" s="31">
        <f t="shared" si="28"/>
        <v>0</v>
      </c>
      <c r="Y198" s="509"/>
      <c r="Z198" s="1054" t="str">
        <f t="shared" si="29"/>
        <v>Command Magick Water</v>
      </c>
      <c r="AA198" s="1072" t="str">
        <f t="shared" si="30"/>
        <v>Common</v>
      </c>
    </row>
    <row r="199" spans="1:27" hidden="1" outlineLevel="1">
      <c r="A199" s="83" t="s">
        <v>4864</v>
      </c>
      <c r="B199" s="67">
        <v>4</v>
      </c>
      <c r="C199" s="67">
        <f ca="1">magestuff!$L$196</f>
        <v>4</v>
      </c>
      <c r="D199" s="67">
        <f t="shared" si="26"/>
        <v>0</v>
      </c>
      <c r="E199" s="77" t="e">
        <f ca="1">IF(F199="y",HLOOKUP((IF(C199&lt;1,1,C199)),Magick!$C$20:$L$21,2),NA())</f>
        <v>#N/A</v>
      </c>
      <c r="F199" s="67" t="str">
        <f ca="1">IF(C199&lt;=Magick!$D$3,"Y","N")</f>
        <v>N</v>
      </c>
      <c r="G199" s="148" t="s">
        <v>859</v>
      </c>
      <c r="H199" s="151"/>
      <c r="I199" s="77" t="e">
        <f>IF(H199&gt;0,(HLOOKUP(C199,Magick!$C$20:$L$21,2)-HLOOKUP(H199,Magick!$C$20:$L$21,2)),NA())</f>
        <v>#N/A</v>
      </c>
      <c r="J199" s="77"/>
      <c r="K199" s="67" t="s">
        <v>2225</v>
      </c>
      <c r="L199" s="72" t="str">
        <f>IF(H199&gt;0,Magick!$AR$20-('Master Spell List'!H210*0.1),"N/A")</f>
        <v>N/A</v>
      </c>
      <c r="M199" s="72">
        <f ca="1">Magick!$H$69</f>
        <v>0.08</v>
      </c>
      <c r="N199" s="72">
        <f ca="1">Magick!$K$69</f>
        <v>0.13</v>
      </c>
      <c r="O199" s="72">
        <f ca="1">Magick!$L$69</f>
        <v>0.13</v>
      </c>
      <c r="P199" s="72">
        <f ca="1">Magick!$M$69</f>
        <v>0.13</v>
      </c>
      <c r="Q199" s="67" t="s">
        <v>2225</v>
      </c>
      <c r="R199" s="67">
        <f ca="1">IF(Q199="Ritual","N/A",IF(Q199="I.E.","N/A",IF(Q199="WOG",VLOOKUP(Magick!$I$69*100,magestuff!$B$134:$F$138,2),IF(Q199="Cantrip",VLOOKUP(Magick!$I$69*100,magestuff!$B$134:$F$138,3),IF(Q199="Hex",VLOOKUP(Magick!$I$69*100,magestuff!$B$134:$F$138,4),VLOOKUP(Magick!$I$69*100,magestuff!$B$134:$F$138,5))))))</f>
        <v>29</v>
      </c>
      <c r="U199" s="67" t="str">
        <f t="shared" si="27"/>
        <v xml:space="preserve"> </v>
      </c>
      <c r="V199" s="515"/>
      <c r="W199" s="125"/>
      <c r="X199" s="31">
        <f t="shared" si="28"/>
        <v>0</v>
      </c>
      <c r="Y199" s="509"/>
      <c r="Z199" s="1054" t="str">
        <f t="shared" si="29"/>
        <v>Create Magick Water</v>
      </c>
      <c r="AA199" s="1072" t="str">
        <f t="shared" si="30"/>
        <v>Common</v>
      </c>
    </row>
    <row r="200" spans="1:27" hidden="1" outlineLevel="1">
      <c r="A200" s="83" t="s">
        <v>379</v>
      </c>
      <c r="B200" s="67">
        <v>4</v>
      </c>
      <c r="C200" s="67">
        <f ca="1">magestuff!$L$196</f>
        <v>4</v>
      </c>
      <c r="D200" s="67">
        <f t="shared" si="26"/>
        <v>0</v>
      </c>
      <c r="E200" s="77" t="e">
        <f ca="1">IF(F200="y",HLOOKUP((IF(C200&lt;1,1,C200)),Magick!$C$20:$L$21,2),NA())</f>
        <v>#N/A</v>
      </c>
      <c r="F200" s="67" t="str">
        <f ca="1">IF(C200&lt;=Magick!$D$3,"Y","N")</f>
        <v>N</v>
      </c>
      <c r="G200" s="148" t="s">
        <v>1617</v>
      </c>
      <c r="H200" s="151"/>
      <c r="I200" s="77" t="e">
        <f>IF(H200&gt;0,(HLOOKUP(C200,Magick!$C$20:$L$21,2)-HLOOKUP(H200,Magick!$C$20:$L$21,2)),NA())</f>
        <v>#N/A</v>
      </c>
      <c r="J200" s="77"/>
      <c r="K200" s="67" t="s">
        <v>2050</v>
      </c>
      <c r="L200" s="72" t="str">
        <f>IF(H200&gt;0,Magick!$AR$20-('Master Spell List'!H203*0.1),"N/A")</f>
        <v>N/A</v>
      </c>
      <c r="M200" s="72">
        <f ca="1">Magick!$H$69</f>
        <v>0.08</v>
      </c>
      <c r="N200" s="72">
        <f ca="1">Magick!$K$69</f>
        <v>0.13</v>
      </c>
      <c r="O200" s="72">
        <f ca="1">Magick!$L$69</f>
        <v>0.13</v>
      </c>
      <c r="P200" s="72">
        <f ca="1">Magick!$M$69</f>
        <v>0.13</v>
      </c>
      <c r="Q200" s="67" t="s">
        <v>4602</v>
      </c>
      <c r="R200" s="67">
        <f ca="1">IF(Q200="Ritual","N/A",IF(Q200="I.E.","N/A",IF(Q200="WOG",VLOOKUP(Magick!$I$69*100,magestuff!$B$134:$F$138,2),IF(Q200="Cantrip",VLOOKUP(Magick!$I$69*100,magestuff!$B$134:$F$138,3),IF(Q200="Hex",VLOOKUP(Magick!$I$69*100,magestuff!$B$134:$F$138,4),VLOOKUP(Magick!$I$69*100,magestuff!$B$134:$F$138,5))))))</f>
        <v>19</v>
      </c>
      <c r="U200" s="67" t="str">
        <f t="shared" si="27"/>
        <v xml:space="preserve"> </v>
      </c>
      <c r="V200" s="515"/>
      <c r="W200" s="125"/>
      <c r="X200" s="31">
        <f t="shared" si="28"/>
        <v>0</v>
      </c>
      <c r="Y200" s="509"/>
      <c r="Z200" s="1054" t="str">
        <f t="shared" si="29"/>
        <v>Current</v>
      </c>
      <c r="AA200" s="1072" t="str">
        <f t="shared" si="30"/>
        <v>Common</v>
      </c>
    </row>
    <row r="201" spans="1:27" hidden="1" outlineLevel="1">
      <c r="A201" s="83" t="s">
        <v>1112</v>
      </c>
      <c r="B201" s="67">
        <v>4</v>
      </c>
      <c r="C201" s="67">
        <f ca="1">magestuff!$L$196</f>
        <v>4</v>
      </c>
      <c r="D201" s="67">
        <f t="shared" si="26"/>
        <v>0</v>
      </c>
      <c r="E201" s="77" t="e">
        <f ca="1">IF(F201="y",HLOOKUP((IF(C201&lt;1,1,C201)),Magick!$C$20:$L$21,2),NA())</f>
        <v>#N/A</v>
      </c>
      <c r="F201" s="67" t="str">
        <f ca="1">IF(C201&lt;=Magick!$D$3,"Y","N")</f>
        <v>N</v>
      </c>
      <c r="G201" s="148" t="s">
        <v>1617</v>
      </c>
      <c r="H201" s="151"/>
      <c r="I201" s="77" t="e">
        <f>IF(H201&gt;0,(HLOOKUP(C201,Magick!$C$20:$L$21,2)-HLOOKUP(H201,Magick!$C$20:$L$21,2)),NA())</f>
        <v>#N/A</v>
      </c>
      <c r="J201" s="77"/>
      <c r="K201" s="67">
        <v>7</v>
      </c>
      <c r="L201" s="72" t="str">
        <f>IF(H201&gt;0,Magick!$AR$20-('Master Spell List'!H209*0.1),"N/A")</f>
        <v>N/A</v>
      </c>
      <c r="M201" s="72">
        <f ca="1">Magick!$H$69</f>
        <v>0.08</v>
      </c>
      <c r="N201" s="72">
        <f ca="1">Magick!$K$69</f>
        <v>0.13</v>
      </c>
      <c r="O201" s="72">
        <f ca="1">Magick!$L$69</f>
        <v>0.13</v>
      </c>
      <c r="P201" s="72">
        <f ca="1">Magick!$M$69</f>
        <v>0.13</v>
      </c>
      <c r="Q201" s="67" t="s">
        <v>4602</v>
      </c>
      <c r="R201" s="67">
        <f ca="1">IF(Q201="Ritual","N/A",IF(Q201="I.E.","N/A",IF(Q201="WOG",VLOOKUP(Magick!$I$69*100,magestuff!$B$134:$F$138,2),IF(Q201="Cantrip",VLOOKUP(Magick!$I$69*100,magestuff!$B$134:$F$138,3),IF(Q201="Hex",VLOOKUP(Magick!$I$69*100,magestuff!$B$134:$F$138,4),VLOOKUP(Magick!$I$69*100,magestuff!$B$134:$F$138,5))))))</f>
        <v>19</v>
      </c>
      <c r="S201" s="67" t="s">
        <v>1984</v>
      </c>
      <c r="U201" s="67" t="str">
        <f t="shared" si="27"/>
        <v xml:space="preserve"> </v>
      </c>
      <c r="V201" s="515"/>
      <c r="W201" s="125"/>
      <c r="X201" s="31">
        <f t="shared" si="28"/>
        <v>0</v>
      </c>
      <c r="Y201" s="509"/>
      <c r="Z201" s="1054" t="str">
        <f t="shared" si="29"/>
        <v>Ice Wall</v>
      </c>
      <c r="AA201" s="1072" t="str">
        <f t="shared" si="30"/>
        <v>Common</v>
      </c>
    </row>
    <row r="202" spans="1:27" hidden="1" outlineLevel="1">
      <c r="A202" s="83" t="s">
        <v>4524</v>
      </c>
      <c r="B202" s="67">
        <v>4</v>
      </c>
      <c r="C202" s="67">
        <f ca="1">magestuff!$L$196</f>
        <v>4</v>
      </c>
      <c r="D202" s="67">
        <f t="shared" si="26"/>
        <v>0</v>
      </c>
      <c r="E202" s="77" t="e">
        <f ca="1">IF(F202="y",HLOOKUP((IF(C202&lt;1,1,C202)),Magick!$C$20:$L$21,2),NA())</f>
        <v>#N/A</v>
      </c>
      <c r="F202" s="67" t="str">
        <f ca="1">IF(C202&lt;=Magick!$D$3,"Y","N")</f>
        <v>N</v>
      </c>
      <c r="G202" s="148" t="s">
        <v>859</v>
      </c>
      <c r="H202" s="151"/>
      <c r="I202" s="77" t="e">
        <f>IF(H202&gt;0,(HLOOKUP(C202,Magick!$C$20:$L$21,2)-HLOOKUP(H202,Magick!$C$20:$L$21,2)),NA())</f>
        <v>#N/A</v>
      </c>
      <c r="J202" s="77"/>
      <c r="K202" s="67" t="s">
        <v>2225</v>
      </c>
      <c r="L202" s="72" t="str">
        <f>IF(H202&gt;0,Magick!$AR$20-('Master Spell List'!H234*0.1),"N/A")</f>
        <v>N/A</v>
      </c>
      <c r="M202" s="72">
        <f ca="1">Magick!$H$69</f>
        <v>0.08</v>
      </c>
      <c r="N202" s="72">
        <f ca="1">Magick!$K$69</f>
        <v>0.13</v>
      </c>
      <c r="O202" s="72">
        <f ca="1">Magick!$L$69</f>
        <v>0.13</v>
      </c>
      <c r="P202" s="72">
        <f ca="1">Magick!$M$69</f>
        <v>0.13</v>
      </c>
      <c r="Q202" s="67" t="s">
        <v>2225</v>
      </c>
      <c r="R202" s="67">
        <f ca="1">IF(Q202="Ritual","N/A",IF(Q202="I.E.","N/A",IF(Q202="WOG",VLOOKUP(Magick!$I$69*100,magestuff!$B$134:$F$138,2),IF(Q202="Cantrip",VLOOKUP(Magick!$I$69*100,magestuff!$B$134:$F$138,3),IF(Q202="Hex",VLOOKUP(Magick!$I$69*100,magestuff!$B$134:$F$138,4),VLOOKUP(Magick!$I$69*100,magestuff!$B$134:$F$138,5))))))</f>
        <v>29</v>
      </c>
      <c r="U202" s="67" t="str">
        <f t="shared" si="27"/>
        <v xml:space="preserve"> </v>
      </c>
      <c r="V202" s="515"/>
      <c r="W202" s="125"/>
      <c r="X202" s="31">
        <f t="shared" si="28"/>
        <v>0</v>
      </c>
      <c r="Y202" s="509"/>
      <c r="Z202" s="1054" t="str">
        <f t="shared" si="29"/>
        <v>Mist &amp; Fog of Magick Water</v>
      </c>
      <c r="AA202" s="1072" t="str">
        <f t="shared" si="30"/>
        <v>Common</v>
      </c>
    </row>
    <row r="203" spans="1:27" hidden="1" outlineLevel="1">
      <c r="A203" s="83" t="s">
        <v>3523</v>
      </c>
      <c r="B203" s="67">
        <v>4</v>
      </c>
      <c r="C203" s="67">
        <f ca="1">magestuff!$L$196</f>
        <v>4</v>
      </c>
      <c r="D203" s="67">
        <f t="shared" si="26"/>
        <v>0</v>
      </c>
      <c r="E203" s="77" t="e">
        <f ca="1">IF(F203="y",HLOOKUP((IF(C203&lt;1,1,C203)),Magick!$C$20:$L$21,2),NA())</f>
        <v>#N/A</v>
      </c>
      <c r="F203" s="67" t="str">
        <f ca="1">IF(C203&lt;=Magick!$D$3,"Y","N")</f>
        <v>N</v>
      </c>
      <c r="G203" s="148" t="s">
        <v>1617</v>
      </c>
      <c r="H203" s="151"/>
      <c r="I203" s="77" t="e">
        <f>IF(H203&gt;0,(HLOOKUP(C203,Magick!$C$20:$L$21,2)-HLOOKUP(H203,Magick!$C$20:$L$21,2)),NA())</f>
        <v>#N/A</v>
      </c>
      <c r="J203" s="77"/>
      <c r="K203" s="67">
        <v>8</v>
      </c>
      <c r="L203" s="72" t="str">
        <f>IF(H203&gt;0,Magick!$AR$20-('Master Spell List'!H205*0.1),"N/A")</f>
        <v>N/A</v>
      </c>
      <c r="M203" s="72">
        <f ca="1">Magick!$H$69</f>
        <v>0.08</v>
      </c>
      <c r="N203" s="72">
        <f ca="1">Magick!$K$69</f>
        <v>0.13</v>
      </c>
      <c r="O203" s="72">
        <f ca="1">Magick!$L$69</f>
        <v>0.13</v>
      </c>
      <c r="P203" s="72">
        <f ca="1">Magick!$M$69</f>
        <v>0.13</v>
      </c>
      <c r="Q203" s="67" t="s">
        <v>4602</v>
      </c>
      <c r="R203" s="67">
        <f ca="1">IF(Q203="Ritual","N/A",IF(Q203="I.E.","N/A",IF(Q203="WOG",VLOOKUP(Magick!$I$69*100,magestuff!$B$134:$F$138,2),IF(Q203="Cantrip",VLOOKUP(Magick!$I$69*100,magestuff!$B$134:$F$138,3),IF(Q203="Hex",VLOOKUP(Magick!$I$69*100,magestuff!$B$134:$F$138,4),VLOOKUP(Magick!$I$69*100,magestuff!$B$134:$F$138,5))))))</f>
        <v>19</v>
      </c>
      <c r="U203" s="67" t="str">
        <f t="shared" si="27"/>
        <v xml:space="preserve"> </v>
      </c>
      <c r="V203" s="515"/>
      <c r="W203" s="125"/>
      <c r="X203" s="31">
        <f t="shared" si="28"/>
        <v>0</v>
      </c>
      <c r="Y203" s="509"/>
      <c r="Z203" s="1054" t="str">
        <f t="shared" si="29"/>
        <v>Rust (Tarnish)</v>
      </c>
      <c r="AA203" s="1072" t="str">
        <f t="shared" si="30"/>
        <v>Common</v>
      </c>
    </row>
    <row r="204" spans="1:27" hidden="1" outlineLevel="1">
      <c r="A204" s="83" t="s">
        <v>4904</v>
      </c>
      <c r="B204" s="67">
        <v>4</v>
      </c>
      <c r="C204" s="67">
        <f ca="1">magestuff!$L$196</f>
        <v>4</v>
      </c>
      <c r="D204" s="67">
        <f t="shared" si="26"/>
        <v>0</v>
      </c>
      <c r="E204" s="77" t="e">
        <f ca="1">IF(F204="y",HLOOKUP((IF(C204&lt;1,1,C204)),Magick!$C$20:$L$21,2),NA())</f>
        <v>#N/A</v>
      </c>
      <c r="F204" s="67" t="str">
        <f ca="1">IF(C204&lt;=Magick!$D$3,"Y","N")</f>
        <v>N</v>
      </c>
      <c r="G204" s="148" t="s">
        <v>1617</v>
      </c>
      <c r="H204" s="151"/>
      <c r="I204" s="77" t="e">
        <f>IF(H204&gt;0,(HLOOKUP(C204,Magick!$C$20:$L$21,2)-HLOOKUP(H204,Magick!$C$20:$L$21,2)),NA())</f>
        <v>#N/A</v>
      </c>
      <c r="J204" s="77"/>
      <c r="K204" s="67" t="s">
        <v>4905</v>
      </c>
      <c r="L204" s="72" t="str">
        <f>IF(H204&gt;0,Magick!$AR$20-('Master Spell List'!H202*0.1),"N/A")</f>
        <v>N/A</v>
      </c>
      <c r="M204" s="72">
        <f ca="1">Magick!$H$69</f>
        <v>0.08</v>
      </c>
      <c r="N204" s="72">
        <f ca="1">Magick!$K$69</f>
        <v>0.13</v>
      </c>
      <c r="O204" s="72">
        <f ca="1">Magick!$L$69</f>
        <v>0.13</v>
      </c>
      <c r="P204" s="72">
        <f ca="1">Magick!$M$69</f>
        <v>0.13</v>
      </c>
      <c r="Q204" s="67" t="s">
        <v>4602</v>
      </c>
      <c r="R204" s="67">
        <f ca="1">IF(Q204="Ritual","N/A",IF(Q204="I.E.","N/A",IF(Q204="WOG",VLOOKUP(Magick!$I$69*100,magestuff!$B$134:$F$138,2),IF(Q204="Cantrip",VLOOKUP(Magick!$I$69*100,magestuff!$B$134:$F$138,3),IF(Q204="Hex",VLOOKUP(Magick!$I$69*100,magestuff!$B$134:$F$138,4),VLOOKUP(Magick!$I$69*100,magestuff!$B$134:$F$138,5))))))</f>
        <v>19</v>
      </c>
      <c r="S204" s="67" t="s">
        <v>1984</v>
      </c>
      <c r="U204" s="67" t="str">
        <f t="shared" si="27"/>
        <v xml:space="preserve"> </v>
      </c>
      <c r="V204" s="515"/>
      <c r="W204" s="125"/>
      <c r="X204" s="31">
        <f t="shared" si="28"/>
        <v>0</v>
      </c>
      <c r="Y204" s="509"/>
      <c r="Z204" s="1054" t="str">
        <f t="shared" si="29"/>
        <v>Walk on Water</v>
      </c>
      <c r="AA204" s="1072" t="str">
        <f t="shared" si="30"/>
        <v>Common</v>
      </c>
    </row>
    <row r="205" spans="1:27" hidden="1" outlineLevel="1">
      <c r="A205" s="83" t="s">
        <v>4865</v>
      </c>
      <c r="B205" s="67">
        <v>5</v>
      </c>
      <c r="C205" s="67">
        <f ca="1">magestuff!$O$196</f>
        <v>5</v>
      </c>
      <c r="D205" s="67">
        <f t="shared" si="26"/>
        <v>0</v>
      </c>
      <c r="E205" s="77" t="e">
        <f ca="1">IF(F205="y",HLOOKUP((IF(C205&lt;1,1,C205)),Magick!$C$20:$L$21,2),NA())</f>
        <v>#N/A</v>
      </c>
      <c r="F205" s="67" t="str">
        <f ca="1">IF(C205&lt;=Magick!$D$3,"Y","N")</f>
        <v>N</v>
      </c>
      <c r="G205" s="148" t="s">
        <v>859</v>
      </c>
      <c r="H205" s="151"/>
      <c r="I205" s="77" t="e">
        <f>IF(H205&gt;0,(HLOOKUP(C205,Magick!$C$20:$L$21,2)-HLOOKUP(H205,Magick!$C$20:$L$21,2)),NA())</f>
        <v>#N/A</v>
      </c>
      <c r="J205" s="77"/>
      <c r="K205" s="67" t="s">
        <v>2225</v>
      </c>
      <c r="L205" s="72" t="str">
        <f>IF(H205&gt;0,Magick!$AR$20-('Master Spell List'!H213*0.1),"N/A")</f>
        <v>N/A</v>
      </c>
      <c r="M205" s="72">
        <f ca="1">Magick!$H$69</f>
        <v>0.08</v>
      </c>
      <c r="N205" s="72">
        <f ca="1">Magick!$K$69</f>
        <v>0.13</v>
      </c>
      <c r="O205" s="72">
        <f ca="1">Magick!$L$69</f>
        <v>0.13</v>
      </c>
      <c r="P205" s="72">
        <f ca="1">Magick!$M$69</f>
        <v>0.13</v>
      </c>
      <c r="Q205" s="67" t="s">
        <v>2225</v>
      </c>
      <c r="R205" s="67">
        <f ca="1">IF(Q205="Ritual","N/A",IF(Q205="I.E.","N/A",IF(Q205="WOG",VLOOKUP(Magick!$I$69*100,magestuff!$B$134:$F$138,2),IF(Q205="Cantrip",VLOOKUP(Magick!$I$69*100,magestuff!$B$134:$F$138,3),IF(Q205="Hex",VLOOKUP(Magick!$I$69*100,magestuff!$B$134:$F$138,4),VLOOKUP(Magick!$I$69*100,magestuff!$B$134:$F$138,5))))))</f>
        <v>29</v>
      </c>
      <c r="U205" s="67" t="str">
        <f t="shared" si="27"/>
        <v xml:space="preserve"> </v>
      </c>
      <c r="V205" s="515"/>
      <c r="W205" s="125"/>
      <c r="X205" s="31">
        <f t="shared" si="28"/>
        <v>0</v>
      </c>
      <c r="Y205" s="509"/>
      <c r="Z205" s="1054" t="str">
        <f t="shared" si="29"/>
        <v>Command Waters of the Undine</v>
      </c>
      <c r="AA205" s="1072" t="str">
        <f t="shared" si="30"/>
        <v>Common</v>
      </c>
    </row>
    <row r="206" spans="1:27" hidden="1" outlineLevel="1">
      <c r="A206" s="83" t="s">
        <v>4866</v>
      </c>
      <c r="B206" s="67">
        <v>5</v>
      </c>
      <c r="C206" s="67">
        <f ca="1">magestuff!$O$196</f>
        <v>5</v>
      </c>
      <c r="D206" s="67">
        <f t="shared" si="26"/>
        <v>0</v>
      </c>
      <c r="E206" s="77" t="e">
        <f ca="1">IF(F206="y",HLOOKUP((IF(C206&lt;1,1,C206)),Magick!$C$20:$L$21,2),NA())</f>
        <v>#N/A</v>
      </c>
      <c r="F206" s="67" t="str">
        <f ca="1">IF(C206&lt;=Magick!$D$3,"Y","N")</f>
        <v>N</v>
      </c>
      <c r="G206" s="148" t="s">
        <v>859</v>
      </c>
      <c r="H206" s="151"/>
      <c r="I206" s="77" t="e">
        <f>IF(H206&gt;0,(HLOOKUP(C206,Magick!$C$20:$L$21,2)-HLOOKUP(H206,Magick!$C$20:$L$21,2)),NA())</f>
        <v>#N/A</v>
      </c>
      <c r="J206" s="77"/>
      <c r="K206" s="67" t="s">
        <v>2225</v>
      </c>
      <c r="L206" s="72" t="str">
        <f>IF(H206&gt;0,Magick!$AR$20-('Master Spell List'!H212*0.1),"N/A")</f>
        <v>N/A</v>
      </c>
      <c r="M206" s="72">
        <f ca="1">Magick!$H$69</f>
        <v>0.08</v>
      </c>
      <c r="N206" s="72">
        <f ca="1">Magick!$K$69</f>
        <v>0.13</v>
      </c>
      <c r="O206" s="72">
        <f ca="1">Magick!$L$69</f>
        <v>0.13</v>
      </c>
      <c r="P206" s="72">
        <f ca="1">Magick!$M$69</f>
        <v>0.13</v>
      </c>
      <c r="Q206" s="67" t="s">
        <v>2225</v>
      </c>
      <c r="R206" s="67">
        <f ca="1">IF(Q206="Ritual","N/A",IF(Q206="I.E.","N/A",IF(Q206="WOG",VLOOKUP(Magick!$I$69*100,magestuff!$B$134:$F$138,2),IF(Q206="Cantrip",VLOOKUP(Magick!$I$69*100,magestuff!$B$134:$F$138,3),IF(Q206="Hex",VLOOKUP(Magick!$I$69*100,magestuff!$B$134:$F$138,4),VLOOKUP(Magick!$I$69*100,magestuff!$B$134:$F$138,5))))))</f>
        <v>29</v>
      </c>
      <c r="U206" s="67" t="str">
        <f t="shared" si="27"/>
        <v xml:space="preserve"> </v>
      </c>
      <c r="V206" s="515"/>
      <c r="W206" s="125"/>
      <c r="X206" s="31">
        <f t="shared" si="28"/>
        <v>0</v>
      </c>
      <c r="Y206" s="509"/>
      <c r="Z206" s="1054" t="str">
        <f t="shared" si="29"/>
        <v>Create Waters of the Undine</v>
      </c>
      <c r="AA206" s="1072" t="str">
        <f t="shared" si="30"/>
        <v>Common</v>
      </c>
    </row>
    <row r="207" spans="1:27" hidden="1" outlineLevel="1">
      <c r="A207" s="31" t="s">
        <v>1049</v>
      </c>
      <c r="B207" s="67">
        <v>5</v>
      </c>
      <c r="C207" s="67">
        <f ca="1">magestuff!$O$196</f>
        <v>5</v>
      </c>
      <c r="D207" s="67">
        <f t="shared" si="26"/>
        <v>0</v>
      </c>
      <c r="E207" s="77" t="e">
        <f ca="1">IF(F207="y",HLOOKUP((IF(C207&lt;1,1,C207)),Magick!$C$20:$L$21,2),NA())</f>
        <v>#N/A</v>
      </c>
      <c r="F207" s="67" t="str">
        <f ca="1">IF(C207&lt;=Magick!$D$3,"Y","N")</f>
        <v>N</v>
      </c>
      <c r="G207" s="148" t="s">
        <v>128</v>
      </c>
      <c r="H207" s="151"/>
      <c r="I207" s="77" t="e">
        <f>IF(H207&gt;0,(HLOOKUP(C207,Magick!$C$20:$L$21,2)-HLOOKUP(H207,Magick!$C$20:$L$21,2)),NA())</f>
        <v>#N/A</v>
      </c>
      <c r="J207" s="77"/>
      <c r="K207" s="67">
        <v>8</v>
      </c>
      <c r="L207" s="72" t="str">
        <f>IF(H207&gt;0,Magick!$AR$20-('Master Spell List'!H193*0.1),"N/A")</f>
        <v>N/A</v>
      </c>
      <c r="M207" s="72">
        <f ca="1">Magick!$H$69</f>
        <v>0.08</v>
      </c>
      <c r="N207" s="72">
        <f ca="1">Magick!$K$69</f>
        <v>0.13</v>
      </c>
      <c r="O207" s="72">
        <f ca="1">Magick!$L$69</f>
        <v>0.13</v>
      </c>
      <c r="P207" s="72">
        <f ca="1">Magick!$M$69</f>
        <v>0.13</v>
      </c>
      <c r="Q207" s="67" t="s">
        <v>113</v>
      </c>
      <c r="R207" s="67" t="str">
        <f>IF(Q207="Ritual","N/A",IF(Q207="I.E.","N/A",IF(Q207="WOG",VLOOKUP(Magick!$I$69*100,magestuff!$B$134:$F$138,2),IF(Q207="Cantrip",VLOOKUP(Magick!$I$69*100,magestuff!$B$134:$F$138,3),IF(Q207="Hex",VLOOKUP(Magick!$I$69*100,magestuff!$B$134:$F$138,4),VLOOKUP(Magick!$I$69*100,magestuff!$B$134:$F$138,5))))))</f>
        <v>N/A</v>
      </c>
      <c r="U207" s="67" t="str">
        <f t="shared" si="27"/>
        <v xml:space="preserve"> </v>
      </c>
      <c r="V207" s="515"/>
      <c r="W207" s="125"/>
      <c r="X207" s="31">
        <f t="shared" si="28"/>
        <v>0</v>
      </c>
      <c r="Y207" s="509"/>
      <c r="Z207" s="1054" t="str">
        <f t="shared" si="29"/>
        <v>Flood</v>
      </c>
      <c r="AA207" s="1072" t="str">
        <f t="shared" si="30"/>
        <v>Common</v>
      </c>
    </row>
    <row r="208" spans="1:27" hidden="1" outlineLevel="1">
      <c r="A208" s="31" t="s">
        <v>1688</v>
      </c>
      <c r="B208" s="67">
        <v>5</v>
      </c>
      <c r="C208" s="67">
        <f ca="1">magestuff!$O$196</f>
        <v>5</v>
      </c>
      <c r="D208" s="67">
        <f t="shared" si="26"/>
        <v>0</v>
      </c>
      <c r="E208" s="77" t="e">
        <f ca="1">IF(F208="y",HLOOKUP((IF(C208&lt;1,1,C208)),Magick!$C$20:$L$21,2),NA())</f>
        <v>#N/A</v>
      </c>
      <c r="F208" s="67" t="str">
        <f ca="1">IF(C208&lt;=Magick!$D$3,"Y","N")</f>
        <v>N</v>
      </c>
      <c r="G208" s="148" t="s">
        <v>128</v>
      </c>
      <c r="H208" s="151"/>
      <c r="I208" s="77" t="e">
        <f>IF(H208&gt;0,(HLOOKUP(C208,Magick!$C$20:$L$21,2)-HLOOKUP(H208,Magick!$C$20:$L$21,2)),NA())</f>
        <v>#N/A</v>
      </c>
      <c r="J208" s="77"/>
      <c r="K208" s="67">
        <v>7</v>
      </c>
      <c r="L208" s="72" t="str">
        <f>IF(H208&gt;0,Magick!$AR$20-('Master Spell List'!H201*0.1),"N/A")</f>
        <v>N/A</v>
      </c>
      <c r="M208" s="72">
        <f ca="1">Magick!$H$69</f>
        <v>0.08</v>
      </c>
      <c r="N208" s="72">
        <f ca="1">Magick!$K$69</f>
        <v>0.13</v>
      </c>
      <c r="O208" s="72">
        <f ca="1">Magick!$L$69</f>
        <v>0.13</v>
      </c>
      <c r="P208" s="72">
        <f ca="1">Magick!$M$69</f>
        <v>0.13</v>
      </c>
      <c r="Q208" s="67" t="s">
        <v>3723</v>
      </c>
      <c r="R208" s="67">
        <f ca="1">IF(Q208="Ritual","N/A",IF(Q208="I.E.","N/A",IF(Q208="WOG",VLOOKUP(Magick!$I$69*100,magestuff!$B$134:$F$138,2),IF(Q208="Cantrip",VLOOKUP(Magick!$I$69*100,magestuff!$B$134:$F$138,3),IF(Q208="Hex",VLOOKUP(Magick!$I$69*100,magestuff!$B$134:$F$138,4),VLOOKUP(Magick!$I$69*100,magestuff!$B$134:$F$138,5))))))</f>
        <v>29</v>
      </c>
      <c r="U208" s="67" t="str">
        <f t="shared" si="27"/>
        <v xml:space="preserve"> </v>
      </c>
      <c r="V208" s="515"/>
      <c r="W208" s="125"/>
      <c r="X208" s="31">
        <f t="shared" si="28"/>
        <v>0</v>
      </c>
      <c r="Y208" s="509"/>
      <c r="Z208" s="1054" t="str">
        <f t="shared" si="29"/>
        <v>Ice Bomb</v>
      </c>
      <c r="AA208" s="1072" t="str">
        <f t="shared" si="30"/>
        <v>Common</v>
      </c>
    </row>
    <row r="209" spans="1:27" hidden="1" outlineLevel="1">
      <c r="A209" s="31" t="s">
        <v>1051</v>
      </c>
      <c r="B209" s="67">
        <v>5</v>
      </c>
      <c r="C209" s="67">
        <f ca="1">magestuff!$O$196</f>
        <v>5</v>
      </c>
      <c r="D209" s="67">
        <f t="shared" si="26"/>
        <v>0</v>
      </c>
      <c r="E209" s="77" t="e">
        <f ca="1">IF(F209="y",HLOOKUP((IF(C209&lt;1,1,C209)),Magick!$C$20:$L$21,2),NA())</f>
        <v>#N/A</v>
      </c>
      <c r="F209" s="67" t="str">
        <f ca="1">IF(C209&lt;=Magick!$D$3,"Y","N")</f>
        <v>N</v>
      </c>
      <c r="G209" s="148" t="s">
        <v>128</v>
      </c>
      <c r="H209" s="151"/>
      <c r="I209" s="77" t="e">
        <f>IF(H209&gt;0,(HLOOKUP(C209,Magick!$C$20:$L$21,2)-HLOOKUP(H209,Magick!$C$20:$L$21,2)),NA())</f>
        <v>#N/A</v>
      </c>
      <c r="J209" s="77"/>
      <c r="K209" s="67">
        <v>9</v>
      </c>
      <c r="L209" s="72" t="str">
        <f>IF(H209&gt;0,Magick!$AR$20-('Master Spell List'!H195*0.1),"N/A")</f>
        <v>N/A</v>
      </c>
      <c r="M209" s="72">
        <f ca="1">Magick!$H$69</f>
        <v>0.08</v>
      </c>
      <c r="N209" s="72">
        <f ca="1">Magick!$K$69</f>
        <v>0.13</v>
      </c>
      <c r="O209" s="72">
        <f ca="1">Magick!$L$69</f>
        <v>0.13</v>
      </c>
      <c r="P209" s="72">
        <f ca="1">Magick!$M$69</f>
        <v>0.13</v>
      </c>
      <c r="Q209" s="67" t="s">
        <v>4602</v>
      </c>
      <c r="R209" s="67">
        <f ca="1">IF(Q209="Ritual","N/A",IF(Q209="I.E.","N/A",IF(Q209="WOG",VLOOKUP(Magick!$I$69*100,magestuff!$B$134:$F$138,2),IF(Q209="Cantrip",VLOOKUP(Magick!$I$69*100,magestuff!$B$134:$F$138,3),IF(Q209="Hex",VLOOKUP(Magick!$I$69*100,magestuff!$B$134:$F$138,4),VLOOKUP(Magick!$I$69*100,magestuff!$B$134:$F$138,5))))))</f>
        <v>19</v>
      </c>
      <c r="U209" s="67" t="str">
        <f t="shared" si="27"/>
        <v xml:space="preserve"> </v>
      </c>
      <c r="V209" s="515"/>
      <c r="W209" s="125"/>
      <c r="X209" s="31">
        <f t="shared" si="28"/>
        <v>0</v>
      </c>
      <c r="Y209" s="509"/>
      <c r="Z209" s="1054" t="str">
        <f t="shared" si="29"/>
        <v>Jet</v>
      </c>
      <c r="AA209" s="1072" t="str">
        <f t="shared" si="30"/>
        <v>Common</v>
      </c>
    </row>
    <row r="210" spans="1:27" hidden="1" outlineLevel="1">
      <c r="A210" s="83" t="s">
        <v>4535</v>
      </c>
      <c r="B210" s="67">
        <v>5</v>
      </c>
      <c r="C210" s="67">
        <f ca="1">magestuff!$O$196</f>
        <v>5</v>
      </c>
      <c r="D210" s="67">
        <f t="shared" si="26"/>
        <v>0</v>
      </c>
      <c r="E210" s="77" t="e">
        <f ca="1">IF(F210="y",HLOOKUP((IF(C210&lt;1,1,C210)),Magick!$C$20:$L$21,2),NA())</f>
        <v>#N/A</v>
      </c>
      <c r="F210" s="67" t="str">
        <f ca="1">IF(C210&lt;=Magick!$D$3,"Y","N")</f>
        <v>N</v>
      </c>
      <c r="G210" s="148" t="s">
        <v>859</v>
      </c>
      <c r="H210" s="151"/>
      <c r="I210" s="77" t="e">
        <f>IF(H210&gt;0,(HLOOKUP(C210,Magick!$C$20:$L$21,2)-HLOOKUP(H210,Magick!$C$20:$L$21,2)),NA())</f>
        <v>#N/A</v>
      </c>
      <c r="J210" s="77"/>
      <c r="K210" s="67" t="s">
        <v>2225</v>
      </c>
      <c r="L210" s="72" t="str">
        <f>IF(H210&gt;0,Magick!$AR$20-('Master Spell List'!H240*0.1),"N/A")</f>
        <v>N/A</v>
      </c>
      <c r="M210" s="72">
        <f ca="1">Magick!$H$69</f>
        <v>0.08</v>
      </c>
      <c r="N210" s="72">
        <f ca="1">Magick!$K$69</f>
        <v>0.13</v>
      </c>
      <c r="O210" s="72">
        <f ca="1">Magick!$L$69</f>
        <v>0.13</v>
      </c>
      <c r="P210" s="72">
        <f ca="1">Magick!$M$69</f>
        <v>0.13</v>
      </c>
      <c r="Q210" s="67" t="s">
        <v>2225</v>
      </c>
      <c r="R210" s="67">
        <f ca="1">IF(Q210="Ritual","N/A",IF(Q210="I.E.","N/A",IF(Q210="WOG",VLOOKUP(Magick!$I$69*100,magestuff!$B$134:$F$138,2),IF(Q210="Cantrip",VLOOKUP(Magick!$I$69*100,magestuff!$B$134:$F$138,3),IF(Q210="Hex",VLOOKUP(Magick!$I$69*100,magestuff!$B$134:$F$138,4),VLOOKUP(Magick!$I$69*100,magestuff!$B$134:$F$138,5))))))</f>
        <v>29</v>
      </c>
      <c r="U210" s="67" t="str">
        <f t="shared" si="27"/>
        <v xml:space="preserve"> </v>
      </c>
      <c r="V210" s="515"/>
      <c r="W210" s="125"/>
      <c r="X210" s="31">
        <f t="shared" si="28"/>
        <v>0</v>
      </c>
      <c r="Y210" s="509"/>
      <c r="Z210" s="1054" t="str">
        <f t="shared" si="29"/>
        <v>Lesser Wave</v>
      </c>
      <c r="AA210" s="1072" t="str">
        <f t="shared" si="30"/>
        <v>Common</v>
      </c>
    </row>
    <row r="211" spans="1:27" hidden="1" outlineLevel="1">
      <c r="A211" s="83" t="s">
        <v>4525</v>
      </c>
      <c r="B211" s="67">
        <v>5</v>
      </c>
      <c r="C211" s="67">
        <f ca="1">magestuff!$O$196</f>
        <v>5</v>
      </c>
      <c r="D211" s="67">
        <f t="shared" si="26"/>
        <v>0</v>
      </c>
      <c r="E211" s="77" t="e">
        <f ca="1">IF(F211="y",HLOOKUP((IF(C211&lt;1,1,C211)),Magick!$C$20:$L$21,2),NA())</f>
        <v>#N/A</v>
      </c>
      <c r="F211" s="67" t="str">
        <f ca="1">IF(C211&lt;=Magick!$D$3,"Y","N")</f>
        <v>N</v>
      </c>
      <c r="G211" s="148" t="s">
        <v>859</v>
      </c>
      <c r="H211" s="151"/>
      <c r="I211" s="77" t="e">
        <f>IF(H211&gt;0,(HLOOKUP(C211,Magick!$C$20:$L$21,2)-HLOOKUP(H211,Magick!$C$20:$L$21,2)),NA())</f>
        <v>#N/A</v>
      </c>
      <c r="J211" s="77"/>
      <c r="K211" s="67" t="s">
        <v>2225</v>
      </c>
      <c r="L211" s="72" t="str">
        <f>IF(H211&gt;0,Magick!$AR$20-('Master Spell List'!H235*0.1),"N/A")</f>
        <v>N/A</v>
      </c>
      <c r="M211" s="72">
        <f ca="1">Magick!$H$69</f>
        <v>0.08</v>
      </c>
      <c r="N211" s="72">
        <f ca="1">Magick!$K$69</f>
        <v>0.13</v>
      </c>
      <c r="O211" s="72">
        <f ca="1">Magick!$L$69</f>
        <v>0.13</v>
      </c>
      <c r="P211" s="72">
        <f ca="1">Magick!$M$69</f>
        <v>0.13</v>
      </c>
      <c r="Q211" s="67" t="s">
        <v>2225</v>
      </c>
      <c r="R211" s="67">
        <f ca="1">IF(Q211="Ritual","N/A",IF(Q211="I.E.","N/A",IF(Q211="WOG",VLOOKUP(Magick!$I$69*100,magestuff!$B$134:$F$138,2),IF(Q211="Cantrip",VLOOKUP(Magick!$I$69*100,magestuff!$B$134:$F$138,3),IF(Q211="Hex",VLOOKUP(Magick!$I$69*100,magestuff!$B$134:$F$138,4),VLOOKUP(Magick!$I$69*100,magestuff!$B$134:$F$138,5))))))</f>
        <v>29</v>
      </c>
      <c r="U211" s="67" t="str">
        <f t="shared" si="27"/>
        <v xml:space="preserve"> </v>
      </c>
      <c r="V211" s="515"/>
      <c r="W211" s="125"/>
      <c r="X211" s="31">
        <f t="shared" si="28"/>
        <v>0</v>
      </c>
      <c r="Y211" s="509"/>
      <c r="Z211" s="1054" t="str">
        <f t="shared" si="29"/>
        <v>Mist &amp; Fog of the Undine</v>
      </c>
      <c r="AA211" s="1072" t="str">
        <f t="shared" si="30"/>
        <v>Common</v>
      </c>
    </row>
    <row r="212" spans="1:27" hidden="1" outlineLevel="1">
      <c r="A212" s="83" t="s">
        <v>4534</v>
      </c>
      <c r="B212" s="67">
        <v>5</v>
      </c>
      <c r="C212" s="67">
        <f ca="1">magestuff!$O$196</f>
        <v>5</v>
      </c>
      <c r="D212" s="67">
        <f t="shared" si="26"/>
        <v>0</v>
      </c>
      <c r="E212" s="77" t="e">
        <f ca="1">IF(F212="y",HLOOKUP((IF(C212&lt;1,1,C212)),Magick!$C$20:$L$21,2),NA())</f>
        <v>#N/A</v>
      </c>
      <c r="F212" s="67" t="str">
        <f ca="1">IF(C212&lt;=Magick!$D$3,"Y","N")</f>
        <v>N</v>
      </c>
      <c r="G212" s="148" t="s">
        <v>859</v>
      </c>
      <c r="H212" s="151"/>
      <c r="I212" s="77" t="e">
        <f>IF(H212&gt;0,(HLOOKUP(C212,Magick!$C$20:$L$21,2)-HLOOKUP(H212,Magick!$C$20:$L$21,2)),NA())</f>
        <v>#N/A</v>
      </c>
      <c r="J212" s="77"/>
      <c r="K212" s="67" t="s">
        <v>4019</v>
      </c>
      <c r="L212" s="72" t="str">
        <f>IF(H212&gt;0,Magick!$AR$20-('Master Spell List'!H240*0.1),"N/A")</f>
        <v>N/A</v>
      </c>
      <c r="M212" s="72">
        <f ca="1">Magick!$H$69</f>
        <v>0.08</v>
      </c>
      <c r="N212" s="72">
        <f ca="1">Magick!$K$69</f>
        <v>0.13</v>
      </c>
      <c r="O212" s="72">
        <f ca="1">Magick!$L$69</f>
        <v>0.13</v>
      </c>
      <c r="P212" s="72">
        <f ca="1">Magick!$M$69</f>
        <v>0.13</v>
      </c>
      <c r="Q212" s="67" t="s">
        <v>4603</v>
      </c>
      <c r="R212" s="67">
        <f ca="1">IF(Q212="Ritual","N/A",IF(Q212="I.E.","N/A",IF(Q212="WOG",VLOOKUP(Magick!$I$69*100,magestuff!$B$134:$F$138,2),IF(Q212="Cantrip",VLOOKUP(Magick!$I$69*100,magestuff!$B$134:$F$138,3),IF(Q212="Hex",VLOOKUP(Magick!$I$69*100,magestuff!$B$134:$F$138,4),VLOOKUP(Magick!$I$69*100,magestuff!$B$134:$F$138,5))))))</f>
        <v>9</v>
      </c>
      <c r="S212" s="67" t="str">
        <f>CONCATENATE(IF(Magick!$C$3&gt;0,Magick!$C$3*15," ")," ft.")</f>
        <v xml:space="preserve">  ft.</v>
      </c>
      <c r="T212" s="67" t="s">
        <v>1306</v>
      </c>
      <c r="U212" s="67" t="str">
        <f t="shared" si="27"/>
        <v xml:space="preserve"> </v>
      </c>
      <c r="V212" s="515"/>
      <c r="W212" s="125"/>
      <c r="X212" s="31">
        <f t="shared" si="28"/>
        <v>0</v>
      </c>
      <c r="Y212" s="509"/>
      <c r="Z212" s="1054" t="str">
        <f t="shared" si="29"/>
        <v>Shards of Ice</v>
      </c>
      <c r="AA212" s="1072" t="str">
        <f t="shared" si="30"/>
        <v>Common</v>
      </c>
    </row>
    <row r="213" spans="1:27" hidden="1" outlineLevel="1">
      <c r="A213" s="83" t="s">
        <v>4873</v>
      </c>
      <c r="B213" s="67">
        <v>5</v>
      </c>
      <c r="C213" s="67">
        <f ca="1">magestuff!$O$196</f>
        <v>5</v>
      </c>
      <c r="D213" s="67">
        <f t="shared" si="26"/>
        <v>0</v>
      </c>
      <c r="E213" s="77" t="e">
        <f ca="1">IF(F213="y",HLOOKUP((IF(C213&lt;1,1,C213)),Magick!$C$20:$L$21,2),NA())</f>
        <v>#N/A</v>
      </c>
      <c r="F213" s="67" t="str">
        <f ca="1">IF(C213&lt;=Magick!$D$3,"Y","N")</f>
        <v>N</v>
      </c>
      <c r="G213" s="148" t="s">
        <v>859</v>
      </c>
      <c r="H213" s="151"/>
      <c r="I213" s="77" t="e">
        <f>IF(H213&gt;0,(HLOOKUP(C213,Magick!$C$20:$L$21,2)-HLOOKUP(H213,Magick!$C$20:$L$21,2)),NA())</f>
        <v>#N/A</v>
      </c>
      <c r="J213" s="77"/>
      <c r="K213" s="67" t="s">
        <v>2225</v>
      </c>
      <c r="L213" s="72" t="str">
        <f>IF(H213&gt;0,Magick!$AR$20-('Master Spell List'!H217*0.1),"N/A")</f>
        <v>N/A</v>
      </c>
      <c r="M213" s="72">
        <f ca="1">Magick!$H$69</f>
        <v>0.08</v>
      </c>
      <c r="N213" s="72">
        <f ca="1">Magick!$K$69</f>
        <v>0.13</v>
      </c>
      <c r="O213" s="72">
        <f ca="1">Magick!$L$69</f>
        <v>0.13</v>
      </c>
      <c r="P213" s="72">
        <f ca="1">Magick!$M$69</f>
        <v>0.13</v>
      </c>
      <c r="Q213" s="67" t="s">
        <v>2225</v>
      </c>
      <c r="R213" s="67">
        <f ca="1">IF(Q213="Ritual","N/A",IF(Q213="I.E.","N/A",IF(Q213="WOG",VLOOKUP(Magick!$I$69*100,magestuff!$B$134:$F$138,2),IF(Q213="Cantrip",VLOOKUP(Magick!$I$69*100,magestuff!$B$134:$F$138,3),IF(Q213="Hex",VLOOKUP(Magick!$I$69*100,magestuff!$B$134:$F$138,4),VLOOKUP(Magick!$I$69*100,magestuff!$B$134:$F$138,5))))))</f>
        <v>29</v>
      </c>
      <c r="U213" s="67" t="str">
        <f t="shared" si="27"/>
        <v xml:space="preserve"> </v>
      </c>
      <c r="V213" s="515"/>
      <c r="W213" s="125"/>
      <c r="X213" s="31">
        <f t="shared" si="28"/>
        <v>0</v>
      </c>
      <c r="Y213" s="509"/>
      <c r="Z213" s="1054" t="str">
        <f t="shared" si="29"/>
        <v>Sheet of Magick Water</v>
      </c>
      <c r="AA213" s="1072" t="str">
        <f t="shared" si="30"/>
        <v>Common</v>
      </c>
    </row>
    <row r="214" spans="1:27" hidden="1" outlineLevel="1">
      <c r="A214" s="83" t="s">
        <v>4697</v>
      </c>
      <c r="B214" s="67">
        <v>5</v>
      </c>
      <c r="C214" s="67">
        <f ca="1">magestuff!$O$196</f>
        <v>5</v>
      </c>
      <c r="D214" s="67">
        <f t="shared" si="26"/>
        <v>0</v>
      </c>
      <c r="E214" s="77" t="e">
        <f ca="1">IF(F214="y",HLOOKUP((IF(C214&lt;1,1,C214)),Magick!$C$20:$L$21,2),NA())</f>
        <v>#N/A</v>
      </c>
      <c r="F214" s="67" t="str">
        <f ca="1">IF(C214&lt;=Magick!$D$3,"Y","N")</f>
        <v>N</v>
      </c>
      <c r="G214" s="148" t="s">
        <v>859</v>
      </c>
      <c r="H214" s="151"/>
      <c r="I214" s="77" t="e">
        <f>IF(H214&gt;0,(HLOOKUP(C214,Magick!$C$20:$L$21,2)-HLOOKUP(H214,Magick!$C$20:$L$21,2)),NA())</f>
        <v>#N/A</v>
      </c>
      <c r="J214" s="77"/>
      <c r="K214" s="67" t="s">
        <v>2225</v>
      </c>
      <c r="L214" s="72" t="str">
        <f>IF(H214&gt;0,Magick!$AR$20-('Master Spell List'!H223*0.1),"N/A")</f>
        <v>N/A</v>
      </c>
      <c r="M214" s="72">
        <f ca="1">Magick!$H$69</f>
        <v>0.08</v>
      </c>
      <c r="N214" s="72">
        <f ca="1">Magick!$K$69</f>
        <v>0.13</v>
      </c>
      <c r="O214" s="72">
        <f ca="1">Magick!$L$69</f>
        <v>0.13</v>
      </c>
      <c r="P214" s="72">
        <f ca="1">Magick!$M$69</f>
        <v>0.13</v>
      </c>
      <c r="Q214" s="67" t="s">
        <v>2225</v>
      </c>
      <c r="R214" s="67">
        <f ca="1">IF(Q214="Ritual","N/A",IF(Q214="I.E.","N/A",IF(Q214="WOG",VLOOKUP(Magick!$I$69*100,magestuff!$B$134:$F$138,2),IF(Q214="Cantrip",VLOOKUP(Magick!$I$69*100,magestuff!$B$134:$F$138,3),IF(Q214="Hex",VLOOKUP(Magick!$I$69*100,magestuff!$B$134:$F$138,4),VLOOKUP(Magick!$I$69*100,magestuff!$B$134:$F$138,5))))))</f>
        <v>29</v>
      </c>
      <c r="U214" s="67" t="str">
        <f t="shared" si="27"/>
        <v xml:space="preserve"> </v>
      </c>
      <c r="V214" s="515"/>
      <c r="W214" s="125"/>
      <c r="X214" s="31">
        <f t="shared" si="28"/>
        <v>0</v>
      </c>
      <c r="Y214" s="509"/>
      <c r="Z214" s="1054" t="str">
        <f t="shared" si="29"/>
        <v>Spray of Magick Water</v>
      </c>
      <c r="AA214" s="1072" t="str">
        <f t="shared" si="30"/>
        <v>Common</v>
      </c>
    </row>
    <row r="215" spans="1:27" hidden="1" outlineLevel="1">
      <c r="A215" s="83" t="s">
        <v>4870</v>
      </c>
      <c r="B215" s="67">
        <v>5</v>
      </c>
      <c r="C215" s="67">
        <f ca="1">magestuff!$O$196</f>
        <v>5</v>
      </c>
      <c r="D215" s="67">
        <f t="shared" si="26"/>
        <v>0</v>
      </c>
      <c r="E215" s="77" t="e">
        <f ca="1">IF(F215="y",HLOOKUP((IF(C215&lt;1,1,C215)),Magick!$C$20:$L$21,2),NA())</f>
        <v>#N/A</v>
      </c>
      <c r="F215" s="67" t="str">
        <f ca="1">IF(C215&lt;=Magick!$D$3,"Y","N")</f>
        <v>N</v>
      </c>
      <c r="G215" s="148" t="s">
        <v>859</v>
      </c>
      <c r="H215" s="151"/>
      <c r="I215" s="77" t="e">
        <f>IF(H215&gt;0,(HLOOKUP(C215,Magick!$C$20:$L$21,2)-HLOOKUP(H215,Magick!$C$20:$L$21,2)),NA())</f>
        <v>#N/A</v>
      </c>
      <c r="J215" s="77"/>
      <c r="K215" s="67" t="s">
        <v>2225</v>
      </c>
      <c r="L215" s="72" t="str">
        <f>IF(H215&gt;0,Magick!$AR$20-('Master Spell List'!H214*0.1),"N/A")</f>
        <v>N/A</v>
      </c>
      <c r="M215" s="72">
        <f ca="1">Magick!$H$69</f>
        <v>0.08</v>
      </c>
      <c r="N215" s="72">
        <f ca="1">Magick!$K$69</f>
        <v>0.13</v>
      </c>
      <c r="O215" s="72">
        <f ca="1">Magick!$L$69</f>
        <v>0.13</v>
      </c>
      <c r="P215" s="72">
        <f ca="1">Magick!$M$69</f>
        <v>0.13</v>
      </c>
      <c r="Q215" s="67" t="s">
        <v>2225</v>
      </c>
      <c r="R215" s="67">
        <f ca="1">IF(Q215="Ritual","N/A",IF(Q215="I.E.","N/A",IF(Q215="WOG",VLOOKUP(Magick!$I$69*100,magestuff!$B$134:$F$138,2),IF(Q215="Cantrip",VLOOKUP(Magick!$I$69*100,magestuff!$B$134:$F$138,3),IF(Q215="Hex",VLOOKUP(Magick!$I$69*100,magestuff!$B$134:$F$138,4),VLOOKUP(Magick!$I$69*100,magestuff!$B$134:$F$138,5))))))</f>
        <v>29</v>
      </c>
      <c r="U215" s="67" t="str">
        <f t="shared" si="27"/>
        <v xml:space="preserve"> </v>
      </c>
      <c r="V215" s="515"/>
      <c r="W215" s="125"/>
      <c r="X215" s="31">
        <f t="shared" si="28"/>
        <v>0</v>
      </c>
      <c r="Y215" s="509"/>
      <c r="Z215" s="1054" t="str">
        <f t="shared" si="29"/>
        <v>Wall of Magick Water</v>
      </c>
      <c r="AA215" s="1072" t="str">
        <f t="shared" si="30"/>
        <v>Common</v>
      </c>
    </row>
    <row r="216" spans="1:27" hidden="1" outlineLevel="1">
      <c r="A216" s="83" t="s">
        <v>4906</v>
      </c>
      <c r="B216" s="67">
        <v>5</v>
      </c>
      <c r="C216" s="67">
        <f ca="1">magestuff!$O$196</f>
        <v>5</v>
      </c>
      <c r="D216" s="67">
        <f t="shared" si="26"/>
        <v>0</v>
      </c>
      <c r="E216" s="77" t="e">
        <f ca="1">IF(F216="y",HLOOKUP((IF(C216&lt;1,1,C216)),Magick!$C$20:$L$21,2),NA())</f>
        <v>#N/A</v>
      </c>
      <c r="F216" s="67" t="str">
        <f ca="1">IF(C216&lt;=Magick!$D$3,"Y","N")</f>
        <v>N</v>
      </c>
      <c r="G216" s="148" t="s">
        <v>1617</v>
      </c>
      <c r="H216" s="151"/>
      <c r="I216" s="77" t="e">
        <f>IF(H216&gt;0,(HLOOKUP(C216,Magick!$C$20:$L$21,2)-HLOOKUP(H216,Magick!$C$20:$L$21,2)),NA())</f>
        <v>#N/A</v>
      </c>
      <c r="J216" s="77"/>
      <c r="K216" s="67">
        <v>11</v>
      </c>
      <c r="L216" s="72" t="str">
        <f>IF(H216&gt;0,Magick!$AR$20-('Master Spell List'!H204*0.1),"N/A")</f>
        <v>N/A</v>
      </c>
      <c r="M216" s="72">
        <f ca="1">Magick!$H$69</f>
        <v>0.08</v>
      </c>
      <c r="N216" s="72">
        <f ca="1">Magick!$K$69</f>
        <v>0.13</v>
      </c>
      <c r="O216" s="72">
        <f ca="1">Magick!$L$69</f>
        <v>0.13</v>
      </c>
      <c r="P216" s="72">
        <f ca="1">Magick!$M$69</f>
        <v>0.13</v>
      </c>
      <c r="Q216" s="67" t="s">
        <v>3723</v>
      </c>
      <c r="R216" s="67">
        <f ca="1">IF(Q216="Ritual","N/A",IF(Q216="I.E.","N/A",IF(Q216="WOG",VLOOKUP(Magick!$I$69*100,magestuff!$B$134:$F$138,2),IF(Q216="Cantrip",VLOOKUP(Magick!$I$69*100,magestuff!$B$134:$F$138,3),IF(Q216="Hex",VLOOKUP(Magick!$I$69*100,magestuff!$B$134:$F$138,4),VLOOKUP(Magick!$I$69*100,magestuff!$B$134:$F$138,5))))))</f>
        <v>29</v>
      </c>
      <c r="U216" s="67" t="str">
        <f t="shared" si="27"/>
        <v xml:space="preserve"> </v>
      </c>
      <c r="V216" s="515"/>
      <c r="W216" s="125"/>
      <c r="X216" s="31">
        <f t="shared" si="28"/>
        <v>0</v>
      </c>
      <c r="Y216" s="509"/>
      <c r="Z216" s="1054" t="str">
        <f t="shared" si="29"/>
        <v>Whirlpool</v>
      </c>
      <c r="AA216" s="1072" t="str">
        <f t="shared" si="30"/>
        <v>Common</v>
      </c>
    </row>
    <row r="217" spans="1:27" hidden="1" outlineLevel="1">
      <c r="A217" s="83" t="s">
        <v>1111</v>
      </c>
      <c r="B217" s="67">
        <v>6</v>
      </c>
      <c r="C217" s="67">
        <f ca="1">magestuff!$R$196</f>
        <v>6</v>
      </c>
      <c r="D217" s="67">
        <f t="shared" si="26"/>
        <v>0</v>
      </c>
      <c r="E217" s="77" t="e">
        <f ca="1">IF(F217="y",HLOOKUP((IF(C217&lt;1,1,C217)),Magick!$C$20:$L$21,2),NA())</f>
        <v>#N/A</v>
      </c>
      <c r="F217" s="67" t="str">
        <f ca="1">IF(C217&lt;=Magick!$D$3,"Y","N")</f>
        <v>N</v>
      </c>
      <c r="G217" s="148" t="s">
        <v>1617</v>
      </c>
      <c r="H217" s="151"/>
      <c r="I217" s="77" t="e">
        <f>IF(H217&gt;0,(HLOOKUP(C217,Magick!$C$20:$L$21,2)-HLOOKUP(H217,Magick!$C$20:$L$21,2)),NA())</f>
        <v>#N/A</v>
      </c>
      <c r="J217" s="77"/>
      <c r="K217" s="67">
        <v>11</v>
      </c>
      <c r="L217" s="72" t="str">
        <f>IF(H217&gt;0,Magick!$AR$20-('Master Spell List'!H208*0.1),"N/A")</f>
        <v>N/A</v>
      </c>
      <c r="M217" s="72">
        <f ca="1">Magick!$H$69</f>
        <v>0.08</v>
      </c>
      <c r="N217" s="72">
        <f ca="1">Magick!$K$69</f>
        <v>0.13</v>
      </c>
      <c r="O217" s="72">
        <f ca="1">Magick!$L$69</f>
        <v>0.13</v>
      </c>
      <c r="P217" s="72">
        <f ca="1">Magick!$M$69</f>
        <v>0.13</v>
      </c>
      <c r="Q217" s="67" t="s">
        <v>4602</v>
      </c>
      <c r="R217" s="67">
        <f ca="1">IF(Q217="Ritual","N/A",IF(Q217="I.E.","N/A",IF(Q217="WOG",VLOOKUP(Magick!$I$69*100,magestuff!$B$134:$F$138,2),IF(Q217="Cantrip",VLOOKUP(Magick!$I$69*100,magestuff!$B$134:$F$138,3),IF(Q217="Hex",VLOOKUP(Magick!$I$69*100,magestuff!$B$134:$F$138,4),VLOOKUP(Magick!$I$69*100,magestuff!$B$134:$F$138,5))))))</f>
        <v>19</v>
      </c>
      <c r="S217" s="67" t="s">
        <v>1984</v>
      </c>
      <c r="U217" s="67" t="str">
        <f t="shared" si="27"/>
        <v xml:space="preserve"> </v>
      </c>
      <c r="V217" s="515"/>
      <c r="W217" s="125"/>
      <c r="X217" s="31">
        <f t="shared" ref="X217:X248" si="31">W217*3</f>
        <v>0</v>
      </c>
      <c r="Y217" s="509"/>
      <c r="Z217" s="1054" t="str">
        <f t="shared" si="29"/>
        <v>Armor of the Glacier</v>
      </c>
      <c r="AA217" s="1072" t="str">
        <f t="shared" si="30"/>
        <v>Common</v>
      </c>
    </row>
    <row r="218" spans="1:27" hidden="1" outlineLevel="1">
      <c r="A218" s="31" t="s">
        <v>1054</v>
      </c>
      <c r="B218" s="67">
        <v>6</v>
      </c>
      <c r="C218" s="67">
        <f ca="1">magestuff!$R$196</f>
        <v>6</v>
      </c>
      <c r="D218" s="67">
        <f t="shared" si="26"/>
        <v>0</v>
      </c>
      <c r="E218" s="77" t="e">
        <f ca="1">IF(F218="y",HLOOKUP((IF(C218&lt;1,1,C218)),Magick!$C$20:$L$21,2),NA())</f>
        <v>#N/A</v>
      </c>
      <c r="F218" s="67" t="str">
        <f ca="1">IF(C218&lt;=Magick!$D$3,"Y","N")</f>
        <v>N</v>
      </c>
      <c r="G218" s="148" t="s">
        <v>128</v>
      </c>
      <c r="H218" s="151"/>
      <c r="I218" s="77" t="e">
        <f>IF(H218&gt;0,(HLOOKUP(C218,Magick!$C$20:$L$21,2)-HLOOKUP(H218,Magick!$C$20:$L$21,2)),NA())</f>
        <v>#N/A</v>
      </c>
      <c r="J218" s="77"/>
      <c r="K218" s="67" t="s">
        <v>4019</v>
      </c>
      <c r="L218" s="72" t="str">
        <f>IF(H218&gt;0,Magick!$AR$20-('Master Spell List'!H198*0.1),"N/A")</f>
        <v>N/A</v>
      </c>
      <c r="M218" s="72">
        <f ca="1">Magick!$H$69</f>
        <v>0.08</v>
      </c>
      <c r="N218" s="72">
        <f ca="1">Magick!$K$69</f>
        <v>0.13</v>
      </c>
      <c r="O218" s="72">
        <f ca="1">Magick!$L$69</f>
        <v>0.13</v>
      </c>
      <c r="P218" s="72">
        <f ca="1">Magick!$M$69</f>
        <v>0.13</v>
      </c>
      <c r="Q218" s="67" t="s">
        <v>4603</v>
      </c>
      <c r="R218" s="67">
        <f ca="1">IF(Q218="Ritual","N/A",IF(Q218="I.E.","N/A",IF(Q218="WOG",VLOOKUP(Magick!$I$69*100,magestuff!$B$134:$F$138,2),IF(Q218="Cantrip",VLOOKUP(Magick!$I$69*100,magestuff!$B$134:$F$138,3),IF(Q218="Hex",VLOOKUP(Magick!$I$69*100,magestuff!$B$134:$F$138,4),VLOOKUP(Magick!$I$69*100,magestuff!$B$134:$F$138,5))))))</f>
        <v>9</v>
      </c>
      <c r="U218" s="67" t="str">
        <f t="shared" si="27"/>
        <v xml:space="preserve"> </v>
      </c>
      <c r="V218" s="515"/>
      <c r="W218" s="125"/>
      <c r="X218" s="31">
        <f t="shared" si="31"/>
        <v>0</v>
      </c>
      <c r="Y218" s="509"/>
      <c r="Z218" s="1054" t="str">
        <f t="shared" si="29"/>
        <v>Arrows of Ice</v>
      </c>
      <c r="AA218" s="1072" t="str">
        <f t="shared" si="30"/>
        <v>Common</v>
      </c>
    </row>
    <row r="219" spans="1:27" hidden="1" outlineLevel="1">
      <c r="A219" s="83" t="s">
        <v>4536</v>
      </c>
      <c r="B219" s="67">
        <v>6</v>
      </c>
      <c r="C219" s="67">
        <f ca="1">magestuff!$R$196</f>
        <v>6</v>
      </c>
      <c r="D219" s="67">
        <f t="shared" si="26"/>
        <v>0</v>
      </c>
      <c r="E219" s="77" t="e">
        <f ca="1">IF(F219="y",HLOOKUP((IF(C219&lt;1,1,C219)),Magick!$C$20:$L$21,2),NA())</f>
        <v>#N/A</v>
      </c>
      <c r="F219" s="67" t="str">
        <f ca="1">IF(C219&lt;=Magick!$D$3,"Y","N")</f>
        <v>N</v>
      </c>
      <c r="G219" s="148" t="s">
        <v>859</v>
      </c>
      <c r="H219" s="151"/>
      <c r="I219" s="77" t="e">
        <f>IF(H219&gt;0,(HLOOKUP(C219,Magick!$C$20:$L$21,2)-HLOOKUP(H219,Magick!$C$20:$L$21,2)),NA())</f>
        <v>#N/A</v>
      </c>
      <c r="J219" s="77"/>
      <c r="K219" s="67" t="s">
        <v>2225</v>
      </c>
      <c r="L219" s="72" t="str">
        <f>IF(H219&gt;0,Magick!$AR$20-('Master Spell List'!H241*0.1),"N/A")</f>
        <v>N/A</v>
      </c>
      <c r="M219" s="72">
        <f ca="1">Magick!$H$69</f>
        <v>0.08</v>
      </c>
      <c r="N219" s="72">
        <f ca="1">Magick!$K$69</f>
        <v>0.13</v>
      </c>
      <c r="O219" s="72">
        <f ca="1">Magick!$L$69</f>
        <v>0.13</v>
      </c>
      <c r="P219" s="72">
        <f ca="1">Magick!$M$69</f>
        <v>0.13</v>
      </c>
      <c r="Q219" s="67" t="s">
        <v>2225</v>
      </c>
      <c r="R219" s="67">
        <f ca="1">IF(Q219="Ritual","N/A",IF(Q219="I.E.","N/A",IF(Q219="WOG",VLOOKUP(Magick!$I$69*100,magestuff!$B$134:$F$138,2),IF(Q219="Cantrip",VLOOKUP(Magick!$I$69*100,magestuff!$B$134:$F$138,3),IF(Q219="Hex",VLOOKUP(Magick!$I$69*100,magestuff!$B$134:$F$138,4),VLOOKUP(Magick!$I$69*100,magestuff!$B$134:$F$138,5))))))</f>
        <v>29</v>
      </c>
      <c r="U219" s="67" t="str">
        <f t="shared" si="27"/>
        <v xml:space="preserve"> </v>
      </c>
      <c r="V219" s="515"/>
      <c r="W219" s="125"/>
      <c r="X219" s="31">
        <f t="shared" si="31"/>
        <v>0</v>
      </c>
      <c r="Y219" s="509"/>
      <c r="Z219" s="1054" t="str">
        <f t="shared" si="29"/>
        <v>Great Wave</v>
      </c>
      <c r="AA219" s="1072" t="str">
        <f t="shared" si="30"/>
        <v>Common</v>
      </c>
    </row>
    <row r="220" spans="1:27" hidden="1" outlineLevel="1">
      <c r="A220" s="83" t="s">
        <v>4527</v>
      </c>
      <c r="B220" s="67">
        <v>6</v>
      </c>
      <c r="C220" s="67">
        <f ca="1">magestuff!$R$196</f>
        <v>6</v>
      </c>
      <c r="D220" s="67">
        <f t="shared" si="26"/>
        <v>0</v>
      </c>
      <c r="E220" s="77" t="e">
        <f ca="1">IF(F220="y",HLOOKUP((IF(C220&lt;1,1,C220)),Magick!$C$20:$L$21,2),NA())</f>
        <v>#N/A</v>
      </c>
      <c r="F220" s="67" t="str">
        <f ca="1">IF(C220&lt;=Magick!$D$3,"Y","N")</f>
        <v>N</v>
      </c>
      <c r="G220" s="148" t="s">
        <v>859</v>
      </c>
      <c r="H220" s="151"/>
      <c r="I220" s="77" t="e">
        <f>IF(H220&gt;0,(HLOOKUP(C220,Magick!$C$20:$L$21,2)-HLOOKUP(H220,Magick!$C$20:$L$21,2)),NA())</f>
        <v>#N/A</v>
      </c>
      <c r="J220" s="77"/>
      <c r="K220" s="67" t="s">
        <v>2225</v>
      </c>
      <c r="L220" s="72" t="str">
        <f>IF(H220&gt;0,Magick!$AR$20-('Master Spell List'!H237*0.1),"N/A")</f>
        <v>N/A</v>
      </c>
      <c r="M220" s="72">
        <f ca="1">Magick!$H$69</f>
        <v>0.08</v>
      </c>
      <c r="N220" s="72">
        <f ca="1">Magick!$K$69</f>
        <v>0.13</v>
      </c>
      <c r="O220" s="72">
        <f ca="1">Magick!$L$69</f>
        <v>0.13</v>
      </c>
      <c r="P220" s="72">
        <f ca="1">Magick!$M$69</f>
        <v>0.13</v>
      </c>
      <c r="Q220" s="67" t="s">
        <v>2225</v>
      </c>
      <c r="R220" s="67">
        <f ca="1">IF(Q220="Ritual","N/A",IF(Q220="I.E.","N/A",IF(Q220="WOG",VLOOKUP(Magick!$I$69*100,magestuff!$B$134:$F$138,2),IF(Q220="Cantrip",VLOOKUP(Magick!$I$69*100,magestuff!$B$134:$F$138,3),IF(Q220="Hex",VLOOKUP(Magick!$I$69*100,magestuff!$B$134:$F$138,4),VLOOKUP(Magick!$I$69*100,magestuff!$B$134:$F$138,5))))))</f>
        <v>29</v>
      </c>
      <c r="U220" s="67" t="str">
        <f t="shared" si="27"/>
        <v xml:space="preserve"> </v>
      </c>
      <c r="V220" s="515"/>
      <c r="W220" s="125"/>
      <c r="X220" s="31">
        <f t="shared" si="31"/>
        <v>0</v>
      </c>
      <c r="Y220" s="509"/>
      <c r="Z220" s="1054" t="str">
        <f t="shared" si="29"/>
        <v>Ice Bomb of Magick Water</v>
      </c>
      <c r="AA220" s="1072" t="str">
        <f t="shared" si="30"/>
        <v>Common</v>
      </c>
    </row>
    <row r="221" spans="1:27" hidden="1" outlineLevel="1">
      <c r="A221" s="31" t="s">
        <v>1687</v>
      </c>
      <c r="B221" s="67">
        <v>6</v>
      </c>
      <c r="C221" s="67">
        <f ca="1">magestuff!$R$196</f>
        <v>6</v>
      </c>
      <c r="D221" s="67">
        <f t="shared" si="26"/>
        <v>0</v>
      </c>
      <c r="E221" s="77" t="e">
        <f ca="1">IF(F221="y",HLOOKUP((IF(C221&lt;1,1,C221)),Magick!$C$20:$L$21,2),NA())</f>
        <v>#N/A</v>
      </c>
      <c r="F221" s="67" t="str">
        <f ca="1">IF(C221&lt;=Magick!$D$3,"Y","N")</f>
        <v>N</v>
      </c>
      <c r="G221" s="148" t="s">
        <v>128</v>
      </c>
      <c r="H221" s="151"/>
      <c r="I221" s="77" t="e">
        <f>IF(H221&gt;0,(HLOOKUP(C221,Magick!$C$20:$L$21,2)-HLOOKUP(H221,Magick!$C$20:$L$21,2)),NA())</f>
        <v>#N/A</v>
      </c>
      <c r="J221" s="77"/>
      <c r="K221" s="67">
        <v>8</v>
      </c>
      <c r="L221" s="72" t="str">
        <f>IF(H221&gt;0,Magick!$AR$20-('Master Spell List'!H200*0.1),"N/A")</f>
        <v>N/A</v>
      </c>
      <c r="M221" s="72">
        <f ca="1">Magick!$H$69</f>
        <v>0.08</v>
      </c>
      <c r="N221" s="72">
        <f ca="1">Magick!$K$69</f>
        <v>0.13</v>
      </c>
      <c r="O221" s="72">
        <f ca="1">Magick!$L$69</f>
        <v>0.13</v>
      </c>
      <c r="P221" s="72">
        <f ca="1">Magick!$M$69</f>
        <v>0.13</v>
      </c>
      <c r="Q221" s="67" t="s">
        <v>3723</v>
      </c>
      <c r="R221" s="67">
        <f ca="1">IF(Q221="Ritual","N/A",IF(Q221="I.E.","N/A",IF(Q221="WOG",VLOOKUP(Magick!$I$69*100,magestuff!$B$134:$F$138,2),IF(Q221="Cantrip",VLOOKUP(Magick!$I$69*100,magestuff!$B$134:$F$138,3),IF(Q221="Hex",VLOOKUP(Magick!$I$69*100,magestuff!$B$134:$F$138,4),VLOOKUP(Magick!$I$69*100,magestuff!$B$134:$F$138,5))))))</f>
        <v>29</v>
      </c>
      <c r="U221" s="67" t="str">
        <f t="shared" si="27"/>
        <v xml:space="preserve"> </v>
      </c>
      <c r="V221" s="515"/>
      <c r="W221" s="125"/>
      <c r="X221" s="31">
        <f t="shared" si="31"/>
        <v>0</v>
      </c>
      <c r="Y221" s="509"/>
      <c r="Z221" s="1054" t="str">
        <f t="shared" si="29"/>
        <v>Ice Storm</v>
      </c>
      <c r="AA221" s="1072" t="str">
        <f t="shared" si="30"/>
        <v>Common</v>
      </c>
    </row>
    <row r="222" spans="1:27" hidden="1" outlineLevel="1">
      <c r="A222" s="83" t="s">
        <v>4520</v>
      </c>
      <c r="B222" s="67">
        <v>6</v>
      </c>
      <c r="C222" s="67">
        <f ca="1">magestuff!$R$196</f>
        <v>6</v>
      </c>
      <c r="D222" s="67">
        <f t="shared" si="26"/>
        <v>0</v>
      </c>
      <c r="E222" s="77" t="e">
        <f ca="1">IF(F222="y",HLOOKUP((IF(C222&lt;1,1,C222)),Magick!$C$20:$L$21,2),NA())</f>
        <v>#N/A</v>
      </c>
      <c r="F222" s="67" t="str">
        <f ca="1">IF(C222&lt;=Magick!$D$3,"Y","N")</f>
        <v>N</v>
      </c>
      <c r="G222" s="148" t="s">
        <v>859</v>
      </c>
      <c r="H222" s="151"/>
      <c r="I222" s="77" t="e">
        <f>IF(H222&gt;0,(HLOOKUP(C222,Magick!$C$20:$L$21,2)-HLOOKUP(H222,Magick!$C$20:$L$21,2)),NA())</f>
        <v>#N/A</v>
      </c>
      <c r="J222" s="77"/>
      <c r="K222" s="67" t="s">
        <v>2225</v>
      </c>
      <c r="L222" s="72" t="str">
        <f>IF(H222&gt;0,Magick!$AR$20-('Master Spell List'!H231*0.1),"N/A")</f>
        <v>N/A</v>
      </c>
      <c r="M222" s="72">
        <f ca="1">Magick!$H$69</f>
        <v>0.08</v>
      </c>
      <c r="N222" s="72">
        <f ca="1">Magick!$K$69</f>
        <v>0.13</v>
      </c>
      <c r="O222" s="72">
        <f ca="1">Magick!$L$69</f>
        <v>0.13</v>
      </c>
      <c r="P222" s="72">
        <f ca="1">Magick!$M$69</f>
        <v>0.13</v>
      </c>
      <c r="Q222" s="67" t="s">
        <v>2225</v>
      </c>
      <c r="R222" s="67">
        <f ca="1">IF(Q222="Ritual","N/A",IF(Q222="I.E.","N/A",IF(Q222="WOG",VLOOKUP(Magick!$I$69*100,magestuff!$B$134:$F$138,2),IF(Q222="Cantrip",VLOOKUP(Magick!$I$69*100,magestuff!$B$134:$F$138,3),IF(Q222="Hex",VLOOKUP(Magick!$I$69*100,magestuff!$B$134:$F$138,4),VLOOKUP(Magick!$I$69*100,magestuff!$B$134:$F$138,5))))))</f>
        <v>29</v>
      </c>
      <c r="U222" s="67" t="str">
        <f t="shared" si="27"/>
        <v xml:space="preserve"> </v>
      </c>
      <c r="V222" s="515"/>
      <c r="W222" s="125"/>
      <c r="X222" s="31">
        <f t="shared" si="31"/>
        <v>0</v>
      </c>
      <c r="Y222" s="509"/>
      <c r="Z222" s="1054" t="str">
        <f t="shared" si="29"/>
        <v>Magical Cell of Ice (Ice Queens Defense)</v>
      </c>
      <c r="AA222" s="1072" t="str">
        <f t="shared" si="30"/>
        <v>Common</v>
      </c>
    </row>
    <row r="223" spans="1:27" hidden="1" outlineLevel="1">
      <c r="A223" s="83" t="s">
        <v>4530</v>
      </c>
      <c r="B223" s="67">
        <v>6</v>
      </c>
      <c r="C223" s="67">
        <f ca="1">magestuff!$R$196</f>
        <v>6</v>
      </c>
      <c r="D223" s="67">
        <f t="shared" si="26"/>
        <v>0</v>
      </c>
      <c r="E223" s="77" t="e">
        <f ca="1">IF(F223="y",HLOOKUP((IF(C223&lt;1,1,C223)),Magick!$C$20:$L$21,2),NA())</f>
        <v>#N/A</v>
      </c>
      <c r="F223" s="67" t="str">
        <f ca="1">IF(C223&lt;=Magick!$D$3,"Y","N")</f>
        <v>N</v>
      </c>
      <c r="G223" s="148" t="s">
        <v>859</v>
      </c>
      <c r="H223" s="151"/>
      <c r="I223" s="77" t="e">
        <f>IF(H223&gt;0,(HLOOKUP(C223,Magick!$C$20:$L$21,2)-HLOOKUP(H223,Magick!$C$20:$L$21,2)),NA())</f>
        <v>#N/A</v>
      </c>
      <c r="J223" s="77"/>
      <c r="K223" s="67" t="s">
        <v>2225</v>
      </c>
      <c r="L223" s="72" t="str">
        <f>IF(H223&gt;0,Magick!$AR$20-('Master Spell List'!H230*0.1),"N/A")</f>
        <v>N/A</v>
      </c>
      <c r="M223" s="72">
        <f ca="1">Magick!$H$69</f>
        <v>0.08</v>
      </c>
      <c r="N223" s="72">
        <f ca="1">Magick!$K$69</f>
        <v>0.13</v>
      </c>
      <c r="O223" s="72">
        <f ca="1">Magick!$L$69</f>
        <v>0.13</v>
      </c>
      <c r="P223" s="72">
        <f ca="1">Magick!$M$69</f>
        <v>0.13</v>
      </c>
      <c r="Q223" s="67" t="s">
        <v>2225</v>
      </c>
      <c r="R223" s="67">
        <f ca="1">IF(Q223="Ritual","N/A",IF(Q223="I.E.","N/A",IF(Q223="WOG",VLOOKUP(Magick!$I$69*100,magestuff!$B$134:$F$138,2),IF(Q223="Cantrip",VLOOKUP(Magick!$I$69*100,magestuff!$B$134:$F$138,3),IF(Q223="Hex",VLOOKUP(Magick!$I$69*100,magestuff!$B$134:$F$138,4),VLOOKUP(Magick!$I$69*100,magestuff!$B$134:$F$138,5))))))</f>
        <v>29</v>
      </c>
      <c r="U223" s="67" t="str">
        <f t="shared" si="27"/>
        <v xml:space="preserve"> </v>
      </c>
      <c r="V223" s="515"/>
      <c r="W223" s="125"/>
      <c r="X223" s="31">
        <f t="shared" si="31"/>
        <v>0</v>
      </c>
      <c r="Y223" s="509"/>
      <c r="Z223" s="1054" t="str">
        <f t="shared" si="29"/>
        <v>Prison of Ice</v>
      </c>
      <c r="AA223" s="1072" t="str">
        <f t="shared" si="30"/>
        <v>Common</v>
      </c>
    </row>
    <row r="224" spans="1:27" hidden="1" outlineLevel="1">
      <c r="A224" s="83" t="s">
        <v>4518</v>
      </c>
      <c r="B224" s="67">
        <v>6</v>
      </c>
      <c r="C224" s="67">
        <f ca="1">magestuff!$R$196</f>
        <v>6</v>
      </c>
      <c r="D224" s="67">
        <f t="shared" si="26"/>
        <v>0</v>
      </c>
      <c r="E224" s="77" t="e">
        <f ca="1">IF(F224="y",HLOOKUP((IF(C224&lt;1,1,C224)),Magick!$C$20:$L$21,2),NA())</f>
        <v>#N/A</v>
      </c>
      <c r="F224" s="67" t="str">
        <f ca="1">IF(C224&lt;=Magick!$D$3,"Y","N")</f>
        <v>N</v>
      </c>
      <c r="G224" s="148" t="s">
        <v>859</v>
      </c>
      <c r="H224" s="151"/>
      <c r="I224" s="77" t="e">
        <f>IF(H224&gt;0,(HLOOKUP(C224,Magick!$C$20:$L$21,2)-HLOOKUP(H224,Magick!$C$20:$L$21,2)),NA())</f>
        <v>#N/A</v>
      </c>
      <c r="J224" s="77"/>
      <c r="K224" s="67" t="s">
        <v>2225</v>
      </c>
      <c r="L224" s="72" t="str">
        <f>IF(H224&gt;0,Magick!$AR$20-('Master Spell List'!H224*0.1),"N/A")</f>
        <v>N/A</v>
      </c>
      <c r="M224" s="72">
        <f ca="1">Magick!$H$69</f>
        <v>0.08</v>
      </c>
      <c r="N224" s="72">
        <f ca="1">Magick!$K$69</f>
        <v>0.13</v>
      </c>
      <c r="O224" s="72">
        <f ca="1">Magick!$L$69</f>
        <v>0.13</v>
      </c>
      <c r="P224" s="72">
        <f ca="1">Magick!$M$69</f>
        <v>0.13</v>
      </c>
      <c r="Q224" s="67" t="s">
        <v>2225</v>
      </c>
      <c r="R224" s="67">
        <f ca="1">IF(Q224="Ritual","N/A",IF(Q224="I.E.","N/A",IF(Q224="WOG",VLOOKUP(Magick!$I$69*100,magestuff!$B$134:$F$138,2),IF(Q224="Cantrip",VLOOKUP(Magick!$I$69*100,magestuff!$B$134:$F$138,3),IF(Q224="Hex",VLOOKUP(Magick!$I$69*100,magestuff!$B$134:$F$138,4),VLOOKUP(Magick!$I$69*100,magestuff!$B$134:$F$138,5))))))</f>
        <v>29</v>
      </c>
      <c r="U224" s="67" t="str">
        <f t="shared" si="27"/>
        <v xml:space="preserve"> </v>
      </c>
      <c r="V224" s="515"/>
      <c r="W224" s="125"/>
      <c r="X224" s="31">
        <f t="shared" si="31"/>
        <v>0</v>
      </c>
      <c r="Y224" s="509"/>
      <c r="Z224" s="1054" t="str">
        <f t="shared" si="29"/>
        <v>Spray of the Undine</v>
      </c>
      <c r="AA224" s="1072" t="str">
        <f t="shared" si="30"/>
        <v>Common</v>
      </c>
    </row>
    <row r="225" spans="1:66" hidden="1" outlineLevel="1">
      <c r="A225" s="83" t="s">
        <v>1113</v>
      </c>
      <c r="B225" s="67">
        <v>6</v>
      </c>
      <c r="C225" s="67">
        <f ca="1">magestuff!$R$196</f>
        <v>6</v>
      </c>
      <c r="D225" s="67">
        <f t="shared" si="26"/>
        <v>0</v>
      </c>
      <c r="E225" s="77" t="e">
        <f ca="1">IF(F225="y",HLOOKUP((IF(C225&lt;1,1,C225)),Magick!$C$20:$L$21,2),NA())</f>
        <v>#N/A</v>
      </c>
      <c r="F225" s="67" t="str">
        <f ca="1">IF(C225&lt;=Magick!$D$3,"Y","N")</f>
        <v>N</v>
      </c>
      <c r="G225" s="148" t="s">
        <v>1617</v>
      </c>
      <c r="H225" s="151"/>
      <c r="I225" s="77" t="e">
        <f>IF(H225&gt;0,(HLOOKUP(C225,Magick!$C$20:$L$21,2)-HLOOKUP(H225,Magick!$C$20:$L$21,2)),NA())</f>
        <v>#N/A</v>
      </c>
      <c r="J225" s="77"/>
      <c r="K225" s="67">
        <v>11</v>
      </c>
      <c r="L225" s="72" t="str">
        <f>IF(H225&gt;0,Magick!$AR$20-('Master Spell List'!H210*0.1),"N/A")</f>
        <v>N/A</v>
      </c>
      <c r="M225" s="72">
        <f ca="1">Magick!$H$69</f>
        <v>0.08</v>
      </c>
      <c r="N225" s="72">
        <f ca="1">Magick!$K$69</f>
        <v>0.13</v>
      </c>
      <c r="O225" s="72">
        <f ca="1">Magick!$L$69</f>
        <v>0.13</v>
      </c>
      <c r="P225" s="72">
        <f ca="1">Magick!$M$69</f>
        <v>0.13</v>
      </c>
      <c r="Q225" s="67" t="s">
        <v>4602</v>
      </c>
      <c r="R225" s="67">
        <f ca="1">IF(Q225="Ritual","N/A",IF(Q225="I.E.","N/A",IF(Q225="WOG",VLOOKUP(Magick!$I$69*100,magestuff!$B$134:$F$138,2),IF(Q225="Cantrip",VLOOKUP(Magick!$I$69*100,magestuff!$B$134:$F$138,3),IF(Q225="Hex",VLOOKUP(Magick!$I$69*100,magestuff!$B$134:$F$138,4),VLOOKUP(Magick!$I$69*100,magestuff!$B$134:$F$138,5))))))</f>
        <v>19</v>
      </c>
      <c r="S225" s="67" t="s">
        <v>1984</v>
      </c>
      <c r="U225" s="67" t="str">
        <f t="shared" si="27"/>
        <v xml:space="preserve"> </v>
      </c>
      <c r="V225" s="515"/>
      <c r="W225" s="125"/>
      <c r="X225" s="31">
        <f t="shared" si="31"/>
        <v>0</v>
      </c>
      <c r="Y225" s="509"/>
      <c r="Z225" s="1054" t="str">
        <f t="shared" si="29"/>
        <v>Touch of Ice</v>
      </c>
      <c r="AA225" s="1072" t="str">
        <f t="shared" si="30"/>
        <v>Common</v>
      </c>
    </row>
    <row r="226" spans="1:66" hidden="1" outlineLevel="1">
      <c r="A226" s="31" t="s">
        <v>4914</v>
      </c>
      <c r="B226" s="67">
        <v>7</v>
      </c>
      <c r="C226" s="67">
        <f ca="1">magestuff!$U$196</f>
        <v>7</v>
      </c>
      <c r="D226" s="67">
        <f t="shared" si="26"/>
        <v>0</v>
      </c>
      <c r="E226" s="77" t="e">
        <f ca="1">IF(F226="y",HLOOKUP((IF(C226&lt;1,1,C226)),Magick!$C$20:$L$21,2),NA())</f>
        <v>#N/A</v>
      </c>
      <c r="F226" s="67" t="str">
        <f ca="1">IF(C226&lt;=Magick!$D$3,"Y","N")</f>
        <v>N</v>
      </c>
      <c r="G226" s="148" t="s">
        <v>128</v>
      </c>
      <c r="H226" s="151"/>
      <c r="I226" s="77" t="e">
        <f>IF(H226&gt;0,(HLOOKUP(C226,Magick!$C$20:$L$21,2)-HLOOKUP(H226,Magick!$C$20:$L$21,2)),NA())</f>
        <v>#N/A</v>
      </c>
      <c r="J226" s="77"/>
      <c r="K226" s="67">
        <v>11</v>
      </c>
      <c r="L226" s="72" t="str">
        <f>IF(H226&gt;0,Magick!$AR$20-('Master Spell List'!H199*0.1),"N/A")</f>
        <v>N/A</v>
      </c>
      <c r="M226" s="72">
        <f ca="1">Magick!$H$69</f>
        <v>0.08</v>
      </c>
      <c r="N226" s="72">
        <f ca="1">Magick!$K$69</f>
        <v>0.13</v>
      </c>
      <c r="O226" s="72">
        <f ca="1">Magick!$L$69</f>
        <v>0.13</v>
      </c>
      <c r="P226" s="72">
        <f ca="1">Magick!$M$69</f>
        <v>0.13</v>
      </c>
      <c r="Q226" s="67" t="s">
        <v>4603</v>
      </c>
      <c r="R226" s="67">
        <f ca="1">IF(Q226="Ritual","N/A",IF(Q226="I.E.","N/A",IF(Q226="WOG",VLOOKUP(Magick!$I$69*100,magestuff!$B$134:$F$138,2),IF(Q226="Cantrip",VLOOKUP(Magick!$I$69*100,magestuff!$B$134:$F$138,3),IF(Q226="Hex",VLOOKUP(Magick!$I$69*100,magestuff!$B$134:$F$138,4),VLOOKUP(Magick!$I$69*100,magestuff!$B$134:$F$138,5))))))</f>
        <v>9</v>
      </c>
      <c r="U226" s="67" t="str">
        <f t="shared" si="27"/>
        <v xml:space="preserve"> </v>
      </c>
      <c r="V226" s="515"/>
      <c r="W226" s="125"/>
      <c r="X226" s="31">
        <f t="shared" si="31"/>
        <v>0</v>
      </c>
      <c r="Y226" s="509"/>
      <c r="Z226" s="1054" t="str">
        <f t="shared" si="29"/>
        <v>Javelin of Ice</v>
      </c>
      <c r="AA226" s="1072" t="str">
        <f t="shared" si="30"/>
        <v>Common</v>
      </c>
    </row>
    <row r="227" spans="1:66" hidden="1" outlineLevel="1">
      <c r="A227" s="83" t="s">
        <v>4521</v>
      </c>
      <c r="B227" s="67">
        <v>7</v>
      </c>
      <c r="C227" s="67">
        <f ca="1">magestuff!$U$196</f>
        <v>7</v>
      </c>
      <c r="D227" s="67">
        <f t="shared" si="26"/>
        <v>0</v>
      </c>
      <c r="E227" s="77" t="e">
        <f ca="1">IF(F227="y",HLOOKUP((IF(C227&lt;1,1,C227)),Magick!$C$20:$L$21,2),NA())</f>
        <v>#N/A</v>
      </c>
      <c r="F227" s="67" t="str">
        <f ca="1">IF(C227&lt;=Magick!$D$3,"Y","N")</f>
        <v>N</v>
      </c>
      <c r="G227" s="148" t="s">
        <v>859</v>
      </c>
      <c r="H227" s="151"/>
      <c r="I227" s="77" t="e">
        <f>IF(H227&gt;0,(HLOOKUP(C227,Magick!$C$20:$L$21,2)-HLOOKUP(H227,Magick!$C$20:$L$21,2)),NA())</f>
        <v>#N/A</v>
      </c>
      <c r="J227" s="77"/>
      <c r="K227" s="67" t="s">
        <v>2225</v>
      </c>
      <c r="L227" s="72" t="str">
        <f>IF(H227&gt;0,Magick!$AR$20-('Master Spell List'!H232*0.1),"N/A")</f>
        <v>N/A</v>
      </c>
      <c r="M227" s="72">
        <f ca="1">Magick!$H$69</f>
        <v>0.08</v>
      </c>
      <c r="N227" s="72">
        <f ca="1">Magick!$K$69</f>
        <v>0.13</v>
      </c>
      <c r="O227" s="72">
        <f ca="1">Magick!$L$69</f>
        <v>0.13</v>
      </c>
      <c r="P227" s="72">
        <f ca="1">Magick!$M$69</f>
        <v>0.13</v>
      </c>
      <c r="Q227" s="67" t="s">
        <v>2225</v>
      </c>
      <c r="R227" s="67">
        <f ca="1">IF(Q227="Ritual","N/A",IF(Q227="I.E.","N/A",IF(Q227="WOG",VLOOKUP(Magick!$I$69*100,magestuff!$B$134:$F$138,2),IF(Q227="Cantrip",VLOOKUP(Magick!$I$69*100,magestuff!$B$134:$F$138,3),IF(Q227="Hex",VLOOKUP(Magick!$I$69*100,magestuff!$B$134:$F$138,4),VLOOKUP(Magick!$I$69*100,magestuff!$B$134:$F$138,5))))))</f>
        <v>29</v>
      </c>
      <c r="U227" s="67" t="str">
        <f t="shared" si="27"/>
        <v xml:space="preserve"> </v>
      </c>
      <c r="V227" s="515"/>
      <c r="W227" s="125"/>
      <c r="X227" s="31">
        <f t="shared" si="31"/>
        <v>0</v>
      </c>
      <c r="Y227" s="509"/>
      <c r="Z227" s="1054" t="str">
        <f t="shared" si="29"/>
        <v>Prison of the Undine</v>
      </c>
      <c r="AA227" s="1072" t="str">
        <f t="shared" si="30"/>
        <v>Common</v>
      </c>
    </row>
    <row r="228" spans="1:66" hidden="1" outlineLevel="1">
      <c r="A228" s="83" t="s">
        <v>4531</v>
      </c>
      <c r="B228" s="67">
        <v>7</v>
      </c>
      <c r="C228" s="67">
        <f ca="1">magestuff!$U$196</f>
        <v>7</v>
      </c>
      <c r="D228" s="67">
        <f t="shared" si="26"/>
        <v>0</v>
      </c>
      <c r="E228" s="77" t="e">
        <f ca="1">IF(F228="y",HLOOKUP((IF(C228&lt;1,1,C228)),Magick!$C$20:$L$21,2),NA())</f>
        <v>#N/A</v>
      </c>
      <c r="F228" s="67" t="str">
        <f ca="1">IF(C228&lt;=Magick!$D$3,"Y","N")</f>
        <v>N</v>
      </c>
      <c r="G228" s="148" t="s">
        <v>859</v>
      </c>
      <c r="H228" s="151"/>
      <c r="I228" s="77" t="e">
        <f>IF(H228&gt;0,(HLOOKUP(C228,Magick!$C$20:$L$21,2)-HLOOKUP(H228,Magick!$C$20:$L$21,2)),NA())</f>
        <v>#N/A</v>
      </c>
      <c r="J228" s="77"/>
      <c r="K228" s="67" t="s">
        <v>1366</v>
      </c>
      <c r="L228" s="72" t="str">
        <f>IF(H228&gt;0,Magick!$AR$20-('Master Spell List'!H241*0.1),"N/A")</f>
        <v>N/A</v>
      </c>
      <c r="M228" s="72">
        <f ca="1">Magick!$H$69</f>
        <v>0.08</v>
      </c>
      <c r="N228" s="72">
        <f ca="1">Magick!$K$69</f>
        <v>0.13</v>
      </c>
      <c r="O228" s="72">
        <f ca="1">Magick!$L$69</f>
        <v>0.13</v>
      </c>
      <c r="P228" s="72">
        <f ca="1">Magick!$M$69</f>
        <v>0.13</v>
      </c>
      <c r="Q228" s="67" t="s">
        <v>4602</v>
      </c>
      <c r="R228" s="67">
        <f ca="1">IF(Q228="Ritual","N/A",IF(Q228="I.E.","N/A",IF(Q228="WOG",VLOOKUP(Magick!$I$69*100,magestuff!$B$134:$F$138,2),IF(Q228="Cantrip",VLOOKUP(Magick!$I$69*100,magestuff!$B$134:$F$138,3),IF(Q228="Hex",VLOOKUP(Magick!$I$69*100,magestuff!$B$134:$F$138,4),VLOOKUP(Magick!$I$69*100,magestuff!$B$134:$F$138,5))))))</f>
        <v>19</v>
      </c>
      <c r="S228" s="67" t="str">
        <f>CONCATENATE(IF(Magick!$C$3&gt;0,Magick!$C$3*25," ")," ft.")</f>
        <v xml:space="preserve">  ft.</v>
      </c>
      <c r="T228" s="67" t="s">
        <v>1306</v>
      </c>
      <c r="U228" s="67" t="str">
        <f t="shared" si="27"/>
        <v xml:space="preserve"> </v>
      </c>
      <c r="V228" s="515"/>
      <c r="W228" s="125"/>
      <c r="X228" s="31">
        <f t="shared" si="31"/>
        <v>0</v>
      </c>
      <c r="Y228" s="509"/>
      <c r="Z228" s="1054" t="str">
        <f t="shared" si="29"/>
        <v>Shards of the Ice Queen (Magick Water)</v>
      </c>
      <c r="AA228" s="1072" t="str">
        <f t="shared" si="30"/>
        <v>Common</v>
      </c>
    </row>
    <row r="229" spans="1:66" hidden="1" outlineLevel="1">
      <c r="A229" s="83" t="s">
        <v>4874</v>
      </c>
      <c r="B229" s="67">
        <v>7</v>
      </c>
      <c r="C229" s="67">
        <f ca="1">magestuff!$U$196</f>
        <v>7</v>
      </c>
      <c r="D229" s="67">
        <f t="shared" si="26"/>
        <v>0</v>
      </c>
      <c r="E229" s="77" t="e">
        <f ca="1">IF(F229="y",HLOOKUP((IF(C229&lt;1,1,C229)),Magick!$C$20:$L$21,2),NA())</f>
        <v>#N/A</v>
      </c>
      <c r="F229" s="67" t="str">
        <f ca="1">IF(C229&lt;=Magick!$D$3,"Y","N")</f>
        <v>N</v>
      </c>
      <c r="G229" s="148" t="s">
        <v>859</v>
      </c>
      <c r="H229" s="151"/>
      <c r="I229" s="77" t="e">
        <f>IF(H229&gt;0,(HLOOKUP(C229,Magick!$C$20:$L$21,2)-HLOOKUP(H229,Magick!$C$20:$L$21,2)),NA())</f>
        <v>#N/A</v>
      </c>
      <c r="J229" s="77"/>
      <c r="K229" s="67" t="s">
        <v>2225</v>
      </c>
      <c r="L229" s="72" t="str">
        <f>IF(H229&gt;0,Magick!$AR$20-('Master Spell List'!H218*0.1),"N/A")</f>
        <v>N/A</v>
      </c>
      <c r="M229" s="72">
        <f ca="1">Magick!$H$69</f>
        <v>0.08</v>
      </c>
      <c r="N229" s="72">
        <f ca="1">Magick!$K$69</f>
        <v>0.13</v>
      </c>
      <c r="O229" s="72">
        <f ca="1">Magick!$L$69</f>
        <v>0.13</v>
      </c>
      <c r="P229" s="72">
        <f ca="1">Magick!$M$69</f>
        <v>0.13</v>
      </c>
      <c r="Q229" s="67" t="s">
        <v>2225</v>
      </c>
      <c r="R229" s="67">
        <f ca="1">IF(Q229="Ritual","N/A",IF(Q229="I.E.","N/A",IF(Q229="WOG",VLOOKUP(Magick!$I$69*100,magestuff!$B$134:$F$138,2),IF(Q229="Cantrip",VLOOKUP(Magick!$I$69*100,magestuff!$B$134:$F$138,3),IF(Q229="Hex",VLOOKUP(Magick!$I$69*100,magestuff!$B$134:$F$138,4),VLOOKUP(Magick!$I$69*100,magestuff!$B$134:$F$138,5))))))</f>
        <v>29</v>
      </c>
      <c r="U229" s="67" t="str">
        <f t="shared" si="27"/>
        <v xml:space="preserve"> </v>
      </c>
      <c r="V229" s="515"/>
      <c r="W229" s="125"/>
      <c r="X229" s="31">
        <f t="shared" si="31"/>
        <v>0</v>
      </c>
      <c r="Y229" s="509"/>
      <c r="Z229" s="1054" t="str">
        <f t="shared" si="29"/>
        <v>Sheet of Waters of the Undine</v>
      </c>
      <c r="AA229" s="1072" t="str">
        <f t="shared" si="30"/>
        <v>Common</v>
      </c>
    </row>
    <row r="230" spans="1:66" hidden="1" outlineLevel="1">
      <c r="A230" s="83" t="s">
        <v>4871</v>
      </c>
      <c r="B230" s="67">
        <v>7</v>
      </c>
      <c r="C230" s="67">
        <f ca="1">magestuff!$U$196</f>
        <v>7</v>
      </c>
      <c r="D230" s="67">
        <f t="shared" si="26"/>
        <v>0</v>
      </c>
      <c r="E230" s="77" t="e">
        <f ca="1">IF(F230="y",HLOOKUP((IF(C230&lt;1,1,C230)),Magick!$C$20:$L$21,2),NA())</f>
        <v>#N/A</v>
      </c>
      <c r="F230" s="67" t="str">
        <f ca="1">IF(C230&lt;=Magick!$D$3,"Y","N")</f>
        <v>N</v>
      </c>
      <c r="G230" s="148" t="s">
        <v>859</v>
      </c>
      <c r="H230" s="151"/>
      <c r="I230" s="77" t="e">
        <f>IF(H230&gt;0,(HLOOKUP(C230,Magick!$C$20:$L$21,2)-HLOOKUP(H230,Magick!$C$20:$L$21,2)),NA())</f>
        <v>#N/A</v>
      </c>
      <c r="J230" s="77"/>
      <c r="K230" s="67" t="s">
        <v>2225</v>
      </c>
      <c r="L230" s="72" t="str">
        <f>IF(H230&gt;0,Magick!$AR$20-('Master Spell List'!H215*0.1),"N/A")</f>
        <v>N/A</v>
      </c>
      <c r="M230" s="72">
        <f ca="1">Magick!$H$69</f>
        <v>0.08</v>
      </c>
      <c r="N230" s="72">
        <f ca="1">Magick!$K$69</f>
        <v>0.13</v>
      </c>
      <c r="O230" s="72">
        <f ca="1">Magick!$L$69</f>
        <v>0.13</v>
      </c>
      <c r="P230" s="72">
        <f ca="1">Magick!$M$69</f>
        <v>0.13</v>
      </c>
      <c r="Q230" s="67" t="s">
        <v>2225</v>
      </c>
      <c r="R230" s="67">
        <f ca="1">IF(Q230="Ritual","N/A",IF(Q230="I.E.","N/A",IF(Q230="WOG",VLOOKUP(Magick!$I$69*100,magestuff!$B$134:$F$138,2),IF(Q230="Cantrip",VLOOKUP(Magick!$I$69*100,magestuff!$B$134:$F$138,3),IF(Q230="Hex",VLOOKUP(Magick!$I$69*100,magestuff!$B$134:$F$138,4),VLOOKUP(Magick!$I$69*100,magestuff!$B$134:$F$138,5))))))</f>
        <v>29</v>
      </c>
      <c r="U230" s="67" t="str">
        <f t="shared" si="27"/>
        <v xml:space="preserve"> </v>
      </c>
      <c r="V230" s="515"/>
      <c r="W230" s="125"/>
      <c r="X230" s="31">
        <f t="shared" si="31"/>
        <v>0</v>
      </c>
      <c r="Y230" s="509"/>
      <c r="Z230" s="1054" t="str">
        <f t="shared" si="29"/>
        <v>Wall of Waters of the Undine</v>
      </c>
      <c r="AA230" s="1072" t="str">
        <f t="shared" si="30"/>
        <v>Common</v>
      </c>
    </row>
    <row r="231" spans="1:66" hidden="1" outlineLevel="1">
      <c r="A231" s="31" t="s">
        <v>1052</v>
      </c>
      <c r="B231" s="67">
        <v>7</v>
      </c>
      <c r="C231" s="67">
        <f ca="1">magestuff!$U$196</f>
        <v>7</v>
      </c>
      <c r="D231" s="67">
        <f t="shared" si="26"/>
        <v>0</v>
      </c>
      <c r="E231" s="77" t="e">
        <f ca="1">IF(F231="y",HLOOKUP((IF(C231&lt;1,1,C231)),Magick!$C$20:$L$21,2),NA())</f>
        <v>#N/A</v>
      </c>
      <c r="F231" s="67" t="str">
        <f ca="1">IF(C231&lt;=Magick!$D$3,"Y","N")</f>
        <v>N</v>
      </c>
      <c r="G231" s="148" t="s">
        <v>128</v>
      </c>
      <c r="H231" s="151"/>
      <c r="I231" s="77" t="e">
        <f>IF(H231&gt;0,(HLOOKUP(C231,Magick!$C$20:$L$21,2)-HLOOKUP(H231,Magick!$C$20:$L$21,2)),NA())</f>
        <v>#N/A</v>
      </c>
      <c r="J231" s="77"/>
      <c r="K231" s="67">
        <v>13</v>
      </c>
      <c r="L231" s="72" t="str">
        <f>IF(H231&gt;0,Magick!$AR$20-('Master Spell List'!H196*0.1),"N/A")</f>
        <v>N/A</v>
      </c>
      <c r="M231" s="72">
        <f ca="1">Magick!$H$69</f>
        <v>0.08</v>
      </c>
      <c r="N231" s="72">
        <f ca="1">Magick!$K$69</f>
        <v>0.13</v>
      </c>
      <c r="O231" s="72">
        <f ca="1">Magick!$L$69</f>
        <v>0.13</v>
      </c>
      <c r="P231" s="72">
        <f ca="1">Magick!$M$69</f>
        <v>0.13</v>
      </c>
      <c r="Q231" s="67" t="s">
        <v>3723</v>
      </c>
      <c r="R231" s="67">
        <f ca="1">IF(Q231="Ritual","N/A",IF(Q231="I.E.","N/A",IF(Q231="WOG",VLOOKUP(Magick!$I$69*100,magestuff!$B$134:$F$138,2),IF(Q231="Cantrip",VLOOKUP(Magick!$I$69*100,magestuff!$B$134:$F$138,3),IF(Q231="Hex",VLOOKUP(Magick!$I$69*100,magestuff!$B$134:$F$138,4),VLOOKUP(Magick!$I$69*100,magestuff!$B$134:$F$138,5))))))</f>
        <v>29</v>
      </c>
      <c r="U231" s="67" t="str">
        <f t="shared" si="27"/>
        <v xml:space="preserve"> </v>
      </c>
      <c r="V231" s="515"/>
      <c r="W231" s="125"/>
      <c r="X231" s="31">
        <f t="shared" si="31"/>
        <v>0</v>
      </c>
      <c r="Y231" s="509"/>
      <c r="Z231" s="1054" t="str">
        <f t="shared" si="29"/>
        <v>Water Bomb</v>
      </c>
      <c r="AA231" s="1072" t="str">
        <f t="shared" si="30"/>
        <v>Common</v>
      </c>
      <c r="AT231" s="83" t="s">
        <v>2631</v>
      </c>
      <c r="AU231" s="67">
        <v>5</v>
      </c>
      <c r="AV231" s="67">
        <f ca="1">magestuff!$O$209</f>
        <v>5</v>
      </c>
      <c r="AW231" s="77" t="e">
        <f>IF(#REF!="y",HLOOKUP((IF(#REF!&lt;1,1,#REF!)),Magick!$C$20:$L$21,2),NA())</f>
        <v>#REF!</v>
      </c>
      <c r="AX231" s="67" t="e">
        <f>IF(#REF!&lt;=Magick!$D$3,"Y","N")</f>
        <v>#REF!</v>
      </c>
      <c r="AY231" s="148" t="s">
        <v>1616</v>
      </c>
      <c r="AZ231" s="151"/>
      <c r="BA231" s="77" t="e">
        <f>IF(#REF!&gt;0,(HLOOKUP(#REF!,Magick!$C$20:$L$21,2)-HLOOKUP(#REF!,Magick!$C$20:$L$21,2)),NA())</f>
        <v>#REF!</v>
      </c>
      <c r="BB231" s="77"/>
      <c r="BC231" s="67">
        <v>6</v>
      </c>
      <c r="BD231" s="72" t="e">
        <f>IF(#REF!&gt;0,Magick!$AR$29-('Master Spell List'!H913*0.1),"N/A")</f>
        <v>#REF!</v>
      </c>
      <c r="BE231" s="72">
        <f ca="1">Magick!$H$81</f>
        <v>0.08</v>
      </c>
      <c r="BF231" s="72">
        <f ca="1">Magick!$K$81</f>
        <v>0.13</v>
      </c>
      <c r="BG231" s="72">
        <f ca="1">Magick!$L$81</f>
        <v>0.13</v>
      </c>
      <c r="BH231" s="72">
        <f ca="1">Magick!$M$81</f>
        <v>0.13</v>
      </c>
      <c r="BI231" s="67" t="s">
        <v>4602</v>
      </c>
      <c r="BJ231" s="67" t="e">
        <f>IF(#REF!="Ritual","N/A",IF(#REF!="I.E.","N/A",IF(#REF!="Word",VLOOKUP(Magick!$I$81*100,magestuff!$B$134:$F$138,2),IF(#REF!="Cantrip",VLOOKUP(Magick!$I$81*100,magestuff!$B$134:$F$138,3),IF(#REF!="Hex",VLOOKUP(Magick!$I$81*100,magestuff!$B$134:$F$138,4),VLOOKUP(Magick!$I$81*100,magestuff!$B$134:$F$138,5))))))</f>
        <v>#REF!</v>
      </c>
      <c r="BK231" s="67" t="s">
        <v>1984</v>
      </c>
      <c r="BL231" s="294" t="str">
        <f>CONCATENATE(IF(Magick!$C$3&gt;0,Magick!$C$3*3," ")," min.")</f>
        <v xml:space="preserve">  min.</v>
      </c>
      <c r="BM231" s="125"/>
      <c r="BN231" s="31">
        <f>BM231*3</f>
        <v>0</v>
      </c>
    </row>
    <row r="232" spans="1:66" hidden="1" outlineLevel="1">
      <c r="A232" s="83" t="s">
        <v>2081</v>
      </c>
      <c r="B232" s="67">
        <v>8</v>
      </c>
      <c r="C232" s="67">
        <f ca="1">magestuff!$X$196</f>
        <v>8</v>
      </c>
      <c r="D232" s="67">
        <f t="shared" si="26"/>
        <v>0</v>
      </c>
      <c r="E232" s="77" t="e">
        <f ca="1">IF(F232="y",HLOOKUP((IF(C232&lt;1,1,C232)),Magick!$C$20:$L$21,2),NA())</f>
        <v>#N/A</v>
      </c>
      <c r="F232" s="67" t="str">
        <f ca="1">IF(C232&lt;=Magick!$D$3,"Y","N")</f>
        <v>N</v>
      </c>
      <c r="G232" s="148" t="s">
        <v>1617</v>
      </c>
      <c r="H232" s="151"/>
      <c r="I232" s="77" t="e">
        <f>IF(H232&gt;0,(HLOOKUP(C232,Magick!$C$20:$L$21,2)-HLOOKUP(H232,Magick!$C$20:$L$21,2)),NA())</f>
        <v>#N/A</v>
      </c>
      <c r="J232" s="77"/>
      <c r="K232" s="67">
        <v>16</v>
      </c>
      <c r="L232" s="72" t="str">
        <f>IF(H232&gt;0,Magick!$AR$20-('Master Spell List'!H252*0.1),"N/A")</f>
        <v>N/A</v>
      </c>
      <c r="M232" s="72">
        <f ca="1">Magick!$H$69</f>
        <v>0.08</v>
      </c>
      <c r="N232" s="72">
        <f ca="1">Magick!$K$69</f>
        <v>0.13</v>
      </c>
      <c r="O232" s="72">
        <f ca="1">Magick!$L$69</f>
        <v>0.13</v>
      </c>
      <c r="P232" s="72">
        <f ca="1">Magick!$M$69</f>
        <v>0.13</v>
      </c>
      <c r="Q232" s="67" t="s">
        <v>3723</v>
      </c>
      <c r="R232" s="67">
        <f ca="1">IF(Q232="Ritual","N/A",IF(Q232="I.E.","N/A",IF(Q232="WOG",VLOOKUP(Magick!$I$69*100,magestuff!$B$134:$F$138,2),IF(Q232="Cantrip",VLOOKUP(Magick!$I$69*100,magestuff!$B$134:$F$138,3),IF(Q232="Hex",VLOOKUP(Magick!$I$69*100,magestuff!$B$134:$F$138,4),VLOOKUP(Magick!$I$69*100,magestuff!$B$134:$F$138,5))))))</f>
        <v>29</v>
      </c>
      <c r="S232" s="67" t="s">
        <v>1984</v>
      </c>
      <c r="U232" s="67" t="str">
        <f t="shared" si="27"/>
        <v xml:space="preserve"> </v>
      </c>
      <c r="V232" s="515"/>
      <c r="W232" s="125"/>
      <c r="X232" s="31">
        <f t="shared" si="31"/>
        <v>0</v>
      </c>
      <c r="Y232" s="509"/>
      <c r="Z232" s="1054" t="str">
        <f t="shared" si="29"/>
        <v>Greater Touch of Ice (The Ice Queen's Revenge)</v>
      </c>
      <c r="AA232" s="1072" t="str">
        <f t="shared" si="30"/>
        <v>Common</v>
      </c>
    </row>
    <row r="233" spans="1:66" hidden="1" outlineLevel="1">
      <c r="A233" s="83" t="s">
        <v>2562</v>
      </c>
      <c r="B233" s="67">
        <v>8</v>
      </c>
      <c r="C233" s="67">
        <f ca="1">magestuff!$X$196</f>
        <v>8</v>
      </c>
      <c r="D233" s="67">
        <f t="shared" si="26"/>
        <v>0</v>
      </c>
      <c r="E233" s="77" t="e">
        <f ca="1">IF(F233="y",HLOOKUP((IF(C233&lt;1,1,C233)),Magick!$C$20:$L$21,2),NA())</f>
        <v>#N/A</v>
      </c>
      <c r="F233" s="67" t="str">
        <f ca="1">IF(C233&lt;=Magick!$D$3,"Y","N")</f>
        <v>N</v>
      </c>
      <c r="G233" s="148" t="s">
        <v>859</v>
      </c>
      <c r="H233" s="151"/>
      <c r="I233" s="77" t="e">
        <f>IF(H233&gt;0,(HLOOKUP(C233,Magick!$C$20:$L$21,2)-HLOOKUP(H233,Magick!$C$20:$L$21,2)),NA())</f>
        <v>#N/A</v>
      </c>
      <c r="J233" s="77"/>
      <c r="K233" s="67" t="s">
        <v>2225</v>
      </c>
      <c r="L233" s="72" t="str">
        <f>IF(H233&gt;0,Magick!$AR$20-('Master Spell List'!H242*0.1),"N/A")</f>
        <v>N/A</v>
      </c>
      <c r="M233" s="72">
        <f ca="1">Magick!$H$69</f>
        <v>0.08</v>
      </c>
      <c r="N233" s="72">
        <f ca="1">Magick!$K$69</f>
        <v>0.13</v>
      </c>
      <c r="O233" s="72">
        <f ca="1">Magick!$L$69</f>
        <v>0.13</v>
      </c>
      <c r="P233" s="72">
        <f ca="1">Magick!$M$69</f>
        <v>0.13</v>
      </c>
      <c r="Q233" s="67" t="s">
        <v>2225</v>
      </c>
      <c r="R233" s="67">
        <f ca="1">IF(Q233="Ritual","N/A",IF(Q233="I.E.","N/A",IF(Q233="WOG",VLOOKUP(Magick!$I$69*100,magestuff!$B$134:$F$138,2),IF(Q233="Cantrip",VLOOKUP(Magick!$I$69*100,magestuff!$B$134:$F$138,3),IF(Q233="Hex",VLOOKUP(Magick!$I$69*100,magestuff!$B$134:$F$138,4),VLOOKUP(Magick!$I$69*100,magestuff!$B$134:$F$138,5))))))</f>
        <v>29</v>
      </c>
      <c r="U233" s="67" t="str">
        <f t="shared" si="27"/>
        <v xml:space="preserve"> </v>
      </c>
      <c r="V233" s="515"/>
      <c r="W233" s="125"/>
      <c r="X233" s="31">
        <f t="shared" si="31"/>
        <v>0</v>
      </c>
      <c r="Y233" s="509"/>
      <c r="Z233" s="1054" t="str">
        <f t="shared" si="29"/>
        <v>Greater Wave</v>
      </c>
      <c r="AA233" s="1072" t="str">
        <f t="shared" si="30"/>
        <v>Common</v>
      </c>
    </row>
    <row r="234" spans="1:66" hidden="1" outlineLevel="1">
      <c r="A234" s="83" t="s">
        <v>4528</v>
      </c>
      <c r="B234" s="67">
        <v>8</v>
      </c>
      <c r="C234" s="67">
        <f ca="1">magestuff!$X$196</f>
        <v>8</v>
      </c>
      <c r="D234" s="67">
        <f t="shared" si="26"/>
        <v>0</v>
      </c>
      <c r="E234" s="77" t="e">
        <f ca="1">IF(F234="y",HLOOKUP((IF(C234&lt;1,1,C234)),Magick!$C$20:$L$21,2),NA())</f>
        <v>#N/A</v>
      </c>
      <c r="F234" s="67" t="str">
        <f ca="1">IF(C234&lt;=Magick!$D$3,"Y","N")</f>
        <v>N</v>
      </c>
      <c r="G234" s="148" t="s">
        <v>859</v>
      </c>
      <c r="H234" s="151"/>
      <c r="I234" s="77" t="e">
        <f>IF(H234&gt;0,(HLOOKUP(C234,Magick!$C$20:$L$21,2)-HLOOKUP(H234,Magick!$C$20:$L$21,2)),NA())</f>
        <v>#N/A</v>
      </c>
      <c r="J234" s="77"/>
      <c r="K234" s="67" t="s">
        <v>2225</v>
      </c>
      <c r="L234" s="72" t="str">
        <f>IF(H234&gt;0,Magick!$AR$20-('Master Spell List'!H238*0.1),"N/A")</f>
        <v>N/A</v>
      </c>
      <c r="M234" s="72">
        <f ca="1">Magick!$H$69</f>
        <v>0.08</v>
      </c>
      <c r="N234" s="72">
        <f ca="1">Magick!$K$69</f>
        <v>0.13</v>
      </c>
      <c r="O234" s="72">
        <f ca="1">Magick!$L$69</f>
        <v>0.13</v>
      </c>
      <c r="P234" s="72">
        <f ca="1">Magick!$M$69</f>
        <v>0.13</v>
      </c>
      <c r="Q234" s="67" t="s">
        <v>2225</v>
      </c>
      <c r="R234" s="67">
        <f ca="1">IF(Q234="Ritual","N/A",IF(Q234="I.E.","N/A",IF(Q234="WOG",VLOOKUP(Magick!$I$69*100,magestuff!$B$134:$F$138,2),IF(Q234="Cantrip",VLOOKUP(Magick!$I$69*100,magestuff!$B$134:$F$138,3),IF(Q234="Hex",VLOOKUP(Magick!$I$69*100,magestuff!$B$134:$F$138,4),VLOOKUP(Magick!$I$69*100,magestuff!$B$134:$F$138,5))))))</f>
        <v>29</v>
      </c>
      <c r="U234" s="67" t="str">
        <f t="shared" si="27"/>
        <v xml:space="preserve"> </v>
      </c>
      <c r="V234" s="515"/>
      <c r="W234" s="125"/>
      <c r="X234" s="31">
        <f t="shared" si="31"/>
        <v>0</v>
      </c>
      <c r="Y234" s="509"/>
      <c r="Z234" s="1054" t="str">
        <f t="shared" si="29"/>
        <v>Ice Bomb of the Undine</v>
      </c>
      <c r="AA234" s="1072" t="str">
        <f t="shared" si="30"/>
        <v>Common</v>
      </c>
    </row>
    <row r="235" spans="1:66" hidden="1" outlineLevel="1">
      <c r="A235" s="83" t="s">
        <v>4696</v>
      </c>
      <c r="B235" s="67">
        <v>8</v>
      </c>
      <c r="C235" s="67">
        <f ca="1">magestuff!$X$196</f>
        <v>8</v>
      </c>
      <c r="D235" s="67">
        <f t="shared" si="26"/>
        <v>0</v>
      </c>
      <c r="E235" s="77" t="e">
        <f ca="1">IF(F235="y",HLOOKUP((IF(C235&lt;1,1,C235)),Magick!$C$20:$L$21,2),NA())</f>
        <v>#N/A</v>
      </c>
      <c r="F235" s="67" t="str">
        <f ca="1">IF(C235&lt;=Magick!$D$3,"Y","N")</f>
        <v>N</v>
      </c>
      <c r="G235" s="148" t="s">
        <v>859</v>
      </c>
      <c r="H235" s="151"/>
      <c r="I235" s="77" t="e">
        <f>IF(H235&gt;0,(HLOOKUP(C235,Magick!$C$20:$L$21,2)-HLOOKUP(H235,Magick!$C$20:$L$21,2)),NA())</f>
        <v>#N/A</v>
      </c>
      <c r="J235" s="77"/>
      <c r="K235" s="67" t="s">
        <v>2225</v>
      </c>
      <c r="L235" s="72" t="str">
        <f>IF(H235&gt;0,Magick!$AR$20-('Master Spell List'!H220*0.1),"N/A")</f>
        <v>N/A</v>
      </c>
      <c r="M235" s="72">
        <f ca="1">Magick!$H$69</f>
        <v>0.08</v>
      </c>
      <c r="N235" s="72">
        <f ca="1">Magick!$K$69</f>
        <v>0.13</v>
      </c>
      <c r="O235" s="72">
        <f ca="1">Magick!$L$69</f>
        <v>0.13</v>
      </c>
      <c r="P235" s="72">
        <f ca="1">Magick!$M$69</f>
        <v>0.13</v>
      </c>
      <c r="Q235" s="67" t="s">
        <v>2225</v>
      </c>
      <c r="R235" s="67">
        <f ca="1">IF(Q235="Ritual","N/A",IF(Q235="I.E.","N/A",IF(Q235="WOG",VLOOKUP(Magick!$I$69*100,magestuff!$B$134:$F$138,2),IF(Q235="Cantrip",VLOOKUP(Magick!$I$69*100,magestuff!$B$134:$F$138,3),IF(Q235="Hex",VLOOKUP(Magick!$I$69*100,magestuff!$B$134:$F$138,4),VLOOKUP(Magick!$I$69*100,magestuff!$B$134:$F$138,5))))))</f>
        <v>29</v>
      </c>
      <c r="U235" s="67" t="str">
        <f t="shared" si="27"/>
        <v xml:space="preserve"> </v>
      </c>
      <c r="V235" s="515"/>
      <c r="W235" s="125"/>
      <c r="X235" s="31">
        <f t="shared" si="31"/>
        <v>0</v>
      </c>
      <c r="Y235" s="509"/>
      <c r="Z235" s="1054" t="str">
        <f t="shared" si="29"/>
        <v>Jet of Magick Water</v>
      </c>
      <c r="AA235" s="1072" t="str">
        <f t="shared" si="30"/>
        <v>Common</v>
      </c>
    </row>
    <row r="236" spans="1:66" hidden="1" outlineLevel="1">
      <c r="A236" s="83" t="s">
        <v>4701</v>
      </c>
      <c r="B236" s="67">
        <v>9</v>
      </c>
      <c r="C236" s="67">
        <f ca="1">magestuff!$AA$196</f>
        <v>9</v>
      </c>
      <c r="D236" s="67">
        <f t="shared" si="26"/>
        <v>0</v>
      </c>
      <c r="E236" s="77" t="e">
        <f ca="1">IF(F236="y",HLOOKUP((IF(C236&lt;1,1,C236)),Magick!$C$20:$L$21,2),NA())</f>
        <v>#N/A</v>
      </c>
      <c r="F236" s="67" t="str">
        <f ca="1">IF(C236&lt;=Magick!$D$3,"Y","N")</f>
        <v>N</v>
      </c>
      <c r="G236" s="148" t="s">
        <v>859</v>
      </c>
      <c r="H236" s="151"/>
      <c r="I236" s="77" t="e">
        <f>IF(H236&gt;0,(HLOOKUP(C236,Magick!$C$20:$L$21,2)-HLOOKUP(H236,Magick!$C$20:$L$21,2)),NA())</f>
        <v>#N/A</v>
      </c>
      <c r="J236" s="77"/>
      <c r="K236" s="67" t="s">
        <v>2225</v>
      </c>
      <c r="L236" s="72" t="str">
        <f>IF(H236&gt;0,Magick!$AR$20-('Master Spell List'!H221*0.1),"N/A")</f>
        <v>N/A</v>
      </c>
      <c r="M236" s="72">
        <f ca="1">Magick!$H$69</f>
        <v>0.08</v>
      </c>
      <c r="N236" s="72">
        <f ca="1">Magick!$K$69</f>
        <v>0.13</v>
      </c>
      <c r="O236" s="72">
        <f ca="1">Magick!$L$69</f>
        <v>0.13</v>
      </c>
      <c r="P236" s="72">
        <f ca="1">Magick!$M$69</f>
        <v>0.13</v>
      </c>
      <c r="Q236" s="67" t="s">
        <v>2225</v>
      </c>
      <c r="R236" s="67">
        <f ca="1">IF(Q236="Ritual","N/A",IF(Q236="I.E.","N/A",IF(Q236="WOG",VLOOKUP(Magick!$I$69*100,magestuff!$B$134:$F$138,2),IF(Q236="Cantrip",VLOOKUP(Magick!$I$69*100,magestuff!$B$134:$F$138,3),IF(Q236="Hex",VLOOKUP(Magick!$I$69*100,magestuff!$B$134:$F$138,4),VLOOKUP(Magick!$I$69*100,magestuff!$B$134:$F$138,5))))))</f>
        <v>29</v>
      </c>
      <c r="U236" s="67" t="str">
        <f t="shared" si="27"/>
        <v xml:space="preserve"> </v>
      </c>
      <c r="V236" s="515"/>
      <c r="W236" s="125"/>
      <c r="X236" s="31">
        <f t="shared" si="31"/>
        <v>0</v>
      </c>
      <c r="Y236" s="509"/>
      <c r="Z236" s="1054" t="str">
        <f t="shared" si="29"/>
        <v>Jet of the Undine</v>
      </c>
      <c r="AA236" s="1072" t="str">
        <f t="shared" si="30"/>
        <v>Common</v>
      </c>
    </row>
    <row r="237" spans="1:66" hidden="1" outlineLevel="1">
      <c r="A237" s="83" t="s">
        <v>4532</v>
      </c>
      <c r="B237" s="67">
        <v>9</v>
      </c>
      <c r="C237" s="67">
        <f ca="1">magestuff!$AA$196</f>
        <v>9</v>
      </c>
      <c r="D237" s="67">
        <f t="shared" si="26"/>
        <v>0</v>
      </c>
      <c r="E237" s="77" t="e">
        <f ca="1">IF(F237="y",HLOOKUP((IF(C237&lt;1,1,C237)),Magick!$C$20:$L$21,2),NA())</f>
        <v>#N/A</v>
      </c>
      <c r="F237" s="67" t="str">
        <f ca="1">IF(C237&lt;=Magick!$D$3,"Y","N")</f>
        <v>N</v>
      </c>
      <c r="G237" s="148" t="s">
        <v>859</v>
      </c>
      <c r="H237" s="151"/>
      <c r="I237" s="77" t="e">
        <f>IF(H237&gt;0,(HLOOKUP(C237,Magick!$C$20:$L$21,2)-HLOOKUP(H237,Magick!$C$20:$L$21,2)),NA())</f>
        <v>#N/A</v>
      </c>
      <c r="J237" s="77"/>
      <c r="K237" s="67" t="s">
        <v>344</v>
      </c>
      <c r="L237" s="72" t="str">
        <f>IF(H237&gt;0,Magick!$AR$20-('Master Spell List'!H242*0.1),"N/A")</f>
        <v>N/A</v>
      </c>
      <c r="M237" s="72">
        <f ca="1">Magick!$H$69</f>
        <v>0.08</v>
      </c>
      <c r="N237" s="72">
        <f ca="1">Magick!$K$69</f>
        <v>0.13</v>
      </c>
      <c r="O237" s="72">
        <f ca="1">Magick!$L$69</f>
        <v>0.13</v>
      </c>
      <c r="P237" s="72">
        <f ca="1">Magick!$M$69</f>
        <v>0.13</v>
      </c>
      <c r="Q237" s="67" t="s">
        <v>3723</v>
      </c>
      <c r="R237" s="67">
        <f ca="1">IF(Q237="Ritual","N/A",IF(Q237="I.E.","N/A",IF(Q237="WOG",VLOOKUP(Magick!$I$69*100,magestuff!$B$134:$F$138,2),IF(Q237="Cantrip",VLOOKUP(Magick!$I$69*100,magestuff!$B$134:$F$138,3),IF(Q237="Hex",VLOOKUP(Magick!$I$69*100,magestuff!$B$134:$F$138,4),VLOOKUP(Magick!$I$69*100,magestuff!$B$134:$F$138,5))))))</f>
        <v>29</v>
      </c>
      <c r="S237" s="67" t="str">
        <f>CONCATENATE(IF(Magick!$C$3&gt;0,Magick!$C$3*50," ")," ft.")</f>
        <v xml:space="preserve">  ft.</v>
      </c>
      <c r="T237" s="67" t="s">
        <v>1306</v>
      </c>
      <c r="U237" s="67" t="str">
        <f t="shared" si="27"/>
        <v xml:space="preserve"> </v>
      </c>
      <c r="V237" s="515"/>
      <c r="W237" s="125"/>
      <c r="X237" s="31">
        <f t="shared" si="31"/>
        <v>0</v>
      </c>
      <c r="Y237" s="509"/>
      <c r="Z237" s="1054" t="str">
        <f t="shared" si="29"/>
        <v>Shards of the Undine</v>
      </c>
      <c r="AA237" s="1072" t="str">
        <f t="shared" si="30"/>
        <v>Common</v>
      </c>
    </row>
    <row r="238" spans="1:66" hidden="1" outlineLevel="1">
      <c r="A238" s="83" t="s">
        <v>4698</v>
      </c>
      <c r="B238" s="67">
        <v>9</v>
      </c>
      <c r="C238" s="67">
        <f ca="1">magestuff!$AA$196</f>
        <v>9</v>
      </c>
      <c r="D238" s="67">
        <f t="shared" si="26"/>
        <v>0</v>
      </c>
      <c r="E238" s="77" t="e">
        <f ca="1">IF(F238="y",HLOOKUP((IF(C238&lt;1,1,C238)),Magick!$C$20:$L$21,2),NA())</f>
        <v>#N/A</v>
      </c>
      <c r="F238" s="67" t="str">
        <f ca="1">IF(C238&lt;=Magick!$D$3,"Y","N")</f>
        <v>N</v>
      </c>
      <c r="G238" s="148" t="s">
        <v>859</v>
      </c>
      <c r="H238" s="151"/>
      <c r="I238" s="77" t="e">
        <f>IF(H238&gt;0,(HLOOKUP(C238,Magick!$C$20:$L$21,2)-HLOOKUP(H238,Magick!$C$20:$L$21,2)),NA())</f>
        <v>#N/A</v>
      </c>
      <c r="J238" s="77"/>
      <c r="K238" s="67" t="s">
        <v>2225</v>
      </c>
      <c r="L238" s="72" t="str">
        <f>IF(H238&gt;0,Magick!$AR$20-('Master Spell List'!H226*0.1),"N/A")</f>
        <v>N/A</v>
      </c>
      <c r="M238" s="72">
        <f ca="1">Magick!$H$69</f>
        <v>0.08</v>
      </c>
      <c r="N238" s="72">
        <f ca="1">Magick!$K$69</f>
        <v>0.13</v>
      </c>
      <c r="O238" s="72">
        <f ca="1">Magick!$L$69</f>
        <v>0.13</v>
      </c>
      <c r="P238" s="72">
        <f ca="1">Magick!$M$69</f>
        <v>0.13</v>
      </c>
      <c r="Q238" s="67" t="s">
        <v>2225</v>
      </c>
      <c r="R238" s="67">
        <f ca="1">IF(Q238="Ritual","N/A",IF(Q238="I.E.","N/A",IF(Q238="WOG",VLOOKUP(Magick!$I$69*100,magestuff!$B$134:$F$138,2),IF(Q238="Cantrip",VLOOKUP(Magick!$I$69*100,magestuff!$B$134:$F$138,3),IF(Q238="Hex",VLOOKUP(Magick!$I$69*100,magestuff!$B$134:$F$138,4),VLOOKUP(Magick!$I$69*100,magestuff!$B$134:$F$138,5))))))</f>
        <v>29</v>
      </c>
      <c r="U238" s="67" t="str">
        <f t="shared" si="27"/>
        <v xml:space="preserve"> </v>
      </c>
      <c r="V238" s="515"/>
      <c r="W238" s="125"/>
      <c r="X238" s="31">
        <f t="shared" si="31"/>
        <v>0</v>
      </c>
      <c r="Y238" s="509"/>
      <c r="Z238" s="1054" t="str">
        <f t="shared" si="29"/>
        <v>Water Bomb of Magick Water</v>
      </c>
      <c r="AA238" s="1072" t="str">
        <f t="shared" si="30"/>
        <v>Common</v>
      </c>
    </row>
    <row r="239" spans="1:66" hidden="1" outlineLevel="1">
      <c r="A239" s="31" t="s">
        <v>1053</v>
      </c>
      <c r="B239" s="67">
        <v>9</v>
      </c>
      <c r="C239" s="67">
        <f ca="1">magestuff!$AA$196</f>
        <v>9</v>
      </c>
      <c r="D239" s="67">
        <f t="shared" si="26"/>
        <v>0</v>
      </c>
      <c r="E239" s="77" t="e">
        <f ca="1">IF(F239="y",HLOOKUP((IF(C239&lt;1,1,C239)),Magick!$C$20:$L$21,2),NA())</f>
        <v>#N/A</v>
      </c>
      <c r="F239" s="67" t="str">
        <f ca="1">IF(C239&lt;=Magick!$D$3,"Y","N")</f>
        <v>N</v>
      </c>
      <c r="G239" s="148" t="s">
        <v>128</v>
      </c>
      <c r="H239" s="151"/>
      <c r="I239" s="77" t="e">
        <f>IF(H239&gt;0,(HLOOKUP(C239,Magick!$C$20:$L$21,2)-HLOOKUP(H239,Magick!$C$20:$L$21,2)),NA())</f>
        <v>#N/A</v>
      </c>
      <c r="J239" s="77"/>
      <c r="K239" s="67">
        <v>11</v>
      </c>
      <c r="L239" s="72" t="str">
        <f>IF(H239&gt;0,Magick!$AR$20-('Master Spell List'!H197*0.1),"N/A")</f>
        <v>N/A</v>
      </c>
      <c r="M239" s="72">
        <f ca="1">Magick!$H$69</f>
        <v>0.08</v>
      </c>
      <c r="N239" s="72">
        <f ca="1">Magick!$K$69</f>
        <v>0.13</v>
      </c>
      <c r="O239" s="72">
        <f ca="1">Magick!$L$69</f>
        <v>0.13</v>
      </c>
      <c r="P239" s="72">
        <f ca="1">Magick!$M$69</f>
        <v>0.13</v>
      </c>
      <c r="Q239" s="67" t="s">
        <v>3723</v>
      </c>
      <c r="R239" s="67">
        <f ca="1">IF(Q239="Ritual","N/A",IF(Q239="I.E.","N/A",IF(Q239="WOG",VLOOKUP(Magick!$I$69*100,magestuff!$B$134:$F$138,2),IF(Q239="Cantrip",VLOOKUP(Magick!$I$69*100,magestuff!$B$134:$F$138,3),IF(Q239="Hex",VLOOKUP(Magick!$I$69*100,magestuff!$B$134:$F$138,4),VLOOKUP(Magick!$I$69*100,magestuff!$B$134:$F$138,5))))))</f>
        <v>29</v>
      </c>
      <c r="U239" s="67" t="str">
        <f t="shared" si="27"/>
        <v xml:space="preserve"> </v>
      </c>
      <c r="V239" s="515"/>
      <c r="W239" s="125"/>
      <c r="X239" s="31">
        <f t="shared" si="31"/>
        <v>0</v>
      </c>
      <c r="Y239" s="509"/>
      <c r="Z239" s="1054" t="str">
        <f t="shared" si="29"/>
        <v>Water Ram</v>
      </c>
      <c r="AA239" s="1072" t="str">
        <f t="shared" si="30"/>
        <v>Common</v>
      </c>
    </row>
    <row r="240" spans="1:66" hidden="1" outlineLevel="1">
      <c r="A240" s="83" t="s">
        <v>4867</v>
      </c>
      <c r="B240" s="67">
        <v>10</v>
      </c>
      <c r="C240" s="67">
        <f ca="1">magestuff!$AD$196</f>
        <v>10</v>
      </c>
      <c r="D240" s="67">
        <f t="shared" si="26"/>
        <v>0</v>
      </c>
      <c r="E240" s="77" t="e">
        <f ca="1">IF(F240="y",HLOOKUP((IF(C240&lt;1,1,C240)),Magick!$C$20:$L$21,2),NA())</f>
        <v>#N/A</v>
      </c>
      <c r="F240" s="67" t="str">
        <f ca="1">IF(C240&lt;=Magick!$D$3,"Y","N")</f>
        <v>N</v>
      </c>
      <c r="G240" s="148" t="s">
        <v>859</v>
      </c>
      <c r="H240" s="151"/>
      <c r="I240" s="77" t="e">
        <f>IF(H240&gt;0,(HLOOKUP(C240,Magick!$C$20:$L$21,2)-HLOOKUP(H240,Magick!$C$20:$L$21,2)),NA())</f>
        <v>#N/A</v>
      </c>
      <c r="J240" s="77"/>
      <c r="K240" s="67" t="s">
        <v>2225</v>
      </c>
      <c r="L240" s="72" t="str">
        <f>IF(H240&gt;0,Magick!$AR$20-('Master Spell List'!H215*0.1),"N/A")</f>
        <v>N/A</v>
      </c>
      <c r="M240" s="72">
        <f ca="1">Magick!$H$69</f>
        <v>0.08</v>
      </c>
      <c r="N240" s="72">
        <f ca="1">Magick!$K$69</f>
        <v>0.13</v>
      </c>
      <c r="O240" s="72">
        <f ca="1">Magick!$L$69</f>
        <v>0.13</v>
      </c>
      <c r="P240" s="72">
        <f ca="1">Magick!$M$69</f>
        <v>0.13</v>
      </c>
      <c r="Q240" s="67" t="s">
        <v>2225</v>
      </c>
      <c r="R240" s="67">
        <f ca="1">IF(Q240="Ritual","N/A",IF(Q240="I.E.","N/A",IF(Q240="WOG",VLOOKUP(Magick!$I$69*100,magestuff!$B$134:$F$138,2),IF(Q240="Cantrip",VLOOKUP(Magick!$I$69*100,magestuff!$B$134:$F$138,3),IF(Q240="Hex",VLOOKUP(Magick!$I$69*100,magestuff!$B$134:$F$138,4),VLOOKUP(Magick!$I$69*100,magestuff!$B$134:$F$138,5))))))</f>
        <v>29</v>
      </c>
      <c r="U240" s="67" t="str">
        <f t="shared" si="27"/>
        <v xml:space="preserve"> </v>
      </c>
      <c r="V240" s="515"/>
      <c r="W240" s="125"/>
      <c r="X240" s="31">
        <f t="shared" si="31"/>
        <v>0</v>
      </c>
      <c r="Y240" s="509"/>
      <c r="Z240" s="1054" t="str">
        <f t="shared" si="29"/>
        <v>Command Waters of the Sea Drake</v>
      </c>
      <c r="AA240" s="1072" t="str">
        <f t="shared" si="30"/>
        <v>Common</v>
      </c>
    </row>
    <row r="241" spans="1:27" hidden="1" outlineLevel="1">
      <c r="A241" s="83" t="s">
        <v>4868</v>
      </c>
      <c r="B241" s="67">
        <v>10</v>
      </c>
      <c r="C241" s="67">
        <f ca="1">magestuff!$AD$196</f>
        <v>10</v>
      </c>
      <c r="D241" s="67">
        <f t="shared" si="26"/>
        <v>0</v>
      </c>
      <c r="E241" s="77" t="e">
        <f ca="1">IF(F241="y",HLOOKUP((IF(C241&lt;1,1,C241)),Magick!$C$20:$L$21,2),NA())</f>
        <v>#N/A</v>
      </c>
      <c r="F241" s="67" t="str">
        <f ca="1">IF(C241&lt;=Magick!$D$3,"Y","N")</f>
        <v>N</v>
      </c>
      <c r="G241" s="148" t="s">
        <v>859</v>
      </c>
      <c r="H241" s="151"/>
      <c r="I241" s="77" t="e">
        <f>IF(H241&gt;0,(HLOOKUP(C241,Magick!$C$20:$L$21,2)-HLOOKUP(H241,Magick!$C$20:$L$21,2)),NA())</f>
        <v>#N/A</v>
      </c>
      <c r="J241" s="77"/>
      <c r="K241" s="67" t="s">
        <v>2225</v>
      </c>
      <c r="L241" s="72" t="str">
        <f>IF(H241&gt;0,Magick!$AR$20-('Master Spell List'!H214*0.1),"N/A")</f>
        <v>N/A</v>
      </c>
      <c r="M241" s="72">
        <f ca="1">Magick!$H$69</f>
        <v>0.08</v>
      </c>
      <c r="N241" s="72">
        <f ca="1">Magick!$K$69</f>
        <v>0.13</v>
      </c>
      <c r="O241" s="72">
        <f ca="1">Magick!$L$69</f>
        <v>0.13</v>
      </c>
      <c r="P241" s="72">
        <f ca="1">Magick!$M$69</f>
        <v>0.13</v>
      </c>
      <c r="Q241" s="67" t="s">
        <v>2225</v>
      </c>
      <c r="R241" s="67">
        <f ca="1">IF(Q241="Ritual","N/A",IF(Q241="I.E.","N/A",IF(Q241="WOG",VLOOKUP(Magick!$I$69*100,magestuff!$B$134:$F$138,2),IF(Q241="Cantrip",VLOOKUP(Magick!$I$69*100,magestuff!$B$134:$F$138,3),IF(Q241="Hex",VLOOKUP(Magick!$I$69*100,magestuff!$B$134:$F$138,4),VLOOKUP(Magick!$I$69*100,magestuff!$B$134:$F$138,5))))))</f>
        <v>29</v>
      </c>
      <c r="U241" s="67" t="str">
        <f t="shared" si="27"/>
        <v xml:space="preserve"> </v>
      </c>
      <c r="V241" s="515"/>
      <c r="W241" s="125"/>
      <c r="X241" s="31">
        <f t="shared" si="31"/>
        <v>0</v>
      </c>
      <c r="Y241" s="509"/>
      <c r="Z241" s="1054" t="str">
        <f t="shared" si="29"/>
        <v>Create Waters of the Sea Drake</v>
      </c>
      <c r="AA241" s="1072" t="str">
        <f t="shared" si="30"/>
        <v>Common</v>
      </c>
    </row>
    <row r="242" spans="1:27" hidden="1" outlineLevel="1">
      <c r="A242" s="83" t="s">
        <v>4526</v>
      </c>
      <c r="B242" s="67">
        <v>10</v>
      </c>
      <c r="C242" s="67">
        <f ca="1">magestuff!$AD$196</f>
        <v>10</v>
      </c>
      <c r="D242" s="67">
        <f t="shared" si="26"/>
        <v>0</v>
      </c>
      <c r="E242" s="77" t="e">
        <f ca="1">IF(F242="y",HLOOKUP((IF(C242&lt;1,1,C242)),Magick!$C$20:$L$21,2),NA())</f>
        <v>#N/A</v>
      </c>
      <c r="F242" s="67" t="str">
        <f ca="1">IF(C242&lt;=Magick!$D$3,"Y","N")</f>
        <v>N</v>
      </c>
      <c r="G242" s="148" t="s">
        <v>859</v>
      </c>
      <c r="H242" s="151"/>
      <c r="I242" s="77" t="e">
        <f>IF(H242&gt;0,(HLOOKUP(C242,Magick!$C$20:$L$21,2)-HLOOKUP(H242,Magick!$C$20:$L$21,2)),NA())</f>
        <v>#N/A</v>
      </c>
      <c r="J242" s="77"/>
      <c r="K242" s="67" t="s">
        <v>2225</v>
      </c>
      <c r="L242" s="72" t="str">
        <f>IF(H242&gt;0,Magick!$AR$20-('Master Spell List'!H236*0.1),"N/A")</f>
        <v>N/A</v>
      </c>
      <c r="M242" s="72">
        <f ca="1">Magick!$H$69</f>
        <v>0.08</v>
      </c>
      <c r="N242" s="72">
        <f ca="1">Magick!$K$69</f>
        <v>0.13</v>
      </c>
      <c r="O242" s="72">
        <f ca="1">Magick!$L$69</f>
        <v>0.13</v>
      </c>
      <c r="P242" s="72">
        <f ca="1">Magick!$M$69</f>
        <v>0.13</v>
      </c>
      <c r="Q242" s="67" t="s">
        <v>2225</v>
      </c>
      <c r="R242" s="67">
        <f ca="1">IF(Q242="Ritual","N/A",IF(Q242="I.E.","N/A",IF(Q242="WOG",VLOOKUP(Magick!$I$69*100,magestuff!$B$134:$F$138,2),IF(Q242="Cantrip",VLOOKUP(Magick!$I$69*100,magestuff!$B$134:$F$138,3),IF(Q242="Hex",VLOOKUP(Magick!$I$69*100,magestuff!$B$134:$F$138,4),VLOOKUP(Magick!$I$69*100,magestuff!$B$134:$F$138,5))))))</f>
        <v>29</v>
      </c>
      <c r="U242" s="67" t="str">
        <f t="shared" si="27"/>
        <v xml:space="preserve"> </v>
      </c>
      <c r="V242" s="515"/>
      <c r="W242" s="125"/>
      <c r="X242" s="31">
        <f t="shared" si="31"/>
        <v>0</v>
      </c>
      <c r="Y242" s="509"/>
      <c r="Z242" s="1054" t="str">
        <f t="shared" si="29"/>
        <v>Mist &amp; Fog of the Sea Drake</v>
      </c>
      <c r="AA242" s="1072" t="str">
        <f t="shared" si="30"/>
        <v>Common</v>
      </c>
    </row>
    <row r="243" spans="1:27" hidden="1" outlineLevel="1">
      <c r="A243" s="83" t="s">
        <v>4695</v>
      </c>
      <c r="B243" s="67">
        <v>10</v>
      </c>
      <c r="C243" s="67">
        <f ca="1">magestuff!$AD$196</f>
        <v>10</v>
      </c>
      <c r="D243" s="67">
        <f t="shared" si="26"/>
        <v>0</v>
      </c>
      <c r="E243" s="77" t="e">
        <f ca="1">IF(F243="y",HLOOKUP((IF(C243&lt;1,1,C243)),Magick!$C$20:$L$21,2),NA())</f>
        <v>#N/A</v>
      </c>
      <c r="F243" s="67" t="str">
        <f ca="1">IF(C243&lt;=Magick!$D$3,"Y","N")</f>
        <v>N</v>
      </c>
      <c r="G243" s="148" t="s">
        <v>859</v>
      </c>
      <c r="H243" s="151"/>
      <c r="I243" s="77" t="e">
        <f>IF(H243&gt;0,(HLOOKUP(C243,Magick!$C$20:$L$21,2)-HLOOKUP(H243,Magick!$C$20:$L$21,2)),NA())</f>
        <v>#N/A</v>
      </c>
      <c r="J243" s="77"/>
      <c r="K243" s="67" t="s">
        <v>2225</v>
      </c>
      <c r="L243" s="72" t="str">
        <f>IF(H243&gt;0,Magick!$AR$20-('Master Spell List'!H219*0.1),"N/A")</f>
        <v>N/A</v>
      </c>
      <c r="M243" s="72">
        <f ca="1">Magick!$H$69</f>
        <v>0.08</v>
      </c>
      <c r="N243" s="72">
        <f ca="1">Magick!$K$69</f>
        <v>0.13</v>
      </c>
      <c r="O243" s="72">
        <f ca="1">Magick!$L$69</f>
        <v>0.13</v>
      </c>
      <c r="P243" s="72">
        <f ca="1">Magick!$M$69</f>
        <v>0.13</v>
      </c>
      <c r="Q243" s="67" t="s">
        <v>2225</v>
      </c>
      <c r="R243" s="67">
        <f ca="1">IF(Q243="Ritual","N/A",IF(Q243="I.E.","N/A",IF(Q243="WOG",VLOOKUP(Magick!$I$69*100,magestuff!$B$134:$F$138,2),IF(Q243="Cantrip",VLOOKUP(Magick!$I$69*100,magestuff!$B$134:$F$138,3),IF(Q243="Hex",VLOOKUP(Magick!$I$69*100,magestuff!$B$134:$F$138,4),VLOOKUP(Magick!$I$69*100,magestuff!$B$134:$F$138,5))))))</f>
        <v>29</v>
      </c>
      <c r="U243" s="67" t="str">
        <f t="shared" si="27"/>
        <v xml:space="preserve"> </v>
      </c>
      <c r="V243" s="515"/>
      <c r="W243" s="125"/>
      <c r="X243" s="31">
        <f t="shared" si="31"/>
        <v>0</v>
      </c>
      <c r="Y243" s="509"/>
      <c r="Z243" s="1054" t="str">
        <f t="shared" si="29"/>
        <v>Sheet of Waters of the Sea Drake</v>
      </c>
      <c r="AA243" s="1072" t="str">
        <f t="shared" si="30"/>
        <v>Common</v>
      </c>
    </row>
    <row r="244" spans="1:27" hidden="1" outlineLevel="1">
      <c r="A244" s="83" t="s">
        <v>4872</v>
      </c>
      <c r="B244" s="67">
        <v>10</v>
      </c>
      <c r="C244" s="67">
        <f ca="1">magestuff!$AD$196</f>
        <v>10</v>
      </c>
      <c r="D244" s="67">
        <f t="shared" si="26"/>
        <v>0</v>
      </c>
      <c r="E244" s="77" t="e">
        <f ca="1">IF(F244="y",HLOOKUP((IF(C244&lt;1,1,C244)),Magick!$C$20:$L$21,2),NA())</f>
        <v>#N/A</v>
      </c>
      <c r="F244" s="67" t="str">
        <f ca="1">IF(C244&lt;=Magick!$D$3,"Y","N")</f>
        <v>N</v>
      </c>
      <c r="G244" s="148" t="s">
        <v>859</v>
      </c>
      <c r="H244" s="151"/>
      <c r="I244" s="77" t="e">
        <f>IF(H244&gt;0,(HLOOKUP(C244,Magick!$C$20:$L$21,2)-HLOOKUP(H244,Magick!$C$20:$L$21,2)),NA())</f>
        <v>#N/A</v>
      </c>
      <c r="J244" s="77"/>
      <c r="K244" s="67" t="s">
        <v>2225</v>
      </c>
      <c r="L244" s="72" t="str">
        <f>IF(H244&gt;0,Magick!$AR$20-('Master Spell List'!H216*0.1),"N/A")</f>
        <v>N/A</v>
      </c>
      <c r="M244" s="72">
        <f ca="1">Magick!$H$69</f>
        <v>0.08</v>
      </c>
      <c r="N244" s="72">
        <f ca="1">Magick!$K$69</f>
        <v>0.13</v>
      </c>
      <c r="O244" s="72">
        <f ca="1">Magick!$L$69</f>
        <v>0.13</v>
      </c>
      <c r="P244" s="72">
        <f ca="1">Magick!$M$69</f>
        <v>0.13</v>
      </c>
      <c r="Q244" s="67" t="s">
        <v>2225</v>
      </c>
      <c r="R244" s="67">
        <f ca="1">IF(Q244="Ritual","N/A",IF(Q244="I.E.","N/A",IF(Q244="WOG",VLOOKUP(Magick!$I$69*100,magestuff!$B$134:$F$138,2),IF(Q244="Cantrip",VLOOKUP(Magick!$I$69*100,magestuff!$B$134:$F$138,3),IF(Q244="Hex",VLOOKUP(Magick!$I$69*100,magestuff!$B$134:$F$138,4),VLOOKUP(Magick!$I$69*100,magestuff!$B$134:$F$138,5))))))</f>
        <v>29</v>
      </c>
      <c r="U244" s="67" t="str">
        <f t="shared" si="27"/>
        <v xml:space="preserve"> </v>
      </c>
      <c r="V244" s="515"/>
      <c r="W244" s="125"/>
      <c r="X244" s="31">
        <f t="shared" si="31"/>
        <v>0</v>
      </c>
      <c r="Y244" s="509"/>
      <c r="Z244" s="1054" t="str">
        <f t="shared" si="29"/>
        <v>Wall of Waters of the Sea Drake</v>
      </c>
      <c r="AA244" s="1072" t="str">
        <f t="shared" si="30"/>
        <v>Common</v>
      </c>
    </row>
    <row r="245" spans="1:27" hidden="1" outlineLevel="1">
      <c r="A245" s="83" t="s">
        <v>4699</v>
      </c>
      <c r="B245" s="67">
        <v>10</v>
      </c>
      <c r="C245" s="67">
        <f ca="1">magestuff!$AD$196</f>
        <v>10</v>
      </c>
      <c r="D245" s="67">
        <f t="shared" si="26"/>
        <v>0</v>
      </c>
      <c r="E245" s="77" t="e">
        <f ca="1">IF(F245="y",HLOOKUP((IF(C245&lt;1,1,C245)),Magick!$C$20:$L$21,2),NA())</f>
        <v>#N/A</v>
      </c>
      <c r="F245" s="67" t="str">
        <f ca="1">IF(C245&lt;=Magick!$D$3,"Y","N")</f>
        <v>N</v>
      </c>
      <c r="G245" s="148" t="s">
        <v>859</v>
      </c>
      <c r="H245" s="151"/>
      <c r="I245" s="77" t="e">
        <f>IF(H245&gt;0,(HLOOKUP(C245,Magick!$C$20:$L$21,2)-HLOOKUP(H245,Magick!$C$20:$L$21,2)),NA())</f>
        <v>#N/A</v>
      </c>
      <c r="J245" s="77"/>
      <c r="K245" s="67" t="s">
        <v>2225</v>
      </c>
      <c r="L245" s="72" t="str">
        <f>IF(H245&gt;0,Magick!$AR$20-('Master Spell List'!H227*0.1),"N/A")</f>
        <v>N/A</v>
      </c>
      <c r="M245" s="72">
        <f ca="1">Magick!$H$69</f>
        <v>0.08</v>
      </c>
      <c r="N245" s="72">
        <f ca="1">Magick!$K$69</f>
        <v>0.13</v>
      </c>
      <c r="O245" s="72">
        <f ca="1">Magick!$L$69</f>
        <v>0.13</v>
      </c>
      <c r="P245" s="72">
        <f ca="1">Magick!$M$69</f>
        <v>0.13</v>
      </c>
      <c r="Q245" s="67" t="s">
        <v>2225</v>
      </c>
      <c r="R245" s="67">
        <f ca="1">IF(Q245="Ritual","N/A",IF(Q245="I.E.","N/A",IF(Q245="WOG",VLOOKUP(Magick!$I$69*100,magestuff!$B$134:$F$138,2),IF(Q245="Cantrip",VLOOKUP(Magick!$I$69*100,magestuff!$B$134:$F$138,3),IF(Q245="Hex",VLOOKUP(Magick!$I$69*100,magestuff!$B$134:$F$138,4),VLOOKUP(Magick!$I$69*100,magestuff!$B$134:$F$138,5))))))</f>
        <v>29</v>
      </c>
      <c r="U245" s="67" t="str">
        <f t="shared" si="27"/>
        <v xml:space="preserve"> </v>
      </c>
      <c r="V245" s="515"/>
      <c r="W245" s="125"/>
      <c r="X245" s="31">
        <f t="shared" si="31"/>
        <v>0</v>
      </c>
      <c r="Y245" s="509"/>
      <c r="Z245" s="1054" t="str">
        <f t="shared" si="29"/>
        <v>Water Bomb of the Undine</v>
      </c>
      <c r="AA245" s="1072" t="str">
        <f t="shared" si="30"/>
        <v>Common</v>
      </c>
    </row>
    <row r="246" spans="1:27" hidden="1" outlineLevel="1">
      <c r="A246" s="83" t="s">
        <v>2262</v>
      </c>
      <c r="B246" s="67">
        <v>11</v>
      </c>
      <c r="C246" s="67">
        <f ca="1">magestuff!$AD$196+1</f>
        <v>11</v>
      </c>
      <c r="D246" s="67">
        <f t="shared" si="26"/>
        <v>0</v>
      </c>
      <c r="E246" s="77" t="e">
        <f ca="1">IF(F246="y",HLOOKUP((IF(C246&lt;1,1,C246)),Magick!$C$20:$L$21,2),NA())</f>
        <v>#N/A</v>
      </c>
      <c r="F246" s="67" t="str">
        <f ca="1">IF(C246&lt;=Magick!$D$3,"Y","N")</f>
        <v>N</v>
      </c>
      <c r="G246" s="148" t="s">
        <v>859</v>
      </c>
      <c r="H246" s="151"/>
      <c r="I246" s="77" t="e">
        <f>IF(H246&gt;0,(HLOOKUP(C246,Magick!$C$20:$L$21,2)-HLOOKUP(H246,Magick!$C$20:$L$21,2)),NA())</f>
        <v>#N/A</v>
      </c>
      <c r="J246" s="77"/>
      <c r="K246" s="67" t="s">
        <v>2225</v>
      </c>
      <c r="L246" s="72" t="str">
        <f>IF(H246&gt;0,Magick!$AR$20-('Master Spell List'!H243*0.1),"N/A")</f>
        <v>N/A</v>
      </c>
      <c r="M246" s="72">
        <f ca="1">Magick!$H$69</f>
        <v>0.08</v>
      </c>
      <c r="N246" s="72">
        <f ca="1">Magick!$K$69</f>
        <v>0.13</v>
      </c>
      <c r="O246" s="72">
        <f ca="1">Magick!$L$69</f>
        <v>0.13</v>
      </c>
      <c r="P246" s="72">
        <f ca="1">Magick!$M$69</f>
        <v>0.13</v>
      </c>
      <c r="Q246" s="67" t="s">
        <v>2225</v>
      </c>
      <c r="R246" s="67">
        <f ca="1">IF(Q246="Ritual","N/A",IF(Q246="I.E.","N/A",IF(Q246="WOG",VLOOKUP(Magick!$I$69*100,magestuff!$B$134:$F$138,2),IF(Q246="Cantrip",VLOOKUP(Magick!$I$69*100,magestuff!$B$134:$F$138,3),IF(Q246="Hex",VLOOKUP(Magick!$I$69*100,magestuff!$B$134:$F$138,4),VLOOKUP(Magick!$I$69*100,magestuff!$B$134:$F$138,5))))))</f>
        <v>29</v>
      </c>
      <c r="U246" s="67" t="str">
        <f t="shared" si="27"/>
        <v xml:space="preserve"> </v>
      </c>
      <c r="V246" s="515"/>
      <c r="W246" s="125"/>
      <c r="X246" s="31">
        <f t="shared" si="31"/>
        <v>0</v>
      </c>
      <c r="Y246" s="509"/>
      <c r="Z246" s="1054" t="str">
        <f t="shared" si="29"/>
        <v>Greatest Wave (Tidal wave, Tsunami)</v>
      </c>
      <c r="AA246" s="1072" t="str">
        <f t="shared" si="30"/>
        <v>Common</v>
      </c>
    </row>
    <row r="247" spans="1:27" hidden="1" outlineLevel="1">
      <c r="A247" s="83" t="s">
        <v>4529</v>
      </c>
      <c r="B247" s="67">
        <v>11</v>
      </c>
      <c r="C247" s="67">
        <f ca="1">magestuff!$AD$196+1</f>
        <v>11</v>
      </c>
      <c r="D247" s="67">
        <f t="shared" si="26"/>
        <v>0</v>
      </c>
      <c r="E247" s="77" t="e">
        <f ca="1">IF(F247="y",HLOOKUP((IF(C247&lt;1,1,C247)),Magick!$C$20:$L$21,2),NA())</f>
        <v>#N/A</v>
      </c>
      <c r="F247" s="67" t="str">
        <f ca="1">IF(C247&lt;=Magick!$D$3,"Y","N")</f>
        <v>N</v>
      </c>
      <c r="G247" s="148" t="s">
        <v>859</v>
      </c>
      <c r="H247" s="151"/>
      <c r="I247" s="77" t="e">
        <f>IF(H247&gt;0,(HLOOKUP(C247,Magick!$C$20:$L$21,2)-HLOOKUP(H247,Magick!$C$20:$L$21,2)),NA())</f>
        <v>#N/A</v>
      </c>
      <c r="J247" s="77"/>
      <c r="K247" s="67" t="s">
        <v>2225</v>
      </c>
      <c r="L247" s="72" t="str">
        <f>IF(H247&gt;0,Magick!$AR$20-('Master Spell List'!H239*0.1),"N/A")</f>
        <v>N/A</v>
      </c>
      <c r="M247" s="72">
        <f ca="1">Magick!$H$69</f>
        <v>0.08</v>
      </c>
      <c r="N247" s="72">
        <f ca="1">Magick!$K$69</f>
        <v>0.13</v>
      </c>
      <c r="O247" s="72">
        <f ca="1">Magick!$L$69</f>
        <v>0.13</v>
      </c>
      <c r="P247" s="72">
        <f ca="1">Magick!$M$69</f>
        <v>0.13</v>
      </c>
      <c r="Q247" s="67" t="s">
        <v>2225</v>
      </c>
      <c r="R247" s="67">
        <f ca="1">IF(Q247="Ritual","N/A",IF(Q247="I.E.","N/A",IF(Q247="WOG",VLOOKUP(Magick!$I$69*100,magestuff!$B$134:$F$138,2),IF(Q247="Cantrip",VLOOKUP(Magick!$I$69*100,magestuff!$B$134:$F$138,3),IF(Q247="Hex",VLOOKUP(Magick!$I$69*100,magestuff!$B$134:$F$138,4),VLOOKUP(Magick!$I$69*100,magestuff!$B$134:$F$138,5))))))</f>
        <v>29</v>
      </c>
      <c r="U247" s="67" t="str">
        <f t="shared" si="27"/>
        <v xml:space="preserve"> </v>
      </c>
      <c r="V247" s="515"/>
      <c r="W247" s="125"/>
      <c r="X247" s="31">
        <f t="shared" si="31"/>
        <v>0</v>
      </c>
      <c r="Y247" s="509"/>
      <c r="Z247" s="1054" t="str">
        <f t="shared" si="29"/>
        <v>Ice Bomb of the Sea Drake</v>
      </c>
      <c r="AA247" s="1072" t="str">
        <f t="shared" si="30"/>
        <v>Common</v>
      </c>
    </row>
    <row r="248" spans="1:27" hidden="1" outlineLevel="1">
      <c r="A248" s="83" t="s">
        <v>4702</v>
      </c>
      <c r="B248" s="67">
        <v>11</v>
      </c>
      <c r="C248" s="67">
        <f ca="1">magestuff!$AD$196+1</f>
        <v>11</v>
      </c>
      <c r="D248" s="67">
        <f t="shared" si="26"/>
        <v>0</v>
      </c>
      <c r="E248" s="77" t="e">
        <f ca="1">IF(F248="y",HLOOKUP((IF(C248&lt;1,1,C248)),Magick!$C$20:$L$21,2),NA())</f>
        <v>#N/A</v>
      </c>
      <c r="F248" s="67" t="str">
        <f ca="1">IF(C248&lt;=Magick!$D$3,"Y","N")</f>
        <v>N</v>
      </c>
      <c r="G248" s="148" t="s">
        <v>859</v>
      </c>
      <c r="H248" s="151"/>
      <c r="I248" s="77" t="e">
        <f>IF(H248&gt;0,(HLOOKUP(C248,Magick!$C$20:$L$21,2)-HLOOKUP(H248,Magick!$C$20:$L$21,2)),NA())</f>
        <v>#N/A</v>
      </c>
      <c r="J248" s="77"/>
      <c r="K248" s="67" t="s">
        <v>2225</v>
      </c>
      <c r="L248" s="72" t="str">
        <f>IF(H248&gt;0,Magick!$AR$20-('Master Spell List'!H222*0.1),"N/A")</f>
        <v>N/A</v>
      </c>
      <c r="M248" s="72">
        <f ca="1">Magick!$H$69</f>
        <v>0.08</v>
      </c>
      <c r="N248" s="72">
        <f ca="1">Magick!$K$69</f>
        <v>0.13</v>
      </c>
      <c r="O248" s="72">
        <f ca="1">Magick!$L$69</f>
        <v>0.13</v>
      </c>
      <c r="P248" s="72">
        <f ca="1">Magick!$M$69</f>
        <v>0.13</v>
      </c>
      <c r="Q248" s="67" t="s">
        <v>2225</v>
      </c>
      <c r="R248" s="67">
        <f ca="1">IF(Q248="Ritual","N/A",IF(Q248="I.E.","N/A",IF(Q248="WOG",VLOOKUP(Magick!$I$69*100,magestuff!$B$134:$F$138,2),IF(Q248="Cantrip",VLOOKUP(Magick!$I$69*100,magestuff!$B$134:$F$138,3),IF(Q248="Hex",VLOOKUP(Magick!$I$69*100,magestuff!$B$134:$F$138,4),VLOOKUP(Magick!$I$69*100,magestuff!$B$134:$F$138,5))))))</f>
        <v>29</v>
      </c>
      <c r="U248" s="67" t="str">
        <f t="shared" si="27"/>
        <v xml:space="preserve"> </v>
      </c>
      <c r="V248" s="515"/>
      <c r="W248" s="125"/>
      <c r="X248" s="31">
        <f t="shared" si="31"/>
        <v>0</v>
      </c>
      <c r="Y248" s="509"/>
      <c r="Z248" s="1054" t="str">
        <f t="shared" si="29"/>
        <v>Jet of the Sea Drake</v>
      </c>
      <c r="AA248" s="1072" t="str">
        <f t="shared" si="30"/>
        <v>Common</v>
      </c>
    </row>
    <row r="249" spans="1:27" hidden="1" outlineLevel="1">
      <c r="A249" s="83" t="s">
        <v>4523</v>
      </c>
      <c r="B249" s="67">
        <v>11</v>
      </c>
      <c r="C249" s="67">
        <f ca="1">magestuff!$AD$196+1</f>
        <v>11</v>
      </c>
      <c r="D249" s="67">
        <f>IF(AND(ISNUMBER(H249),H249=0),C249,0)</f>
        <v>0</v>
      </c>
      <c r="E249" s="77" t="e">
        <f ca="1">IF(F249="y",HLOOKUP((IF(C249&lt;1,1,C249)),Magick!$C$20:$L$21,2),NA())</f>
        <v>#N/A</v>
      </c>
      <c r="F249" s="67" t="str">
        <f ca="1">IF(C249&lt;=Magick!$D$3,"Y","N")</f>
        <v>N</v>
      </c>
      <c r="G249" s="148" t="s">
        <v>859</v>
      </c>
      <c r="H249" s="151"/>
      <c r="I249" s="77" t="e">
        <f>IF(H249&gt;0,(HLOOKUP(C249,Magick!$C$20:$L$21,2)-HLOOKUP(H249,Magick!$C$20:$L$21,2)),NA())</f>
        <v>#N/A</v>
      </c>
      <c r="J249" s="77"/>
      <c r="K249" s="67" t="s">
        <v>2225</v>
      </c>
      <c r="L249" s="72" t="str">
        <f>IF(H249&gt;0,Magick!$AR$20-('Master Spell List'!H233*0.1),"N/A")</f>
        <v>N/A</v>
      </c>
      <c r="M249" s="72">
        <f ca="1">Magick!$H$69</f>
        <v>0.08</v>
      </c>
      <c r="N249" s="72">
        <f ca="1">Magick!$K$69</f>
        <v>0.13</v>
      </c>
      <c r="O249" s="72">
        <f ca="1">Magick!$L$69</f>
        <v>0.13</v>
      </c>
      <c r="P249" s="72">
        <f ca="1">Magick!$M$69</f>
        <v>0.13</v>
      </c>
      <c r="Q249" s="67" t="s">
        <v>2225</v>
      </c>
      <c r="R249" s="67">
        <f ca="1">IF(Q249="Ritual","N/A",IF(Q249="I.E.","N/A",IF(Q249="WOG",VLOOKUP(Magick!$I$69*100,magestuff!$B$134:$F$138,2),IF(Q249="Cantrip",VLOOKUP(Magick!$I$69*100,magestuff!$B$134:$F$138,3),IF(Q249="Hex",VLOOKUP(Magick!$I$69*100,magestuff!$B$134:$F$138,4),VLOOKUP(Magick!$I$69*100,magestuff!$B$134:$F$138,5))))))</f>
        <v>29</v>
      </c>
      <c r="U249" s="67" t="str">
        <f>IF(ISBLANK(H249)," ",IF(H249&gt;0,0,C249*10))</f>
        <v xml:space="preserve"> </v>
      </c>
      <c r="V249" s="515"/>
      <c r="W249" s="125"/>
      <c r="X249" s="31">
        <f t="shared" ref="X249:X252" si="32">W249*3</f>
        <v>0</v>
      </c>
      <c r="Y249" s="509"/>
      <c r="Z249" s="1054" t="str">
        <f t="shared" si="29"/>
        <v>Prison of the Sea Drake</v>
      </c>
      <c r="AA249" s="1072" t="str">
        <f t="shared" si="30"/>
        <v>Common</v>
      </c>
    </row>
    <row r="250" spans="1:27" hidden="1" outlineLevel="1">
      <c r="A250" s="83" t="s">
        <v>4533</v>
      </c>
      <c r="B250" s="67">
        <v>11</v>
      </c>
      <c r="C250" s="67">
        <f ca="1">magestuff!$AD$196+1</f>
        <v>11</v>
      </c>
      <c r="D250" s="67">
        <f>IF(AND(ISNUMBER(H250),H250=0),C250,0)</f>
        <v>0</v>
      </c>
      <c r="E250" s="77" t="e">
        <f ca="1">IF(F250="y",HLOOKUP((IF(C250&lt;1,1,C250)),Magick!$C$20:$L$21,2),NA())</f>
        <v>#N/A</v>
      </c>
      <c r="F250" s="67" t="str">
        <f ca="1">IF(C250&lt;=Magick!$D$3,"Y","N")</f>
        <v>N</v>
      </c>
      <c r="G250" s="148" t="s">
        <v>859</v>
      </c>
      <c r="H250" s="151"/>
      <c r="I250" s="77" t="e">
        <f>IF(H250&gt;0,(HLOOKUP(C250,Magick!$C$20:$L$21,2)-HLOOKUP(H250,Magick!$C$20:$L$21,2)),NA())</f>
        <v>#N/A</v>
      </c>
      <c r="J250" s="77"/>
      <c r="K250" s="67" t="s">
        <v>344</v>
      </c>
      <c r="L250" s="72" t="str">
        <f>IF(H250&gt;0,Magick!$AR$20-('Master Spell List'!H243*0.1),"N/A")</f>
        <v>N/A</v>
      </c>
      <c r="M250" s="72">
        <f ca="1">Magick!$H$69</f>
        <v>0.08</v>
      </c>
      <c r="N250" s="72">
        <f ca="1">Magick!$K$69</f>
        <v>0.13</v>
      </c>
      <c r="O250" s="72">
        <f ca="1">Magick!$L$69</f>
        <v>0.13</v>
      </c>
      <c r="P250" s="72">
        <f ca="1">Magick!$M$69</f>
        <v>0.13</v>
      </c>
      <c r="Q250" s="67" t="s">
        <v>113</v>
      </c>
      <c r="R250" s="67" t="str">
        <f>IF(Q250="Ritual","N/A",IF(Q250="I.E.","N/A",IF(Q250="WOG",VLOOKUP(Magick!$I$69*100,magestuff!$B$134:$F$138,2),IF(Q250="Cantrip",VLOOKUP(Magick!$I$69*100,magestuff!$B$134:$F$138,3),IF(Q250="Hex",VLOOKUP(Magick!$I$69*100,magestuff!$B$134:$F$138,4),VLOOKUP(Magick!$I$69*100,magestuff!$B$134:$F$138,5))))))</f>
        <v>N/A</v>
      </c>
      <c r="S250" s="67" t="str">
        <f>CONCATENATE(IF(Magick!$C$3&gt;0,Magick!$C$3*100," ")," ft.")</f>
        <v xml:space="preserve">  ft.</v>
      </c>
      <c r="T250" s="67" t="s">
        <v>1306</v>
      </c>
      <c r="U250" s="67" t="str">
        <f>IF(ISBLANK(H250)," ",IF(H250&gt;0,0,C250*10))</f>
        <v xml:space="preserve"> </v>
      </c>
      <c r="V250" s="515"/>
      <c r="W250" s="125"/>
      <c r="X250" s="31">
        <f t="shared" si="32"/>
        <v>0</v>
      </c>
      <c r="Y250" s="509"/>
      <c r="Z250" s="1054" t="str">
        <f t="shared" si="29"/>
        <v>Shards of the Sea Drake</v>
      </c>
      <c r="AA250" s="1072" t="str">
        <f t="shared" si="30"/>
        <v>Common</v>
      </c>
    </row>
    <row r="251" spans="1:27" hidden="1" outlineLevel="1">
      <c r="A251" s="83" t="s">
        <v>4519</v>
      </c>
      <c r="B251" s="67">
        <v>11</v>
      </c>
      <c r="C251" s="67">
        <f ca="1">magestuff!$AD$196+1</f>
        <v>11</v>
      </c>
      <c r="D251" s="67">
        <f>IF(AND(ISNUMBER(H251),H251=0),C251,0)</f>
        <v>0</v>
      </c>
      <c r="E251" s="77" t="e">
        <f ca="1">IF(F251="y",HLOOKUP((IF(C251&lt;1,1,C251)),Magick!$C$20:$L$21,2),NA())</f>
        <v>#N/A</v>
      </c>
      <c r="F251" s="67" t="str">
        <f ca="1">IF(C251&lt;=Magick!$D$3,"Y","N")</f>
        <v>N</v>
      </c>
      <c r="G251" s="148" t="s">
        <v>859</v>
      </c>
      <c r="H251" s="151"/>
      <c r="I251" s="77" t="e">
        <f>IF(H251&gt;0,(HLOOKUP(C251,Magick!$C$20:$L$21,2)-HLOOKUP(H251,Magick!$C$20:$L$21,2)),NA())</f>
        <v>#N/A</v>
      </c>
      <c r="J251" s="77"/>
      <c r="K251" s="67" t="s">
        <v>2225</v>
      </c>
      <c r="L251" s="72" t="str">
        <f>IF(H251&gt;0,Magick!$AR$20-('Master Spell List'!H225*0.1),"N/A")</f>
        <v>N/A</v>
      </c>
      <c r="M251" s="72">
        <f ca="1">Magick!$H$69</f>
        <v>0.08</v>
      </c>
      <c r="N251" s="72">
        <f ca="1">Magick!$K$69</f>
        <v>0.13</v>
      </c>
      <c r="O251" s="72">
        <f ca="1">Magick!$L$69</f>
        <v>0.13</v>
      </c>
      <c r="P251" s="72">
        <f ca="1">Magick!$M$69</f>
        <v>0.13</v>
      </c>
      <c r="Q251" s="67" t="s">
        <v>2225</v>
      </c>
      <c r="R251" s="67">
        <f ca="1">IF(Q251="Ritual","N/A",IF(Q251="I.E.","N/A",IF(Q251="WOG",VLOOKUP(Magick!$I$69*100,magestuff!$B$134:$F$138,2),IF(Q251="Cantrip",VLOOKUP(Magick!$I$69*100,magestuff!$B$134:$F$138,3),IF(Q251="Hex",VLOOKUP(Magick!$I$69*100,magestuff!$B$134:$F$138,4),VLOOKUP(Magick!$I$69*100,magestuff!$B$134:$F$138,5))))))</f>
        <v>29</v>
      </c>
      <c r="U251" s="67" t="str">
        <f>IF(ISBLANK(H251)," ",IF(H251&gt;0,0,C251*10))</f>
        <v xml:space="preserve"> </v>
      </c>
      <c r="V251" s="515"/>
      <c r="W251" s="125"/>
      <c r="X251" s="31">
        <f t="shared" si="32"/>
        <v>0</v>
      </c>
      <c r="Y251" s="509"/>
      <c r="Z251" s="1054" t="str">
        <f t="shared" si="29"/>
        <v>Spray of the Sea Drake</v>
      </c>
      <c r="AA251" s="1072" t="str">
        <f t="shared" si="30"/>
        <v>Common</v>
      </c>
    </row>
    <row r="252" spans="1:27" hidden="1" outlineLevel="1" collapsed="1">
      <c r="A252" s="83" t="s">
        <v>4700</v>
      </c>
      <c r="B252" s="67">
        <v>13</v>
      </c>
      <c r="C252" s="67">
        <f ca="1">magestuff!$AD$196+3</f>
        <v>13</v>
      </c>
      <c r="D252" s="67">
        <f>IF(AND(ISNUMBER(H252),H252=0),C252,0)</f>
        <v>0</v>
      </c>
      <c r="E252" s="77" t="e">
        <f ca="1">IF(F252="y",HLOOKUP((IF(C252&lt;1,1,C252)),Magick!$C$20:$L$21,2),NA())</f>
        <v>#N/A</v>
      </c>
      <c r="F252" s="67" t="str">
        <f ca="1">IF(C252&lt;=Magick!$D$3,"Y","N")</f>
        <v>N</v>
      </c>
      <c r="G252" s="148" t="s">
        <v>859</v>
      </c>
      <c r="H252" s="151"/>
      <c r="I252" s="77" t="e">
        <f>IF(H252&gt;0,(HLOOKUP(C252,Magick!$C$20:$L$21,2)-HLOOKUP(H252,Magick!$C$20:$L$21,2)),NA())</f>
        <v>#N/A</v>
      </c>
      <c r="J252" s="77"/>
      <c r="K252" s="67" t="s">
        <v>2225</v>
      </c>
      <c r="L252" s="72" t="str">
        <f>IF(H252&gt;0,Magick!$AR$20-('Master Spell List'!H228*0.1),"N/A")</f>
        <v>N/A</v>
      </c>
      <c r="M252" s="72">
        <f ca="1">Magick!$H$69</f>
        <v>0.08</v>
      </c>
      <c r="N252" s="72">
        <f ca="1">Magick!$K$69</f>
        <v>0.13</v>
      </c>
      <c r="O252" s="72">
        <f ca="1">Magick!$L$69</f>
        <v>0.13</v>
      </c>
      <c r="P252" s="72">
        <f ca="1">Magick!$M$69</f>
        <v>0.13</v>
      </c>
      <c r="Q252" s="67" t="s">
        <v>2225</v>
      </c>
      <c r="R252" s="67">
        <f ca="1">IF(Q252="Ritual","N/A",IF(Q252="I.E.","N/A",IF(Q252="WOG",VLOOKUP(Magick!$I$69*100,magestuff!$B$134:$F$138,2),IF(Q252="Cantrip",VLOOKUP(Magick!$I$69*100,magestuff!$B$134:$F$138,3),IF(Q252="Hex",VLOOKUP(Magick!$I$69*100,magestuff!$B$134:$F$138,4),VLOOKUP(Magick!$I$69*100,magestuff!$B$134:$F$138,5))))))</f>
        <v>29</v>
      </c>
      <c r="U252" s="67" t="str">
        <f>IF(ISBLANK(H252)," ",IF(H252&gt;0,0,C252*10))</f>
        <v xml:space="preserve"> </v>
      </c>
      <c r="V252" s="515"/>
      <c r="W252" s="125"/>
      <c r="X252" s="31">
        <f t="shared" si="32"/>
        <v>0</v>
      </c>
      <c r="Y252" s="509"/>
      <c r="Z252" s="1054" t="str">
        <f t="shared" si="29"/>
        <v>Water Bomb of the Sea Drake</v>
      </c>
      <c r="AA252" s="1072" t="str">
        <f t="shared" si="30"/>
        <v>Common</v>
      </c>
    </row>
    <row r="253" spans="1:27" collapsed="1">
      <c r="A253" s="48" t="s">
        <v>1630</v>
      </c>
      <c r="B253" s="76">
        <f>SUM(B254:B405)</f>
        <v>896</v>
      </c>
      <c r="C253" s="76">
        <f ca="1">SUM(C254:C405)</f>
        <v>890</v>
      </c>
      <c r="D253" s="76">
        <f>SUM(D254:D405)</f>
        <v>0</v>
      </c>
      <c r="E253" s="76"/>
      <c r="F253" s="149">
        <f ca="1">SUM(C254:C296)+IF(F297="Y",SUM(C297:C313),0)+IF(F314="Y",SUM(C314:C336),0)+IF(F337="Y",SUM(C337:C346),0)+IF(F347="Y",SUM(C347:C367),0)+IF(F368="Y",SUM(C368:C379),0)+IF(F380="Y",SUM(C380:C389),0)+IF(F390="Y",SUM(C390:C395),0)+IF(F396="Y",SUM(C396:C401),0)+IF(F402="Y",SUM(C402:C402),0)+IF(F405="Y",SUM(C405:C405),0)</f>
        <v>106</v>
      </c>
      <c r="G253" s="76"/>
      <c r="H253" s="150"/>
      <c r="I253" s="76"/>
      <c r="J253" s="76"/>
      <c r="K253" s="76"/>
      <c r="L253" s="76"/>
      <c r="M253" s="222">
        <f ca="1">Magick!$H$65</f>
        <v>0.08</v>
      </c>
      <c r="N253" s="222">
        <f ca="1">Magick!$K$65</f>
        <v>0.11</v>
      </c>
      <c r="O253" s="222">
        <f ca="1">Magick!$L$65</f>
        <v>0.11</v>
      </c>
      <c r="P253" s="222">
        <f ca="1">Magick!$M$65</f>
        <v>0.11</v>
      </c>
      <c r="Q253" s="76"/>
      <c r="R253" s="76"/>
      <c r="S253" s="76"/>
      <c r="T253" s="76"/>
      <c r="U253" s="149">
        <f>SUM(U254:U405)</f>
        <v>0</v>
      </c>
      <c r="V253" s="76"/>
      <c r="W253" s="76"/>
      <c r="X253" s="149"/>
      <c r="Y253" s="509"/>
      <c r="Z253" s="1054" t="str">
        <f t="shared" si="29"/>
        <v>Arcane</v>
      </c>
      <c r="AA253" s="1072" t="str">
        <f t="shared" si="30"/>
        <v>Common</v>
      </c>
    </row>
    <row r="254" spans="1:27" hidden="1" outlineLevel="1">
      <c r="A254" s="31" t="s">
        <v>1655</v>
      </c>
      <c r="B254" s="67">
        <v>1</v>
      </c>
      <c r="C254" s="67">
        <f ca="1">IF(magestuff!$C$197&lt;1,1,magestuff!$C$197)</f>
        <v>1</v>
      </c>
      <c r="D254" s="67">
        <f t="shared" ref="D254:D285" si="33">IF(AND(ISNUMBER(H254),H254=0),C254,0)</f>
        <v>0</v>
      </c>
      <c r="E254" s="77">
        <f ca="1">IF(F254="y",HLOOKUP((IF(C254&lt;1,1,C254)),Magick!$C$20:$L$21,2),NA())</f>
        <v>10</v>
      </c>
      <c r="F254" s="67" t="str">
        <f ca="1">IF(C254&lt;=Magick!$D$3,"Y","N")</f>
        <v>Y</v>
      </c>
      <c r="G254" s="148" t="s">
        <v>128</v>
      </c>
      <c r="H254" s="151"/>
      <c r="I254" s="77" t="e">
        <f>IF(H254&gt;0,(HLOOKUP(C254,Magick!$C$20:$L$21,2)-HLOOKUP(H254,Magick!$C$20:$L$21,2)),NA())</f>
        <v>#N/A</v>
      </c>
      <c r="J254" s="77"/>
      <c r="K254" s="67">
        <v>2</v>
      </c>
      <c r="L254" s="72" t="str">
        <f>IF(H254&gt;0,Magick!#REF!-('Master Spell List'!H289*0.1),"N/A")</f>
        <v>N/A</v>
      </c>
      <c r="M254" s="72">
        <f ca="1">Magick!$H$65</f>
        <v>0.08</v>
      </c>
      <c r="N254" s="72">
        <f ca="1">Magick!$K$65</f>
        <v>0.11</v>
      </c>
      <c r="O254" s="72">
        <f ca="1">Magick!$L$65</f>
        <v>0.11</v>
      </c>
      <c r="P254" s="72">
        <f ca="1">Magick!$M$65</f>
        <v>0.11</v>
      </c>
      <c r="Q254" s="67" t="s">
        <v>4602</v>
      </c>
      <c r="R254" s="67">
        <f ca="1">IF(Q254="Ritual","N/A",IF(Q254="I.E.","N/A",IF(Q254="WOG",VLOOKUP(Magick!$I$65*100,magestuff!$B$134:$F$138,2),IF(Q254="Cantrip",VLOOKUP(Magick!$I$65*100,magestuff!$B$134:$F$138,3),IF(Q254="Hex",VLOOKUP(Magick!$I$65*100,magestuff!$B$134:$F$138,4),VLOOKUP(Magick!$I$65*100,magestuff!$B$134:$F$138,5))))))</f>
        <v>19</v>
      </c>
      <c r="U254" s="67" t="str">
        <f t="shared" ref="U254:U285" si="34">IF(ISBLANK(H254)," ",IF(H254&gt;0,0,C254*10))</f>
        <v xml:space="preserve"> </v>
      </c>
      <c r="V254" s="515"/>
      <c r="W254" s="125"/>
      <c r="X254" s="31">
        <f t="shared" ref="X254:X271" si="35">W254*3</f>
        <v>0</v>
      </c>
      <c r="Y254" s="509"/>
      <c r="Z254" s="1054" t="str">
        <f t="shared" si="29"/>
        <v>Dazzle (Faerie Dance, Fireflies)</v>
      </c>
      <c r="AA254" s="1072" t="str">
        <f t="shared" si="30"/>
        <v>Common</v>
      </c>
    </row>
    <row r="255" spans="1:27" hidden="1" outlineLevel="1">
      <c r="A255" s="31" t="s">
        <v>1011</v>
      </c>
      <c r="B255" s="67">
        <v>1</v>
      </c>
      <c r="C255" s="67">
        <f ca="1">IF(magestuff!$C$197&lt;1,1,magestuff!$C$197)</f>
        <v>1</v>
      </c>
      <c r="D255" s="67">
        <f t="shared" si="33"/>
        <v>0</v>
      </c>
      <c r="E255" s="77">
        <f ca="1">IF(F255="y",HLOOKUP((IF(C255&lt;1,1,C255)),Magick!$C$20:$L$21,2),NA())</f>
        <v>10</v>
      </c>
      <c r="F255" s="67" t="str">
        <f ca="1">IF(C255&lt;=Magick!$D$3,"Y","N")</f>
        <v>Y</v>
      </c>
      <c r="G255" s="148" t="s">
        <v>128</v>
      </c>
      <c r="H255" s="151"/>
      <c r="I255" s="77" t="e">
        <f>IF(H255&gt;0,(HLOOKUP(C255,Magick!$C$20:$L$21,2)-HLOOKUP(H255,Magick!$C$20:$L$21,2)),NA())</f>
        <v>#N/A</v>
      </c>
      <c r="J255" s="77"/>
      <c r="K255" s="67">
        <v>2</v>
      </c>
      <c r="L255" s="72" t="str">
        <f>IF(H255&gt;0,Magick!#REF!-('Master Spell List'!H290*0.1),"N/A")</f>
        <v>N/A</v>
      </c>
      <c r="M255" s="72">
        <f ca="1">Magick!$H$65</f>
        <v>0.08</v>
      </c>
      <c r="N255" s="72">
        <f ca="1">Magick!$K$65</f>
        <v>0.11</v>
      </c>
      <c r="O255" s="72">
        <f ca="1">Magick!$L$65</f>
        <v>0.11</v>
      </c>
      <c r="P255" s="72">
        <f ca="1">Magick!$M$65</f>
        <v>0.11</v>
      </c>
      <c r="Q255" s="67" t="s">
        <v>4602</v>
      </c>
      <c r="R255" s="67">
        <f ca="1">IF(Q255="Ritual","N/A",IF(Q255="I.E.","N/A",IF(Q255="WOG",VLOOKUP(Magick!$I$65*100,magestuff!$B$134:$F$138,2),IF(Q255="Cantrip",VLOOKUP(Magick!$I$65*100,magestuff!$B$134:$F$138,3),IF(Q255="Hex",VLOOKUP(Magick!$I$65*100,magestuff!$B$134:$F$138,4),VLOOKUP(Magick!$I$65*100,magestuff!$B$134:$F$138,5))))))</f>
        <v>19</v>
      </c>
      <c r="U255" s="67" t="str">
        <f t="shared" si="34"/>
        <v xml:space="preserve"> </v>
      </c>
      <c r="V255" s="515"/>
      <c r="W255" s="125"/>
      <c r="X255" s="31">
        <f t="shared" si="35"/>
        <v>0</v>
      </c>
      <c r="Y255" s="509"/>
      <c r="Z255" s="1054" t="str">
        <f t="shared" si="29"/>
        <v>Eldritch Light</v>
      </c>
      <c r="AA255" s="1072" t="str">
        <f t="shared" si="30"/>
        <v>Common</v>
      </c>
    </row>
    <row r="256" spans="1:27" hidden="1" outlineLevel="1">
      <c r="A256" s="83" t="s">
        <v>3240</v>
      </c>
      <c r="B256" s="67">
        <v>1</v>
      </c>
      <c r="C256" s="67">
        <f ca="1">IF(magestuff!$C$197&lt;1,1,magestuff!$C$197)</f>
        <v>1</v>
      </c>
      <c r="D256" s="67">
        <f t="shared" si="33"/>
        <v>0</v>
      </c>
      <c r="E256" s="77">
        <f ca="1">IF(F256="y",HLOOKUP((IF(C256&lt;1,1,C256)),Magick!$C$20:$L$21,2),NA())</f>
        <v>10</v>
      </c>
      <c r="F256" s="67" t="str">
        <f ca="1">IF(C256&lt;=Magick!$D$3,"Y","N")</f>
        <v>Y</v>
      </c>
      <c r="G256" s="148" t="s">
        <v>1617</v>
      </c>
      <c r="H256" s="151"/>
      <c r="I256" s="77" t="e">
        <f>IF(H256&gt;0,(HLOOKUP(C256,Magick!$C$20:$L$21,2)-HLOOKUP(H256,Magick!$C$20:$L$21,2)),NA())</f>
        <v>#N/A</v>
      </c>
      <c r="J256" s="77"/>
      <c r="K256" s="67">
        <v>1</v>
      </c>
      <c r="L256" s="72" t="str">
        <f>IF(H256&gt;0,Magick!#REF!-('Master Spell List'!H316*0.1),"N/A")</f>
        <v>N/A</v>
      </c>
      <c r="M256" s="72">
        <f ca="1">Magick!$H$65</f>
        <v>0.08</v>
      </c>
      <c r="N256" s="72">
        <f ca="1">Magick!$K$65</f>
        <v>0.11</v>
      </c>
      <c r="O256" s="72">
        <f ca="1">Magick!$L$65</f>
        <v>0.11</v>
      </c>
      <c r="P256" s="72">
        <f ca="1">Magick!$M$65</f>
        <v>0.11</v>
      </c>
      <c r="Q256" s="67" t="s">
        <v>1619</v>
      </c>
      <c r="R256" s="67">
        <f ca="1">IF(Q256="Ritual","N/A",IF(Q256="I.E.","N/A",IF(Q256="WOG",VLOOKUP(Magick!$I$65*100,magestuff!$B$134:$F$138,2),IF(Q256="Cantrip",VLOOKUP(Magick!$I$65*100,magestuff!$B$134:$F$138,3),IF(Q256="Hex",VLOOKUP(Magick!$I$65*100,magestuff!$B$134:$F$138,4),VLOOKUP(Magick!$I$65*100,magestuff!$B$134:$F$138,5))))))</f>
        <v>29</v>
      </c>
      <c r="S256" s="67" t="s">
        <v>5545</v>
      </c>
      <c r="T256" s="67" t="s">
        <v>5545</v>
      </c>
      <c r="U256" s="67" t="str">
        <f t="shared" si="34"/>
        <v xml:space="preserve"> </v>
      </c>
      <c r="V256" s="515"/>
      <c r="W256" s="125"/>
      <c r="X256" s="31">
        <f t="shared" si="35"/>
        <v>0</v>
      </c>
      <c r="Y256" s="509"/>
      <c r="Z256" s="1054" t="str">
        <f t="shared" si="29"/>
        <v>Gather Least Amount of Arcane Energy</v>
      </c>
      <c r="AA256" s="1072" t="str">
        <f t="shared" si="30"/>
        <v>Common</v>
      </c>
    </row>
    <row r="257" spans="1:27" hidden="1" outlineLevel="1">
      <c r="A257" s="83" t="s">
        <v>5767</v>
      </c>
      <c r="B257" s="67">
        <v>1</v>
      </c>
      <c r="C257" s="67">
        <f ca="1">IF(magestuff!$C$197&lt;1,1,magestuff!$C$197)</f>
        <v>1</v>
      </c>
      <c r="D257" s="67">
        <f t="shared" si="33"/>
        <v>0</v>
      </c>
      <c r="E257" s="77">
        <f ca="1">IF(F257="y",HLOOKUP((IF(C257&lt;1,1,C257)),Magick!$C$20:$L$21,2),NA())</f>
        <v>10</v>
      </c>
      <c r="F257" s="67" t="str">
        <f ca="1">IF(C257&lt;=Magick!$D$3,"Y","N")</f>
        <v>Y</v>
      </c>
      <c r="G257" s="148" t="s">
        <v>5779</v>
      </c>
      <c r="H257" s="151"/>
      <c r="I257" s="77" t="e">
        <f>IF(H257&gt;0,(HLOOKUP(C257,Magick!$C$20:$L$21,2)-HLOOKUP(H257,Magick!$C$20:$L$21,2)),NA())</f>
        <v>#N/A</v>
      </c>
      <c r="J257" s="77"/>
      <c r="K257" s="67">
        <v>2</v>
      </c>
      <c r="L257" s="72" t="str">
        <f>IF(H257&gt;0,Magick!#REF!-('Master Spell List'!H324*0.1),"N/A")</f>
        <v>N/A</v>
      </c>
      <c r="M257" s="72">
        <f ca="1">Magick!$H$65</f>
        <v>0.08</v>
      </c>
      <c r="N257" s="72">
        <f ca="1">Magick!$K$65</f>
        <v>0.11</v>
      </c>
      <c r="O257" s="72">
        <f ca="1">Magick!$L$65</f>
        <v>0.11</v>
      </c>
      <c r="P257" s="72">
        <f ca="1">Magick!$M$65</f>
        <v>0.11</v>
      </c>
      <c r="Q257" s="67" t="s">
        <v>1619</v>
      </c>
      <c r="R257" s="67">
        <f ca="1">IF(Q257="Ritual","N/A",IF(Q257="I.E.","N/A",IF(Q257="WOG",VLOOKUP(Magick!$I$65*100,magestuff!$B$134:$F$138,2),IF(Q257="Cantrip",VLOOKUP(Magick!$I$65*100,magestuff!$B$134:$F$138,3),IF(Q257="Hex",VLOOKUP(Magick!$I$65*100,magestuff!$B$134:$F$138,4),VLOOKUP(Magick!$I$65*100,magestuff!$B$134:$F$138,5))))))</f>
        <v>29</v>
      </c>
      <c r="S257" s="67" t="s">
        <v>5545</v>
      </c>
      <c r="T257" s="67" t="s">
        <v>5545</v>
      </c>
      <c r="U257" s="67" t="str">
        <f t="shared" si="34"/>
        <v xml:space="preserve"> </v>
      </c>
      <c r="V257" s="515"/>
      <c r="W257" s="125"/>
      <c r="X257" s="31">
        <f t="shared" si="35"/>
        <v>0</v>
      </c>
      <c r="Y257" s="961"/>
      <c r="Z257" s="1054" t="str">
        <f t="shared" si="29"/>
        <v xml:space="preserve">Least Healing Touch of Apollo   </v>
      </c>
      <c r="AA257" s="1072" t="str">
        <f t="shared" si="30"/>
        <v>Common</v>
      </c>
    </row>
    <row r="258" spans="1:27" hidden="1" outlineLevel="1">
      <c r="A258" s="83" t="s">
        <v>5011</v>
      </c>
      <c r="B258" s="67">
        <v>1</v>
      </c>
      <c r="C258" s="67">
        <f ca="1">IF(magestuff!$C$197&lt;1,1,magestuff!$C$197)</f>
        <v>1</v>
      </c>
      <c r="D258" s="67">
        <f t="shared" si="33"/>
        <v>0</v>
      </c>
      <c r="E258" s="77">
        <f ca="1">IF(F258="y",HLOOKUP((IF(C258&lt;1,1,C258)),Magick!$C$20:$L$21,2),NA())</f>
        <v>10</v>
      </c>
      <c r="F258" s="67" t="str">
        <f ca="1">IF(C258&lt;=Magick!$D$3,"Y","N")</f>
        <v>Y</v>
      </c>
      <c r="G258" s="148" t="s">
        <v>1617</v>
      </c>
      <c r="H258" s="151"/>
      <c r="I258" s="77" t="e">
        <f>IF(H258&gt;0,(HLOOKUP(C258,Magick!$C$20:$L$21,2)-HLOOKUP(H258,Magick!$C$20:$L$21,2)),NA())</f>
        <v>#N/A</v>
      </c>
      <c r="J258" s="77"/>
      <c r="K258" s="67">
        <v>3</v>
      </c>
      <c r="L258" s="72" t="str">
        <f>IF(H258&gt;0,Magick!#REF!-('Master Spell List'!H338*0.1),"N/A")</f>
        <v>N/A</v>
      </c>
      <c r="M258" s="72">
        <f ca="1">Magick!$H$65</f>
        <v>0.08</v>
      </c>
      <c r="N258" s="72">
        <f ca="1">Magick!$K$65</f>
        <v>0.11</v>
      </c>
      <c r="O258" s="72">
        <f ca="1">Magick!$L$65</f>
        <v>0.11</v>
      </c>
      <c r="P258" s="72">
        <f ca="1">Magick!$M$65</f>
        <v>0.11</v>
      </c>
      <c r="Q258" s="67" t="s">
        <v>4603</v>
      </c>
      <c r="R258" s="67">
        <f ca="1">IF(Q258="Ritual","N/A",IF(Q258="I.E.","N/A",IF(Q258="WOG",VLOOKUP(Magick!$I$65*100,magestuff!$B$134:$F$138,2),IF(Q258="Cantrip",VLOOKUP(Magick!$I$65*100,magestuff!$B$134:$F$138,3),IF(Q258="Hex",VLOOKUP(Magick!$I$65*100,magestuff!$B$134:$F$138,4),VLOOKUP(Magick!$I$65*100,magestuff!$B$134:$F$138,5))))))</f>
        <v>9</v>
      </c>
      <c r="S258" s="67" t="s">
        <v>5545</v>
      </c>
      <c r="T258" s="67" t="s">
        <v>5545</v>
      </c>
      <c r="U258" s="67" t="str">
        <f t="shared" si="34"/>
        <v xml:space="preserve"> </v>
      </c>
      <c r="V258" s="515"/>
      <c r="W258" s="125"/>
      <c r="X258" s="31">
        <f t="shared" si="35"/>
        <v>0</v>
      </c>
      <c r="Y258" s="961"/>
      <c r="Z258" s="1054" t="str">
        <f t="shared" ref="Z258:Z321" si="36">A258</f>
        <v xml:space="preserve">Seal </v>
      </c>
      <c r="AA258" s="1072" t="str">
        <f t="shared" si="30"/>
        <v>Common</v>
      </c>
    </row>
    <row r="259" spans="1:27" hidden="1" outlineLevel="1">
      <c r="A259" s="83" t="s">
        <v>1901</v>
      </c>
      <c r="B259" s="67">
        <v>1</v>
      </c>
      <c r="C259" s="67">
        <f ca="1">IF(magestuff!$C$197&lt;1,1,magestuff!$C$197)</f>
        <v>1</v>
      </c>
      <c r="D259" s="67">
        <f t="shared" si="33"/>
        <v>0</v>
      </c>
      <c r="E259" s="77">
        <f ca="1">IF(F259="y",HLOOKUP((IF(C259&lt;1,1,C259)),Magick!$C$20:$L$21,2),NA())</f>
        <v>10</v>
      </c>
      <c r="F259" s="67" t="str">
        <f ca="1">IF(C259&lt;=Magick!$D$3,"Y","N")</f>
        <v>Y</v>
      </c>
      <c r="G259" s="148" t="s">
        <v>859</v>
      </c>
      <c r="H259" s="151"/>
      <c r="I259" s="77" t="e">
        <f>IF(H259&gt;0,(HLOOKUP(C259,Magick!$C$20:$L$21,2)-HLOOKUP(H259,Magick!$C$20:$L$21,2)),NA())</f>
        <v>#N/A</v>
      </c>
      <c r="J259" s="77"/>
      <c r="K259" s="67" t="s">
        <v>2225</v>
      </c>
      <c r="L259" s="72" t="str">
        <f>IF(H259&gt;0,Magick!#REF!-('Master Spell List'!H422*0.1),"N/A")</f>
        <v>N/A</v>
      </c>
      <c r="M259" s="72">
        <f ca="1">Magick!$H$65</f>
        <v>0.08</v>
      </c>
      <c r="N259" s="72">
        <f ca="1">Magick!$K$65</f>
        <v>0.11</v>
      </c>
      <c r="O259" s="72">
        <f ca="1">Magick!$L$65</f>
        <v>0.11</v>
      </c>
      <c r="P259" s="72">
        <f ca="1">Magick!$M$65</f>
        <v>0.11</v>
      </c>
      <c r="Q259" s="67" t="s">
        <v>2225</v>
      </c>
      <c r="R259" s="67">
        <f ca="1">IF(Q259="Ritual","N/A",IF(Q259="I.E.","N/A",IF(Q259="WOG",VLOOKUP(Magick!$I$65*100,magestuff!$B$134:$F$138,2),IF(Q259="Cantrip",VLOOKUP(Magick!$I$65*100,magestuff!$B$134:$F$138,3),IF(Q259="Hex",VLOOKUP(Magick!$I$65*100,magestuff!$B$134:$F$138,4),VLOOKUP(Magick!$I$65*100,magestuff!$B$134:$F$138,5))))))</f>
        <v>29</v>
      </c>
      <c r="S259" s="67" t="s">
        <v>5545</v>
      </c>
      <c r="T259" s="67" t="s">
        <v>5545</v>
      </c>
      <c r="U259" s="67" t="str">
        <f t="shared" si="34"/>
        <v xml:space="preserve"> </v>
      </c>
      <c r="V259" s="515"/>
      <c r="W259" s="125"/>
      <c r="X259" s="31">
        <f t="shared" si="35"/>
        <v>0</v>
      </c>
      <c r="Y259" s="961"/>
      <c r="Z259" s="1054" t="str">
        <f t="shared" si="36"/>
        <v>Walk in Shadows</v>
      </c>
      <c r="AA259" s="1072" t="str">
        <f t="shared" ref="AA259:AA322" si="37">IF(ISNUMBER(MATCH($Z259,Spell_Methods,0)),$Z259,$AA258)</f>
        <v>Common</v>
      </c>
    </row>
    <row r="260" spans="1:27" hidden="1" outlineLevel="1">
      <c r="A260" s="83" t="s">
        <v>1460</v>
      </c>
      <c r="B260" s="67">
        <v>2</v>
      </c>
      <c r="C260" s="67">
        <f ca="1">IF(magestuff!$F$197&lt;1,1,magestuff!$F$197)</f>
        <v>2</v>
      </c>
      <c r="D260" s="67">
        <f t="shared" si="33"/>
        <v>0</v>
      </c>
      <c r="E260" s="77">
        <f ca="1">IF(F260="y",HLOOKUP((IF(C260&lt;1,1,C260)),Magick!$C$20:$L$21,2),NA())</f>
        <v>21</v>
      </c>
      <c r="F260" s="67" t="str">
        <f ca="1">IF(C260&lt;=Magick!$D$3,"Y","N")</f>
        <v>Y</v>
      </c>
      <c r="G260" s="148" t="s">
        <v>1617</v>
      </c>
      <c r="H260" s="151"/>
      <c r="I260" s="77" t="e">
        <f>IF(H260&gt;0,(HLOOKUP(C260,Magick!$C$20:$L$21,2)-HLOOKUP(H260,Magick!$C$20:$L$21,2)),NA())</f>
        <v>#N/A</v>
      </c>
      <c r="J260" s="77"/>
      <c r="K260" s="67">
        <v>4</v>
      </c>
      <c r="L260" s="72" t="str">
        <f>IF(H260&gt;0,Magick!#REF!-('Master Spell List'!H331*0.1),"N/A")</f>
        <v>N/A</v>
      </c>
      <c r="M260" s="72">
        <f ca="1">Magick!$H$65</f>
        <v>0.08</v>
      </c>
      <c r="N260" s="72">
        <f ca="1">Magick!$K$65</f>
        <v>0.11</v>
      </c>
      <c r="O260" s="72">
        <f ca="1">Magick!$L$65</f>
        <v>0.11</v>
      </c>
      <c r="P260" s="72">
        <f ca="1">Magick!$M$65</f>
        <v>0.11</v>
      </c>
      <c r="Q260" s="67" t="s">
        <v>4603</v>
      </c>
      <c r="R260" s="67">
        <f ca="1">IF(Q260="Ritual","N/A",IF(Q260="I.E.","N/A",IF(Q260="WOG",VLOOKUP(Magick!$I$65*100,magestuff!$B$134:$F$138,2),IF(Q260="Cantrip",VLOOKUP(Magick!$I$65*100,magestuff!$B$134:$F$138,3),IF(Q260="Hex",VLOOKUP(Magick!$I$65*100,magestuff!$B$134:$F$138,4),VLOOKUP(Magick!$I$65*100,magestuff!$B$134:$F$138,5))))))</f>
        <v>9</v>
      </c>
      <c r="S260" s="67" t="s">
        <v>5545</v>
      </c>
      <c r="T260" s="67" t="s">
        <v>5545</v>
      </c>
      <c r="U260" s="67" t="str">
        <f t="shared" si="34"/>
        <v xml:space="preserve"> </v>
      </c>
      <c r="V260" s="515"/>
      <c r="W260" s="125"/>
      <c r="X260" s="31">
        <f t="shared" si="35"/>
        <v>0</v>
      </c>
      <c r="Y260" s="961"/>
      <c r="Z260" s="1054" t="str">
        <f t="shared" si="36"/>
        <v xml:space="preserve">Accelerate </v>
      </c>
      <c r="AA260" s="1072" t="str">
        <f t="shared" si="37"/>
        <v>Common</v>
      </c>
    </row>
    <row r="261" spans="1:27" hidden="1" outlineLevel="1">
      <c r="A261" s="83" t="s">
        <v>4360</v>
      </c>
      <c r="B261" s="67">
        <v>2</v>
      </c>
      <c r="C261" s="67">
        <f ca="1">IF(magestuff!$F$197&lt;1,1,magestuff!$F$197)</f>
        <v>2</v>
      </c>
      <c r="D261" s="67">
        <f t="shared" si="33"/>
        <v>0</v>
      </c>
      <c r="E261" s="77">
        <f ca="1">IF(F261="y",HLOOKUP((IF(C261&lt;1,1,C261)),Magick!$C$20:$L$21,2),NA())</f>
        <v>21</v>
      </c>
      <c r="F261" s="67" t="str">
        <f ca="1">IF(C261&lt;=Magick!$D$3,"Y","N")</f>
        <v>Y</v>
      </c>
      <c r="G261" s="148" t="s">
        <v>1617</v>
      </c>
      <c r="H261" s="151"/>
      <c r="I261" s="77" t="e">
        <f>IF(H261&gt;0,(HLOOKUP(C261,Magick!$C$20:$L$21,2)-HLOOKUP(H261,Magick!$C$20:$L$21,2)),NA())</f>
        <v>#N/A</v>
      </c>
      <c r="J261" s="77"/>
      <c r="K261" s="67">
        <v>4</v>
      </c>
      <c r="L261" s="72" t="str">
        <f>IF(H261&gt;0,Magick!#REF!-('Master Spell List'!H327*0.1),"N/A")</f>
        <v>N/A</v>
      </c>
      <c r="M261" s="72">
        <f ca="1">Magick!$H$65</f>
        <v>0.08</v>
      </c>
      <c r="N261" s="72">
        <f ca="1">Magick!$K$65</f>
        <v>0.11</v>
      </c>
      <c r="O261" s="72">
        <f ca="1">Magick!$L$65</f>
        <v>0.11</v>
      </c>
      <c r="P261" s="72">
        <f ca="1">Magick!$M$65</f>
        <v>0.11</v>
      </c>
      <c r="Q261" s="67" t="s">
        <v>4603</v>
      </c>
      <c r="R261" s="67">
        <f ca="1">IF(Q261="Ritual","N/A",IF(Q261="I.E.","N/A",IF(Q261="WOG",VLOOKUP(Magick!$I$65*100,magestuff!$B$134:$F$138,2),IF(Q261="Cantrip",VLOOKUP(Magick!$I$65*100,magestuff!$B$134:$F$138,3),IF(Q261="Hex",VLOOKUP(Magick!$I$65*100,magestuff!$B$134:$F$138,4),VLOOKUP(Magick!$I$65*100,magestuff!$B$134:$F$138,5))))))</f>
        <v>9</v>
      </c>
      <c r="S261" s="67" t="s">
        <v>5545</v>
      </c>
      <c r="T261" s="67" t="s">
        <v>5545</v>
      </c>
      <c r="U261" s="67" t="str">
        <f t="shared" si="34"/>
        <v xml:space="preserve"> </v>
      </c>
      <c r="V261" s="515"/>
      <c r="W261" s="125"/>
      <c r="X261" s="31">
        <f t="shared" si="35"/>
        <v>0</v>
      </c>
      <c r="Y261" s="961"/>
      <c r="Z261" s="1054" t="str">
        <f t="shared" si="36"/>
        <v>Affix</v>
      </c>
      <c r="AA261" s="1072" t="str">
        <f t="shared" si="37"/>
        <v>Common</v>
      </c>
    </row>
    <row r="262" spans="1:27" hidden="1" outlineLevel="1">
      <c r="A262" s="83" t="s">
        <v>2664</v>
      </c>
      <c r="B262" s="67">
        <v>2</v>
      </c>
      <c r="C262" s="67">
        <f ca="1">IF(magestuff!$F$197&lt;1,1,magestuff!$F$197)</f>
        <v>2</v>
      </c>
      <c r="D262" s="67">
        <f t="shared" si="33"/>
        <v>0</v>
      </c>
      <c r="E262" s="77">
        <f ca="1">IF(F262="y",HLOOKUP((IF(C262&lt;1,1,C262)),Magick!$C$20:$L$21,2),NA())</f>
        <v>21</v>
      </c>
      <c r="F262" s="67" t="str">
        <f ca="1">IF(C262&lt;=Magick!$D$3,"Y","N")</f>
        <v>Y</v>
      </c>
      <c r="G262" s="148" t="s">
        <v>1616</v>
      </c>
      <c r="H262" s="151"/>
      <c r="I262" s="77" t="e">
        <f>IF(H262&gt;0,(HLOOKUP(C262,Magick!$C$20:$L$21,2)-HLOOKUP(H262,Magick!$C$20:$L$21,2)),NA())</f>
        <v>#N/A</v>
      </c>
      <c r="J262" s="77"/>
      <c r="K262" s="67">
        <v>3</v>
      </c>
      <c r="L262" s="72" t="str">
        <f>IF(H262&gt;0,Magick!#REF!-('Master Spell List'!H288*0.1),"N/A")</f>
        <v>N/A</v>
      </c>
      <c r="M262" s="72">
        <f ca="1">Magick!$H$65</f>
        <v>0.08</v>
      </c>
      <c r="N262" s="72">
        <f ca="1">Magick!$K$65</f>
        <v>0.11</v>
      </c>
      <c r="O262" s="72">
        <f ca="1">Magick!$L$65</f>
        <v>0.11</v>
      </c>
      <c r="P262" s="72">
        <f ca="1">Magick!$M$65</f>
        <v>0.11</v>
      </c>
      <c r="Q262" s="67" t="s">
        <v>4603</v>
      </c>
      <c r="R262" s="67">
        <f ca="1">IF(Q262="Ritual","N/A",IF(Q262="I.E.","N/A",IF(Q262="WOG",VLOOKUP(Magick!$I$65*100,magestuff!$B$134:$F$138,2),IF(Q262="Cantrip",VLOOKUP(Magick!$I$65*100,magestuff!$B$134:$F$138,3),IF(Q262="Hex",VLOOKUP(Magick!$I$65*100,magestuff!$B$134:$F$138,4),VLOOKUP(Magick!$I$65*100,magestuff!$B$134:$F$138,5))))))</f>
        <v>9</v>
      </c>
      <c r="U262" s="67" t="str">
        <f t="shared" si="34"/>
        <v xml:space="preserve"> </v>
      </c>
      <c r="V262" s="515"/>
      <c r="W262" s="125"/>
      <c r="X262" s="31">
        <f t="shared" si="35"/>
        <v>0</v>
      </c>
      <c r="Y262" s="961"/>
      <c r="Z262" s="1054" t="str">
        <f t="shared" si="36"/>
        <v>Arcane Arrowhead</v>
      </c>
      <c r="AA262" s="1072" t="str">
        <f t="shared" si="37"/>
        <v>Common</v>
      </c>
    </row>
    <row r="263" spans="1:27" hidden="1" outlineLevel="1">
      <c r="A263" s="83" t="s">
        <v>5459</v>
      </c>
      <c r="B263" s="67">
        <v>2</v>
      </c>
      <c r="C263" s="67">
        <f ca="1">IF(magestuff!$F$197&lt;1,1,magestuff!$F$197)</f>
        <v>2</v>
      </c>
      <c r="D263" s="67">
        <f t="shared" si="33"/>
        <v>0</v>
      </c>
      <c r="E263" s="77">
        <f ca="1">IF(F263="y",HLOOKUP((IF(C263&lt;1,1,C263)),Magick!$C$20:$L$21,2),NA())</f>
        <v>21</v>
      </c>
      <c r="F263" s="67" t="str">
        <f ca="1">IF(C263&lt;=Magick!$D$3,"Y","N")</f>
        <v>Y</v>
      </c>
      <c r="G263" s="148" t="s">
        <v>1617</v>
      </c>
      <c r="H263" s="151"/>
      <c r="I263" s="77" t="e">
        <f>IF(H263&gt;0,(HLOOKUP(C263,Magick!$C$20:$L$21,2)-HLOOKUP(H263,Magick!$C$20:$L$21,2)),NA())</f>
        <v>#N/A</v>
      </c>
      <c r="J263" s="77"/>
      <c r="K263" s="67" t="s">
        <v>3451</v>
      </c>
      <c r="L263" s="72" t="str">
        <f>IF(H263&gt;0,Magick!#REF!-('Master Spell List'!H339*0.1),"N/A")</f>
        <v>N/A</v>
      </c>
      <c r="M263" s="72">
        <f ca="1">Magick!$H$65</f>
        <v>0.08</v>
      </c>
      <c r="N263" s="72">
        <f ca="1">Magick!$K$65</f>
        <v>0.11</v>
      </c>
      <c r="O263" s="72">
        <f ca="1">Magick!$L$65</f>
        <v>0.11</v>
      </c>
      <c r="P263" s="72">
        <f ca="1">Magick!$M$65</f>
        <v>0.11</v>
      </c>
      <c r="Q263" s="67" t="s">
        <v>4603</v>
      </c>
      <c r="R263" s="67">
        <f ca="1">IF(Q263="Ritual","N/A",IF(Q263="I.E.","N/A",IF(Q263="WOG",VLOOKUP(Magick!$I$65*100,magestuff!$B$134:$F$138,2),IF(Q263="Cantrip",VLOOKUP(Magick!$I$65*100,magestuff!$B$134:$F$138,3),IF(Q263="Hex",VLOOKUP(Magick!$I$65*100,magestuff!$B$134:$F$138,4),VLOOKUP(Magick!$I$65*100,magestuff!$B$134:$F$138,5))))))</f>
        <v>9</v>
      </c>
      <c r="U263" s="67" t="str">
        <f t="shared" si="34"/>
        <v xml:space="preserve"> </v>
      </c>
      <c r="V263" s="515"/>
      <c r="W263" s="125"/>
      <c r="X263" s="31">
        <f t="shared" si="35"/>
        <v>0</v>
      </c>
      <c r="Y263" s="961"/>
      <c r="Z263" s="1054" t="str">
        <f t="shared" si="36"/>
        <v>Arcane Thread</v>
      </c>
      <c r="AA263" s="1072" t="str">
        <f t="shared" si="37"/>
        <v>Common</v>
      </c>
    </row>
    <row r="264" spans="1:27" hidden="1" outlineLevel="1">
      <c r="A264" s="83" t="s">
        <v>1461</v>
      </c>
      <c r="B264" s="67">
        <v>2</v>
      </c>
      <c r="C264" s="67">
        <f ca="1">IF(magestuff!$F$197&lt;1,1,magestuff!$F$197)</f>
        <v>2</v>
      </c>
      <c r="D264" s="67">
        <f t="shared" si="33"/>
        <v>0</v>
      </c>
      <c r="E264" s="77">
        <f ca="1">IF(F264="y",HLOOKUP((IF(C264&lt;1,1,C264)),Magick!$C$20:$L$21,2),NA())</f>
        <v>21</v>
      </c>
      <c r="F264" s="67" t="str">
        <f ca="1">IF(C264&lt;=Magick!$D$3,"Y","N")</f>
        <v>Y</v>
      </c>
      <c r="G264" s="148" t="s">
        <v>1617</v>
      </c>
      <c r="H264" s="151"/>
      <c r="I264" s="77" t="e">
        <f>IF(H264&gt;0,(HLOOKUP(C264,Magick!$C$20:$L$21,2)-HLOOKUP(H264,Magick!$C$20:$L$21,2)),NA())</f>
        <v>#N/A</v>
      </c>
      <c r="J264" s="77"/>
      <c r="K264" s="67">
        <v>4</v>
      </c>
      <c r="L264" s="72" t="str">
        <f>IF(H264&gt;0,Magick!#REF!-('Master Spell List'!H335*0.1),"N/A")</f>
        <v>N/A</v>
      </c>
      <c r="M264" s="72">
        <f ca="1">Magick!$H$65</f>
        <v>0.08</v>
      </c>
      <c r="N264" s="72">
        <f ca="1">Magick!$K$65</f>
        <v>0.11</v>
      </c>
      <c r="O264" s="72">
        <f ca="1">Magick!$L$65</f>
        <v>0.11</v>
      </c>
      <c r="P264" s="72">
        <f ca="1">Magick!$M$65</f>
        <v>0.11</v>
      </c>
      <c r="Q264" s="67" t="s">
        <v>4603</v>
      </c>
      <c r="R264" s="67">
        <f ca="1">IF(Q264="Ritual","N/A",IF(Q264="I.E.","N/A",IF(Q264="WOG",VLOOKUP(Magick!$I$65*100,magestuff!$B$134:$F$138,2),IF(Q264="Cantrip",VLOOKUP(Magick!$I$65*100,magestuff!$B$134:$F$138,3),IF(Q264="Hex",VLOOKUP(Magick!$I$65*100,magestuff!$B$134:$F$138,4),VLOOKUP(Magick!$I$65*100,magestuff!$B$134:$F$138,5))))))</f>
        <v>9</v>
      </c>
      <c r="U264" s="67" t="str">
        <f t="shared" si="34"/>
        <v xml:space="preserve"> </v>
      </c>
      <c r="V264" s="515"/>
      <c r="W264" s="125"/>
      <c r="X264" s="31">
        <f t="shared" si="35"/>
        <v>0</v>
      </c>
      <c r="Y264" s="961"/>
      <c r="Z264" s="1054" t="str">
        <f t="shared" si="36"/>
        <v xml:space="preserve">Color </v>
      </c>
      <c r="AA264" s="1072" t="str">
        <f t="shared" si="37"/>
        <v>Common</v>
      </c>
    </row>
    <row r="265" spans="1:27" hidden="1" outlineLevel="1">
      <c r="A265" s="31" t="s">
        <v>3392</v>
      </c>
      <c r="B265" s="67">
        <v>2</v>
      </c>
      <c r="C265" s="67">
        <f ca="1">IF(magestuff!$F$197&lt;1,1,magestuff!$F$197)</f>
        <v>2</v>
      </c>
      <c r="D265" s="67">
        <f t="shared" si="33"/>
        <v>0</v>
      </c>
      <c r="E265" s="77">
        <f ca="1">IF(F265="y",HLOOKUP((IF(C265&lt;1,1,C265)),Magick!$C$20:$L$21,2),NA())</f>
        <v>21</v>
      </c>
      <c r="F265" s="67" t="str">
        <f ca="1">IF(C265&lt;=Magick!$D$3,"Y","N")</f>
        <v>Y</v>
      </c>
      <c r="G265" s="148" t="s">
        <v>128</v>
      </c>
      <c r="H265" s="151"/>
      <c r="I265" s="77" t="e">
        <f>IF(H265&gt;0,(HLOOKUP(C265,Magick!$C$20:$L$21,2)-HLOOKUP(H265,Magick!$C$20:$L$21,2)),NA())</f>
        <v>#N/A</v>
      </c>
      <c r="J265" s="77"/>
      <c r="K265" s="67">
        <v>4</v>
      </c>
      <c r="L265" s="72" t="str">
        <f>IF(H265&gt;0,Magick!#REF!-('Master Spell List'!H296*0.1),"N/A")</f>
        <v>N/A</v>
      </c>
      <c r="M265" s="72">
        <f ca="1">Magick!$H$65</f>
        <v>0.08</v>
      </c>
      <c r="N265" s="72">
        <f ca="1">Magick!$K$65</f>
        <v>0.11</v>
      </c>
      <c r="O265" s="72">
        <f ca="1">Magick!$L$65</f>
        <v>0.11</v>
      </c>
      <c r="P265" s="72">
        <f ca="1">Magick!$M$65</f>
        <v>0.11</v>
      </c>
      <c r="Q265" s="67" t="s">
        <v>3723</v>
      </c>
      <c r="R265" s="67">
        <f ca="1">IF(Q265="Ritual","N/A",IF(Q265="I.E.","N/A",IF(Q265="WOG",VLOOKUP(Magick!$I$65*100,magestuff!$B$134:$F$138,2),IF(Q265="Cantrip",VLOOKUP(Magick!$I$65*100,magestuff!$B$134:$F$138,3),IF(Q265="Hex",VLOOKUP(Magick!$I$65*100,magestuff!$B$134:$F$138,4),VLOOKUP(Magick!$I$65*100,magestuff!$B$134:$F$138,5))))))</f>
        <v>29</v>
      </c>
      <c r="U265" s="67" t="str">
        <f t="shared" si="34"/>
        <v xml:space="preserve"> </v>
      </c>
      <c r="V265" s="515"/>
      <c r="W265" s="125"/>
      <c r="X265" s="31">
        <f t="shared" si="35"/>
        <v>0</v>
      </c>
      <c r="Y265" s="961"/>
      <c r="Z265" s="1054" t="str">
        <f t="shared" si="36"/>
        <v>Darkness</v>
      </c>
      <c r="AA265" s="1072" t="str">
        <f t="shared" si="37"/>
        <v>Common</v>
      </c>
    </row>
    <row r="266" spans="1:27" hidden="1" outlineLevel="1">
      <c r="A266" s="83" t="s">
        <v>1459</v>
      </c>
      <c r="B266" s="67">
        <v>2</v>
      </c>
      <c r="C266" s="67">
        <f ca="1">IF(magestuff!$F$197&lt;1,1,magestuff!$F$197)</f>
        <v>2</v>
      </c>
      <c r="D266" s="67">
        <f t="shared" si="33"/>
        <v>0</v>
      </c>
      <c r="E266" s="77">
        <f ca="1">IF(F266="y",HLOOKUP((IF(C266&lt;1,1,C266)),Magick!$C$20:$L$21,2),NA())</f>
        <v>21</v>
      </c>
      <c r="F266" s="67" t="str">
        <f ca="1">IF(C266&lt;=Magick!$D$3,"Y","N")</f>
        <v>Y</v>
      </c>
      <c r="G266" s="148" t="s">
        <v>1617</v>
      </c>
      <c r="H266" s="151"/>
      <c r="I266" s="77" t="e">
        <f>IF(H266&gt;0,(HLOOKUP(C266,Magick!$C$20:$L$21,2)-HLOOKUP(H266,Magick!$C$20:$L$21,2)),NA())</f>
        <v>#N/A</v>
      </c>
      <c r="J266" s="77"/>
      <c r="K266" s="67">
        <v>2</v>
      </c>
      <c r="L266" s="72" t="str">
        <f>IF(H266&gt;0,Magick!#REF!-('Master Spell List'!H330*0.1),"N/A")</f>
        <v>N/A</v>
      </c>
      <c r="M266" s="72">
        <f ca="1">Magick!$H$65</f>
        <v>0.08</v>
      </c>
      <c r="N266" s="72">
        <f ca="1">Magick!$K$65</f>
        <v>0.11</v>
      </c>
      <c r="O266" s="72">
        <f ca="1">Magick!$L$65</f>
        <v>0.11</v>
      </c>
      <c r="P266" s="72">
        <f ca="1">Magick!$M$65</f>
        <v>0.11</v>
      </c>
      <c r="Q266" s="67" t="s">
        <v>4603</v>
      </c>
      <c r="R266" s="67">
        <f ca="1">IF(Q266="Ritual","N/A",IF(Q266="I.E.","N/A",IF(Q266="WOG",VLOOKUP(Magick!$I$65*100,magestuff!$B$134:$F$138,2),IF(Q266="Cantrip",VLOOKUP(Magick!$I$65*100,magestuff!$B$134:$F$138,3),IF(Q266="Hex",VLOOKUP(Magick!$I$65*100,magestuff!$B$134:$F$138,4),VLOOKUP(Magick!$I$65*100,magestuff!$B$134:$F$138,5))))))</f>
        <v>9</v>
      </c>
      <c r="S266" s="67" t="s">
        <v>5545</v>
      </c>
      <c r="T266" s="67" t="s">
        <v>5545</v>
      </c>
      <c r="U266" s="67" t="str">
        <f t="shared" si="34"/>
        <v xml:space="preserve"> </v>
      </c>
      <c r="V266" s="515"/>
      <c r="W266" s="125"/>
      <c r="X266" s="31">
        <f t="shared" si="35"/>
        <v>0</v>
      </c>
      <c r="Y266" s="961"/>
      <c r="Z266" s="1054" t="str">
        <f t="shared" si="36"/>
        <v xml:space="preserve">Detach </v>
      </c>
      <c r="AA266" s="1072" t="str">
        <f t="shared" si="37"/>
        <v>Common</v>
      </c>
    </row>
    <row r="267" spans="1:27" hidden="1" outlineLevel="1">
      <c r="A267" s="83" t="s">
        <v>1454</v>
      </c>
      <c r="B267" s="67">
        <v>2</v>
      </c>
      <c r="C267" s="67">
        <f ca="1">IF(magestuff!$F$197&lt;1,1,magestuff!$F$197)</f>
        <v>2</v>
      </c>
      <c r="D267" s="67">
        <f t="shared" si="33"/>
        <v>0</v>
      </c>
      <c r="E267" s="77">
        <f ca="1">IF(F267="y",HLOOKUP((IF(C267&lt;1,1,C267)),Magick!$C$20:$L$21,2),NA())</f>
        <v>21</v>
      </c>
      <c r="F267" s="67" t="str">
        <f ca="1">IF(C267&lt;=Magick!$D$3,"Y","N")</f>
        <v>Y</v>
      </c>
      <c r="G267" s="148" t="s">
        <v>1617</v>
      </c>
      <c r="H267" s="151"/>
      <c r="I267" s="77" t="e">
        <f>IF(H267&gt;0,(HLOOKUP(C267,Magick!$C$20:$L$21,2)-HLOOKUP(H267,Magick!$C$20:$L$21,2)),NA())</f>
        <v>#N/A</v>
      </c>
      <c r="J267" s="77"/>
      <c r="K267" s="67">
        <v>2</v>
      </c>
      <c r="L267" s="72" t="str">
        <f>IF(H267&gt;0,Magick!#REF!-('Master Spell List'!H325*0.1),"N/A")</f>
        <v>N/A</v>
      </c>
      <c r="M267" s="72">
        <f ca="1">Magick!$H$65</f>
        <v>0.08</v>
      </c>
      <c r="N267" s="72">
        <f ca="1">Magick!$K$65</f>
        <v>0.11</v>
      </c>
      <c r="O267" s="72">
        <f ca="1">Magick!$L$65</f>
        <v>0.11</v>
      </c>
      <c r="P267" s="72">
        <f ca="1">Magick!$M$65</f>
        <v>0.11</v>
      </c>
      <c r="Q267" s="67" t="s">
        <v>4603</v>
      </c>
      <c r="R267" s="67">
        <f ca="1">IF(Q267="Ritual","N/A",IF(Q267="I.E.","N/A",IF(Q267="WOG",VLOOKUP(Magick!$I$65*100,magestuff!$B$134:$F$138,2),IF(Q267="Cantrip",VLOOKUP(Magick!$I$65*100,magestuff!$B$134:$F$138,3),IF(Q267="Hex",VLOOKUP(Magick!$I$65*100,magestuff!$B$134:$F$138,4),VLOOKUP(Magick!$I$65*100,magestuff!$B$134:$F$138,5))))))</f>
        <v>9</v>
      </c>
      <c r="S267" s="67" t="s">
        <v>5545</v>
      </c>
      <c r="T267" s="67" t="s">
        <v>5545</v>
      </c>
      <c r="U267" s="67" t="str">
        <f t="shared" si="34"/>
        <v xml:space="preserve"> </v>
      </c>
      <c r="V267" s="515"/>
      <c r="W267" s="125"/>
      <c r="X267" s="31">
        <f t="shared" si="35"/>
        <v>0</v>
      </c>
      <c r="Y267" s="961"/>
      <c r="Z267" s="1054" t="str">
        <f t="shared" si="36"/>
        <v>Discharge (Release)</v>
      </c>
      <c r="AA267" s="1072" t="str">
        <f t="shared" si="37"/>
        <v>Common</v>
      </c>
    </row>
    <row r="268" spans="1:27" hidden="1" outlineLevel="1">
      <c r="A268" s="83" t="s">
        <v>3241</v>
      </c>
      <c r="B268" s="67">
        <v>2</v>
      </c>
      <c r="C268" s="67">
        <f ca="1">IF(magestuff!$F$197&lt;1,1,magestuff!$F$197)</f>
        <v>2</v>
      </c>
      <c r="D268" s="67">
        <f t="shared" si="33"/>
        <v>0</v>
      </c>
      <c r="E268" s="77">
        <f ca="1">IF(F268="y",HLOOKUP((IF(C268&lt;1,1,C268)),Magick!$C$20:$L$21,2),NA())</f>
        <v>21</v>
      </c>
      <c r="F268" s="67" t="str">
        <f ca="1">IF(C268&lt;=Magick!$D$3,"Y","N")</f>
        <v>Y</v>
      </c>
      <c r="G268" s="148" t="s">
        <v>1617</v>
      </c>
      <c r="H268" s="151"/>
      <c r="I268" s="77" t="e">
        <f>IF(H268&gt;0,(HLOOKUP(C268,Magick!$C$20:$L$21,2)-HLOOKUP(H268,Magick!$C$20:$L$21,2)),NA())</f>
        <v>#N/A</v>
      </c>
      <c r="J268" s="77"/>
      <c r="K268" s="67">
        <v>2</v>
      </c>
      <c r="L268" s="72" t="str">
        <f>IF(H268&gt;0,Magick!#REF!-('Master Spell List'!H317*0.1),"N/A")</f>
        <v>N/A</v>
      </c>
      <c r="M268" s="72">
        <f ca="1">Magick!$H$65</f>
        <v>0.08</v>
      </c>
      <c r="N268" s="72">
        <f ca="1">Magick!$K$65</f>
        <v>0.11</v>
      </c>
      <c r="O268" s="72">
        <f ca="1">Magick!$L$65</f>
        <v>0.11</v>
      </c>
      <c r="P268" s="72">
        <f ca="1">Magick!$M$65</f>
        <v>0.11</v>
      </c>
      <c r="Q268" s="67" t="s">
        <v>4603</v>
      </c>
      <c r="R268" s="67">
        <f ca="1">IF(Q268="Ritual","N/A",IF(Q268="I.E.","N/A",IF(Q268="WOG",VLOOKUP(Magick!$I$65*100,magestuff!$B$134:$F$138,2),IF(Q268="Cantrip",VLOOKUP(Magick!$I$65*100,magestuff!$B$134:$F$138,3),IF(Q268="Hex",VLOOKUP(Magick!$I$65*100,magestuff!$B$134:$F$138,4),VLOOKUP(Magick!$I$65*100,magestuff!$B$134:$F$138,5))))))</f>
        <v>9</v>
      </c>
      <c r="S268" s="67" t="s">
        <v>5545</v>
      </c>
      <c r="T268" s="67" t="s">
        <v>5545</v>
      </c>
      <c r="U268" s="67" t="str">
        <f t="shared" si="34"/>
        <v xml:space="preserve"> </v>
      </c>
      <c r="V268" s="515"/>
      <c r="W268" s="125"/>
      <c r="X268" s="31">
        <f t="shared" si="35"/>
        <v>0</v>
      </c>
      <c r="Y268" s="961"/>
      <c r="Z268" s="1054" t="str">
        <f t="shared" si="36"/>
        <v>Gather Lesser Amount of Arcane Energy</v>
      </c>
      <c r="AA268" s="1072" t="str">
        <f t="shared" si="37"/>
        <v>Common</v>
      </c>
    </row>
    <row r="269" spans="1:27" hidden="1" outlineLevel="1">
      <c r="A269" s="83" t="s">
        <v>1902</v>
      </c>
      <c r="B269" s="67">
        <v>2</v>
      </c>
      <c r="C269" s="67">
        <f ca="1">IF(magestuff!$F$197&lt;1,1,magestuff!$F$197)</f>
        <v>2</v>
      </c>
      <c r="D269" s="67">
        <f t="shared" si="33"/>
        <v>0</v>
      </c>
      <c r="E269" s="77">
        <f ca="1">IF(F269="y",HLOOKUP((IF(C269&lt;1,1,C269)),Magick!$C$20:$L$21,2),NA())</f>
        <v>21</v>
      </c>
      <c r="F269" s="67" t="str">
        <f ca="1">IF(C269&lt;=Magick!$D$3,"Y","N")</f>
        <v>Y</v>
      </c>
      <c r="G269" s="148" t="s">
        <v>859</v>
      </c>
      <c r="H269" s="151"/>
      <c r="I269" s="77" t="e">
        <f>IF(H269&gt;0,(HLOOKUP(C269,Magick!$C$20:$L$21,2)-HLOOKUP(H269,Magick!$C$20:$L$21,2)),NA())</f>
        <v>#N/A</v>
      </c>
      <c r="J269" s="77"/>
      <c r="K269" s="67" t="s">
        <v>2225</v>
      </c>
      <c r="L269" s="72" t="str">
        <f>IF(H269&gt;0,Magick!#REF!-('Master Spell List'!H415*0.1),"N/A")</f>
        <v>N/A</v>
      </c>
      <c r="M269" s="72">
        <f ca="1">Magick!$H$65</f>
        <v>0.08</v>
      </c>
      <c r="N269" s="72">
        <f ca="1">Magick!$K$65</f>
        <v>0.11</v>
      </c>
      <c r="O269" s="72">
        <f ca="1">Magick!$L$65</f>
        <v>0.11</v>
      </c>
      <c r="P269" s="72">
        <f ca="1">Magick!$M$65</f>
        <v>0.11</v>
      </c>
      <c r="Q269" s="67" t="s">
        <v>2225</v>
      </c>
      <c r="R269" s="67">
        <f ca="1">IF(Q269="Ritual","N/A",IF(Q269="I.E.","N/A",IF(Q269="WOG",VLOOKUP(Magick!$I$65*100,magestuff!$B$134:$F$138,2),IF(Q269="Cantrip",VLOOKUP(Magick!$I$65*100,magestuff!$B$134:$F$138,3),IF(Q269="Hex",VLOOKUP(Magick!$I$65*100,magestuff!$B$134:$F$138,4),VLOOKUP(Magick!$I$65*100,magestuff!$B$134:$F$138,5))))))</f>
        <v>29</v>
      </c>
      <c r="S269" s="67" t="s">
        <v>5545</v>
      </c>
      <c r="T269" s="67" t="s">
        <v>5545</v>
      </c>
      <c r="U269" s="67" t="str">
        <f t="shared" si="34"/>
        <v xml:space="preserve"> </v>
      </c>
      <c r="V269" s="515"/>
      <c r="W269" s="125"/>
      <c r="X269" s="31">
        <f t="shared" si="35"/>
        <v>0</v>
      </c>
      <c r="Y269" s="961"/>
      <c r="Z269" s="1054" t="str">
        <f t="shared" si="36"/>
        <v>Great Walk in Shadows</v>
      </c>
      <c r="AA269" s="1072" t="str">
        <f t="shared" si="37"/>
        <v>Common</v>
      </c>
    </row>
    <row r="270" spans="1:27" hidden="1" outlineLevel="1">
      <c r="A270" s="31" t="s">
        <v>1689</v>
      </c>
      <c r="B270" s="67">
        <v>2</v>
      </c>
      <c r="C270" s="67">
        <f ca="1">IF(magestuff!$F$197&lt;1,1,magestuff!$F$197)</f>
        <v>2</v>
      </c>
      <c r="D270" s="67">
        <f t="shared" si="33"/>
        <v>0</v>
      </c>
      <c r="E270" s="77">
        <f ca="1">IF(F270="y",HLOOKUP((IF(C270&lt;1,1,C270)),Magick!$C$20:$L$21,2),NA())</f>
        <v>21</v>
      </c>
      <c r="F270" s="67" t="str">
        <f ca="1">IF(C270&lt;=Magick!$D$3,"Y","N")</f>
        <v>Y</v>
      </c>
      <c r="G270" s="148" t="s">
        <v>128</v>
      </c>
      <c r="H270" s="151"/>
      <c r="I270" s="77" t="e">
        <f>IF(H270&gt;0,(HLOOKUP(C270,Magick!$C$20:$L$21,2)-HLOOKUP(H270,Magick!$C$20:$L$21,2)),NA())</f>
        <v>#N/A</v>
      </c>
      <c r="J270" s="77"/>
      <c r="K270" s="67">
        <v>4</v>
      </c>
      <c r="L270" s="72" t="str">
        <f>IF(H270&gt;0,Magick!#REF!-('Master Spell List'!H255*0.1),"N/A")</f>
        <v>N/A</v>
      </c>
      <c r="M270" s="72">
        <f ca="1">Magick!$H$65</f>
        <v>0.08</v>
      </c>
      <c r="N270" s="72">
        <f ca="1">Magick!$K$65</f>
        <v>0.11</v>
      </c>
      <c r="O270" s="72">
        <f ca="1">Magick!$L$65</f>
        <v>0.11</v>
      </c>
      <c r="P270" s="72">
        <f ca="1">Magick!$M$65</f>
        <v>0.11</v>
      </c>
      <c r="Q270" s="67" t="s">
        <v>4603</v>
      </c>
      <c r="R270" s="67">
        <f ca="1">IF(Q270="Ritual","N/A",IF(Q270="I.E.","N/A",IF(Q270="WOG",VLOOKUP(Magick!$I$65*100,magestuff!$B$134:$F$138,2),IF(Q270="Cantrip",VLOOKUP(Magick!$I$65*100,magestuff!$B$134:$F$138,3),IF(Q270="Hex",VLOOKUP(Magick!$I$65*100,magestuff!$B$134:$F$138,4),VLOOKUP(Magick!$I$65*100,magestuff!$B$134:$F$138,5))))))</f>
        <v>9</v>
      </c>
      <c r="U270" s="67" t="str">
        <f t="shared" si="34"/>
        <v xml:space="preserve"> </v>
      </c>
      <c r="V270" s="515"/>
      <c r="W270" s="125"/>
      <c r="X270" s="31">
        <f t="shared" si="35"/>
        <v>0</v>
      </c>
      <c r="Y270" s="961"/>
      <c r="Z270" s="1054" t="str">
        <f t="shared" si="36"/>
        <v>Hold Portal</v>
      </c>
      <c r="AA270" s="1072" t="str">
        <f t="shared" si="37"/>
        <v>Common</v>
      </c>
    </row>
    <row r="271" spans="1:27" hidden="1" outlineLevel="1">
      <c r="A271" s="31" t="s">
        <v>1007</v>
      </c>
      <c r="B271" s="67">
        <v>2</v>
      </c>
      <c r="C271" s="67">
        <f ca="1">IF(magestuff!$F$197&lt;1,1,magestuff!$F$197)</f>
        <v>2</v>
      </c>
      <c r="D271" s="67">
        <f t="shared" si="33"/>
        <v>0</v>
      </c>
      <c r="E271" s="77">
        <f ca="1">IF(F271="y",HLOOKUP((IF(C271&lt;1,1,C271)),Magick!$C$20:$L$21,2),NA())</f>
        <v>21</v>
      </c>
      <c r="F271" s="67" t="str">
        <f ca="1">IF(C271&lt;=Magick!$D$3,"Y","N")</f>
        <v>Y</v>
      </c>
      <c r="G271" s="148" t="s">
        <v>128</v>
      </c>
      <c r="H271" s="151"/>
      <c r="I271" s="77" t="e">
        <f>IF(H271&gt;0,(HLOOKUP(C271,Magick!$C$20:$L$21,2)-HLOOKUP(H271,Magick!$C$20:$L$21,2)),NA())</f>
        <v>#N/A</v>
      </c>
      <c r="J271" s="77"/>
      <c r="K271" s="67">
        <v>3</v>
      </c>
      <c r="L271" s="72" t="str">
        <f>IF(H271&gt;0,Magick!#REF!-('Master Spell List'!H285*0.1),"N/A")</f>
        <v>N/A</v>
      </c>
      <c r="M271" s="72">
        <f ca="1">Magick!$H$65</f>
        <v>0.08</v>
      </c>
      <c r="N271" s="72">
        <f ca="1">Magick!$K$65</f>
        <v>0.11</v>
      </c>
      <c r="O271" s="72">
        <f ca="1">Magick!$L$65</f>
        <v>0.11</v>
      </c>
      <c r="P271" s="72">
        <f ca="1">Magick!$M$65</f>
        <v>0.11</v>
      </c>
      <c r="Q271" s="67" t="s">
        <v>4603</v>
      </c>
      <c r="R271" s="67">
        <f ca="1">IF(Q271="Ritual","N/A",IF(Q271="I.E.","N/A",IF(Q271="WOG",VLOOKUP(Magick!$I$65*100,magestuff!$B$134:$F$138,2),IF(Q271="Cantrip",VLOOKUP(Magick!$I$65*100,magestuff!$B$134:$F$138,3),IF(Q271="Hex",VLOOKUP(Magick!$I$65*100,magestuff!$B$134:$F$138,4),VLOOKUP(Magick!$I$65*100,magestuff!$B$134:$F$138,5))))))</f>
        <v>9</v>
      </c>
      <c r="U271" s="67" t="str">
        <f t="shared" si="34"/>
        <v xml:space="preserve"> </v>
      </c>
      <c r="V271" s="515"/>
      <c r="W271" s="125"/>
      <c r="X271" s="31">
        <f t="shared" si="35"/>
        <v>0</v>
      </c>
      <c r="Y271" s="961"/>
      <c r="Z271" s="1054" t="str">
        <f t="shared" si="36"/>
        <v>Knock</v>
      </c>
      <c r="AA271" s="1072" t="str">
        <f t="shared" si="37"/>
        <v>Common</v>
      </c>
    </row>
    <row r="272" spans="1:27" hidden="1" outlineLevel="1">
      <c r="A272" s="83" t="s">
        <v>1213</v>
      </c>
      <c r="B272" s="67">
        <v>2</v>
      </c>
      <c r="C272" s="67">
        <f ca="1">IF(magestuff!$F$197&lt;1,1,magestuff!$F$197)</f>
        <v>2</v>
      </c>
      <c r="D272" s="67">
        <f t="shared" si="33"/>
        <v>0</v>
      </c>
      <c r="E272" s="77">
        <f ca="1">IF(F272="y",HLOOKUP((IF(C272&lt;1,1,C272)),Magick!$C$20:$L$21,2),NA())</f>
        <v>21</v>
      </c>
      <c r="F272" s="67" t="str">
        <f ca="1">IF(C272&lt;=Magick!$D$3,"Y","N")</f>
        <v>Y</v>
      </c>
      <c r="G272" s="148" t="s">
        <v>1217</v>
      </c>
      <c r="H272" s="151"/>
      <c r="I272" s="77" t="e">
        <f>IF(H272&gt;0,(HLOOKUP(C272,Magick!$C$20:$L$21,2)-HLOOKUP(H272,Magick!$C$20:$L$21,2)),NA())</f>
        <v>#N/A</v>
      </c>
      <c r="J272" s="77"/>
      <c r="K272" s="67">
        <v>4</v>
      </c>
      <c r="L272" s="72" t="str">
        <f>IF(H272&gt;0,Magick!#REF!-('Master Spell List'!H308*0.1),"N/A")</f>
        <v>N/A</v>
      </c>
      <c r="M272" s="72">
        <f ca="1">Magick!$H$65</f>
        <v>0.08</v>
      </c>
      <c r="N272" s="72">
        <f ca="1">Magick!$K$65</f>
        <v>0.11</v>
      </c>
      <c r="O272" s="72">
        <f ca="1">Magick!$L$65</f>
        <v>0.11</v>
      </c>
      <c r="P272" s="72">
        <f ca="1">Magick!$M$65</f>
        <v>0.11</v>
      </c>
      <c r="Q272" s="67" t="s">
        <v>4603</v>
      </c>
      <c r="R272" s="67">
        <f ca="1">IF(Q272="Ritual","N/A",IF(Q272="I.E.","N/A",IF(Q272="WOG",VLOOKUP(Magick!$I$65*100,magestuff!$B$134:$F$138,2),IF(Q272="Cantrip",VLOOKUP(Magick!$I$65*100,magestuff!$B$134:$F$138,3),IF(Q272="Hex",VLOOKUP(Magick!$I$65*100,magestuff!$B$134:$F$138,4),VLOOKUP(Magick!$I$65*100,magestuff!$B$134:$F$138,5))))))</f>
        <v>9</v>
      </c>
      <c r="S272" s="67">
        <f>25*Magick!$C$3</f>
        <v>0</v>
      </c>
      <c r="T272" s="67" t="s">
        <v>3725</v>
      </c>
      <c r="U272" s="67" t="str">
        <f t="shared" si="34"/>
        <v xml:space="preserve"> </v>
      </c>
      <c r="V272" s="515"/>
      <c r="W272" s="125"/>
      <c r="Y272" s="961"/>
      <c r="Z272" s="1054" t="str">
        <f t="shared" si="36"/>
        <v>Least Eldritch Attack</v>
      </c>
      <c r="AA272" s="1072" t="str">
        <f t="shared" si="37"/>
        <v>Common</v>
      </c>
    </row>
    <row r="273" spans="1:27" hidden="1" outlineLevel="1">
      <c r="A273" s="83" t="s">
        <v>5768</v>
      </c>
      <c r="B273" s="67">
        <v>2</v>
      </c>
      <c r="C273" s="67">
        <f ca="1">IF(magestuff!$F$197&lt;1,1,magestuff!$F$197)</f>
        <v>2</v>
      </c>
      <c r="D273" s="67">
        <f t="shared" si="33"/>
        <v>0</v>
      </c>
      <c r="E273" s="77">
        <f ca="1">IF(F273="y",HLOOKUP((IF(C273&lt;1,1,C273)),Magick!$C$20:$L$21,2),NA())</f>
        <v>21</v>
      </c>
      <c r="F273" s="67" t="str">
        <f ca="1">IF(C273&lt;=Magick!$D$3,"Y","N")</f>
        <v>Y</v>
      </c>
      <c r="G273" s="148" t="s">
        <v>5779</v>
      </c>
      <c r="H273" s="151"/>
      <c r="I273" s="77" t="e">
        <f>IF(H273&gt;0,(HLOOKUP(C273,Magick!$C$20:$L$21,2)-HLOOKUP(H273,Magick!$C$20:$L$21,2)),NA())</f>
        <v>#N/A</v>
      </c>
      <c r="J273" s="77"/>
      <c r="K273" s="67">
        <v>3</v>
      </c>
      <c r="L273" s="72" t="str">
        <f>IF(H273&gt;0,Magick!#REF!-('Master Spell List'!H325*0.1),"N/A")</f>
        <v>N/A</v>
      </c>
      <c r="M273" s="72">
        <f ca="1">Magick!$H$65</f>
        <v>0.08</v>
      </c>
      <c r="N273" s="72">
        <f ca="1">Magick!$K$65</f>
        <v>0.11</v>
      </c>
      <c r="O273" s="72">
        <f ca="1">Magick!$L$65</f>
        <v>0.11</v>
      </c>
      <c r="P273" s="72">
        <f ca="1">Magick!$M$65</f>
        <v>0.11</v>
      </c>
      <c r="Q273" s="67" t="s">
        <v>1619</v>
      </c>
      <c r="R273" s="67">
        <f ca="1">IF(Q273="Ritual","N/A",IF(Q273="I.E.","N/A",IF(Q273="WOG",VLOOKUP(Magick!$I$65*100,magestuff!$B$134:$F$138,2),IF(Q273="Cantrip",VLOOKUP(Magick!$I$65*100,magestuff!$B$134:$F$138,3),IF(Q273="Hex",VLOOKUP(Magick!$I$65*100,magestuff!$B$134:$F$138,4),VLOOKUP(Magick!$I$65*100,magestuff!$B$134:$F$138,5))))))</f>
        <v>29</v>
      </c>
      <c r="S273" s="67" t="s">
        <v>5545</v>
      </c>
      <c r="T273" s="67" t="s">
        <v>5545</v>
      </c>
      <c r="U273" s="67" t="str">
        <f t="shared" si="34"/>
        <v xml:space="preserve"> </v>
      </c>
      <c r="V273" s="515"/>
      <c r="W273" s="125"/>
      <c r="X273" s="31">
        <f t="shared" ref="X273:X288" si="38">W273*3</f>
        <v>0</v>
      </c>
      <c r="Y273" s="961"/>
      <c r="Z273" s="1054" t="str">
        <f t="shared" si="36"/>
        <v xml:space="preserve">Lesser Healing Touch of Apollo   </v>
      </c>
      <c r="AA273" s="1072" t="str">
        <f t="shared" si="37"/>
        <v>Common</v>
      </c>
    </row>
    <row r="274" spans="1:27" hidden="1" outlineLevel="1">
      <c r="A274" s="31" t="s">
        <v>2514</v>
      </c>
      <c r="B274" s="67">
        <v>2</v>
      </c>
      <c r="C274" s="67">
        <f ca="1">IF(magestuff!$F$197&lt;1,1,magestuff!$F$197)</f>
        <v>2</v>
      </c>
      <c r="D274" s="67">
        <f t="shared" si="33"/>
        <v>0</v>
      </c>
      <c r="E274" s="77">
        <f ca="1">IF(F274="y",HLOOKUP((IF(C274&lt;1,1,C274)),Magick!$C$20:$L$21,2),NA())</f>
        <v>21</v>
      </c>
      <c r="F274" s="67" t="str">
        <f ca="1">IF(C274&lt;=Magick!$D$3,"Y","N")</f>
        <v>Y</v>
      </c>
      <c r="G274" s="148" t="s">
        <v>128</v>
      </c>
      <c r="H274" s="151"/>
      <c r="I274" s="77" t="e">
        <f>IF(H274&gt;0,(HLOOKUP(C274,Magick!$C$20:$L$21,2)-HLOOKUP(H274,Magick!$C$20:$L$21,2)),NA())</f>
        <v>#N/A</v>
      </c>
      <c r="J274" s="77"/>
      <c r="K274" s="67" t="s">
        <v>4022</v>
      </c>
      <c r="L274" s="72" t="str">
        <f>IF(H274&gt;0,Magick!#REF!-('Master Spell List'!H313*0.1),"N/A")</f>
        <v>N/A</v>
      </c>
      <c r="M274" s="72">
        <f ca="1">Magick!$H$65</f>
        <v>0.08</v>
      </c>
      <c r="N274" s="72">
        <f ca="1">Magick!$K$65</f>
        <v>0.11</v>
      </c>
      <c r="O274" s="72">
        <f ca="1">Magick!$L$65</f>
        <v>0.11</v>
      </c>
      <c r="P274" s="72">
        <f ca="1">Magick!$M$65</f>
        <v>0.11</v>
      </c>
      <c r="Q274" s="67" t="s">
        <v>4602</v>
      </c>
      <c r="R274" s="67">
        <f ca="1">IF(Q274="Ritual","N/A",IF(Q274="I.E.","N/A",IF(Q274="WOG",VLOOKUP(Magick!$I$65*100,magestuff!$B$134:$F$138,2),IF(Q274="Cantrip",VLOOKUP(Magick!$I$65*100,magestuff!$B$134:$F$138,3),IF(Q274="Hex",VLOOKUP(Magick!$I$65*100,magestuff!$B$134:$F$138,4),VLOOKUP(Magick!$I$65*100,magestuff!$B$134:$F$138,5))))))</f>
        <v>19</v>
      </c>
      <c r="U274" s="67" t="str">
        <f t="shared" si="34"/>
        <v xml:space="preserve"> </v>
      </c>
      <c r="V274" s="515"/>
      <c r="W274" s="125"/>
      <c r="X274" s="31">
        <f t="shared" si="38"/>
        <v>0</v>
      </c>
      <c r="Y274" s="961"/>
      <c r="Z274" s="1054" t="str">
        <f t="shared" si="36"/>
        <v>Shadow Arrows (Mana Darts)</v>
      </c>
      <c r="AA274" s="1072" t="str">
        <f t="shared" si="37"/>
        <v>Common</v>
      </c>
    </row>
    <row r="275" spans="1:27" hidden="1" outlineLevel="1">
      <c r="A275" s="31" t="s">
        <v>3393</v>
      </c>
      <c r="B275" s="67">
        <v>2</v>
      </c>
      <c r="C275" s="67">
        <f ca="1">IF(magestuff!$F$197&lt;1,1,magestuff!$F$197)</f>
        <v>2</v>
      </c>
      <c r="D275" s="67">
        <f t="shared" si="33"/>
        <v>0</v>
      </c>
      <c r="E275" s="77">
        <f ca="1">IF(F275="y",HLOOKUP((IF(C275&lt;1,1,C275)),Magick!$C$20:$L$21,2),NA())</f>
        <v>21</v>
      </c>
      <c r="F275" s="67" t="str">
        <f ca="1">IF(C275&lt;=Magick!$D$3,"Y","N")</f>
        <v>Y</v>
      </c>
      <c r="G275" s="148" t="s">
        <v>128</v>
      </c>
      <c r="H275" s="151"/>
      <c r="I275" s="77" t="e">
        <f>IF(H275&gt;0,(HLOOKUP(C275,Magick!$C$20:$L$21,2)-HLOOKUP(H275,Magick!$C$20:$L$21,2)),NA())</f>
        <v>#N/A</v>
      </c>
      <c r="J275" s="77"/>
      <c r="K275" s="67">
        <v>4</v>
      </c>
      <c r="L275" s="72" t="str">
        <f>IF(H275&gt;0,Magick!#REF!-('Master Spell List'!H297*0.1),"N/A")</f>
        <v>N/A</v>
      </c>
      <c r="M275" s="72">
        <f ca="1">Magick!$H$65</f>
        <v>0.08</v>
      </c>
      <c r="N275" s="72">
        <f ca="1">Magick!$K$65</f>
        <v>0.11</v>
      </c>
      <c r="O275" s="72">
        <f ca="1">Magick!$L$65</f>
        <v>0.11</v>
      </c>
      <c r="P275" s="72">
        <f ca="1">Magick!$M$65</f>
        <v>0.11</v>
      </c>
      <c r="Q275" s="67" t="s">
        <v>4602</v>
      </c>
      <c r="R275" s="67">
        <f ca="1">IF(Q275="Ritual","N/A",IF(Q275="I.E.","N/A",IF(Q275="WOG",VLOOKUP(Magick!$I$65*100,magestuff!$B$134:$F$138,2),IF(Q275="Cantrip",VLOOKUP(Magick!$I$65*100,magestuff!$B$134:$F$138,3),IF(Q275="Hex",VLOOKUP(Magick!$I$65*100,magestuff!$B$134:$F$138,4),VLOOKUP(Magick!$I$65*100,magestuff!$B$134:$F$138,5))))))</f>
        <v>19</v>
      </c>
      <c r="U275" s="67" t="str">
        <f t="shared" si="34"/>
        <v xml:space="preserve"> </v>
      </c>
      <c r="V275" s="515"/>
      <c r="W275" s="125"/>
      <c r="X275" s="31">
        <f t="shared" si="38"/>
        <v>0</v>
      </c>
      <c r="Y275" s="961"/>
      <c r="Z275" s="1054" t="str">
        <f t="shared" si="36"/>
        <v>Shadowcast</v>
      </c>
      <c r="AA275" s="1072" t="str">
        <f t="shared" si="37"/>
        <v>Common</v>
      </c>
    </row>
    <row r="276" spans="1:27" hidden="1" outlineLevel="1">
      <c r="A276" s="83" t="s">
        <v>2665</v>
      </c>
      <c r="B276" s="67">
        <v>3</v>
      </c>
      <c r="C276" s="67">
        <f ca="1">IF(magestuff!$I$197&lt;1,1,magestuff!$I$197)</f>
        <v>3</v>
      </c>
      <c r="D276" s="67">
        <f t="shared" si="33"/>
        <v>0</v>
      </c>
      <c r="E276" s="77" t="e">
        <f ca="1">IF(F276="y",HLOOKUP((IF(C276&lt;1,1,C276)),Magick!$C$20:$L$21,2),NA())</f>
        <v>#N/A</v>
      </c>
      <c r="F276" s="67" t="str">
        <f ca="1">IF(C276&lt;=Magick!$D$3,"Y","N")</f>
        <v>N</v>
      </c>
      <c r="G276" s="148" t="s">
        <v>1616</v>
      </c>
      <c r="H276" s="151"/>
      <c r="I276" s="77" t="e">
        <f>IF(H276&gt;0,(HLOOKUP(C276,Magick!$C$20:$L$21,2)-HLOOKUP(H276,Magick!$C$20:$L$21,2)),NA())</f>
        <v>#N/A</v>
      </c>
      <c r="J276" s="77"/>
      <c r="K276" s="67">
        <v>4</v>
      </c>
      <c r="L276" s="72" t="str">
        <f>IF(H276&gt;0,Magick!#REF!-('Master Spell List'!H289*0.1),"N/A")</f>
        <v>N/A</v>
      </c>
      <c r="M276" s="72">
        <f ca="1">Magick!$H$65</f>
        <v>0.08</v>
      </c>
      <c r="N276" s="72">
        <f ca="1">Magick!$K$65</f>
        <v>0.11</v>
      </c>
      <c r="O276" s="72">
        <f ca="1">Magick!$L$65</f>
        <v>0.11</v>
      </c>
      <c r="P276" s="72">
        <f ca="1">Magick!$M$65</f>
        <v>0.11</v>
      </c>
      <c r="Q276" s="67" t="s">
        <v>4603</v>
      </c>
      <c r="R276" s="67">
        <f ca="1">IF(Q276="Ritual","N/A",IF(Q276="I.E.","N/A",IF(Q276="WOG",VLOOKUP(Magick!$I$65*100,magestuff!$B$134:$F$138,2),IF(Q276="Cantrip",VLOOKUP(Magick!$I$65*100,magestuff!$B$134:$F$138,3),IF(Q276="Hex",VLOOKUP(Magick!$I$65*100,magestuff!$B$134:$F$138,4),VLOOKUP(Magick!$I$65*100,magestuff!$B$134:$F$138,5))))))</f>
        <v>9</v>
      </c>
      <c r="U276" s="67" t="str">
        <f t="shared" si="34"/>
        <v xml:space="preserve"> </v>
      </c>
      <c r="V276" s="515"/>
      <c r="W276" s="125"/>
      <c r="X276" s="31">
        <f t="shared" si="38"/>
        <v>0</v>
      </c>
      <c r="Y276" s="961"/>
      <c r="Z276" s="1054" t="str">
        <f t="shared" si="36"/>
        <v>Arcane Arrowhead of Greater Damage</v>
      </c>
      <c r="AA276" s="1072" t="str">
        <f t="shared" si="37"/>
        <v>Common</v>
      </c>
    </row>
    <row r="277" spans="1:27" hidden="1" outlineLevel="1">
      <c r="A277" s="31" t="s">
        <v>1008</v>
      </c>
      <c r="B277" s="67">
        <v>3</v>
      </c>
      <c r="C277" s="67">
        <f ca="1">IF(magestuff!$I$197&lt;1,1,magestuff!$I$197)</f>
        <v>3</v>
      </c>
      <c r="D277" s="67">
        <f t="shared" si="33"/>
        <v>0</v>
      </c>
      <c r="E277" s="77" t="e">
        <f ca="1">IF(F277="y",HLOOKUP((IF(C277&lt;1,1,C277)),Magick!$C$20:$L$21,2),NA())</f>
        <v>#N/A</v>
      </c>
      <c r="F277" s="67" t="str">
        <f ca="1">IF(C277&lt;=Magick!$D$3,"Y","N")</f>
        <v>N</v>
      </c>
      <c r="G277" s="148" t="s">
        <v>128</v>
      </c>
      <c r="H277" s="151"/>
      <c r="I277" s="77" t="e">
        <f>IF(H277&gt;0,(HLOOKUP(C277,Magick!$C$20:$L$21,2)-HLOOKUP(H277,Magick!$C$20:$L$21,2)),NA())</f>
        <v>#N/A</v>
      </c>
      <c r="J277" s="77"/>
      <c r="K277" s="67">
        <v>5</v>
      </c>
      <c r="L277" s="72" t="str">
        <f>IF(H277&gt;0,Magick!#REF!-('Master Spell List'!H286*0.1),"N/A")</f>
        <v>N/A</v>
      </c>
      <c r="M277" s="72">
        <f ca="1">Magick!$H$65</f>
        <v>0.08</v>
      </c>
      <c r="N277" s="72">
        <f ca="1">Magick!$K$65</f>
        <v>0.11</v>
      </c>
      <c r="O277" s="72">
        <f ca="1">Magick!$L$65</f>
        <v>0.11</v>
      </c>
      <c r="P277" s="72">
        <f ca="1">Magick!$M$65</f>
        <v>0.11</v>
      </c>
      <c r="Q277" s="67" t="s">
        <v>4602</v>
      </c>
      <c r="R277" s="67">
        <f ca="1">IF(Q277="Ritual","N/A",IF(Q277="I.E.","N/A",IF(Q277="WOG",VLOOKUP(Magick!$I$65*100,magestuff!$B$134:$F$138,2),IF(Q277="Cantrip",VLOOKUP(Magick!$I$65*100,magestuff!$B$134:$F$138,3),IF(Q277="Hex",VLOOKUP(Magick!$I$65*100,magestuff!$B$134:$F$138,4),VLOOKUP(Magick!$I$65*100,magestuff!$B$134:$F$138,5))))))</f>
        <v>19</v>
      </c>
      <c r="U277" s="67" t="str">
        <f t="shared" si="34"/>
        <v xml:space="preserve"> </v>
      </c>
      <c r="V277" s="515"/>
      <c r="W277" s="125"/>
      <c r="X277" s="31">
        <f t="shared" si="38"/>
        <v>0</v>
      </c>
      <c r="Y277" s="961"/>
      <c r="Z277" s="1054" t="str">
        <f t="shared" si="36"/>
        <v>Arcane Key</v>
      </c>
      <c r="AA277" s="1072" t="str">
        <f t="shared" si="37"/>
        <v>Common</v>
      </c>
    </row>
    <row r="278" spans="1:27" hidden="1" outlineLevel="1">
      <c r="A278" s="31" t="s">
        <v>65</v>
      </c>
      <c r="B278" s="67">
        <v>3</v>
      </c>
      <c r="C278" s="67">
        <f ca="1">IF(magestuff!$I$197&lt;1,1,magestuff!$I$197)</f>
        <v>3</v>
      </c>
      <c r="D278" s="67">
        <f t="shared" si="33"/>
        <v>0</v>
      </c>
      <c r="E278" s="77" t="e">
        <f ca="1">IF(F278="y",HLOOKUP((IF(C278&lt;1,1,C278)),Magick!$C$20:$L$21,2),NA())</f>
        <v>#N/A</v>
      </c>
      <c r="F278" s="67" t="str">
        <f ca="1">IF(C278&lt;=Magick!$D$3,"Y","N")</f>
        <v>N</v>
      </c>
      <c r="G278" s="148" t="s">
        <v>128</v>
      </c>
      <c r="H278" s="151"/>
      <c r="I278" s="77" t="e">
        <f>IF(H278&gt;0,(HLOOKUP(C278,Magick!$C$20:$L$21,2)-HLOOKUP(H278,Magick!$C$20:$L$21,2)),NA())</f>
        <v>#N/A</v>
      </c>
      <c r="J278" s="77"/>
      <c r="K278" s="67">
        <v>5</v>
      </c>
      <c r="L278" s="72" t="str">
        <f>IF(H278&gt;0,Magick!#REF!-('Master Spell List'!H256*0.1),"N/A")</f>
        <v>N/A</v>
      </c>
      <c r="M278" s="72">
        <f ca="1">Magick!$H$65</f>
        <v>0.08</v>
      </c>
      <c r="N278" s="72">
        <f ca="1">Magick!$K$65</f>
        <v>0.11</v>
      </c>
      <c r="O278" s="72">
        <f ca="1">Magick!$L$65</f>
        <v>0.11</v>
      </c>
      <c r="P278" s="72">
        <f ca="1">Magick!$M$65</f>
        <v>0.11</v>
      </c>
      <c r="Q278" s="67" t="s">
        <v>3723</v>
      </c>
      <c r="R278" s="67">
        <f ca="1">IF(Q278="Ritual","N/A",IF(Q278="I.E.","N/A",IF(Q278="WOG",VLOOKUP(Magick!$I$65*100,magestuff!$B$134:$F$138,2),IF(Q278="Cantrip",VLOOKUP(Magick!$I$65*100,magestuff!$B$134:$F$138,3),IF(Q278="Hex",VLOOKUP(Magick!$I$65*100,magestuff!$B$134:$F$138,4),VLOOKUP(Magick!$I$65*100,magestuff!$B$134:$F$138,5))))))</f>
        <v>29</v>
      </c>
      <c r="U278" s="67" t="str">
        <f t="shared" si="34"/>
        <v xml:space="preserve"> </v>
      </c>
      <c r="V278" s="515"/>
      <c r="W278" s="125"/>
      <c r="X278" s="31">
        <f t="shared" si="38"/>
        <v>0</v>
      </c>
      <c r="Y278" s="961"/>
      <c r="Z278" s="1054" t="str">
        <f t="shared" si="36"/>
        <v>Arcane Lock</v>
      </c>
      <c r="AA278" s="1072" t="str">
        <f t="shared" si="37"/>
        <v>Common</v>
      </c>
    </row>
    <row r="279" spans="1:27" hidden="1" outlineLevel="1">
      <c r="A279" s="83" t="s">
        <v>2666</v>
      </c>
      <c r="B279" s="67">
        <v>3</v>
      </c>
      <c r="C279" s="67">
        <f ca="1">IF(magestuff!$I$197&lt;1,1,magestuff!$I$197)</f>
        <v>3</v>
      </c>
      <c r="D279" s="67">
        <f t="shared" si="33"/>
        <v>0</v>
      </c>
      <c r="E279" s="77" t="e">
        <f ca="1">IF(F279="y",HLOOKUP((IF(C279&lt;1,1,C279)),Magick!$C$20:$L$21,2),NA())</f>
        <v>#N/A</v>
      </c>
      <c r="F279" s="67" t="str">
        <f ca="1">IF(C279&lt;=Magick!$D$3,"Y","N")</f>
        <v>N</v>
      </c>
      <c r="G279" s="148" t="s">
        <v>1616</v>
      </c>
      <c r="H279" s="151"/>
      <c r="I279" s="77" t="e">
        <f>IF(H279&gt;0,(HLOOKUP(C279,Magick!$C$20:$L$21,2)-HLOOKUP(H279,Magick!$C$20:$L$21,2)),NA())</f>
        <v>#N/A</v>
      </c>
      <c r="J279" s="77"/>
      <c r="K279" s="67">
        <v>4</v>
      </c>
      <c r="L279" s="72" t="str">
        <f>IF(H279&gt;0,Magick!#REF!-('Master Spell List'!H290*0.1),"N/A")</f>
        <v>N/A</v>
      </c>
      <c r="M279" s="72">
        <f ca="1">Magick!$H$65</f>
        <v>0.08</v>
      </c>
      <c r="N279" s="72">
        <f ca="1">Magick!$K$65</f>
        <v>0.11</v>
      </c>
      <c r="O279" s="72">
        <f ca="1">Magick!$L$65</f>
        <v>0.11</v>
      </c>
      <c r="P279" s="72">
        <f ca="1">Magick!$M$65</f>
        <v>0.11</v>
      </c>
      <c r="Q279" s="67" t="s">
        <v>4603</v>
      </c>
      <c r="R279" s="67">
        <f ca="1">IF(Q279="Ritual","N/A",IF(Q279="I.E.","N/A",IF(Q279="WOG",VLOOKUP(Magick!$I$65*100,magestuff!$B$134:$F$138,2),IF(Q279="Cantrip",VLOOKUP(Magick!$I$65*100,magestuff!$B$134:$F$138,3),IF(Q279="Hex",VLOOKUP(Magick!$I$65*100,magestuff!$B$134:$F$138,4),VLOOKUP(Magick!$I$65*100,magestuff!$B$134:$F$138,5))))))</f>
        <v>9</v>
      </c>
      <c r="U279" s="67" t="str">
        <f t="shared" si="34"/>
        <v xml:space="preserve"> </v>
      </c>
      <c r="V279" s="515"/>
      <c r="W279" s="125"/>
      <c r="X279" s="31">
        <f t="shared" si="38"/>
        <v>0</v>
      </c>
      <c r="Y279" s="509"/>
      <c r="Z279" s="1054" t="str">
        <f t="shared" si="36"/>
        <v>Arcane Spear Head (Lance Head)</v>
      </c>
      <c r="AA279" s="1072" t="str">
        <f t="shared" si="37"/>
        <v>Common</v>
      </c>
    </row>
    <row r="280" spans="1:27" hidden="1" outlineLevel="1">
      <c r="A280" s="83" t="s">
        <v>1463</v>
      </c>
      <c r="B280" s="67">
        <v>3</v>
      </c>
      <c r="C280" s="67">
        <f ca="1">IF(magestuff!$I$197&lt;1,1,magestuff!$I$197)</f>
        <v>3</v>
      </c>
      <c r="D280" s="67">
        <f t="shared" si="33"/>
        <v>0</v>
      </c>
      <c r="E280" s="77" t="e">
        <f ca="1">IF(F280="y",HLOOKUP((IF(C280&lt;1,1,C280)),Magick!$C$20:$L$21,2),NA())</f>
        <v>#N/A</v>
      </c>
      <c r="F280" s="67" t="str">
        <f ca="1">IF(C280&lt;=Magick!$D$3,"Y","N")</f>
        <v>N</v>
      </c>
      <c r="G280" s="148" t="s">
        <v>1617</v>
      </c>
      <c r="H280" s="151"/>
      <c r="I280" s="77" t="e">
        <f>IF(H280&gt;0,(HLOOKUP(C280,Magick!$C$20:$L$21,2)-HLOOKUP(H280,Magick!$C$20:$L$21,2)),NA())</f>
        <v>#N/A</v>
      </c>
      <c r="J280" s="77"/>
      <c r="K280" s="67" t="s">
        <v>3452</v>
      </c>
      <c r="L280" s="72" t="str">
        <f>IF(H280&gt;0,Magick!#REF!-('Master Spell List'!H340*0.1),"N/A")</f>
        <v>N/A</v>
      </c>
      <c r="M280" s="72">
        <f ca="1">Magick!$H$65</f>
        <v>0.08</v>
      </c>
      <c r="N280" s="72">
        <f ca="1">Magick!$K$65</f>
        <v>0.11</v>
      </c>
      <c r="O280" s="72">
        <f ca="1">Magick!$L$65</f>
        <v>0.11</v>
      </c>
      <c r="P280" s="72">
        <f ca="1">Magick!$M$65</f>
        <v>0.11</v>
      </c>
      <c r="Q280" s="67" t="s">
        <v>4602</v>
      </c>
      <c r="R280" s="67">
        <f ca="1">IF(Q280="Ritual","N/A",IF(Q280="I.E.","N/A",IF(Q280="WOG",VLOOKUP(Magick!$I$65*100,magestuff!$B$134:$F$138,2),IF(Q280="Cantrip",VLOOKUP(Magick!$I$65*100,magestuff!$B$134:$F$138,3),IF(Q280="Hex",VLOOKUP(Magick!$I$65*100,magestuff!$B$134:$F$138,4),VLOOKUP(Magick!$I$65*100,magestuff!$B$134:$F$138,5))))))</f>
        <v>19</v>
      </c>
      <c r="U280" s="67" t="str">
        <f t="shared" si="34"/>
        <v xml:space="preserve"> </v>
      </c>
      <c r="V280" s="515"/>
      <c r="W280" s="125"/>
      <c r="X280" s="31">
        <f t="shared" si="38"/>
        <v>0</v>
      </c>
      <c r="Y280" s="509"/>
      <c r="Z280" s="1054" t="str">
        <f t="shared" si="36"/>
        <v>Arcane String</v>
      </c>
      <c r="AA280" s="1072" t="str">
        <f t="shared" si="37"/>
        <v>Common</v>
      </c>
    </row>
    <row r="281" spans="1:27" hidden="1" outlineLevel="1">
      <c r="A281" s="83" t="s">
        <v>3344</v>
      </c>
      <c r="B281" s="67">
        <v>3</v>
      </c>
      <c r="C281" s="67">
        <f ca="1">IF(magestuff!$I$197&lt;1,1,magestuff!$I$197)</f>
        <v>3</v>
      </c>
      <c r="D281" s="67">
        <f t="shared" si="33"/>
        <v>0</v>
      </c>
      <c r="E281" s="77" t="e">
        <f ca="1">IF(F281="y",HLOOKUP((IF(C281&lt;1,1,C281)),Magick!$C$20:$L$21,2),NA())</f>
        <v>#N/A</v>
      </c>
      <c r="F281" s="67" t="str">
        <f ca="1">IF(C281&lt;=Magick!$D$3,"Y","N")</f>
        <v>N</v>
      </c>
      <c r="G281" s="148" t="s">
        <v>1616</v>
      </c>
      <c r="H281" s="151"/>
      <c r="I281" s="77" t="e">
        <f>IF(H281&gt;0,(HLOOKUP(C281,Magick!$C$20:$L$21,2)-HLOOKUP(H281,Magick!$C$20:$L$21,2)),NA())</f>
        <v>#N/A</v>
      </c>
      <c r="J281" s="77"/>
      <c r="K281" s="67">
        <v>4</v>
      </c>
      <c r="L281" s="72" t="str">
        <f>IF(H281&gt;0,Magick!#REF!-('Master Spell List'!H292*0.1),"N/A")</f>
        <v>N/A</v>
      </c>
      <c r="M281" s="72">
        <f ca="1">Magick!$H$65</f>
        <v>0.08</v>
      </c>
      <c r="N281" s="72">
        <f ca="1">Magick!$K$65</f>
        <v>0.11</v>
      </c>
      <c r="O281" s="72">
        <f ca="1">Magick!$L$65</f>
        <v>0.11</v>
      </c>
      <c r="P281" s="72">
        <f ca="1">Magick!$M$65</f>
        <v>0.11</v>
      </c>
      <c r="Q281" s="67" t="s">
        <v>4603</v>
      </c>
      <c r="R281" s="67">
        <f ca="1">IF(Q281="Ritual","N/A",IF(Q281="I.E.","N/A",IF(Q281="WOG",VLOOKUP(Magick!$I$65*100,magestuff!$B$134:$F$138,2),IF(Q281="Cantrip",VLOOKUP(Magick!$I$65*100,magestuff!$B$134:$F$138,3),IF(Q281="Hex",VLOOKUP(Magick!$I$65*100,magestuff!$B$134:$F$138,4),VLOOKUP(Magick!$I$65*100,magestuff!$B$134:$F$138,5))))))</f>
        <v>9</v>
      </c>
      <c r="U281" s="67" t="str">
        <f t="shared" si="34"/>
        <v xml:space="preserve"> </v>
      </c>
      <c r="V281" s="515"/>
      <c r="W281" s="125"/>
      <c r="X281" s="31">
        <f t="shared" si="38"/>
        <v>0</v>
      </c>
      <c r="Y281" s="509"/>
      <c r="Z281" s="1054" t="str">
        <f t="shared" si="36"/>
        <v xml:space="preserve">Arcane Training Lance </v>
      </c>
      <c r="AA281" s="1072" t="str">
        <f t="shared" si="37"/>
        <v>Common</v>
      </c>
    </row>
    <row r="282" spans="1:27" hidden="1" outlineLevel="1">
      <c r="A282" s="31" t="s">
        <v>5120</v>
      </c>
      <c r="B282" s="67">
        <v>3</v>
      </c>
      <c r="C282" s="67">
        <f ca="1">IF(magestuff!$I$197&lt;1,1,magestuff!$I$197)</f>
        <v>3</v>
      </c>
      <c r="D282" s="67">
        <f t="shared" si="33"/>
        <v>0</v>
      </c>
      <c r="E282" s="77" t="e">
        <f ca="1">IF(F282="y",HLOOKUP((IF(C282&lt;1,1,C282)),Magick!$C$20:$L$21,2),NA())</f>
        <v>#N/A</v>
      </c>
      <c r="F282" s="67" t="str">
        <f ca="1">IF(C282&lt;=Magick!$D$3,"Y","N")</f>
        <v>N</v>
      </c>
      <c r="G282" s="148" t="s">
        <v>128</v>
      </c>
      <c r="H282" s="151"/>
      <c r="I282" s="77" t="e">
        <f>IF(H282&gt;0,(HLOOKUP(C282,Magick!$C$20:$L$21,2)-HLOOKUP(H282,Magick!$C$20:$L$21,2)),NA())</f>
        <v>#N/A</v>
      </c>
      <c r="J282" s="77"/>
      <c r="K282" s="67">
        <v>5</v>
      </c>
      <c r="L282" s="72" t="str">
        <f>IF(H282&gt;0,Magick!#REF!-('Master Spell List'!H298*0.1),"N/A")</f>
        <v>N/A</v>
      </c>
      <c r="M282" s="72">
        <f ca="1">Magick!$H$65</f>
        <v>0.08</v>
      </c>
      <c r="N282" s="72">
        <f ca="1">Magick!$K$65</f>
        <v>0.11</v>
      </c>
      <c r="O282" s="72">
        <f ca="1">Magick!$L$65</f>
        <v>0.11</v>
      </c>
      <c r="P282" s="72">
        <f ca="1">Magick!$M$65</f>
        <v>0.11</v>
      </c>
      <c r="Q282" s="67" t="s">
        <v>3723</v>
      </c>
      <c r="R282" s="67">
        <f ca="1">IF(Q282="Ritual","N/A",IF(Q282="I.E.","N/A",IF(Q282="WOG",VLOOKUP(Magick!$I$65*100,magestuff!$B$134:$F$138,2),IF(Q282="Cantrip",VLOOKUP(Magick!$I$65*100,magestuff!$B$134:$F$138,3),IF(Q282="Hex",VLOOKUP(Magick!$I$65*100,magestuff!$B$134:$F$138,4),VLOOKUP(Magick!$I$65*100,magestuff!$B$134:$F$138,5))))))</f>
        <v>29</v>
      </c>
      <c r="U282" s="67" t="str">
        <f t="shared" si="34"/>
        <v xml:space="preserve"> </v>
      </c>
      <c r="V282" s="515"/>
      <c r="W282" s="125"/>
      <c r="X282" s="31">
        <f t="shared" si="38"/>
        <v>0</v>
      </c>
      <c r="Y282" s="509"/>
      <c r="Z282" s="1054" t="str">
        <f t="shared" si="36"/>
        <v>Cloak of Shadows (Mantle of Darkness)</v>
      </c>
      <c r="AA282" s="1072" t="str">
        <f t="shared" si="37"/>
        <v>Common</v>
      </c>
    </row>
    <row r="283" spans="1:27" hidden="1" outlineLevel="1">
      <c r="A283" s="83" t="s">
        <v>3239</v>
      </c>
      <c r="B283" s="67">
        <v>3</v>
      </c>
      <c r="C283" s="67">
        <f ca="1">IF(magestuff!$I$197&lt;1,1,magestuff!$I$197)</f>
        <v>3</v>
      </c>
      <c r="D283" s="67">
        <f t="shared" si="33"/>
        <v>0</v>
      </c>
      <c r="E283" s="77" t="e">
        <f ca="1">IF(F283="y",HLOOKUP((IF(C283&lt;1,1,C283)),Magick!$C$20:$L$21,2),NA())</f>
        <v>#N/A</v>
      </c>
      <c r="F283" s="67" t="str">
        <f ca="1">IF(C283&lt;=Magick!$D$3,"Y","N")</f>
        <v>N</v>
      </c>
      <c r="G283" s="148" t="s">
        <v>1617</v>
      </c>
      <c r="H283" s="151"/>
      <c r="I283" s="77" t="e">
        <f>IF(H283&gt;0,(HLOOKUP(C283,Magick!$C$20:$L$21,2)-HLOOKUP(H283,Magick!$C$20:$L$21,2)),NA())</f>
        <v>#N/A</v>
      </c>
      <c r="J283" s="77"/>
      <c r="K283" s="67">
        <v>4</v>
      </c>
      <c r="L283" s="72" t="str">
        <f>IF(H283&gt;0,Magick!#REF!-('Master Spell List'!H320*0.1),"N/A")</f>
        <v>N/A</v>
      </c>
      <c r="M283" s="72">
        <f ca="1">Magick!$H$65</f>
        <v>0.08</v>
      </c>
      <c r="N283" s="72">
        <f ca="1">Magick!$K$65</f>
        <v>0.11</v>
      </c>
      <c r="O283" s="72">
        <f ca="1">Magick!$L$65</f>
        <v>0.11</v>
      </c>
      <c r="P283" s="72">
        <f ca="1">Magick!$M$65</f>
        <v>0.11</v>
      </c>
      <c r="Q283" s="67" t="s">
        <v>4603</v>
      </c>
      <c r="R283" s="67">
        <f ca="1">IF(Q283="Ritual","N/A",IF(Q283="I.E.","N/A",IF(Q283="WOG",VLOOKUP(Magick!$I$65*100,magestuff!$B$134:$F$138,2),IF(Q283="Cantrip",VLOOKUP(Magick!$I$65*100,magestuff!$B$134:$F$138,3),IF(Q283="Hex",VLOOKUP(Magick!$I$65*100,magestuff!$B$134:$F$138,4),VLOOKUP(Magick!$I$65*100,magestuff!$B$134:$F$138,5))))))</f>
        <v>9</v>
      </c>
      <c r="T283" s="67" t="s">
        <v>4601</v>
      </c>
      <c r="U283" s="67" t="str">
        <f t="shared" si="34"/>
        <v xml:space="preserve"> </v>
      </c>
      <c r="V283" s="515"/>
      <c r="W283" s="125"/>
      <c r="X283" s="31">
        <f t="shared" si="38"/>
        <v>0</v>
      </c>
      <c r="Y283" s="509"/>
      <c r="Z283" s="1054" t="str">
        <f t="shared" si="36"/>
        <v>Command Arcane Energy</v>
      </c>
      <c r="AA283" s="1072" t="str">
        <f t="shared" si="37"/>
        <v>Common</v>
      </c>
    </row>
    <row r="284" spans="1:27" hidden="1" outlineLevel="1">
      <c r="A284" s="83" t="s">
        <v>1455</v>
      </c>
      <c r="B284" s="67">
        <v>3</v>
      </c>
      <c r="C284" s="67">
        <f ca="1">IF(magestuff!$I$197&lt;1,1,magestuff!$I$197)</f>
        <v>3</v>
      </c>
      <c r="D284" s="67">
        <f t="shared" si="33"/>
        <v>0</v>
      </c>
      <c r="E284" s="77" t="e">
        <f ca="1">IF(F284="y",HLOOKUP((IF(C284&lt;1,1,C284)),Magick!$C$20:$L$21,2),NA())</f>
        <v>#N/A</v>
      </c>
      <c r="F284" s="67" t="str">
        <f ca="1">IF(C284&lt;=Magick!$D$3,"Y","N")</f>
        <v>N</v>
      </c>
      <c r="G284" s="148" t="s">
        <v>1617</v>
      </c>
      <c r="H284" s="151"/>
      <c r="I284" s="77" t="e">
        <f>IF(H284&gt;0,(HLOOKUP(C284,Magick!$C$20:$L$21,2)-HLOOKUP(H284,Magick!$C$20:$L$21,2)),NA())</f>
        <v>#N/A</v>
      </c>
      <c r="J284" s="77"/>
      <c r="K284" s="67">
        <v>4</v>
      </c>
      <c r="L284" s="72" t="str">
        <f>IF(H284&gt;0,Magick!#REF!-('Master Spell List'!H326*0.1),"N/A")</f>
        <v>N/A</v>
      </c>
      <c r="M284" s="72">
        <f ca="1">Magick!$H$65</f>
        <v>0.08</v>
      </c>
      <c r="N284" s="72">
        <f ca="1">Magick!$K$65</f>
        <v>0.11</v>
      </c>
      <c r="O284" s="72">
        <f ca="1">Magick!$L$65</f>
        <v>0.11</v>
      </c>
      <c r="P284" s="72">
        <f ca="1">Magick!$M$65</f>
        <v>0.11</v>
      </c>
      <c r="Q284" s="67" t="s">
        <v>4602</v>
      </c>
      <c r="R284" s="67">
        <f ca="1">IF(Q284="Ritual","N/A",IF(Q284="I.E.","N/A",IF(Q284="WOG",VLOOKUP(Magick!$I$65*100,magestuff!$B$134:$F$138,2),IF(Q284="Cantrip",VLOOKUP(Magick!$I$65*100,magestuff!$B$134:$F$138,3),IF(Q284="Hex",VLOOKUP(Magick!$I$65*100,magestuff!$B$134:$F$138,4),VLOOKUP(Magick!$I$65*100,magestuff!$B$134:$F$138,5))))))</f>
        <v>19</v>
      </c>
      <c r="S284" s="67" t="s">
        <v>5545</v>
      </c>
      <c r="T284" s="67" t="s">
        <v>5545</v>
      </c>
      <c r="U284" s="67" t="str">
        <f t="shared" si="34"/>
        <v xml:space="preserve"> </v>
      </c>
      <c r="V284" s="515"/>
      <c r="W284" s="125"/>
      <c r="X284" s="31">
        <f t="shared" si="38"/>
        <v>0</v>
      </c>
      <c r="Y284" s="509"/>
      <c r="Z284" s="1054" t="str">
        <f t="shared" si="36"/>
        <v>Discharge (Detonate)</v>
      </c>
      <c r="AA284" s="1072" t="str">
        <f t="shared" si="37"/>
        <v>Common</v>
      </c>
    </row>
    <row r="285" spans="1:27" hidden="1" outlineLevel="1">
      <c r="A285" s="31" t="s">
        <v>3396</v>
      </c>
      <c r="B285" s="67">
        <v>3</v>
      </c>
      <c r="C285" s="67">
        <f ca="1">IF(magestuff!$I$197&lt;1,1,magestuff!$I$197)</f>
        <v>3</v>
      </c>
      <c r="D285" s="67">
        <f t="shared" si="33"/>
        <v>0</v>
      </c>
      <c r="E285" s="77" t="e">
        <f ca="1">IF(F285="y",HLOOKUP((IF(C285&lt;1,1,C285)),Magick!$C$20:$L$21,2),NA())</f>
        <v>#N/A</v>
      </c>
      <c r="F285" s="67" t="str">
        <f ca="1">IF(C285&lt;=Magick!$D$3,"Y","N")</f>
        <v>N</v>
      </c>
      <c r="G285" s="148" t="s">
        <v>128</v>
      </c>
      <c r="H285" s="151"/>
      <c r="I285" s="77" t="e">
        <f>IF(H285&gt;0,(HLOOKUP(C285,Magick!$C$20:$L$21,2)-HLOOKUP(H285,Magick!$C$20:$L$21,2)),NA())</f>
        <v>#N/A</v>
      </c>
      <c r="J285" s="77"/>
      <c r="L285" s="72" t="str">
        <f>IF(H285&gt;0,Magick!#REF!-('Master Spell List'!H301*0.1),"N/A")</f>
        <v>N/A</v>
      </c>
      <c r="M285" s="72">
        <f ca="1">Magick!$H$65</f>
        <v>0.08</v>
      </c>
      <c r="N285" s="72">
        <f ca="1">Magick!$K$65</f>
        <v>0.11</v>
      </c>
      <c r="O285" s="72">
        <f ca="1">Magick!$L$65</f>
        <v>0.11</v>
      </c>
      <c r="P285" s="72">
        <f ca="1">Magick!$M$65</f>
        <v>0.11</v>
      </c>
      <c r="Q285" s="67" t="s">
        <v>3723</v>
      </c>
      <c r="R285" s="67">
        <f ca="1">IF(Q285="Ritual","N/A",IF(Q285="I.E.","N/A",IF(Q285="WOG",VLOOKUP(Magick!$I$65*100,magestuff!$B$134:$F$138,2),IF(Q285="Cantrip",VLOOKUP(Magick!$I$65*100,magestuff!$B$134:$F$138,3),IF(Q285="Hex",VLOOKUP(Magick!$I$65*100,magestuff!$B$134:$F$138,4),VLOOKUP(Magick!$I$65*100,magestuff!$B$134:$F$138,5))))))</f>
        <v>29</v>
      </c>
      <c r="U285" s="67" t="str">
        <f t="shared" si="34"/>
        <v xml:space="preserve"> </v>
      </c>
      <c r="V285" s="515"/>
      <c r="W285" s="125"/>
      <c r="X285" s="31">
        <f t="shared" si="38"/>
        <v>0</v>
      </c>
      <c r="Y285" s="509"/>
      <c r="Z285" s="1054" t="str">
        <f t="shared" si="36"/>
        <v>Dispel Darkness</v>
      </c>
      <c r="AA285" s="1072" t="str">
        <f t="shared" si="37"/>
        <v>Common</v>
      </c>
    </row>
    <row r="286" spans="1:27" hidden="1" outlineLevel="1">
      <c r="A286" s="31" t="s">
        <v>1012</v>
      </c>
      <c r="B286" s="67">
        <v>3</v>
      </c>
      <c r="C286" s="67">
        <f ca="1">IF(magestuff!$I$197&lt;1,1,magestuff!$I$197)</f>
        <v>3</v>
      </c>
      <c r="D286" s="67">
        <f t="shared" ref="D286:D318" si="39">IF(AND(ISNUMBER(H286),H286=0),C286,0)</f>
        <v>0</v>
      </c>
      <c r="E286" s="77" t="e">
        <f ca="1">IF(F286="y",HLOOKUP((IF(C286&lt;1,1,C286)),Magick!$C$20:$L$21,2),NA())</f>
        <v>#N/A</v>
      </c>
      <c r="F286" s="67" t="str">
        <f ca="1">IF(C286&lt;=Magick!$D$3,"Y","N")</f>
        <v>N</v>
      </c>
      <c r="G286" s="148" t="s">
        <v>128</v>
      </c>
      <c r="H286" s="151"/>
      <c r="I286" s="77" t="e">
        <f>IF(H286&gt;0,(HLOOKUP(C286,Magick!$C$20:$L$21,2)-HLOOKUP(H286,Magick!$C$20:$L$21,2)),NA())</f>
        <v>#N/A</v>
      </c>
      <c r="J286" s="77"/>
      <c r="K286" s="67">
        <v>5</v>
      </c>
      <c r="L286" s="72" t="str">
        <f>IF(H286&gt;0,Magick!#REF!-('Master Spell List'!H291*0.1),"N/A")</f>
        <v>N/A</v>
      </c>
      <c r="M286" s="72">
        <f ca="1">Magick!$H$65</f>
        <v>0.08</v>
      </c>
      <c r="N286" s="72">
        <f ca="1">Magick!$K$65</f>
        <v>0.11</v>
      </c>
      <c r="O286" s="72">
        <f ca="1">Magick!$L$65</f>
        <v>0.11</v>
      </c>
      <c r="P286" s="72">
        <f ca="1">Magick!$M$65</f>
        <v>0.11</v>
      </c>
      <c r="Q286" s="67" t="s">
        <v>3723</v>
      </c>
      <c r="R286" s="67">
        <f ca="1">IF(Q286="Ritual","N/A",IF(Q286="I.E.","N/A",IF(Q286="WOG",VLOOKUP(Magick!$I$65*100,magestuff!$B$134:$F$138,2),IF(Q286="Cantrip",VLOOKUP(Magick!$I$65*100,magestuff!$B$134:$F$138,3),IF(Q286="Hex",VLOOKUP(Magick!$I$65*100,magestuff!$B$134:$F$138,4),VLOOKUP(Magick!$I$65*100,magestuff!$B$134:$F$138,5))))))</f>
        <v>29</v>
      </c>
      <c r="U286" s="67" t="str">
        <f t="shared" ref="U286:U318" si="40">IF(ISBLANK(H286)," ",IF(H286&gt;0,0,C286*10))</f>
        <v xml:space="preserve"> </v>
      </c>
      <c r="V286" s="515"/>
      <c r="W286" s="125"/>
      <c r="X286" s="31">
        <f t="shared" si="38"/>
        <v>0</v>
      </c>
      <c r="Y286" s="509"/>
      <c r="Z286" s="1054" t="str">
        <f t="shared" si="36"/>
        <v>Eldritch Area Light</v>
      </c>
      <c r="AA286" s="1072" t="str">
        <f t="shared" si="37"/>
        <v>Common</v>
      </c>
    </row>
    <row r="287" spans="1:27" hidden="1" outlineLevel="1">
      <c r="A287" s="83" t="s">
        <v>3242</v>
      </c>
      <c r="B287" s="67">
        <v>3</v>
      </c>
      <c r="C287" s="67">
        <f ca="1">IF(magestuff!$I$197&lt;1,1,magestuff!$I$197)</f>
        <v>3</v>
      </c>
      <c r="D287" s="67">
        <f t="shared" si="39"/>
        <v>0</v>
      </c>
      <c r="E287" s="77" t="e">
        <f ca="1">IF(F287="y",HLOOKUP((IF(C287&lt;1,1,C287)),Magick!$C$20:$L$21,2),NA())</f>
        <v>#N/A</v>
      </c>
      <c r="F287" s="67" t="str">
        <f ca="1">IF(C287&lt;=Magick!$D$3,"Y","N")</f>
        <v>N</v>
      </c>
      <c r="G287" s="148" t="s">
        <v>1617</v>
      </c>
      <c r="H287" s="151"/>
      <c r="I287" s="77" t="e">
        <f>IF(H287&gt;0,(HLOOKUP(C287,Magick!$C$20:$L$21,2)-HLOOKUP(H287,Magick!$C$20:$L$21,2)),NA())</f>
        <v>#N/A</v>
      </c>
      <c r="J287" s="77"/>
      <c r="K287" s="67">
        <v>4</v>
      </c>
      <c r="L287" s="72" t="str">
        <f>IF(H287&gt;0,Magick!#REF!-('Master Spell List'!H318*0.1),"N/A")</f>
        <v>N/A</v>
      </c>
      <c r="M287" s="72">
        <f ca="1">Magick!$H$65</f>
        <v>0.08</v>
      </c>
      <c r="N287" s="72">
        <f ca="1">Magick!$K$65</f>
        <v>0.11</v>
      </c>
      <c r="O287" s="72">
        <f ca="1">Magick!$L$65</f>
        <v>0.11</v>
      </c>
      <c r="P287" s="72">
        <f ca="1">Magick!$M$65</f>
        <v>0.11</v>
      </c>
      <c r="Q287" s="67" t="s">
        <v>4602</v>
      </c>
      <c r="R287" s="67">
        <f ca="1">IF(Q287="Ritual","N/A",IF(Q287="I.E.","N/A",IF(Q287="WOG",VLOOKUP(Magick!$I$65*100,magestuff!$B$134:$F$138,2),IF(Q287="Cantrip",VLOOKUP(Magick!$I$65*100,magestuff!$B$134:$F$138,3),IF(Q287="Hex",VLOOKUP(Magick!$I$65*100,magestuff!$B$134:$F$138,4),VLOOKUP(Magick!$I$65*100,magestuff!$B$134:$F$138,5))))))</f>
        <v>19</v>
      </c>
      <c r="S287" s="67" t="s">
        <v>5545</v>
      </c>
      <c r="T287" s="67" t="s">
        <v>5545</v>
      </c>
      <c r="U287" s="67" t="str">
        <f t="shared" si="40"/>
        <v xml:space="preserve"> </v>
      </c>
      <c r="V287" s="515"/>
      <c r="W287" s="125"/>
      <c r="X287" s="31">
        <f t="shared" si="38"/>
        <v>0</v>
      </c>
      <c r="Y287" s="509"/>
      <c r="Z287" s="1054" t="str">
        <f t="shared" si="36"/>
        <v>Gather Great Amount of Arcane Energy</v>
      </c>
      <c r="AA287" s="1072" t="str">
        <f t="shared" si="37"/>
        <v>Common</v>
      </c>
    </row>
    <row r="288" spans="1:27" hidden="1" outlineLevel="1">
      <c r="A288" s="83" t="s">
        <v>1900</v>
      </c>
      <c r="B288" s="67">
        <v>3</v>
      </c>
      <c r="C288" s="67">
        <f ca="1">IF(magestuff!$I$197&lt;1,1,magestuff!$I$197)</f>
        <v>3</v>
      </c>
      <c r="D288" s="67">
        <f t="shared" si="39"/>
        <v>0</v>
      </c>
      <c r="E288" s="77" t="e">
        <f ca="1">IF(F288="y",HLOOKUP((IF(C288&lt;1,1,C288)),Magick!$C$20:$L$21,2),NA())</f>
        <v>#N/A</v>
      </c>
      <c r="F288" s="67" t="str">
        <f ca="1">IF(C288&lt;=Magick!$D$3,"Y","N")</f>
        <v>N</v>
      </c>
      <c r="G288" s="148" t="s">
        <v>859</v>
      </c>
      <c r="H288" s="151"/>
      <c r="I288" s="77" t="e">
        <f>IF(H288&gt;0,(HLOOKUP(C288,Magick!$C$20:$L$21,2)-HLOOKUP(H288,Magick!$C$20:$L$21,2)),NA())</f>
        <v>#N/A</v>
      </c>
      <c r="J288" s="77"/>
      <c r="K288" s="67" t="s">
        <v>2225</v>
      </c>
      <c r="L288" s="72" t="str">
        <f>IF(H288&gt;0,Magick!#REF!-('Master Spell List'!H416*0.1),"N/A")</f>
        <v>N/A</v>
      </c>
      <c r="M288" s="72">
        <f ca="1">Magick!$H$65</f>
        <v>0.08</v>
      </c>
      <c r="N288" s="72">
        <f ca="1">Magick!$K$65</f>
        <v>0.11</v>
      </c>
      <c r="O288" s="72">
        <f ca="1">Magick!$L$65</f>
        <v>0.11</v>
      </c>
      <c r="P288" s="72">
        <f ca="1">Magick!$M$65</f>
        <v>0.11</v>
      </c>
      <c r="Q288" s="67" t="s">
        <v>2225</v>
      </c>
      <c r="R288" s="67">
        <f ca="1">IF(Q288="Ritual","N/A",IF(Q288="I.E.","N/A",IF(Q288="WOG",VLOOKUP(Magick!$I$65*100,magestuff!$B$134:$F$138,2),IF(Q288="Cantrip",VLOOKUP(Magick!$I$65*100,magestuff!$B$134:$F$138,3),IF(Q288="Hex",VLOOKUP(Magick!$I$65*100,magestuff!$B$134:$F$138,4),VLOOKUP(Magick!$I$65*100,magestuff!$B$134:$F$138,5))))))</f>
        <v>29</v>
      </c>
      <c r="S288" s="67" t="s">
        <v>5545</v>
      </c>
      <c r="T288" s="67" t="s">
        <v>5545</v>
      </c>
      <c r="U288" s="67" t="str">
        <f t="shared" si="40"/>
        <v xml:space="preserve"> </v>
      </c>
      <c r="V288" s="515"/>
      <c r="W288" s="125"/>
      <c r="X288" s="31">
        <f t="shared" si="38"/>
        <v>0</v>
      </c>
      <c r="Y288" s="509"/>
      <c r="Z288" s="1054" t="str">
        <f t="shared" si="36"/>
        <v>Greater Walk in Shadows</v>
      </c>
      <c r="AA288" s="1072" t="str">
        <f t="shared" si="37"/>
        <v>Common</v>
      </c>
    </row>
    <row r="289" spans="1:27" hidden="1" outlineLevel="1">
      <c r="A289" s="83" t="s">
        <v>1212</v>
      </c>
      <c r="B289" s="67">
        <v>3</v>
      </c>
      <c r="C289" s="67">
        <f ca="1">IF(magestuff!$I$197&lt;1,1,magestuff!$I$197)</f>
        <v>3</v>
      </c>
      <c r="D289" s="67">
        <f t="shared" si="39"/>
        <v>0</v>
      </c>
      <c r="E289" s="77" t="e">
        <f ca="1">IF(F289="y",HLOOKUP((IF(C289&lt;1,1,C289)),Magick!$C$20:$L$21,2),NA())</f>
        <v>#N/A</v>
      </c>
      <c r="F289" s="67" t="str">
        <f ca="1">IF(C289&lt;=Magick!$D$3,"Y","N")</f>
        <v>N</v>
      </c>
      <c r="G289" s="148" t="s">
        <v>1217</v>
      </c>
      <c r="H289" s="151"/>
      <c r="I289" s="77" t="e">
        <f>IF(H289&gt;0,(HLOOKUP(C289,Magick!$C$20:$L$21,2)-HLOOKUP(H289,Magick!$C$20:$L$21,2)),NA())</f>
        <v>#N/A</v>
      </c>
      <c r="J289" s="77"/>
      <c r="K289" s="67">
        <v>6</v>
      </c>
      <c r="L289" s="72" t="str">
        <f>IF(H289&gt;0,Magick!#REF!-('Master Spell List'!H309*0.1),"N/A")</f>
        <v>N/A</v>
      </c>
      <c r="M289" s="72">
        <f ca="1">Magick!$H$65</f>
        <v>0.08</v>
      </c>
      <c r="N289" s="72">
        <f ca="1">Magick!$K$65</f>
        <v>0.11</v>
      </c>
      <c r="O289" s="72">
        <f ca="1">Magick!$L$65</f>
        <v>0.11</v>
      </c>
      <c r="P289" s="72">
        <f ca="1">Magick!$M$65</f>
        <v>0.11</v>
      </c>
      <c r="Q289" s="67" t="s">
        <v>4602</v>
      </c>
      <c r="R289" s="67">
        <f ca="1">IF(Q289="Ritual","N/A",IF(Q289="I.E.","N/A",IF(Q289="WOG",VLOOKUP(Magick!$I$65*100,magestuff!$B$134:$F$138,2),IF(Q289="Cantrip",VLOOKUP(Magick!$I$65*100,magestuff!$B$134:$F$138,3),IF(Q289="Hex",VLOOKUP(Magick!$I$65*100,magestuff!$B$134:$F$138,4),VLOOKUP(Magick!$I$65*100,magestuff!$B$134:$F$138,5))))))</f>
        <v>19</v>
      </c>
      <c r="S289" s="67">
        <f>25*Magick!$C$3</f>
        <v>0</v>
      </c>
      <c r="T289" s="67" t="s">
        <v>3725</v>
      </c>
      <c r="U289" s="67" t="str">
        <f t="shared" si="40"/>
        <v xml:space="preserve"> </v>
      </c>
      <c r="V289" s="515"/>
      <c r="W289" s="125"/>
      <c r="Y289" s="509"/>
      <c r="Z289" s="1054" t="str">
        <f t="shared" si="36"/>
        <v>Lesser Eldritch Attack</v>
      </c>
      <c r="AA289" s="1072" t="str">
        <f t="shared" si="37"/>
        <v>Common</v>
      </c>
    </row>
    <row r="290" spans="1:27" hidden="1" outlineLevel="1">
      <c r="A290" s="83" t="s">
        <v>3139</v>
      </c>
      <c r="B290" s="67">
        <v>3</v>
      </c>
      <c r="C290" s="67">
        <f ca="1">IF(magestuff!$I$197&lt;1,1,magestuff!$I$197)</f>
        <v>3</v>
      </c>
      <c r="D290" s="67">
        <f t="shared" si="39"/>
        <v>0</v>
      </c>
      <c r="E290" s="77" t="e">
        <f ca="1">IF(F290="y",HLOOKUP((IF(C290&lt;1,1,C290)),Magick!$C$20:$L$21,2),NA())</f>
        <v>#N/A</v>
      </c>
      <c r="F290" s="67" t="str">
        <f ca="1">IF(C290&lt;=Magick!$D$3,"Y","N")</f>
        <v>N</v>
      </c>
      <c r="G290" s="148" t="s">
        <v>1617</v>
      </c>
      <c r="H290" s="151"/>
      <c r="I290" s="77" t="e">
        <f>IF(H290&gt;0,(HLOOKUP(C290,Magick!$C$20:$L$21,2)-HLOOKUP(H290,Magick!$C$20:$L$21,2)),NA())</f>
        <v>#N/A</v>
      </c>
      <c r="J290" s="77"/>
      <c r="K290" s="67">
        <v>6</v>
      </c>
      <c r="L290" s="72" t="str">
        <f>IF(H290&gt;0,Magick!#REF!-('Master Spell List'!H332*0.1),"N/A")</f>
        <v>N/A</v>
      </c>
      <c r="M290" s="72">
        <f ca="1">Magick!$H$65</f>
        <v>0.08</v>
      </c>
      <c r="N290" s="72">
        <f ca="1">Magick!$K$65</f>
        <v>0.11</v>
      </c>
      <c r="O290" s="72">
        <f ca="1">Magick!$L$65</f>
        <v>0.11</v>
      </c>
      <c r="P290" s="72">
        <f ca="1">Magick!$M$65</f>
        <v>0.11</v>
      </c>
      <c r="Q290" s="67" t="s">
        <v>4603</v>
      </c>
      <c r="R290" s="67">
        <f ca="1">IF(Q290="Ritual","N/A",IF(Q290="I.E.","N/A",IF(Q290="WOG",VLOOKUP(Magick!$I$65*100,magestuff!$B$134:$F$138,2),IF(Q290="Cantrip",VLOOKUP(Magick!$I$65*100,magestuff!$B$134:$F$138,3),IF(Q290="Hex",VLOOKUP(Magick!$I$65*100,magestuff!$B$134:$F$138,4),VLOOKUP(Magick!$I$65*100,magestuff!$B$134:$F$138,5))))))</f>
        <v>9</v>
      </c>
      <c r="S290" s="67" t="s">
        <v>5545</v>
      </c>
      <c r="T290" s="67" t="s">
        <v>5545</v>
      </c>
      <c r="U290" s="67" t="str">
        <f t="shared" si="40"/>
        <v xml:space="preserve"> </v>
      </c>
      <c r="V290" s="515"/>
      <c r="W290" s="125"/>
      <c r="X290" s="31">
        <f t="shared" ref="X290:X321" si="41">W290*3</f>
        <v>0</v>
      </c>
      <c r="Y290" s="509"/>
      <c r="Z290" s="1054" t="str">
        <f t="shared" si="36"/>
        <v>Slow</v>
      </c>
      <c r="AA290" s="1072" t="str">
        <f t="shared" si="37"/>
        <v>Common</v>
      </c>
    </row>
    <row r="291" spans="1:27" hidden="1" outlineLevel="1">
      <c r="A291" s="31" t="s">
        <v>357</v>
      </c>
      <c r="B291" s="67">
        <v>3</v>
      </c>
      <c r="C291" s="67">
        <f ca="1">IF(magestuff!$I$197&lt;1,1,magestuff!$I$197)</f>
        <v>3</v>
      </c>
      <c r="D291" s="67">
        <f t="shared" si="39"/>
        <v>0</v>
      </c>
      <c r="E291" s="77" t="e">
        <f ca="1">IF(F291="y",HLOOKUP((IF(C291&lt;1,1,C291)),Magick!$C$20:$L$21,2),NA())</f>
        <v>#N/A</v>
      </c>
      <c r="F291" s="67" t="str">
        <f ca="1">IF(C291&lt;=Magick!$D$3,"Y","N")</f>
        <v>N</v>
      </c>
      <c r="G291" s="148" t="s">
        <v>128</v>
      </c>
      <c r="H291" s="151"/>
      <c r="I291" s="77" t="e">
        <f>IF(H291&gt;0,(HLOOKUP(C291,Magick!$C$20:$L$21,2)-HLOOKUP(H291,Magick!$C$20:$L$21,2)),NA())</f>
        <v>#N/A</v>
      </c>
      <c r="J291" s="77"/>
      <c r="K291" s="67">
        <v>5</v>
      </c>
      <c r="L291" s="72" t="str">
        <f>IF(H291&gt;0,Magick!#REF!-('Master Spell List'!H304*0.1),"N/A")</f>
        <v>N/A</v>
      </c>
      <c r="M291" s="72">
        <f ca="1">Magick!$H$65</f>
        <v>0.08</v>
      </c>
      <c r="N291" s="72">
        <f ca="1">Magick!$K$65</f>
        <v>0.11</v>
      </c>
      <c r="O291" s="72">
        <f ca="1">Magick!$L$65</f>
        <v>0.11</v>
      </c>
      <c r="P291" s="72">
        <f ca="1">Magick!$M$65</f>
        <v>0.11</v>
      </c>
      <c r="Q291" s="67" t="s">
        <v>113</v>
      </c>
      <c r="R291" s="67" t="str">
        <f>IF(Q291="Ritual","N/A",IF(Q291="I.E.","N/A",IF(Q291="WOG",VLOOKUP(Magick!$I$65*100,magestuff!$B$134:$F$138,2),IF(Q291="Cantrip",VLOOKUP(Magick!$I$65*100,magestuff!$B$134:$F$138,3),IF(Q291="Hex",VLOOKUP(Magick!$I$65*100,magestuff!$B$134:$F$138,4),VLOOKUP(Magick!$I$65*100,magestuff!$B$134:$F$138,5))))))</f>
        <v>N/A</v>
      </c>
      <c r="U291" s="67" t="str">
        <f t="shared" si="40"/>
        <v xml:space="preserve"> </v>
      </c>
      <c r="V291" s="515"/>
      <c r="W291" s="125"/>
      <c r="X291" s="31">
        <f t="shared" si="41"/>
        <v>0</v>
      </c>
      <c r="Y291" s="509"/>
      <c r="Z291" s="1054" t="str">
        <f t="shared" si="36"/>
        <v>Spirit Walker (Astral Projection)</v>
      </c>
      <c r="AA291" s="1072" t="str">
        <f t="shared" si="37"/>
        <v>Common</v>
      </c>
    </row>
    <row r="292" spans="1:27" hidden="1" outlineLevel="1">
      <c r="A292" s="31" t="s">
        <v>1652</v>
      </c>
      <c r="B292" s="67">
        <v>4</v>
      </c>
      <c r="C292" s="67">
        <f ca="1">magestuff!$L$197</f>
        <v>4</v>
      </c>
      <c r="D292" s="67">
        <f t="shared" si="39"/>
        <v>0</v>
      </c>
      <c r="E292" s="77" t="e">
        <f ca="1">IF(F292="y",HLOOKUP((IF(C292&lt;1,1,C292)),Magick!$C$20:$L$21,2),NA())</f>
        <v>#N/A</v>
      </c>
      <c r="F292" s="67" t="str">
        <f ca="1">IF(C292&lt;=Magick!$D$3,"Y","N")</f>
        <v>N</v>
      </c>
      <c r="G292" s="148" t="s">
        <v>128</v>
      </c>
      <c r="H292" s="151"/>
      <c r="I292" s="77" t="e">
        <f>IF(H292&gt;0,(HLOOKUP(C292,Magick!$C$20:$L$21,2)-HLOOKUP(H292,Magick!$C$20:$L$21,2)),NA())</f>
        <v>#N/A</v>
      </c>
      <c r="J292" s="77"/>
      <c r="K292" s="67" t="s">
        <v>4020</v>
      </c>
      <c r="L292" s="72" t="str">
        <f>IF(H292&gt;0,Magick!#REF!-('Master Spell List'!H282*0.1),"N/A")</f>
        <v>N/A</v>
      </c>
      <c r="M292" s="72">
        <f ca="1">Magick!$H$65</f>
        <v>0.08</v>
      </c>
      <c r="N292" s="72">
        <f ca="1">Magick!$K$65</f>
        <v>0.11</v>
      </c>
      <c r="O292" s="72">
        <f ca="1">Magick!$L$65</f>
        <v>0.11</v>
      </c>
      <c r="P292" s="72">
        <f ca="1">Magick!$M$65</f>
        <v>0.11</v>
      </c>
      <c r="Q292" s="67" t="s">
        <v>3723</v>
      </c>
      <c r="R292" s="67">
        <f ca="1">IF(Q292="Ritual","N/A",IF(Q292="I.E.","N/A",IF(Q292="WOG",VLOOKUP(Magick!$I$65*100,magestuff!$B$134:$F$138,2),IF(Q292="Cantrip",VLOOKUP(Magick!$I$65*100,magestuff!$B$134:$F$138,3),IF(Q292="Hex",VLOOKUP(Magick!$I$65*100,magestuff!$B$134:$F$138,4),VLOOKUP(Magick!$I$65*100,magestuff!$B$134:$F$138,5))))))</f>
        <v>29</v>
      </c>
      <c r="U292" s="67" t="str">
        <f t="shared" si="40"/>
        <v xml:space="preserve"> </v>
      </c>
      <c r="V292" s="515"/>
      <c r="W292" s="125"/>
      <c r="X292" s="31">
        <f t="shared" si="41"/>
        <v>0</v>
      </c>
      <c r="Y292" s="509"/>
      <c r="Z292" s="1054" t="str">
        <f t="shared" si="36"/>
        <v>Arcane Cloak  (Cloak of Power, Mana Flower)</v>
      </c>
      <c r="AA292" s="1072" t="str">
        <f t="shared" si="37"/>
        <v>Common</v>
      </c>
    </row>
    <row r="293" spans="1:27" hidden="1" outlineLevel="1">
      <c r="A293" s="83" t="s">
        <v>6060</v>
      </c>
      <c r="B293" s="67">
        <v>4</v>
      </c>
      <c r="C293" s="67">
        <f ca="1">magestuff!$L$197</f>
        <v>4</v>
      </c>
      <c r="D293" s="67">
        <f t="shared" si="39"/>
        <v>0</v>
      </c>
      <c r="E293" s="77" t="e">
        <f ca="1">IF(F293="y",HLOOKUP((IF(C293&lt;1,1,C293)),Magick!$C$20:$L$21,2),NA())</f>
        <v>#N/A</v>
      </c>
      <c r="F293" s="67" t="str">
        <f ca="1">IF(C293&lt;=Magick!$D$3,"Y","N")</f>
        <v>N</v>
      </c>
      <c r="G293" s="148" t="s">
        <v>6052</v>
      </c>
      <c r="H293" s="151"/>
      <c r="I293" s="77" t="e">
        <f>IF(H293&gt;0,(HLOOKUP(C293,Magick!$C$20:$L$21,2)-HLOOKUP(H293,Magick!$C$20:$L$21,2)),NA())</f>
        <v>#N/A</v>
      </c>
      <c r="J293" s="77"/>
      <c r="K293" s="67">
        <v>9</v>
      </c>
      <c r="L293" s="72" t="str">
        <f>IF(H293&gt;0,Magick!#REF!-('Master Spell List'!H240*0.1),"N/A")</f>
        <v>N/A</v>
      </c>
      <c r="M293" s="72">
        <f ca="1">Magick!$H$65</f>
        <v>0.08</v>
      </c>
      <c r="N293" s="72">
        <f ca="1">Magick!$K$65</f>
        <v>0.11</v>
      </c>
      <c r="O293" s="72">
        <f ca="1">Magick!$L$65</f>
        <v>0.11</v>
      </c>
      <c r="P293" s="72">
        <f ca="1">Magick!$M$65</f>
        <v>0.11</v>
      </c>
      <c r="Q293" s="67" t="s">
        <v>4603</v>
      </c>
      <c r="R293" s="67">
        <f ca="1">IF(Q293="Ritual","N/A",IF(Q293="I.E.","N/A",IF(Q293="WOG",VLOOKUP(Magick!$I$65*100,magestuff!$B$134:$F$138,2),IF(Q293="Cantrip",VLOOKUP(Magick!$I$65*100,magestuff!$B$134:$F$138,3),IF(Q293="Hex",VLOOKUP(Magick!$I$65*100,magestuff!$B$134:$F$138,4),VLOOKUP(Magick!$I$65*100,magestuff!$B$134:$F$138,5))))))</f>
        <v>9</v>
      </c>
      <c r="S293" s="67">
        <f>25*Magick!$C$3</f>
        <v>0</v>
      </c>
      <c r="T293" s="67" t="s">
        <v>3725</v>
      </c>
      <c r="U293" s="67" t="str">
        <f t="shared" si="40"/>
        <v xml:space="preserve"> </v>
      </c>
      <c r="V293" s="515"/>
      <c r="W293" s="125"/>
      <c r="X293" s="31">
        <f t="shared" si="41"/>
        <v>0</v>
      </c>
      <c r="Y293" s="1025"/>
      <c r="Z293" s="1054" t="str">
        <f t="shared" si="36"/>
        <v>Least Aport an Object</v>
      </c>
      <c r="AA293" s="1072" t="str">
        <f t="shared" si="37"/>
        <v>Common</v>
      </c>
    </row>
    <row r="294" spans="1:27" hidden="1" outlineLevel="1">
      <c r="A294" s="83" t="s">
        <v>3345</v>
      </c>
      <c r="B294" s="67">
        <v>4</v>
      </c>
      <c r="C294" s="67">
        <f ca="1">magestuff!$L$197</f>
        <v>4</v>
      </c>
      <c r="D294" s="67">
        <f t="shared" si="39"/>
        <v>0</v>
      </c>
      <c r="E294" s="77" t="e">
        <f ca="1">IF(F294="y",HLOOKUP((IF(C294&lt;1,1,C294)),Magick!$C$20:$L$21,2),NA())</f>
        <v>#N/A</v>
      </c>
      <c r="F294" s="67" t="str">
        <f ca="1">IF(C294&lt;=Magick!$D$3,"Y","N")</f>
        <v>N</v>
      </c>
      <c r="G294" s="148" t="s">
        <v>1616</v>
      </c>
      <c r="H294" s="151"/>
      <c r="I294" s="77" t="e">
        <f>IF(H294&gt;0,(HLOOKUP(C294,Magick!$C$20:$L$21,2)-HLOOKUP(H294,Magick!$C$20:$L$21,2)),NA())</f>
        <v>#N/A</v>
      </c>
      <c r="J294" s="77"/>
      <c r="K294" s="67">
        <v>5</v>
      </c>
      <c r="L294" s="72" t="str">
        <f>IF(H294&gt;0,Magick!#REF!-('Master Spell List'!H294*0.1),"N/A")</f>
        <v>N/A</v>
      </c>
      <c r="M294" s="72">
        <f ca="1">Magick!$H$65</f>
        <v>0.08</v>
      </c>
      <c r="N294" s="72">
        <f ca="1">Magick!$K$65</f>
        <v>0.11</v>
      </c>
      <c r="O294" s="72">
        <f ca="1">Magick!$L$65</f>
        <v>0.11</v>
      </c>
      <c r="P294" s="72">
        <f ca="1">Magick!$M$65</f>
        <v>0.11</v>
      </c>
      <c r="Q294" s="67" t="s">
        <v>4603</v>
      </c>
      <c r="R294" s="67">
        <f ca="1">IF(Q294="Ritual","N/A",IF(Q294="I.E.","N/A",IF(Q294="WOG",VLOOKUP(Magick!$I$65*100,magestuff!$B$134:$F$138,2),IF(Q294="Cantrip",VLOOKUP(Magick!$I$65*100,magestuff!$B$134:$F$138,3),IF(Q294="Hex",VLOOKUP(Magick!$I$65*100,magestuff!$B$134:$F$138,4),VLOOKUP(Magick!$I$65*100,magestuff!$B$134:$F$138,5))))))</f>
        <v>9</v>
      </c>
      <c r="U294" s="67" t="str">
        <f t="shared" si="40"/>
        <v xml:space="preserve"> </v>
      </c>
      <c r="V294" s="515"/>
      <c r="W294" s="125"/>
      <c r="X294" s="31">
        <f t="shared" si="41"/>
        <v>0</v>
      </c>
      <c r="Y294" s="509"/>
      <c r="Z294" s="1054" t="str">
        <f t="shared" si="36"/>
        <v xml:space="preserve">Arcane Dagger Blade </v>
      </c>
      <c r="AA294" s="1072" t="str">
        <f t="shared" si="37"/>
        <v>Common</v>
      </c>
    </row>
    <row r="295" spans="1:27" hidden="1" outlineLevel="1">
      <c r="A295" s="83" t="s">
        <v>2663</v>
      </c>
      <c r="B295" s="67">
        <v>4</v>
      </c>
      <c r="C295" s="67">
        <f ca="1">magestuff!$L$197</f>
        <v>4</v>
      </c>
      <c r="D295" s="67">
        <f t="shared" si="39"/>
        <v>0</v>
      </c>
      <c r="E295" s="77" t="e">
        <f ca="1">IF(F295="y",HLOOKUP((IF(C295&lt;1,1,C295)),Magick!$C$20:$L$21,2),NA())</f>
        <v>#N/A</v>
      </c>
      <c r="F295" s="67" t="str">
        <f ca="1">IF(C295&lt;=Magick!$D$3,"Y","N")</f>
        <v>N</v>
      </c>
      <c r="G295" s="148" t="s">
        <v>859</v>
      </c>
      <c r="H295" s="151"/>
      <c r="I295" s="77" t="e">
        <f>IF(H295&gt;0,(HLOOKUP(C295,Magick!$C$20:$L$21,2)-HLOOKUP(H295,Magick!$C$20:$L$21,2)),NA())</f>
        <v>#N/A</v>
      </c>
      <c r="J295" s="77"/>
      <c r="L295" s="72" t="str">
        <f>IF(H295&gt;0,Magick!#REF!-('Master Spell List'!H320*0.1),"N/A")</f>
        <v>N/A</v>
      </c>
      <c r="M295" s="72">
        <f ca="1">Magick!$H$65</f>
        <v>0.08</v>
      </c>
      <c r="N295" s="72">
        <f ca="1">Magick!$K$65</f>
        <v>0.11</v>
      </c>
      <c r="O295" s="72">
        <f ca="1">Magick!$L$65</f>
        <v>0.11</v>
      </c>
      <c r="P295" s="72">
        <f ca="1">Magick!$M$65</f>
        <v>0.11</v>
      </c>
      <c r="R295" s="67">
        <f ca="1">IF(Q295="Ritual","N/A",IF(Q295="I.E.","N/A",IF(Q295="WOG",VLOOKUP(Magick!$I$65*100,magestuff!$B$134:$F$138,2),IF(Q295="Cantrip",VLOOKUP(Magick!$I$65*100,magestuff!$B$134:$F$138,3),IF(Q295="Hex",VLOOKUP(Magick!$I$65*100,magestuff!$B$134:$F$138,4),VLOOKUP(Magick!$I$65*100,magestuff!$B$134:$F$138,5))))))</f>
        <v>29</v>
      </c>
      <c r="S295" s="67" t="s">
        <v>5545</v>
      </c>
      <c r="T295" s="67" t="s">
        <v>5545</v>
      </c>
      <c r="U295" s="67" t="str">
        <f t="shared" si="40"/>
        <v xml:space="preserve"> </v>
      </c>
      <c r="V295" s="515"/>
      <c r="W295" s="125"/>
      <c r="X295" s="31">
        <f t="shared" si="41"/>
        <v>0</v>
      </c>
      <c r="Y295" s="509"/>
      <c r="Z295" s="1054" t="str">
        <f t="shared" si="36"/>
        <v>Arcane Drawing</v>
      </c>
      <c r="AA295" s="1072" t="str">
        <f t="shared" si="37"/>
        <v>Common</v>
      </c>
    </row>
    <row r="296" spans="1:27" hidden="1" outlineLevel="1">
      <c r="A296" s="83" t="s">
        <v>2663</v>
      </c>
      <c r="B296" s="67">
        <v>4</v>
      </c>
      <c r="C296" s="67">
        <f ca="1">magestuff!$L$197</f>
        <v>4</v>
      </c>
      <c r="D296" s="67">
        <f t="shared" si="39"/>
        <v>0</v>
      </c>
      <c r="E296" s="77" t="e">
        <f ca="1">IF(F296="y",HLOOKUP((IF(C296&lt;1,1,C296)),Magick!$C$20:$L$21,2),NA())</f>
        <v>#N/A</v>
      </c>
      <c r="F296" s="67" t="str">
        <f ca="1">IF(C296&lt;=Magick!$D$3,"Y","N")</f>
        <v>N</v>
      </c>
      <c r="G296" s="148" t="s">
        <v>1616</v>
      </c>
      <c r="H296" s="151"/>
      <c r="I296" s="77" t="e">
        <f>IF(H296&gt;0,(HLOOKUP(C296,Magick!$C$20:$L$21,2)-HLOOKUP(H296,Magick!$C$20:$L$21,2)),NA())</f>
        <v>#N/A</v>
      </c>
      <c r="J296" s="77"/>
      <c r="K296" s="67">
        <v>4</v>
      </c>
      <c r="L296" s="72" t="str">
        <f>IF(H296&gt;0,Magick!#REF!-('Master Spell List'!H287*0.1),"N/A")</f>
        <v>N/A</v>
      </c>
      <c r="M296" s="72">
        <f ca="1">Magick!$H$65</f>
        <v>0.08</v>
      </c>
      <c r="N296" s="72">
        <f ca="1">Magick!$K$65</f>
        <v>0.11</v>
      </c>
      <c r="O296" s="72">
        <f ca="1">Magick!$L$65</f>
        <v>0.11</v>
      </c>
      <c r="P296" s="72">
        <f ca="1">Magick!$M$65</f>
        <v>0.11</v>
      </c>
      <c r="Q296" s="67" t="s">
        <v>4603</v>
      </c>
      <c r="R296" s="67">
        <f ca="1">IF(Q296="Ritual","N/A",IF(Q296="I.E.","N/A",IF(Q296="WOG",VLOOKUP(Magick!$I$65*100,magestuff!$B$134:$F$138,2),IF(Q296="Cantrip",VLOOKUP(Magick!$I$65*100,magestuff!$B$134:$F$138,3),IF(Q296="Hex",VLOOKUP(Magick!$I$65*100,magestuff!$B$134:$F$138,4),VLOOKUP(Magick!$I$65*100,magestuff!$B$134:$F$138,5))))))</f>
        <v>9</v>
      </c>
      <c r="U296" s="67" t="str">
        <f t="shared" si="40"/>
        <v xml:space="preserve"> </v>
      </c>
      <c r="V296" s="515"/>
      <c r="W296" s="125"/>
      <c r="X296" s="31">
        <f t="shared" si="41"/>
        <v>0</v>
      </c>
      <c r="Y296" s="509"/>
      <c r="Z296" s="1054" t="str">
        <f t="shared" si="36"/>
        <v>Arcane Drawing</v>
      </c>
      <c r="AA296" s="1072" t="str">
        <f t="shared" si="37"/>
        <v>Common</v>
      </c>
    </row>
    <row r="297" spans="1:27" hidden="1" outlineLevel="1">
      <c r="A297" s="83" t="s">
        <v>2531</v>
      </c>
      <c r="B297" s="67">
        <v>4</v>
      </c>
      <c r="C297" s="67">
        <f ca="1">magestuff!$L$197</f>
        <v>4</v>
      </c>
      <c r="D297" s="67">
        <f t="shared" si="39"/>
        <v>0</v>
      </c>
      <c r="E297" s="77" t="e">
        <f ca="1">IF(F297="y",HLOOKUP((IF(C297&lt;1,1,C297)),Magick!$C$20:$L$21,2),NA())</f>
        <v>#N/A</v>
      </c>
      <c r="F297" s="67" t="str">
        <f ca="1">IF(C297&lt;=Magick!$D$3,"Y","N")</f>
        <v>N</v>
      </c>
      <c r="G297" s="148" t="s">
        <v>1617</v>
      </c>
      <c r="H297" s="151"/>
      <c r="I297" s="77" t="e">
        <f>IF(H297&gt;0,(HLOOKUP(C297,Magick!$C$20:$L$21,2)-HLOOKUP(H297,Magick!$C$20:$L$21,2)),NA())</f>
        <v>#N/A</v>
      </c>
      <c r="J297" s="77"/>
      <c r="K297" s="67" t="s">
        <v>3451</v>
      </c>
      <c r="L297" s="72" t="str">
        <f>IF(H297&gt;0,Magick!#REF!-('Master Spell List'!H341*0.1),"N/A")</f>
        <v>N/A</v>
      </c>
      <c r="M297" s="72">
        <f ca="1">Magick!$H$65</f>
        <v>0.08</v>
      </c>
      <c r="N297" s="72">
        <f ca="1">Magick!$K$65</f>
        <v>0.11</v>
      </c>
      <c r="O297" s="72">
        <f ca="1">Magick!$L$65</f>
        <v>0.11</v>
      </c>
      <c r="P297" s="72">
        <f ca="1">Magick!$M$65</f>
        <v>0.11</v>
      </c>
      <c r="Q297" s="67" t="s">
        <v>4602</v>
      </c>
      <c r="R297" s="67">
        <f ca="1">IF(Q297="Ritual","N/A",IF(Q297="I.E.","N/A",IF(Q297="WOG",VLOOKUP(Magick!$I$65*100,magestuff!$B$134:$F$138,2),IF(Q297="Cantrip",VLOOKUP(Magick!$I$65*100,magestuff!$B$134:$F$138,3),IF(Q297="Hex",VLOOKUP(Magick!$I$65*100,magestuff!$B$134:$F$138,4),VLOOKUP(Magick!$I$65*100,magestuff!$B$134:$F$138,5))))))</f>
        <v>19</v>
      </c>
      <c r="U297" s="67" t="str">
        <f t="shared" si="40"/>
        <v xml:space="preserve"> </v>
      </c>
      <c r="V297" s="515"/>
      <c r="W297" s="125"/>
      <c r="X297" s="31">
        <f t="shared" si="41"/>
        <v>0</v>
      </c>
      <c r="Y297" s="509"/>
      <c r="Z297" s="1054" t="str">
        <f t="shared" si="36"/>
        <v>Arcane Rope</v>
      </c>
      <c r="AA297" s="1072" t="str">
        <f t="shared" si="37"/>
        <v>Common</v>
      </c>
    </row>
    <row r="298" spans="1:27" hidden="1" outlineLevel="1">
      <c r="A298" s="83" t="s">
        <v>4016</v>
      </c>
      <c r="B298" s="67">
        <v>4</v>
      </c>
      <c r="C298" s="67">
        <f ca="1">magestuff!$L$197</f>
        <v>4</v>
      </c>
      <c r="D298" s="67">
        <f t="shared" si="39"/>
        <v>0</v>
      </c>
      <c r="E298" s="77" t="e">
        <f ca="1">IF(F298="y",HLOOKUP((IF(C298&lt;1,1,C298)),Magick!$C$20:$L$21,2),NA())</f>
        <v>#N/A</v>
      </c>
      <c r="F298" s="67" t="str">
        <f ca="1">IF(C298&lt;=Magick!$D$3,"Y","N")</f>
        <v>N</v>
      </c>
      <c r="G298" s="148" t="s">
        <v>1616</v>
      </c>
      <c r="H298" s="151"/>
      <c r="I298" s="77" t="e">
        <f>IF(H298&gt;0,(HLOOKUP(C298,Magick!$C$20:$L$21,2)-HLOOKUP(H298,Magick!$C$20:$L$21,2)),NA())</f>
        <v>#N/A</v>
      </c>
      <c r="J298" s="77"/>
      <c r="K298" s="67">
        <v>5</v>
      </c>
      <c r="L298" s="72" t="str">
        <f>IF(H298&gt;0,Magick!#REF!-('Master Spell List'!H291*0.1),"N/A")</f>
        <v>N/A</v>
      </c>
      <c r="M298" s="72">
        <f ca="1">Magick!$H$65</f>
        <v>0.08</v>
      </c>
      <c r="N298" s="72">
        <f ca="1">Magick!$K$65</f>
        <v>0.11</v>
      </c>
      <c r="O298" s="72">
        <f ca="1">Magick!$L$65</f>
        <v>0.11</v>
      </c>
      <c r="P298" s="72">
        <f ca="1">Magick!$M$65</f>
        <v>0.11</v>
      </c>
      <c r="Q298" s="67" t="s">
        <v>4603</v>
      </c>
      <c r="R298" s="67">
        <f ca="1">IF(Q298="Ritual","N/A",IF(Q298="I.E.","N/A",IF(Q298="WOG",VLOOKUP(Magick!$I$65*100,magestuff!$B$134:$F$138,2),IF(Q298="Cantrip",VLOOKUP(Magick!$I$65*100,magestuff!$B$134:$F$138,3),IF(Q298="Hex",VLOOKUP(Magick!$I$65*100,magestuff!$B$134:$F$138,4),VLOOKUP(Magick!$I$65*100,magestuff!$B$134:$F$138,5))))))</f>
        <v>9</v>
      </c>
      <c r="U298" s="67" t="str">
        <f t="shared" si="40"/>
        <v xml:space="preserve"> </v>
      </c>
      <c r="V298" s="515"/>
      <c r="W298" s="125"/>
      <c r="X298" s="31">
        <f t="shared" si="41"/>
        <v>0</v>
      </c>
      <c r="Y298" s="509"/>
      <c r="Z298" s="1054" t="str">
        <f t="shared" si="36"/>
        <v>Arcane Spear Head (Lance Head) of Greater Damage</v>
      </c>
      <c r="AA298" s="1072" t="str">
        <f t="shared" si="37"/>
        <v>Common</v>
      </c>
    </row>
    <row r="299" spans="1:27" hidden="1" outlineLevel="1">
      <c r="A299" s="31" t="s">
        <v>1009</v>
      </c>
      <c r="B299" s="67">
        <v>4</v>
      </c>
      <c r="C299" s="67">
        <f ca="1">magestuff!$L$197</f>
        <v>4</v>
      </c>
      <c r="D299" s="67">
        <f t="shared" si="39"/>
        <v>0</v>
      </c>
      <c r="E299" s="77" t="e">
        <f ca="1">IF(F299="y",HLOOKUP((IF(C299&lt;1,1,C299)),Magick!$C$20:$L$21,2),NA())</f>
        <v>#N/A</v>
      </c>
      <c r="F299" s="67" t="str">
        <f ca="1">IF(C299&lt;=Magick!$D$3,"Y","N")</f>
        <v>N</v>
      </c>
      <c r="G299" s="148" t="s">
        <v>128</v>
      </c>
      <c r="H299" s="151"/>
      <c r="I299" s="77" t="e">
        <f>IF(H299&gt;0,(HLOOKUP(C299,Magick!$C$20:$L$21,2)-HLOOKUP(H299,Magick!$C$20:$L$21,2)),NA())</f>
        <v>#N/A</v>
      </c>
      <c r="J299" s="77"/>
      <c r="K299" s="67">
        <v>7</v>
      </c>
      <c r="L299" s="72" t="str">
        <f>IF(H299&gt;0,Magick!#REF!-('Master Spell List'!H287*0.1),"N/A")</f>
        <v>N/A</v>
      </c>
      <c r="M299" s="72">
        <f ca="1">Magick!$H$65</f>
        <v>0.08</v>
      </c>
      <c r="N299" s="72">
        <f ca="1">Magick!$K$65</f>
        <v>0.11</v>
      </c>
      <c r="O299" s="72">
        <f ca="1">Magick!$L$65</f>
        <v>0.11</v>
      </c>
      <c r="P299" s="72">
        <f ca="1">Magick!$M$65</f>
        <v>0.11</v>
      </c>
      <c r="Q299" s="67" t="s">
        <v>3723</v>
      </c>
      <c r="R299" s="67">
        <f ca="1">IF(Q299="Ritual","N/A",IF(Q299="I.E.","N/A",IF(Q299="WOG",VLOOKUP(Magick!$I$65*100,magestuff!$B$134:$F$138,2),IF(Q299="Cantrip",VLOOKUP(Magick!$I$65*100,magestuff!$B$134:$F$138,3),IF(Q299="Hex",VLOOKUP(Magick!$I$65*100,magestuff!$B$134:$F$138,4),VLOOKUP(Magick!$I$65*100,magestuff!$B$134:$F$138,5))))))</f>
        <v>29</v>
      </c>
      <c r="U299" s="67" t="str">
        <f t="shared" si="40"/>
        <v xml:space="preserve"> </v>
      </c>
      <c r="V299" s="515"/>
      <c r="W299" s="125"/>
      <c r="X299" s="31">
        <f t="shared" si="41"/>
        <v>0</v>
      </c>
      <c r="Y299" s="509"/>
      <c r="Z299" s="1054" t="str">
        <f t="shared" si="36"/>
        <v>Astral Key</v>
      </c>
      <c r="AA299" s="1072" t="str">
        <f t="shared" si="37"/>
        <v>Common</v>
      </c>
    </row>
    <row r="300" spans="1:27" hidden="1" outlineLevel="1">
      <c r="A300" s="31" t="s">
        <v>66</v>
      </c>
      <c r="B300" s="67">
        <v>4</v>
      </c>
      <c r="C300" s="67">
        <f ca="1">magestuff!$L$197</f>
        <v>4</v>
      </c>
      <c r="D300" s="67">
        <f t="shared" si="39"/>
        <v>0</v>
      </c>
      <c r="E300" s="77" t="e">
        <f ca="1">IF(F300="y",HLOOKUP((IF(C300&lt;1,1,C300)),Magick!$C$20:$L$21,2),NA())</f>
        <v>#N/A</v>
      </c>
      <c r="F300" s="67" t="str">
        <f ca="1">IF(C300&lt;=Magick!$D$3,"Y","N")</f>
        <v>N</v>
      </c>
      <c r="G300" s="148" t="s">
        <v>128</v>
      </c>
      <c r="H300" s="151"/>
      <c r="I300" s="77" t="e">
        <f>IF(H300&gt;0,(HLOOKUP(C300,Magick!$C$20:$L$21,2)-HLOOKUP(H300,Magick!$C$20:$L$21,2)),NA())</f>
        <v>#N/A</v>
      </c>
      <c r="J300" s="77"/>
      <c r="K300" s="67">
        <v>7</v>
      </c>
      <c r="L300" s="72" t="str">
        <f>IF(H300&gt;0,Magick!#REF!-('Master Spell List'!H279*0.1),"N/A")</f>
        <v>N/A</v>
      </c>
      <c r="M300" s="72">
        <f ca="1">Magick!$H$65</f>
        <v>0.08</v>
      </c>
      <c r="N300" s="72">
        <f ca="1">Magick!$K$65</f>
        <v>0.11</v>
      </c>
      <c r="O300" s="72">
        <f ca="1">Magick!$L$65</f>
        <v>0.11</v>
      </c>
      <c r="P300" s="72">
        <f ca="1">Magick!$M$65</f>
        <v>0.11</v>
      </c>
      <c r="Q300" s="67" t="s">
        <v>3723</v>
      </c>
      <c r="R300" s="67">
        <f ca="1">IF(Q300="Ritual","N/A",IF(Q300="I.E.","N/A",IF(Q300="WOG",VLOOKUP(Magick!$I$65*100,magestuff!$B$134:$F$138,2),IF(Q300="Cantrip",VLOOKUP(Magick!$I$65*100,magestuff!$B$134:$F$138,3),IF(Q300="Hex",VLOOKUP(Magick!$I$65*100,magestuff!$B$134:$F$138,4),VLOOKUP(Magick!$I$65*100,magestuff!$B$134:$F$138,5))))))</f>
        <v>29</v>
      </c>
      <c r="U300" s="67" t="str">
        <f t="shared" si="40"/>
        <v xml:space="preserve"> </v>
      </c>
      <c r="V300" s="515"/>
      <c r="W300" s="125"/>
      <c r="X300" s="31">
        <f t="shared" si="41"/>
        <v>0</v>
      </c>
      <c r="Y300" s="509"/>
      <c r="Z300" s="1054" t="str">
        <f t="shared" si="36"/>
        <v>Astral Lock</v>
      </c>
      <c r="AA300" s="1072" t="str">
        <f t="shared" si="37"/>
        <v>Common</v>
      </c>
    </row>
    <row r="301" spans="1:27" hidden="1" outlineLevel="1">
      <c r="A301" s="83" t="s">
        <v>1458</v>
      </c>
      <c r="B301" s="67">
        <v>4</v>
      </c>
      <c r="C301" s="67">
        <f ca="1">magestuff!$L$197</f>
        <v>4</v>
      </c>
      <c r="D301" s="67">
        <f t="shared" si="39"/>
        <v>0</v>
      </c>
      <c r="E301" s="77" t="e">
        <f ca="1">IF(F301="y",HLOOKUP((IF(C301&lt;1,1,C301)),Magick!$C$20:$L$21,2),NA())</f>
        <v>#N/A</v>
      </c>
      <c r="F301" s="67" t="str">
        <f ca="1">IF(C301&lt;=Magick!$D$3,"Y","N")</f>
        <v>N</v>
      </c>
      <c r="G301" s="148" t="s">
        <v>1617</v>
      </c>
      <c r="H301" s="151"/>
      <c r="I301" s="77" t="e">
        <f>IF(H301&gt;0,(HLOOKUP(C301,Magick!$C$20:$L$21,2)-HLOOKUP(H301,Magick!$C$20:$L$21,2)),NA())</f>
        <v>#N/A</v>
      </c>
      <c r="J301" s="77"/>
      <c r="K301" s="67">
        <v>4</v>
      </c>
      <c r="L301" s="72" t="str">
        <f>IF(H301&gt;0,Magick!#REF!-('Master Spell List'!H324*0.1),"N/A")</f>
        <v>N/A</v>
      </c>
      <c r="M301" s="72">
        <f ca="1">Magick!$H$65</f>
        <v>0.08</v>
      </c>
      <c r="N301" s="72">
        <f ca="1">Magick!$K$65</f>
        <v>0.11</v>
      </c>
      <c r="O301" s="72">
        <f ca="1">Magick!$L$65</f>
        <v>0.11</v>
      </c>
      <c r="P301" s="72">
        <f ca="1">Magick!$M$65</f>
        <v>0.11</v>
      </c>
      <c r="Q301" s="67" t="s">
        <v>4603</v>
      </c>
      <c r="R301" s="67">
        <f ca="1">IF(Q301="Ritual","N/A",IF(Q301="I.E.","N/A",IF(Q301="WOG",VLOOKUP(Magick!$I$65*100,magestuff!$B$134:$F$138,2),IF(Q301="Cantrip",VLOOKUP(Magick!$I$65*100,magestuff!$B$134:$F$138,3),IF(Q301="Hex",VLOOKUP(Magick!$I$65*100,magestuff!$B$134:$F$138,4),VLOOKUP(Magick!$I$65*100,magestuff!$B$134:$F$138,5))))))</f>
        <v>9</v>
      </c>
      <c r="U301" s="67" t="str">
        <f t="shared" si="40"/>
        <v xml:space="preserve"> </v>
      </c>
      <c r="V301" s="515"/>
      <c r="W301" s="125"/>
      <c r="X301" s="31">
        <f t="shared" si="41"/>
        <v>0</v>
      </c>
      <c r="Y301" s="509"/>
      <c r="Z301" s="1054" t="str">
        <f t="shared" si="36"/>
        <v xml:space="preserve">Bind </v>
      </c>
      <c r="AA301" s="1072" t="str">
        <f t="shared" si="37"/>
        <v>Common</v>
      </c>
    </row>
    <row r="302" spans="1:27" hidden="1" outlineLevel="1">
      <c r="A302" s="83" t="s">
        <v>1451</v>
      </c>
      <c r="B302" s="67">
        <v>4</v>
      </c>
      <c r="C302" s="67">
        <f ca="1">magestuff!$L$197</f>
        <v>4</v>
      </c>
      <c r="D302" s="67">
        <f t="shared" si="39"/>
        <v>0</v>
      </c>
      <c r="E302" s="77" t="e">
        <f ca="1">IF(F302="y",HLOOKUP((IF(C302&lt;1,1,C302)),Magick!$C$20:$L$21,2),NA())</f>
        <v>#N/A</v>
      </c>
      <c r="F302" s="67" t="str">
        <f ca="1">IF(C302&lt;=Magick!$D$3,"Y","N")</f>
        <v>N</v>
      </c>
      <c r="G302" s="148" t="s">
        <v>1617</v>
      </c>
      <c r="H302" s="151"/>
      <c r="I302" s="77" t="e">
        <f>IF(H302&gt;0,(HLOOKUP(C302,Magick!$C$20:$L$21,2)-HLOOKUP(H302,Magick!$C$20:$L$21,2)),NA())</f>
        <v>#N/A</v>
      </c>
      <c r="J302" s="77"/>
      <c r="K302" s="67">
        <v>4</v>
      </c>
      <c r="L302" s="72" t="str">
        <f>IF(H302&gt;0,Magick!#REF!-('Master Spell List'!H321*0.1),"N/A")</f>
        <v>N/A</v>
      </c>
      <c r="M302" s="72">
        <f ca="1">Magick!$H$65</f>
        <v>0.08</v>
      </c>
      <c r="N302" s="72">
        <f ca="1">Magick!$K$65</f>
        <v>0.11</v>
      </c>
      <c r="O302" s="72">
        <f ca="1">Magick!$L$65</f>
        <v>0.11</v>
      </c>
      <c r="P302" s="72">
        <f ca="1">Magick!$M$65</f>
        <v>0.11</v>
      </c>
      <c r="Q302" s="67" t="s">
        <v>4603</v>
      </c>
      <c r="R302" s="67">
        <f ca="1">IF(Q302="Ritual","N/A",IF(Q302="I.E.","N/A",IF(Q302="WOG",VLOOKUP(Magick!$I$65*100,magestuff!$B$134:$F$138,2),IF(Q302="Cantrip",VLOOKUP(Magick!$I$65*100,magestuff!$B$134:$F$138,3),IF(Q302="Hex",VLOOKUP(Magick!$I$65*100,magestuff!$B$134:$F$138,4),VLOOKUP(Magick!$I$65*100,magestuff!$B$134:$F$138,5))))))</f>
        <v>9</v>
      </c>
      <c r="S302" s="67" t="s">
        <v>5545</v>
      </c>
      <c r="T302" s="67" t="s">
        <v>5545</v>
      </c>
      <c r="U302" s="67" t="str">
        <f t="shared" si="40"/>
        <v xml:space="preserve"> </v>
      </c>
      <c r="V302" s="515"/>
      <c r="W302" s="125"/>
      <c r="X302" s="31">
        <f t="shared" si="41"/>
        <v>0</v>
      </c>
      <c r="Y302" s="509"/>
      <c r="Z302" s="1054" t="str">
        <f t="shared" si="36"/>
        <v>Create Lesser Arcane Energy</v>
      </c>
      <c r="AA302" s="1072" t="str">
        <f t="shared" si="37"/>
        <v>Common</v>
      </c>
    </row>
    <row r="303" spans="1:27" hidden="1" outlineLevel="1">
      <c r="A303" s="31" t="s">
        <v>3394</v>
      </c>
      <c r="B303" s="67">
        <v>4</v>
      </c>
      <c r="C303" s="67">
        <f ca="1">magestuff!$L$197</f>
        <v>4</v>
      </c>
      <c r="D303" s="67">
        <f t="shared" si="39"/>
        <v>0</v>
      </c>
      <c r="E303" s="77" t="e">
        <f ca="1">IF(F303="y",HLOOKUP((IF(C303&lt;1,1,C303)),Magick!$C$20:$L$21,2),NA())</f>
        <v>#N/A</v>
      </c>
      <c r="F303" s="67" t="str">
        <f ca="1">IF(C303&lt;=Magick!$D$3,"Y","N")</f>
        <v>N</v>
      </c>
      <c r="G303" s="148" t="s">
        <v>128</v>
      </c>
      <c r="H303" s="151"/>
      <c r="I303" s="77" t="e">
        <f>IF(H303&gt;0,(HLOOKUP(C303,Magick!$C$20:$L$21,2)-HLOOKUP(H303,Magick!$C$20:$L$21,2)),NA())</f>
        <v>#N/A</v>
      </c>
      <c r="J303" s="77"/>
      <c r="K303" s="67">
        <v>7</v>
      </c>
      <c r="L303" s="72" t="str">
        <f>IF(H303&gt;0,Magick!#REF!-('Master Spell List'!H299*0.1),"N/A")</f>
        <v>N/A</v>
      </c>
      <c r="M303" s="72">
        <f ca="1">Magick!$H$65</f>
        <v>0.08</v>
      </c>
      <c r="N303" s="72">
        <f ca="1">Magick!$K$65</f>
        <v>0.11</v>
      </c>
      <c r="O303" s="72">
        <f ca="1">Magick!$L$65</f>
        <v>0.11</v>
      </c>
      <c r="P303" s="72">
        <f ca="1">Magick!$M$65</f>
        <v>0.11</v>
      </c>
      <c r="Q303" s="67" t="s">
        <v>3723</v>
      </c>
      <c r="R303" s="67">
        <f ca="1">IF(Q303="Ritual","N/A",IF(Q303="I.E.","N/A",IF(Q303="WOG",VLOOKUP(Magick!$I$65*100,magestuff!$B$134:$F$138,2),IF(Q303="Cantrip",VLOOKUP(Magick!$I$65*100,magestuff!$B$134:$F$138,3),IF(Q303="Hex",VLOOKUP(Magick!$I$65*100,magestuff!$B$134:$F$138,4),VLOOKUP(Magick!$I$65*100,magestuff!$B$134:$F$138,5))))))</f>
        <v>29</v>
      </c>
      <c r="U303" s="67" t="str">
        <f t="shared" si="40"/>
        <v xml:space="preserve"> </v>
      </c>
      <c r="V303" s="515"/>
      <c r="W303" s="125"/>
      <c r="X303" s="31">
        <f t="shared" si="41"/>
        <v>0</v>
      </c>
      <c r="Y303" s="509"/>
      <c r="Z303" s="1054" t="str">
        <f t="shared" si="36"/>
        <v>Darkness of the Pit</v>
      </c>
      <c r="AA303" s="1072" t="str">
        <f t="shared" si="37"/>
        <v>Common</v>
      </c>
    </row>
    <row r="304" spans="1:27" s="962" customFormat="1" hidden="1" outlineLevel="1">
      <c r="A304" s="83" t="s">
        <v>1456</v>
      </c>
      <c r="B304" s="67">
        <v>4</v>
      </c>
      <c r="C304" s="67">
        <f ca="1">magestuff!$L$197</f>
        <v>4</v>
      </c>
      <c r="D304" s="67">
        <f t="shared" si="39"/>
        <v>0</v>
      </c>
      <c r="E304" s="77" t="e">
        <f ca="1">IF(F304="y",HLOOKUP((IF(C304&lt;1,1,C304)),Magick!$C$20:$L$21,2),NA())</f>
        <v>#N/A</v>
      </c>
      <c r="F304" s="67" t="str">
        <f ca="1">IF(C304&lt;=Magick!$D$3,"Y","N")</f>
        <v>N</v>
      </c>
      <c r="G304" s="148" t="s">
        <v>1617</v>
      </c>
      <c r="H304" s="151"/>
      <c r="I304" s="77" t="e">
        <f>IF(H304&gt;0,(HLOOKUP(C304,Magick!$C$20:$L$21,2)-HLOOKUP(H304,Magick!$C$20:$L$21,2)),NA())</f>
        <v>#N/A</v>
      </c>
      <c r="J304" s="77"/>
      <c r="K304" s="67">
        <v>4</v>
      </c>
      <c r="L304" s="72" t="str">
        <f>IF(H304&gt;0,Magick!#REF!-('Master Spell List'!H333*0.1),"N/A")</f>
        <v>N/A</v>
      </c>
      <c r="M304" s="72">
        <f ca="1">Magick!$H$65</f>
        <v>0.08</v>
      </c>
      <c r="N304" s="72">
        <f ca="1">Magick!$K$65</f>
        <v>0.11</v>
      </c>
      <c r="O304" s="72">
        <f ca="1">Magick!$L$65</f>
        <v>0.11</v>
      </c>
      <c r="P304" s="72">
        <f ca="1">Magick!$M$65</f>
        <v>0.11</v>
      </c>
      <c r="Q304" s="67" t="s">
        <v>4603</v>
      </c>
      <c r="R304" s="67">
        <f ca="1">IF(Q304="Ritual","N/A",IF(Q304="I.E.","N/A",IF(Q304="WOG",VLOOKUP(Magick!$I$65*100,magestuff!$B$134:$F$138,2),IF(Q304="Cantrip",VLOOKUP(Magick!$I$65*100,magestuff!$B$134:$F$138,3),IF(Q304="Hex",VLOOKUP(Magick!$I$65*100,magestuff!$B$134:$F$138,4),VLOOKUP(Magick!$I$65*100,magestuff!$B$134:$F$138,5))))))</f>
        <v>9</v>
      </c>
      <c r="S304" s="67" t="s">
        <v>5545</v>
      </c>
      <c r="T304" s="67" t="s">
        <v>5545</v>
      </c>
      <c r="U304" s="67" t="str">
        <f t="shared" si="40"/>
        <v xml:space="preserve"> </v>
      </c>
      <c r="V304" s="515"/>
      <c r="W304" s="125"/>
      <c r="X304" s="31">
        <f t="shared" si="41"/>
        <v>0</v>
      </c>
      <c r="Y304" s="509"/>
      <c r="Z304" s="1054" t="str">
        <f t="shared" si="36"/>
        <v>Dispel Lesser Arcane Energy</v>
      </c>
      <c r="AA304" s="1072" t="str">
        <f t="shared" si="37"/>
        <v>Common</v>
      </c>
    </row>
    <row r="305" spans="1:27" hidden="1" outlineLevel="1">
      <c r="A305" s="31" t="s">
        <v>1656</v>
      </c>
      <c r="B305" s="67">
        <v>4</v>
      </c>
      <c r="C305" s="67">
        <f ca="1">magestuff!$L$197</f>
        <v>4</v>
      </c>
      <c r="D305" s="67">
        <f t="shared" si="39"/>
        <v>0</v>
      </c>
      <c r="E305" s="77" t="e">
        <f ca="1">IF(F305="y",HLOOKUP((IF(C305&lt;1,1,C305)),Magick!$C$20:$L$21,2),NA())</f>
        <v>#N/A</v>
      </c>
      <c r="F305" s="67" t="str">
        <f ca="1">IF(C305&lt;=Magick!$D$3,"Y","N")</f>
        <v>N</v>
      </c>
      <c r="G305" s="148" t="s">
        <v>128</v>
      </c>
      <c r="H305" s="151"/>
      <c r="I305" s="77" t="e">
        <f>IF(H305&gt;0,(HLOOKUP(C305,Magick!$C$20:$L$21,2)-HLOOKUP(H305,Magick!$C$20:$L$21,2)),NA())</f>
        <v>#N/A</v>
      </c>
      <c r="J305" s="77"/>
      <c r="K305" s="67">
        <v>7</v>
      </c>
      <c r="L305" s="72" t="str">
        <f>IF(H305&gt;0,Magick!#REF!-('Master Spell List'!H292*0.1),"N/A")</f>
        <v>N/A</v>
      </c>
      <c r="M305" s="72">
        <f ca="1">Magick!$H$65</f>
        <v>0.08</v>
      </c>
      <c r="N305" s="72">
        <f ca="1">Magick!$K$65</f>
        <v>0.11</v>
      </c>
      <c r="O305" s="72">
        <f ca="1">Magick!$L$65</f>
        <v>0.11</v>
      </c>
      <c r="P305" s="72">
        <f ca="1">Magick!$M$65</f>
        <v>0.11</v>
      </c>
      <c r="Q305" s="67" t="s">
        <v>3723</v>
      </c>
      <c r="R305" s="67">
        <f ca="1">IF(Q305="Ritual","N/A",IF(Q305="I.E.","N/A",IF(Q305="WOG",VLOOKUP(Magick!$I$65*100,magestuff!$B$134:$F$138,2),IF(Q305="Cantrip",VLOOKUP(Magick!$I$65*100,magestuff!$B$134:$F$138,3),IF(Q305="Hex",VLOOKUP(Magick!$I$65*100,magestuff!$B$134:$F$138,4),VLOOKUP(Magick!$I$65*100,magestuff!$B$134:$F$138,5))))))</f>
        <v>29</v>
      </c>
      <c r="U305" s="67" t="str">
        <f t="shared" si="40"/>
        <v xml:space="preserve"> </v>
      </c>
      <c r="V305" s="515"/>
      <c r="W305" s="125"/>
      <c r="X305" s="31">
        <f t="shared" si="41"/>
        <v>0</v>
      </c>
      <c r="Y305" s="509"/>
      <c r="Z305" s="1054" t="str">
        <f t="shared" si="36"/>
        <v>Eldritch Area Sunlight</v>
      </c>
      <c r="AA305" s="1072" t="str">
        <f t="shared" si="37"/>
        <v>Common</v>
      </c>
    </row>
    <row r="306" spans="1:27" hidden="1" outlineLevel="1">
      <c r="A306" s="83" t="s">
        <v>5784</v>
      </c>
      <c r="B306" s="67">
        <v>4</v>
      </c>
      <c r="C306" s="67">
        <f ca="1">magestuff!$L$197</f>
        <v>4</v>
      </c>
      <c r="D306" s="67">
        <f t="shared" si="39"/>
        <v>0</v>
      </c>
      <c r="E306" s="77" t="e">
        <f ca="1">IF(F306="y",HLOOKUP((IF(C306&lt;1,1,C306)),Magick!$C$20:$L$21,2),NA())</f>
        <v>#N/A</v>
      </c>
      <c r="F306" s="67" t="str">
        <f ca="1">IF(C306&lt;=Magick!$D$3,"Y","N")</f>
        <v>N</v>
      </c>
      <c r="G306" s="148" t="s">
        <v>5785</v>
      </c>
      <c r="H306" s="151"/>
      <c r="I306" s="77" t="e">
        <f>IF(H306&gt;0,(HLOOKUP(C306,Magick!$C$20:$L$21,2)-HLOOKUP(H306,Magick!$C$20:$L$21,2)),NA())</f>
        <v>#N/A</v>
      </c>
      <c r="J306" s="77"/>
      <c r="K306" s="67">
        <v>8</v>
      </c>
      <c r="L306" s="72" t="str">
        <f>IF(H306&gt;0,Magick!#REF!-('Master Spell List'!H318*0.1),"N/A")</f>
        <v>N/A</v>
      </c>
      <c r="M306" s="72">
        <f ca="1">Magick!$H$65</f>
        <v>0.08</v>
      </c>
      <c r="N306" s="72">
        <f ca="1">Magick!$K$65</f>
        <v>0.11</v>
      </c>
      <c r="O306" s="72">
        <f ca="1">Magick!$L$65</f>
        <v>0.11</v>
      </c>
      <c r="P306" s="72">
        <f ca="1">Magick!$M$65</f>
        <v>0.11</v>
      </c>
      <c r="Q306" s="67" t="s">
        <v>3723</v>
      </c>
      <c r="R306" s="67">
        <f ca="1">IF(Q306="Ritual","N/A",IF(Q306="I.E.","N/A",IF(Q306="WOG",VLOOKUP(Magick!$I$65*100,magestuff!$B$134:$F$138,2),IF(Q306="Cantrip",VLOOKUP(Magick!$I$65*100,magestuff!$B$134:$F$138,3),IF(Q306="Hex",VLOOKUP(Magick!$I$65*100,magestuff!$B$134:$F$138,4),VLOOKUP(Magick!$I$65*100,magestuff!$B$134:$F$138,5))))))</f>
        <v>29</v>
      </c>
      <c r="S306" s="67" t="s">
        <v>2329</v>
      </c>
      <c r="T306" s="67" t="s">
        <v>3725</v>
      </c>
      <c r="U306" s="67" t="str">
        <f t="shared" si="40"/>
        <v xml:space="preserve"> </v>
      </c>
      <c r="V306" s="515"/>
      <c r="W306" s="125"/>
      <c r="X306" s="31">
        <f t="shared" si="41"/>
        <v>0</v>
      </c>
      <c r="Y306" s="961"/>
      <c r="Z306" s="1054" t="str">
        <f t="shared" si="36"/>
        <v>Eye of the Wizard</v>
      </c>
      <c r="AA306" s="1072" t="str">
        <f t="shared" si="37"/>
        <v>Common</v>
      </c>
    </row>
    <row r="307" spans="1:27" hidden="1" outlineLevel="1">
      <c r="A307" s="83" t="s">
        <v>2563</v>
      </c>
      <c r="B307" s="67">
        <v>4</v>
      </c>
      <c r="C307" s="67">
        <f ca="1">magestuff!$L$197</f>
        <v>4</v>
      </c>
      <c r="D307" s="67">
        <f t="shared" si="39"/>
        <v>0</v>
      </c>
      <c r="E307" s="77" t="e">
        <f ca="1">IF(F307="y",HLOOKUP((IF(C307&lt;1,1,C307)),Magick!$C$20:$L$21,2),NA())</f>
        <v>#N/A</v>
      </c>
      <c r="F307" s="67" t="str">
        <f ca="1">IF(C307&lt;=Magick!$D$3,"Y","N")</f>
        <v>N</v>
      </c>
      <c r="G307" s="148" t="s">
        <v>1617</v>
      </c>
      <c r="H307" s="151"/>
      <c r="I307" s="77" t="e">
        <f>IF(H307&gt;0,(HLOOKUP(C307,Magick!$C$20:$L$21,2)-HLOOKUP(H307,Magick!$C$20:$L$21,2)),NA())</f>
        <v>#N/A</v>
      </c>
      <c r="J307" s="77"/>
      <c r="K307" s="67">
        <v>6</v>
      </c>
      <c r="L307" s="72" t="str">
        <f>IF(H307&gt;0,Magick!#REF!-('Master Spell List'!H319*0.1),"N/A")</f>
        <v>N/A</v>
      </c>
      <c r="M307" s="72">
        <f ca="1">Magick!$H$65</f>
        <v>0.08</v>
      </c>
      <c r="N307" s="72">
        <f ca="1">Magick!$K$65</f>
        <v>0.11</v>
      </c>
      <c r="O307" s="72">
        <f ca="1">Magick!$L$65</f>
        <v>0.11</v>
      </c>
      <c r="P307" s="72">
        <f ca="1">Magick!$M$65</f>
        <v>0.11</v>
      </c>
      <c r="Q307" s="67" t="s">
        <v>4603</v>
      </c>
      <c r="R307" s="67">
        <f ca="1">IF(Q307="Ritual","N/A",IF(Q307="I.E.","N/A",IF(Q307="WOG",VLOOKUP(Magick!$I$65*100,magestuff!$B$134:$F$138,2),IF(Q307="Cantrip",VLOOKUP(Magick!$I$65*100,magestuff!$B$134:$F$138,3),IF(Q307="Hex",VLOOKUP(Magick!$I$65*100,magestuff!$B$134:$F$138,4),VLOOKUP(Magick!$I$65*100,magestuff!$B$134:$F$138,5))))))</f>
        <v>9</v>
      </c>
      <c r="S307" s="67" t="s">
        <v>5545</v>
      </c>
      <c r="T307" s="67" t="s">
        <v>5545</v>
      </c>
      <c r="U307" s="67" t="str">
        <f t="shared" si="40"/>
        <v xml:space="preserve"> </v>
      </c>
      <c r="V307" s="515"/>
      <c r="W307" s="125"/>
      <c r="X307" s="31">
        <f t="shared" si="41"/>
        <v>0</v>
      </c>
      <c r="Y307" s="509"/>
      <c r="Z307" s="1054" t="str">
        <f t="shared" si="36"/>
        <v>Gather Greatest Amount of Arcane Energy</v>
      </c>
      <c r="AA307" s="1072" t="str">
        <f t="shared" si="37"/>
        <v>Common</v>
      </c>
    </row>
    <row r="308" spans="1:27" hidden="1" outlineLevel="1">
      <c r="A308" s="83" t="s">
        <v>5769</v>
      </c>
      <c r="B308" s="67">
        <v>4</v>
      </c>
      <c r="C308" s="67">
        <f ca="1">magestuff!$L$197</f>
        <v>4</v>
      </c>
      <c r="D308" s="67">
        <f t="shared" si="39"/>
        <v>0</v>
      </c>
      <c r="E308" s="77" t="e">
        <f ca="1">IF(F308="y",HLOOKUP((IF(C308&lt;1,1,C308)),Magick!$C$20:$L$21,2),NA())</f>
        <v>#N/A</v>
      </c>
      <c r="F308" s="67" t="str">
        <f ca="1">IF(C308&lt;=Magick!$D$3,"Y","N")</f>
        <v>N</v>
      </c>
      <c r="G308" s="148" t="s">
        <v>5779</v>
      </c>
      <c r="H308" s="151"/>
      <c r="I308" s="77" t="e">
        <f>IF(H308&gt;0,(HLOOKUP(C308,Magick!$C$20:$L$21,2)-HLOOKUP(H308,Magick!$C$20:$L$21,2)),NA())</f>
        <v>#N/A</v>
      </c>
      <c r="J308" s="77"/>
      <c r="K308" s="67">
        <v>7</v>
      </c>
      <c r="L308" s="72" t="str">
        <f>IF(H308&gt;0,Magick!#REF!-('Master Spell List'!H326*0.1),"N/A")</f>
        <v>N/A</v>
      </c>
      <c r="M308" s="72">
        <f ca="1">Magick!$H$65</f>
        <v>0.08</v>
      </c>
      <c r="N308" s="72">
        <f ca="1">Magick!$K$65</f>
        <v>0.11</v>
      </c>
      <c r="O308" s="72">
        <f ca="1">Magick!$L$65</f>
        <v>0.11</v>
      </c>
      <c r="P308" s="72">
        <f ca="1">Magick!$M$65</f>
        <v>0.11</v>
      </c>
      <c r="Q308" s="67" t="s">
        <v>1619</v>
      </c>
      <c r="R308" s="67">
        <f ca="1">IF(Q308="Ritual","N/A",IF(Q308="I.E.","N/A",IF(Q308="WOG",VLOOKUP(Magick!$I$65*100,magestuff!$B$134:$F$138,2),IF(Q308="Cantrip",VLOOKUP(Magick!$I$65*100,magestuff!$B$134:$F$138,3),IF(Q308="Hex",VLOOKUP(Magick!$I$65*100,magestuff!$B$134:$F$138,4),VLOOKUP(Magick!$I$65*100,magestuff!$B$134:$F$138,5))))))</f>
        <v>29</v>
      </c>
      <c r="S308" s="67" t="s">
        <v>5545</v>
      </c>
      <c r="T308" s="67" t="s">
        <v>5545</v>
      </c>
      <c r="U308" s="67" t="str">
        <f t="shared" si="40"/>
        <v xml:space="preserve"> </v>
      </c>
      <c r="V308" s="515"/>
      <c r="W308" s="125"/>
      <c r="X308" s="31">
        <f t="shared" si="41"/>
        <v>0</v>
      </c>
      <c r="Y308" s="509"/>
      <c r="Z308" s="1054" t="str">
        <f t="shared" si="36"/>
        <v xml:space="preserve">Great Healing Touch of Apollo   </v>
      </c>
      <c r="AA308" s="1072" t="str">
        <f t="shared" si="37"/>
        <v>Common</v>
      </c>
    </row>
    <row r="309" spans="1:27" hidden="1" outlineLevel="1">
      <c r="A309" s="31" t="s">
        <v>2804</v>
      </c>
      <c r="B309" s="67">
        <v>4</v>
      </c>
      <c r="C309" s="67">
        <f ca="1">magestuff!$L$197</f>
        <v>4</v>
      </c>
      <c r="D309" s="67">
        <f t="shared" si="39"/>
        <v>0</v>
      </c>
      <c r="E309" s="77" t="e">
        <f ca="1">IF(F309="y",HLOOKUP((IF(C309&lt;1,1,C309)),Magick!$C$20:$L$21,2),NA())</f>
        <v>#N/A</v>
      </c>
      <c r="F309" s="67" t="str">
        <f ca="1">IF(C309&lt;=Magick!$D$3,"Y","N")</f>
        <v>N</v>
      </c>
      <c r="G309" s="148" t="s">
        <v>128</v>
      </c>
      <c r="H309" s="151"/>
      <c r="I309" s="77" t="e">
        <f>IF(H309&gt;0,(HLOOKUP(C309,Magick!$C$20:$L$21,2)-HLOOKUP(H309,Magick!$C$20:$L$21,2)),NA())</f>
        <v>#N/A</v>
      </c>
      <c r="J309" s="77"/>
      <c r="K309" s="67">
        <v>7</v>
      </c>
      <c r="L309" s="72" t="str">
        <f>IF(H309&gt;0,Magick!#REF!-('Master Spell List'!H303*0.1),"N/A")</f>
        <v>N/A</v>
      </c>
      <c r="M309" s="72">
        <f ca="1">Magick!$H$65</f>
        <v>0.08</v>
      </c>
      <c r="N309" s="72">
        <f ca="1">Magick!$K$65</f>
        <v>0.11</v>
      </c>
      <c r="O309" s="72">
        <f ca="1">Magick!$L$65</f>
        <v>0.11</v>
      </c>
      <c r="P309" s="72">
        <f ca="1">Magick!$M$65</f>
        <v>0.11</v>
      </c>
      <c r="Q309" s="67" t="s">
        <v>3723</v>
      </c>
      <c r="R309" s="67">
        <f ca="1">IF(Q309="Ritual","N/A",IF(Q309="I.E.","N/A",IF(Q309="WOG",VLOOKUP(Magick!$I$65*100,magestuff!$B$134:$F$138,2),IF(Q309="Cantrip",VLOOKUP(Magick!$I$65*100,magestuff!$B$134:$F$138,3),IF(Q309="Hex",VLOOKUP(Magick!$I$65*100,magestuff!$B$134:$F$138,4),VLOOKUP(Magick!$I$65*100,magestuff!$B$134:$F$138,5))))))</f>
        <v>29</v>
      </c>
      <c r="U309" s="67" t="str">
        <f t="shared" si="40"/>
        <v xml:space="preserve"> </v>
      </c>
      <c r="V309" s="515"/>
      <c r="W309" s="125"/>
      <c r="X309" s="31">
        <f t="shared" si="41"/>
        <v>0</v>
      </c>
      <c r="Y309" s="509"/>
      <c r="Z309" s="1054" t="str">
        <f t="shared" si="36"/>
        <v>Invisibility</v>
      </c>
      <c r="AA309" s="1072" t="str">
        <f t="shared" si="37"/>
        <v>Common</v>
      </c>
    </row>
    <row r="310" spans="1:27" hidden="1" outlineLevel="1">
      <c r="A310" s="377" t="s">
        <v>824</v>
      </c>
      <c r="B310" s="67">
        <v>4</v>
      </c>
      <c r="C310" s="67">
        <f ca="1">magestuff!$L$197</f>
        <v>4</v>
      </c>
      <c r="D310" s="67">
        <f t="shared" si="39"/>
        <v>0</v>
      </c>
      <c r="E310" s="77" t="e">
        <f ca="1">IF(F310="y",HLOOKUP((IF(C310&lt;1,1,C310)),Magick!$C$20:$L$21,2),NA())</f>
        <v>#N/A</v>
      </c>
      <c r="F310" s="67" t="str">
        <f ca="1">IF(C310&lt;=Magick!$D$3,"Y","N")</f>
        <v>N</v>
      </c>
      <c r="G310" s="148" t="s">
        <v>859</v>
      </c>
      <c r="H310" s="151"/>
      <c r="I310" s="77" t="e">
        <f>IF(H310&gt;0,(HLOOKUP(C310,Magick!$C$20:$L$21,2)-HLOOKUP(H310,Magick!$C$20:$L$21,2)),NA())</f>
        <v>#N/A</v>
      </c>
      <c r="J310" s="77"/>
      <c r="K310" s="67" t="s">
        <v>2225</v>
      </c>
      <c r="L310" s="72" t="str">
        <f>IF(H310&gt;0,Magick!#REF!-('Master Spell List'!H316*0.1),"N/A")</f>
        <v>N/A</v>
      </c>
      <c r="M310" s="72">
        <f ca="1">Magick!$H$65</f>
        <v>0.08</v>
      </c>
      <c r="N310" s="72">
        <f ca="1">Magick!$K$65</f>
        <v>0.11</v>
      </c>
      <c r="O310" s="72">
        <f ca="1">Magick!$L$65</f>
        <v>0.11</v>
      </c>
      <c r="P310" s="72">
        <f ca="1">Magick!$M$65</f>
        <v>0.11</v>
      </c>
      <c r="Q310" s="67" t="s">
        <v>2225</v>
      </c>
      <c r="R310" s="67">
        <f ca="1">IF(Q310="Ritual","N/A",IF(Q310="I.E.","N/A",IF(Q310="WOG",VLOOKUP(Magick!$I$65*100,magestuff!$B$134:$F$138,2),IF(Q310="Cantrip",VLOOKUP(Magick!$I$65*100,magestuff!$B$134:$F$138,3),IF(Q310="Hex",VLOOKUP(Magick!$I$65*100,magestuff!$B$134:$F$138,4),VLOOKUP(Magick!$I$65*100,magestuff!$B$134:$F$138,5))))))</f>
        <v>29</v>
      </c>
      <c r="U310" s="67" t="str">
        <f t="shared" si="40"/>
        <v xml:space="preserve"> </v>
      </c>
      <c r="V310" s="515"/>
      <c r="W310" s="125"/>
      <c r="X310" s="31">
        <f t="shared" si="41"/>
        <v>0</v>
      </c>
      <c r="Y310" s="509"/>
      <c r="Z310" s="1054" t="str">
        <f t="shared" si="36"/>
        <v>Least Sigil of the Arcane</v>
      </c>
      <c r="AA310" s="1072" t="str">
        <f t="shared" si="37"/>
        <v>Common</v>
      </c>
    </row>
    <row r="311" spans="1:27" hidden="1" outlineLevel="1">
      <c r="A311" s="31" t="s">
        <v>2464</v>
      </c>
      <c r="B311" s="67">
        <v>4</v>
      </c>
      <c r="C311" s="67">
        <f ca="1">magestuff!$L$197</f>
        <v>4</v>
      </c>
      <c r="D311" s="67">
        <f t="shared" si="39"/>
        <v>0</v>
      </c>
      <c r="E311" s="77" t="e">
        <f ca="1">IF(F311="y",HLOOKUP((IF(C311&lt;1,1,C311)),Magick!$C$20:$L$21,2),NA())</f>
        <v>#N/A</v>
      </c>
      <c r="F311" s="67" t="str">
        <f ca="1">IF(C311&lt;=Magick!$D$3,"Y","N")</f>
        <v>N</v>
      </c>
      <c r="G311" s="148" t="s">
        <v>128</v>
      </c>
      <c r="H311" s="151"/>
      <c r="I311" s="77" t="e">
        <f>IF(H311&gt;0,(HLOOKUP(C311,Magick!$C$20:$L$21,2)-HLOOKUP(H311,Magick!$C$20:$L$21,2)),NA())</f>
        <v>#N/A</v>
      </c>
      <c r="J311" s="77"/>
      <c r="K311" s="67">
        <v>7</v>
      </c>
      <c r="L311" s="72" t="str">
        <f>IF(H311&gt;0,Magick!#REF!-('Master Spell List'!H305*0.1),"N/A")</f>
        <v>N/A</v>
      </c>
      <c r="M311" s="72">
        <f ca="1">Magick!$H$65</f>
        <v>0.08</v>
      </c>
      <c r="N311" s="72">
        <f ca="1">Magick!$K$65</f>
        <v>0.11</v>
      </c>
      <c r="O311" s="72">
        <f ca="1">Magick!$L$65</f>
        <v>0.11</v>
      </c>
      <c r="P311" s="72">
        <f ca="1">Magick!$M$65</f>
        <v>0.11</v>
      </c>
      <c r="Q311" s="67" t="s">
        <v>3723</v>
      </c>
      <c r="R311" s="67">
        <f ca="1">IF(Q311="Ritual","N/A",IF(Q311="I.E.","N/A",IF(Q311="WOG",VLOOKUP(Magick!$I$65*100,magestuff!$B$134:$F$138,2),IF(Q311="Cantrip",VLOOKUP(Magick!$I$65*100,magestuff!$B$134:$F$138,3),IF(Q311="Hex",VLOOKUP(Magick!$I$65*100,magestuff!$B$134:$F$138,4),VLOOKUP(Magick!$I$65*100,magestuff!$B$134:$F$138,5))))))</f>
        <v>29</v>
      </c>
      <c r="U311" s="67" t="str">
        <f t="shared" si="40"/>
        <v xml:space="preserve"> </v>
      </c>
      <c r="V311" s="515"/>
      <c r="W311" s="125"/>
      <c r="X311" s="31">
        <f t="shared" si="41"/>
        <v>0</v>
      </c>
      <c r="Y311" s="509"/>
      <c r="Z311" s="1054" t="str">
        <f t="shared" si="36"/>
        <v>Phase</v>
      </c>
      <c r="AA311" s="1072" t="str">
        <f t="shared" si="37"/>
        <v>Common</v>
      </c>
    </row>
    <row r="312" spans="1:27" hidden="1" outlineLevel="1">
      <c r="A312" s="31" t="s">
        <v>3790</v>
      </c>
      <c r="B312" s="67">
        <v>4</v>
      </c>
      <c r="C312" s="67">
        <f ca="1">magestuff!$L$197</f>
        <v>4</v>
      </c>
      <c r="D312" s="67">
        <f t="shared" si="39"/>
        <v>0</v>
      </c>
      <c r="E312" s="77" t="e">
        <f ca="1">IF(F312="y",HLOOKUP((IF(C312&lt;1,1,C312)),Magick!$C$20:$L$21,2),NA())</f>
        <v>#N/A</v>
      </c>
      <c r="F312" s="67" t="str">
        <f ca="1">IF(C312&lt;=Magick!$D$3,"Y","N")</f>
        <v>N</v>
      </c>
      <c r="G312" s="148" t="s">
        <v>128</v>
      </c>
      <c r="H312" s="151"/>
      <c r="I312" s="77" t="e">
        <f>IF(H312&gt;0,(HLOOKUP(C312,Magick!$C$20:$L$21,2)-HLOOKUP(H312,Magick!$C$20:$L$21,2)),NA())</f>
        <v>#N/A</v>
      </c>
      <c r="J312" s="77"/>
      <c r="K312" s="67">
        <v>7</v>
      </c>
      <c r="L312" s="72" t="str">
        <f>IF(H312&gt;0,Magick!#REF!-('Master Spell List'!H254*0.1),"N/A")</f>
        <v>N/A</v>
      </c>
      <c r="M312" s="72">
        <f ca="1">Magick!$H$65</f>
        <v>0.08</v>
      </c>
      <c r="N312" s="72">
        <f ca="1">Magick!$K$65</f>
        <v>0.11</v>
      </c>
      <c r="O312" s="72">
        <f ca="1">Magick!$L$65</f>
        <v>0.11</v>
      </c>
      <c r="P312" s="72">
        <f ca="1">Magick!$M$65</f>
        <v>0.11</v>
      </c>
      <c r="Q312" s="67" t="s">
        <v>3723</v>
      </c>
      <c r="R312" s="67">
        <f ca="1">IF(Q312="Ritual","N/A",IF(Q312="I.E.","N/A",IF(Q312="WOG",VLOOKUP(Magick!$I$65*100,magestuff!$B$134:$F$138,2),IF(Q312="Cantrip",VLOOKUP(Magick!$I$65*100,magestuff!$B$134:$F$138,3),IF(Q312="Hex",VLOOKUP(Magick!$I$65*100,magestuff!$B$134:$F$138,4),VLOOKUP(Magick!$I$65*100,magestuff!$B$134:$F$138,5))))))</f>
        <v>29</v>
      </c>
      <c r="U312" s="67" t="str">
        <f t="shared" si="40"/>
        <v xml:space="preserve"> </v>
      </c>
      <c r="V312" s="515"/>
      <c r="W312" s="125"/>
      <c r="X312" s="31">
        <f t="shared" si="41"/>
        <v>0</v>
      </c>
      <c r="Y312" s="509"/>
      <c r="Z312" s="1054" t="str">
        <f t="shared" si="36"/>
        <v>Recharge</v>
      </c>
      <c r="AA312" s="1072" t="str">
        <f t="shared" si="37"/>
        <v>Common</v>
      </c>
    </row>
    <row r="313" spans="1:27" hidden="1" outlineLevel="1">
      <c r="A313" s="31" t="s">
        <v>2997</v>
      </c>
      <c r="B313" s="67">
        <v>4</v>
      </c>
      <c r="C313" s="67">
        <f ca="1">magestuff!$L$197</f>
        <v>4</v>
      </c>
      <c r="D313" s="67">
        <f t="shared" si="39"/>
        <v>0</v>
      </c>
      <c r="E313" s="77" t="e">
        <f ca="1">IF(F313="y",HLOOKUP((IF(C313&lt;1,1,C313)),Magick!$C$20:$L$21,2),NA())</f>
        <v>#N/A</v>
      </c>
      <c r="F313" s="67" t="str">
        <f ca="1">IF(C313&lt;=Magick!$D$3,"Y","N")</f>
        <v>N</v>
      </c>
      <c r="G313" s="148" t="s">
        <v>128</v>
      </c>
      <c r="H313" s="151"/>
      <c r="I313" s="77" t="e">
        <f>IF(H313&gt;0,(HLOOKUP(C313,Magick!$C$20:$L$21,2)-HLOOKUP(H313,Magick!$C$20:$L$21,2)),NA())</f>
        <v>#N/A</v>
      </c>
      <c r="J313" s="77"/>
      <c r="K313" s="67">
        <v>8</v>
      </c>
      <c r="L313" s="72" t="str">
        <f>IF(H313&gt;0,Magick!#REF!-('Master Spell List'!H314*0.1),"N/A")</f>
        <v>N/A</v>
      </c>
      <c r="M313" s="72">
        <f ca="1">Magick!$H$65</f>
        <v>0.08</v>
      </c>
      <c r="N313" s="72">
        <f ca="1">Magick!$K$65</f>
        <v>0.11</v>
      </c>
      <c r="O313" s="72">
        <f ca="1">Magick!$L$65</f>
        <v>0.11</v>
      </c>
      <c r="P313" s="72">
        <f ca="1">Magick!$M$65</f>
        <v>0.11</v>
      </c>
      <c r="Q313" s="67" t="s">
        <v>3723</v>
      </c>
      <c r="R313" s="67">
        <f ca="1">IF(Q313="Ritual","N/A",IF(Q313="I.E.","N/A",IF(Q313="WOG",VLOOKUP(Magick!$I$65*100,magestuff!$B$134:$F$138,2),IF(Q313="Cantrip",VLOOKUP(Magick!$I$65*100,magestuff!$B$134:$F$138,3),IF(Q313="Hex",VLOOKUP(Magick!$I$65*100,magestuff!$B$134:$F$138,4),VLOOKUP(Magick!$I$65*100,magestuff!$B$134:$F$138,5))))))</f>
        <v>29</v>
      </c>
      <c r="U313" s="67" t="str">
        <f t="shared" si="40"/>
        <v xml:space="preserve"> </v>
      </c>
      <c r="V313" s="515"/>
      <c r="W313" s="125"/>
      <c r="X313" s="31">
        <f t="shared" si="41"/>
        <v>0</v>
      </c>
      <c r="Y313" s="509"/>
      <c r="Z313" s="1054" t="str">
        <f t="shared" si="36"/>
        <v>Shadow Bolt (Mana Bolt)</v>
      </c>
      <c r="AA313" s="1072" t="str">
        <f t="shared" si="37"/>
        <v>Common</v>
      </c>
    </row>
    <row r="314" spans="1:27" hidden="1" outlineLevel="1">
      <c r="A314" s="31" t="s">
        <v>2803</v>
      </c>
      <c r="B314" s="67">
        <v>4</v>
      </c>
      <c r="C314" s="67">
        <f ca="1">magestuff!$L$197</f>
        <v>4</v>
      </c>
      <c r="D314" s="67">
        <f t="shared" si="39"/>
        <v>0</v>
      </c>
      <c r="E314" s="77" t="e">
        <f ca="1">IF(F314="y",HLOOKUP((IF(C314&lt;1,1,C314)),Magick!$C$20:$L$21,2),NA())</f>
        <v>#N/A</v>
      </c>
      <c r="F314" s="67" t="str">
        <f ca="1">IF(C314&lt;=Magick!$D$3,"Y","N")</f>
        <v>N</v>
      </c>
      <c r="G314" s="148" t="s">
        <v>128</v>
      </c>
      <c r="H314" s="151"/>
      <c r="I314" s="77" t="e">
        <f>IF(H314&gt;0,(HLOOKUP(C314,Magick!$C$20:$L$21,2)-HLOOKUP(H314,Magick!$C$20:$L$21,2)),NA())</f>
        <v>#N/A</v>
      </c>
      <c r="J314" s="77"/>
      <c r="K314" s="67">
        <v>7</v>
      </c>
      <c r="L314" s="72" t="str">
        <f>IF(H314&gt;0,Magick!#REF!-('Master Spell List'!H302*0.1),"N/A")</f>
        <v>N/A</v>
      </c>
      <c r="M314" s="72">
        <f ca="1">Magick!$H$65</f>
        <v>0.08</v>
      </c>
      <c r="N314" s="72">
        <f ca="1">Magick!$K$65</f>
        <v>0.11</v>
      </c>
      <c r="O314" s="72">
        <f ca="1">Magick!$L$65</f>
        <v>0.11</v>
      </c>
      <c r="P314" s="72">
        <f ca="1">Magick!$M$65</f>
        <v>0.11</v>
      </c>
      <c r="Q314" s="67" t="s">
        <v>113</v>
      </c>
      <c r="R314" s="67" t="str">
        <f>IF(Q314="Ritual","N/A",IF(Q314="I.E.","N/A",IF(Q314="WOG",VLOOKUP(Magick!$I$65*100,magestuff!$B$134:$F$138,2),IF(Q314="Cantrip",VLOOKUP(Magick!$I$65*100,magestuff!$B$134:$F$138,3),IF(Q314="Hex",VLOOKUP(Magick!$I$65*100,magestuff!$B$134:$F$138,4),VLOOKUP(Magick!$I$65*100,magestuff!$B$134:$F$138,5))))))</f>
        <v>N/A</v>
      </c>
      <c r="U314" s="67" t="str">
        <f t="shared" si="40"/>
        <v xml:space="preserve"> </v>
      </c>
      <c r="V314" s="515"/>
      <c r="W314" s="125"/>
      <c r="X314" s="31">
        <f t="shared" si="41"/>
        <v>0</v>
      </c>
      <c r="Y314" s="509"/>
      <c r="Z314" s="1054" t="str">
        <f t="shared" si="36"/>
        <v>Shining Paths</v>
      </c>
      <c r="AA314" s="1072" t="str">
        <f t="shared" si="37"/>
        <v>Common</v>
      </c>
    </row>
    <row r="315" spans="1:27" hidden="1" outlineLevel="1">
      <c r="A315" s="31" t="s">
        <v>5428</v>
      </c>
      <c r="B315" s="67">
        <v>4</v>
      </c>
      <c r="C315" s="67">
        <f ca="1">magestuff!$L$197</f>
        <v>4</v>
      </c>
      <c r="D315" s="67">
        <f t="shared" si="39"/>
        <v>0</v>
      </c>
      <c r="E315" s="77" t="e">
        <f ca="1">IF(F315="y",HLOOKUP((IF(C315&lt;1,1,C315)),Magick!$C$20:$L$21,2),NA())</f>
        <v>#N/A</v>
      </c>
      <c r="F315" s="67" t="str">
        <f ca="1">IF(C315&lt;=Magick!$D$3,"Y","N")</f>
        <v>N</v>
      </c>
      <c r="G315" s="148" t="s">
        <v>128</v>
      </c>
      <c r="H315" s="151"/>
      <c r="I315" s="77" t="e">
        <f>IF(H315&gt;0,(HLOOKUP(C315,Magick!$C$20:$L$21,2)-HLOOKUP(H315,Magick!$C$20:$L$21,2)),NA())</f>
        <v>#N/A</v>
      </c>
      <c r="J315" s="77"/>
      <c r="K315" s="67">
        <v>7</v>
      </c>
      <c r="L315" s="72" t="str">
        <f>IF(H315&gt;0,Magick!#REF!-('Master Spell List'!H280*0.1),"N/A")</f>
        <v>N/A</v>
      </c>
      <c r="M315" s="72">
        <f ca="1">Magick!$H$65</f>
        <v>0.08</v>
      </c>
      <c r="N315" s="72">
        <f ca="1">Magick!$K$65</f>
        <v>0.11</v>
      </c>
      <c r="O315" s="72">
        <f ca="1">Magick!$L$65</f>
        <v>0.11</v>
      </c>
      <c r="P315" s="72">
        <f ca="1">Magick!$M$65</f>
        <v>0.11</v>
      </c>
      <c r="Q315" s="67" t="s">
        <v>113</v>
      </c>
      <c r="R315" s="67" t="str">
        <f>IF(Q315="Ritual","N/A",IF(Q315="I.E.","N/A",IF(Q315="WOG",VLOOKUP(Magick!$I$65*100,magestuff!$B$134:$F$138,2),IF(Q315="Cantrip",VLOOKUP(Magick!$I$65*100,magestuff!$B$134:$F$138,3),IF(Q315="Hex",VLOOKUP(Magick!$I$65*100,magestuff!$B$134:$F$138,4),VLOOKUP(Magick!$I$65*100,magestuff!$B$134:$F$138,5))))))</f>
        <v>N/A</v>
      </c>
      <c r="U315" s="67" t="str">
        <f t="shared" si="40"/>
        <v xml:space="preserve"> </v>
      </c>
      <c r="V315" s="515"/>
      <c r="W315" s="125"/>
      <c r="X315" s="31">
        <f t="shared" si="41"/>
        <v>0</v>
      </c>
      <c r="Y315" s="509"/>
      <c r="Z315" s="1054" t="str">
        <f t="shared" si="36"/>
        <v>Wizard's Seal</v>
      </c>
      <c r="AA315" s="1072" t="str">
        <f t="shared" si="37"/>
        <v>Common</v>
      </c>
    </row>
    <row r="316" spans="1:27" hidden="1" outlineLevel="1">
      <c r="A316" s="377" t="s">
        <v>3037</v>
      </c>
      <c r="B316" s="67">
        <v>5</v>
      </c>
      <c r="C316" s="67">
        <f ca="1">magestuff!$O$197</f>
        <v>5</v>
      </c>
      <c r="D316" s="67">
        <f t="shared" si="39"/>
        <v>0</v>
      </c>
      <c r="E316" s="77" t="e">
        <f ca="1">IF(F316="y",HLOOKUP((IF(C316&lt;1,1,C316)),Magick!$C$20:$L$21,2),NA())</f>
        <v>#N/A</v>
      </c>
      <c r="F316" s="67" t="str">
        <f ca="1">IF(C316&lt;=Magick!$D$3,"Y","N")</f>
        <v>N</v>
      </c>
      <c r="G316" s="148" t="s">
        <v>859</v>
      </c>
      <c r="H316" s="151"/>
      <c r="I316" s="77" t="e">
        <f>IF(H316&gt;0,(HLOOKUP(C316,Magick!$C$20:$L$21,2)-HLOOKUP(H316,Magick!$C$20:$L$21,2)),NA())</f>
        <v>#N/A</v>
      </c>
      <c r="J316" s="77"/>
      <c r="K316" s="67" t="s">
        <v>2225</v>
      </c>
      <c r="L316" s="72" t="str">
        <f>IF(H316&gt;0,Magick!#REF!-('Master Spell List'!H301*0.1),"N/A")</f>
        <v>N/A</v>
      </c>
      <c r="M316" s="72">
        <f ca="1">Magick!$H$65</f>
        <v>0.08</v>
      </c>
      <c r="N316" s="72">
        <f ca="1">Magick!$K$65</f>
        <v>0.11</v>
      </c>
      <c r="O316" s="72">
        <f ca="1">Magick!$L$65</f>
        <v>0.11</v>
      </c>
      <c r="P316" s="72">
        <f ca="1">Magick!$M$65</f>
        <v>0.11</v>
      </c>
      <c r="Q316" s="67" t="s">
        <v>2225</v>
      </c>
      <c r="R316" s="67">
        <f ca="1">IF(Q316="Ritual","N/A",IF(Q316="I.E.","N/A",IF(Q316="WOG",VLOOKUP(Magick!$I$65*100,magestuff!$B$134:$F$138,2),IF(Q316="Cantrip",VLOOKUP(Magick!$I$65*100,magestuff!$B$134:$F$138,3),IF(Q316="Hex",VLOOKUP(Magick!$I$65*100,magestuff!$B$134:$F$138,4),VLOOKUP(Magick!$I$65*100,magestuff!$B$134:$F$138,5))))))</f>
        <v>29</v>
      </c>
      <c r="U316" s="67" t="str">
        <f t="shared" si="40"/>
        <v xml:space="preserve"> </v>
      </c>
      <c r="V316" s="515"/>
      <c r="W316" s="125"/>
      <c r="X316" s="31">
        <f t="shared" si="41"/>
        <v>0</v>
      </c>
      <c r="Y316" s="509"/>
      <c r="Z316" s="1054" t="str">
        <f t="shared" si="36"/>
        <v>Arcane Armor</v>
      </c>
      <c r="AA316" s="1072" t="str">
        <f t="shared" si="37"/>
        <v>Common</v>
      </c>
    </row>
    <row r="317" spans="1:27" hidden="1" outlineLevel="1">
      <c r="A317" s="83" t="s">
        <v>3346</v>
      </c>
      <c r="B317" s="67">
        <v>5</v>
      </c>
      <c r="C317" s="67">
        <f ca="1">magestuff!$O$197</f>
        <v>5</v>
      </c>
      <c r="D317" s="67">
        <f t="shared" si="39"/>
        <v>0</v>
      </c>
      <c r="E317" s="77" t="e">
        <f ca="1">IF(F317="y",HLOOKUP((IF(C317&lt;1,1,C317)),Magick!$C$20:$L$21,2),NA())</f>
        <v>#N/A</v>
      </c>
      <c r="F317" s="67" t="str">
        <f ca="1">IF(C317&lt;=Magick!$D$3,"Y","N")</f>
        <v>N</v>
      </c>
      <c r="G317" s="148" t="s">
        <v>1616</v>
      </c>
      <c r="H317" s="151"/>
      <c r="I317" s="77" t="e">
        <f>IF(H317&gt;0,(HLOOKUP(C317,Magick!$C$20:$L$21,2)-HLOOKUP(H317,Magick!$C$20:$L$21,2)),NA())</f>
        <v>#N/A</v>
      </c>
      <c r="J317" s="77"/>
      <c r="K317" s="67">
        <v>6</v>
      </c>
      <c r="L317" s="72" t="str">
        <f>IF(H317&gt;0,Magick!#REF!-('Master Spell List'!H295*0.1),"N/A")</f>
        <v>N/A</v>
      </c>
      <c r="M317" s="72">
        <f ca="1">Magick!$H$65</f>
        <v>0.08</v>
      </c>
      <c r="N317" s="72">
        <f ca="1">Magick!$K$65</f>
        <v>0.11</v>
      </c>
      <c r="O317" s="72">
        <f ca="1">Magick!$L$65</f>
        <v>0.11</v>
      </c>
      <c r="P317" s="72">
        <f ca="1">Magick!$M$65</f>
        <v>0.11</v>
      </c>
      <c r="Q317" s="67" t="s">
        <v>4602</v>
      </c>
      <c r="R317" s="67">
        <f ca="1">IF(Q317="Ritual","N/A",IF(Q317="I.E.","N/A",IF(Q317="WOG",VLOOKUP(Magick!$I$65*100,magestuff!$B$134:$F$138,2),IF(Q317="Cantrip",VLOOKUP(Magick!$I$65*100,magestuff!$B$134:$F$138,3),IF(Q317="Hex",VLOOKUP(Magick!$I$65*100,magestuff!$B$134:$F$138,4),VLOOKUP(Magick!$I$65*100,magestuff!$B$134:$F$138,5))))))</f>
        <v>19</v>
      </c>
      <c r="U317" s="67" t="str">
        <f t="shared" si="40"/>
        <v xml:space="preserve"> </v>
      </c>
      <c r="V317" s="515"/>
      <c r="W317" s="125"/>
      <c r="X317" s="31">
        <f t="shared" si="41"/>
        <v>0</v>
      </c>
      <c r="Y317" s="509"/>
      <c r="Z317" s="1054" t="str">
        <f t="shared" si="36"/>
        <v xml:space="preserve">Arcane Dagger Blade of Greater Damage </v>
      </c>
      <c r="AA317" s="1072" t="str">
        <f t="shared" si="37"/>
        <v>Common</v>
      </c>
    </row>
    <row r="318" spans="1:27" hidden="1" outlineLevel="1">
      <c r="A318" s="83" t="s">
        <v>2532</v>
      </c>
      <c r="B318" s="67">
        <v>5</v>
      </c>
      <c r="C318" s="67">
        <f ca="1">magestuff!$O$197</f>
        <v>5</v>
      </c>
      <c r="D318" s="67">
        <f t="shared" si="39"/>
        <v>0</v>
      </c>
      <c r="E318" s="77" t="e">
        <f ca="1">IF(F318="y",HLOOKUP((IF(C318&lt;1,1,C318)),Magick!$C$20:$L$21,2),NA())</f>
        <v>#N/A</v>
      </c>
      <c r="F318" s="67" t="str">
        <f ca="1">IF(C318&lt;=Magick!$D$3,"Y","N")</f>
        <v>N</v>
      </c>
      <c r="G318" s="148" t="s">
        <v>1617</v>
      </c>
      <c r="H318" s="151"/>
      <c r="I318" s="77" t="e">
        <f>IF(H318&gt;0,(HLOOKUP(C318,Magick!$C$20:$L$21,2)-HLOOKUP(H318,Magick!$C$20:$L$21,2)),NA())</f>
        <v>#N/A</v>
      </c>
      <c r="J318" s="77"/>
      <c r="K318" s="67" t="s">
        <v>3453</v>
      </c>
      <c r="L318" s="72" t="str">
        <f>IF(H318&gt;0,Magick!#REF!-('Master Spell List'!H342*0.1),"N/A")</f>
        <v>N/A</v>
      </c>
      <c r="M318" s="72">
        <f ca="1">Magick!$H$65</f>
        <v>0.08</v>
      </c>
      <c r="N318" s="72">
        <f ca="1">Magick!$K$65</f>
        <v>0.11</v>
      </c>
      <c r="O318" s="72">
        <f ca="1">Magick!$L$65</f>
        <v>0.11</v>
      </c>
      <c r="P318" s="72">
        <f ca="1">Magick!$M$65</f>
        <v>0.11</v>
      </c>
      <c r="Q318" s="67" t="s">
        <v>3723</v>
      </c>
      <c r="R318" s="67">
        <f ca="1">IF(Q318="Ritual","N/A",IF(Q318="I.E.","N/A",IF(Q318="WOG",VLOOKUP(Magick!$I$65*100,magestuff!$B$134:$F$138,2),IF(Q318="Cantrip",VLOOKUP(Magick!$I$65*100,magestuff!$B$134:$F$138,3),IF(Q318="Hex",VLOOKUP(Magick!$I$65*100,magestuff!$B$134:$F$138,4),VLOOKUP(Magick!$I$65*100,magestuff!$B$134:$F$138,5))))))</f>
        <v>29</v>
      </c>
      <c r="U318" s="67" t="str">
        <f t="shared" si="40"/>
        <v xml:space="preserve"> </v>
      </c>
      <c r="V318" s="515"/>
      <c r="W318" s="125"/>
      <c r="X318" s="31">
        <f t="shared" si="41"/>
        <v>0</v>
      </c>
      <c r="Y318" s="509"/>
      <c r="Z318" s="1054" t="str">
        <f t="shared" si="36"/>
        <v>Arcane Rope of Steel</v>
      </c>
      <c r="AA318" s="1072" t="str">
        <f t="shared" si="37"/>
        <v>Common</v>
      </c>
    </row>
    <row r="319" spans="1:27" hidden="1" outlineLevel="1">
      <c r="A319" s="31" t="s">
        <v>1654</v>
      </c>
      <c r="B319" s="67">
        <v>5</v>
      </c>
      <c r="C319" s="67">
        <f ca="1">magestuff!$O$197</f>
        <v>5</v>
      </c>
      <c r="D319" s="67">
        <f t="shared" ref="D319:D353" si="42">IF(AND(ISNUMBER(H319),H319=0),C319,0)</f>
        <v>0</v>
      </c>
      <c r="E319" s="77" t="e">
        <f ca="1">IF(F319="y",HLOOKUP((IF(C319&lt;1,1,C319)),Magick!$C$20:$L$21,2),NA())</f>
        <v>#N/A</v>
      </c>
      <c r="F319" s="67" t="str">
        <f ca="1">IF(C319&lt;=Magick!$D$3,"Y","N")</f>
        <v>N</v>
      </c>
      <c r="G319" s="148" t="s">
        <v>128</v>
      </c>
      <c r="H319" s="151"/>
      <c r="I319" s="77" t="e">
        <f>IF(H319&gt;0,(HLOOKUP(C319,Magick!$C$20:$L$21,2)-HLOOKUP(H319,Magick!$C$20:$L$21,2)),NA())</f>
        <v>#N/A</v>
      </c>
      <c r="J319" s="77"/>
      <c r="K319" s="67">
        <v>8</v>
      </c>
      <c r="L319" s="72" t="str">
        <f>IF(H319&gt;0,Magick!#REF!-('Master Spell List'!H284*0.1),"N/A")</f>
        <v>N/A</v>
      </c>
      <c r="M319" s="72">
        <f ca="1">Magick!$H$65</f>
        <v>0.08</v>
      </c>
      <c r="N319" s="72">
        <f ca="1">Magick!$K$65</f>
        <v>0.11</v>
      </c>
      <c r="O319" s="72">
        <f ca="1">Magick!$L$65</f>
        <v>0.11</v>
      </c>
      <c r="P319" s="72">
        <f ca="1">Magick!$M$65</f>
        <v>0.11</v>
      </c>
      <c r="Q319" s="67" t="s">
        <v>3723</v>
      </c>
      <c r="R319" s="67">
        <f ca="1">IF(Q319="Ritual","N/A",IF(Q319="I.E.","N/A",IF(Q319="WOG",VLOOKUP(Magick!$I$65*100,magestuff!$B$134:$F$138,2),IF(Q319="Cantrip",VLOOKUP(Magick!$I$65*100,magestuff!$B$134:$F$138,3),IF(Q319="Hex",VLOOKUP(Magick!$I$65*100,magestuff!$B$134:$F$138,4),VLOOKUP(Magick!$I$65*100,magestuff!$B$134:$F$138,5))))))</f>
        <v>29</v>
      </c>
      <c r="U319" s="67" t="str">
        <f t="shared" ref="U319:U353" si="43">IF(ISBLANK(H319)," ",IF(H319&gt;0,0,C319*10))</f>
        <v xml:space="preserve"> </v>
      </c>
      <c r="V319" s="515"/>
      <c r="W319" s="125"/>
      <c r="X319" s="31">
        <f t="shared" si="41"/>
        <v>0</v>
      </c>
      <c r="Y319" s="509"/>
      <c r="Z319" s="1054" t="str">
        <f t="shared" si="36"/>
        <v>Arcane Shield (Shield of Athene)</v>
      </c>
      <c r="AA319" s="1072" t="str">
        <f t="shared" si="37"/>
        <v>Common</v>
      </c>
    </row>
    <row r="320" spans="1:27" hidden="1" outlineLevel="1">
      <c r="A320" s="83" t="s">
        <v>3347</v>
      </c>
      <c r="B320" s="67">
        <v>5</v>
      </c>
      <c r="C320" s="67">
        <f ca="1">magestuff!$O$197</f>
        <v>5</v>
      </c>
      <c r="D320" s="67">
        <f t="shared" si="42"/>
        <v>0</v>
      </c>
      <c r="E320" s="77" t="e">
        <f ca="1">IF(F320="y",HLOOKUP((IF(C320&lt;1,1,C320)),Magick!$C$20:$L$21,2),NA())</f>
        <v>#N/A</v>
      </c>
      <c r="F320" s="67" t="str">
        <f ca="1">IF(C320&lt;=Magick!$D$3,"Y","N")</f>
        <v>N</v>
      </c>
      <c r="G320" s="148" t="s">
        <v>1616</v>
      </c>
      <c r="H320" s="151"/>
      <c r="I320" s="77" t="e">
        <f>IF(H320&gt;0,(HLOOKUP(C320,Magick!$C$20:$L$21,2)-HLOOKUP(H320,Magick!$C$20:$L$21,2)),NA())</f>
        <v>#N/A</v>
      </c>
      <c r="J320" s="77"/>
      <c r="K320" s="67">
        <v>6</v>
      </c>
      <c r="L320" s="72" t="str">
        <f>IF(H320&gt;0,Magick!#REF!-('Master Spell List'!H296*0.1),"N/A")</f>
        <v>N/A</v>
      </c>
      <c r="M320" s="72">
        <f ca="1">Magick!$H$65</f>
        <v>0.08</v>
      </c>
      <c r="N320" s="72">
        <f ca="1">Magick!$K$65</f>
        <v>0.11</v>
      </c>
      <c r="O320" s="72">
        <f ca="1">Magick!$L$65</f>
        <v>0.11</v>
      </c>
      <c r="P320" s="72">
        <f ca="1">Magick!$M$65</f>
        <v>0.11</v>
      </c>
      <c r="Q320" s="67" t="s">
        <v>4602</v>
      </c>
      <c r="R320" s="67">
        <f ca="1">IF(Q320="Ritual","N/A",IF(Q320="I.E.","N/A",IF(Q320="WOG",VLOOKUP(Magick!$I$65*100,magestuff!$B$134:$F$138,2),IF(Q320="Cantrip",VLOOKUP(Magick!$I$65*100,magestuff!$B$134:$F$138,3),IF(Q320="Hex",VLOOKUP(Magick!$I$65*100,magestuff!$B$134:$F$138,4),VLOOKUP(Magick!$I$65*100,magestuff!$B$134:$F$138,5))))))</f>
        <v>19</v>
      </c>
      <c r="U320" s="67" t="str">
        <f t="shared" si="43"/>
        <v xml:space="preserve"> </v>
      </c>
      <c r="V320" s="515"/>
      <c r="W320" s="125"/>
      <c r="X320" s="31">
        <f t="shared" si="41"/>
        <v>0</v>
      </c>
      <c r="Y320" s="509"/>
      <c r="Z320" s="1054" t="str">
        <f t="shared" si="36"/>
        <v xml:space="preserve">Arcane Short Sword Blade </v>
      </c>
      <c r="AA320" s="1072" t="str">
        <f t="shared" si="37"/>
        <v>Common</v>
      </c>
    </row>
    <row r="321" spans="1:27" hidden="1" outlineLevel="1">
      <c r="A321" s="83" t="s">
        <v>5514</v>
      </c>
      <c r="B321" s="67">
        <v>5</v>
      </c>
      <c r="C321" s="67">
        <f ca="1">magestuff!$O$197</f>
        <v>5</v>
      </c>
      <c r="D321" s="67">
        <f t="shared" si="42"/>
        <v>0</v>
      </c>
      <c r="E321" s="77" t="e">
        <f ca="1">IF(F321="y",HLOOKUP((IF(C321&lt;1,1,C321)),Magick!$C$20:$L$21,2),NA())</f>
        <v>#N/A</v>
      </c>
      <c r="F321" s="67" t="str">
        <f ca="1">IF(C321&lt;=Magick!$D$3,"Y","N")</f>
        <v>N</v>
      </c>
      <c r="G321" s="148" t="s">
        <v>1617</v>
      </c>
      <c r="H321" s="151"/>
      <c r="I321" s="77" t="e">
        <f>IF(H321&gt;0,(HLOOKUP(C321,Magick!$C$20:$L$21,2)-HLOOKUP(H321,Magick!$C$20:$L$21,2)),NA())</f>
        <v>#N/A</v>
      </c>
      <c r="J321" s="77"/>
      <c r="K321" s="67" t="s">
        <v>2050</v>
      </c>
      <c r="L321" s="72" t="str">
        <f>IF(H321&gt;0,Magick!#REF!-('Master Spell List'!H343*0.1),"N/A")</f>
        <v>N/A</v>
      </c>
      <c r="M321" s="72">
        <f ca="1">Magick!$H$65</f>
        <v>0.08</v>
      </c>
      <c r="N321" s="72">
        <f ca="1">Magick!$K$65</f>
        <v>0.11</v>
      </c>
      <c r="O321" s="72">
        <f ca="1">Magick!$L$65</f>
        <v>0.11</v>
      </c>
      <c r="P321" s="72">
        <f ca="1">Magick!$M$65</f>
        <v>0.11</v>
      </c>
      <c r="Q321" s="67" t="s">
        <v>3723</v>
      </c>
      <c r="R321" s="67">
        <f ca="1">IF(Q321="Ritual","N/A",IF(Q321="I.E.","N/A",IF(Q321="WOG",VLOOKUP(Magick!$I$65*100,magestuff!$B$134:$F$138,2),IF(Q321="Cantrip",VLOOKUP(Magick!$I$65*100,magestuff!$B$134:$F$138,3),IF(Q321="Hex",VLOOKUP(Magick!$I$65*100,magestuff!$B$134:$F$138,4),VLOOKUP(Magick!$I$65*100,magestuff!$B$134:$F$138,5))))))</f>
        <v>29</v>
      </c>
      <c r="S321" s="67" t="s">
        <v>5545</v>
      </c>
      <c r="T321" s="67" t="s">
        <v>5545</v>
      </c>
      <c r="U321" s="67" t="str">
        <f t="shared" si="43"/>
        <v xml:space="preserve"> </v>
      </c>
      <c r="V321" s="515"/>
      <c r="W321" s="125"/>
      <c r="X321" s="31">
        <f t="shared" si="41"/>
        <v>0</v>
      </c>
      <c r="Y321" s="509"/>
      <c r="Z321" s="1054" t="str">
        <f t="shared" si="36"/>
        <v>Bindings of the Arcane</v>
      </c>
      <c r="AA321" s="1072" t="str">
        <f t="shared" si="37"/>
        <v>Common</v>
      </c>
    </row>
    <row r="322" spans="1:27" hidden="1" outlineLevel="1">
      <c r="A322" s="83" t="s">
        <v>1214</v>
      </c>
      <c r="B322" s="67">
        <v>5</v>
      </c>
      <c r="C322" s="67">
        <f ca="1">magestuff!$O$197</f>
        <v>5</v>
      </c>
      <c r="D322" s="67">
        <f t="shared" si="42"/>
        <v>0</v>
      </c>
      <c r="E322" s="77" t="e">
        <f ca="1">IF(F322="y",HLOOKUP((IF(C322&lt;1,1,C322)),Magick!$C$20:$L$21,2),NA())</f>
        <v>#N/A</v>
      </c>
      <c r="F322" s="67" t="str">
        <f ca="1">IF(C322&lt;=Magick!$D$3,"Y","N")</f>
        <v>N</v>
      </c>
      <c r="G322" s="148" t="s">
        <v>1217</v>
      </c>
      <c r="H322" s="151"/>
      <c r="I322" s="77" t="e">
        <f>IF(H322&gt;0,(HLOOKUP(C322,Magick!$C$20:$L$21,2)-HLOOKUP(H322,Magick!$C$20:$L$21,2)),NA())</f>
        <v>#N/A</v>
      </c>
      <c r="J322" s="77"/>
      <c r="K322" s="67">
        <v>11</v>
      </c>
      <c r="L322" s="72" t="str">
        <f>IF(H322&gt;0,Magick!#REF!-('Master Spell List'!H310*0.1),"N/A")</f>
        <v>N/A</v>
      </c>
      <c r="M322" s="72">
        <f ca="1">Magick!$H$65</f>
        <v>0.08</v>
      </c>
      <c r="N322" s="72">
        <f ca="1">Magick!$K$65</f>
        <v>0.11</v>
      </c>
      <c r="O322" s="72">
        <f ca="1">Magick!$L$65</f>
        <v>0.11</v>
      </c>
      <c r="P322" s="72">
        <f ca="1">Magick!$M$65</f>
        <v>0.11</v>
      </c>
      <c r="Q322" s="67" t="s">
        <v>3723</v>
      </c>
      <c r="R322" s="67">
        <f ca="1">IF(Q322="Ritual","N/A",IF(Q322="I.E.","N/A",IF(Q322="WOG",VLOOKUP(Magick!$I$65*100,magestuff!$B$134:$F$138,2),IF(Q322="Cantrip",VLOOKUP(Magick!$I$65*100,magestuff!$B$134:$F$138,3),IF(Q322="Hex",VLOOKUP(Magick!$I$65*100,magestuff!$B$134:$F$138,4),VLOOKUP(Magick!$I$65*100,magestuff!$B$134:$F$138,5))))))</f>
        <v>29</v>
      </c>
      <c r="S322" s="67">
        <f>25*Magick!$C$3</f>
        <v>0</v>
      </c>
      <c r="T322" s="67" t="s">
        <v>3725</v>
      </c>
      <c r="U322" s="67" t="str">
        <f t="shared" si="43"/>
        <v xml:space="preserve"> </v>
      </c>
      <c r="V322" s="515"/>
      <c r="W322" s="125"/>
      <c r="Y322" s="509"/>
      <c r="Z322" s="1054" t="str">
        <f t="shared" ref="Z322:Z385" si="44">A322</f>
        <v>Great Eldritch Attack</v>
      </c>
      <c r="AA322" s="1072" t="str">
        <f t="shared" si="37"/>
        <v>Common</v>
      </c>
    </row>
    <row r="323" spans="1:27" hidden="1" outlineLevel="1">
      <c r="A323" s="83" t="s">
        <v>5770</v>
      </c>
      <c r="B323" s="67">
        <v>5</v>
      </c>
      <c r="C323" s="67">
        <f ca="1">magestuff!$O$197</f>
        <v>5</v>
      </c>
      <c r="D323" s="67">
        <f t="shared" si="42"/>
        <v>0</v>
      </c>
      <c r="E323" s="77" t="e">
        <f ca="1">IF(F323="y",HLOOKUP((IF(C323&lt;1,1,C323)),Magick!$C$20:$L$21,2),NA())</f>
        <v>#N/A</v>
      </c>
      <c r="F323" s="67" t="str">
        <f ca="1">IF(C323&lt;=Magick!$D$3,"Y","N")</f>
        <v>N</v>
      </c>
      <c r="G323" s="148" t="s">
        <v>5779</v>
      </c>
      <c r="H323" s="151"/>
      <c r="I323" s="77" t="e">
        <f>IF(H323&gt;0,(HLOOKUP(C323,Magick!$C$20:$L$21,2)-HLOOKUP(H323,Magick!$C$20:$L$21,2)),NA())</f>
        <v>#N/A</v>
      </c>
      <c r="J323" s="77"/>
      <c r="K323" s="67">
        <v>11</v>
      </c>
      <c r="L323" s="72" t="str">
        <f>IF(H323&gt;0,Magick!#REF!-('Master Spell List'!H327*0.1),"N/A")</f>
        <v>N/A</v>
      </c>
      <c r="M323" s="72">
        <f ca="1">Magick!$H$65</f>
        <v>0.08</v>
      </c>
      <c r="N323" s="72">
        <f ca="1">Magick!$K$65</f>
        <v>0.11</v>
      </c>
      <c r="O323" s="72">
        <f ca="1">Magick!$L$65</f>
        <v>0.11</v>
      </c>
      <c r="P323" s="72">
        <f ca="1">Magick!$M$65</f>
        <v>0.11</v>
      </c>
      <c r="Q323" s="67" t="s">
        <v>4603</v>
      </c>
      <c r="R323" s="67">
        <f ca="1">IF(Q323="Ritual","N/A",IF(Q323="I.E.","N/A",IF(Q323="WOG",VLOOKUP(Magick!$I$65*100,magestuff!$B$134:$F$138,2),IF(Q323="Cantrip",VLOOKUP(Magick!$I$65*100,magestuff!$B$134:$F$138,3),IF(Q323="Hex",VLOOKUP(Magick!$I$65*100,magestuff!$B$134:$F$138,4),VLOOKUP(Magick!$I$65*100,magestuff!$B$134:$F$138,5))))))</f>
        <v>9</v>
      </c>
      <c r="S323" s="67" t="s">
        <v>5545</v>
      </c>
      <c r="T323" s="67" t="s">
        <v>5545</v>
      </c>
      <c r="U323" s="67" t="str">
        <f t="shared" si="43"/>
        <v xml:space="preserve"> </v>
      </c>
      <c r="V323" s="515"/>
      <c r="W323" s="125"/>
      <c r="X323" s="31">
        <f t="shared" ref="X323:X340" si="45">W323*3</f>
        <v>0</v>
      </c>
      <c r="Y323" s="509"/>
      <c r="Z323" s="1054" t="str">
        <f t="shared" si="44"/>
        <v xml:space="preserve">Greater Healing Touch of Apollo   </v>
      </c>
      <c r="AA323" s="1072" t="str">
        <f t="shared" ref="AA323:AA386" si="46">IF(ISNUMBER(MATCH($Z323,Spell_Methods,0)),$Z323,$AA322)</f>
        <v>Common</v>
      </c>
    </row>
    <row r="324" spans="1:27" hidden="1" outlineLevel="1">
      <c r="A324" s="377" t="s">
        <v>2907</v>
      </c>
      <c r="B324" s="67">
        <v>5</v>
      </c>
      <c r="C324" s="67">
        <f ca="1">magestuff!$O$197</f>
        <v>5</v>
      </c>
      <c r="D324" s="67">
        <f t="shared" si="42"/>
        <v>0</v>
      </c>
      <c r="E324" s="77" t="e">
        <f ca="1">IF(F324="y",HLOOKUP((IF(C324&lt;1,1,C324)),Magick!$C$20:$L$21,2),NA())</f>
        <v>#N/A</v>
      </c>
      <c r="F324" s="67" t="str">
        <f ca="1">IF(C324&lt;=Magick!$D$3,"Y","N")</f>
        <v>N</v>
      </c>
      <c r="G324" s="148" t="s">
        <v>859</v>
      </c>
      <c r="H324" s="151"/>
      <c r="I324" s="77" t="e">
        <f>IF(H324&gt;0,(HLOOKUP(C324,Magick!$C$20:$L$21,2)-HLOOKUP(H324,Magick!$C$20:$L$21,2)),NA())</f>
        <v>#N/A</v>
      </c>
      <c r="J324" s="77"/>
      <c r="K324" s="67" t="s">
        <v>2225</v>
      </c>
      <c r="L324" s="72" t="str">
        <f>IF(H324&gt;0,Magick!#REF!-('Master Spell List'!H320*0.1),"N/A")</f>
        <v>N/A</v>
      </c>
      <c r="M324" s="72">
        <f ca="1">Magick!$H$65</f>
        <v>0.08</v>
      </c>
      <c r="N324" s="72">
        <f ca="1">Magick!$K$65</f>
        <v>0.11</v>
      </c>
      <c r="O324" s="72">
        <f ca="1">Magick!$L$65</f>
        <v>0.11</v>
      </c>
      <c r="P324" s="72">
        <f ca="1">Magick!$M$65</f>
        <v>0.11</v>
      </c>
      <c r="Q324" s="67" t="s">
        <v>2225</v>
      </c>
      <c r="R324" s="67">
        <f ca="1">IF(Q324="Ritual","N/A",IF(Q324="I.E.","N/A",IF(Q324="WOG",VLOOKUP(Magick!$I$65*100,magestuff!$B$134:$F$138,2),IF(Q324="Cantrip",VLOOKUP(Magick!$I$65*100,magestuff!$B$134:$F$138,3),IF(Q324="Hex",VLOOKUP(Magick!$I$65*100,magestuff!$B$134:$F$138,4),VLOOKUP(Magick!$I$65*100,magestuff!$B$134:$F$138,5))))))</f>
        <v>29</v>
      </c>
      <c r="U324" s="67" t="str">
        <f t="shared" si="43"/>
        <v xml:space="preserve"> </v>
      </c>
      <c r="V324" s="515"/>
      <c r="W324" s="125"/>
      <c r="X324" s="31">
        <f t="shared" si="45"/>
        <v>0</v>
      </c>
      <c r="Y324" s="509"/>
      <c r="Z324" s="1054" t="str">
        <f t="shared" si="44"/>
        <v>Least Invisible Sigil of the Arcane</v>
      </c>
      <c r="AA324" s="1072" t="str">
        <f t="shared" si="46"/>
        <v>Common</v>
      </c>
    </row>
    <row r="325" spans="1:27" hidden="1" outlineLevel="1">
      <c r="A325" s="31" t="s">
        <v>4073</v>
      </c>
      <c r="B325" s="67">
        <v>5</v>
      </c>
      <c r="C325" s="67">
        <f ca="1">magestuff!$O$197</f>
        <v>5</v>
      </c>
      <c r="D325" s="67">
        <f t="shared" si="42"/>
        <v>0</v>
      </c>
      <c r="E325" s="77" t="e">
        <f ca="1">IF(F325="y",HLOOKUP((IF(C325&lt;1,1,C325)),Magick!$C$20:$L$21,2),NA())</f>
        <v>#N/A</v>
      </c>
      <c r="F325" s="67" t="str">
        <f ca="1">IF(C325&lt;=Magick!$D$3,"Y","N")</f>
        <v>N</v>
      </c>
      <c r="G325" s="148" t="s">
        <v>128</v>
      </c>
      <c r="H325" s="151"/>
      <c r="I325" s="77" t="e">
        <f>IF(H325&gt;0,(HLOOKUP(C325,Magick!$C$20:$L$21,2)-HLOOKUP(H325,Magick!$C$20:$L$21,2)),NA())</f>
        <v>#N/A</v>
      </c>
      <c r="J325" s="77"/>
      <c r="K325" s="67">
        <v>24</v>
      </c>
      <c r="L325" s="72" t="str">
        <f>IF(H325&gt;0,Magick!#REF!-('Master Spell List'!H311*0.1),"N/A")</f>
        <v>N/A</v>
      </c>
      <c r="M325" s="72">
        <f ca="1">Magick!$H$65</f>
        <v>0.08</v>
      </c>
      <c r="N325" s="72">
        <f ca="1">Magick!$K$65</f>
        <v>0.11</v>
      </c>
      <c r="O325" s="72">
        <f ca="1">Magick!$L$65</f>
        <v>0.11</v>
      </c>
      <c r="P325" s="72">
        <f ca="1">Magick!$M$65</f>
        <v>0.11</v>
      </c>
      <c r="Q325" s="67" t="s">
        <v>113</v>
      </c>
      <c r="R325" s="67" t="str">
        <f>IF(Q325="Ritual","N/A",IF(Q325="I.E.","N/A",IF(Q325="WOG",VLOOKUP(Magick!$I$65*100,magestuff!$B$134:$F$138,2),IF(Q325="Cantrip",VLOOKUP(Magick!$I$65*100,magestuff!$B$134:$F$138,3),IF(Q325="Hex",VLOOKUP(Magick!$I$65*100,magestuff!$B$134:$F$138,4),VLOOKUP(Magick!$I$65*100,magestuff!$B$134:$F$138,5))))))</f>
        <v>N/A</v>
      </c>
      <c r="U325" s="67" t="str">
        <f t="shared" si="43"/>
        <v xml:space="preserve"> </v>
      </c>
      <c r="V325" s="515"/>
      <c r="W325" s="125"/>
      <c r="X325" s="31">
        <f t="shared" si="45"/>
        <v>0</v>
      </c>
      <c r="Y325" s="509"/>
      <c r="Z325" s="1054" t="str">
        <f t="shared" si="44"/>
        <v>Shadow Beast</v>
      </c>
      <c r="AA325" s="1072" t="str">
        <f t="shared" si="46"/>
        <v>Common</v>
      </c>
    </row>
    <row r="326" spans="1:27" hidden="1" outlineLevel="1">
      <c r="A326" s="83" t="s">
        <v>1462</v>
      </c>
      <c r="B326" s="67">
        <v>5</v>
      </c>
      <c r="C326" s="67">
        <f ca="1">magestuff!$O$197</f>
        <v>5</v>
      </c>
      <c r="D326" s="67">
        <f t="shared" si="42"/>
        <v>0</v>
      </c>
      <c r="E326" s="77" t="e">
        <f ca="1">IF(F326="y",HLOOKUP((IF(C326&lt;1,1,C326)),Magick!$C$20:$L$21,2),NA())</f>
        <v>#N/A</v>
      </c>
      <c r="F326" s="67" t="str">
        <f ca="1">IF(C326&lt;=Magick!$D$3,"Y","N")</f>
        <v>N</v>
      </c>
      <c r="G326" s="148" t="s">
        <v>1617</v>
      </c>
      <c r="H326" s="151"/>
      <c r="I326" s="77" t="e">
        <f>IF(H326&gt;0,(HLOOKUP(C326,Magick!$C$20:$L$21,2)-HLOOKUP(H326,Magick!$C$20:$L$21,2)),NA())</f>
        <v>#N/A</v>
      </c>
      <c r="J326" s="77"/>
      <c r="K326" s="67">
        <v>9</v>
      </c>
      <c r="L326" s="72" t="str">
        <f>IF(H326&gt;0,Magick!#REF!-('Master Spell List'!H336*0.1),"N/A")</f>
        <v>N/A</v>
      </c>
      <c r="M326" s="72">
        <f ca="1">Magick!$H$65</f>
        <v>0.08</v>
      </c>
      <c r="N326" s="72">
        <f ca="1">Magick!$K$65</f>
        <v>0.11</v>
      </c>
      <c r="O326" s="72">
        <f ca="1">Magick!$L$65</f>
        <v>0.11</v>
      </c>
      <c r="P326" s="72">
        <f ca="1">Magick!$M$65</f>
        <v>0.11</v>
      </c>
      <c r="Q326" s="67" t="s">
        <v>4603</v>
      </c>
      <c r="R326" s="67">
        <f ca="1">IF(Q326="Ritual","N/A",IF(Q326="I.E.","N/A",IF(Q326="WOG",VLOOKUP(Magick!$I$65*100,magestuff!$B$134:$F$138,2),IF(Q326="Cantrip",VLOOKUP(Magick!$I$65*100,magestuff!$B$134:$F$138,3),IF(Q326="Hex",VLOOKUP(Magick!$I$65*100,magestuff!$B$134:$F$138,4),VLOOKUP(Magick!$I$65*100,magestuff!$B$134:$F$138,5))))))</f>
        <v>9</v>
      </c>
      <c r="S326" s="67" t="s">
        <v>5545</v>
      </c>
      <c r="T326" s="67" t="s">
        <v>5545</v>
      </c>
      <c r="U326" s="67" t="str">
        <f t="shared" si="43"/>
        <v xml:space="preserve"> </v>
      </c>
      <c r="V326" s="515"/>
      <c r="W326" s="125"/>
      <c r="X326" s="31">
        <f t="shared" si="45"/>
        <v>0</v>
      </c>
      <c r="Y326" s="509"/>
      <c r="Z326" s="1054" t="str">
        <f t="shared" si="44"/>
        <v xml:space="preserve">Transform </v>
      </c>
      <c r="AA326" s="1072" t="str">
        <f t="shared" si="46"/>
        <v>Common</v>
      </c>
    </row>
    <row r="327" spans="1:27" hidden="1" outlineLevel="1">
      <c r="A327" s="83" t="s">
        <v>1676</v>
      </c>
      <c r="B327" s="67">
        <v>6</v>
      </c>
      <c r="C327" s="67">
        <f ca="1">magestuff!$R$197</f>
        <v>6</v>
      </c>
      <c r="D327" s="67">
        <f t="shared" si="42"/>
        <v>0</v>
      </c>
      <c r="E327" s="77" t="e">
        <f ca="1">IF(F327="y",HLOOKUP((IF(C327&lt;1,1,C327)),Magick!$C$20:$L$21,2),NA())</f>
        <v>#N/A</v>
      </c>
      <c r="F327" s="67" t="str">
        <f ca="1">IF(C327&lt;=Magick!$D$3,"Y","N")</f>
        <v>N</v>
      </c>
      <c r="G327" s="148" t="s">
        <v>1616</v>
      </c>
      <c r="H327" s="151"/>
      <c r="I327" s="77" t="e">
        <f>IF(H327&gt;0,(HLOOKUP(C327,Magick!$C$20:$L$21,2)-HLOOKUP(H327,Magick!$C$20:$L$21,2)),NA())</f>
        <v>#N/A</v>
      </c>
      <c r="J327" s="77"/>
      <c r="K327" s="67">
        <v>8</v>
      </c>
      <c r="L327" s="72" t="str">
        <f>IF(H327&gt;0,Magick!#REF!-('Master Spell List'!H304*0.1),"N/A")</f>
        <v>N/A</v>
      </c>
      <c r="M327" s="72">
        <f ca="1">Magick!$H$65</f>
        <v>0.08</v>
      </c>
      <c r="N327" s="72">
        <f ca="1">Magick!$K$65</f>
        <v>0.11</v>
      </c>
      <c r="O327" s="72">
        <f ca="1">Magick!$L$65</f>
        <v>0.11</v>
      </c>
      <c r="P327" s="72">
        <f ca="1">Magick!$M$65</f>
        <v>0.11</v>
      </c>
      <c r="Q327" s="67" t="s">
        <v>4602</v>
      </c>
      <c r="R327" s="67">
        <f ca="1">IF(Q327="Ritual","N/A",IF(Q327="I.E.","N/A",IF(Q327="WOG",VLOOKUP(Magick!$I$65*100,magestuff!$B$134:$F$138,2),IF(Q327="Cantrip",VLOOKUP(Magick!$I$65*100,magestuff!$B$134:$F$138,3),IF(Q327="Hex",VLOOKUP(Magick!$I$65*100,magestuff!$B$134:$F$138,4),VLOOKUP(Magick!$I$65*100,magestuff!$B$134:$F$138,5))))))</f>
        <v>19</v>
      </c>
      <c r="U327" s="67" t="str">
        <f t="shared" si="43"/>
        <v xml:space="preserve"> </v>
      </c>
      <c r="V327" s="515"/>
      <c r="W327" s="125"/>
      <c r="X327" s="31">
        <f t="shared" si="45"/>
        <v>0</v>
      </c>
      <c r="Y327" s="509"/>
      <c r="Z327" s="1054" t="str">
        <f t="shared" si="44"/>
        <v xml:space="preserve">Arcane Axe Head </v>
      </c>
      <c r="AA327" s="1072" t="str">
        <f t="shared" si="46"/>
        <v>Common</v>
      </c>
    </row>
    <row r="328" spans="1:27" hidden="1" outlineLevel="1">
      <c r="A328" s="83" t="s">
        <v>6061</v>
      </c>
      <c r="B328" s="67">
        <v>6</v>
      </c>
      <c r="C328" s="67">
        <f ca="1">magestuff!$R$197</f>
        <v>6</v>
      </c>
      <c r="D328" s="67">
        <f t="shared" si="42"/>
        <v>0</v>
      </c>
      <c r="E328" s="77" t="e">
        <f ca="1">IF(F328="y",HLOOKUP((IF(C328&lt;1,1,C328)),Magick!$C$20:$L$21,2),NA())</f>
        <v>#N/A</v>
      </c>
      <c r="F328" s="67" t="str">
        <f ca="1">IF(C328&lt;=Magick!$D$3,"Y","N")</f>
        <v>N</v>
      </c>
      <c r="G328" s="148" t="s">
        <v>6052</v>
      </c>
      <c r="H328" s="151"/>
      <c r="I328" s="77" t="e">
        <f>IF(H328&gt;0,(HLOOKUP(C328,Magick!$C$20:$L$21,2)-HLOOKUP(H328,Magick!$C$20:$L$21,2)),NA())</f>
        <v>#N/A</v>
      </c>
      <c r="J328" s="77"/>
      <c r="K328" s="67">
        <v>13</v>
      </c>
      <c r="L328" s="72" t="str">
        <f>IF(H328&gt;0,Magick!#REF!-('Master Spell List'!H275*0.1),"N/A")</f>
        <v>N/A</v>
      </c>
      <c r="M328" s="72">
        <f ca="1">Magick!$H$65</f>
        <v>0.08</v>
      </c>
      <c r="N328" s="72">
        <f ca="1">Magick!$K$65</f>
        <v>0.11</v>
      </c>
      <c r="O328" s="72">
        <f ca="1">Magick!$L$65</f>
        <v>0.11</v>
      </c>
      <c r="P328" s="72">
        <f ca="1">Magick!$M$65</f>
        <v>0.11</v>
      </c>
      <c r="Q328" s="67" t="s">
        <v>4602</v>
      </c>
      <c r="R328" s="67">
        <f ca="1">IF(Q328="Ritual","N/A",IF(Q328="I.E.","N/A",IF(Q328="WOG",VLOOKUP(Magick!$I$65*100,magestuff!$B$134:$F$138,2),IF(Q328="Cantrip",VLOOKUP(Magick!$I$65*100,magestuff!$B$134:$F$138,3),IF(Q328="Hex",VLOOKUP(Magick!$I$65*100,magestuff!$B$134:$F$138,4),VLOOKUP(Magick!$I$65*100,magestuff!$B$134:$F$138,5))))))</f>
        <v>19</v>
      </c>
      <c r="S328" s="67">
        <f>50*Magick!$C$3</f>
        <v>0</v>
      </c>
      <c r="T328" s="67" t="s">
        <v>3725</v>
      </c>
      <c r="U328" s="67" t="str">
        <f t="shared" si="43"/>
        <v xml:space="preserve"> </v>
      </c>
      <c r="V328" s="515"/>
      <c r="W328" s="125"/>
      <c r="X328" s="31">
        <f t="shared" si="45"/>
        <v>0</v>
      </c>
      <c r="Y328" s="1025"/>
      <c r="Z328" s="1054" t="str">
        <f t="shared" si="44"/>
        <v>Lesser Aport an Object</v>
      </c>
      <c r="AA328" s="1072" t="str">
        <f t="shared" si="46"/>
        <v>Common</v>
      </c>
    </row>
    <row r="329" spans="1:27" hidden="1" outlineLevel="1">
      <c r="A329" s="83" t="s">
        <v>6064</v>
      </c>
      <c r="B329" s="67">
        <v>6</v>
      </c>
      <c r="C329" s="67">
        <f ca="1">magestuff!$R$197</f>
        <v>6</v>
      </c>
      <c r="D329" s="67">
        <f t="shared" ref="D329" si="47">IF(AND(ISNUMBER(H329),H329=0),C329,0)</f>
        <v>0</v>
      </c>
      <c r="E329" s="77" t="e">
        <f ca="1">IF(F329="y",HLOOKUP((IF(C329&lt;1,1,C329)),Magick!$C$20:$L$21,2),NA())</f>
        <v>#N/A</v>
      </c>
      <c r="F329" s="67" t="str">
        <f ca="1">IF(C329&lt;=Magick!$D$3,"Y","N")</f>
        <v>N</v>
      </c>
      <c r="G329" s="148" t="s">
        <v>6052</v>
      </c>
      <c r="H329" s="151"/>
      <c r="I329" s="77" t="e">
        <f>IF(H329&gt;0,(HLOOKUP(C329,Magick!$C$20:$L$21,2)-HLOOKUP(H329,Magick!$C$20:$L$21,2)),NA())</f>
        <v>#N/A</v>
      </c>
      <c r="J329" s="77"/>
      <c r="K329" s="67">
        <v>15</v>
      </c>
      <c r="L329" s="72" t="str">
        <f>IF(H329&gt;0,Magick!#REF!-('Master Spell List'!H276*0.1),"N/A")</f>
        <v>N/A</v>
      </c>
      <c r="M329" s="72">
        <f ca="1">Magick!$H$65</f>
        <v>0.08</v>
      </c>
      <c r="N329" s="72">
        <f ca="1">Magick!$K$65</f>
        <v>0.11</v>
      </c>
      <c r="O329" s="72">
        <f ca="1">Magick!$L$65</f>
        <v>0.11</v>
      </c>
      <c r="P329" s="72">
        <f ca="1">Magick!$M$65</f>
        <v>0.11</v>
      </c>
      <c r="Q329" s="67" t="s">
        <v>113</v>
      </c>
      <c r="R329" s="67" t="str">
        <f>IF(Q329="Ritual","N/A",IF(Q329="I.E.","N/A",IF(Q329="WOG",VLOOKUP(Magick!$I$65*100,magestuff!$B$134:$F$138,2),IF(Q329="Cantrip",VLOOKUP(Magick!$I$65*100,magestuff!$B$134:$F$138,3),IF(Q329="Hex",VLOOKUP(Magick!$I$65*100,magestuff!$B$134:$F$138,4),VLOOKUP(Magick!$I$65*100,magestuff!$B$134:$F$138,5))))))</f>
        <v>N/A</v>
      </c>
      <c r="S329" s="67">
        <f>1*Magick!$C$3</f>
        <v>0</v>
      </c>
      <c r="T329" s="67" t="s">
        <v>3256</v>
      </c>
      <c r="U329" s="67" t="str">
        <f t="shared" ref="U329" si="48">IF(ISBLANK(H329)," ",IF(H329&gt;0,0,C329*10))</f>
        <v xml:space="preserve"> </v>
      </c>
      <c r="V329" s="515"/>
      <c r="W329" s="125"/>
      <c r="X329" s="31">
        <f t="shared" si="45"/>
        <v>0</v>
      </c>
      <c r="Y329" s="1025"/>
      <c r="Z329" s="1054" t="str">
        <f t="shared" si="44"/>
        <v>Least Blink</v>
      </c>
      <c r="AA329" s="1072" t="str">
        <f t="shared" si="46"/>
        <v>Common</v>
      </c>
    </row>
    <row r="330" spans="1:27" hidden="1" outlineLevel="1">
      <c r="A330" s="83" t="s">
        <v>5518</v>
      </c>
      <c r="B330" s="67">
        <v>6</v>
      </c>
      <c r="C330" s="67">
        <f ca="1">magestuff!$R$197</f>
        <v>6</v>
      </c>
      <c r="D330" s="67">
        <f t="shared" si="42"/>
        <v>0</v>
      </c>
      <c r="E330" s="77" t="e">
        <f ca="1">IF(F330="y",HLOOKUP((IF(C330&lt;1,1,C330)),Magick!$C$20:$L$21,2),NA())</f>
        <v>#N/A</v>
      </c>
      <c r="F330" s="67" t="str">
        <f ca="1">IF(C330&lt;=Magick!$D$3,"Y","N")</f>
        <v>N</v>
      </c>
      <c r="G330" s="148" t="s">
        <v>1617</v>
      </c>
      <c r="H330" s="151"/>
      <c r="I330" s="77" t="e">
        <f>IF(H330&gt;0,(HLOOKUP(C330,Magick!$C$20:$L$21,2)-HLOOKUP(H330,Magick!$C$20:$L$21,2)),NA())</f>
        <v>#N/A</v>
      </c>
      <c r="J330" s="77"/>
      <c r="K330" s="67" t="s">
        <v>328</v>
      </c>
      <c r="L330" s="72" t="str">
        <f>IF(H330&gt;0,Magick!#REF!-('Master Spell List'!H282*0.1),"N/A")</f>
        <v>N/A</v>
      </c>
      <c r="M330" s="72">
        <f ca="1">Magick!$H$65</f>
        <v>0.08</v>
      </c>
      <c r="N330" s="72">
        <f ca="1">Magick!$K$65</f>
        <v>0.11</v>
      </c>
      <c r="O330" s="72">
        <f ca="1">Magick!$L$65</f>
        <v>0.11</v>
      </c>
      <c r="P330" s="72">
        <f ca="1">Magick!$M$65</f>
        <v>0.11</v>
      </c>
      <c r="Q330" s="67" t="s">
        <v>4602</v>
      </c>
      <c r="R330" s="67">
        <f ca="1">IF(Q330="Ritual","N/A",IF(Q330="I.E.","N/A",IF(Q330="WOG",VLOOKUP(Magick!$I$65*100,magestuff!$B$134:$F$138,2),IF(Q330="Cantrip",VLOOKUP(Magick!$I$65*100,magestuff!$B$134:$F$138,3),IF(Q330="Hex",VLOOKUP(Magick!$I$65*100,magestuff!$B$134:$F$138,4),VLOOKUP(Magick!$I$65*100,magestuff!$B$134:$F$138,5))))))</f>
        <v>19</v>
      </c>
      <c r="U330" s="67" t="str">
        <f t="shared" si="43"/>
        <v xml:space="preserve"> </v>
      </c>
      <c r="V330" s="515"/>
      <c r="W330" s="125"/>
      <c r="X330" s="31">
        <f t="shared" si="45"/>
        <v>0</v>
      </c>
      <c r="Y330" s="509"/>
      <c r="Z330" s="1054" t="str">
        <f t="shared" si="44"/>
        <v>Arcane Cell</v>
      </c>
      <c r="AA330" s="1072" t="str">
        <f t="shared" si="46"/>
        <v>Common</v>
      </c>
    </row>
    <row r="331" spans="1:27" hidden="1" outlineLevel="1">
      <c r="A331" s="83" t="s">
        <v>5173</v>
      </c>
      <c r="B331" s="67">
        <v>6</v>
      </c>
      <c r="C331" s="67">
        <f ca="1">magestuff!$R$197</f>
        <v>6</v>
      </c>
      <c r="D331" s="67">
        <f t="shared" si="42"/>
        <v>0</v>
      </c>
      <c r="E331" s="77" t="e">
        <f ca="1">IF(F331="y",HLOOKUP((IF(C331&lt;1,1,C331)),Magick!$C$20:$L$21,2),NA())</f>
        <v>#N/A</v>
      </c>
      <c r="F331" s="67" t="str">
        <f ca="1">IF(C331&lt;=Magick!$D$3,"Y","N")</f>
        <v>N</v>
      </c>
      <c r="G331" s="148" t="s">
        <v>1616</v>
      </c>
      <c r="H331" s="151"/>
      <c r="I331" s="77" t="e">
        <f>IF(H331&gt;0,(HLOOKUP(C331,Magick!$C$20:$L$21,2)-HLOOKUP(H331,Magick!$C$20:$L$21,2)),NA())</f>
        <v>#N/A</v>
      </c>
      <c r="J331" s="77"/>
      <c r="K331" s="67">
        <v>8</v>
      </c>
      <c r="L331" s="72" t="str">
        <f>IF(H331&gt;0,Magick!#REF!-('Master Spell List'!H298*0.1),"N/A")</f>
        <v>N/A</v>
      </c>
      <c r="M331" s="72">
        <f ca="1">Magick!$H$65</f>
        <v>0.08</v>
      </c>
      <c r="N331" s="72">
        <f ca="1">Magick!$K$65</f>
        <v>0.11</v>
      </c>
      <c r="O331" s="72">
        <f ca="1">Magick!$L$65</f>
        <v>0.11</v>
      </c>
      <c r="P331" s="72">
        <f ca="1">Magick!$M$65</f>
        <v>0.11</v>
      </c>
      <c r="Q331" s="67" t="s">
        <v>4602</v>
      </c>
      <c r="R331" s="67">
        <f ca="1">IF(Q331="Ritual","N/A",IF(Q331="I.E.","N/A",IF(Q331="WOG",VLOOKUP(Magick!$I$65*100,magestuff!$B$134:$F$138,2),IF(Q331="Cantrip",VLOOKUP(Magick!$I$65*100,magestuff!$B$134:$F$138,3),IF(Q331="Hex",VLOOKUP(Magick!$I$65*100,magestuff!$B$134:$F$138,4),VLOOKUP(Magick!$I$65*100,magestuff!$B$134:$F$138,5))))))</f>
        <v>19</v>
      </c>
      <c r="U331" s="67" t="str">
        <f t="shared" si="43"/>
        <v xml:space="preserve"> </v>
      </c>
      <c r="V331" s="515"/>
      <c r="W331" s="125"/>
      <c r="X331" s="31">
        <f t="shared" si="45"/>
        <v>0</v>
      </c>
      <c r="Y331" s="509"/>
      <c r="Z331" s="1054" t="str">
        <f t="shared" si="44"/>
        <v xml:space="preserve">Arcane Long Sword Blade </v>
      </c>
      <c r="AA331" s="1072" t="str">
        <f t="shared" si="46"/>
        <v>Common</v>
      </c>
    </row>
    <row r="332" spans="1:27" hidden="1" outlineLevel="1">
      <c r="A332" s="83" t="s">
        <v>1674</v>
      </c>
      <c r="B332" s="67">
        <v>6</v>
      </c>
      <c r="C332" s="67">
        <f ca="1">magestuff!$R$197</f>
        <v>6</v>
      </c>
      <c r="D332" s="67">
        <f t="shared" si="42"/>
        <v>0</v>
      </c>
      <c r="E332" s="77" t="e">
        <f ca="1">IF(F332="y",HLOOKUP((IF(C332&lt;1,1,C332)),Magick!$C$20:$L$21,2),NA())</f>
        <v>#N/A</v>
      </c>
      <c r="F332" s="67" t="str">
        <f ca="1">IF(C332&lt;=Magick!$D$3,"Y","N")</f>
        <v>N</v>
      </c>
      <c r="G332" s="148" t="s">
        <v>1616</v>
      </c>
      <c r="H332" s="151"/>
      <c r="I332" s="77" t="e">
        <f>IF(H332&gt;0,(HLOOKUP(C332,Magick!$C$20:$L$21,2)-HLOOKUP(H332,Magick!$C$20:$L$21,2)),NA())</f>
        <v>#N/A</v>
      </c>
      <c r="J332" s="77"/>
      <c r="K332" s="67">
        <v>8</v>
      </c>
      <c r="L332" s="72" t="str">
        <f>IF(H332&gt;0,Magick!#REF!-('Master Spell List'!H302*0.1),"N/A")</f>
        <v>N/A</v>
      </c>
      <c r="M332" s="72">
        <f ca="1">Magick!$H$65</f>
        <v>0.08</v>
      </c>
      <c r="N332" s="72">
        <f ca="1">Magick!$K$65</f>
        <v>0.11</v>
      </c>
      <c r="O332" s="72">
        <f ca="1">Magick!$L$65</f>
        <v>0.11</v>
      </c>
      <c r="P332" s="72">
        <f ca="1">Magick!$M$65</f>
        <v>0.11</v>
      </c>
      <c r="Q332" s="67" t="s">
        <v>4602</v>
      </c>
      <c r="R332" s="67">
        <f ca="1">IF(Q332="Ritual","N/A",IF(Q332="I.E.","N/A",IF(Q332="WOG",VLOOKUP(Magick!$I$65*100,magestuff!$B$134:$F$138,2),IF(Q332="Cantrip",VLOOKUP(Magick!$I$65*100,magestuff!$B$134:$F$138,3),IF(Q332="Hex",VLOOKUP(Magick!$I$65*100,magestuff!$B$134:$F$138,4),VLOOKUP(Magick!$I$65*100,magestuff!$B$134:$F$138,5))))))</f>
        <v>19</v>
      </c>
      <c r="U332" s="67" t="str">
        <f t="shared" si="43"/>
        <v xml:space="preserve"> </v>
      </c>
      <c r="V332" s="515"/>
      <c r="W332" s="125"/>
      <c r="X332" s="31">
        <f t="shared" si="45"/>
        <v>0</v>
      </c>
      <c r="Y332" s="509"/>
      <c r="Z332" s="1054" t="str">
        <f t="shared" si="44"/>
        <v xml:space="preserve">Arcane Mace Head </v>
      </c>
      <c r="AA332" s="1072" t="str">
        <f t="shared" si="46"/>
        <v>Common</v>
      </c>
    </row>
    <row r="333" spans="1:27" hidden="1" outlineLevel="1">
      <c r="A333" s="83" t="s">
        <v>1899</v>
      </c>
      <c r="B333" s="67">
        <v>6</v>
      </c>
      <c r="C333" s="67">
        <f ca="1">magestuff!$R$197</f>
        <v>6</v>
      </c>
      <c r="D333" s="67">
        <f t="shared" si="42"/>
        <v>0</v>
      </c>
      <c r="E333" s="77" t="e">
        <f ca="1">IF(F333="y",HLOOKUP((IF(C333&lt;1,1,C333)),Magick!$C$20:$L$21,2),NA())</f>
        <v>#N/A</v>
      </c>
      <c r="F333" s="67" t="str">
        <f ca="1">IF(C333&lt;=Magick!$D$3,"Y","N")</f>
        <v>N</v>
      </c>
      <c r="G333" s="148" t="s">
        <v>859</v>
      </c>
      <c r="H333" s="151"/>
      <c r="I333" s="77" t="e">
        <f>IF(H333&gt;0,(HLOOKUP(C333,Magick!$C$20:$L$21,2)-HLOOKUP(H333,Magick!$C$20:$L$21,2)),NA())</f>
        <v>#N/A</v>
      </c>
      <c r="J333" s="77"/>
      <c r="K333" s="67">
        <v>9</v>
      </c>
      <c r="L333" s="72" t="str">
        <f>IF(H333&gt;0,Magick!#REF!-('Master Spell List'!H318*0.1),"N/A")</f>
        <v>N/A</v>
      </c>
      <c r="M333" s="72">
        <f ca="1">Magick!$H$65</f>
        <v>0.08</v>
      </c>
      <c r="N333" s="72">
        <f ca="1">Magick!$K$65</f>
        <v>0.11</v>
      </c>
      <c r="O333" s="72">
        <f ca="1">Magick!$L$65</f>
        <v>0.11</v>
      </c>
      <c r="P333" s="72">
        <f ca="1">Magick!$M$65</f>
        <v>0.11</v>
      </c>
      <c r="Q333" s="67" t="s">
        <v>2225</v>
      </c>
      <c r="R333" s="67">
        <f ca="1">IF(Q333="Ritual","N/A",IF(Q333="I.E.","N/A",IF(Q333="WOG",VLOOKUP(Magick!$I$65*100,magestuff!$B$134:$F$138,2),IF(Q333="Cantrip",VLOOKUP(Magick!$I$65*100,magestuff!$B$134:$F$138,3),IF(Q333="Hex",VLOOKUP(Magick!$I$65*100,magestuff!$B$134:$F$138,4),VLOOKUP(Magick!$I$65*100,magestuff!$B$134:$F$138,5))))))</f>
        <v>29</v>
      </c>
      <c r="U333" s="67" t="str">
        <f t="shared" si="43"/>
        <v xml:space="preserve"> </v>
      </c>
      <c r="V333" s="515"/>
      <c r="W333" s="125"/>
      <c r="X333" s="31">
        <f t="shared" si="45"/>
        <v>0</v>
      </c>
      <c r="Y333" s="509"/>
      <c r="Z333" s="1054" t="str">
        <f t="shared" si="44"/>
        <v>Arcane Sculpture</v>
      </c>
      <c r="AA333" s="1072" t="str">
        <f t="shared" si="46"/>
        <v>Common</v>
      </c>
    </row>
    <row r="334" spans="1:27" hidden="1" outlineLevel="1">
      <c r="A334" s="83" t="s">
        <v>5172</v>
      </c>
      <c r="B334" s="67">
        <v>6</v>
      </c>
      <c r="C334" s="67">
        <f ca="1">magestuff!$R$197</f>
        <v>6</v>
      </c>
      <c r="D334" s="67">
        <f t="shared" si="42"/>
        <v>0</v>
      </c>
      <c r="E334" s="77" t="e">
        <f ca="1">IF(F334="y",HLOOKUP((IF(C334&lt;1,1,C334)),Magick!$C$20:$L$21,2),NA())</f>
        <v>#N/A</v>
      </c>
      <c r="F334" s="67" t="str">
        <f ca="1">IF(C334&lt;=Magick!$D$3,"Y","N")</f>
        <v>N</v>
      </c>
      <c r="G334" s="148" t="s">
        <v>1616</v>
      </c>
      <c r="H334" s="151"/>
      <c r="I334" s="77" t="e">
        <f>IF(H334&gt;0,(HLOOKUP(C334,Magick!$C$20:$L$21,2)-HLOOKUP(H334,Magick!$C$20:$L$21,2)),NA())</f>
        <v>#N/A</v>
      </c>
      <c r="J334" s="77"/>
      <c r="K334" s="67">
        <v>8</v>
      </c>
      <c r="L334" s="72" t="str">
        <f>IF(H334&gt;0,Magick!#REF!-('Master Spell List'!H297*0.1),"N/A")</f>
        <v>N/A</v>
      </c>
      <c r="M334" s="72">
        <f ca="1">Magick!$H$65</f>
        <v>0.08</v>
      </c>
      <c r="N334" s="72">
        <f ca="1">Magick!$K$65</f>
        <v>0.11</v>
      </c>
      <c r="O334" s="72">
        <f ca="1">Magick!$L$65</f>
        <v>0.11</v>
      </c>
      <c r="P334" s="72">
        <f ca="1">Magick!$M$65</f>
        <v>0.11</v>
      </c>
      <c r="Q334" s="67" t="s">
        <v>4602</v>
      </c>
      <c r="R334" s="67">
        <f ca="1">IF(Q334="Ritual","N/A",IF(Q334="I.E.","N/A",IF(Q334="WOG",VLOOKUP(Magick!$I$65*100,magestuff!$B$134:$F$138,2),IF(Q334="Cantrip",VLOOKUP(Magick!$I$65*100,magestuff!$B$134:$F$138,3),IF(Q334="Hex",VLOOKUP(Magick!$I$65*100,magestuff!$B$134:$F$138,4),VLOOKUP(Magick!$I$65*100,magestuff!$B$134:$F$138,5))))))</f>
        <v>19</v>
      </c>
      <c r="U334" s="67" t="str">
        <f t="shared" si="43"/>
        <v xml:space="preserve"> </v>
      </c>
      <c r="V334" s="515"/>
      <c r="W334" s="125"/>
      <c r="X334" s="31">
        <f t="shared" si="45"/>
        <v>0</v>
      </c>
      <c r="Y334" s="509"/>
      <c r="Z334" s="1054" t="str">
        <f t="shared" si="44"/>
        <v xml:space="preserve">Arcane Short Sword Blade of Greater Damage </v>
      </c>
      <c r="AA334" s="1072" t="str">
        <f t="shared" si="46"/>
        <v>Common</v>
      </c>
    </row>
    <row r="335" spans="1:27" hidden="1" outlineLevel="1">
      <c r="A335" s="31" t="s">
        <v>1653</v>
      </c>
      <c r="B335" s="67">
        <v>6</v>
      </c>
      <c r="C335" s="67">
        <f ca="1">magestuff!$R$197</f>
        <v>6</v>
      </c>
      <c r="D335" s="67">
        <f t="shared" si="42"/>
        <v>0</v>
      </c>
      <c r="E335" s="77" t="e">
        <f ca="1">IF(F335="y",HLOOKUP((IF(C335&lt;1,1,C335)),Magick!$C$20:$L$21,2),NA())</f>
        <v>#N/A</v>
      </c>
      <c r="F335" s="67" t="str">
        <f ca="1">IF(C335&lt;=Magick!$D$3,"Y","N")</f>
        <v>N</v>
      </c>
      <c r="G335" s="148" t="s">
        <v>128</v>
      </c>
      <c r="H335" s="151"/>
      <c r="I335" s="77" t="e">
        <f>IF(H335&gt;0,(HLOOKUP(C335,Magick!$C$20:$L$21,2)-HLOOKUP(H335,Magick!$C$20:$L$21,2)),NA())</f>
        <v>#N/A</v>
      </c>
      <c r="J335" s="77"/>
      <c r="K335" s="67" t="s">
        <v>4021</v>
      </c>
      <c r="L335" s="72" t="str">
        <f>IF(H335&gt;0,Magick!#REF!-('Master Spell List'!H283*0.1),"N/A")</f>
        <v>N/A</v>
      </c>
      <c r="M335" s="72">
        <f ca="1">Magick!$H$65</f>
        <v>0.08</v>
      </c>
      <c r="N335" s="72">
        <f ca="1">Magick!$K$65</f>
        <v>0.11</v>
      </c>
      <c r="O335" s="72">
        <f ca="1">Magick!$L$65</f>
        <v>0.11</v>
      </c>
      <c r="P335" s="72">
        <f ca="1">Magick!$M$65</f>
        <v>0.11</v>
      </c>
      <c r="Q335" s="67" t="s">
        <v>3723</v>
      </c>
      <c r="R335" s="67">
        <f ca="1">IF(Q335="Ritual","N/A",IF(Q335="I.E.","N/A",IF(Q335="WOG",VLOOKUP(Magick!$I$65*100,magestuff!$B$134:$F$138,2),IF(Q335="Cantrip",VLOOKUP(Magick!$I$65*100,magestuff!$B$134:$F$138,3),IF(Q335="Hex",VLOOKUP(Magick!$I$65*100,magestuff!$B$134:$F$138,4),VLOOKUP(Magick!$I$65*100,magestuff!$B$134:$F$138,5))))))</f>
        <v>29</v>
      </c>
      <c r="U335" s="67" t="str">
        <f t="shared" si="43"/>
        <v xml:space="preserve"> </v>
      </c>
      <c r="V335" s="515"/>
      <c r="W335" s="125"/>
      <c r="X335" s="31">
        <f t="shared" si="45"/>
        <v>0</v>
      </c>
      <c r="Y335" s="509"/>
      <c r="Z335" s="1054" t="str">
        <f t="shared" si="44"/>
        <v>Arcane Wall (Wall of Bright Shadows)</v>
      </c>
      <c r="AA335" s="1072" t="str">
        <f t="shared" si="46"/>
        <v>Common</v>
      </c>
    </row>
    <row r="336" spans="1:27" hidden="1" outlineLevel="1">
      <c r="A336" s="83" t="s">
        <v>5515</v>
      </c>
      <c r="B336" s="67">
        <v>6</v>
      </c>
      <c r="C336" s="67">
        <f ca="1">magestuff!$R$197</f>
        <v>6</v>
      </c>
      <c r="D336" s="67">
        <f t="shared" si="42"/>
        <v>0</v>
      </c>
      <c r="E336" s="77" t="e">
        <f ca="1">IF(F336="y",HLOOKUP((IF(C336&lt;1,1,C336)),Magick!$C$20:$L$21,2),NA())</f>
        <v>#N/A</v>
      </c>
      <c r="F336" s="67" t="str">
        <f ca="1">IF(C336&lt;=Magick!$D$3,"Y","N")</f>
        <v>N</v>
      </c>
      <c r="G336" s="148" t="s">
        <v>1617</v>
      </c>
      <c r="H336" s="151"/>
      <c r="I336" s="77" t="e">
        <f>IF(H336&gt;0,(HLOOKUP(C336,Magick!$C$20:$L$21,2)-HLOOKUP(H336,Magick!$C$20:$L$21,2)),NA())</f>
        <v>#N/A</v>
      </c>
      <c r="J336" s="77"/>
      <c r="K336" s="67">
        <v>6</v>
      </c>
      <c r="L336" s="72" t="str">
        <f>IF(H336&gt;0,Magick!#REF!-('Master Spell List'!H344*0.1),"N/A")</f>
        <v>N/A</v>
      </c>
      <c r="M336" s="72">
        <f ca="1">Magick!$H$65</f>
        <v>0.08</v>
      </c>
      <c r="N336" s="72">
        <f ca="1">Magick!$K$65</f>
        <v>0.11</v>
      </c>
      <c r="O336" s="72">
        <f ca="1">Magick!$L$65</f>
        <v>0.11</v>
      </c>
      <c r="P336" s="72">
        <f ca="1">Magick!$M$65</f>
        <v>0.11</v>
      </c>
      <c r="Q336" s="67" t="s">
        <v>4602</v>
      </c>
      <c r="R336" s="67">
        <f ca="1">IF(Q336="Ritual","N/A",IF(Q336="I.E.","N/A",IF(Q336="WOG",VLOOKUP(Magick!$I$65*100,magestuff!$B$134:$F$138,2),IF(Q336="Cantrip",VLOOKUP(Magick!$I$65*100,magestuff!$B$134:$F$138,3),IF(Q336="Hex",VLOOKUP(Magick!$I$65*100,magestuff!$B$134:$F$138,4),VLOOKUP(Magick!$I$65*100,magestuff!$B$134:$F$138,5))))))</f>
        <v>19</v>
      </c>
      <c r="U336" s="67" t="str">
        <f t="shared" si="43"/>
        <v xml:space="preserve"> </v>
      </c>
      <c r="V336" s="515"/>
      <c r="W336" s="125"/>
      <c r="X336" s="31">
        <f t="shared" si="45"/>
        <v>0</v>
      </c>
      <c r="Y336" s="509"/>
      <c r="Z336" s="1054" t="str">
        <f t="shared" si="44"/>
        <v>Arcane Whip</v>
      </c>
      <c r="AA336" s="1072" t="str">
        <f t="shared" si="46"/>
        <v>Common</v>
      </c>
    </row>
    <row r="337" spans="1:27" hidden="1" outlineLevel="1">
      <c r="A337" s="31" t="s">
        <v>3395</v>
      </c>
      <c r="B337" s="67">
        <v>6</v>
      </c>
      <c r="C337" s="67">
        <f ca="1">magestuff!$R$197</f>
        <v>6</v>
      </c>
      <c r="D337" s="67">
        <f t="shared" si="42"/>
        <v>0</v>
      </c>
      <c r="E337" s="77" t="e">
        <f ca="1">IF(F337="y",HLOOKUP((IF(C337&lt;1,1,C337)),Magick!$C$20:$L$21,2),NA())</f>
        <v>#N/A</v>
      </c>
      <c r="F337" s="67" t="str">
        <f ca="1">IF(C337&lt;=Magick!$D$3,"Y","N")</f>
        <v>N</v>
      </c>
      <c r="G337" s="148" t="s">
        <v>128</v>
      </c>
      <c r="H337" s="151"/>
      <c r="I337" s="77" t="e">
        <f>IF(H337&gt;0,(HLOOKUP(C337,Magick!$C$20:$L$21,2)-HLOOKUP(H337,Magick!$C$20:$L$21,2)),NA())</f>
        <v>#N/A</v>
      </c>
      <c r="J337" s="77"/>
      <c r="K337" s="67">
        <v>10</v>
      </c>
      <c r="L337" s="72" t="str">
        <f>IF(H337&gt;0,Magick!#REF!-('Master Spell List'!H300*0.1),"N/A")</f>
        <v>N/A</v>
      </c>
      <c r="M337" s="72">
        <f ca="1">Magick!$H$65</f>
        <v>0.08</v>
      </c>
      <c r="N337" s="72">
        <f ca="1">Magick!$K$65</f>
        <v>0.11</v>
      </c>
      <c r="O337" s="72">
        <f ca="1">Magick!$L$65</f>
        <v>0.11</v>
      </c>
      <c r="P337" s="72">
        <f ca="1">Magick!$M$65</f>
        <v>0.11</v>
      </c>
      <c r="Q337" s="67" t="s">
        <v>113</v>
      </c>
      <c r="R337" s="67" t="str">
        <f>IF(Q337="Ritual","N/A",IF(Q337="I.E.","N/A",IF(Q337="WOG",VLOOKUP(Magick!$I$65*100,magestuff!$B$134:$F$138,2),IF(Q337="Cantrip",VLOOKUP(Magick!$I$65*100,magestuff!$B$134:$F$138,3),IF(Q337="Hex",VLOOKUP(Magick!$I$65*100,magestuff!$B$134:$F$138,4),VLOOKUP(Magick!$I$65*100,magestuff!$B$134:$F$138,5))))))</f>
        <v>N/A</v>
      </c>
      <c r="U337" s="67" t="str">
        <f t="shared" si="43"/>
        <v xml:space="preserve"> </v>
      </c>
      <c r="V337" s="515"/>
      <c r="W337" s="125"/>
      <c r="X337" s="31">
        <f t="shared" si="45"/>
        <v>0</v>
      </c>
      <c r="Y337" s="509"/>
      <c r="Z337" s="1054" t="str">
        <f t="shared" si="44"/>
        <v>Area Darkness</v>
      </c>
      <c r="AA337" s="1072" t="str">
        <f t="shared" si="46"/>
        <v>Common</v>
      </c>
    </row>
    <row r="338" spans="1:27" hidden="1" outlineLevel="1">
      <c r="A338" s="83" t="s">
        <v>1452</v>
      </c>
      <c r="B338" s="67">
        <v>6</v>
      </c>
      <c r="C338" s="67">
        <f ca="1">magestuff!$R$197</f>
        <v>6</v>
      </c>
      <c r="D338" s="67">
        <f t="shared" si="42"/>
        <v>0</v>
      </c>
      <c r="E338" s="77" t="e">
        <f ca="1">IF(F338="y",HLOOKUP((IF(C338&lt;1,1,C338)),Magick!$C$20:$L$21,2),NA())</f>
        <v>#N/A</v>
      </c>
      <c r="F338" s="67" t="str">
        <f ca="1">IF(C338&lt;=Magick!$D$3,"Y","N")</f>
        <v>N</v>
      </c>
      <c r="G338" s="148" t="s">
        <v>1617</v>
      </c>
      <c r="H338" s="151"/>
      <c r="I338" s="77" t="e">
        <f>IF(H338&gt;0,(HLOOKUP(C338,Magick!$C$20:$L$21,2)-HLOOKUP(H338,Magick!$C$20:$L$21,2)),NA())</f>
        <v>#N/A</v>
      </c>
      <c r="J338" s="77"/>
      <c r="K338" s="67">
        <v>8</v>
      </c>
      <c r="L338" s="72" t="str">
        <f>IF(H338&gt;0,Magick!#REF!-('Master Spell List'!H322*0.1),"N/A")</f>
        <v>N/A</v>
      </c>
      <c r="M338" s="72">
        <f ca="1">Magick!$H$65</f>
        <v>0.08</v>
      </c>
      <c r="N338" s="72">
        <f ca="1">Magick!$K$65</f>
        <v>0.11</v>
      </c>
      <c r="O338" s="72">
        <f ca="1">Magick!$L$65</f>
        <v>0.11</v>
      </c>
      <c r="P338" s="72">
        <f ca="1">Magick!$M$65</f>
        <v>0.11</v>
      </c>
      <c r="Q338" s="67" t="s">
        <v>4602</v>
      </c>
      <c r="R338" s="67">
        <f ca="1">IF(Q338="Ritual","N/A",IF(Q338="I.E.","N/A",IF(Q338="WOG",VLOOKUP(Magick!$I$65*100,magestuff!$B$134:$F$138,2),IF(Q338="Cantrip",VLOOKUP(Magick!$I$65*100,magestuff!$B$134:$F$138,3),IF(Q338="Hex",VLOOKUP(Magick!$I$65*100,magestuff!$B$134:$F$138,4),VLOOKUP(Magick!$I$65*100,magestuff!$B$134:$F$138,5))))))</f>
        <v>19</v>
      </c>
      <c r="S338" s="67" t="s">
        <v>5545</v>
      </c>
      <c r="T338" s="67" t="s">
        <v>5545</v>
      </c>
      <c r="U338" s="67" t="str">
        <f t="shared" si="43"/>
        <v xml:space="preserve"> </v>
      </c>
      <c r="V338" s="515"/>
      <c r="W338" s="125"/>
      <c r="X338" s="31">
        <f t="shared" si="45"/>
        <v>0</v>
      </c>
      <c r="Y338" s="509"/>
      <c r="Z338" s="1054" t="str">
        <f t="shared" si="44"/>
        <v>Create Great Arcane Energy</v>
      </c>
      <c r="AA338" s="1072" t="str">
        <f t="shared" si="46"/>
        <v>Common</v>
      </c>
    </row>
    <row r="339" spans="1:27" hidden="1" outlineLevel="1">
      <c r="A339" s="83" t="s">
        <v>1457</v>
      </c>
      <c r="B339" s="67">
        <v>6</v>
      </c>
      <c r="C339" s="67">
        <f ca="1">magestuff!$R$197</f>
        <v>6</v>
      </c>
      <c r="D339" s="67">
        <f t="shared" si="42"/>
        <v>0</v>
      </c>
      <c r="E339" s="77" t="e">
        <f ca="1">IF(F339="y",HLOOKUP((IF(C339&lt;1,1,C339)),Magick!$C$20:$L$21,2),NA())</f>
        <v>#N/A</v>
      </c>
      <c r="F339" s="67" t="str">
        <f ca="1">IF(C339&lt;=Magick!$D$3,"Y","N")</f>
        <v>N</v>
      </c>
      <c r="G339" s="148" t="s">
        <v>1617</v>
      </c>
      <c r="H339" s="151"/>
      <c r="I339" s="77" t="e">
        <f>IF(H339&gt;0,(HLOOKUP(C339,Magick!$C$20:$L$21,2)-HLOOKUP(H339,Magick!$C$20:$L$21,2)),NA())</f>
        <v>#N/A</v>
      </c>
      <c r="J339" s="77"/>
      <c r="K339" s="67">
        <v>8</v>
      </c>
      <c r="L339" s="72" t="str">
        <f>IF(H339&gt;0,Magick!#REF!-('Master Spell List'!H334*0.1),"N/A")</f>
        <v>N/A</v>
      </c>
      <c r="M339" s="72">
        <f ca="1">Magick!$H$65</f>
        <v>0.08</v>
      </c>
      <c r="N339" s="72">
        <f ca="1">Magick!$K$65</f>
        <v>0.11</v>
      </c>
      <c r="O339" s="72">
        <f ca="1">Magick!$L$65</f>
        <v>0.11</v>
      </c>
      <c r="P339" s="72">
        <f ca="1">Magick!$M$65</f>
        <v>0.11</v>
      </c>
      <c r="Q339" s="67" t="s">
        <v>3723</v>
      </c>
      <c r="R339" s="67">
        <f ca="1">IF(Q339="Ritual","N/A",IF(Q339="I.E.","N/A",IF(Q339="WOG",VLOOKUP(Magick!$I$65*100,magestuff!$B$134:$F$138,2),IF(Q339="Cantrip",VLOOKUP(Magick!$I$65*100,magestuff!$B$134:$F$138,3),IF(Q339="Hex",VLOOKUP(Magick!$I$65*100,magestuff!$B$134:$F$138,4),VLOOKUP(Magick!$I$65*100,magestuff!$B$134:$F$138,5))))))</f>
        <v>29</v>
      </c>
      <c r="S339" s="67" t="s">
        <v>5545</v>
      </c>
      <c r="T339" s="67" t="s">
        <v>5545</v>
      </c>
      <c r="U339" s="67" t="str">
        <f t="shared" si="43"/>
        <v xml:space="preserve"> </v>
      </c>
      <c r="V339" s="515"/>
      <c r="W339" s="125"/>
      <c r="X339" s="31">
        <f t="shared" si="45"/>
        <v>0</v>
      </c>
      <c r="Y339" s="509"/>
      <c r="Z339" s="1054" t="str">
        <f t="shared" si="44"/>
        <v>Dispel Greater Arcane Energy</v>
      </c>
      <c r="AA339" s="1072" t="str">
        <f t="shared" si="46"/>
        <v>Common</v>
      </c>
    </row>
    <row r="340" spans="1:27" hidden="1" outlineLevel="1">
      <c r="A340" s="31" t="s">
        <v>1014</v>
      </c>
      <c r="B340" s="67">
        <v>6</v>
      </c>
      <c r="C340" s="67">
        <f ca="1">magestuff!$R$197</f>
        <v>6</v>
      </c>
      <c r="D340" s="67">
        <f t="shared" si="42"/>
        <v>0</v>
      </c>
      <c r="E340" s="77" t="e">
        <f ca="1">IF(F340="y",HLOOKUP((IF(C340&lt;1,1,C340)),Magick!$C$20:$L$21,2),NA())</f>
        <v>#N/A</v>
      </c>
      <c r="F340" s="67" t="str">
        <f ca="1">IF(C340&lt;=Magick!$D$3,"Y","N")</f>
        <v>N</v>
      </c>
      <c r="G340" s="148" t="s">
        <v>128</v>
      </c>
      <c r="H340" s="151"/>
      <c r="I340" s="77" t="e">
        <f>IF(H340&gt;0,(HLOOKUP(C340,Magick!$C$20:$L$21,2)-HLOOKUP(H340,Magick!$C$20:$L$21,2)),NA())</f>
        <v>#N/A</v>
      </c>
      <c r="J340" s="77"/>
      <c r="K340" s="67">
        <v>9</v>
      </c>
      <c r="L340" s="72" t="str">
        <f>IF(H340&gt;0,Magick!#REF!-('Master Spell List'!H295*0.1),"N/A")</f>
        <v>N/A</v>
      </c>
      <c r="M340" s="72">
        <f ca="1">Magick!$H$65</f>
        <v>0.08</v>
      </c>
      <c r="N340" s="72">
        <f ca="1">Magick!$K$65</f>
        <v>0.11</v>
      </c>
      <c r="O340" s="72">
        <f ca="1">Magick!$L$65</f>
        <v>0.11</v>
      </c>
      <c r="P340" s="72">
        <f ca="1">Magick!$M$65</f>
        <v>0.11</v>
      </c>
      <c r="Q340" s="67" t="s">
        <v>3723</v>
      </c>
      <c r="R340" s="67">
        <f ca="1">IF(Q340="Ritual","N/A",IF(Q340="I.E.","N/A",IF(Q340="WOG",VLOOKUP(Magick!$I$65*100,magestuff!$B$134:$F$138,2),IF(Q340="Cantrip",VLOOKUP(Magick!$I$65*100,magestuff!$B$134:$F$138,3),IF(Q340="Hex",VLOOKUP(Magick!$I$65*100,magestuff!$B$134:$F$138,4),VLOOKUP(Magick!$I$65*100,magestuff!$B$134:$F$138,5))))))</f>
        <v>29</v>
      </c>
      <c r="U340" s="67" t="str">
        <f t="shared" si="43"/>
        <v xml:space="preserve"> </v>
      </c>
      <c r="V340" s="515"/>
      <c r="W340" s="125"/>
      <c r="X340" s="31">
        <f t="shared" si="45"/>
        <v>0</v>
      </c>
      <c r="Y340" s="509"/>
      <c r="Z340" s="1054" t="str">
        <f t="shared" si="44"/>
        <v>Dispel the Night</v>
      </c>
      <c r="AA340" s="1072" t="str">
        <f t="shared" si="46"/>
        <v>Common</v>
      </c>
    </row>
    <row r="341" spans="1:27" hidden="1" outlineLevel="1">
      <c r="A341" s="83" t="s">
        <v>1215</v>
      </c>
      <c r="B341" s="67">
        <v>6</v>
      </c>
      <c r="C341" s="67">
        <f ca="1">magestuff!$R$197</f>
        <v>6</v>
      </c>
      <c r="D341" s="67">
        <f t="shared" si="42"/>
        <v>0</v>
      </c>
      <c r="E341" s="77" t="e">
        <f ca="1">IF(F341="y",HLOOKUP((IF(C341&lt;1,1,C341)),Magick!$C$20:$L$21,2),NA())</f>
        <v>#N/A</v>
      </c>
      <c r="F341" s="67" t="str">
        <f ca="1">IF(C341&lt;=Magick!$D$3,"Y","N")</f>
        <v>N</v>
      </c>
      <c r="G341" s="148" t="s">
        <v>1217</v>
      </c>
      <c r="H341" s="151"/>
      <c r="I341" s="77" t="e">
        <f>IF(H341&gt;0,(HLOOKUP(C341,Magick!$C$20:$L$21,2)-HLOOKUP(H341,Magick!$C$20:$L$21,2)),NA())</f>
        <v>#N/A</v>
      </c>
      <c r="J341" s="77"/>
      <c r="K341" s="67">
        <v>13</v>
      </c>
      <c r="L341" s="72" t="str">
        <f>IF(H341&gt;0,Magick!#REF!-('Master Spell List'!H311*0.1),"N/A")</f>
        <v>N/A</v>
      </c>
      <c r="M341" s="72">
        <f ca="1">Magick!$H$65</f>
        <v>0.08</v>
      </c>
      <c r="N341" s="72">
        <f ca="1">Magick!$K$65</f>
        <v>0.11</v>
      </c>
      <c r="O341" s="72">
        <f ca="1">Magick!$L$65</f>
        <v>0.11</v>
      </c>
      <c r="P341" s="72">
        <f ca="1">Magick!$M$65</f>
        <v>0.11</v>
      </c>
      <c r="Q341" s="67" t="s">
        <v>3723</v>
      </c>
      <c r="R341" s="67">
        <f ca="1">IF(Q341="Ritual","N/A",IF(Q341="I.E.","N/A",IF(Q341="WOG",VLOOKUP(Magick!$I$65*100,magestuff!$B$134:$F$138,2),IF(Q341="Cantrip",VLOOKUP(Magick!$I$65*100,magestuff!$B$134:$F$138,3),IF(Q341="Hex",VLOOKUP(Magick!$I$65*100,magestuff!$B$134:$F$138,4),VLOOKUP(Magick!$I$65*100,magestuff!$B$134:$F$138,5))))))</f>
        <v>29</v>
      </c>
      <c r="S341" s="67">
        <f>25*Magick!$C$3</f>
        <v>0</v>
      </c>
      <c r="T341" s="67" t="s">
        <v>3725</v>
      </c>
      <c r="U341" s="67" t="str">
        <f t="shared" si="43"/>
        <v xml:space="preserve"> </v>
      </c>
      <c r="V341" s="515"/>
      <c r="W341" s="125"/>
      <c r="Y341" s="509"/>
      <c r="Z341" s="1054" t="str">
        <f t="shared" si="44"/>
        <v>Greater Eldritch Attack</v>
      </c>
      <c r="AA341" s="1072" t="str">
        <f t="shared" si="46"/>
        <v>Common</v>
      </c>
    </row>
    <row r="342" spans="1:27" hidden="1" outlineLevel="1">
      <c r="A342" s="377" t="s">
        <v>1903</v>
      </c>
      <c r="B342" s="67">
        <v>6</v>
      </c>
      <c r="C342" s="67">
        <f ca="1">magestuff!$R$197</f>
        <v>6</v>
      </c>
      <c r="D342" s="67">
        <f t="shared" si="42"/>
        <v>0</v>
      </c>
      <c r="E342" s="77" t="e">
        <f ca="1">IF(F342="y",HLOOKUP((IF(C342&lt;1,1,C342)),Magick!$C$20:$L$21,2),NA())</f>
        <v>#N/A</v>
      </c>
      <c r="F342" s="67" t="str">
        <f ca="1">IF(C342&lt;=Magick!$D$3,"Y","N")</f>
        <v>N</v>
      </c>
      <c r="G342" s="148" t="s">
        <v>859</v>
      </c>
      <c r="H342" s="151"/>
      <c r="I342" s="77" t="e">
        <f>IF(H342&gt;0,(HLOOKUP(C342,Magick!$C$20:$L$21,2)-HLOOKUP(H342,Magick!$C$20:$L$21,2)),NA())</f>
        <v>#N/A</v>
      </c>
      <c r="J342" s="77"/>
      <c r="K342" s="67" t="s">
        <v>2225</v>
      </c>
      <c r="L342" s="72" t="str">
        <f>IF(H342&gt;0,Magick!#REF!-('Master Spell List'!H310*0.1),"N/A")</f>
        <v>N/A</v>
      </c>
      <c r="M342" s="72">
        <f ca="1">Magick!$H$65</f>
        <v>0.08</v>
      </c>
      <c r="N342" s="72">
        <f ca="1">Magick!$K$65</f>
        <v>0.11</v>
      </c>
      <c r="O342" s="72">
        <f ca="1">Magick!$L$65</f>
        <v>0.11</v>
      </c>
      <c r="P342" s="72">
        <f ca="1">Magick!$M$65</f>
        <v>0.11</v>
      </c>
      <c r="Q342" s="67" t="s">
        <v>2225</v>
      </c>
      <c r="R342" s="67">
        <f ca="1">IF(Q342="Ritual","N/A",IF(Q342="I.E.","N/A",IF(Q342="WOG",VLOOKUP(Magick!$I$65*100,magestuff!$B$134:$F$138,2),IF(Q342="Cantrip",VLOOKUP(Magick!$I$65*100,magestuff!$B$134:$F$138,3),IF(Q342="Hex",VLOOKUP(Magick!$I$65*100,magestuff!$B$134:$F$138,4),VLOOKUP(Magick!$I$65*100,magestuff!$B$134:$F$138,5))))))</f>
        <v>29</v>
      </c>
      <c r="U342" s="67" t="str">
        <f t="shared" si="43"/>
        <v xml:space="preserve"> </v>
      </c>
      <c r="V342" s="515"/>
      <c r="W342" s="125"/>
      <c r="X342" s="31">
        <f t="shared" ref="X342:X369" si="49">W342*3</f>
        <v>0</v>
      </c>
      <c r="Y342" s="509"/>
      <c r="Z342" s="1054" t="str">
        <f t="shared" si="44"/>
        <v>Greater Wizard's Seal (The Keepsake Seal)</v>
      </c>
      <c r="AA342" s="1072" t="str">
        <f t="shared" si="46"/>
        <v>Common</v>
      </c>
    </row>
    <row r="343" spans="1:27" hidden="1" outlineLevel="1">
      <c r="A343" s="83" t="s">
        <v>5771</v>
      </c>
      <c r="B343" s="67">
        <v>6</v>
      </c>
      <c r="C343" s="67">
        <f ca="1">magestuff!$R$197</f>
        <v>6</v>
      </c>
      <c r="D343" s="67">
        <f t="shared" si="42"/>
        <v>0</v>
      </c>
      <c r="E343" s="77" t="e">
        <f ca="1">IF(F343="y",HLOOKUP((IF(C343&lt;1,1,C343)),Magick!$C$20:$L$21,2),NA())</f>
        <v>#N/A</v>
      </c>
      <c r="F343" s="67" t="str">
        <f ca="1">IF(C343&lt;=Magick!$D$3,"Y","N")</f>
        <v>N</v>
      </c>
      <c r="G343" s="148" t="s">
        <v>5779</v>
      </c>
      <c r="H343" s="151"/>
      <c r="I343" s="77" t="e">
        <f>IF(H343&gt;0,(HLOOKUP(C343,Magick!$C$20:$L$21,2)-HLOOKUP(H343,Magick!$C$20:$L$21,2)),NA())</f>
        <v>#N/A</v>
      </c>
      <c r="J343" s="77"/>
      <c r="K343" s="67">
        <v>12</v>
      </c>
      <c r="L343" s="72" t="str">
        <f>IF(H343&gt;0,Magick!#REF!-('Master Spell List'!H330*0.1),"N/A")</f>
        <v>N/A</v>
      </c>
      <c r="M343" s="72">
        <f ca="1">Magick!$H$65</f>
        <v>0.08</v>
      </c>
      <c r="N343" s="72">
        <f ca="1">Magick!$K$65</f>
        <v>0.11</v>
      </c>
      <c r="O343" s="72">
        <f ca="1">Magick!$L$65</f>
        <v>0.11</v>
      </c>
      <c r="P343" s="72">
        <f ca="1">Magick!$M$65</f>
        <v>0.11</v>
      </c>
      <c r="Q343" s="67" t="s">
        <v>4602</v>
      </c>
      <c r="R343" s="67">
        <f ca="1">IF(Q343="Ritual","N/A",IF(Q343="I.E.","N/A",IF(Q343="WOG",VLOOKUP(Magick!$I$65*100,magestuff!$B$134:$F$138,2),IF(Q343="Cantrip",VLOOKUP(Magick!$I$65*100,magestuff!$B$134:$F$138,3),IF(Q343="Hex",VLOOKUP(Magick!$I$65*100,magestuff!$B$134:$F$138,4),VLOOKUP(Magick!$I$65*100,magestuff!$B$134:$F$138,5))))))</f>
        <v>19</v>
      </c>
      <c r="S343" s="67" t="s">
        <v>5545</v>
      </c>
      <c r="T343" s="67" t="s">
        <v>5545</v>
      </c>
      <c r="U343" s="67" t="str">
        <f t="shared" si="43"/>
        <v xml:space="preserve"> </v>
      </c>
      <c r="V343" s="515"/>
      <c r="W343" s="125"/>
      <c r="X343" s="31">
        <f t="shared" si="49"/>
        <v>0</v>
      </c>
      <c r="Y343" s="509"/>
      <c r="Z343" s="1054" t="str">
        <f t="shared" si="44"/>
        <v xml:space="preserve">Greatest Healing Touch of Apollo   </v>
      </c>
      <c r="AA343" s="1072" t="str">
        <f t="shared" si="46"/>
        <v>Common</v>
      </c>
    </row>
    <row r="344" spans="1:27" hidden="1" outlineLevel="1">
      <c r="A344" s="83" t="s">
        <v>5773</v>
      </c>
      <c r="B344" s="67">
        <v>6</v>
      </c>
      <c r="C344" s="67">
        <f ca="1">magestuff!$R$197</f>
        <v>6</v>
      </c>
      <c r="D344" s="67">
        <f t="shared" si="42"/>
        <v>0</v>
      </c>
      <c r="E344" s="77" t="e">
        <f ca="1">IF(F344="y",HLOOKUP((IF(C344&lt;1,1,C344)),Magick!$C$20:$L$21,2),NA())</f>
        <v>#N/A</v>
      </c>
      <c r="F344" s="67" t="str">
        <f ca="1">IF(C344&lt;=Magick!$D$3,"Y","N")</f>
        <v>N</v>
      </c>
      <c r="G344" s="148" t="s">
        <v>5779</v>
      </c>
      <c r="H344" s="151"/>
      <c r="I344" s="77" t="e">
        <f>IF(H344&gt;0,(HLOOKUP(C344,Magick!$C$20:$L$21,2)-HLOOKUP(H344,Magick!$C$20:$L$21,2)),NA())</f>
        <v>#N/A</v>
      </c>
      <c r="J344" s="77"/>
      <c r="K344" s="67" t="s">
        <v>5780</v>
      </c>
      <c r="L344" s="72" t="str">
        <f>IF(H344&gt;0,Magick!#REF!-('Master Spell List'!H332*0.1),"N/A")</f>
        <v>N/A</v>
      </c>
      <c r="M344" s="72">
        <f ca="1">Magick!$H$65</f>
        <v>0.08</v>
      </c>
      <c r="N344" s="72">
        <f ca="1">Magick!$K$65</f>
        <v>0.11</v>
      </c>
      <c r="O344" s="72">
        <f ca="1">Magick!$L$65</f>
        <v>0.11</v>
      </c>
      <c r="P344" s="72">
        <f ca="1">Magick!$M$65</f>
        <v>0.11</v>
      </c>
      <c r="Q344" s="67" t="s">
        <v>113</v>
      </c>
      <c r="R344" s="67" t="str">
        <f>IF(Q344="Ritual","N/A",IF(Q344="I.E.","N/A",IF(Q344="WOG",VLOOKUP(Magick!$I$65*100,magestuff!$B$134:$F$138,2),IF(Q344="Cantrip",VLOOKUP(Magick!$I$65*100,magestuff!$B$134:$F$138,3),IF(Q344="Hex",VLOOKUP(Magick!$I$65*100,magestuff!$B$134:$F$138,4),VLOOKUP(Magick!$I$65*100,magestuff!$B$134:$F$138,5))))))</f>
        <v>N/A</v>
      </c>
      <c r="S344" s="67" t="s">
        <v>5545</v>
      </c>
      <c r="T344" s="67" t="s">
        <v>5545</v>
      </c>
      <c r="U344" s="67" t="str">
        <f t="shared" si="43"/>
        <v xml:space="preserve"> </v>
      </c>
      <c r="V344" s="515"/>
      <c r="W344" s="125"/>
      <c r="X344" s="31">
        <f t="shared" si="49"/>
        <v>0</v>
      </c>
      <c r="Y344" s="509"/>
      <c r="Z344" s="1054" t="str">
        <f t="shared" si="44"/>
        <v xml:space="preserve">Least Arcane Beast of Burden    </v>
      </c>
      <c r="AA344" s="1072" t="str">
        <f t="shared" si="46"/>
        <v>Common</v>
      </c>
    </row>
    <row r="345" spans="1:27" hidden="1" outlineLevel="1">
      <c r="A345" s="965" t="s">
        <v>5757</v>
      </c>
      <c r="B345" s="67">
        <v>6</v>
      </c>
      <c r="C345" s="67">
        <f ca="1">magestuff!$R$197</f>
        <v>6</v>
      </c>
      <c r="D345" s="67">
        <f t="shared" si="42"/>
        <v>0</v>
      </c>
      <c r="E345" s="77" t="e">
        <f ca="1">IF(F345="y",HLOOKUP((IF(C345&lt;1,1,C345)),Magick!$C$20:$L$21,2),NA())</f>
        <v>#N/A</v>
      </c>
      <c r="F345" s="67" t="str">
        <f ca="1">IF(C345&lt;=Magick!$D$3,"Y","N")</f>
        <v>N</v>
      </c>
      <c r="G345" s="148" t="s">
        <v>5779</v>
      </c>
      <c r="H345" s="151"/>
      <c r="I345" s="77" t="e">
        <f>IF(H345&gt;0,(HLOOKUP(C345,Magick!$C$20:$L$21,2)-HLOOKUP(H345,Magick!$C$20:$L$21,2)),NA())</f>
        <v>#N/A</v>
      </c>
      <c r="J345" s="77"/>
      <c r="K345" s="67">
        <v>12</v>
      </c>
      <c r="L345" s="72" t="str">
        <f>IF(H345&gt;0,Magick!#REF!-('Master Spell List'!H314*0.1),"N/A")</f>
        <v>N/A</v>
      </c>
      <c r="M345" s="72">
        <f ca="1">Magick!$H$65</f>
        <v>0.08</v>
      </c>
      <c r="N345" s="72">
        <f ca="1">Magick!$K$65</f>
        <v>0.11</v>
      </c>
      <c r="O345" s="72">
        <f ca="1">Magick!$L$65</f>
        <v>0.11</v>
      </c>
      <c r="P345" s="72">
        <f ca="1">Magick!$M$65</f>
        <v>0.11</v>
      </c>
      <c r="Q345" s="67" t="s">
        <v>4602</v>
      </c>
      <c r="R345" s="67">
        <f ca="1">IF(Q345="Ritual","N/A",IF(Q345="I.E.","N/A",IF(Q345="WOG",VLOOKUP(Magick!$I$65*100,magestuff!$B$134:$F$138,2),IF(Q345="Cantrip",VLOOKUP(Magick!$I$65*100,magestuff!$B$134:$F$138,3),IF(Q345="Hex",VLOOKUP(Magick!$I$65*100,magestuff!$B$134:$F$138,4),VLOOKUP(Magick!$I$65*100,magestuff!$B$134:$F$138,5))))))</f>
        <v>19</v>
      </c>
      <c r="S345" s="67" t="s">
        <v>5545</v>
      </c>
      <c r="T345" s="67" t="s">
        <v>5545</v>
      </c>
      <c r="U345" s="67" t="str">
        <f t="shared" si="43"/>
        <v xml:space="preserve"> </v>
      </c>
      <c r="V345" s="515"/>
      <c r="W345" s="125"/>
      <c r="X345" s="31">
        <f t="shared" si="49"/>
        <v>0</v>
      </c>
      <c r="Y345" s="509"/>
      <c r="Z345" s="1054" t="str">
        <f t="shared" si="44"/>
        <v xml:space="preserve">Least Deflect Arcane Energy   </v>
      </c>
      <c r="AA345" s="1072" t="str">
        <f t="shared" si="46"/>
        <v>Common</v>
      </c>
    </row>
    <row r="346" spans="1:27" hidden="1" outlineLevel="1">
      <c r="A346" s="377" t="s">
        <v>1904</v>
      </c>
      <c r="B346" s="67">
        <v>6</v>
      </c>
      <c r="C346" s="67">
        <f ca="1">magestuff!$R$197</f>
        <v>6</v>
      </c>
      <c r="D346" s="67">
        <f t="shared" si="42"/>
        <v>0</v>
      </c>
      <c r="E346" s="77" t="e">
        <f ca="1">IF(F346="y",HLOOKUP((IF(C346&lt;1,1,C346)),Magick!$C$20:$L$21,2),NA())</f>
        <v>#N/A</v>
      </c>
      <c r="F346" s="67" t="str">
        <f ca="1">IF(C346&lt;=Magick!$D$3,"Y","N")</f>
        <v>N</v>
      </c>
      <c r="G346" s="148" t="s">
        <v>859</v>
      </c>
      <c r="H346" s="151"/>
      <c r="I346" s="77" t="e">
        <f>IF(H346&gt;0,(HLOOKUP(C346,Magick!$C$20:$L$21,2)-HLOOKUP(H346,Magick!$C$20:$L$21,2)),NA())</f>
        <v>#N/A</v>
      </c>
      <c r="J346" s="77"/>
      <c r="K346" s="67" t="s">
        <v>2225</v>
      </c>
      <c r="L346" s="72" t="str">
        <f>IF(H346&gt;0,Magick!#REF!-('Master Spell List'!H311*0.1),"N/A")</f>
        <v>N/A</v>
      </c>
      <c r="M346" s="72">
        <f ca="1">Magick!$H$65</f>
        <v>0.08</v>
      </c>
      <c r="N346" s="72">
        <f ca="1">Magick!$K$65</f>
        <v>0.11</v>
      </c>
      <c r="O346" s="72">
        <f ca="1">Magick!$L$65</f>
        <v>0.11</v>
      </c>
      <c r="P346" s="72">
        <f ca="1">Magick!$M$65</f>
        <v>0.11</v>
      </c>
      <c r="Q346" s="67" t="s">
        <v>2225</v>
      </c>
      <c r="R346" s="67">
        <f ca="1">IF(Q346="Ritual","N/A",IF(Q346="I.E.","N/A",IF(Q346="WOG",VLOOKUP(Magick!$I$65*100,magestuff!$B$134:$F$138,2),IF(Q346="Cantrip",VLOOKUP(Magick!$I$65*100,magestuff!$B$134:$F$138,3),IF(Q346="Hex",VLOOKUP(Magick!$I$65*100,magestuff!$B$134:$F$138,4),VLOOKUP(Magick!$I$65*100,magestuff!$B$134:$F$138,5))))))</f>
        <v>29</v>
      </c>
      <c r="U346" s="67" t="str">
        <f t="shared" si="43"/>
        <v xml:space="preserve"> </v>
      </c>
      <c r="V346" s="515"/>
      <c r="W346" s="125"/>
      <c r="X346" s="31">
        <f t="shared" si="49"/>
        <v>0</v>
      </c>
      <c r="Y346" s="509"/>
      <c r="Z346" s="1054" t="str">
        <f t="shared" si="44"/>
        <v>Least Seal of the Ages</v>
      </c>
      <c r="AA346" s="1072" t="str">
        <f t="shared" si="46"/>
        <v>Common</v>
      </c>
    </row>
    <row r="347" spans="1:27" hidden="1" outlineLevel="1">
      <c r="A347" s="377" t="s">
        <v>825</v>
      </c>
      <c r="B347" s="67">
        <v>6</v>
      </c>
      <c r="C347" s="67">
        <f ca="1">magestuff!$R$197</f>
        <v>6</v>
      </c>
      <c r="D347" s="67">
        <f t="shared" si="42"/>
        <v>0</v>
      </c>
      <c r="E347" s="77" t="e">
        <f ca="1">IF(F347="y",HLOOKUP((IF(C347&lt;1,1,C347)),Magick!$C$20:$L$21,2),NA())</f>
        <v>#N/A</v>
      </c>
      <c r="F347" s="67" t="str">
        <f ca="1">IF(C347&lt;=Magick!$D$3,"Y","N")</f>
        <v>N</v>
      </c>
      <c r="G347" s="148" t="s">
        <v>859</v>
      </c>
      <c r="H347" s="151"/>
      <c r="I347" s="77" t="e">
        <f>IF(H347&gt;0,(HLOOKUP(C347,Magick!$C$20:$L$21,2)-HLOOKUP(H347,Magick!$C$20:$L$21,2)),NA())</f>
        <v>#N/A</v>
      </c>
      <c r="J347" s="77"/>
      <c r="K347" s="67" t="s">
        <v>2225</v>
      </c>
      <c r="L347" s="72" t="str">
        <f>IF(H347&gt;0,Magick!#REF!-('Master Spell List'!H317*0.1),"N/A")</f>
        <v>N/A</v>
      </c>
      <c r="M347" s="72">
        <f ca="1">Magick!$H$65</f>
        <v>0.08</v>
      </c>
      <c r="N347" s="72">
        <f ca="1">Magick!$K$65</f>
        <v>0.11</v>
      </c>
      <c r="O347" s="72">
        <f ca="1">Magick!$L$65</f>
        <v>0.11</v>
      </c>
      <c r="P347" s="72">
        <f ca="1">Magick!$M$65</f>
        <v>0.11</v>
      </c>
      <c r="Q347" s="67" t="s">
        <v>2225</v>
      </c>
      <c r="R347" s="67">
        <f ca="1">IF(Q347="Ritual","N/A",IF(Q347="I.E.","N/A",IF(Q347="WOG",VLOOKUP(Magick!$I$65*100,magestuff!$B$134:$F$138,2),IF(Q347="Cantrip",VLOOKUP(Magick!$I$65*100,magestuff!$B$134:$F$138,3),IF(Q347="Hex",VLOOKUP(Magick!$I$65*100,magestuff!$B$134:$F$138,4),VLOOKUP(Magick!$I$65*100,magestuff!$B$134:$F$138,5))))))</f>
        <v>29</v>
      </c>
      <c r="U347" s="67" t="str">
        <f t="shared" si="43"/>
        <v xml:space="preserve"> </v>
      </c>
      <c r="V347" s="515"/>
      <c r="W347" s="125"/>
      <c r="X347" s="31">
        <f t="shared" si="49"/>
        <v>0</v>
      </c>
      <c r="Y347" s="509"/>
      <c r="Z347" s="1054" t="str">
        <f t="shared" si="44"/>
        <v>Lesser Sigil of the Arcane</v>
      </c>
      <c r="AA347" s="1072" t="str">
        <f t="shared" si="46"/>
        <v>Common</v>
      </c>
    </row>
    <row r="348" spans="1:27" hidden="1" outlineLevel="1">
      <c r="A348" s="31" t="s">
        <v>2998</v>
      </c>
      <c r="B348" s="67">
        <v>6</v>
      </c>
      <c r="C348" s="67">
        <f ca="1">magestuff!$R$197</f>
        <v>6</v>
      </c>
      <c r="D348" s="67">
        <f t="shared" si="42"/>
        <v>0</v>
      </c>
      <c r="E348" s="77" t="e">
        <f ca="1">IF(F348="y",HLOOKUP((IF(C348&lt;1,1,C348)),Magick!$C$20:$L$21,2),NA())</f>
        <v>#N/A</v>
      </c>
      <c r="F348" s="67" t="str">
        <f ca="1">IF(C348&lt;=Magick!$D$3,"Y","N")</f>
        <v>N</v>
      </c>
      <c r="G348" s="148" t="s">
        <v>128</v>
      </c>
      <c r="H348" s="151"/>
      <c r="I348" s="77" t="e">
        <f>IF(H348&gt;0,(HLOOKUP(C348,Magick!$C$20:$L$21,2)-HLOOKUP(H348,Magick!$C$20:$L$21,2)),NA())</f>
        <v>#N/A</v>
      </c>
      <c r="J348" s="77"/>
      <c r="K348" s="67">
        <v>11</v>
      </c>
      <c r="L348" s="72" t="str">
        <f>IF(H348&gt;0,Magick!#REF!-('Master Spell List'!H315*0.1),"N/A")</f>
        <v>N/A</v>
      </c>
      <c r="M348" s="72">
        <f ca="1">Magick!$H$65</f>
        <v>0.08</v>
      </c>
      <c r="N348" s="72">
        <f ca="1">Magick!$K$65</f>
        <v>0.11</v>
      </c>
      <c r="O348" s="72">
        <f ca="1">Magick!$L$65</f>
        <v>0.11</v>
      </c>
      <c r="P348" s="72">
        <f ca="1">Magick!$M$65</f>
        <v>0.11</v>
      </c>
      <c r="Q348" s="67" t="s">
        <v>3723</v>
      </c>
      <c r="R348" s="67">
        <f ca="1">IF(Q348="Ritual","N/A",IF(Q348="I.E.","N/A",IF(Q348="WOG",VLOOKUP(Magick!$I$65*100,magestuff!$B$134:$F$138,2),IF(Q348="Cantrip",VLOOKUP(Magick!$I$65*100,magestuff!$B$134:$F$138,3),IF(Q348="Hex",VLOOKUP(Magick!$I$65*100,magestuff!$B$134:$F$138,4),VLOOKUP(Magick!$I$65*100,magestuff!$B$134:$F$138,5))))))</f>
        <v>29</v>
      </c>
      <c r="U348" s="67" t="str">
        <f t="shared" si="43"/>
        <v xml:space="preserve"> </v>
      </c>
      <c r="V348" s="515"/>
      <c r="W348" s="125"/>
      <c r="X348" s="31">
        <f t="shared" si="49"/>
        <v>0</v>
      </c>
      <c r="Y348" s="509"/>
      <c r="Z348" s="1054" t="str">
        <f t="shared" si="44"/>
        <v>Shadow Bomb (Mana Ball)</v>
      </c>
      <c r="AA348" s="1072" t="str">
        <f t="shared" si="46"/>
        <v>Common</v>
      </c>
    </row>
    <row r="349" spans="1:27" hidden="1" outlineLevel="1">
      <c r="A349" s="31" t="s">
        <v>1013</v>
      </c>
      <c r="B349" s="67">
        <v>6</v>
      </c>
      <c r="C349" s="67">
        <f ca="1">magestuff!$R$197</f>
        <v>6</v>
      </c>
      <c r="D349" s="67">
        <f t="shared" si="42"/>
        <v>0</v>
      </c>
      <c r="E349" s="77" t="e">
        <f ca="1">IF(F349="y",HLOOKUP((IF(C349&lt;1,1,C349)),Magick!$C$20:$L$21,2),NA())</f>
        <v>#N/A</v>
      </c>
      <c r="F349" s="67" t="str">
        <f ca="1">IF(C349&lt;=Magick!$D$3,"Y","N")</f>
        <v>N</v>
      </c>
      <c r="G349" s="148" t="s">
        <v>128</v>
      </c>
      <c r="H349" s="151"/>
      <c r="I349" s="77" t="e">
        <f>IF(H349&gt;0,(HLOOKUP(C349,Magick!$C$20:$L$21,2)-HLOOKUP(H349,Magick!$C$20:$L$21,2)),NA())</f>
        <v>#N/A</v>
      </c>
      <c r="J349" s="77"/>
      <c r="K349" s="67">
        <v>9</v>
      </c>
      <c r="L349" s="72" t="str">
        <f>IF(H349&gt;0,Magick!#REF!-('Master Spell List'!H294*0.1),"N/A")</f>
        <v>N/A</v>
      </c>
      <c r="M349" s="72">
        <f ca="1">Magick!$H$65</f>
        <v>0.08</v>
      </c>
      <c r="N349" s="72">
        <f ca="1">Magick!$K$65</f>
        <v>0.11</v>
      </c>
      <c r="O349" s="72">
        <f ca="1">Magick!$L$65</f>
        <v>0.11</v>
      </c>
      <c r="P349" s="72">
        <f ca="1">Magick!$M$65</f>
        <v>0.11</v>
      </c>
      <c r="Q349" s="67" t="s">
        <v>3723</v>
      </c>
      <c r="R349" s="67">
        <f ca="1">IF(Q349="Ritual","N/A",IF(Q349="I.E.","N/A",IF(Q349="WOG",VLOOKUP(Magick!$I$65*100,magestuff!$B$134:$F$138,2),IF(Q349="Cantrip",VLOOKUP(Magick!$I$65*100,magestuff!$B$134:$F$138,3),IF(Q349="Hex",VLOOKUP(Magick!$I$65*100,magestuff!$B$134:$F$138,4),VLOOKUP(Magick!$I$65*100,magestuff!$B$134:$F$138,5))))))</f>
        <v>29</v>
      </c>
      <c r="U349" s="67" t="str">
        <f t="shared" si="43"/>
        <v xml:space="preserve"> </v>
      </c>
      <c r="V349" s="515"/>
      <c r="W349" s="125"/>
      <c r="X349" s="31">
        <f t="shared" si="49"/>
        <v>0</v>
      </c>
      <c r="Y349" s="509"/>
      <c r="Z349" s="1054" t="str">
        <f t="shared" si="44"/>
        <v>Sunburst</v>
      </c>
      <c r="AA349" s="1072" t="str">
        <f t="shared" si="46"/>
        <v>Common</v>
      </c>
    </row>
    <row r="350" spans="1:27" hidden="1" outlineLevel="1">
      <c r="A350" s="31" t="s">
        <v>2465</v>
      </c>
      <c r="B350" s="67">
        <v>6</v>
      </c>
      <c r="C350" s="67">
        <f ca="1">magestuff!$R$197</f>
        <v>6</v>
      </c>
      <c r="D350" s="67">
        <f t="shared" si="42"/>
        <v>0</v>
      </c>
      <c r="E350" s="77" t="e">
        <f ca="1">IF(F350="y",HLOOKUP((IF(C350&lt;1,1,C350)),Magick!$C$20:$L$21,2),NA())</f>
        <v>#N/A</v>
      </c>
      <c r="F350" s="67" t="str">
        <f ca="1">IF(C350&lt;=Magick!$D$3,"Y","N")</f>
        <v>N</v>
      </c>
      <c r="G350" s="148" t="s">
        <v>128</v>
      </c>
      <c r="H350" s="151"/>
      <c r="I350" s="77" t="e">
        <f>IF(H350&gt;0,(HLOOKUP(C350,Magick!$C$20:$L$21,2)-HLOOKUP(H350,Magick!$C$20:$L$21,2)),NA())</f>
        <v>#N/A</v>
      </c>
      <c r="J350" s="77"/>
      <c r="K350" s="67">
        <v>9</v>
      </c>
      <c r="L350" s="72" t="str">
        <f>IF(H350&gt;0,Magick!#REF!-('Master Spell List'!H307*0.1),"N/A")</f>
        <v>N/A</v>
      </c>
      <c r="M350" s="72">
        <f ca="1">Magick!$H$65</f>
        <v>0.08</v>
      </c>
      <c r="N350" s="72">
        <f ca="1">Magick!$K$65</f>
        <v>0.11</v>
      </c>
      <c r="O350" s="72">
        <f ca="1">Magick!$L$65</f>
        <v>0.11</v>
      </c>
      <c r="P350" s="72">
        <f ca="1">Magick!$M$65</f>
        <v>0.11</v>
      </c>
      <c r="Q350" s="67" t="s">
        <v>113</v>
      </c>
      <c r="R350" s="67" t="str">
        <f>IF(Q350="Ritual","N/A",IF(Q350="I.E.","N/A",IF(Q350="WOG",VLOOKUP(Magick!$I$65*100,magestuff!$B$134:$F$138,2),IF(Q350="Cantrip",VLOOKUP(Magick!$I$65*100,magestuff!$B$134:$F$138,3),IF(Q350="Hex",VLOOKUP(Magick!$I$65*100,magestuff!$B$134:$F$138,4),VLOOKUP(Magick!$I$65*100,magestuff!$B$134:$F$138,5))))))</f>
        <v>N/A</v>
      </c>
      <c r="U350" s="67" t="str">
        <f t="shared" si="43"/>
        <v xml:space="preserve"> </v>
      </c>
      <c r="V350" s="515"/>
      <c r="W350" s="125"/>
      <c r="X350" s="31">
        <f t="shared" si="49"/>
        <v>0</v>
      </c>
      <c r="Y350" s="509"/>
      <c r="Z350" s="1054" t="str">
        <f t="shared" si="44"/>
        <v>Teleport (Lesser)</v>
      </c>
      <c r="AA350" s="1072" t="str">
        <f t="shared" si="46"/>
        <v>Common</v>
      </c>
    </row>
    <row r="351" spans="1:27" hidden="1" outlineLevel="1">
      <c r="A351" s="377" t="s">
        <v>3038</v>
      </c>
      <c r="B351" s="67">
        <v>7</v>
      </c>
      <c r="C351" s="67">
        <f ca="1">magestuff!$U$197</f>
        <v>7</v>
      </c>
      <c r="D351" s="67">
        <f t="shared" si="42"/>
        <v>0</v>
      </c>
      <c r="E351" s="77" t="e">
        <f ca="1">IF(F351="y",HLOOKUP((IF(C351&lt;1,1,C351)),Magick!$C$20:$L$21,2),NA())</f>
        <v>#N/A</v>
      </c>
      <c r="F351" s="67" t="str">
        <f ca="1">IF(C351&lt;=Magick!$D$3,"Y","N")</f>
        <v>N</v>
      </c>
      <c r="G351" s="148" t="s">
        <v>859</v>
      </c>
      <c r="H351" s="151"/>
      <c r="I351" s="77" t="e">
        <f>IF(H351&gt;0,(HLOOKUP(C351,Magick!$C$20:$L$21,2)-HLOOKUP(H351,Magick!$C$20:$L$21,2)),NA())</f>
        <v>#N/A</v>
      </c>
      <c r="J351" s="77"/>
      <c r="K351" s="67" t="s">
        <v>2225</v>
      </c>
      <c r="L351" s="72" t="str">
        <f>IF(H351&gt;0,Magick!#REF!-('Master Spell List'!H302*0.1),"N/A")</f>
        <v>N/A</v>
      </c>
      <c r="M351" s="72">
        <f ca="1">Magick!$H$65</f>
        <v>0.08</v>
      </c>
      <c r="N351" s="72">
        <f ca="1">Magick!$K$65</f>
        <v>0.11</v>
      </c>
      <c r="O351" s="72">
        <f ca="1">Magick!$L$65</f>
        <v>0.11</v>
      </c>
      <c r="P351" s="72">
        <f ca="1">Magick!$M$65</f>
        <v>0.11</v>
      </c>
      <c r="Q351" s="67" t="s">
        <v>2225</v>
      </c>
      <c r="R351" s="67">
        <f ca="1">IF(Q351="Ritual","N/A",IF(Q351="I.E.","N/A",IF(Q351="WOG",VLOOKUP(Magick!$I$65*100,magestuff!$B$134:$F$138,2),IF(Q351="Cantrip",VLOOKUP(Magick!$I$65*100,magestuff!$B$134:$F$138,3),IF(Q351="Hex",VLOOKUP(Magick!$I$65*100,magestuff!$B$134:$F$138,4),VLOOKUP(Magick!$I$65*100,magestuff!$B$134:$F$138,5))))))</f>
        <v>29</v>
      </c>
      <c r="U351" s="67" t="str">
        <f t="shared" si="43"/>
        <v xml:space="preserve"> </v>
      </c>
      <c r="V351" s="515"/>
      <c r="W351" s="125"/>
      <c r="X351" s="31">
        <f t="shared" si="49"/>
        <v>0</v>
      </c>
      <c r="Y351" s="509"/>
      <c r="Z351" s="1054" t="str">
        <f t="shared" si="44"/>
        <v>Arcane Armor of Protection</v>
      </c>
      <c r="AA351" s="1072" t="str">
        <f t="shared" si="46"/>
        <v>Common</v>
      </c>
    </row>
    <row r="352" spans="1:27" hidden="1" outlineLevel="1">
      <c r="A352" s="83" t="s">
        <v>6062</v>
      </c>
      <c r="B352" s="67">
        <v>7</v>
      </c>
      <c r="C352" s="67">
        <f ca="1">magestuff!$U$197</f>
        <v>7</v>
      </c>
      <c r="D352" s="67">
        <f t="shared" ref="D352" si="50">IF(AND(ISNUMBER(H352),H352=0),C352,0)</f>
        <v>0</v>
      </c>
      <c r="E352" s="77" t="e">
        <f ca="1">IF(F352="y",HLOOKUP((IF(C352&lt;1,1,C352)),Magick!$C$20:$L$21,2),NA())</f>
        <v>#N/A</v>
      </c>
      <c r="F352" s="67" t="str">
        <f ca="1">IF(C352&lt;=Magick!$D$3,"Y","N")</f>
        <v>N</v>
      </c>
      <c r="G352" s="148" t="s">
        <v>6052</v>
      </c>
      <c r="H352" s="151"/>
      <c r="I352" s="77" t="e">
        <f>IF(H352&gt;0,(HLOOKUP(C352,Magick!$C$20:$L$21,2)-HLOOKUP(H352,Magick!$C$20:$L$21,2)),NA())</f>
        <v>#N/A</v>
      </c>
      <c r="J352" s="77"/>
      <c r="K352" s="67">
        <v>16</v>
      </c>
      <c r="L352" s="72" t="str">
        <f>IF(H352&gt;0,Magick!#REF!-('Master Spell List'!H298*0.1),"N/A")</f>
        <v>N/A</v>
      </c>
      <c r="M352" s="72">
        <f ca="1">Magick!$H$65</f>
        <v>0.08</v>
      </c>
      <c r="N352" s="72">
        <f ca="1">Magick!$K$65</f>
        <v>0.11</v>
      </c>
      <c r="O352" s="72">
        <f ca="1">Magick!$L$65</f>
        <v>0.11</v>
      </c>
      <c r="P352" s="72">
        <f ca="1">Magick!$M$65</f>
        <v>0.11</v>
      </c>
      <c r="Q352" s="67" t="s">
        <v>4602</v>
      </c>
      <c r="R352" s="67">
        <f ca="1">IF(Q352="Ritual","N/A",IF(Q352="I.E.","N/A",IF(Q352="WOG",VLOOKUP(Magick!$I$65*100,magestuff!$B$134:$F$138,2),IF(Q352="Cantrip",VLOOKUP(Magick!$I$65*100,magestuff!$B$134:$F$138,3),IF(Q352="Hex",VLOOKUP(Magick!$I$65*100,magestuff!$B$134:$F$138,4),VLOOKUP(Magick!$I$65*100,magestuff!$B$134:$F$138,5))))))</f>
        <v>19</v>
      </c>
      <c r="S352" s="67">
        <f>100*Magick!$C$3</f>
        <v>0</v>
      </c>
      <c r="T352" s="67" t="s">
        <v>3725</v>
      </c>
      <c r="U352" s="67" t="str">
        <f t="shared" ref="U352" si="51">IF(ISBLANK(H352)," ",IF(H352&gt;0,0,C352*10))</f>
        <v xml:space="preserve"> </v>
      </c>
      <c r="V352" s="515"/>
      <c r="W352" s="125"/>
      <c r="X352" s="31">
        <f t="shared" si="49"/>
        <v>0</v>
      </c>
      <c r="Y352" s="1025"/>
      <c r="Z352" s="1054" t="str">
        <f t="shared" si="44"/>
        <v>Great Aport an Object</v>
      </c>
      <c r="AA352" s="1072" t="str">
        <f t="shared" si="46"/>
        <v>Common</v>
      </c>
    </row>
    <row r="353" spans="1:27" hidden="1" outlineLevel="1">
      <c r="A353" s="83" t="s">
        <v>5294</v>
      </c>
      <c r="B353" s="67">
        <v>7</v>
      </c>
      <c r="C353" s="67">
        <f ca="1">magestuff!$U$197</f>
        <v>7</v>
      </c>
      <c r="D353" s="67">
        <f t="shared" si="42"/>
        <v>0</v>
      </c>
      <c r="E353" s="77" t="e">
        <f ca="1">IF(F353="y",HLOOKUP((IF(C353&lt;1,1,C353)),Magick!$C$20:$L$21,2),NA())</f>
        <v>#N/A</v>
      </c>
      <c r="F353" s="67" t="str">
        <f ca="1">IF(C353&lt;=Magick!$D$3,"Y","N")</f>
        <v>N</v>
      </c>
      <c r="G353" s="148" t="s">
        <v>1616</v>
      </c>
      <c r="H353" s="151"/>
      <c r="I353" s="77" t="e">
        <f>IF(H353&gt;0,(HLOOKUP(C353,Magick!$C$20:$L$21,2)-HLOOKUP(H353,Magick!$C$20:$L$21,2)),NA())</f>
        <v>#N/A</v>
      </c>
      <c r="J353" s="77"/>
      <c r="K353" s="67">
        <v>9</v>
      </c>
      <c r="L353" s="72" t="str">
        <f>IF(H353&gt;0,Magick!#REF!-('Master Spell List'!H305*0.1),"N/A")</f>
        <v>N/A</v>
      </c>
      <c r="M353" s="72">
        <f ca="1">Magick!$H$65</f>
        <v>0.08</v>
      </c>
      <c r="N353" s="72">
        <f ca="1">Magick!$K$65</f>
        <v>0.11</v>
      </c>
      <c r="O353" s="72">
        <f ca="1">Magick!$L$65</f>
        <v>0.11</v>
      </c>
      <c r="P353" s="72">
        <f ca="1">Magick!$M$65</f>
        <v>0.11</v>
      </c>
      <c r="Q353" s="67" t="s">
        <v>3723</v>
      </c>
      <c r="R353" s="67">
        <f ca="1">IF(Q353="Ritual","N/A",IF(Q353="I.E.","N/A",IF(Q353="WOG",VLOOKUP(Magick!$I$65*100,magestuff!$B$134:$F$138,2),IF(Q353="Cantrip",VLOOKUP(Magick!$I$65*100,magestuff!$B$134:$F$138,3),IF(Q353="Hex",VLOOKUP(Magick!$I$65*100,magestuff!$B$134:$F$138,4),VLOOKUP(Magick!$I$65*100,magestuff!$B$134:$F$138,5))))))</f>
        <v>29</v>
      </c>
      <c r="U353" s="67" t="str">
        <f t="shared" si="43"/>
        <v xml:space="preserve"> </v>
      </c>
      <c r="V353" s="515"/>
      <c r="W353" s="125"/>
      <c r="X353" s="31">
        <f t="shared" si="49"/>
        <v>0</v>
      </c>
      <c r="Y353" s="509"/>
      <c r="Z353" s="1054" t="str">
        <f t="shared" si="44"/>
        <v xml:space="preserve">Arcane Axe Head of Greater Damage </v>
      </c>
      <c r="AA353" s="1072" t="str">
        <f t="shared" si="46"/>
        <v>Common</v>
      </c>
    </row>
    <row r="354" spans="1:27" hidden="1" outlineLevel="1">
      <c r="A354" s="83" t="s">
        <v>1672</v>
      </c>
      <c r="B354" s="67">
        <v>7</v>
      </c>
      <c r="C354" s="67">
        <f ca="1">magestuff!$U$197</f>
        <v>7</v>
      </c>
      <c r="D354" s="67">
        <f t="shared" ref="D354:D391" si="52">IF(AND(ISNUMBER(H354),H354=0),C354,0)</f>
        <v>0</v>
      </c>
      <c r="E354" s="77" t="e">
        <f ca="1">IF(F354="y",HLOOKUP((IF(C354&lt;1,1,C354)),Magick!$C$20:$L$21,2),NA())</f>
        <v>#N/A</v>
      </c>
      <c r="F354" s="67" t="str">
        <f ca="1">IF(C354&lt;=Magick!$D$3,"Y","N")</f>
        <v>N</v>
      </c>
      <c r="G354" s="148" t="s">
        <v>1616</v>
      </c>
      <c r="H354" s="151"/>
      <c r="I354" s="77" t="e">
        <f>IF(H354&gt;0,(HLOOKUP(C354,Magick!$C$20:$L$21,2)-HLOOKUP(H354,Magick!$C$20:$L$21,2)),NA())</f>
        <v>#N/A</v>
      </c>
      <c r="J354" s="77"/>
      <c r="K354" s="67">
        <v>9</v>
      </c>
      <c r="L354" s="72" t="str">
        <f>IF(H354&gt;0,Magick!#REF!-('Master Spell List'!H300*0.1),"N/A")</f>
        <v>N/A</v>
      </c>
      <c r="M354" s="72">
        <f ca="1">Magick!$H$65</f>
        <v>0.08</v>
      </c>
      <c r="N354" s="72">
        <f ca="1">Magick!$K$65</f>
        <v>0.11</v>
      </c>
      <c r="O354" s="72">
        <f ca="1">Magick!$L$65</f>
        <v>0.11</v>
      </c>
      <c r="P354" s="72">
        <f ca="1">Magick!$M$65</f>
        <v>0.11</v>
      </c>
      <c r="Q354" s="67" t="s">
        <v>3723</v>
      </c>
      <c r="R354" s="67">
        <f ca="1">IF(Q354="Ritual","N/A",IF(Q354="I.E.","N/A",IF(Q354="WOG",VLOOKUP(Magick!$I$65*100,magestuff!$B$134:$F$138,2),IF(Q354="Cantrip",VLOOKUP(Magick!$I$65*100,magestuff!$B$134:$F$138,3),IF(Q354="Hex",VLOOKUP(Magick!$I$65*100,magestuff!$B$134:$F$138,4),VLOOKUP(Magick!$I$65*100,magestuff!$B$134:$F$138,5))))))</f>
        <v>29</v>
      </c>
      <c r="U354" s="67" t="str">
        <f t="shared" ref="U354:U391" si="53">IF(ISBLANK(H354)," ",IF(H354&gt;0,0,C354*10))</f>
        <v xml:space="preserve"> </v>
      </c>
      <c r="V354" s="515"/>
      <c r="W354" s="125"/>
      <c r="X354" s="31">
        <f t="shared" si="49"/>
        <v>0</v>
      </c>
      <c r="Y354" s="509"/>
      <c r="Z354" s="1054" t="str">
        <f t="shared" si="44"/>
        <v xml:space="preserve">Arcane Great Sword Blade </v>
      </c>
      <c r="AA354" s="1072" t="str">
        <f t="shared" si="46"/>
        <v>Common</v>
      </c>
    </row>
    <row r="355" spans="1:27" hidden="1" outlineLevel="1">
      <c r="A355" s="83" t="s">
        <v>5174</v>
      </c>
      <c r="B355" s="67">
        <v>7</v>
      </c>
      <c r="C355" s="67">
        <f ca="1">magestuff!$U$197</f>
        <v>7</v>
      </c>
      <c r="D355" s="67">
        <f t="shared" si="52"/>
        <v>0</v>
      </c>
      <c r="E355" s="77" t="e">
        <f ca="1">IF(F355="y",HLOOKUP((IF(C355&lt;1,1,C355)),Magick!$C$20:$L$21,2),NA())</f>
        <v>#N/A</v>
      </c>
      <c r="F355" s="67" t="str">
        <f ca="1">IF(C355&lt;=Magick!$D$3,"Y","N")</f>
        <v>N</v>
      </c>
      <c r="G355" s="148" t="s">
        <v>1616</v>
      </c>
      <c r="H355" s="151"/>
      <c r="I355" s="77" t="e">
        <f>IF(H355&gt;0,(HLOOKUP(C355,Magick!$C$20:$L$21,2)-HLOOKUP(H355,Magick!$C$20:$L$21,2)),NA())</f>
        <v>#N/A</v>
      </c>
      <c r="J355" s="77"/>
      <c r="K355" s="67">
        <v>9</v>
      </c>
      <c r="L355" s="72" t="str">
        <f>IF(H355&gt;0,Magick!#REF!-('Master Spell List'!H299*0.1),"N/A")</f>
        <v>N/A</v>
      </c>
      <c r="M355" s="72">
        <f ca="1">Magick!$H$65</f>
        <v>0.08</v>
      </c>
      <c r="N355" s="72">
        <f ca="1">Magick!$K$65</f>
        <v>0.11</v>
      </c>
      <c r="O355" s="72">
        <f ca="1">Magick!$L$65</f>
        <v>0.11</v>
      </c>
      <c r="P355" s="72">
        <f ca="1">Magick!$M$65</f>
        <v>0.11</v>
      </c>
      <c r="Q355" s="67" t="s">
        <v>3723</v>
      </c>
      <c r="R355" s="67">
        <f ca="1">IF(Q355="Ritual","N/A",IF(Q355="I.E.","N/A",IF(Q355="WOG",VLOOKUP(Magick!$I$65*100,magestuff!$B$134:$F$138,2),IF(Q355="Cantrip",VLOOKUP(Magick!$I$65*100,magestuff!$B$134:$F$138,3),IF(Q355="Hex",VLOOKUP(Magick!$I$65*100,magestuff!$B$134:$F$138,4),VLOOKUP(Magick!$I$65*100,magestuff!$B$134:$F$138,5))))))</f>
        <v>29</v>
      </c>
      <c r="U355" s="67" t="str">
        <f t="shared" si="53"/>
        <v xml:space="preserve"> </v>
      </c>
      <c r="V355" s="515"/>
      <c r="W355" s="125"/>
      <c r="X355" s="31">
        <f t="shared" si="49"/>
        <v>0</v>
      </c>
      <c r="Y355" s="509"/>
      <c r="Z355" s="1054" t="str">
        <f t="shared" si="44"/>
        <v xml:space="preserve">Arcane Long Sword Blade of Greater Damage </v>
      </c>
      <c r="AA355" s="1072" t="str">
        <f t="shared" si="46"/>
        <v>Common</v>
      </c>
    </row>
    <row r="356" spans="1:27" hidden="1" outlineLevel="1">
      <c r="A356" s="83" t="s">
        <v>1675</v>
      </c>
      <c r="B356" s="67">
        <v>7</v>
      </c>
      <c r="C356" s="67">
        <f ca="1">magestuff!$U$197</f>
        <v>7</v>
      </c>
      <c r="D356" s="67">
        <f t="shared" si="52"/>
        <v>0</v>
      </c>
      <c r="E356" s="77" t="e">
        <f ca="1">IF(F356="y",HLOOKUP((IF(C356&lt;1,1,C356)),Magick!$C$20:$L$21,2),NA())</f>
        <v>#N/A</v>
      </c>
      <c r="F356" s="67" t="str">
        <f ca="1">IF(C356&lt;=Magick!$D$3,"Y","N")</f>
        <v>N</v>
      </c>
      <c r="G356" s="148" t="s">
        <v>1616</v>
      </c>
      <c r="H356" s="151"/>
      <c r="I356" s="77" t="e">
        <f>IF(H356&gt;0,(HLOOKUP(C356,Magick!$C$20:$L$21,2)-HLOOKUP(H356,Magick!$C$20:$L$21,2)),NA())</f>
        <v>#N/A</v>
      </c>
      <c r="J356" s="77"/>
      <c r="K356" s="67">
        <v>9</v>
      </c>
      <c r="L356" s="72" t="str">
        <f>IF(H356&gt;0,Magick!#REF!-('Master Spell List'!H303*0.1),"N/A")</f>
        <v>N/A</v>
      </c>
      <c r="M356" s="72">
        <f ca="1">Magick!$H$65</f>
        <v>0.08</v>
      </c>
      <c r="N356" s="72">
        <f ca="1">Magick!$K$65</f>
        <v>0.11</v>
      </c>
      <c r="O356" s="72">
        <f ca="1">Magick!$L$65</f>
        <v>0.11</v>
      </c>
      <c r="P356" s="72">
        <f ca="1">Magick!$M$65</f>
        <v>0.11</v>
      </c>
      <c r="Q356" s="67" t="s">
        <v>3723</v>
      </c>
      <c r="R356" s="67">
        <f ca="1">IF(Q356="Ritual","N/A",IF(Q356="I.E.","N/A",IF(Q356="WOG",VLOOKUP(Magick!$I$65*100,magestuff!$B$134:$F$138,2),IF(Q356="Cantrip",VLOOKUP(Magick!$I$65*100,magestuff!$B$134:$F$138,3),IF(Q356="Hex",VLOOKUP(Magick!$I$65*100,magestuff!$B$134:$F$138,4),VLOOKUP(Magick!$I$65*100,magestuff!$B$134:$F$138,5))))))</f>
        <v>29</v>
      </c>
      <c r="U356" s="67" t="str">
        <f t="shared" si="53"/>
        <v xml:space="preserve"> </v>
      </c>
      <c r="V356" s="515"/>
      <c r="W356" s="125"/>
      <c r="X356" s="31">
        <f t="shared" si="49"/>
        <v>0</v>
      </c>
      <c r="Y356" s="509"/>
      <c r="Z356" s="1054" t="str">
        <f t="shared" si="44"/>
        <v xml:space="preserve">Arcane Mace Head of Greater Damage </v>
      </c>
      <c r="AA356" s="1072" t="str">
        <f t="shared" si="46"/>
        <v>Common</v>
      </c>
    </row>
    <row r="357" spans="1:27" hidden="1" outlineLevel="1">
      <c r="A357" s="83" t="s">
        <v>5517</v>
      </c>
      <c r="B357" s="67">
        <v>7</v>
      </c>
      <c r="C357" s="67">
        <f ca="1">magestuff!$U$197</f>
        <v>7</v>
      </c>
      <c r="D357" s="67">
        <f t="shared" si="52"/>
        <v>0</v>
      </c>
      <c r="E357" s="77" t="e">
        <f ca="1">IF(F357="y",HLOOKUP((IF(C357&lt;1,1,C357)),Magick!$C$20:$L$21,2),NA())</f>
        <v>#N/A</v>
      </c>
      <c r="F357" s="67" t="str">
        <f ca="1">IF(C357&lt;=Magick!$D$3,"Y","N")</f>
        <v>N</v>
      </c>
      <c r="G357" s="148" t="s">
        <v>1617</v>
      </c>
      <c r="H357" s="151"/>
      <c r="I357" s="77" t="e">
        <f>IF(H357&gt;0,(HLOOKUP(C357,Magick!$C$20:$L$21,2)-HLOOKUP(H357,Magick!$C$20:$L$21,2)),NA())</f>
        <v>#N/A</v>
      </c>
      <c r="J357" s="77"/>
      <c r="K357" s="67">
        <v>10</v>
      </c>
      <c r="L357" s="72" t="str">
        <f>IF(H357&gt;0,Magick!#REF!-('Master Spell List'!H283*0.1),"N/A")</f>
        <v>N/A</v>
      </c>
      <c r="M357" s="72">
        <f ca="1">Magick!$H$65</f>
        <v>0.08</v>
      </c>
      <c r="N357" s="72">
        <f ca="1">Magick!$K$65</f>
        <v>0.11</v>
      </c>
      <c r="O357" s="72">
        <f ca="1">Magick!$L$65</f>
        <v>0.11</v>
      </c>
      <c r="P357" s="72">
        <f ca="1">Magick!$M$65</f>
        <v>0.11</v>
      </c>
      <c r="Q357" s="67" t="s">
        <v>4602</v>
      </c>
      <c r="R357" s="67">
        <f ca="1">IF(Q357="Ritual","N/A",IF(Q357="I.E.","N/A",IF(Q357="WOG",VLOOKUP(Magick!$I$65*100,magestuff!$B$134:$F$138,2),IF(Q357="Cantrip",VLOOKUP(Magick!$I$65*100,magestuff!$B$134:$F$138,3),IF(Q357="Hex",VLOOKUP(Magick!$I$65*100,magestuff!$B$134:$F$138,4),VLOOKUP(Magick!$I$65*100,magestuff!$B$134:$F$138,5))))))</f>
        <v>19</v>
      </c>
      <c r="U357" s="67" t="str">
        <f t="shared" si="53"/>
        <v xml:space="preserve"> </v>
      </c>
      <c r="V357" s="515"/>
      <c r="W357" s="125"/>
      <c r="X357" s="31">
        <f t="shared" si="49"/>
        <v>0</v>
      </c>
      <c r="Y357" s="509"/>
      <c r="Z357" s="1054" t="str">
        <f t="shared" si="44"/>
        <v>Arcane Net</v>
      </c>
      <c r="AA357" s="1072" t="str">
        <f t="shared" si="46"/>
        <v>Common</v>
      </c>
    </row>
    <row r="358" spans="1:27" hidden="1" outlineLevel="1">
      <c r="A358" s="965" t="s">
        <v>5762</v>
      </c>
      <c r="B358" s="67">
        <v>7</v>
      </c>
      <c r="C358" s="67">
        <f ca="1">magestuff!$U$197</f>
        <v>7</v>
      </c>
      <c r="D358" s="67">
        <f t="shared" si="52"/>
        <v>0</v>
      </c>
      <c r="E358" s="77" t="e">
        <f ca="1">IF(F358="y",HLOOKUP((IF(C358&lt;1,1,C358)),Magick!$C$20:$L$21,2),NA())</f>
        <v>#N/A</v>
      </c>
      <c r="F358" s="67" t="str">
        <f ca="1">IF(C358&lt;=Magick!$D$3,"Y","N")</f>
        <v>N</v>
      </c>
      <c r="G358" s="148" t="s">
        <v>5779</v>
      </c>
      <c r="H358" s="151"/>
      <c r="I358" s="77" t="e">
        <f>IF(H358&gt;0,(HLOOKUP(C358,Magick!$C$20:$L$21,2)-HLOOKUP(H358,Magick!$C$20:$L$21,2)),NA())</f>
        <v>#N/A</v>
      </c>
      <c r="J358" s="77"/>
      <c r="K358" s="67">
        <v>3</v>
      </c>
      <c r="L358" s="72" t="str">
        <f>IF(H358&gt;0,Magick!#REF!-('Master Spell List'!H319*0.1),"N/A")</f>
        <v>N/A</v>
      </c>
      <c r="M358" s="72">
        <f ca="1">Magick!$H$65</f>
        <v>0.08</v>
      </c>
      <c r="N358" s="72">
        <f ca="1">Magick!$K$65</f>
        <v>0.11</v>
      </c>
      <c r="O358" s="72">
        <f ca="1">Magick!$L$65</f>
        <v>0.11</v>
      </c>
      <c r="P358" s="72">
        <f ca="1">Magick!$M$65</f>
        <v>0.11</v>
      </c>
      <c r="Q358" s="67" t="s">
        <v>4603</v>
      </c>
      <c r="R358" s="67">
        <f ca="1">IF(Q358="Ritual","N/A",IF(Q358="I.E.","N/A",IF(Q358="WOG",VLOOKUP(Magick!$I$65*100,magestuff!$B$134:$F$138,2),IF(Q358="Cantrip",VLOOKUP(Magick!$I$65*100,magestuff!$B$134:$F$138,3),IF(Q358="Hex",VLOOKUP(Magick!$I$65*100,magestuff!$B$134:$F$138,4),VLOOKUP(Magick!$I$65*100,magestuff!$B$134:$F$138,5))))))</f>
        <v>9</v>
      </c>
      <c r="S358" s="67" t="s">
        <v>5545</v>
      </c>
      <c r="T358" s="67" t="s">
        <v>5545</v>
      </c>
      <c r="U358" s="67" t="str">
        <f t="shared" si="53"/>
        <v xml:space="preserve"> </v>
      </c>
      <c r="V358" s="515"/>
      <c r="W358" s="125"/>
      <c r="X358" s="31">
        <f t="shared" si="49"/>
        <v>0</v>
      </c>
      <c r="Y358" s="509"/>
      <c r="Z358" s="1054" t="str">
        <f t="shared" si="44"/>
        <v xml:space="preserve">Least Repulse Arcane Energy   </v>
      </c>
      <c r="AA358" s="1072" t="str">
        <f t="shared" si="46"/>
        <v>Common</v>
      </c>
    </row>
    <row r="359" spans="1:27" hidden="1" outlineLevel="1">
      <c r="A359" s="377" t="s">
        <v>2908</v>
      </c>
      <c r="B359" s="67">
        <v>7</v>
      </c>
      <c r="C359" s="67">
        <f ca="1">magestuff!$U$197</f>
        <v>7</v>
      </c>
      <c r="D359" s="67">
        <f t="shared" si="52"/>
        <v>0</v>
      </c>
      <c r="E359" s="77" t="e">
        <f ca="1">IF(F359="y",HLOOKUP((IF(C359&lt;1,1,C359)),Magick!$C$20:$L$21,2),NA())</f>
        <v>#N/A</v>
      </c>
      <c r="F359" s="67" t="str">
        <f ca="1">IF(C359&lt;=Magick!$D$3,"Y","N")</f>
        <v>N</v>
      </c>
      <c r="G359" s="148" t="s">
        <v>859</v>
      </c>
      <c r="H359" s="151"/>
      <c r="I359" s="77" t="e">
        <f>IF(H359&gt;0,(HLOOKUP(C359,Magick!$C$20:$L$21,2)-HLOOKUP(H359,Magick!$C$20:$L$21,2)),NA())</f>
        <v>#N/A</v>
      </c>
      <c r="J359" s="77"/>
      <c r="K359" s="67" t="s">
        <v>2225</v>
      </c>
      <c r="L359" s="72" t="str">
        <f>IF(H359&gt;0,Magick!#REF!-('Master Spell List'!H321*0.1),"N/A")</f>
        <v>N/A</v>
      </c>
      <c r="M359" s="72">
        <f ca="1">Magick!$H$65</f>
        <v>0.08</v>
      </c>
      <c r="N359" s="72">
        <f ca="1">Magick!$K$65</f>
        <v>0.11</v>
      </c>
      <c r="O359" s="72">
        <f ca="1">Magick!$L$65</f>
        <v>0.11</v>
      </c>
      <c r="P359" s="72">
        <f ca="1">Magick!$M$65</f>
        <v>0.11</v>
      </c>
      <c r="Q359" s="67" t="s">
        <v>2225</v>
      </c>
      <c r="R359" s="67">
        <f ca="1">IF(Q359="Ritual","N/A",IF(Q359="I.E.","N/A",IF(Q359="WOG",VLOOKUP(Magick!$I$65*100,magestuff!$B$134:$F$138,2),IF(Q359="Cantrip",VLOOKUP(Magick!$I$65*100,magestuff!$B$134:$F$138,3),IF(Q359="Hex",VLOOKUP(Magick!$I$65*100,magestuff!$B$134:$F$138,4),VLOOKUP(Magick!$I$65*100,magestuff!$B$134:$F$138,5))))))</f>
        <v>29</v>
      </c>
      <c r="U359" s="67" t="str">
        <f t="shared" si="53"/>
        <v xml:space="preserve"> </v>
      </c>
      <c r="V359" s="515"/>
      <c r="W359" s="125"/>
      <c r="X359" s="31">
        <f t="shared" si="49"/>
        <v>0</v>
      </c>
      <c r="Y359" s="509"/>
      <c r="Z359" s="1054" t="str">
        <f t="shared" si="44"/>
        <v>Lesser Invisible Sigil of the Arcane</v>
      </c>
      <c r="AA359" s="1072" t="str">
        <f t="shared" si="46"/>
        <v>Common</v>
      </c>
    </row>
    <row r="360" spans="1:27" hidden="1" outlineLevel="1">
      <c r="A360" s="377" t="s">
        <v>1905</v>
      </c>
      <c r="B360" s="67">
        <v>7</v>
      </c>
      <c r="C360" s="67">
        <f ca="1">magestuff!$U$197</f>
        <v>7</v>
      </c>
      <c r="D360" s="67">
        <f t="shared" si="52"/>
        <v>0</v>
      </c>
      <c r="E360" s="77" t="e">
        <f ca="1">IF(F360="y",HLOOKUP((IF(C360&lt;1,1,C360)),Magick!$C$20:$L$21,2),NA())</f>
        <v>#N/A</v>
      </c>
      <c r="F360" s="67" t="str">
        <f ca="1">IF(C360&lt;=Magick!$D$3,"Y","N")</f>
        <v>N</v>
      </c>
      <c r="G360" s="148" t="s">
        <v>859</v>
      </c>
      <c r="H360" s="151"/>
      <c r="I360" s="77" t="e">
        <f>IF(H360&gt;0,(HLOOKUP(C360,Magick!$C$20:$L$21,2)-HLOOKUP(H360,Magick!$C$20:$L$21,2)),NA())</f>
        <v>#N/A</v>
      </c>
      <c r="J360" s="77"/>
      <c r="K360" s="67" t="s">
        <v>2225</v>
      </c>
      <c r="L360" s="72" t="str">
        <f>IF(H360&gt;0,Magick!#REF!-('Master Spell List'!H312*0.1),"N/A")</f>
        <v>N/A</v>
      </c>
      <c r="M360" s="72">
        <f ca="1">Magick!$H$65</f>
        <v>0.08</v>
      </c>
      <c r="N360" s="72">
        <f ca="1">Magick!$K$65</f>
        <v>0.11</v>
      </c>
      <c r="O360" s="72">
        <f ca="1">Magick!$L$65</f>
        <v>0.11</v>
      </c>
      <c r="P360" s="72">
        <f ca="1">Magick!$M$65</f>
        <v>0.11</v>
      </c>
      <c r="Q360" s="67" t="s">
        <v>2225</v>
      </c>
      <c r="R360" s="67">
        <f ca="1">IF(Q360="Ritual","N/A",IF(Q360="I.E.","N/A",IF(Q360="WOG",VLOOKUP(Magick!$I$65*100,magestuff!$B$134:$F$138,2),IF(Q360="Cantrip",VLOOKUP(Magick!$I$65*100,magestuff!$B$134:$F$138,3),IF(Q360="Hex",VLOOKUP(Magick!$I$65*100,magestuff!$B$134:$F$138,4),VLOOKUP(Magick!$I$65*100,magestuff!$B$134:$F$138,5))))))</f>
        <v>29</v>
      </c>
      <c r="U360" s="67" t="str">
        <f t="shared" si="53"/>
        <v xml:space="preserve"> </v>
      </c>
      <c r="V360" s="515"/>
      <c r="W360" s="125"/>
      <c r="X360" s="31">
        <f t="shared" si="49"/>
        <v>0</v>
      </c>
      <c r="Y360" s="509"/>
      <c r="Z360" s="1054" t="str">
        <f t="shared" si="44"/>
        <v>Lesser Seal of the Ages</v>
      </c>
      <c r="AA360" s="1072" t="str">
        <f t="shared" si="46"/>
        <v>Common</v>
      </c>
    </row>
    <row r="361" spans="1:27" hidden="1" outlineLevel="1">
      <c r="A361" s="31" t="s">
        <v>2467</v>
      </c>
      <c r="B361" s="67">
        <v>7</v>
      </c>
      <c r="C361" s="67">
        <f ca="1">magestuff!$U$197</f>
        <v>7</v>
      </c>
      <c r="D361" s="67">
        <f t="shared" si="52"/>
        <v>0</v>
      </c>
      <c r="E361" s="77" t="e">
        <f ca="1">IF(F361="y",HLOOKUP((IF(C361&lt;1,1,C361)),Magick!$C$20:$L$21,2),NA())</f>
        <v>#N/A</v>
      </c>
      <c r="F361" s="67" t="str">
        <f ca="1">IF(C361&lt;=Magick!$D$3,"Y","N")</f>
        <v>N</v>
      </c>
      <c r="G361" s="148" t="s">
        <v>128</v>
      </c>
      <c r="H361" s="151"/>
      <c r="I361" s="77" t="e">
        <f>IF(H361&gt;0,(HLOOKUP(C361,Magick!$C$20:$L$21,2)-HLOOKUP(H361,Magick!$C$20:$L$21,2)),NA())</f>
        <v>#N/A</v>
      </c>
      <c r="J361" s="77"/>
      <c r="K361" s="67">
        <v>11</v>
      </c>
      <c r="L361" s="72" t="str">
        <f>IF(H361&gt;0,Magick!#REF!-('Master Spell List'!H309*0.1),"N/A")</f>
        <v>N/A</v>
      </c>
      <c r="M361" s="72">
        <f ca="1">Magick!$H$65</f>
        <v>0.08</v>
      </c>
      <c r="N361" s="72">
        <f ca="1">Magick!$K$65</f>
        <v>0.11</v>
      </c>
      <c r="O361" s="72">
        <f ca="1">Magick!$L$65</f>
        <v>0.11</v>
      </c>
      <c r="P361" s="72">
        <f ca="1">Magick!$M$65</f>
        <v>0.11</v>
      </c>
      <c r="Q361" s="67" t="s">
        <v>3723</v>
      </c>
      <c r="R361" s="67">
        <f ca="1">IF(Q361="Ritual","N/A",IF(Q361="I.E.","N/A",IF(Q361="WOG",VLOOKUP(Magick!$I$65*100,magestuff!$B$134:$F$138,2),IF(Q361="Cantrip",VLOOKUP(Magick!$I$65*100,magestuff!$B$134:$F$138,3),IF(Q361="Hex",VLOOKUP(Magick!$I$65*100,magestuff!$B$134:$F$138,4),VLOOKUP(Magick!$I$65*100,magestuff!$B$134:$F$138,5))))))</f>
        <v>29</v>
      </c>
      <c r="U361" s="67" t="str">
        <f t="shared" si="53"/>
        <v xml:space="preserve"> </v>
      </c>
      <c r="V361" s="515"/>
      <c r="W361" s="125"/>
      <c r="X361" s="31">
        <f t="shared" si="49"/>
        <v>0</v>
      </c>
      <c r="Y361" s="509"/>
      <c r="Z361" s="1054" t="str">
        <f t="shared" si="44"/>
        <v>Teleportal</v>
      </c>
      <c r="AA361" s="1072" t="str">
        <f t="shared" si="46"/>
        <v>Common</v>
      </c>
    </row>
    <row r="362" spans="1:27" hidden="1" outlineLevel="1">
      <c r="A362" s="31" t="s">
        <v>1010</v>
      </c>
      <c r="B362" s="67">
        <v>7</v>
      </c>
      <c r="C362" s="67">
        <f ca="1">magestuff!$U$197</f>
        <v>7</v>
      </c>
      <c r="D362" s="67">
        <f t="shared" si="52"/>
        <v>0</v>
      </c>
      <c r="E362" s="77" t="e">
        <f ca="1">IF(F362="y",HLOOKUP((IF(C362&lt;1,1,C362)),Magick!$C$20:$L$21,2),NA())</f>
        <v>#N/A</v>
      </c>
      <c r="F362" s="67" t="str">
        <f ca="1">IF(C362&lt;=Magick!$D$3,"Y","N")</f>
        <v>N</v>
      </c>
      <c r="G362" s="148" t="s">
        <v>128</v>
      </c>
      <c r="H362" s="151"/>
      <c r="I362" s="77" t="e">
        <f>IF(H362&gt;0,(HLOOKUP(C362,Magick!$C$20:$L$21,2)-HLOOKUP(H362,Magick!$C$20:$L$21,2)),NA())</f>
        <v>#N/A</v>
      </c>
      <c r="J362" s="77"/>
      <c r="K362" s="67">
        <v>11</v>
      </c>
      <c r="L362" s="72" t="str">
        <f>IF(H362&gt;0,Magick!#REF!-('Master Spell List'!H288*0.1),"N/A")</f>
        <v>N/A</v>
      </c>
      <c r="M362" s="72">
        <f ca="1">Magick!$H$65</f>
        <v>0.08</v>
      </c>
      <c r="N362" s="72">
        <f ca="1">Magick!$K$65</f>
        <v>0.11</v>
      </c>
      <c r="O362" s="72">
        <f ca="1">Magick!$L$65</f>
        <v>0.11</v>
      </c>
      <c r="P362" s="72">
        <f ca="1">Magick!$M$65</f>
        <v>0.11</v>
      </c>
      <c r="Q362" s="67" t="s">
        <v>3723</v>
      </c>
      <c r="R362" s="67">
        <f ca="1">IF(Q362="Ritual","N/A",IF(Q362="I.E.","N/A",IF(Q362="WOG",VLOOKUP(Magick!$I$65*100,magestuff!$B$134:$F$138,2),IF(Q362="Cantrip",VLOOKUP(Magick!$I$65*100,magestuff!$B$134:$F$138,3),IF(Q362="Hex",VLOOKUP(Magick!$I$65*100,magestuff!$B$134:$F$138,4),VLOOKUP(Magick!$I$65*100,magestuff!$B$134:$F$138,5))))))</f>
        <v>29</v>
      </c>
      <c r="U362" s="67" t="str">
        <f t="shared" si="53"/>
        <v xml:space="preserve"> </v>
      </c>
      <c r="V362" s="515"/>
      <c r="W362" s="125"/>
      <c r="X362" s="31">
        <f t="shared" si="49"/>
        <v>0</v>
      </c>
      <c r="Y362" s="509"/>
      <c r="Z362" s="1054" t="str">
        <f t="shared" si="44"/>
        <v>Wizard's Key</v>
      </c>
      <c r="AA362" s="1072" t="str">
        <f t="shared" si="46"/>
        <v>Common</v>
      </c>
    </row>
    <row r="363" spans="1:27" hidden="1" outlineLevel="1">
      <c r="A363" s="83" t="s">
        <v>5772</v>
      </c>
      <c r="B363" s="67">
        <v>8</v>
      </c>
      <c r="C363" s="67">
        <f ca="1">magestuff!$X$197</f>
        <v>8</v>
      </c>
      <c r="D363" s="67">
        <f t="shared" si="52"/>
        <v>0</v>
      </c>
      <c r="E363" s="77" t="e">
        <f ca="1">IF(F363="y",HLOOKUP((IF(C363&lt;1,1,C363)),Magick!$C$20:$L$21,2),NA())</f>
        <v>#N/A</v>
      </c>
      <c r="F363" s="67" t="str">
        <f ca="1">IF(C363&lt;=Magick!$D$3,"Y","N")</f>
        <v>N</v>
      </c>
      <c r="G363" s="148" t="s">
        <v>5779</v>
      </c>
      <c r="H363" s="151"/>
      <c r="I363" s="77" t="e">
        <f>IF(H363&gt;0,(HLOOKUP(C363,Magick!$C$20:$L$21,2)-HLOOKUP(H363,Magick!$C$20:$L$21,2)),NA())</f>
        <v>#N/A</v>
      </c>
      <c r="J363" s="77"/>
      <c r="K363" s="67">
        <v>16</v>
      </c>
      <c r="L363" s="72" t="str">
        <f>IF(H363&gt;0,Magick!#REF!-('Master Spell List'!H331*0.1),"N/A")</f>
        <v>N/A</v>
      </c>
      <c r="M363" s="72">
        <f ca="1">Magick!$H$65</f>
        <v>0.08</v>
      </c>
      <c r="N363" s="72">
        <f ca="1">Magick!$K$65</f>
        <v>0.11</v>
      </c>
      <c r="O363" s="72">
        <f ca="1">Magick!$L$65</f>
        <v>0.11</v>
      </c>
      <c r="P363" s="72">
        <f ca="1">Magick!$M$65</f>
        <v>0.11</v>
      </c>
      <c r="Q363" s="67" t="s">
        <v>113</v>
      </c>
      <c r="R363" s="67" t="str">
        <f>IF(Q363="Ritual","N/A",IF(Q363="I.E.","N/A",IF(Q363="WOG",VLOOKUP(Magick!$I$65*100,magestuff!$B$134:$F$138,2),IF(Q363="Cantrip",VLOOKUP(Magick!$I$65*100,magestuff!$B$134:$F$138,3),IF(Q363="Hex",VLOOKUP(Magick!$I$65*100,magestuff!$B$134:$F$138,4),VLOOKUP(Magick!$I$65*100,magestuff!$B$134:$F$138,5))))))</f>
        <v>N/A</v>
      </c>
      <c r="S363" s="67" t="s">
        <v>5545</v>
      </c>
      <c r="T363" s="67" t="s">
        <v>5545</v>
      </c>
      <c r="U363" s="67" t="str">
        <f t="shared" si="53"/>
        <v xml:space="preserve"> </v>
      </c>
      <c r="V363" s="515"/>
      <c r="W363" s="125"/>
      <c r="X363" s="31">
        <f t="shared" si="49"/>
        <v>0</v>
      </c>
      <c r="Y363" s="509"/>
      <c r="Z363" s="1054" t="str">
        <f t="shared" si="44"/>
        <v xml:space="preserve">Apollo's Healing Embrace    </v>
      </c>
      <c r="AA363" s="1072" t="str">
        <f t="shared" si="46"/>
        <v>Common</v>
      </c>
    </row>
    <row r="364" spans="1:27" hidden="1" outlineLevel="1">
      <c r="A364" s="83" t="s">
        <v>1673</v>
      </c>
      <c r="B364" s="67">
        <v>8</v>
      </c>
      <c r="C364" s="67">
        <f ca="1">magestuff!$X$197</f>
        <v>8</v>
      </c>
      <c r="D364" s="67">
        <f t="shared" si="52"/>
        <v>0</v>
      </c>
      <c r="E364" s="77" t="e">
        <f ca="1">IF(F364="y",HLOOKUP((IF(C364&lt;1,1,C364)),Magick!$C$20:$L$21,2),NA())</f>
        <v>#N/A</v>
      </c>
      <c r="F364" s="67" t="str">
        <f ca="1">IF(C364&lt;=Magick!$D$3,"Y","N")</f>
        <v>N</v>
      </c>
      <c r="G364" s="148" t="s">
        <v>1616</v>
      </c>
      <c r="H364" s="151"/>
      <c r="I364" s="77" t="e">
        <f>IF(H364&gt;0,(HLOOKUP(C364,Magick!$C$20:$L$21,2)-HLOOKUP(H364,Magick!$C$20:$L$21,2)),NA())</f>
        <v>#N/A</v>
      </c>
      <c r="J364" s="77"/>
      <c r="K364" s="67">
        <v>11</v>
      </c>
      <c r="L364" s="72" t="str">
        <f>IF(H364&gt;0,Magick!#REF!-('Master Spell List'!H300*0.1),"N/A")</f>
        <v>N/A</v>
      </c>
      <c r="M364" s="72">
        <f ca="1">Magick!$H$65</f>
        <v>0.08</v>
      </c>
      <c r="N364" s="72">
        <f ca="1">Magick!$K$65</f>
        <v>0.11</v>
      </c>
      <c r="O364" s="72">
        <f ca="1">Magick!$L$65</f>
        <v>0.11</v>
      </c>
      <c r="P364" s="72">
        <f ca="1">Magick!$M$65</f>
        <v>0.11</v>
      </c>
      <c r="Q364" s="67" t="s">
        <v>3723</v>
      </c>
      <c r="R364" s="67">
        <f ca="1">IF(Q364="Ritual","N/A",IF(Q364="I.E.","N/A",IF(Q364="WOG",VLOOKUP(Magick!$I$65*100,magestuff!$B$134:$F$138,2),IF(Q364="Cantrip",VLOOKUP(Magick!$I$65*100,magestuff!$B$134:$F$138,3),IF(Q364="Hex",VLOOKUP(Magick!$I$65*100,magestuff!$B$134:$F$138,4),VLOOKUP(Magick!$I$65*100,magestuff!$B$134:$F$138,5))))))</f>
        <v>29</v>
      </c>
      <c r="U364" s="67" t="str">
        <f t="shared" si="53"/>
        <v xml:space="preserve"> </v>
      </c>
      <c r="V364" s="515"/>
      <c r="W364" s="125"/>
      <c r="X364" s="31">
        <f t="shared" si="49"/>
        <v>0</v>
      </c>
      <c r="Y364" s="509"/>
      <c r="Z364" s="1054" t="str">
        <f t="shared" si="44"/>
        <v xml:space="preserve">Arcane Great Sword Blade ofGreater Damage </v>
      </c>
      <c r="AA364" s="1072" t="str">
        <f t="shared" si="46"/>
        <v>Common</v>
      </c>
    </row>
    <row r="365" spans="1:27" hidden="1" outlineLevel="1">
      <c r="A365" s="83" t="s">
        <v>1453</v>
      </c>
      <c r="B365" s="67">
        <v>8</v>
      </c>
      <c r="C365" s="67">
        <f ca="1">magestuff!$X$197</f>
        <v>8</v>
      </c>
      <c r="D365" s="67">
        <f t="shared" si="52"/>
        <v>0</v>
      </c>
      <c r="E365" s="77" t="e">
        <f ca="1">IF(F365="y",HLOOKUP((IF(C365&lt;1,1,C365)),Magick!$C$20:$L$21,2),NA())</f>
        <v>#N/A</v>
      </c>
      <c r="F365" s="67" t="str">
        <f ca="1">IF(C365&lt;=Magick!$D$3,"Y","N")</f>
        <v>N</v>
      </c>
      <c r="G365" s="148" t="s">
        <v>1617</v>
      </c>
      <c r="H365" s="151"/>
      <c r="I365" s="77" t="e">
        <f>IF(H365&gt;0,(HLOOKUP(C365,Magick!$C$20:$L$21,2)-HLOOKUP(H365,Magick!$C$20:$L$21,2)),NA())</f>
        <v>#N/A</v>
      </c>
      <c r="J365" s="77"/>
      <c r="K365" s="67">
        <v>13</v>
      </c>
      <c r="L365" s="72" t="str">
        <f>IF(H365&gt;0,Magick!#REF!-('Master Spell List'!H323*0.1),"N/A")</f>
        <v>N/A</v>
      </c>
      <c r="M365" s="72">
        <f ca="1">Magick!$H$65</f>
        <v>0.08</v>
      </c>
      <c r="N365" s="72">
        <f ca="1">Magick!$K$65</f>
        <v>0.11</v>
      </c>
      <c r="O365" s="72">
        <f ca="1">Magick!$L$65</f>
        <v>0.11</v>
      </c>
      <c r="P365" s="72">
        <f ca="1">Magick!$M$65</f>
        <v>0.11</v>
      </c>
      <c r="Q365" s="67" t="s">
        <v>3723</v>
      </c>
      <c r="R365" s="67">
        <f ca="1">IF(Q365="Ritual","N/A",IF(Q365="I.E.","N/A",IF(Q365="WOG",VLOOKUP(Magick!$I$65*100,magestuff!$B$134:$F$138,2),IF(Q365="Cantrip",VLOOKUP(Magick!$I$65*100,magestuff!$B$134:$F$138,3),IF(Q365="Hex",VLOOKUP(Magick!$I$65*100,magestuff!$B$134:$F$138,4),VLOOKUP(Magick!$I$65*100,magestuff!$B$134:$F$138,5))))))</f>
        <v>29</v>
      </c>
      <c r="S365" s="67" t="s">
        <v>5545</v>
      </c>
      <c r="T365" s="67" t="s">
        <v>5545</v>
      </c>
      <c r="U365" s="67" t="str">
        <f t="shared" si="53"/>
        <v xml:space="preserve"> </v>
      </c>
      <c r="V365" s="515"/>
      <c r="W365" s="125"/>
      <c r="X365" s="31">
        <f t="shared" si="49"/>
        <v>0</v>
      </c>
      <c r="Y365" s="509"/>
      <c r="Z365" s="1054" t="str">
        <f t="shared" si="44"/>
        <v>Create Greater Arcane Energy</v>
      </c>
      <c r="AA365" s="1072" t="str">
        <f t="shared" si="46"/>
        <v>Common</v>
      </c>
    </row>
    <row r="366" spans="1:27" hidden="1" outlineLevel="1">
      <c r="A366" s="83" t="s">
        <v>6065</v>
      </c>
      <c r="B366" s="67">
        <v>8</v>
      </c>
      <c r="C366" s="67">
        <f ca="1">magestuff!$R$197</f>
        <v>6</v>
      </c>
      <c r="D366" s="67">
        <f t="shared" si="52"/>
        <v>0</v>
      </c>
      <c r="E366" s="77" t="e">
        <f ca="1">IF(F366="y",HLOOKUP((IF(C366&lt;1,1,C366)),Magick!$C$20:$L$21,2),NA())</f>
        <v>#N/A</v>
      </c>
      <c r="F366" s="67" t="str">
        <f ca="1">IF(C366&lt;=Magick!$D$3,"Y","N")</f>
        <v>N</v>
      </c>
      <c r="G366" s="148" t="s">
        <v>6052</v>
      </c>
      <c r="H366" s="151"/>
      <c r="I366" s="77" t="e">
        <f>IF(H366&gt;0,(HLOOKUP(C366,Magick!$C$20:$L$21,2)-HLOOKUP(H366,Magick!$C$20:$L$21,2)),NA())</f>
        <v>#N/A</v>
      </c>
      <c r="J366" s="77"/>
      <c r="K366" s="67">
        <v>19</v>
      </c>
      <c r="L366" s="72" t="str">
        <f>IF(H366&gt;0,Magick!#REF!-('Master Spell List'!H313*0.1),"N/A")</f>
        <v>N/A</v>
      </c>
      <c r="M366" s="72">
        <f ca="1">Magick!$H$65</f>
        <v>0.08</v>
      </c>
      <c r="N366" s="72">
        <f ca="1">Magick!$K$65</f>
        <v>0.11</v>
      </c>
      <c r="O366" s="72">
        <f ca="1">Magick!$L$65</f>
        <v>0.11</v>
      </c>
      <c r="P366" s="72">
        <f ca="1">Magick!$M$65</f>
        <v>0.11</v>
      </c>
      <c r="Q366" s="67" t="s">
        <v>113</v>
      </c>
      <c r="R366" s="67" t="str">
        <f>IF(Q366="Ritual","N/A",IF(Q366="I.E.","N/A",IF(Q366="WOG",VLOOKUP(Magick!$I$65*100,magestuff!$B$134:$F$138,2),IF(Q366="Cantrip",VLOOKUP(Magick!$I$65*100,magestuff!$B$134:$F$138,3),IF(Q366="Hex",VLOOKUP(Magick!$I$65*100,magestuff!$B$134:$F$138,4),VLOOKUP(Magick!$I$65*100,magestuff!$B$134:$F$138,5))))))</f>
        <v>N/A</v>
      </c>
      <c r="S366" s="67">
        <f>5*Magick!$C$3</f>
        <v>0</v>
      </c>
      <c r="T366" s="67" t="str">
        <f>CONCATENATE(1*Magick!$C$3, " hours")</f>
        <v>0 hours</v>
      </c>
      <c r="U366" s="67" t="str">
        <f t="shared" si="53"/>
        <v xml:space="preserve"> </v>
      </c>
      <c r="V366" s="515"/>
      <c r="W366" s="125"/>
      <c r="X366" s="31">
        <f t="shared" si="49"/>
        <v>0</v>
      </c>
      <c r="Y366" s="1025"/>
      <c r="Z366" s="1054" t="str">
        <f t="shared" si="44"/>
        <v>Lesser Blink</v>
      </c>
      <c r="AA366" s="1072" t="str">
        <f t="shared" si="46"/>
        <v>Common</v>
      </c>
    </row>
    <row r="367" spans="1:27" hidden="1" outlineLevel="1">
      <c r="A367" s="83" t="s">
        <v>5519</v>
      </c>
      <c r="B367" s="67">
        <v>8</v>
      </c>
      <c r="C367" s="67">
        <f ca="1">magestuff!$X$197</f>
        <v>8</v>
      </c>
      <c r="D367" s="67">
        <f t="shared" si="52"/>
        <v>0</v>
      </c>
      <c r="E367" s="77" t="e">
        <f ca="1">IF(F367="y",HLOOKUP((IF(C367&lt;1,1,C367)),Magick!$C$20:$L$21,2),NA())</f>
        <v>#N/A</v>
      </c>
      <c r="F367" s="67" t="str">
        <f ca="1">IF(C367&lt;=Magick!$D$3,"Y","N")</f>
        <v>N</v>
      </c>
      <c r="G367" s="148" t="s">
        <v>1617</v>
      </c>
      <c r="H367" s="151"/>
      <c r="I367" s="77" t="e">
        <f>IF(H367&gt;0,(HLOOKUP(C367,Magick!$C$20:$L$21,2)-HLOOKUP(H367,Magick!$C$20:$L$21,2)),NA())</f>
        <v>#N/A</v>
      </c>
      <c r="J367" s="77"/>
      <c r="K367" s="67">
        <v>12</v>
      </c>
      <c r="L367" s="72" t="str">
        <f>IF(H367&gt;0,Magick!#REF!-('Master Spell List'!H286*0.1),"N/A")</f>
        <v>N/A</v>
      </c>
      <c r="M367" s="72">
        <f ca="1">Magick!$H$65</f>
        <v>0.08</v>
      </c>
      <c r="N367" s="72">
        <f ca="1">Magick!$K$65</f>
        <v>0.11</v>
      </c>
      <c r="O367" s="72">
        <f ca="1">Magick!$L$65</f>
        <v>0.11</v>
      </c>
      <c r="P367" s="72">
        <f ca="1">Magick!$M$65</f>
        <v>0.11</v>
      </c>
      <c r="Q367" s="67" t="s">
        <v>3723</v>
      </c>
      <c r="R367" s="67">
        <f ca="1">IF(Q367="Ritual","N/A",IF(Q367="I.E.","N/A",IF(Q367="WOG",VLOOKUP(Magick!$I$65*100,magestuff!$B$134:$F$138,2),IF(Q367="Cantrip",VLOOKUP(Magick!$I$65*100,magestuff!$B$134:$F$138,3),IF(Q367="Hex",VLOOKUP(Magick!$I$65*100,magestuff!$B$134:$F$138,4),VLOOKUP(Magick!$I$65*100,magestuff!$B$134:$F$138,5))))))</f>
        <v>29</v>
      </c>
      <c r="S367" s="67" t="s">
        <v>1984</v>
      </c>
      <c r="T367" s="67" t="s">
        <v>4601</v>
      </c>
      <c r="U367" s="67" t="str">
        <f t="shared" si="53"/>
        <v xml:space="preserve"> </v>
      </c>
      <c r="V367" s="515"/>
      <c r="W367" s="125"/>
      <c r="X367" s="31">
        <f t="shared" si="49"/>
        <v>0</v>
      </c>
      <c r="Y367" s="509"/>
      <c r="Z367" s="1054" t="str">
        <f t="shared" si="44"/>
        <v>Drain Arcane Energy</v>
      </c>
      <c r="AA367" s="1072" t="str">
        <f t="shared" si="46"/>
        <v>Common</v>
      </c>
    </row>
    <row r="368" spans="1:27" s="1026" customFormat="1" hidden="1" outlineLevel="1">
      <c r="A368" s="377" t="s">
        <v>1906</v>
      </c>
      <c r="B368" s="67">
        <v>8</v>
      </c>
      <c r="C368" s="67">
        <f ca="1">magestuff!$X$197</f>
        <v>8</v>
      </c>
      <c r="D368" s="67">
        <f t="shared" si="52"/>
        <v>0</v>
      </c>
      <c r="E368" s="77" t="e">
        <f ca="1">IF(F368="y",HLOOKUP((IF(C368&lt;1,1,C368)),Magick!$C$20:$L$21,2),NA())</f>
        <v>#N/A</v>
      </c>
      <c r="F368" s="67" t="str">
        <f ca="1">IF(C368&lt;=Magick!$D$3,"Y","N")</f>
        <v>N</v>
      </c>
      <c r="G368" s="148" t="s">
        <v>859</v>
      </c>
      <c r="H368" s="151"/>
      <c r="I368" s="77" t="e">
        <f>IF(H368&gt;0,(HLOOKUP(C368,Magick!$C$20:$L$21,2)-HLOOKUP(H368,Magick!$C$20:$L$21,2)),NA())</f>
        <v>#N/A</v>
      </c>
      <c r="J368" s="77"/>
      <c r="K368" s="67" t="s">
        <v>2225</v>
      </c>
      <c r="L368" s="72" t="str">
        <f>IF(H368&gt;0,Magick!#REF!-('Master Spell List'!H313*0.1),"N/A")</f>
        <v>N/A</v>
      </c>
      <c r="M368" s="72">
        <f ca="1">Magick!$H$65</f>
        <v>0.08</v>
      </c>
      <c r="N368" s="72">
        <f ca="1">Magick!$K$65</f>
        <v>0.11</v>
      </c>
      <c r="O368" s="72">
        <f ca="1">Magick!$L$65</f>
        <v>0.11</v>
      </c>
      <c r="P368" s="72">
        <f ca="1">Magick!$M$65</f>
        <v>0.11</v>
      </c>
      <c r="Q368" s="67" t="s">
        <v>2225</v>
      </c>
      <c r="R368" s="67">
        <f ca="1">IF(Q368="Ritual","N/A",IF(Q368="I.E.","N/A",IF(Q368="WOG",VLOOKUP(Magick!$I$65*100,magestuff!$B$134:$F$138,2),IF(Q368="Cantrip",VLOOKUP(Magick!$I$65*100,magestuff!$B$134:$F$138,3),IF(Q368="Hex",VLOOKUP(Magick!$I$65*100,magestuff!$B$134:$F$138,4),VLOOKUP(Magick!$I$65*100,magestuff!$B$134:$F$138,5))))))</f>
        <v>29</v>
      </c>
      <c r="S368" s="67"/>
      <c r="T368" s="67"/>
      <c r="U368" s="67" t="str">
        <f t="shared" si="53"/>
        <v xml:space="preserve"> </v>
      </c>
      <c r="V368" s="515"/>
      <c r="W368" s="125"/>
      <c r="X368" s="31">
        <f t="shared" si="49"/>
        <v>0</v>
      </c>
      <c r="Y368" s="509"/>
      <c r="Z368" s="1054" t="str">
        <f t="shared" si="44"/>
        <v>Great Seal of the Ages</v>
      </c>
      <c r="AA368" s="1072" t="str">
        <f t="shared" si="46"/>
        <v>Common</v>
      </c>
    </row>
    <row r="369" spans="1:27" hidden="1" outlineLevel="1">
      <c r="A369" s="377" t="s">
        <v>826</v>
      </c>
      <c r="B369" s="67">
        <v>8</v>
      </c>
      <c r="C369" s="67">
        <f ca="1">magestuff!$X$197</f>
        <v>8</v>
      </c>
      <c r="D369" s="67">
        <f t="shared" si="52"/>
        <v>0</v>
      </c>
      <c r="E369" s="77" t="e">
        <f ca="1">IF(F369="y",HLOOKUP((IF(C369&lt;1,1,C369)),Magick!$C$20:$L$21,2),NA())</f>
        <v>#N/A</v>
      </c>
      <c r="F369" s="67" t="str">
        <f ca="1">IF(C369&lt;=Magick!$D$3,"Y","N")</f>
        <v>N</v>
      </c>
      <c r="G369" s="148" t="s">
        <v>859</v>
      </c>
      <c r="H369" s="151"/>
      <c r="I369" s="77" t="e">
        <f>IF(H369&gt;0,(HLOOKUP(C369,Magick!$C$20:$L$21,2)-HLOOKUP(H369,Magick!$C$20:$L$21,2)),NA())</f>
        <v>#N/A</v>
      </c>
      <c r="J369" s="77"/>
      <c r="K369" s="67" t="s">
        <v>2225</v>
      </c>
      <c r="L369" s="72" t="str">
        <f>IF(H369&gt;0,Magick!#REF!-('Master Spell List'!H318*0.1),"N/A")</f>
        <v>N/A</v>
      </c>
      <c r="M369" s="72">
        <f ca="1">Magick!$H$65</f>
        <v>0.08</v>
      </c>
      <c r="N369" s="72">
        <f ca="1">Magick!$K$65</f>
        <v>0.11</v>
      </c>
      <c r="O369" s="72">
        <f ca="1">Magick!$L$65</f>
        <v>0.11</v>
      </c>
      <c r="P369" s="72">
        <f ca="1">Magick!$M$65</f>
        <v>0.11</v>
      </c>
      <c r="Q369" s="67" t="s">
        <v>2225</v>
      </c>
      <c r="R369" s="67">
        <f ca="1">IF(Q369="Ritual","N/A",IF(Q369="I.E.","N/A",IF(Q369="WOG",VLOOKUP(Magick!$I$65*100,magestuff!$B$134:$F$138,2),IF(Q369="Cantrip",VLOOKUP(Magick!$I$65*100,magestuff!$B$134:$F$138,3),IF(Q369="Hex",VLOOKUP(Magick!$I$65*100,magestuff!$B$134:$F$138,4),VLOOKUP(Magick!$I$65*100,magestuff!$B$134:$F$138,5))))))</f>
        <v>29</v>
      </c>
      <c r="U369" s="67" t="str">
        <f t="shared" si="53"/>
        <v xml:space="preserve"> </v>
      </c>
      <c r="V369" s="515"/>
      <c r="W369" s="125"/>
      <c r="X369" s="31">
        <f t="shared" si="49"/>
        <v>0</v>
      </c>
      <c r="Y369" s="509"/>
      <c r="Z369" s="1054" t="str">
        <f t="shared" si="44"/>
        <v>Great Sigil of the Arcane</v>
      </c>
      <c r="AA369" s="1072" t="str">
        <f t="shared" si="46"/>
        <v>Common</v>
      </c>
    </row>
    <row r="370" spans="1:27" s="1026" customFormat="1" hidden="1" outlineLevel="1">
      <c r="A370" s="83" t="s">
        <v>1216</v>
      </c>
      <c r="B370" s="67">
        <v>8</v>
      </c>
      <c r="C370" s="67">
        <f ca="1">magestuff!$X$197</f>
        <v>8</v>
      </c>
      <c r="D370" s="67">
        <f t="shared" si="52"/>
        <v>0</v>
      </c>
      <c r="E370" s="77" t="e">
        <f ca="1">IF(F370="y",HLOOKUP((IF(C370&lt;1,1,C370)),Magick!$C$20:$L$21,2),NA())</f>
        <v>#N/A</v>
      </c>
      <c r="F370" s="67" t="str">
        <f ca="1">IF(C370&lt;=Magick!$D$3,"Y","N")</f>
        <v>N</v>
      </c>
      <c r="G370" s="148" t="s">
        <v>1217</v>
      </c>
      <c r="H370" s="151"/>
      <c r="I370" s="77" t="e">
        <f>IF(H370&gt;0,(HLOOKUP(C370,Magick!$C$20:$L$21,2)-HLOOKUP(H370,Magick!$C$20:$L$21,2)),NA())</f>
        <v>#N/A</v>
      </c>
      <c r="J370" s="77"/>
      <c r="K370" s="67">
        <v>17</v>
      </c>
      <c r="L370" s="72" t="str">
        <f>IF(H370&gt;0,Magick!#REF!-('Master Spell List'!H312*0.1),"N/A")</f>
        <v>N/A</v>
      </c>
      <c r="M370" s="72">
        <f ca="1">Magick!$H$65</f>
        <v>0.08</v>
      </c>
      <c r="N370" s="72">
        <f ca="1">Magick!$K$65</f>
        <v>0.11</v>
      </c>
      <c r="O370" s="72">
        <f ca="1">Magick!$L$65</f>
        <v>0.11</v>
      </c>
      <c r="P370" s="72">
        <f ca="1">Magick!$M$65</f>
        <v>0.11</v>
      </c>
      <c r="Q370" s="67" t="s">
        <v>3723</v>
      </c>
      <c r="R370" s="67">
        <f ca="1">IF(Q370="Ritual","N/A",IF(Q370="I.E.","N/A",IF(Q370="WOG",VLOOKUP(Magick!$I$65*100,magestuff!$B$134:$F$138,2),IF(Q370="Cantrip",VLOOKUP(Magick!$I$65*100,magestuff!$B$134:$F$138,3),IF(Q370="Hex",VLOOKUP(Magick!$I$65*100,magestuff!$B$134:$F$138,4),VLOOKUP(Magick!$I$65*100,magestuff!$B$134:$F$138,5))))))</f>
        <v>29</v>
      </c>
      <c r="S370" s="67">
        <f>25*Magick!$C$3</f>
        <v>0</v>
      </c>
      <c r="T370" s="67" t="s">
        <v>3725</v>
      </c>
      <c r="U370" s="67" t="str">
        <f t="shared" si="53"/>
        <v xml:space="preserve"> </v>
      </c>
      <c r="V370" s="515"/>
      <c r="W370" s="125"/>
      <c r="X370" s="31"/>
      <c r="Y370" s="509"/>
      <c r="Z370" s="1054" t="str">
        <f t="shared" si="44"/>
        <v>Greatest Eldritch Attack</v>
      </c>
      <c r="AA370" s="1072" t="str">
        <f t="shared" si="46"/>
        <v>Common</v>
      </c>
    </row>
    <row r="371" spans="1:27" hidden="1" outlineLevel="1">
      <c r="A371" s="83" t="s">
        <v>5774</v>
      </c>
      <c r="B371" s="67">
        <v>8</v>
      </c>
      <c r="C371" s="67">
        <f ca="1">magestuff!$X$197</f>
        <v>8</v>
      </c>
      <c r="D371" s="67">
        <f t="shared" si="52"/>
        <v>0</v>
      </c>
      <c r="E371" s="77" t="e">
        <f ca="1">IF(F371="y",HLOOKUP((IF(C371&lt;1,1,C371)),Magick!$C$20:$L$21,2),NA())</f>
        <v>#N/A</v>
      </c>
      <c r="F371" s="67" t="str">
        <f ca="1">IF(C371&lt;=Magick!$D$3,"Y","N")</f>
        <v>N</v>
      </c>
      <c r="G371" s="148" t="s">
        <v>5779</v>
      </c>
      <c r="H371" s="151"/>
      <c r="I371" s="77" t="e">
        <f>IF(H371&gt;0,(HLOOKUP(C371,Magick!$C$20:$L$21,2)-HLOOKUP(H371,Magick!$C$20:$L$21,2)),NA())</f>
        <v>#N/A</v>
      </c>
      <c r="J371" s="77"/>
      <c r="K371" s="67" t="s">
        <v>5781</v>
      </c>
      <c r="L371" s="72" t="str">
        <f>IF(H371&gt;0,Magick!#REF!-('Master Spell List'!H333*0.1),"N/A")</f>
        <v>N/A</v>
      </c>
      <c r="M371" s="72">
        <f ca="1">Magick!$H$65</f>
        <v>0.08</v>
      </c>
      <c r="N371" s="72">
        <f ca="1">Magick!$K$65</f>
        <v>0.11</v>
      </c>
      <c r="O371" s="72">
        <f ca="1">Magick!$L$65</f>
        <v>0.11</v>
      </c>
      <c r="P371" s="72">
        <f ca="1">Magick!$M$65</f>
        <v>0.11</v>
      </c>
      <c r="Q371" s="67" t="s">
        <v>113</v>
      </c>
      <c r="R371" s="67" t="str">
        <f>IF(Q371="Ritual","N/A",IF(Q371="I.E.","N/A",IF(Q371="WOG",VLOOKUP(Magick!$I$65*100,magestuff!$B$134:$F$138,2),IF(Q371="Cantrip",VLOOKUP(Magick!$I$65*100,magestuff!$B$134:$F$138,3),IF(Q371="Hex",VLOOKUP(Magick!$I$65*100,magestuff!$B$134:$F$138,4),VLOOKUP(Magick!$I$65*100,magestuff!$B$134:$F$138,5))))))</f>
        <v>N/A</v>
      </c>
      <c r="S371" s="67" t="s">
        <v>5545</v>
      </c>
      <c r="T371" s="67" t="s">
        <v>5545</v>
      </c>
      <c r="U371" s="67" t="str">
        <f t="shared" si="53"/>
        <v xml:space="preserve"> </v>
      </c>
      <c r="V371" s="515"/>
      <c r="W371" s="125"/>
      <c r="X371" s="31">
        <f t="shared" ref="X371:X405" si="54">W371*3</f>
        <v>0</v>
      </c>
      <c r="Y371" s="509"/>
      <c r="Z371" s="1054" t="str">
        <f t="shared" si="44"/>
        <v xml:space="preserve">Lesser Arcane Beast of Burden    </v>
      </c>
      <c r="AA371" s="1072" t="str">
        <f t="shared" si="46"/>
        <v>Common</v>
      </c>
    </row>
    <row r="372" spans="1:27" hidden="1" outlineLevel="1">
      <c r="A372" s="965" t="s">
        <v>5758</v>
      </c>
      <c r="B372" s="67">
        <v>8</v>
      </c>
      <c r="C372" s="67">
        <f ca="1">magestuff!$X$197</f>
        <v>8</v>
      </c>
      <c r="D372" s="67">
        <f t="shared" si="52"/>
        <v>0</v>
      </c>
      <c r="E372" s="77" t="e">
        <f ca="1">IF(F372="y",HLOOKUP((IF(C372&lt;1,1,C372)),Magick!$C$20:$L$21,2),NA())</f>
        <v>#N/A</v>
      </c>
      <c r="F372" s="67" t="str">
        <f ca="1">IF(C372&lt;=Magick!$D$3,"Y","N")</f>
        <v>N</v>
      </c>
      <c r="G372" s="148" t="s">
        <v>5779</v>
      </c>
      <c r="H372" s="151"/>
      <c r="I372" s="77" t="e">
        <f>IF(H372&gt;0,(HLOOKUP(C372,Magick!$C$20:$L$21,2)-HLOOKUP(H372,Magick!$C$20:$L$21,2)),NA())</f>
        <v>#N/A</v>
      </c>
      <c r="J372" s="77"/>
      <c r="K372" s="67">
        <v>16</v>
      </c>
      <c r="L372" s="72" t="str">
        <f>IF(H372&gt;0,Magick!#REF!-('Master Spell List'!H315*0.1),"N/A")</f>
        <v>N/A</v>
      </c>
      <c r="M372" s="72">
        <f ca="1">Magick!$H$65</f>
        <v>0.08</v>
      </c>
      <c r="N372" s="72">
        <f ca="1">Magick!$K$65</f>
        <v>0.11</v>
      </c>
      <c r="O372" s="72">
        <f ca="1">Magick!$L$65</f>
        <v>0.11</v>
      </c>
      <c r="P372" s="72">
        <f ca="1">Magick!$M$65</f>
        <v>0.11</v>
      </c>
      <c r="Q372" s="67" t="s">
        <v>3723</v>
      </c>
      <c r="R372" s="67">
        <f ca="1">IF(Q372="Ritual","N/A",IF(Q372="I.E.","N/A",IF(Q372="WOG",VLOOKUP(Magick!$I$65*100,magestuff!$B$134:$F$138,2),IF(Q372="Cantrip",VLOOKUP(Magick!$I$65*100,magestuff!$B$134:$F$138,3),IF(Q372="Hex",VLOOKUP(Magick!$I$65*100,magestuff!$B$134:$F$138,4),VLOOKUP(Magick!$I$65*100,magestuff!$B$134:$F$138,5))))))</f>
        <v>29</v>
      </c>
      <c r="S372" s="67" t="s">
        <v>5545</v>
      </c>
      <c r="T372" s="67" t="s">
        <v>5545</v>
      </c>
      <c r="U372" s="67" t="str">
        <f t="shared" si="53"/>
        <v xml:space="preserve"> </v>
      </c>
      <c r="V372" s="515"/>
      <c r="W372" s="125"/>
      <c r="X372" s="31">
        <f t="shared" si="54"/>
        <v>0</v>
      </c>
      <c r="Y372" s="509"/>
      <c r="Z372" s="1054" t="str">
        <f t="shared" si="44"/>
        <v xml:space="preserve">Lesser Deflect Arcane Energy   </v>
      </c>
      <c r="AA372" s="1072" t="str">
        <f t="shared" si="46"/>
        <v>Common</v>
      </c>
    </row>
    <row r="373" spans="1:27" hidden="1" outlineLevel="1">
      <c r="A373" s="31" t="s">
        <v>2466</v>
      </c>
      <c r="B373" s="67">
        <v>8</v>
      </c>
      <c r="C373" s="67">
        <f ca="1">magestuff!$X$197</f>
        <v>8</v>
      </c>
      <c r="D373" s="67">
        <f t="shared" si="52"/>
        <v>0</v>
      </c>
      <c r="E373" s="77" t="e">
        <f ca="1">IF(F373="y",HLOOKUP((IF(C373&lt;1,1,C373)),Magick!$C$20:$L$21,2),NA())</f>
        <v>#N/A</v>
      </c>
      <c r="F373" s="67" t="str">
        <f ca="1">IF(C373&lt;=Magick!$D$3,"Y","N")</f>
        <v>N</v>
      </c>
      <c r="G373" s="148" t="s">
        <v>128</v>
      </c>
      <c r="H373" s="151"/>
      <c r="I373" s="77" t="e">
        <f>IF(H373&gt;0,(HLOOKUP(C373,Magick!$C$20:$L$21,2)-HLOOKUP(H373,Magick!$C$20:$L$21,2)),NA())</f>
        <v>#N/A</v>
      </c>
      <c r="J373" s="77"/>
      <c r="K373" s="67">
        <v>13</v>
      </c>
      <c r="L373" s="72" t="str">
        <f>IF(H373&gt;0,Magick!#REF!-('Master Spell List'!H308*0.1),"N/A")</f>
        <v>N/A</v>
      </c>
      <c r="M373" s="72">
        <f ca="1">Magick!$H$65</f>
        <v>0.08</v>
      </c>
      <c r="N373" s="72">
        <f ca="1">Magick!$K$65</f>
        <v>0.11</v>
      </c>
      <c r="O373" s="72">
        <f ca="1">Magick!$L$65</f>
        <v>0.11</v>
      </c>
      <c r="P373" s="72">
        <f ca="1">Magick!$M$65</f>
        <v>0.11</v>
      </c>
      <c r="Q373" s="67" t="s">
        <v>113</v>
      </c>
      <c r="R373" s="67" t="str">
        <f>IF(Q373="Ritual","N/A",IF(Q373="I.E.","N/A",IF(Q373="WOG",VLOOKUP(Magick!$I$65*100,magestuff!$B$134:$F$138,2),IF(Q373="Cantrip",VLOOKUP(Magick!$I$65*100,magestuff!$B$134:$F$138,3),IF(Q373="Hex",VLOOKUP(Magick!$I$65*100,magestuff!$B$134:$F$138,4),VLOOKUP(Magick!$I$65*100,magestuff!$B$134:$F$138,5))))))</f>
        <v>N/A</v>
      </c>
      <c r="U373" s="67" t="str">
        <f t="shared" si="53"/>
        <v xml:space="preserve"> </v>
      </c>
      <c r="V373" s="515"/>
      <c r="W373" s="125"/>
      <c r="X373" s="31">
        <f t="shared" si="54"/>
        <v>0</v>
      </c>
      <c r="Y373" s="509"/>
      <c r="Z373" s="1054" t="str">
        <f t="shared" si="44"/>
        <v>Teleport (Greater)</v>
      </c>
      <c r="AA373" s="1072" t="str">
        <f t="shared" si="46"/>
        <v>Common</v>
      </c>
    </row>
    <row r="374" spans="1:27" hidden="1" outlineLevel="1">
      <c r="A374" s="83" t="s">
        <v>6051</v>
      </c>
      <c r="B374" s="67">
        <v>8</v>
      </c>
      <c r="C374" s="67">
        <f ca="1">magestuff!$X$197</f>
        <v>8</v>
      </c>
      <c r="D374" s="67">
        <f t="shared" ref="D374" si="55">IF(AND(ISNUMBER(H374),H374=0),C374,0)</f>
        <v>0</v>
      </c>
      <c r="E374" s="77" t="e">
        <f ca="1">IF(F374="y",HLOOKUP((IF(C374&lt;1,1,C374)),Magick!$C$20:$L$21,2),NA())</f>
        <v>#N/A</v>
      </c>
      <c r="F374" s="67" t="str">
        <f ca="1">IF(C374&lt;=Magick!$D$3,"Y","N")</f>
        <v>N</v>
      </c>
      <c r="G374" s="148" t="s">
        <v>6052</v>
      </c>
      <c r="H374" s="151"/>
      <c r="I374" s="77" t="e">
        <f>IF(H374&gt;0,(HLOOKUP(C374,Magick!$C$20:$L$21,2)-HLOOKUP(H374,Magick!$C$20:$L$21,2)),NA())</f>
        <v>#N/A</v>
      </c>
      <c r="J374" s="77"/>
      <c r="K374" s="67" t="s">
        <v>6053</v>
      </c>
      <c r="L374" s="72" t="str">
        <f>IF(H374&gt;0,Magick!#REF!-('Master Spell List'!H317*0.1),"N/A")</f>
        <v>N/A</v>
      </c>
      <c r="M374" s="72">
        <f ca="1">Magick!$H$65</f>
        <v>0.08</v>
      </c>
      <c r="N374" s="72">
        <f ca="1">Magick!$K$65</f>
        <v>0.11</v>
      </c>
      <c r="O374" s="72">
        <f ca="1">Magick!$L$65</f>
        <v>0.11</v>
      </c>
      <c r="P374" s="72">
        <f ca="1">Magick!$M$65</f>
        <v>0.11</v>
      </c>
      <c r="Q374" s="67" t="s">
        <v>3723</v>
      </c>
      <c r="R374" s="67">
        <f ca="1">IF(Q374="Ritual","N/A",IF(Q374="I.E.","N/A",IF(Q374="WOG",VLOOKUP(Magick!$I$65*100,magestuff!$B$134:$F$138,2),IF(Q374="Cantrip",VLOOKUP(Magick!$I$65*100,magestuff!$B$134:$F$138,3),IF(Q374="Hex",VLOOKUP(Magick!$I$65*100,magestuff!$B$134:$F$138,4),VLOOKUP(Magick!$I$65*100,magestuff!$B$134:$F$138,5))))))</f>
        <v>29</v>
      </c>
      <c r="S374" s="67">
        <f>25*Magick!$C$3</f>
        <v>0</v>
      </c>
      <c r="T374" s="67" t="s">
        <v>3725</v>
      </c>
      <c r="U374" s="67" t="str">
        <f t="shared" ref="U374" si="56">IF(ISBLANK(H374)," ",IF(H374&gt;0,0,C374*10))</f>
        <v xml:space="preserve"> </v>
      </c>
      <c r="V374" s="515"/>
      <c r="W374" s="125"/>
      <c r="X374" s="31">
        <f t="shared" si="54"/>
        <v>0</v>
      </c>
      <c r="Y374" s="1025"/>
      <c r="Z374" s="1054" t="str">
        <f t="shared" si="44"/>
        <v>Least Arcane Pocket</v>
      </c>
      <c r="AA374" s="1072" t="str">
        <f t="shared" si="46"/>
        <v>Common</v>
      </c>
    </row>
    <row r="375" spans="1:27" hidden="1" outlineLevel="1">
      <c r="A375" s="377" t="s">
        <v>3039</v>
      </c>
      <c r="B375" s="67">
        <v>9</v>
      </c>
      <c r="C375" s="67">
        <f ca="1">magestuff!$AA$197</f>
        <v>9</v>
      </c>
      <c r="D375" s="67">
        <f t="shared" si="52"/>
        <v>0</v>
      </c>
      <c r="E375" s="77" t="e">
        <f ca="1">IF(F375="y",HLOOKUP((IF(C375&lt;1,1,C375)),Magick!$C$20:$L$21,2),NA())</f>
        <v>#N/A</v>
      </c>
      <c r="F375" s="67" t="str">
        <f ca="1">IF(C375&lt;=Magick!$D$3,"Y","N")</f>
        <v>N</v>
      </c>
      <c r="G375" s="148" t="s">
        <v>859</v>
      </c>
      <c r="H375" s="151"/>
      <c r="I375" s="77" t="e">
        <f>IF(H375&gt;0,(HLOOKUP(C375,Magick!$C$20:$L$21,2)-HLOOKUP(H375,Magick!$C$20:$L$21,2)),NA())</f>
        <v>#N/A</v>
      </c>
      <c r="J375" s="77"/>
      <c r="K375" s="67" t="s">
        <v>2225</v>
      </c>
      <c r="L375" s="72" t="str">
        <f>IF(H375&gt;0,Magick!#REF!-('Master Spell List'!H303*0.1),"N/A")</f>
        <v>N/A</v>
      </c>
      <c r="M375" s="72">
        <f ca="1">Magick!$H$65</f>
        <v>0.08</v>
      </c>
      <c r="N375" s="72">
        <f ca="1">Magick!$K$65</f>
        <v>0.11</v>
      </c>
      <c r="O375" s="72">
        <f ca="1">Magick!$L$65</f>
        <v>0.11</v>
      </c>
      <c r="P375" s="72">
        <f ca="1">Magick!$M$65</f>
        <v>0.11</v>
      </c>
      <c r="Q375" s="67" t="s">
        <v>2225</v>
      </c>
      <c r="R375" s="67">
        <f ca="1">IF(Q375="Ritual","N/A",IF(Q375="I.E.","N/A",IF(Q375="WOG",VLOOKUP(Magick!$I$65*100,magestuff!$B$134:$F$138,2),IF(Q375="Cantrip",VLOOKUP(Magick!$I$65*100,magestuff!$B$134:$F$138,3),IF(Q375="Hex",VLOOKUP(Magick!$I$65*100,magestuff!$B$134:$F$138,4),VLOOKUP(Magick!$I$65*100,magestuff!$B$134:$F$138,5))))))</f>
        <v>29</v>
      </c>
      <c r="U375" s="67" t="str">
        <f t="shared" si="53"/>
        <v xml:space="preserve"> </v>
      </c>
      <c r="V375" s="515"/>
      <c r="W375" s="125"/>
      <c r="X375" s="31">
        <f t="shared" si="54"/>
        <v>0</v>
      </c>
      <c r="Y375" s="509"/>
      <c r="Z375" s="1054" t="str">
        <f t="shared" si="44"/>
        <v>Arcane Armor of Greater Protection</v>
      </c>
      <c r="AA375" s="1072" t="str">
        <f t="shared" si="46"/>
        <v>Common</v>
      </c>
    </row>
    <row r="376" spans="1:27" hidden="1" outlineLevel="1">
      <c r="A376" s="83" t="s">
        <v>6051</v>
      </c>
      <c r="B376" s="67">
        <v>9</v>
      </c>
      <c r="C376" s="67">
        <f ca="1">magestuff!$AA$197</f>
        <v>9</v>
      </c>
      <c r="D376" s="67">
        <f t="shared" si="52"/>
        <v>0</v>
      </c>
      <c r="E376" s="77" t="e">
        <f ca="1">IF(F376="y",HLOOKUP((IF(C376&lt;1,1,C376)),Magick!$C$20:$L$21,2),NA())</f>
        <v>#N/A</v>
      </c>
      <c r="F376" s="67" t="str">
        <f ca="1">IF(C376&lt;=Magick!$D$3,"Y","N")</f>
        <v>N</v>
      </c>
      <c r="G376" s="148" t="s">
        <v>6052</v>
      </c>
      <c r="H376" s="151"/>
      <c r="I376" s="77" t="e">
        <f>IF(H376&gt;0,(HLOOKUP(C376,Magick!$C$20:$L$21,2)-HLOOKUP(H376,Magick!$C$20:$L$21,2)),NA())</f>
        <v>#N/A</v>
      </c>
      <c r="J376" s="77"/>
      <c r="K376" s="67" t="s">
        <v>6054</v>
      </c>
      <c r="L376" s="72" t="str">
        <f>IF(H376&gt;0,Magick!#REF!-('Master Spell List'!H319*0.1),"N/A")</f>
        <v>N/A</v>
      </c>
      <c r="M376" s="72">
        <f ca="1">Magick!$H$65</f>
        <v>0.08</v>
      </c>
      <c r="N376" s="72">
        <f ca="1">Magick!$K$65</f>
        <v>0.11</v>
      </c>
      <c r="O376" s="72">
        <f ca="1">Magick!$L$65</f>
        <v>0.11</v>
      </c>
      <c r="P376" s="72">
        <f ca="1">Magick!$M$65</f>
        <v>0.11</v>
      </c>
      <c r="Q376" s="67" t="s">
        <v>113</v>
      </c>
      <c r="R376" s="67" t="str">
        <f>IF(Q376="Ritual","N/A",IF(Q376="I.E.","N/A",IF(Q376="WOG",VLOOKUP(Magick!$I$65*100,magestuff!$B$134:$F$138,2),IF(Q376="Cantrip",VLOOKUP(Magick!$I$65*100,magestuff!$B$134:$F$138,3),IF(Q376="Hex",VLOOKUP(Magick!$I$65*100,magestuff!$B$134:$F$138,4),VLOOKUP(Magick!$I$65*100,magestuff!$B$134:$F$138,5))))))</f>
        <v>N/A</v>
      </c>
      <c r="S376" s="67">
        <f>25*Magick!$C$3</f>
        <v>0</v>
      </c>
      <c r="T376" s="67" t="s">
        <v>3725</v>
      </c>
      <c r="U376" s="67" t="str">
        <f t="shared" si="53"/>
        <v xml:space="preserve"> </v>
      </c>
      <c r="V376" s="515"/>
      <c r="W376" s="125"/>
      <c r="X376" s="31">
        <f t="shared" si="54"/>
        <v>0</v>
      </c>
      <c r="Y376" s="1025"/>
      <c r="Z376" s="1054" t="str">
        <f t="shared" si="44"/>
        <v>Least Arcane Pocket</v>
      </c>
      <c r="AA376" s="1072" t="str">
        <f t="shared" si="46"/>
        <v>Common</v>
      </c>
    </row>
    <row r="377" spans="1:27" hidden="1" outlineLevel="1">
      <c r="A377" s="83" t="s">
        <v>5520</v>
      </c>
      <c r="B377" s="67">
        <v>9</v>
      </c>
      <c r="C377" s="67">
        <f ca="1">magestuff!$AA$197</f>
        <v>9</v>
      </c>
      <c r="D377" s="67">
        <f t="shared" si="52"/>
        <v>0</v>
      </c>
      <c r="E377" s="77" t="e">
        <f ca="1">IF(F377="y",HLOOKUP((IF(C377&lt;1,1,C377)),Magick!$C$20:$L$21,2),NA())</f>
        <v>#N/A</v>
      </c>
      <c r="F377" s="67" t="str">
        <f ca="1">IF(C377&lt;=Magick!$D$3,"Y","N")</f>
        <v>N</v>
      </c>
      <c r="G377" s="148" t="s">
        <v>1617</v>
      </c>
      <c r="H377" s="151"/>
      <c r="I377" s="77" t="e">
        <f>IF(H377&gt;0,(HLOOKUP(C377,Magick!$C$20:$L$21,2)-HLOOKUP(H377,Magick!$C$20:$L$21,2)),NA())</f>
        <v>#N/A</v>
      </c>
      <c r="J377" s="77"/>
      <c r="K377" s="67" t="s">
        <v>3454</v>
      </c>
      <c r="L377" s="72" t="str">
        <f>IF(H377&gt;0,Magick!#REF!-('Master Spell List'!H284*0.1),"N/A")</f>
        <v>N/A</v>
      </c>
      <c r="M377" s="72">
        <f ca="1">Magick!$H$65</f>
        <v>0.08</v>
      </c>
      <c r="N377" s="72">
        <f ca="1">Magick!$K$65</f>
        <v>0.11</v>
      </c>
      <c r="O377" s="72">
        <f ca="1">Magick!$L$65</f>
        <v>0.11</v>
      </c>
      <c r="P377" s="72">
        <f ca="1">Magick!$M$65</f>
        <v>0.11</v>
      </c>
      <c r="Q377" s="67" t="s">
        <v>113</v>
      </c>
      <c r="R377" s="67" t="str">
        <f>IF(Q377="Ritual","N/A",IF(Q377="I.E.","N/A",IF(Q377="WOG",VLOOKUP(Magick!$I$65*100,magestuff!$B$134:$F$138,2),IF(Q377="Cantrip",VLOOKUP(Magick!$I$65*100,magestuff!$B$134:$F$138,3),IF(Q377="Hex",VLOOKUP(Magick!$I$65*100,magestuff!$B$134:$F$138,4),VLOOKUP(Magick!$I$65*100,magestuff!$B$134:$F$138,5))))))</f>
        <v>N/A</v>
      </c>
      <c r="U377" s="67" t="str">
        <f t="shared" si="53"/>
        <v xml:space="preserve"> </v>
      </c>
      <c r="V377" s="515"/>
      <c r="W377" s="125"/>
      <c r="X377" s="31">
        <f t="shared" si="54"/>
        <v>0</v>
      </c>
      <c r="Y377" s="509"/>
      <c r="Z377" s="1054" t="str">
        <f t="shared" si="44"/>
        <v>Arcane Rope Bridge</v>
      </c>
      <c r="AA377" s="1072" t="str">
        <f t="shared" si="46"/>
        <v>Common</v>
      </c>
    </row>
    <row r="378" spans="1:27" hidden="1" outlineLevel="1">
      <c r="A378" s="83" t="s">
        <v>5516</v>
      </c>
      <c r="B378" s="67">
        <v>9</v>
      </c>
      <c r="C378" s="67">
        <f ca="1">magestuff!$AA$197</f>
        <v>9</v>
      </c>
      <c r="D378" s="67">
        <f t="shared" si="52"/>
        <v>0</v>
      </c>
      <c r="E378" s="77" t="e">
        <f ca="1">IF(F378="y",HLOOKUP((IF(C378&lt;1,1,C378)),Magick!$C$20:$L$21,2),NA())</f>
        <v>#N/A</v>
      </c>
      <c r="F378" s="67" t="str">
        <f ca="1">IF(C378&lt;=Magick!$D$3,"Y","N")</f>
        <v>N</v>
      </c>
      <c r="G378" s="148" t="s">
        <v>1617</v>
      </c>
      <c r="H378" s="151"/>
      <c r="I378" s="77" t="e">
        <f>IF(H378&gt;0,(HLOOKUP(C378,Magick!$C$20:$L$21,2)-HLOOKUP(H378,Magick!$C$20:$L$21,2)),NA())</f>
        <v>#N/A</v>
      </c>
      <c r="J378" s="77"/>
      <c r="K378" s="67">
        <v>12</v>
      </c>
      <c r="L378" s="72" t="str">
        <f>IF(H378&gt;0,Magick!#REF!-('Master Spell List'!H285*0.1),"N/A")</f>
        <v>N/A</v>
      </c>
      <c r="M378" s="72">
        <f ca="1">Magick!$H$65</f>
        <v>0.08</v>
      </c>
      <c r="N378" s="72">
        <f ca="1">Magick!$K$65</f>
        <v>0.11</v>
      </c>
      <c r="O378" s="72">
        <f ca="1">Magick!$L$65</f>
        <v>0.11</v>
      </c>
      <c r="P378" s="72">
        <f ca="1">Magick!$M$65</f>
        <v>0.11</v>
      </c>
      <c r="Q378" s="67" t="s">
        <v>3723</v>
      </c>
      <c r="R378" s="67">
        <f ca="1">IF(Q378="Ritual","N/A",IF(Q378="I.E.","N/A",IF(Q378="WOG",VLOOKUP(Magick!$I$65*100,magestuff!$B$134:$F$138,2),IF(Q378="Cantrip",VLOOKUP(Magick!$I$65*100,magestuff!$B$134:$F$138,3),IF(Q378="Hex",VLOOKUP(Magick!$I$65*100,magestuff!$B$134:$F$138,4),VLOOKUP(Magick!$I$65*100,magestuff!$B$134:$F$138,5))))))</f>
        <v>29</v>
      </c>
      <c r="U378" s="67" t="str">
        <f t="shared" si="53"/>
        <v xml:space="preserve"> </v>
      </c>
      <c r="V378" s="515"/>
      <c r="W378" s="125"/>
      <c r="X378" s="31">
        <f t="shared" si="54"/>
        <v>0</v>
      </c>
      <c r="Y378" s="509"/>
      <c r="Z378" s="1054" t="str">
        <f t="shared" si="44"/>
        <v>Arcane Web</v>
      </c>
      <c r="AA378" s="1072" t="str">
        <f t="shared" si="46"/>
        <v>Common</v>
      </c>
    </row>
    <row r="379" spans="1:27" hidden="1" outlineLevel="1">
      <c r="A379" s="31" t="s">
        <v>4072</v>
      </c>
      <c r="B379" s="67">
        <v>9</v>
      </c>
      <c r="C379" s="67">
        <f ca="1">magestuff!$AA$197</f>
        <v>9</v>
      </c>
      <c r="D379" s="67">
        <f t="shared" si="52"/>
        <v>0</v>
      </c>
      <c r="E379" s="77" t="e">
        <f ca="1">IF(F379="y",HLOOKUP((IF(C379&lt;1,1,C379)),Magick!$C$20:$L$21,2),NA())</f>
        <v>#N/A</v>
      </c>
      <c r="F379" s="67" t="str">
        <f ca="1">IF(C379&lt;=Magick!$D$3,"Y","N")</f>
        <v>N</v>
      </c>
      <c r="G379" s="148" t="s">
        <v>128</v>
      </c>
      <c r="H379" s="151"/>
      <c r="I379" s="77" t="e">
        <f>IF(H379&gt;0,(HLOOKUP(C379,Magick!$C$20:$L$21,2)-HLOOKUP(H379,Magick!$C$20:$L$21,2)),NA())</f>
        <v>#N/A</v>
      </c>
      <c r="J379" s="77"/>
      <c r="K379" s="67">
        <v>14</v>
      </c>
      <c r="L379" s="72" t="str">
        <f>IF(H379&gt;0,Magick!#REF!-('Master Spell List'!H310*0.1),"N/A")</f>
        <v>N/A</v>
      </c>
      <c r="M379" s="72">
        <f ca="1">Magick!$H$65</f>
        <v>0.08</v>
      </c>
      <c r="N379" s="72">
        <f ca="1">Magick!$K$65</f>
        <v>0.11</v>
      </c>
      <c r="O379" s="72">
        <f ca="1">Magick!$L$65</f>
        <v>0.11</v>
      </c>
      <c r="P379" s="72">
        <f ca="1">Magick!$M$65</f>
        <v>0.11</v>
      </c>
      <c r="Q379" s="67" t="s">
        <v>113</v>
      </c>
      <c r="R379" s="67" t="str">
        <f>IF(Q379="Ritual","N/A",IF(Q379="I.E.","N/A",IF(Q379="WOG",VLOOKUP(Magick!$I$65*100,magestuff!$B$134:$F$138,2),IF(Q379="Cantrip",VLOOKUP(Magick!$I$65*100,magestuff!$B$134:$F$138,3),IF(Q379="Hex",VLOOKUP(Magick!$I$65*100,magestuff!$B$134:$F$138,4),VLOOKUP(Magick!$I$65*100,magestuff!$B$134:$F$138,5))))))</f>
        <v>N/A</v>
      </c>
      <c r="U379" s="67" t="str">
        <f t="shared" si="53"/>
        <v xml:space="preserve"> </v>
      </c>
      <c r="V379" s="515"/>
      <c r="W379" s="125"/>
      <c r="X379" s="31">
        <f t="shared" si="54"/>
        <v>0</v>
      </c>
      <c r="Y379" s="509"/>
      <c r="Z379" s="1054" t="str">
        <f t="shared" si="44"/>
        <v>Astral Gate</v>
      </c>
      <c r="AA379" s="1072" t="str">
        <f t="shared" si="46"/>
        <v>Common</v>
      </c>
    </row>
    <row r="380" spans="1:27" s="1026" customFormat="1" hidden="1" outlineLevel="1">
      <c r="A380" s="83" t="s">
        <v>5775</v>
      </c>
      <c r="B380" s="67">
        <v>9</v>
      </c>
      <c r="C380" s="67">
        <f ca="1">magestuff!$AA$197</f>
        <v>9</v>
      </c>
      <c r="D380" s="67">
        <f t="shared" si="52"/>
        <v>0</v>
      </c>
      <c r="E380" s="77" t="e">
        <f ca="1">IF(F380="y",HLOOKUP((IF(C380&lt;1,1,C380)),Magick!$C$20:$L$21,2),NA())</f>
        <v>#N/A</v>
      </c>
      <c r="F380" s="67" t="str">
        <f ca="1">IF(C380&lt;=Magick!$D$3,"Y","N")</f>
        <v>N</v>
      </c>
      <c r="G380" s="148" t="s">
        <v>5779</v>
      </c>
      <c r="H380" s="151"/>
      <c r="I380" s="77" t="e">
        <f>IF(H380&gt;0,(HLOOKUP(C380,Magick!$C$20:$L$21,2)-HLOOKUP(H380,Magick!$C$20:$L$21,2)),NA())</f>
        <v>#N/A</v>
      </c>
      <c r="J380" s="77"/>
      <c r="K380" s="67" t="s">
        <v>5782</v>
      </c>
      <c r="L380" s="72" t="str">
        <f>IF(H380&gt;0,Magick!#REF!-('Master Spell List'!H334*0.1),"N/A")</f>
        <v>N/A</v>
      </c>
      <c r="M380" s="72">
        <f ca="1">Magick!$H$65</f>
        <v>0.08</v>
      </c>
      <c r="N380" s="72">
        <f ca="1">Magick!$K$65</f>
        <v>0.11</v>
      </c>
      <c r="O380" s="72">
        <f ca="1">Magick!$L$65</f>
        <v>0.11</v>
      </c>
      <c r="P380" s="72">
        <f ca="1">Magick!$M$65</f>
        <v>0.11</v>
      </c>
      <c r="Q380" s="67" t="s">
        <v>113</v>
      </c>
      <c r="R380" s="67" t="str">
        <f>IF(Q380="Ritual","N/A",IF(Q380="I.E.","N/A",IF(Q380="WOG",VLOOKUP(Magick!$I$65*100,magestuff!$B$134:$F$138,2),IF(Q380="Cantrip",VLOOKUP(Magick!$I$65*100,magestuff!$B$134:$F$138,3),IF(Q380="Hex",VLOOKUP(Magick!$I$65*100,magestuff!$B$134:$F$138,4),VLOOKUP(Magick!$I$65*100,magestuff!$B$134:$F$138,5))))))</f>
        <v>N/A</v>
      </c>
      <c r="S380" s="67" t="s">
        <v>5545</v>
      </c>
      <c r="T380" s="67" t="s">
        <v>5545</v>
      </c>
      <c r="U380" s="67" t="str">
        <f t="shared" si="53"/>
        <v xml:space="preserve"> </v>
      </c>
      <c r="V380" s="515"/>
      <c r="W380" s="125"/>
      <c r="X380" s="31">
        <f t="shared" si="54"/>
        <v>0</v>
      </c>
      <c r="Y380" s="509"/>
      <c r="Z380" s="1054" t="str">
        <f t="shared" si="44"/>
        <v xml:space="preserve">Great Arcane Beast of Burden    </v>
      </c>
      <c r="AA380" s="1072" t="str">
        <f t="shared" si="46"/>
        <v>Common</v>
      </c>
    </row>
    <row r="381" spans="1:27" hidden="1" outlineLevel="1">
      <c r="A381" s="377" t="s">
        <v>2909</v>
      </c>
      <c r="B381" s="67">
        <v>9</v>
      </c>
      <c r="C381" s="67">
        <f ca="1">magestuff!$AA$197</f>
        <v>9</v>
      </c>
      <c r="D381" s="67">
        <f t="shared" si="52"/>
        <v>0</v>
      </c>
      <c r="E381" s="77" t="e">
        <f ca="1">IF(F381="y",HLOOKUP((IF(C381&lt;1,1,C381)),Magick!$C$20:$L$21,2),NA())</f>
        <v>#N/A</v>
      </c>
      <c r="F381" s="67" t="str">
        <f ca="1">IF(C381&lt;=Magick!$D$3,"Y","N")</f>
        <v>N</v>
      </c>
      <c r="G381" s="148" t="s">
        <v>859</v>
      </c>
      <c r="H381" s="151"/>
      <c r="I381" s="77" t="e">
        <f>IF(H381&gt;0,(HLOOKUP(C381,Magick!$C$20:$L$21,2)-HLOOKUP(H381,Magick!$C$20:$L$21,2)),NA())</f>
        <v>#N/A</v>
      </c>
      <c r="J381" s="77"/>
      <c r="K381" s="67" t="s">
        <v>2225</v>
      </c>
      <c r="L381" s="72" t="str">
        <f>IF(H381&gt;0,Magick!#REF!-('Master Spell List'!H322*0.1),"N/A")</f>
        <v>N/A</v>
      </c>
      <c r="M381" s="72">
        <f ca="1">Magick!$H$65</f>
        <v>0.08</v>
      </c>
      <c r="N381" s="72">
        <f ca="1">Magick!$K$65</f>
        <v>0.11</v>
      </c>
      <c r="O381" s="72">
        <f ca="1">Magick!$L$65</f>
        <v>0.11</v>
      </c>
      <c r="P381" s="72">
        <f ca="1">Magick!$M$65</f>
        <v>0.11</v>
      </c>
      <c r="Q381" s="67" t="s">
        <v>2225</v>
      </c>
      <c r="R381" s="67">
        <f ca="1">IF(Q381="Ritual","N/A",IF(Q381="I.E.","N/A",IF(Q381="WOG",VLOOKUP(Magick!$I$65*100,magestuff!$B$134:$F$138,2),IF(Q381="Cantrip",VLOOKUP(Magick!$I$65*100,magestuff!$B$134:$F$138,3),IF(Q381="Hex",VLOOKUP(Magick!$I$65*100,magestuff!$B$134:$F$138,4),VLOOKUP(Magick!$I$65*100,magestuff!$B$134:$F$138,5))))))</f>
        <v>29</v>
      </c>
      <c r="U381" s="67" t="str">
        <f t="shared" si="53"/>
        <v xml:space="preserve"> </v>
      </c>
      <c r="V381" s="515"/>
      <c r="W381" s="125"/>
      <c r="X381" s="31">
        <f t="shared" si="54"/>
        <v>0</v>
      </c>
      <c r="Y381" s="509"/>
      <c r="Z381" s="1054" t="str">
        <f t="shared" si="44"/>
        <v>Great InvisibleSigil of the Arcane</v>
      </c>
      <c r="AA381" s="1072" t="str">
        <f t="shared" si="46"/>
        <v>Common</v>
      </c>
    </row>
    <row r="382" spans="1:27" hidden="1" outlineLevel="1">
      <c r="A382" s="965" t="s">
        <v>5763</v>
      </c>
      <c r="B382" s="67">
        <v>9</v>
      </c>
      <c r="C382" s="67">
        <f ca="1">magestuff!$AA$197</f>
        <v>9</v>
      </c>
      <c r="D382" s="67">
        <f t="shared" si="52"/>
        <v>0</v>
      </c>
      <c r="E382" s="77" t="e">
        <f ca="1">IF(F382="y",HLOOKUP((IF(C382&lt;1,1,C382)),Magick!$C$20:$L$21,2),NA())</f>
        <v>#N/A</v>
      </c>
      <c r="F382" s="67" t="str">
        <f ca="1">IF(C382&lt;=Magick!$D$3,"Y","N")</f>
        <v>N</v>
      </c>
      <c r="G382" s="148" t="s">
        <v>5779</v>
      </c>
      <c r="H382" s="151"/>
      <c r="I382" s="77" t="e">
        <f>IF(H382&gt;0,(HLOOKUP(C382,Magick!$C$20:$L$21,2)-HLOOKUP(H382,Magick!$C$20:$L$21,2)),NA())</f>
        <v>#N/A</v>
      </c>
      <c r="J382" s="77"/>
      <c r="K382" s="67">
        <v>3</v>
      </c>
      <c r="L382" s="72" t="str">
        <f>IF(H382&gt;0,Magick!#REF!-('Master Spell List'!H320*0.1),"N/A")</f>
        <v>N/A</v>
      </c>
      <c r="M382" s="72">
        <f ca="1">Magick!$H$65</f>
        <v>0.08</v>
      </c>
      <c r="N382" s="72">
        <f ca="1">Magick!$K$65</f>
        <v>0.11</v>
      </c>
      <c r="O382" s="72">
        <f ca="1">Magick!$L$65</f>
        <v>0.11</v>
      </c>
      <c r="P382" s="72">
        <f ca="1">Magick!$M$65</f>
        <v>0.11</v>
      </c>
      <c r="Q382" s="67" t="s">
        <v>4603</v>
      </c>
      <c r="R382" s="67">
        <f ca="1">IF(Q382="Ritual","N/A",IF(Q382="I.E.","N/A",IF(Q382="WOG",VLOOKUP(Magick!$I$65*100,magestuff!$B$134:$F$138,2),IF(Q382="Cantrip",VLOOKUP(Magick!$I$65*100,magestuff!$B$134:$F$138,3),IF(Q382="Hex",VLOOKUP(Magick!$I$65*100,magestuff!$B$134:$F$138,4),VLOOKUP(Magick!$I$65*100,magestuff!$B$134:$F$138,5))))))</f>
        <v>9</v>
      </c>
      <c r="S382" s="67" t="s">
        <v>5545</v>
      </c>
      <c r="T382" s="67" t="s">
        <v>5545</v>
      </c>
      <c r="U382" s="67" t="str">
        <f t="shared" si="53"/>
        <v xml:space="preserve"> </v>
      </c>
      <c r="V382" s="515"/>
      <c r="W382" s="125"/>
      <c r="X382" s="31">
        <f t="shared" si="54"/>
        <v>0</v>
      </c>
      <c r="Y382" s="509"/>
      <c r="Z382" s="1054" t="str">
        <f t="shared" si="44"/>
        <v xml:space="preserve">Lesser Repulse Arcane Energy   </v>
      </c>
      <c r="AA382" s="1072" t="str">
        <f t="shared" si="46"/>
        <v>Common</v>
      </c>
    </row>
    <row r="383" spans="1:27" hidden="1" outlineLevel="1">
      <c r="A383" s="31" t="s">
        <v>4074</v>
      </c>
      <c r="B383" s="67">
        <v>9</v>
      </c>
      <c r="C383" s="67">
        <f ca="1">magestuff!$AA$197</f>
        <v>9</v>
      </c>
      <c r="D383" s="67">
        <f t="shared" si="52"/>
        <v>0</v>
      </c>
      <c r="E383" s="77" t="e">
        <f ca="1">IF(F383="y",HLOOKUP((IF(C383&lt;1,1,C383)),Magick!$C$20:$L$21,2),NA())</f>
        <v>#N/A</v>
      </c>
      <c r="F383" s="67" t="str">
        <f ca="1">IF(C383&lt;=Magick!$D$3,"Y","N")</f>
        <v>N</v>
      </c>
      <c r="G383" s="148" t="s">
        <v>128</v>
      </c>
      <c r="H383" s="151"/>
      <c r="I383" s="77" t="e">
        <f>IF(H383&gt;0,(HLOOKUP(C383,Magick!$C$20:$L$21,2)-HLOOKUP(H383,Magick!$C$20:$L$21,2)),NA())</f>
        <v>#N/A</v>
      </c>
      <c r="J383" s="77"/>
      <c r="K383" s="67">
        <v>105</v>
      </c>
      <c r="L383" s="72" t="str">
        <f>IF(H383&gt;0,Magick!#REF!-('Master Spell List'!H312*0.1),"N/A")</f>
        <v>N/A</v>
      </c>
      <c r="M383" s="72">
        <f ca="1">Magick!$H$65</f>
        <v>0.08</v>
      </c>
      <c r="N383" s="72">
        <f ca="1">Magick!$K$65</f>
        <v>0.11</v>
      </c>
      <c r="O383" s="72">
        <f ca="1">Magick!$L$65</f>
        <v>0.11</v>
      </c>
      <c r="P383" s="72">
        <f ca="1">Magick!$M$65</f>
        <v>0.11</v>
      </c>
      <c r="Q383" s="67" t="s">
        <v>113</v>
      </c>
      <c r="R383" s="67" t="str">
        <f>IF(Q383="Ritual","N/A",IF(Q383="I.E.","N/A",IF(Q383="WOG",VLOOKUP(Magick!$I$65*100,magestuff!$B$134:$F$138,2),IF(Q383="Cantrip",VLOOKUP(Magick!$I$65*100,magestuff!$B$134:$F$138,3),IF(Q383="Hex",VLOOKUP(Magick!$I$65*100,magestuff!$B$134:$F$138,4),VLOOKUP(Magick!$I$65*100,magestuff!$B$134:$F$138,5))))))</f>
        <v>N/A</v>
      </c>
      <c r="U383" s="67" t="str">
        <f t="shared" si="53"/>
        <v xml:space="preserve"> </v>
      </c>
      <c r="V383" s="515"/>
      <c r="W383" s="125"/>
      <c r="X383" s="31">
        <f t="shared" si="54"/>
        <v>0</v>
      </c>
      <c r="Y383" s="509"/>
      <c r="Z383" s="1054" t="str">
        <f t="shared" si="44"/>
        <v>Spectral Servant</v>
      </c>
      <c r="AA383" s="1072" t="str">
        <f t="shared" si="46"/>
        <v>Common</v>
      </c>
    </row>
    <row r="384" spans="1:27" hidden="1" outlineLevel="1">
      <c r="A384" s="83" t="s">
        <v>3036</v>
      </c>
      <c r="B384" s="67">
        <v>10</v>
      </c>
      <c r="C384" s="67">
        <f ca="1">magestuff!$AD$197</f>
        <v>10</v>
      </c>
      <c r="D384" s="67">
        <f t="shared" si="52"/>
        <v>0</v>
      </c>
      <c r="E384" s="77" t="e">
        <f ca="1">IF(F384="y",HLOOKUP((IF(C384&lt;1,1,C384)),Magick!$C$20:$L$21,2),NA())</f>
        <v>#N/A</v>
      </c>
      <c r="F384" s="67" t="str">
        <f ca="1">IF(C384&lt;=Magick!$D$3,"Y","N")</f>
        <v>N</v>
      </c>
      <c r="G384" s="148" t="s">
        <v>859</v>
      </c>
      <c r="H384" s="151"/>
      <c r="I384" s="77" t="e">
        <f>IF(H384&gt;0,(HLOOKUP(C384,Magick!$C$20:$L$21,2)-HLOOKUP(H384,Magick!$C$20:$L$21,2)),NA())</f>
        <v>#N/A</v>
      </c>
      <c r="J384" s="77"/>
      <c r="L384" s="72" t="str">
        <f>IF(H384&gt;0,Magick!#REF!-('Master Spell List'!H348*0.1),"N/A")</f>
        <v>N/A</v>
      </c>
      <c r="M384" s="72">
        <f ca="1">Magick!$H$65</f>
        <v>0.08</v>
      </c>
      <c r="N384" s="72">
        <f ca="1">Magick!$K$65</f>
        <v>0.11</v>
      </c>
      <c r="O384" s="72">
        <f ca="1">Magick!$L$65</f>
        <v>0.11</v>
      </c>
      <c r="P384" s="72">
        <f ca="1">Magick!$M$65</f>
        <v>0.11</v>
      </c>
      <c r="R384" s="67">
        <f ca="1">IF(Q384="Ritual","N/A",IF(Q384="I.E.","N/A",IF(Q384="WOG",VLOOKUP(Magick!$I$65*100,magestuff!$B$134:$F$138,2),IF(Q384="Cantrip",VLOOKUP(Magick!$I$65*100,magestuff!$B$134:$F$138,3),IF(Q384="Hex",VLOOKUP(Magick!$I$65*100,magestuff!$B$134:$F$138,4),VLOOKUP(Magick!$I$65*100,magestuff!$B$134:$F$138,5))))))</f>
        <v>29</v>
      </c>
      <c r="S384" s="67" t="s">
        <v>5545</v>
      </c>
      <c r="T384" s="67" t="s">
        <v>5545</v>
      </c>
      <c r="U384" s="67" t="str">
        <f t="shared" si="53"/>
        <v xml:space="preserve"> </v>
      </c>
      <c r="V384" s="515"/>
      <c r="W384" s="125"/>
      <c r="X384" s="31">
        <f t="shared" si="54"/>
        <v>0</v>
      </c>
      <c r="Y384" s="509"/>
      <c r="Z384" s="1054" t="str">
        <f t="shared" si="44"/>
        <v>Create Greatest Arcane Energy</v>
      </c>
      <c r="AA384" s="1072" t="str">
        <f t="shared" si="46"/>
        <v>Common</v>
      </c>
    </row>
    <row r="385" spans="1:27" hidden="1" outlineLevel="1">
      <c r="A385" s="965" t="s">
        <v>5759</v>
      </c>
      <c r="B385" s="67">
        <v>10</v>
      </c>
      <c r="C385" s="67">
        <f ca="1">magestuff!$AD$197</f>
        <v>10</v>
      </c>
      <c r="D385" s="67">
        <f>IF(AND(ISNUMBER(H385),H385=0),C385,0)</f>
        <v>0</v>
      </c>
      <c r="E385" s="77" t="e">
        <f ca="1">IF(F385="y",HLOOKUP((IF(C385&lt;1,1,C385)),Magick!$C$20:$L$21,2),NA())</f>
        <v>#N/A</v>
      </c>
      <c r="F385" s="67" t="str">
        <f ca="1">IF(C385&lt;=Magick!$D$3,"Y","N")</f>
        <v>N</v>
      </c>
      <c r="G385" s="148" t="s">
        <v>5779</v>
      </c>
      <c r="H385" s="151"/>
      <c r="I385" s="77" t="e">
        <f>IF(H385&gt;0,(HLOOKUP(C385,Magick!$C$20:$L$21,2)-HLOOKUP(H385,Magick!$C$20:$L$21,2)),NA())</f>
        <v>#N/A</v>
      </c>
      <c r="J385" s="77"/>
      <c r="K385" s="67">
        <v>20</v>
      </c>
      <c r="L385" s="72" t="str">
        <f>IF(H385&gt;0,Magick!#REF!-('Master Spell List'!H316*0.1),"N/A")</f>
        <v>N/A</v>
      </c>
      <c r="M385" s="72">
        <f ca="1">Magick!$H$65</f>
        <v>0.08</v>
      </c>
      <c r="N385" s="72">
        <f ca="1">Magick!$K$65</f>
        <v>0.11</v>
      </c>
      <c r="O385" s="72">
        <f ca="1">Magick!$L$65</f>
        <v>0.11</v>
      </c>
      <c r="P385" s="72">
        <f ca="1">Magick!$M$65</f>
        <v>0.11</v>
      </c>
      <c r="Q385" s="67" t="s">
        <v>113</v>
      </c>
      <c r="R385" s="67" t="str">
        <f>IF(Q385="Ritual","N/A",IF(Q385="I.E.","N/A",IF(Q385="WOG",VLOOKUP(Magick!$I$65*100,magestuff!$B$134:$F$138,2),IF(Q385="Cantrip",VLOOKUP(Magick!$I$65*100,magestuff!$B$134:$F$138,3),IF(Q385="Hex",VLOOKUP(Magick!$I$65*100,magestuff!$B$134:$F$138,4),VLOOKUP(Magick!$I$65*100,magestuff!$B$134:$F$138,5))))))</f>
        <v>N/A</v>
      </c>
      <c r="S385" s="67" t="s">
        <v>5545</v>
      </c>
      <c r="T385" s="67" t="s">
        <v>5545</v>
      </c>
      <c r="U385" s="67" t="str">
        <f>IF(ISBLANK(H385)," ",IF(H385&gt;0,0,C385*10))</f>
        <v xml:space="preserve"> </v>
      </c>
      <c r="V385" s="515"/>
      <c r="W385" s="125"/>
      <c r="X385" s="31">
        <f t="shared" si="54"/>
        <v>0</v>
      </c>
      <c r="Y385" s="509"/>
      <c r="Z385" s="1054" t="str">
        <f t="shared" si="44"/>
        <v xml:space="preserve">Great Deflect Arcane Energy   </v>
      </c>
      <c r="AA385" s="1072" t="str">
        <f t="shared" si="46"/>
        <v>Common</v>
      </c>
    </row>
    <row r="386" spans="1:27" hidden="1" outlineLevel="1">
      <c r="A386" s="83" t="s">
        <v>6066</v>
      </c>
      <c r="B386" s="67">
        <v>10</v>
      </c>
      <c r="C386" s="67">
        <f ca="1">magestuff!$R$197</f>
        <v>6</v>
      </c>
      <c r="D386" s="67">
        <f t="shared" ref="D386" si="57">IF(AND(ISNUMBER(H386),H386=0),C386,0)</f>
        <v>0</v>
      </c>
      <c r="E386" s="77" t="e">
        <f ca="1">IF(F386="y",HLOOKUP((IF(C386&lt;1,1,C386)),Magick!$C$20:$L$21,2),NA())</f>
        <v>#N/A</v>
      </c>
      <c r="F386" s="67" t="str">
        <f ca="1">IF(C386&lt;=Magick!$D$3,"Y","N")</f>
        <v>N</v>
      </c>
      <c r="G386" s="148" t="s">
        <v>6052</v>
      </c>
      <c r="H386" s="151"/>
      <c r="I386" s="77" t="e">
        <f>IF(H386&gt;0,(HLOOKUP(C386,Magick!$C$20:$L$21,2)-HLOOKUP(H386,Magick!$C$20:$L$21,2)),NA())</f>
        <v>#N/A</v>
      </c>
      <c r="J386" s="77"/>
      <c r="K386" s="67">
        <v>23</v>
      </c>
      <c r="L386" s="72" t="str">
        <f>IF(H386&gt;0,Magick!#REF!-('Master Spell List'!H333*0.1),"N/A")</f>
        <v>N/A</v>
      </c>
      <c r="M386" s="72">
        <f ca="1">Magick!$H$65</f>
        <v>0.08</v>
      </c>
      <c r="N386" s="72">
        <f ca="1">Magick!$K$65</f>
        <v>0.11</v>
      </c>
      <c r="O386" s="72">
        <f ca="1">Magick!$L$65</f>
        <v>0.11</v>
      </c>
      <c r="P386" s="72">
        <f ca="1">Magick!$M$65</f>
        <v>0.11</v>
      </c>
      <c r="Q386" s="67" t="s">
        <v>113</v>
      </c>
      <c r="R386" s="67" t="str">
        <f>IF(Q386="Ritual","N/A",IF(Q386="I.E.","N/A",IF(Q386="WOG",VLOOKUP(Magick!$I$65*100,magestuff!$B$134:$F$138,2),IF(Q386="Cantrip",VLOOKUP(Magick!$I$65*100,magestuff!$B$134:$F$138,3),IF(Q386="Hex",VLOOKUP(Magick!$I$65*100,magestuff!$B$134:$F$138,4),VLOOKUP(Magick!$I$65*100,magestuff!$B$134:$F$138,5))))))</f>
        <v>N/A</v>
      </c>
      <c r="S386" s="67">
        <f>5*Magick!$C$3</f>
        <v>0</v>
      </c>
      <c r="T386" s="67" t="str">
        <f>CONCATENATE(1*Magick!$C$3, " hours")</f>
        <v>0 hours</v>
      </c>
      <c r="U386" s="67" t="str">
        <f t="shared" ref="U386" si="58">IF(ISBLANK(H386)," ",IF(H386&gt;0,0,C386*10))</f>
        <v xml:space="preserve"> </v>
      </c>
      <c r="V386" s="515"/>
      <c r="W386" s="125"/>
      <c r="X386" s="31">
        <f t="shared" si="54"/>
        <v>0</v>
      </c>
      <c r="Y386" s="1025"/>
      <c r="Z386" s="1054" t="str">
        <f t="shared" ref="Z386:Z449" si="59">A386</f>
        <v>Great Blink</v>
      </c>
      <c r="AA386" s="1072" t="str">
        <f t="shared" si="46"/>
        <v>Common</v>
      </c>
    </row>
    <row r="387" spans="1:27" hidden="1" outlineLevel="1">
      <c r="A387" s="83" t="s">
        <v>6055</v>
      </c>
      <c r="B387" s="67">
        <v>10</v>
      </c>
      <c r="C387" s="67">
        <f ca="1">magestuff!$AD$197</f>
        <v>10</v>
      </c>
      <c r="D387" s="67">
        <f>IF(AND(ISNUMBER(H387),H387=0),C387,0)</f>
        <v>0</v>
      </c>
      <c r="E387" s="77" t="e">
        <f ca="1">IF(F387="y",HLOOKUP((IF(C387&lt;1,1,C387)),Magick!$C$20:$L$21,2),NA())</f>
        <v>#N/A</v>
      </c>
      <c r="F387" s="67" t="str">
        <f ca="1">IF(C387&lt;=Magick!$D$3,"Y","N")</f>
        <v>N</v>
      </c>
      <c r="G387" s="148" t="s">
        <v>6052</v>
      </c>
      <c r="H387" s="151"/>
      <c r="I387" s="77" t="e">
        <f>IF(H387&gt;0,(HLOOKUP(C387,Magick!$C$20:$L$21,2)-HLOOKUP(H387,Magick!$C$20:$L$21,2)),NA())</f>
        <v>#N/A</v>
      </c>
      <c r="J387" s="77"/>
      <c r="K387" s="67" t="s">
        <v>6057</v>
      </c>
      <c r="L387" s="72" t="str">
        <f>IF(H387&gt;0,Magick!#REF!-('Master Spell List'!H331*0.1),"N/A")</f>
        <v>N/A</v>
      </c>
      <c r="M387" s="72">
        <f ca="1">Magick!$H$65</f>
        <v>0.08</v>
      </c>
      <c r="N387" s="72">
        <f ca="1">Magick!$K$65</f>
        <v>0.11</v>
      </c>
      <c r="O387" s="72">
        <f ca="1">Magick!$L$65</f>
        <v>0.11</v>
      </c>
      <c r="P387" s="72">
        <f ca="1">Magick!$M$65</f>
        <v>0.11</v>
      </c>
      <c r="Q387" s="67" t="s">
        <v>113</v>
      </c>
      <c r="R387" s="67" t="str">
        <f>IF(Q387="Ritual","N/A",IF(Q387="I.E.","N/A",IF(Q387="WOG",VLOOKUP(Magick!$I$65*100,magestuff!$B$134:$F$138,2),IF(Q387="Cantrip",VLOOKUP(Magick!$I$65*100,magestuff!$B$134:$F$138,3),IF(Q387="Hex",VLOOKUP(Magick!$I$65*100,magestuff!$B$134:$F$138,4),VLOOKUP(Magick!$I$65*100,magestuff!$B$134:$F$138,5))))))</f>
        <v>N/A</v>
      </c>
      <c r="S387" s="67">
        <f>25*Magick!$C$3</f>
        <v>0</v>
      </c>
      <c r="T387" s="67" t="s">
        <v>3725</v>
      </c>
      <c r="U387" s="67" t="str">
        <f>IF(ISBLANK(H387)," ",IF(H387&gt;0,0,C387*10))</f>
        <v xml:space="preserve"> </v>
      </c>
      <c r="V387" s="515"/>
      <c r="W387" s="125"/>
      <c r="X387" s="31">
        <f t="shared" si="54"/>
        <v>0</v>
      </c>
      <c r="Y387" s="1025"/>
      <c r="Z387" s="1054" t="str">
        <f t="shared" si="59"/>
        <v>Great Arcane Pocket</v>
      </c>
      <c r="AA387" s="1072" t="str">
        <f t="shared" ref="AA387:AA450" si="60">IF(ISNUMBER(MATCH($Z387,Spell_Methods,0)),$Z387,$AA386)</f>
        <v>Common</v>
      </c>
    </row>
    <row r="388" spans="1:27" hidden="1" outlineLevel="1">
      <c r="A388" s="83" t="s">
        <v>6063</v>
      </c>
      <c r="B388" s="67">
        <v>10</v>
      </c>
      <c r="C388" s="67">
        <f ca="1">magestuff!$AD$197</f>
        <v>10</v>
      </c>
      <c r="D388" s="67">
        <f t="shared" ref="D388" si="61">IF(AND(ISNUMBER(H388),H388=0),C388,0)</f>
        <v>0</v>
      </c>
      <c r="E388" s="77" t="e">
        <f ca="1">IF(F388="y",HLOOKUP((IF(C388&lt;1,1,C388)),Magick!$C$20:$L$21,2),NA())</f>
        <v>#N/A</v>
      </c>
      <c r="F388" s="67" t="str">
        <f ca="1">IF(C388&lt;=Magick!$D$3,"Y","N")</f>
        <v>N</v>
      </c>
      <c r="G388" s="148" t="s">
        <v>6052</v>
      </c>
      <c r="H388" s="151"/>
      <c r="I388" s="77" t="e">
        <f>IF(H388&gt;0,(HLOOKUP(C388,Magick!$C$20:$L$21,2)-HLOOKUP(H388,Magick!$C$20:$L$21,2)),NA())</f>
        <v>#N/A</v>
      </c>
      <c r="J388" s="77"/>
      <c r="K388" s="67">
        <v>22</v>
      </c>
      <c r="L388" s="72" t="str">
        <f>IF(H388&gt;0,Magick!#REF!-('Master Spell List'!H333*0.1),"N/A")</f>
        <v>N/A</v>
      </c>
      <c r="M388" s="72">
        <f ca="1">Magick!$H$65</f>
        <v>0.08</v>
      </c>
      <c r="N388" s="72">
        <f ca="1">Magick!$K$65</f>
        <v>0.11</v>
      </c>
      <c r="O388" s="72">
        <f ca="1">Magick!$L$65</f>
        <v>0.11</v>
      </c>
      <c r="P388" s="72">
        <f ca="1">Magick!$M$65</f>
        <v>0.11</v>
      </c>
      <c r="Q388" s="67" t="s">
        <v>113</v>
      </c>
      <c r="R388" s="67" t="str">
        <f>IF(Q388="Ritual","N/A",IF(Q388="I.E.","N/A",IF(Q388="WOG",VLOOKUP(Magick!$I$65*100,magestuff!$B$134:$F$138,2),IF(Q388="Cantrip",VLOOKUP(Magick!$I$65*100,magestuff!$B$134:$F$138,3),IF(Q388="Hex",VLOOKUP(Magick!$I$65*100,magestuff!$B$134:$F$138,4),VLOOKUP(Magick!$I$65*100,magestuff!$B$134:$F$138,5))))))</f>
        <v>N/A</v>
      </c>
      <c r="S388" s="67">
        <f>250*Magick!$C$3</f>
        <v>0</v>
      </c>
      <c r="T388" s="67" t="s">
        <v>3725</v>
      </c>
      <c r="U388" s="67" t="str">
        <f t="shared" ref="U388" si="62">IF(ISBLANK(H388)," ",IF(H388&gt;0,0,C388*10))</f>
        <v xml:space="preserve"> </v>
      </c>
      <c r="V388" s="515"/>
      <c r="W388" s="125"/>
      <c r="X388" s="31">
        <f t="shared" si="54"/>
        <v>0</v>
      </c>
      <c r="Y388" s="1025"/>
      <c r="Z388" s="1054" t="str">
        <f t="shared" si="59"/>
        <v>Greater Aport an Object</v>
      </c>
      <c r="AA388" s="1072" t="str">
        <f t="shared" si="60"/>
        <v>Common</v>
      </c>
    </row>
    <row r="389" spans="1:27" hidden="1" outlineLevel="1">
      <c r="A389" s="83" t="s">
        <v>5776</v>
      </c>
      <c r="B389" s="67">
        <v>10</v>
      </c>
      <c r="C389" s="67">
        <f ca="1">magestuff!$AD$197</f>
        <v>10</v>
      </c>
      <c r="D389" s="67">
        <f t="shared" si="52"/>
        <v>0</v>
      </c>
      <c r="E389" s="77" t="e">
        <f ca="1">IF(F389="y",HLOOKUP((IF(C389&lt;1,1,C389)),Magick!$C$20:$L$21,2),NA())</f>
        <v>#N/A</v>
      </c>
      <c r="F389" s="67" t="str">
        <f ca="1">IF(C389&lt;=Magick!$D$3,"Y","N")</f>
        <v>N</v>
      </c>
      <c r="G389" s="148" t="s">
        <v>5779</v>
      </c>
      <c r="H389" s="151"/>
      <c r="I389" s="77" t="e">
        <f>IF(H389&gt;0,(HLOOKUP(C389,Magick!$C$20:$L$21,2)-HLOOKUP(H389,Magick!$C$20:$L$21,2)),NA())</f>
        <v>#N/A</v>
      </c>
      <c r="J389" s="77"/>
      <c r="K389" s="67" t="s">
        <v>5783</v>
      </c>
      <c r="L389" s="72" t="str">
        <f>IF(H389&gt;0,Magick!#REF!-('Master Spell List'!H335*0.1),"N/A")</f>
        <v>N/A</v>
      </c>
      <c r="M389" s="72">
        <f ca="1">Magick!$H$65</f>
        <v>0.08</v>
      </c>
      <c r="N389" s="72">
        <f ca="1">Magick!$K$65</f>
        <v>0.11</v>
      </c>
      <c r="O389" s="72">
        <f ca="1">Magick!$L$65</f>
        <v>0.11</v>
      </c>
      <c r="P389" s="72">
        <f ca="1">Magick!$M$65</f>
        <v>0.11</v>
      </c>
      <c r="Q389" s="67" t="s">
        <v>113</v>
      </c>
      <c r="R389" s="67" t="str">
        <f>IF(Q389="Ritual","N/A",IF(Q389="I.E.","N/A",IF(Q389="WOG",VLOOKUP(Magick!$I$65*100,magestuff!$B$134:$F$138,2),IF(Q389="Cantrip",VLOOKUP(Magick!$I$65*100,magestuff!$B$134:$F$138,3),IF(Q389="Hex",VLOOKUP(Magick!$I$65*100,magestuff!$B$134:$F$138,4),VLOOKUP(Magick!$I$65*100,magestuff!$B$134:$F$138,5))))))</f>
        <v>N/A</v>
      </c>
      <c r="S389" s="67" t="s">
        <v>5545</v>
      </c>
      <c r="T389" s="67" t="s">
        <v>5545</v>
      </c>
      <c r="U389" s="67" t="str">
        <f t="shared" si="53"/>
        <v xml:space="preserve"> </v>
      </c>
      <c r="V389" s="515"/>
      <c r="W389" s="125"/>
      <c r="X389" s="31">
        <f t="shared" si="54"/>
        <v>0</v>
      </c>
      <c r="Y389" s="509"/>
      <c r="Z389" s="1054" t="str">
        <f t="shared" si="59"/>
        <v xml:space="preserve">Greater Arcane Beast of Burden    </v>
      </c>
      <c r="AA389" s="1072" t="str">
        <f t="shared" si="60"/>
        <v>Common</v>
      </c>
    </row>
    <row r="390" spans="1:27" hidden="1" outlineLevel="1">
      <c r="A390" s="377" t="s">
        <v>2910</v>
      </c>
      <c r="B390" s="67">
        <v>10</v>
      </c>
      <c r="C390" s="67">
        <f ca="1">magestuff!$AD$197</f>
        <v>10</v>
      </c>
      <c r="D390" s="67">
        <f t="shared" si="52"/>
        <v>0</v>
      </c>
      <c r="E390" s="77" t="e">
        <f ca="1">IF(F390="y",HLOOKUP((IF(C390&lt;1,1,C390)),Magick!$C$20:$L$21,2),NA())</f>
        <v>#N/A</v>
      </c>
      <c r="F390" s="67" t="str">
        <f ca="1">IF(C390&lt;=Magick!$D$3,"Y","N")</f>
        <v>N</v>
      </c>
      <c r="G390" s="148" t="s">
        <v>859</v>
      </c>
      <c r="H390" s="151"/>
      <c r="I390" s="77" t="e">
        <f>IF(H390&gt;0,(HLOOKUP(C390,Magick!$C$20:$L$21,2)-HLOOKUP(H390,Magick!$C$20:$L$21,2)),NA())</f>
        <v>#N/A</v>
      </c>
      <c r="J390" s="77"/>
      <c r="K390" s="67" t="s">
        <v>2225</v>
      </c>
      <c r="L390" s="72" t="str">
        <f>IF(H390&gt;0,Magick!#REF!-('Master Spell List'!H323*0.1),"N/A")</f>
        <v>N/A</v>
      </c>
      <c r="M390" s="72">
        <f ca="1">Magick!$H$65</f>
        <v>0.08</v>
      </c>
      <c r="N390" s="72">
        <f ca="1">Magick!$K$65</f>
        <v>0.11</v>
      </c>
      <c r="O390" s="72">
        <f ca="1">Magick!$L$65</f>
        <v>0.11</v>
      </c>
      <c r="P390" s="72">
        <f ca="1">Magick!$M$65</f>
        <v>0.11</v>
      </c>
      <c r="Q390" s="67" t="s">
        <v>2225</v>
      </c>
      <c r="R390" s="67">
        <f ca="1">IF(Q390="Ritual","N/A",IF(Q390="I.E.","N/A",IF(Q390="WOG",VLOOKUP(Magick!$I$65*100,magestuff!$B$134:$F$138,2),IF(Q390="Cantrip",VLOOKUP(Magick!$I$65*100,magestuff!$B$134:$F$138,3),IF(Q390="Hex",VLOOKUP(Magick!$I$65*100,magestuff!$B$134:$F$138,4),VLOOKUP(Magick!$I$65*100,magestuff!$B$134:$F$138,5))))))</f>
        <v>29</v>
      </c>
      <c r="U390" s="67" t="str">
        <f t="shared" si="53"/>
        <v xml:space="preserve"> </v>
      </c>
      <c r="V390" s="515"/>
      <c r="W390" s="125"/>
      <c r="X390" s="31">
        <f t="shared" si="54"/>
        <v>0</v>
      </c>
      <c r="Y390" s="509"/>
      <c r="Z390" s="1054" t="str">
        <f t="shared" si="59"/>
        <v>Greater Invisible Sigil of the Arcane</v>
      </c>
      <c r="AA390" s="1072" t="str">
        <f t="shared" si="60"/>
        <v>Common</v>
      </c>
    </row>
    <row r="391" spans="1:27" s="1026" customFormat="1" hidden="1" outlineLevel="1">
      <c r="A391" s="377" t="s">
        <v>823</v>
      </c>
      <c r="B391" s="67">
        <v>10</v>
      </c>
      <c r="C391" s="67">
        <f ca="1">magestuff!$AD$197</f>
        <v>10</v>
      </c>
      <c r="D391" s="67">
        <f t="shared" si="52"/>
        <v>0</v>
      </c>
      <c r="E391" s="77" t="e">
        <f ca="1">IF(F391="y",HLOOKUP((IF(C391&lt;1,1,C391)),Magick!$C$20:$L$21,2),NA())</f>
        <v>#N/A</v>
      </c>
      <c r="F391" s="67" t="str">
        <f ca="1">IF(C391&lt;=Magick!$D$3,"Y","N")</f>
        <v>N</v>
      </c>
      <c r="G391" s="148" t="s">
        <v>859</v>
      </c>
      <c r="H391" s="151"/>
      <c r="I391" s="77" t="e">
        <f>IF(H391&gt;0,(HLOOKUP(C391,Magick!$C$20:$L$21,2)-HLOOKUP(H391,Magick!$C$20:$L$21,2)),NA())</f>
        <v>#N/A</v>
      </c>
      <c r="J391" s="77"/>
      <c r="K391" s="67" t="s">
        <v>2225</v>
      </c>
      <c r="L391" s="72" t="str">
        <f>IF(H391&gt;0,Magick!#REF!-('Master Spell List'!H314*0.1),"N/A")</f>
        <v>N/A</v>
      </c>
      <c r="M391" s="72">
        <f ca="1">Magick!$H$65</f>
        <v>0.08</v>
      </c>
      <c r="N391" s="72">
        <f ca="1">Magick!$K$65</f>
        <v>0.11</v>
      </c>
      <c r="O391" s="72">
        <f ca="1">Magick!$L$65</f>
        <v>0.11</v>
      </c>
      <c r="P391" s="72">
        <f ca="1">Magick!$M$65</f>
        <v>0.11</v>
      </c>
      <c r="Q391" s="67" t="s">
        <v>2225</v>
      </c>
      <c r="R391" s="67">
        <f ca="1">IF(Q391="Ritual","N/A",IF(Q391="I.E.","N/A",IF(Q391="WOG",VLOOKUP(Magick!$I$65*100,magestuff!$B$134:$F$138,2),IF(Q391="Cantrip",VLOOKUP(Magick!$I$65*100,magestuff!$B$134:$F$138,3),IF(Q391="Hex",VLOOKUP(Magick!$I$65*100,magestuff!$B$134:$F$138,4),VLOOKUP(Magick!$I$65*100,magestuff!$B$134:$F$138,5))))))</f>
        <v>29</v>
      </c>
      <c r="S391" s="67"/>
      <c r="T391" s="67"/>
      <c r="U391" s="67" t="str">
        <f t="shared" si="53"/>
        <v xml:space="preserve"> </v>
      </c>
      <c r="V391" s="515"/>
      <c r="W391" s="125"/>
      <c r="X391" s="31">
        <f t="shared" si="54"/>
        <v>0</v>
      </c>
      <c r="Y391" s="509"/>
      <c r="Z391" s="1054" t="str">
        <f t="shared" si="59"/>
        <v>Greater Seal of the Ages</v>
      </c>
      <c r="AA391" s="1072" t="str">
        <f t="shared" si="60"/>
        <v>Common</v>
      </c>
    </row>
    <row r="392" spans="1:27" hidden="1" outlineLevel="1">
      <c r="A392" s="377" t="s">
        <v>2906</v>
      </c>
      <c r="B392" s="67">
        <v>10</v>
      </c>
      <c r="C392" s="67">
        <f ca="1">magestuff!$AD$197</f>
        <v>10</v>
      </c>
      <c r="D392" s="67">
        <f t="shared" ref="D392:D405" si="63">IF(AND(ISNUMBER(H392),H392=0),C392,0)</f>
        <v>0</v>
      </c>
      <c r="E392" s="77" t="e">
        <f ca="1">IF(F392="y",HLOOKUP((IF(C392&lt;1,1,C392)),Magick!$C$20:$L$21,2),NA())</f>
        <v>#N/A</v>
      </c>
      <c r="F392" s="67" t="str">
        <f ca="1">IF(C392&lt;=Magick!$D$3,"Y","N")</f>
        <v>N</v>
      </c>
      <c r="G392" s="148" t="s">
        <v>859</v>
      </c>
      <c r="H392" s="151"/>
      <c r="I392" s="77" t="e">
        <f>IF(H392&gt;0,(HLOOKUP(C392,Magick!$C$20:$L$21,2)-HLOOKUP(H392,Magick!$C$20:$L$21,2)),NA())</f>
        <v>#N/A</v>
      </c>
      <c r="J392" s="77"/>
      <c r="K392" s="67" t="s">
        <v>2225</v>
      </c>
      <c r="L392" s="72" t="str">
        <f>IF(H392&gt;0,Magick!#REF!-('Master Spell List'!H319*0.1),"N/A")</f>
        <v>N/A</v>
      </c>
      <c r="M392" s="72">
        <f ca="1">Magick!$H$65</f>
        <v>0.08</v>
      </c>
      <c r="N392" s="72">
        <f ca="1">Magick!$K$65</f>
        <v>0.11</v>
      </c>
      <c r="O392" s="72">
        <f ca="1">Magick!$L$65</f>
        <v>0.11</v>
      </c>
      <c r="P392" s="72">
        <f ca="1">Magick!$M$65</f>
        <v>0.11</v>
      </c>
      <c r="Q392" s="67" t="s">
        <v>2225</v>
      </c>
      <c r="R392" s="67">
        <f ca="1">IF(Q392="Ritual","N/A",IF(Q392="I.E.","N/A",IF(Q392="WOG",VLOOKUP(Magick!$I$65*100,magestuff!$B$134:$F$138,2),IF(Q392="Cantrip",VLOOKUP(Magick!$I$65*100,magestuff!$B$134:$F$138,3),IF(Q392="Hex",VLOOKUP(Magick!$I$65*100,magestuff!$B$134:$F$138,4),VLOOKUP(Magick!$I$65*100,magestuff!$B$134:$F$138,5))))))</f>
        <v>29</v>
      </c>
      <c r="U392" s="67" t="str">
        <f t="shared" ref="U392:U405" si="64">IF(ISBLANK(H392)," ",IF(H392&gt;0,0,C392*10))</f>
        <v xml:space="preserve"> </v>
      </c>
      <c r="V392" s="515"/>
      <c r="W392" s="125"/>
      <c r="X392" s="31">
        <f t="shared" si="54"/>
        <v>0</v>
      </c>
      <c r="Y392" s="509"/>
      <c r="Z392" s="1054" t="str">
        <f t="shared" si="59"/>
        <v>Greater Sigil of the Arcane</v>
      </c>
      <c r="AA392" s="1072" t="str">
        <f t="shared" si="60"/>
        <v>Common</v>
      </c>
    </row>
    <row r="393" spans="1:27" hidden="1" outlineLevel="1">
      <c r="A393" s="31" t="s">
        <v>5313</v>
      </c>
      <c r="B393" s="67">
        <v>10</v>
      </c>
      <c r="C393" s="67">
        <f ca="1">magestuff!$AD$197</f>
        <v>10</v>
      </c>
      <c r="D393" s="67">
        <f t="shared" si="63"/>
        <v>0</v>
      </c>
      <c r="E393" s="77" t="e">
        <f ca="1">IF(F393="y",HLOOKUP((IF(C393&lt;1,1,C393)),Magick!$C$20:$L$21,2),NA())</f>
        <v>#N/A</v>
      </c>
      <c r="F393" s="67" t="str">
        <f ca="1">IF(C393&lt;=Magick!$D$3,"Y","N")</f>
        <v>N</v>
      </c>
      <c r="G393" s="148" t="s">
        <v>128</v>
      </c>
      <c r="H393" s="151"/>
      <c r="I393" s="77" t="e">
        <f>IF(H393&gt;0,(HLOOKUP(C393,Magick!$C$20:$L$21,2)-HLOOKUP(H393,Magick!$C$20:$L$21,2)),NA())</f>
        <v>#N/A</v>
      </c>
      <c r="J393" s="77"/>
      <c r="K393" s="67">
        <v>16</v>
      </c>
      <c r="L393" s="72" t="str">
        <f>IF(H393&gt;0,Magick!#REF!-('Master Spell List'!H281*0.1),"N/A")</f>
        <v>N/A</v>
      </c>
      <c r="M393" s="72">
        <f ca="1">Magick!$H$65</f>
        <v>0.08</v>
      </c>
      <c r="N393" s="72">
        <f ca="1">Magick!$K$65</f>
        <v>0.11</v>
      </c>
      <c r="O393" s="72">
        <f ca="1">Magick!$L$65</f>
        <v>0.11</v>
      </c>
      <c r="P393" s="72">
        <f ca="1">Magick!$M$65</f>
        <v>0.11</v>
      </c>
      <c r="Q393" s="67" t="s">
        <v>113</v>
      </c>
      <c r="R393" s="67" t="str">
        <f>IF(Q393="Ritual","N/A",IF(Q393="I.E.","N/A",IF(Q393="WOG",VLOOKUP(Magick!$I$65*100,magestuff!$B$134:$F$138,2),IF(Q393="Cantrip",VLOOKUP(Magick!$I$65*100,magestuff!$B$134:$F$138,3),IF(Q393="Hex",VLOOKUP(Magick!$I$65*100,magestuff!$B$134:$F$138,4),VLOOKUP(Magick!$I$65*100,magestuff!$B$134:$F$138,5))))))</f>
        <v>N/A</v>
      </c>
      <c r="U393" s="67" t="str">
        <f t="shared" si="64"/>
        <v xml:space="preserve"> </v>
      </c>
      <c r="V393" s="515"/>
      <c r="W393" s="125"/>
      <c r="X393" s="31">
        <f t="shared" si="54"/>
        <v>0</v>
      </c>
      <c r="Y393" s="509"/>
      <c r="Z393" s="1054" t="str">
        <f t="shared" si="59"/>
        <v>Seal of Suleiman the Magnificent</v>
      </c>
      <c r="AA393" s="1072" t="str">
        <f t="shared" si="60"/>
        <v>Common</v>
      </c>
    </row>
    <row r="394" spans="1:27" hidden="1" outlineLevel="1">
      <c r="A394" s="377" t="s">
        <v>1898</v>
      </c>
      <c r="B394" s="67">
        <v>11</v>
      </c>
      <c r="C394" s="67">
        <f ca="1">magestuff!$AD$197+1</f>
        <v>11</v>
      </c>
      <c r="D394" s="67">
        <f t="shared" si="63"/>
        <v>0</v>
      </c>
      <c r="E394" s="77" t="e">
        <f ca="1">IF(F394="y",HLOOKUP((IF(C394&lt;1,1,C394)),Magick!$C$20:$L$21,2),NA())</f>
        <v>#N/A</v>
      </c>
      <c r="F394" s="67" t="str">
        <f ca="1">IF(C394&lt;=Magick!$D$3,"Y","N")</f>
        <v>N</v>
      </c>
      <c r="G394" s="148" t="s">
        <v>859</v>
      </c>
      <c r="H394" s="151"/>
      <c r="I394" s="77" t="e">
        <f>IF(H394&gt;0,(HLOOKUP(C394,Magick!$C$20:$L$21,2)-HLOOKUP(H394,Magick!$C$20:$L$21,2)),NA())</f>
        <v>#N/A</v>
      </c>
      <c r="J394" s="77"/>
      <c r="K394" s="67" t="s">
        <v>2225</v>
      </c>
      <c r="L394" s="72" t="str">
        <f>IF(H394&gt;0,Magick!#REF!-('Master Spell List'!H304*0.1),"N/A")</f>
        <v>N/A</v>
      </c>
      <c r="M394" s="72">
        <f ca="1">Magick!$H$65</f>
        <v>0.08</v>
      </c>
      <c r="N394" s="72">
        <f ca="1">Magick!$K$65</f>
        <v>0.11</v>
      </c>
      <c r="O394" s="72">
        <f ca="1">Magick!$L$65</f>
        <v>0.11</v>
      </c>
      <c r="P394" s="72">
        <f ca="1">Magick!$M$65</f>
        <v>0.11</v>
      </c>
      <c r="Q394" s="67" t="s">
        <v>2225</v>
      </c>
      <c r="R394" s="67">
        <f ca="1">IF(Q394="Ritual","N/A",IF(Q394="I.E.","N/A",IF(Q394="WOG",VLOOKUP(Magick!$I$65*100,magestuff!$B$134:$F$138,2),IF(Q394="Cantrip",VLOOKUP(Magick!$I$65*100,magestuff!$B$134:$F$138,3),IF(Q394="Hex",VLOOKUP(Magick!$I$65*100,magestuff!$B$134:$F$138,4),VLOOKUP(Magick!$I$65*100,magestuff!$B$134:$F$138,5))))))</f>
        <v>29</v>
      </c>
      <c r="U394" s="67" t="str">
        <f t="shared" si="64"/>
        <v xml:space="preserve"> </v>
      </c>
      <c r="V394" s="515"/>
      <c r="W394" s="125"/>
      <c r="X394" s="31">
        <f t="shared" si="54"/>
        <v>0</v>
      </c>
      <c r="Y394" s="509"/>
      <c r="Z394" s="1054" t="str">
        <f t="shared" si="59"/>
        <v>Arcane Armor of the Dragon</v>
      </c>
      <c r="AA394" s="1072" t="str">
        <f t="shared" si="60"/>
        <v>Common</v>
      </c>
    </row>
    <row r="395" spans="1:27" s="1026" customFormat="1" hidden="1" outlineLevel="1">
      <c r="A395" s="965" t="s">
        <v>5764</v>
      </c>
      <c r="B395" s="67">
        <v>11</v>
      </c>
      <c r="C395" s="67">
        <f ca="1">magestuff!$AD$197+1</f>
        <v>11</v>
      </c>
      <c r="D395" s="67">
        <f t="shared" si="63"/>
        <v>0</v>
      </c>
      <c r="E395" s="77" t="e">
        <f ca="1">IF(F395="y",HLOOKUP((IF(C395&lt;1,1,C395)),Magick!$C$20:$L$21,2),NA())</f>
        <v>#N/A</v>
      </c>
      <c r="F395" s="67" t="str">
        <f ca="1">IF(C395&lt;=Magick!$D$3,"Y","N")</f>
        <v>N</v>
      </c>
      <c r="G395" s="148" t="s">
        <v>5779</v>
      </c>
      <c r="H395" s="151"/>
      <c r="I395" s="77" t="e">
        <f>IF(H395&gt;0,(HLOOKUP(C395,Magick!$C$20:$L$21,2)-HLOOKUP(H395,Magick!$C$20:$L$21,2)),NA())</f>
        <v>#N/A</v>
      </c>
      <c r="J395" s="77"/>
      <c r="K395" s="67">
        <v>3</v>
      </c>
      <c r="L395" s="72" t="str">
        <f>IF(H395&gt;0,Magick!#REF!-('Master Spell List'!H321*0.1),"N/A")</f>
        <v>N/A</v>
      </c>
      <c r="M395" s="72">
        <f ca="1">Magick!$H$65</f>
        <v>0.08</v>
      </c>
      <c r="N395" s="72">
        <f ca="1">Magick!$K$65</f>
        <v>0.11</v>
      </c>
      <c r="O395" s="72">
        <f ca="1">Magick!$L$65</f>
        <v>0.11</v>
      </c>
      <c r="P395" s="72">
        <f ca="1">Magick!$M$65</f>
        <v>0.11</v>
      </c>
      <c r="Q395" s="67" t="s">
        <v>4603</v>
      </c>
      <c r="R395" s="67">
        <f ca="1">IF(Q395="Ritual","N/A",IF(Q395="I.E.","N/A",IF(Q395="WOG",VLOOKUP(Magick!$I$65*100,magestuff!$B$134:$F$138,2),IF(Q395="Cantrip",VLOOKUP(Magick!$I$65*100,magestuff!$B$134:$F$138,3),IF(Q395="Hex",VLOOKUP(Magick!$I$65*100,magestuff!$B$134:$F$138,4),VLOOKUP(Magick!$I$65*100,magestuff!$B$134:$F$138,5))))))</f>
        <v>9</v>
      </c>
      <c r="S395" s="67" t="s">
        <v>5545</v>
      </c>
      <c r="T395" s="67" t="s">
        <v>5545</v>
      </c>
      <c r="U395" s="67" t="str">
        <f t="shared" si="64"/>
        <v xml:space="preserve"> </v>
      </c>
      <c r="V395" s="515"/>
      <c r="W395" s="125"/>
      <c r="X395" s="31">
        <f t="shared" si="54"/>
        <v>0</v>
      </c>
      <c r="Y395" s="509"/>
      <c r="Z395" s="1054" t="str">
        <f t="shared" si="59"/>
        <v xml:space="preserve">Great Repulse Arcane Energy   </v>
      </c>
      <c r="AA395" s="1072" t="str">
        <f t="shared" si="60"/>
        <v>Common</v>
      </c>
    </row>
    <row r="396" spans="1:27" hidden="1" outlineLevel="1">
      <c r="A396" s="965" t="s">
        <v>5760</v>
      </c>
      <c r="B396" s="67">
        <v>12</v>
      </c>
      <c r="C396" s="67">
        <f ca="1">magestuff!$AD$197+2</f>
        <v>12</v>
      </c>
      <c r="D396" s="67">
        <f t="shared" si="63"/>
        <v>0</v>
      </c>
      <c r="E396" s="77" t="e">
        <f ca="1">IF(F396="y",HLOOKUP((IF(C396&lt;1,1,C396)),Magick!$C$20:$L$21,2),NA())</f>
        <v>#N/A</v>
      </c>
      <c r="F396" s="67" t="str">
        <f ca="1">IF(C396&lt;=Magick!$D$3,"Y","N")</f>
        <v>N</v>
      </c>
      <c r="G396" s="148" t="s">
        <v>5779</v>
      </c>
      <c r="H396" s="151"/>
      <c r="I396" s="77" t="e">
        <f>IF(H396&gt;0,(HLOOKUP(C396,Magick!$C$20:$L$21,2)-HLOOKUP(H396,Magick!$C$20:$L$21,2)),NA())</f>
        <v>#N/A</v>
      </c>
      <c r="J396" s="77"/>
      <c r="K396" s="67">
        <v>24</v>
      </c>
      <c r="L396" s="72" t="str">
        <f>IF(H396&gt;0,Magick!#REF!-('Master Spell List'!H317*0.1),"N/A")</f>
        <v>N/A</v>
      </c>
      <c r="M396" s="72">
        <f ca="1">Magick!$H$65</f>
        <v>0.08</v>
      </c>
      <c r="N396" s="72">
        <f ca="1">Magick!$K$65</f>
        <v>0.11</v>
      </c>
      <c r="O396" s="72">
        <f ca="1">Magick!$L$65</f>
        <v>0.11</v>
      </c>
      <c r="P396" s="72">
        <f ca="1">Magick!$M$65</f>
        <v>0.11</v>
      </c>
      <c r="Q396" s="67" t="s">
        <v>113</v>
      </c>
      <c r="R396" s="67" t="str">
        <f>IF(Q396="Ritual","N/A",IF(Q396="I.E.","N/A",IF(Q396="WOG",VLOOKUP(Magick!$I$65*100,magestuff!$B$134:$F$138,2),IF(Q396="Cantrip",VLOOKUP(Magick!$I$65*100,magestuff!$B$134:$F$138,3),IF(Q396="Hex",VLOOKUP(Magick!$I$65*100,magestuff!$B$134:$F$138,4),VLOOKUP(Magick!$I$65*100,magestuff!$B$134:$F$138,5))))))</f>
        <v>N/A</v>
      </c>
      <c r="S396" s="67" t="s">
        <v>5545</v>
      </c>
      <c r="T396" s="67" t="s">
        <v>5545</v>
      </c>
      <c r="U396" s="67" t="str">
        <f t="shared" si="64"/>
        <v xml:space="preserve"> </v>
      </c>
      <c r="V396" s="515"/>
      <c r="W396" s="125"/>
      <c r="X396" s="31">
        <f t="shared" si="54"/>
        <v>0</v>
      </c>
      <c r="Y396" s="509"/>
      <c r="Z396" s="1054" t="str">
        <f t="shared" si="59"/>
        <v xml:space="preserve">Greater Deflect Arcane Energy   </v>
      </c>
      <c r="AA396" s="1072" t="str">
        <f t="shared" si="60"/>
        <v>Common</v>
      </c>
    </row>
    <row r="397" spans="1:27" hidden="1" outlineLevel="1">
      <c r="A397" s="83" t="s">
        <v>5777</v>
      </c>
      <c r="B397" s="67">
        <v>12</v>
      </c>
      <c r="C397" s="67">
        <f ca="1">magestuff!$AD$197+2</f>
        <v>12</v>
      </c>
      <c r="D397" s="67">
        <f t="shared" si="63"/>
        <v>0</v>
      </c>
      <c r="E397" s="77" t="e">
        <f ca="1">IF(F397="y",HLOOKUP((IF(C397&lt;1,1,C397)),Magick!$C$20:$L$21,2),NA())</f>
        <v>#N/A</v>
      </c>
      <c r="F397" s="67" t="str">
        <f ca="1">IF(C397&lt;=Magick!$D$3,"Y","N")</f>
        <v>N</v>
      </c>
      <c r="G397" s="148" t="s">
        <v>5779</v>
      </c>
      <c r="H397" s="151"/>
      <c r="I397" s="77" t="e">
        <f>IF(H397&gt;0,(HLOOKUP(C397,Magick!$C$20:$L$21,2)-HLOOKUP(H397,Magick!$C$20:$L$21,2)),NA())</f>
        <v>#N/A</v>
      </c>
      <c r="J397" s="77"/>
      <c r="K397" s="67" t="s">
        <v>5783</v>
      </c>
      <c r="L397" s="72" t="str">
        <f>IF(H397&gt;0,Magick!#REF!-('Master Spell List'!H336*0.1),"N/A")</f>
        <v>N/A</v>
      </c>
      <c r="M397" s="72">
        <f ca="1">Magick!$H$65</f>
        <v>0.08</v>
      </c>
      <c r="N397" s="72">
        <f ca="1">Magick!$K$65</f>
        <v>0.11</v>
      </c>
      <c r="O397" s="72">
        <f ca="1">Magick!$L$65</f>
        <v>0.11</v>
      </c>
      <c r="P397" s="72">
        <f ca="1">Magick!$M$65</f>
        <v>0.11</v>
      </c>
      <c r="Q397" s="67" t="s">
        <v>113</v>
      </c>
      <c r="R397" s="67" t="str">
        <f>IF(Q397="Ritual","N/A",IF(Q397="I.E.","N/A",IF(Q397="WOG",VLOOKUP(Magick!$I$65*100,magestuff!$B$134:$F$138,2),IF(Q397="Cantrip",VLOOKUP(Magick!$I$65*100,magestuff!$B$134:$F$138,3),IF(Q397="Hex",VLOOKUP(Magick!$I$65*100,magestuff!$B$134:$F$138,4),VLOOKUP(Magick!$I$65*100,magestuff!$B$134:$F$138,5))))))</f>
        <v>N/A</v>
      </c>
      <c r="S397" s="67" t="s">
        <v>5545</v>
      </c>
      <c r="T397" s="67" t="s">
        <v>5545</v>
      </c>
      <c r="U397" s="67" t="str">
        <f t="shared" si="64"/>
        <v xml:space="preserve"> </v>
      </c>
      <c r="V397" s="515"/>
      <c r="W397" s="125"/>
      <c r="X397" s="31">
        <f t="shared" si="54"/>
        <v>0</v>
      </c>
      <c r="Y397" s="509"/>
      <c r="Z397" s="1054" t="str">
        <f t="shared" si="59"/>
        <v xml:space="preserve">Greatest Arcane Beast of Burden    </v>
      </c>
      <c r="AA397" s="1072" t="str">
        <f t="shared" si="60"/>
        <v>Common</v>
      </c>
    </row>
    <row r="398" spans="1:27" hidden="1" outlineLevel="1">
      <c r="A398" s="965" t="s">
        <v>5778</v>
      </c>
      <c r="B398" s="67">
        <v>12</v>
      </c>
      <c r="C398" s="67">
        <f ca="1">magestuff!$AD$197+2</f>
        <v>12</v>
      </c>
      <c r="D398" s="67">
        <f t="shared" si="63"/>
        <v>0</v>
      </c>
      <c r="E398" s="77" t="e">
        <f ca="1">IF(F398="y",HLOOKUP((IF(C398&lt;1,1,C398)),Magick!$C$20:$L$21,2),NA())</f>
        <v>#N/A</v>
      </c>
      <c r="F398" s="67" t="str">
        <f ca="1">IF(C398&lt;=Magick!$D$3,"Y","N")</f>
        <v>N</v>
      </c>
      <c r="G398" s="148" t="s">
        <v>5779</v>
      </c>
      <c r="H398" s="151"/>
      <c r="I398" s="77" t="e">
        <f>IF(H398&gt;0,(HLOOKUP(C398,Magick!$C$20:$L$21,2)-HLOOKUP(H398,Magick!$C$20:$L$21,2)),NA())</f>
        <v>#N/A</v>
      </c>
      <c r="J398" s="77"/>
      <c r="K398" s="67">
        <v>3</v>
      </c>
      <c r="L398" s="72" t="str">
        <f>IF(H398&gt;0,Magick!#REF!-('Master Spell List'!H337*0.1),"N/A")</f>
        <v>N/A</v>
      </c>
      <c r="M398" s="72">
        <f ca="1">Magick!$H$65</f>
        <v>0.08</v>
      </c>
      <c r="N398" s="72">
        <f ca="1">Magick!$K$65</f>
        <v>0.11</v>
      </c>
      <c r="O398" s="72">
        <f ca="1">Magick!$L$65</f>
        <v>0.11</v>
      </c>
      <c r="P398" s="72">
        <f ca="1">Magick!$M$65</f>
        <v>0.11</v>
      </c>
      <c r="Q398" s="67" t="s">
        <v>113</v>
      </c>
      <c r="R398" s="67" t="str">
        <f>IF(Q398="Ritual","N/A",IF(Q398="I.E.","N/A",IF(Q398="WOG",VLOOKUP(Magick!$I$65*100,magestuff!$B$134:$F$138,2),IF(Q398="Cantrip",VLOOKUP(Magick!$I$65*100,magestuff!$B$134:$F$138,3),IF(Q398="Hex",VLOOKUP(Magick!$I$65*100,magestuff!$B$134:$F$138,4),VLOOKUP(Magick!$I$65*100,magestuff!$B$134:$F$138,5))))))</f>
        <v>N/A</v>
      </c>
      <c r="S398" s="67" t="s">
        <v>5545</v>
      </c>
      <c r="T398" s="67" t="s">
        <v>5545</v>
      </c>
      <c r="U398" s="67" t="str">
        <f t="shared" si="64"/>
        <v xml:space="preserve"> </v>
      </c>
      <c r="V398" s="515"/>
      <c r="W398" s="125"/>
      <c r="X398" s="31">
        <f t="shared" si="54"/>
        <v>0</v>
      </c>
      <c r="Y398" s="509"/>
      <c r="Z398" s="1054" t="str">
        <f t="shared" si="59"/>
        <v xml:space="preserve">The Great Beast of Burden    </v>
      </c>
      <c r="AA398" s="1072" t="str">
        <f t="shared" si="60"/>
        <v>Common</v>
      </c>
    </row>
    <row r="399" spans="1:27" hidden="1" outlineLevel="1">
      <c r="A399" s="83" t="s">
        <v>6055</v>
      </c>
      <c r="B399" s="67">
        <v>12</v>
      </c>
      <c r="C399" s="67">
        <f ca="1">magestuff!$AD$197+2</f>
        <v>12</v>
      </c>
      <c r="D399" s="67">
        <f>IF(AND(ISNUMBER(H399),H399=0),C399,0)</f>
        <v>0</v>
      </c>
      <c r="E399" s="77" t="e">
        <f ca="1">IF(F399="y",HLOOKUP((IF(C399&lt;1,1,C399)),Magick!$C$20:$L$21,2),NA())</f>
        <v>#N/A</v>
      </c>
      <c r="F399" s="67" t="str">
        <f ca="1">IF(C399&lt;=Magick!$D$3,"Y","N")</f>
        <v>N</v>
      </c>
      <c r="G399" s="148" t="s">
        <v>6052</v>
      </c>
      <c r="H399" s="151"/>
      <c r="I399" s="77" t="e">
        <f>IF(H399&gt;0,(HLOOKUP(C399,Magick!$C$20:$L$21,2)-HLOOKUP(H399,Magick!$C$20:$L$21,2)),NA())</f>
        <v>#N/A</v>
      </c>
      <c r="J399" s="77"/>
      <c r="K399" s="67" t="s">
        <v>6056</v>
      </c>
      <c r="L399" s="72" t="str">
        <f>IF(H399&gt;0,Magick!#REF!-('Master Spell List'!H342*0.1),"N/A")</f>
        <v>N/A</v>
      </c>
      <c r="M399" s="72">
        <f ca="1">Magick!$H$65</f>
        <v>0.08</v>
      </c>
      <c r="N399" s="72">
        <f ca="1">Magick!$K$65</f>
        <v>0.11</v>
      </c>
      <c r="O399" s="72">
        <f ca="1">Magick!$L$65</f>
        <v>0.11</v>
      </c>
      <c r="P399" s="72">
        <f ca="1">Magick!$M$65</f>
        <v>0.11</v>
      </c>
      <c r="Q399" s="67" t="s">
        <v>113</v>
      </c>
      <c r="R399" s="67" t="str">
        <f>IF(Q399="Ritual","N/A",IF(Q399="I.E.","N/A",IF(Q399="WOG",VLOOKUP(Magick!$I$65*100,magestuff!$B$134:$F$138,2),IF(Q399="Cantrip",VLOOKUP(Magick!$I$65*100,magestuff!$B$134:$F$138,3),IF(Q399="Hex",VLOOKUP(Magick!$I$65*100,magestuff!$B$134:$F$138,4),VLOOKUP(Magick!$I$65*100,magestuff!$B$134:$F$138,5))))))</f>
        <v>N/A</v>
      </c>
      <c r="S399" s="67">
        <f>25*Magick!$C$3</f>
        <v>0</v>
      </c>
      <c r="T399" s="67" t="s">
        <v>3725</v>
      </c>
      <c r="U399" s="67" t="str">
        <f>IF(ISBLANK(H399)," ",IF(H399&gt;0,0,C399*10))</f>
        <v xml:space="preserve"> </v>
      </c>
      <c r="V399" s="515"/>
      <c r="W399" s="125"/>
      <c r="X399" s="31">
        <f t="shared" si="54"/>
        <v>0</v>
      </c>
      <c r="Y399" s="1025"/>
      <c r="Z399" s="1054" t="str">
        <f t="shared" si="59"/>
        <v>Great Arcane Pocket</v>
      </c>
      <c r="AA399" s="1072" t="str">
        <f t="shared" si="60"/>
        <v>Common</v>
      </c>
    </row>
    <row r="400" spans="1:27" hidden="1" outlineLevel="1">
      <c r="A400" s="965" t="s">
        <v>5765</v>
      </c>
      <c r="B400" s="67">
        <v>13</v>
      </c>
      <c r="C400" s="67">
        <f ca="1">magestuff!$AD$197+3</f>
        <v>13</v>
      </c>
      <c r="D400" s="67">
        <f t="shared" si="63"/>
        <v>0</v>
      </c>
      <c r="E400" s="77" t="e">
        <f ca="1">IF(F400="y",HLOOKUP((IF(C400&lt;1,1,C400)),Magick!$C$20:$L$21,2),NA())</f>
        <v>#N/A</v>
      </c>
      <c r="F400" s="67" t="str">
        <f ca="1">IF(C400&lt;=Magick!$D$3,"Y","N")</f>
        <v>N</v>
      </c>
      <c r="G400" s="148" t="s">
        <v>5779</v>
      </c>
      <c r="H400" s="151"/>
      <c r="I400" s="77" t="e">
        <f>IF(H400&gt;0,(HLOOKUP(C400,Magick!$C$20:$L$21,2)-HLOOKUP(H400,Magick!$C$20:$L$21,2)),NA())</f>
        <v>#N/A</v>
      </c>
      <c r="J400" s="77"/>
      <c r="K400" s="67">
        <v>3</v>
      </c>
      <c r="L400" s="72" t="str">
        <f>IF(H400&gt;0,Magick!#REF!-('Master Spell List'!H322*0.1),"N/A")</f>
        <v>N/A</v>
      </c>
      <c r="M400" s="72">
        <f ca="1">Magick!$H$65</f>
        <v>0.08</v>
      </c>
      <c r="N400" s="72">
        <f ca="1">Magick!$K$65</f>
        <v>0.11</v>
      </c>
      <c r="O400" s="72">
        <f ca="1">Magick!$L$65</f>
        <v>0.11</v>
      </c>
      <c r="P400" s="72">
        <f ca="1">Magick!$M$65</f>
        <v>0.11</v>
      </c>
      <c r="Q400" s="67" t="s">
        <v>4603</v>
      </c>
      <c r="R400" s="67">
        <f ca="1">IF(Q400="Ritual","N/A",IF(Q400="I.E.","N/A",IF(Q400="WOG",VLOOKUP(Magick!$I$65*100,magestuff!$B$134:$F$138,2),IF(Q400="Cantrip",VLOOKUP(Magick!$I$65*100,magestuff!$B$134:$F$138,3),IF(Q400="Hex",VLOOKUP(Magick!$I$65*100,magestuff!$B$134:$F$138,4),VLOOKUP(Magick!$I$65*100,magestuff!$B$134:$F$138,5))))))</f>
        <v>9</v>
      </c>
      <c r="S400" s="67" t="s">
        <v>5545</v>
      </c>
      <c r="T400" s="67" t="s">
        <v>5545</v>
      </c>
      <c r="U400" s="67" t="str">
        <f t="shared" si="64"/>
        <v xml:space="preserve"> </v>
      </c>
      <c r="V400" s="515"/>
      <c r="W400" s="125"/>
      <c r="X400" s="31">
        <f t="shared" si="54"/>
        <v>0</v>
      </c>
      <c r="Y400" s="509"/>
      <c r="Z400" s="1054" t="str">
        <f t="shared" si="59"/>
        <v xml:space="preserve">Greater Repulse Arcane Energy   </v>
      </c>
      <c r="AA400" s="1072" t="str">
        <f t="shared" si="60"/>
        <v>Common</v>
      </c>
    </row>
    <row r="401" spans="1:27" hidden="1" outlineLevel="1">
      <c r="A401" s="377" t="s">
        <v>822</v>
      </c>
      <c r="B401" s="67">
        <v>13</v>
      </c>
      <c r="C401" s="67">
        <f ca="1">magestuff!$AD$197+3</f>
        <v>13</v>
      </c>
      <c r="D401" s="67">
        <f t="shared" si="63"/>
        <v>0</v>
      </c>
      <c r="E401" s="77" t="e">
        <f ca="1">IF(F401="y",HLOOKUP((IF(C401&lt;1,1,C401)),Magick!$C$20:$L$21,2),NA())</f>
        <v>#N/A</v>
      </c>
      <c r="F401" s="67" t="str">
        <f ca="1">IF(C401&lt;=Magick!$D$3,"Y","N")</f>
        <v>N</v>
      </c>
      <c r="G401" s="148" t="s">
        <v>859</v>
      </c>
      <c r="H401" s="151"/>
      <c r="I401" s="77" t="e">
        <f>IF(H401&gt;0,(HLOOKUP(C401,Magick!$C$20:$L$21,2)-HLOOKUP(H401,Magick!$C$20:$L$21,2)),NA())</f>
        <v>#N/A</v>
      </c>
      <c r="J401" s="77"/>
      <c r="K401" s="67" t="s">
        <v>2225</v>
      </c>
      <c r="L401" s="72" t="str">
        <f>IF(H401&gt;0,Magick!#REF!-('Master Spell List'!H315*0.1),"N/A")</f>
        <v>N/A</v>
      </c>
      <c r="M401" s="72">
        <f ca="1">Magick!$H$65</f>
        <v>0.08</v>
      </c>
      <c r="N401" s="72">
        <f ca="1">Magick!$K$65</f>
        <v>0.11</v>
      </c>
      <c r="O401" s="72">
        <f ca="1">Magick!$L$65</f>
        <v>0.11</v>
      </c>
      <c r="P401" s="72">
        <f ca="1">Magick!$M$65</f>
        <v>0.11</v>
      </c>
      <c r="Q401" s="67" t="s">
        <v>2225</v>
      </c>
      <c r="R401" s="67">
        <f ca="1">IF(Q401="Ritual","N/A",IF(Q401="I.E.","N/A",IF(Q401="WOG",VLOOKUP(Magick!$I$65*100,magestuff!$B$134:$F$138,2),IF(Q401="Cantrip",VLOOKUP(Magick!$I$65*100,magestuff!$B$134:$F$138,3),IF(Q401="Hex",VLOOKUP(Magick!$I$65*100,magestuff!$B$134:$F$138,4),VLOOKUP(Magick!$I$65*100,magestuff!$B$134:$F$138,5))))))</f>
        <v>29</v>
      </c>
      <c r="U401" s="67" t="str">
        <f t="shared" si="64"/>
        <v xml:space="preserve"> </v>
      </c>
      <c r="V401" s="515"/>
      <c r="W401" s="125"/>
      <c r="X401" s="31">
        <f t="shared" si="54"/>
        <v>0</v>
      </c>
      <c r="Y401" s="509"/>
      <c r="Z401" s="1054" t="str">
        <f t="shared" si="59"/>
        <v>Greatest Seal of the Ages</v>
      </c>
      <c r="AA401" s="1072" t="str">
        <f t="shared" si="60"/>
        <v>Common</v>
      </c>
    </row>
    <row r="402" spans="1:27" hidden="1" outlineLevel="1">
      <c r="A402" s="965" t="s">
        <v>5761</v>
      </c>
      <c r="B402" s="67">
        <v>14</v>
      </c>
      <c r="C402" s="67">
        <f ca="1">magestuff!$AD$197+4</f>
        <v>14</v>
      </c>
      <c r="D402" s="67">
        <f t="shared" si="63"/>
        <v>0</v>
      </c>
      <c r="E402" s="77" t="e">
        <f ca="1">IF(F402="y",HLOOKUP((IF(C402&lt;1,1,C402)),Magick!$C$20:$L$21,2),NA())</f>
        <v>#N/A</v>
      </c>
      <c r="F402" s="67" t="str">
        <f ca="1">IF(C402&lt;=Magick!$D$3,"Y","N")</f>
        <v>N</v>
      </c>
      <c r="G402" s="148" t="s">
        <v>5779</v>
      </c>
      <c r="H402" s="151"/>
      <c r="I402" s="77" t="e">
        <f>IF(H402&gt;0,(HLOOKUP(C402,Magick!$C$20:$L$21,2)-HLOOKUP(H402,Magick!$C$20:$L$21,2)),NA())</f>
        <v>#N/A</v>
      </c>
      <c r="J402" s="77"/>
      <c r="K402" s="67">
        <v>28</v>
      </c>
      <c r="L402" s="72" t="str">
        <f>IF(H402&gt;0,Magick!#REF!-('Master Spell List'!H318*0.1),"N/A")</f>
        <v>N/A</v>
      </c>
      <c r="M402" s="72">
        <f ca="1">Magick!$H$65</f>
        <v>0.08</v>
      </c>
      <c r="N402" s="72">
        <f ca="1">Magick!$K$65</f>
        <v>0.11</v>
      </c>
      <c r="O402" s="72">
        <f ca="1">Magick!$L$65</f>
        <v>0.11</v>
      </c>
      <c r="P402" s="72">
        <f ca="1">Magick!$M$65</f>
        <v>0.11</v>
      </c>
      <c r="Q402" s="67" t="s">
        <v>113</v>
      </c>
      <c r="R402" s="67" t="str">
        <f>IF(Q402="Ritual","N/A",IF(Q402="I.E.","N/A",IF(Q402="WOG",VLOOKUP(Magick!$I$65*100,magestuff!$B$134:$F$138,2),IF(Q402="Cantrip",VLOOKUP(Magick!$I$65*100,magestuff!$B$134:$F$138,3),IF(Q402="Hex",VLOOKUP(Magick!$I$65*100,magestuff!$B$134:$F$138,4),VLOOKUP(Magick!$I$65*100,magestuff!$B$134:$F$138,5))))))</f>
        <v>N/A</v>
      </c>
      <c r="S402" s="67" t="s">
        <v>5545</v>
      </c>
      <c r="T402" s="67" t="s">
        <v>5545</v>
      </c>
      <c r="U402" s="67" t="str">
        <f t="shared" si="64"/>
        <v xml:space="preserve"> </v>
      </c>
      <c r="V402" s="515"/>
      <c r="W402" s="125"/>
      <c r="X402" s="31">
        <f t="shared" si="54"/>
        <v>0</v>
      </c>
      <c r="Y402" s="509"/>
      <c r="Z402" s="1054" t="str">
        <f t="shared" si="59"/>
        <v xml:space="preserve">Greatest Deflect Arcane Energy   </v>
      </c>
      <c r="AA402" s="1072" t="str">
        <f t="shared" si="60"/>
        <v>Common</v>
      </c>
    </row>
    <row r="403" spans="1:27" hidden="1" outlineLevel="1">
      <c r="A403" s="83" t="s">
        <v>6058</v>
      </c>
      <c r="B403" s="67">
        <v>14</v>
      </c>
      <c r="C403" s="67">
        <f ca="1">magestuff!$AD$197+4</f>
        <v>14</v>
      </c>
      <c r="D403" s="67">
        <f>IF(AND(ISNUMBER(H403),H403=0),C403,0)</f>
        <v>0</v>
      </c>
      <c r="E403" s="77" t="e">
        <f ca="1">IF(F403="y",HLOOKUP((IF(C403&lt;1,1,C403)),Magick!$C$20:$L$21,2),NA())</f>
        <v>#N/A</v>
      </c>
      <c r="F403" s="67" t="str">
        <f ca="1">IF(C403&lt;=Magick!$D$3,"Y","N")</f>
        <v>N</v>
      </c>
      <c r="G403" s="148" t="s">
        <v>6052</v>
      </c>
      <c r="H403" s="151"/>
      <c r="I403" s="77" t="e">
        <f>IF(H403&gt;0,(HLOOKUP(C403,Magick!$C$20:$L$21,2)-HLOOKUP(H403,Magick!$C$20:$L$21,2)),NA())</f>
        <v>#N/A</v>
      </c>
      <c r="J403" s="77"/>
      <c r="K403" s="67" t="s">
        <v>6059</v>
      </c>
      <c r="L403" s="72" t="str">
        <f>IF(H403&gt;0,Magick!#REF!-('Master Spell List'!H346*0.1),"N/A")</f>
        <v>N/A</v>
      </c>
      <c r="M403" s="72">
        <f ca="1">Magick!$H$65</f>
        <v>0.08</v>
      </c>
      <c r="N403" s="72">
        <f ca="1">Magick!$K$65</f>
        <v>0.11</v>
      </c>
      <c r="O403" s="72">
        <f ca="1">Magick!$L$65</f>
        <v>0.11</v>
      </c>
      <c r="P403" s="72">
        <f ca="1">Magick!$M$65</f>
        <v>0.11</v>
      </c>
      <c r="Q403" s="67" t="s">
        <v>113</v>
      </c>
      <c r="R403" s="67" t="str">
        <f>IF(Q403="Ritual","N/A",IF(Q403="I.E.","N/A",IF(Q403="WOG",VLOOKUP(Magick!$I$65*100,magestuff!$B$134:$F$138,2),IF(Q403="Cantrip",VLOOKUP(Magick!$I$65*100,magestuff!$B$134:$F$138,3),IF(Q403="Hex",VLOOKUP(Magick!$I$65*100,magestuff!$B$134:$F$138,4),VLOOKUP(Magick!$I$65*100,magestuff!$B$134:$F$138,5))))))</f>
        <v>N/A</v>
      </c>
      <c r="S403" s="67">
        <f>25*Magick!$C$3</f>
        <v>0</v>
      </c>
      <c r="T403" s="67" t="s">
        <v>3725</v>
      </c>
      <c r="U403" s="67" t="str">
        <f>IF(ISBLANK(H403)," ",IF(H403&gt;0,0,C403*10))</f>
        <v xml:space="preserve"> </v>
      </c>
      <c r="V403" s="515"/>
      <c r="W403" s="125"/>
      <c r="X403" s="31">
        <f t="shared" si="54"/>
        <v>0</v>
      </c>
      <c r="Y403" s="1025"/>
      <c r="Z403" s="1054" t="str">
        <f t="shared" si="59"/>
        <v>Greatest Arcane Pocket</v>
      </c>
      <c r="AA403" s="1072" t="str">
        <f t="shared" si="60"/>
        <v>Common</v>
      </c>
    </row>
    <row r="404" spans="1:27" hidden="1" outlineLevel="1">
      <c r="A404" s="83" t="s">
        <v>6067</v>
      </c>
      <c r="B404" s="67">
        <v>15</v>
      </c>
      <c r="C404" s="67">
        <f ca="1">magestuff!$AD$197+5</f>
        <v>15</v>
      </c>
      <c r="D404" s="67">
        <f t="shared" ref="D404" si="65">IF(AND(ISNUMBER(H404),H404=0),C404,0)</f>
        <v>0</v>
      </c>
      <c r="E404" s="77" t="e">
        <f ca="1">IF(F404="y",HLOOKUP((IF(C404&lt;1,1,C404)),Magick!$C$20:$L$21,2),NA())</f>
        <v>#N/A</v>
      </c>
      <c r="F404" s="67" t="str">
        <f ca="1">IF(C404&lt;=Magick!$D$3,"Y","N")</f>
        <v>N</v>
      </c>
      <c r="G404" s="148" t="s">
        <v>6052</v>
      </c>
      <c r="H404" s="151"/>
      <c r="I404" s="77" t="e">
        <f>IF(H404&gt;0,(HLOOKUP(C404,Magick!$C$20:$L$21,2)-HLOOKUP(H404,Magick!$C$20:$L$21,2)),NA())</f>
        <v>#N/A</v>
      </c>
      <c r="J404" s="77"/>
      <c r="K404" s="67">
        <v>34</v>
      </c>
      <c r="L404" s="72" t="str">
        <f>IF(H404&gt;0,Magick!#REF!-('Master Spell List'!H349*0.1),"N/A")</f>
        <v>N/A</v>
      </c>
      <c r="M404" s="72">
        <f ca="1">Magick!$H$65</f>
        <v>0.08</v>
      </c>
      <c r="N404" s="72">
        <f ca="1">Magick!$K$65</f>
        <v>0.11</v>
      </c>
      <c r="O404" s="72">
        <f ca="1">Magick!$L$65</f>
        <v>0.11</v>
      </c>
      <c r="P404" s="72">
        <f ca="1">Magick!$M$65</f>
        <v>0.11</v>
      </c>
      <c r="Q404" s="67" t="s">
        <v>113</v>
      </c>
      <c r="R404" s="67" t="str">
        <f>IF(Q404="Ritual","N/A",IF(Q404="I.E.","N/A",IF(Q404="WOG",VLOOKUP(Magick!$I$65*100,magestuff!$B$134:$F$138,2),IF(Q404="Cantrip",VLOOKUP(Magick!$I$65*100,magestuff!$B$134:$F$138,3),IF(Q404="Hex",VLOOKUP(Magick!$I$65*100,magestuff!$B$134:$F$138,4),VLOOKUP(Magick!$I$65*100,magestuff!$B$134:$F$138,5))))))</f>
        <v>N/A</v>
      </c>
      <c r="S404" s="67">
        <f>1000*Magick!$C$3</f>
        <v>0</v>
      </c>
      <c r="T404" s="67" t="s">
        <v>3725</v>
      </c>
      <c r="U404" s="67" t="str">
        <f t="shared" ref="U404" si="66">IF(ISBLANK(H404)," ",IF(H404&gt;0,0,C404*10))</f>
        <v xml:space="preserve"> </v>
      </c>
      <c r="V404" s="515"/>
      <c r="W404" s="125"/>
      <c r="X404" s="31">
        <f t="shared" si="54"/>
        <v>0</v>
      </c>
      <c r="Y404" s="1025"/>
      <c r="Z404" s="1054" t="str">
        <f t="shared" si="59"/>
        <v>Greatest Aport an Object</v>
      </c>
      <c r="AA404" s="1072" t="str">
        <f t="shared" si="60"/>
        <v>Common</v>
      </c>
    </row>
    <row r="405" spans="1:27" hidden="1" outlineLevel="1">
      <c r="A405" s="965" t="s">
        <v>5766</v>
      </c>
      <c r="B405" s="67">
        <v>15</v>
      </c>
      <c r="C405" s="67">
        <f ca="1">magestuff!$AD$197+5</f>
        <v>15</v>
      </c>
      <c r="D405" s="67">
        <f t="shared" si="63"/>
        <v>0</v>
      </c>
      <c r="E405" s="77" t="e">
        <f ca="1">IF(F405="y",HLOOKUP((IF(C405&lt;1,1,C405)),Magick!$C$20:$L$21,2),NA())</f>
        <v>#N/A</v>
      </c>
      <c r="F405" s="67" t="str">
        <f ca="1">IF(C405&lt;=Magick!$D$3,"Y","N")</f>
        <v>N</v>
      </c>
      <c r="G405" s="148" t="s">
        <v>5779</v>
      </c>
      <c r="H405" s="151"/>
      <c r="I405" s="77" t="e">
        <f>IF(H405&gt;0,(HLOOKUP(C405,Magick!$C$20:$L$21,2)-HLOOKUP(H405,Magick!$C$20:$L$21,2)),NA())</f>
        <v>#N/A</v>
      </c>
      <c r="J405" s="77"/>
      <c r="K405" s="67">
        <v>3</v>
      </c>
      <c r="L405" s="72" t="str">
        <f>IF(H405&gt;0,Magick!#REF!-('Master Spell List'!H323*0.1),"N/A")</f>
        <v>N/A</v>
      </c>
      <c r="M405" s="72">
        <f ca="1">Magick!$H$65</f>
        <v>0.08</v>
      </c>
      <c r="N405" s="72">
        <f ca="1">Magick!$K$65</f>
        <v>0.11</v>
      </c>
      <c r="O405" s="72">
        <f ca="1">Magick!$L$65</f>
        <v>0.11</v>
      </c>
      <c r="P405" s="72">
        <f ca="1">Magick!$M$65</f>
        <v>0.11</v>
      </c>
      <c r="Q405" s="67" t="s">
        <v>4603</v>
      </c>
      <c r="R405" s="67">
        <f ca="1">IF(Q405="Ritual","N/A",IF(Q405="I.E.","N/A",IF(Q405="WOG",VLOOKUP(Magick!$I$65*100,magestuff!$B$134:$F$138,2),IF(Q405="Cantrip",VLOOKUP(Magick!$I$65*100,magestuff!$B$134:$F$138,3),IF(Q405="Hex",VLOOKUP(Magick!$I$65*100,magestuff!$B$134:$F$138,4),VLOOKUP(Magick!$I$65*100,magestuff!$B$134:$F$138,5))))))</f>
        <v>9</v>
      </c>
      <c r="S405" s="67" t="s">
        <v>5545</v>
      </c>
      <c r="T405" s="67" t="s">
        <v>5545</v>
      </c>
      <c r="U405" s="67" t="str">
        <f t="shared" si="64"/>
        <v xml:space="preserve"> </v>
      </c>
      <c r="V405" s="515"/>
      <c r="W405" s="125"/>
      <c r="X405" s="31">
        <f t="shared" si="54"/>
        <v>0</v>
      </c>
      <c r="Y405" s="509"/>
      <c r="Z405" s="1054" t="str">
        <f t="shared" si="59"/>
        <v xml:space="preserve">Greatest Repulse Arcane Energy   </v>
      </c>
      <c r="AA405" s="1072" t="str">
        <f t="shared" si="60"/>
        <v>Common</v>
      </c>
    </row>
    <row r="406" spans="1:27" collapsed="1">
      <c r="A406" s="48" t="s">
        <v>1631</v>
      </c>
      <c r="B406" s="76">
        <f>SUM(B407:B515)</f>
        <v>537</v>
      </c>
      <c r="C406" s="76">
        <f ca="1">SUM(C407:C515)</f>
        <v>535</v>
      </c>
      <c r="D406" s="76">
        <f>SUM(D407:D515)</f>
        <v>0</v>
      </c>
      <c r="E406" s="76"/>
      <c r="F406" s="149">
        <f ca="1">SUM(C407:C421)+IF(F422="Y",SUM(C422:C436),0)+IF(F437="Y",SUM(C437:C459),0)+IF(F460="Y",SUM(C460:C476),0)+IF(F477="Y",SUM(C477:C491),0)+IF(F492="Y",SUM(C492:C500),0)+IF(F501="Y",SUM(C501:C505),0)+IF(F506="Y",SUM(C506:C510),0)+IF(F511="Y",SUM(C511:C514),0)+IF(F515="Y",SUM(C515:C515),0)</f>
        <v>23</v>
      </c>
      <c r="G406" s="76"/>
      <c r="H406" s="150"/>
      <c r="I406" s="76"/>
      <c r="J406" s="76"/>
      <c r="K406" s="76"/>
      <c r="L406" s="76"/>
      <c r="M406" s="222">
        <f ca="1">Magick!$H$71</f>
        <v>0.04</v>
      </c>
      <c r="N406" s="222">
        <f ca="1">Magick!$K$71</f>
        <v>0.09</v>
      </c>
      <c r="O406" s="222">
        <f ca="1">Magick!$L$71</f>
        <v>0.09</v>
      </c>
      <c r="P406" s="222">
        <f ca="1">Magick!$M$71</f>
        <v>0.09</v>
      </c>
      <c r="Q406" s="76"/>
      <c r="R406" s="76"/>
      <c r="S406" s="76"/>
      <c r="T406" s="76"/>
      <c r="U406" s="149">
        <f>SUM(U407:U515)</f>
        <v>0</v>
      </c>
      <c r="V406" s="76"/>
      <c r="W406" s="76"/>
      <c r="X406" s="149"/>
      <c r="Y406" s="509"/>
      <c r="Z406" s="1054" t="str">
        <f t="shared" si="59"/>
        <v>Command</v>
      </c>
      <c r="AA406" s="1072" t="str">
        <f t="shared" si="60"/>
        <v>Command</v>
      </c>
    </row>
    <row r="407" spans="1:27" hidden="1" outlineLevel="1">
      <c r="A407" s="83" t="s">
        <v>2082</v>
      </c>
      <c r="B407" s="67">
        <v>1</v>
      </c>
      <c r="C407" s="67">
        <f ca="1">IF(magestuff!$C$199&lt;1,1,magestuff!$C$199)</f>
        <v>1</v>
      </c>
      <c r="D407" s="67">
        <f t="shared" ref="D407:D470" si="67">IF(AND(ISNUMBER(H407),H407=0),C407,0)</f>
        <v>0</v>
      </c>
      <c r="E407" s="77">
        <f ca="1">IF(F407="y",HLOOKUP((IF(C407&lt;1,1,C407)),Magick!$C$20:$L$21,2),NA())</f>
        <v>10</v>
      </c>
      <c r="F407" s="67" t="str">
        <f ca="1">IF(C407&lt;=Magick!$D$3,"Y","N")</f>
        <v>Y</v>
      </c>
      <c r="G407" s="148" t="s">
        <v>1617</v>
      </c>
      <c r="H407" s="151"/>
      <c r="I407" s="77" t="e">
        <f>IF(H407&gt;0,(HLOOKUP(C407,Magick!$C$20:$L$21,2)-HLOOKUP(H407,Magick!$C$20:$L$21,2)),NA())</f>
        <v>#N/A</v>
      </c>
      <c r="J407" s="77"/>
      <c r="K407" s="67">
        <v>3</v>
      </c>
      <c r="L407" s="72" t="str">
        <f>IF(H407&gt;0,Magick!$AR$21-('Master Spell List'!H475*0.1),"N/A")</f>
        <v>N/A</v>
      </c>
      <c r="M407" s="72">
        <f ca="1">Magick!$H$71</f>
        <v>0.04</v>
      </c>
      <c r="N407" s="72">
        <f ca="1">Magick!$K$71</f>
        <v>0.09</v>
      </c>
      <c r="O407" s="72">
        <f ca="1">Magick!$L$71</f>
        <v>0.09</v>
      </c>
      <c r="P407" s="72">
        <f ca="1">Magick!$M$71</f>
        <v>0.09</v>
      </c>
      <c r="Q407" s="67" t="s">
        <v>4603</v>
      </c>
      <c r="R407" s="67">
        <f ca="1">IF(Q407="Ritual","N/A",IF(Q407="I.E.","N/A",IF(Q407="WOG",VLOOKUP(Magick!$I$71*100,magestuff!$B$134:$F$138,2),IF(Q407="Cantrip",VLOOKUP(Magick!$I$71*100,magestuff!$B$134:$F$138,3),IF(Q407="Hex",VLOOKUP(Magick!$I$71*100,magestuff!$B$134:$F$138,4),VLOOKUP(Magick!$I$71*100,magestuff!$B$134:$F$138,5))))))</f>
        <v>9</v>
      </c>
      <c r="U407" s="67" t="str">
        <f t="shared" ref="U407:U470" si="68">IF(ISBLANK(H407)," ",IF(H407&gt;0,0,C407*10))</f>
        <v xml:space="preserve"> </v>
      </c>
      <c r="V407" s="515"/>
      <c r="W407" s="125"/>
      <c r="X407" s="31">
        <f t="shared" ref="X407:X438" si="69">W407*3</f>
        <v>0</v>
      </c>
      <c r="Y407" s="509"/>
      <c r="Z407" s="1054" t="str">
        <f t="shared" si="59"/>
        <v>Attract</v>
      </c>
      <c r="AA407" s="1072" t="str">
        <f t="shared" si="60"/>
        <v>Command</v>
      </c>
    </row>
    <row r="408" spans="1:27" hidden="1" outlineLevel="1">
      <c r="A408" s="31" t="s">
        <v>2355</v>
      </c>
      <c r="B408" s="67">
        <v>1</v>
      </c>
      <c r="C408" s="67">
        <f ca="1">IF(magestuff!$C$199&lt;1,1,magestuff!$C$199)</f>
        <v>1</v>
      </c>
      <c r="D408" s="67">
        <f t="shared" si="67"/>
        <v>0</v>
      </c>
      <c r="E408" s="77">
        <f ca="1">IF(F408="y",HLOOKUP((IF(C408&lt;1,1,C408)),Magick!$C$20:$L$21,2),NA())</f>
        <v>10</v>
      </c>
      <c r="F408" s="67" t="str">
        <f ca="1">IF(C408&lt;=Magick!$D$3,"Y","N")</f>
        <v>Y</v>
      </c>
      <c r="G408" s="148" t="s">
        <v>128</v>
      </c>
      <c r="H408" s="151"/>
      <c r="I408" s="77" t="e">
        <f>IF(H408&gt;0,(HLOOKUP(C408,Magick!$C$20:$L$21,2)-HLOOKUP(H408,Magick!$C$20:$L$21,2)),NA())</f>
        <v>#N/A</v>
      </c>
      <c r="J408" s="77"/>
      <c r="K408" s="67">
        <v>2</v>
      </c>
      <c r="L408" s="72" t="str">
        <f>IF(H408&gt;0,Magick!$AR$21-('Master Spell List'!H408*0.1),"N/A")</f>
        <v>N/A</v>
      </c>
      <c r="M408" s="72">
        <f ca="1">Magick!$H$71</f>
        <v>0.04</v>
      </c>
      <c r="N408" s="72">
        <f ca="1">Magick!$K$71</f>
        <v>0.09</v>
      </c>
      <c r="O408" s="72">
        <f ca="1">Magick!$L$71</f>
        <v>0.09</v>
      </c>
      <c r="P408" s="72">
        <f ca="1">Magick!$M$71</f>
        <v>0.09</v>
      </c>
      <c r="Q408" s="67" t="s">
        <v>4603</v>
      </c>
      <c r="R408" s="67">
        <f ca="1">IF(Q408="Ritual","N/A",IF(Q408="I.E.","N/A",IF(Q408="WOG",VLOOKUP(Magick!$I$71*100,magestuff!$B$134:$F$138,2),IF(Q408="Cantrip",VLOOKUP(Magick!$I$71*100,magestuff!$B$134:$F$138,3),IF(Q408="Hex",VLOOKUP(Magick!$I$71*100,magestuff!$B$134:$F$138,4),VLOOKUP(Magick!$I$71*100,magestuff!$B$134:$F$138,5))))))</f>
        <v>9</v>
      </c>
      <c r="U408" s="67" t="str">
        <f t="shared" si="68"/>
        <v xml:space="preserve"> </v>
      </c>
      <c r="V408" s="515"/>
      <c r="W408" s="125"/>
      <c r="X408" s="31">
        <f t="shared" si="69"/>
        <v>0</v>
      </c>
      <c r="Y408" s="509"/>
      <c r="Z408" s="1054" t="str">
        <f t="shared" si="59"/>
        <v>Awaken</v>
      </c>
      <c r="AA408" s="1072" t="str">
        <f t="shared" si="60"/>
        <v>Command</v>
      </c>
    </row>
    <row r="409" spans="1:27" hidden="1" outlineLevel="1">
      <c r="A409" s="31" t="s">
        <v>4372</v>
      </c>
      <c r="B409" s="67">
        <v>1</v>
      </c>
      <c r="C409" s="67">
        <f ca="1">IF(magestuff!$C$199&lt;1,1,magestuff!$C$199)</f>
        <v>1</v>
      </c>
      <c r="D409" s="67">
        <f t="shared" si="67"/>
        <v>0</v>
      </c>
      <c r="E409" s="77">
        <f ca="1">IF(F409="y",HLOOKUP((IF(C409&lt;1,1,C409)),Magick!$C$20:$L$21,2),NA())</f>
        <v>10</v>
      </c>
      <c r="F409" s="67" t="str">
        <f ca="1">IF(C409&lt;=Magick!$D$3,"Y","N")</f>
        <v>Y</v>
      </c>
      <c r="G409" s="148" t="s">
        <v>128</v>
      </c>
      <c r="H409" s="151"/>
      <c r="I409" s="77" t="e">
        <f>IF(H409&gt;0,(HLOOKUP(C409,Magick!$C$20:$L$21,2)-HLOOKUP(H409,Magick!$C$20:$L$21,2)),NA())</f>
        <v>#N/A</v>
      </c>
      <c r="J409" s="77"/>
      <c r="K409" s="67">
        <v>2</v>
      </c>
      <c r="L409" s="72" t="str">
        <f>IF(H409&gt;0,Magick!$AR$21-('Master Spell List'!H418*0.1),"N/A")</f>
        <v>N/A</v>
      </c>
      <c r="M409" s="72">
        <f ca="1">Magick!$H$71</f>
        <v>0.04</v>
      </c>
      <c r="N409" s="72">
        <f ca="1">Magick!$K$71</f>
        <v>0.09</v>
      </c>
      <c r="O409" s="72">
        <f ca="1">Magick!$L$71</f>
        <v>0.09</v>
      </c>
      <c r="P409" s="72">
        <f ca="1">Magick!$M$71</f>
        <v>0.09</v>
      </c>
      <c r="Q409" s="67" t="s">
        <v>4603</v>
      </c>
      <c r="R409" s="67">
        <f ca="1">IF(Q409="Ritual","N/A",IF(Q409="I.E.","N/A",IF(Q409="WOG",VLOOKUP(Magick!$I$71*100,magestuff!$B$134:$F$138,2),IF(Q409="Cantrip",VLOOKUP(Magick!$I$71*100,magestuff!$B$134:$F$138,3),IF(Q409="Hex",VLOOKUP(Magick!$I$71*100,magestuff!$B$134:$F$138,4),VLOOKUP(Magick!$I$71*100,magestuff!$B$134:$F$138,5))))))</f>
        <v>9</v>
      </c>
      <c r="U409" s="67" t="str">
        <f t="shared" si="68"/>
        <v xml:space="preserve"> </v>
      </c>
      <c r="V409" s="515"/>
      <c r="W409" s="125"/>
      <c r="X409" s="31">
        <f t="shared" si="69"/>
        <v>0</v>
      </c>
      <c r="Y409" s="509"/>
      <c r="Z409" s="1054" t="str">
        <f t="shared" si="59"/>
        <v>Charm Small Animals</v>
      </c>
      <c r="AA409" s="1072" t="str">
        <f t="shared" si="60"/>
        <v>Command</v>
      </c>
    </row>
    <row r="410" spans="1:27" hidden="1" outlineLevel="1">
      <c r="A410" s="31" t="s">
        <v>625</v>
      </c>
      <c r="B410" s="67">
        <v>1</v>
      </c>
      <c r="C410" s="67">
        <f ca="1">IF(magestuff!$C$199&lt;1,1,magestuff!$C$199)</f>
        <v>1</v>
      </c>
      <c r="D410" s="67">
        <f t="shared" si="67"/>
        <v>0</v>
      </c>
      <c r="E410" s="77">
        <f ca="1">IF(F410="y",HLOOKUP((IF(C410&lt;1,1,C410)),Magick!$C$20:$L$21,2),NA())</f>
        <v>10</v>
      </c>
      <c r="F410" s="67" t="str">
        <f ca="1">IF(C410&lt;=Magick!$D$3,"Y","N")</f>
        <v>Y</v>
      </c>
      <c r="G410" s="148" t="s">
        <v>128</v>
      </c>
      <c r="H410" s="151"/>
      <c r="I410" s="77" t="e">
        <f>IF(H410&gt;0,(HLOOKUP(C410,Magick!$C$20:$L$21,2)-HLOOKUP(H410,Magick!$C$20:$L$21,2)),NA())</f>
        <v>#N/A</v>
      </c>
      <c r="J410" s="77"/>
      <c r="K410" s="67">
        <v>2</v>
      </c>
      <c r="L410" s="72" t="str">
        <f>IF(H410&gt;0,Magick!$AR$21-('Master Spell List'!H419*0.1),"N/A")</f>
        <v>N/A</v>
      </c>
      <c r="M410" s="72">
        <f ca="1">Magick!$H$71</f>
        <v>0.04</v>
      </c>
      <c r="N410" s="72">
        <f ca="1">Magick!$K$71</f>
        <v>0.09</v>
      </c>
      <c r="O410" s="72">
        <f ca="1">Magick!$L$71</f>
        <v>0.09</v>
      </c>
      <c r="P410" s="72">
        <f ca="1">Magick!$M$71</f>
        <v>0.09</v>
      </c>
      <c r="Q410" s="67" t="s">
        <v>4603</v>
      </c>
      <c r="R410" s="67">
        <f ca="1">IF(Q410="Ritual","N/A",IF(Q410="I.E.","N/A",IF(Q410="WOG",VLOOKUP(Magick!$I$71*100,magestuff!$B$134:$F$138,2),IF(Q410="Cantrip",VLOOKUP(Magick!$I$71*100,magestuff!$B$134:$F$138,3),IF(Q410="Hex",VLOOKUP(Magick!$I$71*100,magestuff!$B$134:$F$138,4),VLOOKUP(Magick!$I$71*100,magestuff!$B$134:$F$138,5))))))</f>
        <v>9</v>
      </c>
      <c r="U410" s="67" t="str">
        <f t="shared" si="68"/>
        <v xml:space="preserve"> </v>
      </c>
      <c r="V410" s="515"/>
      <c r="W410" s="125"/>
      <c r="X410" s="31">
        <f t="shared" si="69"/>
        <v>0</v>
      </c>
      <c r="Y410" s="509"/>
      <c r="Z410" s="1054" t="str">
        <f t="shared" si="59"/>
        <v>Dispel Charmed Small Animals</v>
      </c>
      <c r="AA410" s="1072" t="str">
        <f t="shared" si="60"/>
        <v>Command</v>
      </c>
    </row>
    <row r="411" spans="1:27" hidden="1" outlineLevel="1">
      <c r="A411" s="83" t="s">
        <v>2632</v>
      </c>
      <c r="B411" s="67">
        <v>1</v>
      </c>
      <c r="C411" s="67">
        <f ca="1">IF(magestuff!$C$199&lt;1,1,magestuff!$C$199)</f>
        <v>1</v>
      </c>
      <c r="D411" s="67">
        <f t="shared" si="67"/>
        <v>0</v>
      </c>
      <c r="E411" s="77">
        <f ca="1">IF(F411="y",HLOOKUP((IF(C411&lt;1,1,C411)),Magick!$C$20:$L$21,2),NA())</f>
        <v>10</v>
      </c>
      <c r="F411" s="67" t="str">
        <f ca="1">IF(C411&lt;=Magick!$D$3,"Y","N")</f>
        <v>Y</v>
      </c>
      <c r="G411" s="148" t="s">
        <v>1616</v>
      </c>
      <c r="H411" s="151"/>
      <c r="I411" s="77" t="e">
        <f>IF(H412&gt;0,(HLOOKUP(C412,Magick!$C$20:$L$21,2)-HLOOKUP(H412,Magick!$C$20:$L$21,2)),NA())</f>
        <v>#N/A</v>
      </c>
      <c r="J411" s="77"/>
      <c r="K411" s="67">
        <v>3</v>
      </c>
      <c r="L411" s="72" t="str">
        <f>IF(H412&gt;0,Magick!$AR$21-('Master Spell List'!H456*0.1),"N/A")</f>
        <v>N/A</v>
      </c>
      <c r="M411" s="72">
        <f ca="1">Magick!$H$71</f>
        <v>0.04</v>
      </c>
      <c r="N411" s="72">
        <f ca="1">Magick!$K$71</f>
        <v>0.09</v>
      </c>
      <c r="O411" s="72">
        <f ca="1">Magick!$L$71</f>
        <v>0.09</v>
      </c>
      <c r="P411" s="72">
        <f ca="1">Magick!$M$71</f>
        <v>0.09</v>
      </c>
      <c r="Q411" s="67" t="s">
        <v>4603</v>
      </c>
      <c r="R411" s="67">
        <f ca="1">IF(Q411="Ritual","N/A",IF(Q411="I.E.","N/A",IF(Q411="WOG",VLOOKUP(Magick!$I$71*100,magestuff!$B$134:$F$138,2),IF(Q411="Cantrip",VLOOKUP(Magick!$I$71*100,magestuff!$B$134:$F$138,3),IF(Q411="Hex",VLOOKUP(Magick!$I$71*100,magestuff!$B$134:$F$138,4),VLOOKUP(Magick!$I$71*100,magestuff!$B$134:$F$138,5))))))</f>
        <v>9</v>
      </c>
      <c r="U411" s="67" t="str">
        <f t="shared" si="68"/>
        <v xml:space="preserve"> </v>
      </c>
      <c r="V411" s="515"/>
      <c r="W411" s="125"/>
      <c r="X411" s="31">
        <f t="shared" si="69"/>
        <v>0</v>
      </c>
      <c r="Y411" s="509"/>
      <c r="Z411" s="1054" t="str">
        <f t="shared" si="59"/>
        <v>Itch</v>
      </c>
      <c r="AA411" s="1072" t="str">
        <f t="shared" si="60"/>
        <v>Command</v>
      </c>
    </row>
    <row r="412" spans="1:27" hidden="1" outlineLevel="1">
      <c r="A412" s="31" t="s">
        <v>5435</v>
      </c>
      <c r="B412" s="67">
        <v>1</v>
      </c>
      <c r="C412" s="67">
        <f ca="1">IF(magestuff!$C$199&lt;1,1,magestuff!$C$199)</f>
        <v>1</v>
      </c>
      <c r="D412" s="67">
        <f t="shared" si="67"/>
        <v>0</v>
      </c>
      <c r="E412" s="77">
        <f ca="1">IF(F412="y",HLOOKUP((IF(C412&lt;1,1,C412)),Magick!$C$20:$L$21,2),NA())</f>
        <v>10</v>
      </c>
      <c r="F412" s="67" t="str">
        <f ca="1">IF(C412&lt;=Magick!$D$3,"Y","N")</f>
        <v>Y</v>
      </c>
      <c r="G412" s="148" t="s">
        <v>128</v>
      </c>
      <c r="H412" s="151"/>
      <c r="I412" s="77" t="e">
        <f>IF(H412&gt;0,(HLOOKUP(C412,Magick!$C$20:$L$21,2)-HLOOKUP(H412,Magick!$C$20:$L$21,2)),NA())</f>
        <v>#N/A</v>
      </c>
      <c r="J412" s="77"/>
      <c r="K412" s="67">
        <v>2</v>
      </c>
      <c r="L412" s="72" t="str">
        <f>IF(H412&gt;0,Magick!$AR$21-('Master Spell List'!H456*0.1),"N/A")</f>
        <v>N/A</v>
      </c>
      <c r="M412" s="72">
        <f ca="1">Magick!$H$71</f>
        <v>0.04</v>
      </c>
      <c r="N412" s="72">
        <f ca="1">Magick!$K$71</f>
        <v>0.09</v>
      </c>
      <c r="O412" s="72">
        <f ca="1">Magick!$L$71</f>
        <v>0.09</v>
      </c>
      <c r="P412" s="72">
        <f ca="1">Magick!$M$71</f>
        <v>0.09</v>
      </c>
      <c r="Q412" s="67" t="s">
        <v>4603</v>
      </c>
      <c r="R412" s="67">
        <f ca="1">IF(Q412="Ritual","N/A",IF(Q412="I.E.","N/A",IF(Q412="WOG",VLOOKUP(Magick!$I$71*100,magestuff!$B$134:$F$138,2),IF(Q412="Cantrip",VLOOKUP(Magick!$I$71*100,magestuff!$B$134:$F$138,3),IF(Q412="Hex",VLOOKUP(Magick!$I$71*100,magestuff!$B$134:$F$138,4),VLOOKUP(Magick!$I$71*100,magestuff!$B$134:$F$138,5))))))</f>
        <v>9</v>
      </c>
      <c r="U412" s="67" t="str">
        <f t="shared" si="68"/>
        <v xml:space="preserve"> </v>
      </c>
      <c r="V412" s="515"/>
      <c r="W412" s="125"/>
      <c r="X412" s="31">
        <f t="shared" si="69"/>
        <v>0</v>
      </c>
      <c r="Y412" s="509"/>
      <c r="Z412" s="1054" t="str">
        <f t="shared" si="59"/>
        <v>Lesser Fright</v>
      </c>
      <c r="AA412" s="1072" t="str">
        <f t="shared" si="60"/>
        <v>Command</v>
      </c>
    </row>
    <row r="413" spans="1:27" hidden="1" outlineLevel="1">
      <c r="A413" s="31" t="s">
        <v>4075</v>
      </c>
      <c r="B413" s="67">
        <v>1</v>
      </c>
      <c r="C413" s="67">
        <f ca="1">IF(magestuff!$C$199&lt;1,1,magestuff!$C$199)</f>
        <v>1</v>
      </c>
      <c r="D413" s="67">
        <f t="shared" si="67"/>
        <v>0</v>
      </c>
      <c r="E413" s="77">
        <f ca="1">IF(F413="y",HLOOKUP((IF(C413&lt;1,1,C413)),Magick!$C$20:$L$21,2),NA())</f>
        <v>10</v>
      </c>
      <c r="F413" s="67" t="str">
        <f ca="1">IF(C413&lt;=Magick!$D$3,"Y","N")</f>
        <v>Y</v>
      </c>
      <c r="G413" s="148" t="s">
        <v>128</v>
      </c>
      <c r="H413" s="151"/>
      <c r="I413" s="77" t="e">
        <f>IF(H413&gt;0,(HLOOKUP(C413,Magick!$C$20:$L$21,2)-HLOOKUP(H413,Magick!$C$20:$L$21,2)),NA())</f>
        <v>#N/A</v>
      </c>
      <c r="J413" s="77"/>
      <c r="K413" s="67">
        <v>2</v>
      </c>
      <c r="L413" s="72" t="str">
        <f>IF(H413&gt;0,Magick!$AR$21-('Master Spell List'!H407*0.1),"N/A")</f>
        <v>N/A</v>
      </c>
      <c r="M413" s="72">
        <f ca="1">Magick!$H$71</f>
        <v>0.04</v>
      </c>
      <c r="N413" s="72">
        <f ca="1">Magick!$K$71</f>
        <v>0.09</v>
      </c>
      <c r="O413" s="72">
        <f ca="1">Magick!$L$71</f>
        <v>0.09</v>
      </c>
      <c r="P413" s="72">
        <f ca="1">Magick!$M$71</f>
        <v>0.09</v>
      </c>
      <c r="Q413" s="67" t="s">
        <v>4603</v>
      </c>
      <c r="R413" s="67">
        <f ca="1">IF(Q413="Ritual","N/A",IF(Q413="I.E.","N/A",IF(Q413="WOG",VLOOKUP(Magick!$I$71*100,magestuff!$B$134:$F$138,2),IF(Q413="Cantrip",VLOOKUP(Magick!$I$71*100,magestuff!$B$134:$F$138,3),IF(Q413="Hex",VLOOKUP(Magick!$I$71*100,magestuff!$B$134:$F$138,4),VLOOKUP(Magick!$I$71*100,magestuff!$B$134:$F$138,5))))))</f>
        <v>9</v>
      </c>
      <c r="U413" s="67" t="str">
        <f t="shared" si="68"/>
        <v xml:space="preserve"> </v>
      </c>
      <c r="V413" s="515"/>
      <c r="W413" s="125"/>
      <c r="X413" s="31">
        <f t="shared" si="69"/>
        <v>0</v>
      </c>
      <c r="Y413" s="509"/>
      <c r="Z413" s="1054" t="str">
        <f t="shared" si="59"/>
        <v>Sleep</v>
      </c>
      <c r="AA413" s="1072" t="str">
        <f t="shared" si="60"/>
        <v>Command</v>
      </c>
    </row>
    <row r="414" spans="1:27" hidden="1" outlineLevel="1">
      <c r="A414" s="31" t="s">
        <v>4373</v>
      </c>
      <c r="B414" s="67">
        <v>2</v>
      </c>
      <c r="C414" s="67">
        <f ca="1">IF(magestuff!$F$199&lt;1,1,magestuff!$F$199)</f>
        <v>2</v>
      </c>
      <c r="D414" s="67">
        <f t="shared" si="67"/>
        <v>0</v>
      </c>
      <c r="E414" s="77">
        <f ca="1">IF(F414="y",HLOOKUP((IF(C414&lt;1,1,C414)),Magick!$C$20:$L$21,2),NA())</f>
        <v>21</v>
      </c>
      <c r="F414" s="67" t="str">
        <f ca="1">IF(C414&lt;=Magick!$D$3,"Y","N")</f>
        <v>Y</v>
      </c>
      <c r="G414" s="148" t="s">
        <v>128</v>
      </c>
      <c r="H414" s="151"/>
      <c r="I414" s="77" t="e">
        <f>IF(H414&gt;0,(HLOOKUP(C414,Magick!$C$20:$L$21,2)-HLOOKUP(H414,Magick!$C$20:$L$21,2)),NA())</f>
        <v>#N/A</v>
      </c>
      <c r="J414" s="77"/>
      <c r="K414" s="67">
        <v>3</v>
      </c>
      <c r="L414" s="72" t="str">
        <f>IF(H414&gt;0,Magick!$AR$21-('Master Spell List'!H420*0.1),"N/A")</f>
        <v>N/A</v>
      </c>
      <c r="M414" s="72">
        <f ca="1">Magick!$H$71</f>
        <v>0.04</v>
      </c>
      <c r="N414" s="72">
        <f ca="1">Magick!$K$71</f>
        <v>0.09</v>
      </c>
      <c r="O414" s="72">
        <f ca="1">Magick!$L$71</f>
        <v>0.09</v>
      </c>
      <c r="P414" s="72">
        <f ca="1">Magick!$M$71</f>
        <v>0.09</v>
      </c>
      <c r="Q414" s="67" t="s">
        <v>3723</v>
      </c>
      <c r="R414" s="67">
        <f ca="1">IF(Q414="Ritual","N/A",IF(Q414="I.E.","N/A",IF(Q414="WOG",VLOOKUP(Magick!$I$71*100,magestuff!$B$134:$F$138,2),IF(Q414="Cantrip",VLOOKUP(Magick!$I$71*100,magestuff!$B$134:$F$138,3),IF(Q414="Hex",VLOOKUP(Magick!$I$71*100,magestuff!$B$134:$F$138,4),VLOOKUP(Magick!$I$71*100,magestuff!$B$134:$F$138,5))))))</f>
        <v>29</v>
      </c>
      <c r="U414" s="67" t="str">
        <f t="shared" si="68"/>
        <v xml:space="preserve"> </v>
      </c>
      <c r="V414" s="515"/>
      <c r="W414" s="125"/>
      <c r="X414" s="31">
        <f t="shared" si="69"/>
        <v>0</v>
      </c>
      <c r="Y414" s="509"/>
      <c r="Z414" s="1054" t="str">
        <f t="shared" si="59"/>
        <v>Charm Large Animals</v>
      </c>
      <c r="AA414" s="1072" t="str">
        <f t="shared" si="60"/>
        <v>Command</v>
      </c>
    </row>
    <row r="415" spans="1:27" hidden="1" outlineLevel="1">
      <c r="A415" s="31" t="s">
        <v>2120</v>
      </c>
      <c r="B415" s="67">
        <v>2</v>
      </c>
      <c r="C415" s="67">
        <f ca="1">IF(magestuff!$F$199&lt;1,1,magestuff!$F$199)</f>
        <v>2</v>
      </c>
      <c r="D415" s="67">
        <f t="shared" si="67"/>
        <v>0</v>
      </c>
      <c r="E415" s="77">
        <f ca="1">IF(F415="y",HLOOKUP((IF(C415&lt;1,1,C415)),Magick!$C$20:$L$21,2),NA())</f>
        <v>21</v>
      </c>
      <c r="F415" s="67" t="str">
        <f ca="1">IF(C415&lt;=Magick!$D$3,"Y","N")</f>
        <v>Y</v>
      </c>
      <c r="G415" s="148" t="s">
        <v>128</v>
      </c>
      <c r="H415" s="151"/>
      <c r="I415" s="77" t="e">
        <f>IF(H415&gt;0,(HLOOKUP(C415,Magick!$C$20:$L$21,2)-HLOOKUP(H415,Magick!$C$20:$L$21,2)),NA())</f>
        <v>#N/A</v>
      </c>
      <c r="J415" s="77"/>
      <c r="K415" s="67">
        <v>3</v>
      </c>
      <c r="L415" s="72" t="str">
        <f>IF(H415&gt;0,Magick!$AR$21-('Master Spell List'!H422*0.1),"N/A")</f>
        <v>N/A</v>
      </c>
      <c r="M415" s="72">
        <f ca="1">Magick!$H$71</f>
        <v>0.04</v>
      </c>
      <c r="N415" s="72">
        <f ca="1">Magick!$K$71</f>
        <v>0.09</v>
      </c>
      <c r="O415" s="72">
        <f ca="1">Magick!$L$71</f>
        <v>0.09</v>
      </c>
      <c r="P415" s="72">
        <f ca="1">Magick!$M$71</f>
        <v>0.09</v>
      </c>
      <c r="Q415" s="67" t="s">
        <v>4602</v>
      </c>
      <c r="R415" s="67">
        <f ca="1">IF(Q415="Ritual","N/A",IF(Q415="I.E.","N/A",IF(Q415="WOG",VLOOKUP(Magick!$I$71*100,magestuff!$B$134:$F$138,2),IF(Q415="Cantrip",VLOOKUP(Magick!$I$71*100,magestuff!$B$134:$F$138,3),IF(Q415="Hex",VLOOKUP(Magick!$I$71*100,magestuff!$B$134:$F$138,4),VLOOKUP(Magick!$I$71*100,magestuff!$B$134:$F$138,5))))))</f>
        <v>19</v>
      </c>
      <c r="U415" s="67" t="str">
        <f t="shared" si="68"/>
        <v xml:space="preserve"> </v>
      </c>
      <c r="V415" s="515"/>
      <c r="W415" s="125"/>
      <c r="X415" s="31">
        <f t="shared" si="69"/>
        <v>0</v>
      </c>
      <c r="Y415" s="509"/>
      <c r="Z415" s="1054" t="str">
        <f t="shared" si="59"/>
        <v>Charm Small Predator</v>
      </c>
      <c r="AA415" s="1072" t="str">
        <f t="shared" si="60"/>
        <v>Command</v>
      </c>
    </row>
    <row r="416" spans="1:27" hidden="1" outlineLevel="1">
      <c r="A416" s="31" t="s">
        <v>1435</v>
      </c>
      <c r="B416" s="67">
        <v>2</v>
      </c>
      <c r="C416" s="67">
        <f ca="1">IF(magestuff!$F$199&lt;1,1,magestuff!$F$199)</f>
        <v>2</v>
      </c>
      <c r="D416" s="67">
        <f t="shared" si="67"/>
        <v>0</v>
      </c>
      <c r="E416" s="77">
        <f ca="1">IF(F416="y",HLOOKUP((IF(C416&lt;1,1,C416)),Magick!$C$20:$L$21,2),NA())</f>
        <v>21</v>
      </c>
      <c r="F416" s="67" t="str">
        <f ca="1">IF(C416&lt;=Magick!$D$3,"Y","N")</f>
        <v>Y</v>
      </c>
      <c r="G416" s="148" t="s">
        <v>128</v>
      </c>
      <c r="H416" s="151"/>
      <c r="I416" s="77" t="e">
        <f>IF(H416&gt;0,(HLOOKUP(C416,Magick!$C$20:$L$21,2)-HLOOKUP(H416,Magick!$C$20:$L$21,2)),NA())</f>
        <v>#N/A</v>
      </c>
      <c r="J416" s="77"/>
      <c r="K416" s="67">
        <v>3</v>
      </c>
      <c r="L416" s="72" t="str">
        <f>IF(H416&gt;0,Magick!$AR$21-('Master Spell List'!H421*0.1),"N/A")</f>
        <v>N/A</v>
      </c>
      <c r="M416" s="72">
        <f ca="1">Magick!$H$71</f>
        <v>0.04</v>
      </c>
      <c r="N416" s="72">
        <f ca="1">Magick!$K$71</f>
        <v>0.09</v>
      </c>
      <c r="O416" s="72">
        <f ca="1">Magick!$L$71</f>
        <v>0.09</v>
      </c>
      <c r="P416" s="72">
        <f ca="1">Magick!$M$71</f>
        <v>0.09</v>
      </c>
      <c r="Q416" s="67" t="s">
        <v>3723</v>
      </c>
      <c r="R416" s="67">
        <f ca="1">IF(Q416="Ritual","N/A",IF(Q416="I.E.","N/A",IF(Q416="WOG",VLOOKUP(Magick!$I$71*100,magestuff!$B$134:$F$138,2),IF(Q416="Cantrip",VLOOKUP(Magick!$I$71*100,magestuff!$B$134:$F$138,3),IF(Q416="Hex",VLOOKUP(Magick!$I$71*100,magestuff!$B$134:$F$138,4),VLOOKUP(Magick!$I$71*100,magestuff!$B$134:$F$138,5))))))</f>
        <v>29</v>
      </c>
      <c r="U416" s="67" t="str">
        <f t="shared" si="68"/>
        <v xml:space="preserve"> </v>
      </c>
      <c r="V416" s="515"/>
      <c r="W416" s="125"/>
      <c r="X416" s="31">
        <f t="shared" si="69"/>
        <v>0</v>
      </c>
      <c r="Y416" s="509"/>
      <c r="Z416" s="1054" t="str">
        <f t="shared" si="59"/>
        <v>Dispel Charmed Large Animals</v>
      </c>
      <c r="AA416" s="1072" t="str">
        <f t="shared" si="60"/>
        <v>Command</v>
      </c>
    </row>
    <row r="417" spans="1:27" hidden="1" outlineLevel="1">
      <c r="A417" s="31" t="s">
        <v>1436</v>
      </c>
      <c r="B417" s="67">
        <v>2</v>
      </c>
      <c r="C417" s="67">
        <f ca="1">IF(magestuff!$F$199&lt;1,1,magestuff!$F$199)</f>
        <v>2</v>
      </c>
      <c r="D417" s="67">
        <f t="shared" si="67"/>
        <v>0</v>
      </c>
      <c r="E417" s="77">
        <f ca="1">IF(F417="y",HLOOKUP((IF(C417&lt;1,1,C417)),Magick!$C$20:$L$21,2),NA())</f>
        <v>21</v>
      </c>
      <c r="F417" s="67" t="str">
        <f ca="1">IF(C417&lt;=Magick!$D$3,"Y","N")</f>
        <v>Y</v>
      </c>
      <c r="G417" s="148" t="s">
        <v>128</v>
      </c>
      <c r="H417" s="151"/>
      <c r="I417" s="77" t="e">
        <f>IF(H417&gt;0,(HLOOKUP(C417,Magick!$C$20:$L$21,2)-HLOOKUP(H417,Magick!$C$20:$L$21,2)),NA())</f>
        <v>#N/A</v>
      </c>
      <c r="J417" s="77"/>
      <c r="K417" s="67">
        <v>3</v>
      </c>
      <c r="L417" s="72" t="str">
        <f>IF(H417&gt;0,Magick!$AR$21-('Master Spell List'!H423*0.1),"N/A")</f>
        <v>N/A</v>
      </c>
      <c r="M417" s="72">
        <f ca="1">Magick!$H$71</f>
        <v>0.04</v>
      </c>
      <c r="N417" s="72">
        <f ca="1">Magick!$K$71</f>
        <v>0.09</v>
      </c>
      <c r="O417" s="72">
        <f ca="1">Magick!$L$71</f>
        <v>0.09</v>
      </c>
      <c r="P417" s="72">
        <f ca="1">Magick!$M$71</f>
        <v>0.09</v>
      </c>
      <c r="Q417" s="67" t="s">
        <v>4602</v>
      </c>
      <c r="R417" s="67">
        <f ca="1">IF(Q417="Ritual","N/A",IF(Q417="I.E.","N/A",IF(Q417="WOG",VLOOKUP(Magick!$I$71*100,magestuff!$B$134:$F$138,2),IF(Q417="Cantrip",VLOOKUP(Magick!$I$71*100,magestuff!$B$134:$F$138,3),IF(Q417="Hex",VLOOKUP(Magick!$I$71*100,magestuff!$B$134:$F$138,4),VLOOKUP(Magick!$I$71*100,magestuff!$B$134:$F$138,5))))))</f>
        <v>19</v>
      </c>
      <c r="U417" s="67" t="str">
        <f t="shared" si="68"/>
        <v xml:space="preserve"> </v>
      </c>
      <c r="V417" s="515"/>
      <c r="W417" s="125"/>
      <c r="X417" s="31">
        <f t="shared" si="69"/>
        <v>0</v>
      </c>
      <c r="Y417" s="509"/>
      <c r="Z417" s="1054" t="str">
        <f t="shared" si="59"/>
        <v>Dispel Charmed Small Predators</v>
      </c>
      <c r="AA417" s="1072" t="str">
        <f t="shared" si="60"/>
        <v>Command</v>
      </c>
    </row>
    <row r="418" spans="1:27" hidden="1" outlineLevel="1">
      <c r="A418" s="31" t="s">
        <v>4822</v>
      </c>
      <c r="B418" s="67">
        <v>2</v>
      </c>
      <c r="C418" s="67">
        <f ca="1">IF(magestuff!$F$199&lt;1,1,magestuff!$F$199)</f>
        <v>2</v>
      </c>
      <c r="D418" s="67">
        <f t="shared" si="67"/>
        <v>0</v>
      </c>
      <c r="E418" s="77">
        <f ca="1">IF(F418="y",HLOOKUP((IF(C418&lt;1,1,C418)),Magick!$C$20:$L$21,2),NA())</f>
        <v>21</v>
      </c>
      <c r="F418" s="67" t="str">
        <f ca="1">IF(C418&lt;=Magick!$D$3,"Y","N")</f>
        <v>Y</v>
      </c>
      <c r="G418" s="148" t="s">
        <v>128</v>
      </c>
      <c r="H418" s="151"/>
      <c r="I418" s="77" t="e">
        <f>IF(H418&gt;0,(HLOOKUP(C418,Magick!$C$20:$L$21,2)-HLOOKUP(H418,Magick!$C$20:$L$21,2)),NA())</f>
        <v>#N/A</v>
      </c>
      <c r="J418" s="77"/>
      <c r="K418" s="67">
        <v>4</v>
      </c>
      <c r="L418" s="72" t="str">
        <f>IF(H418&gt;0,Magick!$AR$21-('Master Spell List'!H457*0.1),"N/A")</f>
        <v>N/A</v>
      </c>
      <c r="M418" s="72">
        <f ca="1">Magick!$H$71</f>
        <v>0.04</v>
      </c>
      <c r="N418" s="72">
        <f ca="1">Magick!$K$71</f>
        <v>0.09</v>
      </c>
      <c r="O418" s="72">
        <f ca="1">Magick!$L$71</f>
        <v>0.09</v>
      </c>
      <c r="P418" s="72">
        <f ca="1">Magick!$M$71</f>
        <v>0.09</v>
      </c>
      <c r="Q418" s="67" t="s">
        <v>3723</v>
      </c>
      <c r="R418" s="67">
        <f ca="1">IF(Q418="Ritual","N/A",IF(Q418="I.E.","N/A",IF(Q418="WOG",VLOOKUP(Magick!$I$71*100,magestuff!$B$134:$F$138,2),IF(Q418="Cantrip",VLOOKUP(Magick!$I$71*100,magestuff!$B$134:$F$138,3),IF(Q418="Hex",VLOOKUP(Magick!$I$71*100,magestuff!$B$134:$F$138,4),VLOOKUP(Magick!$I$71*100,magestuff!$B$134:$F$138,5))))))</f>
        <v>29</v>
      </c>
      <c r="U418" s="67" t="str">
        <f t="shared" si="68"/>
        <v xml:space="preserve"> </v>
      </c>
      <c r="V418" s="515"/>
      <c r="W418" s="125"/>
      <c r="X418" s="31">
        <f t="shared" si="69"/>
        <v>0</v>
      </c>
      <c r="Y418" s="509"/>
      <c r="Z418" s="1054" t="str">
        <f t="shared" si="59"/>
        <v>Greater Fright</v>
      </c>
      <c r="AA418" s="1072" t="str">
        <f t="shared" si="60"/>
        <v>Command</v>
      </c>
    </row>
    <row r="419" spans="1:27" hidden="1" outlineLevel="1">
      <c r="A419" s="31" t="s">
        <v>2125</v>
      </c>
      <c r="B419" s="67">
        <v>2</v>
      </c>
      <c r="C419" s="67">
        <f ca="1">IF(magestuff!$F$199&lt;1,1,magestuff!$F$199)</f>
        <v>2</v>
      </c>
      <c r="D419" s="67">
        <f t="shared" si="67"/>
        <v>0</v>
      </c>
      <c r="E419" s="77">
        <f ca="1">IF(F419="y",HLOOKUP((IF(C419&lt;1,1,C419)),Magick!$C$20:$L$21,2),NA())</f>
        <v>21</v>
      </c>
      <c r="F419" s="67" t="str">
        <f ca="1">IF(C419&lt;=Magick!$D$3,"Y","N")</f>
        <v>Y</v>
      </c>
      <c r="G419" s="148" t="s">
        <v>128</v>
      </c>
      <c r="H419" s="151"/>
      <c r="I419" s="77" t="e">
        <f>IF(H419&gt;0,(HLOOKUP(C419,Magick!$C$20:$L$21,2)-HLOOKUP(H419,Magick!$C$20:$L$21,2)),NA())</f>
        <v>#N/A</v>
      </c>
      <c r="J419" s="77"/>
      <c r="K419" s="67" t="s">
        <v>2052</v>
      </c>
      <c r="L419" s="72" t="str">
        <f>IF(H419&gt;0,Magick!$AR$21-('Master Spell List'!H432*0.1),"N/A")</f>
        <v>N/A</v>
      </c>
      <c r="M419" s="72">
        <f ca="1">Magick!$H$71</f>
        <v>0.04</v>
      </c>
      <c r="N419" s="72">
        <f ca="1">Magick!$K$71</f>
        <v>0.09</v>
      </c>
      <c r="O419" s="72">
        <f ca="1">Magick!$L$71</f>
        <v>0.09</v>
      </c>
      <c r="P419" s="72">
        <f ca="1">Magick!$M$71</f>
        <v>0.09</v>
      </c>
      <c r="Q419" s="67" t="s">
        <v>4603</v>
      </c>
      <c r="R419" s="67">
        <f ca="1">IF(Q419="Ritual","N/A",IF(Q419="I.E.","N/A",IF(Q419="WOG",VLOOKUP(Magick!$I$71*100,magestuff!$B$134:$F$138,2),IF(Q419="Cantrip",VLOOKUP(Magick!$I$71*100,magestuff!$B$134:$F$138,3),IF(Q419="Hex",VLOOKUP(Magick!$I$71*100,magestuff!$B$134:$F$138,4),VLOOKUP(Magick!$I$71*100,magestuff!$B$134:$F$138,5))))))</f>
        <v>9</v>
      </c>
      <c r="U419" s="67" t="str">
        <f t="shared" si="68"/>
        <v xml:space="preserve"> </v>
      </c>
      <c r="V419" s="515"/>
      <c r="W419" s="125"/>
      <c r="X419" s="31">
        <f t="shared" si="69"/>
        <v>0</v>
      </c>
      <c r="Y419" s="509"/>
      <c r="Z419" s="1054" t="str">
        <f t="shared" si="59"/>
        <v>Hold Small Animal</v>
      </c>
      <c r="AA419" s="1072" t="str">
        <f t="shared" si="60"/>
        <v>Command</v>
      </c>
    </row>
    <row r="420" spans="1:27" hidden="1" outlineLevel="1">
      <c r="A420" s="83" t="s">
        <v>2118</v>
      </c>
      <c r="B420" s="67">
        <v>2</v>
      </c>
      <c r="C420" s="67">
        <f ca="1">IF(magestuff!$F$199&lt;1,1,magestuff!$F$199)</f>
        <v>2</v>
      </c>
      <c r="D420" s="67">
        <f t="shared" si="67"/>
        <v>0</v>
      </c>
      <c r="E420" s="77">
        <f ca="1">IF(F420="y",HLOOKUP((IF(C420&lt;1,1,C420)),Magick!$C$20:$L$21,2),NA())</f>
        <v>21</v>
      </c>
      <c r="F420" s="67" t="str">
        <f ca="1">IF(C420&lt;=Magick!$D$3,"Y","N")</f>
        <v>Y</v>
      </c>
      <c r="G420" s="148" t="s">
        <v>1617</v>
      </c>
      <c r="H420" s="151"/>
      <c r="I420" s="77" t="e">
        <f>IF(H420&gt;0,(HLOOKUP(C420,Magick!$C$20:$L$21,2)-HLOOKUP(H420,Magick!$C$20:$L$21,2)),NA())</f>
        <v>#N/A</v>
      </c>
      <c r="J420" s="77"/>
      <c r="K420" s="67">
        <v>5</v>
      </c>
      <c r="L420" s="72" t="str">
        <f>IF(H420&gt;0,Magick!$AR$21-('Master Spell List'!H481*0.1),"N/A")</f>
        <v>N/A</v>
      </c>
      <c r="M420" s="72">
        <f ca="1">Magick!$H$71</f>
        <v>0.04</v>
      </c>
      <c r="N420" s="72">
        <f ca="1">Magick!$K$71</f>
        <v>0.09</v>
      </c>
      <c r="O420" s="72">
        <f ca="1">Magick!$L$71</f>
        <v>0.09</v>
      </c>
      <c r="P420" s="72">
        <f ca="1">Magick!$M$71</f>
        <v>0.09</v>
      </c>
      <c r="Q420" s="67" t="s">
        <v>4603</v>
      </c>
      <c r="R420" s="67">
        <f ca="1">IF(Q420="Ritual","N/A",IF(Q420="I.E.","N/A",IF(Q420="WOG",VLOOKUP(Magick!$I$71*100,magestuff!$B$134:$F$138,2),IF(Q420="Cantrip",VLOOKUP(Magick!$I$71*100,magestuff!$B$134:$F$138,3),IF(Q420="Hex",VLOOKUP(Magick!$I$71*100,magestuff!$B$134:$F$138,4),VLOOKUP(Magick!$I$71*100,magestuff!$B$134:$F$138,5))))))</f>
        <v>9</v>
      </c>
      <c r="U420" s="67" t="str">
        <f t="shared" si="68"/>
        <v xml:space="preserve"> </v>
      </c>
      <c r="V420" s="515"/>
      <c r="W420" s="125"/>
      <c r="X420" s="31">
        <f t="shared" si="69"/>
        <v>0</v>
      </c>
      <c r="Y420" s="509"/>
      <c r="Z420" s="1054" t="str">
        <f t="shared" si="59"/>
        <v>Repel</v>
      </c>
      <c r="AA420" s="1072" t="str">
        <f t="shared" si="60"/>
        <v>Command</v>
      </c>
    </row>
    <row r="421" spans="1:27" hidden="1" outlineLevel="1">
      <c r="A421" s="31" t="s">
        <v>3532</v>
      </c>
      <c r="B421" s="67">
        <v>2</v>
      </c>
      <c r="C421" s="67">
        <f ca="1">IF(magestuff!$F$199&lt;1,1,magestuff!$F$199)</f>
        <v>2</v>
      </c>
      <c r="D421" s="67">
        <f t="shared" si="67"/>
        <v>0</v>
      </c>
      <c r="E421" s="77">
        <f ca="1">IF(F421="y",HLOOKUP((IF(C421&lt;1,1,C421)),Magick!$C$20:$L$21,2),NA())</f>
        <v>21</v>
      </c>
      <c r="F421" s="67" t="str">
        <f ca="1">IF(C421&lt;=Magick!$D$3,"Y","N")</f>
        <v>Y</v>
      </c>
      <c r="G421" s="148" t="s">
        <v>128</v>
      </c>
      <c r="H421" s="151"/>
      <c r="I421" s="77" t="e">
        <f>IF(H421&gt;0,(HLOOKUP(C421,Magick!$C$20:$L$21,2)-HLOOKUP(H421,Magick!$C$20:$L$21,2)),NA())</f>
        <v>#N/A</v>
      </c>
      <c r="J421" s="77"/>
      <c r="K421" s="67">
        <v>4</v>
      </c>
      <c r="L421" s="72" t="str">
        <f>IF(H421&gt;0,Magick!$AR$21-('Master Spell List'!H442*0.1),"N/A")</f>
        <v>N/A</v>
      </c>
      <c r="M421" s="72">
        <f ca="1">Magick!$H$71</f>
        <v>0.04</v>
      </c>
      <c r="N421" s="72">
        <f ca="1">Magick!$K$71</f>
        <v>0.09</v>
      </c>
      <c r="O421" s="72">
        <f ca="1">Magick!$L$71</f>
        <v>0.09</v>
      </c>
      <c r="P421" s="72">
        <f ca="1">Magick!$M$71</f>
        <v>0.09</v>
      </c>
      <c r="Q421" s="67" t="s">
        <v>3723</v>
      </c>
      <c r="R421" s="67">
        <f ca="1">IF(Q421="Ritual","N/A",IF(Q421="I.E.","N/A",IF(Q421="WOG",VLOOKUP(Magick!$I$71*100,magestuff!$B$134:$F$138,2),IF(Q421="Cantrip",VLOOKUP(Magick!$I$71*100,magestuff!$B$134:$F$138,3),IF(Q421="Hex",VLOOKUP(Magick!$I$71*100,magestuff!$B$134:$F$138,4),VLOOKUP(Magick!$I$71*100,magestuff!$B$134:$F$138,5))))))</f>
        <v>29</v>
      </c>
      <c r="U421" s="67" t="str">
        <f t="shared" si="68"/>
        <v xml:space="preserve"> </v>
      </c>
      <c r="V421" s="515"/>
      <c r="W421" s="125"/>
      <c r="X421" s="31">
        <f t="shared" si="69"/>
        <v>0</v>
      </c>
      <c r="Y421" s="509"/>
      <c r="Z421" s="1054" t="str">
        <f t="shared" si="59"/>
        <v>Suggestion</v>
      </c>
      <c r="AA421" s="1072" t="str">
        <f t="shared" si="60"/>
        <v>Command</v>
      </c>
    </row>
    <row r="422" spans="1:27" hidden="1" outlineLevel="1">
      <c r="A422" s="31" t="s">
        <v>2357</v>
      </c>
      <c r="B422" s="67">
        <v>3</v>
      </c>
      <c r="C422" s="67">
        <f ca="1">IF(magestuff!$I$199&lt;1,1,magestuff!$I$199)</f>
        <v>3</v>
      </c>
      <c r="D422" s="67">
        <f t="shared" si="67"/>
        <v>0</v>
      </c>
      <c r="E422" s="77" t="e">
        <f ca="1">IF(F422="y",HLOOKUP((IF(C422&lt;1,1,C422)),Magick!$C$20:$L$21,2),NA())</f>
        <v>#N/A</v>
      </c>
      <c r="F422" s="67" t="str">
        <f ca="1">IF(C422&lt;=Magick!$D$3,"Y","N")</f>
        <v>N</v>
      </c>
      <c r="G422" s="148" t="s">
        <v>128</v>
      </c>
      <c r="H422" s="151"/>
      <c r="I422" s="77" t="e">
        <f>IF(H422&gt;0,(HLOOKUP(C422,Magick!$C$20:$L$21,2)-HLOOKUP(H422,Magick!$C$20:$L$21,2)),NA())</f>
        <v>#N/A</v>
      </c>
      <c r="J422" s="77"/>
      <c r="K422" s="67">
        <v>5</v>
      </c>
      <c r="L422" s="72" t="str">
        <f>IF(H422&gt;0,Magick!$AR$21-('Master Spell List'!H411*0.1),"N/A")</f>
        <v>N/A</v>
      </c>
      <c r="M422" s="72">
        <f ca="1">Magick!$H$71</f>
        <v>0.04</v>
      </c>
      <c r="N422" s="72">
        <f ca="1">Magick!$K$71</f>
        <v>0.09</v>
      </c>
      <c r="O422" s="72">
        <f ca="1">Magick!$L$71</f>
        <v>0.09</v>
      </c>
      <c r="P422" s="72">
        <f ca="1">Magick!$M$71</f>
        <v>0.09</v>
      </c>
      <c r="Q422" s="67" t="s">
        <v>3723</v>
      </c>
      <c r="R422" s="67">
        <f ca="1">IF(Q422="Ritual","N/A",IF(Q422="I.E.","N/A",IF(Q422="WOG",VLOOKUP(Magick!$I$71*100,magestuff!$B$134:$F$138,2),IF(Q422="Cantrip",VLOOKUP(Magick!$I$71*100,magestuff!$B$134:$F$138,3),IF(Q422="Hex",VLOOKUP(Magick!$I$71*100,magestuff!$B$134:$F$138,4),VLOOKUP(Magick!$I$71*100,magestuff!$B$134:$F$138,5))))))</f>
        <v>29</v>
      </c>
      <c r="U422" s="67" t="str">
        <f t="shared" si="68"/>
        <v xml:space="preserve"> </v>
      </c>
      <c r="V422" s="515"/>
      <c r="W422" s="125"/>
      <c r="X422" s="31">
        <f t="shared" si="69"/>
        <v>0</v>
      </c>
      <c r="Y422" s="509"/>
      <c r="Z422" s="1054" t="str">
        <f t="shared" si="59"/>
        <v>Area Awaken</v>
      </c>
      <c r="AA422" s="1072" t="str">
        <f t="shared" si="60"/>
        <v>Command</v>
      </c>
    </row>
    <row r="423" spans="1:27" hidden="1" outlineLevel="1">
      <c r="A423" s="31" t="s">
        <v>4077</v>
      </c>
      <c r="B423" s="67">
        <v>3</v>
      </c>
      <c r="C423" s="67">
        <f ca="1">IF(magestuff!$I$199&lt;1,1,magestuff!$I$199)</f>
        <v>3</v>
      </c>
      <c r="D423" s="67">
        <f t="shared" si="67"/>
        <v>0</v>
      </c>
      <c r="E423" s="77" t="e">
        <f ca="1">IF(F423="y",HLOOKUP((IF(C423&lt;1,1,C423)),Magick!$C$20:$L$21,2),NA())</f>
        <v>#N/A</v>
      </c>
      <c r="F423" s="67" t="str">
        <f ca="1">IF(C423&lt;=Magick!$D$3,"Y","N")</f>
        <v>N</v>
      </c>
      <c r="G423" s="148" t="s">
        <v>128</v>
      </c>
      <c r="H423" s="151"/>
      <c r="I423" s="77" t="e">
        <f>IF(H423&gt;0,(HLOOKUP(C423,Magick!$C$20:$L$21,2)-HLOOKUP(H423,Magick!$C$20:$L$21,2)),NA())</f>
        <v>#N/A</v>
      </c>
      <c r="J423" s="77"/>
      <c r="K423" s="67">
        <v>5</v>
      </c>
      <c r="L423" s="72" t="str">
        <f>IF(H423&gt;0,Magick!$AR$21-('Master Spell List'!#REF!*0.1),"N/A")</f>
        <v>N/A</v>
      </c>
      <c r="M423" s="72">
        <f ca="1">Magick!$H$71</f>
        <v>0.04</v>
      </c>
      <c r="N423" s="72">
        <f ca="1">Magick!$K$71</f>
        <v>0.09</v>
      </c>
      <c r="O423" s="72">
        <f ca="1">Magick!$L$71</f>
        <v>0.09</v>
      </c>
      <c r="P423" s="72">
        <f ca="1">Magick!$M$71</f>
        <v>0.09</v>
      </c>
      <c r="Q423" s="67" t="s">
        <v>3723</v>
      </c>
      <c r="R423" s="67">
        <f ca="1">IF(Q423="Ritual","N/A",IF(Q423="I.E.","N/A",IF(Q423="WOG",VLOOKUP(Magick!$I$71*100,magestuff!$B$134:$F$138,2),IF(Q423="Cantrip",VLOOKUP(Magick!$I$71*100,magestuff!$B$134:$F$138,3),IF(Q423="Hex",VLOOKUP(Magick!$I$71*100,magestuff!$B$134:$F$138,4),VLOOKUP(Magick!$I$71*100,magestuff!$B$134:$F$138,5))))))</f>
        <v>29</v>
      </c>
      <c r="U423" s="67" t="str">
        <f t="shared" si="68"/>
        <v xml:space="preserve"> </v>
      </c>
      <c r="V423" s="515"/>
      <c r="W423" s="125"/>
      <c r="X423" s="31">
        <f t="shared" si="69"/>
        <v>0</v>
      </c>
      <c r="Y423" s="509"/>
      <c r="Z423" s="1054" t="str">
        <f t="shared" si="59"/>
        <v>Area Sleep</v>
      </c>
      <c r="AA423" s="1072" t="str">
        <f t="shared" si="60"/>
        <v>Command</v>
      </c>
    </row>
    <row r="424" spans="1:27" hidden="1" outlineLevel="1">
      <c r="A424" s="83" t="s">
        <v>2116</v>
      </c>
      <c r="B424" s="67">
        <v>3</v>
      </c>
      <c r="C424" s="67">
        <f ca="1">IF(magestuff!$I$199&lt;1,1,magestuff!$I$199)</f>
        <v>3</v>
      </c>
      <c r="D424" s="67">
        <f t="shared" si="67"/>
        <v>0</v>
      </c>
      <c r="E424" s="77" t="e">
        <f ca="1">IF(F424="y",HLOOKUP((IF(C424&lt;1,1,C424)),Magick!$C$20:$L$21,2),NA())</f>
        <v>#N/A</v>
      </c>
      <c r="F424" s="67" t="str">
        <f ca="1">IF(C424&lt;=Magick!$D$3,"Y","N")</f>
        <v>N</v>
      </c>
      <c r="G424" s="148" t="s">
        <v>1617</v>
      </c>
      <c r="H424" s="151"/>
      <c r="I424" s="77" t="e">
        <f>IF(H424&gt;0,(HLOOKUP(C424,Magick!$C$20:$L$21,2)-HLOOKUP(H424,Magick!$C$20:$L$21,2)),NA())</f>
        <v>#N/A</v>
      </c>
      <c r="J424" s="77"/>
      <c r="K424" s="67">
        <v>5</v>
      </c>
      <c r="L424" s="72" t="str">
        <f>IF(H424&gt;0,Magick!$AR$21-('Master Spell List'!H478*0.1),"N/A")</f>
        <v>N/A</v>
      </c>
      <c r="M424" s="72">
        <f ca="1">Magick!$H$71</f>
        <v>0.04</v>
      </c>
      <c r="N424" s="72">
        <f ca="1">Magick!$K$71</f>
        <v>0.09</v>
      </c>
      <c r="O424" s="72">
        <f ca="1">Magick!$L$71</f>
        <v>0.09</v>
      </c>
      <c r="P424" s="72">
        <f ca="1">Magick!$M$71</f>
        <v>0.09</v>
      </c>
      <c r="Q424" s="67" t="s">
        <v>3723</v>
      </c>
      <c r="R424" s="67">
        <f ca="1">IF(Q424="Ritual","N/A",IF(Q424="I.E.","N/A",IF(Q424="WOG",VLOOKUP(Magick!$I$71*100,magestuff!$B$134:$F$138,2),IF(Q424="Cantrip",VLOOKUP(Magick!$I$71*100,magestuff!$B$134:$F$138,3),IF(Q424="Hex",VLOOKUP(Magick!$I$71*100,magestuff!$B$134:$F$138,4),VLOOKUP(Magick!$I$71*100,magestuff!$B$134:$F$138,5))))))</f>
        <v>29</v>
      </c>
      <c r="U424" s="67" t="str">
        <f t="shared" si="68"/>
        <v xml:space="preserve"> </v>
      </c>
      <c r="V424" s="515"/>
      <c r="W424" s="125"/>
      <c r="X424" s="31">
        <f t="shared" si="69"/>
        <v>0</v>
      </c>
      <c r="Y424" s="509"/>
      <c r="Z424" s="1054" t="str">
        <f t="shared" si="59"/>
        <v>Attention</v>
      </c>
      <c r="AA424" s="1072" t="str">
        <f t="shared" si="60"/>
        <v>Command</v>
      </c>
    </row>
    <row r="425" spans="1:27" hidden="1" outlineLevel="1">
      <c r="A425" s="31" t="s">
        <v>2121</v>
      </c>
      <c r="B425" s="67">
        <v>3</v>
      </c>
      <c r="C425" s="67">
        <f ca="1">IF(magestuff!$I$199&lt;1,1,magestuff!$I$199)</f>
        <v>3</v>
      </c>
      <c r="D425" s="67">
        <f t="shared" si="67"/>
        <v>0</v>
      </c>
      <c r="E425" s="77" t="e">
        <f ca="1">IF(F425="y",HLOOKUP((IF(C425&lt;1,1,C425)),Magick!$C$20:$L$21,2),NA())</f>
        <v>#N/A</v>
      </c>
      <c r="F425" s="67" t="str">
        <f ca="1">IF(C425&lt;=Magick!$D$3,"Y","N")</f>
        <v>N</v>
      </c>
      <c r="G425" s="148" t="s">
        <v>128</v>
      </c>
      <c r="H425" s="151"/>
      <c r="I425" s="77" t="e">
        <f>IF(H425&gt;0,(HLOOKUP(C425,Magick!$C$20:$L$21,2)-HLOOKUP(H425,Magick!$C$20:$L$21,2)),NA())</f>
        <v>#N/A</v>
      </c>
      <c r="J425" s="77"/>
      <c r="K425" s="67">
        <v>5</v>
      </c>
      <c r="L425" s="72" t="str">
        <f>IF(H425&gt;0,Magick!$AR$21-('Master Spell List'!H424*0.1),"N/A")</f>
        <v>N/A</v>
      </c>
      <c r="M425" s="72">
        <f ca="1">Magick!$H$71</f>
        <v>0.04</v>
      </c>
      <c r="N425" s="72">
        <f ca="1">Magick!$K$71</f>
        <v>0.09</v>
      </c>
      <c r="O425" s="72">
        <f ca="1">Magick!$L$71</f>
        <v>0.09</v>
      </c>
      <c r="P425" s="72">
        <f ca="1">Magick!$M$71</f>
        <v>0.09</v>
      </c>
      <c r="Q425" s="67" t="s">
        <v>3723</v>
      </c>
      <c r="R425" s="67">
        <f ca="1">IF(Q425="Ritual","N/A",IF(Q425="I.E.","N/A",IF(Q425="WOG",VLOOKUP(Magick!$I$71*100,magestuff!$B$134:$F$138,2),IF(Q425="Cantrip",VLOOKUP(Magick!$I$71*100,magestuff!$B$134:$F$138,3),IF(Q425="Hex",VLOOKUP(Magick!$I$71*100,magestuff!$B$134:$F$138,4),VLOOKUP(Magick!$I$71*100,magestuff!$B$134:$F$138,5))))))</f>
        <v>29</v>
      </c>
      <c r="U425" s="67" t="str">
        <f t="shared" si="68"/>
        <v xml:space="preserve"> </v>
      </c>
      <c r="V425" s="515"/>
      <c r="W425" s="125"/>
      <c r="X425" s="31">
        <f t="shared" si="69"/>
        <v>0</v>
      </c>
      <c r="Y425" s="509"/>
      <c r="Z425" s="1054" t="str">
        <f t="shared" si="59"/>
        <v>Charm Large Predator</v>
      </c>
      <c r="AA425" s="1072" t="str">
        <f t="shared" si="60"/>
        <v>Command</v>
      </c>
    </row>
    <row r="426" spans="1:27" hidden="1" outlineLevel="1">
      <c r="A426" s="31" t="s">
        <v>3624</v>
      </c>
      <c r="B426" s="67">
        <v>3</v>
      </c>
      <c r="C426" s="67">
        <f ca="1">IF(magestuff!$I$199&lt;1,1,magestuff!$I$199)</f>
        <v>3</v>
      </c>
      <c r="D426" s="67">
        <f t="shared" si="67"/>
        <v>0</v>
      </c>
      <c r="E426" s="77" t="e">
        <f ca="1">IF(F426="y",HLOOKUP((IF(C426&lt;1,1,C426)),Magick!$C$20:$L$21,2),NA())</f>
        <v>#N/A</v>
      </c>
      <c r="F426" s="67" t="str">
        <f ca="1">IF(C426&lt;=Magick!$D$3,"Y","N")</f>
        <v>N</v>
      </c>
      <c r="G426" s="148" t="s">
        <v>128</v>
      </c>
      <c r="H426" s="151"/>
      <c r="I426" s="77" t="e">
        <f>IF(H426&gt;0,(HLOOKUP(C426,Magick!$C$20:$L$21,2)-HLOOKUP(H426,Magick!$C$20:$L$21,2)),NA())</f>
        <v>#N/A</v>
      </c>
      <c r="J426" s="77"/>
      <c r="K426" s="67" t="s">
        <v>2053</v>
      </c>
      <c r="L426" s="72" t="str">
        <f>IF(H426&gt;0,Magick!$AR$21-('Master Spell List'!H445*0.1),"N/A")</f>
        <v>N/A</v>
      </c>
      <c r="M426" s="72">
        <f ca="1">Magick!$H$71</f>
        <v>0.04</v>
      </c>
      <c r="N426" s="72">
        <f ca="1">Magick!$K$71</f>
        <v>0.09</v>
      </c>
      <c r="O426" s="72">
        <f ca="1">Magick!$L$71</f>
        <v>0.09</v>
      </c>
      <c r="P426" s="72">
        <f ca="1">Magick!$M$71</f>
        <v>0.09</v>
      </c>
      <c r="Q426" s="67" t="s">
        <v>4603</v>
      </c>
      <c r="R426" s="67">
        <f ca="1">IF(Q426="Ritual","N/A",IF(Q426="I.E.","N/A",IF(Q426="WOG",VLOOKUP(Magick!$I$71*100,magestuff!$B$134:$F$138,2),IF(Q426="Cantrip",VLOOKUP(Magick!$I$71*100,magestuff!$B$134:$F$138,3),IF(Q426="Hex",VLOOKUP(Magick!$I$71*100,magestuff!$B$134:$F$138,4),VLOOKUP(Magick!$I$71*100,magestuff!$B$134:$F$138,5))))))</f>
        <v>9</v>
      </c>
      <c r="U426" s="67" t="str">
        <f t="shared" si="68"/>
        <v xml:space="preserve"> </v>
      </c>
      <c r="V426" s="515"/>
      <c r="W426" s="125"/>
      <c r="X426" s="31">
        <f t="shared" si="69"/>
        <v>0</v>
      </c>
      <c r="Y426" s="509"/>
      <c r="Z426" s="1054" t="str">
        <f t="shared" si="59"/>
        <v>Command Small Animal</v>
      </c>
      <c r="AA426" s="1072" t="str">
        <f t="shared" si="60"/>
        <v>Command</v>
      </c>
    </row>
    <row r="427" spans="1:27" hidden="1" outlineLevel="1">
      <c r="A427" s="31" t="s">
        <v>3626</v>
      </c>
      <c r="B427" s="67">
        <v>5</v>
      </c>
      <c r="C427" s="67">
        <f ca="1">IF(magestuff!$I$199&lt;1,1,magestuff!$I$199)</f>
        <v>3</v>
      </c>
      <c r="D427" s="67">
        <f t="shared" si="67"/>
        <v>0</v>
      </c>
      <c r="E427" s="77" t="e">
        <f ca="1">IF(F427="y",HLOOKUP((IF(C427&lt;1,1,C427)),Magick!$C$20:$L$21,2),NA())</f>
        <v>#N/A</v>
      </c>
      <c r="F427" s="67" t="str">
        <f ca="1">IF(C427&lt;=Magick!$D$3,"Y","N")</f>
        <v>N</v>
      </c>
      <c r="G427" s="148" t="s">
        <v>128</v>
      </c>
      <c r="H427" s="151"/>
      <c r="I427" s="77" t="e">
        <f>IF(H427&gt;0,(HLOOKUP(C427,Magick!$C$20:$L$21,2)-HLOOKUP(H427,Magick!$C$20:$L$21,2)),NA())</f>
        <v>#N/A</v>
      </c>
      <c r="J427" s="77"/>
      <c r="K427" s="67" t="s">
        <v>2055</v>
      </c>
      <c r="L427" s="72" t="str">
        <f>IF(H427&gt;0,Magick!$AR$21-('Master Spell List'!H447*0.1),"N/A")</f>
        <v>N/A</v>
      </c>
      <c r="M427" s="72">
        <f ca="1">Magick!$H$71</f>
        <v>0.04</v>
      </c>
      <c r="N427" s="72">
        <f ca="1">Magick!$K$71</f>
        <v>0.09</v>
      </c>
      <c r="O427" s="72">
        <f ca="1">Magick!$L$71</f>
        <v>0.09</v>
      </c>
      <c r="P427" s="72">
        <f ca="1">Magick!$M$71</f>
        <v>0.09</v>
      </c>
      <c r="Q427" s="67" t="s">
        <v>4603</v>
      </c>
      <c r="R427" s="67">
        <f ca="1">IF(Q427="Ritual","N/A",IF(Q427="I.E.","N/A",IF(Q427="WOG",VLOOKUP(Magick!$I$71*100,magestuff!$B$134:$F$138,2),IF(Q427="Cantrip",VLOOKUP(Magick!$I$71*100,magestuff!$B$134:$F$138,3),IF(Q427="Hex",VLOOKUP(Magick!$I$71*100,magestuff!$B$134:$F$138,4),VLOOKUP(Magick!$I$71*100,magestuff!$B$134:$F$138,5))))))</f>
        <v>9</v>
      </c>
      <c r="U427" s="67" t="str">
        <f t="shared" si="68"/>
        <v xml:space="preserve"> </v>
      </c>
      <c r="V427" s="515"/>
      <c r="W427" s="125"/>
      <c r="X427" s="31">
        <f t="shared" si="69"/>
        <v>0</v>
      </c>
      <c r="Y427" s="509"/>
      <c r="Z427" s="1054" t="str">
        <f t="shared" si="59"/>
        <v>Command Small Predator</v>
      </c>
      <c r="AA427" s="1072" t="str">
        <f t="shared" si="60"/>
        <v>Command</v>
      </c>
    </row>
    <row r="428" spans="1:27" hidden="1" outlineLevel="1">
      <c r="A428" s="83" t="s">
        <v>5295</v>
      </c>
      <c r="B428" s="67">
        <v>3</v>
      </c>
      <c r="C428" s="67">
        <f ca="1">IF(magestuff!$I$199&lt;1,1,magestuff!$I$199)</f>
        <v>3</v>
      </c>
      <c r="D428" s="67">
        <f t="shared" si="67"/>
        <v>0</v>
      </c>
      <c r="E428" s="77" t="e">
        <f ca="1">IF(F428="y",HLOOKUP((IF(C428&lt;1,1,C428)),Magick!$C$20:$L$21,2),NA())</f>
        <v>#N/A</v>
      </c>
      <c r="F428" s="67" t="str">
        <f ca="1">IF(C428&lt;=Magick!$D$3,"Y","N")</f>
        <v>N</v>
      </c>
      <c r="G428" s="148" t="s">
        <v>1616</v>
      </c>
      <c r="H428" s="151"/>
      <c r="I428" s="77" t="e">
        <f>IF(H429&gt;0,(HLOOKUP(C429,Magick!$C$20:$L$21,2)-HLOOKUP(H429,Magick!$C$20:$L$21,2)),NA())</f>
        <v>#N/A</v>
      </c>
      <c r="J428" s="77"/>
      <c r="K428" s="67">
        <v>4</v>
      </c>
      <c r="L428" s="72" t="str">
        <f>IF(H429&gt;0,Magick!$AR$21-('Master Spell List'!H457*0.1),"N/A")</f>
        <v>N/A</v>
      </c>
      <c r="M428" s="72">
        <f ca="1">Magick!$H$71</f>
        <v>0.04</v>
      </c>
      <c r="N428" s="72">
        <f ca="1">Magick!$K$71</f>
        <v>0.09</v>
      </c>
      <c r="O428" s="72">
        <f ca="1">Magick!$L$71</f>
        <v>0.09</v>
      </c>
      <c r="P428" s="72">
        <f ca="1">Magick!$M$71</f>
        <v>0.09</v>
      </c>
      <c r="Q428" s="67" t="s">
        <v>4603</v>
      </c>
      <c r="R428" s="67">
        <f ca="1">IF(Q428="Ritual","N/A",IF(Q428="I.E.","N/A",IF(Q428="WOG",VLOOKUP(Magick!$I$71*100,magestuff!$B$134:$F$138,2),IF(Q428="Cantrip",VLOOKUP(Magick!$I$71*100,magestuff!$B$134:$F$138,3),IF(Q428="Hex",VLOOKUP(Magick!$I$71*100,magestuff!$B$134:$F$138,4),VLOOKUP(Magick!$I$71*100,magestuff!$B$134:$F$138,5))))))</f>
        <v>9</v>
      </c>
      <c r="U428" s="67" t="str">
        <f t="shared" si="68"/>
        <v xml:space="preserve"> </v>
      </c>
      <c r="V428" s="515"/>
      <c r="W428" s="125"/>
      <c r="X428" s="31">
        <f t="shared" si="69"/>
        <v>0</v>
      </c>
      <c r="Y428" s="509"/>
      <c r="Z428" s="1054" t="str">
        <f t="shared" si="59"/>
        <v>Daze</v>
      </c>
      <c r="AA428" s="1072" t="str">
        <f t="shared" si="60"/>
        <v>Command</v>
      </c>
    </row>
    <row r="429" spans="1:27" hidden="1" outlineLevel="1">
      <c r="A429" s="31" t="s">
        <v>5108</v>
      </c>
      <c r="B429" s="67">
        <v>3</v>
      </c>
      <c r="C429" s="67">
        <f ca="1">IF(magestuff!$I$199&lt;1,1,magestuff!$I$199)</f>
        <v>3</v>
      </c>
      <c r="D429" s="67">
        <f t="shared" si="67"/>
        <v>0</v>
      </c>
      <c r="E429" s="77" t="e">
        <f ca="1">IF(F429="y",HLOOKUP((IF(C429&lt;1,1,C429)),Magick!$C$20:$L$21,2),NA())</f>
        <v>#N/A</v>
      </c>
      <c r="F429" s="67" t="str">
        <f ca="1">IF(C429&lt;=Magick!$D$3,"Y","N")</f>
        <v>N</v>
      </c>
      <c r="G429" s="148" t="s">
        <v>128</v>
      </c>
      <c r="H429" s="151"/>
      <c r="I429" s="77" t="e">
        <f>IF(H429&gt;0,(HLOOKUP(C429,Magick!$C$20:$L$21,2)-HLOOKUP(H429,Magick!$C$20:$L$21,2)),NA())</f>
        <v>#N/A</v>
      </c>
      <c r="J429" s="77"/>
      <c r="K429" s="67">
        <v>5</v>
      </c>
      <c r="L429" s="72" t="str">
        <f>IF(H429&gt;0,Magick!$AR$21-('Master Spell List'!H464*0.1),"N/A")</f>
        <v>N/A</v>
      </c>
      <c r="M429" s="72">
        <f ca="1">Magick!$H$71</f>
        <v>0.04</v>
      </c>
      <c r="N429" s="72">
        <f ca="1">Magick!$K$71</f>
        <v>0.09</v>
      </c>
      <c r="O429" s="72">
        <f ca="1">Magick!$L$71</f>
        <v>0.09</v>
      </c>
      <c r="P429" s="72">
        <f ca="1">Magick!$M$71</f>
        <v>0.09</v>
      </c>
      <c r="Q429" s="67" t="s">
        <v>3723</v>
      </c>
      <c r="R429" s="67">
        <f ca="1">IF(Q429="Ritual","N/A",IF(Q429="I.E.","N/A",IF(Q429="WOG",VLOOKUP(Magick!$I$71*100,magestuff!$B$134:$F$138,2),IF(Q429="Cantrip",VLOOKUP(Magick!$I$71*100,magestuff!$B$134:$F$138,3),IF(Q429="Hex",VLOOKUP(Magick!$I$71*100,magestuff!$B$134:$F$138,4),VLOOKUP(Magick!$I$71*100,magestuff!$B$134:$F$138,5))))))</f>
        <v>29</v>
      </c>
      <c r="U429" s="67" t="str">
        <f t="shared" si="68"/>
        <v xml:space="preserve"> </v>
      </c>
      <c r="V429" s="515"/>
      <c r="W429" s="125"/>
      <c r="X429" s="31">
        <f t="shared" si="69"/>
        <v>0</v>
      </c>
      <c r="Y429" s="509"/>
      <c r="Z429" s="1054" t="str">
        <f t="shared" si="59"/>
        <v>Dislike</v>
      </c>
      <c r="AA429" s="1072" t="str">
        <f t="shared" si="60"/>
        <v>Command</v>
      </c>
    </row>
    <row r="430" spans="1:27" hidden="1" outlineLevel="1">
      <c r="A430" s="31" t="s">
        <v>1437</v>
      </c>
      <c r="B430" s="67">
        <v>3</v>
      </c>
      <c r="C430" s="67">
        <f ca="1">IF(magestuff!$I$199&lt;1,1,magestuff!$I$199)</f>
        <v>3</v>
      </c>
      <c r="D430" s="67">
        <f t="shared" si="67"/>
        <v>0</v>
      </c>
      <c r="E430" s="77" t="e">
        <f ca="1">IF(F430="y",HLOOKUP((IF(C430&lt;1,1,C430)),Magick!$C$20:$L$21,2),NA())</f>
        <v>#N/A</v>
      </c>
      <c r="F430" s="67" t="str">
        <f ca="1">IF(C430&lt;=Magick!$D$3,"Y","N")</f>
        <v>N</v>
      </c>
      <c r="G430" s="148" t="s">
        <v>128</v>
      </c>
      <c r="H430" s="151"/>
      <c r="I430" s="77" t="e">
        <f>IF(H430&gt;0,(HLOOKUP(C430,Magick!$C$20:$L$21,2)-HLOOKUP(H430,Magick!$C$20:$L$21,2)),NA())</f>
        <v>#N/A</v>
      </c>
      <c r="J430" s="77"/>
      <c r="K430" s="67">
        <v>5</v>
      </c>
      <c r="L430" s="72" t="str">
        <f>IF(H430&gt;0,Magick!$AR$21-('Master Spell List'!H425*0.1),"N/A")</f>
        <v>N/A</v>
      </c>
      <c r="M430" s="72">
        <f ca="1">Magick!$H$71</f>
        <v>0.04</v>
      </c>
      <c r="N430" s="72">
        <f ca="1">Magick!$K$71</f>
        <v>0.09</v>
      </c>
      <c r="O430" s="72">
        <f ca="1">Magick!$L$71</f>
        <v>0.09</v>
      </c>
      <c r="P430" s="72">
        <f ca="1">Magick!$M$71</f>
        <v>0.09</v>
      </c>
      <c r="Q430" s="67" t="s">
        <v>3723</v>
      </c>
      <c r="R430" s="67">
        <f ca="1">IF(Q430="Ritual","N/A",IF(Q430="I.E.","N/A",IF(Q430="WOG",VLOOKUP(Magick!$I$71*100,magestuff!$B$134:$F$138,2),IF(Q430="Cantrip",VLOOKUP(Magick!$I$71*100,magestuff!$B$134:$F$138,3),IF(Q430="Hex",VLOOKUP(Magick!$I$71*100,magestuff!$B$134:$F$138,4),VLOOKUP(Magick!$I$71*100,magestuff!$B$134:$F$138,5))))))</f>
        <v>29</v>
      </c>
      <c r="U430" s="67" t="str">
        <f t="shared" si="68"/>
        <v xml:space="preserve"> </v>
      </c>
      <c r="V430" s="515"/>
      <c r="W430" s="125"/>
      <c r="X430" s="31">
        <f t="shared" si="69"/>
        <v>0</v>
      </c>
      <c r="Y430" s="509"/>
      <c r="Z430" s="1054" t="str">
        <f t="shared" si="59"/>
        <v>Dispel Charmed Large Predators</v>
      </c>
      <c r="AA430" s="1072" t="str">
        <f t="shared" si="60"/>
        <v>Command</v>
      </c>
    </row>
    <row r="431" spans="1:27" hidden="1" outlineLevel="1">
      <c r="A431" s="31" t="s">
        <v>3496</v>
      </c>
      <c r="B431" s="67">
        <v>3</v>
      </c>
      <c r="C431" s="67">
        <f ca="1">IF(magestuff!$I$199&lt;1,1,magestuff!$I$199)</f>
        <v>3</v>
      </c>
      <c r="D431" s="67">
        <f t="shared" si="67"/>
        <v>0</v>
      </c>
      <c r="E431" s="77" t="e">
        <f ca="1">IF(F431="y",HLOOKUP((IF(C431&lt;1,1,C431)),Magick!$C$20:$L$21,2),NA())</f>
        <v>#N/A</v>
      </c>
      <c r="F431" s="67" t="str">
        <f ca="1">IF(C431&lt;=Magick!$D$3,"Y","N")</f>
        <v>N</v>
      </c>
      <c r="G431" s="148" t="s">
        <v>128</v>
      </c>
      <c r="H431" s="151"/>
      <c r="I431" s="77" t="e">
        <f>IF(H431&gt;0,(HLOOKUP(C431,Magick!$C$20:$L$21,2)-HLOOKUP(H431,Magick!$C$20:$L$21,2)),NA())</f>
        <v>#N/A</v>
      </c>
      <c r="J431" s="77"/>
      <c r="K431" s="67" t="s">
        <v>2051</v>
      </c>
      <c r="L431" s="72" t="str">
        <f>IF(H431&gt;0,Magick!$AR$21-('Master Spell List'!H433*0.1),"N/A")</f>
        <v>N/A</v>
      </c>
      <c r="M431" s="72">
        <f ca="1">Magick!$H$71</f>
        <v>0.04</v>
      </c>
      <c r="N431" s="72">
        <f ca="1">Magick!$K$71</f>
        <v>0.09</v>
      </c>
      <c r="O431" s="72">
        <f ca="1">Magick!$L$71</f>
        <v>0.09</v>
      </c>
      <c r="P431" s="72">
        <f ca="1">Magick!$M$71</f>
        <v>0.09</v>
      </c>
      <c r="Q431" s="67" t="s">
        <v>4603</v>
      </c>
      <c r="R431" s="67">
        <f ca="1">IF(Q431="Ritual","N/A",IF(Q431="I.E.","N/A",IF(Q431="WOG",VLOOKUP(Magick!$I$71*100,magestuff!$B$134:$F$138,2),IF(Q431="Cantrip",VLOOKUP(Magick!$I$71*100,magestuff!$B$134:$F$138,3),IF(Q431="Hex",VLOOKUP(Magick!$I$71*100,magestuff!$B$134:$F$138,4),VLOOKUP(Magick!$I$71*100,magestuff!$B$134:$F$138,5))))))</f>
        <v>9</v>
      </c>
      <c r="U431" s="67" t="str">
        <f t="shared" si="68"/>
        <v xml:space="preserve"> </v>
      </c>
      <c r="V431" s="515"/>
      <c r="W431" s="125"/>
      <c r="X431" s="31">
        <f t="shared" si="69"/>
        <v>0</v>
      </c>
      <c r="Y431" s="509"/>
      <c r="Z431" s="1054" t="str">
        <f t="shared" si="59"/>
        <v>Hold Large Animal</v>
      </c>
      <c r="AA431" s="1072" t="str">
        <f t="shared" si="60"/>
        <v>Command</v>
      </c>
    </row>
    <row r="432" spans="1:27" hidden="1" outlineLevel="1">
      <c r="A432" s="31" t="s">
        <v>2999</v>
      </c>
      <c r="B432" s="67">
        <v>3</v>
      </c>
      <c r="C432" s="67">
        <f ca="1">IF(magestuff!$I$199&lt;1,1,magestuff!$I$199)</f>
        <v>3</v>
      </c>
      <c r="D432" s="67">
        <f t="shared" si="67"/>
        <v>0</v>
      </c>
      <c r="E432" s="77" t="e">
        <f ca="1">IF(F432="y",HLOOKUP((IF(C432&lt;1,1,C432)),Magick!$C$20:$L$21,2),NA())</f>
        <v>#N/A</v>
      </c>
      <c r="F432" s="67" t="str">
        <f ca="1">IF(C432&lt;=Magick!$D$3,"Y","N")</f>
        <v>N</v>
      </c>
      <c r="G432" s="148" t="s">
        <v>128</v>
      </c>
      <c r="H432" s="151"/>
      <c r="I432" s="77" t="e">
        <f>IF(H432&gt;0,(HLOOKUP(C432,Magick!$C$20:$L$21,2)-HLOOKUP(H432,Magick!$C$20:$L$21,2)),NA())</f>
        <v>#N/A</v>
      </c>
      <c r="J432" s="77"/>
      <c r="K432" s="67" t="s">
        <v>2051</v>
      </c>
      <c r="L432" s="72" t="str">
        <f>IF(H432&gt;0,Magick!$AR$21-('Master Spell List'!H434*0.1),"N/A")</f>
        <v>N/A</v>
      </c>
      <c r="M432" s="72">
        <f ca="1">Magick!$H$71</f>
        <v>0.04</v>
      </c>
      <c r="N432" s="72">
        <f ca="1">Magick!$K$71</f>
        <v>0.09</v>
      </c>
      <c r="O432" s="72">
        <f ca="1">Magick!$L$71</f>
        <v>0.09</v>
      </c>
      <c r="P432" s="72">
        <f ca="1">Magick!$M$71</f>
        <v>0.09</v>
      </c>
      <c r="Q432" s="67" t="s">
        <v>4603</v>
      </c>
      <c r="R432" s="67">
        <f ca="1">IF(Q432="Ritual","N/A",IF(Q432="I.E.","N/A",IF(Q432="WOG",VLOOKUP(Magick!$I$71*100,magestuff!$B$134:$F$138,2),IF(Q432="Cantrip",VLOOKUP(Magick!$I$71*100,magestuff!$B$134:$F$138,3),IF(Q432="Hex",VLOOKUP(Magick!$I$71*100,magestuff!$B$134:$F$138,4),VLOOKUP(Magick!$I$71*100,magestuff!$B$134:$F$138,5))))))</f>
        <v>9</v>
      </c>
      <c r="U432" s="67" t="str">
        <f t="shared" si="68"/>
        <v xml:space="preserve"> </v>
      </c>
      <c r="V432" s="515"/>
      <c r="W432" s="125"/>
      <c r="X432" s="31">
        <f t="shared" si="69"/>
        <v>0</v>
      </c>
      <c r="Y432" s="509"/>
      <c r="Z432" s="1054" t="str">
        <f t="shared" si="59"/>
        <v>Hold Small Predators</v>
      </c>
      <c r="AA432" s="1072" t="str">
        <f t="shared" si="60"/>
        <v>Command</v>
      </c>
    </row>
    <row r="433" spans="1:27" hidden="1" outlineLevel="1">
      <c r="A433" s="31" t="s">
        <v>3567</v>
      </c>
      <c r="B433" s="67">
        <v>3</v>
      </c>
      <c r="C433" s="67">
        <f ca="1">IF(magestuff!$I$199&lt;1,1,magestuff!$I$199)</f>
        <v>3</v>
      </c>
      <c r="D433" s="67">
        <f t="shared" si="67"/>
        <v>0</v>
      </c>
      <c r="E433" s="77" t="e">
        <f ca="1">IF(F433="y",HLOOKUP((IF(C433&lt;1,1,C433)),Magick!$C$20:$L$21,2),NA())</f>
        <v>#N/A</v>
      </c>
      <c r="F433" s="67" t="str">
        <f ca="1">IF(C433&lt;=Magick!$D$3,"Y","N")</f>
        <v>N</v>
      </c>
      <c r="G433" s="148" t="s">
        <v>128</v>
      </c>
      <c r="H433" s="151"/>
      <c r="I433" s="77" t="e">
        <f>IF(H433&gt;0,(HLOOKUP(C433,Magick!$C$20:$L$21,2)-HLOOKUP(H433,Magick!$C$20:$L$21,2)),NA())</f>
        <v>#N/A</v>
      </c>
      <c r="J433" s="77"/>
      <c r="K433" s="67">
        <v>5</v>
      </c>
      <c r="L433" s="72" t="str">
        <f>IF(H433&gt;0,Magick!$AR$21-('Master Spell List'!H462*0.1),"N/A")</f>
        <v>N/A</v>
      </c>
      <c r="M433" s="72">
        <f ca="1">Magick!$H$71</f>
        <v>0.04</v>
      </c>
      <c r="N433" s="72">
        <f ca="1">Magick!$K$71</f>
        <v>0.09</v>
      </c>
      <c r="O433" s="72">
        <f ca="1">Magick!$L$71</f>
        <v>0.09</v>
      </c>
      <c r="P433" s="72">
        <f ca="1">Magick!$M$71</f>
        <v>0.09</v>
      </c>
      <c r="Q433" s="67" t="s">
        <v>3723</v>
      </c>
      <c r="R433" s="67">
        <f ca="1">IF(Q433="Ritual","N/A",IF(Q433="I.E.","N/A",IF(Q433="WOG",VLOOKUP(Magick!$I$71*100,magestuff!$B$134:$F$138,2),IF(Q433="Cantrip",VLOOKUP(Magick!$I$71*100,magestuff!$B$134:$F$138,3),IF(Q433="Hex",VLOOKUP(Magick!$I$71*100,magestuff!$B$134:$F$138,4),VLOOKUP(Magick!$I$71*100,magestuff!$B$134:$F$138,5))))))</f>
        <v>29</v>
      </c>
      <c r="U433" s="67" t="str">
        <f t="shared" si="68"/>
        <v xml:space="preserve"> </v>
      </c>
      <c r="V433" s="515"/>
      <c r="W433" s="125"/>
      <c r="X433" s="31">
        <f t="shared" si="69"/>
        <v>0</v>
      </c>
      <c r="Y433" s="509"/>
      <c r="Z433" s="1054" t="str">
        <f t="shared" si="59"/>
        <v>Infatuation</v>
      </c>
      <c r="AA433" s="1072" t="str">
        <f t="shared" si="60"/>
        <v>Command</v>
      </c>
    </row>
    <row r="434" spans="1:27" hidden="1" outlineLevel="1">
      <c r="A434" s="83" t="s">
        <v>2083</v>
      </c>
      <c r="B434" s="67">
        <v>3</v>
      </c>
      <c r="C434" s="67">
        <f ca="1">IF(magestuff!$I$199&lt;1,1,magestuff!$I$199)</f>
        <v>3</v>
      </c>
      <c r="D434" s="67">
        <f t="shared" si="67"/>
        <v>0</v>
      </c>
      <c r="E434" s="77" t="e">
        <f ca="1">IF(F434="y",HLOOKUP((IF(C434&lt;1,1,C434)),Magick!$C$20:$L$21,2),NA())</f>
        <v>#N/A</v>
      </c>
      <c r="F434" s="67" t="str">
        <f ca="1">IF(C434&lt;=Magick!$D$3,"Y","N")</f>
        <v>N</v>
      </c>
      <c r="G434" s="148" t="s">
        <v>1617</v>
      </c>
      <c r="H434" s="151"/>
      <c r="I434" s="77" t="e">
        <f>IF(H434&gt;0,(HLOOKUP(C434,Magick!$C$20:$L$21,2)-HLOOKUP(H434,Magick!$C$20:$L$21,2)),NA())</f>
        <v>#N/A</v>
      </c>
      <c r="J434" s="77"/>
      <c r="K434" s="67">
        <v>6</v>
      </c>
      <c r="L434" s="72" t="str">
        <f>IF(H434&gt;0,Magick!$AR$21-('Master Spell List'!H476*0.1),"N/A")</f>
        <v>N/A</v>
      </c>
      <c r="M434" s="72">
        <f ca="1">Magick!$H$71</f>
        <v>0.04</v>
      </c>
      <c r="N434" s="72">
        <f ca="1">Magick!$K$71</f>
        <v>0.09</v>
      </c>
      <c r="O434" s="72">
        <f ca="1">Magick!$L$71</f>
        <v>0.09</v>
      </c>
      <c r="P434" s="72">
        <f ca="1">Magick!$M$71</f>
        <v>0.09</v>
      </c>
      <c r="Q434" s="67" t="s">
        <v>4602</v>
      </c>
      <c r="R434" s="67">
        <f ca="1">IF(Q434="Ritual","N/A",IF(Q434="I.E.","N/A",IF(Q434="WOG",VLOOKUP(Magick!$I$71*100,magestuff!$B$134:$F$138,2),IF(Q434="Cantrip",VLOOKUP(Magick!$I$71*100,magestuff!$B$134:$F$138,3),IF(Q434="Hex",VLOOKUP(Magick!$I$71*100,magestuff!$B$134:$F$138,4),VLOOKUP(Magick!$I$71*100,magestuff!$B$134:$F$138,5))))))</f>
        <v>19</v>
      </c>
      <c r="S434" s="67" t="s">
        <v>1984</v>
      </c>
      <c r="U434" s="67" t="str">
        <f t="shared" si="68"/>
        <v xml:space="preserve"> </v>
      </c>
      <c r="V434" s="515"/>
      <c r="W434" s="125"/>
      <c r="X434" s="31">
        <f t="shared" si="69"/>
        <v>0</v>
      </c>
      <c r="Y434" s="509"/>
      <c r="Z434" s="1054" t="str">
        <f t="shared" si="59"/>
        <v>Lesser Calm</v>
      </c>
      <c r="AA434" s="1072" t="str">
        <f t="shared" si="60"/>
        <v>Command</v>
      </c>
    </row>
    <row r="435" spans="1:27" hidden="1" outlineLevel="1">
      <c r="A435" s="31" t="s">
        <v>3533</v>
      </c>
      <c r="B435" s="67">
        <v>3</v>
      </c>
      <c r="C435" s="67">
        <f ca="1">IF(magestuff!$I$199&lt;1,1,magestuff!$I$199)</f>
        <v>3</v>
      </c>
      <c r="D435" s="67">
        <f t="shared" si="67"/>
        <v>0</v>
      </c>
      <c r="E435" s="77" t="e">
        <f ca="1">IF(F435="y",HLOOKUP((IF(C435&lt;1,1,C435)),Magick!$C$20:$L$21,2),NA())</f>
        <v>#N/A</v>
      </c>
      <c r="F435" s="67" t="str">
        <f ca="1">IF(C435&lt;=Magick!$D$3,"Y","N")</f>
        <v>N</v>
      </c>
      <c r="G435" s="148" t="s">
        <v>128</v>
      </c>
      <c r="H435" s="151"/>
      <c r="I435" s="77" t="e">
        <f>IF(H435&gt;0,(HLOOKUP(C435,Magick!$C$20:$L$21,2)-HLOOKUP(H435,Magick!$C$20:$L$21,2)),NA())</f>
        <v>#N/A</v>
      </c>
      <c r="J435" s="77"/>
      <c r="K435" s="67">
        <v>6</v>
      </c>
      <c r="L435" s="72" t="str">
        <f>IF(H435&gt;0,Magick!$AR$21-('Master Spell List'!H443*0.1),"N/A")</f>
        <v>N/A</v>
      </c>
      <c r="M435" s="72">
        <f ca="1">Magick!$H$71</f>
        <v>0.04</v>
      </c>
      <c r="N435" s="72">
        <f ca="1">Magick!$K$71</f>
        <v>0.09</v>
      </c>
      <c r="O435" s="72">
        <f ca="1">Magick!$L$71</f>
        <v>0.09</v>
      </c>
      <c r="P435" s="72">
        <f ca="1">Magick!$M$71</f>
        <v>0.09</v>
      </c>
      <c r="Q435" s="67" t="s">
        <v>3723</v>
      </c>
      <c r="R435" s="67">
        <f ca="1">IF(Q435="Ritual","N/A",IF(Q435="I.E.","N/A",IF(Q435="WOG",VLOOKUP(Magick!$I$71*100,magestuff!$B$134:$F$138,2),IF(Q435="Cantrip",VLOOKUP(Magick!$I$71*100,magestuff!$B$134:$F$138,3),IF(Q435="Hex",VLOOKUP(Magick!$I$71*100,magestuff!$B$134:$F$138,4),VLOOKUP(Magick!$I$71*100,magestuff!$B$134:$F$138,5))))))</f>
        <v>29</v>
      </c>
      <c r="U435" s="67" t="str">
        <f t="shared" si="68"/>
        <v xml:space="preserve"> </v>
      </c>
      <c r="V435" s="515"/>
      <c r="W435" s="125"/>
      <c r="X435" s="31">
        <f t="shared" si="69"/>
        <v>0</v>
      </c>
      <c r="Y435" s="509"/>
      <c r="Z435" s="1054" t="str">
        <f t="shared" si="59"/>
        <v>Mesmerize</v>
      </c>
      <c r="AA435" s="1072" t="str">
        <f t="shared" si="60"/>
        <v>Command</v>
      </c>
    </row>
    <row r="436" spans="1:27" hidden="1" outlineLevel="1">
      <c r="A436" s="31" t="s">
        <v>3534</v>
      </c>
      <c r="B436" s="67">
        <v>3</v>
      </c>
      <c r="C436" s="67">
        <f ca="1">IF(magestuff!$I$199&lt;1,1,magestuff!$I$199)</f>
        <v>3</v>
      </c>
      <c r="D436" s="67">
        <f t="shared" si="67"/>
        <v>0</v>
      </c>
      <c r="E436" s="77" t="e">
        <f ca="1">IF(F436="y",HLOOKUP((IF(C436&lt;1,1,C436)),Magick!$C$20:$L$21,2),NA())</f>
        <v>#N/A</v>
      </c>
      <c r="F436" s="67" t="str">
        <f ca="1">IF(C436&lt;=Magick!$D$3,"Y","N")</f>
        <v>N</v>
      </c>
      <c r="G436" s="148" t="s">
        <v>128</v>
      </c>
      <c r="H436" s="151"/>
      <c r="I436" s="77" t="e">
        <f>IF(H436&gt;0,(HLOOKUP(C436,Magick!$C$20:$L$21,2)-HLOOKUP(H436,Magick!$C$20:$L$21,2)),NA())</f>
        <v>#N/A</v>
      </c>
      <c r="J436" s="77"/>
      <c r="K436" s="67">
        <v>5</v>
      </c>
      <c r="L436" s="72" t="str">
        <f>IF(H436&gt;0,Magick!$AR$21-('Master Spell List'!H444*0.1),"N/A")</f>
        <v>N/A</v>
      </c>
      <c r="M436" s="72">
        <f ca="1">Magick!$H$71</f>
        <v>0.04</v>
      </c>
      <c r="N436" s="72">
        <f ca="1">Magick!$K$71</f>
        <v>0.09</v>
      </c>
      <c r="O436" s="72">
        <f ca="1">Magick!$L$71</f>
        <v>0.09</v>
      </c>
      <c r="P436" s="72">
        <f ca="1">Magick!$M$71</f>
        <v>0.09</v>
      </c>
      <c r="Q436" s="67" t="s">
        <v>113</v>
      </c>
      <c r="R436" s="67" t="str">
        <f>IF(Q436="Ritual","N/A",IF(Q436="I.E.","N/A",IF(Q436="WOG",VLOOKUP(Magick!$I$71*100,magestuff!$B$134:$F$138,2),IF(Q436="Cantrip",VLOOKUP(Magick!$I$71*100,magestuff!$B$134:$F$138,3),IF(Q436="Hex",VLOOKUP(Magick!$I$71*100,magestuff!$B$134:$F$138,4),VLOOKUP(Magick!$I$71*100,magestuff!$B$134:$F$138,5))))))</f>
        <v>N/A</v>
      </c>
      <c r="U436" s="67" t="str">
        <f t="shared" si="68"/>
        <v xml:space="preserve"> </v>
      </c>
      <c r="V436" s="515"/>
      <c r="W436" s="125"/>
      <c r="X436" s="31">
        <f t="shared" si="69"/>
        <v>0</v>
      </c>
      <c r="Y436" s="509"/>
      <c r="Z436" s="1054" t="str">
        <f t="shared" si="59"/>
        <v>Necromantic Bindings</v>
      </c>
      <c r="AA436" s="1072" t="str">
        <f t="shared" si="60"/>
        <v>Command</v>
      </c>
    </row>
    <row r="437" spans="1:27" hidden="1" outlineLevel="1">
      <c r="A437" s="31" t="s">
        <v>2122</v>
      </c>
      <c r="B437" s="67">
        <v>4</v>
      </c>
      <c r="C437" s="67">
        <f ca="1">magestuff!$L$199</f>
        <v>4</v>
      </c>
      <c r="D437" s="67">
        <f t="shared" si="67"/>
        <v>0</v>
      </c>
      <c r="E437" s="77" t="e">
        <f ca="1">IF(F437="y",HLOOKUP((IF(C437&lt;1,1,C437)),Magick!$C$20:$L$21,2),NA())</f>
        <v>#N/A</v>
      </c>
      <c r="F437" s="67" t="str">
        <f ca="1">IF(C437&lt;=Magick!$D$3,"Y","N")</f>
        <v>N</v>
      </c>
      <c r="G437" s="148" t="s">
        <v>128</v>
      </c>
      <c r="H437" s="151"/>
      <c r="I437" s="77" t="e">
        <f>IF(H437&gt;0,(HLOOKUP(C437,Magick!$C$20:$L$21,2)-HLOOKUP(H437,Magick!$C$20:$L$21,2)),NA())</f>
        <v>#N/A</v>
      </c>
      <c r="J437" s="77"/>
      <c r="K437" s="67">
        <v>4</v>
      </c>
      <c r="L437" s="72" t="str">
        <f>IF(H437&gt;0,Magick!$AR$21-('Master Spell List'!H426*0.1),"N/A")</f>
        <v>N/A</v>
      </c>
      <c r="M437" s="72">
        <f ca="1">Magick!$H$71</f>
        <v>0.04</v>
      </c>
      <c r="N437" s="72">
        <f ca="1">Magick!$K$71</f>
        <v>0.09</v>
      </c>
      <c r="O437" s="72">
        <f ca="1">Magick!$L$71</f>
        <v>0.09</v>
      </c>
      <c r="P437" s="72">
        <f ca="1">Magick!$M$71</f>
        <v>0.09</v>
      </c>
      <c r="Q437" s="67" t="s">
        <v>113</v>
      </c>
      <c r="R437" s="67" t="str">
        <f>IF(Q437="Ritual","N/A",IF(Q437="I.E.","N/A",IF(Q437="WOG",VLOOKUP(Magick!$I$71*100,magestuff!$B$134:$F$138,2),IF(Q437="Cantrip",VLOOKUP(Magick!$I$71*100,magestuff!$B$134:$F$138,3),IF(Q437="Hex",VLOOKUP(Magick!$I$71*100,magestuff!$B$134:$F$138,4),VLOOKUP(Magick!$I$71*100,magestuff!$B$134:$F$138,5))))))</f>
        <v>N/A</v>
      </c>
      <c r="U437" s="67" t="str">
        <f t="shared" si="68"/>
        <v xml:space="preserve"> </v>
      </c>
      <c r="V437" s="515"/>
      <c r="W437" s="125"/>
      <c r="X437" s="31">
        <f t="shared" si="69"/>
        <v>0</v>
      </c>
      <c r="Y437" s="509"/>
      <c r="Z437" s="1054" t="str">
        <f t="shared" si="59"/>
        <v>Charm Person</v>
      </c>
      <c r="AA437" s="1072" t="str">
        <f t="shared" si="60"/>
        <v>Command</v>
      </c>
    </row>
    <row r="438" spans="1:27" hidden="1" outlineLevel="1">
      <c r="A438" s="31" t="s">
        <v>3625</v>
      </c>
      <c r="B438" s="67">
        <v>4</v>
      </c>
      <c r="C438" s="67">
        <f ca="1">magestuff!$L$199</f>
        <v>4</v>
      </c>
      <c r="D438" s="67">
        <f t="shared" si="67"/>
        <v>0</v>
      </c>
      <c r="E438" s="77" t="e">
        <f ca="1">IF(F438="y",HLOOKUP((IF(C438&lt;1,1,C438)),Magick!$C$20:$L$21,2),NA())</f>
        <v>#N/A</v>
      </c>
      <c r="F438" s="67" t="str">
        <f ca="1">IF(C438&lt;=Magick!$D$3,"Y","N")</f>
        <v>N</v>
      </c>
      <c r="G438" s="148" t="s">
        <v>128</v>
      </c>
      <c r="H438" s="151"/>
      <c r="I438" s="77" t="e">
        <f>IF(H438&gt;0,(HLOOKUP(C438,Magick!$C$20:$L$21,2)-HLOOKUP(H438,Magick!$C$20:$L$21,2)),NA())</f>
        <v>#N/A</v>
      </c>
      <c r="J438" s="77"/>
      <c r="K438" s="67" t="s">
        <v>2054</v>
      </c>
      <c r="L438" s="72" t="str">
        <f>IF(H438&gt;0,Magick!$AR$21-('Master Spell List'!H446*0.1),"N/A")</f>
        <v>N/A</v>
      </c>
      <c r="M438" s="72">
        <f ca="1">Magick!$H$71</f>
        <v>0.04</v>
      </c>
      <c r="N438" s="72">
        <f ca="1">Magick!$K$71</f>
        <v>0.09</v>
      </c>
      <c r="O438" s="72">
        <f ca="1">Magick!$L$71</f>
        <v>0.09</v>
      </c>
      <c r="P438" s="72">
        <f ca="1">Magick!$M$71</f>
        <v>0.09</v>
      </c>
      <c r="Q438" s="67" t="s">
        <v>4603</v>
      </c>
      <c r="R438" s="67">
        <f ca="1">IF(Q438="Ritual","N/A",IF(Q438="I.E.","N/A",IF(Q438="WOG",VLOOKUP(Magick!$I$71*100,magestuff!$B$134:$F$138,2),IF(Q438="Cantrip",VLOOKUP(Magick!$I$71*100,magestuff!$B$134:$F$138,3),IF(Q438="Hex",VLOOKUP(Magick!$I$71*100,magestuff!$B$134:$F$138,4),VLOOKUP(Magick!$I$71*100,magestuff!$B$134:$F$138,5))))))</f>
        <v>9</v>
      </c>
      <c r="U438" s="67" t="str">
        <f t="shared" si="68"/>
        <v xml:space="preserve"> </v>
      </c>
      <c r="V438" s="515"/>
      <c r="W438" s="125"/>
      <c r="X438" s="31">
        <f t="shared" si="69"/>
        <v>0</v>
      </c>
      <c r="Y438" s="509"/>
      <c r="Z438" s="1054" t="str">
        <f t="shared" si="59"/>
        <v>Command Large Animal</v>
      </c>
      <c r="AA438" s="1072" t="str">
        <f t="shared" si="60"/>
        <v>Command</v>
      </c>
    </row>
    <row r="439" spans="1:27" hidden="1" outlineLevel="1">
      <c r="A439" s="31" t="s">
        <v>3627</v>
      </c>
      <c r="B439" s="67">
        <v>4</v>
      </c>
      <c r="C439" s="67">
        <f ca="1">magestuff!$L$199</f>
        <v>4</v>
      </c>
      <c r="D439" s="67">
        <f t="shared" si="67"/>
        <v>0</v>
      </c>
      <c r="E439" s="77" t="e">
        <f ca="1">IF(F439="y",HLOOKUP((IF(C439&lt;1,1,C439)),Magick!$C$20:$L$21,2),NA())</f>
        <v>#N/A</v>
      </c>
      <c r="F439" s="67" t="str">
        <f ca="1">IF(C439&lt;=Magick!$D$3,"Y","N")</f>
        <v>N</v>
      </c>
      <c r="G439" s="148" t="s">
        <v>128</v>
      </c>
      <c r="H439" s="151"/>
      <c r="I439" s="77" t="e">
        <f>IF(H439&gt;0,(HLOOKUP(C439,Magick!$C$20:$L$21,2)-HLOOKUP(H439,Magick!$C$20:$L$21,2)),NA())</f>
        <v>#N/A</v>
      </c>
      <c r="J439" s="77"/>
      <c r="K439" s="67" t="s">
        <v>2056</v>
      </c>
      <c r="L439" s="72" t="str">
        <f>IF(H439&gt;0,Magick!$AR$21-('Master Spell List'!H448*0.1),"N/A")</f>
        <v>N/A</v>
      </c>
      <c r="M439" s="72">
        <f ca="1">Magick!$H$71</f>
        <v>0.04</v>
      </c>
      <c r="N439" s="72">
        <f ca="1">Magick!$K$71</f>
        <v>0.09</v>
      </c>
      <c r="O439" s="72">
        <f ca="1">Magick!$L$71</f>
        <v>0.09</v>
      </c>
      <c r="P439" s="72">
        <f ca="1">Magick!$M$71</f>
        <v>0.09</v>
      </c>
      <c r="Q439" s="67" t="s">
        <v>4602</v>
      </c>
      <c r="R439" s="67">
        <f ca="1">IF(Q439="Ritual","N/A",IF(Q439="I.E.","N/A",IF(Q439="WOG",VLOOKUP(Magick!$I$71*100,magestuff!$B$134:$F$138,2),IF(Q439="Cantrip",VLOOKUP(Magick!$I$71*100,magestuff!$B$134:$F$138,3),IF(Q439="Hex",VLOOKUP(Magick!$I$71*100,magestuff!$B$134:$F$138,4),VLOOKUP(Magick!$I$71*100,magestuff!$B$134:$F$138,5))))))</f>
        <v>19</v>
      </c>
      <c r="U439" s="67" t="str">
        <f t="shared" si="68"/>
        <v xml:space="preserve"> </v>
      </c>
      <c r="V439" s="515"/>
      <c r="W439" s="125"/>
      <c r="X439" s="31">
        <f t="shared" ref="X439:X470" si="70">W439*3</f>
        <v>0</v>
      </c>
      <c r="Y439" s="509"/>
      <c r="Z439" s="1054" t="str">
        <f t="shared" si="59"/>
        <v>Command Large Predator</v>
      </c>
      <c r="AA439" s="1072" t="str">
        <f t="shared" si="60"/>
        <v>Command</v>
      </c>
    </row>
    <row r="440" spans="1:27" hidden="1" outlineLevel="1">
      <c r="A440" s="83" t="s">
        <v>1814</v>
      </c>
      <c r="B440" s="67">
        <v>4</v>
      </c>
      <c r="C440" s="67">
        <f ca="1">magestuff!$L$199</f>
        <v>4</v>
      </c>
      <c r="D440" s="67">
        <f t="shared" si="67"/>
        <v>0</v>
      </c>
      <c r="E440" s="77" t="e">
        <f ca="1">IF(F440="y",HLOOKUP((IF(C440&lt;1,1,C440)),Magick!$C$20:$L$21,2),NA())</f>
        <v>#N/A</v>
      </c>
      <c r="F440" s="67" t="str">
        <f ca="1">IF(C440&lt;=Magick!$D$3,"Y","N")</f>
        <v>N</v>
      </c>
      <c r="G440" s="148" t="s">
        <v>1616</v>
      </c>
      <c r="H440" s="151"/>
      <c r="I440" s="77" t="e">
        <f>IF(H441&gt;0,(HLOOKUP(C441,Magick!$C$20:$L$21,2)-HLOOKUP(H441,Magick!$C$20:$L$21,2)),NA())</f>
        <v>#N/A</v>
      </c>
      <c r="J440" s="77"/>
      <c r="K440" s="67">
        <v>5</v>
      </c>
      <c r="L440" s="72" t="str">
        <f>IF(H441&gt;0,Magick!$AR$21-('Master Spell List'!H468*0.1),"N/A")</f>
        <v>N/A</v>
      </c>
      <c r="M440" s="72">
        <f ca="1">Magick!$H$71</f>
        <v>0.04</v>
      </c>
      <c r="N440" s="72">
        <f ca="1">Magick!$K$71</f>
        <v>0.09</v>
      </c>
      <c r="O440" s="72">
        <f ca="1">Magick!$L$71</f>
        <v>0.09</v>
      </c>
      <c r="P440" s="72">
        <f ca="1">Magick!$M$71</f>
        <v>0.09</v>
      </c>
      <c r="Q440" s="67" t="s">
        <v>4602</v>
      </c>
      <c r="R440" s="67">
        <f ca="1">IF(Q440="Ritual","N/A",IF(Q440="I.E.","N/A",IF(Q440="WOG",VLOOKUP(Magick!$I$71*100,magestuff!$B$134:$F$138,2),IF(Q440="Cantrip",VLOOKUP(Magick!$I$71*100,magestuff!$B$134:$F$138,3),IF(Q440="Hex",VLOOKUP(Magick!$I$71*100,magestuff!$B$134:$F$138,4),VLOOKUP(Magick!$I$71*100,magestuff!$B$134:$F$138,5))))))</f>
        <v>19</v>
      </c>
      <c r="U440" s="67" t="str">
        <f t="shared" si="68"/>
        <v xml:space="preserve"> </v>
      </c>
      <c r="V440" s="515"/>
      <c r="W440" s="125"/>
      <c r="X440" s="31">
        <f t="shared" si="70"/>
        <v>0</v>
      </c>
      <c r="Y440" s="509"/>
      <c r="Z440" s="1054" t="str">
        <f t="shared" si="59"/>
        <v>Compel Lies</v>
      </c>
      <c r="AA440" s="1072" t="str">
        <f t="shared" si="60"/>
        <v>Command</v>
      </c>
    </row>
    <row r="441" spans="1:27" hidden="1" outlineLevel="1">
      <c r="A441" s="83" t="s">
        <v>2378</v>
      </c>
      <c r="B441" s="67">
        <v>4</v>
      </c>
      <c r="C441" s="67">
        <f ca="1">magestuff!$L$199</f>
        <v>4</v>
      </c>
      <c r="D441" s="67">
        <f t="shared" si="67"/>
        <v>0</v>
      </c>
      <c r="E441" s="77" t="e">
        <f ca="1">IF(F441="y",HLOOKUP((IF(C441&lt;1,1,C441)),Magick!$C$20:$L$21,2),NA())</f>
        <v>#N/A</v>
      </c>
      <c r="F441" s="67" t="str">
        <f ca="1">IF(C441&lt;=Magick!$D$3,"Y","N")</f>
        <v>N</v>
      </c>
      <c r="G441" s="148" t="s">
        <v>1616</v>
      </c>
      <c r="H441" s="151"/>
      <c r="I441" s="77" t="e">
        <f>IF(H442&gt;0,(HLOOKUP(C442,Magick!$C$20:$L$21,2)-HLOOKUP(H442,Magick!$C$20:$L$21,2)),NA())</f>
        <v>#N/A</v>
      </c>
      <c r="J441" s="77"/>
      <c r="K441" s="67">
        <v>5</v>
      </c>
      <c r="L441" s="72" t="str">
        <f>IF(H442&gt;0,Magick!$AR$21-('Master Spell List'!H470*0.1),"N/A")</f>
        <v>N/A</v>
      </c>
      <c r="M441" s="72">
        <f ca="1">Magick!$H$71</f>
        <v>0.04</v>
      </c>
      <c r="N441" s="72">
        <f ca="1">Magick!$K$71</f>
        <v>0.09</v>
      </c>
      <c r="O441" s="72">
        <f ca="1">Magick!$L$71</f>
        <v>0.09</v>
      </c>
      <c r="P441" s="72">
        <f ca="1">Magick!$M$71</f>
        <v>0.09</v>
      </c>
      <c r="Q441" s="67" t="s">
        <v>4602</v>
      </c>
      <c r="R441" s="67">
        <f ca="1">IF(Q441="Ritual","N/A",IF(Q441="I.E.","N/A",IF(Q441="WOG",VLOOKUP(Magick!$I$71*100,magestuff!$B$134:$F$138,2),IF(Q441="Cantrip",VLOOKUP(Magick!$I$71*100,magestuff!$B$134:$F$138,3),IF(Q441="Hex",VLOOKUP(Magick!$I$71*100,magestuff!$B$134:$F$138,4),VLOOKUP(Magick!$I$71*100,magestuff!$B$134:$F$138,5))))))</f>
        <v>19</v>
      </c>
      <c r="U441" s="67" t="str">
        <f t="shared" si="68"/>
        <v xml:space="preserve"> </v>
      </c>
      <c r="V441" s="515"/>
      <c r="W441" s="125"/>
      <c r="X441" s="31">
        <f t="shared" si="70"/>
        <v>0</v>
      </c>
      <c r="Y441" s="509"/>
      <c r="Z441" s="1054" t="str">
        <f t="shared" si="59"/>
        <v>Compel Silence</v>
      </c>
      <c r="AA441" s="1072" t="str">
        <f t="shared" si="60"/>
        <v>Command</v>
      </c>
    </row>
    <row r="442" spans="1:27" hidden="1" outlineLevel="1">
      <c r="A442" s="83" t="s">
        <v>1812</v>
      </c>
      <c r="B442" s="67">
        <v>4</v>
      </c>
      <c r="C442" s="67">
        <f ca="1">magestuff!$L$199</f>
        <v>4</v>
      </c>
      <c r="D442" s="67">
        <f t="shared" si="67"/>
        <v>0</v>
      </c>
      <c r="E442" s="77" t="e">
        <f ca="1">IF(F442="y",HLOOKUP((IF(C442&lt;1,1,C442)),Magick!$C$20:$L$21,2),NA())</f>
        <v>#N/A</v>
      </c>
      <c r="F442" s="67" t="str">
        <f ca="1">IF(C442&lt;=Magick!$D$3,"Y","N")</f>
        <v>N</v>
      </c>
      <c r="G442" s="148" t="s">
        <v>1616</v>
      </c>
      <c r="H442" s="151"/>
      <c r="I442" s="77" t="e">
        <f>IF(H443&gt;0,(HLOOKUP(C443,Magick!$C$20:$L$21,2)-HLOOKUP(H443,Magick!$C$20:$L$21,2)),NA())</f>
        <v>#N/A</v>
      </c>
      <c r="J442" s="77"/>
      <c r="K442" s="67">
        <v>5</v>
      </c>
      <c r="L442" s="72" t="str">
        <f>IF(H443&gt;0,Magick!$AR$21-('Master Spell List'!H466*0.1),"N/A")</f>
        <v>N/A</v>
      </c>
      <c r="M442" s="72">
        <f ca="1">Magick!$H$71</f>
        <v>0.04</v>
      </c>
      <c r="N442" s="72">
        <f ca="1">Magick!$K$71</f>
        <v>0.09</v>
      </c>
      <c r="O442" s="72">
        <f ca="1">Magick!$L$71</f>
        <v>0.09</v>
      </c>
      <c r="P442" s="72">
        <f ca="1">Magick!$M$71</f>
        <v>0.09</v>
      </c>
      <c r="Q442" s="67" t="s">
        <v>4602</v>
      </c>
      <c r="R442" s="67">
        <f ca="1">IF(Q442="Ritual","N/A",IF(Q442="I.E.","N/A",IF(Q442="WOG",VLOOKUP(Magick!$I$71*100,magestuff!$B$134:$F$138,2),IF(Q442="Cantrip",VLOOKUP(Magick!$I$71*100,magestuff!$B$134:$F$138,3),IF(Q442="Hex",VLOOKUP(Magick!$I$71*100,magestuff!$B$134:$F$138,4),VLOOKUP(Magick!$I$71*100,magestuff!$B$134:$F$138,5))))))</f>
        <v>19</v>
      </c>
      <c r="U442" s="67" t="str">
        <f t="shared" si="68"/>
        <v xml:space="preserve"> </v>
      </c>
      <c r="V442" s="515"/>
      <c r="W442" s="125"/>
      <c r="X442" s="31">
        <f t="shared" si="70"/>
        <v>0</v>
      </c>
      <c r="Y442" s="509"/>
      <c r="Z442" s="1054" t="str">
        <f t="shared" si="59"/>
        <v>Compel Truth</v>
      </c>
      <c r="AA442" s="1072" t="str">
        <f t="shared" si="60"/>
        <v>Command</v>
      </c>
    </row>
    <row r="443" spans="1:27" hidden="1" outlineLevel="1">
      <c r="A443" s="31" t="s">
        <v>3564</v>
      </c>
      <c r="B443" s="67">
        <v>4</v>
      </c>
      <c r="C443" s="67">
        <f ca="1">magestuff!$L$199</f>
        <v>4</v>
      </c>
      <c r="D443" s="67">
        <f t="shared" si="67"/>
        <v>0</v>
      </c>
      <c r="E443" s="77" t="e">
        <f ca="1">IF(F443="y",HLOOKUP((IF(C443&lt;1,1,C443)),Magick!$C$20:$L$21,2),NA())</f>
        <v>#N/A</v>
      </c>
      <c r="F443" s="67" t="str">
        <f ca="1">IF(C443&lt;=Magick!$D$3,"Y","N")</f>
        <v>N</v>
      </c>
      <c r="G443" s="148" t="s">
        <v>128</v>
      </c>
      <c r="H443" s="151"/>
      <c r="I443" s="77" t="e">
        <f>IF(H443&gt;0,(HLOOKUP(C443,Magick!$C$20:$L$21,2)-HLOOKUP(H443,Magick!$C$20:$L$21,2)),NA())</f>
        <v>#N/A</v>
      </c>
      <c r="J443" s="77"/>
      <c r="K443" s="67">
        <v>7</v>
      </c>
      <c r="L443" s="72" t="str">
        <f>IF(H443&gt;0,Magick!$AR$21-('Master Spell List'!H459*0.1),"N/A")</f>
        <v>N/A</v>
      </c>
      <c r="M443" s="72">
        <f ca="1">Magick!$H$71</f>
        <v>0.04</v>
      </c>
      <c r="N443" s="72">
        <f ca="1">Magick!$K$71</f>
        <v>0.09</v>
      </c>
      <c r="O443" s="72">
        <f ca="1">Magick!$L$71</f>
        <v>0.09</v>
      </c>
      <c r="P443" s="72">
        <f ca="1">Magick!$M$71</f>
        <v>0.09</v>
      </c>
      <c r="Q443" s="67" t="s">
        <v>3723</v>
      </c>
      <c r="R443" s="67">
        <f ca="1">IF(Q443="Ritual","N/A",IF(Q443="I.E.","N/A",IF(Q443="WOG",VLOOKUP(Magick!$I$71*100,magestuff!$B$134:$F$138,2),IF(Q443="Cantrip",VLOOKUP(Magick!$I$71*100,magestuff!$B$134:$F$138,3),IF(Q443="Hex",VLOOKUP(Magick!$I$71*100,magestuff!$B$134:$F$138,4),VLOOKUP(Magick!$I$71*100,magestuff!$B$134:$F$138,5))))))</f>
        <v>29</v>
      </c>
      <c r="U443" s="67" t="str">
        <f t="shared" si="68"/>
        <v xml:space="preserve"> </v>
      </c>
      <c r="V443" s="515"/>
      <c r="W443" s="125"/>
      <c r="X443" s="31">
        <f t="shared" si="70"/>
        <v>0</v>
      </c>
      <c r="Y443" s="509"/>
      <c r="Z443" s="1054" t="str">
        <f t="shared" si="59"/>
        <v>Cowardice</v>
      </c>
      <c r="AA443" s="1072" t="str">
        <f t="shared" si="60"/>
        <v>Command</v>
      </c>
    </row>
    <row r="444" spans="1:27" hidden="1" outlineLevel="1">
      <c r="A444" s="31" t="s">
        <v>624</v>
      </c>
      <c r="B444" s="67">
        <v>4</v>
      </c>
      <c r="C444" s="67">
        <f ca="1">magestuff!$L$199</f>
        <v>4</v>
      </c>
      <c r="D444" s="67">
        <f t="shared" si="67"/>
        <v>0</v>
      </c>
      <c r="E444" s="77" t="e">
        <f ca="1">IF(F444="y",HLOOKUP((IF(C444&lt;1,1,C444)),Magick!$C$20:$L$21,2),NA())</f>
        <v>#N/A</v>
      </c>
      <c r="F444" s="67" t="str">
        <f ca="1">IF(C444&lt;=Magick!$D$3,"Y","N")</f>
        <v>N</v>
      </c>
      <c r="G444" s="148" t="s">
        <v>128</v>
      </c>
      <c r="H444" s="151"/>
      <c r="I444" s="77" t="e">
        <f>IF(H444&gt;0,(HLOOKUP(C444,Magick!$C$20:$L$21,2)-HLOOKUP(H444,Magick!$C$20:$L$21,2)),NA())</f>
        <v>#N/A</v>
      </c>
      <c r="J444" s="77"/>
      <c r="K444" s="67">
        <v>4</v>
      </c>
      <c r="L444" s="72" t="str">
        <f>IF(H444&gt;0,Magick!$AR$21-('Master Spell List'!H427*0.1),"N/A")</f>
        <v>N/A</v>
      </c>
      <c r="M444" s="72">
        <f ca="1">Magick!$H$71</f>
        <v>0.04</v>
      </c>
      <c r="N444" s="72">
        <f ca="1">Magick!$K$71</f>
        <v>0.09</v>
      </c>
      <c r="O444" s="72">
        <f ca="1">Magick!$L$71</f>
        <v>0.09</v>
      </c>
      <c r="P444" s="72">
        <f ca="1">Magick!$M$71</f>
        <v>0.09</v>
      </c>
      <c r="Q444" s="67" t="s">
        <v>113</v>
      </c>
      <c r="R444" s="67" t="str">
        <f>IF(Q444="Ritual","N/A",IF(Q444="I.E.","N/A",IF(Q444="WOG",VLOOKUP(Magick!$I$71*100,magestuff!$B$134:$F$138,2),IF(Q444="Cantrip",VLOOKUP(Magick!$I$71*100,magestuff!$B$134:$F$138,3),IF(Q444="Hex",VLOOKUP(Magick!$I$71*100,magestuff!$B$134:$F$138,4),VLOOKUP(Magick!$I$71*100,magestuff!$B$134:$F$138,5))))))</f>
        <v>N/A</v>
      </c>
      <c r="U444" s="67" t="str">
        <f t="shared" si="68"/>
        <v xml:space="preserve"> </v>
      </c>
      <c r="V444" s="515"/>
      <c r="W444" s="125"/>
      <c r="X444" s="31">
        <f t="shared" si="70"/>
        <v>0</v>
      </c>
      <c r="Y444" s="509"/>
      <c r="Z444" s="1054" t="str">
        <f t="shared" si="59"/>
        <v>Dispel Charm</v>
      </c>
      <c r="AA444" s="1072" t="str">
        <f t="shared" si="60"/>
        <v>Command</v>
      </c>
    </row>
    <row r="445" spans="1:27" hidden="1" outlineLevel="1">
      <c r="A445" s="83" t="s">
        <v>4310</v>
      </c>
      <c r="B445" s="67">
        <v>4</v>
      </c>
      <c r="C445" s="67">
        <f ca="1">magestuff!$L$199</f>
        <v>4</v>
      </c>
      <c r="D445" s="67">
        <f t="shared" si="67"/>
        <v>0</v>
      </c>
      <c r="E445" s="77" t="e">
        <f ca="1">IF(F445="y",HLOOKUP((IF(C445&lt;1,1,C445)),Magick!$C$20:$L$21,2),NA())</f>
        <v>#N/A</v>
      </c>
      <c r="F445" s="67" t="str">
        <f ca="1">IF(C445&lt;=Magick!$D$3,"Y","N")</f>
        <v>N</v>
      </c>
      <c r="G445" s="148" t="s">
        <v>1616</v>
      </c>
      <c r="H445" s="151"/>
      <c r="I445" s="77" t="e">
        <f>IF(H446&gt;0,(HLOOKUP(C446,Magick!$C$20:$L$21,2)-HLOOKUP(H446,Magick!$C$20:$L$21,2)),NA())</f>
        <v>#N/A</v>
      </c>
      <c r="J445" s="77"/>
      <c r="K445" s="67">
        <v>5</v>
      </c>
      <c r="L445" s="72" t="str">
        <f>IF(H446&gt;0,Magick!$AR$21-('Master Spell List'!H482*0.1),"N/A")</f>
        <v>N/A</v>
      </c>
      <c r="M445" s="72">
        <f ca="1">Magick!$H$71</f>
        <v>0.04</v>
      </c>
      <c r="N445" s="72">
        <f ca="1">Magick!$K$71</f>
        <v>0.09</v>
      </c>
      <c r="O445" s="72">
        <f ca="1">Magick!$L$71</f>
        <v>0.09</v>
      </c>
      <c r="P445" s="72">
        <f ca="1">Magick!$M$71</f>
        <v>0.09</v>
      </c>
      <c r="Q445" s="67" t="s">
        <v>3723</v>
      </c>
      <c r="R445" s="67">
        <f ca="1">IF(Q445="Ritual","N/A",IF(Q445="I.E.","N/A",IF(Q445="WOG",VLOOKUP(Magick!$I$71*100,magestuff!$B$134:$F$138,2),IF(Q445="Cantrip",VLOOKUP(Magick!$I$71*100,magestuff!$B$134:$F$138,3),IF(Q445="Hex",VLOOKUP(Magick!$I$71*100,magestuff!$B$134:$F$138,4),VLOOKUP(Magick!$I$71*100,magestuff!$B$134:$F$138,5))))))</f>
        <v>29</v>
      </c>
      <c r="U445" s="67" t="str">
        <f t="shared" si="68"/>
        <v xml:space="preserve"> </v>
      </c>
      <c r="V445" s="515"/>
      <c r="W445" s="125"/>
      <c r="X445" s="31">
        <f t="shared" si="70"/>
        <v>0</v>
      </c>
      <c r="Y445" s="509"/>
      <c r="Z445" s="1054" t="str">
        <f t="shared" si="59"/>
        <v>Draw Attention</v>
      </c>
      <c r="AA445" s="1072" t="str">
        <f t="shared" si="60"/>
        <v>Command</v>
      </c>
    </row>
    <row r="446" spans="1:27" hidden="1" outlineLevel="1">
      <c r="A446" s="31" t="s">
        <v>4823</v>
      </c>
      <c r="B446" s="67">
        <v>4</v>
      </c>
      <c r="C446" s="67">
        <f ca="1">magestuff!$L$199</f>
        <v>4</v>
      </c>
      <c r="D446" s="67">
        <f t="shared" si="67"/>
        <v>0</v>
      </c>
      <c r="E446" s="77" t="e">
        <f ca="1">IF(F446="y",HLOOKUP((IF(C446&lt;1,1,C446)),Magick!$C$20:$L$21,2),NA())</f>
        <v>#N/A</v>
      </c>
      <c r="F446" s="67" t="str">
        <f ca="1">IF(C446&lt;=Magick!$D$3,"Y","N")</f>
        <v>N</v>
      </c>
      <c r="G446" s="148" t="s">
        <v>128</v>
      </c>
      <c r="H446" s="151"/>
      <c r="I446" s="77" t="e">
        <f>IF(H446&gt;0,(HLOOKUP(C446,Magick!$C$20:$L$21,2)-HLOOKUP(H446,Magick!$C$20:$L$21,2)),NA())</f>
        <v>#N/A</v>
      </c>
      <c r="J446" s="77"/>
      <c r="K446" s="67">
        <v>7</v>
      </c>
      <c r="L446" s="72" t="str">
        <f>IF(H446&gt;0,Magick!$AR$21-('Master Spell List'!H458*0.1),"N/A")</f>
        <v>N/A</v>
      </c>
      <c r="M446" s="72">
        <f ca="1">Magick!$H$71</f>
        <v>0.04</v>
      </c>
      <c r="N446" s="72">
        <f ca="1">Magick!$K$71</f>
        <v>0.09</v>
      </c>
      <c r="O446" s="72">
        <f ca="1">Magick!$L$71</f>
        <v>0.09</v>
      </c>
      <c r="P446" s="72">
        <f ca="1">Magick!$M$71</f>
        <v>0.09</v>
      </c>
      <c r="Q446" s="67" t="s">
        <v>3723</v>
      </c>
      <c r="R446" s="67">
        <f ca="1">IF(Q446="Ritual","N/A",IF(Q446="I.E.","N/A",IF(Q446="WOG",VLOOKUP(Magick!$I$71*100,magestuff!$B$134:$F$138,2),IF(Q446="Cantrip",VLOOKUP(Magick!$I$71*100,magestuff!$B$134:$F$138,3),IF(Q446="Hex",VLOOKUP(Magick!$I$71*100,magestuff!$B$134:$F$138,4),VLOOKUP(Magick!$I$71*100,magestuff!$B$134:$F$138,5))))))</f>
        <v>29</v>
      </c>
      <c r="U446" s="67" t="str">
        <f t="shared" si="68"/>
        <v xml:space="preserve"> </v>
      </c>
      <c r="V446" s="515"/>
      <c r="W446" s="125"/>
      <c r="X446" s="31">
        <f t="shared" si="70"/>
        <v>0</v>
      </c>
      <c r="Y446" s="509"/>
      <c r="Z446" s="1054" t="str">
        <f t="shared" si="59"/>
        <v>Fear</v>
      </c>
      <c r="AA446" s="1072" t="str">
        <f t="shared" si="60"/>
        <v>Command</v>
      </c>
    </row>
    <row r="447" spans="1:27" hidden="1" outlineLevel="1">
      <c r="A447" s="31" t="s">
        <v>2356</v>
      </c>
      <c r="B447" s="67">
        <v>4</v>
      </c>
      <c r="C447" s="67">
        <f ca="1">magestuff!$L$199</f>
        <v>4</v>
      </c>
      <c r="D447" s="67">
        <f t="shared" si="67"/>
        <v>0</v>
      </c>
      <c r="E447" s="77" t="e">
        <f ca="1">IF(F447="y",HLOOKUP((IF(C447&lt;1,1,C447)),Magick!$C$20:$L$21,2),NA())</f>
        <v>#N/A</v>
      </c>
      <c r="F447" s="67" t="str">
        <f ca="1">IF(C447&lt;=Magick!$D$3,"Y","N")</f>
        <v>N</v>
      </c>
      <c r="G447" s="148" t="s">
        <v>128</v>
      </c>
      <c r="H447" s="151"/>
      <c r="I447" s="77" t="e">
        <f>IF(H447&gt;0,(HLOOKUP(C447,Magick!$C$20:$L$21,2)-HLOOKUP(H447,Magick!$C$20:$L$21,2)),NA())</f>
        <v>#N/A</v>
      </c>
      <c r="J447" s="77"/>
      <c r="K447" s="67">
        <v>7</v>
      </c>
      <c r="L447" s="72" t="str">
        <f>IF(H447&gt;0,Magick!$AR$21-('Master Spell List'!H410*0.1),"N/A")</f>
        <v>N/A</v>
      </c>
      <c r="M447" s="72">
        <f ca="1">Magick!$H$71</f>
        <v>0.04</v>
      </c>
      <c r="N447" s="72">
        <f ca="1">Magick!$K$71</f>
        <v>0.09</v>
      </c>
      <c r="O447" s="72">
        <f ca="1">Magick!$L$71</f>
        <v>0.09</v>
      </c>
      <c r="P447" s="72">
        <f ca="1">Magick!$M$71</f>
        <v>0.09</v>
      </c>
      <c r="Q447" s="67" t="s">
        <v>4602</v>
      </c>
      <c r="R447" s="67">
        <f ca="1">IF(Q447="Ritual","N/A",IF(Q447="I.E.","N/A",IF(Q447="WOG",VLOOKUP(Magick!$I$71*100,magestuff!$B$134:$F$138,2),IF(Q447="Cantrip",VLOOKUP(Magick!$I$71*100,magestuff!$B$134:$F$138,3),IF(Q447="Hex",VLOOKUP(Magick!$I$71*100,magestuff!$B$134:$F$138,4),VLOOKUP(Magick!$I$71*100,magestuff!$B$134:$F$138,5))))))</f>
        <v>19</v>
      </c>
      <c r="U447" s="67" t="str">
        <f t="shared" si="68"/>
        <v xml:space="preserve"> </v>
      </c>
      <c r="V447" s="515"/>
      <c r="W447" s="125"/>
      <c r="X447" s="31">
        <f t="shared" si="70"/>
        <v>0</v>
      </c>
      <c r="Y447" s="509"/>
      <c r="Z447" s="1054" t="str">
        <f t="shared" si="59"/>
        <v>Greater Awaken</v>
      </c>
      <c r="AA447" s="1072" t="str">
        <f t="shared" si="60"/>
        <v>Command</v>
      </c>
    </row>
    <row r="448" spans="1:27" hidden="1" outlineLevel="1">
      <c r="A448" s="31" t="s">
        <v>4076</v>
      </c>
      <c r="B448" s="67">
        <v>4</v>
      </c>
      <c r="C448" s="67">
        <f ca="1">magestuff!$L$199</f>
        <v>4</v>
      </c>
      <c r="D448" s="67">
        <f t="shared" si="67"/>
        <v>0</v>
      </c>
      <c r="E448" s="77" t="e">
        <f ca="1">IF(F448="y",HLOOKUP((IF(C448&lt;1,1,C448)),Magick!$C$20:$L$21,2),NA())</f>
        <v>#N/A</v>
      </c>
      <c r="F448" s="67" t="str">
        <f ca="1">IF(C448&lt;=Magick!$D$3,"Y","N")</f>
        <v>N</v>
      </c>
      <c r="G448" s="148" t="s">
        <v>128</v>
      </c>
      <c r="H448" s="151"/>
      <c r="I448" s="77" t="e">
        <f>IF(H448&gt;0,(HLOOKUP(C448,Magick!$C$20:$L$21,2)-HLOOKUP(H448,Magick!$C$20:$L$21,2)),NA())</f>
        <v>#N/A</v>
      </c>
      <c r="J448" s="77"/>
      <c r="K448" s="67">
        <v>7</v>
      </c>
      <c r="L448" s="72" t="str">
        <f>IF(H448&gt;0,Magick!$AR$21-('Master Spell List'!H409*0.1),"N/A")</f>
        <v>N/A</v>
      </c>
      <c r="M448" s="72">
        <f ca="1">Magick!$H$71</f>
        <v>0.04</v>
      </c>
      <c r="N448" s="72">
        <f ca="1">Magick!$K$71</f>
        <v>0.09</v>
      </c>
      <c r="O448" s="72">
        <f ca="1">Magick!$L$71</f>
        <v>0.09</v>
      </c>
      <c r="P448" s="72">
        <f ca="1">Magick!$M$71</f>
        <v>0.09</v>
      </c>
      <c r="Q448" s="67" t="s">
        <v>4602</v>
      </c>
      <c r="R448" s="67">
        <f ca="1">IF(Q448="Ritual","N/A",IF(Q448="I.E.","N/A",IF(Q448="WOG",VLOOKUP(Magick!$I$71*100,magestuff!$B$134:$F$138,2),IF(Q448="Cantrip",VLOOKUP(Magick!$I$71*100,magestuff!$B$134:$F$138,3),IF(Q448="Hex",VLOOKUP(Magick!$I$71*100,magestuff!$B$134:$F$138,4),VLOOKUP(Magick!$I$71*100,magestuff!$B$134:$F$138,5))))))</f>
        <v>19</v>
      </c>
      <c r="U448" s="67" t="str">
        <f t="shared" si="68"/>
        <v xml:space="preserve"> </v>
      </c>
      <c r="V448" s="515"/>
      <c r="W448" s="125"/>
      <c r="X448" s="31">
        <f t="shared" si="70"/>
        <v>0</v>
      </c>
      <c r="Y448" s="509"/>
      <c r="Z448" s="1054" t="str">
        <f t="shared" si="59"/>
        <v>Greater Sleep</v>
      </c>
      <c r="AA448" s="1072" t="str">
        <f t="shared" si="60"/>
        <v>Command</v>
      </c>
    </row>
    <row r="449" spans="1:27" hidden="1" outlineLevel="1">
      <c r="A449" s="83" t="s">
        <v>4309</v>
      </c>
      <c r="B449" s="67">
        <v>4</v>
      </c>
      <c r="C449" s="67">
        <f ca="1">magestuff!$L$199</f>
        <v>4</v>
      </c>
      <c r="D449" s="67">
        <f t="shared" si="67"/>
        <v>0</v>
      </c>
      <c r="E449" s="77" t="e">
        <f ca="1">IF(F449="y",HLOOKUP((IF(C449&lt;1,1,C449)),Magick!$C$20:$L$21,2),NA())</f>
        <v>#N/A</v>
      </c>
      <c r="F449" s="67" t="str">
        <f ca="1">IF(C449&lt;=Magick!$D$3,"Y","N")</f>
        <v>N</v>
      </c>
      <c r="G449" s="148" t="s">
        <v>1616</v>
      </c>
      <c r="H449" s="151"/>
      <c r="I449" s="77" t="e">
        <f>IF(H450&gt;0,(HLOOKUP(C450,Magick!$C$20:$L$21,2)-HLOOKUP(H450,Magick!$C$20:$L$21,2)),NA())</f>
        <v>#N/A</v>
      </c>
      <c r="J449" s="77"/>
      <c r="K449" s="67" t="s">
        <v>108</v>
      </c>
      <c r="L449" s="72" t="str">
        <f>IF(H450&gt;0,Magick!$AR$21-('Master Spell List'!H479*0.1),"N/A")</f>
        <v>N/A</v>
      </c>
      <c r="M449" s="72">
        <f ca="1">Magick!$H$71</f>
        <v>0.04</v>
      </c>
      <c r="N449" s="72">
        <f ca="1">Magick!$K$71</f>
        <v>0.09</v>
      </c>
      <c r="O449" s="72">
        <f ca="1">Magick!$L$71</f>
        <v>0.09</v>
      </c>
      <c r="P449" s="72">
        <f ca="1">Magick!$M$71</f>
        <v>0.09</v>
      </c>
      <c r="Q449" s="67" t="s">
        <v>3723</v>
      </c>
      <c r="R449" s="67">
        <f ca="1">IF(Q449="Ritual","N/A",IF(Q449="I.E.","N/A",IF(Q449="WOG",VLOOKUP(Magick!$I$71*100,magestuff!$B$134:$F$138,2),IF(Q449="Cantrip",VLOOKUP(Magick!$I$71*100,magestuff!$B$134:$F$138,3),IF(Q449="Hex",VLOOKUP(Magick!$I$71*100,magestuff!$B$134:$F$138,4),VLOOKUP(Magick!$I$71*100,magestuff!$B$134:$F$138,5))))))</f>
        <v>29</v>
      </c>
      <c r="U449" s="67" t="str">
        <f t="shared" si="68"/>
        <v xml:space="preserve"> </v>
      </c>
      <c r="V449" s="515"/>
      <c r="W449" s="125"/>
      <c r="X449" s="31">
        <f t="shared" si="70"/>
        <v>0</v>
      </c>
      <c r="Y449" s="509"/>
      <c r="Z449" s="1054" t="str">
        <f t="shared" si="59"/>
        <v>Group Ignore</v>
      </c>
      <c r="AA449" s="1072" t="str">
        <f t="shared" si="60"/>
        <v>Command</v>
      </c>
    </row>
    <row r="450" spans="1:27" hidden="1" outlineLevel="1">
      <c r="A450" s="31" t="s">
        <v>3498</v>
      </c>
      <c r="B450" s="67">
        <v>4</v>
      </c>
      <c r="C450" s="67">
        <f ca="1">magestuff!$L$199</f>
        <v>4</v>
      </c>
      <c r="D450" s="67">
        <f t="shared" si="67"/>
        <v>0</v>
      </c>
      <c r="E450" s="77" t="e">
        <f ca="1">IF(F450="y",HLOOKUP((IF(C450&lt;1,1,C450)),Magick!$C$20:$L$21,2),NA())</f>
        <v>#N/A</v>
      </c>
      <c r="F450" s="67" t="str">
        <f ca="1">IF(C450&lt;=Magick!$D$3,"Y","N")</f>
        <v>N</v>
      </c>
      <c r="G450" s="148" t="s">
        <v>128</v>
      </c>
      <c r="H450" s="151"/>
      <c r="I450" s="77" t="e">
        <f>IF(H450&gt;0,(HLOOKUP(C450,Magick!$C$20:$L$21,2)-HLOOKUP(H450,Magick!$C$20:$L$21,2)),NA())</f>
        <v>#N/A</v>
      </c>
      <c r="J450" s="77"/>
      <c r="K450" s="67" t="s">
        <v>4025</v>
      </c>
      <c r="L450" s="72" t="str">
        <f>IF(H450&gt;0,Magick!$AR$21-('Master Spell List'!H437*0.1),"N/A")</f>
        <v>N/A</v>
      </c>
      <c r="M450" s="72">
        <f ca="1">Magick!$H$71</f>
        <v>0.04</v>
      </c>
      <c r="N450" s="72">
        <f ca="1">Magick!$K$71</f>
        <v>0.09</v>
      </c>
      <c r="O450" s="72">
        <f ca="1">Magick!$L$71</f>
        <v>0.09</v>
      </c>
      <c r="P450" s="72">
        <f ca="1">Magick!$M$71</f>
        <v>0.09</v>
      </c>
      <c r="Q450" s="67" t="s">
        <v>4602</v>
      </c>
      <c r="R450" s="67">
        <f ca="1">IF(Q450="Ritual","N/A",IF(Q450="I.E.","N/A",IF(Q450="WOG",VLOOKUP(Magick!$I$71*100,magestuff!$B$134:$F$138,2),IF(Q450="Cantrip",VLOOKUP(Magick!$I$71*100,magestuff!$B$134:$F$138,3),IF(Q450="Hex",VLOOKUP(Magick!$I$71*100,magestuff!$B$134:$F$138,4),VLOOKUP(Magick!$I$71*100,magestuff!$B$134:$F$138,5))))))</f>
        <v>19</v>
      </c>
      <c r="U450" s="67" t="str">
        <f t="shared" si="68"/>
        <v xml:space="preserve"> </v>
      </c>
      <c r="V450" s="515"/>
      <c r="W450" s="125"/>
      <c r="X450" s="31">
        <f t="shared" si="70"/>
        <v>0</v>
      </c>
      <c r="Y450" s="509"/>
      <c r="Z450" s="1054" t="str">
        <f t="shared" ref="Z450:Z513" si="71">A450</f>
        <v>Hold Enchanted Beast</v>
      </c>
      <c r="AA450" s="1072" t="str">
        <f t="shared" si="60"/>
        <v>Command</v>
      </c>
    </row>
    <row r="451" spans="1:27" hidden="1" outlineLevel="1">
      <c r="A451" s="31" t="s">
        <v>5451</v>
      </c>
      <c r="B451" s="67">
        <v>4</v>
      </c>
      <c r="C451" s="67">
        <f ca="1">magestuff!$L$199</f>
        <v>4</v>
      </c>
      <c r="D451" s="67">
        <f t="shared" si="67"/>
        <v>0</v>
      </c>
      <c r="E451" s="77" t="e">
        <f ca="1">IF(F451="y",HLOOKUP((IF(C451&lt;1,1,C451)),Magick!$C$20:$L$21,2),NA())</f>
        <v>#N/A</v>
      </c>
      <c r="F451" s="67" t="str">
        <f ca="1">IF(C451&lt;=Magick!$D$3,"Y","N")</f>
        <v>N</v>
      </c>
      <c r="G451" s="148" t="s">
        <v>128</v>
      </c>
      <c r="H451" s="151"/>
      <c r="I451" s="77" t="e">
        <f>IF(H451&gt;0,(HLOOKUP(C451,Magick!$C$20:$L$21,2)-HLOOKUP(H451,Magick!$C$20:$L$21,2)),NA())</f>
        <v>#N/A</v>
      </c>
      <c r="J451" s="77"/>
      <c r="K451" s="67" t="s">
        <v>2050</v>
      </c>
      <c r="L451" s="72" t="str">
        <f>IF(H451&gt;0,Magick!$AR$21-('Master Spell List'!H435*0.1),"N/A")</f>
        <v>N/A</v>
      </c>
      <c r="M451" s="72">
        <f ca="1">Magick!$H$71</f>
        <v>0.04</v>
      </c>
      <c r="N451" s="72">
        <f ca="1">Magick!$K$71</f>
        <v>0.09</v>
      </c>
      <c r="O451" s="72">
        <f ca="1">Magick!$L$71</f>
        <v>0.09</v>
      </c>
      <c r="P451" s="72">
        <f ca="1">Magick!$M$71</f>
        <v>0.09</v>
      </c>
      <c r="Q451" s="67" t="s">
        <v>4603</v>
      </c>
      <c r="R451" s="67">
        <f ca="1">IF(Q451="Ritual","N/A",IF(Q451="I.E.","N/A",IF(Q451="WOG",VLOOKUP(Magick!$I$71*100,magestuff!$B$134:$F$138,2),IF(Q451="Cantrip",VLOOKUP(Magick!$I$71*100,magestuff!$B$134:$F$138,3),IF(Q451="Hex",VLOOKUP(Magick!$I$71*100,magestuff!$B$134:$F$138,4),VLOOKUP(Magick!$I$71*100,magestuff!$B$134:$F$138,5))))))</f>
        <v>9</v>
      </c>
      <c r="U451" s="67" t="str">
        <f t="shared" si="68"/>
        <v xml:space="preserve"> </v>
      </c>
      <c r="V451" s="515"/>
      <c r="W451" s="125"/>
      <c r="X451" s="31">
        <f t="shared" si="70"/>
        <v>0</v>
      </c>
      <c r="Y451" s="509"/>
      <c r="Z451" s="1054" t="str">
        <f t="shared" si="71"/>
        <v>Hold Large Predators</v>
      </c>
      <c r="AA451" s="1072" t="str">
        <f t="shared" ref="AA451:AA514" si="72">IF(ISNUMBER(MATCH($Z451,Spell_Methods,0)),$Z451,$AA450)</f>
        <v>Command</v>
      </c>
    </row>
    <row r="452" spans="1:27" hidden="1" outlineLevel="1">
      <c r="A452" s="31" t="s">
        <v>3500</v>
      </c>
      <c r="B452" s="67">
        <v>4</v>
      </c>
      <c r="C452" s="67">
        <f ca="1">magestuff!$L$199</f>
        <v>4</v>
      </c>
      <c r="D452" s="67">
        <f t="shared" si="67"/>
        <v>0</v>
      </c>
      <c r="E452" s="77" t="e">
        <f ca="1">IF(F452="y",HLOOKUP((IF(C452&lt;1,1,C452)),Magick!$C$20:$L$21,2),NA())</f>
        <v>#N/A</v>
      </c>
      <c r="F452" s="67" t="str">
        <f ca="1">IF(C452&lt;=Magick!$D$3,"Y","N")</f>
        <v>N</v>
      </c>
      <c r="G452" s="148" t="s">
        <v>128</v>
      </c>
      <c r="H452" s="151"/>
      <c r="I452" s="77" t="e">
        <f>IF(H452&gt;0,(HLOOKUP(C452,Magick!$C$20:$L$21,2)-HLOOKUP(H452,Magick!$C$20:$L$21,2)),NA())</f>
        <v>#N/A</v>
      </c>
      <c r="J452" s="77"/>
      <c r="K452" s="67" t="s">
        <v>4025</v>
      </c>
      <c r="L452" s="72" t="str">
        <f>IF(H452&gt;0,Magick!$AR$21-('Master Spell List'!H439*0.1),"N/A")</f>
        <v>N/A</v>
      </c>
      <c r="M452" s="72">
        <f ca="1">Magick!$H$71</f>
        <v>0.04</v>
      </c>
      <c r="N452" s="72">
        <f ca="1">Magick!$K$71</f>
        <v>0.09</v>
      </c>
      <c r="O452" s="72">
        <f ca="1">Magick!$L$71</f>
        <v>0.09</v>
      </c>
      <c r="P452" s="72">
        <f ca="1">Magick!$M$71</f>
        <v>0.09</v>
      </c>
      <c r="Q452" s="67" t="s">
        <v>4602</v>
      </c>
      <c r="R452" s="67">
        <f ca="1">IF(Q452="Ritual","N/A",IF(Q452="I.E.","N/A",IF(Q452="WOG",VLOOKUP(Magick!$I$71*100,magestuff!$B$134:$F$138,2),IF(Q452="Cantrip",VLOOKUP(Magick!$I$71*100,magestuff!$B$134:$F$138,3),IF(Q452="Hex",VLOOKUP(Magick!$I$71*100,magestuff!$B$134:$F$138,4),VLOOKUP(Magick!$I$71*100,magestuff!$B$134:$F$138,5))))))</f>
        <v>19</v>
      </c>
      <c r="U452" s="67" t="str">
        <f t="shared" si="68"/>
        <v xml:space="preserve"> </v>
      </c>
      <c r="V452" s="515"/>
      <c r="W452" s="125"/>
      <c r="X452" s="31">
        <f t="shared" si="70"/>
        <v>0</v>
      </c>
      <c r="Y452" s="509"/>
      <c r="Z452" s="1054" t="str">
        <f t="shared" si="71"/>
        <v>Hold Lesser Undead</v>
      </c>
      <c r="AA452" s="1072" t="str">
        <f t="shared" si="72"/>
        <v>Command</v>
      </c>
    </row>
    <row r="453" spans="1:27" hidden="1" outlineLevel="1">
      <c r="A453" s="31" t="s">
        <v>3497</v>
      </c>
      <c r="B453" s="67">
        <v>4</v>
      </c>
      <c r="C453" s="67">
        <f ca="1">magestuff!$L$199</f>
        <v>4</v>
      </c>
      <c r="D453" s="67">
        <f t="shared" si="67"/>
        <v>0</v>
      </c>
      <c r="E453" s="77" t="e">
        <f ca="1">IF(F453="y",HLOOKUP((IF(C453&lt;1,1,C453)),Magick!$C$20:$L$21,2),NA())</f>
        <v>#N/A</v>
      </c>
      <c r="F453" s="67" t="str">
        <f ca="1">IF(C453&lt;=Magick!$D$3,"Y","N")</f>
        <v>N</v>
      </c>
      <c r="G453" s="148" t="s">
        <v>128</v>
      </c>
      <c r="H453" s="151"/>
      <c r="I453" s="77" t="e">
        <f>IF(H453&gt;0,(HLOOKUP(C453,Magick!$C$20:$L$21,2)-HLOOKUP(H453,Magick!$C$20:$L$21,2)),NA())</f>
        <v>#N/A</v>
      </c>
      <c r="J453" s="77"/>
      <c r="K453" s="67" t="s">
        <v>2050</v>
      </c>
      <c r="L453" s="72" t="str">
        <f>IF(H453&gt;0,Magick!$AR$21-('Master Spell List'!H436*0.1),"N/A")</f>
        <v>N/A</v>
      </c>
      <c r="M453" s="72">
        <f ca="1">Magick!$H$71</f>
        <v>0.04</v>
      </c>
      <c r="N453" s="72">
        <f ca="1">Magick!$K$71</f>
        <v>0.09</v>
      </c>
      <c r="O453" s="72">
        <f ca="1">Magick!$L$71</f>
        <v>0.09</v>
      </c>
      <c r="P453" s="72">
        <f ca="1">Magick!$M$71</f>
        <v>0.09</v>
      </c>
      <c r="Q453" s="67" t="s">
        <v>4603</v>
      </c>
      <c r="R453" s="67">
        <f ca="1">IF(Q453="Ritual","N/A",IF(Q453="I.E.","N/A",IF(Q453="WOG",VLOOKUP(Magick!$I$71*100,magestuff!$B$134:$F$138,2),IF(Q453="Cantrip",VLOOKUP(Magick!$I$71*100,magestuff!$B$134:$F$138,3),IF(Q453="Hex",VLOOKUP(Magick!$I$71*100,magestuff!$B$134:$F$138,4),VLOOKUP(Magick!$I$71*100,magestuff!$B$134:$F$138,5))))))</f>
        <v>9</v>
      </c>
      <c r="U453" s="67" t="str">
        <f t="shared" si="68"/>
        <v xml:space="preserve"> </v>
      </c>
      <c r="V453" s="515"/>
      <c r="W453" s="125"/>
      <c r="X453" s="31">
        <f t="shared" si="70"/>
        <v>0</v>
      </c>
      <c r="Y453" s="509"/>
      <c r="Z453" s="1054" t="str">
        <f t="shared" si="71"/>
        <v>Hold Person</v>
      </c>
      <c r="AA453" s="1072" t="str">
        <f t="shared" si="72"/>
        <v>Command</v>
      </c>
    </row>
    <row r="454" spans="1:27" hidden="1" outlineLevel="1">
      <c r="A454" s="83" t="s">
        <v>5260</v>
      </c>
      <c r="B454" s="67">
        <v>4</v>
      </c>
      <c r="C454" s="67">
        <f ca="1">magestuff!$L$199</f>
        <v>4</v>
      </c>
      <c r="D454" s="67">
        <f t="shared" si="67"/>
        <v>0</v>
      </c>
      <c r="E454" s="77" t="e">
        <f ca="1">IF(F454="y",HLOOKUP((IF(C454&lt;1,1,C454)),Magick!$C$20:$L$21,2),NA())</f>
        <v>#N/A</v>
      </c>
      <c r="F454" s="67" t="str">
        <f ca="1">IF(C454&lt;=Magick!$D$3,"Y","N")</f>
        <v>N</v>
      </c>
      <c r="G454" s="148" t="s">
        <v>1616</v>
      </c>
      <c r="H454" s="151"/>
      <c r="I454" s="77" t="e">
        <f>IF(H455&gt;0,(HLOOKUP(C455,Magick!$C$20:$L$21,2)-HLOOKUP(H455,Magick!$C$20:$L$21,2)),NA())</f>
        <v>#N/A</v>
      </c>
      <c r="J454" s="77"/>
      <c r="K454" s="67">
        <v>5</v>
      </c>
      <c r="L454" s="72" t="str">
        <f>IF(H455&gt;0,Magick!$AR$21-('Master Spell List'!H460*0.1),"N/A")</f>
        <v>N/A</v>
      </c>
      <c r="M454" s="72">
        <f ca="1">Magick!$H$71</f>
        <v>0.04</v>
      </c>
      <c r="N454" s="72">
        <f ca="1">Magick!$K$71</f>
        <v>0.09</v>
      </c>
      <c r="O454" s="72">
        <f ca="1">Magick!$L$71</f>
        <v>0.09</v>
      </c>
      <c r="P454" s="72">
        <f ca="1">Magick!$M$71</f>
        <v>0.09</v>
      </c>
      <c r="Q454" s="67" t="s">
        <v>4602</v>
      </c>
      <c r="R454" s="67">
        <f ca="1">IF(Q454="Ritual","N/A",IF(Q454="I.E.","N/A",IF(Q454="WOG",VLOOKUP(Magick!$I$71*100,magestuff!$B$134:$F$138,2),IF(Q454="Cantrip",VLOOKUP(Magick!$I$71*100,magestuff!$B$134:$F$138,3),IF(Q454="Hex",VLOOKUP(Magick!$I$71*100,magestuff!$B$134:$F$138,4),VLOOKUP(Magick!$I$71*100,magestuff!$B$134:$F$138,5))))))</f>
        <v>19</v>
      </c>
      <c r="U454" s="67" t="str">
        <f t="shared" si="68"/>
        <v xml:space="preserve"> </v>
      </c>
      <c r="V454" s="515"/>
      <c r="W454" s="125"/>
      <c r="X454" s="31">
        <f t="shared" si="70"/>
        <v>0</v>
      </c>
      <c r="Y454" s="509"/>
      <c r="Z454" s="1054" t="str">
        <f t="shared" si="71"/>
        <v>Increase Inhibition</v>
      </c>
      <c r="AA454" s="1072" t="str">
        <f t="shared" si="72"/>
        <v>Command</v>
      </c>
    </row>
    <row r="455" spans="1:27" hidden="1" outlineLevel="1">
      <c r="A455" s="83" t="s">
        <v>1769</v>
      </c>
      <c r="B455" s="67">
        <v>4</v>
      </c>
      <c r="C455" s="67">
        <f ca="1">magestuff!$L$199</f>
        <v>4</v>
      </c>
      <c r="D455" s="67">
        <f t="shared" si="67"/>
        <v>0</v>
      </c>
      <c r="E455" s="77" t="e">
        <f ca="1">IF(F455="y",HLOOKUP((IF(C455&lt;1,1,C455)),Magick!$C$20:$L$21,2),NA())</f>
        <v>#N/A</v>
      </c>
      <c r="F455" s="67" t="str">
        <f ca="1">IF(C455&lt;=Magick!$D$3,"Y","N")</f>
        <v>N</v>
      </c>
      <c r="G455" s="148" t="s">
        <v>1616</v>
      </c>
      <c r="H455" s="151"/>
      <c r="I455" s="77" t="e">
        <f>IF(H456&gt;0,(HLOOKUP(C456,Magick!$C$20:$L$21,2)-HLOOKUP(H456,Magick!$C$20:$L$21,2)),NA())</f>
        <v>#N/A</v>
      </c>
      <c r="J455" s="77"/>
      <c r="K455" s="67">
        <v>5</v>
      </c>
      <c r="L455" s="72" t="str">
        <f>IF(H456&gt;0,Magick!$AR$21-('Master Spell List'!H476*0.1),"N/A")</f>
        <v>N/A</v>
      </c>
      <c r="M455" s="72">
        <f ca="1">Magick!$H$71</f>
        <v>0.04</v>
      </c>
      <c r="N455" s="72">
        <f ca="1">Magick!$K$71</f>
        <v>0.09</v>
      </c>
      <c r="O455" s="72">
        <f ca="1">Magick!$L$71</f>
        <v>0.09</v>
      </c>
      <c r="P455" s="72">
        <f ca="1">Magick!$M$71</f>
        <v>0.09</v>
      </c>
      <c r="Q455" s="67" t="s">
        <v>4602</v>
      </c>
      <c r="R455" s="67">
        <f ca="1">IF(Q455="Ritual","N/A",IF(Q455="I.E.","N/A",IF(Q455="WOG",VLOOKUP(Magick!$I$71*100,magestuff!$B$134:$F$138,2),IF(Q455="Cantrip",VLOOKUP(Magick!$I$71*100,magestuff!$B$134:$F$138,3),IF(Q455="Hex",VLOOKUP(Magick!$I$71*100,magestuff!$B$134:$F$138,4),VLOOKUP(Magick!$I$71*100,magestuff!$B$134:$F$138,5))))))</f>
        <v>19</v>
      </c>
      <c r="U455" s="67" t="str">
        <f t="shared" si="68"/>
        <v xml:space="preserve"> </v>
      </c>
      <c r="V455" s="515"/>
      <c r="W455" s="125"/>
      <c r="X455" s="31">
        <f t="shared" si="70"/>
        <v>0</v>
      </c>
      <c r="Y455" s="509"/>
      <c r="Z455" s="1054" t="str">
        <f t="shared" si="71"/>
        <v>Individual Ignore</v>
      </c>
      <c r="AA455" s="1072" t="str">
        <f t="shared" si="72"/>
        <v>Command</v>
      </c>
    </row>
    <row r="456" spans="1:27" hidden="1" outlineLevel="1">
      <c r="A456" s="83" t="s">
        <v>2916</v>
      </c>
      <c r="B456" s="67">
        <v>4</v>
      </c>
      <c r="C456" s="67">
        <f ca="1">magestuff!$L$199</f>
        <v>4</v>
      </c>
      <c r="D456" s="67">
        <f t="shared" si="67"/>
        <v>0</v>
      </c>
      <c r="E456" s="77" t="e">
        <f ca="1">IF(F456="y",HLOOKUP((IF(C456&lt;1,1,C456)),Magick!$C$20:$L$21,2),NA())</f>
        <v>#N/A</v>
      </c>
      <c r="F456" s="67" t="str">
        <f ca="1">IF(C456&lt;=Magick!$D$3,"Y","N")</f>
        <v>N</v>
      </c>
      <c r="G456" s="148" t="s">
        <v>859</v>
      </c>
      <c r="H456" s="151"/>
      <c r="I456" s="77" t="e">
        <f>IF(H464&gt;0,(HLOOKUP(C464,Magick!$C$20:$L$21,2)-HLOOKUP(H464,Magick!$C$20:$L$21,2)),NA())</f>
        <v>#N/A</v>
      </c>
      <c r="J456" s="77"/>
      <c r="K456" s="67" t="s">
        <v>2225</v>
      </c>
      <c r="L456" s="72" t="str">
        <f>IF(H464&gt;0,Magick!$AR$21-('Master Spell List'!H487*0.1),"N/A")</f>
        <v>N/A</v>
      </c>
      <c r="M456" s="72">
        <f ca="1">Magick!$H$71</f>
        <v>0.04</v>
      </c>
      <c r="N456" s="72">
        <f ca="1">Magick!$K$71</f>
        <v>0.09</v>
      </c>
      <c r="O456" s="72">
        <f ca="1">Magick!$L$71</f>
        <v>0.09</v>
      </c>
      <c r="P456" s="72">
        <f ca="1">Magick!$M$71</f>
        <v>0.09</v>
      </c>
      <c r="Q456" s="67" t="s">
        <v>2225</v>
      </c>
      <c r="R456" s="67">
        <f ca="1">IF(Q456="Ritual","N/A",IF(Q456="I.E.","N/A",IF(Q456="WOG",VLOOKUP(Magick!$I$71*100,magestuff!$B$134:$F$138,2),IF(Q456="Cantrip",VLOOKUP(Magick!$I$71*100,magestuff!$B$134:$F$138,3),IF(Q456="Hex",VLOOKUP(Magick!$I$71*100,magestuff!$B$134:$F$138,4),VLOOKUP(Magick!$I$71*100,magestuff!$B$134:$F$138,5))))))</f>
        <v>29</v>
      </c>
      <c r="U456" s="67" t="str">
        <f t="shared" si="68"/>
        <v xml:space="preserve"> </v>
      </c>
      <c r="V456" s="515"/>
      <c r="W456" s="125"/>
      <c r="X456" s="31">
        <f t="shared" si="70"/>
        <v>0</v>
      </c>
      <c r="Y456" s="509"/>
      <c r="Z456" s="1054" t="str">
        <f t="shared" si="71"/>
        <v>Lesser Imbue Music</v>
      </c>
      <c r="AA456" s="1072" t="str">
        <f t="shared" si="72"/>
        <v>Command</v>
      </c>
    </row>
    <row r="457" spans="1:27" hidden="1" outlineLevel="1">
      <c r="A457" s="83" t="s">
        <v>5296</v>
      </c>
      <c r="B457" s="67">
        <v>4</v>
      </c>
      <c r="C457" s="67">
        <f ca="1">magestuff!$L$199</f>
        <v>4</v>
      </c>
      <c r="D457" s="67">
        <f t="shared" si="67"/>
        <v>0</v>
      </c>
      <c r="E457" s="77" t="e">
        <f ca="1">IF(F457="y",HLOOKUP((IF(C457&lt;1,1,C457)),Magick!$C$20:$L$21,2),NA())</f>
        <v>#N/A</v>
      </c>
      <c r="F457" s="67" t="str">
        <f ca="1">IF(C457&lt;=Magick!$D$3,"Y","N")</f>
        <v>N</v>
      </c>
      <c r="G457" s="148" t="s">
        <v>1616</v>
      </c>
      <c r="H457" s="151"/>
      <c r="I457" s="77" t="e">
        <f>IF(H458&gt;0,(HLOOKUP(C458,Magick!$C$20:$L$21,2)-HLOOKUP(H458,Magick!$C$20:$L$21,2)),NA())</f>
        <v>#N/A</v>
      </c>
      <c r="J457" s="77"/>
      <c r="K457" s="67" t="s">
        <v>108</v>
      </c>
      <c r="L457" s="72" t="str">
        <f>IF(H458&gt;0,Magick!$AR$21-('Master Spell List'!H458*0.1),"N/A")</f>
        <v>N/A</v>
      </c>
      <c r="M457" s="72">
        <f ca="1">Magick!$H$71</f>
        <v>0.04</v>
      </c>
      <c r="N457" s="72">
        <f ca="1">Magick!$K$71</f>
        <v>0.09</v>
      </c>
      <c r="O457" s="72">
        <f ca="1">Magick!$L$71</f>
        <v>0.09</v>
      </c>
      <c r="P457" s="72">
        <f ca="1">Magick!$M$71</f>
        <v>0.09</v>
      </c>
      <c r="Q457" s="67" t="s">
        <v>4602</v>
      </c>
      <c r="R457" s="67">
        <f ca="1">IF(Q457="Ritual","N/A",IF(Q457="I.E.","N/A",IF(Q457="WOG",VLOOKUP(Magick!$I$71*100,magestuff!$B$134:$F$138,2),IF(Q457="Cantrip",VLOOKUP(Magick!$I$71*100,magestuff!$B$134:$F$138,3),IF(Q457="Hex",VLOOKUP(Magick!$I$71*100,magestuff!$B$134:$F$138,4),VLOOKUP(Magick!$I$71*100,magestuff!$B$134:$F$138,5))))))</f>
        <v>19</v>
      </c>
      <c r="U457" s="67" t="str">
        <f t="shared" si="68"/>
        <v xml:space="preserve"> </v>
      </c>
      <c r="V457" s="515"/>
      <c r="W457" s="125"/>
      <c r="X457" s="31">
        <f t="shared" si="70"/>
        <v>0</v>
      </c>
      <c r="Y457" s="509"/>
      <c r="Z457" s="1054" t="str">
        <f t="shared" si="71"/>
        <v>Mass Daze</v>
      </c>
      <c r="AA457" s="1072" t="str">
        <f t="shared" si="72"/>
        <v>Command</v>
      </c>
    </row>
    <row r="458" spans="1:27" hidden="1" outlineLevel="1">
      <c r="A458" s="83" t="s">
        <v>2117</v>
      </c>
      <c r="B458" s="67">
        <v>4</v>
      </c>
      <c r="C458" s="67">
        <f ca="1">magestuff!$L$199</f>
        <v>4</v>
      </c>
      <c r="D458" s="67">
        <f t="shared" si="67"/>
        <v>0</v>
      </c>
      <c r="E458" s="77" t="e">
        <f ca="1">IF(F458="y",HLOOKUP((IF(C458&lt;1,1,C458)),Magick!$C$20:$L$21,2),NA())</f>
        <v>#N/A</v>
      </c>
      <c r="F458" s="67" t="str">
        <f ca="1">IF(C458&lt;=Magick!$D$3,"Y","N")</f>
        <v>N</v>
      </c>
      <c r="G458" s="148" t="s">
        <v>1617</v>
      </c>
      <c r="H458" s="151"/>
      <c r="I458" s="77" t="e">
        <f>IF(H458&gt;0,(HLOOKUP(C458,Magick!$C$20:$L$21,2)-HLOOKUP(H458,Magick!$C$20:$L$21,2)),NA())</f>
        <v>#N/A</v>
      </c>
      <c r="J458" s="77"/>
      <c r="K458" s="67">
        <v>8</v>
      </c>
      <c r="L458" s="72" t="str">
        <f>IF(H458&gt;0,Magick!$AR$21-('Master Spell List'!H479*0.1),"N/A")</f>
        <v>N/A</v>
      </c>
      <c r="M458" s="72">
        <f ca="1">Magick!$H$71</f>
        <v>0.04</v>
      </c>
      <c r="N458" s="72">
        <f ca="1">Magick!$K$71</f>
        <v>0.09</v>
      </c>
      <c r="O458" s="72">
        <f ca="1">Magick!$L$71</f>
        <v>0.09</v>
      </c>
      <c r="P458" s="72">
        <f ca="1">Magick!$M$71</f>
        <v>0.09</v>
      </c>
      <c r="Q458" s="67" t="s">
        <v>3723</v>
      </c>
      <c r="R458" s="67">
        <f ca="1">IF(Q458="Ritual","N/A",IF(Q458="I.E.","N/A",IF(Q458="WOG",VLOOKUP(Magick!$I$71*100,magestuff!$B$134:$F$138,2),IF(Q458="Cantrip",VLOOKUP(Magick!$I$71*100,magestuff!$B$134:$F$138,3),IF(Q458="Hex",VLOOKUP(Magick!$I$71*100,magestuff!$B$134:$F$138,4),VLOOKUP(Magick!$I$71*100,magestuff!$B$134:$F$138,5))))))</f>
        <v>29</v>
      </c>
      <c r="U458" s="67" t="str">
        <f t="shared" si="68"/>
        <v xml:space="preserve"> </v>
      </c>
      <c r="V458" s="515"/>
      <c r="W458" s="125"/>
      <c r="X458" s="31">
        <f t="shared" si="70"/>
        <v>0</v>
      </c>
      <c r="Y458" s="509"/>
      <c r="Z458" s="1054" t="str">
        <f t="shared" si="71"/>
        <v>Oblivious</v>
      </c>
      <c r="AA458" s="1072" t="str">
        <f t="shared" si="72"/>
        <v>Command</v>
      </c>
    </row>
    <row r="459" spans="1:27" hidden="1" outlineLevel="1">
      <c r="A459" s="83" t="s">
        <v>1810</v>
      </c>
      <c r="B459" s="67">
        <v>4</v>
      </c>
      <c r="C459" s="67">
        <f ca="1">magestuff!$L$199</f>
        <v>4</v>
      </c>
      <c r="D459" s="67">
        <f t="shared" si="67"/>
        <v>0</v>
      </c>
      <c r="E459" s="77" t="e">
        <f ca="1">IF(F459="y",HLOOKUP((IF(C459&lt;1,1,C459)),Magick!$C$20:$L$21,2),NA())</f>
        <v>#N/A</v>
      </c>
      <c r="F459" s="67" t="str">
        <f ca="1">IF(C459&lt;=Magick!$D$3,"Y","N")</f>
        <v>N</v>
      </c>
      <c r="G459" s="148" t="s">
        <v>1616</v>
      </c>
      <c r="H459" s="151"/>
      <c r="I459" s="77" t="e">
        <f>IF(H460&gt;0,(HLOOKUP(C460,Magick!$C$20:$L$21,2)-HLOOKUP(H460,Magick!$C$20:$L$21,2)),NA())</f>
        <v>#N/A</v>
      </c>
      <c r="J459" s="77"/>
      <c r="K459" s="67">
        <v>5</v>
      </c>
      <c r="L459" s="72" t="str">
        <f>IF(H460&gt;0,Magick!$AR$21-('Master Spell List'!H464*0.1),"N/A")</f>
        <v>N/A</v>
      </c>
      <c r="M459" s="72">
        <f ca="1">Magick!$H$71</f>
        <v>0.04</v>
      </c>
      <c r="N459" s="72">
        <f ca="1">Magick!$K$71</f>
        <v>0.09</v>
      </c>
      <c r="O459" s="72">
        <f ca="1">Magick!$L$71</f>
        <v>0.09</v>
      </c>
      <c r="P459" s="72">
        <f ca="1">Magick!$M$71</f>
        <v>0.09</v>
      </c>
      <c r="Q459" s="67" t="s">
        <v>4602</v>
      </c>
      <c r="R459" s="67">
        <f ca="1">IF(Q459="Ritual","N/A",IF(Q459="I.E.","N/A",IF(Q459="WOG",VLOOKUP(Magick!$I$71*100,magestuff!$B$134:$F$138,2),IF(Q459="Cantrip",VLOOKUP(Magick!$I$71*100,magestuff!$B$134:$F$138,3),IF(Q459="Hex",VLOOKUP(Magick!$I$71*100,magestuff!$B$134:$F$138,4),VLOOKUP(Magick!$I$71*100,magestuff!$B$134:$F$138,5))))))</f>
        <v>19</v>
      </c>
      <c r="U459" s="67" t="str">
        <f t="shared" si="68"/>
        <v xml:space="preserve"> </v>
      </c>
      <c r="V459" s="515"/>
      <c r="W459" s="125"/>
      <c r="X459" s="31">
        <f t="shared" si="70"/>
        <v>0</v>
      </c>
      <c r="Y459" s="509"/>
      <c r="Z459" s="1054" t="str">
        <f t="shared" si="71"/>
        <v>Reduce Inhibition</v>
      </c>
      <c r="AA459" s="1072" t="str">
        <f t="shared" si="72"/>
        <v>Command</v>
      </c>
    </row>
    <row r="460" spans="1:27" hidden="1" outlineLevel="1">
      <c r="A460" s="31" t="s">
        <v>3566</v>
      </c>
      <c r="B460" s="67">
        <v>5</v>
      </c>
      <c r="C460" s="67">
        <f ca="1">magestuff!$O$199</f>
        <v>5</v>
      </c>
      <c r="D460" s="67">
        <f t="shared" si="67"/>
        <v>0</v>
      </c>
      <c r="E460" s="77" t="e">
        <f ca="1">IF(F460="y",HLOOKUP((IF(C460&lt;1,1,C460)),Magick!$C$20:$L$21,2),NA())</f>
        <v>#N/A</v>
      </c>
      <c r="F460" s="67" t="str">
        <f ca="1">IF(C460&lt;=Magick!$D$3,"Y","N")</f>
        <v>N</v>
      </c>
      <c r="G460" s="148" t="s">
        <v>128</v>
      </c>
      <c r="H460" s="151"/>
      <c r="I460" s="77" t="e">
        <f>IF(H460&gt;0,(HLOOKUP(C460,Magick!$C$20:$L$21,2)-HLOOKUP(H460,Magick!$C$20:$L$21,2)),NA())</f>
        <v>#N/A</v>
      </c>
      <c r="J460" s="77"/>
      <c r="K460" s="67">
        <v>8</v>
      </c>
      <c r="L460" s="72" t="str">
        <f>IF(H460&gt;0,Magick!$AR$21-('Master Spell List'!H461*0.1),"N/A")</f>
        <v>N/A</v>
      </c>
      <c r="M460" s="72">
        <f ca="1">Magick!$H$71</f>
        <v>0.04</v>
      </c>
      <c r="N460" s="72">
        <f ca="1">Magick!$K$71</f>
        <v>0.09</v>
      </c>
      <c r="O460" s="72">
        <f ca="1">Magick!$L$71</f>
        <v>0.09</v>
      </c>
      <c r="P460" s="72">
        <f ca="1">Magick!$M$71</f>
        <v>0.09</v>
      </c>
      <c r="Q460" s="67" t="s">
        <v>3723</v>
      </c>
      <c r="R460" s="67">
        <f ca="1">IF(Q460="Ritual","N/A",IF(Q460="I.E.","N/A",IF(Q460="WOG",VLOOKUP(Magick!$I$71*100,magestuff!$B$134:$F$138,2),IF(Q460="Cantrip",VLOOKUP(Magick!$I$71*100,magestuff!$B$134:$F$138,3),IF(Q460="Hex",VLOOKUP(Magick!$I$71*100,magestuff!$B$134:$F$138,4),VLOOKUP(Magick!$I$71*100,magestuff!$B$134:$F$138,5))))))</f>
        <v>29</v>
      </c>
      <c r="U460" s="67" t="str">
        <f t="shared" si="68"/>
        <v xml:space="preserve"> </v>
      </c>
      <c r="V460" s="515"/>
      <c r="W460" s="125"/>
      <c r="X460" s="31">
        <f t="shared" si="70"/>
        <v>0</v>
      </c>
      <c r="Y460" s="509"/>
      <c r="Z460" s="1054" t="str">
        <f t="shared" si="71"/>
        <v>Bravery</v>
      </c>
      <c r="AA460" s="1072" t="str">
        <f t="shared" si="72"/>
        <v>Command</v>
      </c>
    </row>
    <row r="461" spans="1:27" hidden="1" outlineLevel="1">
      <c r="A461" s="31" t="s">
        <v>507</v>
      </c>
      <c r="B461" s="67">
        <f>IF(Magick!$A$3=26,3,5)</f>
        <v>5</v>
      </c>
      <c r="C461" s="67">
        <f ca="1">IF(Magick!$A$3=26,IF(magestuff!$I$199&lt;1,1,magestuff!$I$199),magestuff!$O$199)</f>
        <v>5</v>
      </c>
      <c r="D461" s="67">
        <f t="shared" si="67"/>
        <v>0</v>
      </c>
      <c r="E461" s="77" t="e">
        <f ca="1">IF(F461="y",HLOOKUP((IF(C461&lt;1,1,C461)),Magick!$C$20:$L$21,2),NA())</f>
        <v>#N/A</v>
      </c>
      <c r="F461" s="67" t="str">
        <f ca="1">IF(C461&lt;=Magick!$D$3,"Y","N")</f>
        <v>N</v>
      </c>
      <c r="G461" s="148" t="s">
        <v>128</v>
      </c>
      <c r="H461" s="151"/>
      <c r="I461" s="77" t="e">
        <f>IF(H461&gt;0,(HLOOKUP(C461,Magick!$C$20:$L$21,2)-HLOOKUP(H461,Magick!$C$20:$L$21,2)),NA())</f>
        <v>#N/A</v>
      </c>
      <c r="J461" s="77"/>
      <c r="K461" s="67">
        <v>4</v>
      </c>
      <c r="L461" s="72" t="str">
        <f>IF(H461&gt;0,Magick!$AR$21-('Master Spell List'!H469*0.1),"N/A")</f>
        <v>N/A</v>
      </c>
      <c r="M461" s="72">
        <f ca="1">Magick!$H$71</f>
        <v>0.04</v>
      </c>
      <c r="N461" s="72">
        <f ca="1">Magick!$K$71</f>
        <v>0.09</v>
      </c>
      <c r="O461" s="72">
        <f ca="1">Magick!$L$71</f>
        <v>0.09</v>
      </c>
      <c r="P461" s="72">
        <f ca="1">Magick!$M$71</f>
        <v>0.09</v>
      </c>
      <c r="Q461" s="67" t="str">
        <f>IF(Magick!$A$3=26,"Cantrip","Hex")</f>
        <v>Hex</v>
      </c>
      <c r="R461" s="67">
        <f ca="1">IF(Q461="Ritual","N/A",IF(Q461="I.E.","N/A",IF(Q461="WOG",VLOOKUP(Magick!$I$71*100,magestuff!$B$134:$F$138,2),IF(Q461="Cantrip",VLOOKUP(Magick!$I$71*100,magestuff!$B$134:$F$138,3),IF(Q461="Hex",VLOOKUP(Magick!$I$71*100,magestuff!$B$134:$F$138,4),VLOOKUP(Magick!$I$71*100,magestuff!$B$134:$F$138,5))))))</f>
        <v>19</v>
      </c>
      <c r="U461" s="67" t="str">
        <f t="shared" si="68"/>
        <v xml:space="preserve"> </v>
      </c>
      <c r="V461" s="515"/>
      <c r="W461" s="125"/>
      <c r="X461" s="31">
        <f t="shared" si="70"/>
        <v>0</v>
      </c>
      <c r="Y461" s="509"/>
      <c r="Z461" s="1054" t="str">
        <f t="shared" si="71"/>
        <v>Clumsiness</v>
      </c>
      <c r="AA461" s="1072" t="str">
        <f t="shared" si="72"/>
        <v>Command</v>
      </c>
    </row>
    <row r="462" spans="1:27" hidden="1" outlineLevel="1">
      <c r="A462" s="31" t="s">
        <v>3628</v>
      </c>
      <c r="B462" s="67">
        <v>5</v>
      </c>
      <c r="C462" s="67">
        <f ca="1">magestuff!$O$199</f>
        <v>5</v>
      </c>
      <c r="D462" s="67">
        <f t="shared" si="67"/>
        <v>0</v>
      </c>
      <c r="E462" s="77" t="e">
        <f ca="1">IF(F462="y",HLOOKUP((IF(C462&lt;1,1,C462)),Magick!$C$20:$L$21,2),NA())</f>
        <v>#N/A</v>
      </c>
      <c r="F462" s="67" t="str">
        <f ca="1">IF(C462&lt;=Magick!$D$3,"Y","N")</f>
        <v>N</v>
      </c>
      <c r="G462" s="148" t="s">
        <v>128</v>
      </c>
      <c r="H462" s="151"/>
      <c r="I462" s="77" t="e">
        <f>IF(H462&gt;0,(HLOOKUP(C462,Magick!$C$20:$L$21,2)-HLOOKUP(H462,Magick!$C$20:$L$21,2)),NA())</f>
        <v>#N/A</v>
      </c>
      <c r="J462" s="77"/>
      <c r="K462" s="67" t="s">
        <v>4023</v>
      </c>
      <c r="L462" s="72" t="str">
        <f>IF(H462&gt;0,Magick!$AR$21-('Master Spell List'!H449*0.1),"N/A")</f>
        <v>N/A</v>
      </c>
      <c r="M462" s="72">
        <f ca="1">Magick!$H$71</f>
        <v>0.04</v>
      </c>
      <c r="N462" s="72">
        <f ca="1">Magick!$K$71</f>
        <v>0.09</v>
      </c>
      <c r="O462" s="72">
        <f ca="1">Magick!$L$71</f>
        <v>0.09</v>
      </c>
      <c r="P462" s="72">
        <f ca="1">Magick!$M$71</f>
        <v>0.09</v>
      </c>
      <c r="Q462" s="67" t="s">
        <v>4603</v>
      </c>
      <c r="R462" s="67">
        <f ca="1">IF(Q462="Ritual","N/A",IF(Q462="I.E.","N/A",IF(Q462="WOG",VLOOKUP(Magick!$I$71*100,magestuff!$B$134:$F$138,2),IF(Q462="Cantrip",VLOOKUP(Magick!$I$71*100,magestuff!$B$134:$F$138,3),IF(Q462="Hex",VLOOKUP(Magick!$I$71*100,magestuff!$B$134:$F$138,4),VLOOKUP(Magick!$I$71*100,magestuff!$B$134:$F$138,5))))))</f>
        <v>9</v>
      </c>
      <c r="U462" s="67" t="str">
        <f t="shared" si="68"/>
        <v xml:space="preserve"> </v>
      </c>
      <c r="V462" s="515"/>
      <c r="W462" s="125"/>
      <c r="X462" s="31">
        <f t="shared" si="70"/>
        <v>0</v>
      </c>
      <c r="Y462" s="509"/>
      <c r="Z462" s="1054" t="str">
        <f t="shared" si="71"/>
        <v>Command Person</v>
      </c>
      <c r="AA462" s="1072" t="str">
        <f t="shared" si="72"/>
        <v>Command</v>
      </c>
    </row>
    <row r="463" spans="1:27" hidden="1" outlineLevel="1">
      <c r="A463" s="31" t="s">
        <v>3565</v>
      </c>
      <c r="B463" s="67">
        <v>5</v>
      </c>
      <c r="C463" s="67">
        <f ca="1">magestuff!$O$199</f>
        <v>5</v>
      </c>
      <c r="D463" s="67">
        <f t="shared" si="67"/>
        <v>0</v>
      </c>
      <c r="E463" s="77" t="e">
        <f ca="1">IF(F463="y",HLOOKUP((IF(C463&lt;1,1,C463)),Magick!$C$20:$L$21,2),NA())</f>
        <v>#N/A</v>
      </c>
      <c r="F463" s="67" t="str">
        <f ca="1">IF(C463&lt;=Magick!$D$3,"Y","N")</f>
        <v>N</v>
      </c>
      <c r="G463" s="148" t="s">
        <v>128</v>
      </c>
      <c r="H463" s="151"/>
      <c r="I463" s="77" t="e">
        <f>IF(H463&gt;0,(HLOOKUP(C463,Magick!$C$20:$L$21,2)-HLOOKUP(H463,Magick!$C$20:$L$21,2)),NA())</f>
        <v>#N/A</v>
      </c>
      <c r="J463" s="77"/>
      <c r="K463" s="67">
        <v>8</v>
      </c>
      <c r="L463" s="72" t="str">
        <f>IF(H463&gt;0,Magick!$AR$21-('Master Spell List'!H460*0.1),"N/A")</f>
        <v>N/A</v>
      </c>
      <c r="M463" s="72">
        <f ca="1">Magick!$H$71</f>
        <v>0.04</v>
      </c>
      <c r="N463" s="72">
        <f ca="1">Magick!$K$71</f>
        <v>0.09</v>
      </c>
      <c r="O463" s="72">
        <f ca="1">Magick!$L$71</f>
        <v>0.09</v>
      </c>
      <c r="P463" s="72">
        <f ca="1">Magick!$M$71</f>
        <v>0.09</v>
      </c>
      <c r="Q463" s="67" t="s">
        <v>3723</v>
      </c>
      <c r="R463" s="67">
        <f ca="1">IF(Q463="Ritual","N/A",IF(Q463="I.E.","N/A",IF(Q463="WOG",VLOOKUP(Magick!$I$71*100,magestuff!$B$134:$F$138,2),IF(Q463="Cantrip",VLOOKUP(Magick!$I$71*100,magestuff!$B$134:$F$138,3),IF(Q463="Hex",VLOOKUP(Magick!$I$71*100,magestuff!$B$134:$F$138,4),VLOOKUP(Magick!$I$71*100,magestuff!$B$134:$F$138,5))))))</f>
        <v>29</v>
      </c>
      <c r="U463" s="67" t="str">
        <f t="shared" si="68"/>
        <v xml:space="preserve"> </v>
      </c>
      <c r="V463" s="515"/>
      <c r="W463" s="125"/>
      <c r="X463" s="31">
        <f t="shared" si="70"/>
        <v>0</v>
      </c>
      <c r="Y463" s="509"/>
      <c r="Z463" s="1054" t="str">
        <f t="shared" si="71"/>
        <v>Confusion</v>
      </c>
      <c r="AA463" s="1072" t="str">
        <f t="shared" si="72"/>
        <v>Command</v>
      </c>
    </row>
    <row r="464" spans="1:27" hidden="1" outlineLevel="1">
      <c r="A464" s="31" t="s">
        <v>3892</v>
      </c>
      <c r="B464" s="67">
        <v>5</v>
      </c>
      <c r="C464" s="67">
        <f ca="1">magestuff!$O$199</f>
        <v>5</v>
      </c>
      <c r="D464" s="67">
        <f t="shared" si="67"/>
        <v>0</v>
      </c>
      <c r="E464" s="77" t="e">
        <f ca="1">IF(F464="y",HLOOKUP((IF(C464&lt;1,1,C464)),Magick!$C$20:$L$21,2),NA())</f>
        <v>#N/A</v>
      </c>
      <c r="F464" s="67" t="str">
        <f ca="1">IF(C464&lt;=Magick!$D$3,"Y","N")</f>
        <v>N</v>
      </c>
      <c r="G464" s="148" t="s">
        <v>128</v>
      </c>
      <c r="H464" s="151"/>
      <c r="I464" s="77" t="e">
        <f>IF(H464&gt;0,(HLOOKUP(C464,Magick!$C$20:$L$21,2)-HLOOKUP(H464,Magick!$C$20:$L$21,2)),NA())</f>
        <v>#N/A</v>
      </c>
      <c r="J464" s="77"/>
      <c r="K464" s="67">
        <v>5</v>
      </c>
      <c r="L464" s="72" t="str">
        <f>IF(H464&gt;0,Magick!$AR$21-('Master Spell List'!H429*0.1),"N/A")</f>
        <v>N/A</v>
      </c>
      <c r="M464" s="72">
        <f ca="1">Magick!$H$71</f>
        <v>0.04</v>
      </c>
      <c r="N464" s="72">
        <f ca="1">Magick!$K$71</f>
        <v>0.09</v>
      </c>
      <c r="O464" s="72">
        <f ca="1">Magick!$L$71</f>
        <v>0.09</v>
      </c>
      <c r="P464" s="72">
        <f ca="1">Magick!$M$71</f>
        <v>0.09</v>
      </c>
      <c r="Q464" s="67" t="s">
        <v>113</v>
      </c>
      <c r="R464" s="67" t="str">
        <f>IF(Q464="Ritual","N/A",IF(Q464="I.E.","N/A",IF(Q464="WOG",VLOOKUP(Magick!$I$71*100,magestuff!$B$134:$F$138,2),IF(Q464="Cantrip",VLOOKUP(Magick!$I$71*100,magestuff!$B$134:$F$138,3),IF(Q464="Hex",VLOOKUP(Magick!$I$71*100,magestuff!$B$134:$F$138,4),VLOOKUP(Magick!$I$71*100,magestuff!$B$134:$F$138,5))))))</f>
        <v>N/A</v>
      </c>
      <c r="U464" s="67" t="str">
        <f t="shared" si="68"/>
        <v xml:space="preserve"> </v>
      </c>
      <c r="V464" s="515"/>
      <c r="W464" s="125"/>
      <c r="X464" s="31">
        <f t="shared" si="70"/>
        <v>0</v>
      </c>
      <c r="Y464" s="509"/>
      <c r="Z464" s="1054" t="str">
        <f t="shared" si="71"/>
        <v>Dispel Greater Charm</v>
      </c>
      <c r="AA464" s="1072" t="str">
        <f t="shared" si="72"/>
        <v>Command</v>
      </c>
    </row>
    <row r="465" spans="1:27" hidden="1" outlineLevel="1">
      <c r="A465" s="31" t="s">
        <v>2358</v>
      </c>
      <c r="B465" s="67">
        <v>5</v>
      </c>
      <c r="C465" s="67">
        <f ca="1">magestuff!$O$199</f>
        <v>5</v>
      </c>
      <c r="D465" s="67">
        <f t="shared" si="67"/>
        <v>0</v>
      </c>
      <c r="E465" s="77" t="e">
        <f ca="1">IF(F465="y",HLOOKUP((IF(C465&lt;1,1,C465)),Magick!$C$20:$L$21,2),NA())</f>
        <v>#N/A</v>
      </c>
      <c r="F465" s="67" t="str">
        <f ca="1">IF(C465&lt;=Magick!$D$3,"Y","N")</f>
        <v>N</v>
      </c>
      <c r="G465" s="148" t="s">
        <v>128</v>
      </c>
      <c r="H465" s="151"/>
      <c r="I465" s="77" t="e">
        <f>IF(H465&gt;0,(HLOOKUP(C465,Magick!$C$20:$L$21,2)-HLOOKUP(H465,Magick!$C$20:$L$21,2)),NA())</f>
        <v>#N/A</v>
      </c>
      <c r="J465" s="77"/>
      <c r="K465" s="67">
        <v>9</v>
      </c>
      <c r="L465" s="72" t="str">
        <f>IF(H465&gt;0,Magick!$AR$21-('Master Spell List'!H413*0.1),"N/A")</f>
        <v>N/A</v>
      </c>
      <c r="M465" s="72">
        <f ca="1">Magick!$H$71</f>
        <v>0.04</v>
      </c>
      <c r="N465" s="72">
        <f ca="1">Magick!$K$71</f>
        <v>0.09</v>
      </c>
      <c r="O465" s="72">
        <f ca="1">Magick!$L$71</f>
        <v>0.09</v>
      </c>
      <c r="P465" s="72">
        <f ca="1">Magick!$M$71</f>
        <v>0.09</v>
      </c>
      <c r="Q465" s="67" t="s">
        <v>4602</v>
      </c>
      <c r="R465" s="67">
        <f ca="1">IF(Q465="Ritual","N/A",IF(Q465="I.E.","N/A",IF(Q465="WOG",VLOOKUP(Magick!$I$71*100,magestuff!$B$134:$F$138,2),IF(Q465="Cantrip",VLOOKUP(Magick!$I$71*100,magestuff!$B$134:$F$138,3),IF(Q465="Hex",VLOOKUP(Magick!$I$71*100,magestuff!$B$134:$F$138,4),VLOOKUP(Magick!$I$71*100,magestuff!$B$134:$F$138,5))))))</f>
        <v>19</v>
      </c>
      <c r="U465" s="67" t="str">
        <f t="shared" si="68"/>
        <v xml:space="preserve"> </v>
      </c>
      <c r="V465" s="515"/>
      <c r="W465" s="125"/>
      <c r="X465" s="31">
        <f t="shared" si="70"/>
        <v>0</v>
      </c>
      <c r="Y465" s="509"/>
      <c r="Z465" s="1054" t="str">
        <f t="shared" si="71"/>
        <v>Greater Area Awaken</v>
      </c>
      <c r="AA465" s="1072" t="str">
        <f t="shared" si="72"/>
        <v>Command</v>
      </c>
    </row>
    <row r="466" spans="1:27" hidden="1" outlineLevel="1">
      <c r="A466" s="31" t="s">
        <v>249</v>
      </c>
      <c r="B466" s="67">
        <v>5</v>
      </c>
      <c r="C466" s="67">
        <f ca="1">magestuff!$O$199</f>
        <v>5</v>
      </c>
      <c r="D466" s="67">
        <f t="shared" si="67"/>
        <v>0</v>
      </c>
      <c r="E466" s="77" t="e">
        <f ca="1">IF(F466="y",HLOOKUP((IF(C466&lt;1,1,C466)),Magick!$C$20:$L$21,2),NA())</f>
        <v>#N/A</v>
      </c>
      <c r="F466" s="67" t="str">
        <f ca="1">IF(C466&lt;=Magick!$D$3,"Y","N")</f>
        <v>N</v>
      </c>
      <c r="G466" s="148" t="s">
        <v>128</v>
      </c>
      <c r="H466" s="151"/>
      <c r="I466" s="77" t="e">
        <f>IF(H466&gt;0,(HLOOKUP(C466,Magick!$C$20:$L$21,2)-HLOOKUP(H466,Magick!$C$20:$L$21,2)),NA())</f>
        <v>#N/A</v>
      </c>
      <c r="J466" s="77"/>
      <c r="K466" s="67">
        <v>9</v>
      </c>
      <c r="L466" s="72" t="str">
        <f>IF(H466&gt;0,Magick!$AR$21-('Master Spell List'!H412*0.1),"N/A")</f>
        <v>N/A</v>
      </c>
      <c r="M466" s="72">
        <f ca="1">Magick!$H$71</f>
        <v>0.04</v>
      </c>
      <c r="N466" s="72">
        <f ca="1">Magick!$K$71</f>
        <v>0.09</v>
      </c>
      <c r="O466" s="72">
        <f ca="1">Magick!$L$71</f>
        <v>0.09</v>
      </c>
      <c r="P466" s="72">
        <f ca="1">Magick!$M$71</f>
        <v>0.09</v>
      </c>
      <c r="Q466" s="67" t="s">
        <v>4602</v>
      </c>
      <c r="R466" s="67">
        <f ca="1">IF(Q466="Ritual","N/A",IF(Q466="I.E.","N/A",IF(Q466="WOG",VLOOKUP(Magick!$I$71*100,magestuff!$B$134:$F$138,2),IF(Q466="Cantrip",VLOOKUP(Magick!$I$71*100,magestuff!$B$134:$F$138,3),IF(Q466="Hex",VLOOKUP(Magick!$I$71*100,magestuff!$B$134:$F$138,4),VLOOKUP(Magick!$I$71*100,magestuff!$B$134:$F$138,5))))))</f>
        <v>19</v>
      </c>
      <c r="U466" s="67" t="str">
        <f t="shared" si="68"/>
        <v xml:space="preserve"> </v>
      </c>
      <c r="V466" s="515"/>
      <c r="W466" s="125"/>
      <c r="X466" s="31">
        <f t="shared" si="70"/>
        <v>0</v>
      </c>
      <c r="Y466" s="509"/>
      <c r="Z466" s="1054" t="str">
        <f t="shared" si="71"/>
        <v>Greater Area Sleep</v>
      </c>
      <c r="AA466" s="1072" t="str">
        <f t="shared" si="72"/>
        <v>Command</v>
      </c>
    </row>
    <row r="467" spans="1:27" hidden="1" outlineLevel="1">
      <c r="A467" s="83" t="s">
        <v>2115</v>
      </c>
      <c r="B467" s="67">
        <v>5</v>
      </c>
      <c r="C467" s="67">
        <f ca="1">magestuff!$O$199</f>
        <v>5</v>
      </c>
      <c r="D467" s="67">
        <f t="shared" si="67"/>
        <v>0</v>
      </c>
      <c r="E467" s="77" t="e">
        <f ca="1">IF(F467="y",HLOOKUP((IF(C467&lt;1,1,C467)),Magick!$C$20:$L$21,2),NA())</f>
        <v>#N/A</v>
      </c>
      <c r="F467" s="67" t="str">
        <f ca="1">IF(C467&lt;=Magick!$D$3,"Y","N")</f>
        <v>N</v>
      </c>
      <c r="G467" s="148" t="s">
        <v>1617</v>
      </c>
      <c r="H467" s="151"/>
      <c r="I467" s="77" t="e">
        <f>IF(H467&gt;0,(HLOOKUP(C467,Magick!$C$20:$L$21,2)-HLOOKUP(H467,Magick!$C$20:$L$21,2)),NA())</f>
        <v>#N/A</v>
      </c>
      <c r="J467" s="77"/>
      <c r="K467" s="67">
        <v>9</v>
      </c>
      <c r="L467" s="72" t="str">
        <f>IF(H467&gt;0,Magick!$AR$21-('Master Spell List'!H477*0.1),"N/A")</f>
        <v>N/A</v>
      </c>
      <c r="M467" s="72">
        <f ca="1">Magick!$H$71</f>
        <v>0.04</v>
      </c>
      <c r="N467" s="72">
        <f ca="1">Magick!$K$71</f>
        <v>0.09</v>
      </c>
      <c r="O467" s="72">
        <f ca="1">Magick!$L$71</f>
        <v>0.09</v>
      </c>
      <c r="P467" s="72">
        <f ca="1">Magick!$M$71</f>
        <v>0.09</v>
      </c>
      <c r="Q467" s="67" t="s">
        <v>3723</v>
      </c>
      <c r="R467" s="67">
        <f ca="1">IF(Q467="Ritual","N/A",IF(Q467="I.E.","N/A",IF(Q467="WOG",VLOOKUP(Magick!$I$71*100,magestuff!$B$134:$F$138,2),IF(Q467="Cantrip",VLOOKUP(Magick!$I$71*100,magestuff!$B$134:$F$138,3),IF(Q467="Hex",VLOOKUP(Magick!$I$71*100,magestuff!$B$134:$F$138,4),VLOOKUP(Magick!$I$71*100,magestuff!$B$134:$F$138,5))))))</f>
        <v>29</v>
      </c>
      <c r="U467" s="67" t="str">
        <f t="shared" si="68"/>
        <v xml:space="preserve"> </v>
      </c>
      <c r="V467" s="515"/>
      <c r="W467" s="125"/>
      <c r="X467" s="31">
        <f t="shared" si="70"/>
        <v>0</v>
      </c>
      <c r="Y467" s="509"/>
      <c r="Z467" s="1054" t="str">
        <f t="shared" si="71"/>
        <v>Greater Calm</v>
      </c>
      <c r="AA467" s="1072" t="str">
        <f t="shared" si="72"/>
        <v>Command</v>
      </c>
    </row>
    <row r="468" spans="1:27" hidden="1" outlineLevel="1">
      <c r="A468" s="31" t="s">
        <v>2123</v>
      </c>
      <c r="B468" s="67">
        <v>5</v>
      </c>
      <c r="C468" s="67">
        <f ca="1">magestuff!$O$199</f>
        <v>5</v>
      </c>
      <c r="D468" s="67">
        <f t="shared" si="67"/>
        <v>0</v>
      </c>
      <c r="E468" s="77" t="e">
        <f ca="1">IF(F468="y",HLOOKUP((IF(C468&lt;1,1,C468)),Magick!$C$20:$L$21,2),NA())</f>
        <v>#N/A</v>
      </c>
      <c r="F468" s="67" t="str">
        <f ca="1">IF(C468&lt;=Magick!$D$3,"Y","N")</f>
        <v>N</v>
      </c>
      <c r="G468" s="148" t="s">
        <v>128</v>
      </c>
      <c r="H468" s="151"/>
      <c r="I468" s="77" t="e">
        <f>IF(H468&gt;0,(HLOOKUP(C468,Magick!$C$20:$L$21,2)-HLOOKUP(H468,Magick!$C$20:$L$21,2)),NA())</f>
        <v>#N/A</v>
      </c>
      <c r="J468" s="77"/>
      <c r="K468" s="67">
        <v>5</v>
      </c>
      <c r="L468" s="72" t="str">
        <f>IF(H468&gt;0,Magick!$AR$21-('Master Spell List'!H428*0.1),"N/A")</f>
        <v>N/A</v>
      </c>
      <c r="M468" s="72">
        <f ca="1">Magick!$H$71</f>
        <v>0.04</v>
      </c>
      <c r="N468" s="72">
        <f ca="1">Magick!$K$71</f>
        <v>0.09</v>
      </c>
      <c r="O468" s="72">
        <f ca="1">Magick!$L$71</f>
        <v>0.09</v>
      </c>
      <c r="P468" s="72">
        <f ca="1">Magick!$M$71</f>
        <v>0.09</v>
      </c>
      <c r="Q468" s="67" t="s">
        <v>113</v>
      </c>
      <c r="R468" s="67" t="str">
        <f>IF(Q468="Ritual","N/A",IF(Q468="I.E.","N/A",IF(Q468="WOG",VLOOKUP(Magick!$I$71*100,magestuff!$B$134:$F$138,2),IF(Q468="Cantrip",VLOOKUP(Magick!$I$71*100,magestuff!$B$134:$F$138,3),IF(Q468="Hex",VLOOKUP(Magick!$I$71*100,magestuff!$B$134:$F$138,4),VLOOKUP(Magick!$I$71*100,magestuff!$B$134:$F$138,5))))))</f>
        <v>N/A</v>
      </c>
      <c r="U468" s="67" t="str">
        <f t="shared" si="68"/>
        <v xml:space="preserve"> </v>
      </c>
      <c r="V468" s="515"/>
      <c r="W468" s="125"/>
      <c r="X468" s="31">
        <f t="shared" si="70"/>
        <v>0</v>
      </c>
      <c r="Y468" s="509"/>
      <c r="Z468" s="1054" t="str">
        <f t="shared" si="71"/>
        <v>Greater Charm Person</v>
      </c>
      <c r="AA468" s="1072" t="str">
        <f t="shared" si="72"/>
        <v>Command</v>
      </c>
    </row>
    <row r="469" spans="1:27" hidden="1" outlineLevel="1">
      <c r="A469" s="31" t="s">
        <v>5109</v>
      </c>
      <c r="B469" s="67">
        <v>5</v>
      </c>
      <c r="C469" s="67">
        <f ca="1">magestuff!$O$199</f>
        <v>5</v>
      </c>
      <c r="D469" s="67">
        <f t="shared" si="67"/>
        <v>0</v>
      </c>
      <c r="E469" s="77" t="e">
        <f ca="1">IF(F469="y",HLOOKUP((IF(C469&lt;1,1,C469)),Magick!$C$20:$L$21,2),NA())</f>
        <v>#N/A</v>
      </c>
      <c r="F469" s="67" t="str">
        <f ca="1">IF(C469&lt;=Magick!$D$3,"Y","N")</f>
        <v>N</v>
      </c>
      <c r="G469" s="148" t="s">
        <v>128</v>
      </c>
      <c r="H469" s="151"/>
      <c r="I469" s="77" t="e">
        <f>IF(H469&gt;0,(HLOOKUP(C469,Magick!$C$20:$L$21,2)-HLOOKUP(H469,Magick!$C$20:$L$21,2)),NA())</f>
        <v>#N/A</v>
      </c>
      <c r="J469" s="77"/>
      <c r="K469" s="67">
        <v>8</v>
      </c>
      <c r="L469" s="72" t="str">
        <f>IF(H469&gt;0,Magick!$AR$21-('Master Spell List'!H465*0.1),"N/A")</f>
        <v>N/A</v>
      </c>
      <c r="M469" s="72">
        <f ca="1">Magick!$H$71</f>
        <v>0.04</v>
      </c>
      <c r="N469" s="72">
        <f ca="1">Magick!$K$71</f>
        <v>0.09</v>
      </c>
      <c r="O469" s="72">
        <f ca="1">Magick!$L$71</f>
        <v>0.09</v>
      </c>
      <c r="P469" s="72">
        <f ca="1">Magick!$M$71</f>
        <v>0.09</v>
      </c>
      <c r="Q469" s="67" t="s">
        <v>113</v>
      </c>
      <c r="R469" s="67" t="str">
        <f>IF(Q469="Ritual","N/A",IF(Q469="I.E.","N/A",IF(Q469="WOG",VLOOKUP(Magick!$I$71*100,magestuff!$B$134:$F$138,2),IF(Q469="Cantrip",VLOOKUP(Magick!$I$71*100,magestuff!$B$134:$F$138,3),IF(Q469="Hex",VLOOKUP(Magick!$I$71*100,magestuff!$B$134:$F$138,4),VLOOKUP(Magick!$I$71*100,magestuff!$B$134:$F$138,5))))))</f>
        <v>N/A</v>
      </c>
      <c r="U469" s="67" t="str">
        <f t="shared" si="68"/>
        <v xml:space="preserve"> </v>
      </c>
      <c r="V469" s="515"/>
      <c r="W469" s="125"/>
      <c r="X469" s="31">
        <f t="shared" si="70"/>
        <v>0</v>
      </c>
      <c r="Y469" s="509"/>
      <c r="Z469" s="1054" t="str">
        <f t="shared" si="71"/>
        <v>Hate</v>
      </c>
      <c r="AA469" s="1072" t="str">
        <f t="shared" si="72"/>
        <v>Command</v>
      </c>
    </row>
    <row r="470" spans="1:27" hidden="1" outlineLevel="1">
      <c r="A470" s="83" t="s">
        <v>5262</v>
      </c>
      <c r="B470" s="67">
        <v>5</v>
      </c>
      <c r="C470" s="67">
        <f ca="1">magestuff!$O$199</f>
        <v>5</v>
      </c>
      <c r="D470" s="67">
        <f t="shared" si="67"/>
        <v>0</v>
      </c>
      <c r="E470" s="77" t="e">
        <f ca="1">IF(F470="y",HLOOKUP((IF(C470&lt;1,1,C470)),Magick!$C$20:$L$21,2),NA())</f>
        <v>#N/A</v>
      </c>
      <c r="F470" s="67" t="str">
        <f ca="1">IF(C470&lt;=Magick!$D$3,"Y","N")</f>
        <v>N</v>
      </c>
      <c r="G470" s="148" t="s">
        <v>1616</v>
      </c>
      <c r="H470" s="151"/>
      <c r="I470" s="77" t="e">
        <f>IF(H471&gt;0,(HLOOKUP(C471,Magick!$C$20:$L$21,2)-HLOOKUP(H471,Magick!$C$20:$L$21,2)),NA())</f>
        <v>#N/A</v>
      </c>
      <c r="J470" s="77"/>
      <c r="K470" s="67">
        <v>7</v>
      </c>
      <c r="L470" s="72" t="str">
        <f>IF(H471&gt;0,Magick!$AR$21-('Master Spell List'!H462*0.1),"N/A")</f>
        <v>N/A</v>
      </c>
      <c r="M470" s="72">
        <f ca="1">Magick!$H$71</f>
        <v>0.04</v>
      </c>
      <c r="N470" s="72">
        <f ca="1">Magick!$K$71</f>
        <v>0.09</v>
      </c>
      <c r="O470" s="72">
        <f ca="1">Magick!$L$71</f>
        <v>0.09</v>
      </c>
      <c r="P470" s="72">
        <f ca="1">Magick!$M$71</f>
        <v>0.09</v>
      </c>
      <c r="Q470" s="67" t="s">
        <v>3723</v>
      </c>
      <c r="R470" s="67">
        <f ca="1">IF(Q470="Ritual","N/A",IF(Q470="I.E.","N/A",IF(Q470="WOG",VLOOKUP(Magick!$I$71*100,magestuff!$B$134:$F$138,2),IF(Q470="Cantrip",VLOOKUP(Magick!$I$71*100,magestuff!$B$134:$F$138,3),IF(Q470="Hex",VLOOKUP(Magick!$I$71*100,magestuff!$B$134:$F$138,4),VLOOKUP(Magick!$I$71*100,magestuff!$B$134:$F$138,5))))))</f>
        <v>29</v>
      </c>
      <c r="U470" s="67" t="str">
        <f t="shared" si="68"/>
        <v xml:space="preserve"> </v>
      </c>
      <c r="V470" s="515"/>
      <c r="W470" s="125"/>
      <c r="X470" s="31">
        <f t="shared" si="70"/>
        <v>0</v>
      </c>
      <c r="Y470" s="509"/>
      <c r="Z470" s="1054" t="str">
        <f t="shared" si="71"/>
        <v>Haunting Voices</v>
      </c>
      <c r="AA470" s="1072" t="str">
        <f t="shared" si="72"/>
        <v>Command</v>
      </c>
    </row>
    <row r="471" spans="1:27" hidden="1" outlineLevel="1">
      <c r="A471" s="31" t="s">
        <v>3499</v>
      </c>
      <c r="B471" s="67">
        <v>5</v>
      </c>
      <c r="C471" s="67">
        <f ca="1">magestuff!$O$199</f>
        <v>5</v>
      </c>
      <c r="D471" s="67">
        <f t="shared" ref="D471:D515" si="73">IF(AND(ISNUMBER(H471),H471=0),C471,0)</f>
        <v>0</v>
      </c>
      <c r="E471" s="77" t="e">
        <f ca="1">IF(F471="y",HLOOKUP((IF(C471&lt;1,1,C471)),Magick!$C$20:$L$21,2),NA())</f>
        <v>#N/A</v>
      </c>
      <c r="F471" s="67" t="str">
        <f ca="1">IF(C471&lt;=Magick!$D$3,"Y","N")</f>
        <v>N</v>
      </c>
      <c r="G471" s="148" t="s">
        <v>128</v>
      </c>
      <c r="H471" s="151"/>
      <c r="I471" s="77" t="e">
        <f>IF(H471&gt;0,(HLOOKUP(C471,Magick!$C$20:$L$21,2)-HLOOKUP(H471,Magick!$C$20:$L$21,2)),NA())</f>
        <v>#N/A</v>
      </c>
      <c r="J471" s="77"/>
      <c r="K471" s="67" t="s">
        <v>2049</v>
      </c>
      <c r="L471" s="72" t="str">
        <f>IF(H471&gt;0,Magick!$AR$21-('Master Spell List'!H438*0.1),"N/A")</f>
        <v>N/A</v>
      </c>
      <c r="M471" s="72">
        <f ca="1">Magick!$H$71</f>
        <v>0.04</v>
      </c>
      <c r="N471" s="72">
        <f ca="1">Magick!$K$71</f>
        <v>0.09</v>
      </c>
      <c r="O471" s="72">
        <f ca="1">Magick!$L$71</f>
        <v>0.09</v>
      </c>
      <c r="P471" s="72">
        <f ca="1">Magick!$M$71</f>
        <v>0.09</v>
      </c>
      <c r="Q471" s="67" t="s">
        <v>4603</v>
      </c>
      <c r="R471" s="67">
        <f ca="1">IF(Q471="Ritual","N/A",IF(Q471="I.E.","N/A",IF(Q471="WOG",VLOOKUP(Magick!$I$71*100,magestuff!$B$134:$F$138,2),IF(Q471="Cantrip",VLOOKUP(Magick!$I$71*100,magestuff!$B$134:$F$138,3),IF(Q471="Hex",VLOOKUP(Magick!$I$71*100,magestuff!$B$134:$F$138,4),VLOOKUP(Magick!$I$71*100,magestuff!$B$134:$F$138,5))))))</f>
        <v>9</v>
      </c>
      <c r="U471" s="67" t="str">
        <f t="shared" ref="U471:U515" si="74">IF(ISBLANK(H471)," ",IF(H471&gt;0,0,C471*10))</f>
        <v xml:space="preserve"> </v>
      </c>
      <c r="V471" s="515"/>
      <c r="W471" s="125"/>
      <c r="X471" s="31">
        <f t="shared" ref="X471:X502" si="75">W471*3</f>
        <v>0</v>
      </c>
      <c r="Y471" s="509"/>
      <c r="Z471" s="1054" t="str">
        <f t="shared" si="71"/>
        <v>Hold Enchanted Being</v>
      </c>
      <c r="AA471" s="1072" t="str">
        <f t="shared" si="72"/>
        <v>Command</v>
      </c>
    </row>
    <row r="472" spans="1:27" hidden="1" outlineLevel="1">
      <c r="A472" s="31" t="s">
        <v>3568</v>
      </c>
      <c r="B472" s="67">
        <v>5</v>
      </c>
      <c r="C472" s="67">
        <f ca="1">magestuff!$O$199</f>
        <v>5</v>
      </c>
      <c r="D472" s="67">
        <f t="shared" si="73"/>
        <v>0</v>
      </c>
      <c r="E472" s="77" t="e">
        <f ca="1">IF(F472="y",HLOOKUP((IF(C472&lt;1,1,C472)),Magick!$C$20:$L$21,2),NA())</f>
        <v>#N/A</v>
      </c>
      <c r="F472" s="67" t="str">
        <f ca="1">IF(C472&lt;=Magick!$D$3,"Y","N")</f>
        <v>N</v>
      </c>
      <c r="G472" s="148" t="s">
        <v>128</v>
      </c>
      <c r="H472" s="151"/>
      <c r="I472" s="77" t="e">
        <f>IF(H472&gt;0,(HLOOKUP(C472,Magick!$C$20:$L$21,2)-HLOOKUP(H472,Magick!$C$20:$L$21,2)),NA())</f>
        <v>#N/A</v>
      </c>
      <c r="J472" s="77"/>
      <c r="K472" s="67">
        <v>8</v>
      </c>
      <c r="L472" s="72" t="str">
        <f>IF(H472&gt;0,Magick!$AR$21-('Master Spell List'!H463*0.1),"N/A")</f>
        <v>N/A</v>
      </c>
      <c r="M472" s="72">
        <f ca="1">Magick!$H$71</f>
        <v>0.04</v>
      </c>
      <c r="N472" s="72">
        <f ca="1">Magick!$K$71</f>
        <v>0.09</v>
      </c>
      <c r="O472" s="72">
        <f ca="1">Magick!$L$71</f>
        <v>0.09</v>
      </c>
      <c r="P472" s="72">
        <f ca="1">Magick!$M$71</f>
        <v>0.09</v>
      </c>
      <c r="Q472" s="67" t="s">
        <v>113</v>
      </c>
      <c r="R472" s="67" t="str">
        <f>IF(Q472="Ritual","N/A",IF(Q472="I.E.","N/A",IF(Q472="WOG",VLOOKUP(Magick!$I$71*100,magestuff!$B$134:$F$138,2),IF(Q472="Cantrip",VLOOKUP(Magick!$I$71*100,magestuff!$B$134:$F$138,3),IF(Q472="Hex",VLOOKUP(Magick!$I$71*100,magestuff!$B$134:$F$138,4),VLOOKUP(Magick!$I$71*100,magestuff!$B$134:$F$138,5))))))</f>
        <v>N/A</v>
      </c>
      <c r="U472" s="67" t="str">
        <f t="shared" si="74"/>
        <v xml:space="preserve"> </v>
      </c>
      <c r="V472" s="515"/>
      <c r="W472" s="125"/>
      <c r="X472" s="31">
        <f t="shared" si="75"/>
        <v>0</v>
      </c>
      <c r="Y472" s="509"/>
      <c r="Z472" s="1054" t="str">
        <f t="shared" si="71"/>
        <v>Love</v>
      </c>
      <c r="AA472" s="1072" t="str">
        <f t="shared" si="72"/>
        <v>Command</v>
      </c>
    </row>
    <row r="473" spans="1:27" hidden="1" outlineLevel="1">
      <c r="A473" s="83" t="s">
        <v>4313</v>
      </c>
      <c r="B473" s="67">
        <v>5</v>
      </c>
      <c r="C473" s="67">
        <f ca="1">magestuff!$O$199</f>
        <v>5</v>
      </c>
      <c r="D473" s="67">
        <f t="shared" si="73"/>
        <v>0</v>
      </c>
      <c r="E473" s="77" t="e">
        <f ca="1">IF(F473="y",HLOOKUP((IF(C473&lt;1,1,C473)),Magick!$C$20:$L$21,2),NA())</f>
        <v>#N/A</v>
      </c>
      <c r="F473" s="67" t="str">
        <f ca="1">IF(C473&lt;=Magick!$D$3,"Y","N")</f>
        <v>N</v>
      </c>
      <c r="G473" s="148" t="s">
        <v>1616</v>
      </c>
      <c r="H473" s="151"/>
      <c r="I473" s="77" t="e">
        <f>IF(H474&gt;0,(HLOOKUP(C474,Magick!$C$20:$L$21,2)-HLOOKUP(H474,Magick!$C$20:$L$21,2)),NA())</f>
        <v>#N/A</v>
      </c>
      <c r="J473" s="77"/>
      <c r="K473" s="67" t="s">
        <v>108</v>
      </c>
      <c r="L473" s="72" t="str">
        <f>IF(H474&gt;0,Magick!$AR$21-('Master Spell List'!H483*0.1),"N/A")</f>
        <v>N/A</v>
      </c>
      <c r="M473" s="72">
        <f ca="1">Magick!$H$71</f>
        <v>0.04</v>
      </c>
      <c r="N473" s="72">
        <f ca="1">Magick!$K$71</f>
        <v>0.09</v>
      </c>
      <c r="O473" s="72">
        <f ca="1">Magick!$L$71</f>
        <v>0.09</v>
      </c>
      <c r="P473" s="72">
        <f ca="1">Magick!$M$71</f>
        <v>0.09</v>
      </c>
      <c r="Q473" s="67" t="s">
        <v>113</v>
      </c>
      <c r="R473" s="67" t="str">
        <f>IF(Q473="Ritual","N/A",IF(Q473="I.E.","N/A",IF(Q473="WOG",VLOOKUP(Magick!$I$71*100,magestuff!$B$134:$F$138,2),IF(Q473="Cantrip",VLOOKUP(Magick!$I$71*100,magestuff!$B$134:$F$138,3),IF(Q473="Hex",VLOOKUP(Magick!$I$71*100,magestuff!$B$134:$F$138,4),VLOOKUP(Magick!$I$71*100,magestuff!$B$134:$F$138,5))))))</f>
        <v>N/A</v>
      </c>
      <c r="U473" s="67" t="str">
        <f t="shared" si="74"/>
        <v xml:space="preserve"> </v>
      </c>
      <c r="V473" s="515"/>
      <c r="W473" s="125"/>
      <c r="X473" s="31">
        <f t="shared" si="75"/>
        <v>0</v>
      </c>
      <c r="Y473" s="509"/>
      <c r="Z473" s="1054" t="str">
        <f t="shared" si="71"/>
        <v>Mass Draw Attention</v>
      </c>
      <c r="AA473" s="1072" t="str">
        <f t="shared" si="72"/>
        <v>Command</v>
      </c>
    </row>
    <row r="474" spans="1:27" hidden="1" outlineLevel="1">
      <c r="A474" s="31" t="s">
        <v>506</v>
      </c>
      <c r="B474" s="67">
        <f>IF(Magick!$A$3=26,3,5)</f>
        <v>5</v>
      </c>
      <c r="C474" s="67">
        <f ca="1">IF(Magick!$A$3=26,IF(magestuff!$I$199&lt;1,1,magestuff!$I$199),magestuff!$O$199)</f>
        <v>5</v>
      </c>
      <c r="D474" s="67">
        <f t="shared" si="73"/>
        <v>0</v>
      </c>
      <c r="E474" s="77" t="e">
        <f ca="1">IF(F474="y",HLOOKUP((IF(C474&lt;1,1,C474)),Magick!$C$20:$L$21,2),NA())</f>
        <v>#N/A</v>
      </c>
      <c r="F474" s="67" t="str">
        <f ca="1">IF(C474&lt;=Magick!$D$3,"Y","N")</f>
        <v>N</v>
      </c>
      <c r="G474" s="148" t="s">
        <v>128</v>
      </c>
      <c r="H474" s="151"/>
      <c r="I474" s="77" t="e">
        <f>IF(H474&gt;0,(HLOOKUP(C474,Magick!$C$20:$L$21,2)-HLOOKUP(H474,Magick!$C$20:$L$21,2)),NA())</f>
        <v>#N/A</v>
      </c>
      <c r="J474" s="77"/>
      <c r="K474" s="67">
        <v>4</v>
      </c>
      <c r="L474" s="72" t="str">
        <f>IF(H474&gt;0,Magick!$AR$21-('Master Spell List'!H468*0.1),"N/A")</f>
        <v>N/A</v>
      </c>
      <c r="M474" s="72">
        <f ca="1">Magick!$H$71</f>
        <v>0.04</v>
      </c>
      <c r="N474" s="72">
        <f ca="1">Magick!$K$71</f>
        <v>0.09</v>
      </c>
      <c r="O474" s="72">
        <f ca="1">Magick!$L$71</f>
        <v>0.09</v>
      </c>
      <c r="P474" s="72">
        <f ca="1">Magick!$M$71</f>
        <v>0.09</v>
      </c>
      <c r="Q474" s="67" t="str">
        <f>IF(Magick!$A$3=26,"Cantrip","Hex")</f>
        <v>Hex</v>
      </c>
      <c r="R474" s="67">
        <f ca="1">IF(Q474="Ritual","N/A",IF(Q474="I.E.","N/A",IF(Q474="WOG",VLOOKUP(Magick!$I$71*100,magestuff!$B$134:$F$138,2),IF(Q474="Cantrip",VLOOKUP(Magick!$I$71*100,magestuff!$B$134:$F$138,3),IF(Q474="Hex",VLOOKUP(Magick!$I$71*100,magestuff!$B$134:$F$138,4),VLOOKUP(Magick!$I$71*100,magestuff!$B$134:$F$138,5))))))</f>
        <v>19</v>
      </c>
      <c r="U474" s="67" t="str">
        <f t="shared" si="74"/>
        <v xml:space="preserve"> </v>
      </c>
      <c r="V474" s="515"/>
      <c r="W474" s="125"/>
      <c r="X474" s="31">
        <f t="shared" si="75"/>
        <v>0</v>
      </c>
      <c r="Y474" s="509"/>
      <c r="Z474" s="1054" t="str">
        <f t="shared" si="71"/>
        <v>Muscle Spasm</v>
      </c>
      <c r="AA474" s="1072" t="str">
        <f t="shared" si="72"/>
        <v>Command</v>
      </c>
    </row>
    <row r="475" spans="1:27" hidden="1" outlineLevel="1">
      <c r="A475" s="83" t="s">
        <v>1264</v>
      </c>
      <c r="B475" s="67">
        <v>5</v>
      </c>
      <c r="C475" s="67">
        <f ca="1">magestuff!$O$199</f>
        <v>5</v>
      </c>
      <c r="D475" s="67">
        <f t="shared" si="73"/>
        <v>0</v>
      </c>
      <c r="E475" s="77" t="e">
        <f ca="1">IF(F475="y",HLOOKUP((IF(C475&lt;1,1,C475)),Magick!$C$20:$L$21,2),NA())</f>
        <v>#N/A</v>
      </c>
      <c r="F475" s="67" t="str">
        <f ca="1">IF(C475&lt;=Magick!$D$3,"Y","N")</f>
        <v>N</v>
      </c>
      <c r="G475" s="148" t="s">
        <v>1616</v>
      </c>
      <c r="H475" s="151"/>
      <c r="I475" s="77" t="e">
        <f>IF(H476&gt;0,(HLOOKUP(C476,Magick!$C$20:$L$21,2)-HLOOKUP(H476,Magick!$C$20:$L$21,2)),NA())</f>
        <v>#N/A</v>
      </c>
      <c r="J475" s="77"/>
      <c r="K475" s="67">
        <v>7</v>
      </c>
      <c r="L475" s="72" t="str">
        <f>IF(H476&gt;0,Magick!$AR$21-('Master Spell List'!H472*0.1),"N/A")</f>
        <v>N/A</v>
      </c>
      <c r="M475" s="72">
        <f ca="1">Magick!$H$71</f>
        <v>0.04</v>
      </c>
      <c r="N475" s="72">
        <f ca="1">Magick!$K$71</f>
        <v>0.09</v>
      </c>
      <c r="O475" s="72">
        <f ca="1">Magick!$L$71</f>
        <v>0.09</v>
      </c>
      <c r="P475" s="72">
        <f ca="1">Magick!$M$71</f>
        <v>0.09</v>
      </c>
      <c r="Q475" s="67" t="s">
        <v>113</v>
      </c>
      <c r="R475" s="67" t="str">
        <f>IF(Q475="Ritual","N/A",IF(Q475="I.E.","N/A",IF(Q475="WOG",VLOOKUP(Magick!$I$71*100,magestuff!$B$134:$F$138,2),IF(Q475="Cantrip",VLOOKUP(Magick!$I$71*100,magestuff!$B$134:$F$138,3),IF(Q475="Hex",VLOOKUP(Magick!$I$71*100,magestuff!$B$134:$F$138,4),VLOOKUP(Magick!$I$71*100,magestuff!$B$134:$F$138,5))))))</f>
        <v>N/A</v>
      </c>
      <c r="U475" s="67" t="str">
        <f t="shared" si="74"/>
        <v xml:space="preserve"> </v>
      </c>
      <c r="V475" s="515"/>
      <c r="W475" s="125"/>
      <c r="X475" s="31">
        <f t="shared" si="75"/>
        <v>0</v>
      </c>
      <c r="Y475" s="509"/>
      <c r="Z475" s="1054" t="str">
        <f t="shared" si="71"/>
        <v>Nightmares</v>
      </c>
      <c r="AA475" s="1072" t="str">
        <f t="shared" si="72"/>
        <v>Command</v>
      </c>
    </row>
    <row r="476" spans="1:27" hidden="1" outlineLevel="1">
      <c r="A476" s="83" t="s">
        <v>3842</v>
      </c>
      <c r="B476" s="67">
        <v>5</v>
      </c>
      <c r="C476" s="67">
        <f ca="1">magestuff!$O$199</f>
        <v>5</v>
      </c>
      <c r="D476" s="67">
        <f t="shared" si="73"/>
        <v>0</v>
      </c>
      <c r="E476" s="77" t="e">
        <f ca="1">IF(F476="y",HLOOKUP((IF(C476&lt;1,1,C476)),Magick!$C$20:$L$21,2),NA())</f>
        <v>#N/A</v>
      </c>
      <c r="F476" s="67" t="str">
        <f ca="1">IF(C476&lt;=Magick!$D$3,"Y","N")</f>
        <v>N</v>
      </c>
      <c r="G476" s="148" t="s">
        <v>1616</v>
      </c>
      <c r="H476" s="151"/>
      <c r="I476" s="77" t="e">
        <f>IF(H477&gt;0,(HLOOKUP(C477,Magick!$C$20:$L$21,2)-HLOOKUP(H477,Magick!$C$20:$L$21,2)),NA())</f>
        <v>#N/A</v>
      </c>
      <c r="J476" s="77"/>
      <c r="K476" s="67">
        <v>7</v>
      </c>
      <c r="L476" s="72" t="str">
        <f>IF(H477&gt;0,Magick!$AR$21-('Master Spell List'!H474*0.1),"N/A")</f>
        <v>N/A</v>
      </c>
      <c r="M476" s="72">
        <f ca="1">Magick!$H$71</f>
        <v>0.04</v>
      </c>
      <c r="N476" s="72">
        <f ca="1">Magick!$K$71</f>
        <v>0.09</v>
      </c>
      <c r="O476" s="72">
        <f ca="1">Magick!$L$71</f>
        <v>0.09</v>
      </c>
      <c r="P476" s="72">
        <f ca="1">Magick!$M$71</f>
        <v>0.09</v>
      </c>
      <c r="Q476" s="67" t="s">
        <v>113</v>
      </c>
      <c r="R476" s="67" t="str">
        <f>IF(Q476="Ritual","N/A",IF(Q476="I.E.","N/A",IF(Q476="WOG",VLOOKUP(Magick!$I$71*100,magestuff!$B$134:$F$138,2),IF(Q476="Cantrip",VLOOKUP(Magick!$I$71*100,magestuff!$B$134:$F$138,3),IF(Q476="Hex",VLOOKUP(Magick!$I$71*100,magestuff!$B$134:$F$138,4),VLOOKUP(Magick!$I$71*100,magestuff!$B$134:$F$138,5))))))</f>
        <v>N/A</v>
      </c>
      <c r="U476" s="67" t="str">
        <f t="shared" si="74"/>
        <v xml:space="preserve"> </v>
      </c>
      <c r="V476" s="515"/>
      <c r="W476" s="125"/>
      <c r="X476" s="31">
        <f t="shared" si="75"/>
        <v>0</v>
      </c>
      <c r="Y476" s="509"/>
      <c r="Z476" s="1054" t="str">
        <f t="shared" si="71"/>
        <v>Peaceful Sleep</v>
      </c>
      <c r="AA476" s="1072" t="str">
        <f t="shared" si="72"/>
        <v>Command</v>
      </c>
    </row>
    <row r="477" spans="1:27" hidden="1" outlineLevel="1">
      <c r="A477" s="31" t="s">
        <v>3629</v>
      </c>
      <c r="B477" s="67">
        <v>6</v>
      </c>
      <c r="C477" s="67">
        <f ca="1">magestuff!$R$199</f>
        <v>6</v>
      </c>
      <c r="D477" s="67">
        <f t="shared" si="73"/>
        <v>0</v>
      </c>
      <c r="E477" s="77" t="e">
        <f ca="1">IF(F477="y",HLOOKUP((IF(C477&lt;1,1,C477)),Magick!$C$20:$L$21,2),NA())</f>
        <v>#N/A</v>
      </c>
      <c r="F477" s="67" t="str">
        <f ca="1">IF(C477&lt;=Magick!$D$3,"Y","N")</f>
        <v>N</v>
      </c>
      <c r="G477" s="148" t="s">
        <v>128</v>
      </c>
      <c r="H477" s="151"/>
      <c r="I477" s="77" t="e">
        <f>IF(H477&gt;0,(HLOOKUP(C477,Magick!$C$20:$L$21,2)-HLOOKUP(H477,Magick!$C$20:$L$21,2)),NA())</f>
        <v>#N/A</v>
      </c>
      <c r="J477" s="77"/>
      <c r="K477" s="67" t="s">
        <v>2057</v>
      </c>
      <c r="L477" s="72" t="str">
        <f>IF(H477&gt;0,Magick!$AR$21-('Master Spell List'!H450*0.1),"N/A")</f>
        <v>N/A</v>
      </c>
      <c r="M477" s="72">
        <f ca="1">Magick!$H$71</f>
        <v>0.04</v>
      </c>
      <c r="N477" s="72">
        <f ca="1">Magick!$K$71</f>
        <v>0.09</v>
      </c>
      <c r="O477" s="72">
        <f ca="1">Magick!$L$71</f>
        <v>0.09</v>
      </c>
      <c r="P477" s="72">
        <f ca="1">Magick!$M$71</f>
        <v>0.09</v>
      </c>
      <c r="Q477" s="67" t="s">
        <v>4603</v>
      </c>
      <c r="R477" s="67">
        <f ca="1">IF(Q477="Ritual","N/A",IF(Q477="I.E.","N/A",IF(Q477="WOG",VLOOKUP(Magick!$I$71*100,magestuff!$B$134:$F$138,2),IF(Q477="Cantrip",VLOOKUP(Magick!$I$71*100,magestuff!$B$134:$F$138,3),IF(Q477="Hex",VLOOKUP(Magick!$I$71*100,magestuff!$B$134:$F$138,4),VLOOKUP(Magick!$I$71*100,magestuff!$B$134:$F$138,5))))))</f>
        <v>9</v>
      </c>
      <c r="U477" s="67" t="str">
        <f t="shared" si="74"/>
        <v xml:space="preserve"> </v>
      </c>
      <c r="V477" s="515"/>
      <c r="W477" s="125"/>
      <c r="X477" s="31">
        <f t="shared" si="75"/>
        <v>0</v>
      </c>
      <c r="Y477" s="509"/>
      <c r="Z477" s="1054" t="str">
        <f t="shared" si="71"/>
        <v>Command Enchanted Beast</v>
      </c>
      <c r="AA477" s="1072" t="str">
        <f t="shared" si="72"/>
        <v>Command</v>
      </c>
    </row>
    <row r="478" spans="1:27" hidden="1" outlineLevel="1">
      <c r="A478" s="31" t="s">
        <v>3631</v>
      </c>
      <c r="B478" s="67">
        <v>6</v>
      </c>
      <c r="C478" s="67">
        <f ca="1">magestuff!$R$199</f>
        <v>6</v>
      </c>
      <c r="D478" s="67">
        <f t="shared" si="73"/>
        <v>0</v>
      </c>
      <c r="E478" s="77" t="e">
        <f ca="1">IF(F478="y",HLOOKUP((IF(C478&lt;1,1,C478)),Magick!$C$20:$L$21,2),NA())</f>
        <v>#N/A</v>
      </c>
      <c r="F478" s="67" t="str">
        <f ca="1">IF(C478&lt;=Magick!$D$3,"Y","N")</f>
        <v>N</v>
      </c>
      <c r="G478" s="148" t="s">
        <v>128</v>
      </c>
      <c r="H478" s="151"/>
      <c r="I478" s="77" t="e">
        <f>IF(H478&gt;0,(HLOOKUP(C478,Magick!$C$20:$L$21,2)-HLOOKUP(H478,Magick!$C$20:$L$21,2)),NA())</f>
        <v>#N/A</v>
      </c>
      <c r="J478" s="77"/>
      <c r="K478" s="67" t="s">
        <v>2889</v>
      </c>
      <c r="L478" s="72" t="str">
        <f>IF(H478&gt;0,Magick!$AR$21-('Master Spell List'!H452*0.1),"N/A")</f>
        <v>N/A</v>
      </c>
      <c r="M478" s="72">
        <f ca="1">Magick!$H$71</f>
        <v>0.04</v>
      </c>
      <c r="N478" s="72">
        <f ca="1">Magick!$K$71</f>
        <v>0.09</v>
      </c>
      <c r="O478" s="72">
        <f ca="1">Magick!$L$71</f>
        <v>0.09</v>
      </c>
      <c r="P478" s="72">
        <f ca="1">Magick!$M$71</f>
        <v>0.09</v>
      </c>
      <c r="Q478" s="67" t="s">
        <v>3723</v>
      </c>
      <c r="R478" s="67">
        <f ca="1">IF(Q478="Ritual","N/A",IF(Q478="I.E.","N/A",IF(Q478="WOG",VLOOKUP(Magick!$I$71*100,magestuff!$B$134:$F$138,2),IF(Q478="Cantrip",VLOOKUP(Magick!$I$71*100,magestuff!$B$134:$F$138,3),IF(Q478="Hex",VLOOKUP(Magick!$I$71*100,magestuff!$B$134:$F$138,4),VLOOKUP(Magick!$I$71*100,magestuff!$B$134:$F$138,5))))))</f>
        <v>29</v>
      </c>
      <c r="U478" s="67" t="str">
        <f t="shared" si="74"/>
        <v xml:space="preserve"> </v>
      </c>
      <c r="V478" s="515"/>
      <c r="W478" s="125"/>
      <c r="X478" s="31">
        <f t="shared" si="75"/>
        <v>0</v>
      </c>
      <c r="Y478" s="509"/>
      <c r="Z478" s="1054" t="str">
        <f t="shared" si="71"/>
        <v>Command Lesser Undead</v>
      </c>
      <c r="AA478" s="1072" t="str">
        <f t="shared" si="72"/>
        <v>Command</v>
      </c>
    </row>
    <row r="479" spans="1:27" hidden="1" outlineLevel="1">
      <c r="A479" s="31" t="s">
        <v>3891</v>
      </c>
      <c r="B479" s="67">
        <v>6</v>
      </c>
      <c r="C479" s="67">
        <f ca="1">magestuff!$R$199</f>
        <v>6</v>
      </c>
      <c r="D479" s="67">
        <f t="shared" si="73"/>
        <v>0</v>
      </c>
      <c r="E479" s="77" t="e">
        <f ca="1">IF(F479="y",HLOOKUP((IF(C479&lt;1,1,C479)),Magick!$C$20:$L$21,2),NA())</f>
        <v>#N/A</v>
      </c>
      <c r="F479" s="67" t="str">
        <f ca="1">IF(C479&lt;=Magick!$D$3,"Y","N")</f>
        <v>N</v>
      </c>
      <c r="G479" s="148" t="s">
        <v>128</v>
      </c>
      <c r="H479" s="151"/>
      <c r="I479" s="77" t="e">
        <f>IF(H479&gt;0,(HLOOKUP(C479,Magick!$C$20:$L$21,2)-HLOOKUP(H479,Magick!$C$20:$L$21,2)),NA())</f>
        <v>#N/A</v>
      </c>
      <c r="J479" s="77"/>
      <c r="K479" s="67">
        <v>10</v>
      </c>
      <c r="L479" s="72" t="str">
        <f>IF(H479&gt;0,Magick!$AR$21-('Master Spell List'!H431*0.1),"N/A")</f>
        <v>N/A</v>
      </c>
      <c r="M479" s="72">
        <f ca="1">Magick!$H$71</f>
        <v>0.04</v>
      </c>
      <c r="N479" s="72">
        <f ca="1">Magick!$K$71</f>
        <v>0.09</v>
      </c>
      <c r="O479" s="72">
        <f ca="1">Magick!$L$71</f>
        <v>0.09</v>
      </c>
      <c r="P479" s="72">
        <f ca="1">Magick!$M$71</f>
        <v>0.09</v>
      </c>
      <c r="Q479" s="67" t="s">
        <v>113</v>
      </c>
      <c r="R479" s="67" t="str">
        <f>IF(Q479="Ritual","N/A",IF(Q479="I.E.","N/A",IF(Q479="WOG",VLOOKUP(Magick!$I$71*100,magestuff!$B$134:$F$138,2),IF(Q479="Cantrip",VLOOKUP(Magick!$I$71*100,magestuff!$B$134:$F$138,3),IF(Q479="Hex",VLOOKUP(Magick!$I$71*100,magestuff!$B$134:$F$138,4),VLOOKUP(Magick!$I$71*100,magestuff!$B$134:$F$138,5))))))</f>
        <v>N/A</v>
      </c>
      <c r="U479" s="67" t="str">
        <f t="shared" si="74"/>
        <v xml:space="preserve"> </v>
      </c>
      <c r="V479" s="515"/>
      <c r="W479" s="125"/>
      <c r="X479" s="31">
        <f t="shared" si="75"/>
        <v>0</v>
      </c>
      <c r="Y479" s="509"/>
      <c r="Z479" s="1054" t="str">
        <f t="shared" si="71"/>
        <v>Dispel Mass Charm</v>
      </c>
      <c r="AA479" s="1072" t="str">
        <f t="shared" si="72"/>
        <v>Command</v>
      </c>
    </row>
    <row r="480" spans="1:27" hidden="1" outlineLevel="1">
      <c r="A480" s="83" t="s">
        <v>2911</v>
      </c>
      <c r="B480" s="67">
        <v>6</v>
      </c>
      <c r="C480" s="67">
        <f ca="1">magestuff!$R$199</f>
        <v>6</v>
      </c>
      <c r="D480" s="67">
        <f t="shared" si="73"/>
        <v>0</v>
      </c>
      <c r="E480" s="77" t="e">
        <f ca="1">IF(F480="y",HLOOKUP((IF(C480&lt;1,1,C480)),Magick!$C$20:$L$21,2),NA())</f>
        <v>#N/A</v>
      </c>
      <c r="F480" s="67" t="str">
        <f ca="1">IF(C480&lt;=Magick!$D$3,"Y","N")</f>
        <v>N</v>
      </c>
      <c r="G480" s="148" t="s">
        <v>859</v>
      </c>
      <c r="H480" s="151"/>
      <c r="I480" s="77" t="e">
        <f>IF(H488&gt;0,(HLOOKUP(C488,Magick!$C$20:$L$21,2)-HLOOKUP(H488,Magick!$C$20:$L$21,2)),NA())</f>
        <v>#N/A</v>
      </c>
      <c r="J480" s="77"/>
      <c r="K480" s="67" t="s">
        <v>2225</v>
      </c>
      <c r="L480" s="72" t="str">
        <f>IF(H488&gt;0,Magick!$AR$21-('Master Spell List'!H482*0.1),"N/A")</f>
        <v>N/A</v>
      </c>
      <c r="M480" s="72">
        <f ca="1">Magick!$H$71</f>
        <v>0.04</v>
      </c>
      <c r="N480" s="72">
        <f ca="1">Magick!$K$71</f>
        <v>0.09</v>
      </c>
      <c r="O480" s="72">
        <f ca="1">Magick!$L$71</f>
        <v>0.09</v>
      </c>
      <c r="P480" s="72">
        <f ca="1">Magick!$M$71</f>
        <v>0.09</v>
      </c>
      <c r="Q480" s="67" t="s">
        <v>2225</v>
      </c>
      <c r="R480" s="67">
        <f ca="1">IF(Q480="Ritual","N/A",IF(Q480="I.E.","N/A",IF(Q480="WOG",VLOOKUP(Magick!$I$71*100,magestuff!$B$134:$F$138,2),IF(Q480="Cantrip",VLOOKUP(Magick!$I$71*100,magestuff!$B$134:$F$138,3),IF(Q480="Hex",VLOOKUP(Magick!$I$71*100,magestuff!$B$134:$F$138,4),VLOOKUP(Magick!$I$71*100,magestuff!$B$134:$F$138,5))))))</f>
        <v>29</v>
      </c>
      <c r="U480" s="67" t="str">
        <f t="shared" si="74"/>
        <v xml:space="preserve"> </v>
      </c>
      <c r="V480" s="515"/>
      <c r="W480" s="125"/>
      <c r="X480" s="31">
        <f t="shared" si="75"/>
        <v>0</v>
      </c>
      <c r="Y480" s="509"/>
      <c r="Z480" s="1054" t="str">
        <f t="shared" si="71"/>
        <v>Forget</v>
      </c>
      <c r="AA480" s="1072" t="str">
        <f t="shared" si="72"/>
        <v>Command</v>
      </c>
    </row>
    <row r="481" spans="1:27" hidden="1" outlineLevel="1">
      <c r="A481" s="31" t="s">
        <v>3531</v>
      </c>
      <c r="B481" s="67">
        <v>6</v>
      </c>
      <c r="C481" s="67">
        <f ca="1">magestuff!$R$199</f>
        <v>6</v>
      </c>
      <c r="D481" s="67">
        <f t="shared" si="73"/>
        <v>0</v>
      </c>
      <c r="E481" s="77" t="e">
        <f ca="1">IF(F481="y",HLOOKUP((IF(C481&lt;1,1,C481)),Magick!$C$20:$L$21,2),NA())</f>
        <v>#N/A</v>
      </c>
      <c r="F481" s="67" t="str">
        <f ca="1">IF(C481&lt;=Magick!$D$3,"Y","N")</f>
        <v>N</v>
      </c>
      <c r="G481" s="148" t="s">
        <v>128</v>
      </c>
      <c r="H481" s="151"/>
      <c r="I481" s="77" t="e">
        <f>IF(H481&gt;0,(HLOOKUP(C481,Magick!$C$20:$L$21,2)-HLOOKUP(H481,Magick!$C$20:$L$21,2)),NA())</f>
        <v>#N/A</v>
      </c>
      <c r="J481" s="77"/>
      <c r="K481" s="67" t="s">
        <v>4023</v>
      </c>
      <c r="L481" s="72" t="str">
        <f>IF(H481&gt;0,Magick!$AR$21-('Master Spell List'!H441*0.1),"N/A")</f>
        <v>N/A</v>
      </c>
      <c r="M481" s="72">
        <f ca="1">Magick!$H$71</f>
        <v>0.04</v>
      </c>
      <c r="N481" s="72">
        <f ca="1">Magick!$K$71</f>
        <v>0.09</v>
      </c>
      <c r="O481" s="72">
        <f ca="1">Magick!$L$71</f>
        <v>0.09</v>
      </c>
      <c r="P481" s="72">
        <f ca="1">Magick!$M$71</f>
        <v>0.09</v>
      </c>
      <c r="Q481" s="67" t="s">
        <v>4603</v>
      </c>
      <c r="R481" s="67">
        <f ca="1">IF(Q481="Ritual","N/A",IF(Q481="I.E.","N/A",IF(Q481="WOG",VLOOKUP(Magick!$I$71*100,magestuff!$B$134:$F$138,2),IF(Q481="Cantrip",VLOOKUP(Magick!$I$71*100,magestuff!$B$134:$F$138,3),IF(Q481="Hex",VLOOKUP(Magick!$I$71*100,magestuff!$B$134:$F$138,4),VLOOKUP(Magick!$I$71*100,magestuff!$B$134:$F$138,5))))))</f>
        <v>9</v>
      </c>
      <c r="U481" s="67" t="str">
        <f t="shared" si="74"/>
        <v xml:space="preserve"> </v>
      </c>
      <c r="V481" s="515"/>
      <c r="W481" s="125"/>
      <c r="X481" s="31">
        <f t="shared" si="75"/>
        <v>0</v>
      </c>
      <c r="Y481" s="509"/>
      <c r="Z481" s="1054" t="str">
        <f t="shared" si="71"/>
        <v>Hold Lycanthrope</v>
      </c>
      <c r="AA481" s="1072" t="str">
        <f t="shared" si="72"/>
        <v>Command</v>
      </c>
    </row>
    <row r="482" spans="1:27" hidden="1" outlineLevel="1">
      <c r="A482" s="31" t="s">
        <v>2124</v>
      </c>
      <c r="B482" s="67">
        <v>6</v>
      </c>
      <c r="C482" s="67">
        <f ca="1">magestuff!$R$199</f>
        <v>6</v>
      </c>
      <c r="D482" s="67">
        <f t="shared" si="73"/>
        <v>0</v>
      </c>
      <c r="E482" s="77" t="e">
        <f ca="1">IF(F482="y",HLOOKUP((IF(C482&lt;1,1,C482)),Magick!$C$20:$L$21,2),NA())</f>
        <v>#N/A</v>
      </c>
      <c r="F482" s="67" t="str">
        <f ca="1">IF(C482&lt;=Magick!$D$3,"Y","N")</f>
        <v>N</v>
      </c>
      <c r="G482" s="148" t="s">
        <v>128</v>
      </c>
      <c r="H482" s="151"/>
      <c r="I482" s="77" t="e">
        <f>IF(H482&gt;0,(HLOOKUP(C482,Magick!$C$20:$L$21,2)-HLOOKUP(H482,Magick!$C$20:$L$21,2)),NA())</f>
        <v>#N/A</v>
      </c>
      <c r="J482" s="77"/>
      <c r="K482" s="67">
        <v>10</v>
      </c>
      <c r="L482" s="72" t="str">
        <f>IF(H482&gt;0,Magick!$AR$21-('Master Spell List'!H430*0.1),"N/A")</f>
        <v>N/A</v>
      </c>
      <c r="M482" s="72">
        <f ca="1">Magick!$H$71</f>
        <v>0.04</v>
      </c>
      <c r="N482" s="72">
        <f ca="1">Magick!$K$71</f>
        <v>0.09</v>
      </c>
      <c r="O482" s="72">
        <f ca="1">Magick!$L$71</f>
        <v>0.09</v>
      </c>
      <c r="P482" s="72">
        <f ca="1">Magick!$M$71</f>
        <v>0.09</v>
      </c>
      <c r="Q482" s="67" t="s">
        <v>113</v>
      </c>
      <c r="R482" s="67" t="str">
        <f>IF(Q482="Ritual","N/A",IF(Q482="I.E.","N/A",IF(Q482="WOG",VLOOKUP(Magick!$I$71*100,magestuff!$B$134:$F$138,2),IF(Q482="Cantrip",VLOOKUP(Magick!$I$71*100,magestuff!$B$134:$F$138,3),IF(Q482="Hex",VLOOKUP(Magick!$I$71*100,magestuff!$B$134:$F$138,4),VLOOKUP(Magick!$I$71*100,magestuff!$B$134:$F$138,5))))))</f>
        <v>N/A</v>
      </c>
      <c r="U482" s="67" t="str">
        <f t="shared" si="74"/>
        <v xml:space="preserve"> </v>
      </c>
      <c r="V482" s="515"/>
      <c r="W482" s="125"/>
      <c r="X482" s="31">
        <f t="shared" si="75"/>
        <v>0</v>
      </c>
      <c r="Y482" s="509"/>
      <c r="Z482" s="1054" t="str">
        <f t="shared" si="71"/>
        <v>Mass Charm</v>
      </c>
      <c r="AA482" s="1072" t="str">
        <f t="shared" si="72"/>
        <v>Command</v>
      </c>
    </row>
    <row r="483" spans="1:27" hidden="1" outlineLevel="1">
      <c r="A483" s="83" t="s">
        <v>1815</v>
      </c>
      <c r="B483" s="67">
        <v>6</v>
      </c>
      <c r="C483" s="67">
        <f ca="1">magestuff!$R$199</f>
        <v>6</v>
      </c>
      <c r="D483" s="67">
        <f t="shared" si="73"/>
        <v>0</v>
      </c>
      <c r="E483" s="77" t="e">
        <f ca="1">IF(F483="y",HLOOKUP((IF(C483&lt;1,1,C483)),Magick!$C$20:$L$21,2),NA())</f>
        <v>#N/A</v>
      </c>
      <c r="F483" s="67" t="str">
        <f ca="1">IF(C483&lt;=Magick!$D$3,"Y","N")</f>
        <v>N</v>
      </c>
      <c r="G483" s="148" t="s">
        <v>1616</v>
      </c>
      <c r="H483" s="151"/>
      <c r="I483" s="77" t="e">
        <f>IF(H484&gt;0,(HLOOKUP(C484,Magick!$C$20:$L$21,2)-HLOOKUP(H484,Magick!$C$20:$L$21,2)),NA())</f>
        <v>#N/A</v>
      </c>
      <c r="J483" s="77"/>
      <c r="K483" s="67" t="s">
        <v>4019</v>
      </c>
      <c r="L483" s="72" t="str">
        <f>IF(H484&gt;0,Magick!$AR$21-('Master Spell List'!H469*0.1),"N/A")</f>
        <v>N/A</v>
      </c>
      <c r="M483" s="72">
        <f ca="1">Magick!$H$71</f>
        <v>0.04</v>
      </c>
      <c r="N483" s="72">
        <f ca="1">Magick!$K$71</f>
        <v>0.09</v>
      </c>
      <c r="O483" s="72">
        <f ca="1">Magick!$L$71</f>
        <v>0.09</v>
      </c>
      <c r="P483" s="72">
        <f ca="1">Magick!$M$71</f>
        <v>0.09</v>
      </c>
      <c r="Q483" s="67" t="s">
        <v>4602</v>
      </c>
      <c r="R483" s="67">
        <f ca="1">IF(Q483="Ritual","N/A",IF(Q483="I.E.","N/A",IF(Q483="WOG",VLOOKUP(Magick!$I$71*100,magestuff!$B$134:$F$138,2),IF(Q483="Cantrip",VLOOKUP(Magick!$I$71*100,magestuff!$B$134:$F$138,3),IF(Q483="Hex",VLOOKUP(Magick!$I$71*100,magestuff!$B$134:$F$138,4),VLOOKUP(Magick!$I$71*100,magestuff!$B$134:$F$138,5))))))</f>
        <v>19</v>
      </c>
      <c r="U483" s="67" t="str">
        <f t="shared" si="74"/>
        <v xml:space="preserve"> </v>
      </c>
      <c r="V483" s="515"/>
      <c r="W483" s="125"/>
      <c r="X483" s="31">
        <f t="shared" si="75"/>
        <v>0</v>
      </c>
      <c r="Y483" s="509"/>
      <c r="Z483" s="1054" t="str">
        <f t="shared" si="71"/>
        <v>Mass Compel Lies</v>
      </c>
      <c r="AA483" s="1072" t="str">
        <f t="shared" si="72"/>
        <v>Command</v>
      </c>
    </row>
    <row r="484" spans="1:27" hidden="1" outlineLevel="1">
      <c r="A484" s="83" t="s">
        <v>1263</v>
      </c>
      <c r="B484" s="67">
        <v>6</v>
      </c>
      <c r="C484" s="67">
        <f ca="1">magestuff!$R$199</f>
        <v>6</v>
      </c>
      <c r="D484" s="67">
        <f t="shared" si="73"/>
        <v>0</v>
      </c>
      <c r="E484" s="77" t="e">
        <f ca="1">IF(F484="y",HLOOKUP((IF(C484&lt;1,1,C484)),Magick!$C$20:$L$21,2),NA())</f>
        <v>#N/A</v>
      </c>
      <c r="F484" s="67" t="str">
        <f ca="1">IF(C484&lt;=Magick!$D$3,"Y","N")</f>
        <v>N</v>
      </c>
      <c r="G484" s="148" t="s">
        <v>1616</v>
      </c>
      <c r="H484" s="151"/>
      <c r="I484" s="77" t="e">
        <f>IF(H485&gt;0,(HLOOKUP(C485,Magick!$C$20:$L$21,2)-HLOOKUP(H485,Magick!$C$20:$L$21,2)),NA())</f>
        <v>#N/A</v>
      </c>
      <c r="J484" s="77"/>
      <c r="K484" s="67" t="s">
        <v>4019</v>
      </c>
      <c r="L484" s="72" t="str">
        <f>IF(H485&gt;0,Magick!$AR$21-('Master Spell List'!H471*0.1),"N/A")</f>
        <v>N/A</v>
      </c>
      <c r="M484" s="72">
        <f ca="1">Magick!$H$71</f>
        <v>0.04</v>
      </c>
      <c r="N484" s="72">
        <f ca="1">Magick!$K$71</f>
        <v>0.09</v>
      </c>
      <c r="O484" s="72">
        <f ca="1">Magick!$L$71</f>
        <v>0.09</v>
      </c>
      <c r="P484" s="72">
        <f ca="1">Magick!$M$71</f>
        <v>0.09</v>
      </c>
      <c r="Q484" s="67" t="s">
        <v>4602</v>
      </c>
      <c r="R484" s="67">
        <f ca="1">IF(Q484="Ritual","N/A",IF(Q484="I.E.","N/A",IF(Q484="WOG",VLOOKUP(Magick!$I$71*100,magestuff!$B$134:$F$138,2),IF(Q484="Cantrip",VLOOKUP(Magick!$I$71*100,magestuff!$B$134:$F$138,3),IF(Q484="Hex",VLOOKUP(Magick!$I$71*100,magestuff!$B$134:$F$138,4),VLOOKUP(Magick!$I$71*100,magestuff!$B$134:$F$138,5))))))</f>
        <v>19</v>
      </c>
      <c r="U484" s="67" t="str">
        <f t="shared" si="74"/>
        <v xml:space="preserve"> </v>
      </c>
      <c r="V484" s="515"/>
      <c r="W484" s="125"/>
      <c r="X484" s="31">
        <f t="shared" si="75"/>
        <v>0</v>
      </c>
      <c r="Y484" s="509"/>
      <c r="Z484" s="1054" t="str">
        <f t="shared" si="71"/>
        <v>Mass Compel Silence</v>
      </c>
      <c r="AA484" s="1072" t="str">
        <f t="shared" si="72"/>
        <v>Command</v>
      </c>
    </row>
    <row r="485" spans="1:27" hidden="1" outlineLevel="1">
      <c r="A485" s="83" t="s">
        <v>1813</v>
      </c>
      <c r="B485" s="67">
        <v>6</v>
      </c>
      <c r="C485" s="67">
        <f ca="1">magestuff!$R$199</f>
        <v>6</v>
      </c>
      <c r="D485" s="67">
        <f t="shared" si="73"/>
        <v>0</v>
      </c>
      <c r="E485" s="77" t="e">
        <f ca="1">IF(F485="y",HLOOKUP((IF(C485&lt;1,1,C485)),Magick!$C$20:$L$21,2),NA())</f>
        <v>#N/A</v>
      </c>
      <c r="F485" s="67" t="str">
        <f ca="1">IF(C485&lt;=Magick!$D$3,"Y","N")</f>
        <v>N</v>
      </c>
      <c r="G485" s="148" t="s">
        <v>1616</v>
      </c>
      <c r="H485" s="151"/>
      <c r="I485" s="77" t="e">
        <f>IF(H486&gt;0,(HLOOKUP(C486,Magick!$C$20:$L$21,2)-HLOOKUP(H486,Magick!$C$20:$L$21,2)),NA())</f>
        <v>#N/A</v>
      </c>
      <c r="J485" s="77"/>
      <c r="K485" s="67" t="s">
        <v>4019</v>
      </c>
      <c r="L485" s="72" t="str">
        <f>IF(H486&gt;0,Magick!$AR$21-('Master Spell List'!H467*0.1),"N/A")</f>
        <v>N/A</v>
      </c>
      <c r="M485" s="72">
        <f ca="1">Magick!$H$71</f>
        <v>0.04</v>
      </c>
      <c r="N485" s="72">
        <f ca="1">Magick!$K$71</f>
        <v>0.09</v>
      </c>
      <c r="O485" s="72">
        <f ca="1">Magick!$L$71</f>
        <v>0.09</v>
      </c>
      <c r="P485" s="72">
        <f ca="1">Magick!$M$71</f>
        <v>0.09</v>
      </c>
      <c r="Q485" s="67" t="s">
        <v>4602</v>
      </c>
      <c r="R485" s="67">
        <f ca="1">IF(Q485="Ritual","N/A",IF(Q485="I.E.","N/A",IF(Q485="WOG",VLOOKUP(Magick!$I$71*100,magestuff!$B$134:$F$138,2),IF(Q485="Cantrip",VLOOKUP(Magick!$I$71*100,magestuff!$B$134:$F$138,3),IF(Q485="Hex",VLOOKUP(Magick!$I$71*100,magestuff!$B$134:$F$138,4),VLOOKUP(Magick!$I$71*100,magestuff!$B$134:$F$138,5))))))</f>
        <v>19</v>
      </c>
      <c r="U485" s="67" t="str">
        <f t="shared" si="74"/>
        <v xml:space="preserve"> </v>
      </c>
      <c r="V485" s="515"/>
      <c r="W485" s="125"/>
      <c r="X485" s="31">
        <f t="shared" si="75"/>
        <v>0</v>
      </c>
      <c r="Y485" s="509"/>
      <c r="Z485" s="1054" t="str">
        <f t="shared" si="71"/>
        <v>Mass Compel Truth</v>
      </c>
      <c r="AA485" s="1072" t="str">
        <f t="shared" si="72"/>
        <v>Command</v>
      </c>
    </row>
    <row r="486" spans="1:27" hidden="1" outlineLevel="1">
      <c r="A486" s="83" t="s">
        <v>4311</v>
      </c>
      <c r="B486" s="67">
        <v>6</v>
      </c>
      <c r="C486" s="67">
        <f ca="1">magestuff!$R$199</f>
        <v>6</v>
      </c>
      <c r="D486" s="67">
        <f t="shared" si="73"/>
        <v>0</v>
      </c>
      <c r="E486" s="77" t="e">
        <f ca="1">IF(F486="y",HLOOKUP((IF(C486&lt;1,1,C486)),Magick!$C$20:$L$21,2),NA())</f>
        <v>#N/A</v>
      </c>
      <c r="F486" s="67" t="str">
        <f ca="1">IF(C486&lt;=Magick!$D$3,"Y","N")</f>
        <v>N</v>
      </c>
      <c r="G486" s="148" t="s">
        <v>1616</v>
      </c>
      <c r="H486" s="151"/>
      <c r="I486" s="77" t="e">
        <f>IF(H487&gt;0,(HLOOKUP(C487,Magick!$C$20:$L$21,2)-HLOOKUP(H487,Magick!$C$20:$L$21,2)),NA())</f>
        <v>#N/A</v>
      </c>
      <c r="J486" s="77"/>
      <c r="K486" s="67" t="s">
        <v>4019</v>
      </c>
      <c r="L486" s="72" t="str">
        <f>IF(H487&gt;0,Magick!$AR$21-('Master Spell List'!H480*0.1),"N/A")</f>
        <v>N/A</v>
      </c>
      <c r="M486" s="72">
        <f ca="1">Magick!$H$71</f>
        <v>0.04</v>
      </c>
      <c r="N486" s="72">
        <f ca="1">Magick!$K$71</f>
        <v>0.09</v>
      </c>
      <c r="O486" s="72">
        <f ca="1">Magick!$L$71</f>
        <v>0.09</v>
      </c>
      <c r="P486" s="72">
        <f ca="1">Magick!$M$71</f>
        <v>0.09</v>
      </c>
      <c r="Q486" s="67" t="s">
        <v>113</v>
      </c>
      <c r="R486" s="67" t="str">
        <f>IF(Q486="Ritual","N/A",IF(Q486="I.E.","N/A",IF(Q486="WOG",VLOOKUP(Magick!$I$71*100,magestuff!$B$134:$F$138,2),IF(Q486="Cantrip",VLOOKUP(Magick!$I$71*100,magestuff!$B$134:$F$138,3),IF(Q486="Hex",VLOOKUP(Magick!$I$71*100,magestuff!$B$134:$F$138,4),VLOOKUP(Magick!$I$71*100,magestuff!$B$134:$F$138,5))))))</f>
        <v>N/A</v>
      </c>
      <c r="U486" s="67" t="str">
        <f t="shared" si="74"/>
        <v xml:space="preserve"> </v>
      </c>
      <c r="V486" s="515"/>
      <c r="W486" s="125"/>
      <c r="X486" s="31">
        <f t="shared" si="75"/>
        <v>0</v>
      </c>
      <c r="Y486" s="509"/>
      <c r="Z486" s="1054" t="str">
        <f t="shared" si="71"/>
        <v>Mass Group Ignore</v>
      </c>
      <c r="AA486" s="1072" t="str">
        <f t="shared" si="72"/>
        <v>Command</v>
      </c>
    </row>
    <row r="487" spans="1:27" hidden="1" outlineLevel="1">
      <c r="A487" s="83" t="s">
        <v>5263</v>
      </c>
      <c r="B487" s="67">
        <v>6</v>
      </c>
      <c r="C487" s="67">
        <f ca="1">magestuff!$R$199</f>
        <v>6</v>
      </c>
      <c r="D487" s="67">
        <f t="shared" si="73"/>
        <v>0</v>
      </c>
      <c r="E487" s="77" t="e">
        <f ca="1">IF(F487="y",HLOOKUP((IF(C487&lt;1,1,C487)),Magick!$C$20:$L$21,2),NA())</f>
        <v>#N/A</v>
      </c>
      <c r="F487" s="67" t="str">
        <f ca="1">IF(C487&lt;=Magick!$D$3,"Y","N")</f>
        <v>N</v>
      </c>
      <c r="G487" s="148" t="s">
        <v>1616</v>
      </c>
      <c r="H487" s="151"/>
      <c r="I487" s="77" t="e">
        <f>IF(H488&gt;0,(HLOOKUP(C488,Magick!$C$20:$L$21,2)-HLOOKUP(H488,Magick!$C$20:$L$21,2)),NA())</f>
        <v>#N/A</v>
      </c>
      <c r="J487" s="77"/>
      <c r="K487" s="67" t="s">
        <v>1646</v>
      </c>
      <c r="L487" s="72" t="str">
        <f>IF(H488&gt;0,Magick!$AR$21-('Master Spell List'!H463*0.1),"N/A")</f>
        <v>N/A</v>
      </c>
      <c r="M487" s="72">
        <f ca="1">Magick!$H$71</f>
        <v>0.04</v>
      </c>
      <c r="N487" s="72">
        <f ca="1">Magick!$K$71</f>
        <v>0.09</v>
      </c>
      <c r="O487" s="72">
        <f ca="1">Magick!$L$71</f>
        <v>0.09</v>
      </c>
      <c r="P487" s="72">
        <f ca="1">Magick!$M$71</f>
        <v>0.09</v>
      </c>
      <c r="Q487" s="67" t="s">
        <v>113</v>
      </c>
      <c r="R487" s="67" t="str">
        <f>IF(Q487="Ritual","N/A",IF(Q487="I.E.","N/A",IF(Q487="WOG",VLOOKUP(Magick!$I$71*100,magestuff!$B$134:$F$138,2),IF(Q487="Cantrip",VLOOKUP(Magick!$I$71*100,magestuff!$B$134:$F$138,3),IF(Q487="Hex",VLOOKUP(Magick!$I$71*100,magestuff!$B$134:$F$138,4),VLOOKUP(Magick!$I$71*100,magestuff!$B$134:$F$138,5))))))</f>
        <v>N/A</v>
      </c>
      <c r="U487" s="67" t="str">
        <f t="shared" si="74"/>
        <v xml:space="preserve"> </v>
      </c>
      <c r="V487" s="515"/>
      <c r="W487" s="125"/>
      <c r="X487" s="31">
        <f t="shared" si="75"/>
        <v>0</v>
      </c>
      <c r="Y487" s="509"/>
      <c r="Z487" s="1054" t="str">
        <f t="shared" si="71"/>
        <v>Mass Haunting Voices</v>
      </c>
      <c r="AA487" s="1072" t="str">
        <f t="shared" si="72"/>
        <v>Command</v>
      </c>
    </row>
    <row r="488" spans="1:27" hidden="1" outlineLevel="1">
      <c r="A488" s="83" t="s">
        <v>5261</v>
      </c>
      <c r="B488" s="67">
        <v>6</v>
      </c>
      <c r="C488" s="67">
        <f ca="1">magestuff!$R$199</f>
        <v>6</v>
      </c>
      <c r="D488" s="67">
        <f t="shared" si="73"/>
        <v>0</v>
      </c>
      <c r="E488" s="77" t="e">
        <f ca="1">IF(F488="y",HLOOKUP((IF(C488&lt;1,1,C488)),Magick!$C$20:$L$21,2),NA())</f>
        <v>#N/A</v>
      </c>
      <c r="F488" s="67" t="str">
        <f ca="1">IF(C488&lt;=Magick!$D$3,"Y","N")</f>
        <v>N</v>
      </c>
      <c r="G488" s="148" t="s">
        <v>1616</v>
      </c>
      <c r="H488" s="151"/>
      <c r="I488" s="77" t="e">
        <f>IF(H489&gt;0,(HLOOKUP(C489,Magick!$C$20:$L$21,2)-HLOOKUP(H489,Magick!$C$20:$L$21,2)),NA())</f>
        <v>#N/A</v>
      </c>
      <c r="J488" s="77"/>
      <c r="K488" s="67" t="s">
        <v>4019</v>
      </c>
      <c r="L488" s="72" t="str">
        <f>IF(H489&gt;0,Magick!$AR$21-('Master Spell List'!H461*0.1),"N/A")</f>
        <v>N/A</v>
      </c>
      <c r="M488" s="72">
        <f ca="1">Magick!$H$71</f>
        <v>0.04</v>
      </c>
      <c r="N488" s="72">
        <f ca="1">Magick!$K$71</f>
        <v>0.09</v>
      </c>
      <c r="O488" s="72">
        <f ca="1">Magick!$L$71</f>
        <v>0.09</v>
      </c>
      <c r="P488" s="72">
        <f ca="1">Magick!$M$71</f>
        <v>0.09</v>
      </c>
      <c r="Q488" s="67" t="s">
        <v>4602</v>
      </c>
      <c r="R488" s="67">
        <f ca="1">IF(Q488="Ritual","N/A",IF(Q488="I.E.","N/A",IF(Q488="WOG",VLOOKUP(Magick!$I$71*100,magestuff!$B$134:$F$138,2),IF(Q488="Cantrip",VLOOKUP(Magick!$I$71*100,magestuff!$B$134:$F$138,3),IF(Q488="Hex",VLOOKUP(Magick!$I$71*100,magestuff!$B$134:$F$138,4),VLOOKUP(Magick!$I$71*100,magestuff!$B$134:$F$138,5))))))</f>
        <v>19</v>
      </c>
      <c r="U488" s="67" t="str">
        <f t="shared" si="74"/>
        <v xml:space="preserve"> </v>
      </c>
      <c r="V488" s="515"/>
      <c r="W488" s="125"/>
      <c r="X488" s="31">
        <f t="shared" si="75"/>
        <v>0</v>
      </c>
      <c r="Y488" s="509"/>
      <c r="Z488" s="1054" t="str">
        <f t="shared" si="71"/>
        <v>Mass Increase Inhibition</v>
      </c>
      <c r="AA488" s="1072" t="str">
        <f t="shared" si="72"/>
        <v>Command</v>
      </c>
    </row>
    <row r="489" spans="1:27" hidden="1" outlineLevel="1">
      <c r="A489" s="83" t="s">
        <v>4307</v>
      </c>
      <c r="B489" s="67">
        <v>6</v>
      </c>
      <c r="C489" s="67">
        <f ca="1">magestuff!$R$199</f>
        <v>6</v>
      </c>
      <c r="D489" s="67">
        <f t="shared" si="73"/>
        <v>0</v>
      </c>
      <c r="E489" s="77" t="e">
        <f ca="1">IF(F489="y",HLOOKUP((IF(C489&lt;1,1,C489)),Magick!$C$20:$L$21,2),NA())</f>
        <v>#N/A</v>
      </c>
      <c r="F489" s="67" t="str">
        <f ca="1">IF(C489&lt;=Magick!$D$3,"Y","N")</f>
        <v>N</v>
      </c>
      <c r="G489" s="148" t="s">
        <v>1616</v>
      </c>
      <c r="H489" s="151"/>
      <c r="I489" s="77" t="e">
        <f>IF(H490&gt;0,(HLOOKUP(C490,Magick!$C$20:$L$21,2)-HLOOKUP(H490,Magick!$C$20:$L$21,2)),NA())</f>
        <v>#N/A</v>
      </c>
      <c r="J489" s="77"/>
      <c r="K489" s="67" t="s">
        <v>4019</v>
      </c>
      <c r="L489" s="72" t="str">
        <f>IF(H490&gt;0,Magick!$AR$21-('Master Spell List'!H477*0.1),"N/A")</f>
        <v>N/A</v>
      </c>
      <c r="M489" s="72">
        <f ca="1">Magick!$H$71</f>
        <v>0.04</v>
      </c>
      <c r="N489" s="72">
        <f ca="1">Magick!$K$71</f>
        <v>0.09</v>
      </c>
      <c r="O489" s="72">
        <f ca="1">Magick!$L$71</f>
        <v>0.09</v>
      </c>
      <c r="P489" s="72">
        <f ca="1">Magick!$M$71</f>
        <v>0.09</v>
      </c>
      <c r="Q489" s="67" t="s">
        <v>3723</v>
      </c>
      <c r="R489" s="67">
        <f ca="1">IF(Q489="Ritual","N/A",IF(Q489="I.E.","N/A",IF(Q489="WOG",VLOOKUP(Magick!$I$71*100,magestuff!$B$134:$F$138,2),IF(Q489="Cantrip",VLOOKUP(Magick!$I$71*100,magestuff!$B$134:$F$138,3),IF(Q489="Hex",VLOOKUP(Magick!$I$71*100,magestuff!$B$134:$F$138,4),VLOOKUP(Magick!$I$71*100,magestuff!$B$134:$F$138,5))))))</f>
        <v>29</v>
      </c>
      <c r="U489" s="67" t="str">
        <f t="shared" si="74"/>
        <v xml:space="preserve"> </v>
      </c>
      <c r="V489" s="515"/>
      <c r="W489" s="125"/>
      <c r="X489" s="31">
        <f t="shared" si="75"/>
        <v>0</v>
      </c>
      <c r="Y489" s="509"/>
      <c r="Z489" s="1054" t="str">
        <f t="shared" si="71"/>
        <v>Mass Individual Ignore</v>
      </c>
      <c r="AA489" s="1072" t="str">
        <f t="shared" si="72"/>
        <v>Command</v>
      </c>
    </row>
    <row r="490" spans="1:27" hidden="1" outlineLevel="1">
      <c r="A490" s="83" t="s">
        <v>1811</v>
      </c>
      <c r="B490" s="67">
        <v>6</v>
      </c>
      <c r="C490" s="67">
        <f ca="1">magestuff!$R$199</f>
        <v>6</v>
      </c>
      <c r="D490" s="67">
        <f t="shared" si="73"/>
        <v>0</v>
      </c>
      <c r="E490" s="77" t="e">
        <f ca="1">IF(F490="y",HLOOKUP((IF(C490&lt;1,1,C490)),Magick!$C$20:$L$21,2),NA())</f>
        <v>#N/A</v>
      </c>
      <c r="F490" s="67" t="str">
        <f ca="1">IF(C490&lt;=Magick!$D$3,"Y","N")</f>
        <v>N</v>
      </c>
      <c r="G490" s="148" t="s">
        <v>1616</v>
      </c>
      <c r="H490" s="151"/>
      <c r="I490" s="77" t="e">
        <f>IF(H491&gt;0,(HLOOKUP(C491,Magick!$C$20:$L$21,2)-HLOOKUP(H491,Magick!$C$20:$L$21,2)),NA())</f>
        <v>#N/A</v>
      </c>
      <c r="J490" s="77"/>
      <c r="K490" s="67" t="s">
        <v>4019</v>
      </c>
      <c r="L490" s="72" t="str">
        <f>IF(H491&gt;0,Magick!$AR$21-('Master Spell List'!H465*0.1),"N/A")</f>
        <v>N/A</v>
      </c>
      <c r="M490" s="72">
        <f ca="1">Magick!$H$71</f>
        <v>0.04</v>
      </c>
      <c r="N490" s="72">
        <f ca="1">Magick!$K$71</f>
        <v>0.09</v>
      </c>
      <c r="O490" s="72">
        <f ca="1">Magick!$L$71</f>
        <v>0.09</v>
      </c>
      <c r="P490" s="72">
        <f ca="1">Magick!$M$71</f>
        <v>0.09</v>
      </c>
      <c r="Q490" s="67" t="s">
        <v>3723</v>
      </c>
      <c r="R490" s="67">
        <f ca="1">IF(Q490="Ritual","N/A",IF(Q490="I.E.","N/A",IF(Q490="WOG",VLOOKUP(Magick!$I$71*100,magestuff!$B$134:$F$138,2),IF(Q490="Cantrip",VLOOKUP(Magick!$I$71*100,magestuff!$B$134:$F$138,3),IF(Q490="Hex",VLOOKUP(Magick!$I$71*100,magestuff!$B$134:$F$138,4),VLOOKUP(Magick!$I$71*100,magestuff!$B$134:$F$138,5))))))</f>
        <v>29</v>
      </c>
      <c r="U490" s="67" t="str">
        <f t="shared" si="74"/>
        <v xml:space="preserve"> </v>
      </c>
      <c r="V490" s="515"/>
      <c r="W490" s="125"/>
      <c r="X490" s="31">
        <f t="shared" si="75"/>
        <v>0</v>
      </c>
      <c r="Y490" s="509"/>
      <c r="Z490" s="1054" t="str">
        <f t="shared" si="71"/>
        <v>Mass Reduce Inhibition</v>
      </c>
      <c r="AA490" s="1072" t="str">
        <f t="shared" si="72"/>
        <v>Command</v>
      </c>
    </row>
    <row r="491" spans="1:27" hidden="1" outlineLevel="1">
      <c r="A491" s="83" t="s">
        <v>2915</v>
      </c>
      <c r="B491" s="67">
        <v>6</v>
      </c>
      <c r="C491" s="67">
        <f ca="1">magestuff!$R$199</f>
        <v>6</v>
      </c>
      <c r="D491" s="67">
        <f t="shared" si="73"/>
        <v>0</v>
      </c>
      <c r="E491" s="77" t="e">
        <f ca="1">IF(F491="y",HLOOKUP((IF(C491&lt;1,1,C491)),Magick!$C$20:$L$21,2),NA())</f>
        <v>#N/A</v>
      </c>
      <c r="F491" s="67" t="str">
        <f ca="1">IF(C491&lt;=Magick!$D$3,"Y","N")</f>
        <v>N</v>
      </c>
      <c r="G491" s="148" t="s">
        <v>859</v>
      </c>
      <c r="H491" s="151"/>
      <c r="I491" s="77" t="e">
        <f>IF(H499&gt;0,(HLOOKUP(C499,Magick!$C$20:$L$21,2)-HLOOKUP(H499,Magick!$C$20:$L$21,2)),NA())</f>
        <v>#N/A</v>
      </c>
      <c r="J491" s="77"/>
      <c r="K491" s="67" t="s">
        <v>2225</v>
      </c>
      <c r="L491" s="72" t="str">
        <f>IF(H499&gt;0,Magick!$AR$21-('Master Spell List'!H486*0.1),"N/A")</f>
        <v>N/A</v>
      </c>
      <c r="M491" s="72">
        <f ca="1">Magick!$H$71</f>
        <v>0.04</v>
      </c>
      <c r="N491" s="72">
        <f ca="1">Magick!$K$71</f>
        <v>0.09</v>
      </c>
      <c r="O491" s="72">
        <f ca="1">Magick!$L$71</f>
        <v>0.09</v>
      </c>
      <c r="P491" s="72">
        <f ca="1">Magick!$M$71</f>
        <v>0.09</v>
      </c>
      <c r="Q491" s="67" t="s">
        <v>2225</v>
      </c>
      <c r="R491" s="67">
        <f ca="1">IF(Q491="Ritual","N/A",IF(Q491="I.E.","N/A",IF(Q491="WOG",VLOOKUP(Magick!$I$71*100,magestuff!$B$134:$F$138,2),IF(Q491="Cantrip",VLOOKUP(Magick!$I$71*100,magestuff!$B$134:$F$138,3),IF(Q491="Hex",VLOOKUP(Magick!$I$71*100,magestuff!$B$134:$F$138,4),VLOOKUP(Magick!$I$71*100,magestuff!$B$134:$F$138,5))))))</f>
        <v>29</v>
      </c>
      <c r="U491" s="67" t="str">
        <f t="shared" si="74"/>
        <v xml:space="preserve"> </v>
      </c>
      <c r="V491" s="515"/>
      <c r="W491" s="125"/>
      <c r="X491" s="31">
        <f t="shared" si="75"/>
        <v>0</v>
      </c>
      <c r="Y491" s="509"/>
      <c r="Z491" s="1054" t="str">
        <f t="shared" si="71"/>
        <v>Mute</v>
      </c>
      <c r="AA491" s="1072" t="str">
        <f t="shared" si="72"/>
        <v>Command</v>
      </c>
    </row>
    <row r="492" spans="1:27" hidden="1" outlineLevel="1">
      <c r="A492" s="31" t="s">
        <v>3630</v>
      </c>
      <c r="B492" s="67">
        <v>7</v>
      </c>
      <c r="C492" s="67">
        <f ca="1">magestuff!$U$199</f>
        <v>7</v>
      </c>
      <c r="D492" s="67">
        <f t="shared" si="73"/>
        <v>0</v>
      </c>
      <c r="E492" s="77" t="e">
        <f ca="1">IF(F492="y",HLOOKUP((IF(C492&lt;1,1,C492)),Magick!$C$20:$L$21,2),NA())</f>
        <v>#N/A</v>
      </c>
      <c r="F492" s="67" t="str">
        <f ca="1">IF(C492&lt;=Magick!$D$3,"Y","N")</f>
        <v>N</v>
      </c>
      <c r="G492" s="148" t="s">
        <v>128</v>
      </c>
      <c r="H492" s="151"/>
      <c r="I492" s="77" t="e">
        <f>IF(H492&gt;0,(HLOOKUP(C492,Magick!$C$20:$L$21,2)-HLOOKUP(H492,Magick!$C$20:$L$21,2)),NA())</f>
        <v>#N/A</v>
      </c>
      <c r="J492" s="77"/>
      <c r="K492" s="67" t="s">
        <v>2058</v>
      </c>
      <c r="L492" s="72" t="str">
        <f>IF(H492&gt;0,Magick!$AR$21-('Master Spell List'!H451*0.1),"N/A")</f>
        <v>N/A</v>
      </c>
      <c r="M492" s="72">
        <f ca="1">Magick!$H$71</f>
        <v>0.04</v>
      </c>
      <c r="N492" s="72">
        <f ca="1">Magick!$K$71</f>
        <v>0.09</v>
      </c>
      <c r="O492" s="72">
        <f ca="1">Magick!$L$71</f>
        <v>0.09</v>
      </c>
      <c r="P492" s="72">
        <f ca="1">Magick!$M$71</f>
        <v>0.09</v>
      </c>
      <c r="Q492" s="67" t="s">
        <v>3723</v>
      </c>
      <c r="R492" s="67">
        <f ca="1">IF(Q492="Ritual","N/A",IF(Q492="I.E.","N/A",IF(Q492="WOG",VLOOKUP(Magick!$I$71*100,magestuff!$B$134:$F$138,2),IF(Q492="Cantrip",VLOOKUP(Magick!$I$71*100,magestuff!$B$134:$F$138,3),IF(Q492="Hex",VLOOKUP(Magick!$I$71*100,magestuff!$B$134:$F$138,4),VLOOKUP(Magick!$I$71*100,magestuff!$B$134:$F$138,5))))))</f>
        <v>29</v>
      </c>
      <c r="U492" s="67" t="str">
        <f t="shared" si="74"/>
        <v xml:space="preserve"> </v>
      </c>
      <c r="V492" s="515"/>
      <c r="W492" s="125"/>
      <c r="X492" s="31">
        <f t="shared" si="75"/>
        <v>0</v>
      </c>
      <c r="Y492" s="509"/>
      <c r="Z492" s="1054" t="str">
        <f t="shared" si="71"/>
        <v>Command Enchanted Being</v>
      </c>
      <c r="AA492" s="1072" t="str">
        <f t="shared" si="72"/>
        <v>Command</v>
      </c>
    </row>
    <row r="493" spans="1:27" hidden="1" outlineLevel="1">
      <c r="A493" s="31" t="s">
        <v>2359</v>
      </c>
      <c r="B493" s="67">
        <v>7</v>
      </c>
      <c r="C493" s="67">
        <f ca="1">magestuff!$U$199</f>
        <v>7</v>
      </c>
      <c r="D493" s="67">
        <f t="shared" si="73"/>
        <v>0</v>
      </c>
      <c r="E493" s="77" t="e">
        <f ca="1">IF(F493="y",HLOOKUP((IF(C493&lt;1,1,C493)),Magick!$C$20:$L$21,2),NA())</f>
        <v>#N/A</v>
      </c>
      <c r="F493" s="67" t="str">
        <f ca="1">IF(C493&lt;=Magick!$D$3,"Y","N")</f>
        <v>N</v>
      </c>
      <c r="G493" s="148" t="s">
        <v>128</v>
      </c>
      <c r="H493" s="151"/>
      <c r="I493" s="77" t="e">
        <f>IF(H493&gt;0,(HLOOKUP(C493,Magick!$C$20:$L$21,2)-HLOOKUP(H493,Magick!$C$20:$L$21,2)),NA())</f>
        <v>#N/A</v>
      </c>
      <c r="J493" s="77"/>
      <c r="K493" s="67">
        <v>11</v>
      </c>
      <c r="L493" s="72" t="str">
        <f>IF(H493&gt;0,Magick!$AR$21-('Master Spell List'!H415*0.1),"N/A")</f>
        <v>N/A</v>
      </c>
      <c r="M493" s="72">
        <f ca="1">Magick!$H$71</f>
        <v>0.04</v>
      </c>
      <c r="N493" s="72">
        <f ca="1">Magick!$K$71</f>
        <v>0.09</v>
      </c>
      <c r="O493" s="72">
        <f ca="1">Magick!$L$71</f>
        <v>0.09</v>
      </c>
      <c r="P493" s="72">
        <f ca="1">Magick!$M$71</f>
        <v>0.09</v>
      </c>
      <c r="Q493" s="67" t="s">
        <v>3723</v>
      </c>
      <c r="R493" s="67">
        <f ca="1">IF(Q493="Ritual","N/A",IF(Q493="I.E.","N/A",IF(Q493="WOG",VLOOKUP(Magick!$I$71*100,magestuff!$B$134:$F$138,2),IF(Q493="Cantrip",VLOOKUP(Magick!$I$71*100,magestuff!$B$134:$F$138,3),IF(Q493="Hex",VLOOKUP(Magick!$I$71*100,magestuff!$B$134:$F$138,4),VLOOKUP(Magick!$I$71*100,magestuff!$B$134:$F$138,5))))))</f>
        <v>29</v>
      </c>
      <c r="U493" s="67" t="str">
        <f t="shared" si="74"/>
        <v xml:space="preserve"> </v>
      </c>
      <c r="V493" s="515"/>
      <c r="W493" s="125"/>
      <c r="X493" s="31">
        <f t="shared" si="75"/>
        <v>0</v>
      </c>
      <c r="Y493" s="509"/>
      <c r="Z493" s="1054" t="str">
        <f t="shared" si="71"/>
        <v>Enchanted Awaken</v>
      </c>
      <c r="AA493" s="1072" t="str">
        <f t="shared" si="72"/>
        <v>Command</v>
      </c>
    </row>
    <row r="494" spans="1:27" hidden="1" outlineLevel="1">
      <c r="A494" s="31" t="s">
        <v>250</v>
      </c>
      <c r="B494" s="67">
        <v>7</v>
      </c>
      <c r="C494" s="67">
        <f ca="1">magestuff!$U$199</f>
        <v>7</v>
      </c>
      <c r="D494" s="67">
        <f t="shared" si="73"/>
        <v>0</v>
      </c>
      <c r="E494" s="77" t="e">
        <f ca="1">IF(F494="y",HLOOKUP((IF(C494&lt;1,1,C494)),Magick!$C$20:$L$21,2),NA())</f>
        <v>#N/A</v>
      </c>
      <c r="F494" s="67" t="str">
        <f ca="1">IF(C494&lt;=Magick!$D$3,"Y","N")</f>
        <v>N</v>
      </c>
      <c r="G494" s="148" t="s">
        <v>128</v>
      </c>
      <c r="H494" s="151"/>
      <c r="I494" s="77" t="e">
        <f>IF(H494&gt;0,(HLOOKUP(C494,Magick!$C$20:$L$21,2)-HLOOKUP(H494,Magick!$C$20:$L$21,2)),NA())</f>
        <v>#N/A</v>
      </c>
      <c r="J494" s="77"/>
      <c r="K494" s="67">
        <v>11</v>
      </c>
      <c r="L494" s="72" t="str">
        <f>IF(H494&gt;0,Magick!$AR$21-('Master Spell List'!H414*0.1),"N/A")</f>
        <v>N/A</v>
      </c>
      <c r="M494" s="72">
        <f ca="1">Magick!$H$71</f>
        <v>0.04</v>
      </c>
      <c r="N494" s="72">
        <f ca="1">Magick!$K$71</f>
        <v>0.09</v>
      </c>
      <c r="O494" s="72">
        <f ca="1">Magick!$L$71</f>
        <v>0.09</v>
      </c>
      <c r="P494" s="72">
        <f ca="1">Magick!$M$71</f>
        <v>0.09</v>
      </c>
      <c r="Q494" s="67" t="s">
        <v>3723</v>
      </c>
      <c r="R494" s="67">
        <f ca="1">IF(Q494="Ritual","N/A",IF(Q494="I.E.","N/A",IF(Q494="WOG",VLOOKUP(Magick!$I$71*100,magestuff!$B$134:$F$138,2),IF(Q494="Cantrip",VLOOKUP(Magick!$I$71*100,magestuff!$B$134:$F$138,3),IF(Q494="Hex",VLOOKUP(Magick!$I$71*100,magestuff!$B$134:$F$138,4),VLOOKUP(Magick!$I$71*100,magestuff!$B$134:$F$138,5))))))</f>
        <v>29</v>
      </c>
      <c r="U494" s="67" t="str">
        <f t="shared" si="74"/>
        <v xml:space="preserve"> </v>
      </c>
      <c r="V494" s="515"/>
      <c r="W494" s="125"/>
      <c r="X494" s="31">
        <f t="shared" si="75"/>
        <v>0</v>
      </c>
      <c r="Y494" s="509"/>
      <c r="Z494" s="1054" t="str">
        <f t="shared" si="71"/>
        <v>Enchanted Sleep</v>
      </c>
      <c r="AA494" s="1072" t="str">
        <f t="shared" si="72"/>
        <v>Command</v>
      </c>
    </row>
    <row r="495" spans="1:27" hidden="1" outlineLevel="1">
      <c r="A495" s="83" t="s">
        <v>2917</v>
      </c>
      <c r="B495" s="67">
        <v>7</v>
      </c>
      <c r="C495" s="67">
        <f ca="1">magestuff!$U$199</f>
        <v>7</v>
      </c>
      <c r="D495" s="67">
        <f t="shared" si="73"/>
        <v>0</v>
      </c>
      <c r="E495" s="77" t="e">
        <f ca="1">IF(F495="y",HLOOKUP((IF(C495&lt;1,1,C495)),Magick!$C$20:$L$21,2),NA())</f>
        <v>#N/A</v>
      </c>
      <c r="F495" s="67" t="str">
        <f ca="1">IF(C495&lt;=Magick!$D$3,"Y","N")</f>
        <v>N</v>
      </c>
      <c r="G495" s="148" t="s">
        <v>859</v>
      </c>
      <c r="H495" s="151"/>
      <c r="I495" s="77" t="e">
        <f>IF(H503&gt;0,(HLOOKUP(C503,Magick!$C$20:$L$21,2)-HLOOKUP(H503,Magick!$C$20:$L$21,2)),NA())</f>
        <v>#N/A</v>
      </c>
      <c r="J495" s="77"/>
      <c r="K495" s="67" t="s">
        <v>2225</v>
      </c>
      <c r="L495" s="72" t="str">
        <f>IF(H503&gt;0,Magick!$AR$21-('Master Spell List'!H488*0.1),"N/A")</f>
        <v>N/A</v>
      </c>
      <c r="M495" s="72">
        <f ca="1">Magick!$H$71</f>
        <v>0.04</v>
      </c>
      <c r="N495" s="72">
        <f ca="1">Magick!$K$71</f>
        <v>0.09</v>
      </c>
      <c r="O495" s="72">
        <f ca="1">Magick!$L$71</f>
        <v>0.09</v>
      </c>
      <c r="P495" s="72">
        <f ca="1">Magick!$M$71</f>
        <v>0.09</v>
      </c>
      <c r="Q495" s="67" t="s">
        <v>2225</v>
      </c>
      <c r="R495" s="67">
        <f ca="1">IF(Q495="Ritual","N/A",IF(Q495="I.E.","N/A",IF(Q495="WOG",VLOOKUP(Magick!$I$71*100,magestuff!$B$134:$F$138,2),IF(Q495="Cantrip",VLOOKUP(Magick!$I$71*100,magestuff!$B$134:$F$138,3),IF(Q495="Hex",VLOOKUP(Magick!$I$71*100,magestuff!$B$134:$F$138,4),VLOOKUP(Magick!$I$71*100,magestuff!$B$134:$F$138,5))))))</f>
        <v>29</v>
      </c>
      <c r="U495" s="67" t="str">
        <f t="shared" si="74"/>
        <v xml:space="preserve"> </v>
      </c>
      <c r="V495" s="515"/>
      <c r="W495" s="125"/>
      <c r="X495" s="31">
        <f t="shared" si="75"/>
        <v>0</v>
      </c>
      <c r="Y495" s="509"/>
      <c r="Z495" s="1054" t="str">
        <f t="shared" si="71"/>
        <v>Greater Imbue Music</v>
      </c>
      <c r="AA495" s="1072" t="str">
        <f t="shared" si="72"/>
        <v>Command</v>
      </c>
    </row>
    <row r="496" spans="1:27" hidden="1" outlineLevel="1">
      <c r="A496" s="31" t="s">
        <v>3530</v>
      </c>
      <c r="B496" s="67">
        <v>7</v>
      </c>
      <c r="C496" s="67">
        <f ca="1">magestuff!$U$199</f>
        <v>7</v>
      </c>
      <c r="D496" s="67">
        <f t="shared" si="73"/>
        <v>0</v>
      </c>
      <c r="E496" s="77" t="e">
        <f ca="1">IF(F496="y",HLOOKUP((IF(C496&lt;1,1,C496)),Magick!$C$20:$L$21,2),NA())</f>
        <v>#N/A</v>
      </c>
      <c r="F496" s="67" t="str">
        <f ca="1">IF(C496&lt;=Magick!$D$3,"Y","N")</f>
        <v>N</v>
      </c>
      <c r="G496" s="148" t="s">
        <v>128</v>
      </c>
      <c r="H496" s="151"/>
      <c r="I496" s="77" t="e">
        <f>IF(H496&gt;0,(HLOOKUP(C496,Magick!$C$20:$L$21,2)-HLOOKUP(H496,Magick!$C$20:$L$21,2)),NA())</f>
        <v>#N/A</v>
      </c>
      <c r="J496" s="77"/>
      <c r="K496" s="67" t="s">
        <v>4024</v>
      </c>
      <c r="L496" s="72" t="str">
        <f>IF(H496&gt;0,Magick!$AR$21-('Master Spell List'!H440*0.1),"N/A")</f>
        <v>N/A</v>
      </c>
      <c r="M496" s="72">
        <f ca="1">Magick!$H$71</f>
        <v>0.04</v>
      </c>
      <c r="N496" s="72">
        <f ca="1">Magick!$K$71</f>
        <v>0.09</v>
      </c>
      <c r="O496" s="72">
        <f ca="1">Magick!$L$71</f>
        <v>0.09</v>
      </c>
      <c r="P496" s="72">
        <f ca="1">Magick!$M$71</f>
        <v>0.09</v>
      </c>
      <c r="Q496" s="67" t="s">
        <v>4602</v>
      </c>
      <c r="R496" s="67">
        <f ca="1">IF(Q496="Ritual","N/A",IF(Q496="I.E.","N/A",IF(Q496="WOG",VLOOKUP(Magick!$I$71*100,magestuff!$B$134:$F$138,2),IF(Q496="Cantrip",VLOOKUP(Magick!$I$71*100,magestuff!$B$134:$F$138,3),IF(Q496="Hex",VLOOKUP(Magick!$I$71*100,magestuff!$B$134:$F$138,4),VLOOKUP(Magick!$I$71*100,magestuff!$B$134:$F$138,5))))))</f>
        <v>19</v>
      </c>
      <c r="U496" s="67" t="str">
        <f t="shared" si="74"/>
        <v xml:space="preserve"> </v>
      </c>
      <c r="V496" s="515"/>
      <c r="W496" s="125"/>
      <c r="X496" s="31">
        <f t="shared" si="75"/>
        <v>0</v>
      </c>
      <c r="Y496" s="509"/>
      <c r="Z496" s="1054" t="str">
        <f t="shared" si="71"/>
        <v>Hold Greater Undead</v>
      </c>
      <c r="AA496" s="1072" t="str">
        <f t="shared" si="72"/>
        <v>Command</v>
      </c>
    </row>
    <row r="497" spans="1:27" hidden="1" outlineLevel="1">
      <c r="A497" s="83" t="s">
        <v>3841</v>
      </c>
      <c r="B497" s="67">
        <v>7</v>
      </c>
      <c r="C497" s="67">
        <f ca="1">magestuff!$U$199</f>
        <v>7</v>
      </c>
      <c r="D497" s="67">
        <f t="shared" si="73"/>
        <v>0</v>
      </c>
      <c r="E497" s="77" t="e">
        <f ca="1">IF(F497="y",HLOOKUP((IF(C497&lt;1,1,C497)),Magick!$C$20:$L$21,2),NA())</f>
        <v>#N/A</v>
      </c>
      <c r="F497" s="67" t="str">
        <f ca="1">IF(C497&lt;=Magick!$D$3,"Y","N")</f>
        <v>N</v>
      </c>
      <c r="G497" s="148" t="s">
        <v>1616</v>
      </c>
      <c r="H497" s="151"/>
      <c r="I497" s="77" t="e">
        <f>IF(H498&gt;0,(HLOOKUP(C498,Magick!$C$20:$L$21,2)-HLOOKUP(H498,Magick!$C$20:$L$21,2)),NA())</f>
        <v>#N/A</v>
      </c>
      <c r="J497" s="77"/>
      <c r="K497" s="67" t="s">
        <v>1366</v>
      </c>
      <c r="L497" s="72" t="str">
        <f>IF(H498&gt;0,Magick!$AR$21-('Master Spell List'!H473*0.1),"N/A")</f>
        <v>N/A</v>
      </c>
      <c r="M497" s="72">
        <f ca="1">Magick!$H$71</f>
        <v>0.04</v>
      </c>
      <c r="N497" s="72">
        <f ca="1">Magick!$K$71</f>
        <v>0.09</v>
      </c>
      <c r="O497" s="72">
        <f ca="1">Magick!$L$71</f>
        <v>0.09</v>
      </c>
      <c r="P497" s="72">
        <f ca="1">Magick!$M$71</f>
        <v>0.09</v>
      </c>
      <c r="Q497" s="67" t="s">
        <v>113</v>
      </c>
      <c r="R497" s="67" t="str">
        <f>IF(Q497="Ritual","N/A",IF(Q497="I.E.","N/A",IF(Q497="WOG",VLOOKUP(Magick!$I$71*100,magestuff!$B$134:$F$138,2),IF(Q497="Cantrip",VLOOKUP(Magick!$I$71*100,magestuff!$B$134:$F$138,3),IF(Q497="Hex",VLOOKUP(Magick!$I$71*100,magestuff!$B$134:$F$138,4),VLOOKUP(Magick!$I$71*100,magestuff!$B$134:$F$138,5))))))</f>
        <v>N/A</v>
      </c>
      <c r="U497" s="67" t="str">
        <f t="shared" si="74"/>
        <v xml:space="preserve"> </v>
      </c>
      <c r="V497" s="515"/>
      <c r="W497" s="125"/>
      <c r="X497" s="31">
        <f t="shared" si="75"/>
        <v>0</v>
      </c>
      <c r="Y497" s="509"/>
      <c r="Z497" s="1054" t="str">
        <f t="shared" si="71"/>
        <v>Mass Nightmares</v>
      </c>
      <c r="AA497" s="1072" t="str">
        <f t="shared" si="72"/>
        <v>Command</v>
      </c>
    </row>
    <row r="498" spans="1:27" hidden="1" outlineLevel="1">
      <c r="A498" s="83" t="s">
        <v>1768</v>
      </c>
      <c r="B498" s="67">
        <v>7</v>
      </c>
      <c r="C498" s="67">
        <f ca="1">magestuff!$U$199</f>
        <v>7</v>
      </c>
      <c r="D498" s="67">
        <f t="shared" si="73"/>
        <v>0</v>
      </c>
      <c r="E498" s="77" t="e">
        <f ca="1">IF(F498="y",HLOOKUP((IF(C498&lt;1,1,C498)),Magick!$C$20:$L$21,2),NA())</f>
        <v>#N/A</v>
      </c>
      <c r="F498" s="67" t="str">
        <f ca="1">IF(C498&lt;=Magick!$D$3,"Y","N")</f>
        <v>N</v>
      </c>
      <c r="G498" s="148" t="s">
        <v>1616</v>
      </c>
      <c r="H498" s="151"/>
      <c r="I498" s="77" t="e">
        <f>IF(H499&gt;0,(HLOOKUP(C499,Magick!$C$20:$L$21,2)-HLOOKUP(H499,Magick!$C$20:$L$21,2)),NA())</f>
        <v>#N/A</v>
      </c>
      <c r="J498" s="77"/>
      <c r="K498" s="67">
        <v>9</v>
      </c>
      <c r="L498" s="72" t="str">
        <f>IF(H499&gt;0,Magick!$AR$21-('Master Spell List'!H475*0.1),"N/A")</f>
        <v>N/A</v>
      </c>
      <c r="M498" s="72">
        <f ca="1">Magick!$H$71</f>
        <v>0.04</v>
      </c>
      <c r="N498" s="72">
        <f ca="1">Magick!$K$71</f>
        <v>0.09</v>
      </c>
      <c r="O498" s="72">
        <f ca="1">Magick!$L$71</f>
        <v>0.09</v>
      </c>
      <c r="P498" s="72">
        <f ca="1">Magick!$M$71</f>
        <v>0.09</v>
      </c>
      <c r="Q498" s="67" t="s">
        <v>113</v>
      </c>
      <c r="R498" s="67" t="str">
        <f>IF(Q498="Ritual","N/A",IF(Q498="I.E.","N/A",IF(Q498="WOG",VLOOKUP(Magick!$I$71*100,magestuff!$B$134:$F$138,2),IF(Q498="Cantrip",VLOOKUP(Magick!$I$71*100,magestuff!$B$134:$F$138,3),IF(Q498="Hex",VLOOKUP(Magick!$I$71*100,magestuff!$B$134:$F$138,4),VLOOKUP(Magick!$I$71*100,magestuff!$B$134:$F$138,5))))))</f>
        <v>N/A</v>
      </c>
      <c r="U498" s="67" t="str">
        <f t="shared" si="74"/>
        <v xml:space="preserve"> </v>
      </c>
      <c r="V498" s="515"/>
      <c r="W498" s="125"/>
      <c r="X498" s="31">
        <f t="shared" si="75"/>
        <v>0</v>
      </c>
      <c r="Y498" s="509"/>
      <c r="Z498" s="1054" t="str">
        <f t="shared" si="71"/>
        <v>Mass Peaceful Sleep</v>
      </c>
      <c r="AA498" s="1072" t="str">
        <f t="shared" si="72"/>
        <v>Command</v>
      </c>
    </row>
    <row r="499" spans="1:27" hidden="1" outlineLevel="1">
      <c r="A499" s="83" t="s">
        <v>5259</v>
      </c>
      <c r="B499" s="67">
        <v>7</v>
      </c>
      <c r="C499" s="67">
        <f ca="1">magestuff!$U$199</f>
        <v>7</v>
      </c>
      <c r="D499" s="67">
        <f t="shared" si="73"/>
        <v>0</v>
      </c>
      <c r="E499" s="77" t="e">
        <f ca="1">IF(F499="y",HLOOKUP((IF(C499&lt;1,1,C499)),Magick!$C$20:$L$21,2),NA())</f>
        <v>#N/A</v>
      </c>
      <c r="F499" s="67" t="str">
        <f ca="1">IF(C499&lt;=Magick!$D$3,"Y","N")</f>
        <v>N</v>
      </c>
      <c r="G499" s="148" t="s">
        <v>1616</v>
      </c>
      <c r="H499" s="151"/>
      <c r="I499" s="77" t="e">
        <f>IF(H500&gt;0,(HLOOKUP(C500,Magick!$C$20:$L$21,2)-HLOOKUP(H500,Magick!$C$20:$L$21,2)),NA())</f>
        <v>#N/A</v>
      </c>
      <c r="J499" s="77"/>
      <c r="K499" s="67">
        <v>9</v>
      </c>
      <c r="L499" s="72" t="str">
        <f>IF(H500&gt;0,Magick!$AR$21-('Master Spell List'!H459*0.1),"N/A")</f>
        <v>N/A</v>
      </c>
      <c r="M499" s="72">
        <f ca="1">Magick!$H$71</f>
        <v>0.04</v>
      </c>
      <c r="N499" s="72">
        <f ca="1">Magick!$K$71</f>
        <v>0.09</v>
      </c>
      <c r="O499" s="72">
        <f ca="1">Magick!$L$71</f>
        <v>0.09</v>
      </c>
      <c r="P499" s="72">
        <f ca="1">Magick!$M$71</f>
        <v>0.09</v>
      </c>
      <c r="Q499" s="67" t="s">
        <v>3723</v>
      </c>
      <c r="R499" s="67">
        <f ca="1">IF(Q499="Ritual","N/A",IF(Q499="I.E.","N/A",IF(Q499="WOG",VLOOKUP(Magick!$I$71*100,magestuff!$B$134:$F$138,2),IF(Q499="Cantrip",VLOOKUP(Magick!$I$71*100,magestuff!$B$134:$F$138,3),IF(Q499="Hex",VLOOKUP(Magick!$I$71*100,magestuff!$B$134:$F$138,4),VLOOKUP(Magick!$I$71*100,magestuff!$B$134:$F$138,5))))))</f>
        <v>29</v>
      </c>
      <c r="U499" s="67" t="str">
        <f t="shared" si="74"/>
        <v xml:space="preserve"> </v>
      </c>
      <c r="V499" s="515"/>
      <c r="W499" s="125"/>
      <c r="X499" s="31">
        <f t="shared" si="75"/>
        <v>0</v>
      </c>
      <c r="Y499" s="509"/>
      <c r="Z499" s="1054" t="str">
        <f t="shared" si="71"/>
        <v>Mental Fugue</v>
      </c>
      <c r="AA499" s="1072" t="str">
        <f t="shared" si="72"/>
        <v>Command</v>
      </c>
    </row>
    <row r="500" spans="1:27" hidden="1" outlineLevel="1">
      <c r="A500" s="83" t="s">
        <v>2913</v>
      </c>
      <c r="B500" s="67">
        <v>7</v>
      </c>
      <c r="C500" s="67">
        <f ca="1">magestuff!$U$199</f>
        <v>7</v>
      </c>
      <c r="D500" s="67">
        <f t="shared" si="73"/>
        <v>0</v>
      </c>
      <c r="E500" s="77" t="e">
        <f ca="1">IF(F500="y",HLOOKUP((IF(C500&lt;1,1,C500)),Magick!$C$20:$L$21,2),NA())</f>
        <v>#N/A</v>
      </c>
      <c r="F500" s="67" t="str">
        <f ca="1">IF(C500&lt;=Magick!$D$3,"Y","N")</f>
        <v>N</v>
      </c>
      <c r="G500" s="148" t="s">
        <v>859</v>
      </c>
      <c r="H500" s="151"/>
      <c r="I500" s="77" t="e">
        <f>IF(H508&gt;0,(HLOOKUP(C508,Magick!$C$20:$L$21,2)-HLOOKUP(H508,Magick!$C$20:$L$21,2)),NA())</f>
        <v>#N/A</v>
      </c>
      <c r="J500" s="77"/>
      <c r="K500" s="67" t="s">
        <v>2225</v>
      </c>
      <c r="L500" s="72" t="str">
        <f>IF(H508&gt;0,Magick!$AR$21-('Master Spell List'!H484*0.1),"N/A")</f>
        <v>N/A</v>
      </c>
      <c r="M500" s="72">
        <f ca="1">Magick!$H$71</f>
        <v>0.04</v>
      </c>
      <c r="N500" s="72">
        <f ca="1">Magick!$K$71</f>
        <v>0.09</v>
      </c>
      <c r="O500" s="72">
        <f ca="1">Magick!$L$71</f>
        <v>0.09</v>
      </c>
      <c r="P500" s="72">
        <f ca="1">Magick!$M$71</f>
        <v>0.09</v>
      </c>
      <c r="Q500" s="67" t="s">
        <v>2225</v>
      </c>
      <c r="R500" s="67">
        <f ca="1">IF(Q500="Ritual","N/A",IF(Q500="I.E.","N/A",IF(Q500="WOG",VLOOKUP(Magick!$I$71*100,magestuff!$B$134:$F$138,2),IF(Q500="Cantrip",VLOOKUP(Magick!$I$71*100,magestuff!$B$134:$F$138,3),IF(Q500="Hex",VLOOKUP(Magick!$I$71*100,magestuff!$B$134:$F$138,4),VLOOKUP(Magick!$I$71*100,magestuff!$B$134:$F$138,5))))))</f>
        <v>29</v>
      </c>
      <c r="U500" s="67" t="str">
        <f t="shared" si="74"/>
        <v xml:space="preserve"> </v>
      </c>
      <c r="V500" s="515"/>
      <c r="W500" s="125"/>
      <c r="X500" s="31">
        <f t="shared" si="75"/>
        <v>0</v>
      </c>
      <c r="Y500" s="509"/>
      <c r="Z500" s="1054" t="str">
        <f t="shared" si="71"/>
        <v>Recall</v>
      </c>
      <c r="AA500" s="1072" t="str">
        <f t="shared" si="72"/>
        <v>Command</v>
      </c>
    </row>
    <row r="501" spans="1:27" hidden="1" outlineLevel="1">
      <c r="A501" s="31" t="s">
        <v>3633</v>
      </c>
      <c r="B501" s="67">
        <v>8</v>
      </c>
      <c r="C501" s="67">
        <f ca="1">magestuff!$X$199</f>
        <v>8</v>
      </c>
      <c r="D501" s="67">
        <f t="shared" si="73"/>
        <v>0</v>
      </c>
      <c r="E501" s="77" t="e">
        <f ca="1">IF(F501="y",HLOOKUP((IF(C501&lt;1,1,C501)),Magick!$C$20:$L$21,2),NA())</f>
        <v>#N/A</v>
      </c>
      <c r="F501" s="67" t="str">
        <f ca="1">IF(C501&lt;=Magick!$D$3,"Y","N")</f>
        <v>N</v>
      </c>
      <c r="G501" s="148" t="s">
        <v>128</v>
      </c>
      <c r="H501" s="151"/>
      <c r="I501" s="77" t="e">
        <f>IF(H501&gt;0,(HLOOKUP(C501,Magick!$C$20:$L$21,2)-HLOOKUP(H501,Magick!$C$20:$L$21,2)),NA())</f>
        <v>#N/A</v>
      </c>
      <c r="J501" s="77"/>
      <c r="K501" s="67" t="s">
        <v>2059</v>
      </c>
      <c r="L501" s="72" t="str">
        <f>IF(H501&gt;0,Magick!$AR$21-('Master Spell List'!H454*0.1),"N/A")</f>
        <v>N/A</v>
      </c>
      <c r="M501" s="72">
        <f ca="1">Magick!$H$71</f>
        <v>0.04</v>
      </c>
      <c r="N501" s="72">
        <f ca="1">Magick!$K$71</f>
        <v>0.09</v>
      </c>
      <c r="O501" s="72">
        <f ca="1">Magick!$L$71</f>
        <v>0.09</v>
      </c>
      <c r="P501" s="72">
        <f ca="1">Magick!$M$71</f>
        <v>0.09</v>
      </c>
      <c r="Q501" s="67" t="s">
        <v>3723</v>
      </c>
      <c r="R501" s="67">
        <f ca="1">IF(Q501="Ritual","N/A",IF(Q501="I.E.","N/A",IF(Q501="WOG",VLOOKUP(Magick!$I$71*100,magestuff!$B$134:$F$138,2),IF(Q501="Cantrip",VLOOKUP(Magick!$I$71*100,magestuff!$B$134:$F$138,3),IF(Q501="Hex",VLOOKUP(Magick!$I$71*100,magestuff!$B$134:$F$138,4),VLOOKUP(Magick!$I$71*100,magestuff!$B$134:$F$138,5))))))</f>
        <v>29</v>
      </c>
      <c r="U501" s="67" t="str">
        <f t="shared" si="74"/>
        <v xml:space="preserve"> </v>
      </c>
      <c r="V501" s="515"/>
      <c r="W501" s="125"/>
      <c r="X501" s="31">
        <f t="shared" si="75"/>
        <v>0</v>
      </c>
      <c r="Y501" s="509"/>
      <c r="Z501" s="1054" t="str">
        <f t="shared" si="71"/>
        <v>Command Lycanthrope</v>
      </c>
      <c r="AA501" s="1072" t="str">
        <f t="shared" si="72"/>
        <v>Command</v>
      </c>
    </row>
    <row r="502" spans="1:27" hidden="1" outlineLevel="1">
      <c r="A502" s="31" t="s">
        <v>508</v>
      </c>
      <c r="B502" s="67">
        <f>IF(Magick!$A$3=26,6,8)</f>
        <v>8</v>
      </c>
      <c r="C502" s="67">
        <f ca="1">IF(Magick!$A$3=26,magestuff!$R$199,magestuff!$X$199)</f>
        <v>8</v>
      </c>
      <c r="D502" s="67">
        <f t="shared" si="73"/>
        <v>0</v>
      </c>
      <c r="E502" s="77" t="e">
        <f ca="1">IF(F502="y",HLOOKUP((IF(C502&lt;1,1,C502)),Magick!$C$20:$L$21,2),NA())</f>
        <v>#N/A</v>
      </c>
      <c r="F502" s="67" t="str">
        <f ca="1">IF(C502&lt;=Magick!$D$3,"Y","N")</f>
        <v>N</v>
      </c>
      <c r="G502" s="148" t="s">
        <v>128</v>
      </c>
      <c r="H502" s="151"/>
      <c r="I502" s="77" t="e">
        <f>IF(H502&gt;0,(HLOOKUP(C502,Magick!$C$20:$L$21,2)-HLOOKUP(H502,Magick!$C$20:$L$21,2)),NA())</f>
        <v>#N/A</v>
      </c>
      <c r="J502" s="77"/>
      <c r="K502" s="67">
        <v>9</v>
      </c>
      <c r="L502" s="72" t="str">
        <f>IF(H502&gt;0,Magick!$AR$21-('Master Spell List'!H470*0.1),"N/A")</f>
        <v>N/A</v>
      </c>
      <c r="M502" s="72">
        <f ca="1">Magick!$H$71</f>
        <v>0.04</v>
      </c>
      <c r="N502" s="72">
        <f ca="1">Magick!$K$71</f>
        <v>0.09</v>
      </c>
      <c r="O502" s="72">
        <f ca="1">Magick!$L$71</f>
        <v>0.09</v>
      </c>
      <c r="P502" s="72">
        <f ca="1">Magick!$M$71</f>
        <v>0.09</v>
      </c>
      <c r="Q502" s="67" t="str">
        <f>IF(Magick!$A$3=26,"Sorcery","Ritual")</f>
        <v>Ritual</v>
      </c>
      <c r="R502" s="67" t="str">
        <f>IF(Q502="Ritual","N/A",IF(Q502="I.E.","N/A",IF(Q502="WOG",VLOOKUP(Magick!$I$71*100,magestuff!$B$134:$F$138,2),IF(Q502="Cantrip",VLOOKUP(Magick!$I$71*100,magestuff!$B$134:$F$138,3),IF(Q502="Hex",VLOOKUP(Magick!$I$71*100,magestuff!$B$134:$F$138,4),VLOOKUP(Magick!$I$71*100,magestuff!$B$134:$F$138,5))))))</f>
        <v>N/A</v>
      </c>
      <c r="U502" s="67" t="str">
        <f t="shared" si="74"/>
        <v xml:space="preserve"> </v>
      </c>
      <c r="V502" s="515"/>
      <c r="W502" s="125"/>
      <c r="X502" s="31">
        <f t="shared" si="75"/>
        <v>0</v>
      </c>
      <c r="Y502" s="509"/>
      <c r="Z502" s="1054" t="str">
        <f t="shared" si="71"/>
        <v>Deafen</v>
      </c>
      <c r="AA502" s="1072" t="str">
        <f t="shared" si="72"/>
        <v>Command</v>
      </c>
    </row>
    <row r="503" spans="1:27" hidden="1" outlineLevel="1">
      <c r="A503" s="31" t="s">
        <v>505</v>
      </c>
      <c r="B503" s="67">
        <v>8</v>
      </c>
      <c r="C503" s="67">
        <f ca="1">magestuff!$X$199</f>
        <v>8</v>
      </c>
      <c r="D503" s="67">
        <f t="shared" si="73"/>
        <v>0</v>
      </c>
      <c r="E503" s="77" t="e">
        <f ca="1">IF(F503="y",HLOOKUP((IF(C503&lt;1,1,C503)),Magick!$C$20:$L$21,2),NA())</f>
        <v>#N/A</v>
      </c>
      <c r="F503" s="67" t="str">
        <f ca="1">IF(C503&lt;=Magick!$D$3,"Y","N")</f>
        <v>N</v>
      </c>
      <c r="G503" s="148" t="s">
        <v>128</v>
      </c>
      <c r="H503" s="151"/>
      <c r="I503" s="77" t="e">
        <f>IF(H503&gt;0,(HLOOKUP(C503,Magick!$C$20:$L$21,2)-HLOOKUP(H503,Magick!$C$20:$L$21,2)),NA())</f>
        <v>#N/A</v>
      </c>
      <c r="J503" s="77"/>
      <c r="K503" s="67">
        <v>13</v>
      </c>
      <c r="L503" s="72" t="str">
        <f>IF(H503&gt;0,Magick!$AR$21-('Master Spell List'!H467*0.1),"N/A")</f>
        <v>N/A</v>
      </c>
      <c r="M503" s="72">
        <f ca="1">Magick!$H$71</f>
        <v>0.04</v>
      </c>
      <c r="N503" s="72">
        <f ca="1">Magick!$K$71</f>
        <v>0.09</v>
      </c>
      <c r="O503" s="72">
        <f ca="1">Magick!$L$71</f>
        <v>0.09</v>
      </c>
      <c r="P503" s="72">
        <f ca="1">Magick!$M$71</f>
        <v>0.09</v>
      </c>
      <c r="Q503" s="67" t="s">
        <v>3723</v>
      </c>
      <c r="R503" s="67">
        <f ca="1">IF(Q503="Ritual","N/A",IF(Q503="I.E.","N/A",IF(Q503="WOG",VLOOKUP(Magick!$I$71*100,magestuff!$B$134:$F$138,2),IF(Q503="Cantrip",VLOOKUP(Magick!$I$71*100,magestuff!$B$134:$F$138,3),IF(Q503="Hex",VLOOKUP(Magick!$I$71*100,magestuff!$B$134:$F$138,4),VLOOKUP(Magick!$I$71*100,magestuff!$B$134:$F$138,5))))))</f>
        <v>29</v>
      </c>
      <c r="U503" s="67" t="str">
        <f t="shared" si="74"/>
        <v xml:space="preserve"> </v>
      </c>
      <c r="V503" s="515"/>
      <c r="W503" s="125"/>
      <c r="X503" s="31">
        <f t="shared" ref="X503:X515" si="76">W503*3</f>
        <v>0</v>
      </c>
      <c r="Y503" s="509"/>
      <c r="Z503" s="1054" t="str">
        <f t="shared" si="71"/>
        <v>Forgetfulness</v>
      </c>
      <c r="AA503" s="1072" t="str">
        <f t="shared" si="72"/>
        <v>Command</v>
      </c>
    </row>
    <row r="504" spans="1:27" hidden="1" outlineLevel="1">
      <c r="A504" s="83" t="s">
        <v>4312</v>
      </c>
      <c r="B504" s="67">
        <v>8</v>
      </c>
      <c r="C504" s="67">
        <f ca="1">magestuff!$X$199</f>
        <v>8</v>
      </c>
      <c r="D504" s="67">
        <f t="shared" si="73"/>
        <v>0</v>
      </c>
      <c r="E504" s="77" t="e">
        <f ca="1">IF(F504="y",HLOOKUP((IF(C504&lt;1,1,C504)),Magick!$C$20:$L$21,2),NA())</f>
        <v>#N/A</v>
      </c>
      <c r="F504" s="67" t="str">
        <f ca="1">IF(C504&lt;=Magick!$D$3,"Y","N")</f>
        <v>N</v>
      </c>
      <c r="G504" s="148" t="s">
        <v>1616</v>
      </c>
      <c r="H504" s="151"/>
      <c r="I504" s="77" t="e">
        <f>IF(H512&gt;0,(HLOOKUP(C512,Magick!$C$20:$L$21,2)-HLOOKUP(H512,Magick!$C$20:$L$21,2)),NA())</f>
        <v>#N/A</v>
      </c>
      <c r="J504" s="77"/>
      <c r="K504" s="67" t="s">
        <v>329</v>
      </c>
      <c r="L504" s="72" t="str">
        <f>IF(H512&gt;0,Magick!$AR$21-('Master Spell List'!H481*0.1),"N/A")</f>
        <v>N/A</v>
      </c>
      <c r="M504" s="72">
        <f ca="1">Magick!$H$71</f>
        <v>0.04</v>
      </c>
      <c r="N504" s="72">
        <f ca="1">Magick!$K$71</f>
        <v>0.09</v>
      </c>
      <c r="O504" s="72">
        <f ca="1">Magick!$L$71</f>
        <v>0.09</v>
      </c>
      <c r="P504" s="72">
        <f ca="1">Magick!$M$71</f>
        <v>0.09</v>
      </c>
      <c r="Q504" s="67" t="s">
        <v>113</v>
      </c>
      <c r="R504" s="67" t="str">
        <f>IF(Q504="Ritual","N/A",IF(Q504="I.E.","N/A",IF(Q504="WOG",VLOOKUP(Magick!$I$71*100,magestuff!$B$134:$F$138,2),IF(Q504="Cantrip",VLOOKUP(Magick!$I$71*100,magestuff!$B$134:$F$138,3),IF(Q504="Hex",VLOOKUP(Magick!$I$71*100,magestuff!$B$134:$F$138,4),VLOOKUP(Magick!$I$71*100,magestuff!$B$134:$F$138,5))))))</f>
        <v>N/A</v>
      </c>
      <c r="U504" s="67" t="str">
        <f t="shared" si="74"/>
        <v xml:space="preserve"> </v>
      </c>
      <c r="V504" s="515"/>
      <c r="W504" s="125"/>
      <c r="X504" s="31">
        <f t="shared" si="76"/>
        <v>0</v>
      </c>
      <c r="Y504" s="509"/>
      <c r="Z504" s="1054" t="str">
        <f t="shared" si="71"/>
        <v>Great Mass Group Ignore</v>
      </c>
      <c r="AA504" s="1072" t="str">
        <f t="shared" si="72"/>
        <v>Command</v>
      </c>
    </row>
    <row r="505" spans="1:27" hidden="1" outlineLevel="1">
      <c r="A505" s="83" t="s">
        <v>4308</v>
      </c>
      <c r="B505" s="67">
        <v>8</v>
      </c>
      <c r="C505" s="67">
        <f ca="1">magestuff!$X$199</f>
        <v>8</v>
      </c>
      <c r="D505" s="67">
        <f t="shared" si="73"/>
        <v>0</v>
      </c>
      <c r="E505" s="77" t="e">
        <f ca="1">IF(F505="y",HLOOKUP((IF(C505&lt;1,1,C505)),Magick!$C$20:$L$21,2),NA())</f>
        <v>#N/A</v>
      </c>
      <c r="F505" s="67" t="str">
        <f ca="1">IF(C505&lt;=Magick!$D$3,"Y","N")</f>
        <v>N</v>
      </c>
      <c r="G505" s="148" t="s">
        <v>1616</v>
      </c>
      <c r="H505" s="151"/>
      <c r="I505" s="77" t="e">
        <f>IF(H506&gt;0,(HLOOKUP(C506,Magick!$C$20:$L$21,2)-HLOOKUP(H506,Magick!$C$20:$L$21,2)),NA())</f>
        <v>#N/A</v>
      </c>
      <c r="J505" s="77"/>
      <c r="K505" s="67">
        <v>23</v>
      </c>
      <c r="L505" s="72" t="str">
        <f>IF(H506&gt;0,Magick!$AR$21-('Master Spell List'!H478*0.1),"N/A")</f>
        <v>N/A</v>
      </c>
      <c r="M505" s="72">
        <f ca="1">Magick!$H$71</f>
        <v>0.04</v>
      </c>
      <c r="N505" s="72">
        <f ca="1">Magick!$K$71</f>
        <v>0.09</v>
      </c>
      <c r="O505" s="72">
        <f ca="1">Magick!$L$71</f>
        <v>0.09</v>
      </c>
      <c r="P505" s="72">
        <f ca="1">Magick!$M$71</f>
        <v>0.09</v>
      </c>
      <c r="Q505" s="67" t="s">
        <v>113</v>
      </c>
      <c r="R505" s="67" t="str">
        <f>IF(Q505="Ritual","N/A",IF(Q505="I.E.","N/A",IF(Q505="WOG",VLOOKUP(Magick!$I$71*100,magestuff!$B$134:$F$138,2),IF(Q505="Cantrip",VLOOKUP(Magick!$I$71*100,magestuff!$B$134:$F$138,3),IF(Q505="Hex",VLOOKUP(Magick!$I$71*100,magestuff!$B$134:$F$138,4),VLOOKUP(Magick!$I$71*100,magestuff!$B$134:$F$138,5))))))</f>
        <v>N/A</v>
      </c>
      <c r="U505" s="67" t="str">
        <f t="shared" si="74"/>
        <v xml:space="preserve"> </v>
      </c>
      <c r="V505" s="515"/>
      <c r="W505" s="125"/>
      <c r="X505" s="31">
        <f t="shared" si="76"/>
        <v>0</v>
      </c>
      <c r="Y505" s="509"/>
      <c r="Z505" s="1054" t="str">
        <f t="shared" si="71"/>
        <v>Great Mass Individual Ignore</v>
      </c>
      <c r="AA505" s="1072" t="str">
        <f t="shared" si="72"/>
        <v>Command</v>
      </c>
    </row>
    <row r="506" spans="1:27" hidden="1" outlineLevel="1">
      <c r="A506" s="83" t="s">
        <v>2912</v>
      </c>
      <c r="B506" s="67">
        <v>9</v>
      </c>
      <c r="C506" s="67">
        <f ca="1">magestuff!$AA$199</f>
        <v>9</v>
      </c>
      <c r="D506" s="67">
        <f t="shared" si="73"/>
        <v>0</v>
      </c>
      <c r="E506" s="77" t="e">
        <f ca="1">IF(F506="y",HLOOKUP((IF(C506&lt;1,1,C506)),Magick!$C$20:$L$21,2),NA())</f>
        <v>#N/A</v>
      </c>
      <c r="F506" s="67" t="str">
        <f ca="1">IF(C506&lt;=Magick!$D$3,"Y","N")</f>
        <v>N</v>
      </c>
      <c r="G506" s="148" t="s">
        <v>859</v>
      </c>
      <c r="H506" s="151"/>
      <c r="I506" s="77" t="e">
        <f>IF(H514&gt;0,(HLOOKUP(C514,Magick!$C$20:$L$21,2)-HLOOKUP(H514,Magick!$C$20:$L$21,2)),NA())</f>
        <v>#N/A</v>
      </c>
      <c r="J506" s="77"/>
      <c r="K506" s="67" t="s">
        <v>2225</v>
      </c>
      <c r="L506" s="72" t="str">
        <f>IF(H514&gt;0,Magick!$AR$21-('Master Spell List'!H483*0.1),"N/A")</f>
        <v>N/A</v>
      </c>
      <c r="M506" s="72">
        <f ca="1">Magick!$H$71</f>
        <v>0.04</v>
      </c>
      <c r="N506" s="72">
        <f ca="1">Magick!$K$71</f>
        <v>0.09</v>
      </c>
      <c r="O506" s="72">
        <f ca="1">Magick!$L$71</f>
        <v>0.09</v>
      </c>
      <c r="P506" s="72">
        <f ca="1">Magick!$M$71</f>
        <v>0.09</v>
      </c>
      <c r="Q506" s="67" t="s">
        <v>2225</v>
      </c>
      <c r="R506" s="67">
        <f ca="1">IF(Q506="Ritual","N/A",IF(Q506="I.E.","N/A",IF(Q506="WOG",VLOOKUP(Magick!$I$71*100,magestuff!$B$134:$F$138,2),IF(Q506="Cantrip",VLOOKUP(Magick!$I$71*100,magestuff!$B$134:$F$138,3),IF(Q506="Hex",VLOOKUP(Magick!$I$71*100,magestuff!$B$134:$F$138,4),VLOOKUP(Magick!$I$71*100,magestuff!$B$134:$F$138,5))))))</f>
        <v>29</v>
      </c>
      <c r="U506" s="67" t="str">
        <f t="shared" si="74"/>
        <v xml:space="preserve"> </v>
      </c>
      <c r="V506" s="515"/>
      <c r="W506" s="125"/>
      <c r="X506" s="31">
        <f t="shared" si="76"/>
        <v>0</v>
      </c>
      <c r="Y506" s="509"/>
      <c r="Z506" s="1054" t="str">
        <f t="shared" si="71"/>
        <v>Amnesia</v>
      </c>
      <c r="AA506" s="1072" t="str">
        <f t="shared" si="72"/>
        <v>Command</v>
      </c>
    </row>
    <row r="507" spans="1:27" hidden="1" outlineLevel="1">
      <c r="A507" s="31" t="s">
        <v>2360</v>
      </c>
      <c r="B507" s="67">
        <v>9</v>
      </c>
      <c r="C507" s="67">
        <f ca="1">magestuff!$AA$199</f>
        <v>9</v>
      </c>
      <c r="D507" s="67">
        <f t="shared" si="73"/>
        <v>0</v>
      </c>
      <c r="E507" s="77" t="e">
        <f ca="1">IF(F507="y",HLOOKUP((IF(C507&lt;1,1,C507)),Magick!$C$20:$L$21,2),NA())</f>
        <v>#N/A</v>
      </c>
      <c r="F507" s="67" t="str">
        <f ca="1">IF(C507&lt;=Magick!$D$3,"Y","N")</f>
        <v>N</v>
      </c>
      <c r="G507" s="148" t="s">
        <v>128</v>
      </c>
      <c r="H507" s="151"/>
      <c r="I507" s="77" t="e">
        <f>IF(H507&gt;0,(HLOOKUP(C507,Magick!$C$20:$L$21,2)-HLOOKUP(H507,Magick!$C$20:$L$21,2)),NA())</f>
        <v>#N/A</v>
      </c>
      <c r="J507" s="77"/>
      <c r="K507" s="67">
        <v>14</v>
      </c>
      <c r="L507" s="72" t="str">
        <f>IF(H507&gt;0,Magick!$AR$21-('Master Spell List'!H417*0.1),"N/A")</f>
        <v>N/A</v>
      </c>
      <c r="M507" s="72">
        <f ca="1">Magick!$H$71</f>
        <v>0.04</v>
      </c>
      <c r="N507" s="72">
        <f ca="1">Magick!$K$71</f>
        <v>0.09</v>
      </c>
      <c r="O507" s="72">
        <f ca="1">Magick!$L$71</f>
        <v>0.09</v>
      </c>
      <c r="P507" s="72">
        <f ca="1">Magick!$M$71</f>
        <v>0.09</v>
      </c>
      <c r="Q507" s="67" t="s">
        <v>113</v>
      </c>
      <c r="R507" s="67" t="str">
        <f>IF(Q507="Ritual","N/A",IF(Q507="I.E.","N/A",IF(Q507="WOG",VLOOKUP(Magick!$I$71*100,magestuff!$B$134:$F$138,2),IF(Q507="Cantrip",VLOOKUP(Magick!$I$71*100,magestuff!$B$134:$F$138,3),IF(Q507="Hex",VLOOKUP(Magick!$I$71*100,magestuff!$B$134:$F$138,4),VLOOKUP(Magick!$I$71*100,magestuff!$B$134:$F$138,5))))))</f>
        <v>N/A</v>
      </c>
      <c r="U507" s="67" t="str">
        <f t="shared" si="74"/>
        <v xml:space="preserve"> </v>
      </c>
      <c r="V507" s="515"/>
      <c r="W507" s="125"/>
      <c r="X507" s="31">
        <f t="shared" si="76"/>
        <v>0</v>
      </c>
      <c r="Y507" s="509"/>
      <c r="Z507" s="1054" t="str">
        <f t="shared" si="71"/>
        <v>Awaken from the Ages</v>
      </c>
      <c r="AA507" s="1072" t="str">
        <f t="shared" si="72"/>
        <v>Command</v>
      </c>
    </row>
    <row r="508" spans="1:27" hidden="1" outlineLevel="1">
      <c r="A508" s="31" t="s">
        <v>509</v>
      </c>
      <c r="B508" s="67">
        <f>IF(Magick!$A$3=26,7,9)</f>
        <v>9</v>
      </c>
      <c r="C508" s="67">
        <f ca="1">IF(Magick!$A$3=26,magestuff!$U$199,magestuff!$AA$199)</f>
        <v>9</v>
      </c>
      <c r="D508" s="67">
        <f t="shared" si="73"/>
        <v>0</v>
      </c>
      <c r="E508" s="77" t="e">
        <f ca="1">IF(F508="y",HLOOKUP((IF(C508&lt;1,1,C508)),Magick!$C$20:$L$21,2),NA())</f>
        <v>#N/A</v>
      </c>
      <c r="F508" s="67" t="str">
        <f ca="1">IF(C508&lt;=Magick!$D$3,"Y","N")</f>
        <v>N</v>
      </c>
      <c r="G508" s="148" t="s">
        <v>128</v>
      </c>
      <c r="H508" s="151"/>
      <c r="I508" s="77" t="e">
        <f>IF(H508&gt;0,(HLOOKUP(C508,Magick!$C$20:$L$21,2)-HLOOKUP(H508,Magick!$C$20:$L$21,2)),NA())</f>
        <v>#N/A</v>
      </c>
      <c r="J508" s="77"/>
      <c r="K508" s="67">
        <v>11</v>
      </c>
      <c r="L508" s="72" t="str">
        <f>IF(H508&gt;0,Magick!$AR$21-('Master Spell List'!H471*0.1),"N/A")</f>
        <v>N/A</v>
      </c>
      <c r="M508" s="72">
        <f ca="1">Magick!$H$71</f>
        <v>0.04</v>
      </c>
      <c r="N508" s="72">
        <f ca="1">Magick!$K$71</f>
        <v>0.09</v>
      </c>
      <c r="O508" s="72">
        <f ca="1">Magick!$L$71</f>
        <v>0.09</v>
      </c>
      <c r="P508" s="72">
        <f ca="1">Magick!$M$71</f>
        <v>0.09</v>
      </c>
      <c r="Q508" s="67" t="str">
        <f>IF(Magick!$A$3=26,"Sorcery","Ritual")</f>
        <v>Ritual</v>
      </c>
      <c r="R508" s="67" t="str">
        <f>IF(Q508="Ritual","N/A",IF(Q508="I.E.","N/A",IF(Q508="WOG",VLOOKUP(Magick!$I$71*100,magestuff!$B$134:$F$138,2),IF(Q508="Cantrip",VLOOKUP(Magick!$I$71*100,magestuff!$B$134:$F$138,3),IF(Q508="Hex",VLOOKUP(Magick!$I$71*100,magestuff!$B$134:$F$138,4),VLOOKUP(Magick!$I$71*100,magestuff!$B$134:$F$138,5))))))</f>
        <v>N/A</v>
      </c>
      <c r="U508" s="67" t="str">
        <f t="shared" si="74"/>
        <v xml:space="preserve"> </v>
      </c>
      <c r="V508" s="515"/>
      <c r="W508" s="125"/>
      <c r="X508" s="31">
        <f t="shared" si="76"/>
        <v>0</v>
      </c>
      <c r="Y508" s="509"/>
      <c r="Z508" s="1054" t="str">
        <f t="shared" si="71"/>
        <v>Blind</v>
      </c>
      <c r="AA508" s="1072" t="str">
        <f t="shared" si="72"/>
        <v>Command</v>
      </c>
    </row>
    <row r="509" spans="1:27" hidden="1" outlineLevel="1">
      <c r="A509" s="31" t="s">
        <v>3632</v>
      </c>
      <c r="B509" s="67">
        <v>9</v>
      </c>
      <c r="C509" s="67">
        <f ca="1">magestuff!$AA$199</f>
        <v>9</v>
      </c>
      <c r="D509" s="67">
        <f t="shared" si="73"/>
        <v>0</v>
      </c>
      <c r="E509" s="77" t="e">
        <f ca="1">IF(F509="y",HLOOKUP((IF(C509&lt;1,1,C509)),Magick!$C$20:$L$21,2),NA())</f>
        <v>#N/A</v>
      </c>
      <c r="F509" s="67" t="str">
        <f ca="1">IF(C509&lt;=Magick!$D$3,"Y","N")</f>
        <v>N</v>
      </c>
      <c r="G509" s="148" t="s">
        <v>128</v>
      </c>
      <c r="H509" s="151"/>
      <c r="I509" s="77" t="e">
        <f>IF(H509&gt;0,(HLOOKUP(C509,Magick!$C$20:$L$21,2)-HLOOKUP(H509,Magick!$C$20:$L$21,2)),NA())</f>
        <v>#N/A</v>
      </c>
      <c r="J509" s="77"/>
      <c r="K509" s="67" t="s">
        <v>2888</v>
      </c>
      <c r="L509" s="72" t="str">
        <f>IF(H509&gt;0,Magick!$AR$21-('Master Spell List'!H453*0.1),"N/A")</f>
        <v>N/A</v>
      </c>
      <c r="M509" s="72">
        <f ca="1">Magick!$H$71</f>
        <v>0.04</v>
      </c>
      <c r="N509" s="72">
        <f ca="1">Magick!$K$71</f>
        <v>0.09</v>
      </c>
      <c r="O509" s="72">
        <f ca="1">Magick!$L$71</f>
        <v>0.09</v>
      </c>
      <c r="P509" s="72">
        <f ca="1">Magick!$M$71</f>
        <v>0.09</v>
      </c>
      <c r="Q509" s="67" t="s">
        <v>3723</v>
      </c>
      <c r="R509" s="67">
        <f ca="1">IF(Q509="Ritual","N/A",IF(Q509="I.E.","N/A",IF(Q509="WOG",VLOOKUP(Magick!$I$71*100,magestuff!$B$134:$F$138,2),IF(Q509="Cantrip",VLOOKUP(Magick!$I$71*100,magestuff!$B$134:$F$138,3),IF(Q509="Hex",VLOOKUP(Magick!$I$71*100,magestuff!$B$134:$F$138,4),VLOOKUP(Magick!$I$71*100,magestuff!$B$134:$F$138,5))))))</f>
        <v>29</v>
      </c>
      <c r="U509" s="67" t="str">
        <f t="shared" si="74"/>
        <v xml:space="preserve"> </v>
      </c>
      <c r="V509" s="515"/>
      <c r="W509" s="125"/>
      <c r="X509" s="31">
        <f t="shared" si="76"/>
        <v>0</v>
      </c>
      <c r="Y509" s="509"/>
      <c r="Z509" s="1054" t="str">
        <f t="shared" si="71"/>
        <v>Command Greater Undead</v>
      </c>
      <c r="AA509" s="1072" t="str">
        <f t="shared" si="72"/>
        <v>Command</v>
      </c>
    </row>
    <row r="510" spans="1:27" hidden="1" outlineLevel="1">
      <c r="A510" s="31" t="s">
        <v>4371</v>
      </c>
      <c r="B510" s="67">
        <v>9</v>
      </c>
      <c r="C510" s="67">
        <f ca="1">magestuff!$AA$199</f>
        <v>9</v>
      </c>
      <c r="D510" s="67">
        <f t="shared" si="73"/>
        <v>0</v>
      </c>
      <c r="E510" s="77" t="e">
        <f ca="1">IF(F510="y",HLOOKUP((IF(C510&lt;1,1,C510)),Magick!$C$20:$L$21,2),NA())</f>
        <v>#N/A</v>
      </c>
      <c r="F510" s="67" t="str">
        <f ca="1">IF(C510&lt;=Magick!$D$3,"Y","N")</f>
        <v>N</v>
      </c>
      <c r="G510" s="148" t="s">
        <v>128</v>
      </c>
      <c r="H510" s="151"/>
      <c r="I510" s="77" t="e">
        <f>IF(H510&gt;0,(HLOOKUP(C510,Magick!$C$20:$L$21,2)-HLOOKUP(H510,Magick!$C$20:$L$21,2)),NA())</f>
        <v>#N/A</v>
      </c>
      <c r="J510" s="77"/>
      <c r="K510" s="67">
        <v>14</v>
      </c>
      <c r="L510" s="72" t="str">
        <f>IF(H510&gt;0,Magick!$AR$21-('Master Spell List'!H416*0.1),"N/A")</f>
        <v>N/A</v>
      </c>
      <c r="M510" s="72">
        <f ca="1">Magick!$H$71</f>
        <v>0.04</v>
      </c>
      <c r="N510" s="72">
        <f ca="1">Magick!$K$71</f>
        <v>0.09</v>
      </c>
      <c r="O510" s="72">
        <f ca="1">Magick!$L$71</f>
        <v>0.09</v>
      </c>
      <c r="P510" s="72">
        <f ca="1">Magick!$M$71</f>
        <v>0.09</v>
      </c>
      <c r="Q510" s="67" t="s">
        <v>113</v>
      </c>
      <c r="R510" s="67" t="str">
        <f>IF(Q510="Ritual","N/A",IF(Q510="I.E.","N/A",IF(Q510="WOG",VLOOKUP(Magick!$I$71*100,magestuff!$B$134:$F$138,2),IF(Q510="Cantrip",VLOOKUP(Magick!$I$71*100,magestuff!$B$134:$F$138,3),IF(Q510="Hex",VLOOKUP(Magick!$I$71*100,magestuff!$B$134:$F$138,4),VLOOKUP(Magick!$I$71*100,magestuff!$B$134:$F$138,5))))))</f>
        <v>N/A</v>
      </c>
      <c r="U510" s="67" t="str">
        <f t="shared" si="74"/>
        <v xml:space="preserve"> </v>
      </c>
      <c r="V510" s="515"/>
      <c r="W510" s="125"/>
      <c r="X510" s="31">
        <f t="shared" si="76"/>
        <v>0</v>
      </c>
      <c r="Y510" s="509"/>
      <c r="Z510" s="1054" t="str">
        <f t="shared" si="71"/>
        <v>Sleep into the Ages</v>
      </c>
      <c r="AA510" s="1072" t="str">
        <f t="shared" si="72"/>
        <v>Command</v>
      </c>
    </row>
    <row r="511" spans="1:27" hidden="1" outlineLevel="1">
      <c r="A511" s="31" t="s">
        <v>47</v>
      </c>
      <c r="B511" s="67">
        <v>10</v>
      </c>
      <c r="C511" s="67">
        <f ca="1">magestuff!$AD$199</f>
        <v>10</v>
      </c>
      <c r="D511" s="67">
        <f t="shared" si="73"/>
        <v>0</v>
      </c>
      <c r="E511" s="77" t="e">
        <f ca="1">IF(F511="y",HLOOKUP((IF(C511&lt;1,1,C511)),Magick!$C$20:$L$21,2),NA())</f>
        <v>#N/A</v>
      </c>
      <c r="F511" s="67" t="str">
        <f ca="1">IF(C511&lt;=Magick!$D$3,"Y","N")</f>
        <v>N</v>
      </c>
      <c r="G511" s="148" t="s">
        <v>128</v>
      </c>
      <c r="H511" s="151"/>
      <c r="I511" s="77" t="e">
        <f>IF(H511&gt;0,(HLOOKUP(C511,Magick!$C$20:$L$21,2)-HLOOKUP(H511,Magick!$C$20:$L$21,2)),NA())</f>
        <v>#N/A</v>
      </c>
      <c r="J511" s="77"/>
      <c r="K511" s="67">
        <v>10</v>
      </c>
      <c r="L511" s="72" t="str">
        <f>IF(H511&gt;0,Magick!$AR$21-('Master Spell List'!H466*0.1),"N/A")</f>
        <v>N/A</v>
      </c>
      <c r="M511" s="72">
        <f ca="1">Magick!$H$71</f>
        <v>0.04</v>
      </c>
      <c r="N511" s="72">
        <f ca="1">Magick!$K$71</f>
        <v>0.09</v>
      </c>
      <c r="O511" s="72">
        <f ca="1">Magick!$L$71</f>
        <v>0.09</v>
      </c>
      <c r="P511" s="72">
        <f ca="1">Magick!$M$71</f>
        <v>0.09</v>
      </c>
      <c r="Q511" s="67" t="s">
        <v>3723</v>
      </c>
      <c r="R511" s="67">
        <f ca="1">IF(Q511="Ritual","N/A",IF(Q511="I.E.","N/A",IF(Q511="WOG",VLOOKUP(Magick!$I$71*100,magestuff!$B$134:$F$138,2),IF(Q511="Cantrip",VLOOKUP(Magick!$I$71*100,magestuff!$B$134:$F$138,3),IF(Q511="Hex",VLOOKUP(Magick!$I$71*100,magestuff!$B$134:$F$138,4),VLOOKUP(Magick!$I$71*100,magestuff!$B$134:$F$138,5))))))</f>
        <v>29</v>
      </c>
      <c r="U511" s="67" t="str">
        <f t="shared" si="74"/>
        <v xml:space="preserve"> </v>
      </c>
      <c r="V511" s="515"/>
      <c r="W511" s="125"/>
      <c r="X511" s="31">
        <f t="shared" si="76"/>
        <v>0</v>
      </c>
      <c r="Y511" s="509"/>
      <c r="Z511" s="1054" t="str">
        <f t="shared" si="71"/>
        <v>Berserker Rage</v>
      </c>
      <c r="AA511" s="1072" t="str">
        <f t="shared" si="72"/>
        <v>Command</v>
      </c>
    </row>
    <row r="512" spans="1:27" hidden="1" outlineLevel="1">
      <c r="A512" s="31" t="s">
        <v>3634</v>
      </c>
      <c r="B512" s="67">
        <v>10</v>
      </c>
      <c r="C512" s="67">
        <f ca="1">magestuff!$AD$199</f>
        <v>10</v>
      </c>
      <c r="D512" s="67">
        <f t="shared" si="73"/>
        <v>0</v>
      </c>
      <c r="E512" s="77" t="e">
        <f ca="1">IF(F512="y",HLOOKUP((IF(C512&lt;1,1,C512)),Magick!$C$20:$L$21,2),NA())</f>
        <v>#N/A</v>
      </c>
      <c r="F512" s="67" t="str">
        <f ca="1">IF(C512&lt;=Magick!$D$3,"Y","N")</f>
        <v>N</v>
      </c>
      <c r="G512" s="148" t="s">
        <v>128</v>
      </c>
      <c r="H512" s="151"/>
      <c r="I512" s="77" t="e">
        <f>IF(H513&gt;0,(HLOOKUP(C513,Magick!$C$20:$L$21,2)-HLOOKUP(H513,Magick!$C$20:$L$21,2)),NA())</f>
        <v>#N/A</v>
      </c>
      <c r="J512" s="77"/>
      <c r="K512" s="67">
        <v>16</v>
      </c>
      <c r="L512" s="72" t="str">
        <f>IF(H513&gt;0,Magick!$AR$21-('Master Spell List'!H455*0.1),"N/A")</f>
        <v>N/A</v>
      </c>
      <c r="M512" s="72">
        <f ca="1">Magick!$H$71</f>
        <v>0.04</v>
      </c>
      <c r="N512" s="72">
        <f ca="1">Magick!$K$71</f>
        <v>0.09</v>
      </c>
      <c r="O512" s="72">
        <f ca="1">Magick!$L$71</f>
        <v>0.09</v>
      </c>
      <c r="P512" s="72">
        <f ca="1">Magick!$M$71</f>
        <v>0.09</v>
      </c>
      <c r="Q512" s="67" t="s">
        <v>113</v>
      </c>
      <c r="R512" s="67" t="str">
        <f>IF(Q512="Ritual","N/A",IF(Q512="I.E.","N/A",IF(Q512="WOG",VLOOKUP(Magick!$I$71*100,magestuff!$B$134:$F$138,2),IF(Q512="Cantrip",VLOOKUP(Magick!$I$71*100,magestuff!$B$134:$F$138,3),IF(Q512="Hex",VLOOKUP(Magick!$I$71*100,magestuff!$B$134:$F$138,4),VLOOKUP(Magick!$I$71*100,magestuff!$B$134:$F$138,5))))))</f>
        <v>N/A</v>
      </c>
      <c r="U512" s="67" t="str">
        <f t="shared" si="74"/>
        <v xml:space="preserve"> </v>
      </c>
      <c r="V512" s="515"/>
      <c r="W512" s="125"/>
      <c r="X512" s="31">
        <f t="shared" si="76"/>
        <v>0</v>
      </c>
      <c r="Y512" s="509"/>
      <c r="Z512" s="1054" t="str">
        <f t="shared" si="71"/>
        <v>Geas</v>
      </c>
      <c r="AA512" s="1072" t="str">
        <f t="shared" si="72"/>
        <v>Command</v>
      </c>
    </row>
    <row r="513" spans="1:27" hidden="1" outlineLevel="1">
      <c r="A513" s="83" t="s">
        <v>2914</v>
      </c>
      <c r="B513" s="67">
        <v>10</v>
      </c>
      <c r="C513" s="67">
        <f ca="1">magestuff!$AD$199</f>
        <v>10</v>
      </c>
      <c r="D513" s="67">
        <f t="shared" si="73"/>
        <v>0</v>
      </c>
      <c r="E513" s="77" t="e">
        <f ca="1">IF(F513="y",HLOOKUP((IF(C513&lt;1,1,C513)),Magick!$C$20:$L$21,2),NA())</f>
        <v>#N/A</v>
      </c>
      <c r="F513" s="67" t="str">
        <f ca="1">IF(C513&lt;=Magick!$D$3,"Y","N")</f>
        <v>N</v>
      </c>
      <c r="G513" s="148" t="s">
        <v>859</v>
      </c>
      <c r="H513" s="151"/>
      <c r="I513" s="77" t="e">
        <f>IF(H521&gt;0,(HLOOKUP(C521,Magick!$C$20:$L$21,2)-HLOOKUP(H521,Magick!$C$20:$L$21,2)),NA())</f>
        <v>#N/A</v>
      </c>
      <c r="J513" s="77"/>
      <c r="K513" s="67" t="s">
        <v>2225</v>
      </c>
      <c r="L513" s="72" t="str">
        <f>IF(H521&gt;0,Magick!$AR$21-('Master Spell List'!H485*0.1),"N/A")</f>
        <v>N/A</v>
      </c>
      <c r="M513" s="72">
        <f ca="1">Magick!$H$71</f>
        <v>0.04</v>
      </c>
      <c r="N513" s="72">
        <f ca="1">Magick!$K$71</f>
        <v>0.09</v>
      </c>
      <c r="O513" s="72">
        <f ca="1">Magick!$L$71</f>
        <v>0.09</v>
      </c>
      <c r="P513" s="72">
        <f ca="1">Magick!$M$71</f>
        <v>0.09</v>
      </c>
      <c r="Q513" s="67" t="s">
        <v>2225</v>
      </c>
      <c r="R513" s="67">
        <f ca="1">IF(Q513="Ritual","N/A",IF(Q513="I.E.","N/A",IF(Q513="WOG",VLOOKUP(Magick!$I$71*100,magestuff!$B$134:$F$138,2),IF(Q513="Cantrip",VLOOKUP(Magick!$I$71*100,magestuff!$B$134:$F$138,3),IF(Q513="Hex",VLOOKUP(Magick!$I$71*100,magestuff!$B$134:$F$138,4),VLOOKUP(Magick!$I$71*100,magestuff!$B$134:$F$138,5))))))</f>
        <v>29</v>
      </c>
      <c r="U513" s="67" t="str">
        <f t="shared" si="74"/>
        <v xml:space="preserve"> </v>
      </c>
      <c r="V513" s="515"/>
      <c r="W513" s="125"/>
      <c r="X513" s="31">
        <f t="shared" si="76"/>
        <v>0</v>
      </c>
      <c r="Y513" s="509"/>
      <c r="Z513" s="1054" t="str">
        <f t="shared" si="71"/>
        <v>Remember</v>
      </c>
      <c r="AA513" s="1072" t="str">
        <f t="shared" si="72"/>
        <v>Command</v>
      </c>
    </row>
    <row r="514" spans="1:27" hidden="1" outlineLevel="1">
      <c r="A514" s="31" t="s">
        <v>510</v>
      </c>
      <c r="B514" s="67">
        <f>IF(Magick!$A$3=26,8,10)</f>
        <v>10</v>
      </c>
      <c r="C514" s="67">
        <f ca="1">IF(Magick!$A$3=26,magestuff!$X$199,magestuff!$AD$199)</f>
        <v>10</v>
      </c>
      <c r="D514" s="67">
        <f t="shared" si="73"/>
        <v>0</v>
      </c>
      <c r="E514" s="77" t="e">
        <f ca="1">IF(F514="y",HLOOKUP((IF(C514&lt;1,1,C514)),Magick!$C$20:$L$21,2),NA())</f>
        <v>#N/A</v>
      </c>
      <c r="F514" s="67" t="str">
        <f ca="1">IF(C514&lt;=Magick!$D$3,"Y","N")</f>
        <v>N</v>
      </c>
      <c r="G514" s="148" t="s">
        <v>128</v>
      </c>
      <c r="H514" s="151"/>
      <c r="I514" s="77" t="e">
        <f>IF(H514&gt;0,(HLOOKUP(C514,Magick!$C$20:$L$21,2)-HLOOKUP(H514,Magick!$C$20:$L$21,2)),NA())</f>
        <v>#N/A</v>
      </c>
      <c r="J514" s="77"/>
      <c r="K514" s="67">
        <v>13</v>
      </c>
      <c r="L514" s="72" t="str">
        <f>IF(H514&gt;0,Magick!$AR$21-('Master Spell List'!H472*0.1),"N/A")</f>
        <v>N/A</v>
      </c>
      <c r="M514" s="72">
        <f ca="1">Magick!$H$71</f>
        <v>0.04</v>
      </c>
      <c r="N514" s="72">
        <f ca="1">Magick!$K$71</f>
        <v>0.09</v>
      </c>
      <c r="O514" s="72">
        <f ca="1">Magick!$L$71</f>
        <v>0.09</v>
      </c>
      <c r="P514" s="72">
        <f ca="1">Magick!$M$71</f>
        <v>0.09</v>
      </c>
      <c r="Q514" s="67" t="str">
        <f>IF(Magick!$A$3=26,"Sorcery","Ritual")</f>
        <v>Ritual</v>
      </c>
      <c r="R514" s="67" t="str">
        <f>IF(Q514="Ritual","N/A",IF(Q514="I.E.","N/A",IF(Q514="WOG",VLOOKUP(Magick!$I$71*100,magestuff!$B$134:$F$138,2),IF(Q514="Cantrip",VLOOKUP(Magick!$I$71*100,magestuff!$B$134:$F$138,3),IF(Q514="Hex",VLOOKUP(Magick!$I$71*100,magestuff!$B$134:$F$138,4),VLOOKUP(Magick!$I$71*100,magestuff!$B$134:$F$138,5))))))</f>
        <v>N/A</v>
      </c>
      <c r="U514" s="67" t="str">
        <f t="shared" si="74"/>
        <v xml:space="preserve"> </v>
      </c>
      <c r="V514" s="515"/>
      <c r="W514" s="125"/>
      <c r="X514" s="31">
        <f t="shared" si="76"/>
        <v>0</v>
      </c>
      <c r="Y514" s="509"/>
      <c r="Z514" s="1054" t="str">
        <f t="shared" ref="Z514:Z577" si="77">A514</f>
        <v>Stun</v>
      </c>
      <c r="AA514" s="1072" t="str">
        <f t="shared" si="72"/>
        <v>Command</v>
      </c>
    </row>
    <row r="515" spans="1:27" hidden="1" outlineLevel="1">
      <c r="A515" s="31" t="s">
        <v>511</v>
      </c>
      <c r="B515" s="67">
        <f>IF(Magick!$A$3=26,10,12)</f>
        <v>12</v>
      </c>
      <c r="C515" s="67">
        <f ca="1">IF(Magick!$A$3=26,magestuff!$AD$199,magestuff!$AD$199+2)</f>
        <v>12</v>
      </c>
      <c r="D515" s="67">
        <f t="shared" si="73"/>
        <v>0</v>
      </c>
      <c r="E515" s="77" t="e">
        <f ca="1">IF(F515="y",HLOOKUP((IF(C515&lt;1,1,C515)),Magick!$C$20:$L$21,2),NA())</f>
        <v>#N/A</v>
      </c>
      <c r="F515" s="67" t="str">
        <f ca="1">IF(C515&lt;=Magick!$D$3,"Y","N")</f>
        <v>N</v>
      </c>
      <c r="G515" s="148" t="s">
        <v>128</v>
      </c>
      <c r="H515" s="151"/>
      <c r="I515" s="77" t="e">
        <f>IF(H515&gt;0,(HLOOKUP(C515,Magick!$C$20:$L$21,2)-HLOOKUP(H515,Magick!$C$20:$L$21,2)),NA())</f>
        <v>#N/A</v>
      </c>
      <c r="J515" s="77"/>
      <c r="K515" s="67">
        <v>21</v>
      </c>
      <c r="L515" s="72" t="str">
        <f>IF(H515&gt;0,Magick!$AR$21-('Master Spell List'!H473*0.1),"N/A")</f>
        <v>N/A</v>
      </c>
      <c r="M515" s="72">
        <f ca="1">Magick!$H$71</f>
        <v>0.04</v>
      </c>
      <c r="N515" s="72">
        <f ca="1">Magick!$K$71</f>
        <v>0.09</v>
      </c>
      <c r="O515" s="72">
        <f ca="1">Magick!$L$71</f>
        <v>0.09</v>
      </c>
      <c r="P515" s="72">
        <f ca="1">Magick!$M$71</f>
        <v>0.09</v>
      </c>
      <c r="Q515" s="67" t="str">
        <f>IF(Magick!$A$3=26,"Sorcery","Ritual")</f>
        <v>Ritual</v>
      </c>
      <c r="R515" s="67" t="str">
        <f>IF(Q515="Ritual","N/A",IF(Q515="I.E.","N/A",IF(Q515="WOG",VLOOKUP(Magick!$I$71*100,magestuff!$B$134:$F$138,2),IF(Q515="Cantrip",VLOOKUP(Magick!$I$71*100,magestuff!$B$134:$F$138,3),IF(Q515="Hex",VLOOKUP(Magick!$I$71*100,magestuff!$B$134:$F$138,4),VLOOKUP(Magick!$I$71*100,magestuff!$B$134:$F$138,5))))))</f>
        <v>N/A</v>
      </c>
      <c r="U515" s="67" t="str">
        <f t="shared" si="74"/>
        <v xml:space="preserve"> </v>
      </c>
      <c r="V515" s="515"/>
      <c r="W515" s="125"/>
      <c r="X515" s="31">
        <f t="shared" si="76"/>
        <v>0</v>
      </c>
      <c r="Y515" s="509"/>
      <c r="Z515" s="1054" t="str">
        <f t="shared" si="77"/>
        <v>Die</v>
      </c>
      <c r="AA515" s="1072" t="str">
        <f t="shared" ref="AA515:AA578" si="78">IF(ISNUMBER(MATCH($Z515,Spell_Methods,0)),$Z515,$AA514)</f>
        <v>Command</v>
      </c>
    </row>
    <row r="516" spans="1:27" collapsed="1">
      <c r="A516" s="48" t="s">
        <v>3657</v>
      </c>
      <c r="B516" s="76">
        <f>SUM(B517:B607)</f>
        <v>483</v>
      </c>
      <c r="C516" s="76">
        <f ca="1">SUM(C517:C607)</f>
        <v>483</v>
      </c>
      <c r="D516" s="76">
        <f>SUM(D517:D607)</f>
        <v>0</v>
      </c>
      <c r="E516" s="76"/>
      <c r="F516" s="149">
        <f ca="1">SUM(C517:C536)+IF(F537="Y",SUM(C537:C550),0)+IF(F551="Y",SUM(C551:C571),0)+IF(F572="Y",SUM(C572:C581),0)+IF(F582="Y",SUM(C582:C587),0)+IF(F588="Y",SUM(C588:C594),0)+IF(F595="Y",SUM(C595:C596),0)+IF(F597="Y",SUM(C597:C601),0)+IF(F602="Y",SUM(C602:C604),0)+IF(F605="Y",SUM(C605:C605),0)+IF(F606="Y",SUM(C606:C606),0)+IF(F607="Y",SUM(C607:C607),0)</f>
        <v>34</v>
      </c>
      <c r="G516" s="76"/>
      <c r="H516" s="150"/>
      <c r="I516" s="76"/>
      <c r="J516" s="76"/>
      <c r="K516" s="76"/>
      <c r="L516" s="76"/>
      <c r="M516" s="222">
        <f ca="1">Magick!$H$72</f>
        <v>0.1</v>
      </c>
      <c r="N516" s="222">
        <f ca="1">Magick!$K$72</f>
        <v>0.15000000000000002</v>
      </c>
      <c r="O516" s="222">
        <f ca="1">Magick!$L$72</f>
        <v>0.15000000000000002</v>
      </c>
      <c r="P516" s="222">
        <f ca="1">Magick!$M$72</f>
        <v>0.15000000000000002</v>
      </c>
      <c r="Q516" s="76"/>
      <c r="R516" s="76"/>
      <c r="S516" s="76"/>
      <c r="T516" s="76"/>
      <c r="U516" s="149">
        <f>SUM(U517:U607)</f>
        <v>0</v>
      </c>
      <c r="V516" s="76"/>
      <c r="W516" s="76"/>
      <c r="X516" s="149"/>
      <c r="Y516" s="509"/>
      <c r="Z516" s="1054" t="str">
        <f t="shared" si="77"/>
        <v>Divination</v>
      </c>
      <c r="AA516" s="1072" t="str">
        <f t="shared" si="78"/>
        <v>Divination</v>
      </c>
    </row>
    <row r="517" spans="1:27" hidden="1" outlineLevel="1">
      <c r="A517" s="31" t="s">
        <v>4687</v>
      </c>
      <c r="B517" s="67">
        <f>IF(Magick!$A$3=10,1,1)</f>
        <v>1</v>
      </c>
      <c r="C517" s="67">
        <f ca="1">IF(magestuff!$C$200&lt;1,1,magestuff!$C$200)</f>
        <v>1</v>
      </c>
      <c r="D517" s="67">
        <f t="shared" ref="D517:D548" si="79">IF(AND(ISNUMBER(H517),H517=0),C517,0)</f>
        <v>0</v>
      </c>
      <c r="E517" s="77">
        <f ca="1">IF(F517="y",HLOOKUP(C517,Magick!$C$20:$L$21,2),NA())</f>
        <v>10</v>
      </c>
      <c r="F517" s="67" t="str">
        <f ca="1">IF(C517&lt;=Magick!$D$3,"Y","N")</f>
        <v>Y</v>
      </c>
      <c r="G517" s="148" t="s">
        <v>128</v>
      </c>
      <c r="H517" s="151"/>
      <c r="I517" s="77" t="e">
        <f>IF(H517&gt;0,(HLOOKUP(C517,Magick!$C$20:$L$21,2)-HLOOKUP(H517,Magick!$C$20:$L$21,2)),NA())</f>
        <v>#N/A</v>
      </c>
      <c r="J517" s="77"/>
      <c r="K517" s="67">
        <v>3</v>
      </c>
      <c r="L517" s="72" t="str">
        <f>IF(H517&gt;0,Magick!$AR$22-('Master Spell List'!H518*0.1),"N/A")</f>
        <v>N/A</v>
      </c>
      <c r="M517" s="72">
        <f ca="1">Magick!$H$72</f>
        <v>0.1</v>
      </c>
      <c r="N517" s="72">
        <f ca="1">Magick!$K$72</f>
        <v>0.15000000000000002</v>
      </c>
      <c r="O517" s="72">
        <f ca="1">Magick!$L$72</f>
        <v>0.15000000000000002</v>
      </c>
      <c r="P517" s="72">
        <f ca="1">Magick!$M$72</f>
        <v>0.15000000000000002</v>
      </c>
      <c r="Q517" s="67" t="str">
        <f>IF(Magick!$A$3=7,"Hex","Sorcery")</f>
        <v>Sorcery</v>
      </c>
      <c r="R517" s="67">
        <f ca="1">IF(Q517="Ritual","N/A",IF(Q517="I.E.","N/A",IF(Q517="WOG",VLOOKUP(Magick!$I$72*100,magestuff!$B$134:$F$138,2),IF(Q517="Cantrip",VLOOKUP(Magick!$I$72*100,magestuff!$B$134:$F$138,3),IF(Q517="Hex",VLOOKUP(Magick!$I$72*100,magestuff!$B$134:$F$138,4),VLOOKUP(Magick!$I$72*100,magestuff!$B$134:$F$138,5))))))</f>
        <v>29</v>
      </c>
      <c r="U517" s="67" t="str">
        <f t="shared" ref="U517:U548" si="80">IF(ISBLANK(H517)," ",IF(H517&gt;0,0,C517*10))</f>
        <v xml:space="preserve"> </v>
      </c>
      <c r="V517" s="515"/>
      <c r="W517" s="125"/>
      <c r="X517" s="31">
        <f t="shared" ref="X517:X548" si="81">W517*3</f>
        <v>0</v>
      </c>
      <c r="Y517" s="509"/>
      <c r="Z517" s="1054" t="str">
        <f t="shared" si="77"/>
        <v>Detect Hidden Object</v>
      </c>
      <c r="AA517" s="1072" t="str">
        <f t="shared" si="78"/>
        <v>Divination</v>
      </c>
    </row>
    <row r="518" spans="1:27" hidden="1" outlineLevel="1">
      <c r="A518" s="31" t="s">
        <v>3871</v>
      </c>
      <c r="B518" s="67">
        <f>IF(Magick!$A$3=10,1,1)</f>
        <v>1</v>
      </c>
      <c r="C518" s="67">
        <f ca="1">IF(magestuff!$C$200&lt;1,1,magestuff!$C$200)</f>
        <v>1</v>
      </c>
      <c r="D518" s="67">
        <f t="shared" si="79"/>
        <v>0</v>
      </c>
      <c r="E518" s="77">
        <f ca="1">IF(F518="y",HLOOKUP(C518,Magick!$C$20:$L$21,2),NA())</f>
        <v>10</v>
      </c>
      <c r="F518" s="67" t="str">
        <f ca="1">IF(C518&lt;=Magick!$D$3,"Y","N")</f>
        <v>Y</v>
      </c>
      <c r="G518" s="148" t="s">
        <v>128</v>
      </c>
      <c r="H518" s="151"/>
      <c r="I518" s="77" t="e">
        <f>IF(H518&gt;0,(HLOOKUP(C518,Magick!$C$20:$L$21,2)-HLOOKUP(H518,Magick!$C$20:$L$21,2)),NA())</f>
        <v>#N/A</v>
      </c>
      <c r="J518" s="77"/>
      <c r="K518" s="67">
        <v>3</v>
      </c>
      <c r="L518" s="72" t="str">
        <f>IF(H518&gt;0,Magick!$AR$22-('Master Spell List'!H522*0.1),"N/A")</f>
        <v>N/A</v>
      </c>
      <c r="M518" s="72">
        <f ca="1">Magick!$H$72</f>
        <v>0.1</v>
      </c>
      <c r="N518" s="72">
        <f ca="1">Magick!$K$72</f>
        <v>0.15000000000000002</v>
      </c>
      <c r="O518" s="72">
        <f ca="1">Magick!$L$72</f>
        <v>0.15000000000000002</v>
      </c>
      <c r="P518" s="72">
        <f ca="1">Magick!$M$72</f>
        <v>0.15000000000000002</v>
      </c>
      <c r="Q518" s="67" t="s">
        <v>4603</v>
      </c>
      <c r="R518" s="67">
        <f ca="1">IF(Q518="Ritual","N/A",IF(Q518="I.E.","N/A",IF(Q518="WOG",VLOOKUP(Magick!$I$72*100,magestuff!$B$134:$F$138,2),IF(Q518="Cantrip",VLOOKUP(Magick!$I$72*100,magestuff!$B$134:$F$138,3),IF(Q518="Hex",VLOOKUP(Magick!$I$72*100,magestuff!$B$134:$F$138,4),VLOOKUP(Magick!$I$72*100,magestuff!$B$134:$F$138,5))))))</f>
        <v>9</v>
      </c>
      <c r="U518" s="67" t="str">
        <f t="shared" si="80"/>
        <v xml:space="preserve"> </v>
      </c>
      <c r="V518" s="515"/>
      <c r="W518" s="125"/>
      <c r="X518" s="31">
        <f t="shared" si="81"/>
        <v>0</v>
      </c>
      <c r="Y518" s="509"/>
      <c r="Z518" s="1054" t="str">
        <f t="shared" si="77"/>
        <v>Detect Magick</v>
      </c>
      <c r="AA518" s="1072" t="str">
        <f t="shared" si="78"/>
        <v>Divination</v>
      </c>
    </row>
    <row r="519" spans="1:27" hidden="1" outlineLevel="1">
      <c r="A519" s="83" t="s">
        <v>2210</v>
      </c>
      <c r="B519" s="67">
        <v>1</v>
      </c>
      <c r="C519" s="67">
        <f ca="1">IF(magestuff!$C$200&lt;1,1,magestuff!$C$200)</f>
        <v>1</v>
      </c>
      <c r="D519" s="67">
        <f t="shared" si="79"/>
        <v>0</v>
      </c>
      <c r="E519" s="77">
        <f ca="1">IF(F519="y",HLOOKUP(C519,Magick!$C$20:$L$21,2),NA())</f>
        <v>10</v>
      </c>
      <c r="F519" s="67" t="str">
        <f ca="1">IF(C519&lt;=Magick!$D$3,"Y","N")</f>
        <v>Y</v>
      </c>
      <c r="G519" s="148" t="s">
        <v>129</v>
      </c>
      <c r="H519" s="151"/>
      <c r="I519" s="77" t="e">
        <f>IF(H519&gt;0,(HLOOKUP(C519,Magick!$C$20:$L$21,2)-HLOOKUP(H519,Magick!$C$20:$L$21,2)),NA())</f>
        <v>#N/A</v>
      </c>
      <c r="J519" s="77"/>
      <c r="K519" s="67">
        <v>3</v>
      </c>
      <c r="L519" s="72" t="str">
        <f>IF(H519&gt;0,Magick!$AR$22-('Master Spell List'!H571*0.1),"N/A")</f>
        <v>N/A</v>
      </c>
      <c r="M519" s="72">
        <f ca="1">Magick!$H$72</f>
        <v>0.1</v>
      </c>
      <c r="N519" s="72">
        <f ca="1">Magick!$K$72</f>
        <v>0.15000000000000002</v>
      </c>
      <c r="O519" s="72">
        <f ca="1">Magick!$L$72</f>
        <v>0.15000000000000002</v>
      </c>
      <c r="P519" s="72">
        <f ca="1">Magick!$M$72</f>
        <v>0.15000000000000002</v>
      </c>
      <c r="Q519" s="67" t="s">
        <v>4602</v>
      </c>
      <c r="R519" s="67">
        <f ca="1">IF(Q519="Ritual","N/A",IF(Q519="I.E.","N/A",IF(Q519="WOG",VLOOKUP(Magick!$I$72*100,magestuff!$B$134:$F$138,2),IF(Q519="Cantrip",VLOOKUP(Magick!$I$72*100,magestuff!$B$134:$F$138,3),IF(Q519="Hex",VLOOKUP(Magick!$I$72*100,magestuff!$B$134:$F$138,4),VLOOKUP(Magick!$I$72*100,magestuff!$B$134:$F$138,5))))))</f>
        <v>19</v>
      </c>
      <c r="U519" s="67" t="str">
        <f t="shared" si="80"/>
        <v xml:space="preserve"> </v>
      </c>
      <c r="V519" s="515"/>
      <c r="W519" s="125"/>
      <c r="X519" s="31">
        <f t="shared" si="81"/>
        <v>0</v>
      </c>
      <c r="Y519" s="509"/>
      <c r="Z519" s="1054" t="str">
        <f t="shared" si="77"/>
        <v>Detect Temporal</v>
      </c>
      <c r="AA519" s="1072" t="str">
        <f t="shared" si="78"/>
        <v>Divination</v>
      </c>
    </row>
    <row r="520" spans="1:27" hidden="1" outlineLevel="1">
      <c r="A520" s="83" t="s">
        <v>1209</v>
      </c>
      <c r="B520" s="67">
        <v>1</v>
      </c>
      <c r="C520" s="67">
        <f ca="1">IF(magestuff!$C$200&lt;1,1,magestuff!$C$200)</f>
        <v>1</v>
      </c>
      <c r="D520" s="67">
        <f t="shared" si="79"/>
        <v>0</v>
      </c>
      <c r="E520" s="77">
        <f ca="1">IF(F520="y",HLOOKUP(C520,Magick!$C$20:$L$21,2),NA())</f>
        <v>10</v>
      </c>
      <c r="F520" s="67" t="str">
        <f ca="1">IF(C520&lt;=Magick!$D$3,"Y","N")</f>
        <v>Y</v>
      </c>
      <c r="G520" s="148" t="s">
        <v>129</v>
      </c>
      <c r="H520" s="151"/>
      <c r="I520" s="77" t="e">
        <f>IF(H520&gt;0,(HLOOKUP(C520,Magick!$C$20:$L$21,2)-HLOOKUP(H520,Magick!$C$20:$L$21,2)),NA())</f>
        <v>#N/A</v>
      </c>
      <c r="J520" s="77"/>
      <c r="K520" s="67">
        <v>8</v>
      </c>
      <c r="L520" s="72" t="str">
        <f>IF(H520&gt;0,Magick!$AR$22-('Master Spell List'!H572*0.1),"N/A")</f>
        <v>N/A</v>
      </c>
      <c r="M520" s="72">
        <f ca="1">Magick!$H$72</f>
        <v>0.1</v>
      </c>
      <c r="N520" s="72">
        <f ca="1">Magick!$K$72</f>
        <v>0.15000000000000002</v>
      </c>
      <c r="O520" s="72">
        <f ca="1">Magick!$L$72</f>
        <v>0.15000000000000002</v>
      </c>
      <c r="P520" s="72">
        <f ca="1">Magick!$M$72</f>
        <v>0.15000000000000002</v>
      </c>
      <c r="Q520" s="67" t="s">
        <v>4603</v>
      </c>
      <c r="R520" s="67">
        <f ca="1">IF(Q520="Ritual","N/A",IF(Q520="I.E.","N/A",IF(Q520="WOG",VLOOKUP(Magick!$I$72*100,magestuff!$B$134:$F$138,2),IF(Q520="Cantrip",VLOOKUP(Magick!$I$72*100,magestuff!$B$134:$F$138,3),IF(Q520="Hex",VLOOKUP(Magick!$I$72*100,magestuff!$B$134:$F$138,4),VLOOKUP(Magick!$I$72*100,magestuff!$B$134:$F$138,5))))))</f>
        <v>9</v>
      </c>
      <c r="U520" s="67" t="str">
        <f t="shared" si="80"/>
        <v xml:space="preserve"> </v>
      </c>
      <c r="V520" s="515"/>
      <c r="W520" s="125"/>
      <c r="X520" s="31">
        <f t="shared" si="81"/>
        <v>0</v>
      </c>
      <c r="Y520" s="509"/>
      <c r="Z520" s="1054" t="str">
        <f t="shared" si="77"/>
        <v>Meditation</v>
      </c>
      <c r="AA520" s="1072" t="str">
        <f t="shared" si="78"/>
        <v>Divination</v>
      </c>
    </row>
    <row r="521" spans="1:27" hidden="1" outlineLevel="1">
      <c r="A521" s="31" t="s">
        <v>1256</v>
      </c>
      <c r="B521" s="67">
        <v>1</v>
      </c>
      <c r="C521" s="67">
        <f ca="1">IF(magestuff!$C$200&lt;1,1,magestuff!$C$200)</f>
        <v>1</v>
      </c>
      <c r="D521" s="67">
        <f t="shared" si="79"/>
        <v>0</v>
      </c>
      <c r="E521" s="77">
        <f ca="1">IF(F521="y",HLOOKUP(C521,Magick!$C$20:$L$21,2),NA())</f>
        <v>10</v>
      </c>
      <c r="F521" s="67" t="str">
        <f ca="1">IF(C521&lt;=Magick!$D$3,"Y","N")</f>
        <v>Y</v>
      </c>
      <c r="G521" s="148" t="s">
        <v>128</v>
      </c>
      <c r="H521" s="151"/>
      <c r="I521" s="77" t="e">
        <f>IF(H521&gt;0,(HLOOKUP(C521,Magick!$C$20:$L$21,2)-HLOOKUP(H521,Magick!$C$20:$L$21,2)),NA())</f>
        <v>#N/A</v>
      </c>
      <c r="J521" s="77"/>
      <c r="K521" s="67" t="s">
        <v>112</v>
      </c>
      <c r="L521" s="72" t="str">
        <f>IF(H521&gt;0,Magick!$AR$22-('Master Spell List'!H537*0.1),"N/A")</f>
        <v>N/A</v>
      </c>
      <c r="M521" s="72">
        <f ca="1">Magick!$H$72</f>
        <v>0.1</v>
      </c>
      <c r="N521" s="72">
        <f ca="1">Magick!$K$72</f>
        <v>0.15000000000000002</v>
      </c>
      <c r="O521" s="72">
        <f ca="1">Magick!$L$72</f>
        <v>0.15000000000000002</v>
      </c>
      <c r="P521" s="72">
        <f ca="1">Magick!$M$72</f>
        <v>0.15000000000000002</v>
      </c>
      <c r="Q521" s="67" t="s">
        <v>113</v>
      </c>
      <c r="R521" s="67" t="str">
        <f>IF(Q521="Ritual","N/A",IF(Q521="I.E.","N/A",IF(Q521="WOG",VLOOKUP(Magick!$I$72*100,magestuff!$B$134:$F$138,2),IF(Q521="Cantrip",VLOOKUP(Magick!$I$72*100,magestuff!$B$134:$F$138,3),IF(Q521="Hex",VLOOKUP(Magick!$I$72*100,magestuff!$B$134:$F$138,4),VLOOKUP(Magick!$I$72*100,magestuff!$B$134:$F$138,5))))))</f>
        <v>N/A</v>
      </c>
      <c r="S521" s="67" t="s">
        <v>2329</v>
      </c>
      <c r="U521" s="67" t="str">
        <f t="shared" si="80"/>
        <v xml:space="preserve"> </v>
      </c>
      <c r="V521" s="515"/>
      <c r="W521" s="125"/>
      <c r="X521" s="31">
        <f t="shared" si="81"/>
        <v>0</v>
      </c>
      <c r="Y521" s="509"/>
      <c r="Z521" s="1054" t="str">
        <f t="shared" si="77"/>
        <v>Prophecy</v>
      </c>
      <c r="AA521" s="1072" t="str">
        <f t="shared" si="78"/>
        <v>Divination</v>
      </c>
    </row>
    <row r="522" spans="1:27" s="954" customFormat="1" hidden="1" outlineLevel="1">
      <c r="A522" s="83" t="s">
        <v>2209</v>
      </c>
      <c r="B522" s="67">
        <v>1</v>
      </c>
      <c r="C522" s="67">
        <f ca="1">IF(magestuff!$C$200&lt;1,1,magestuff!$C$200)</f>
        <v>1</v>
      </c>
      <c r="D522" s="67">
        <f t="shared" si="79"/>
        <v>0</v>
      </c>
      <c r="E522" s="77">
        <f ca="1">IF(F522="y",HLOOKUP(C522,Magick!$C$20:$L$21,2),NA())</f>
        <v>10</v>
      </c>
      <c r="F522" s="67" t="str">
        <f ca="1">IF(C522&lt;=Magick!$D$3,"Y","N")</f>
        <v>Y</v>
      </c>
      <c r="G522" s="148" t="s">
        <v>129</v>
      </c>
      <c r="H522" s="151"/>
      <c r="I522" s="77" t="e">
        <f>IF(H522&gt;0,(HLOOKUP(C522,Magick!$C$20:$L$21,2)-HLOOKUP(H522,Magick!$C$20:$L$21,2)),NA())</f>
        <v>#N/A</v>
      </c>
      <c r="J522" s="77"/>
      <c r="K522" s="67">
        <v>3</v>
      </c>
      <c r="L522" s="72" t="str">
        <f>IF(H522&gt;0,Magick!$AR$22-('Master Spell List'!H552*0.1),"N/A")</f>
        <v>N/A</v>
      </c>
      <c r="M522" s="72">
        <f ca="1">Magick!$H$72</f>
        <v>0.1</v>
      </c>
      <c r="N522" s="72">
        <f ca="1">Magick!$K$72</f>
        <v>0.15000000000000002</v>
      </c>
      <c r="O522" s="72">
        <f ca="1">Magick!$L$72</f>
        <v>0.15000000000000002</v>
      </c>
      <c r="P522" s="72">
        <f ca="1">Magick!$M$72</f>
        <v>0.15000000000000002</v>
      </c>
      <c r="Q522" s="67" t="s">
        <v>4603</v>
      </c>
      <c r="R522" s="67">
        <f ca="1">IF(Q522="Ritual","N/A",IF(Q522="I.E.","N/A",IF(Q522="WOG",VLOOKUP(Magick!$I$72*100,magestuff!$B$134:$F$138,2),IF(Q522="Cantrip",VLOOKUP(Magick!$I$72*100,magestuff!$B$134:$F$138,3),IF(Q522="Hex",VLOOKUP(Magick!$I$72*100,magestuff!$B$134:$F$138,4),VLOOKUP(Magick!$I$72*100,magestuff!$B$134:$F$138,5))))))</f>
        <v>9</v>
      </c>
      <c r="S522" s="67" t="s">
        <v>2329</v>
      </c>
      <c r="T522" s="67" t="s">
        <v>4601</v>
      </c>
      <c r="U522" s="67" t="str">
        <f t="shared" si="80"/>
        <v xml:space="preserve"> </v>
      </c>
      <c r="V522" s="515"/>
      <c r="W522" s="125"/>
      <c r="X522" s="31">
        <f t="shared" si="81"/>
        <v>0</v>
      </c>
      <c r="Y522" s="509"/>
      <c r="Z522" s="1054" t="str">
        <f t="shared" si="77"/>
        <v>Time Sense</v>
      </c>
      <c r="AA522" s="1072" t="str">
        <f t="shared" si="78"/>
        <v>Divination</v>
      </c>
    </row>
    <row r="523" spans="1:27" s="954" customFormat="1" hidden="1" outlineLevel="1">
      <c r="A523" s="83" t="s">
        <v>2918</v>
      </c>
      <c r="B523" s="67">
        <v>2</v>
      </c>
      <c r="C523" s="67">
        <f ca="1">IF(magestuff!$F$200&lt;1,1,magestuff!$F$200)</f>
        <v>2</v>
      </c>
      <c r="D523" s="67">
        <f t="shared" si="79"/>
        <v>0</v>
      </c>
      <c r="E523" s="77">
        <f ca="1">IF(F523="y",HLOOKUP(C523,Magick!$C$20:$L$21,2),NA())</f>
        <v>21</v>
      </c>
      <c r="F523" s="67" t="str">
        <f ca="1">IF(C523&lt;=Magick!$D$3,"Y","N")</f>
        <v>Y</v>
      </c>
      <c r="G523" s="148" t="s">
        <v>129</v>
      </c>
      <c r="H523" s="151"/>
      <c r="I523" s="77" t="e">
        <f>IF(H523&gt;0,(HLOOKUP(C523,Magick!$C$20:$L$21,2)-HLOOKUP(H523,Magick!$C$20:$L$21,2)),NA())</f>
        <v>#N/A</v>
      </c>
      <c r="J523" s="77"/>
      <c r="K523" s="67">
        <v>4</v>
      </c>
      <c r="L523" s="72" t="str">
        <f>IF(H523&gt;0,Magick!$AR$22-('Master Spell List'!H570*0.1),"N/A")</f>
        <v>N/A</v>
      </c>
      <c r="M523" s="72">
        <f ca="1">Magick!$H$72</f>
        <v>0.1</v>
      </c>
      <c r="N523" s="72">
        <f ca="1">Magick!$K$72</f>
        <v>0.15000000000000002</v>
      </c>
      <c r="O523" s="72">
        <f ca="1">Magick!$L$72</f>
        <v>0.15000000000000002</v>
      </c>
      <c r="P523" s="72">
        <f ca="1">Magick!$M$72</f>
        <v>0.15000000000000002</v>
      </c>
      <c r="Q523" s="67" t="s">
        <v>4603</v>
      </c>
      <c r="R523" s="67">
        <f ca="1">IF(Q523="Ritual","N/A",IF(Q523="I.E.","N/A",IF(Q523="WOG",VLOOKUP(Magick!$I$72*100,magestuff!$B$134:$F$138,2),IF(Q523="Cantrip",VLOOKUP(Magick!$I$72*100,magestuff!$B$134:$F$138,3),IF(Q523="Hex",VLOOKUP(Magick!$I$72*100,magestuff!$B$134:$F$138,4),VLOOKUP(Magick!$I$72*100,magestuff!$B$134:$F$138,5))))))</f>
        <v>9</v>
      </c>
      <c r="S523" s="67" t="s">
        <v>2329</v>
      </c>
      <c r="T523" s="67" t="s">
        <v>4601</v>
      </c>
      <c r="U523" s="67" t="str">
        <f t="shared" si="80"/>
        <v xml:space="preserve"> </v>
      </c>
      <c r="V523" s="515"/>
      <c r="W523" s="125"/>
      <c r="X523" s="31">
        <f t="shared" si="81"/>
        <v>0</v>
      </c>
      <c r="Y523" s="509"/>
      <c r="Z523" s="1054" t="str">
        <f t="shared" si="77"/>
        <v>Calibrate (Direction)</v>
      </c>
      <c r="AA523" s="1072" t="str">
        <f t="shared" si="78"/>
        <v>Divination</v>
      </c>
    </row>
    <row r="524" spans="1:27" s="954" customFormat="1" hidden="1" outlineLevel="1">
      <c r="A524" s="83" t="s">
        <v>2920</v>
      </c>
      <c r="B524" s="67">
        <v>2</v>
      </c>
      <c r="C524" s="67">
        <f ca="1">IF(magestuff!$F$200&lt;1,1,magestuff!$F$200)</f>
        <v>2</v>
      </c>
      <c r="D524" s="67">
        <f t="shared" si="79"/>
        <v>0</v>
      </c>
      <c r="E524" s="77">
        <f ca="1">IF(F524="y",HLOOKUP(C524,Magick!$C$20:$L$21,2),NA())</f>
        <v>21</v>
      </c>
      <c r="F524" s="67" t="str">
        <f ca="1">IF(C524&lt;=Magick!$D$3,"Y","N")</f>
        <v>Y</v>
      </c>
      <c r="G524" s="148" t="s">
        <v>859</v>
      </c>
      <c r="H524" s="151"/>
      <c r="I524" s="77" t="e">
        <f>IF(H524&gt;0,(HLOOKUP(C524,Magick!$C$20:$L$21,2)-HLOOKUP(H524,Magick!$C$20:$L$21,2)),NA())</f>
        <v>#N/A</v>
      </c>
      <c r="J524" s="77"/>
      <c r="K524" s="67" t="s">
        <v>2225</v>
      </c>
      <c r="L524" s="72" t="str">
        <f>IF(H524&gt;0,Magick!$AR$22-('Master Spell List'!H571*0.1),"N/A")</f>
        <v>N/A</v>
      </c>
      <c r="M524" s="72">
        <f ca="1">Magick!$H$72</f>
        <v>0.1</v>
      </c>
      <c r="N524" s="72">
        <f ca="1">Magick!$K$72</f>
        <v>0.15000000000000002</v>
      </c>
      <c r="O524" s="72">
        <f ca="1">Magick!$L$72</f>
        <v>0.15000000000000002</v>
      </c>
      <c r="P524" s="72">
        <f ca="1">Magick!$M$72</f>
        <v>0.15000000000000002</v>
      </c>
      <c r="Q524" s="67" t="s">
        <v>2225</v>
      </c>
      <c r="R524" s="67">
        <f ca="1">IF(Q524="Ritual","N/A",IF(Q524="I.E.","N/A",IF(Q524="WOG",VLOOKUP(Magick!$I$72*100,magestuff!$B$134:$F$138,2),IF(Q524="Cantrip",VLOOKUP(Magick!$I$72*100,magestuff!$B$134:$F$138,3),IF(Q524="Hex",VLOOKUP(Magick!$I$72*100,magestuff!$B$134:$F$138,4),VLOOKUP(Magick!$I$72*100,magestuff!$B$134:$F$138,5))))))</f>
        <v>29</v>
      </c>
      <c r="S524" s="67" t="s">
        <v>2329</v>
      </c>
      <c r="T524" s="67" t="s">
        <v>2225</v>
      </c>
      <c r="U524" s="67" t="str">
        <f t="shared" si="80"/>
        <v xml:space="preserve"> </v>
      </c>
      <c r="V524" s="515"/>
      <c r="W524" s="125"/>
      <c r="X524" s="31">
        <f t="shared" si="81"/>
        <v>0</v>
      </c>
      <c r="Y524" s="509"/>
      <c r="Z524" s="1054" t="str">
        <f t="shared" si="77"/>
        <v>Calibrate (Distance)</v>
      </c>
      <c r="AA524" s="1072" t="str">
        <f t="shared" si="78"/>
        <v>Divination</v>
      </c>
    </row>
    <row r="525" spans="1:27" s="954" customFormat="1" hidden="1" outlineLevel="1">
      <c r="A525" s="83" t="s">
        <v>2921</v>
      </c>
      <c r="B525" s="67">
        <v>2</v>
      </c>
      <c r="C525" s="67">
        <f ca="1">IF(magestuff!$F$200&lt;1,1,magestuff!$F$200)</f>
        <v>2</v>
      </c>
      <c r="D525" s="67">
        <f t="shared" si="79"/>
        <v>0</v>
      </c>
      <c r="E525" s="77">
        <f ca="1">IF(F525="y",HLOOKUP(C525,Magick!$C$20:$L$21,2),NA())</f>
        <v>21</v>
      </c>
      <c r="F525" s="67" t="str">
        <f ca="1">IF(C525&lt;=Magick!$D$3,"Y","N")</f>
        <v>Y</v>
      </c>
      <c r="G525" s="148" t="s">
        <v>859</v>
      </c>
      <c r="H525" s="151"/>
      <c r="I525" s="77" t="e">
        <f>IF(H525&gt;0,(HLOOKUP(C525,Magick!$C$20:$L$21,2)-HLOOKUP(H525,Magick!$C$20:$L$21,2)),NA())</f>
        <v>#N/A</v>
      </c>
      <c r="J525" s="77"/>
      <c r="K525" s="67" t="s">
        <v>2225</v>
      </c>
      <c r="L525" s="72" t="str">
        <f>IF(H525&gt;0,Magick!$AR$22-('Master Spell List'!H572*0.1),"N/A")</f>
        <v>N/A</v>
      </c>
      <c r="M525" s="72">
        <f ca="1">Magick!$H$72</f>
        <v>0.1</v>
      </c>
      <c r="N525" s="72">
        <f ca="1">Magick!$K$72</f>
        <v>0.15000000000000002</v>
      </c>
      <c r="O525" s="72">
        <f ca="1">Magick!$L$72</f>
        <v>0.15000000000000002</v>
      </c>
      <c r="P525" s="72">
        <f ca="1">Magick!$M$72</f>
        <v>0.15000000000000002</v>
      </c>
      <c r="Q525" s="67" t="s">
        <v>2225</v>
      </c>
      <c r="R525" s="67">
        <f ca="1">IF(Q525="Ritual","N/A",IF(Q525="I.E.","N/A",IF(Q525="WOG",VLOOKUP(Magick!$I$72*100,magestuff!$B$134:$F$138,2),IF(Q525="Cantrip",VLOOKUP(Magick!$I$72*100,magestuff!$B$134:$F$138,3),IF(Q525="Hex",VLOOKUP(Magick!$I$72*100,magestuff!$B$134:$F$138,4),VLOOKUP(Magick!$I$72*100,magestuff!$B$134:$F$138,5))))))</f>
        <v>29</v>
      </c>
      <c r="S525" s="67" t="s">
        <v>2329</v>
      </c>
      <c r="T525" s="67" t="s">
        <v>2225</v>
      </c>
      <c r="U525" s="67" t="str">
        <f t="shared" si="80"/>
        <v xml:space="preserve"> </v>
      </c>
      <c r="V525" s="515"/>
      <c r="W525" s="125"/>
      <c r="X525" s="31">
        <f t="shared" si="81"/>
        <v>0</v>
      </c>
      <c r="Y525" s="509"/>
      <c r="Z525" s="1054" t="str">
        <f t="shared" si="77"/>
        <v>Calibrate (Time)</v>
      </c>
      <c r="AA525" s="1072" t="str">
        <f t="shared" si="78"/>
        <v>Divination</v>
      </c>
    </row>
    <row r="526" spans="1:27" s="954" customFormat="1" hidden="1" outlineLevel="1">
      <c r="A526" s="31" t="s">
        <v>512</v>
      </c>
      <c r="B526" s="67">
        <f>IF(Magick!$A$3=10,1,2)</f>
        <v>2</v>
      </c>
      <c r="C526" s="67">
        <f ca="1">IF(magestuff!$F$200&lt;1,1,magestuff!$F$200)</f>
        <v>2</v>
      </c>
      <c r="D526" s="67">
        <f t="shared" si="79"/>
        <v>0</v>
      </c>
      <c r="E526" s="77">
        <f ca="1">IF(F526="y",HLOOKUP(C526,Magick!$C$20:$L$21,2),NA())</f>
        <v>21</v>
      </c>
      <c r="F526" s="67" t="str">
        <f ca="1">IF(C526&lt;=Magick!$D$3,"Y","N")</f>
        <v>Y</v>
      </c>
      <c r="G526" s="148" t="s">
        <v>128</v>
      </c>
      <c r="H526" s="151"/>
      <c r="I526" s="77" t="e">
        <f>IF(H526&gt;0,(HLOOKUP(C526,Magick!$C$20:$L$21,2)-HLOOKUP(H526,Magick!$C$20:$L$21,2)),NA())</f>
        <v>#N/A</v>
      </c>
      <c r="J526" s="77"/>
      <c r="K526" s="67">
        <f>IF(Magick!$A$3=10,2,4)</f>
        <v>4</v>
      </c>
      <c r="L526" s="72" t="str">
        <f>IF(H526&gt;0,Magick!$AR$22-('Master Spell List'!H517*0.1),"N/A")</f>
        <v>N/A</v>
      </c>
      <c r="M526" s="72">
        <f ca="1">Magick!$H$72</f>
        <v>0.1</v>
      </c>
      <c r="N526" s="72">
        <f ca="1">Magick!$K$72</f>
        <v>0.15000000000000002</v>
      </c>
      <c r="O526" s="72">
        <f ca="1">Magick!$L$72</f>
        <v>0.15000000000000002</v>
      </c>
      <c r="P526" s="72">
        <f ca="1">Magick!$M$72</f>
        <v>0.15000000000000002</v>
      </c>
      <c r="Q526" s="67" t="str">
        <f>IF(Magick!$A$3=7,"Hex","Sorcery")</f>
        <v>Sorcery</v>
      </c>
      <c r="R526" s="67">
        <f ca="1">IF(Q526="Ritual","N/A",IF(Q526="I.E.","N/A",IF(Q526="WOG",VLOOKUP(Magick!$I$72*100,magestuff!$B$134:$F$138,2),IF(Q526="Cantrip",VLOOKUP(Magick!$I$72*100,magestuff!$B$134:$F$138,3),IF(Q526="Hex",VLOOKUP(Magick!$I$72*100,magestuff!$B$134:$F$138,4),VLOOKUP(Magick!$I$72*100,magestuff!$B$134:$F$138,5))))))</f>
        <v>29</v>
      </c>
      <c r="S526" s="67"/>
      <c r="T526" s="67"/>
      <c r="U526" s="67" t="str">
        <f t="shared" si="80"/>
        <v xml:space="preserve"> </v>
      </c>
      <c r="V526" s="515"/>
      <c r="W526" s="125"/>
      <c r="X526" s="31">
        <f t="shared" si="81"/>
        <v>0</v>
      </c>
      <c r="Y526" s="509"/>
      <c r="Z526" s="1054" t="str">
        <f t="shared" si="77"/>
        <v>Detect Hidden Door</v>
      </c>
      <c r="AA526" s="1072" t="str">
        <f t="shared" si="78"/>
        <v>Divination</v>
      </c>
    </row>
    <row r="527" spans="1:27" s="954" customFormat="1" hidden="1" outlineLevel="1">
      <c r="A527" s="31" t="s">
        <v>619</v>
      </c>
      <c r="B527" s="67">
        <f>IF(Magick!$A$3=10,1,2)</f>
        <v>2</v>
      </c>
      <c r="C527" s="67">
        <f ca="1">IF(magestuff!$F$200&lt;1,1,magestuff!$F$200)</f>
        <v>2</v>
      </c>
      <c r="D527" s="67">
        <f t="shared" si="79"/>
        <v>0</v>
      </c>
      <c r="E527" s="77">
        <f ca="1">IF(F527="y",HLOOKUP(C527,Magick!$C$20:$L$21,2),NA())</f>
        <v>21</v>
      </c>
      <c r="F527" s="67" t="str">
        <f ca="1">IF(C527&lt;=Magick!$D$3,"Y","N")</f>
        <v>Y</v>
      </c>
      <c r="G527" s="148" t="s">
        <v>128</v>
      </c>
      <c r="H527" s="151"/>
      <c r="I527" s="77" t="e">
        <f>IF(H527&gt;0,(HLOOKUP(C527,Magick!$C$20:$L$21,2)-HLOOKUP(H527,Magick!$C$20:$L$21,2)),NA())</f>
        <v>#N/A</v>
      </c>
      <c r="J527" s="77"/>
      <c r="K527" s="67">
        <f>IF(Magick!$A$3=10,3,4)</f>
        <v>4</v>
      </c>
      <c r="L527" s="72" t="str">
        <f>IF(H527&gt;0,Magick!$AR$22-('Master Spell List'!H523*0.1),"N/A")</f>
        <v>N/A</v>
      </c>
      <c r="M527" s="72">
        <f ca="1">Magick!$H$72</f>
        <v>0.1</v>
      </c>
      <c r="N527" s="72">
        <f ca="1">Magick!$K$72</f>
        <v>0.15000000000000002</v>
      </c>
      <c r="O527" s="72">
        <f ca="1">Magick!$L$72</f>
        <v>0.15000000000000002</v>
      </c>
      <c r="P527" s="72">
        <f ca="1">Magick!$M$72</f>
        <v>0.15000000000000002</v>
      </c>
      <c r="Q527" s="67" t="str">
        <f>IF(Magick!$A$3=7,"Cantrip","Ritual")</f>
        <v>Ritual</v>
      </c>
      <c r="R527" s="67" t="str">
        <f>IF(Q527="Ritual","N/A",IF(Q527="I.E.","N/A",IF(Q527="WOG",VLOOKUP(Magick!$I$72*100,magestuff!$B$134:$F$138,2),IF(Q527="Cantrip",VLOOKUP(Magick!$I$72*100,magestuff!$B$134:$F$138,3),IF(Q527="Hex",VLOOKUP(Magick!$I$72*100,magestuff!$B$134:$F$138,4),VLOOKUP(Magick!$I$72*100,magestuff!$B$134:$F$138,5))))))</f>
        <v>N/A</v>
      </c>
      <c r="S527" s="67"/>
      <c r="T527" s="67"/>
      <c r="U527" s="67" t="str">
        <f t="shared" si="80"/>
        <v xml:space="preserve"> </v>
      </c>
      <c r="V527" s="515"/>
      <c r="W527" s="125"/>
      <c r="X527" s="31">
        <f t="shared" si="81"/>
        <v>0</v>
      </c>
      <c r="Y527" s="509"/>
      <c r="Z527" s="1054" t="str">
        <f t="shared" si="77"/>
        <v>Detect Illusion</v>
      </c>
      <c r="AA527" s="1072" t="str">
        <f t="shared" si="78"/>
        <v>Divination</v>
      </c>
    </row>
    <row r="528" spans="1:27" s="954" customFormat="1" hidden="1" outlineLevel="1">
      <c r="A528" s="31" t="s">
        <v>4015</v>
      </c>
      <c r="B528" s="67">
        <f>IF(Magick!$A$3=10,1,2)</f>
        <v>2</v>
      </c>
      <c r="C528" s="67">
        <f ca="1">IF(magestuff!$F$200&lt;1,1,magestuff!$F$200)</f>
        <v>2</v>
      </c>
      <c r="D528" s="67">
        <f t="shared" si="79"/>
        <v>0</v>
      </c>
      <c r="E528" s="77">
        <f ca="1">IF(F528="y",HLOOKUP(C528,Magick!$C$20:$L$21,2),NA())</f>
        <v>21</v>
      </c>
      <c r="F528" s="67" t="str">
        <f ca="1">IF(C528&lt;=Magick!$D$3,"Y","N")</f>
        <v>Y</v>
      </c>
      <c r="G528" s="148" t="s">
        <v>128</v>
      </c>
      <c r="H528" s="151"/>
      <c r="I528" s="77" t="e">
        <f>IF(H528&gt;0,(HLOOKUP(C528,Magick!$C$20:$L$21,2)-HLOOKUP(H528,Magick!$C$20:$L$21,2)),NA())</f>
        <v>#N/A</v>
      </c>
      <c r="J528" s="77"/>
      <c r="K528" s="67">
        <f>IF(Magick!$A$3=10,3,4)</f>
        <v>4</v>
      </c>
      <c r="L528" s="72" t="str">
        <f>IF(H528&gt;0,Magick!$AR$22-('Master Spell List'!H519*0.1),"N/A")</f>
        <v>N/A</v>
      </c>
      <c r="M528" s="72">
        <f ca="1">Magick!$H$72</f>
        <v>0.1</v>
      </c>
      <c r="N528" s="72">
        <f ca="1">Magick!$K$72</f>
        <v>0.15000000000000002</v>
      </c>
      <c r="O528" s="72">
        <f ca="1">Magick!$L$72</f>
        <v>0.15000000000000002</v>
      </c>
      <c r="P528" s="72">
        <f ca="1">Magick!$M$72</f>
        <v>0.15000000000000002</v>
      </c>
      <c r="Q528" s="67" t="s">
        <v>4602</v>
      </c>
      <c r="R528" s="67">
        <f ca="1">IF(Q528="Ritual","N/A",IF(Q528="I.E.","N/A",IF(Q528="WOG",VLOOKUP(Magick!$I$72*100,magestuff!$B$134:$F$138,2),IF(Q528="Cantrip",VLOOKUP(Magick!$I$72*100,magestuff!$B$134:$F$138,3),IF(Q528="Hex",VLOOKUP(Magick!$I$72*100,magestuff!$B$134:$F$138,4),VLOOKUP(Magick!$I$72*100,magestuff!$B$134:$F$138,5))))))</f>
        <v>19</v>
      </c>
      <c r="S528" s="67"/>
      <c r="T528" s="67"/>
      <c r="U528" s="67" t="str">
        <f t="shared" si="80"/>
        <v xml:space="preserve"> </v>
      </c>
      <c r="V528" s="515"/>
      <c r="W528" s="125"/>
      <c r="X528" s="31">
        <f t="shared" si="81"/>
        <v>0</v>
      </c>
      <c r="Y528" s="509"/>
      <c r="Z528" s="1054" t="str">
        <f t="shared" si="77"/>
        <v>Detect Life</v>
      </c>
      <c r="AA528" s="1072" t="str">
        <f t="shared" si="78"/>
        <v>Divination</v>
      </c>
    </row>
    <row r="529" spans="1:27" s="954" customFormat="1" hidden="1" outlineLevel="1">
      <c r="A529" s="31" t="s">
        <v>621</v>
      </c>
      <c r="B529" s="67">
        <f>IF(Magick!$A$3=10,1,2)</f>
        <v>2</v>
      </c>
      <c r="C529" s="67">
        <f ca="1">IF(magestuff!$F$200&lt;1,1,magestuff!$F$200)</f>
        <v>2</v>
      </c>
      <c r="D529" s="67">
        <f t="shared" si="79"/>
        <v>0</v>
      </c>
      <c r="E529" s="77">
        <f ca="1">IF(F529="y",HLOOKUP(C529,Magick!$C$20:$L$21,2),NA())</f>
        <v>21</v>
      </c>
      <c r="F529" s="67" t="str">
        <f ca="1">IF(C529&lt;=Magick!$D$3,"Y","N")</f>
        <v>Y</v>
      </c>
      <c r="G529" s="148" t="s">
        <v>128</v>
      </c>
      <c r="H529" s="151"/>
      <c r="I529" s="77" t="e">
        <f>IF(H529&gt;0,(HLOOKUP(C529,Magick!$C$20:$L$21,2)-HLOOKUP(H529,Magick!$C$20:$L$21,2)),NA())</f>
        <v>#N/A</v>
      </c>
      <c r="J529" s="77"/>
      <c r="K529" s="67">
        <f>IF(Magick!$A$3=10,3,4)</f>
        <v>4</v>
      </c>
      <c r="L529" s="72" t="str">
        <f>IF(H529&gt;0,Magick!$AR$22-('Master Spell List'!H525*0.1),"N/A")</f>
        <v>N/A</v>
      </c>
      <c r="M529" s="72">
        <f ca="1">Magick!$H$72</f>
        <v>0.1</v>
      </c>
      <c r="N529" s="72">
        <f ca="1">Magick!$K$72</f>
        <v>0.15000000000000002</v>
      </c>
      <c r="O529" s="72">
        <f ca="1">Magick!$L$72</f>
        <v>0.15000000000000002</v>
      </c>
      <c r="P529" s="72">
        <f ca="1">Magick!$M$72</f>
        <v>0.15000000000000002</v>
      </c>
      <c r="Q529" s="67" t="str">
        <f>IF(Magick!$A$3=7,"Cantrip","Ritual")</f>
        <v>Ritual</v>
      </c>
      <c r="R529" s="67" t="str">
        <f>IF(Q529="Ritual","N/A",IF(Q529="I.E.","N/A",IF(Q529="WOG",VLOOKUP(Magick!$I$72*100,magestuff!$B$134:$F$138,2),IF(Q529="Cantrip",VLOOKUP(Magick!$I$72*100,magestuff!$B$134:$F$138,3),IF(Q529="Hex",VLOOKUP(Magick!$I$72*100,magestuff!$B$134:$F$138,4),VLOOKUP(Magick!$I$72*100,magestuff!$B$134:$F$138,5))))))</f>
        <v>N/A</v>
      </c>
      <c r="S529" s="67"/>
      <c r="T529" s="67"/>
      <c r="U529" s="67" t="str">
        <f t="shared" si="80"/>
        <v xml:space="preserve"> </v>
      </c>
      <c r="V529" s="515"/>
      <c r="W529" s="125"/>
      <c r="X529" s="31">
        <f t="shared" si="81"/>
        <v>0</v>
      </c>
      <c r="Y529" s="509"/>
      <c r="Z529" s="1054" t="str">
        <f t="shared" si="77"/>
        <v>Detect Observation</v>
      </c>
      <c r="AA529" s="1072" t="str">
        <f t="shared" si="78"/>
        <v>Divination</v>
      </c>
    </row>
    <row r="530" spans="1:27" s="954" customFormat="1" hidden="1" outlineLevel="1">
      <c r="A530" s="83" t="s">
        <v>2206</v>
      </c>
      <c r="B530" s="67">
        <f>IF(Magick!$A$3=10,1,2)</f>
        <v>2</v>
      </c>
      <c r="C530" s="67">
        <f ca="1">IF(magestuff!$F$200&lt;1,1,magestuff!$F$200)</f>
        <v>2</v>
      </c>
      <c r="D530" s="67">
        <f t="shared" si="79"/>
        <v>0</v>
      </c>
      <c r="E530" s="77">
        <f ca="1">IF(F530="y",HLOOKUP(C530,Magick!$C$20:$L$21,2),NA())</f>
        <v>21</v>
      </c>
      <c r="F530" s="67" t="str">
        <f ca="1">IF(C530&lt;=Magick!$D$3,"Y","N")</f>
        <v>Y</v>
      </c>
      <c r="G530" s="148" t="s">
        <v>129</v>
      </c>
      <c r="H530" s="151"/>
      <c r="I530" s="77" t="e">
        <f>IF(H530&gt;0,(HLOOKUP(C530,Magick!$C$20:$L$21,2)-HLOOKUP(H530,Magick!$C$20:$L$21,2)),NA())</f>
        <v>#N/A</v>
      </c>
      <c r="J530" s="77"/>
      <c r="K530" s="67">
        <f>IF(Magick!$A$3=10,4,6)</f>
        <v>6</v>
      </c>
      <c r="L530" s="72" t="str">
        <f>IF(H530&gt;0,Magick!$AR$22-('Master Spell List'!H545*0.1),"N/A")</f>
        <v>N/A</v>
      </c>
      <c r="M530" s="72">
        <f ca="1">Magick!$H$72</f>
        <v>0.1</v>
      </c>
      <c r="N530" s="72">
        <f ca="1">Magick!$K$72</f>
        <v>0.15000000000000002</v>
      </c>
      <c r="O530" s="72">
        <f ca="1">Magick!$L$72</f>
        <v>0.15000000000000002</v>
      </c>
      <c r="P530" s="72">
        <f ca="1">Magick!$M$72</f>
        <v>0.15000000000000002</v>
      </c>
      <c r="Q530" s="67" t="s">
        <v>113</v>
      </c>
      <c r="R530" s="67" t="str">
        <f>IF(Q530="Ritual","N/A",IF(Q530="I.E.","N/A",IF(Q530="WOG",VLOOKUP(Magick!$I$72*100,magestuff!$B$134:$F$138,2),IF(Q530="Cantrip",VLOOKUP(Magick!$I$72*100,magestuff!$B$134:$F$138,3),IF(Q530="Hex",VLOOKUP(Magick!$I$72*100,magestuff!$B$134:$F$138,4),VLOOKUP(Magick!$I$72*100,magestuff!$B$134:$F$138,5))))))</f>
        <v>N/A</v>
      </c>
      <c r="S530" s="67"/>
      <c r="T530" s="67"/>
      <c r="U530" s="67" t="str">
        <f t="shared" si="80"/>
        <v xml:space="preserve"> </v>
      </c>
      <c r="V530" s="515"/>
      <c r="W530" s="125"/>
      <c r="X530" s="31">
        <f t="shared" si="81"/>
        <v>0</v>
      </c>
      <c r="Y530" s="509"/>
      <c r="Z530" s="1054" t="str">
        <f t="shared" si="77"/>
        <v>Detect Temperature</v>
      </c>
      <c r="AA530" s="1072" t="str">
        <f t="shared" si="78"/>
        <v>Divination</v>
      </c>
    </row>
    <row r="531" spans="1:27" s="954" customFormat="1" hidden="1" outlineLevel="1">
      <c r="A531" s="31" t="s">
        <v>3659</v>
      </c>
      <c r="B531" s="67">
        <f>IF(Magick!$A$3=10,1,2)</f>
        <v>2</v>
      </c>
      <c r="C531" s="67">
        <f ca="1">IF(magestuff!$F$200&lt;1,1,magestuff!$F$200)</f>
        <v>2</v>
      </c>
      <c r="D531" s="67">
        <f t="shared" si="79"/>
        <v>0</v>
      </c>
      <c r="E531" s="77">
        <f ca="1">IF(F531="y",HLOOKUP(C531,Magick!$C$20:$L$21,2),NA())</f>
        <v>21</v>
      </c>
      <c r="F531" s="67" t="str">
        <f ca="1">IF(C531&lt;=Magick!$D$3,"Y","N")</f>
        <v>Y</v>
      </c>
      <c r="G531" s="148" t="s">
        <v>128</v>
      </c>
      <c r="H531" s="151"/>
      <c r="I531" s="77" t="e">
        <f>IF(H531&gt;0,(HLOOKUP(C531,Magick!$C$20:$L$21,2)-HLOOKUP(H531,Magick!$C$20:$L$21,2)),NA())</f>
        <v>#N/A</v>
      </c>
      <c r="J531" s="77"/>
      <c r="K531" s="67">
        <f>IF(Magick!$A$3=10,3,4)</f>
        <v>4</v>
      </c>
      <c r="L531" s="72" t="str">
        <f>IF(H531&gt;0,Magick!$AR$22-('Master Spell List'!H530*0.1),"N/A")</f>
        <v>N/A</v>
      </c>
      <c r="M531" s="72">
        <f ca="1">Magick!$H$72</f>
        <v>0.1</v>
      </c>
      <c r="N531" s="72">
        <f ca="1">Magick!$K$72</f>
        <v>0.15000000000000002</v>
      </c>
      <c r="O531" s="72">
        <f ca="1">Magick!$L$72</f>
        <v>0.15000000000000002</v>
      </c>
      <c r="P531" s="72">
        <f ca="1">Magick!$M$72</f>
        <v>0.15000000000000002</v>
      </c>
      <c r="Q531" s="67" t="s">
        <v>113</v>
      </c>
      <c r="R531" s="67" t="str">
        <f>IF(Q531="Ritual","N/A",IF(Q531="I.E.","N/A",IF(Q531="WOG",VLOOKUP(Magick!$I$72*100,magestuff!$B$134:$F$138,2),IF(Q531="Cantrip",VLOOKUP(Magick!$I$72*100,magestuff!$B$134:$F$138,3),IF(Q531="Hex",VLOOKUP(Magick!$I$72*100,magestuff!$B$134:$F$138,4),VLOOKUP(Magick!$I$72*100,magestuff!$B$134:$F$138,5))))))</f>
        <v>N/A</v>
      </c>
      <c r="S531" s="67"/>
      <c r="T531" s="67"/>
      <c r="U531" s="67" t="str">
        <f t="shared" si="80"/>
        <v xml:space="preserve"> </v>
      </c>
      <c r="V531" s="515"/>
      <c r="W531" s="125"/>
      <c r="X531" s="31">
        <f t="shared" si="81"/>
        <v>0</v>
      </c>
      <c r="Y531" s="509"/>
      <c r="Z531" s="1054" t="str">
        <f t="shared" si="77"/>
        <v>Detect Tracks</v>
      </c>
      <c r="AA531" s="1072" t="str">
        <f t="shared" si="78"/>
        <v>Divination</v>
      </c>
    </row>
    <row r="532" spans="1:27" s="954" customFormat="1" hidden="1" outlineLevel="1">
      <c r="A532" s="83" t="s">
        <v>871</v>
      </c>
      <c r="B532" s="67">
        <v>2</v>
      </c>
      <c r="C532" s="67">
        <f ca="1">IF(magestuff!$F$200&lt;1,1,magestuff!$F$200)</f>
        <v>2</v>
      </c>
      <c r="D532" s="67">
        <f t="shared" si="79"/>
        <v>0</v>
      </c>
      <c r="E532" s="77">
        <f ca="1">IF(F532="y",HLOOKUP(C532,Magick!$C$20:$L$21,2),NA())</f>
        <v>21</v>
      </c>
      <c r="F532" s="67" t="str">
        <f ca="1">IF(C532&lt;=Magick!$D$3,"Y","N")</f>
        <v>Y</v>
      </c>
      <c r="G532" s="148" t="s">
        <v>129</v>
      </c>
      <c r="H532" s="151"/>
      <c r="I532" s="77" t="e">
        <f>IF(H532&gt;0,(HLOOKUP(C532,Magick!$C$20:$L$21,2)-HLOOKUP(H532,Magick!$C$20:$L$21,2)),NA())</f>
        <v>#N/A</v>
      </c>
      <c r="J532" s="77"/>
      <c r="K532" s="67" t="s">
        <v>108</v>
      </c>
      <c r="L532" s="72" t="str">
        <f>IF(H532&gt;0,Magick!$AR$22-('Master Spell List'!H578*0.1),"N/A")</f>
        <v>N/A</v>
      </c>
      <c r="M532" s="72">
        <f ca="1">Magick!$H$72</f>
        <v>0.1</v>
      </c>
      <c r="N532" s="72">
        <f ca="1">Magick!$K$72</f>
        <v>0.15000000000000002</v>
      </c>
      <c r="O532" s="72">
        <f ca="1">Magick!$L$72</f>
        <v>0.15000000000000002</v>
      </c>
      <c r="P532" s="72">
        <f ca="1">Magick!$M$72</f>
        <v>0.15000000000000002</v>
      </c>
      <c r="Q532" s="67" t="s">
        <v>3723</v>
      </c>
      <c r="R532" s="67">
        <f ca="1">IF(Q532="Ritual","N/A",IF(Q532="I.E.","N/A",IF(Q532="WOG",VLOOKUP(Magick!$I$72*100,magestuff!$B$134:$F$138,2),IF(Q532="Cantrip",VLOOKUP(Magick!$I$72*100,magestuff!$B$134:$F$138,3),IF(Q532="Hex",VLOOKUP(Magick!$I$72*100,magestuff!$B$134:$F$138,4),VLOOKUP(Magick!$I$72*100,magestuff!$B$134:$F$138,5))))))</f>
        <v>29</v>
      </c>
      <c r="S532" s="67" t="s">
        <v>5545</v>
      </c>
      <c r="T532" s="67"/>
      <c r="U532" s="67" t="str">
        <f t="shared" si="80"/>
        <v xml:space="preserve"> </v>
      </c>
      <c r="V532" s="515"/>
      <c r="W532" s="125"/>
      <c r="X532" s="31">
        <f t="shared" si="81"/>
        <v>0</v>
      </c>
      <c r="Y532" s="509"/>
      <c r="Z532" s="1054" t="str">
        <f t="shared" si="77"/>
        <v>Least Hindsight</v>
      </c>
      <c r="AA532" s="1072" t="str">
        <f t="shared" si="78"/>
        <v>Divination</v>
      </c>
    </row>
    <row r="533" spans="1:27" s="954" customFormat="1" hidden="1" outlineLevel="1">
      <c r="A533" s="31" t="s">
        <v>3662</v>
      </c>
      <c r="B533" s="67">
        <v>2</v>
      </c>
      <c r="C533" s="67">
        <f ca="1">IF(magestuff!$F$200&lt;1,1,magestuff!$F$200)</f>
        <v>2</v>
      </c>
      <c r="D533" s="67">
        <f t="shared" si="79"/>
        <v>0</v>
      </c>
      <c r="E533" s="77">
        <f ca="1">IF(F533="y",HLOOKUP(C533,Magick!$C$20:$L$21,2),NA())</f>
        <v>21</v>
      </c>
      <c r="F533" s="67" t="str">
        <f ca="1">IF(C533&lt;=Magick!$D$3,"Y","N")</f>
        <v>Y</v>
      </c>
      <c r="G533" s="148" t="s">
        <v>128</v>
      </c>
      <c r="H533" s="151"/>
      <c r="I533" s="77" t="e">
        <f>IF(H533&gt;0,(HLOOKUP(C533,Magick!$C$20:$L$21,2)-HLOOKUP(H533,Magick!$C$20:$L$21,2)),NA())</f>
        <v>#N/A</v>
      </c>
      <c r="J533" s="77"/>
      <c r="K533" s="67">
        <v>4</v>
      </c>
      <c r="L533" s="72" t="str">
        <f>IF(H533&gt;0,Magick!$AR$22-('Master Spell List'!H533*0.1),"N/A")</f>
        <v>N/A</v>
      </c>
      <c r="M533" s="72">
        <f ca="1">Magick!$H$72</f>
        <v>0.1</v>
      </c>
      <c r="N533" s="72">
        <f ca="1">Magick!$K$72</f>
        <v>0.15000000000000002</v>
      </c>
      <c r="O533" s="72">
        <f ca="1">Magick!$L$72</f>
        <v>0.15000000000000002</v>
      </c>
      <c r="P533" s="72">
        <f ca="1">Magick!$M$72</f>
        <v>0.15000000000000002</v>
      </c>
      <c r="Q533" s="67" t="s">
        <v>113</v>
      </c>
      <c r="R533" s="67" t="str">
        <f>IF(Q533="Ritual","N/A",IF(Q533="I.E.","N/A",IF(Q533="WOG",VLOOKUP(Magick!$I$72*100,magestuff!$B$134:$F$138,2),IF(Q533="Cantrip",VLOOKUP(Magick!$I$72*100,magestuff!$B$134:$F$138,3),IF(Q533="Hex",VLOOKUP(Magick!$I$72*100,magestuff!$B$134:$F$138,4),VLOOKUP(Magick!$I$72*100,magestuff!$B$134:$F$138,5))))))</f>
        <v>N/A</v>
      </c>
      <c r="S533" s="67"/>
      <c r="T533" s="67"/>
      <c r="U533" s="67" t="str">
        <f t="shared" si="80"/>
        <v xml:space="preserve"> </v>
      </c>
      <c r="V533" s="515"/>
      <c r="W533" s="125"/>
      <c r="X533" s="31">
        <f t="shared" si="81"/>
        <v>0</v>
      </c>
      <c r="Y533" s="509"/>
      <c r="Z533" s="1054" t="str">
        <f t="shared" si="77"/>
        <v>Scry the Imminent</v>
      </c>
      <c r="AA533" s="1072" t="str">
        <f t="shared" si="78"/>
        <v>Divination</v>
      </c>
    </row>
    <row r="534" spans="1:27" s="954" customFormat="1" hidden="1" outlineLevel="1">
      <c r="A534" s="31" t="s">
        <v>1257</v>
      </c>
      <c r="B534" s="67">
        <v>2</v>
      </c>
      <c r="C534" s="67">
        <f ca="1">IF(magestuff!$F$200&lt;1,1,magestuff!$F$200)</f>
        <v>2</v>
      </c>
      <c r="D534" s="67">
        <f t="shared" si="79"/>
        <v>0</v>
      </c>
      <c r="E534" s="77">
        <f ca="1">IF(F534="y",HLOOKUP(C534,Magick!$C$20:$L$21,2),NA())</f>
        <v>21</v>
      </c>
      <c r="F534" s="67" t="str">
        <f ca="1">IF(C534&lt;=Magick!$D$3,"Y","N")</f>
        <v>Y</v>
      </c>
      <c r="G534" s="148" t="s">
        <v>128</v>
      </c>
      <c r="H534" s="151"/>
      <c r="I534" s="77" t="e">
        <f>IF(H534&gt;0,(HLOOKUP(C534,Magick!$C$20:$L$21,2)-HLOOKUP(H534,Magick!$C$20:$L$21,2)),NA())</f>
        <v>#N/A</v>
      </c>
      <c r="J534" s="77"/>
      <c r="K534" s="67">
        <v>4</v>
      </c>
      <c r="L534" s="72" t="str">
        <f>IF(H534&gt;0,Magick!$AR$22-('Master Spell List'!H538*0.1),"N/A")</f>
        <v>N/A</v>
      </c>
      <c r="M534" s="72">
        <f ca="1">Magick!$H$72</f>
        <v>0.1</v>
      </c>
      <c r="N534" s="72">
        <f ca="1">Magick!$K$72</f>
        <v>0.15000000000000002</v>
      </c>
      <c r="O534" s="72">
        <f ca="1">Magick!$L$72</f>
        <v>0.15000000000000002</v>
      </c>
      <c r="P534" s="72">
        <f ca="1">Magick!$M$72</f>
        <v>0.15000000000000002</v>
      </c>
      <c r="Q534" s="67" t="s">
        <v>4602</v>
      </c>
      <c r="R534" s="67">
        <f ca="1">IF(Q534="Ritual","N/A",IF(Q534="I.E.","N/A",IF(Q534="WOG",VLOOKUP(Magick!$I$72*100,magestuff!$B$134:$F$138,2),IF(Q534="Cantrip",VLOOKUP(Magick!$I$72*100,magestuff!$B$134:$F$138,3),IF(Q534="Hex",VLOOKUP(Magick!$I$72*100,magestuff!$B$134:$F$138,4),VLOOKUP(Magick!$I$72*100,magestuff!$B$134:$F$138,5))))))</f>
        <v>19</v>
      </c>
      <c r="S534" s="67"/>
      <c r="T534" s="67"/>
      <c r="U534" s="67" t="str">
        <f t="shared" si="80"/>
        <v xml:space="preserve"> </v>
      </c>
      <c r="V534" s="515"/>
      <c r="W534" s="125"/>
      <c r="X534" s="31">
        <f t="shared" si="81"/>
        <v>0</v>
      </c>
      <c r="Y534" s="509"/>
      <c r="Z534" s="1054" t="str">
        <f t="shared" si="77"/>
        <v>Sight of the Unicorn</v>
      </c>
      <c r="AA534" s="1072" t="str">
        <f t="shared" si="78"/>
        <v>Divination</v>
      </c>
    </row>
    <row r="535" spans="1:27" s="954" customFormat="1" hidden="1" outlineLevel="1">
      <c r="A535" s="83" t="s">
        <v>2211</v>
      </c>
      <c r="B535" s="67">
        <v>2</v>
      </c>
      <c r="C535" s="67">
        <f ca="1">IF(magestuff!$F$200&lt;1,1,magestuff!$F$200)</f>
        <v>2</v>
      </c>
      <c r="D535" s="67">
        <f t="shared" si="79"/>
        <v>0</v>
      </c>
      <c r="E535" s="77">
        <f ca="1">IF(F535="y",HLOOKUP(C535,Magick!$C$20:$L$21,2),NA())</f>
        <v>21</v>
      </c>
      <c r="F535" s="67" t="str">
        <f ca="1">IF(C535&lt;=Magick!$D$3,"Y","N")</f>
        <v>Y</v>
      </c>
      <c r="G535" s="148" t="s">
        <v>129</v>
      </c>
      <c r="H535" s="151"/>
      <c r="I535" s="77" t="e">
        <f>IF(H535&gt;0,(HLOOKUP(C535,Magick!$C$20:$L$21,2)-HLOOKUP(H535,Magick!$C$20:$L$21,2)),NA())</f>
        <v>#N/A</v>
      </c>
      <c r="J535" s="77"/>
      <c r="K535" s="67">
        <v>5</v>
      </c>
      <c r="L535" s="72" t="str">
        <f>IF(H535&gt;0,Magick!$AR$22-('Master Spell List'!H575*0.1),"N/A")</f>
        <v>N/A</v>
      </c>
      <c r="M535" s="72">
        <f ca="1">Magick!$H$72</f>
        <v>0.1</v>
      </c>
      <c r="N535" s="72">
        <f ca="1">Magick!$K$72</f>
        <v>0.15000000000000002</v>
      </c>
      <c r="O535" s="72">
        <f ca="1">Magick!$L$72</f>
        <v>0.15000000000000002</v>
      </c>
      <c r="P535" s="72">
        <f ca="1">Magick!$M$72</f>
        <v>0.15000000000000002</v>
      </c>
      <c r="Q535" s="67" t="s">
        <v>4603</v>
      </c>
      <c r="R535" s="67">
        <f ca="1">IF(Q535="Ritual","N/A",IF(Q535="I.E.","N/A",IF(Q535="WOG",VLOOKUP(Magick!$I$72*100,magestuff!$B$134:$F$138,2),IF(Q535="Cantrip",VLOOKUP(Magick!$I$72*100,magestuff!$B$134:$F$138,3),IF(Q535="Hex",VLOOKUP(Magick!$I$72*100,magestuff!$B$134:$F$138,4),VLOOKUP(Magick!$I$72*100,magestuff!$B$134:$F$138,5))))))</f>
        <v>9</v>
      </c>
      <c r="S535" s="67"/>
      <c r="T535" s="67"/>
      <c r="U535" s="67" t="str">
        <f t="shared" si="80"/>
        <v xml:space="preserve"> </v>
      </c>
      <c r="V535" s="515"/>
      <c r="W535" s="125"/>
      <c r="X535" s="31">
        <f t="shared" si="81"/>
        <v>0</v>
      </c>
      <c r="Y535" s="509"/>
      <c r="Z535" s="1054" t="str">
        <f t="shared" si="77"/>
        <v>Time Shadow</v>
      </c>
      <c r="AA535" s="1072" t="str">
        <f t="shared" si="78"/>
        <v>Divination</v>
      </c>
    </row>
    <row r="536" spans="1:27" s="954" customFormat="1" hidden="1" outlineLevel="1">
      <c r="A536" s="83" t="s">
        <v>2207</v>
      </c>
      <c r="B536" s="67">
        <v>2</v>
      </c>
      <c r="C536" s="67">
        <f ca="1">IF(magestuff!$F$200&lt;1,1,magestuff!$F$200)</f>
        <v>2</v>
      </c>
      <c r="D536" s="67">
        <f t="shared" si="79"/>
        <v>0</v>
      </c>
      <c r="E536" s="77">
        <f ca="1">IF(F536="y",HLOOKUP(C536,Magick!$C$20:$L$21,2),NA())</f>
        <v>21</v>
      </c>
      <c r="F536" s="67" t="str">
        <f ca="1">IF(C536&lt;=Magick!$D$3,"Y","N")</f>
        <v>Y</v>
      </c>
      <c r="G536" s="148" t="s">
        <v>129</v>
      </c>
      <c r="H536" s="151"/>
      <c r="I536" s="77" t="e">
        <f>IF(H536&gt;0,(HLOOKUP(C536,Magick!$C$20:$L$21,2)-HLOOKUP(H536,Magick!$C$20:$L$21,2)),NA())</f>
        <v>#N/A</v>
      </c>
      <c r="J536" s="77"/>
      <c r="K536" s="67">
        <v>3</v>
      </c>
      <c r="L536" s="72" t="str">
        <f>IF(H536&gt;0,Magick!$AR$22-('Master Spell List'!H546*0.1),"N/A")</f>
        <v>N/A</v>
      </c>
      <c r="M536" s="72">
        <f ca="1">Magick!$H$72</f>
        <v>0.1</v>
      </c>
      <c r="N536" s="72">
        <f ca="1">Magick!$K$72</f>
        <v>0.15000000000000002</v>
      </c>
      <c r="O536" s="72">
        <f ca="1">Magick!$L$72</f>
        <v>0.15000000000000002</v>
      </c>
      <c r="P536" s="72">
        <f ca="1">Magick!$M$72</f>
        <v>0.15000000000000002</v>
      </c>
      <c r="Q536" s="67" t="s">
        <v>4603</v>
      </c>
      <c r="R536" s="67">
        <f ca="1">IF(Q536="Ritual","N/A",IF(Q536="I.E.","N/A",IF(Q536="WOG",VLOOKUP(Magick!$I$72*100,magestuff!$B$134:$F$138,2),IF(Q536="Cantrip",VLOOKUP(Magick!$I$72*100,magestuff!$B$134:$F$138,3),IF(Q536="Hex",VLOOKUP(Magick!$I$72*100,magestuff!$B$134:$F$138,4),VLOOKUP(Magick!$I$72*100,magestuff!$B$134:$F$138,5))))))</f>
        <v>9</v>
      </c>
      <c r="S536" s="67" t="s">
        <v>2329</v>
      </c>
      <c r="T536" s="67" t="s">
        <v>4601</v>
      </c>
      <c r="U536" s="67" t="str">
        <f t="shared" si="80"/>
        <v xml:space="preserve"> </v>
      </c>
      <c r="V536" s="515"/>
      <c r="W536" s="125"/>
      <c r="X536" s="31">
        <f t="shared" si="81"/>
        <v>0</v>
      </c>
      <c r="Y536" s="509"/>
      <c r="Z536" s="1054" t="str">
        <f t="shared" si="77"/>
        <v>Weather Sense</v>
      </c>
      <c r="AA536" s="1072" t="str">
        <f t="shared" si="78"/>
        <v>Divination</v>
      </c>
    </row>
    <row r="537" spans="1:27" s="954" customFormat="1" hidden="1" outlineLevel="1">
      <c r="A537" s="83" t="s">
        <v>870</v>
      </c>
      <c r="B537" s="67">
        <v>3</v>
      </c>
      <c r="C537" s="67">
        <f ca="1">IF(magestuff!$I$200&lt;1,1,magestuff!$I$200)</f>
        <v>3</v>
      </c>
      <c r="D537" s="67">
        <f t="shared" si="79"/>
        <v>0</v>
      </c>
      <c r="E537" s="77" t="e">
        <f ca="1">IF(F537="y",HLOOKUP(C537,Magick!$C$20:$L$21,2),NA())</f>
        <v>#N/A</v>
      </c>
      <c r="F537" s="67" t="str">
        <f ca="1">IF(C537&lt;=Magick!$D$3,"Y","N")</f>
        <v>N</v>
      </c>
      <c r="G537" s="148" t="s">
        <v>129</v>
      </c>
      <c r="H537" s="151"/>
      <c r="I537" s="77" t="e">
        <f>IF(H537&gt;0,(HLOOKUP(C537,Magick!$C$20:$L$21,2)-HLOOKUP(H537,Magick!$C$20:$L$21,2)),NA())</f>
        <v>#N/A</v>
      </c>
      <c r="J537" s="77"/>
      <c r="K537" s="67">
        <v>5</v>
      </c>
      <c r="L537" s="72" t="str">
        <f>IF(H537&gt;0,Magick!$AR$22-('Master Spell List'!H576*0.1),"N/A")</f>
        <v>N/A</v>
      </c>
      <c r="M537" s="72">
        <f ca="1">Magick!$H$72</f>
        <v>0.1</v>
      </c>
      <c r="N537" s="72">
        <f ca="1">Magick!$K$72</f>
        <v>0.15000000000000002</v>
      </c>
      <c r="O537" s="72">
        <f ca="1">Magick!$L$72</f>
        <v>0.15000000000000002</v>
      </c>
      <c r="P537" s="72">
        <f ca="1">Magick!$M$72</f>
        <v>0.15000000000000002</v>
      </c>
      <c r="Q537" s="67" t="s">
        <v>4603</v>
      </c>
      <c r="R537" s="67">
        <f ca="1">IF(Q537="Ritual","N/A",IF(Q537="I.E.","N/A",IF(Q537="WOG",VLOOKUP(Magick!$I$72*100,magestuff!$B$134:$F$138,2),IF(Q537="Cantrip",VLOOKUP(Magick!$I$72*100,magestuff!$B$134:$F$138,3),IF(Q537="Hex",VLOOKUP(Magick!$I$72*100,magestuff!$B$134:$F$138,4),VLOOKUP(Magick!$I$72*100,magestuff!$B$134:$F$138,5))))))</f>
        <v>9</v>
      </c>
      <c r="S537" s="67"/>
      <c r="T537" s="67"/>
      <c r="U537" s="67" t="str">
        <f t="shared" si="80"/>
        <v xml:space="preserve"> </v>
      </c>
      <c r="V537" s="515"/>
      <c r="W537" s="125"/>
      <c r="X537" s="31">
        <f t="shared" si="81"/>
        <v>0</v>
      </c>
      <c r="Y537" s="509"/>
      <c r="Z537" s="1054" t="str">
        <f t="shared" si="77"/>
        <v>Delay</v>
      </c>
      <c r="AA537" s="1072" t="str">
        <f t="shared" si="78"/>
        <v>Divination</v>
      </c>
    </row>
    <row r="538" spans="1:27" s="954" customFormat="1" hidden="1" outlineLevel="1">
      <c r="A538" s="31" t="s">
        <v>3870</v>
      </c>
      <c r="B538" s="67">
        <f>IF(Magick!$A$3=10,2,3)</f>
        <v>3</v>
      </c>
      <c r="C538" s="67">
        <f ca="1">IF(magestuff!$I$200&lt;1,1,magestuff!$I$200)</f>
        <v>3</v>
      </c>
      <c r="D538" s="67">
        <f t="shared" si="79"/>
        <v>0</v>
      </c>
      <c r="E538" s="77" t="e">
        <f ca="1">IF(F538="y",HLOOKUP(C538,Magick!$C$20:$L$21,2),NA())</f>
        <v>#N/A</v>
      </c>
      <c r="F538" s="67" t="str">
        <f ca="1">IF(C538&lt;=Magick!$D$3,"Y","N")</f>
        <v>N</v>
      </c>
      <c r="G538" s="148" t="s">
        <v>128</v>
      </c>
      <c r="H538" s="151"/>
      <c r="I538" s="77" t="e">
        <f>IF(H538&gt;0,(HLOOKUP(C538,Magick!$C$20:$L$21,2)-HLOOKUP(H538,Magick!$C$20:$L$21,2)),NA())</f>
        <v>#N/A</v>
      </c>
      <c r="J538" s="77"/>
      <c r="K538" s="67">
        <f>IF(Magick!$A$3=10,4,7)</f>
        <v>7</v>
      </c>
      <c r="L538" s="72" t="str">
        <f>IF(H538&gt;0,Magick!$AR$22-('Master Spell List'!H521*0.1),"N/A")</f>
        <v>N/A</v>
      </c>
      <c r="M538" s="72">
        <f ca="1">Magick!$H$72</f>
        <v>0.1</v>
      </c>
      <c r="N538" s="72">
        <f ca="1">Magick!$K$72</f>
        <v>0.15000000000000002</v>
      </c>
      <c r="O538" s="72">
        <f ca="1">Magick!$L$72</f>
        <v>0.15000000000000002</v>
      </c>
      <c r="P538" s="72">
        <f ca="1">Magick!$M$72</f>
        <v>0.15000000000000002</v>
      </c>
      <c r="Q538" s="67" t="str">
        <f>IF(Magick!$A$3=7,"Hex","Sorcery")</f>
        <v>Sorcery</v>
      </c>
      <c r="R538" s="67">
        <f ca="1">IF(Q538="Ritual","N/A",IF(Q538="I.E.","N/A",IF(Q538="WOG",VLOOKUP(Magick!$I$72*100,magestuff!$B$134:$F$138,2),IF(Q538="Cantrip",VLOOKUP(Magick!$I$72*100,magestuff!$B$134:$F$138,3),IF(Q538="Hex",VLOOKUP(Magick!$I$72*100,magestuff!$B$134:$F$138,4),VLOOKUP(Magick!$I$72*100,magestuff!$B$134:$F$138,5))))))</f>
        <v>29</v>
      </c>
      <c r="S538" s="67"/>
      <c r="T538" s="67"/>
      <c r="U538" s="67" t="str">
        <f t="shared" si="80"/>
        <v xml:space="preserve"> </v>
      </c>
      <c r="V538" s="515"/>
      <c r="W538" s="125"/>
      <c r="X538" s="31">
        <f t="shared" si="81"/>
        <v>0</v>
      </c>
      <c r="Y538" s="509"/>
      <c r="Z538" s="1054" t="str">
        <f t="shared" si="77"/>
        <v>Detect Astral Being</v>
      </c>
      <c r="AA538" s="1072" t="str">
        <f t="shared" si="78"/>
        <v>Divination</v>
      </c>
    </row>
    <row r="539" spans="1:27" hidden="1" outlineLevel="1">
      <c r="A539" s="83" t="s">
        <v>2205</v>
      </c>
      <c r="B539" s="67">
        <f>IF(Magick!$A$3=10,1,3)</f>
        <v>3</v>
      </c>
      <c r="C539" s="67">
        <f ca="1">IF(magestuff!$I$200&lt;1,1,magestuff!$I$200)</f>
        <v>3</v>
      </c>
      <c r="D539" s="67">
        <f t="shared" si="79"/>
        <v>0</v>
      </c>
      <c r="E539" s="77" t="e">
        <f ca="1">IF(F539="y",HLOOKUP(C539,Magick!$C$20:$L$21,2),NA())</f>
        <v>#N/A</v>
      </c>
      <c r="F539" s="67" t="str">
        <f ca="1">IF(C539&lt;=Magick!$D$3,"Y","N")</f>
        <v>N</v>
      </c>
      <c r="G539" s="148" t="s">
        <v>129</v>
      </c>
      <c r="H539" s="151"/>
      <c r="I539" s="77" t="e">
        <f>IF(H539&gt;0,(HLOOKUP(C539,Magick!$C$20:$L$21,2)-HLOOKUP(H539,Magick!$C$20:$L$21,2)),NA())</f>
        <v>#N/A</v>
      </c>
      <c r="J539" s="77"/>
      <c r="K539" s="67">
        <f>IF(Magick!$A$3=10,4,6)</f>
        <v>6</v>
      </c>
      <c r="L539" s="72" t="str">
        <f>IF(H539&gt;0,Magick!$AR$22-('Master Spell List'!H544*0.1),"N/A")</f>
        <v>N/A</v>
      </c>
      <c r="M539" s="72">
        <f ca="1">Magick!$H$72</f>
        <v>0.1</v>
      </c>
      <c r="N539" s="72">
        <f ca="1">Magick!$K$72</f>
        <v>0.15000000000000002</v>
      </c>
      <c r="O539" s="72">
        <f ca="1">Magick!$L$72</f>
        <v>0.15000000000000002</v>
      </c>
      <c r="P539" s="72">
        <f ca="1">Magick!$M$72</f>
        <v>0.15000000000000002</v>
      </c>
      <c r="Q539" s="67" t="s">
        <v>113</v>
      </c>
      <c r="R539" s="67" t="str">
        <f>IF(Q539="Ritual","N/A",IF(Q539="I.E.","N/A",IF(Q539="WOG",VLOOKUP(Magick!$I$72*100,magestuff!$B$134:$F$138,2),IF(Q539="Cantrip",VLOOKUP(Magick!$I$72*100,magestuff!$B$134:$F$138,3),IF(Q539="Hex",VLOOKUP(Magick!$I$72*100,magestuff!$B$134:$F$138,4),VLOOKUP(Magick!$I$72*100,magestuff!$B$134:$F$138,5))))))</f>
        <v>N/A</v>
      </c>
      <c r="U539" s="67" t="str">
        <f t="shared" si="80"/>
        <v xml:space="preserve"> </v>
      </c>
      <c r="V539" s="515"/>
      <c r="W539" s="125"/>
      <c r="X539" s="31">
        <f t="shared" si="81"/>
        <v>0</v>
      </c>
      <c r="Y539" s="509"/>
      <c r="Z539" s="1054" t="str">
        <f t="shared" si="77"/>
        <v>Detect Crystal</v>
      </c>
      <c r="AA539" s="1072" t="str">
        <f t="shared" si="78"/>
        <v>Divination</v>
      </c>
    </row>
    <row r="540" spans="1:27" hidden="1" outlineLevel="1">
      <c r="A540" s="31" t="s">
        <v>622</v>
      </c>
      <c r="B540" s="67">
        <f>IF(Magick!$A$3=10,2,3)</f>
        <v>3</v>
      </c>
      <c r="C540" s="67">
        <f ca="1">IF(magestuff!$I$200&lt;1,1,magestuff!$I$200)</f>
        <v>3</v>
      </c>
      <c r="D540" s="67">
        <f t="shared" si="79"/>
        <v>0</v>
      </c>
      <c r="E540" s="77" t="e">
        <f ca="1">IF(F540="y",HLOOKUP(C540,Magick!$C$20:$L$21,2),NA())</f>
        <v>#N/A</v>
      </c>
      <c r="F540" s="67" t="str">
        <f ca="1">IF(C540&lt;=Magick!$D$3,"Y","N")</f>
        <v>N</v>
      </c>
      <c r="G540" s="148" t="s">
        <v>128</v>
      </c>
      <c r="H540" s="151"/>
      <c r="I540" s="77" t="e">
        <f>IF(H540&gt;0,(HLOOKUP(C540,Magick!$C$20:$L$21,2)-HLOOKUP(H540,Magick!$C$20:$L$21,2)),NA())</f>
        <v>#N/A</v>
      </c>
      <c r="J540" s="77"/>
      <c r="K540" s="67">
        <f>IF(Magick!$A$3=10,4,5)</f>
        <v>5</v>
      </c>
      <c r="L540" s="72" t="str">
        <f>IF(H540&gt;0,Magick!$AR$22-('Master Spell List'!H527*0.1),"N/A")</f>
        <v>N/A</v>
      </c>
      <c r="M540" s="72">
        <f ca="1">Magick!$H$72</f>
        <v>0.1</v>
      </c>
      <c r="N540" s="72">
        <f ca="1">Magick!$K$72</f>
        <v>0.15000000000000002</v>
      </c>
      <c r="O540" s="72">
        <f ca="1">Magick!$L$72</f>
        <v>0.15000000000000002</v>
      </c>
      <c r="P540" s="72">
        <f ca="1">Magick!$M$72</f>
        <v>0.15000000000000002</v>
      </c>
      <c r="Q540" s="67" t="str">
        <f>IF(Magick!$A$3=7,"Sorcery","Ritual")</f>
        <v>Ritual</v>
      </c>
      <c r="R540" s="67" t="str">
        <f>IF(Q540="Ritual","N/A",IF(Q540="I.E.","N/A",IF(Q540="WOG",VLOOKUP(Magick!$I$72*100,magestuff!$B$134:$F$138,2),IF(Q540="Cantrip",VLOOKUP(Magick!$I$72*100,magestuff!$B$134:$F$138,3),IF(Q540="Hex",VLOOKUP(Magick!$I$72*100,magestuff!$B$134:$F$138,4),VLOOKUP(Magick!$I$72*100,magestuff!$B$134:$F$138,5))))))</f>
        <v>N/A</v>
      </c>
      <c r="U540" s="67" t="str">
        <f t="shared" si="80"/>
        <v xml:space="preserve"> </v>
      </c>
      <c r="V540" s="515"/>
      <c r="W540" s="125"/>
      <c r="X540" s="31">
        <f t="shared" si="81"/>
        <v>0</v>
      </c>
      <c r="Y540" s="509"/>
      <c r="Z540" s="1054" t="str">
        <f t="shared" si="77"/>
        <v>Detect Enemies</v>
      </c>
      <c r="AA540" s="1072" t="str">
        <f t="shared" si="78"/>
        <v>Divination</v>
      </c>
    </row>
    <row r="541" spans="1:27" hidden="1" outlineLevel="1">
      <c r="A541" s="31" t="s">
        <v>1259</v>
      </c>
      <c r="B541" s="67">
        <f>IF(Magick!$A$3=10,2,3)</f>
        <v>3</v>
      </c>
      <c r="C541" s="67">
        <f ca="1">IF(magestuff!$I$200&lt;1,1,magestuff!$I$200)</f>
        <v>3</v>
      </c>
      <c r="D541" s="67">
        <f t="shared" si="79"/>
        <v>0</v>
      </c>
      <c r="E541" s="77" t="e">
        <f ca="1">IF(F541="y",HLOOKUP(C541,Magick!$C$20:$L$21,2),NA())</f>
        <v>#N/A</v>
      </c>
      <c r="F541" s="67" t="str">
        <f ca="1">IF(C541&lt;=Magick!$D$3,"Y","N")</f>
        <v>N</v>
      </c>
      <c r="G541" s="148" t="s">
        <v>128</v>
      </c>
      <c r="H541" s="151"/>
      <c r="I541" s="77" t="e">
        <f>IF(H541&gt;0,(HLOOKUP(C541,Magick!$C$20:$L$21,2)-HLOOKUP(H541,Magick!$C$20:$L$21,2)),NA())</f>
        <v>#N/A</v>
      </c>
      <c r="J541" s="77"/>
      <c r="K541" s="67">
        <f>IF(Magick!$A$3=10,4,5)</f>
        <v>5</v>
      </c>
      <c r="L541" s="72" t="str">
        <f>IF(H541&gt;0,Magick!$AR$22-('Master Spell List'!H526*0.1),"N/A")</f>
        <v>N/A</v>
      </c>
      <c r="M541" s="72">
        <f ca="1">Magick!$H$72</f>
        <v>0.1</v>
      </c>
      <c r="N541" s="72">
        <f ca="1">Magick!$K$72</f>
        <v>0.15000000000000002</v>
      </c>
      <c r="O541" s="72">
        <f ca="1">Magick!$L$72</f>
        <v>0.15000000000000002</v>
      </c>
      <c r="P541" s="72">
        <f ca="1">Magick!$M$72</f>
        <v>0.15000000000000002</v>
      </c>
      <c r="Q541" s="67" t="str">
        <f>IF(Magick!$A$3=7,"Sorcery","Ritual")</f>
        <v>Ritual</v>
      </c>
      <c r="R541" s="67" t="str">
        <f>IF(Q541="Ritual","N/A",IF(Q541="I.E.","N/A",IF(Q541="WOG",VLOOKUP(Magick!$I$72*100,magestuff!$B$134:$F$138,2),IF(Q541="Cantrip",VLOOKUP(Magick!$I$72*100,magestuff!$B$134:$F$138,3),IF(Q541="Hex",VLOOKUP(Magick!$I$72*100,magestuff!$B$134:$F$138,4),VLOOKUP(Magick!$I$72*100,magestuff!$B$134:$F$138,5))))))</f>
        <v>N/A</v>
      </c>
      <c r="U541" s="67" t="str">
        <f t="shared" si="80"/>
        <v xml:space="preserve"> </v>
      </c>
      <c r="V541" s="515"/>
      <c r="W541" s="125"/>
      <c r="X541" s="31">
        <f t="shared" si="81"/>
        <v>0</v>
      </c>
      <c r="Y541" s="509"/>
      <c r="Z541" s="1054" t="str">
        <f t="shared" si="77"/>
        <v>Detect Evil</v>
      </c>
      <c r="AA541" s="1072" t="str">
        <f t="shared" si="78"/>
        <v>Divination</v>
      </c>
    </row>
    <row r="542" spans="1:27" hidden="1" outlineLevel="1">
      <c r="A542" s="31" t="s">
        <v>4265</v>
      </c>
      <c r="B542" s="67">
        <f>IF(Magick!$A$3=10,1,3)</f>
        <v>3</v>
      </c>
      <c r="C542" s="67">
        <f ca="1">IF(magestuff!$I$200&lt;1,1,magestuff!$I$200)</f>
        <v>3</v>
      </c>
      <c r="D542" s="67">
        <f t="shared" si="79"/>
        <v>0</v>
      </c>
      <c r="E542" s="77" t="e">
        <f ca="1">IF(F542="y",HLOOKUP(C542,Magick!$C$20:$L$21,2),NA())</f>
        <v>#N/A</v>
      </c>
      <c r="F542" s="67" t="str">
        <f ca="1">IF(C542&lt;=Magick!$D$3,"Y","N")</f>
        <v>N</v>
      </c>
      <c r="G542" s="148" t="s">
        <v>128</v>
      </c>
      <c r="H542" s="151"/>
      <c r="I542" s="77" t="e">
        <f>IF(H542&gt;0,(HLOOKUP(C542,Magick!$C$20:$L$21,2)-HLOOKUP(H542,Magick!$C$20:$L$21,2)),NA())</f>
        <v>#N/A</v>
      </c>
      <c r="J542" s="77"/>
      <c r="K542" s="67">
        <f>IF(Magick!$A$3=10,3,6)</f>
        <v>6</v>
      </c>
      <c r="L542" s="72" t="str">
        <f>IF(H542&gt;0,Magick!$AR$22-('Master Spell List'!H528*0.1),"N/A")</f>
        <v>N/A</v>
      </c>
      <c r="M542" s="72">
        <f ca="1">Magick!$H$72</f>
        <v>0.1</v>
      </c>
      <c r="N542" s="72">
        <f ca="1">Magick!$K$72</f>
        <v>0.15000000000000002</v>
      </c>
      <c r="O542" s="72">
        <f ca="1">Magick!$L$72</f>
        <v>0.15000000000000002</v>
      </c>
      <c r="P542" s="72">
        <f ca="1">Magick!$M$72</f>
        <v>0.15000000000000002</v>
      </c>
      <c r="Q542" s="67" t="s">
        <v>113</v>
      </c>
      <c r="R542" s="67" t="str">
        <f>IF(Q542="Ritual","N/A",IF(Q542="I.E.","N/A",IF(Q542="WOG",VLOOKUP(Magick!$I$72*100,magestuff!$B$134:$F$138,2),IF(Q542="Cantrip",VLOOKUP(Magick!$I$72*100,magestuff!$B$134:$F$138,3),IF(Q542="Hex",VLOOKUP(Magick!$I$72*100,magestuff!$B$134:$F$138,4),VLOOKUP(Magick!$I$72*100,magestuff!$B$134:$F$138,5))))))</f>
        <v>N/A</v>
      </c>
      <c r="U542" s="67" t="str">
        <f t="shared" si="80"/>
        <v xml:space="preserve"> </v>
      </c>
      <c r="V542" s="515"/>
      <c r="W542" s="125"/>
      <c r="X542" s="31">
        <f t="shared" si="81"/>
        <v>0</v>
      </c>
      <c r="Y542" s="509"/>
      <c r="Z542" s="1054" t="str">
        <f t="shared" si="77"/>
        <v>Detect Metal</v>
      </c>
      <c r="AA542" s="1072" t="str">
        <f t="shared" si="78"/>
        <v>Divination</v>
      </c>
    </row>
    <row r="543" spans="1:27" hidden="1" outlineLevel="1">
      <c r="A543" s="83" t="s">
        <v>2204</v>
      </c>
      <c r="B543" s="67">
        <f>IF(Magick!$A$3=10,2,3)</f>
        <v>3</v>
      </c>
      <c r="C543" s="67">
        <f ca="1">IF(magestuff!$I$200&lt;1,1,magestuff!$I$200)</f>
        <v>3</v>
      </c>
      <c r="D543" s="67">
        <f t="shared" si="79"/>
        <v>0</v>
      </c>
      <c r="E543" s="77" t="e">
        <f ca="1">IF(F543="y",HLOOKUP(C543,Magick!$C$20:$L$21,2),NA())</f>
        <v>#N/A</v>
      </c>
      <c r="F543" s="67" t="str">
        <f ca="1">IF(C543&lt;=Magick!$D$3,"Y","N")</f>
        <v>N</v>
      </c>
      <c r="G543" s="148" t="s">
        <v>129</v>
      </c>
      <c r="H543" s="151"/>
      <c r="I543" s="77" t="e">
        <f>IF(H543&gt;0,(HLOOKUP(C543,Magick!$C$20:$L$21,2)-HLOOKUP(H543,Magick!$C$20:$L$21,2)),NA())</f>
        <v>#N/A</v>
      </c>
      <c r="J543" s="77"/>
      <c r="K543" s="67">
        <f>IF(Magick!$A$3=10,4,6)</f>
        <v>6</v>
      </c>
      <c r="L543" s="72" t="str">
        <f>IF(H543&gt;0,Magick!$AR$22-('Master Spell List'!H543*0.1),"N/A")</f>
        <v>N/A</v>
      </c>
      <c r="M543" s="72">
        <f ca="1">Magick!$H$72</f>
        <v>0.1</v>
      </c>
      <c r="N543" s="72">
        <f ca="1">Magick!$K$72</f>
        <v>0.15000000000000002</v>
      </c>
      <c r="O543" s="72">
        <f ca="1">Magick!$L$72</f>
        <v>0.15000000000000002</v>
      </c>
      <c r="P543" s="72">
        <f ca="1">Magick!$M$72</f>
        <v>0.15000000000000002</v>
      </c>
      <c r="Q543" s="67" t="s">
        <v>113</v>
      </c>
      <c r="R543" s="67" t="str">
        <f>IF(Q543="Ritual","N/A",IF(Q543="I.E.","N/A",IF(Q543="WOG",VLOOKUP(Magick!$I$72*100,magestuff!$B$134:$F$138,2),IF(Q543="Cantrip",VLOOKUP(Magick!$I$72*100,magestuff!$B$134:$F$138,3),IF(Q543="Hex",VLOOKUP(Magick!$I$72*100,magestuff!$B$134:$F$138,4),VLOOKUP(Magick!$I$72*100,magestuff!$B$134:$F$138,5))))))</f>
        <v>N/A</v>
      </c>
      <c r="U543" s="67" t="str">
        <f t="shared" si="80"/>
        <v xml:space="preserve"> </v>
      </c>
      <c r="V543" s="515"/>
      <c r="W543" s="125"/>
      <c r="X543" s="31">
        <f t="shared" si="81"/>
        <v>0</v>
      </c>
      <c r="Y543" s="509"/>
      <c r="Z543" s="1054" t="str">
        <f t="shared" si="77"/>
        <v>Detect Plant</v>
      </c>
      <c r="AA543" s="1072" t="str">
        <f t="shared" si="78"/>
        <v>Divination</v>
      </c>
    </row>
    <row r="544" spans="1:27" hidden="1" outlineLevel="1">
      <c r="A544" s="31" t="s">
        <v>2468</v>
      </c>
      <c r="B544" s="67">
        <f>IF(Magick!$A$3=10,2,3)</f>
        <v>3</v>
      </c>
      <c r="C544" s="67">
        <f ca="1">IF(magestuff!$I$200&lt;1,1,magestuff!$I$200)</f>
        <v>3</v>
      </c>
      <c r="D544" s="67">
        <f t="shared" si="79"/>
        <v>0</v>
      </c>
      <c r="E544" s="77" t="e">
        <f ca="1">IF(F544="y",HLOOKUP(C544,Magick!$C$20:$L$21,2),NA())</f>
        <v>#N/A</v>
      </c>
      <c r="F544" s="67" t="str">
        <f ca="1">IF(C544&lt;=Magick!$D$3,"Y","N")</f>
        <v>N</v>
      </c>
      <c r="G544" s="148" t="s">
        <v>128</v>
      </c>
      <c r="H544" s="151"/>
      <c r="I544" s="77" t="e">
        <f>IF(H544&gt;0,(HLOOKUP(C544,Magick!$C$20:$L$21,2)-HLOOKUP(H544,Magick!$C$20:$L$21,2)),NA())</f>
        <v>#N/A</v>
      </c>
      <c r="J544" s="77"/>
      <c r="K544" s="67">
        <f>IF(Magick!$A$3=10,4,5)</f>
        <v>5</v>
      </c>
      <c r="L544" s="72" t="str">
        <f>IF(H544&gt;0,Magick!$AR$22-('Master Spell List'!H520*0.1),"N/A")</f>
        <v>N/A</v>
      </c>
      <c r="M544" s="72">
        <f ca="1">Magick!$H$72</f>
        <v>0.1</v>
      </c>
      <c r="N544" s="72">
        <f ca="1">Magick!$K$72</f>
        <v>0.15000000000000002</v>
      </c>
      <c r="O544" s="72">
        <f ca="1">Magick!$L$72</f>
        <v>0.15000000000000002</v>
      </c>
      <c r="P544" s="72">
        <f ca="1">Magick!$M$72</f>
        <v>0.15000000000000002</v>
      </c>
      <c r="Q544" s="67" t="str">
        <f>IF(Magick!$A$3=7,"Hex","Sorcery")</f>
        <v>Sorcery</v>
      </c>
      <c r="R544" s="67">
        <f ca="1">IF(Q544="Ritual","N/A",IF(Q544="I.E.","N/A",IF(Q544="WOG",VLOOKUP(Magick!$I$72*100,magestuff!$B$134:$F$138,2),IF(Q544="Cantrip",VLOOKUP(Magick!$I$72*100,magestuff!$B$134:$F$138,3),IF(Q544="Hex",VLOOKUP(Magick!$I$72*100,magestuff!$B$134:$F$138,4),VLOOKUP(Magick!$I$72*100,magestuff!$B$134:$F$138,5))))))</f>
        <v>29</v>
      </c>
      <c r="U544" s="67" t="str">
        <f t="shared" si="80"/>
        <v xml:space="preserve"> </v>
      </c>
      <c r="V544" s="515"/>
      <c r="W544" s="125"/>
      <c r="X544" s="31">
        <f t="shared" si="81"/>
        <v>0</v>
      </c>
      <c r="Y544" s="509"/>
      <c r="Z544" s="1054" t="str">
        <f t="shared" si="77"/>
        <v>Detect Supernatural</v>
      </c>
      <c r="AA544" s="1072" t="str">
        <f t="shared" si="78"/>
        <v>Divination</v>
      </c>
    </row>
    <row r="545" spans="1:27" hidden="1" outlineLevel="1">
      <c r="A545" s="31" t="s">
        <v>620</v>
      </c>
      <c r="B545" s="67">
        <f>IF(Magick!$A$3=10,2,3)</f>
        <v>3</v>
      </c>
      <c r="C545" s="67">
        <f ca="1">IF(magestuff!$I$200&lt;1,1,magestuff!$I$200)</f>
        <v>3</v>
      </c>
      <c r="D545" s="67">
        <f t="shared" si="79"/>
        <v>0</v>
      </c>
      <c r="E545" s="77" t="e">
        <f ca="1">IF(F545="y",HLOOKUP(C545,Magick!$C$20:$L$21,2),NA())</f>
        <v>#N/A</v>
      </c>
      <c r="F545" s="67" t="str">
        <f ca="1">IF(C545&lt;=Magick!$D$3,"Y","N")</f>
        <v>N</v>
      </c>
      <c r="G545" s="148" t="s">
        <v>128</v>
      </c>
      <c r="H545" s="151"/>
      <c r="I545" s="77" t="e">
        <f>IF(H545&gt;0,(HLOOKUP(C545,Magick!$C$20:$L$21,2)-HLOOKUP(H545,Magick!$C$20:$L$21,2)),NA())</f>
        <v>#N/A</v>
      </c>
      <c r="J545" s="77"/>
      <c r="K545" s="67">
        <f>IF(Magick!$A$3=10,4,6)</f>
        <v>6</v>
      </c>
      <c r="L545" s="72" t="str">
        <f>IF(H545&gt;0,Magick!$AR$22-('Master Spell List'!H524*0.1),"N/A")</f>
        <v>N/A</v>
      </c>
      <c r="M545" s="72">
        <f ca="1">Magick!$H$72</f>
        <v>0.1</v>
      </c>
      <c r="N545" s="72">
        <f ca="1">Magick!$K$72</f>
        <v>0.15000000000000002</v>
      </c>
      <c r="O545" s="72">
        <f ca="1">Magick!$L$72</f>
        <v>0.15000000000000002</v>
      </c>
      <c r="P545" s="72">
        <f ca="1">Magick!$M$72</f>
        <v>0.15000000000000002</v>
      </c>
      <c r="Q545" s="67" t="str">
        <f>IF(Magick!$A$3=7,"Cantrip","Ritual")</f>
        <v>Ritual</v>
      </c>
      <c r="R545" s="67" t="str">
        <f>IF(Q545="Ritual","N/A",IF(Q545="I.E.","N/A",IF(Q545="WOG",VLOOKUP(Magick!$I$72*100,magestuff!$B$134:$F$138,2),IF(Q545="Cantrip",VLOOKUP(Magick!$I$72*100,magestuff!$B$134:$F$138,3),IF(Q545="Hex",VLOOKUP(Magick!$I$72*100,magestuff!$B$134:$F$138,4),VLOOKUP(Magick!$I$72*100,magestuff!$B$134:$F$138,5))))))</f>
        <v>N/A</v>
      </c>
      <c r="U545" s="67" t="str">
        <f t="shared" si="80"/>
        <v xml:space="preserve"> </v>
      </c>
      <c r="V545" s="515"/>
      <c r="W545" s="125"/>
      <c r="X545" s="31">
        <f t="shared" si="81"/>
        <v>0</v>
      </c>
      <c r="Y545" s="509"/>
      <c r="Z545" s="1054" t="str">
        <f t="shared" si="77"/>
        <v>Detect the Invisible</v>
      </c>
      <c r="AA545" s="1072" t="str">
        <f t="shared" si="78"/>
        <v>Divination</v>
      </c>
    </row>
    <row r="546" spans="1:27" hidden="1" outlineLevel="1">
      <c r="A546" s="31" t="s">
        <v>3660</v>
      </c>
      <c r="B546" s="67">
        <f>IF(Magick!$A$3=10,2,3)</f>
        <v>3</v>
      </c>
      <c r="C546" s="67">
        <f ca="1">IF(magestuff!$I$200&lt;1,1,magestuff!$I$200)</f>
        <v>3</v>
      </c>
      <c r="D546" s="67">
        <f t="shared" si="79"/>
        <v>0</v>
      </c>
      <c r="E546" s="77" t="e">
        <f ca="1">IF(F546="y",HLOOKUP(C546,Magick!$C$20:$L$21,2),NA())</f>
        <v>#N/A</v>
      </c>
      <c r="F546" s="67" t="str">
        <f ca="1">IF(C546&lt;=Magick!$D$3,"Y","N")</f>
        <v>N</v>
      </c>
      <c r="G546" s="148" t="s">
        <v>128</v>
      </c>
      <c r="H546" s="151"/>
      <c r="I546" s="77" t="e">
        <f>IF(H546&gt;0,(HLOOKUP(C546,Magick!$C$20:$L$21,2)-HLOOKUP(H546,Magick!$C$20:$L$21,2)),NA())</f>
        <v>#N/A</v>
      </c>
      <c r="J546" s="77"/>
      <c r="K546" s="67">
        <f>IF(Magick!$A$3=10,4,6)</f>
        <v>6</v>
      </c>
      <c r="L546" s="72" t="str">
        <f>IF(H546&gt;0,Magick!$AR$22-('Master Spell List'!H531*0.1),"N/A")</f>
        <v>N/A</v>
      </c>
      <c r="M546" s="72">
        <f ca="1">Magick!$H$72</f>
        <v>0.1</v>
      </c>
      <c r="N546" s="72">
        <f ca="1">Magick!$K$72</f>
        <v>0.15000000000000002</v>
      </c>
      <c r="O546" s="72">
        <f ca="1">Magick!$L$72</f>
        <v>0.15000000000000002</v>
      </c>
      <c r="P546" s="72">
        <f ca="1">Magick!$M$72</f>
        <v>0.15000000000000002</v>
      </c>
      <c r="Q546" s="67" t="str">
        <f>IF(Magick!$A$3=7,"Cantrip","Ritual")</f>
        <v>Ritual</v>
      </c>
      <c r="R546" s="67" t="str">
        <f>IF(Q546="Ritual","N/A",IF(Q546="I.E.","N/A",IF(Q546="WOG",VLOOKUP(Magick!$I$72*100,magestuff!$B$134:$F$138,2),IF(Q546="Cantrip",VLOOKUP(Magick!$I$72*100,magestuff!$B$134:$F$138,3),IF(Q546="Hex",VLOOKUP(Magick!$I$72*100,magestuff!$B$134:$F$138,4),VLOOKUP(Magick!$I$72*100,magestuff!$B$134:$F$138,5))))))</f>
        <v>N/A</v>
      </c>
      <c r="U546" s="67" t="str">
        <f t="shared" si="80"/>
        <v xml:space="preserve"> </v>
      </c>
      <c r="V546" s="515"/>
      <c r="W546" s="125"/>
      <c r="X546" s="31">
        <f t="shared" si="81"/>
        <v>0</v>
      </c>
      <c r="Y546" s="509"/>
      <c r="Z546" s="1054" t="str">
        <f t="shared" si="77"/>
        <v>Detect Traps</v>
      </c>
      <c r="AA546" s="1072" t="str">
        <f t="shared" si="78"/>
        <v>Divination</v>
      </c>
    </row>
    <row r="547" spans="1:27" hidden="1" outlineLevel="1">
      <c r="A547" s="31" t="s">
        <v>3658</v>
      </c>
      <c r="B547" s="67">
        <f>IF(Magick!$A$3=10,1,3)</f>
        <v>3</v>
      </c>
      <c r="C547" s="67">
        <f ca="1">IF(magestuff!$I$200&lt;1,1,magestuff!$I$200)</f>
        <v>3</v>
      </c>
      <c r="D547" s="67">
        <f t="shared" si="79"/>
        <v>0</v>
      </c>
      <c r="E547" s="77" t="e">
        <f ca="1">IF(F547="y",HLOOKUP(C547,Magick!$C$20:$L$21,2),NA())</f>
        <v>#N/A</v>
      </c>
      <c r="F547" s="67" t="str">
        <f ca="1">IF(C547&lt;=Magick!$D$3,"Y","N")</f>
        <v>N</v>
      </c>
      <c r="G547" s="148" t="s">
        <v>128</v>
      </c>
      <c r="H547" s="151"/>
      <c r="I547" s="77" t="e">
        <f>IF(H547&gt;0,(HLOOKUP(C547,Magick!$C$20:$L$21,2)-HLOOKUP(H547,Magick!$C$20:$L$21,2)),NA())</f>
        <v>#N/A</v>
      </c>
      <c r="J547" s="77"/>
      <c r="K547" s="67">
        <f>IF(Magick!$A$3=10,3,6)</f>
        <v>6</v>
      </c>
      <c r="L547" s="72" t="str">
        <f>IF(H547&gt;0,Magick!$AR$22-('Master Spell List'!H529*0.1),"N/A")</f>
        <v>N/A</v>
      </c>
      <c r="M547" s="72">
        <f ca="1">Magick!$H$72</f>
        <v>0.1</v>
      </c>
      <c r="N547" s="72">
        <f ca="1">Magick!$K$72</f>
        <v>0.15000000000000002</v>
      </c>
      <c r="O547" s="72">
        <f ca="1">Magick!$L$72</f>
        <v>0.15000000000000002</v>
      </c>
      <c r="P547" s="72">
        <f ca="1">Magick!$M$72</f>
        <v>0.15000000000000002</v>
      </c>
      <c r="Q547" s="67" t="s">
        <v>113</v>
      </c>
      <c r="R547" s="67" t="str">
        <f>IF(Q547="Ritual","N/A",IF(Q547="I.E.","N/A",IF(Q547="WOG",VLOOKUP(Magick!$I$72*100,magestuff!$B$134:$F$138,2),IF(Q547="Cantrip",VLOOKUP(Magick!$I$72*100,magestuff!$B$134:$F$138,3),IF(Q547="Hex",VLOOKUP(Magick!$I$72*100,magestuff!$B$134:$F$138,4),VLOOKUP(Magick!$I$72*100,magestuff!$B$134:$F$138,5))))))</f>
        <v>N/A</v>
      </c>
      <c r="U547" s="67" t="str">
        <f t="shared" si="80"/>
        <v xml:space="preserve"> </v>
      </c>
      <c r="V547" s="515"/>
      <c r="W547" s="125"/>
      <c r="X547" s="31">
        <f t="shared" si="81"/>
        <v>0</v>
      </c>
      <c r="Y547" s="509"/>
      <c r="Z547" s="1054" t="str">
        <f t="shared" si="77"/>
        <v>Detect Water</v>
      </c>
      <c r="AA547" s="1072" t="str">
        <f t="shared" si="78"/>
        <v>Divination</v>
      </c>
    </row>
    <row r="548" spans="1:27" hidden="1" outlineLevel="1">
      <c r="A548" s="83" t="s">
        <v>1464</v>
      </c>
      <c r="B548" s="67">
        <v>3</v>
      </c>
      <c r="C548" s="67">
        <f ca="1">IF(magestuff!$I$200&lt;1,1,magestuff!$I$200)</f>
        <v>3</v>
      </c>
      <c r="D548" s="67">
        <f t="shared" si="79"/>
        <v>0</v>
      </c>
      <c r="E548" s="77" t="e">
        <f ca="1">IF(F548="y",HLOOKUP(C548,Magick!$C$20:$L$21,2),NA())</f>
        <v>#N/A</v>
      </c>
      <c r="F548" s="67" t="str">
        <f ca="1">IF(C548&lt;=Magick!$D$3,"Y","N")</f>
        <v>N</v>
      </c>
      <c r="G548" s="148" t="s">
        <v>1614</v>
      </c>
      <c r="H548" s="151"/>
      <c r="I548" s="77" t="e">
        <f>IF(H548&gt;0,(HLOOKUP(C548,Magick!$C$20:$L$21,2)-HLOOKUP(H548,Magick!$C$20:$L$21,2)),NA())</f>
        <v>#N/A</v>
      </c>
      <c r="J548" s="77"/>
      <c r="K548" s="67">
        <f>ROUNDUP(+B548*1.5,0)</f>
        <v>5</v>
      </c>
      <c r="L548" s="72" t="str">
        <f>IF(H548&gt;0,Magick!$AR$22-('Master Spell List'!H540*0.1),"N/A")</f>
        <v>N/A</v>
      </c>
      <c r="M548" s="72">
        <f ca="1">Magick!$H$72</f>
        <v>0.1</v>
      </c>
      <c r="N548" s="72">
        <f ca="1">Magick!$K$72</f>
        <v>0.15000000000000002</v>
      </c>
      <c r="O548" s="72">
        <f ca="1">Magick!$L$72</f>
        <v>0.15000000000000002</v>
      </c>
      <c r="P548" s="72">
        <f ca="1">Magick!$M$72</f>
        <v>0.15000000000000002</v>
      </c>
      <c r="Q548" s="67" t="s">
        <v>113</v>
      </c>
      <c r="R548" s="67" t="str">
        <f>IF(Q548="Ritual","N/A",IF(Q548="I.E.","N/A",IF(Q548="WOG",VLOOKUP(Magick!$I$72*100,magestuff!$B$134:$F$138,2),IF(Q548="Cantrip",VLOOKUP(Magick!$I$72*100,magestuff!$B$134:$F$138,3),IF(Q548="Hex",VLOOKUP(Magick!$I$72*100,magestuff!$B$134:$F$138,4),VLOOKUP(Magick!$I$72*100,magestuff!$B$134:$F$138,5))))))</f>
        <v>N/A</v>
      </c>
      <c r="U548" s="67" t="str">
        <f t="shared" si="80"/>
        <v xml:space="preserve"> </v>
      </c>
      <c r="V548" s="515"/>
      <c r="W548" s="125"/>
      <c r="X548" s="31">
        <f t="shared" si="81"/>
        <v>0</v>
      </c>
      <c r="Y548" s="509"/>
      <c r="Z548" s="1054" t="str">
        <f t="shared" si="77"/>
        <v>Determine Ancestor</v>
      </c>
      <c r="AA548" s="1072" t="str">
        <f t="shared" si="78"/>
        <v>Divination</v>
      </c>
    </row>
    <row r="549" spans="1:27" hidden="1" outlineLevel="1">
      <c r="A549" s="83" t="s">
        <v>5725</v>
      </c>
      <c r="B549" s="67">
        <f>IF(Magick!$A$3=10,1,3)</f>
        <v>3</v>
      </c>
      <c r="C549" s="67">
        <f ca="1">IF(magestuff!$I$200&lt;1,1,magestuff!$I$200)</f>
        <v>3</v>
      </c>
      <c r="D549" s="67">
        <f t="shared" ref="D549:D580" si="82">IF(AND(ISNUMBER(H549),H549=0),C549,0)</f>
        <v>0</v>
      </c>
      <c r="E549" s="77" t="e">
        <f ca="1">IF(F549="y",HLOOKUP(C549,Magick!$C$20:$L$21,2),NA())</f>
        <v>#N/A</v>
      </c>
      <c r="F549" s="67" t="str">
        <f ca="1">IF(C549&lt;=Magick!$D$3,"Y","N")</f>
        <v>N</v>
      </c>
      <c r="G549" s="148" t="s">
        <v>859</v>
      </c>
      <c r="H549" s="151"/>
      <c r="I549" s="77" t="e">
        <f>IF(H549&gt;0,(HLOOKUP(C549,Magick!$C$20:$L$21,2)-HLOOKUP(H549,Magick!$C$20:$L$21,2)),NA())</f>
        <v>#N/A</v>
      </c>
      <c r="J549" s="77"/>
      <c r="K549" s="67">
        <f>IF(Magick!$A$3=10,3,6)</f>
        <v>6</v>
      </c>
      <c r="L549" s="72" t="str">
        <f>IF(H549&gt;0,Magick!$AR$22-('Master Spell List'!H548*0.1),"N/A")</f>
        <v>N/A</v>
      </c>
      <c r="M549" s="72">
        <f ca="1">Magick!$H$72</f>
        <v>0.1</v>
      </c>
      <c r="N549" s="72">
        <f ca="1">Magick!$K$72</f>
        <v>0.15000000000000002</v>
      </c>
      <c r="O549" s="72">
        <f ca="1">Magick!$L$72</f>
        <v>0.15000000000000002</v>
      </c>
      <c r="P549" s="72">
        <f ca="1">Magick!$M$72</f>
        <v>0.15000000000000002</v>
      </c>
      <c r="Q549" s="67" t="str">
        <f>IF(Magick!$A$3=10,"WOG","Cantrip")</f>
        <v>Cantrip</v>
      </c>
      <c r="R549" s="67">
        <f ca="1">IF(Q549="Ritual","N/A",IF(Q549="I.E.","N/A",IF(Q549="WOG",VLOOKUP(Magick!$I$72*100,magestuff!$B$134:$F$138,2),IF(Q549="Cantrip",VLOOKUP(Magick!$I$72*100,magestuff!$B$134:$F$138,3),IF(Q549="Hex",VLOOKUP(Magick!$I$72*100,magestuff!$B$134:$F$138,4),VLOOKUP(Magick!$I$72*100,magestuff!$B$134:$F$138,5))))))</f>
        <v>9</v>
      </c>
      <c r="V549" s="515"/>
      <c r="W549" s="125"/>
      <c r="Y549" s="509"/>
      <c r="Z549" s="1054" t="str">
        <f t="shared" si="77"/>
        <v>Least Discern Trigger</v>
      </c>
      <c r="AA549" s="1072" t="str">
        <f t="shared" si="78"/>
        <v>Divination</v>
      </c>
    </row>
    <row r="550" spans="1:27" hidden="1" outlineLevel="1">
      <c r="A550" s="31" t="s">
        <v>3661</v>
      </c>
      <c r="B550" s="67">
        <f>IF(Magick!$A$3=10,2,3)</f>
        <v>3</v>
      </c>
      <c r="C550" s="67">
        <f ca="1">IF(magestuff!$I$200&lt;1,1,magestuff!$I$200)</f>
        <v>3</v>
      </c>
      <c r="D550" s="67">
        <f t="shared" si="82"/>
        <v>0</v>
      </c>
      <c r="E550" s="77" t="e">
        <f ca="1">IF(F550="y",HLOOKUP(C550,Magick!$C$20:$L$21,2),NA())</f>
        <v>#N/A</v>
      </c>
      <c r="F550" s="67" t="str">
        <f ca="1">IF(C550&lt;=Magick!$D$3,"Y","N")</f>
        <v>N</v>
      </c>
      <c r="G550" s="148" t="s">
        <v>128</v>
      </c>
      <c r="H550" s="151"/>
      <c r="I550" s="77" t="e">
        <f>IF(H550&gt;0,(HLOOKUP(C550,Magick!$C$20:$L$21,2)-HLOOKUP(H550,Magick!$C$20:$L$21,2)),NA())</f>
        <v>#N/A</v>
      </c>
      <c r="J550" s="77"/>
      <c r="K550" s="67">
        <f>IF(Magick!$A$3=10,4,5)</f>
        <v>5</v>
      </c>
      <c r="L550" s="72" t="str">
        <f>IF(H550&gt;0,Magick!$AR$22-('Master Spell List'!H532*0.1),"N/A")</f>
        <v>N/A</v>
      </c>
      <c r="M550" s="72">
        <f ca="1">Magick!$H$72</f>
        <v>0.1</v>
      </c>
      <c r="N550" s="72">
        <f ca="1">Magick!$K$72</f>
        <v>0.15000000000000002</v>
      </c>
      <c r="O550" s="72">
        <f ca="1">Magick!$L$72</f>
        <v>0.15000000000000002</v>
      </c>
      <c r="P550" s="72">
        <f ca="1">Magick!$M$72</f>
        <v>0.15000000000000002</v>
      </c>
      <c r="Q550" s="67" t="str">
        <f>IF(Magick!$A$3=7,"Sorcery","Ritual")</f>
        <v>Ritual</v>
      </c>
      <c r="R550" s="67" t="str">
        <f>IF(Q550="Ritual","N/A",IF(Q550="I.E.","N/A",IF(Q550="WOG",VLOOKUP(Magick!$I$72*100,magestuff!$B$134:$F$138,2),IF(Q550="Cantrip",VLOOKUP(Magick!$I$72*100,magestuff!$B$134:$F$138,3),IF(Q550="Hex",VLOOKUP(Magick!$I$72*100,magestuff!$B$134:$F$138,4),VLOOKUP(Magick!$I$72*100,magestuff!$B$134:$F$138,5))))))</f>
        <v>N/A</v>
      </c>
      <c r="U550" s="67" t="str">
        <f t="shared" ref="U550:U562" si="83">IF(ISBLANK(H550)," ",IF(H550&gt;0,0,C550*10))</f>
        <v xml:space="preserve"> </v>
      </c>
      <c r="V550" s="515"/>
      <c r="W550" s="125"/>
      <c r="X550" s="31">
        <f t="shared" ref="X550:X562" si="84">W550*3</f>
        <v>0</v>
      </c>
      <c r="Y550" s="509"/>
      <c r="Z550" s="1054" t="str">
        <f t="shared" si="77"/>
        <v>Find The Path</v>
      </c>
      <c r="AA550" s="1072" t="str">
        <f t="shared" si="78"/>
        <v>Divination</v>
      </c>
    </row>
    <row r="551" spans="1:27" hidden="1" outlineLevel="1">
      <c r="A551" s="83" t="s">
        <v>1465</v>
      </c>
      <c r="B551" s="67">
        <v>3</v>
      </c>
      <c r="C551" s="67">
        <f ca="1">IF(magestuff!$I$200&lt;1,1,magestuff!$I$200)</f>
        <v>3</v>
      </c>
      <c r="D551" s="67">
        <f t="shared" si="82"/>
        <v>0</v>
      </c>
      <c r="E551" s="77" t="e">
        <f ca="1">IF(F551="y",HLOOKUP(C551,Magick!$C$20:$L$21,2),NA())</f>
        <v>#N/A</v>
      </c>
      <c r="F551" s="67" t="str">
        <f ca="1">IF(C551&lt;=Magick!$D$3,"Y","N")</f>
        <v>N</v>
      </c>
      <c r="G551" s="148" t="s">
        <v>129</v>
      </c>
      <c r="H551" s="151"/>
      <c r="I551" s="77" t="e">
        <f>IF(H551&gt;0,(HLOOKUP(C551,Magick!$C$20:$L$21,2)-HLOOKUP(H551,Magick!$C$20:$L$21,2)),NA())</f>
        <v>#N/A</v>
      </c>
      <c r="J551" s="77"/>
      <c r="K551" s="67">
        <v>5</v>
      </c>
      <c r="L551" s="72" t="str">
        <f>IF(H551&gt;0,Magick!$AR$22-('Master Spell List'!H548*0.1),"N/A")</f>
        <v>N/A</v>
      </c>
      <c r="M551" s="72">
        <f ca="1">Magick!$H$72</f>
        <v>0.1</v>
      </c>
      <c r="N551" s="72">
        <f ca="1">Magick!$K$72</f>
        <v>0.15000000000000002</v>
      </c>
      <c r="O551" s="72">
        <f ca="1">Magick!$L$72</f>
        <v>0.15000000000000002</v>
      </c>
      <c r="P551" s="72">
        <f ca="1">Magick!$M$72</f>
        <v>0.15000000000000002</v>
      </c>
      <c r="Q551" s="67" t="s">
        <v>113</v>
      </c>
      <c r="R551" s="67" t="str">
        <f>IF(Q551="Ritual","N/A",IF(Q551="I.E.","N/A",IF(Q551="WOG",VLOOKUP(Magick!$I$72*100,magestuff!$B$134:$F$138,2),IF(Q551="Cantrip",VLOOKUP(Magick!$I$72*100,magestuff!$B$134:$F$138,3),IF(Q551="Hex",VLOOKUP(Magick!$I$72*100,magestuff!$B$134:$F$138,4),VLOOKUP(Magick!$I$72*100,magestuff!$B$134:$F$138,5))))))</f>
        <v>N/A</v>
      </c>
      <c r="U551" s="67" t="str">
        <f t="shared" si="83"/>
        <v xml:space="preserve"> </v>
      </c>
      <c r="V551" s="515"/>
      <c r="W551" s="125"/>
      <c r="X551" s="31">
        <f t="shared" si="84"/>
        <v>0</v>
      </c>
      <c r="Y551" s="509"/>
      <c r="Z551" s="1054" t="str">
        <f t="shared" si="77"/>
        <v>Forecast Weather Imminent</v>
      </c>
      <c r="AA551" s="1072" t="str">
        <f t="shared" si="78"/>
        <v>Divination</v>
      </c>
    </row>
    <row r="552" spans="1:27" hidden="1" outlineLevel="1">
      <c r="A552" s="83" t="s">
        <v>2114</v>
      </c>
      <c r="B552" s="67">
        <v>4</v>
      </c>
      <c r="C552" s="67">
        <f ca="1">magestuff!$L$200</f>
        <v>4</v>
      </c>
      <c r="D552" s="67">
        <f t="shared" si="82"/>
        <v>0</v>
      </c>
      <c r="E552" s="77" t="e">
        <f ca="1">IF(F552="y",HLOOKUP(C552,Magick!$C$20:$L$21,2),NA())</f>
        <v>#N/A</v>
      </c>
      <c r="F552" s="67" t="str">
        <f ca="1">IF(C552&lt;=Magick!$D$3,"Y","N")</f>
        <v>N</v>
      </c>
      <c r="G552" s="148" t="s">
        <v>129</v>
      </c>
      <c r="H552" s="151"/>
      <c r="I552" s="77" t="e">
        <f>IF(H552&gt;0,(HLOOKUP(C552,Magick!$C$20:$L$21,2)-HLOOKUP(H552,Magick!$C$20:$L$21,2)),NA())</f>
        <v>#N/A</v>
      </c>
      <c r="J552" s="77"/>
      <c r="K552" s="67" t="s">
        <v>1366</v>
      </c>
      <c r="L552" s="72" t="str">
        <f>IF(H552&gt;0,Magick!$AR$22-('Master Spell List'!H582*0.1),"N/A")</f>
        <v>N/A</v>
      </c>
      <c r="M552" s="72">
        <f ca="1">Magick!$H$72</f>
        <v>0.1</v>
      </c>
      <c r="N552" s="72">
        <f ca="1">Magick!$K$72</f>
        <v>0.15000000000000002</v>
      </c>
      <c r="O552" s="72">
        <f ca="1">Magick!$L$72</f>
        <v>0.15000000000000002</v>
      </c>
      <c r="P552" s="72">
        <f ca="1">Magick!$M$72</f>
        <v>0.15000000000000002</v>
      </c>
      <c r="Q552" s="67" t="s">
        <v>4602</v>
      </c>
      <c r="R552" s="67">
        <f ca="1">IF(Q552="Ritual","N/A",IF(Q552="I.E.","N/A",IF(Q552="WOG",VLOOKUP(Magick!$I$72*100,magestuff!$B$134:$F$138,2),IF(Q552="Cantrip",VLOOKUP(Magick!$I$72*100,magestuff!$B$134:$F$138,3),IF(Q552="Hex",VLOOKUP(Magick!$I$72*100,magestuff!$B$134:$F$138,4),VLOOKUP(Magick!$I$72*100,magestuff!$B$134:$F$138,5))))))</f>
        <v>19</v>
      </c>
      <c r="S552" s="67" t="s">
        <v>5545</v>
      </c>
      <c r="U552" s="67" t="str">
        <f t="shared" si="83"/>
        <v xml:space="preserve"> </v>
      </c>
      <c r="V552" s="515"/>
      <c r="W552" s="125"/>
      <c r="X552" s="31">
        <f t="shared" si="84"/>
        <v>0</v>
      </c>
      <c r="Y552" s="509"/>
      <c r="Z552" s="1054" t="str">
        <f t="shared" si="77"/>
        <v>Least Foresight</v>
      </c>
      <c r="AA552" s="1072" t="str">
        <f t="shared" si="78"/>
        <v>Divination</v>
      </c>
    </row>
    <row r="553" spans="1:27" hidden="1" outlineLevel="1">
      <c r="A553" s="83" t="s">
        <v>872</v>
      </c>
      <c r="B553" s="67">
        <v>4</v>
      </c>
      <c r="C553" s="67">
        <f ca="1">magestuff!$L$200</f>
        <v>4</v>
      </c>
      <c r="D553" s="67">
        <f t="shared" si="82"/>
        <v>0</v>
      </c>
      <c r="E553" s="77" t="e">
        <f ca="1">IF(F553="y",HLOOKUP(C553,Magick!$C$20:$L$21,2),NA())</f>
        <v>#N/A</v>
      </c>
      <c r="F553" s="67" t="str">
        <f ca="1">IF(C553&lt;=Magick!$D$3,"Y","N")</f>
        <v>N</v>
      </c>
      <c r="G553" s="148" t="s">
        <v>129</v>
      </c>
      <c r="H553" s="151"/>
      <c r="I553" s="77" t="e">
        <f>IF(H553&gt;0,(HLOOKUP(C553,Magick!$C$20:$L$21,2)-HLOOKUP(H553,Magick!$C$20:$L$21,2)),NA())</f>
        <v>#N/A</v>
      </c>
      <c r="J553" s="77"/>
      <c r="K553" s="67" t="s">
        <v>3673</v>
      </c>
      <c r="L553" s="72" t="str">
        <f>IF(H553&gt;0,Magick!$AR$22-('Master Spell List'!H579*0.1),"N/A")</f>
        <v>N/A</v>
      </c>
      <c r="M553" s="72">
        <f ca="1">Magick!$H$72</f>
        <v>0.1</v>
      </c>
      <c r="N553" s="72">
        <f ca="1">Magick!$K$72</f>
        <v>0.15000000000000002</v>
      </c>
      <c r="O553" s="72">
        <f ca="1">Magick!$L$72</f>
        <v>0.15000000000000002</v>
      </c>
      <c r="P553" s="72">
        <f ca="1">Magick!$M$72</f>
        <v>0.15000000000000002</v>
      </c>
      <c r="Q553" s="67" t="s">
        <v>113</v>
      </c>
      <c r="R553" s="67" t="str">
        <f>IF(Q553="Ritual","N/A",IF(Q553="I.E.","N/A",IF(Q553="WOG",VLOOKUP(Magick!$I$72*100,magestuff!$B$134:$F$138,2),IF(Q553="Cantrip",VLOOKUP(Magick!$I$72*100,magestuff!$B$134:$F$138,3),IF(Q553="Hex",VLOOKUP(Magick!$I$72*100,magestuff!$B$134:$F$138,4),VLOOKUP(Magick!$I$72*100,magestuff!$B$134:$F$138,5))))))</f>
        <v>N/A</v>
      </c>
      <c r="S553" s="67" t="s">
        <v>5545</v>
      </c>
      <c r="U553" s="67" t="str">
        <f t="shared" si="83"/>
        <v xml:space="preserve"> </v>
      </c>
      <c r="V553" s="515"/>
      <c r="W553" s="125"/>
      <c r="X553" s="31">
        <f t="shared" si="84"/>
        <v>0</v>
      </c>
      <c r="Y553" s="953"/>
      <c r="Z553" s="1054" t="str">
        <f t="shared" si="77"/>
        <v>Lesser Hindsight</v>
      </c>
      <c r="AA553" s="1072" t="str">
        <f t="shared" si="78"/>
        <v>Divination</v>
      </c>
    </row>
    <row r="554" spans="1:27" hidden="1" outlineLevel="1">
      <c r="A554" s="83" t="s">
        <v>3995</v>
      </c>
      <c r="B554" s="67">
        <v>4</v>
      </c>
      <c r="C554" s="67">
        <f ca="1">magestuff!$L$200</f>
        <v>4</v>
      </c>
      <c r="D554" s="67">
        <f t="shared" si="82"/>
        <v>0</v>
      </c>
      <c r="E554" s="77" t="e">
        <f ca="1">IF(F554="y",HLOOKUP(C554,Magick!$C$20:$L$21,2),NA())</f>
        <v>#N/A</v>
      </c>
      <c r="F554" s="67" t="str">
        <f ca="1">IF(C554&lt;=Magick!$D$3,"Y","N")</f>
        <v>N</v>
      </c>
      <c r="G554" s="148" t="s">
        <v>129</v>
      </c>
      <c r="H554" s="151"/>
      <c r="I554" s="77" t="e">
        <f>IF(H554&gt;0,(HLOOKUP(C554,Magick!$C$20:$L$21,2)-HLOOKUP(H554,Magick!$C$20:$L$21,2)),NA())</f>
        <v>#N/A</v>
      </c>
      <c r="J554" s="77"/>
      <c r="K554" s="67">
        <v>6</v>
      </c>
      <c r="L554" s="72" t="str">
        <f>IF(H554&gt;0,Magick!$AR$22-('Master Spell List'!H577*0.1),"N/A")</f>
        <v>N/A</v>
      </c>
      <c r="M554" s="72">
        <f ca="1">Magick!$H$72</f>
        <v>0.1</v>
      </c>
      <c r="N554" s="72">
        <f ca="1">Magick!$K$72</f>
        <v>0.15000000000000002</v>
      </c>
      <c r="O554" s="72">
        <f ca="1">Magick!$L$72</f>
        <v>0.15000000000000002</v>
      </c>
      <c r="P554" s="72">
        <f ca="1">Magick!$M$72</f>
        <v>0.15000000000000002</v>
      </c>
      <c r="Q554" s="67" t="s">
        <v>4603</v>
      </c>
      <c r="R554" s="67">
        <f ca="1">IF(Q554="Ritual","N/A",IF(Q554="I.E.","N/A",IF(Q554="WOG",VLOOKUP(Magick!$I$72*100,magestuff!$B$134:$F$138,2),IF(Q554="Cantrip",VLOOKUP(Magick!$I$72*100,magestuff!$B$134:$F$138,3),IF(Q554="Hex",VLOOKUP(Magick!$I$72*100,magestuff!$B$134:$F$138,4),VLOOKUP(Magick!$I$72*100,magestuff!$B$134:$F$138,5))))))</f>
        <v>9</v>
      </c>
      <c r="U554" s="67" t="str">
        <f t="shared" si="83"/>
        <v xml:space="preserve"> </v>
      </c>
      <c r="V554" s="515"/>
      <c r="W554" s="125"/>
      <c r="X554" s="31">
        <f t="shared" si="84"/>
        <v>0</v>
      </c>
      <c r="Y554" s="953"/>
      <c r="Z554" s="1054" t="str">
        <f t="shared" si="77"/>
        <v>Quicken</v>
      </c>
      <c r="AA554" s="1072" t="str">
        <f t="shared" si="78"/>
        <v>Divination</v>
      </c>
    </row>
    <row r="555" spans="1:27" hidden="1" outlineLevel="1">
      <c r="A555" s="31" t="s">
        <v>3863</v>
      </c>
      <c r="B555" s="67">
        <v>4</v>
      </c>
      <c r="C555" s="67">
        <f ca="1">magestuff!$L$200</f>
        <v>4</v>
      </c>
      <c r="D555" s="67">
        <f t="shared" si="82"/>
        <v>0</v>
      </c>
      <c r="E555" s="77" t="e">
        <f ca="1">IF(F555="y",HLOOKUP(C555,Magick!$C$20:$L$21,2),NA())</f>
        <v>#N/A</v>
      </c>
      <c r="F555" s="67" t="str">
        <f ca="1">IF(C555&lt;=Magick!$D$3,"Y","N")</f>
        <v>N</v>
      </c>
      <c r="G555" s="148" t="s">
        <v>128</v>
      </c>
      <c r="H555" s="151"/>
      <c r="I555" s="77" t="e">
        <f>IF(H555&gt;0,(HLOOKUP(C555,Magick!$C$20:$L$21,2)-HLOOKUP(H555,Magick!$C$20:$L$21,2)),NA())</f>
        <v>#N/A</v>
      </c>
      <c r="J555" s="77"/>
      <c r="K555" s="67">
        <v>7</v>
      </c>
      <c r="L555" s="72" t="str">
        <f>IF(H555&gt;0,Magick!$AR$22-('Master Spell List'!H534*0.1),"N/A")</f>
        <v>N/A</v>
      </c>
      <c r="M555" s="72">
        <f ca="1">Magick!$H$72</f>
        <v>0.1</v>
      </c>
      <c r="N555" s="72">
        <f ca="1">Magick!$K$72</f>
        <v>0.15000000000000002</v>
      </c>
      <c r="O555" s="72">
        <f ca="1">Magick!$L$72</f>
        <v>0.15000000000000002</v>
      </c>
      <c r="P555" s="72">
        <f ca="1">Magick!$M$72</f>
        <v>0.15000000000000002</v>
      </c>
      <c r="Q555" s="67" t="s">
        <v>113</v>
      </c>
      <c r="R555" s="67" t="str">
        <f>IF(Q555="Ritual","N/A",IF(Q555="I.E.","N/A",IF(Q555="WOG",VLOOKUP(Magick!$I$72*100,magestuff!$B$134:$F$138,2),IF(Q555="Cantrip",VLOOKUP(Magick!$I$72*100,magestuff!$B$134:$F$138,3),IF(Q555="Hex",VLOOKUP(Magick!$I$72*100,magestuff!$B$134:$F$138,4),VLOOKUP(Magick!$I$72*100,magestuff!$B$134:$F$138,5))))))</f>
        <v>N/A</v>
      </c>
      <c r="U555" s="67" t="str">
        <f t="shared" si="83"/>
        <v xml:space="preserve"> </v>
      </c>
      <c r="V555" s="515"/>
      <c r="W555" s="125"/>
      <c r="X555" s="31">
        <f t="shared" si="84"/>
        <v>0</v>
      </c>
      <c r="Y555" s="953"/>
      <c r="Z555" s="1054" t="str">
        <f t="shared" si="77"/>
        <v>Scry From Afar</v>
      </c>
      <c r="AA555" s="1072" t="str">
        <f t="shared" si="78"/>
        <v>Divination</v>
      </c>
    </row>
    <row r="556" spans="1:27" hidden="1" outlineLevel="1">
      <c r="A556" s="83" t="s">
        <v>3684</v>
      </c>
      <c r="B556" s="67">
        <f>IF(Magick!$A$3=10,3,5)</f>
        <v>5</v>
      </c>
      <c r="C556" s="67">
        <f ca="1">magestuff!$O$200</f>
        <v>5</v>
      </c>
      <c r="D556" s="67">
        <f t="shared" si="82"/>
        <v>0</v>
      </c>
      <c r="E556" s="77" t="e">
        <f ca="1">IF(F556="y",HLOOKUP(C556,Magick!$C$20:$L$21,2),NA())</f>
        <v>#N/A</v>
      </c>
      <c r="F556" s="67" t="str">
        <f ca="1">IF(C556&lt;=Magick!$D$3,"Y","N")</f>
        <v>N</v>
      </c>
      <c r="G556" s="148" t="s">
        <v>1617</v>
      </c>
      <c r="H556" s="151"/>
      <c r="I556" s="77" t="e">
        <f>IF(H556&gt;0,(HLOOKUP(C556,Magick!$C$20:$L$21,2)-HLOOKUP(H556,Magick!$C$20:$L$21,2)),NA())</f>
        <v>#N/A</v>
      </c>
      <c r="J556" s="77"/>
      <c r="K556" s="67">
        <f>IF(Magick!$A$3=10,5,9)</f>
        <v>9</v>
      </c>
      <c r="L556" s="72" t="str">
        <f>IF(H556&gt;0,Magick!$AR$22-('Master Spell List'!H600*0.1),"N/A")</f>
        <v>N/A</v>
      </c>
      <c r="M556" s="72">
        <f ca="1">Magick!$H$72</f>
        <v>0.1</v>
      </c>
      <c r="N556" s="72">
        <f ca="1">Magick!$K$72</f>
        <v>0.15000000000000002</v>
      </c>
      <c r="O556" s="72">
        <f ca="1">Magick!$L$72</f>
        <v>0.15000000000000002</v>
      </c>
      <c r="P556" s="72">
        <f ca="1">Magick!$M$72</f>
        <v>0.15000000000000002</v>
      </c>
      <c r="Q556" s="67" t="str">
        <f>IF(Magick!$A$3=7,"Sorcery","Ritual")</f>
        <v>Ritual</v>
      </c>
      <c r="R556" s="67" t="str">
        <f>IF(Q556="Ritual","N/A",IF(Q556="I.E.","N/A",IF(Q556="WOG",VLOOKUP(Magick!$I$72*100,magestuff!$B$134:$F$138,2),IF(Q556="Cantrip",VLOOKUP(Magick!$I$72*100,magestuff!$B$134:$F$138,3),IF(Q556="Hex",VLOOKUP(Magick!$I$72*100,magestuff!$B$134:$F$138,4),VLOOKUP(Magick!$I$72*100,magestuff!$B$134:$F$138,5))))))</f>
        <v>N/A</v>
      </c>
      <c r="U556" s="67" t="str">
        <f t="shared" si="83"/>
        <v xml:space="preserve"> </v>
      </c>
      <c r="V556" s="515"/>
      <c r="W556" s="125"/>
      <c r="X556" s="31">
        <f t="shared" si="84"/>
        <v>0</v>
      </c>
      <c r="Y556" s="953"/>
      <c r="Z556" s="1054" t="str">
        <f t="shared" si="77"/>
        <v>Detect Aspect</v>
      </c>
      <c r="AA556" s="1072" t="str">
        <f t="shared" si="78"/>
        <v>Divination</v>
      </c>
    </row>
    <row r="557" spans="1:27" hidden="1" outlineLevel="1">
      <c r="A557" s="83" t="s">
        <v>3683</v>
      </c>
      <c r="B557" s="67">
        <f>IF(Magick!A3=10,3,5)</f>
        <v>5</v>
      </c>
      <c r="C557" s="67">
        <f ca="1">magestuff!$O$200</f>
        <v>5</v>
      </c>
      <c r="D557" s="67">
        <f t="shared" si="82"/>
        <v>0</v>
      </c>
      <c r="E557" s="77" t="e">
        <f ca="1">IF(F557="y",HLOOKUP(C557,Magick!$C$20:$L$21,2),NA())</f>
        <v>#N/A</v>
      </c>
      <c r="F557" s="67" t="str">
        <f ca="1">IF(C557&lt;=Magick!$D$3,"Y","N")</f>
        <v>N</v>
      </c>
      <c r="G557" s="148" t="s">
        <v>1617</v>
      </c>
      <c r="H557" s="151"/>
      <c r="I557" s="77" t="e">
        <f>IF(H557&gt;0,(HLOOKUP(C557,Magick!$C$20:$L$21,2)-HLOOKUP(H557,Magick!$C$20:$L$21,2)),NA())</f>
        <v>#N/A</v>
      </c>
      <c r="J557" s="77"/>
      <c r="K557" s="67">
        <f>IF(Magick!$A$3=10,5,9)</f>
        <v>9</v>
      </c>
      <c r="L557" s="72" t="str">
        <f>IF(H557&gt;0,Magick!$AR$22-('Master Spell List'!H599*0.1),"N/A")</f>
        <v>N/A</v>
      </c>
      <c r="M557" s="72">
        <f ca="1">Magick!$H$72</f>
        <v>0.1</v>
      </c>
      <c r="N557" s="72">
        <f ca="1">Magick!$K$72</f>
        <v>0.15000000000000002</v>
      </c>
      <c r="O557" s="72">
        <f ca="1">Magick!$L$72</f>
        <v>0.15000000000000002</v>
      </c>
      <c r="P557" s="72">
        <f ca="1">Magick!$M$72</f>
        <v>0.15000000000000002</v>
      </c>
      <c r="Q557" s="67" t="str">
        <f>IF(Magick!$A$3=7,"Sorcery","Ritual")</f>
        <v>Ritual</v>
      </c>
      <c r="R557" s="67" t="str">
        <f>IF(Q557="Ritual","N/A",IF(Q557="I.E.","N/A",IF(Q557="WOG",VLOOKUP(Magick!$I$72*100,magestuff!$B$134:$F$138,2),IF(Q557="Cantrip",VLOOKUP(Magick!$I$72*100,magestuff!$B$134:$F$138,3),IF(Q557="Hex",VLOOKUP(Magick!$I$72*100,magestuff!$B$134:$F$138,4),VLOOKUP(Magick!$I$72*100,magestuff!$B$134:$F$138,5))))))</f>
        <v>N/A</v>
      </c>
      <c r="U557" s="67" t="str">
        <f t="shared" si="83"/>
        <v xml:space="preserve"> </v>
      </c>
      <c r="V557" s="515"/>
      <c r="W557" s="125"/>
      <c r="X557" s="31">
        <f t="shared" si="84"/>
        <v>0</v>
      </c>
      <c r="Y557" s="953"/>
      <c r="Z557" s="1054" t="str">
        <f t="shared" si="77"/>
        <v>Detect Command or Geas</v>
      </c>
      <c r="AA557" s="1072" t="str">
        <f t="shared" si="78"/>
        <v>Divination</v>
      </c>
    </row>
    <row r="558" spans="1:27" hidden="1" outlineLevel="1">
      <c r="A558" s="83" t="s">
        <v>3681</v>
      </c>
      <c r="B558" s="67">
        <f>IF(Magick!$A$3=10,3,5)</f>
        <v>5</v>
      </c>
      <c r="C558" s="67">
        <f ca="1">magestuff!$O$200</f>
        <v>5</v>
      </c>
      <c r="D558" s="67">
        <f t="shared" si="82"/>
        <v>0</v>
      </c>
      <c r="E558" s="77" t="e">
        <f ca="1">IF(F558="y",HLOOKUP(C558,Magick!$C$20:$L$21,2),NA())</f>
        <v>#N/A</v>
      </c>
      <c r="F558" s="67" t="str">
        <f ca="1">IF(C558&lt;=Magick!$D$3,"Y","N")</f>
        <v>N</v>
      </c>
      <c r="G558" s="148" t="s">
        <v>1617</v>
      </c>
      <c r="H558" s="151"/>
      <c r="I558" s="77" t="e">
        <f>IF(H558&gt;0,(HLOOKUP(C558,Magick!$C$20:$L$21,2)-HLOOKUP(H558,Magick!$C$20:$L$21,2)),NA())</f>
        <v>#N/A</v>
      </c>
      <c r="J558" s="77"/>
      <c r="K558" s="67">
        <f>IF(Magick!$A$3=10,5,9)</f>
        <v>9</v>
      </c>
      <c r="L558" s="72" t="str">
        <f>IF(H558&gt;0,Magick!$AR$22-('Master Spell List'!H598*0.1),"N/A")</f>
        <v>N/A</v>
      </c>
      <c r="M558" s="72">
        <f ca="1">Magick!$H$72</f>
        <v>0.1</v>
      </c>
      <c r="N558" s="72">
        <f ca="1">Magick!$K$72</f>
        <v>0.15000000000000002</v>
      </c>
      <c r="O558" s="72">
        <f ca="1">Magick!$L$72</f>
        <v>0.15000000000000002</v>
      </c>
      <c r="P558" s="72">
        <f ca="1">Magick!$M$72</f>
        <v>0.15000000000000002</v>
      </c>
      <c r="Q558" s="67" t="str">
        <f>IF(Magick!$A$3=7,"Sorcery","Ritual")</f>
        <v>Ritual</v>
      </c>
      <c r="R558" s="67" t="str">
        <f>IF(Q558="Ritual","N/A",IF(Q558="I.E.","N/A",IF(Q558="WOG",VLOOKUP(Magick!$I$72*100,magestuff!$B$134:$F$138,2),IF(Q558="Cantrip",VLOOKUP(Magick!$I$72*100,magestuff!$B$134:$F$138,3),IF(Q558="Hex",VLOOKUP(Magick!$I$72*100,magestuff!$B$134:$F$138,4),VLOOKUP(Magick!$I$72*100,magestuff!$B$134:$F$138,5))))))</f>
        <v>N/A</v>
      </c>
      <c r="U558" s="67" t="str">
        <f t="shared" si="83"/>
        <v xml:space="preserve"> </v>
      </c>
      <c r="V558" s="515"/>
      <c r="W558" s="125"/>
      <c r="X558" s="31">
        <f t="shared" si="84"/>
        <v>0</v>
      </c>
      <c r="Y558" s="953"/>
      <c r="Z558" s="1054" t="str">
        <f t="shared" si="77"/>
        <v>Detect Curse</v>
      </c>
      <c r="AA558" s="1072" t="str">
        <f t="shared" si="78"/>
        <v>Divination</v>
      </c>
    </row>
    <row r="559" spans="1:27" hidden="1" outlineLevel="1">
      <c r="A559" s="83" t="s">
        <v>3682</v>
      </c>
      <c r="B559" s="67">
        <f>IF(Magick!$A$3=10,3,5)</f>
        <v>5</v>
      </c>
      <c r="C559" s="67">
        <f ca="1">magestuff!$O$200</f>
        <v>5</v>
      </c>
      <c r="D559" s="67">
        <f t="shared" si="82"/>
        <v>0</v>
      </c>
      <c r="E559" s="77" t="e">
        <f ca="1">IF(F559="y",HLOOKUP(C559,Magick!$C$20:$L$21,2),NA())</f>
        <v>#N/A</v>
      </c>
      <c r="F559" s="67" t="str">
        <f ca="1">IF(C559&lt;=Magick!$D$3,"Y","N")</f>
        <v>N</v>
      </c>
      <c r="G559" s="148" t="s">
        <v>1617</v>
      </c>
      <c r="H559" s="151"/>
      <c r="I559" s="77" t="e">
        <f>IF(H559&gt;0,(HLOOKUP(C559,Magick!$C$20:$L$21,2)-HLOOKUP(H559,Magick!$C$20:$L$21,2)),NA())</f>
        <v>#N/A</v>
      </c>
      <c r="J559" s="77"/>
      <c r="K559" s="67">
        <f>IF(Magick!$A$3=10,5,9)</f>
        <v>9</v>
      </c>
      <c r="L559" s="72" t="str">
        <f>IF(H559&gt;0,Magick!$AR$22-('Master Spell List'!H597*0.1),"N/A")</f>
        <v>N/A</v>
      </c>
      <c r="M559" s="72">
        <f ca="1">Magick!$H$72</f>
        <v>0.1</v>
      </c>
      <c r="N559" s="72">
        <f ca="1">Magick!$K$72</f>
        <v>0.15000000000000002</v>
      </c>
      <c r="O559" s="72">
        <f ca="1">Magick!$L$72</f>
        <v>0.15000000000000002</v>
      </c>
      <c r="P559" s="72">
        <f ca="1">Magick!$M$72</f>
        <v>0.15000000000000002</v>
      </c>
      <c r="Q559" s="67" t="str">
        <f>IF(Magick!$A$3=7,"Sorcery","Ritual")</f>
        <v>Ritual</v>
      </c>
      <c r="R559" s="67" t="str">
        <f>IF(Q559="Ritual","N/A",IF(Q559="I.E.","N/A",IF(Q559="WOG",VLOOKUP(Magick!$I$72*100,magestuff!$B$134:$F$138,2),IF(Q559="Cantrip",VLOOKUP(Magick!$I$72*100,magestuff!$B$134:$F$138,3),IF(Q559="Hex",VLOOKUP(Magick!$I$72*100,magestuff!$B$134:$F$138,4),VLOOKUP(Magick!$I$72*100,magestuff!$B$134:$F$138,5))))))</f>
        <v>N/A</v>
      </c>
      <c r="U559" s="67" t="str">
        <f t="shared" si="83"/>
        <v xml:space="preserve"> </v>
      </c>
      <c r="V559" s="515"/>
      <c r="W559" s="125"/>
      <c r="X559" s="31">
        <f t="shared" si="84"/>
        <v>0</v>
      </c>
      <c r="Y559" s="953"/>
      <c r="Z559" s="1054" t="str">
        <f t="shared" si="77"/>
        <v>Detect Defect</v>
      </c>
      <c r="AA559" s="1072" t="str">
        <f t="shared" si="78"/>
        <v>Divination</v>
      </c>
    </row>
    <row r="560" spans="1:27" hidden="1" outlineLevel="1">
      <c r="A560" s="83" t="s">
        <v>2119</v>
      </c>
      <c r="B560" s="67">
        <f>IF(Magick!$A$3=10,3,5)</f>
        <v>5</v>
      </c>
      <c r="C560" s="67">
        <f ca="1">magestuff!$O$200</f>
        <v>5</v>
      </c>
      <c r="D560" s="67">
        <f t="shared" si="82"/>
        <v>0</v>
      </c>
      <c r="E560" s="77" t="e">
        <f ca="1">IF(F560="y",HLOOKUP(C560,Magick!$C$20:$L$21,2),NA())</f>
        <v>#N/A</v>
      </c>
      <c r="F560" s="67" t="str">
        <f ca="1">IF(C560&lt;=Magick!$D$3,"Y","N")</f>
        <v>N</v>
      </c>
      <c r="G560" s="148" t="s">
        <v>1617</v>
      </c>
      <c r="H560" s="151"/>
      <c r="I560" s="77" t="e">
        <f>IF(H560&gt;0,(HLOOKUP(C560,Magick!$C$20:$L$21,2)-HLOOKUP(H560,Magick!$C$20:$L$21,2)),NA())</f>
        <v>#N/A</v>
      </c>
      <c r="J560" s="77"/>
      <c r="K560" s="67">
        <f>IF(Magick!$A$3=10,5,9)</f>
        <v>9</v>
      </c>
      <c r="L560" s="72" t="str">
        <f>IF(H560&gt;0,Magick!$AR$22-('Master Spell List'!H596*0.1),"N/A")</f>
        <v>N/A</v>
      </c>
      <c r="M560" s="72">
        <f ca="1">Magick!$H$72</f>
        <v>0.1</v>
      </c>
      <c r="N560" s="72">
        <f ca="1">Magick!$K$72</f>
        <v>0.15000000000000002</v>
      </c>
      <c r="O560" s="72">
        <f ca="1">Magick!$L$72</f>
        <v>0.15000000000000002</v>
      </c>
      <c r="P560" s="72">
        <f ca="1">Magick!$M$72</f>
        <v>0.15000000000000002</v>
      </c>
      <c r="Q560" s="67" t="str">
        <f>IF(Magick!$A$3=7,"Sorcery","Ritual")</f>
        <v>Ritual</v>
      </c>
      <c r="R560" s="67" t="str">
        <f>IF(Q560="Ritual","N/A",IF(Q560="I.E.","N/A",IF(Q560="WOG",VLOOKUP(Magick!$I$72*100,magestuff!$B$134:$F$138,2),IF(Q560="Cantrip",VLOOKUP(Magick!$I$72*100,magestuff!$B$134:$F$138,3),IF(Q560="Hex",VLOOKUP(Magick!$I$72*100,magestuff!$B$134:$F$138,4),VLOOKUP(Magick!$I$72*100,magestuff!$B$134:$F$138,5))))))</f>
        <v>N/A</v>
      </c>
      <c r="U560" s="67" t="str">
        <f t="shared" si="83"/>
        <v xml:space="preserve"> </v>
      </c>
      <c r="V560" s="515"/>
      <c r="W560" s="125"/>
      <c r="X560" s="31">
        <f t="shared" si="84"/>
        <v>0</v>
      </c>
      <c r="Y560" s="953"/>
      <c r="Z560" s="1054" t="str">
        <f t="shared" si="77"/>
        <v>Detect Disease</v>
      </c>
      <c r="AA560" s="1072" t="str">
        <f t="shared" si="78"/>
        <v>Divination</v>
      </c>
    </row>
    <row r="561" spans="1:27" hidden="1" outlineLevel="1">
      <c r="A561" s="83" t="s">
        <v>3685</v>
      </c>
      <c r="B561" s="67">
        <f>IF(Magick!$A$3=10,3,5)</f>
        <v>5</v>
      </c>
      <c r="C561" s="67">
        <f ca="1">magestuff!$O$200</f>
        <v>5</v>
      </c>
      <c r="D561" s="67">
        <f t="shared" si="82"/>
        <v>0</v>
      </c>
      <c r="E561" s="77" t="e">
        <f ca="1">IF(F561="y",HLOOKUP(C561,Magick!$C$20:$L$21,2),NA())</f>
        <v>#N/A</v>
      </c>
      <c r="F561" s="67" t="str">
        <f ca="1">IF(C561&lt;=Magick!$D$3,"Y","N")</f>
        <v>N</v>
      </c>
      <c r="G561" s="148" t="s">
        <v>1617</v>
      </c>
      <c r="H561" s="151"/>
      <c r="I561" s="77" t="e">
        <f>IF(H561&gt;0,(HLOOKUP(C561,Magick!$C$20:$L$21,2)-HLOOKUP(H561,Magick!$C$20:$L$21,2)),NA())</f>
        <v>#N/A</v>
      </c>
      <c r="J561" s="77"/>
      <c r="K561" s="67">
        <f>IF(Magick!$A$3=10,5,9)</f>
        <v>9</v>
      </c>
      <c r="L561" s="72" t="str">
        <f>IF(H561&gt;0,Magick!$AR$22-('Master Spell List'!H601*0.1),"N/A")</f>
        <v>N/A</v>
      </c>
      <c r="M561" s="72">
        <f ca="1">Magick!$H$72</f>
        <v>0.1</v>
      </c>
      <c r="N561" s="72">
        <f ca="1">Magick!$K$72</f>
        <v>0.15000000000000002</v>
      </c>
      <c r="O561" s="72">
        <f ca="1">Magick!$L$72</f>
        <v>0.15000000000000002</v>
      </c>
      <c r="P561" s="72">
        <f ca="1">Magick!$M$72</f>
        <v>0.15000000000000002</v>
      </c>
      <c r="Q561" s="67" t="str">
        <f>IF(Magick!$A$3=7,"Sorcery","Ritual")</f>
        <v>Ritual</v>
      </c>
      <c r="R561" s="67" t="str">
        <f>IF(Q561="Ritual","N/A",IF(Q561="I.E.","N/A",IF(Q561="WOG",VLOOKUP(Magick!$I$72*100,magestuff!$B$134:$F$138,2),IF(Q561="Cantrip",VLOOKUP(Magick!$I$72*100,magestuff!$B$134:$F$138,3),IF(Q561="Hex",VLOOKUP(Magick!$I$72*100,magestuff!$B$134:$F$138,4),VLOOKUP(Magick!$I$72*100,magestuff!$B$134:$F$138,5))))))</f>
        <v>N/A</v>
      </c>
      <c r="U561" s="67" t="str">
        <f t="shared" si="83"/>
        <v xml:space="preserve"> </v>
      </c>
      <c r="V561" s="515"/>
      <c r="W561" s="125"/>
      <c r="X561" s="31">
        <f t="shared" si="84"/>
        <v>0</v>
      </c>
      <c r="Y561" s="953"/>
      <c r="Z561" s="1054" t="str">
        <f t="shared" si="77"/>
        <v>Detect Truth</v>
      </c>
      <c r="AA561" s="1072" t="str">
        <f t="shared" si="78"/>
        <v>Divination</v>
      </c>
    </row>
    <row r="562" spans="1:27" hidden="1" outlineLevel="1">
      <c r="A562" s="83" t="s">
        <v>2208</v>
      </c>
      <c r="B562" s="67">
        <f>IF(Magick!$A$3=10,3,5)</f>
        <v>5</v>
      </c>
      <c r="C562" s="67">
        <f ca="1">magestuff!$O$200</f>
        <v>5</v>
      </c>
      <c r="D562" s="67">
        <f t="shared" si="82"/>
        <v>0</v>
      </c>
      <c r="E562" s="77" t="e">
        <f ca="1">IF(F562="y",HLOOKUP(C562,Magick!$C$20:$L$21,2),NA())</f>
        <v>#N/A</v>
      </c>
      <c r="F562" s="67" t="str">
        <f ca="1">IF(C562&lt;=Magick!$D$3,"Y","N")</f>
        <v>N</v>
      </c>
      <c r="G562" s="148" t="s">
        <v>129</v>
      </c>
      <c r="H562" s="151"/>
      <c r="I562" s="77" t="e">
        <f>IF(H562&gt;0,(HLOOKUP(C562,Magick!$C$20:$L$21,2)-HLOOKUP(H562,Magick!$C$20:$L$21,2)),NA())</f>
        <v>#N/A</v>
      </c>
      <c r="J562" s="77"/>
      <c r="K562" s="67">
        <f>IF(Magick!$A$3=10,4,6)</f>
        <v>6</v>
      </c>
      <c r="L562" s="72" t="str">
        <f>IF(H562&gt;0,Magick!$AR$22-('Master Spell List'!H547*0.1),"N/A")</f>
        <v>N/A</v>
      </c>
      <c r="M562" s="72">
        <f ca="1">Magick!$H$72</f>
        <v>0.1</v>
      </c>
      <c r="N562" s="72">
        <f ca="1">Magick!$K$72</f>
        <v>0.15000000000000002</v>
      </c>
      <c r="O562" s="72">
        <f ca="1">Magick!$L$72</f>
        <v>0.15000000000000002</v>
      </c>
      <c r="P562" s="72">
        <f ca="1">Magick!$M$72</f>
        <v>0.15000000000000002</v>
      </c>
      <c r="Q562" s="67" t="s">
        <v>4602</v>
      </c>
      <c r="R562" s="67">
        <f ca="1">IF(Q562="Ritual","N/A",IF(Q562="I.E.","N/A",IF(Q562="WOG",VLOOKUP(Magick!$I$72*100,magestuff!$B$134:$F$138,2),IF(Q562="Cantrip",VLOOKUP(Magick!$I$72*100,magestuff!$B$134:$F$138,3),IF(Q562="Hex",VLOOKUP(Magick!$I$72*100,magestuff!$B$134:$F$138,4),VLOOKUP(Magick!$I$72*100,magestuff!$B$134:$F$138,5))))))</f>
        <v>19</v>
      </c>
      <c r="U562" s="67" t="str">
        <f t="shared" si="83"/>
        <v xml:space="preserve"> </v>
      </c>
      <c r="V562" s="515"/>
      <c r="W562" s="125"/>
      <c r="X562" s="31">
        <f t="shared" si="84"/>
        <v>0</v>
      </c>
      <c r="Y562" s="953"/>
      <c r="Z562" s="1054" t="str">
        <f t="shared" si="77"/>
        <v>Detect Weather</v>
      </c>
      <c r="AA562" s="1072" t="str">
        <f t="shared" si="78"/>
        <v>Divination</v>
      </c>
    </row>
    <row r="563" spans="1:27" hidden="1" outlineLevel="1">
      <c r="A563" s="83" t="s">
        <v>5720</v>
      </c>
      <c r="B563" s="67">
        <f>IF(Magick!$A$3=10,2,5)</f>
        <v>5</v>
      </c>
      <c r="C563" s="67">
        <f ca="1">magestuff!$O$200</f>
        <v>5</v>
      </c>
      <c r="D563" s="67">
        <f t="shared" si="82"/>
        <v>0</v>
      </c>
      <c r="E563" s="77" t="e">
        <f ca="1">IF(F563="y",HLOOKUP(C563,Magick!$C$20:$L$21,2),NA())</f>
        <v>#N/A</v>
      </c>
      <c r="F563" s="67" t="str">
        <f ca="1">IF(C563&lt;=Magick!$D$3,"Y","N")</f>
        <v>N</v>
      </c>
      <c r="G563" s="148" t="s">
        <v>859</v>
      </c>
      <c r="H563" s="151"/>
      <c r="I563" s="77" t="e">
        <f>IF(H563&gt;0,(HLOOKUP(C563,Magick!$C$20:$L$21,2)-HLOOKUP(H563,Magick!$C$20:$L$21,2)),NA())</f>
        <v>#N/A</v>
      </c>
      <c r="J563" s="77"/>
      <c r="K563" s="67">
        <f>IF(Magick!$A$3=10,3,12)</f>
        <v>12</v>
      </c>
      <c r="L563" s="72" t="str">
        <f>IF(H563&gt;0,Magick!$AR$22-('Master Spell List'!H543*0.1),"N/A")</f>
        <v>N/A</v>
      </c>
      <c r="M563" s="72">
        <f ca="1">Magick!$H$72</f>
        <v>0.1</v>
      </c>
      <c r="N563" s="72">
        <f ca="1">Magick!$K$72</f>
        <v>0.15000000000000002</v>
      </c>
      <c r="O563" s="72">
        <f ca="1">Magick!$L$72</f>
        <v>0.15000000000000002</v>
      </c>
      <c r="P563" s="72">
        <f ca="1">Magick!$M$72</f>
        <v>0.15000000000000002</v>
      </c>
      <c r="Q563" s="67" t="str">
        <f>IF(Magick!$A$3=10,"WOG","Hex")</f>
        <v>Hex</v>
      </c>
      <c r="R563" s="67">
        <f ca="1">IF(Q563="Ritual","N/A",IF(Q563="I.E.","N/A",IF(Q563="WOG",VLOOKUP(Magick!$I$72*100,magestuff!$B$134:$F$138,2),IF(Q563="Cantrip",VLOOKUP(Magick!$I$72*100,magestuff!$B$134:$F$138,3),IF(Q563="Hex",VLOOKUP(Magick!$I$72*100,magestuff!$B$134:$F$138,4),VLOOKUP(Magick!$I$72*100,magestuff!$B$134:$F$138,5))))))</f>
        <v>19</v>
      </c>
      <c r="V563" s="515"/>
      <c r="W563" s="125"/>
      <c r="Y563" s="953"/>
      <c r="Z563" s="1054" t="str">
        <f t="shared" si="77"/>
        <v>Discern Correspondences</v>
      </c>
      <c r="AA563" s="1072" t="str">
        <f t="shared" si="78"/>
        <v>Divination</v>
      </c>
    </row>
    <row r="564" spans="1:27" hidden="1" outlineLevel="1">
      <c r="A564" s="83" t="s">
        <v>5721</v>
      </c>
      <c r="B564" s="67">
        <f>IF(Magick!$A$3=10,2,5)</f>
        <v>5</v>
      </c>
      <c r="C564" s="67">
        <f ca="1">magestuff!$O$200</f>
        <v>5</v>
      </c>
      <c r="D564" s="67">
        <f t="shared" si="82"/>
        <v>0</v>
      </c>
      <c r="E564" s="77" t="e">
        <f ca="1">IF(F564="y",HLOOKUP(C564,Magick!$C$20:$L$21,2),NA())</f>
        <v>#N/A</v>
      </c>
      <c r="F564" s="67" t="str">
        <f ca="1">IF(C564&lt;=Magick!$D$3,"Y","N")</f>
        <v>N</v>
      </c>
      <c r="G564" s="148" t="s">
        <v>859</v>
      </c>
      <c r="H564" s="151"/>
      <c r="I564" s="77" t="e">
        <f>IF(H564&gt;0,(HLOOKUP(C564,Magick!$C$20:$L$21,2)-HLOOKUP(H564,Magick!$C$20:$L$21,2)),NA())</f>
        <v>#N/A</v>
      </c>
      <c r="J564" s="77"/>
      <c r="K564" s="67">
        <f>IF(Magick!$A$3=10,3,17)</f>
        <v>17</v>
      </c>
      <c r="L564" s="72" t="str">
        <f>IF(H564&gt;0,Magick!$AR$22-('Master Spell List'!H544*0.1),"N/A")</f>
        <v>N/A</v>
      </c>
      <c r="M564" s="72">
        <f ca="1">Magick!$H$72</f>
        <v>0.1</v>
      </c>
      <c r="N564" s="72">
        <f ca="1">Magick!$K$72</f>
        <v>0.15000000000000002</v>
      </c>
      <c r="O564" s="72">
        <f ca="1">Magick!$L$72</f>
        <v>0.15000000000000002</v>
      </c>
      <c r="P564" s="72">
        <f ca="1">Magick!$M$72</f>
        <v>0.15000000000000002</v>
      </c>
      <c r="Q564" s="67" t="str">
        <f>IF(Magick!$A$3=10,"WOG","Sorcery")</f>
        <v>Sorcery</v>
      </c>
      <c r="R564" s="67">
        <f ca="1">IF(Q564="Ritual","N/A",IF(Q564="I.E.","N/A",IF(Q564="WOG",VLOOKUP(Magick!$I$72*100,magestuff!$B$134:$F$138,2),IF(Q564="Cantrip",VLOOKUP(Magick!$I$72*100,magestuff!$B$134:$F$138,3),IF(Q564="Hex",VLOOKUP(Magick!$I$72*100,magestuff!$B$134:$F$138,4),VLOOKUP(Magick!$I$72*100,magestuff!$B$134:$F$138,5))))))</f>
        <v>29</v>
      </c>
      <c r="V564" s="515"/>
      <c r="W564" s="125"/>
      <c r="Y564" s="953"/>
      <c r="Z564" s="1054" t="str">
        <f t="shared" si="77"/>
        <v>Discern Laws of Magick</v>
      </c>
      <c r="AA564" s="1072" t="str">
        <f t="shared" si="78"/>
        <v>Divination</v>
      </c>
    </row>
    <row r="565" spans="1:27" hidden="1" outlineLevel="1">
      <c r="A565" s="83" t="s">
        <v>5722</v>
      </c>
      <c r="B565" s="67">
        <f>IF(Magick!$A$3=10,2,5)</f>
        <v>5</v>
      </c>
      <c r="C565" s="67">
        <f ca="1">magestuff!$O$200</f>
        <v>5</v>
      </c>
      <c r="D565" s="67">
        <f t="shared" si="82"/>
        <v>0</v>
      </c>
      <c r="E565" s="77" t="e">
        <f ca="1">IF(F565="y",HLOOKUP(C565,Magick!$C$20:$L$21,2),NA())</f>
        <v>#N/A</v>
      </c>
      <c r="F565" s="67" t="str">
        <f ca="1">IF(C565&lt;=Magick!$D$3,"Y","N")</f>
        <v>N</v>
      </c>
      <c r="G565" s="148" t="s">
        <v>859</v>
      </c>
      <c r="H565" s="151"/>
      <c r="I565" s="77" t="e">
        <f>IF(H565&gt;0,(HLOOKUP(C565,Magick!$C$20:$L$21,2)-HLOOKUP(H565,Magick!$C$20:$L$21,2)),NA())</f>
        <v>#N/A</v>
      </c>
      <c r="J565" s="77"/>
      <c r="K565" s="67">
        <f>IF(Magick!$A$3=10,3,17)</f>
        <v>17</v>
      </c>
      <c r="L565" s="72" t="str">
        <f>IF(H565&gt;0,Magick!$AR$22-('Master Spell List'!H545*0.1),"N/A")</f>
        <v>N/A</v>
      </c>
      <c r="M565" s="72">
        <f ca="1">Magick!$H$72</f>
        <v>0.1</v>
      </c>
      <c r="N565" s="72">
        <f ca="1">Magick!$K$72</f>
        <v>0.15000000000000002</v>
      </c>
      <c r="O565" s="72">
        <f ca="1">Magick!$L$72</f>
        <v>0.15000000000000002</v>
      </c>
      <c r="P565" s="72">
        <f ca="1">Magick!$M$72</f>
        <v>0.15000000000000002</v>
      </c>
      <c r="Q565" s="67" t="str">
        <f>IF(Magick!$A$3=10,"WOG","Sorcery")</f>
        <v>Sorcery</v>
      </c>
      <c r="R565" s="67">
        <f ca="1">IF(Q565="Ritual","N/A",IF(Q565="I.E.","N/A",IF(Q565="WOG",VLOOKUP(Magick!$I$72*100,magestuff!$B$134:$F$138,2),IF(Q565="Cantrip",VLOOKUP(Magick!$I$72*100,magestuff!$B$134:$F$138,3),IF(Q565="Hex",VLOOKUP(Magick!$I$72*100,magestuff!$B$134:$F$138,4),VLOOKUP(Magick!$I$72*100,magestuff!$B$134:$F$138,5))))))</f>
        <v>29</v>
      </c>
      <c r="V565" s="515"/>
      <c r="W565" s="125"/>
      <c r="Y565" s="953"/>
      <c r="Z565" s="1054" t="str">
        <f t="shared" si="77"/>
        <v>Discern Anointing Material</v>
      </c>
      <c r="AA565" s="1072" t="str">
        <f t="shared" si="78"/>
        <v>Divination</v>
      </c>
    </row>
    <row r="566" spans="1:27" hidden="1" outlineLevel="1">
      <c r="A566" s="83" t="s">
        <v>5726</v>
      </c>
      <c r="B566" s="67">
        <f>IF(Magick!$A$3=10,2,5)</f>
        <v>5</v>
      </c>
      <c r="C566" s="67">
        <f ca="1">magestuff!$O$200</f>
        <v>5</v>
      </c>
      <c r="D566" s="67">
        <f t="shared" si="82"/>
        <v>0</v>
      </c>
      <c r="E566" s="77" t="e">
        <f ca="1">IF(F566="y",HLOOKUP(C566,Magick!$C$20:$L$21,2),NA())</f>
        <v>#N/A</v>
      </c>
      <c r="F566" s="67" t="str">
        <f ca="1">IF(C566&lt;=Magick!$D$3,"Y","N")</f>
        <v>N</v>
      </c>
      <c r="G566" s="148" t="s">
        <v>859</v>
      </c>
      <c r="H566" s="151"/>
      <c r="I566" s="77" t="e">
        <f>IF(H566&gt;0,(HLOOKUP(C566,Magick!$C$20:$L$21,2)-HLOOKUP(H566,Magick!$C$20:$L$21,2)),NA())</f>
        <v>#N/A</v>
      </c>
      <c r="J566" s="77"/>
      <c r="K566" s="67">
        <f>IF(Magick!$A$3=10,4,10)</f>
        <v>10</v>
      </c>
      <c r="L566" s="72" t="str">
        <f>IF(H566&gt;0,Magick!$AR$22-('Master Spell List'!H549*0.1),"N/A")</f>
        <v>N/A</v>
      </c>
      <c r="M566" s="72">
        <f ca="1">Magick!$H$72</f>
        <v>0.1</v>
      </c>
      <c r="N566" s="72">
        <f ca="1">Magick!$K$72</f>
        <v>0.15000000000000002</v>
      </c>
      <c r="O566" s="72">
        <f ca="1">Magick!$L$72</f>
        <v>0.15000000000000002</v>
      </c>
      <c r="P566" s="72">
        <f ca="1">Magick!$M$72</f>
        <v>0.15000000000000002</v>
      </c>
      <c r="Q566" s="67" t="str">
        <f>IF(Magick!$A$3=10,"WOG","Hex")</f>
        <v>Hex</v>
      </c>
      <c r="R566" s="67">
        <f ca="1">IF(Q566="Ritual","N/A",IF(Q566="I.E.","N/A",IF(Q566="WOG",VLOOKUP(Magick!$I$72*100,magestuff!$B$134:$F$138,2),IF(Q566="Cantrip",VLOOKUP(Magick!$I$72*100,magestuff!$B$134:$F$138,3),IF(Q566="Hex",VLOOKUP(Magick!$I$72*100,magestuff!$B$134:$F$138,4),VLOOKUP(Magick!$I$72*100,magestuff!$B$134:$F$138,5))))))</f>
        <v>19</v>
      </c>
      <c r="V566" s="515"/>
      <c r="W566" s="125"/>
      <c r="Y566" s="953"/>
      <c r="Z566" s="1054" t="str">
        <f t="shared" si="77"/>
        <v>Lesser Discern Trigger</v>
      </c>
      <c r="AA566" s="1072" t="str">
        <f t="shared" si="78"/>
        <v>Divination</v>
      </c>
    </row>
    <row r="567" spans="1:27" hidden="1" outlineLevel="1">
      <c r="A567" s="83" t="s">
        <v>5730</v>
      </c>
      <c r="B567" s="67">
        <f>IF(Magick!$A$3=10,2,5)</f>
        <v>5</v>
      </c>
      <c r="C567" s="67">
        <f ca="1">magestuff!$O$200</f>
        <v>5</v>
      </c>
      <c r="D567" s="67">
        <f t="shared" si="82"/>
        <v>0</v>
      </c>
      <c r="E567" s="77" t="e">
        <f ca="1">IF(F567="y",HLOOKUP(C567,Magick!$C$20:$L$21,2),NA())</f>
        <v>#N/A</v>
      </c>
      <c r="F567" s="67" t="str">
        <f ca="1">IF(C567&lt;=Magick!$D$3,"Y","N")</f>
        <v>N</v>
      </c>
      <c r="G567" s="148" t="s">
        <v>859</v>
      </c>
      <c r="H567" s="151"/>
      <c r="I567" s="77" t="e">
        <f>IF(H567&gt;0,(HLOOKUP(C567,Magick!$C$20:$L$21,2)-HLOOKUP(H567,Magick!$C$20:$L$21,2)),NA())</f>
        <v>#N/A</v>
      </c>
      <c r="J567" s="77"/>
      <c r="K567" s="67">
        <f>IF(Magick!$A$3=10,3,12)</f>
        <v>12</v>
      </c>
      <c r="L567" s="72" t="str">
        <f>IF(H567&gt;0,Magick!$AR$22-('Master Spell List'!H553*0.1),"N/A")</f>
        <v>N/A</v>
      </c>
      <c r="M567" s="72">
        <f ca="1">Magick!$H$72</f>
        <v>0.1</v>
      </c>
      <c r="N567" s="72">
        <f ca="1">Magick!$K$72</f>
        <v>0.15000000000000002</v>
      </c>
      <c r="O567" s="72">
        <f ca="1">Magick!$L$72</f>
        <v>0.15000000000000002</v>
      </c>
      <c r="P567" s="72">
        <f ca="1">Magick!$M$72</f>
        <v>0.15000000000000002</v>
      </c>
      <c r="Q567" s="67" t="str">
        <f>IF(Magick!$A$3=10,"WOG","Sorcery")</f>
        <v>Sorcery</v>
      </c>
      <c r="R567" s="67">
        <f ca="1">IF(Q567="Ritual","N/A",IF(Q567="I.E.","N/A",IF(Q567="WOG",VLOOKUP(Magick!$I$72*100,magestuff!$B$134:$F$138,2),IF(Q567="Cantrip",VLOOKUP(Magick!$I$72*100,magestuff!$B$134:$F$138,3),IF(Q567="Hex",VLOOKUP(Magick!$I$72*100,magestuff!$B$134:$F$138,4),VLOOKUP(Magick!$I$72*100,magestuff!$B$134:$F$138,5))))))</f>
        <v>29</v>
      </c>
      <c r="V567" s="515"/>
      <c r="W567" s="125"/>
      <c r="Y567" s="953"/>
      <c r="Z567" s="1054" t="str">
        <f t="shared" si="77"/>
        <v>Least Discern Magick</v>
      </c>
      <c r="AA567" s="1072" t="str">
        <f t="shared" si="78"/>
        <v>Divination</v>
      </c>
    </row>
    <row r="568" spans="1:27" hidden="1" outlineLevel="1">
      <c r="A568" s="83" t="s">
        <v>1466</v>
      </c>
      <c r="B568" s="67">
        <v>5</v>
      </c>
      <c r="C568" s="67">
        <f ca="1">magestuff!$O$200</f>
        <v>5</v>
      </c>
      <c r="D568" s="67">
        <f t="shared" si="82"/>
        <v>0</v>
      </c>
      <c r="E568" s="77" t="e">
        <f ca="1">IF(F568="y",HLOOKUP(C568,Magick!$C$20:$L$21,2),NA())</f>
        <v>#N/A</v>
      </c>
      <c r="F568" s="67" t="str">
        <f ca="1">IF(C568&lt;=Magick!$D$3,"Y","N")</f>
        <v>N</v>
      </c>
      <c r="G568" s="148" t="s">
        <v>129</v>
      </c>
      <c r="H568" s="151"/>
      <c r="I568" s="77" t="e">
        <f>IF(H568&gt;0,(HLOOKUP(C568,Magick!$C$20:$L$21,2)-HLOOKUP(H568,Magick!$C$20:$L$21,2)),NA())</f>
        <v>#N/A</v>
      </c>
      <c r="J568" s="77"/>
      <c r="K568" s="67">
        <v>8</v>
      </c>
      <c r="L568" s="72" t="str">
        <f>IF(H568&gt;0,Magick!$AR$22-('Master Spell List'!H549*0.1),"N/A")</f>
        <v>N/A</v>
      </c>
      <c r="M568" s="72">
        <f ca="1">Magick!$H$72</f>
        <v>0.1</v>
      </c>
      <c r="N568" s="72">
        <f ca="1">Magick!$K$72</f>
        <v>0.15000000000000002</v>
      </c>
      <c r="O568" s="72">
        <f ca="1">Magick!$L$72</f>
        <v>0.15000000000000002</v>
      </c>
      <c r="P568" s="72">
        <f ca="1">Magick!$M$72</f>
        <v>0.15000000000000002</v>
      </c>
      <c r="Q568" s="67" t="s">
        <v>113</v>
      </c>
      <c r="R568" s="67" t="str">
        <f>IF(Q568="Ritual","N/A",IF(Q568="I.E.","N/A",IF(Q568="WOG",VLOOKUP(Magick!$I$72*100,magestuff!$B$134:$F$138,2),IF(Q568="Cantrip",VLOOKUP(Magick!$I$72*100,magestuff!$B$134:$F$138,3),IF(Q568="Hex",VLOOKUP(Magick!$I$72*100,magestuff!$B$134:$F$138,4),VLOOKUP(Magick!$I$72*100,magestuff!$B$134:$F$138,5))))))</f>
        <v>N/A</v>
      </c>
      <c r="U568" s="67" t="str">
        <f t="shared" ref="U568:U577" si="85">IF(ISBLANK(H568)," ",IF(H568&gt;0,0,C568*10))</f>
        <v xml:space="preserve"> </v>
      </c>
      <c r="V568" s="515"/>
      <c r="W568" s="125"/>
      <c r="X568" s="31">
        <f t="shared" ref="X568:X577" si="86">W568*3</f>
        <v>0</v>
      </c>
      <c r="Y568" s="953"/>
      <c r="Z568" s="1054" t="str">
        <f t="shared" si="77"/>
        <v>Forecast Weather From Afar</v>
      </c>
      <c r="AA568" s="1072" t="str">
        <f t="shared" si="78"/>
        <v>Divination</v>
      </c>
    </row>
    <row r="569" spans="1:27" hidden="1" outlineLevel="1">
      <c r="A569" s="83" t="s">
        <v>5527</v>
      </c>
      <c r="B569" s="67">
        <v>5</v>
      </c>
      <c r="C569" s="67">
        <f ca="1">magestuff!$O$200</f>
        <v>5</v>
      </c>
      <c r="D569" s="67">
        <f t="shared" si="82"/>
        <v>0</v>
      </c>
      <c r="E569" s="77" t="e">
        <f ca="1">IF(F569="y",HLOOKUP(C569,Magick!$C$20:$L$21,2),NA())</f>
        <v>#N/A</v>
      </c>
      <c r="F569" s="67" t="str">
        <f ca="1">IF(C569&lt;=Magick!$D$3,"Y","N")</f>
        <v>N</v>
      </c>
      <c r="G569" s="148" t="s">
        <v>129</v>
      </c>
      <c r="H569" s="151"/>
      <c r="I569" s="77" t="e">
        <f>IF(H569&gt;0,(HLOOKUP(C569,Magick!$C$20:$L$21,2)-HLOOKUP(H569,Magick!$C$20:$L$21,2)),NA())</f>
        <v>#N/A</v>
      </c>
      <c r="J569" s="77"/>
      <c r="K569" s="67">
        <v>5</v>
      </c>
      <c r="L569" s="72" t="str">
        <f>IF(H569&gt;0,Magick!$AR$22-('Master Spell List'!H586*0.1),"N/A")</f>
        <v>N/A</v>
      </c>
      <c r="M569" s="72">
        <f ca="1">Magick!$H$72</f>
        <v>0.1</v>
      </c>
      <c r="N569" s="72">
        <f ca="1">Magick!$K$72</f>
        <v>0.15000000000000002</v>
      </c>
      <c r="O569" s="72">
        <f ca="1">Magick!$L$72</f>
        <v>0.15000000000000002</v>
      </c>
      <c r="P569" s="72">
        <f ca="1">Magick!$M$72</f>
        <v>0.15000000000000002</v>
      </c>
      <c r="Q569" s="67" t="s">
        <v>4603</v>
      </c>
      <c r="R569" s="67">
        <f ca="1">IF(Q569="Ritual","N/A",IF(Q569="I.E.","N/A",IF(Q569="WOG",VLOOKUP(Magick!$I$72*100,magestuff!$B$134:$F$138,2),IF(Q569="Cantrip",VLOOKUP(Magick!$I$72*100,magestuff!$B$134:$F$138,3),IF(Q569="Hex",VLOOKUP(Magick!$I$72*100,magestuff!$B$134:$F$138,4),VLOOKUP(Magick!$I$72*100,magestuff!$B$134:$F$138,5))))))</f>
        <v>9</v>
      </c>
      <c r="T569" s="67" t="s">
        <v>3725</v>
      </c>
      <c r="U569" s="67" t="str">
        <f t="shared" si="85"/>
        <v xml:space="preserve"> </v>
      </c>
      <c r="V569" s="515"/>
      <c r="W569" s="125"/>
      <c r="X569" s="31">
        <f t="shared" si="86"/>
        <v>0</v>
      </c>
      <c r="Y569" s="953"/>
      <c r="Z569" s="1054" t="str">
        <f t="shared" si="77"/>
        <v>Lesser Temporal Wave</v>
      </c>
      <c r="AA569" s="1072" t="str">
        <f t="shared" si="78"/>
        <v>Divination</v>
      </c>
    </row>
    <row r="570" spans="1:27" hidden="1" outlineLevel="1">
      <c r="A570" s="83" t="s">
        <v>4363</v>
      </c>
      <c r="B570" s="67">
        <v>5</v>
      </c>
      <c r="C570" s="67">
        <f ca="1">magestuff!$O$200</f>
        <v>5</v>
      </c>
      <c r="D570" s="67">
        <f t="shared" si="82"/>
        <v>0</v>
      </c>
      <c r="E570" s="77" t="e">
        <f ca="1">IF(F570="y",HLOOKUP(C570,Magick!$C$20:$L$21,2),NA())</f>
        <v>#N/A</v>
      </c>
      <c r="F570" s="67" t="str">
        <f ca="1">IF(C570&lt;=Magick!$D$3,"Y","N")</f>
        <v>N</v>
      </c>
      <c r="G570" s="148" t="s">
        <v>129</v>
      </c>
      <c r="H570" s="151"/>
      <c r="I570" s="77" t="e">
        <f>IF(H570&gt;0,(HLOOKUP(C570,Magick!$C$20:$L$21,2)-HLOOKUP(H570,Magick!$C$20:$L$21,2)),NA())</f>
        <v>#N/A</v>
      </c>
      <c r="J570" s="77"/>
      <c r="K570" s="67" t="s">
        <v>342</v>
      </c>
      <c r="L570" s="72" t="str">
        <f>IF(H570&gt;0,Magick!$AR$22-('Master Spell List'!H588*0.1),"N/A")</f>
        <v>N/A</v>
      </c>
      <c r="M570" s="72">
        <f ca="1">Magick!$H$72</f>
        <v>0.1</v>
      </c>
      <c r="N570" s="72">
        <f ca="1">Magick!$K$72</f>
        <v>0.15000000000000002</v>
      </c>
      <c r="O570" s="72">
        <f ca="1">Magick!$L$72</f>
        <v>0.15000000000000002</v>
      </c>
      <c r="P570" s="72">
        <f ca="1">Magick!$M$72</f>
        <v>0.15000000000000002</v>
      </c>
      <c r="Q570" s="67" t="s">
        <v>3723</v>
      </c>
      <c r="R570" s="67">
        <f ca="1">IF(Q570="Ritual","N/A",IF(Q570="I.E.","N/A",IF(Q570="WOG",VLOOKUP(Magick!$I$72*100,magestuff!$B$134:$F$138,2),IF(Q570="Cantrip",VLOOKUP(Magick!$I$72*100,magestuff!$B$134:$F$138,3),IF(Q570="Hex",VLOOKUP(Magick!$I$72*100,magestuff!$B$134:$F$138,4),VLOOKUP(Magick!$I$72*100,magestuff!$B$134:$F$138,5))))))</f>
        <v>29</v>
      </c>
      <c r="S570" s="67" t="s">
        <v>2329</v>
      </c>
      <c r="U570" s="67" t="str">
        <f t="shared" si="85"/>
        <v xml:space="preserve"> </v>
      </c>
      <c r="V570" s="515"/>
      <c r="W570" s="125"/>
      <c r="X570" s="31">
        <f t="shared" si="86"/>
        <v>0</v>
      </c>
      <c r="Y570" s="509"/>
      <c r="Z570" s="1054" t="str">
        <f t="shared" si="77"/>
        <v>Temporal Sidestep</v>
      </c>
      <c r="AA570" s="1072" t="str">
        <f t="shared" si="78"/>
        <v>Divination</v>
      </c>
    </row>
    <row r="571" spans="1:27" hidden="1" outlineLevel="1">
      <c r="A571" s="83" t="s">
        <v>3686</v>
      </c>
      <c r="B571" s="67">
        <f>IF(Magick!$A$3=10,4,6)</f>
        <v>6</v>
      </c>
      <c r="C571" s="67">
        <f ca="1">magestuff!$R$200</f>
        <v>6</v>
      </c>
      <c r="D571" s="67">
        <f t="shared" si="82"/>
        <v>0</v>
      </c>
      <c r="E571" s="77" t="e">
        <f ca="1">IF(F571="y",HLOOKUP(C571,Magick!$C$20:$L$21,2),NA())</f>
        <v>#N/A</v>
      </c>
      <c r="F571" s="67" t="str">
        <f ca="1">IF(C571&lt;=Magick!$D$3,"Y","N")</f>
        <v>N</v>
      </c>
      <c r="G571" s="148" t="s">
        <v>1617</v>
      </c>
      <c r="H571" s="151"/>
      <c r="I571" s="77" t="e">
        <f>IF(H571&gt;0,(HLOOKUP(C571,Magick!$C$20:$L$21,2)-HLOOKUP(H571,Magick!$C$20:$L$21,2)),NA())</f>
        <v>#N/A</v>
      </c>
      <c r="J571" s="77"/>
      <c r="K571" s="67">
        <f>IF(Magick!$A$3=10,8,10)</f>
        <v>10</v>
      </c>
      <c r="L571" s="72" t="str">
        <f>IF(H571&gt;0,Magick!$AR$22-('Master Spell List'!H602*0.1),"N/A")</f>
        <v>N/A</v>
      </c>
      <c r="M571" s="72">
        <f ca="1">Magick!$H$72</f>
        <v>0.1</v>
      </c>
      <c r="N571" s="72">
        <f ca="1">Magick!$K$72</f>
        <v>0.15000000000000002</v>
      </c>
      <c r="O571" s="72">
        <f ca="1">Magick!$L$72</f>
        <v>0.15000000000000002</v>
      </c>
      <c r="P571" s="72">
        <f ca="1">Magick!$M$72</f>
        <v>0.15000000000000002</v>
      </c>
      <c r="Q571" s="67" t="str">
        <f>IF(Magick!$A$3=7,"Sorcery","Ritual")</f>
        <v>Ritual</v>
      </c>
      <c r="R571" s="67" t="str">
        <f>IF(Q571="Ritual","N/A",IF(Q571="I.E.","N/A",IF(Q571="WOG",VLOOKUP(Magick!$I$72*100,magestuff!$B$134:$F$138,2),IF(Q571="Cantrip",VLOOKUP(Magick!$I$72*100,magestuff!$B$134:$F$138,3),IF(Q571="Hex",VLOOKUP(Magick!$I$72*100,magestuff!$B$134:$F$138,4),VLOOKUP(Magick!$I$72*100,magestuff!$B$134:$F$138,5))))))</f>
        <v>N/A</v>
      </c>
      <c r="U571" s="67" t="str">
        <f t="shared" si="85"/>
        <v xml:space="preserve"> </v>
      </c>
      <c r="V571" s="515"/>
      <c r="W571" s="125"/>
      <c r="X571" s="31">
        <f t="shared" si="86"/>
        <v>0</v>
      </c>
      <c r="Y571" s="509"/>
      <c r="Z571" s="1054" t="str">
        <f t="shared" si="77"/>
        <v>Detect Direction</v>
      </c>
      <c r="AA571" s="1072" t="str">
        <f t="shared" si="78"/>
        <v>Divination</v>
      </c>
    </row>
    <row r="572" spans="1:27" hidden="1" outlineLevel="1">
      <c r="A572" s="83" t="s">
        <v>2919</v>
      </c>
      <c r="B572" s="67">
        <f>IF(Magick!$A$3=10,4,6)</f>
        <v>6</v>
      </c>
      <c r="C572" s="67">
        <f ca="1">magestuff!$R$200</f>
        <v>6</v>
      </c>
      <c r="D572" s="67">
        <f t="shared" si="82"/>
        <v>0</v>
      </c>
      <c r="E572" s="77" t="e">
        <f ca="1">IF(F572="y",HLOOKUP(C572,Magick!$C$20:$L$21,2),NA())</f>
        <v>#N/A</v>
      </c>
      <c r="F572" s="67" t="str">
        <f ca="1">IF(C572&lt;=Magick!$D$3,"Y","N")</f>
        <v>N</v>
      </c>
      <c r="G572" s="148" t="s">
        <v>859</v>
      </c>
      <c r="H572" s="151"/>
      <c r="I572" s="77" t="e">
        <f>IF(H572&gt;0,(HLOOKUP(C572,Magick!$C$20:$L$21,2)-HLOOKUP(H572,Magick!$C$20:$L$21,2)),NA())</f>
        <v>#N/A</v>
      </c>
      <c r="J572" s="77"/>
      <c r="K572" s="67" t="s">
        <v>2225</v>
      </c>
      <c r="L572" s="72" t="str">
        <f>IF(H572&gt;0,Magick!$AR$22-('Master Spell List'!H607*0.1),"N/A")</f>
        <v>N/A</v>
      </c>
      <c r="M572" s="72">
        <f ca="1">Magick!$H$72</f>
        <v>0.1</v>
      </c>
      <c r="N572" s="72">
        <f ca="1">Magick!$K$72</f>
        <v>0.15000000000000002</v>
      </c>
      <c r="O572" s="72">
        <f ca="1">Magick!$L$72</f>
        <v>0.15000000000000002</v>
      </c>
      <c r="P572" s="72">
        <f ca="1">Magick!$M$72</f>
        <v>0.15000000000000002</v>
      </c>
      <c r="Q572" s="67" t="s">
        <v>2225</v>
      </c>
      <c r="R572" s="67">
        <f ca="1">IF(Q572="Ritual","N/A",IF(Q572="I.E.","N/A",IF(Q572="WOG",VLOOKUP(Magick!$I$72*100,magestuff!$B$134:$F$138,2),IF(Q572="Cantrip",VLOOKUP(Magick!$I$72*100,magestuff!$B$134:$F$138,3),IF(Q572="Hex",VLOOKUP(Magick!$I$72*100,magestuff!$B$134:$F$138,4),VLOOKUP(Magick!$I$72*100,magestuff!$B$134:$F$138,5))))))</f>
        <v>29</v>
      </c>
      <c r="U572" s="67" t="str">
        <f t="shared" si="85"/>
        <v xml:space="preserve"> </v>
      </c>
      <c r="V572" s="515"/>
      <c r="W572" s="125"/>
      <c r="X572" s="31">
        <f t="shared" si="86"/>
        <v>0</v>
      </c>
      <c r="Y572" s="509"/>
      <c r="Z572" s="1054" t="str">
        <f t="shared" si="77"/>
        <v>Detect Distance</v>
      </c>
      <c r="AA572" s="1072" t="str">
        <f t="shared" si="78"/>
        <v>Divination</v>
      </c>
    </row>
    <row r="573" spans="1:27" hidden="1" outlineLevel="1">
      <c r="A573" s="83" t="s">
        <v>2013</v>
      </c>
      <c r="B573" s="67">
        <f>IF(Magick!$A$3=10,4,6)</f>
        <v>6</v>
      </c>
      <c r="C573" s="67">
        <f ca="1">magestuff!$R$200</f>
        <v>6</v>
      </c>
      <c r="D573" s="67">
        <f t="shared" si="82"/>
        <v>0</v>
      </c>
      <c r="E573" s="77" t="e">
        <f ca="1">IF(F573="y",HLOOKUP(C573,Magick!$C$20:$L$21,2),NA())</f>
        <v>#N/A</v>
      </c>
      <c r="F573" s="67" t="str">
        <f ca="1">IF(C573&lt;=Magick!$D$3,"Y","N")</f>
        <v>N</v>
      </c>
      <c r="G573" s="148" t="s">
        <v>1616</v>
      </c>
      <c r="H573" s="151"/>
      <c r="I573" s="77" t="e">
        <f>IF(H573&gt;0,(HLOOKUP(C573,Magick!$C$20:$L$21,2)-HLOOKUP(H573,Magick!$C$20:$L$21,2)),NA())</f>
        <v>#N/A</v>
      </c>
      <c r="J573" s="77"/>
      <c r="K573" s="67">
        <f>IF(Magick!$A$3=10,6,10)</f>
        <v>10</v>
      </c>
      <c r="L573" s="72" t="str">
        <f>IF(H573&gt;0,Magick!$AR$22-('Master Spell List'!H595*0.1),"N/A")</f>
        <v>N/A</v>
      </c>
      <c r="M573" s="72">
        <f ca="1">Magick!$H$72</f>
        <v>0.1</v>
      </c>
      <c r="N573" s="72">
        <f ca="1">Magick!$K$72</f>
        <v>0.15000000000000002</v>
      </c>
      <c r="O573" s="72">
        <f ca="1">Magick!$L$72</f>
        <v>0.15000000000000002</v>
      </c>
      <c r="P573" s="72">
        <f ca="1">Magick!$M$72</f>
        <v>0.15000000000000002</v>
      </c>
      <c r="Q573" s="67" t="str">
        <f>IF(Magick!$A$3=7,"Sorcery","Ritual")</f>
        <v>Ritual</v>
      </c>
      <c r="R573" s="67" t="str">
        <f>IF(Q573="Ritual","N/A",IF(Q573="I.E.","N/A",IF(Q573="WOG",VLOOKUP(Magick!$I$72*100,magestuff!$B$134:$F$138,2),IF(Q573="Cantrip",VLOOKUP(Magick!$I$72*100,magestuff!$B$134:$F$138,3),IF(Q573="Hex",VLOOKUP(Magick!$I$72*100,magestuff!$B$134:$F$138,4),VLOOKUP(Magick!$I$72*100,magestuff!$B$134:$F$138,5))))))</f>
        <v>N/A</v>
      </c>
      <c r="U573" s="67" t="str">
        <f t="shared" si="85"/>
        <v xml:space="preserve"> </v>
      </c>
      <c r="V573" s="515"/>
      <c r="W573" s="125"/>
      <c r="X573" s="31">
        <f t="shared" si="86"/>
        <v>0</v>
      </c>
      <c r="Y573" s="509"/>
      <c r="Z573" s="1054" t="str">
        <f t="shared" si="77"/>
        <v>Detect Injury</v>
      </c>
      <c r="AA573" s="1072" t="str">
        <f t="shared" si="78"/>
        <v>Divination</v>
      </c>
    </row>
    <row r="574" spans="1:27" hidden="1" outlineLevel="1">
      <c r="A574" s="83" t="s">
        <v>2112</v>
      </c>
      <c r="B574" s="67">
        <v>6</v>
      </c>
      <c r="C574" s="67">
        <f ca="1">magestuff!$R$200</f>
        <v>6</v>
      </c>
      <c r="D574" s="67">
        <f t="shared" si="82"/>
        <v>0</v>
      </c>
      <c r="E574" s="77" t="e">
        <f ca="1">IF(F574="y",HLOOKUP(C574,Magick!$C$20:$L$21,2),NA())</f>
        <v>#N/A</v>
      </c>
      <c r="F574" s="67" t="str">
        <f ca="1">IF(C574&lt;=Magick!$D$3,"Y","N")</f>
        <v>N</v>
      </c>
      <c r="G574" s="148" t="s">
        <v>129</v>
      </c>
      <c r="H574" s="151"/>
      <c r="I574" s="77" t="e">
        <f>IF(H574&gt;0,(HLOOKUP(C574,Magick!$C$20:$L$21,2)-HLOOKUP(H574,Magick!$C$20:$L$21,2)),NA())</f>
        <v>#N/A</v>
      </c>
      <c r="J574" s="77"/>
      <c r="K574" s="67" t="s">
        <v>1366</v>
      </c>
      <c r="L574" s="72" t="str">
        <f>IF(H574&gt;0,Magick!$AR$22-('Master Spell List'!H580*0.1),"N/A")</f>
        <v>N/A</v>
      </c>
      <c r="M574" s="72">
        <f ca="1">Magick!$H$72</f>
        <v>0.1</v>
      </c>
      <c r="N574" s="72">
        <f ca="1">Magick!$K$72</f>
        <v>0.15000000000000002</v>
      </c>
      <c r="O574" s="72">
        <f ca="1">Magick!$L$72</f>
        <v>0.15000000000000002</v>
      </c>
      <c r="P574" s="72">
        <f ca="1">Magick!$M$72</f>
        <v>0.15000000000000002</v>
      </c>
      <c r="Q574" s="67" t="s">
        <v>113</v>
      </c>
      <c r="R574" s="67" t="str">
        <f>IF(Q574="Ritual","N/A",IF(Q574="I.E.","N/A",IF(Q574="WOG",VLOOKUP(Magick!$I$72*100,magestuff!$B$134:$F$138,2),IF(Q574="Cantrip",VLOOKUP(Magick!$I$72*100,magestuff!$B$134:$F$138,3),IF(Q574="Hex",VLOOKUP(Magick!$I$72*100,magestuff!$B$134:$F$138,4),VLOOKUP(Magick!$I$72*100,magestuff!$B$134:$F$138,5))))))</f>
        <v>N/A</v>
      </c>
      <c r="S574" s="67" t="s">
        <v>5545</v>
      </c>
      <c r="U574" s="67" t="str">
        <f t="shared" si="85"/>
        <v xml:space="preserve"> </v>
      </c>
      <c r="V574" s="515"/>
      <c r="W574" s="125"/>
      <c r="X574" s="31">
        <f t="shared" si="86"/>
        <v>0</v>
      </c>
      <c r="Y574" s="509"/>
      <c r="Z574" s="1054" t="str">
        <f t="shared" si="77"/>
        <v>Hindsight</v>
      </c>
      <c r="AA574" s="1072" t="str">
        <f t="shared" si="78"/>
        <v>Divination</v>
      </c>
    </row>
    <row r="575" spans="1:27" hidden="1" outlineLevel="1">
      <c r="A575" s="83" t="s">
        <v>1536</v>
      </c>
      <c r="B575" s="67">
        <v>6</v>
      </c>
      <c r="C575" s="67">
        <f ca="1">magestuff!$R$200</f>
        <v>6</v>
      </c>
      <c r="D575" s="67">
        <f t="shared" si="82"/>
        <v>0</v>
      </c>
      <c r="E575" s="77" t="e">
        <f ca="1">IF(F575="y",HLOOKUP(C575,Magick!$C$20:$L$21,2),NA())</f>
        <v>#N/A</v>
      </c>
      <c r="F575" s="67" t="str">
        <f ca="1">IF(C575&lt;=Magick!$D$3,"Y","N")</f>
        <v>N</v>
      </c>
      <c r="G575" s="148" t="s">
        <v>129</v>
      </c>
      <c r="H575" s="151"/>
      <c r="I575" s="77" t="e">
        <f>IF(H575&gt;0,(HLOOKUP(C575,Magick!$C$20:$L$21,2)-HLOOKUP(H575,Magick!$C$20:$L$21,2)),NA())</f>
        <v>#N/A</v>
      </c>
      <c r="J575" s="77"/>
      <c r="K575" s="67" t="s">
        <v>1367</v>
      </c>
      <c r="L575" s="72" t="str">
        <f>IF(H575&gt;0,Magick!$AR$22-('Master Spell List'!H583*0.1),"N/A")</f>
        <v>N/A</v>
      </c>
      <c r="M575" s="72">
        <f ca="1">Magick!$H$72</f>
        <v>0.1</v>
      </c>
      <c r="N575" s="72">
        <f ca="1">Magick!$K$72</f>
        <v>0.15000000000000002</v>
      </c>
      <c r="O575" s="72">
        <f ca="1">Magick!$L$72</f>
        <v>0.15000000000000002</v>
      </c>
      <c r="P575" s="72">
        <f ca="1">Magick!$M$72</f>
        <v>0.15000000000000002</v>
      </c>
      <c r="Q575" s="67" t="s">
        <v>3723</v>
      </c>
      <c r="R575" s="67">
        <f ca="1">IF(Q575="Ritual","N/A",IF(Q575="I.E.","N/A",IF(Q575="WOG",VLOOKUP(Magick!$I$72*100,magestuff!$B$134:$F$138,2),IF(Q575="Cantrip",VLOOKUP(Magick!$I$72*100,magestuff!$B$134:$F$138,3),IF(Q575="Hex",VLOOKUP(Magick!$I$72*100,magestuff!$B$134:$F$138,4),VLOOKUP(Magick!$I$72*100,magestuff!$B$134:$F$138,5))))))</f>
        <v>29</v>
      </c>
      <c r="S575" s="67" t="s">
        <v>5545</v>
      </c>
      <c r="U575" s="67" t="str">
        <f t="shared" si="85"/>
        <v xml:space="preserve"> </v>
      </c>
      <c r="V575" s="515"/>
      <c r="W575" s="125"/>
      <c r="X575" s="31">
        <f t="shared" si="86"/>
        <v>0</v>
      </c>
      <c r="Y575" s="509"/>
      <c r="Z575" s="1054" t="str">
        <f t="shared" si="77"/>
        <v>Lesser Foresight</v>
      </c>
      <c r="AA575" s="1072" t="str">
        <f t="shared" si="78"/>
        <v>Divination</v>
      </c>
    </row>
    <row r="576" spans="1:27" hidden="1" outlineLevel="1">
      <c r="A576" s="31" t="s">
        <v>3864</v>
      </c>
      <c r="B576" s="67">
        <v>6</v>
      </c>
      <c r="C576" s="67">
        <f ca="1">magestuff!$R$200</f>
        <v>6</v>
      </c>
      <c r="D576" s="67">
        <f t="shared" si="82"/>
        <v>0</v>
      </c>
      <c r="E576" s="77" t="e">
        <f ca="1">IF(F576="y",HLOOKUP(C576,Magick!$C$20:$L$21,2),NA())</f>
        <v>#N/A</v>
      </c>
      <c r="F576" s="67" t="str">
        <f ca="1">IF(C576&lt;=Magick!$D$3,"Y","N")</f>
        <v>N</v>
      </c>
      <c r="G576" s="148" t="s">
        <v>128</v>
      </c>
      <c r="H576" s="151"/>
      <c r="I576" s="77" t="e">
        <f>IF(H576&gt;0,(HLOOKUP(C576,Magick!$C$20:$L$21,2)-HLOOKUP(H576,Magick!$C$20:$L$21,2)),NA())</f>
        <v>#N/A</v>
      </c>
      <c r="J576" s="77"/>
      <c r="K576" s="67">
        <v>9</v>
      </c>
      <c r="L576" s="72" t="str">
        <f>IF(H576&gt;0,Magick!$AR$22-('Master Spell List'!H535*0.1),"N/A")</f>
        <v>N/A</v>
      </c>
      <c r="M576" s="72">
        <f ca="1">Magick!$H$72</f>
        <v>0.1</v>
      </c>
      <c r="N576" s="72">
        <f ca="1">Magick!$K$72</f>
        <v>0.15000000000000002</v>
      </c>
      <c r="O576" s="72">
        <f ca="1">Magick!$L$72</f>
        <v>0.15000000000000002</v>
      </c>
      <c r="P576" s="72">
        <f ca="1">Magick!$M$72</f>
        <v>0.15000000000000002</v>
      </c>
      <c r="Q576" s="67" t="s">
        <v>113</v>
      </c>
      <c r="R576" s="67" t="str">
        <f>IF(Q576="Ritual","N/A",IF(Q576="I.E.","N/A",IF(Q576="WOG",VLOOKUP(Magick!$I$72*100,magestuff!$B$134:$F$138,2),IF(Q576="Cantrip",VLOOKUP(Magick!$I$72*100,magestuff!$B$134:$F$138,3),IF(Q576="Hex",VLOOKUP(Magick!$I$72*100,magestuff!$B$134:$F$138,4),VLOOKUP(Magick!$I$72*100,magestuff!$B$134:$F$138,5))))))</f>
        <v>N/A</v>
      </c>
      <c r="U576" s="67" t="str">
        <f t="shared" si="85"/>
        <v xml:space="preserve"> </v>
      </c>
      <c r="V576" s="515"/>
      <c r="W576" s="125"/>
      <c r="X576" s="31">
        <f t="shared" si="86"/>
        <v>0</v>
      </c>
      <c r="Y576" s="509"/>
      <c r="Z576" s="1054" t="str">
        <f t="shared" si="77"/>
        <v>Scry the Land</v>
      </c>
      <c r="AA576" s="1072" t="str">
        <f t="shared" si="78"/>
        <v>Divination</v>
      </c>
    </row>
    <row r="577" spans="1:27" hidden="1" outlineLevel="1">
      <c r="A577" s="83" t="s">
        <v>1284</v>
      </c>
      <c r="B577" s="67">
        <v>7</v>
      </c>
      <c r="C577" s="67">
        <f ca="1">magestuff!$U$200</f>
        <v>7</v>
      </c>
      <c r="D577" s="67">
        <f t="shared" si="82"/>
        <v>0</v>
      </c>
      <c r="E577" s="77" t="e">
        <f ca="1">IF(F577="y",HLOOKUP(C577,Magick!$C$20:$L$21,2),NA())</f>
        <v>#N/A</v>
      </c>
      <c r="F577" s="67" t="str">
        <f ca="1">IF(C577&lt;=Magick!$D$3,"Y","N")</f>
        <v>N</v>
      </c>
      <c r="G577" s="148" t="s">
        <v>130</v>
      </c>
      <c r="H577" s="151"/>
      <c r="I577" s="77" t="e">
        <f>IF(H577&gt;0,(HLOOKUP(C577,Magick!$C$20:$L$21,2)-HLOOKUP(H577,Magick!$C$20:$L$21,2)),NA())</f>
        <v>#N/A</v>
      </c>
      <c r="J577" s="77"/>
      <c r="K577" s="67">
        <f>ROUNDUP(+B577*1.5,0)</f>
        <v>11</v>
      </c>
      <c r="L577" s="72" t="str">
        <f>IF(H577&gt;0,Magick!$AR$22-('Master Spell List'!H541*0.1),"N/A")</f>
        <v>N/A</v>
      </c>
      <c r="M577" s="72">
        <f ca="1">Magick!$H$72</f>
        <v>0.1</v>
      </c>
      <c r="N577" s="72">
        <f ca="1">Magick!$K$72</f>
        <v>0.15000000000000002</v>
      </c>
      <c r="O577" s="72">
        <f ca="1">Magick!$L$72</f>
        <v>0.15000000000000002</v>
      </c>
      <c r="P577" s="72">
        <f ca="1">Magick!$M$72</f>
        <v>0.15000000000000002</v>
      </c>
      <c r="Q577" s="67" t="s">
        <v>4602</v>
      </c>
      <c r="R577" s="67">
        <f ca="1">IF(Q577="Ritual","N/A",IF(Q577="I.E.","N/A",IF(Q577="WOG",VLOOKUP(Magick!$I$72*100,magestuff!$B$134:$F$138,2),IF(Q577="Cantrip",VLOOKUP(Magick!$I$72*100,magestuff!$B$134:$F$138,3),IF(Q577="Hex",VLOOKUP(Magick!$I$72*100,magestuff!$B$134:$F$138,4),VLOOKUP(Magick!$I$72*100,magestuff!$B$134:$F$138,5))))))</f>
        <v>19</v>
      </c>
      <c r="S577" s="67" t="str">
        <f>CONCATENATE(IF(Magick!$C$3&gt;0,Magick!$C$3*5," "),"ft.")</f>
        <v xml:space="preserve"> ft.</v>
      </c>
      <c r="T577" s="67" t="str">
        <f>CONCATENATE(IF(Magick!$C$3&gt;0,Magick!$C$3*2," "),"min.")</f>
        <v xml:space="preserve"> min.</v>
      </c>
      <c r="U577" s="67" t="str">
        <f t="shared" si="85"/>
        <v xml:space="preserve"> </v>
      </c>
      <c r="V577" s="515"/>
      <c r="W577" s="125"/>
      <c r="X577" s="31">
        <f t="shared" si="86"/>
        <v>0</v>
      </c>
      <c r="Y577" s="509"/>
      <c r="Z577" s="1054" t="str">
        <f t="shared" si="77"/>
        <v>Detect Blood Purity</v>
      </c>
      <c r="AA577" s="1072" t="str">
        <f t="shared" si="78"/>
        <v>Divination</v>
      </c>
    </row>
    <row r="578" spans="1:27" hidden="1" outlineLevel="1">
      <c r="A578" s="83" t="s">
        <v>5718</v>
      </c>
      <c r="B578" s="67">
        <f>IF(Magick!$A$3=10,4,7)</f>
        <v>7</v>
      </c>
      <c r="C578" s="67">
        <f ca="1">magestuff!$U$200</f>
        <v>7</v>
      </c>
      <c r="D578" s="67">
        <f t="shared" si="82"/>
        <v>0</v>
      </c>
      <c r="E578" s="77" t="e">
        <f ca="1">IF(F578="y",HLOOKUP(C578,Magick!$C$20:$L$21,2),NA())</f>
        <v>#N/A</v>
      </c>
      <c r="F578" s="67" t="str">
        <f ca="1">IF(C578&lt;=Magick!$D$3,"Y","N")</f>
        <v>N</v>
      </c>
      <c r="G578" s="148" t="s">
        <v>859</v>
      </c>
      <c r="H578" s="151"/>
      <c r="I578" s="77" t="e">
        <f>IF(H578&gt;0,(HLOOKUP(C578,Magick!$C$20:$L$21,2)-HLOOKUP(H578,Magick!$C$20:$L$21,2)),NA())</f>
        <v>#N/A</v>
      </c>
      <c r="J578" s="77"/>
      <c r="K578" s="67">
        <f>IF(Magick!$A$3=10,8,14)</f>
        <v>14</v>
      </c>
      <c r="L578" s="72" t="str">
        <f>IF(H578&gt;0,Magick!$AR$22-('Master Spell List'!H541*0.1),"N/A")</f>
        <v>N/A</v>
      </c>
      <c r="M578" s="72">
        <f ca="1">Magick!$H$72</f>
        <v>0.1</v>
      </c>
      <c r="N578" s="72">
        <f ca="1">Magick!$K$72</f>
        <v>0.15000000000000002</v>
      </c>
      <c r="O578" s="72">
        <f ca="1">Magick!$L$72</f>
        <v>0.15000000000000002</v>
      </c>
      <c r="P578" s="72">
        <f ca="1">Magick!$M$72</f>
        <v>0.15000000000000002</v>
      </c>
      <c r="Q578" s="67" t="str">
        <f>IF(Magick!$A$3=10,"Hex","Ritual")</f>
        <v>Ritual</v>
      </c>
      <c r="R578" s="67" t="str">
        <f>IF(Q578="Ritual","N/A",IF(Q578="I.E.","N/A",IF(Q578="WOG",VLOOKUP(Magick!$I$72*100,magestuff!$B$134:$F$138,2),IF(Q578="Cantrip",VLOOKUP(Magick!$I$72*100,magestuff!$B$134:$F$138,3),IF(Q578="Hex",VLOOKUP(Magick!$I$72*100,magestuff!$B$134:$F$138,4),VLOOKUP(Magick!$I$72*100,magestuff!$B$134:$F$138,5))))))</f>
        <v>N/A</v>
      </c>
      <c r="V578" s="515"/>
      <c r="W578" s="125"/>
      <c r="Y578" s="509"/>
      <c r="Z578" s="1054" t="str">
        <f t="shared" ref="Z578:Z641" si="87">A578</f>
        <v>Discern Traps</v>
      </c>
      <c r="AA578" s="1072" t="str">
        <f t="shared" si="78"/>
        <v>Divination</v>
      </c>
    </row>
    <row r="579" spans="1:27" hidden="1" outlineLevel="1">
      <c r="A579" s="83" t="s">
        <v>5723</v>
      </c>
      <c r="B579" s="67">
        <f>IF(Magick!$A$3=10,3,7)</f>
        <v>7</v>
      </c>
      <c r="C579" s="67">
        <f ca="1">magestuff!$U$200</f>
        <v>7</v>
      </c>
      <c r="D579" s="67">
        <f t="shared" si="82"/>
        <v>0</v>
      </c>
      <c r="E579" s="77" t="e">
        <f ca="1">IF(F579="y",HLOOKUP(C579,Magick!$C$20:$L$21,2),NA())</f>
        <v>#N/A</v>
      </c>
      <c r="F579" s="67" t="str">
        <f ca="1">IF(C579&lt;=Magick!$D$3,"Y","N")</f>
        <v>N</v>
      </c>
      <c r="G579" s="148" t="s">
        <v>859</v>
      </c>
      <c r="H579" s="151"/>
      <c r="I579" s="77" t="e">
        <f>IF(H579&gt;0,(HLOOKUP(C579,Magick!$C$20:$L$21,2)-HLOOKUP(H579,Magick!$C$20:$L$21,2)),NA())</f>
        <v>#N/A</v>
      </c>
      <c r="J579" s="77"/>
      <c r="K579" s="67">
        <f>IF(Magick!$A$3=10,6,19)</f>
        <v>19</v>
      </c>
      <c r="L579" s="72" t="str">
        <f>IF(H579&gt;0,Magick!$AR$22-('Master Spell List'!H546*0.1),"N/A")</f>
        <v>N/A</v>
      </c>
      <c r="M579" s="72">
        <f ca="1">Magick!$H$72</f>
        <v>0.1</v>
      </c>
      <c r="N579" s="72">
        <f ca="1">Magick!$K$72</f>
        <v>0.15000000000000002</v>
      </c>
      <c r="O579" s="72">
        <f ca="1">Magick!$L$72</f>
        <v>0.15000000000000002</v>
      </c>
      <c r="P579" s="72">
        <f ca="1">Magick!$M$72</f>
        <v>0.15000000000000002</v>
      </c>
      <c r="Q579" s="67" t="str">
        <f>IF(Magick!$A$3=10,"Cantrip","Ritual")</f>
        <v>Ritual</v>
      </c>
      <c r="R579" s="67" t="str">
        <f>IF(Q579="Ritual","N/A",IF(Q579="I.E.","N/A",IF(Q579="WOG",VLOOKUP(Magick!$I$72*100,magestuff!$B$134:$F$138,2),IF(Q579="Cantrip",VLOOKUP(Magick!$I$72*100,magestuff!$B$134:$F$138,3),IF(Q579="Hex",VLOOKUP(Magick!$I$72*100,magestuff!$B$134:$F$138,4),VLOOKUP(Magick!$I$72*100,magestuff!$B$134:$F$138,5))))))</f>
        <v>N/A</v>
      </c>
      <c r="V579" s="515"/>
      <c r="W579" s="125"/>
      <c r="Y579" s="509"/>
      <c r="Z579" s="1054" t="str">
        <f t="shared" si="87"/>
        <v>Discern Device Components</v>
      </c>
      <c r="AA579" s="1072" t="str">
        <f t="shared" ref="AA579:AA642" si="88">IF(ISNUMBER(MATCH($Z579,Spell_Methods,0)),$Z579,$AA578)</f>
        <v>Divination</v>
      </c>
    </row>
    <row r="580" spans="1:27" hidden="1" outlineLevel="1">
      <c r="A580" s="83" t="s">
        <v>5727</v>
      </c>
      <c r="B580" s="67">
        <f>IF(Magick!$A$3=10,3,7)</f>
        <v>7</v>
      </c>
      <c r="C580" s="67">
        <f ca="1">magestuff!$U$200</f>
        <v>7</v>
      </c>
      <c r="D580" s="67">
        <f t="shared" si="82"/>
        <v>0</v>
      </c>
      <c r="E580" s="77" t="e">
        <f ca="1">IF(F580="y",HLOOKUP(C580,Magick!$C$20:$L$21,2),NA())</f>
        <v>#N/A</v>
      </c>
      <c r="F580" s="67" t="str">
        <f ca="1">IF(C580&lt;=Magick!$D$3,"Y","N")</f>
        <v>N</v>
      </c>
      <c r="G580" s="148" t="s">
        <v>859</v>
      </c>
      <c r="H580" s="151"/>
      <c r="I580" s="77" t="e">
        <f>IF(H580&gt;0,(HLOOKUP(C580,Magick!$C$20:$L$21,2)-HLOOKUP(H580,Magick!$C$20:$L$21,2)),NA())</f>
        <v>#N/A</v>
      </c>
      <c r="J580" s="77"/>
      <c r="K580" s="67">
        <f>IF(Magick!$A$3=10,6,14)</f>
        <v>14</v>
      </c>
      <c r="L580" s="72" t="str">
        <f>IF(H580&gt;0,Magick!$AR$22-('Master Spell List'!H550*0.1),"N/A")</f>
        <v>N/A</v>
      </c>
      <c r="M580" s="72">
        <f ca="1">Magick!$H$72</f>
        <v>0.1</v>
      </c>
      <c r="N580" s="72">
        <f ca="1">Magick!$K$72</f>
        <v>0.15000000000000002</v>
      </c>
      <c r="O580" s="72">
        <f ca="1">Magick!$L$72</f>
        <v>0.15000000000000002</v>
      </c>
      <c r="P580" s="72">
        <f ca="1">Magick!$M$72</f>
        <v>0.15000000000000002</v>
      </c>
      <c r="Q580" s="67" t="str">
        <f>IF(Magick!$A$3=10,"Cantrip","Sorcery")</f>
        <v>Sorcery</v>
      </c>
      <c r="R580" s="67">
        <f ca="1">IF(Q580="Ritual","N/A",IF(Q580="I.E.","N/A",IF(Q580="WOG",VLOOKUP(Magick!$I$72*100,magestuff!$B$134:$F$138,2),IF(Q580="Cantrip",VLOOKUP(Magick!$I$72*100,magestuff!$B$134:$F$138,3),IF(Q580="Hex",VLOOKUP(Magick!$I$72*100,magestuff!$B$134:$F$138,4),VLOOKUP(Magick!$I$72*100,magestuff!$B$134:$F$138,5))))))</f>
        <v>29</v>
      </c>
      <c r="V580" s="515"/>
      <c r="W580" s="125"/>
      <c r="Y580" s="509"/>
      <c r="Z580" s="1054" t="str">
        <f t="shared" si="87"/>
        <v>Great Discern Trigger</v>
      </c>
      <c r="AA580" s="1072" t="str">
        <f t="shared" si="88"/>
        <v>Divination</v>
      </c>
    </row>
    <row r="581" spans="1:27" hidden="1" outlineLevel="1">
      <c r="A581" s="83" t="s">
        <v>5731</v>
      </c>
      <c r="B581" s="67">
        <f>IF(Magick!$A$3=10,3,7)</f>
        <v>7</v>
      </c>
      <c r="C581" s="67">
        <f ca="1">magestuff!$U$200</f>
        <v>7</v>
      </c>
      <c r="D581" s="67">
        <f t="shared" ref="D581:D607" si="89">IF(AND(ISNUMBER(H581),H581=0),C581,0)</f>
        <v>0</v>
      </c>
      <c r="E581" s="77" t="e">
        <f ca="1">IF(F581="y",HLOOKUP(C581,Magick!$C$20:$L$21,2),NA())</f>
        <v>#N/A</v>
      </c>
      <c r="F581" s="67" t="str">
        <f ca="1">IF(C581&lt;=Magick!$D$3,"Y","N")</f>
        <v>N</v>
      </c>
      <c r="G581" s="148" t="s">
        <v>859</v>
      </c>
      <c r="H581" s="151"/>
      <c r="I581" s="77" t="e">
        <f>IF(H581&gt;0,(HLOOKUP(C581,Magick!$C$20:$L$21,2)-HLOOKUP(H581,Magick!$C$20:$L$21,2)),NA())</f>
        <v>#N/A</v>
      </c>
      <c r="J581" s="77"/>
      <c r="K581" s="67">
        <f>IF(Magick!$A$3=10,5,14)</f>
        <v>14</v>
      </c>
      <c r="L581" s="72" t="str">
        <f>IF(H581&gt;0,Magick!$AR$22-('Master Spell List'!H554*0.1),"N/A")</f>
        <v>N/A</v>
      </c>
      <c r="M581" s="72">
        <f ca="1">Magick!$H$72</f>
        <v>0.1</v>
      </c>
      <c r="N581" s="72">
        <f ca="1">Magick!$K$72</f>
        <v>0.15000000000000002</v>
      </c>
      <c r="O581" s="72">
        <f ca="1">Magick!$L$72</f>
        <v>0.15000000000000002</v>
      </c>
      <c r="P581" s="72">
        <f ca="1">Magick!$M$72</f>
        <v>0.15000000000000002</v>
      </c>
      <c r="Q581" s="67" t="str">
        <f>IF(Magick!$A$3=10,"Cantrip","Sorcery")</f>
        <v>Sorcery</v>
      </c>
      <c r="R581" s="67">
        <f ca="1">IF(Q581="Ritual","N/A",IF(Q581="I.E.","N/A",IF(Q581="WOG",VLOOKUP(Magick!$I$72*100,magestuff!$B$134:$F$138,2),IF(Q581="Cantrip",VLOOKUP(Magick!$I$72*100,magestuff!$B$134:$F$138,3),IF(Q581="Hex",VLOOKUP(Magick!$I$72*100,magestuff!$B$134:$F$138,4),VLOOKUP(Magick!$I$72*100,magestuff!$B$134:$F$138,5))))))</f>
        <v>29</v>
      </c>
      <c r="V581" s="515"/>
      <c r="W581" s="125"/>
      <c r="Y581" s="509"/>
      <c r="Z581" s="1054" t="str">
        <f t="shared" si="87"/>
        <v>Lesser Discern Magick</v>
      </c>
      <c r="AA581" s="1072" t="str">
        <f t="shared" si="88"/>
        <v>Divination</v>
      </c>
    </row>
    <row r="582" spans="1:27" hidden="1" outlineLevel="1">
      <c r="A582" s="83" t="s">
        <v>2806</v>
      </c>
      <c r="B582" s="67">
        <v>7</v>
      </c>
      <c r="C582" s="67">
        <f ca="1">magestuff!$U$200</f>
        <v>7</v>
      </c>
      <c r="D582" s="67">
        <f t="shared" si="89"/>
        <v>0</v>
      </c>
      <c r="E582" s="77" t="e">
        <f ca="1">IF(F582="y",HLOOKUP(C582,Magick!$C$20:$L$21,2),NA())</f>
        <v>#N/A</v>
      </c>
      <c r="F582" s="67" t="str">
        <f ca="1">IF(C582&lt;=Magick!$D$3,"Y","N")</f>
        <v>N</v>
      </c>
      <c r="G582" s="148" t="s">
        <v>129</v>
      </c>
      <c r="H582" s="151"/>
      <c r="I582" s="77" t="e">
        <f>IF(H582&gt;0,(HLOOKUP(C582,Magick!$C$20:$L$21,2)-HLOOKUP(H582,Magick!$C$20:$L$21,2)),NA())</f>
        <v>#N/A</v>
      </c>
      <c r="J582" s="77"/>
      <c r="K582" s="67">
        <v>12</v>
      </c>
      <c r="L582" s="72" t="str">
        <f>IF(H582&gt;0,Magick!$AR$22-('Master Spell List'!H589*0.1),"N/A")</f>
        <v>N/A</v>
      </c>
      <c r="M582" s="72">
        <f ca="1">Magick!$H$72</f>
        <v>0.1</v>
      </c>
      <c r="N582" s="72">
        <f ca="1">Magick!$K$72</f>
        <v>0.15000000000000002</v>
      </c>
      <c r="O582" s="72">
        <f ca="1">Magick!$L$72</f>
        <v>0.15000000000000002</v>
      </c>
      <c r="P582" s="72">
        <f ca="1">Magick!$M$72</f>
        <v>0.15000000000000002</v>
      </c>
      <c r="Q582" s="67" t="s">
        <v>3723</v>
      </c>
      <c r="R582" s="67">
        <f ca="1">IF(Q582="Ritual","N/A",IF(Q582="I.E.","N/A",IF(Q582="WOG",VLOOKUP(Magick!$I$72*100,magestuff!$B$134:$F$138,2),IF(Q582="Cantrip",VLOOKUP(Magick!$I$72*100,magestuff!$B$134:$F$138,3),IF(Q582="Hex",VLOOKUP(Magick!$I$72*100,magestuff!$B$134:$F$138,4),VLOOKUP(Magick!$I$72*100,magestuff!$B$134:$F$138,5))))))</f>
        <v>29</v>
      </c>
      <c r="S582" s="67" t="s">
        <v>5545</v>
      </c>
      <c r="U582" s="67" t="str">
        <f t="shared" ref="U582:U587" si="90">IF(ISBLANK(H582)," ",IF(H582&gt;0,0,C582*10))</f>
        <v xml:space="preserve"> </v>
      </c>
      <c r="V582" s="515"/>
      <c r="W582" s="125"/>
      <c r="X582" s="31">
        <f t="shared" ref="X582:X587" si="91">W582*3</f>
        <v>0</v>
      </c>
      <c r="Y582" s="509"/>
      <c r="Z582" s="1054" t="str">
        <f t="shared" si="87"/>
        <v>Glacier of Time</v>
      </c>
      <c r="AA582" s="1072" t="str">
        <f t="shared" si="88"/>
        <v>Divination</v>
      </c>
    </row>
    <row r="583" spans="1:27" hidden="1" outlineLevel="1">
      <c r="A583" s="83" t="s">
        <v>2113</v>
      </c>
      <c r="B583" s="67">
        <v>7</v>
      </c>
      <c r="C583" s="67">
        <f ca="1">magestuff!$U$200</f>
        <v>7</v>
      </c>
      <c r="D583" s="67">
        <f t="shared" si="89"/>
        <v>0</v>
      </c>
      <c r="E583" s="77" t="e">
        <f ca="1">IF(F583="y",HLOOKUP(C583,Magick!$C$20:$L$21,2),NA())</f>
        <v>#N/A</v>
      </c>
      <c r="F583" s="67" t="str">
        <f ca="1">IF(C583&lt;=Magick!$D$3,"Y","N")</f>
        <v>N</v>
      </c>
      <c r="G583" s="148" t="s">
        <v>129</v>
      </c>
      <c r="H583" s="151"/>
      <c r="I583" s="77" t="e">
        <f>IF(H583&gt;0,(HLOOKUP(C583,Magick!$C$20:$L$21,2)-HLOOKUP(H583,Magick!$C$20:$L$21,2)),NA())</f>
        <v>#N/A</v>
      </c>
      <c r="J583" s="77"/>
      <c r="K583" s="67" t="s">
        <v>1367</v>
      </c>
      <c r="L583" s="72" t="str">
        <f>IF(H583&gt;0,Magick!$AR$22-('Master Spell List'!H581*0.1),"N/A")</f>
        <v>N/A</v>
      </c>
      <c r="M583" s="72">
        <f ca="1">Magick!$H$72</f>
        <v>0.1</v>
      </c>
      <c r="N583" s="72">
        <f ca="1">Magick!$K$72</f>
        <v>0.15000000000000002</v>
      </c>
      <c r="O583" s="72">
        <f ca="1">Magick!$L$72</f>
        <v>0.15000000000000002</v>
      </c>
      <c r="P583" s="72">
        <f ca="1">Magick!$M$72</f>
        <v>0.15000000000000002</v>
      </c>
      <c r="Q583" s="67" t="s">
        <v>113</v>
      </c>
      <c r="R583" s="67" t="str">
        <f>IF(Q583="Ritual","N/A",IF(Q583="I.E.","N/A",IF(Q583="WOG",VLOOKUP(Magick!$I$72*100,magestuff!$B$134:$F$138,2),IF(Q583="Cantrip",VLOOKUP(Magick!$I$72*100,magestuff!$B$134:$F$138,3),IF(Q583="Hex",VLOOKUP(Magick!$I$72*100,magestuff!$B$134:$F$138,4),VLOOKUP(Magick!$I$72*100,magestuff!$B$134:$F$138,5))))))</f>
        <v>N/A</v>
      </c>
      <c r="S583" s="67" t="s">
        <v>5545</v>
      </c>
      <c r="U583" s="67" t="str">
        <f t="shared" si="90"/>
        <v xml:space="preserve"> </v>
      </c>
      <c r="V583" s="515"/>
      <c r="W583" s="125"/>
      <c r="X583" s="31">
        <f t="shared" si="91"/>
        <v>0</v>
      </c>
      <c r="Y583" s="509"/>
      <c r="Z583" s="1054" t="str">
        <f t="shared" si="87"/>
        <v>Greater Hindsight</v>
      </c>
      <c r="AA583" s="1072" t="str">
        <f t="shared" si="88"/>
        <v>Divination</v>
      </c>
    </row>
    <row r="584" spans="1:27" hidden="1" outlineLevel="1">
      <c r="A584" s="83" t="s">
        <v>4362</v>
      </c>
      <c r="B584" s="67">
        <v>7</v>
      </c>
      <c r="C584" s="67">
        <f ca="1">magestuff!$U$200</f>
        <v>7</v>
      </c>
      <c r="D584" s="67">
        <f t="shared" si="89"/>
        <v>0</v>
      </c>
      <c r="E584" s="77" t="e">
        <f ca="1">IF(F584="y",HLOOKUP(C584,Magick!$C$20:$L$21,2),NA())</f>
        <v>#N/A</v>
      </c>
      <c r="F584" s="67" t="str">
        <f ca="1">IF(C584&lt;=Magick!$D$3,"Y","N")</f>
        <v>N</v>
      </c>
      <c r="G584" s="148" t="s">
        <v>129</v>
      </c>
      <c r="H584" s="151"/>
      <c r="I584" s="77" t="e">
        <f>IF(H584&gt;0,(HLOOKUP(C584,Magick!$C$20:$L$21,2)-HLOOKUP(H584,Magick!$C$20:$L$21,2)),NA())</f>
        <v>#N/A</v>
      </c>
      <c r="J584" s="77"/>
      <c r="K584" s="67" t="s">
        <v>4019</v>
      </c>
      <c r="L584" s="72" t="str">
        <f>IF(H584&gt;0,Magick!$AR$22-('Master Spell List'!H587*0.1),"N/A")</f>
        <v>N/A</v>
      </c>
      <c r="M584" s="72">
        <f ca="1">Magick!$H$72</f>
        <v>0.1</v>
      </c>
      <c r="N584" s="72">
        <f ca="1">Magick!$K$72</f>
        <v>0.15000000000000002</v>
      </c>
      <c r="O584" s="72">
        <f ca="1">Magick!$L$72</f>
        <v>0.15000000000000002</v>
      </c>
      <c r="P584" s="72">
        <f ca="1">Magick!$M$72</f>
        <v>0.15000000000000002</v>
      </c>
      <c r="Q584" s="67" t="s">
        <v>4602</v>
      </c>
      <c r="R584" s="67">
        <f ca="1">IF(Q584="Ritual","N/A",IF(Q584="I.E.","N/A",IF(Q584="WOG",VLOOKUP(Magick!$I$72*100,magestuff!$B$134:$F$138,2),IF(Q584="Cantrip",VLOOKUP(Magick!$I$72*100,magestuff!$B$134:$F$138,3),IF(Q584="Hex",VLOOKUP(Magick!$I$72*100,magestuff!$B$134:$F$138,4),VLOOKUP(Magick!$I$72*100,magestuff!$B$134:$F$138,5))))))</f>
        <v>19</v>
      </c>
      <c r="T584" s="67" t="s">
        <v>3725</v>
      </c>
      <c r="U584" s="67" t="str">
        <f t="shared" si="90"/>
        <v xml:space="preserve"> </v>
      </c>
      <c r="V584" s="515"/>
      <c r="W584" s="125"/>
      <c r="X584" s="31">
        <f t="shared" si="91"/>
        <v>0</v>
      </c>
      <c r="Y584" s="509"/>
      <c r="Z584" s="1054" t="str">
        <f t="shared" si="87"/>
        <v>Greater Temporal Wave</v>
      </c>
      <c r="AA584" s="1072" t="str">
        <f t="shared" si="88"/>
        <v>Divination</v>
      </c>
    </row>
    <row r="585" spans="1:27" hidden="1" outlineLevel="1">
      <c r="A585" s="83" t="s">
        <v>2922</v>
      </c>
      <c r="B585" s="67">
        <v>7</v>
      </c>
      <c r="C585" s="67">
        <f ca="1">magestuff!$U$200</f>
        <v>7</v>
      </c>
      <c r="D585" s="67">
        <f t="shared" si="89"/>
        <v>0</v>
      </c>
      <c r="E585" s="77" t="e">
        <f ca="1">IF(F585="y",HLOOKUP(C585,Magick!$C$20:$L$21,2),NA())</f>
        <v>#N/A</v>
      </c>
      <c r="F585" s="67" t="str">
        <f ca="1">IF(C585&lt;=Magick!$D$3,"Y","N")</f>
        <v>N</v>
      </c>
      <c r="G585" s="148" t="s">
        <v>859</v>
      </c>
      <c r="H585" s="151"/>
      <c r="I585" s="77" t="e">
        <f>IF(H585&gt;0,(HLOOKUP(C585,Magick!$C$20:$L$21,2)-HLOOKUP(H585,Magick!$C$20:$L$21,2)),NA())</f>
        <v>#N/A</v>
      </c>
      <c r="J585" s="77"/>
      <c r="K585" s="67" t="s">
        <v>1307</v>
      </c>
      <c r="L585" s="72" t="str">
        <f>IF(H585&gt;0,Magick!$AR$22-('Master Spell List'!H552*0.1),"N/A")</f>
        <v>N/A</v>
      </c>
      <c r="M585" s="72">
        <f ca="1">Magick!$H$72</f>
        <v>0.1</v>
      </c>
      <c r="N585" s="72">
        <f ca="1">Magick!$K$72</f>
        <v>0.15000000000000002</v>
      </c>
      <c r="O585" s="72">
        <f ca="1">Magick!$L$72</f>
        <v>0.15000000000000002</v>
      </c>
      <c r="P585" s="72">
        <f ca="1">Magick!$M$72</f>
        <v>0.15000000000000002</v>
      </c>
      <c r="Q585" s="67" t="s">
        <v>113</v>
      </c>
      <c r="R585" s="67" t="str">
        <f>IF(Q585="Ritual","N/A",IF(Q585="I.E.","N/A",IF(Q585="WOG",VLOOKUP(Magick!$I$72*100,magestuff!$B$134:$F$138,2),IF(Q585="Cantrip",VLOOKUP(Magick!$I$72*100,magestuff!$B$134:$F$138,3),IF(Q585="Hex",VLOOKUP(Magick!$I$72*100,magestuff!$B$134:$F$138,4),VLOOKUP(Magick!$I$72*100,magestuff!$B$134:$F$138,5))))))</f>
        <v>N/A</v>
      </c>
      <c r="S585" s="67" t="str">
        <f>CONCATENATE(IF(Magick!$C$3&gt;0,Magick!$C$3*10," "),"ft.")</f>
        <v xml:space="preserve"> ft.</v>
      </c>
      <c r="T585" s="67" t="s">
        <v>3725</v>
      </c>
      <c r="U585" s="67" t="str">
        <f t="shared" si="90"/>
        <v xml:space="preserve"> </v>
      </c>
      <c r="V585" s="515"/>
      <c r="W585" s="125"/>
      <c r="X585" s="31">
        <f t="shared" si="91"/>
        <v>0</v>
      </c>
      <c r="Y585" s="509"/>
      <c r="Z585" s="1054" t="str">
        <f t="shared" si="87"/>
        <v>Rapids of Time</v>
      </c>
      <c r="AA585" s="1072" t="str">
        <f t="shared" si="88"/>
        <v>Divination</v>
      </c>
    </row>
    <row r="586" spans="1:27" hidden="1" outlineLevel="1">
      <c r="A586" s="31" t="s">
        <v>3337</v>
      </c>
      <c r="B586" s="67">
        <v>7</v>
      </c>
      <c r="C586" s="67">
        <f ca="1">magestuff!$U$200</f>
        <v>7</v>
      </c>
      <c r="D586" s="67">
        <f t="shared" si="89"/>
        <v>0</v>
      </c>
      <c r="E586" s="77" t="e">
        <f ca="1">IF(F586="y",HLOOKUP(C586,Magick!$C$20:$L$21,2),NA())</f>
        <v>#N/A</v>
      </c>
      <c r="F586" s="67" t="str">
        <f ca="1">IF(C586&lt;=Magick!$D$3,"Y","N")</f>
        <v>N</v>
      </c>
      <c r="G586" s="148" t="s">
        <v>128</v>
      </c>
      <c r="H586" s="151"/>
      <c r="I586" s="77" t="e">
        <f>IF(H586&gt;0,(HLOOKUP(C586,Magick!$C$20:$L$21,2)-HLOOKUP(H586,Magick!$C$20:$L$21,2)),NA())</f>
        <v>#N/A</v>
      </c>
      <c r="J586" s="77"/>
      <c r="K586" s="67">
        <v>12</v>
      </c>
      <c r="L586" s="72" t="str">
        <f>IF(H586&gt;0,Magick!$AR$22-('Master Spell List'!H536*0.1),"N/A")</f>
        <v>N/A</v>
      </c>
      <c r="M586" s="72">
        <f ca="1">Magick!$H$72</f>
        <v>0.1</v>
      </c>
      <c r="N586" s="72">
        <f ca="1">Magick!$K$72</f>
        <v>0.15000000000000002</v>
      </c>
      <c r="O586" s="72">
        <f ca="1">Magick!$L$72</f>
        <v>0.15000000000000002</v>
      </c>
      <c r="P586" s="72">
        <f ca="1">Magick!$M$72</f>
        <v>0.15000000000000002</v>
      </c>
      <c r="Q586" s="67" t="s">
        <v>113</v>
      </c>
      <c r="R586" s="67" t="str">
        <f>IF(Q586="Ritual","N/A",IF(Q586="I.E.","N/A",IF(Q586="WOG",VLOOKUP(Magick!$I$72*100,magestuff!$B$134:$F$138,2),IF(Q586="Cantrip",VLOOKUP(Magick!$I$72*100,magestuff!$B$134:$F$138,3),IF(Q586="Hex",VLOOKUP(Magick!$I$72*100,magestuff!$B$134:$F$138,4),VLOOKUP(Magick!$I$72*100,magestuff!$B$134:$F$138,5))))))</f>
        <v>N/A</v>
      </c>
      <c r="U586" s="67" t="str">
        <f t="shared" si="90"/>
        <v xml:space="preserve"> </v>
      </c>
      <c r="V586" s="515"/>
      <c r="W586" s="125"/>
      <c r="X586" s="31">
        <f t="shared" si="91"/>
        <v>0</v>
      </c>
      <c r="Y586" s="509"/>
      <c r="Z586" s="1054" t="str">
        <f t="shared" si="87"/>
        <v>Scry the Ends of the Earth</v>
      </c>
      <c r="AA586" s="1072" t="str">
        <f t="shared" si="88"/>
        <v>Divination</v>
      </c>
    </row>
    <row r="587" spans="1:27" hidden="1" outlineLevel="1">
      <c r="A587" s="83" t="s">
        <v>2809</v>
      </c>
      <c r="B587" s="67">
        <v>7</v>
      </c>
      <c r="C587" s="67">
        <f ca="1">magestuff!$U$200</f>
        <v>7</v>
      </c>
      <c r="D587" s="67">
        <f t="shared" si="89"/>
        <v>0</v>
      </c>
      <c r="E587" s="77" t="e">
        <f ca="1">IF(F587="y",HLOOKUP(C587,Magick!$C$20:$L$21,2),NA())</f>
        <v>#N/A</v>
      </c>
      <c r="F587" s="67" t="str">
        <f ca="1">IF(C587&lt;=Magick!$D$3,"Y","N")</f>
        <v>N</v>
      </c>
      <c r="G587" s="148" t="s">
        <v>129</v>
      </c>
      <c r="H587" s="151"/>
      <c r="I587" s="77" t="e">
        <f>IF(H587&gt;0,(HLOOKUP(C587,Magick!$C$20:$L$21,2)-HLOOKUP(H587,Magick!$C$20:$L$21,2)),NA())</f>
        <v>#N/A</v>
      </c>
      <c r="J587" s="77"/>
      <c r="K587" s="67">
        <v>12</v>
      </c>
      <c r="L587" s="72" t="str">
        <f>IF(H587&gt;0,Magick!$AR$22-('Master Spell List'!H592*0.1),"N/A")</f>
        <v>N/A</v>
      </c>
      <c r="M587" s="72">
        <f ca="1">Magick!$H$72</f>
        <v>0.1</v>
      </c>
      <c r="N587" s="72">
        <f ca="1">Magick!$K$72</f>
        <v>0.15000000000000002</v>
      </c>
      <c r="O587" s="72">
        <f ca="1">Magick!$L$72</f>
        <v>0.15000000000000002</v>
      </c>
      <c r="P587" s="72">
        <f ca="1">Magick!$M$72</f>
        <v>0.15000000000000002</v>
      </c>
      <c r="Q587" s="67" t="s">
        <v>4602</v>
      </c>
      <c r="R587" s="67">
        <f ca="1">IF(Q587="Ritual","N/A",IF(Q587="I.E.","N/A",IF(Q587="WOG",VLOOKUP(Magick!$I$72*100,magestuff!$B$134:$F$138,2),IF(Q587="Cantrip",VLOOKUP(Magick!$I$72*100,magestuff!$B$134:$F$138,3),IF(Q587="Hex",VLOOKUP(Magick!$I$72*100,magestuff!$B$134:$F$138,4),VLOOKUP(Magick!$I$72*100,magestuff!$B$134:$F$138,5))))))</f>
        <v>19</v>
      </c>
      <c r="U587" s="67" t="str">
        <f t="shared" si="90"/>
        <v xml:space="preserve"> </v>
      </c>
      <c r="V587" s="515"/>
      <c r="W587" s="125"/>
      <c r="X587" s="31">
        <f t="shared" si="91"/>
        <v>0</v>
      </c>
      <c r="Y587" s="509"/>
      <c r="Z587" s="1054" t="str">
        <f t="shared" si="87"/>
        <v>Sight of Ages</v>
      </c>
      <c r="AA587" s="1072" t="str">
        <f t="shared" si="88"/>
        <v>Divination</v>
      </c>
    </row>
    <row r="588" spans="1:27" hidden="1" outlineLevel="1">
      <c r="A588" s="83" t="s">
        <v>5724</v>
      </c>
      <c r="B588" s="67">
        <f>IF(Magick!$A$3=10,5,8)</f>
        <v>8</v>
      </c>
      <c r="C588" s="67">
        <f ca="1">magestuff!$X$200</f>
        <v>8</v>
      </c>
      <c r="D588" s="67">
        <f t="shared" si="89"/>
        <v>0</v>
      </c>
      <c r="E588" s="77" t="e">
        <f ca="1">IF(F588="y",HLOOKUP(C588,Magick!$C$20:$L$21,2),NA())</f>
        <v>#N/A</v>
      </c>
      <c r="F588" s="67" t="str">
        <f ca="1">IF(C588&lt;=Magick!$D$3,"Y","N")</f>
        <v>N</v>
      </c>
      <c r="G588" s="148" t="s">
        <v>859</v>
      </c>
      <c r="H588" s="151"/>
      <c r="I588" s="77" t="e">
        <f>IF(H588&gt;0,(HLOOKUP(C588,Magick!$C$20:$L$21,2)-HLOOKUP(H588,Magick!$C$20:$L$21,2)),NA())</f>
        <v>#N/A</v>
      </c>
      <c r="J588" s="77"/>
      <c r="K588" s="67">
        <f>IF(Magick!$A$3=10,10,20)</f>
        <v>20</v>
      </c>
      <c r="L588" s="72" t="str">
        <f>IF(H588&gt;0,Magick!$AR$22-('Master Spell List'!H547*0.1),"N/A")</f>
        <v>N/A</v>
      </c>
      <c r="M588" s="72">
        <f ca="1">Magick!$H$72</f>
        <v>0.1</v>
      </c>
      <c r="N588" s="72">
        <f ca="1">Magick!$K$72</f>
        <v>0.15000000000000002</v>
      </c>
      <c r="O588" s="72">
        <f ca="1">Magick!$L$72</f>
        <v>0.15000000000000002</v>
      </c>
      <c r="P588" s="72">
        <f ca="1">Magick!$M$72</f>
        <v>0.15000000000000002</v>
      </c>
      <c r="Q588" s="67" t="str">
        <f>IF(Magick!$A$3=10,"Hex","Ritual")</f>
        <v>Ritual</v>
      </c>
      <c r="R588" s="67" t="str">
        <f>IF(Q588="Ritual","N/A",IF(Q588="I.E.","N/A",IF(Q588="WOG",VLOOKUP(Magick!$I$72*100,magestuff!$B$134:$F$138,2),IF(Q588="Cantrip",VLOOKUP(Magick!$I$72*100,magestuff!$B$134:$F$138,3),IF(Q588="Hex",VLOOKUP(Magick!$I$72*100,magestuff!$B$134:$F$138,4),VLOOKUP(Magick!$I$72*100,magestuff!$B$134:$F$138,5))))))</f>
        <v>N/A</v>
      </c>
      <c r="V588" s="515"/>
      <c r="W588" s="125"/>
      <c r="Y588" s="509"/>
      <c r="Z588" s="1054" t="str">
        <f t="shared" si="87"/>
        <v>Discern Foci Components</v>
      </c>
      <c r="AA588" s="1072" t="str">
        <f t="shared" si="88"/>
        <v>Divination</v>
      </c>
    </row>
    <row r="589" spans="1:27" hidden="1" outlineLevel="1">
      <c r="A589" s="83" t="s">
        <v>1537</v>
      </c>
      <c r="B589" s="67">
        <v>8</v>
      </c>
      <c r="C589" s="67">
        <f ca="1">magestuff!$X$200</f>
        <v>8</v>
      </c>
      <c r="D589" s="67">
        <f t="shared" si="89"/>
        <v>0</v>
      </c>
      <c r="E589" s="77" t="e">
        <f ca="1">IF(F589="y",HLOOKUP(C589,Magick!$C$20:$L$21,2),NA())</f>
        <v>#N/A</v>
      </c>
      <c r="F589" s="67" t="str">
        <f ca="1">IF(C589&lt;=Magick!$D$3,"Y","N")</f>
        <v>N</v>
      </c>
      <c r="G589" s="148" t="s">
        <v>129</v>
      </c>
      <c r="H589" s="151"/>
      <c r="I589" s="77" t="e">
        <f>IF(H589&gt;0,(HLOOKUP(C589,Magick!$C$20:$L$21,2)-HLOOKUP(H589,Magick!$C$20:$L$21,2)),NA())</f>
        <v>#N/A</v>
      </c>
      <c r="J589" s="77"/>
      <c r="K589" s="67" t="s">
        <v>1368</v>
      </c>
      <c r="L589" s="72" t="str">
        <f>IF(H589&gt;0,Magick!$AR$22-('Master Spell List'!H584*0.1),"N/A")</f>
        <v>N/A</v>
      </c>
      <c r="M589" s="72">
        <f ca="1">Magick!$H$72</f>
        <v>0.1</v>
      </c>
      <c r="N589" s="72">
        <f ca="1">Magick!$K$72</f>
        <v>0.15000000000000002</v>
      </c>
      <c r="O589" s="72">
        <f ca="1">Magick!$L$72</f>
        <v>0.15000000000000002</v>
      </c>
      <c r="P589" s="72">
        <f ca="1">Magick!$M$72</f>
        <v>0.15000000000000002</v>
      </c>
      <c r="Q589" s="67" t="s">
        <v>113</v>
      </c>
      <c r="R589" s="67" t="str">
        <f>IF(Q589="Ritual","N/A",IF(Q589="I.E.","N/A",IF(Q589="WOG",VLOOKUP(Magick!$I$72*100,magestuff!$B$134:$F$138,2),IF(Q589="Cantrip",VLOOKUP(Magick!$I$72*100,magestuff!$B$134:$F$138,3),IF(Q589="Hex",VLOOKUP(Magick!$I$72*100,magestuff!$B$134:$F$138,4),VLOOKUP(Magick!$I$72*100,magestuff!$B$134:$F$138,5))))))</f>
        <v>N/A</v>
      </c>
      <c r="S589" s="67" t="s">
        <v>5545</v>
      </c>
      <c r="U589" s="67" t="str">
        <f>IF(ISBLANK(H589)," ",IF(H589&gt;0,0,C589*10))</f>
        <v xml:space="preserve"> </v>
      </c>
      <c r="V589" s="515"/>
      <c r="W589" s="125"/>
      <c r="X589" s="31">
        <f>W589*3</f>
        <v>0</v>
      </c>
      <c r="Y589" s="509"/>
      <c r="Z589" s="1054" t="str">
        <f t="shared" si="87"/>
        <v>Foresight</v>
      </c>
      <c r="AA589" s="1072" t="str">
        <f t="shared" si="88"/>
        <v>Divination</v>
      </c>
    </row>
    <row r="590" spans="1:27" hidden="1" outlineLevel="1">
      <c r="A590" s="83" t="s">
        <v>2807</v>
      </c>
      <c r="B590" s="67">
        <v>8</v>
      </c>
      <c r="C590" s="67">
        <f ca="1">magestuff!$X$200</f>
        <v>8</v>
      </c>
      <c r="D590" s="67">
        <f t="shared" si="89"/>
        <v>0</v>
      </c>
      <c r="E590" s="77" t="e">
        <f ca="1">IF(F590="y",HLOOKUP(C590,Magick!$C$20:$L$21,2),NA())</f>
        <v>#N/A</v>
      </c>
      <c r="F590" s="67" t="str">
        <f ca="1">IF(C590&lt;=Magick!$D$3,"Y","N")</f>
        <v>N</v>
      </c>
      <c r="G590" s="148" t="s">
        <v>129</v>
      </c>
      <c r="H590" s="151"/>
      <c r="I590" s="77" t="e">
        <f>IF(H590&gt;0,(HLOOKUP(C590,Magick!$C$20:$L$21,2)-HLOOKUP(H590,Magick!$C$20:$L$21,2)),NA())</f>
        <v>#N/A</v>
      </c>
      <c r="J590" s="77"/>
      <c r="K590" s="67">
        <v>13</v>
      </c>
      <c r="L590" s="72" t="str">
        <f>IF(H590&gt;0,Magick!$AR$22-('Master Spell List'!H590*0.1),"N/A")</f>
        <v>N/A</v>
      </c>
      <c r="M590" s="72">
        <f ca="1">Magick!$H$72</f>
        <v>0.1</v>
      </c>
      <c r="N590" s="72">
        <f ca="1">Magick!$K$72</f>
        <v>0.15000000000000002</v>
      </c>
      <c r="O590" s="72">
        <f ca="1">Magick!$L$72</f>
        <v>0.15000000000000002</v>
      </c>
      <c r="P590" s="72">
        <f ca="1">Magick!$M$72</f>
        <v>0.15000000000000002</v>
      </c>
      <c r="Q590" s="67" t="s">
        <v>4602</v>
      </c>
      <c r="R590" s="67">
        <f ca="1">IF(Q590="Ritual","N/A",IF(Q590="I.E.","N/A",IF(Q590="WOG",VLOOKUP(Magick!$I$72*100,magestuff!$B$134:$F$138,2),IF(Q590="Cantrip",VLOOKUP(Magick!$I$72*100,magestuff!$B$134:$F$138,3),IF(Q590="Hex",VLOOKUP(Magick!$I$72*100,magestuff!$B$134:$F$138,4),VLOOKUP(Magick!$I$72*100,magestuff!$B$134:$F$138,5))))))</f>
        <v>19</v>
      </c>
      <c r="T590" s="67" t="s">
        <v>3725</v>
      </c>
      <c r="U590" s="67" t="str">
        <f>IF(ISBLANK(H590)," ",IF(H590&gt;0,0,C590*10))</f>
        <v xml:space="preserve"> </v>
      </c>
      <c r="V590" s="515"/>
      <c r="W590" s="125"/>
      <c r="X590" s="31">
        <f>W590*3</f>
        <v>0</v>
      </c>
      <c r="Y590" s="509"/>
      <c r="Z590" s="1054" t="str">
        <f t="shared" si="87"/>
        <v>Temporal Shear</v>
      </c>
      <c r="AA590" s="1072" t="str">
        <f t="shared" si="88"/>
        <v>Divination</v>
      </c>
    </row>
    <row r="591" spans="1:27" hidden="1" outlineLevel="1">
      <c r="A591" s="83" t="s">
        <v>5719</v>
      </c>
      <c r="B591" s="67">
        <f>IF(Magick!$A$3=10,5,9)</f>
        <v>9</v>
      </c>
      <c r="C591" s="67">
        <f ca="1">magestuff!$AA$200</f>
        <v>9</v>
      </c>
      <c r="D591" s="67">
        <f t="shared" si="89"/>
        <v>0</v>
      </c>
      <c r="E591" s="77" t="e">
        <f ca="1">IF(F591="y",HLOOKUP(C591,Magick!$C$20:$L$21,2),NA())</f>
        <v>#N/A</v>
      </c>
      <c r="F591" s="67" t="str">
        <f ca="1">IF(C591&lt;=Magick!$D$3,"Y","N")</f>
        <v>N</v>
      </c>
      <c r="G591" s="148" t="s">
        <v>859</v>
      </c>
      <c r="H591" s="151"/>
      <c r="I591" s="77" t="e">
        <f>IF(H591&gt;0,(HLOOKUP(C591,Magick!$C$20:$L$21,2)-HLOOKUP(H591,Magick!$C$20:$L$21,2)),NA())</f>
        <v>#N/A</v>
      </c>
      <c r="J591" s="77"/>
      <c r="K591" s="67">
        <f>IF(Magick!$A$3=10,9,16)</f>
        <v>16</v>
      </c>
      <c r="L591" s="72" t="str">
        <f>IF(H591&gt;0,Magick!$AR$22-('Master Spell List'!H542*0.1),"N/A")</f>
        <v>N/A</v>
      </c>
      <c r="M591" s="72">
        <f ca="1">Magick!$H$72</f>
        <v>0.1</v>
      </c>
      <c r="N591" s="72">
        <f ca="1">Magick!$K$72</f>
        <v>0.15000000000000002</v>
      </c>
      <c r="O591" s="72">
        <f ca="1">Magick!$L$72</f>
        <v>0.15000000000000002</v>
      </c>
      <c r="P591" s="72">
        <f ca="1">Magick!$M$72</f>
        <v>0.15000000000000002</v>
      </c>
      <c r="Q591" s="67" t="str">
        <f>IF(Magick!$A$3=10,"WOG","Hex")</f>
        <v>Hex</v>
      </c>
      <c r="R591" s="67">
        <f ca="1">IF(Q591="Ritual","N/A",IF(Q591="I.E.","N/A",IF(Q591="WOG",VLOOKUP(Magick!$I$72*100,magestuff!$B$134:$F$138,2),IF(Q591="Cantrip",VLOOKUP(Magick!$I$72*100,magestuff!$B$134:$F$138,3),IF(Q591="Hex",VLOOKUP(Magick!$I$72*100,magestuff!$B$134:$F$138,4),VLOOKUP(Magick!$I$72*100,magestuff!$B$134:$F$138,5))))))</f>
        <v>19</v>
      </c>
      <c r="V591" s="515"/>
      <c r="W591" s="125"/>
      <c r="Y591" s="509"/>
      <c r="Z591" s="1054" t="str">
        <f t="shared" si="87"/>
        <v>Dscern Magical Traps</v>
      </c>
      <c r="AA591" s="1072" t="str">
        <f t="shared" si="88"/>
        <v>Divination</v>
      </c>
    </row>
    <row r="592" spans="1:27" hidden="1" outlineLevel="1">
      <c r="A592" s="83" t="s">
        <v>5728</v>
      </c>
      <c r="B592" s="67">
        <f>IF(Magick!$A$3=10,4,9)</f>
        <v>9</v>
      </c>
      <c r="C592" s="67">
        <f ca="1">magestuff!$AA$200</f>
        <v>9</v>
      </c>
      <c r="D592" s="67">
        <f t="shared" si="89"/>
        <v>0</v>
      </c>
      <c r="E592" s="77" t="e">
        <f ca="1">IF(F592="y",HLOOKUP(C592,Magick!$C$20:$L$21,2),NA())</f>
        <v>#N/A</v>
      </c>
      <c r="F592" s="67" t="str">
        <f ca="1">IF(C592&lt;=Magick!$D$3,"Y","N")</f>
        <v>N</v>
      </c>
      <c r="G592" s="148" t="s">
        <v>859</v>
      </c>
      <c r="H592" s="151"/>
      <c r="I592" s="77" t="e">
        <f>IF(H592&gt;0,(HLOOKUP(C592,Magick!$C$20:$L$21,2)-HLOOKUP(H592,Magick!$C$20:$L$21,2)),NA())</f>
        <v>#N/A</v>
      </c>
      <c r="J592" s="77"/>
      <c r="K592" s="67">
        <f>IF(Magick!$A$3=10,8,17)</f>
        <v>17</v>
      </c>
      <c r="L592" s="72" t="str">
        <f>IF(H592&gt;0,Magick!$AR$22-('Master Spell List'!H551*0.1),"N/A")</f>
        <v>N/A</v>
      </c>
      <c r="M592" s="72">
        <f ca="1">Magick!$H$72</f>
        <v>0.1</v>
      </c>
      <c r="N592" s="72">
        <f ca="1">Magick!$K$72</f>
        <v>0.15000000000000002</v>
      </c>
      <c r="O592" s="72">
        <f ca="1">Magick!$L$72</f>
        <v>0.15000000000000002</v>
      </c>
      <c r="P592" s="72">
        <f ca="1">Magick!$M$72</f>
        <v>0.15000000000000002</v>
      </c>
      <c r="Q592" s="67" t="str">
        <f>IF(Magick!$A$3=10,"Hex","Ritual")</f>
        <v>Ritual</v>
      </c>
      <c r="R592" s="67" t="str">
        <f>IF(Q592="Ritual","N/A",IF(Q592="I.E.","N/A",IF(Q592="WOG",VLOOKUP(Magick!$I$72*100,magestuff!$B$134:$F$138,2),IF(Q592="Cantrip",VLOOKUP(Magick!$I$72*100,magestuff!$B$134:$F$138,3),IF(Q592="Hex",VLOOKUP(Magick!$I$72*100,magestuff!$B$134:$F$138,4),VLOOKUP(Magick!$I$72*100,magestuff!$B$134:$F$138,5))))))</f>
        <v>N/A</v>
      </c>
      <c r="V592" s="515"/>
      <c r="W592" s="125"/>
      <c r="Y592" s="509"/>
      <c r="Z592" s="1054" t="str">
        <f t="shared" si="87"/>
        <v>Greater Discern Trigger</v>
      </c>
      <c r="AA592" s="1072" t="str">
        <f t="shared" si="88"/>
        <v>Divination</v>
      </c>
    </row>
    <row r="593" spans="1:27" hidden="1" outlineLevel="1">
      <c r="A593" s="83" t="s">
        <v>5732</v>
      </c>
      <c r="B593" s="67">
        <f>IF(Magick!$A$3=10,4,9)</f>
        <v>9</v>
      </c>
      <c r="C593" s="67">
        <f ca="1">magestuff!$AA$200</f>
        <v>9</v>
      </c>
      <c r="D593" s="67">
        <f t="shared" si="89"/>
        <v>0</v>
      </c>
      <c r="E593" s="77" t="e">
        <f ca="1">IF(F593="y",HLOOKUP(C593,Magick!$C$20:$L$21,2),NA())</f>
        <v>#N/A</v>
      </c>
      <c r="F593" s="67" t="str">
        <f ca="1">IF(C593&lt;=Magick!$D$3,"Y","N")</f>
        <v>N</v>
      </c>
      <c r="G593" s="148" t="s">
        <v>859</v>
      </c>
      <c r="H593" s="151"/>
      <c r="I593" s="77" t="e">
        <f>IF(H593&gt;0,(HLOOKUP(C593,Magick!$C$20:$L$21,2)-HLOOKUP(H593,Magick!$C$20:$L$21,2)),NA())</f>
        <v>#N/A</v>
      </c>
      <c r="J593" s="77"/>
      <c r="K593" s="67">
        <f>IF(Magick!$A$3=10,7,20)</f>
        <v>20</v>
      </c>
      <c r="L593" s="72" t="str">
        <f>IF(H593&gt;0,Magick!$AR$22-('Master Spell List'!H555*0.1),"N/A")</f>
        <v>N/A</v>
      </c>
      <c r="M593" s="72">
        <f ca="1">Magick!$H$72</f>
        <v>0.1</v>
      </c>
      <c r="N593" s="72">
        <f ca="1">Magick!$K$72</f>
        <v>0.15000000000000002</v>
      </c>
      <c r="O593" s="72">
        <f ca="1">Magick!$L$72</f>
        <v>0.15000000000000002</v>
      </c>
      <c r="P593" s="72">
        <f ca="1">Magick!$M$72</f>
        <v>0.15000000000000002</v>
      </c>
      <c r="Q593" s="67" t="str">
        <f>IF(Magick!$A$3=10,"Hex","Ritual")</f>
        <v>Ritual</v>
      </c>
      <c r="R593" s="67" t="str">
        <f>IF(Q593="Ritual","N/A",IF(Q593="I.E.","N/A",IF(Q593="WOG",VLOOKUP(Magick!$I$72*100,magestuff!$B$134:$F$138,2),IF(Q593="Cantrip",VLOOKUP(Magick!$I$72*100,magestuff!$B$134:$F$138,3),IF(Q593="Hex",VLOOKUP(Magick!$I$72*100,magestuff!$B$134:$F$138,4),VLOOKUP(Magick!$I$72*100,magestuff!$B$134:$F$138,5))))))</f>
        <v>N/A</v>
      </c>
      <c r="V593" s="515"/>
      <c r="W593" s="125"/>
      <c r="Y593" s="509"/>
      <c r="Z593" s="1054" t="str">
        <f t="shared" si="87"/>
        <v>Great Discern Magick</v>
      </c>
      <c r="AA593" s="1072" t="str">
        <f t="shared" si="88"/>
        <v>Divination</v>
      </c>
    </row>
    <row r="594" spans="1:27" hidden="1" outlineLevel="1">
      <c r="A594" s="83" t="s">
        <v>1538</v>
      </c>
      <c r="B594" s="67">
        <v>9</v>
      </c>
      <c r="C594" s="67">
        <f ca="1">magestuff!$AA$200</f>
        <v>9</v>
      </c>
      <c r="D594" s="67">
        <f t="shared" si="89"/>
        <v>0</v>
      </c>
      <c r="E594" s="77" t="e">
        <f ca="1">IF(F594="y",HLOOKUP(C594,Magick!$C$20:$L$21,2),NA())</f>
        <v>#N/A</v>
      </c>
      <c r="F594" s="67" t="str">
        <f ca="1">IF(C594&lt;=Magick!$D$3,"Y","N")</f>
        <v>N</v>
      </c>
      <c r="G594" s="148" t="s">
        <v>129</v>
      </c>
      <c r="H594" s="151"/>
      <c r="I594" s="77" t="e">
        <f>IF(H594&gt;0,(HLOOKUP(C594,Magick!$C$20:$L$21,2)-HLOOKUP(H594,Magick!$C$20:$L$21,2)),NA())</f>
        <v>#N/A</v>
      </c>
      <c r="J594" s="77"/>
      <c r="K594" s="67" t="s">
        <v>1369</v>
      </c>
      <c r="L594" s="72" t="str">
        <f>IF(H594&gt;0,Magick!$AR$22-('Master Spell List'!H585*0.1),"N/A")</f>
        <v>N/A</v>
      </c>
      <c r="M594" s="72">
        <f ca="1">Magick!$H$72</f>
        <v>0.1</v>
      </c>
      <c r="N594" s="72">
        <f ca="1">Magick!$K$72</f>
        <v>0.15000000000000002</v>
      </c>
      <c r="O594" s="72">
        <f ca="1">Magick!$L$72</f>
        <v>0.15000000000000002</v>
      </c>
      <c r="P594" s="72">
        <f ca="1">Magick!$M$72</f>
        <v>0.15000000000000002</v>
      </c>
      <c r="Q594" s="67" t="s">
        <v>113</v>
      </c>
      <c r="R594" s="67" t="str">
        <f>IF(Q594="Ritual","N/A",IF(Q594="I.E.","N/A",IF(Q594="WOG",VLOOKUP(Magick!$I$72*100,magestuff!$B$134:$F$138,2),IF(Q594="Cantrip",VLOOKUP(Magick!$I$72*100,magestuff!$B$134:$F$138,3),IF(Q594="Hex",VLOOKUP(Magick!$I$72*100,magestuff!$B$134:$F$138,4),VLOOKUP(Magick!$I$72*100,magestuff!$B$134:$F$138,5))))))</f>
        <v>N/A</v>
      </c>
      <c r="S594" s="67" t="s">
        <v>5545</v>
      </c>
      <c r="U594" s="67" t="str">
        <f t="shared" ref="U594:U599" si="92">IF(ISBLANK(H594)," ",IF(H594&gt;0,0,C594*10))</f>
        <v xml:space="preserve"> </v>
      </c>
      <c r="V594" s="515"/>
      <c r="W594" s="125"/>
      <c r="X594" s="31">
        <f t="shared" ref="X594:X599" si="93">W594*3</f>
        <v>0</v>
      </c>
      <c r="Y594" s="509"/>
      <c r="Z594" s="1054" t="str">
        <f t="shared" si="87"/>
        <v>Greater Foresight</v>
      </c>
      <c r="AA594" s="1072" t="str">
        <f t="shared" si="88"/>
        <v>Divination</v>
      </c>
    </row>
    <row r="595" spans="1:27" hidden="1" outlineLevel="1">
      <c r="A595" s="83" t="s">
        <v>1285</v>
      </c>
      <c r="B595" s="67">
        <v>9</v>
      </c>
      <c r="C595" s="67">
        <f ca="1">magestuff!$AA$200</f>
        <v>9</v>
      </c>
      <c r="D595" s="67">
        <f t="shared" si="89"/>
        <v>0</v>
      </c>
      <c r="E595" s="77" t="e">
        <f ca="1">IF(F595="y",HLOOKUP(C595,Magick!$C$20:$L$21,2),NA())</f>
        <v>#N/A</v>
      </c>
      <c r="F595" s="67" t="str">
        <f ca="1">IF(C595&lt;=Magick!$D$3,"Y","N")</f>
        <v>N</v>
      </c>
      <c r="G595" s="148" t="s">
        <v>130</v>
      </c>
      <c r="H595" s="151"/>
      <c r="I595" s="77" t="e">
        <f>IF(H595&gt;0,(HLOOKUP(C595,Magick!$C$20:$L$21,2)-HLOOKUP(H595,Magick!$C$20:$L$21,2)),NA())</f>
        <v>#N/A</v>
      </c>
      <c r="J595" s="77"/>
      <c r="K595" s="67">
        <f>ROUNDUP(+B595*1.5,0)</f>
        <v>14</v>
      </c>
      <c r="L595" s="72" t="str">
        <f>IF(H595&gt;0,Magick!$AR$22-('Master Spell List'!H542*0.1),"N/A")</f>
        <v>N/A</v>
      </c>
      <c r="M595" s="72">
        <f ca="1">Magick!$H$72</f>
        <v>0.1</v>
      </c>
      <c r="N595" s="72">
        <f ca="1">Magick!$K$72</f>
        <v>0.15000000000000002</v>
      </c>
      <c r="O595" s="72">
        <f ca="1">Magick!$L$72</f>
        <v>0.15000000000000002</v>
      </c>
      <c r="P595" s="72">
        <f ca="1">Magick!$M$72</f>
        <v>0.15000000000000002</v>
      </c>
      <c r="Q595" s="67" t="s">
        <v>113</v>
      </c>
      <c r="R595" s="67" t="str">
        <f>IF(Q595="Ritual","N/A",IF(Q595="I.E.","N/A",IF(Q595="WOG",VLOOKUP(Magick!$I$72*100,magestuff!$B$134:$F$138,2),IF(Q595="Cantrip",VLOOKUP(Magick!$I$72*100,magestuff!$B$134:$F$138,3),IF(Q595="Hex",VLOOKUP(Magick!$I$72*100,magestuff!$B$134:$F$138,4),VLOOKUP(Magick!$I$72*100,magestuff!$B$134:$F$138,5))))))</f>
        <v>N/A</v>
      </c>
      <c r="S595" s="67" t="s">
        <v>1984</v>
      </c>
      <c r="T595" s="67" t="s">
        <v>4601</v>
      </c>
      <c r="U595" s="67" t="str">
        <f t="shared" si="92"/>
        <v xml:space="preserve"> </v>
      </c>
      <c r="V595" s="515"/>
      <c r="W595" s="125"/>
      <c r="X595" s="31">
        <f t="shared" si="93"/>
        <v>0</v>
      </c>
      <c r="Y595" s="509"/>
      <c r="Z595" s="1054" t="str">
        <f t="shared" si="87"/>
        <v>Rite of Exile</v>
      </c>
      <c r="AA595" s="1072" t="str">
        <f t="shared" si="88"/>
        <v>Divination</v>
      </c>
    </row>
    <row r="596" spans="1:27" hidden="1" outlineLevel="1">
      <c r="A596" s="83" t="s">
        <v>2808</v>
      </c>
      <c r="B596" s="67">
        <v>9</v>
      </c>
      <c r="C596" s="67">
        <f ca="1">magestuff!$AA$200</f>
        <v>9</v>
      </c>
      <c r="D596" s="67">
        <f t="shared" si="89"/>
        <v>0</v>
      </c>
      <c r="E596" s="77" t="e">
        <f ca="1">IF(F596="y",HLOOKUP(C596,Magick!$C$20:$L$21,2),NA())</f>
        <v>#N/A</v>
      </c>
      <c r="F596" s="67" t="str">
        <f ca="1">IF(C596&lt;=Magick!$D$3,"Y","N")</f>
        <v>N</v>
      </c>
      <c r="G596" s="148" t="s">
        <v>129</v>
      </c>
      <c r="H596" s="151"/>
      <c r="I596" s="77" t="e">
        <f>IF(H596&gt;0,(HLOOKUP(C596,Magick!$C$20:$L$21,2)-HLOOKUP(H596,Magick!$C$20:$L$21,2)),NA())</f>
        <v>#N/A</v>
      </c>
      <c r="J596" s="77"/>
      <c r="K596" s="67">
        <v>14</v>
      </c>
      <c r="L596" s="72" t="str">
        <f>IF(H596&gt;0,Magick!$AR$22-('Master Spell List'!H591*0.1),"N/A")</f>
        <v>N/A</v>
      </c>
      <c r="M596" s="72">
        <f ca="1">Magick!$H$72</f>
        <v>0.1</v>
      </c>
      <c r="N596" s="72">
        <f ca="1">Magick!$K$72</f>
        <v>0.15000000000000002</v>
      </c>
      <c r="O596" s="72">
        <f ca="1">Magick!$L$72</f>
        <v>0.15000000000000002</v>
      </c>
      <c r="P596" s="72">
        <f ca="1">Magick!$M$72</f>
        <v>0.15000000000000002</v>
      </c>
      <c r="Q596" s="67" t="s">
        <v>3723</v>
      </c>
      <c r="R596" s="67">
        <f ca="1">IF(Q596="Ritual","N/A",IF(Q596="I.E.","N/A",IF(Q596="WOG",VLOOKUP(Magick!$I$72*100,magestuff!$B$134:$F$138,2),IF(Q596="Cantrip",VLOOKUP(Magick!$I$72*100,magestuff!$B$134:$F$138,3),IF(Q596="Hex",VLOOKUP(Magick!$I$72*100,magestuff!$B$134:$F$138,4),VLOOKUP(Magick!$I$72*100,magestuff!$B$134:$F$138,5))))))</f>
        <v>29</v>
      </c>
      <c r="S596" s="67" t="s">
        <v>5545</v>
      </c>
      <c r="T596" s="67" t="s">
        <v>3725</v>
      </c>
      <c r="U596" s="67" t="str">
        <f t="shared" si="92"/>
        <v xml:space="preserve"> </v>
      </c>
      <c r="V596" s="515"/>
      <c r="W596" s="125"/>
      <c r="X596" s="31">
        <f t="shared" si="93"/>
        <v>0</v>
      </c>
      <c r="Y596" s="509"/>
      <c r="Z596" s="1054" t="str">
        <f t="shared" si="87"/>
        <v>Temporal Doorway</v>
      </c>
      <c r="AA596" s="1072" t="str">
        <f t="shared" si="88"/>
        <v>Divination</v>
      </c>
    </row>
    <row r="597" spans="1:27" hidden="1" outlineLevel="1">
      <c r="A597" s="31" t="s">
        <v>1258</v>
      </c>
      <c r="B597" s="67">
        <v>9</v>
      </c>
      <c r="C597" s="67">
        <f ca="1">magestuff!$AA$200</f>
        <v>9</v>
      </c>
      <c r="D597" s="67">
        <f t="shared" si="89"/>
        <v>0</v>
      </c>
      <c r="E597" s="77" t="e">
        <f ca="1">IF(F597="y",HLOOKUP(C597,Magick!$C$20:$L$21,2),NA())</f>
        <v>#N/A</v>
      </c>
      <c r="F597" s="67" t="str">
        <f ca="1">IF(C597&lt;=Magick!$D$3,"Y","N")</f>
        <v>N</v>
      </c>
      <c r="G597" s="148" t="s">
        <v>128</v>
      </c>
      <c r="H597" s="151"/>
      <c r="I597" s="77" t="e">
        <f>IF(H597&gt;0,(HLOOKUP(C597,Magick!$C$20:$L$21,2)-HLOOKUP(H597,Magick!$C$20:$L$21,2)),NA())</f>
        <v>#N/A</v>
      </c>
      <c r="J597" s="77"/>
      <c r="K597" s="67">
        <v>14</v>
      </c>
      <c r="L597" s="72" t="str">
        <f>IF(H597&gt;0,Magick!$AR$22-('Master Spell List'!H539*0.1),"N/A")</f>
        <v>N/A</v>
      </c>
      <c r="M597" s="72">
        <f ca="1">Magick!$H$72</f>
        <v>0.1</v>
      </c>
      <c r="N597" s="72">
        <f ca="1">Magick!$K$72</f>
        <v>0.15000000000000002</v>
      </c>
      <c r="O597" s="72">
        <f ca="1">Magick!$L$72</f>
        <v>0.15000000000000002</v>
      </c>
      <c r="P597" s="72">
        <f ca="1">Magick!$M$72</f>
        <v>0.15000000000000002</v>
      </c>
      <c r="Q597" s="67" t="s">
        <v>4602</v>
      </c>
      <c r="R597" s="67">
        <f ca="1">IF(Q597="Ritual","N/A",IF(Q597="I.E.","N/A",IF(Q597="WOG",VLOOKUP(Magick!$I$72*100,magestuff!$B$134:$F$138,2),IF(Q597="Cantrip",VLOOKUP(Magick!$I$72*100,magestuff!$B$134:$F$138,3),IF(Q597="Hex",VLOOKUP(Magick!$I$72*100,magestuff!$B$134:$F$138,4),VLOOKUP(Magick!$I$72*100,magestuff!$B$134:$F$138,5))))))</f>
        <v>19</v>
      </c>
      <c r="U597" s="67" t="str">
        <f t="shared" si="92"/>
        <v xml:space="preserve"> </v>
      </c>
      <c r="V597" s="515"/>
      <c r="W597" s="125"/>
      <c r="X597" s="31">
        <f t="shared" si="93"/>
        <v>0</v>
      </c>
      <c r="Y597" s="509"/>
      <c r="Z597" s="1054" t="str">
        <f t="shared" si="87"/>
        <v>True Sight</v>
      </c>
      <c r="AA597" s="1072" t="str">
        <f t="shared" si="88"/>
        <v>Divination</v>
      </c>
    </row>
    <row r="598" spans="1:27" hidden="1" outlineLevel="1">
      <c r="A598" s="83" t="s">
        <v>5096</v>
      </c>
      <c r="B598" s="67">
        <v>9</v>
      </c>
      <c r="C598" s="67">
        <f ca="1">magestuff!$AA$200</f>
        <v>9</v>
      </c>
      <c r="D598" s="67">
        <f t="shared" si="89"/>
        <v>0</v>
      </c>
      <c r="E598" s="77" t="e">
        <f ca="1">IF(F598="y",HLOOKUP(C598,Magick!$C$20:$L$21,2),NA())</f>
        <v>#N/A</v>
      </c>
      <c r="F598" s="67" t="str">
        <f ca="1">IF(C598&lt;=Magick!$D$3,"Y","N")</f>
        <v>N</v>
      </c>
      <c r="G598" s="148" t="s">
        <v>129</v>
      </c>
      <c r="H598" s="151"/>
      <c r="I598" s="77" t="e">
        <f>IF(H598&gt;0,(HLOOKUP(C598,Magick!$C$20:$L$21,2)-HLOOKUP(H598,Magick!$C$20:$L$21,2)),NA())</f>
        <v>#N/A</v>
      </c>
      <c r="J598" s="77"/>
      <c r="K598" s="67" t="s">
        <v>1365</v>
      </c>
      <c r="L598" s="72" t="str">
        <f>IF(H598&gt;0,Magick!$AR$22-('Master Spell List'!H593*0.1),"N/A")</f>
        <v>N/A</v>
      </c>
      <c r="M598" s="72">
        <f ca="1">Magick!$H$72</f>
        <v>0.1</v>
      </c>
      <c r="N598" s="72">
        <f ca="1">Magick!$K$72</f>
        <v>0.15000000000000002</v>
      </c>
      <c r="O598" s="72">
        <f ca="1">Magick!$L$72</f>
        <v>0.15000000000000002</v>
      </c>
      <c r="P598" s="72">
        <f ca="1">Magick!$M$72</f>
        <v>0.15000000000000002</v>
      </c>
      <c r="Q598" s="67" t="s">
        <v>113</v>
      </c>
      <c r="R598" s="67" t="str">
        <f>IF(Q598="Ritual","N/A",IF(Q598="I.E.","N/A",IF(Q598="WOG",VLOOKUP(Magick!$I$72*100,magestuff!$B$134:$F$138,2),IF(Q598="Cantrip",VLOOKUP(Magick!$I$72*100,magestuff!$B$134:$F$138,3),IF(Q598="Hex",VLOOKUP(Magick!$I$72*100,magestuff!$B$134:$F$138,4),VLOOKUP(Magick!$I$72*100,magestuff!$B$134:$F$138,5))))))</f>
        <v>N/A</v>
      </c>
      <c r="U598" s="67" t="str">
        <f t="shared" si="92"/>
        <v xml:space="preserve"> </v>
      </c>
      <c r="V598" s="515"/>
      <c r="W598" s="125"/>
      <c r="X598" s="31">
        <f t="shared" si="93"/>
        <v>0</v>
      </c>
      <c r="Y598" s="509"/>
      <c r="Z598" s="1054" t="str">
        <f t="shared" si="87"/>
        <v>Vision of the Ancients</v>
      </c>
      <c r="AA598" s="1072" t="str">
        <f t="shared" si="88"/>
        <v>Divination</v>
      </c>
    </row>
    <row r="599" spans="1:27" hidden="1" outlineLevel="1" collapsed="1">
      <c r="A599" s="83" t="s">
        <v>5098</v>
      </c>
      <c r="B599" s="67">
        <v>10</v>
      </c>
      <c r="C599" s="67">
        <f ca="1">magestuff!$AD$200</f>
        <v>10</v>
      </c>
      <c r="D599" s="67">
        <f t="shared" si="89"/>
        <v>0</v>
      </c>
      <c r="E599" s="77" t="e">
        <f ca="1">IF(F599="y",HLOOKUP(C599,Magick!$C$20:$L$21,2),NA())</f>
        <v>#N/A</v>
      </c>
      <c r="F599" s="67" t="str">
        <f ca="1">IF(C599&lt;=Magick!$D$3,"Y","N")</f>
        <v>N</v>
      </c>
      <c r="G599" s="148" t="s">
        <v>129</v>
      </c>
      <c r="H599" s="151"/>
      <c r="I599" s="77" t="e">
        <f>IF(H599&gt;0,(HLOOKUP(C599,Magick!$C$20:$L$21,2)-HLOOKUP(H599,Magick!$C$20:$L$21,2)),NA())</f>
        <v>#N/A</v>
      </c>
      <c r="J599" s="77"/>
      <c r="K599" s="67" t="s">
        <v>1364</v>
      </c>
      <c r="L599" s="72" t="str">
        <f>IF(H599&gt;0,Magick!$AR$22-('Master Spell List'!H595*0.1),"N/A")</f>
        <v>N/A</v>
      </c>
      <c r="M599" s="72">
        <f ca="1">Magick!$H$72</f>
        <v>0.1</v>
      </c>
      <c r="N599" s="72">
        <f ca="1">Magick!$K$72</f>
        <v>0.15000000000000002</v>
      </c>
      <c r="O599" s="72">
        <f ca="1">Magick!$L$72</f>
        <v>0.15000000000000002</v>
      </c>
      <c r="P599" s="72">
        <f ca="1">Magick!$M$72</f>
        <v>0.15000000000000002</v>
      </c>
      <c r="Q599" s="67" t="s">
        <v>113</v>
      </c>
      <c r="R599" s="67" t="str">
        <f>IF(Q599="Ritual","N/A",IF(Q599="I.E.","N/A",IF(Q599="WOG",VLOOKUP(Magick!$I$72*100,magestuff!$B$134:$F$138,2),IF(Q599="Cantrip",VLOOKUP(Magick!$I$72*100,magestuff!$B$134:$F$138,3),IF(Q599="Hex",VLOOKUP(Magick!$I$72*100,magestuff!$B$134:$F$138,4),VLOOKUP(Magick!$I$72*100,magestuff!$B$134:$F$138,5))))))</f>
        <v>N/A</v>
      </c>
      <c r="T599" s="67" t="s">
        <v>2330</v>
      </c>
      <c r="U599" s="67" t="str">
        <f t="shared" si="92"/>
        <v xml:space="preserve"> </v>
      </c>
      <c r="V599" s="515"/>
      <c r="W599" s="125"/>
      <c r="X599" s="31">
        <f t="shared" si="93"/>
        <v>0</v>
      </c>
      <c r="Y599" s="509"/>
      <c r="Z599" s="1054" t="str">
        <f t="shared" si="87"/>
        <v>Cave of Ages</v>
      </c>
      <c r="AA599" s="1072" t="str">
        <f t="shared" si="88"/>
        <v>Divination</v>
      </c>
    </row>
    <row r="600" spans="1:27" hidden="1" outlineLevel="1">
      <c r="A600" s="83" t="s">
        <v>5729</v>
      </c>
      <c r="B600" s="67">
        <f>IF(Magick!$A$3=10,5,10)</f>
        <v>10</v>
      </c>
      <c r="C600" s="67">
        <f ca="1">magestuff!$AD$200</f>
        <v>10</v>
      </c>
      <c r="D600" s="67">
        <f t="shared" si="89"/>
        <v>0</v>
      </c>
      <c r="E600" s="77" t="e">
        <f ca="1">IF(F600="y",HLOOKUP(C600,Magick!$C$20:$L$21,2),NA())</f>
        <v>#N/A</v>
      </c>
      <c r="F600" s="67" t="str">
        <f ca="1">IF(C600&lt;=Magick!$D$3,"Y","N")</f>
        <v>N</v>
      </c>
      <c r="G600" s="148" t="s">
        <v>859</v>
      </c>
      <c r="H600" s="151"/>
      <c r="I600" s="77" t="e">
        <f>IF(H600&gt;0,(HLOOKUP(C600,Magick!$C$20:$L$21,2)-HLOOKUP(H600,Magick!$C$20:$L$21,2)),NA())</f>
        <v>#N/A</v>
      </c>
      <c r="J600" s="77"/>
      <c r="K600" s="67">
        <f>IF(Magick!$A$3=10,10,20)</f>
        <v>20</v>
      </c>
      <c r="L600" s="72" t="str">
        <f>IF(H600&gt;0,Magick!$AR$22-('Master Spell List'!H552*0.1),"N/A")</f>
        <v>N/A</v>
      </c>
      <c r="M600" s="72">
        <f ca="1">Magick!$H$72</f>
        <v>0.1</v>
      </c>
      <c r="N600" s="72">
        <f ca="1">Magick!$K$72</f>
        <v>0.15000000000000002</v>
      </c>
      <c r="O600" s="72">
        <f ca="1">Magick!$L$72</f>
        <v>0.15000000000000002</v>
      </c>
      <c r="P600" s="72">
        <f ca="1">Magick!$M$72</f>
        <v>0.15000000000000002</v>
      </c>
      <c r="Q600" s="67" t="str">
        <f>IF(Magick!$A$3=10,"Hex","Ritual")</f>
        <v>Ritual</v>
      </c>
      <c r="R600" s="67" t="str">
        <f>IF(Q600="Ritual","N/A",IF(Q600="I.E.","N/A",IF(Q600="WOG",VLOOKUP(Magick!$I$72*100,magestuff!$B$134:$F$138,2),IF(Q600="Cantrip",VLOOKUP(Magick!$I$72*100,magestuff!$B$134:$F$138,3),IF(Q600="Hex",VLOOKUP(Magick!$I$72*100,magestuff!$B$134:$F$138,4),VLOOKUP(Magick!$I$72*100,magestuff!$B$134:$F$138,5))))))</f>
        <v>N/A</v>
      </c>
      <c r="V600" s="515"/>
      <c r="W600" s="125"/>
      <c r="Y600" s="509"/>
      <c r="Z600" s="1054" t="str">
        <f t="shared" si="87"/>
        <v>Greatest Discern Trigger</v>
      </c>
      <c r="AA600" s="1072" t="str">
        <f t="shared" si="88"/>
        <v>Divination</v>
      </c>
    </row>
    <row r="601" spans="1:27" hidden="1" outlineLevel="1">
      <c r="A601" s="83" t="s">
        <v>5733</v>
      </c>
      <c r="B601" s="67">
        <f>IF(Magick!$A$3=10,5,10)</f>
        <v>10</v>
      </c>
      <c r="C601" s="67">
        <f ca="1">magestuff!$AD$200</f>
        <v>10</v>
      </c>
      <c r="D601" s="67">
        <f t="shared" si="89"/>
        <v>0</v>
      </c>
      <c r="E601" s="77" t="e">
        <f ca="1">IF(F601="y",HLOOKUP(C601,Magick!$C$20:$L$21,2),NA())</f>
        <v>#N/A</v>
      </c>
      <c r="F601" s="67" t="str">
        <f ca="1">IF(C601&lt;=Magick!$D$3,"Y","N")</f>
        <v>N</v>
      </c>
      <c r="G601" s="148" t="s">
        <v>859</v>
      </c>
      <c r="H601" s="151"/>
      <c r="I601" s="77" t="e">
        <f>IF(H601&gt;0,(HLOOKUP(C601,Magick!$C$20:$L$21,2)-HLOOKUP(H601,Magick!$C$20:$L$21,2)),NA())</f>
        <v>#N/A</v>
      </c>
      <c r="J601" s="77"/>
      <c r="K601" s="67">
        <f>IF(Magick!$A$3=10,10,23)</f>
        <v>23</v>
      </c>
      <c r="L601" s="72" t="str">
        <f>IF(H601&gt;0,Magick!$AR$22-('Master Spell List'!H556*0.1),"N/A")</f>
        <v>N/A</v>
      </c>
      <c r="M601" s="72">
        <f ca="1">Magick!$H$72</f>
        <v>0.1</v>
      </c>
      <c r="N601" s="72">
        <f ca="1">Magick!$K$72</f>
        <v>0.15000000000000002</v>
      </c>
      <c r="O601" s="72">
        <f ca="1">Magick!$L$72</f>
        <v>0.15000000000000002</v>
      </c>
      <c r="P601" s="72">
        <f ca="1">Magick!$M$72</f>
        <v>0.15000000000000002</v>
      </c>
      <c r="Q601" s="67" t="str">
        <f>IF(Magick!$A$3=10,"Hex","Ritual")</f>
        <v>Ritual</v>
      </c>
      <c r="R601" s="67" t="str">
        <f>IF(Q601="Ritual","N/A",IF(Q601="I.E.","N/A",IF(Q601="WOG",VLOOKUP(Magick!$I$72*100,magestuff!$B$134:$F$138,2),IF(Q601="Cantrip",VLOOKUP(Magick!$I$72*100,magestuff!$B$134:$F$138,3),IF(Q601="Hex",VLOOKUP(Magick!$I$72*100,magestuff!$B$134:$F$138,4),VLOOKUP(Magick!$I$72*100,magestuff!$B$134:$F$138,5))))))</f>
        <v>N/A</v>
      </c>
      <c r="V601" s="515"/>
      <c r="W601" s="125"/>
      <c r="Y601" s="509"/>
      <c r="Z601" s="1054" t="str">
        <f t="shared" si="87"/>
        <v>Greater Discern Magick</v>
      </c>
      <c r="AA601" s="1072" t="str">
        <f t="shared" si="88"/>
        <v>Divination</v>
      </c>
    </row>
    <row r="602" spans="1:27" hidden="1" outlineLevel="1">
      <c r="A602" s="83" t="s">
        <v>1467</v>
      </c>
      <c r="B602" s="67">
        <v>10</v>
      </c>
      <c r="C602" s="67">
        <f ca="1">magestuff!$AD$200</f>
        <v>10</v>
      </c>
      <c r="D602" s="67">
        <f t="shared" si="89"/>
        <v>0</v>
      </c>
      <c r="E602" s="77" t="e">
        <f ca="1">IF(F602="y",HLOOKUP(C602,Magick!$C$20:$L$21,2),NA())</f>
        <v>#N/A</v>
      </c>
      <c r="F602" s="67" t="str">
        <f ca="1">IF(C602&lt;=Magick!$D$3,"Y","N")</f>
        <v>N</v>
      </c>
      <c r="G602" s="148" t="s">
        <v>129</v>
      </c>
      <c r="H602" s="151"/>
      <c r="I602" s="77" t="e">
        <f>IF(H602&gt;0,(HLOOKUP(C602,Magick!$C$20:$L$21,2)-HLOOKUP(H602,Magick!$C$20:$L$21,2)),NA())</f>
        <v>#N/A</v>
      </c>
      <c r="J602" s="77"/>
      <c r="K602" s="67">
        <v>11</v>
      </c>
      <c r="L602" s="72" t="str">
        <f>IF(H602&gt;0,Magick!$AR$22-('Master Spell List'!H551*0.1),"N/A")</f>
        <v>N/A</v>
      </c>
      <c r="M602" s="72">
        <f ca="1">Magick!$H$72</f>
        <v>0.1</v>
      </c>
      <c r="N602" s="72">
        <f ca="1">Magick!$K$72</f>
        <v>0.15000000000000002</v>
      </c>
      <c r="O602" s="72">
        <f ca="1">Magick!$L$72</f>
        <v>0.15000000000000002</v>
      </c>
      <c r="P602" s="72">
        <f ca="1">Magick!$M$72</f>
        <v>0.15000000000000002</v>
      </c>
      <c r="Q602" s="67" t="s">
        <v>113</v>
      </c>
      <c r="R602" s="67" t="str">
        <f>IF(Q602="Ritual","N/A",IF(Q602="I.E.","N/A",IF(Q602="WOG",VLOOKUP(Magick!$I$72*100,magestuff!$B$134:$F$138,2),IF(Q602="Cantrip",VLOOKUP(Magick!$I$72*100,magestuff!$B$134:$F$138,3),IF(Q602="Hex",VLOOKUP(Magick!$I$72*100,magestuff!$B$134:$F$138,4),VLOOKUP(Magick!$I$72*100,magestuff!$B$134:$F$138,5))))))</f>
        <v>N/A</v>
      </c>
      <c r="U602" s="67" t="str">
        <f>IF(ISBLANK(H602)," ",IF(H602&gt;0,0,C602*10))</f>
        <v xml:space="preserve"> </v>
      </c>
      <c r="V602" s="515"/>
      <c r="W602" s="125"/>
      <c r="X602" s="31">
        <f>W602*3</f>
        <v>0</v>
      </c>
      <c r="Y602" s="509"/>
      <c r="Z602" s="1054" t="str">
        <f t="shared" si="87"/>
        <v>Forecast Weather for the Land</v>
      </c>
      <c r="AA602" s="1072" t="str">
        <f t="shared" si="88"/>
        <v>Divination</v>
      </c>
    </row>
    <row r="603" spans="1:27" hidden="1" outlineLevel="1">
      <c r="A603" s="83" t="s">
        <v>5097</v>
      </c>
      <c r="B603" s="67">
        <v>10</v>
      </c>
      <c r="C603" s="67">
        <f ca="1">magestuff!$AD$200</f>
        <v>10</v>
      </c>
      <c r="D603" s="67">
        <f t="shared" si="89"/>
        <v>0</v>
      </c>
      <c r="E603" s="77" t="e">
        <f ca="1">IF(F603="y",HLOOKUP(C603,Magick!$C$20:$L$21,2),NA())</f>
        <v>#N/A</v>
      </c>
      <c r="F603" s="67" t="str">
        <f ca="1">IF(C603&lt;=Magick!$D$3,"Y","N")</f>
        <v>N</v>
      </c>
      <c r="G603" s="148" t="s">
        <v>129</v>
      </c>
      <c r="H603" s="151"/>
      <c r="I603" s="77" t="e">
        <f>IF(H603&gt;0,(HLOOKUP(C603,Magick!$C$20:$L$21,2)-HLOOKUP(H603,Magick!$C$20:$L$21,2)),NA())</f>
        <v>#N/A</v>
      </c>
      <c r="J603" s="77"/>
      <c r="K603" s="67">
        <v>21</v>
      </c>
      <c r="L603" s="72" t="str">
        <f>IF(H603&gt;0,Magick!$AR$22-('Master Spell List'!H594*0.1),"N/A")</f>
        <v>N/A</v>
      </c>
      <c r="M603" s="72">
        <f ca="1">Magick!$H$72</f>
        <v>0.1</v>
      </c>
      <c r="N603" s="72">
        <f ca="1">Magick!$K$72</f>
        <v>0.15000000000000002</v>
      </c>
      <c r="O603" s="72">
        <f ca="1">Magick!$L$72</f>
        <v>0.15000000000000002</v>
      </c>
      <c r="P603" s="72">
        <f ca="1">Magick!$M$72</f>
        <v>0.15000000000000002</v>
      </c>
      <c r="Q603" s="67" t="s">
        <v>113</v>
      </c>
      <c r="R603" s="67" t="str">
        <f>IF(Q603="Ritual","N/A",IF(Q603="I.E.","N/A",IF(Q603="WOG",VLOOKUP(Magick!$I$72*100,magestuff!$B$134:$F$138,2),IF(Q603="Cantrip",VLOOKUP(Magick!$I$72*100,magestuff!$B$134:$F$138,3),IF(Q603="Hex",VLOOKUP(Magick!$I$72*100,magestuff!$B$134:$F$138,4),VLOOKUP(Magick!$I$72*100,magestuff!$B$134:$F$138,5))))))</f>
        <v>N/A</v>
      </c>
      <c r="S603" s="67" t="s">
        <v>5545</v>
      </c>
      <c r="T603" s="67" t="s">
        <v>5545</v>
      </c>
      <c r="U603" s="67" t="str">
        <f>IF(ISBLANK(H603)," ",IF(H603&gt;0,0,C603*10))</f>
        <v xml:space="preserve"> </v>
      </c>
      <c r="V603" s="515"/>
      <c r="W603" s="125"/>
      <c r="X603" s="31">
        <f>W603*3</f>
        <v>0</v>
      </c>
      <c r="Y603" s="509"/>
      <c r="Z603" s="1054" t="str">
        <f t="shared" si="87"/>
        <v>Walk of Ages</v>
      </c>
      <c r="AA603" s="1072" t="str">
        <f t="shared" si="88"/>
        <v>Divination</v>
      </c>
    </row>
    <row r="604" spans="1:27" hidden="1" outlineLevel="1">
      <c r="A604" s="83" t="s">
        <v>2925</v>
      </c>
      <c r="B604" s="67">
        <v>11</v>
      </c>
      <c r="C604" s="67">
        <f ca="1">magestuff!$AD$200+1</f>
        <v>11</v>
      </c>
      <c r="D604" s="67">
        <f t="shared" si="89"/>
        <v>0</v>
      </c>
      <c r="E604" s="77" t="e">
        <f ca="1">IF(F604="y",HLOOKUP(C604,Magick!$C$20:$L$21,2),NA())</f>
        <v>#N/A</v>
      </c>
      <c r="F604" s="67" t="str">
        <f ca="1">IF(C604&lt;=Magick!$D$3,"Y","N")</f>
        <v>N</v>
      </c>
      <c r="G604" s="148" t="s">
        <v>859</v>
      </c>
      <c r="H604" s="151"/>
      <c r="I604" s="77" t="e">
        <f>IF(H604&gt;0,(HLOOKUP(C604,Magick!$C$20:$L$21,2)-HLOOKUP(H604,Magick!$C$20:$L$21,2)),NA())</f>
        <v>#N/A</v>
      </c>
      <c r="J604" s="77"/>
      <c r="K604" s="67">
        <v>23</v>
      </c>
      <c r="L604" s="72" t="str">
        <f>IF(H604&gt;0,Magick!$AR$22-('Master Spell List'!H572*0.1),"N/A")</f>
        <v>N/A</v>
      </c>
      <c r="M604" s="72">
        <f ca="1">Magick!$H$72</f>
        <v>0.1</v>
      </c>
      <c r="N604" s="72">
        <f ca="1">Magick!$K$72</f>
        <v>0.15000000000000002</v>
      </c>
      <c r="O604" s="72">
        <f ca="1">Magick!$L$72</f>
        <v>0.15000000000000002</v>
      </c>
      <c r="P604" s="72">
        <f ca="1">Magick!$M$72</f>
        <v>0.15000000000000002</v>
      </c>
      <c r="Q604" s="67" t="s">
        <v>3723</v>
      </c>
      <c r="R604" s="67">
        <f ca="1">IF(Q604="Ritual","N/A",IF(Q604="I.E.","N/A",IF(Q604="WOG",VLOOKUP(Magick!$I$72*100,magestuff!$B$134:$F$138,2),IF(Q604="Cantrip",VLOOKUP(Magick!$I$72*100,magestuff!$B$134:$F$138,3),IF(Q604="Hex",VLOOKUP(Magick!$I$72*100,magestuff!$B$134:$F$138,4),VLOOKUP(Magick!$I$72*100,magestuff!$B$134:$F$138,5))))))</f>
        <v>29</v>
      </c>
      <c r="S604" s="67" t="str">
        <f>CONCATENATE(IF(Magick!$C$3&gt;0,Magick!$C$3*25," "),"ft.")</f>
        <v xml:space="preserve"> ft.</v>
      </c>
      <c r="T604" s="67" t="s">
        <v>3725</v>
      </c>
      <c r="U604" s="67" t="str">
        <f>IF(ISBLANK(H604)," ",IF(H604&gt;0,0,C604*10))</f>
        <v xml:space="preserve"> </v>
      </c>
      <c r="V604" s="515"/>
      <c r="W604" s="125"/>
      <c r="X604" s="31">
        <f>W604*3</f>
        <v>0</v>
      </c>
      <c r="Y604" s="509"/>
      <c r="Z604" s="1054" t="str">
        <f t="shared" si="87"/>
        <v>Temporal Storm</v>
      </c>
      <c r="AA604" s="1072" t="str">
        <f t="shared" si="88"/>
        <v>Divination</v>
      </c>
    </row>
    <row r="605" spans="1:27" hidden="1" outlineLevel="1">
      <c r="A605" s="83" t="s">
        <v>5734</v>
      </c>
      <c r="B605" s="67">
        <f>IF(Magick!$A$3=10,6,12)</f>
        <v>12</v>
      </c>
      <c r="C605" s="67">
        <f ca="1">magestuff!$AD$200+2</f>
        <v>12</v>
      </c>
      <c r="D605" s="67">
        <f t="shared" si="89"/>
        <v>0</v>
      </c>
      <c r="E605" s="77" t="e">
        <f ca="1">IF(F605="y",HLOOKUP(C605,Magick!$C$20:$L$21,2),NA())</f>
        <v>#N/A</v>
      </c>
      <c r="F605" s="67" t="str">
        <f ca="1">IF(C605&lt;=Magick!$D$3,"Y","N")</f>
        <v>N</v>
      </c>
      <c r="G605" s="148" t="s">
        <v>859</v>
      </c>
      <c r="H605" s="151"/>
      <c r="I605" s="77" t="e">
        <f>IF(H605&gt;0,(HLOOKUP(C605,Magick!$C$20:$L$21,2)-HLOOKUP(H605,Magick!$C$20:$L$21,2)),NA())</f>
        <v>#N/A</v>
      </c>
      <c r="J605" s="77"/>
      <c r="K605" s="67">
        <f>IF(Magick!$A$3=10,11,26)</f>
        <v>26</v>
      </c>
      <c r="L605" s="72" t="str">
        <f>IF(H605&gt;0,Magick!$AR$22-('Master Spell List'!H557*0.1),"N/A")</f>
        <v>N/A</v>
      </c>
      <c r="M605" s="72">
        <f ca="1">Magick!$H$72</f>
        <v>0.1</v>
      </c>
      <c r="N605" s="72">
        <f ca="1">Magick!$K$72</f>
        <v>0.15000000000000002</v>
      </c>
      <c r="O605" s="72">
        <f ca="1">Magick!$L$72</f>
        <v>0.15000000000000002</v>
      </c>
      <c r="P605" s="72">
        <f ca="1">Magick!$M$72</f>
        <v>0.15000000000000002</v>
      </c>
      <c r="Q605" s="67" t="str">
        <f>IF(Magick!$A$3=10,"Sorcery","Ritual")</f>
        <v>Ritual</v>
      </c>
      <c r="R605" s="67" t="str">
        <f>IF(Q605="Ritual","N/A",IF(Q605="I.E.","N/A",IF(Q605="WOG",VLOOKUP(Magick!$I$72*100,magestuff!$B$134:$F$138,2),IF(Q605="Cantrip",VLOOKUP(Magick!$I$72*100,magestuff!$B$134:$F$138,3),IF(Q605="Hex",VLOOKUP(Magick!$I$72*100,magestuff!$B$134:$F$138,4),VLOOKUP(Magick!$I$72*100,magestuff!$B$134:$F$138,5))))))</f>
        <v>N/A</v>
      </c>
      <c r="V605" s="515"/>
      <c r="W605" s="125"/>
      <c r="Y605" s="509"/>
      <c r="Z605" s="1054" t="str">
        <f t="shared" si="87"/>
        <v>Greatest Discern Magick</v>
      </c>
      <c r="AA605" s="1072" t="str">
        <f t="shared" si="88"/>
        <v>Divination</v>
      </c>
    </row>
    <row r="606" spans="1:27" hidden="1" outlineLevel="1">
      <c r="A606" s="83" t="s">
        <v>2923</v>
      </c>
      <c r="B606" s="67">
        <v>15</v>
      </c>
      <c r="C606" s="67">
        <f ca="1">magestuff!$AD$200+5</f>
        <v>15</v>
      </c>
      <c r="D606" s="67">
        <f t="shared" si="89"/>
        <v>0</v>
      </c>
      <c r="E606" s="77" t="e">
        <f ca="1">IF(F606="y",HLOOKUP(C606,Magick!$C$20:$L$21,2),NA())</f>
        <v>#N/A</v>
      </c>
      <c r="F606" s="67" t="str">
        <f ca="1">IF(C606&lt;=Magick!$D$3,"Y","N")</f>
        <v>N</v>
      </c>
      <c r="G606" s="148" t="s">
        <v>859</v>
      </c>
      <c r="H606" s="151"/>
      <c r="I606" s="77" t="e">
        <f>IF(H606&gt;0,(HLOOKUP(C606,Magick!$C$20:$L$21,2)-HLOOKUP(H606,Magick!$C$20:$L$21,2)),NA())</f>
        <v>#N/A</v>
      </c>
      <c r="J606" s="77"/>
      <c r="K606" s="67" t="s">
        <v>1308</v>
      </c>
      <c r="L606" s="72" t="str">
        <f>IF(H606&gt;0,Magick!$AR$22-('Master Spell List'!H570*0.1),"N/A")</f>
        <v>N/A</v>
      </c>
      <c r="M606" s="72">
        <f ca="1">Magick!$H$72</f>
        <v>0.1</v>
      </c>
      <c r="N606" s="72">
        <f ca="1">Magick!$K$72</f>
        <v>0.15000000000000002</v>
      </c>
      <c r="O606" s="72">
        <f ca="1">Magick!$L$72</f>
        <v>0.15000000000000002</v>
      </c>
      <c r="P606" s="72">
        <f ca="1">Magick!$M$72</f>
        <v>0.15000000000000002</v>
      </c>
      <c r="Q606" s="67" t="s">
        <v>113</v>
      </c>
      <c r="R606" s="67" t="str">
        <f>IF(Q606="Ritual","N/A",IF(Q606="I.E.","N/A",IF(Q606="WOG",VLOOKUP(Magick!$I$72*100,magestuff!$B$134:$F$138,2),IF(Q606="Cantrip",VLOOKUP(Magick!$I$72*100,magestuff!$B$134:$F$138,3),IF(Q606="Hex",VLOOKUP(Magick!$I$72*100,magestuff!$B$134:$F$138,4),VLOOKUP(Magick!$I$72*100,magestuff!$B$134:$F$138,5))))))</f>
        <v>N/A</v>
      </c>
      <c r="S606" s="67" t="str">
        <f>CONCATENATE(IF(Magick!$C$3&gt;0,Magick!$C$3*15," "),"ft.")</f>
        <v xml:space="preserve"> ft.</v>
      </c>
      <c r="T606" s="67" t="s">
        <v>3725</v>
      </c>
      <c r="U606" s="67" t="str">
        <f>IF(ISBLANK(H606)," ",IF(H606&gt;0,0,C606*10))</f>
        <v xml:space="preserve"> </v>
      </c>
      <c r="V606" s="515"/>
      <c r="W606" s="125"/>
      <c r="X606" s="31">
        <f>W606*3</f>
        <v>0</v>
      </c>
      <c r="Y606" s="509"/>
      <c r="Z606" s="1054" t="str">
        <f t="shared" si="87"/>
        <v>Torrents of Time</v>
      </c>
      <c r="AA606" s="1072" t="str">
        <f t="shared" si="88"/>
        <v>Divination</v>
      </c>
    </row>
    <row r="607" spans="1:27" hidden="1" outlineLevel="1">
      <c r="A607" s="83" t="s">
        <v>2924</v>
      </c>
      <c r="B607" s="67">
        <v>16</v>
      </c>
      <c r="C607" s="67">
        <f ca="1">magestuff!$AD$200+6</f>
        <v>16</v>
      </c>
      <c r="D607" s="67">
        <f t="shared" si="89"/>
        <v>0</v>
      </c>
      <c r="E607" s="77" t="e">
        <f ca="1">IF(F607="y",HLOOKUP(C607,Magick!$C$20:$L$21,2),NA())</f>
        <v>#N/A</v>
      </c>
      <c r="F607" s="67" t="str">
        <f ca="1">IF(C607&lt;=Magick!$D$3,"Y","N")</f>
        <v>N</v>
      </c>
      <c r="G607" s="148" t="s">
        <v>859</v>
      </c>
      <c r="H607" s="151"/>
      <c r="I607" s="77" t="e">
        <f>IF(H607&gt;0,(HLOOKUP(C607,Magick!$C$20:$L$21,2)-HLOOKUP(H607,Magick!$C$20:$L$21,2)),NA())</f>
        <v>#N/A</v>
      </c>
      <c r="J607" s="77"/>
      <c r="K607" s="67" t="s">
        <v>1309</v>
      </c>
      <c r="L607" s="72" t="str">
        <f>IF(H607&gt;0,Magick!$AR$22-('Master Spell List'!H571*0.1),"N/A")</f>
        <v>N/A</v>
      </c>
      <c r="M607" s="72">
        <f ca="1">Magick!$H$72</f>
        <v>0.1</v>
      </c>
      <c r="N607" s="72">
        <f ca="1">Magick!$K$72</f>
        <v>0.15000000000000002</v>
      </c>
      <c r="O607" s="72">
        <f ca="1">Magick!$L$72</f>
        <v>0.15000000000000002</v>
      </c>
      <c r="P607" s="72">
        <f ca="1">Magick!$M$72</f>
        <v>0.15000000000000002</v>
      </c>
      <c r="Q607" s="67" t="s">
        <v>113</v>
      </c>
      <c r="R607" s="67" t="str">
        <f>IF(Q607="Ritual","N/A",IF(Q607="I.E.","N/A",IF(Q607="WOG",VLOOKUP(Magick!$I$72*100,magestuff!$B$134:$F$138,2),IF(Q607="Cantrip",VLOOKUP(Magick!$I$72*100,magestuff!$B$134:$F$138,3),IF(Q607="Hex",VLOOKUP(Magick!$I$72*100,magestuff!$B$134:$F$138,4),VLOOKUP(Magick!$I$72*100,magestuff!$B$134:$F$138,5))))))</f>
        <v>N/A</v>
      </c>
      <c r="S607" s="67" t="str">
        <f>CONCATENATE(IF(Magick!$C$3&gt;0,Magick!$C$3*15," "),"ft.")</f>
        <v xml:space="preserve"> ft.</v>
      </c>
      <c r="T607" s="67" t="s">
        <v>3725</v>
      </c>
      <c r="U607" s="67" t="str">
        <f>IF(ISBLANK(H607)," ",IF(H607&gt;0,0,C607*10))</f>
        <v xml:space="preserve"> </v>
      </c>
      <c r="V607" s="515"/>
      <c r="W607" s="125"/>
      <c r="X607" s="31">
        <f>W607*3</f>
        <v>0</v>
      </c>
      <c r="Y607" s="509"/>
      <c r="Z607" s="1054" t="str">
        <f t="shared" si="87"/>
        <v>Tempest of Time</v>
      </c>
      <c r="AA607" s="1072" t="str">
        <f t="shared" si="88"/>
        <v>Divination</v>
      </c>
    </row>
    <row r="608" spans="1:27" collapsed="1">
      <c r="A608" s="48" t="s">
        <v>1632</v>
      </c>
      <c r="B608" s="76">
        <f>SUM(B609:B697)</f>
        <v>294</v>
      </c>
      <c r="C608" s="76">
        <f ca="1">SUM(C609:C697)</f>
        <v>294</v>
      </c>
      <c r="D608" s="76">
        <f>SUM(D609:D697)</f>
        <v>0</v>
      </c>
      <c r="E608" s="76"/>
      <c r="F608" s="149">
        <f ca="1">SUM(C609:C657)+IF(F658="Y",SUM(C658:C665),0)+IF(F666="Y",SUM(C666:C676),0)+IF(F677="Y",SUM(C677:C681),0)+IF(F682="Y",SUM(C682:C683),0)+IF(F684="Y",SUM(C684:C687),0)+IF(F688="Y",SUM(C688:C691),0)+IF(F692="Y",SUM(C692:C693),0)+IF(F694="Y",SUM(C694:C695),0)+IF(F696="Y",SUM(C696:C697),0)</f>
        <v>69</v>
      </c>
      <c r="G608" s="76"/>
      <c r="H608" s="150"/>
      <c r="I608" s="76"/>
      <c r="J608" s="76"/>
      <c r="K608" s="76"/>
      <c r="L608" s="76"/>
      <c r="M608" s="222">
        <f ca="1">Magick!$H$74</f>
        <v>0.1</v>
      </c>
      <c r="N608" s="222">
        <f ca="1">Magick!$K$74</f>
        <v>0.2</v>
      </c>
      <c r="O608" s="222">
        <f ca="1">Magick!$L$74</f>
        <v>0.2</v>
      </c>
      <c r="P608" s="222">
        <f ca="1">Magick!$M$74</f>
        <v>0.2</v>
      </c>
      <c r="Q608" s="76"/>
      <c r="R608" s="76"/>
      <c r="S608" s="76"/>
      <c r="T608" s="76"/>
      <c r="U608" s="149">
        <f>SUM(U609:U697)</f>
        <v>0</v>
      </c>
      <c r="V608" s="76"/>
      <c r="W608" s="76"/>
      <c r="X608" s="149"/>
      <c r="Y608" s="509"/>
      <c r="Z608" s="1054" t="str">
        <f t="shared" si="87"/>
        <v>Illusion</v>
      </c>
      <c r="AA608" s="1072" t="str">
        <f t="shared" si="88"/>
        <v>Illusion</v>
      </c>
    </row>
    <row r="609" spans="1:27" hidden="1" outlineLevel="1">
      <c r="A609" s="83" t="s">
        <v>501</v>
      </c>
      <c r="B609" s="67">
        <v>1</v>
      </c>
      <c r="C609" s="67">
        <f ca="1">IF(magestuff!$C$202&lt;1,1,magestuff!$C$202)</f>
        <v>1</v>
      </c>
      <c r="D609" s="67">
        <f t="shared" ref="D609:D672" si="94">IF(AND(ISNUMBER(H609),H609=0),C609,0)</f>
        <v>0</v>
      </c>
      <c r="E609" s="77">
        <f ca="1">IF(F609="y",HLOOKUP((IF(C609&lt;1,1,C609)),Magick!$C$20:$L$21,2),NA())</f>
        <v>10</v>
      </c>
      <c r="F609" s="67" t="str">
        <f ca="1">IF(C609&lt;=Magick!$D$3,"Y","N")</f>
        <v>Y</v>
      </c>
      <c r="G609" s="148" t="s">
        <v>1616</v>
      </c>
      <c r="H609" s="151"/>
      <c r="I609" s="77" t="e">
        <f>IF(H609&gt;0,(HLOOKUP(C609,Magick!$C$20:$L$21,2)-HLOOKUP(H609,Magick!$C$20:$L$21,2)),NA())</f>
        <v>#N/A</v>
      </c>
      <c r="J609" s="77"/>
      <c r="K609" s="67">
        <v>3</v>
      </c>
      <c r="L609" s="72" t="str">
        <f>IF(H609&gt;0,Magick!$AR$24-('Master Spell List'!H679*0.1),"N/A")</f>
        <v>N/A</v>
      </c>
      <c r="M609" s="72">
        <f ca="1">Magick!$H$74</f>
        <v>0.1</v>
      </c>
      <c r="N609" s="72">
        <f ca="1">Magick!$K$74</f>
        <v>0.2</v>
      </c>
      <c r="O609" s="72">
        <f ca="1">Magick!$L$74</f>
        <v>0.2</v>
      </c>
      <c r="P609" s="72">
        <f ca="1">Magick!$M$74</f>
        <v>0.2</v>
      </c>
      <c r="Q609" s="67" t="s">
        <v>4603</v>
      </c>
      <c r="R609" s="67">
        <f ca="1">IF(Q609="Ritual","N/A",IF(Q609="I.E.","N/A",IF(Q609="WOG",VLOOKUP(Magick!$I$74*100,magestuff!$B$134:$F$138,2),IF(Q609="Cantrip",VLOOKUP(Magick!$I$74*100,magestuff!$B$134:$F$138,3),IF(Q609="Hex",VLOOKUP(Magick!$I$74*100,magestuff!$B$134:$F$138,4),VLOOKUP(Magick!$I$74*100,magestuff!$B$134:$F$138,5))))))</f>
        <v>9</v>
      </c>
      <c r="S609" s="67" t="s">
        <v>5545</v>
      </c>
      <c r="T609" s="67" t="s">
        <v>5545</v>
      </c>
      <c r="U609" s="67" t="str">
        <f t="shared" ref="U609:U672" si="95">IF(ISBLANK(H609)," ",IF(H609&gt;0,0,C609*10))</f>
        <v xml:space="preserve"> </v>
      </c>
      <c r="V609" s="515"/>
      <c r="W609" s="125"/>
      <c r="X609" s="31">
        <f t="shared" ref="X609:X640" si="96">W609*3</f>
        <v>0</v>
      </c>
      <c r="Y609" s="509"/>
      <c r="Z609" s="1054" t="str">
        <f t="shared" si="87"/>
        <v>Accelerate Illusionary Contact</v>
      </c>
      <c r="AA609" s="1072" t="str">
        <f t="shared" si="88"/>
        <v>Illusion</v>
      </c>
    </row>
    <row r="610" spans="1:27" hidden="1" outlineLevel="1">
      <c r="A610" s="83" t="s">
        <v>2861</v>
      </c>
      <c r="B610" s="67">
        <v>1</v>
      </c>
      <c r="C610" s="67">
        <f ca="1">IF(magestuff!$C$202&lt;1,1,magestuff!$C$202)</f>
        <v>1</v>
      </c>
      <c r="D610" s="67">
        <f t="shared" si="94"/>
        <v>0</v>
      </c>
      <c r="E610" s="77">
        <f ca="1">IF(F610="y",HLOOKUP((IF(C610&lt;1,1,C610)),Magick!$C$20:$L$21,2),NA())</f>
        <v>10</v>
      </c>
      <c r="F610" s="67" t="str">
        <f ca="1">IF(C610&lt;=Magick!$D$3,"Y","N")</f>
        <v>Y</v>
      </c>
      <c r="G610" s="148" t="s">
        <v>1616</v>
      </c>
      <c r="H610" s="151"/>
      <c r="I610" s="77" t="e">
        <f>IF(H610&gt;0,(HLOOKUP(C610,Magick!$C$20:$L$21,2)-HLOOKUP(H610,Magick!$C$20:$L$21,2)),NA())</f>
        <v>#N/A</v>
      </c>
      <c r="J610" s="77"/>
      <c r="K610" s="67">
        <v>3</v>
      </c>
      <c r="L610" s="72" t="str">
        <f>IF(H610&gt;0,Magick!$AR$24-('Master Spell List'!H650*0.1),"N/A")</f>
        <v>N/A</v>
      </c>
      <c r="M610" s="72">
        <f ca="1">Magick!$H$74</f>
        <v>0.1</v>
      </c>
      <c r="N610" s="72">
        <f ca="1">Magick!$K$74</f>
        <v>0.2</v>
      </c>
      <c r="O610" s="72">
        <f ca="1">Magick!$L$74</f>
        <v>0.2</v>
      </c>
      <c r="P610" s="72">
        <f ca="1">Magick!$M$74</f>
        <v>0.2</v>
      </c>
      <c r="Q610" s="67" t="s">
        <v>4603</v>
      </c>
      <c r="R610" s="67">
        <f ca="1">IF(Q610="Ritual","N/A",IF(Q610="I.E.","N/A",IF(Q610="WOG",VLOOKUP(Magick!$I$74*100,magestuff!$B$134:$F$138,2),IF(Q610="Cantrip",VLOOKUP(Magick!$I$74*100,magestuff!$B$134:$F$138,3),IF(Q610="Hex",VLOOKUP(Magick!$I$74*100,magestuff!$B$134:$F$138,4),VLOOKUP(Magick!$I$74*100,magestuff!$B$134:$F$138,5))))))</f>
        <v>9</v>
      </c>
      <c r="S610" s="67" t="s">
        <v>5545</v>
      </c>
      <c r="T610" s="67" t="s">
        <v>5545</v>
      </c>
      <c r="U610" s="67" t="str">
        <f t="shared" si="95"/>
        <v xml:space="preserve"> </v>
      </c>
      <c r="V610" s="515"/>
      <c r="W610" s="125"/>
      <c r="X610" s="31">
        <f t="shared" si="96"/>
        <v>0</v>
      </c>
      <c r="Y610" s="509"/>
      <c r="Z610" s="1054" t="str">
        <f t="shared" si="87"/>
        <v>Accelerate Light</v>
      </c>
      <c r="AA610" s="1072" t="str">
        <f t="shared" si="88"/>
        <v>Illusion</v>
      </c>
    </row>
    <row r="611" spans="1:27" hidden="1" outlineLevel="1">
      <c r="A611" s="83" t="s">
        <v>139</v>
      </c>
      <c r="B611" s="67">
        <v>1</v>
      </c>
      <c r="C611" s="67">
        <f ca="1">IF(magestuff!$C$202&lt;1,1,magestuff!$C$202)</f>
        <v>1</v>
      </c>
      <c r="D611" s="67">
        <f t="shared" si="94"/>
        <v>0</v>
      </c>
      <c r="E611" s="77">
        <f ca="1">IF(F611="y",HLOOKUP((IF(C611&lt;1,1,C611)),Magick!$C$20:$L$21,2),NA())</f>
        <v>10</v>
      </c>
      <c r="F611" s="67" t="str">
        <f ca="1">IF(C611&lt;=Magick!$D$3,"Y","N")</f>
        <v>Y</v>
      </c>
      <c r="G611" s="148" t="s">
        <v>1616</v>
      </c>
      <c r="H611" s="151"/>
      <c r="I611" s="77" t="e">
        <f>IF(H611&gt;0,(HLOOKUP(C611,Magick!$C$20:$L$21,2)-HLOOKUP(H611,Magick!$C$20:$L$21,2)),NA())</f>
        <v>#N/A</v>
      </c>
      <c r="J611" s="77"/>
      <c r="K611" s="67">
        <v>3</v>
      </c>
      <c r="L611" s="72" t="str">
        <f>IF(H611&gt;0,Magick!$AR$24-('Master Spell List'!H668*0.1),"N/A")</f>
        <v>N/A</v>
      </c>
      <c r="M611" s="72">
        <f ca="1">Magick!$H$74</f>
        <v>0.1</v>
      </c>
      <c r="N611" s="72">
        <f ca="1">Magick!$K$74</f>
        <v>0.2</v>
      </c>
      <c r="O611" s="72">
        <f ca="1">Magick!$L$74</f>
        <v>0.2</v>
      </c>
      <c r="P611" s="72">
        <f ca="1">Magick!$M$74</f>
        <v>0.2</v>
      </c>
      <c r="Q611" s="67" t="s">
        <v>4603</v>
      </c>
      <c r="R611" s="67">
        <f ca="1">IF(Q611="Ritual","N/A",IF(Q611="I.E.","N/A",IF(Q611="WOG",VLOOKUP(Magick!$I$74*100,magestuff!$B$134:$F$138,2),IF(Q611="Cantrip",VLOOKUP(Magick!$I$74*100,magestuff!$B$134:$F$138,3),IF(Q611="Hex",VLOOKUP(Magick!$I$74*100,magestuff!$B$134:$F$138,4),VLOOKUP(Magick!$I$74*100,magestuff!$B$134:$F$138,5))))))</f>
        <v>9</v>
      </c>
      <c r="S611" s="67" t="s">
        <v>5545</v>
      </c>
      <c r="T611" s="67" t="s">
        <v>5545</v>
      </c>
      <c r="U611" s="67" t="str">
        <f t="shared" si="95"/>
        <v xml:space="preserve"> </v>
      </c>
      <c r="V611" s="515"/>
      <c r="W611" s="125"/>
      <c r="X611" s="31">
        <f t="shared" si="96"/>
        <v>0</v>
      </c>
      <c r="Y611" s="509"/>
      <c r="Z611" s="1054" t="str">
        <f t="shared" si="87"/>
        <v>Accelerate Scent</v>
      </c>
      <c r="AA611" s="1072" t="str">
        <f t="shared" si="88"/>
        <v>Illusion</v>
      </c>
    </row>
    <row r="612" spans="1:27" hidden="1" outlineLevel="1">
      <c r="A612" s="83" t="s">
        <v>500</v>
      </c>
      <c r="B612" s="67">
        <v>1</v>
      </c>
      <c r="C612" s="67">
        <f ca="1">IF(magestuff!$C$202&lt;1,1,magestuff!$C$202)</f>
        <v>1</v>
      </c>
      <c r="D612" s="67">
        <f t="shared" si="94"/>
        <v>0</v>
      </c>
      <c r="E612" s="77">
        <f ca="1">IF(F612="y",HLOOKUP((IF(C612&lt;1,1,C612)),Magick!$C$20:$L$21,2),NA())</f>
        <v>10</v>
      </c>
      <c r="F612" s="67" t="str">
        <f ca="1">IF(C612&lt;=Magick!$D$3,"Y","N")</f>
        <v>Y</v>
      </c>
      <c r="G612" s="148" t="s">
        <v>1616</v>
      </c>
      <c r="H612" s="151"/>
      <c r="I612" s="77" t="e">
        <f>IF(H612&gt;0,(HLOOKUP(C612,Magick!$C$20:$L$21,2)-HLOOKUP(H612,Magick!$C$20:$L$21,2)),NA())</f>
        <v>#N/A</v>
      </c>
      <c r="J612" s="77"/>
      <c r="K612" s="67">
        <v>3</v>
      </c>
      <c r="L612" s="72" t="str">
        <f>IF(H612&gt;0,Magick!$AR$24-('Master Spell List'!H678*0.1),"N/A")</f>
        <v>N/A</v>
      </c>
      <c r="M612" s="72">
        <f ca="1">Magick!$H$74</f>
        <v>0.1</v>
      </c>
      <c r="N612" s="72">
        <f ca="1">Magick!$K$74</f>
        <v>0.2</v>
      </c>
      <c r="O612" s="72">
        <f ca="1">Magick!$L$74</f>
        <v>0.2</v>
      </c>
      <c r="P612" s="72">
        <f ca="1">Magick!$M$74</f>
        <v>0.2</v>
      </c>
      <c r="Q612" s="67" t="s">
        <v>4603</v>
      </c>
      <c r="R612" s="67">
        <f ca="1">IF(Q612="Ritual","N/A",IF(Q612="I.E.","N/A",IF(Q612="WOG",VLOOKUP(Magick!$I$74*100,magestuff!$B$134:$F$138,2),IF(Q612="Cantrip",VLOOKUP(Magick!$I$74*100,magestuff!$B$134:$F$138,3),IF(Q612="Hex",VLOOKUP(Magick!$I$74*100,magestuff!$B$134:$F$138,4),VLOOKUP(Magick!$I$74*100,magestuff!$B$134:$F$138,5))))))</f>
        <v>9</v>
      </c>
      <c r="S612" s="67" t="s">
        <v>1984</v>
      </c>
      <c r="T612" s="67" t="s">
        <v>5545</v>
      </c>
      <c r="U612" s="67" t="str">
        <f t="shared" si="95"/>
        <v xml:space="preserve"> </v>
      </c>
      <c r="V612" s="515"/>
      <c r="W612" s="125"/>
      <c r="X612" s="31">
        <f t="shared" si="96"/>
        <v>0</v>
      </c>
      <c r="Y612" s="509"/>
      <c r="Z612" s="1054" t="str">
        <f t="shared" si="87"/>
        <v>Affix Illusionary Contact</v>
      </c>
      <c r="AA612" s="1072" t="str">
        <f t="shared" si="88"/>
        <v>Illusion</v>
      </c>
    </row>
    <row r="613" spans="1:27" hidden="1" outlineLevel="1">
      <c r="A613" s="83" t="s">
        <v>3138</v>
      </c>
      <c r="B613" s="67">
        <v>1</v>
      </c>
      <c r="C613" s="67">
        <f ca="1">IF(magestuff!$C$202&lt;1,1,magestuff!$C$202)</f>
        <v>1</v>
      </c>
      <c r="D613" s="67">
        <f t="shared" si="94"/>
        <v>0</v>
      </c>
      <c r="E613" s="77">
        <f ca="1">IF(F613="y",HLOOKUP((IF(C613&lt;1,1,C613)),Magick!$C$20:$L$21,2),NA())</f>
        <v>10</v>
      </c>
      <c r="F613" s="67" t="str">
        <f ca="1">IF(C613&lt;=Magick!$D$3,"Y","N")</f>
        <v>Y</v>
      </c>
      <c r="G613" s="148" t="s">
        <v>1616</v>
      </c>
      <c r="H613" s="151"/>
      <c r="I613" s="77" t="e">
        <f>IF(H613&gt;0,(HLOOKUP(C613,Magick!$C$20:$L$21,2)-HLOOKUP(H613,Magick!$C$20:$L$21,2)),NA())</f>
        <v>#N/A</v>
      </c>
      <c r="J613" s="77"/>
      <c r="K613" s="67">
        <v>3</v>
      </c>
      <c r="L613" s="72" t="str">
        <f>IF(H613&gt;0,Magick!$AR$24-('Master Spell List'!H648*0.1),"N/A")</f>
        <v>N/A</v>
      </c>
      <c r="M613" s="72">
        <f ca="1">Magick!$H$74</f>
        <v>0.1</v>
      </c>
      <c r="N613" s="72">
        <f ca="1">Magick!$K$74</f>
        <v>0.2</v>
      </c>
      <c r="O613" s="72">
        <f ca="1">Magick!$L$74</f>
        <v>0.2</v>
      </c>
      <c r="P613" s="72">
        <f ca="1">Magick!$M$74</f>
        <v>0.2</v>
      </c>
      <c r="Q613" s="67" t="s">
        <v>4603</v>
      </c>
      <c r="R613" s="67">
        <f ca="1">IF(Q613="Ritual","N/A",IF(Q613="I.E.","N/A",IF(Q613="WOG",VLOOKUP(Magick!$I$74*100,magestuff!$B$134:$F$138,2),IF(Q613="Cantrip",VLOOKUP(Magick!$I$74*100,magestuff!$B$134:$F$138,3),IF(Q613="Hex",VLOOKUP(Magick!$I$74*100,magestuff!$B$134:$F$138,4),VLOOKUP(Magick!$I$74*100,magestuff!$B$134:$F$138,5))))))</f>
        <v>9</v>
      </c>
      <c r="S613" s="67" t="s">
        <v>1984</v>
      </c>
      <c r="T613" s="67" t="s">
        <v>5545</v>
      </c>
      <c r="U613" s="67" t="str">
        <f t="shared" si="95"/>
        <v xml:space="preserve"> </v>
      </c>
      <c r="V613" s="515"/>
      <c r="W613" s="125"/>
      <c r="X613" s="31">
        <f t="shared" si="96"/>
        <v>0</v>
      </c>
      <c r="Y613" s="509"/>
      <c r="Z613" s="1054" t="str">
        <f t="shared" si="87"/>
        <v>Affix Light</v>
      </c>
      <c r="AA613" s="1072" t="str">
        <f t="shared" si="88"/>
        <v>Illusion</v>
      </c>
    </row>
    <row r="614" spans="1:27" hidden="1" outlineLevel="1">
      <c r="A614" s="83" t="s">
        <v>138</v>
      </c>
      <c r="B614" s="67">
        <v>1</v>
      </c>
      <c r="C614" s="67">
        <f ca="1">IF(magestuff!$C$202&lt;1,1,magestuff!$C$202)</f>
        <v>1</v>
      </c>
      <c r="D614" s="67">
        <f t="shared" si="94"/>
        <v>0</v>
      </c>
      <c r="E614" s="77">
        <f ca="1">IF(F614="y",HLOOKUP((IF(C614&lt;1,1,C614)),Magick!$C$20:$L$21,2),NA())</f>
        <v>10</v>
      </c>
      <c r="F614" s="67" t="str">
        <f ca="1">IF(C614&lt;=Magick!$D$3,"Y","N")</f>
        <v>Y</v>
      </c>
      <c r="G614" s="148" t="s">
        <v>1616</v>
      </c>
      <c r="H614" s="151"/>
      <c r="I614" s="77" t="e">
        <f>IF(H614&gt;0,(HLOOKUP(C614,Magick!$C$20:$L$21,2)-HLOOKUP(H614,Magick!$C$20:$L$21,2)),NA())</f>
        <v>#N/A</v>
      </c>
      <c r="J614" s="77"/>
      <c r="K614" s="67">
        <v>3</v>
      </c>
      <c r="L614" s="72" t="str">
        <f>IF(H614&gt;0,Magick!$AR$24-('Master Spell List'!H667*0.1),"N/A")</f>
        <v>N/A</v>
      </c>
      <c r="M614" s="72">
        <f ca="1">Magick!$H$74</f>
        <v>0.1</v>
      </c>
      <c r="N614" s="72">
        <f ca="1">Magick!$K$74</f>
        <v>0.2</v>
      </c>
      <c r="O614" s="72">
        <f ca="1">Magick!$L$74</f>
        <v>0.2</v>
      </c>
      <c r="P614" s="72">
        <f ca="1">Magick!$M$74</f>
        <v>0.2</v>
      </c>
      <c r="Q614" s="67" t="s">
        <v>4603</v>
      </c>
      <c r="R614" s="67">
        <f ca="1">IF(Q614="Ritual","N/A",IF(Q614="I.E.","N/A",IF(Q614="WOG",VLOOKUP(Magick!$I$74*100,magestuff!$B$134:$F$138,2),IF(Q614="Cantrip",VLOOKUP(Magick!$I$74*100,magestuff!$B$134:$F$138,3),IF(Q614="Hex",VLOOKUP(Magick!$I$74*100,magestuff!$B$134:$F$138,4),VLOOKUP(Magick!$I$74*100,magestuff!$B$134:$F$138,5))))))</f>
        <v>9</v>
      </c>
      <c r="S614" s="67" t="s">
        <v>1984</v>
      </c>
      <c r="T614" s="67" t="s">
        <v>5545</v>
      </c>
      <c r="U614" s="67" t="str">
        <f t="shared" si="95"/>
        <v xml:space="preserve"> </v>
      </c>
      <c r="V614" s="515"/>
      <c r="W614" s="125"/>
      <c r="X614" s="31">
        <f t="shared" si="96"/>
        <v>0</v>
      </c>
      <c r="Y614" s="509"/>
      <c r="Z614" s="1054" t="str">
        <f t="shared" si="87"/>
        <v>Affix Scent</v>
      </c>
      <c r="AA614" s="1072" t="str">
        <f t="shared" si="88"/>
        <v>Illusion</v>
      </c>
    </row>
    <row r="615" spans="1:27" hidden="1" outlineLevel="1">
      <c r="A615" s="31" t="s">
        <v>1262</v>
      </c>
      <c r="B615" s="67">
        <v>1</v>
      </c>
      <c r="C615" s="67">
        <f ca="1">IF(magestuff!$C$202&lt;1,1,magestuff!$C$202)</f>
        <v>1</v>
      </c>
      <c r="D615" s="67">
        <f t="shared" si="94"/>
        <v>0</v>
      </c>
      <c r="E615" s="77">
        <f ca="1">IF(F615="y",HLOOKUP((IF(C615&lt;1,1,C615)),Magick!$C$20:$L$21,2),NA())</f>
        <v>10</v>
      </c>
      <c r="F615" s="67" t="str">
        <f ca="1">IF(C615&lt;=Magick!$D$3,"Y","N")</f>
        <v>Y</v>
      </c>
      <c r="G615" s="148" t="s">
        <v>128</v>
      </c>
      <c r="H615" s="151"/>
      <c r="I615" s="77" t="e">
        <f>IF(H615&gt;0,(HLOOKUP(C615,Magick!$C$20:$L$21,2)-HLOOKUP(H615,Magick!$C$20:$L$21,2)),NA())</f>
        <v>#N/A</v>
      </c>
      <c r="J615" s="77"/>
      <c r="K615" s="67">
        <v>3</v>
      </c>
      <c r="L615" s="72" t="str">
        <f>IF(H615&gt;0,Magick!$AR$24-('Master Spell List'!H616*0.1),"N/A")</f>
        <v>N/A</v>
      </c>
      <c r="M615" s="72">
        <f ca="1">Magick!$H$74</f>
        <v>0.1</v>
      </c>
      <c r="N615" s="72">
        <f ca="1">Magick!$K$74</f>
        <v>0.2</v>
      </c>
      <c r="O615" s="72">
        <f ca="1">Magick!$L$74</f>
        <v>0.2</v>
      </c>
      <c r="P615" s="72">
        <f ca="1">Magick!$M$74</f>
        <v>0.2</v>
      </c>
      <c r="Q615" s="67" t="s">
        <v>4602</v>
      </c>
      <c r="R615" s="67">
        <f ca="1">IF(Q615="Ritual","N/A",IF(Q615="I.E.","N/A",IF(Q615="WOG",VLOOKUP(Magick!$I$74*100,magestuff!$B$134:$F$138,2),IF(Q615="Cantrip",VLOOKUP(Magick!$I$74*100,magestuff!$B$134:$F$138,3),IF(Q615="Hex",VLOOKUP(Magick!$I$74*100,magestuff!$B$134:$F$138,4),VLOOKUP(Magick!$I$74*100,magestuff!$B$134:$F$138,5))))))</f>
        <v>19</v>
      </c>
      <c r="U615" s="67" t="str">
        <f t="shared" si="95"/>
        <v xml:space="preserve"> </v>
      </c>
      <c r="V615" s="515"/>
      <c r="W615" s="125"/>
      <c r="X615" s="31">
        <f t="shared" si="96"/>
        <v>0</v>
      </c>
      <c r="Y615" s="509"/>
      <c r="Z615" s="1054" t="str">
        <f t="shared" si="87"/>
        <v>Blurred Image</v>
      </c>
      <c r="AA615" s="1072" t="str">
        <f t="shared" si="88"/>
        <v>Illusion</v>
      </c>
    </row>
    <row r="616" spans="1:27" hidden="1" outlineLevel="1">
      <c r="A616" s="83" t="s">
        <v>3541</v>
      </c>
      <c r="B616" s="67">
        <v>1</v>
      </c>
      <c r="C616" s="67">
        <f ca="1">IF(magestuff!$C$202&lt;1,1,magestuff!$C$202)</f>
        <v>1</v>
      </c>
      <c r="D616" s="67">
        <f t="shared" si="94"/>
        <v>0</v>
      </c>
      <c r="E616" s="77">
        <f ca="1">IF(F616="y",HLOOKUP((IF(C616&lt;1,1,C616)),Magick!$C$20:$L$21,2),NA())</f>
        <v>10</v>
      </c>
      <c r="F616" s="67" t="str">
        <f ca="1">IF(C616&lt;=Magick!$D$3,"Y","N")</f>
        <v>Y</v>
      </c>
      <c r="G616" s="148" t="s">
        <v>1616</v>
      </c>
      <c r="H616" s="151"/>
      <c r="I616" s="77" t="e">
        <f>IF(H616&gt;0,(HLOOKUP(C616,Magick!$C$20:$L$21,2)-HLOOKUP(H616,Magick!$C$20:$L$21,2)),NA())</f>
        <v>#N/A</v>
      </c>
      <c r="J616" s="77"/>
      <c r="K616" s="67">
        <v>3</v>
      </c>
      <c r="L616" s="72" t="str">
        <f>IF(H616&gt;0,Magick!$AR$24-('Master Spell List'!H639*0.1),"N/A")</f>
        <v>N/A</v>
      </c>
      <c r="M616" s="72">
        <f ca="1">Magick!$H$74</f>
        <v>0.1</v>
      </c>
      <c r="N616" s="72">
        <f ca="1">Magick!$K$74</f>
        <v>0.2</v>
      </c>
      <c r="O616" s="72">
        <f ca="1">Magick!$L$74</f>
        <v>0.2</v>
      </c>
      <c r="P616" s="72">
        <f ca="1">Magick!$M$74</f>
        <v>0.2</v>
      </c>
      <c r="Q616" s="67" t="s">
        <v>4603</v>
      </c>
      <c r="R616" s="67">
        <f ca="1">IF(Q616="Ritual","N/A",IF(Q616="I.E.","N/A",IF(Q616="WOG",VLOOKUP(Magick!$I$74*100,magestuff!$B$134:$F$138,2),IF(Q616="Cantrip",VLOOKUP(Magick!$I$74*100,magestuff!$B$134:$F$138,3),IF(Q616="Hex",VLOOKUP(Magick!$I$74*100,magestuff!$B$134:$F$138,4),VLOOKUP(Magick!$I$74*100,magestuff!$B$134:$F$138,5))))))</f>
        <v>9</v>
      </c>
      <c r="S616" s="67" t="s">
        <v>5545</v>
      </c>
      <c r="T616" s="67" t="s">
        <v>5545</v>
      </c>
      <c r="U616" s="67" t="str">
        <f t="shared" si="95"/>
        <v xml:space="preserve"> </v>
      </c>
      <c r="V616" s="515"/>
      <c r="W616" s="125"/>
      <c r="X616" s="31">
        <f t="shared" si="96"/>
        <v>0</v>
      </c>
      <c r="Y616" s="509"/>
      <c r="Z616" s="1054" t="str">
        <f t="shared" si="87"/>
        <v>Concentrate Light</v>
      </c>
      <c r="AA616" s="1072" t="str">
        <f t="shared" si="88"/>
        <v>Illusion</v>
      </c>
    </row>
    <row r="617" spans="1:27" hidden="1" outlineLevel="1">
      <c r="A617" s="83" t="s">
        <v>141</v>
      </c>
      <c r="B617" s="67">
        <v>1</v>
      </c>
      <c r="C617" s="67">
        <f ca="1">IF(magestuff!$C$202&lt;1,1,magestuff!$C$202)</f>
        <v>1</v>
      </c>
      <c r="D617" s="67">
        <f t="shared" si="94"/>
        <v>0</v>
      </c>
      <c r="E617" s="77">
        <f ca="1">IF(F617="y",HLOOKUP((IF(C617&lt;1,1,C617)),Magick!$C$20:$L$21,2),NA())</f>
        <v>10</v>
      </c>
      <c r="F617" s="67" t="str">
        <f ca="1">IF(C617&lt;=Magick!$D$3,"Y","N")</f>
        <v>Y</v>
      </c>
      <c r="G617" s="148" t="s">
        <v>1616</v>
      </c>
      <c r="H617" s="151"/>
      <c r="I617" s="77" t="e">
        <f>IF(H617&gt;0,(HLOOKUP(C617,Magick!$C$20:$L$21,2)-HLOOKUP(H617,Magick!$C$20:$L$21,2)),NA())</f>
        <v>#N/A</v>
      </c>
      <c r="J617" s="77"/>
      <c r="K617" s="67">
        <v>3</v>
      </c>
      <c r="L617" s="72" t="str">
        <f>IF(H617&gt;0,Magick!$AR$24-('Master Spell List'!H670*0.1),"N/A")</f>
        <v>N/A</v>
      </c>
      <c r="M617" s="72">
        <f ca="1">Magick!$H$74</f>
        <v>0.1</v>
      </c>
      <c r="N617" s="72">
        <f ca="1">Magick!$K$74</f>
        <v>0.2</v>
      </c>
      <c r="O617" s="72">
        <f ca="1">Magick!$L$74</f>
        <v>0.2</v>
      </c>
      <c r="P617" s="72">
        <f ca="1">Magick!$M$74</f>
        <v>0.2</v>
      </c>
      <c r="Q617" s="67" t="s">
        <v>4603</v>
      </c>
      <c r="R617" s="67">
        <f ca="1">IF(Q617="Ritual","N/A",IF(Q617="I.E.","N/A",IF(Q617="WOG",VLOOKUP(Magick!$I$74*100,magestuff!$B$134:$F$138,2),IF(Q617="Cantrip",VLOOKUP(Magick!$I$74*100,magestuff!$B$134:$F$138,3),IF(Q617="Hex",VLOOKUP(Magick!$I$74*100,magestuff!$B$134:$F$138,4),VLOOKUP(Magick!$I$74*100,magestuff!$B$134:$F$138,5))))))</f>
        <v>9</v>
      </c>
      <c r="S617" s="67" t="s">
        <v>5545</v>
      </c>
      <c r="T617" s="67" t="s">
        <v>5545</v>
      </c>
      <c r="U617" s="67" t="str">
        <f t="shared" si="95"/>
        <v xml:space="preserve"> </v>
      </c>
      <c r="V617" s="515"/>
      <c r="W617" s="125"/>
      <c r="X617" s="31">
        <f t="shared" si="96"/>
        <v>0</v>
      </c>
      <c r="Y617" s="509"/>
      <c r="Z617" s="1054" t="str">
        <f t="shared" si="87"/>
        <v>Concentrate Scent</v>
      </c>
      <c r="AA617" s="1072" t="str">
        <f t="shared" si="88"/>
        <v>Illusion</v>
      </c>
    </row>
    <row r="618" spans="1:27" hidden="1" outlineLevel="1">
      <c r="A618" s="83" t="s">
        <v>2930</v>
      </c>
      <c r="B618" s="67">
        <v>1</v>
      </c>
      <c r="C618" s="67">
        <f ca="1">IF(magestuff!$C$202&lt;1,1,magestuff!$C$202)</f>
        <v>1</v>
      </c>
      <c r="D618" s="67">
        <f t="shared" si="94"/>
        <v>0</v>
      </c>
      <c r="E618" s="77">
        <f ca="1">IF(F618="y",HLOOKUP((IF(C618&lt;1,1,C618)),Magick!$C$20:$L$21,2),NA())</f>
        <v>10</v>
      </c>
      <c r="F618" s="67" t="str">
        <f ca="1">IF(C618&lt;=Magick!$D$3,"Y","N")</f>
        <v>Y</v>
      </c>
      <c r="G618" s="148" t="s">
        <v>1616</v>
      </c>
      <c r="H618" s="151"/>
      <c r="I618" s="77" t="e">
        <f>IF(H618&gt;0,(HLOOKUP(C618,Magick!$C$20:$L$21,2)-HLOOKUP(H618,Magick!$C$20:$L$21,2)),NA())</f>
        <v>#N/A</v>
      </c>
      <c r="J618" s="77"/>
      <c r="K618" s="67">
        <v>2</v>
      </c>
      <c r="L618" s="72" t="str">
        <f>IF(H618&gt;0,Magick!$AR$24-('Master Spell List'!H683*0.1),"N/A")</f>
        <v>N/A</v>
      </c>
      <c r="M618" s="72">
        <f ca="1">Magick!$H$74</f>
        <v>0.1</v>
      </c>
      <c r="N618" s="72">
        <f ca="1">Magick!$K$74</f>
        <v>0.2</v>
      </c>
      <c r="O618" s="72">
        <f ca="1">Magick!$L$74</f>
        <v>0.2</v>
      </c>
      <c r="P618" s="72">
        <f ca="1">Magick!$M$74</f>
        <v>0.2</v>
      </c>
      <c r="Q618" s="67" t="s">
        <v>4603</v>
      </c>
      <c r="R618" s="67">
        <f ca="1">IF(Q618="Ritual","N/A",IF(Q618="I.E.","N/A",IF(Q618="WOG",VLOOKUP(Magick!$I$74*100,magestuff!$B$134:$F$138,2),IF(Q618="Cantrip",VLOOKUP(Magick!$I$74*100,magestuff!$B$134:$F$138,3),IF(Q618="Hex",VLOOKUP(Magick!$I$74*100,magestuff!$B$134:$F$138,4),VLOOKUP(Magick!$I$74*100,magestuff!$B$134:$F$138,5))))))</f>
        <v>9</v>
      </c>
      <c r="U618" s="67" t="str">
        <f t="shared" si="95"/>
        <v xml:space="preserve"> </v>
      </c>
      <c r="V618" s="515"/>
      <c r="W618" s="125"/>
      <c r="X618" s="31">
        <f t="shared" si="96"/>
        <v>0</v>
      </c>
      <c r="Y618" s="509"/>
      <c r="Z618" s="1054" t="str">
        <f t="shared" si="87"/>
        <v>Create Least Illusionary Contact</v>
      </c>
      <c r="AA618" s="1072" t="str">
        <f t="shared" si="88"/>
        <v>Illusion</v>
      </c>
    </row>
    <row r="619" spans="1:27" hidden="1" outlineLevel="1">
      <c r="A619" s="83" t="s">
        <v>3540</v>
      </c>
      <c r="B619" s="67">
        <v>1</v>
      </c>
      <c r="C619" s="67">
        <f ca="1">IF(magestuff!$C$202&lt;1,1,magestuff!$C$202)</f>
        <v>1</v>
      </c>
      <c r="D619" s="67">
        <f t="shared" si="94"/>
        <v>0</v>
      </c>
      <c r="E619" s="77">
        <f ca="1">IF(F619="y",HLOOKUP((IF(C619&lt;1,1,C619)),Magick!$C$20:$L$21,2),NA())</f>
        <v>10</v>
      </c>
      <c r="F619" s="67" t="str">
        <f ca="1">IF(C619&lt;=Magick!$D$3,"Y","N")</f>
        <v>Y</v>
      </c>
      <c r="G619" s="148" t="s">
        <v>1616</v>
      </c>
      <c r="H619" s="151"/>
      <c r="I619" s="77" t="e">
        <f>IF(H619&gt;0,(HLOOKUP(C619,Magick!$C$20:$L$21,2)-HLOOKUP(H619,Magick!$C$20:$L$21,2)),NA())</f>
        <v>#N/A</v>
      </c>
      <c r="J619" s="77"/>
      <c r="K619" s="67">
        <v>3</v>
      </c>
      <c r="L619" s="72" t="str">
        <f>IF(H619&gt;0,Magick!$AR$24-('Master Spell List'!H638*0.1),"N/A")</f>
        <v>N/A</v>
      </c>
      <c r="M619" s="72">
        <f ca="1">Magick!$H$74</f>
        <v>0.1</v>
      </c>
      <c r="N619" s="72">
        <f ca="1">Magick!$K$74</f>
        <v>0.2</v>
      </c>
      <c r="O619" s="72">
        <f ca="1">Magick!$L$74</f>
        <v>0.2</v>
      </c>
      <c r="P619" s="72">
        <f ca="1">Magick!$M$74</f>
        <v>0.2</v>
      </c>
      <c r="Q619" s="67" t="s">
        <v>4603</v>
      </c>
      <c r="R619" s="67">
        <f ca="1">IF(Q619="Ritual","N/A",IF(Q619="I.E.","N/A",IF(Q619="WOG",VLOOKUP(Magick!$I$74*100,magestuff!$B$134:$F$138,2),IF(Q619="Cantrip",VLOOKUP(Magick!$I$74*100,magestuff!$B$134:$F$138,3),IF(Q619="Hex",VLOOKUP(Magick!$I$74*100,magestuff!$B$134:$F$138,4),VLOOKUP(Magick!$I$74*100,magestuff!$B$134:$F$138,5))))))</f>
        <v>9</v>
      </c>
      <c r="U619" s="67" t="str">
        <f t="shared" si="95"/>
        <v xml:space="preserve"> </v>
      </c>
      <c r="V619" s="515"/>
      <c r="W619" s="125"/>
      <c r="X619" s="31">
        <f t="shared" si="96"/>
        <v>0</v>
      </c>
      <c r="Y619" s="509"/>
      <c r="Z619" s="1054" t="str">
        <f t="shared" si="87"/>
        <v>Create Light</v>
      </c>
      <c r="AA619" s="1072" t="str">
        <f t="shared" si="88"/>
        <v>Illusion</v>
      </c>
    </row>
    <row r="620" spans="1:27" hidden="1" outlineLevel="1">
      <c r="A620" s="83" t="s">
        <v>136</v>
      </c>
      <c r="B620" s="67">
        <v>1</v>
      </c>
      <c r="C620" s="67">
        <f ca="1">IF(magestuff!$C$202&lt;1,1,magestuff!$C$202)</f>
        <v>1</v>
      </c>
      <c r="D620" s="67">
        <f t="shared" si="94"/>
        <v>0</v>
      </c>
      <c r="E620" s="77">
        <f ca="1">IF(F620="y",HLOOKUP((IF(C620&lt;1,1,C620)),Magick!$C$20:$L$21,2),NA())</f>
        <v>10</v>
      </c>
      <c r="F620" s="67" t="str">
        <f ca="1">IF(C620&lt;=Magick!$D$3,"Y","N")</f>
        <v>Y</v>
      </c>
      <c r="G620" s="148" t="s">
        <v>1616</v>
      </c>
      <c r="H620" s="151"/>
      <c r="I620" s="77" t="e">
        <f>IF(H620&gt;0,(HLOOKUP(C620,Magick!$C$20:$L$21,2)-HLOOKUP(H620,Magick!$C$20:$L$21,2)),NA())</f>
        <v>#N/A</v>
      </c>
      <c r="J620" s="77"/>
      <c r="K620" s="67">
        <v>3</v>
      </c>
      <c r="L620" s="72" t="str">
        <f>IF(H620&gt;0,Magick!$AR$24-('Master Spell List'!H665*0.1),"N/A")</f>
        <v>N/A</v>
      </c>
      <c r="M620" s="72">
        <f ca="1">Magick!$H$74</f>
        <v>0.1</v>
      </c>
      <c r="N620" s="72">
        <f ca="1">Magick!$K$74</f>
        <v>0.2</v>
      </c>
      <c r="O620" s="72">
        <f ca="1">Magick!$L$74</f>
        <v>0.2</v>
      </c>
      <c r="P620" s="72">
        <f ca="1">Magick!$M$74</f>
        <v>0.2</v>
      </c>
      <c r="Q620" s="67" t="s">
        <v>4603</v>
      </c>
      <c r="R620" s="67">
        <f ca="1">IF(Q620="Ritual","N/A",IF(Q620="I.E.","N/A",IF(Q620="WOG",VLOOKUP(Magick!$I$74*100,magestuff!$B$134:$F$138,2),IF(Q620="Cantrip",VLOOKUP(Magick!$I$74*100,magestuff!$B$134:$F$138,3),IF(Q620="Hex",VLOOKUP(Magick!$I$74*100,magestuff!$B$134:$F$138,4),VLOOKUP(Magick!$I$74*100,magestuff!$B$134:$F$138,5))))))</f>
        <v>9</v>
      </c>
      <c r="U620" s="67" t="str">
        <f t="shared" si="95"/>
        <v xml:space="preserve"> </v>
      </c>
      <c r="V620" s="515"/>
      <c r="W620" s="125"/>
      <c r="X620" s="31">
        <f t="shared" si="96"/>
        <v>0</v>
      </c>
      <c r="Y620" s="509"/>
      <c r="Z620" s="1054" t="str">
        <f t="shared" si="87"/>
        <v>Create Scent</v>
      </c>
      <c r="AA620" s="1072" t="str">
        <f t="shared" si="88"/>
        <v>Illusion</v>
      </c>
    </row>
    <row r="621" spans="1:27" hidden="1" outlineLevel="1">
      <c r="A621" s="83" t="s">
        <v>122</v>
      </c>
      <c r="B621" s="67">
        <v>1</v>
      </c>
      <c r="C621" s="67">
        <f ca="1">IF(magestuff!$C$202&lt;1,1,magestuff!$C$202)</f>
        <v>1</v>
      </c>
      <c r="D621" s="67">
        <f t="shared" si="94"/>
        <v>0</v>
      </c>
      <c r="E621" s="77">
        <f ca="1">IF(F621="y",HLOOKUP((IF(C621&lt;1,1,C621)),Magick!$C$20:$L$21,2),NA())</f>
        <v>10</v>
      </c>
      <c r="F621" s="67" t="str">
        <f ca="1">IF(C621&lt;=Magick!$D$3,"Y","N")</f>
        <v>Y</v>
      </c>
      <c r="G621" s="148" t="s">
        <v>1616</v>
      </c>
      <c r="H621" s="151"/>
      <c r="I621" s="77" t="e">
        <f>IF(H621&gt;0,(HLOOKUP(C621,Magick!$C$20:$L$21,2)-HLOOKUP(H621,Magick!$C$20:$L$21,2)),NA())</f>
        <v>#N/A</v>
      </c>
      <c r="J621" s="77"/>
      <c r="K621" s="67">
        <v>4</v>
      </c>
      <c r="L621" s="72" t="str">
        <f>IF(H621&gt;0,Magick!$AR$24-('Master Spell List'!H656*0.1),"N/A")</f>
        <v>N/A</v>
      </c>
      <c r="M621" s="72">
        <f ca="1">Magick!$H$74</f>
        <v>0.1</v>
      </c>
      <c r="N621" s="72">
        <f ca="1">Magick!$K$74</f>
        <v>0.2</v>
      </c>
      <c r="O621" s="72">
        <f ca="1">Magick!$L$74</f>
        <v>0.2</v>
      </c>
      <c r="P621" s="72">
        <f ca="1">Magick!$M$74</f>
        <v>0.2</v>
      </c>
      <c r="Q621" s="67" t="s">
        <v>4603</v>
      </c>
      <c r="R621" s="67">
        <f ca="1">IF(Q621="Ritual","N/A",IF(Q621="I.E.","N/A",IF(Q621="WOG",VLOOKUP(Magick!$I$74*100,magestuff!$B$134:$F$138,2),IF(Q621="Cantrip",VLOOKUP(Magick!$I$74*100,magestuff!$B$134:$F$138,3),IF(Q621="Hex",VLOOKUP(Magick!$I$74*100,magestuff!$B$134:$F$138,4),VLOOKUP(Magick!$I$74*100,magestuff!$B$134:$F$138,5))))))</f>
        <v>9</v>
      </c>
      <c r="U621" s="67" t="str">
        <f t="shared" si="95"/>
        <v xml:space="preserve"> </v>
      </c>
      <c r="V621" s="515"/>
      <c r="W621" s="125"/>
      <c r="X621" s="31">
        <f t="shared" si="96"/>
        <v>0</v>
      </c>
      <c r="Y621" s="509"/>
      <c r="Z621" s="1054" t="str">
        <f t="shared" si="87"/>
        <v>Create Sound</v>
      </c>
      <c r="AA621" s="1072" t="str">
        <f t="shared" si="88"/>
        <v>Illusion</v>
      </c>
    </row>
    <row r="622" spans="1:27" hidden="1" outlineLevel="1">
      <c r="A622" s="83" t="s">
        <v>499</v>
      </c>
      <c r="B622" s="67">
        <v>1</v>
      </c>
      <c r="C622" s="67">
        <f ca="1">IF(magestuff!$C$202&lt;1,1,magestuff!$C$202)</f>
        <v>1</v>
      </c>
      <c r="D622" s="67">
        <f t="shared" si="94"/>
        <v>0</v>
      </c>
      <c r="E622" s="77">
        <f ca="1">IF(F622="y",HLOOKUP((IF(C622&lt;1,1,C622)),Magick!$C$20:$L$21,2),NA())</f>
        <v>10</v>
      </c>
      <c r="F622" s="67" t="str">
        <f ca="1">IF(C622&lt;=Magick!$D$3,"Y","N")</f>
        <v>Y</v>
      </c>
      <c r="G622" s="148" t="s">
        <v>1616</v>
      </c>
      <c r="H622" s="151"/>
      <c r="I622" s="77" t="e">
        <f>IF(H622&gt;0,(HLOOKUP(C622,Magick!$C$20:$L$21,2)-HLOOKUP(H622,Magick!$C$20:$L$21,2)),NA())</f>
        <v>#N/A</v>
      </c>
      <c r="J622" s="77"/>
      <c r="K622" s="67">
        <v>3</v>
      </c>
      <c r="L622" s="72" t="str">
        <f>IF(H622&gt;0,Magick!$AR$24-('Master Spell List'!H677*0.1),"N/A")</f>
        <v>N/A</v>
      </c>
      <c r="M622" s="72">
        <f ca="1">Magick!$H$74</f>
        <v>0.1</v>
      </c>
      <c r="N622" s="72">
        <f ca="1">Magick!$K$74</f>
        <v>0.2</v>
      </c>
      <c r="O622" s="72">
        <f ca="1">Magick!$L$74</f>
        <v>0.2</v>
      </c>
      <c r="P622" s="72">
        <f ca="1">Magick!$M$74</f>
        <v>0.2</v>
      </c>
      <c r="Q622" s="67" t="s">
        <v>4603</v>
      </c>
      <c r="R622" s="67">
        <f ca="1">IF(Q622="Ritual","N/A",IF(Q622="I.E.","N/A",IF(Q622="WOG",VLOOKUP(Magick!$I$74*100,magestuff!$B$134:$F$138,2),IF(Q622="Cantrip",VLOOKUP(Magick!$I$74*100,magestuff!$B$134:$F$138,3),IF(Q622="Hex",VLOOKUP(Magick!$I$74*100,magestuff!$B$134:$F$138,4),VLOOKUP(Magick!$I$74*100,magestuff!$B$134:$F$138,5))))))</f>
        <v>9</v>
      </c>
      <c r="S622" s="67" t="s">
        <v>1984</v>
      </c>
      <c r="T622" s="67" t="s">
        <v>5545</v>
      </c>
      <c r="U622" s="67" t="str">
        <f t="shared" si="95"/>
        <v xml:space="preserve"> </v>
      </c>
      <c r="V622" s="515"/>
      <c r="W622" s="125"/>
      <c r="X622" s="31">
        <f t="shared" si="96"/>
        <v>0</v>
      </c>
      <c r="Y622" s="509"/>
      <c r="Z622" s="1054" t="str">
        <f t="shared" si="87"/>
        <v>Detach Illusionary Contact</v>
      </c>
      <c r="AA622" s="1072" t="str">
        <f t="shared" si="88"/>
        <v>Illusion</v>
      </c>
    </row>
    <row r="623" spans="1:27" hidden="1" outlineLevel="1">
      <c r="A623" s="83" t="s">
        <v>3136</v>
      </c>
      <c r="B623" s="67">
        <v>1</v>
      </c>
      <c r="C623" s="67">
        <f ca="1">IF(magestuff!$C$202&lt;1,1,magestuff!$C$202)</f>
        <v>1</v>
      </c>
      <c r="D623" s="67">
        <f t="shared" si="94"/>
        <v>0</v>
      </c>
      <c r="E623" s="77">
        <f ca="1">IF(F623="y",HLOOKUP((IF(C623&lt;1,1,C623)),Magick!$C$20:$L$21,2),NA())</f>
        <v>10</v>
      </c>
      <c r="F623" s="67" t="str">
        <f ca="1">IF(C623&lt;=Magick!$D$3,"Y","N")</f>
        <v>Y</v>
      </c>
      <c r="G623" s="148" t="s">
        <v>1616</v>
      </c>
      <c r="H623" s="151"/>
      <c r="I623" s="77" t="e">
        <f>IF(H623&gt;0,(HLOOKUP(C623,Magick!$C$20:$L$21,2)-HLOOKUP(H623,Magick!$C$20:$L$21,2)),NA())</f>
        <v>#N/A</v>
      </c>
      <c r="J623" s="77"/>
      <c r="K623" s="67">
        <v>3</v>
      </c>
      <c r="L623" s="72" t="str">
        <f>IF(H623&gt;0,Magick!$AR$24-('Master Spell List'!H646*0.1),"N/A")</f>
        <v>N/A</v>
      </c>
      <c r="M623" s="72">
        <f ca="1">Magick!$H$74</f>
        <v>0.1</v>
      </c>
      <c r="N623" s="72">
        <f ca="1">Magick!$K$74</f>
        <v>0.2</v>
      </c>
      <c r="O623" s="72">
        <f ca="1">Magick!$L$74</f>
        <v>0.2</v>
      </c>
      <c r="P623" s="72">
        <f ca="1">Magick!$M$74</f>
        <v>0.2</v>
      </c>
      <c r="Q623" s="67" t="s">
        <v>4603</v>
      </c>
      <c r="R623" s="67">
        <f ca="1">IF(Q623="Ritual","N/A",IF(Q623="I.E.","N/A",IF(Q623="WOG",VLOOKUP(Magick!$I$74*100,magestuff!$B$134:$F$138,2),IF(Q623="Cantrip",VLOOKUP(Magick!$I$74*100,magestuff!$B$134:$F$138,3),IF(Q623="Hex",VLOOKUP(Magick!$I$74*100,magestuff!$B$134:$F$138,4),VLOOKUP(Magick!$I$74*100,magestuff!$B$134:$F$138,5))))))</f>
        <v>9</v>
      </c>
      <c r="S623" s="67" t="s">
        <v>1984</v>
      </c>
      <c r="T623" s="67" t="s">
        <v>5545</v>
      </c>
      <c r="U623" s="67" t="str">
        <f t="shared" si="95"/>
        <v xml:space="preserve"> </v>
      </c>
      <c r="V623" s="515"/>
      <c r="W623" s="125"/>
      <c r="X623" s="31">
        <f t="shared" si="96"/>
        <v>0</v>
      </c>
      <c r="Y623" s="509"/>
      <c r="Z623" s="1054" t="str">
        <f t="shared" si="87"/>
        <v>Detach Light</v>
      </c>
      <c r="AA623" s="1072" t="str">
        <f t="shared" si="88"/>
        <v>Illusion</v>
      </c>
    </row>
    <row r="624" spans="1:27" hidden="1" outlineLevel="1">
      <c r="A624" s="83" t="s">
        <v>137</v>
      </c>
      <c r="B624" s="67">
        <v>1</v>
      </c>
      <c r="C624" s="67">
        <f ca="1">IF(magestuff!$C$202&lt;1,1,magestuff!$C$202)</f>
        <v>1</v>
      </c>
      <c r="D624" s="67">
        <f t="shared" si="94"/>
        <v>0</v>
      </c>
      <c r="E624" s="77">
        <f ca="1">IF(F624="y",HLOOKUP((IF(C624&lt;1,1,C624)),Magick!$C$20:$L$21,2),NA())</f>
        <v>10</v>
      </c>
      <c r="F624" s="67" t="str">
        <f ca="1">IF(C624&lt;=Magick!$D$3,"Y","N")</f>
        <v>Y</v>
      </c>
      <c r="G624" s="148" t="s">
        <v>1616</v>
      </c>
      <c r="H624" s="151"/>
      <c r="I624" s="77" t="e">
        <f>IF(H624&gt;0,(HLOOKUP(C624,Magick!$C$20:$L$21,2)-HLOOKUP(H624,Magick!$C$20:$L$21,2)),NA())</f>
        <v>#N/A</v>
      </c>
      <c r="J624" s="77"/>
      <c r="K624" s="67">
        <v>3</v>
      </c>
      <c r="L624" s="72" t="str">
        <f>IF(H624&gt;0,Magick!$AR$24-('Master Spell List'!H666*0.1),"N/A")</f>
        <v>N/A</v>
      </c>
      <c r="M624" s="72">
        <f ca="1">Magick!$H$74</f>
        <v>0.1</v>
      </c>
      <c r="N624" s="72">
        <f ca="1">Magick!$K$74</f>
        <v>0.2</v>
      </c>
      <c r="O624" s="72">
        <f ca="1">Magick!$L$74</f>
        <v>0.2</v>
      </c>
      <c r="P624" s="72">
        <f ca="1">Magick!$M$74</f>
        <v>0.2</v>
      </c>
      <c r="Q624" s="67" t="s">
        <v>4603</v>
      </c>
      <c r="R624" s="67">
        <f ca="1">IF(Q624="Ritual","N/A",IF(Q624="I.E.","N/A",IF(Q624="WOG",VLOOKUP(Magick!$I$74*100,magestuff!$B$134:$F$138,2),IF(Q624="Cantrip",VLOOKUP(Magick!$I$74*100,magestuff!$B$134:$F$138,3),IF(Q624="Hex",VLOOKUP(Magick!$I$74*100,magestuff!$B$134:$F$138,4),VLOOKUP(Magick!$I$74*100,magestuff!$B$134:$F$138,5))))))</f>
        <v>9</v>
      </c>
      <c r="S624" s="67" t="s">
        <v>1984</v>
      </c>
      <c r="T624" s="67" t="s">
        <v>5545</v>
      </c>
      <c r="U624" s="67" t="str">
        <f t="shared" si="95"/>
        <v xml:space="preserve"> </v>
      </c>
      <c r="V624" s="515"/>
      <c r="W624" s="125"/>
      <c r="X624" s="31">
        <f t="shared" si="96"/>
        <v>0</v>
      </c>
      <c r="Y624" s="509"/>
      <c r="Z624" s="1054" t="str">
        <f t="shared" si="87"/>
        <v>Detach Scent</v>
      </c>
      <c r="AA624" s="1072" t="str">
        <f t="shared" si="88"/>
        <v>Illusion</v>
      </c>
    </row>
    <row r="625" spans="1:27" hidden="1" outlineLevel="1">
      <c r="A625" s="31" t="s">
        <v>619</v>
      </c>
      <c r="B625" s="67">
        <v>1</v>
      </c>
      <c r="C625" s="67">
        <f ca="1">IF(magestuff!$C$202&lt;1,1,magestuff!$C$202)</f>
        <v>1</v>
      </c>
      <c r="D625" s="67">
        <f t="shared" si="94"/>
        <v>0</v>
      </c>
      <c r="E625" s="77">
        <f ca="1">IF(F625="y",HLOOKUP((IF(C625&lt;1,1,C625)),Magick!$C$20:$L$21,2),NA())</f>
        <v>10</v>
      </c>
      <c r="F625" s="67" t="str">
        <f ca="1">IF(C625&lt;=Magick!$D$3,"Y","N")</f>
        <v>Y</v>
      </c>
      <c r="G625" s="148" t="s">
        <v>128</v>
      </c>
      <c r="H625" s="151"/>
      <c r="I625" s="77" t="e">
        <f>IF(H625&gt;0,(HLOOKUP(C625,Magick!$C$20:$L$21,2)-HLOOKUP(H625,Magick!$C$20:$L$21,2)),NA())</f>
        <v>#N/A</v>
      </c>
      <c r="J625" s="77"/>
      <c r="K625" s="67">
        <v>3</v>
      </c>
      <c r="L625" s="72" t="str">
        <f>IF(H625&gt;0,Magick!$AR$24-('Master Spell List'!H609*0.1),"N/A")</f>
        <v>N/A</v>
      </c>
      <c r="M625" s="72">
        <f ca="1">Magick!$H$74</f>
        <v>0.1</v>
      </c>
      <c r="N625" s="72">
        <f ca="1">Magick!$K$74</f>
        <v>0.2</v>
      </c>
      <c r="O625" s="72">
        <f ca="1">Magick!$L$74</f>
        <v>0.2</v>
      </c>
      <c r="P625" s="72">
        <f ca="1">Magick!$M$74</f>
        <v>0.2</v>
      </c>
      <c r="Q625" s="67" t="s">
        <v>4603</v>
      </c>
      <c r="R625" s="67">
        <f ca="1">IF(Q625="Ritual","N/A",IF(Q625="I.E.","N/A",IF(Q625="WOG",VLOOKUP(Magick!$I$74*100,magestuff!$B$134:$F$138,2),IF(Q625="Cantrip",VLOOKUP(Magick!$I$74*100,magestuff!$B$134:$F$138,3),IF(Q625="Hex",VLOOKUP(Magick!$I$74*100,magestuff!$B$134:$F$138,4),VLOOKUP(Magick!$I$74*100,magestuff!$B$134:$F$138,5))))))</f>
        <v>9</v>
      </c>
      <c r="U625" s="67" t="str">
        <f t="shared" si="95"/>
        <v xml:space="preserve"> </v>
      </c>
      <c r="V625" s="515"/>
      <c r="W625" s="125"/>
      <c r="X625" s="31">
        <f t="shared" si="96"/>
        <v>0</v>
      </c>
      <c r="Y625" s="509"/>
      <c r="Z625" s="1054" t="str">
        <f t="shared" si="87"/>
        <v>Detect Illusion</v>
      </c>
      <c r="AA625" s="1072" t="str">
        <f t="shared" si="88"/>
        <v>Illusion</v>
      </c>
    </row>
    <row r="626" spans="1:27" hidden="1" outlineLevel="1">
      <c r="A626" s="83" t="s">
        <v>504</v>
      </c>
      <c r="B626" s="67">
        <v>1</v>
      </c>
      <c r="C626" s="67">
        <f ca="1">IF(magestuff!$C$202&lt;1,1,magestuff!$C$202)</f>
        <v>1</v>
      </c>
      <c r="D626" s="67">
        <f t="shared" si="94"/>
        <v>0</v>
      </c>
      <c r="E626" s="77">
        <f ca="1">IF(F626="y",HLOOKUP((IF(C626&lt;1,1,C626)),Magick!$C$20:$L$21,2),NA())</f>
        <v>10</v>
      </c>
      <c r="F626" s="67" t="str">
        <f ca="1">IF(C626&lt;=Magick!$D$3,"Y","N")</f>
        <v>Y</v>
      </c>
      <c r="G626" s="148" t="s">
        <v>1616</v>
      </c>
      <c r="H626" s="151"/>
      <c r="I626" s="77" t="e">
        <f>IF(H626&gt;0,(HLOOKUP(C626,Magick!$C$20:$L$21,2)-HLOOKUP(H626,Magick!$C$20:$L$21,2)),NA())</f>
        <v>#N/A</v>
      </c>
      <c r="J626" s="77"/>
      <c r="K626" s="67">
        <v>3</v>
      </c>
      <c r="L626" s="72" t="str">
        <f>IF(H626&gt;0,Magick!$AR$24-('Master Spell List'!H682*0.1),"N/A")</f>
        <v>N/A</v>
      </c>
      <c r="M626" s="72">
        <f ca="1">Magick!$H$74</f>
        <v>0.1</v>
      </c>
      <c r="N626" s="72">
        <f ca="1">Magick!$K$74</f>
        <v>0.2</v>
      </c>
      <c r="O626" s="72">
        <f ca="1">Magick!$L$74</f>
        <v>0.2</v>
      </c>
      <c r="P626" s="72">
        <f ca="1">Magick!$M$74</f>
        <v>0.2</v>
      </c>
      <c r="Q626" s="67" t="s">
        <v>4603</v>
      </c>
      <c r="R626" s="67">
        <f ca="1">IF(Q626="Ritual","N/A",IF(Q626="I.E.","N/A",IF(Q626="WOG",VLOOKUP(Magick!$I$74*100,magestuff!$B$134:$F$138,2),IF(Q626="Cantrip",VLOOKUP(Magick!$I$74*100,magestuff!$B$134:$F$138,3),IF(Q626="Hex",VLOOKUP(Magick!$I$74*100,magestuff!$B$134:$F$138,4),VLOOKUP(Magick!$I$74*100,magestuff!$B$134:$F$138,5))))))</f>
        <v>9</v>
      </c>
      <c r="S626" s="67" t="s">
        <v>5545</v>
      </c>
      <c r="T626" s="67" t="s">
        <v>5545</v>
      </c>
      <c r="U626" s="67" t="str">
        <f t="shared" si="95"/>
        <v xml:space="preserve"> </v>
      </c>
      <c r="V626" s="515"/>
      <c r="W626" s="125"/>
      <c r="X626" s="31">
        <f t="shared" si="96"/>
        <v>0</v>
      </c>
      <c r="Y626" s="509"/>
      <c r="Z626" s="1054" t="str">
        <f t="shared" si="87"/>
        <v>Diffuse Illusionary Contact</v>
      </c>
      <c r="AA626" s="1072" t="str">
        <f t="shared" si="88"/>
        <v>Illusion</v>
      </c>
    </row>
    <row r="627" spans="1:27" hidden="1" outlineLevel="1">
      <c r="A627" s="83" t="s">
        <v>2863</v>
      </c>
      <c r="B627" s="67">
        <v>1</v>
      </c>
      <c r="C627" s="67">
        <f ca="1">IF(magestuff!$C$202&lt;1,1,magestuff!$C$202)</f>
        <v>1</v>
      </c>
      <c r="D627" s="67">
        <f t="shared" si="94"/>
        <v>0</v>
      </c>
      <c r="E627" s="77">
        <f ca="1">IF(F627="y",HLOOKUP((IF(C627&lt;1,1,C627)),Magick!$C$20:$L$21,2),NA())</f>
        <v>10</v>
      </c>
      <c r="F627" s="67" t="str">
        <f ca="1">IF(C627&lt;=Magick!$D$3,"Y","N")</f>
        <v>Y</v>
      </c>
      <c r="G627" s="148" t="s">
        <v>1616</v>
      </c>
      <c r="H627" s="151"/>
      <c r="I627" s="77" t="e">
        <f>IF(H627&gt;0,(HLOOKUP(C627,Magick!$C$20:$L$21,2)-HLOOKUP(H627,Magick!$C$20:$L$21,2)),NA())</f>
        <v>#N/A</v>
      </c>
      <c r="J627" s="77"/>
      <c r="K627" s="67">
        <v>3</v>
      </c>
      <c r="L627" s="72" t="str">
        <f>IF(H627&gt;0,Magick!$AR$24-('Master Spell List'!H652*0.1),"N/A")</f>
        <v>N/A</v>
      </c>
      <c r="M627" s="72">
        <f ca="1">Magick!$H$74</f>
        <v>0.1</v>
      </c>
      <c r="N627" s="72">
        <f ca="1">Magick!$K$74</f>
        <v>0.2</v>
      </c>
      <c r="O627" s="72">
        <f ca="1">Magick!$L$74</f>
        <v>0.2</v>
      </c>
      <c r="P627" s="72">
        <f ca="1">Magick!$M$74</f>
        <v>0.2</v>
      </c>
      <c r="Q627" s="67" t="s">
        <v>4603</v>
      </c>
      <c r="R627" s="67">
        <f ca="1">IF(Q627="Ritual","N/A",IF(Q627="I.E.","N/A",IF(Q627="WOG",VLOOKUP(Magick!$I$74*100,magestuff!$B$134:$F$138,2),IF(Q627="Cantrip",VLOOKUP(Magick!$I$74*100,magestuff!$B$134:$F$138,3),IF(Q627="Hex",VLOOKUP(Magick!$I$74*100,magestuff!$B$134:$F$138,4),VLOOKUP(Magick!$I$74*100,magestuff!$B$134:$F$138,5))))))</f>
        <v>9</v>
      </c>
      <c r="S627" s="67" t="s">
        <v>5545</v>
      </c>
      <c r="T627" s="67" t="s">
        <v>5545</v>
      </c>
      <c r="U627" s="67" t="str">
        <f t="shared" si="95"/>
        <v xml:space="preserve"> </v>
      </c>
      <c r="V627" s="515"/>
      <c r="W627" s="125"/>
      <c r="X627" s="31">
        <f t="shared" si="96"/>
        <v>0</v>
      </c>
      <c r="Y627" s="509"/>
      <c r="Z627" s="1054" t="str">
        <f t="shared" si="87"/>
        <v>Diffuse Light</v>
      </c>
      <c r="AA627" s="1072" t="str">
        <f t="shared" si="88"/>
        <v>Illusion</v>
      </c>
    </row>
    <row r="628" spans="1:27" hidden="1" outlineLevel="1">
      <c r="A628" s="83" t="s">
        <v>142</v>
      </c>
      <c r="B628" s="67">
        <v>1</v>
      </c>
      <c r="C628" s="67">
        <f ca="1">IF(magestuff!$C$202&lt;1,1,magestuff!$C$202)</f>
        <v>1</v>
      </c>
      <c r="D628" s="67">
        <f t="shared" si="94"/>
        <v>0</v>
      </c>
      <c r="E628" s="77">
        <f ca="1">IF(F628="y",HLOOKUP((IF(C628&lt;1,1,C628)),Magick!$C$20:$L$21,2),NA())</f>
        <v>10</v>
      </c>
      <c r="F628" s="67" t="str">
        <f ca="1">IF(C628&lt;=Magick!$D$3,"Y","N")</f>
        <v>Y</v>
      </c>
      <c r="G628" s="148" t="s">
        <v>1616</v>
      </c>
      <c r="H628" s="151"/>
      <c r="I628" s="77" t="e">
        <f>IF(H628&gt;0,(HLOOKUP(C628,Magick!$C$20:$L$21,2)-HLOOKUP(H628,Magick!$C$20:$L$21,2)),NA())</f>
        <v>#N/A</v>
      </c>
      <c r="J628" s="77"/>
      <c r="K628" s="67">
        <v>3</v>
      </c>
      <c r="L628" s="72" t="str">
        <f>IF(H628&gt;0,Magick!$AR$24-('Master Spell List'!H672*0.1),"N/A")</f>
        <v>N/A</v>
      </c>
      <c r="M628" s="72">
        <f ca="1">Magick!$H$74</f>
        <v>0.1</v>
      </c>
      <c r="N628" s="72">
        <f ca="1">Magick!$K$74</f>
        <v>0.2</v>
      </c>
      <c r="O628" s="72">
        <f ca="1">Magick!$L$74</f>
        <v>0.2</v>
      </c>
      <c r="P628" s="72">
        <f ca="1">Magick!$M$74</f>
        <v>0.2</v>
      </c>
      <c r="Q628" s="67" t="s">
        <v>4603</v>
      </c>
      <c r="R628" s="67">
        <f ca="1">IF(Q628="Ritual","N/A",IF(Q628="I.E.","N/A",IF(Q628="WOG",VLOOKUP(Magick!$I$74*100,magestuff!$B$134:$F$138,2),IF(Q628="Cantrip",VLOOKUP(Magick!$I$74*100,magestuff!$B$134:$F$138,3),IF(Q628="Hex",VLOOKUP(Magick!$I$74*100,magestuff!$B$134:$F$138,4),VLOOKUP(Magick!$I$74*100,magestuff!$B$134:$F$138,5))))))</f>
        <v>9</v>
      </c>
      <c r="S628" s="67" t="s">
        <v>5545</v>
      </c>
      <c r="T628" s="67" t="s">
        <v>5545</v>
      </c>
      <c r="U628" s="67" t="str">
        <f t="shared" si="95"/>
        <v xml:space="preserve"> </v>
      </c>
      <c r="V628" s="515"/>
      <c r="W628" s="125"/>
      <c r="X628" s="31">
        <f t="shared" si="96"/>
        <v>0</v>
      </c>
      <c r="Y628" s="509"/>
      <c r="Z628" s="1054" t="str">
        <f t="shared" si="87"/>
        <v>Diffuse Scent</v>
      </c>
      <c r="AA628" s="1072" t="str">
        <f t="shared" si="88"/>
        <v>Illusion</v>
      </c>
    </row>
    <row r="629" spans="1:27" hidden="1" outlineLevel="1">
      <c r="A629" s="31" t="s">
        <v>4178</v>
      </c>
      <c r="B629" s="67">
        <v>1</v>
      </c>
      <c r="C629" s="67">
        <f ca="1">IF(magestuff!$C$202&lt;1,1,magestuff!$C$202)</f>
        <v>1</v>
      </c>
      <c r="D629" s="67">
        <f t="shared" si="94"/>
        <v>0</v>
      </c>
      <c r="E629" s="77">
        <f ca="1">IF(F629="y",HLOOKUP((IF(C629&lt;1,1,C629)),Magick!$C$20:$L$21,2),NA())</f>
        <v>10</v>
      </c>
      <c r="F629" s="67" t="str">
        <f ca="1">IF(C629&lt;=Magick!$D$3,"Y","N")</f>
        <v>Y</v>
      </c>
      <c r="G629" s="148" t="s">
        <v>128</v>
      </c>
      <c r="H629" s="151"/>
      <c r="I629" s="77" t="e">
        <f>IF(H629&gt;0,(HLOOKUP(C629,Magick!$C$20:$L$21,2)-HLOOKUP(H629,Magick!$C$20:$L$21,2)),NA())</f>
        <v>#N/A</v>
      </c>
      <c r="J629" s="77"/>
      <c r="K629" s="67">
        <v>3</v>
      </c>
      <c r="L629" s="72" t="str">
        <f>IF(H629&gt;0,Magick!$AR$24-('Master Spell List'!H610*0.1),"N/A")</f>
        <v>N/A</v>
      </c>
      <c r="M629" s="72">
        <f ca="1">Magick!$H$74</f>
        <v>0.1</v>
      </c>
      <c r="N629" s="72">
        <f ca="1">Magick!$K$74</f>
        <v>0.2</v>
      </c>
      <c r="O629" s="72">
        <f ca="1">Magick!$L$74</f>
        <v>0.2</v>
      </c>
      <c r="P629" s="72">
        <f ca="1">Magick!$M$74</f>
        <v>0.2</v>
      </c>
      <c r="Q629" s="67" t="s">
        <v>4603</v>
      </c>
      <c r="R629" s="67">
        <f ca="1">IF(Q629="Ritual","N/A",IF(Q629="I.E.","N/A",IF(Q629="WOG",VLOOKUP(Magick!$I$74*100,magestuff!$B$134:$F$138,2),IF(Q629="Cantrip",VLOOKUP(Magick!$I$74*100,magestuff!$B$134:$F$138,3),IF(Q629="Hex",VLOOKUP(Magick!$I$74*100,magestuff!$B$134:$F$138,4),VLOOKUP(Magick!$I$74*100,magestuff!$B$134:$F$138,5))))))</f>
        <v>9</v>
      </c>
      <c r="U629" s="67" t="str">
        <f t="shared" si="95"/>
        <v xml:space="preserve"> </v>
      </c>
      <c r="V629" s="515"/>
      <c r="W629" s="125"/>
      <c r="X629" s="31">
        <f t="shared" si="96"/>
        <v>0</v>
      </c>
      <c r="Y629" s="509"/>
      <c r="Z629" s="1054" t="str">
        <f t="shared" si="87"/>
        <v>Dispel Illusion I</v>
      </c>
      <c r="AA629" s="1072" t="str">
        <f t="shared" si="88"/>
        <v>Illusion</v>
      </c>
    </row>
    <row r="630" spans="1:27" hidden="1" outlineLevel="1">
      <c r="A630" s="31" t="s">
        <v>4179</v>
      </c>
      <c r="B630" s="67">
        <v>1</v>
      </c>
      <c r="C630" s="67">
        <f ca="1">IF(magestuff!$C$202&lt;1,1,magestuff!$C$202)</f>
        <v>1</v>
      </c>
      <c r="D630" s="67">
        <f t="shared" si="94"/>
        <v>0</v>
      </c>
      <c r="E630" s="77">
        <f ca="1">IF(F630="y",HLOOKUP((IF(C630&lt;1,1,C630)),Magick!$C$20:$L$21,2),NA())</f>
        <v>10</v>
      </c>
      <c r="F630" s="67" t="str">
        <f ca="1">IF(C630&lt;=Magick!$D$3,"Y","N")</f>
        <v>Y</v>
      </c>
      <c r="G630" s="148" t="s">
        <v>128</v>
      </c>
      <c r="H630" s="151"/>
      <c r="I630" s="77" t="e">
        <f>IF(H630&gt;0,(HLOOKUP(C630,Magick!$C$20:$L$21,2)-HLOOKUP(H630,Magick!$C$20:$L$21,2)),NA())</f>
        <v>#N/A</v>
      </c>
      <c r="J630" s="77"/>
      <c r="K630" s="67">
        <v>7</v>
      </c>
      <c r="L630" s="72" t="str">
        <f>IF(H630&gt;0,Magick!$AR$24-('Master Spell List'!H611*0.1),"N/A")</f>
        <v>N/A</v>
      </c>
      <c r="M630" s="72">
        <f ca="1">Magick!$H$74</f>
        <v>0.1</v>
      </c>
      <c r="N630" s="72">
        <f ca="1">Magick!$K$74</f>
        <v>0.2</v>
      </c>
      <c r="O630" s="72">
        <f ca="1">Magick!$L$74</f>
        <v>0.2</v>
      </c>
      <c r="P630" s="72">
        <f ca="1">Magick!$M$74</f>
        <v>0.2</v>
      </c>
      <c r="Q630" s="67" t="s">
        <v>4602</v>
      </c>
      <c r="R630" s="67">
        <f ca="1">IF(Q630="Ritual","N/A",IF(Q630="I.E.","N/A",IF(Q630="WOG",VLOOKUP(Magick!$I$74*100,magestuff!$B$134:$F$138,2),IF(Q630="Cantrip",VLOOKUP(Magick!$I$74*100,magestuff!$B$134:$F$138,3),IF(Q630="Hex",VLOOKUP(Magick!$I$74*100,magestuff!$B$134:$F$138,4),VLOOKUP(Magick!$I$74*100,magestuff!$B$134:$F$138,5))))))</f>
        <v>19</v>
      </c>
      <c r="U630" s="67" t="str">
        <f t="shared" si="95"/>
        <v xml:space="preserve"> </v>
      </c>
      <c r="V630" s="515"/>
      <c r="W630" s="125"/>
      <c r="X630" s="31">
        <f t="shared" si="96"/>
        <v>0</v>
      </c>
      <c r="Y630" s="509"/>
      <c r="Z630" s="1054" t="str">
        <f t="shared" si="87"/>
        <v>Dispel Illusion II</v>
      </c>
      <c r="AA630" s="1072" t="str">
        <f t="shared" si="88"/>
        <v>Illusion</v>
      </c>
    </row>
    <row r="631" spans="1:27" hidden="1" outlineLevel="1">
      <c r="A631" s="31" t="s">
        <v>1725</v>
      </c>
      <c r="B631" s="67">
        <v>1</v>
      </c>
      <c r="C631" s="67">
        <f ca="1">IF(magestuff!$C$202&lt;1,1,magestuff!$C$202)</f>
        <v>1</v>
      </c>
      <c r="D631" s="67">
        <f t="shared" si="94"/>
        <v>0</v>
      </c>
      <c r="E631" s="77">
        <f ca="1">IF(F631="y",HLOOKUP((IF(C631&lt;1,1,C631)),Magick!$C$20:$L$21,2),NA())</f>
        <v>10</v>
      </c>
      <c r="F631" s="67" t="str">
        <f ca="1">IF(C631&lt;=Magick!$D$3,"Y","N")</f>
        <v>Y</v>
      </c>
      <c r="G631" s="148" t="s">
        <v>128</v>
      </c>
      <c r="H631" s="151"/>
      <c r="I631" s="77" t="e">
        <f>IF(H631&gt;0,(HLOOKUP(C631,Magick!$C$20:$L$21,2)-HLOOKUP(H631,Magick!$C$20:$L$21,2)),NA())</f>
        <v>#N/A</v>
      </c>
      <c r="J631" s="77"/>
      <c r="K631" s="67">
        <v>13</v>
      </c>
      <c r="L631" s="72" t="str">
        <f>IF(H631&gt;0,Magick!$AR$24-('Master Spell List'!H612*0.1),"N/A")</f>
        <v>N/A</v>
      </c>
      <c r="M631" s="72">
        <f ca="1">Magick!$H$74</f>
        <v>0.1</v>
      </c>
      <c r="N631" s="72">
        <f ca="1">Magick!$K$74</f>
        <v>0.2</v>
      </c>
      <c r="O631" s="72">
        <f ca="1">Magick!$L$74</f>
        <v>0.2</v>
      </c>
      <c r="P631" s="72">
        <f ca="1">Magick!$M$74</f>
        <v>0.2</v>
      </c>
      <c r="Q631" s="67" t="s">
        <v>113</v>
      </c>
      <c r="R631" s="67" t="str">
        <f>IF(Q631="Ritual","N/A",IF(Q631="I.E.","N/A",IF(Q631="WOG",VLOOKUP(Magick!$I$74*100,magestuff!$B$134:$F$138,2),IF(Q631="Cantrip",VLOOKUP(Magick!$I$74*100,magestuff!$B$134:$F$138,3),IF(Q631="Hex",VLOOKUP(Magick!$I$74*100,magestuff!$B$134:$F$138,4),VLOOKUP(Magick!$I$74*100,magestuff!$B$134:$F$138,5))))))</f>
        <v>N/A</v>
      </c>
      <c r="U631" s="67" t="str">
        <f t="shared" si="95"/>
        <v xml:space="preserve"> </v>
      </c>
      <c r="V631" s="515"/>
      <c r="W631" s="125"/>
      <c r="X631" s="31">
        <f t="shared" si="96"/>
        <v>0</v>
      </c>
      <c r="Y631" s="509"/>
      <c r="Z631" s="1054" t="str">
        <f t="shared" si="87"/>
        <v>Dispel Illusion III</v>
      </c>
      <c r="AA631" s="1072" t="str">
        <f t="shared" si="88"/>
        <v>Illusion</v>
      </c>
    </row>
    <row r="632" spans="1:27" hidden="1" outlineLevel="1">
      <c r="A632" s="31" t="s">
        <v>1726</v>
      </c>
      <c r="B632" s="67">
        <v>1</v>
      </c>
      <c r="C632" s="67">
        <f ca="1">IF(magestuff!$C$202&lt;1,1,magestuff!$C$202)</f>
        <v>1</v>
      </c>
      <c r="D632" s="67">
        <f t="shared" si="94"/>
        <v>0</v>
      </c>
      <c r="E632" s="77">
        <f ca="1">IF(F632="y",HLOOKUP((IF(C632&lt;1,1,C632)),Magick!$C$20:$L$21,2),NA())</f>
        <v>10</v>
      </c>
      <c r="F632" s="67" t="str">
        <f ca="1">IF(C632&lt;=Magick!$D$3,"Y","N")</f>
        <v>Y</v>
      </c>
      <c r="G632" s="148" t="s">
        <v>128</v>
      </c>
      <c r="H632" s="151"/>
      <c r="I632" s="77" t="e">
        <f>IF(H632&gt;0,(HLOOKUP(C632,Magick!$C$20:$L$21,2)-HLOOKUP(H632,Magick!$C$20:$L$21,2)),NA())</f>
        <v>#N/A</v>
      </c>
      <c r="J632" s="77"/>
      <c r="K632" s="67">
        <v>21</v>
      </c>
      <c r="L632" s="72" t="str">
        <f>IF(H632&gt;0,Magick!$AR$24-('Master Spell List'!H613*0.1),"N/A")</f>
        <v>N/A</v>
      </c>
      <c r="M632" s="72">
        <f ca="1">Magick!$H$74</f>
        <v>0.1</v>
      </c>
      <c r="N632" s="72">
        <f ca="1">Magick!$K$74</f>
        <v>0.2</v>
      </c>
      <c r="O632" s="72">
        <f ca="1">Magick!$L$74</f>
        <v>0.2</v>
      </c>
      <c r="P632" s="72">
        <f ca="1">Magick!$M$74</f>
        <v>0.2</v>
      </c>
      <c r="Q632" s="67" t="s">
        <v>113</v>
      </c>
      <c r="R632" s="67" t="str">
        <f>IF(Q632="Ritual","N/A",IF(Q632="I.E.","N/A",IF(Q632="WOG",VLOOKUP(Magick!$I$74*100,magestuff!$B$134:$F$138,2),IF(Q632="Cantrip",VLOOKUP(Magick!$I$74*100,magestuff!$B$134:$F$138,3),IF(Q632="Hex",VLOOKUP(Magick!$I$74*100,magestuff!$B$134:$F$138,4),VLOOKUP(Magick!$I$74*100,magestuff!$B$134:$F$138,5))))))</f>
        <v>N/A</v>
      </c>
      <c r="U632" s="67" t="str">
        <f t="shared" si="95"/>
        <v xml:space="preserve"> </v>
      </c>
      <c r="V632" s="515"/>
      <c r="W632" s="125"/>
      <c r="X632" s="31">
        <f t="shared" si="96"/>
        <v>0</v>
      </c>
      <c r="Y632" s="509"/>
      <c r="Z632" s="1054" t="str">
        <f t="shared" si="87"/>
        <v>Dispel Illusion IV</v>
      </c>
      <c r="AA632" s="1072" t="str">
        <f t="shared" si="88"/>
        <v>Illusion</v>
      </c>
    </row>
    <row r="633" spans="1:27" hidden="1" outlineLevel="1">
      <c r="A633" s="83" t="s">
        <v>503</v>
      </c>
      <c r="B633" s="67">
        <v>1</v>
      </c>
      <c r="C633" s="67">
        <f ca="1">IF(magestuff!$C$202&lt;1,1,magestuff!$C$202)</f>
        <v>1</v>
      </c>
      <c r="D633" s="67">
        <f t="shared" si="94"/>
        <v>0</v>
      </c>
      <c r="E633" s="77">
        <f ca="1">IF(F633="y",HLOOKUP((IF(C633&lt;1,1,C633)),Magick!$C$20:$L$21,2),NA())</f>
        <v>10</v>
      </c>
      <c r="F633" s="67" t="str">
        <f ca="1">IF(C633&lt;=Magick!$D$3,"Y","N")</f>
        <v>Y</v>
      </c>
      <c r="G633" s="148" t="s">
        <v>1616</v>
      </c>
      <c r="H633" s="151"/>
      <c r="I633" s="77" t="e">
        <f>IF(H633&gt;0,(HLOOKUP(C633,Magick!$C$20:$L$21,2)-HLOOKUP(H633,Magick!$C$20:$L$21,2)),NA())</f>
        <v>#N/A</v>
      </c>
      <c r="J633" s="77"/>
      <c r="K633" s="67">
        <v>3</v>
      </c>
      <c r="L633" s="72" t="str">
        <f>IF(H633&gt;0,Magick!$AR$24-('Master Spell List'!H681*0.1),"N/A")</f>
        <v>N/A</v>
      </c>
      <c r="M633" s="72">
        <f ca="1">Magick!$H$74</f>
        <v>0.1</v>
      </c>
      <c r="N633" s="72">
        <f ca="1">Magick!$K$74</f>
        <v>0.2</v>
      </c>
      <c r="O633" s="72">
        <f ca="1">Magick!$L$74</f>
        <v>0.2</v>
      </c>
      <c r="P633" s="72">
        <f ca="1">Magick!$M$74</f>
        <v>0.2</v>
      </c>
      <c r="Q633" s="67" t="s">
        <v>4603</v>
      </c>
      <c r="R633" s="67">
        <f ca="1">IF(Q633="Ritual","N/A",IF(Q633="I.E.","N/A",IF(Q633="WOG",VLOOKUP(Magick!$I$74*100,magestuff!$B$134:$F$138,2),IF(Q633="Cantrip",VLOOKUP(Magick!$I$74*100,magestuff!$B$134:$F$138,3),IF(Q633="Hex",VLOOKUP(Magick!$I$74*100,magestuff!$B$134:$F$138,4),VLOOKUP(Magick!$I$74*100,magestuff!$B$134:$F$138,5))))))</f>
        <v>9</v>
      </c>
      <c r="U633" s="67" t="str">
        <f t="shared" si="95"/>
        <v xml:space="preserve"> </v>
      </c>
      <c r="V633" s="515"/>
      <c r="W633" s="125"/>
      <c r="X633" s="31">
        <f t="shared" si="96"/>
        <v>0</v>
      </c>
      <c r="Y633" s="509"/>
      <c r="Z633" s="1054" t="str">
        <f t="shared" si="87"/>
        <v>Intensify Illusionary Contact</v>
      </c>
      <c r="AA633" s="1072" t="str">
        <f t="shared" si="88"/>
        <v>Illusion</v>
      </c>
    </row>
    <row r="634" spans="1:27" hidden="1" outlineLevel="1">
      <c r="A634" s="31" t="s">
        <v>9</v>
      </c>
      <c r="B634" s="67">
        <v>1</v>
      </c>
      <c r="C634" s="67">
        <f ca="1">IF(magestuff!$C$202&lt;1,1,magestuff!$C$202)</f>
        <v>1</v>
      </c>
      <c r="D634" s="67">
        <f t="shared" si="94"/>
        <v>0</v>
      </c>
      <c r="E634" s="77">
        <f ca="1">IF(F634="y",HLOOKUP((IF(C634&lt;1,1,C634)),Magick!$C$20:$L$21,2),NA())</f>
        <v>10</v>
      </c>
      <c r="F634" s="67" t="str">
        <f ca="1">IF(C634&lt;=Magick!$D$3,"Y","N")</f>
        <v>Y</v>
      </c>
      <c r="G634" s="148" t="s">
        <v>128</v>
      </c>
      <c r="H634" s="151"/>
      <c r="I634" s="77" t="e">
        <f>IF(H634&gt;0,(HLOOKUP(C634,Magick!$C$20:$L$21,2)-HLOOKUP(H634,Magick!$C$20:$L$21,2)),NA())</f>
        <v>#N/A</v>
      </c>
      <c r="J634" s="77"/>
      <c r="K634" s="67">
        <v>3</v>
      </c>
      <c r="L634" s="72" t="str">
        <f>IF(H634&gt;0,Magick!$AR$24-('Master Spell List'!H623*0.1),"N/A")</f>
        <v>N/A</v>
      </c>
      <c r="M634" s="72">
        <f ca="1">Magick!$H$74</f>
        <v>0.1</v>
      </c>
      <c r="N634" s="72">
        <f ca="1">Magick!$K$74</f>
        <v>0.2</v>
      </c>
      <c r="O634" s="72">
        <f ca="1">Magick!$L$74</f>
        <v>0.2</v>
      </c>
      <c r="P634" s="72">
        <f ca="1">Magick!$M$74</f>
        <v>0.2</v>
      </c>
      <c r="Q634" s="67" t="s">
        <v>4603</v>
      </c>
      <c r="R634" s="67">
        <f ca="1">IF(Q634="Ritual","N/A",IF(Q634="I.E.","N/A",IF(Q634="WOG",VLOOKUP(Magick!$I$74*100,magestuff!$B$134:$F$138,2),IF(Q634="Cantrip",VLOOKUP(Magick!$I$74*100,magestuff!$B$134:$F$138,3),IF(Q634="Hex",VLOOKUP(Magick!$I$74*100,magestuff!$B$134:$F$138,4),VLOOKUP(Magick!$I$74*100,magestuff!$B$134:$F$138,5))))))</f>
        <v>9</v>
      </c>
      <c r="U634" s="67" t="str">
        <f t="shared" si="95"/>
        <v xml:space="preserve"> </v>
      </c>
      <c r="V634" s="515"/>
      <c r="W634" s="125"/>
      <c r="X634" s="31">
        <f t="shared" si="96"/>
        <v>0</v>
      </c>
      <c r="Y634" s="509"/>
      <c r="Z634" s="1054" t="str">
        <f t="shared" si="87"/>
        <v>Sleight of Hand</v>
      </c>
      <c r="AA634" s="1072" t="str">
        <f t="shared" si="88"/>
        <v>Illusion</v>
      </c>
    </row>
    <row r="635" spans="1:27" hidden="1" outlineLevel="1">
      <c r="A635" s="83" t="s">
        <v>502</v>
      </c>
      <c r="B635" s="67">
        <v>1</v>
      </c>
      <c r="C635" s="67">
        <f ca="1">IF(magestuff!$C$202&lt;1,1,magestuff!$C$202)</f>
        <v>1</v>
      </c>
      <c r="D635" s="67">
        <f t="shared" si="94"/>
        <v>0</v>
      </c>
      <c r="E635" s="77">
        <f ca="1">IF(F635="y",HLOOKUP((IF(C635&lt;1,1,C635)),Magick!$C$20:$L$21,2),NA())</f>
        <v>10</v>
      </c>
      <c r="F635" s="67" t="str">
        <f ca="1">IF(C635&lt;=Magick!$D$3,"Y","N")</f>
        <v>Y</v>
      </c>
      <c r="G635" s="148" t="s">
        <v>1616</v>
      </c>
      <c r="H635" s="151"/>
      <c r="I635" s="77" t="e">
        <f>IF(H635&gt;0,(HLOOKUP(C635,Magick!$C$20:$L$21,2)-HLOOKUP(H635,Magick!$C$20:$L$21,2)),NA())</f>
        <v>#N/A</v>
      </c>
      <c r="J635" s="77"/>
      <c r="K635" s="67">
        <v>3</v>
      </c>
      <c r="L635" s="72" t="str">
        <f>IF(H635&gt;0,Magick!$AR$24-('Master Spell List'!H680*0.1),"N/A")</f>
        <v>N/A</v>
      </c>
      <c r="M635" s="72">
        <f ca="1">Magick!$H$74</f>
        <v>0.1</v>
      </c>
      <c r="N635" s="72">
        <f ca="1">Magick!$K$74</f>
        <v>0.2</v>
      </c>
      <c r="O635" s="72">
        <f ca="1">Magick!$L$74</f>
        <v>0.2</v>
      </c>
      <c r="P635" s="72">
        <f ca="1">Magick!$M$74</f>
        <v>0.2</v>
      </c>
      <c r="Q635" s="67" t="s">
        <v>4603</v>
      </c>
      <c r="R635" s="67">
        <f ca="1">IF(Q635="Ritual","N/A",IF(Q635="I.E.","N/A",IF(Q635="WOG",VLOOKUP(Magick!$I$74*100,magestuff!$B$134:$F$138,2),IF(Q635="Cantrip",VLOOKUP(Magick!$I$74*100,magestuff!$B$134:$F$138,3),IF(Q635="Hex",VLOOKUP(Magick!$I$74*100,magestuff!$B$134:$F$138,4),VLOOKUP(Magick!$I$74*100,magestuff!$B$134:$F$138,5))))))</f>
        <v>9</v>
      </c>
      <c r="S635" s="67" t="s">
        <v>5545</v>
      </c>
      <c r="T635" s="67" t="s">
        <v>5545</v>
      </c>
      <c r="U635" s="67" t="str">
        <f t="shared" si="95"/>
        <v xml:space="preserve"> </v>
      </c>
      <c r="V635" s="515"/>
      <c r="W635" s="125"/>
      <c r="X635" s="31">
        <f t="shared" si="96"/>
        <v>0</v>
      </c>
      <c r="Y635" s="509"/>
      <c r="Z635" s="1054" t="str">
        <f t="shared" si="87"/>
        <v>Slow Illusionary Contact</v>
      </c>
      <c r="AA635" s="1072" t="str">
        <f t="shared" si="88"/>
        <v>Illusion</v>
      </c>
    </row>
    <row r="636" spans="1:27" hidden="1" outlineLevel="1">
      <c r="A636" s="83" t="s">
        <v>2865</v>
      </c>
      <c r="B636" s="67">
        <v>1</v>
      </c>
      <c r="C636" s="67">
        <f ca="1">IF(magestuff!$C$202&lt;1,1,magestuff!$C$202)</f>
        <v>1</v>
      </c>
      <c r="D636" s="67">
        <f t="shared" si="94"/>
        <v>0</v>
      </c>
      <c r="E636" s="77">
        <f ca="1">IF(F636="y",HLOOKUP((IF(C636&lt;1,1,C636)),Magick!$C$20:$L$21,2),NA())</f>
        <v>10</v>
      </c>
      <c r="F636" s="67" t="str">
        <f ca="1">IF(C636&lt;=Magick!$D$3,"Y","N")</f>
        <v>Y</v>
      </c>
      <c r="G636" s="148" t="s">
        <v>1616</v>
      </c>
      <c r="H636" s="151"/>
      <c r="I636" s="77" t="e">
        <f>IF(H636&gt;0,(HLOOKUP(C636,Magick!$C$20:$L$21,2)-HLOOKUP(H636,Magick!$C$20:$L$21,2)),NA())</f>
        <v>#N/A</v>
      </c>
      <c r="J636" s="77"/>
      <c r="K636" s="67">
        <v>3</v>
      </c>
      <c r="L636" s="72" t="str">
        <f>IF(H636&gt;0,Magick!$AR$24-('Master Spell List'!H654*0.1),"N/A")</f>
        <v>N/A</v>
      </c>
      <c r="M636" s="72">
        <f ca="1">Magick!$H$74</f>
        <v>0.1</v>
      </c>
      <c r="N636" s="72">
        <f ca="1">Magick!$K$74</f>
        <v>0.2</v>
      </c>
      <c r="O636" s="72">
        <f ca="1">Magick!$L$74</f>
        <v>0.2</v>
      </c>
      <c r="P636" s="72">
        <f ca="1">Magick!$M$74</f>
        <v>0.2</v>
      </c>
      <c r="Q636" s="67" t="s">
        <v>4603</v>
      </c>
      <c r="R636" s="67">
        <f ca="1">IF(Q636="Ritual","N/A",IF(Q636="I.E.","N/A",IF(Q636="WOG",VLOOKUP(Magick!$I$74*100,magestuff!$B$134:$F$138,2),IF(Q636="Cantrip",VLOOKUP(Magick!$I$74*100,magestuff!$B$134:$F$138,3),IF(Q636="Hex",VLOOKUP(Magick!$I$74*100,magestuff!$B$134:$F$138,4),VLOOKUP(Magick!$I$74*100,magestuff!$B$134:$F$138,5))))))</f>
        <v>9</v>
      </c>
      <c r="S636" s="67" t="s">
        <v>5545</v>
      </c>
      <c r="T636" s="67" t="s">
        <v>5545</v>
      </c>
      <c r="U636" s="67" t="str">
        <f t="shared" si="95"/>
        <v xml:space="preserve"> </v>
      </c>
      <c r="V636" s="515"/>
      <c r="W636" s="125"/>
      <c r="X636" s="31">
        <f t="shared" si="96"/>
        <v>0</v>
      </c>
      <c r="Y636" s="509"/>
      <c r="Z636" s="1054" t="str">
        <f t="shared" si="87"/>
        <v>Slow Light</v>
      </c>
      <c r="AA636" s="1072" t="str">
        <f t="shared" si="88"/>
        <v>Illusion</v>
      </c>
    </row>
    <row r="637" spans="1:27" hidden="1" outlineLevel="1">
      <c r="A637" s="83" t="s">
        <v>140</v>
      </c>
      <c r="B637" s="67">
        <v>1</v>
      </c>
      <c r="C637" s="67">
        <f ca="1">IF(magestuff!$C$202&lt;1,1,magestuff!$C$202)</f>
        <v>1</v>
      </c>
      <c r="D637" s="67">
        <f t="shared" si="94"/>
        <v>0</v>
      </c>
      <c r="E637" s="77">
        <f ca="1">IF(F637="y",HLOOKUP((IF(C637&lt;1,1,C637)),Magick!$C$20:$L$21,2),NA())</f>
        <v>10</v>
      </c>
      <c r="F637" s="67" t="str">
        <f ca="1">IF(C637&lt;=Magick!$D$3,"Y","N")</f>
        <v>Y</v>
      </c>
      <c r="G637" s="148" t="s">
        <v>1616</v>
      </c>
      <c r="H637" s="151"/>
      <c r="I637" s="77" t="e">
        <f>IF(H637&gt;0,(HLOOKUP(C637,Magick!$C$20:$L$21,2)-HLOOKUP(H637,Magick!$C$20:$L$21,2)),NA())</f>
        <v>#N/A</v>
      </c>
      <c r="J637" s="77"/>
      <c r="K637" s="67">
        <v>3</v>
      </c>
      <c r="L637" s="72" t="str">
        <f>IF(H637&gt;0,Magick!$AR$24-('Master Spell List'!H669*0.1),"N/A")</f>
        <v>N/A</v>
      </c>
      <c r="M637" s="72">
        <f ca="1">Magick!$H$74</f>
        <v>0.1</v>
      </c>
      <c r="N637" s="72">
        <f ca="1">Magick!$K$74</f>
        <v>0.2</v>
      </c>
      <c r="O637" s="72">
        <f ca="1">Magick!$L$74</f>
        <v>0.2</v>
      </c>
      <c r="P637" s="72">
        <f ca="1">Magick!$M$74</f>
        <v>0.2</v>
      </c>
      <c r="Q637" s="67" t="s">
        <v>4603</v>
      </c>
      <c r="R637" s="67">
        <f ca="1">IF(Q637="Ritual","N/A",IF(Q637="I.E.","N/A",IF(Q637="WOG",VLOOKUP(Magick!$I$74*100,magestuff!$B$134:$F$138,2),IF(Q637="Cantrip",VLOOKUP(Magick!$I$74*100,magestuff!$B$134:$F$138,3),IF(Q637="Hex",VLOOKUP(Magick!$I$74*100,magestuff!$B$134:$F$138,4),VLOOKUP(Magick!$I$74*100,magestuff!$B$134:$F$138,5))))))</f>
        <v>9</v>
      </c>
      <c r="S637" s="67" t="s">
        <v>5545</v>
      </c>
      <c r="T637" s="67" t="s">
        <v>5545</v>
      </c>
      <c r="U637" s="67" t="str">
        <f t="shared" si="95"/>
        <v xml:space="preserve"> </v>
      </c>
      <c r="V637" s="515"/>
      <c r="W637" s="125"/>
      <c r="X637" s="31">
        <f t="shared" si="96"/>
        <v>0</v>
      </c>
      <c r="Y637" s="509"/>
      <c r="Z637" s="1054" t="str">
        <f t="shared" si="87"/>
        <v>Slow Scent</v>
      </c>
      <c r="AA637" s="1072" t="str">
        <f t="shared" si="88"/>
        <v>Illusion</v>
      </c>
    </row>
    <row r="638" spans="1:27" hidden="1" outlineLevel="1">
      <c r="A638" s="83" t="s">
        <v>127</v>
      </c>
      <c r="B638" s="67">
        <v>2</v>
      </c>
      <c r="C638" s="67">
        <f ca="1">IF(magestuff!$F$202&lt;1,1,magestuff!$F$202)</f>
        <v>2</v>
      </c>
      <c r="D638" s="67">
        <f t="shared" si="94"/>
        <v>0</v>
      </c>
      <c r="E638" s="77">
        <f ca="1">IF(F638="y",HLOOKUP((IF(C638&lt;1,1,C638)),Magick!$C$20:$L$21,2),NA())</f>
        <v>21</v>
      </c>
      <c r="F638" s="67" t="str">
        <f ca="1">IF(C638&lt;=Magick!$D$3,"Y","N")</f>
        <v>Y</v>
      </c>
      <c r="G638" s="148" t="s">
        <v>1616</v>
      </c>
      <c r="H638" s="151"/>
      <c r="I638" s="77" t="e">
        <f>IF(H638&gt;0,(HLOOKUP(C638,Magick!$C$20:$L$21,2)-HLOOKUP(H638,Magick!$C$20:$L$21,2)),NA())</f>
        <v>#N/A</v>
      </c>
      <c r="J638" s="77"/>
      <c r="K638" s="67">
        <v>4</v>
      </c>
      <c r="L638" s="72" t="str">
        <f>IF(H638&gt;0,Magick!$AR$24-('Master Spell List'!H661*0.1),"N/A")</f>
        <v>N/A</v>
      </c>
      <c r="M638" s="72">
        <f ca="1">Magick!$H$74</f>
        <v>0.1</v>
      </c>
      <c r="N638" s="72">
        <f ca="1">Magick!$K$74</f>
        <v>0.2</v>
      </c>
      <c r="O638" s="72">
        <f ca="1">Magick!$L$74</f>
        <v>0.2</v>
      </c>
      <c r="P638" s="72">
        <f ca="1">Magick!$M$74</f>
        <v>0.2</v>
      </c>
      <c r="Q638" s="67" t="s">
        <v>4603</v>
      </c>
      <c r="R638" s="67">
        <f ca="1">IF(Q638="Ritual","N/A",IF(Q638="I.E.","N/A",IF(Q638="WOG",VLOOKUP(Magick!$I$74*100,magestuff!$B$134:$F$138,2),IF(Q638="Cantrip",VLOOKUP(Magick!$I$74*100,magestuff!$B$134:$F$138,3),IF(Q638="Hex",VLOOKUP(Magick!$I$74*100,magestuff!$B$134:$F$138,4),VLOOKUP(Magick!$I$74*100,magestuff!$B$134:$F$138,5))))))</f>
        <v>9</v>
      </c>
      <c r="S638" s="67" t="s">
        <v>5545</v>
      </c>
      <c r="T638" s="67" t="s">
        <v>5545</v>
      </c>
      <c r="U638" s="67" t="str">
        <f t="shared" si="95"/>
        <v xml:space="preserve"> </v>
      </c>
      <c r="V638" s="515"/>
      <c r="W638" s="125"/>
      <c r="X638" s="31">
        <f t="shared" si="96"/>
        <v>0</v>
      </c>
      <c r="Y638" s="509"/>
      <c r="Z638" s="1054" t="str">
        <f t="shared" si="87"/>
        <v>Accelerate Sound</v>
      </c>
      <c r="AA638" s="1072" t="str">
        <f t="shared" si="88"/>
        <v>Illusion</v>
      </c>
    </row>
    <row r="639" spans="1:27" hidden="1" outlineLevel="1">
      <c r="A639" s="83" t="s">
        <v>124</v>
      </c>
      <c r="B639" s="67">
        <v>2</v>
      </c>
      <c r="C639" s="67">
        <f ca="1">IF(magestuff!$F$202&lt;1,1,magestuff!$F$202)</f>
        <v>2</v>
      </c>
      <c r="D639" s="67">
        <f t="shared" si="94"/>
        <v>0</v>
      </c>
      <c r="E639" s="77">
        <f ca="1">IF(F639="y",HLOOKUP((IF(C639&lt;1,1,C639)),Magick!$C$20:$L$21,2),NA())</f>
        <v>21</v>
      </c>
      <c r="F639" s="67" t="str">
        <f ca="1">IF(C639&lt;=Magick!$D$3,"Y","N")</f>
        <v>Y</v>
      </c>
      <c r="G639" s="148" t="s">
        <v>1616</v>
      </c>
      <c r="H639" s="151"/>
      <c r="I639" s="77" t="e">
        <f>IF(H639&gt;0,(HLOOKUP(C639,Magick!$C$20:$L$21,2)-HLOOKUP(H639,Magick!$C$20:$L$21,2)),NA())</f>
        <v>#N/A</v>
      </c>
      <c r="J639" s="77"/>
      <c r="K639" s="67">
        <v>4</v>
      </c>
      <c r="L639" s="72" t="str">
        <f>IF(H639&gt;0,Magick!$AR$24-('Master Spell List'!H659*0.1),"N/A")</f>
        <v>N/A</v>
      </c>
      <c r="M639" s="72">
        <f ca="1">Magick!$H$74</f>
        <v>0.1</v>
      </c>
      <c r="N639" s="72">
        <f ca="1">Magick!$K$74</f>
        <v>0.2</v>
      </c>
      <c r="O639" s="72">
        <f ca="1">Magick!$L$74</f>
        <v>0.2</v>
      </c>
      <c r="P639" s="72">
        <f ca="1">Magick!$M$74</f>
        <v>0.2</v>
      </c>
      <c r="Q639" s="67" t="s">
        <v>4603</v>
      </c>
      <c r="R639" s="67">
        <f ca="1">IF(Q639="Ritual","N/A",IF(Q639="I.E.","N/A",IF(Q639="WOG",VLOOKUP(Magick!$I$74*100,magestuff!$B$134:$F$138,2),IF(Q639="Cantrip",VLOOKUP(Magick!$I$74*100,magestuff!$B$134:$F$138,3),IF(Q639="Hex",VLOOKUP(Magick!$I$74*100,magestuff!$B$134:$F$138,4),VLOOKUP(Magick!$I$74*100,magestuff!$B$134:$F$138,5))))))</f>
        <v>9</v>
      </c>
      <c r="S639" s="67" t="s">
        <v>5545</v>
      </c>
      <c r="T639" s="67" t="s">
        <v>5545</v>
      </c>
      <c r="U639" s="67" t="str">
        <f t="shared" si="95"/>
        <v xml:space="preserve"> </v>
      </c>
      <c r="V639" s="515"/>
      <c r="W639" s="125"/>
      <c r="X639" s="31">
        <f t="shared" si="96"/>
        <v>0</v>
      </c>
      <c r="Y639" s="509"/>
      <c r="Z639" s="1054" t="str">
        <f t="shared" si="87"/>
        <v xml:space="preserve">Alter or Command Sound </v>
      </c>
      <c r="AA639" s="1072" t="str">
        <f t="shared" si="88"/>
        <v>Illusion</v>
      </c>
    </row>
    <row r="640" spans="1:27" hidden="1" outlineLevel="1">
      <c r="A640" s="31" t="s">
        <v>3087</v>
      </c>
      <c r="B640" s="67">
        <v>2</v>
      </c>
      <c r="C640" s="67">
        <f ca="1">IF(magestuff!$F$202&lt;1,1,magestuff!$F$202)</f>
        <v>2</v>
      </c>
      <c r="D640" s="67">
        <f t="shared" si="94"/>
        <v>0</v>
      </c>
      <c r="E640" s="77">
        <f ca="1">IF(F640="y",HLOOKUP((IF(C640&lt;1,1,C640)),Magick!$C$20:$L$21,2),NA())</f>
        <v>21</v>
      </c>
      <c r="F640" s="67" t="str">
        <f ca="1">IF(C640&lt;=Magick!$D$3,"Y","N")</f>
        <v>Y</v>
      </c>
      <c r="G640" s="148" t="s">
        <v>128</v>
      </c>
      <c r="H640" s="151"/>
      <c r="I640" s="77" t="e">
        <f>IF(H640&gt;0,(HLOOKUP(C640,Magick!$C$20:$L$21,2)-HLOOKUP(H640,Magick!$C$20:$L$21,2)),NA())</f>
        <v>#N/A</v>
      </c>
      <c r="J640" s="77"/>
      <c r="K640" s="67">
        <v>4</v>
      </c>
      <c r="L640" s="72" t="str">
        <f>IF(H640&gt;0,Magick!$AR$24-('Master Spell List'!H617*0.1),"N/A")</f>
        <v>N/A</v>
      </c>
      <c r="M640" s="72">
        <f ca="1">Magick!$H$74</f>
        <v>0.1</v>
      </c>
      <c r="N640" s="72">
        <f ca="1">Magick!$K$74</f>
        <v>0.2</v>
      </c>
      <c r="O640" s="72">
        <f ca="1">Magick!$L$74</f>
        <v>0.2</v>
      </c>
      <c r="P640" s="72">
        <f ca="1">Magick!$M$74</f>
        <v>0.2</v>
      </c>
      <c r="Q640" s="67" t="s">
        <v>113</v>
      </c>
      <c r="R640" s="67" t="str">
        <f>IF(Q640="Ritual","N/A",IF(Q640="I.E.","N/A",IF(Q640="WOG",VLOOKUP(Magick!$I$74*100,magestuff!$B$134:$F$138,2),IF(Q640="Cantrip",VLOOKUP(Magick!$I$74*100,magestuff!$B$134:$F$138,3),IF(Q640="Hex",VLOOKUP(Magick!$I$74*100,magestuff!$B$134:$F$138,4),VLOOKUP(Magick!$I$74*100,magestuff!$B$134:$F$138,5))))))</f>
        <v>N/A</v>
      </c>
      <c r="U640" s="67" t="str">
        <f t="shared" si="95"/>
        <v xml:space="preserve"> </v>
      </c>
      <c r="V640" s="515"/>
      <c r="W640" s="125"/>
      <c r="X640" s="31">
        <f t="shared" si="96"/>
        <v>0</v>
      </c>
      <c r="Y640" s="509"/>
      <c r="Z640" s="1054" t="str">
        <f t="shared" si="87"/>
        <v>Blurred Script</v>
      </c>
      <c r="AA640" s="1072" t="str">
        <f t="shared" si="88"/>
        <v>Illusion</v>
      </c>
    </row>
    <row r="641" spans="1:27" hidden="1" outlineLevel="1">
      <c r="A641" s="83" t="s">
        <v>3132</v>
      </c>
      <c r="B641" s="67">
        <v>2</v>
      </c>
      <c r="C641" s="67">
        <f ca="1">IF(magestuff!$F$202&lt;1,1,magestuff!$F$202)</f>
        <v>2</v>
      </c>
      <c r="D641" s="67">
        <f t="shared" si="94"/>
        <v>0</v>
      </c>
      <c r="E641" s="77">
        <f ca="1">IF(F641="y",HLOOKUP((IF(C641&lt;1,1,C641)),Magick!$C$20:$L$21,2),NA())</f>
        <v>21</v>
      </c>
      <c r="F641" s="67" t="str">
        <f ca="1">IF(C641&lt;=Magick!$D$3,"Y","N")</f>
        <v>Y</v>
      </c>
      <c r="G641" s="148" t="s">
        <v>1616</v>
      </c>
      <c r="H641" s="151"/>
      <c r="I641" s="77" t="e">
        <f>IF(H641&gt;0,(HLOOKUP(C641,Magick!$C$20:$L$21,2)-HLOOKUP(H641,Magick!$C$20:$L$21,2)),NA())</f>
        <v>#N/A</v>
      </c>
      <c r="J641" s="77"/>
      <c r="K641" s="67">
        <v>4</v>
      </c>
      <c r="L641" s="72" t="str">
        <f>IF(H641&gt;0,Magick!$AR$24-('Master Spell List'!H642*0.1),"N/A")</f>
        <v>N/A</v>
      </c>
      <c r="M641" s="72">
        <f ca="1">Magick!$H$74</f>
        <v>0.1</v>
      </c>
      <c r="N641" s="72">
        <f ca="1">Magick!$K$74</f>
        <v>0.2</v>
      </c>
      <c r="O641" s="72">
        <f ca="1">Magick!$L$74</f>
        <v>0.2</v>
      </c>
      <c r="P641" s="72">
        <f ca="1">Magick!$M$74</f>
        <v>0.2</v>
      </c>
      <c r="Q641" s="67" t="s">
        <v>4603</v>
      </c>
      <c r="R641" s="67">
        <f ca="1">IF(Q641="Ritual","N/A",IF(Q641="I.E.","N/A",IF(Q641="WOG",VLOOKUP(Magick!$I$74*100,magestuff!$B$134:$F$138,2),IF(Q641="Cantrip",VLOOKUP(Magick!$I$74*100,magestuff!$B$134:$F$138,3),IF(Q641="Hex",VLOOKUP(Magick!$I$74*100,magestuff!$B$134:$F$138,4),VLOOKUP(Magick!$I$74*100,magestuff!$B$134:$F$138,5))))))</f>
        <v>9</v>
      </c>
      <c r="S641" s="67" t="s">
        <v>5545</v>
      </c>
      <c r="T641" s="67" t="s">
        <v>5545</v>
      </c>
      <c r="U641" s="67" t="str">
        <f t="shared" si="95"/>
        <v xml:space="preserve"> </v>
      </c>
      <c r="V641" s="515"/>
      <c r="W641" s="125"/>
      <c r="X641" s="31">
        <f t="shared" ref="X641:X672" si="97">W641*3</f>
        <v>0</v>
      </c>
      <c r="Y641" s="509"/>
      <c r="Z641" s="1054" t="str">
        <f t="shared" si="87"/>
        <v>Color Light</v>
      </c>
      <c r="AA641" s="1072" t="str">
        <f t="shared" si="88"/>
        <v>Illusion</v>
      </c>
    </row>
    <row r="642" spans="1:27" hidden="1" outlineLevel="1">
      <c r="A642" s="83" t="s">
        <v>3130</v>
      </c>
      <c r="B642" s="67">
        <v>2</v>
      </c>
      <c r="C642" s="67">
        <f ca="1">IF(magestuff!$F$202&lt;1,1,magestuff!$F$202)</f>
        <v>2</v>
      </c>
      <c r="D642" s="67">
        <f t="shared" si="94"/>
        <v>0</v>
      </c>
      <c r="E642" s="77">
        <f ca="1">IF(F642="y",HLOOKUP((IF(C642&lt;1,1,C642)),Magick!$C$20:$L$21,2),NA())</f>
        <v>21</v>
      </c>
      <c r="F642" s="67" t="str">
        <f ca="1">IF(C642&lt;=Magick!$D$3,"Y","N")</f>
        <v>Y</v>
      </c>
      <c r="G642" s="148" t="s">
        <v>1616</v>
      </c>
      <c r="H642" s="151"/>
      <c r="I642" s="77" t="e">
        <f>IF(H642&gt;0,(HLOOKUP(C642,Magick!$C$20:$L$21,2)-HLOOKUP(H642,Magick!$C$20:$L$21,2)),NA())</f>
        <v>#N/A</v>
      </c>
      <c r="J642" s="77"/>
      <c r="K642" s="67">
        <v>4</v>
      </c>
      <c r="L642" s="72" t="str">
        <f>IF(H642&gt;0,Magick!$AR$24-('Master Spell List'!H640*0.1),"N/A")</f>
        <v>N/A</v>
      </c>
      <c r="M642" s="72">
        <f ca="1">Magick!$H$74</f>
        <v>0.1</v>
      </c>
      <c r="N642" s="72">
        <f ca="1">Magick!$K$74</f>
        <v>0.2</v>
      </c>
      <c r="O642" s="72">
        <f ca="1">Magick!$L$74</f>
        <v>0.2</v>
      </c>
      <c r="P642" s="72">
        <f ca="1">Magick!$M$74</f>
        <v>0.2</v>
      </c>
      <c r="Q642" s="67" t="s">
        <v>4603</v>
      </c>
      <c r="R642" s="67">
        <f ca="1">IF(Q642="Ritual","N/A",IF(Q642="I.E.","N/A",IF(Q642="WOG",VLOOKUP(Magick!$I$74*100,magestuff!$B$134:$F$138,2),IF(Q642="Cantrip",VLOOKUP(Magick!$I$74*100,magestuff!$B$134:$F$138,3),IF(Q642="Hex",VLOOKUP(Magick!$I$74*100,magestuff!$B$134:$F$138,4),VLOOKUP(Magick!$I$74*100,magestuff!$B$134:$F$138,5))))))</f>
        <v>9</v>
      </c>
      <c r="S642" s="67" t="s">
        <v>5545</v>
      </c>
      <c r="T642" s="67" t="s">
        <v>5545</v>
      </c>
      <c r="U642" s="67" t="str">
        <f t="shared" si="95"/>
        <v xml:space="preserve"> </v>
      </c>
      <c r="V642" s="515"/>
      <c r="W642" s="125"/>
      <c r="X642" s="31">
        <f t="shared" si="97"/>
        <v>0</v>
      </c>
      <c r="Y642" s="509"/>
      <c r="Z642" s="1054" t="str">
        <f t="shared" ref="Z642:Z705" si="98">A642</f>
        <v xml:space="preserve">Command Light/Create Image </v>
      </c>
      <c r="AA642" s="1072" t="str">
        <f t="shared" si="88"/>
        <v>Illusion</v>
      </c>
    </row>
    <row r="643" spans="1:27" hidden="1" outlineLevel="1">
      <c r="A643" s="83" t="s">
        <v>123</v>
      </c>
      <c r="B643" s="67">
        <v>2</v>
      </c>
      <c r="C643" s="67">
        <f ca="1">IF(magestuff!$F$202&lt;1,1,magestuff!$F$202)</f>
        <v>2</v>
      </c>
      <c r="D643" s="67">
        <f t="shared" si="94"/>
        <v>0</v>
      </c>
      <c r="E643" s="77">
        <f ca="1">IF(F643="y",HLOOKUP((IF(C643&lt;1,1,C643)),Magick!$C$20:$L$21,2),NA())</f>
        <v>21</v>
      </c>
      <c r="F643" s="67" t="str">
        <f ca="1">IF(C643&lt;=Magick!$D$3,"Y","N")</f>
        <v>Y</v>
      </c>
      <c r="G643" s="148" t="s">
        <v>1616</v>
      </c>
      <c r="H643" s="151"/>
      <c r="I643" s="77" t="e">
        <f>IF(H643&gt;0,(HLOOKUP(C643,Magick!$C$20:$L$21,2)-HLOOKUP(H643,Magick!$C$20:$L$21,2)),NA())</f>
        <v>#N/A</v>
      </c>
      <c r="J643" s="77"/>
      <c r="K643" s="67">
        <v>4</v>
      </c>
      <c r="L643" s="72" t="str">
        <f>IF(H643&gt;0,Magick!$AR$24-('Master Spell List'!H657*0.1),"N/A")</f>
        <v>N/A</v>
      </c>
      <c r="M643" s="72">
        <f ca="1">Magick!$H$74</f>
        <v>0.1</v>
      </c>
      <c r="N643" s="72">
        <f ca="1">Magick!$K$74</f>
        <v>0.2</v>
      </c>
      <c r="O643" s="72">
        <f ca="1">Magick!$L$74</f>
        <v>0.2</v>
      </c>
      <c r="P643" s="72">
        <f ca="1">Magick!$M$74</f>
        <v>0.2</v>
      </c>
      <c r="Q643" s="67" t="s">
        <v>4603</v>
      </c>
      <c r="R643" s="67">
        <f ca="1">IF(Q643="Ritual","N/A",IF(Q643="I.E.","N/A",IF(Q643="WOG",VLOOKUP(Magick!$I$74*100,magestuff!$B$134:$F$138,2),IF(Q643="Cantrip",VLOOKUP(Magick!$I$74*100,magestuff!$B$134:$F$138,3),IF(Q643="Hex",VLOOKUP(Magick!$I$74*100,magestuff!$B$134:$F$138,4),VLOOKUP(Magick!$I$74*100,magestuff!$B$134:$F$138,5))))))</f>
        <v>9</v>
      </c>
      <c r="U643" s="67" t="str">
        <f t="shared" si="95"/>
        <v xml:space="preserve"> </v>
      </c>
      <c r="V643" s="515"/>
      <c r="W643" s="125"/>
      <c r="X643" s="31">
        <f t="shared" si="97"/>
        <v>0</v>
      </c>
      <c r="Y643" s="509"/>
      <c r="Z643" s="1054" t="str">
        <f t="shared" si="98"/>
        <v>Concentrate Sound</v>
      </c>
      <c r="AA643" s="1072" t="str">
        <f t="shared" ref="AA643:AA706" si="99">IF(ISNUMBER(MATCH($Z643,Spell_Methods,0)),$Z643,$AA642)</f>
        <v>Illusion</v>
      </c>
    </row>
    <row r="644" spans="1:27" hidden="1" outlineLevel="1">
      <c r="A644" s="83" t="s">
        <v>143</v>
      </c>
      <c r="B644" s="67">
        <v>2</v>
      </c>
      <c r="C644" s="67">
        <f ca="1">IF(magestuff!$F$202&lt;1,1,magestuff!$F$202)</f>
        <v>2</v>
      </c>
      <c r="D644" s="67">
        <f t="shared" si="94"/>
        <v>0</v>
      </c>
      <c r="E644" s="77">
        <f ca="1">IF(F644="y",HLOOKUP((IF(C644&lt;1,1,C644)),Magick!$C$20:$L$21,2),NA())</f>
        <v>21</v>
      </c>
      <c r="F644" s="67" t="str">
        <f ca="1">IF(C644&lt;=Magick!$D$3,"Y","N")</f>
        <v>Y</v>
      </c>
      <c r="G644" s="148" t="s">
        <v>1616</v>
      </c>
      <c r="H644" s="151"/>
      <c r="I644" s="77" t="e">
        <f>IF(H644&gt;0,(HLOOKUP(C644,Magick!$C$20:$L$21,2)-HLOOKUP(H644,Magick!$C$20:$L$21,2)),NA())</f>
        <v>#N/A</v>
      </c>
      <c r="J644" s="77"/>
      <c r="K644" s="67">
        <v>3</v>
      </c>
      <c r="L644" s="72" t="str">
        <f>IF(H644&gt;0,Magick!$AR$24-('Master Spell List'!H673*0.1),"N/A")</f>
        <v>N/A</v>
      </c>
      <c r="M644" s="72">
        <f ca="1">Magick!$H$74</f>
        <v>0.1</v>
      </c>
      <c r="N644" s="72">
        <f ca="1">Magick!$K$74</f>
        <v>0.2</v>
      </c>
      <c r="O644" s="72">
        <f ca="1">Magick!$L$74</f>
        <v>0.2</v>
      </c>
      <c r="P644" s="72">
        <f ca="1">Magick!$M$74</f>
        <v>0.2</v>
      </c>
      <c r="Q644" s="67" t="s">
        <v>4603</v>
      </c>
      <c r="R644" s="67">
        <f ca="1">IF(Q644="Ritual","N/A",IF(Q644="I.E.","N/A",IF(Q644="WOG",VLOOKUP(Magick!$I$74*100,magestuff!$B$134:$F$138,2),IF(Q644="Cantrip",VLOOKUP(Magick!$I$74*100,magestuff!$B$134:$F$138,3),IF(Q644="Hex",VLOOKUP(Magick!$I$74*100,magestuff!$B$134:$F$138,4),VLOOKUP(Magick!$I$74*100,magestuff!$B$134:$F$138,5))))))</f>
        <v>9</v>
      </c>
      <c r="U644" s="67" t="str">
        <f t="shared" si="95"/>
        <v xml:space="preserve"> </v>
      </c>
      <c r="V644" s="515"/>
      <c r="W644" s="125"/>
      <c r="X644" s="31">
        <f t="shared" si="97"/>
        <v>0</v>
      </c>
      <c r="Y644" s="509"/>
      <c r="Z644" s="1054" t="str">
        <f t="shared" si="98"/>
        <v>Create Least Scent</v>
      </c>
      <c r="AA644" s="1072" t="str">
        <f t="shared" si="99"/>
        <v>Illusion</v>
      </c>
    </row>
    <row r="645" spans="1:27" hidden="1" outlineLevel="1">
      <c r="A645" s="83" t="s">
        <v>597</v>
      </c>
      <c r="B645" s="67">
        <v>2</v>
      </c>
      <c r="C645" s="67">
        <f ca="1">IF(magestuff!$F$202&lt;1,1,magestuff!$F$202)</f>
        <v>2</v>
      </c>
      <c r="D645" s="67">
        <f t="shared" si="94"/>
        <v>0</v>
      </c>
      <c r="E645" s="77">
        <f ca="1">IF(F645="y",HLOOKUP((IF(C645&lt;1,1,C645)),Magick!$C$20:$L$21,2),NA())</f>
        <v>21</v>
      </c>
      <c r="F645" s="67" t="str">
        <f ca="1">IF(C645&lt;=Magick!$D$3,"Y","N")</f>
        <v>Y</v>
      </c>
      <c r="G645" s="148" t="s">
        <v>1616</v>
      </c>
      <c r="H645" s="151"/>
      <c r="I645" s="77" t="e">
        <f>IF(H645&gt;0,(HLOOKUP(C645,Magick!$C$20:$L$21,2)-HLOOKUP(H645,Magick!$C$20:$L$21,2)),NA())</f>
        <v>#N/A</v>
      </c>
      <c r="J645" s="77"/>
      <c r="K645" s="67">
        <v>3</v>
      </c>
      <c r="L645" s="72" t="str">
        <f>IF(H645&gt;0,Magick!$AR$24-('Master Spell List'!H684*0.1),"N/A")</f>
        <v>N/A</v>
      </c>
      <c r="M645" s="72">
        <f ca="1">Magick!$H$74</f>
        <v>0.1</v>
      </c>
      <c r="N645" s="72">
        <f ca="1">Magick!$K$74</f>
        <v>0.2</v>
      </c>
      <c r="O645" s="72">
        <f ca="1">Magick!$L$74</f>
        <v>0.2</v>
      </c>
      <c r="P645" s="72">
        <f ca="1">Magick!$M$74</f>
        <v>0.2</v>
      </c>
      <c r="Q645" s="67" t="s">
        <v>4603</v>
      </c>
      <c r="R645" s="67">
        <f ca="1">IF(Q645="Ritual","N/A",IF(Q645="I.E.","N/A",IF(Q645="WOG",VLOOKUP(Magick!$I$74*100,magestuff!$B$134:$F$138,2),IF(Q645="Cantrip",VLOOKUP(Magick!$I$74*100,magestuff!$B$134:$F$138,3),IF(Q645="Hex",VLOOKUP(Magick!$I$74*100,magestuff!$B$134:$F$138,4),VLOOKUP(Magick!$I$74*100,magestuff!$B$134:$F$138,5))))))</f>
        <v>9</v>
      </c>
      <c r="U645" s="67" t="str">
        <f t="shared" si="95"/>
        <v xml:space="preserve"> </v>
      </c>
      <c r="V645" s="515"/>
      <c r="W645" s="125"/>
      <c r="X645" s="31">
        <f t="shared" si="97"/>
        <v>0</v>
      </c>
      <c r="Y645" s="509"/>
      <c r="Z645" s="1054" t="str">
        <f t="shared" si="98"/>
        <v>Create Lesser Illusionary Contact</v>
      </c>
      <c r="AA645" s="1072" t="str">
        <f t="shared" si="99"/>
        <v>Illusion</v>
      </c>
    </row>
    <row r="646" spans="1:27" hidden="1" outlineLevel="1">
      <c r="A646" s="83" t="s">
        <v>134</v>
      </c>
      <c r="B646" s="67">
        <v>2</v>
      </c>
      <c r="C646" s="67">
        <f ca="1">IF(magestuff!$F$202&lt;1,1,magestuff!$F$202)</f>
        <v>2</v>
      </c>
      <c r="D646" s="67">
        <f t="shared" si="94"/>
        <v>0</v>
      </c>
      <c r="E646" s="77">
        <f ca="1">IF(F646="y",HLOOKUP((IF(C646&lt;1,1,C646)),Magick!$C$20:$L$21,2),NA())</f>
        <v>21</v>
      </c>
      <c r="F646" s="67" t="str">
        <f ca="1">IF(C646&lt;=Magick!$D$3,"Y","N")</f>
        <v>Y</v>
      </c>
      <c r="G646" s="148" t="s">
        <v>1616</v>
      </c>
      <c r="H646" s="151"/>
      <c r="I646" s="77" t="e">
        <f>IF(H646&gt;0,(HLOOKUP(C646,Magick!$C$20:$L$21,2)-HLOOKUP(H646,Magick!$C$20:$L$21,2)),NA())</f>
        <v>#N/A</v>
      </c>
      <c r="J646" s="77"/>
      <c r="K646" s="67">
        <v>2</v>
      </c>
      <c r="L646" s="72" t="str">
        <f>IF(H646&gt;0,Magick!$AR$24-('Master Spell List'!H663*0.1),"N/A")</f>
        <v>N/A</v>
      </c>
      <c r="M646" s="72">
        <f ca="1">Magick!$H$74</f>
        <v>0.1</v>
      </c>
      <c r="N646" s="72">
        <f ca="1">Magick!$K$74</f>
        <v>0.2</v>
      </c>
      <c r="O646" s="72">
        <f ca="1">Magick!$L$74</f>
        <v>0.2</v>
      </c>
      <c r="P646" s="72">
        <f ca="1">Magick!$M$74</f>
        <v>0.2</v>
      </c>
      <c r="Q646" s="67" t="s">
        <v>4603</v>
      </c>
      <c r="R646" s="67">
        <f ca="1">IF(Q646="Ritual","N/A",IF(Q646="I.E.","N/A",IF(Q646="WOG",VLOOKUP(Magick!$I$74*100,magestuff!$B$134:$F$138,2),IF(Q646="Cantrip",VLOOKUP(Magick!$I$74*100,magestuff!$B$134:$F$138,3),IF(Q646="Hex",VLOOKUP(Magick!$I$74*100,magestuff!$B$134:$F$138,4),VLOOKUP(Magick!$I$74*100,magestuff!$B$134:$F$138,5))))))</f>
        <v>9</v>
      </c>
      <c r="U646" s="67" t="str">
        <f t="shared" si="95"/>
        <v xml:space="preserve"> </v>
      </c>
      <c r="V646" s="515"/>
      <c r="W646" s="125"/>
      <c r="X646" s="31">
        <f t="shared" si="97"/>
        <v>0</v>
      </c>
      <c r="Y646" s="509"/>
      <c r="Z646" s="1054" t="str">
        <f t="shared" si="98"/>
        <v>Create Lesser Sound</v>
      </c>
      <c r="AA646" s="1072" t="str">
        <f t="shared" si="99"/>
        <v>Illusion</v>
      </c>
    </row>
    <row r="647" spans="1:27" hidden="1" outlineLevel="1">
      <c r="A647" s="31" t="s">
        <v>1749</v>
      </c>
      <c r="B647" s="67">
        <v>2</v>
      </c>
      <c r="C647" s="67">
        <f ca="1">IF(magestuff!$F$202&lt;1,1,magestuff!$F$202)</f>
        <v>2</v>
      </c>
      <c r="D647" s="67">
        <f t="shared" si="94"/>
        <v>0</v>
      </c>
      <c r="E647" s="77">
        <f ca="1">IF(F647="y",HLOOKUP((IF(C647&lt;1,1,C647)),Magick!$C$20:$L$21,2),NA())</f>
        <v>21</v>
      </c>
      <c r="F647" s="67" t="str">
        <f ca="1">IF(C647&lt;=Magick!$D$3,"Y","N")</f>
        <v>Y</v>
      </c>
      <c r="G647" s="148" t="s">
        <v>128</v>
      </c>
      <c r="H647" s="151"/>
      <c r="I647" s="77" t="e">
        <f>IF(H647&gt;0,(HLOOKUP(C647,Magick!$C$20:$L$21,2)-HLOOKUP(H647,Magick!$C$20:$L$21,2)),NA())</f>
        <v>#N/A</v>
      </c>
      <c r="J647" s="77"/>
      <c r="K647" s="67">
        <v>4</v>
      </c>
      <c r="L647" s="72" t="str">
        <f>IF(H647&gt;0,Magick!$AR$24-('Master Spell List'!H628*0.1),"N/A")</f>
        <v>N/A</v>
      </c>
      <c r="M647" s="72">
        <f ca="1">Magick!$H$74</f>
        <v>0.1</v>
      </c>
      <c r="N647" s="72">
        <f ca="1">Magick!$K$74</f>
        <v>0.2</v>
      </c>
      <c r="O647" s="72">
        <f ca="1">Magick!$L$74</f>
        <v>0.2</v>
      </c>
      <c r="P647" s="72">
        <f ca="1">Magick!$M$74</f>
        <v>0.2</v>
      </c>
      <c r="Q647" s="67" t="s">
        <v>4602</v>
      </c>
      <c r="R647" s="67">
        <f ca="1">IF(Q647="Ritual","N/A",IF(Q647="I.E.","N/A",IF(Q647="WOG",VLOOKUP(Magick!$I$74*100,magestuff!$B$134:$F$138,2),IF(Q647="Cantrip",VLOOKUP(Magick!$I$74*100,magestuff!$B$134:$F$138,3),IF(Q647="Hex",VLOOKUP(Magick!$I$74*100,magestuff!$B$134:$F$138,4),VLOOKUP(Magick!$I$74*100,magestuff!$B$134:$F$138,5))))))</f>
        <v>19</v>
      </c>
      <c r="U647" s="67" t="str">
        <f t="shared" si="95"/>
        <v xml:space="preserve"> </v>
      </c>
      <c r="V647" s="515"/>
      <c r="W647" s="125"/>
      <c r="X647" s="31">
        <f t="shared" si="97"/>
        <v>0</v>
      </c>
      <c r="Y647" s="509"/>
      <c r="Z647" s="1054" t="str">
        <f t="shared" si="98"/>
        <v>Delusion</v>
      </c>
      <c r="AA647" s="1072" t="str">
        <f t="shared" si="99"/>
        <v>Illusion</v>
      </c>
    </row>
    <row r="648" spans="1:27" hidden="1" outlineLevel="1">
      <c r="A648" s="83" t="s">
        <v>126</v>
      </c>
      <c r="B648" s="67">
        <v>2</v>
      </c>
      <c r="C648" s="67">
        <f ca="1">IF(magestuff!$F$202&lt;1,1,magestuff!$F$202)</f>
        <v>2</v>
      </c>
      <c r="D648" s="67">
        <f t="shared" si="94"/>
        <v>0</v>
      </c>
      <c r="E648" s="77">
        <f ca="1">IF(F648="y",HLOOKUP((IF(C648&lt;1,1,C648)),Magick!$C$20:$L$21,2),NA())</f>
        <v>21</v>
      </c>
      <c r="F648" s="67" t="str">
        <f ca="1">IF(C648&lt;=Magick!$D$3,"Y","N")</f>
        <v>Y</v>
      </c>
      <c r="G648" s="148" t="s">
        <v>1616</v>
      </c>
      <c r="H648" s="151"/>
      <c r="I648" s="77" t="e">
        <f>IF(H648&gt;0,(HLOOKUP(C648,Magick!$C$20:$L$21,2)-HLOOKUP(H648,Magick!$C$20:$L$21,2)),NA())</f>
        <v>#N/A</v>
      </c>
      <c r="J648" s="77"/>
      <c r="K648" s="67">
        <v>4</v>
      </c>
      <c r="L648" s="72" t="str">
        <f>IF(H648&gt;0,Magick!$AR$24-('Master Spell List'!H660*0.1),"N/A")</f>
        <v>N/A</v>
      </c>
      <c r="M648" s="72">
        <f ca="1">Magick!$H$74</f>
        <v>0.1</v>
      </c>
      <c r="N648" s="72">
        <f ca="1">Magick!$K$74</f>
        <v>0.2</v>
      </c>
      <c r="O648" s="72">
        <f ca="1">Magick!$L$74</f>
        <v>0.2</v>
      </c>
      <c r="P648" s="72">
        <f ca="1">Magick!$M$74</f>
        <v>0.2</v>
      </c>
      <c r="Q648" s="67" t="s">
        <v>4603</v>
      </c>
      <c r="R648" s="67">
        <f ca="1">IF(Q648="Ritual","N/A",IF(Q648="I.E.","N/A",IF(Q648="WOG",VLOOKUP(Magick!$I$74*100,magestuff!$B$134:$F$138,2),IF(Q648="Cantrip",VLOOKUP(Magick!$I$74*100,magestuff!$B$134:$F$138,3),IF(Q648="Hex",VLOOKUP(Magick!$I$74*100,magestuff!$B$134:$F$138,4),VLOOKUP(Magick!$I$74*100,magestuff!$B$134:$F$138,5))))))</f>
        <v>9</v>
      </c>
      <c r="S648" s="67" t="s">
        <v>5545</v>
      </c>
      <c r="T648" s="67" t="s">
        <v>5545</v>
      </c>
      <c r="U648" s="67" t="str">
        <f t="shared" si="95"/>
        <v xml:space="preserve"> </v>
      </c>
      <c r="V648" s="515"/>
      <c r="W648" s="125"/>
      <c r="X648" s="31">
        <f t="shared" si="97"/>
        <v>0</v>
      </c>
      <c r="Y648" s="509"/>
      <c r="Z648" s="1054" t="str">
        <f t="shared" si="98"/>
        <v xml:space="preserve">Detach Sound </v>
      </c>
      <c r="AA648" s="1072" t="str">
        <f t="shared" si="99"/>
        <v>Illusion</v>
      </c>
    </row>
    <row r="649" spans="1:27" hidden="1" outlineLevel="1">
      <c r="A649" s="83" t="s">
        <v>125</v>
      </c>
      <c r="B649" s="67">
        <v>2</v>
      </c>
      <c r="C649" s="67">
        <f ca="1">IF(magestuff!$F$202&lt;1,1,magestuff!$F$202)</f>
        <v>2</v>
      </c>
      <c r="D649" s="67">
        <f t="shared" si="94"/>
        <v>0</v>
      </c>
      <c r="E649" s="77">
        <f ca="1">IF(F649="y",HLOOKUP((IF(C649&lt;1,1,C649)),Magick!$C$20:$L$21,2),NA())</f>
        <v>21</v>
      </c>
      <c r="F649" s="67" t="str">
        <f ca="1">IF(C649&lt;=Magick!$D$3,"Y","N")</f>
        <v>Y</v>
      </c>
      <c r="G649" s="148" t="s">
        <v>1616</v>
      </c>
      <c r="H649" s="151"/>
      <c r="I649" s="77" t="e">
        <f>IF(H649&gt;0,(HLOOKUP(C649,Magick!$C$20:$L$21,2)-HLOOKUP(H649,Magick!$C$20:$L$21,2)),NA())</f>
        <v>#N/A</v>
      </c>
      <c r="J649" s="77"/>
      <c r="K649" s="67">
        <v>4</v>
      </c>
      <c r="L649" s="72" t="str">
        <f>IF(H649&gt;0,Magick!$AR$24-('Master Spell List'!H658*0.1),"N/A")</f>
        <v>N/A</v>
      </c>
      <c r="M649" s="72">
        <f ca="1">Magick!$H$74</f>
        <v>0.1</v>
      </c>
      <c r="N649" s="72">
        <f ca="1">Magick!$K$74</f>
        <v>0.2</v>
      </c>
      <c r="O649" s="72">
        <f ca="1">Magick!$L$74</f>
        <v>0.2</v>
      </c>
      <c r="P649" s="72">
        <f ca="1">Magick!$M$74</f>
        <v>0.2</v>
      </c>
      <c r="Q649" s="67" t="s">
        <v>4603</v>
      </c>
      <c r="R649" s="67">
        <f ca="1">IF(Q649="Ritual","N/A",IF(Q649="I.E.","N/A",IF(Q649="WOG",VLOOKUP(Magick!$I$74*100,magestuff!$B$134:$F$138,2),IF(Q649="Cantrip",VLOOKUP(Magick!$I$74*100,magestuff!$B$134:$F$138,3),IF(Q649="Hex",VLOOKUP(Magick!$I$74*100,magestuff!$B$134:$F$138,4),VLOOKUP(Magick!$I$74*100,magestuff!$B$134:$F$138,5))))))</f>
        <v>9</v>
      </c>
      <c r="S649" s="67" t="s">
        <v>5545</v>
      </c>
      <c r="T649" s="67" t="s">
        <v>5545</v>
      </c>
      <c r="U649" s="67" t="str">
        <f t="shared" si="95"/>
        <v xml:space="preserve"> </v>
      </c>
      <c r="V649" s="515"/>
      <c r="W649" s="125"/>
      <c r="X649" s="31">
        <f t="shared" si="97"/>
        <v>0</v>
      </c>
      <c r="Y649" s="509"/>
      <c r="Z649" s="1054" t="str">
        <f t="shared" si="98"/>
        <v xml:space="preserve">Diffuse Sound </v>
      </c>
      <c r="AA649" s="1072" t="str">
        <f t="shared" si="99"/>
        <v>Illusion</v>
      </c>
    </row>
    <row r="650" spans="1:27" hidden="1" outlineLevel="1">
      <c r="A650" s="31" t="s">
        <v>1750</v>
      </c>
      <c r="B650" s="67">
        <v>2</v>
      </c>
      <c r="C650" s="67">
        <f ca="1">IF(magestuff!$F$202&lt;1,1,magestuff!$F$202)</f>
        <v>2</v>
      </c>
      <c r="D650" s="67">
        <f t="shared" si="94"/>
        <v>0</v>
      </c>
      <c r="E650" s="77">
        <f ca="1">IF(F650="y",HLOOKUP((IF(C650&lt;1,1,C650)),Magick!$C$20:$L$21,2),NA())</f>
        <v>21</v>
      </c>
      <c r="F650" s="67" t="str">
        <f ca="1">IF(C650&lt;=Magick!$D$3,"Y","N")</f>
        <v>Y</v>
      </c>
      <c r="G650" s="148" t="s">
        <v>128</v>
      </c>
      <c r="H650" s="151"/>
      <c r="I650" s="77" t="e">
        <f>IF(H650&gt;0,(HLOOKUP(C650,Magick!$C$20:$L$21,2)-HLOOKUP(H650,Magick!$C$20:$L$21,2)),NA())</f>
        <v>#N/A</v>
      </c>
      <c r="J650" s="77"/>
      <c r="K650" s="67">
        <v>4</v>
      </c>
      <c r="L650" s="72" t="str">
        <f>IF(H650&gt;0,Magick!$AR$24-('Master Spell List'!H629*0.1),"N/A")</f>
        <v>N/A</v>
      </c>
      <c r="M650" s="72">
        <f ca="1">Magick!$H$74</f>
        <v>0.1</v>
      </c>
      <c r="N650" s="72">
        <f ca="1">Magick!$K$74</f>
        <v>0.2</v>
      </c>
      <c r="O650" s="72">
        <f ca="1">Magick!$L$74</f>
        <v>0.2</v>
      </c>
      <c r="P650" s="72">
        <f ca="1">Magick!$M$74</f>
        <v>0.2</v>
      </c>
      <c r="Q650" s="67" t="s">
        <v>4602</v>
      </c>
      <c r="R650" s="67">
        <f ca="1">IF(Q650="Ritual","N/A",IF(Q650="I.E.","N/A",IF(Q650="WOG",VLOOKUP(Magick!$I$74*100,magestuff!$B$134:$F$138,2),IF(Q650="Cantrip",VLOOKUP(Magick!$I$74*100,magestuff!$B$134:$F$138,3),IF(Q650="Hex",VLOOKUP(Magick!$I$74*100,magestuff!$B$134:$F$138,4),VLOOKUP(Magick!$I$74*100,magestuff!$B$134:$F$138,5))))))</f>
        <v>19</v>
      </c>
      <c r="U650" s="67" t="str">
        <f t="shared" si="95"/>
        <v xml:space="preserve"> </v>
      </c>
      <c r="V650" s="515"/>
      <c r="W650" s="125"/>
      <c r="X650" s="31">
        <f t="shared" si="97"/>
        <v>0</v>
      </c>
      <c r="Y650" s="509"/>
      <c r="Z650" s="1054" t="str">
        <f t="shared" si="98"/>
        <v>Diminish</v>
      </c>
      <c r="AA650" s="1072" t="str">
        <f t="shared" si="99"/>
        <v>Illusion</v>
      </c>
    </row>
    <row r="651" spans="1:27" hidden="1" outlineLevel="1">
      <c r="A651" s="31" t="s">
        <v>1747</v>
      </c>
      <c r="B651" s="67">
        <v>2</v>
      </c>
      <c r="C651" s="67">
        <f ca="1">IF(magestuff!$F$202&lt;1,1,magestuff!$F$202)</f>
        <v>2</v>
      </c>
      <c r="D651" s="67">
        <f t="shared" si="94"/>
        <v>0</v>
      </c>
      <c r="E651" s="77">
        <f ca="1">IF(F651="y",HLOOKUP((IF(C651&lt;1,1,C651)),Magick!$C$20:$L$21,2),NA())</f>
        <v>21</v>
      </c>
      <c r="F651" s="67" t="str">
        <f ca="1">IF(C651&lt;=Magick!$D$3,"Y","N")</f>
        <v>Y</v>
      </c>
      <c r="G651" s="148" t="s">
        <v>128</v>
      </c>
      <c r="H651" s="151"/>
      <c r="I651" s="77" t="e">
        <f>IF(H651&gt;0,(HLOOKUP(C651,Magick!$C$20:$L$21,2)-HLOOKUP(H651,Magick!$C$20:$L$21,2)),NA())</f>
        <v>#N/A</v>
      </c>
      <c r="J651" s="77"/>
      <c r="K651" s="67">
        <v>4</v>
      </c>
      <c r="L651" s="72" t="str">
        <f>IF(H651&gt;0,Magick!$AR$24-('Master Spell List'!H624*0.1),"N/A")</f>
        <v>N/A</v>
      </c>
      <c r="M651" s="72">
        <f ca="1">Magick!$H$74</f>
        <v>0.1</v>
      </c>
      <c r="N651" s="72">
        <f ca="1">Magick!$K$74</f>
        <v>0.2</v>
      </c>
      <c r="O651" s="72">
        <f ca="1">Magick!$L$74</f>
        <v>0.2</v>
      </c>
      <c r="P651" s="72">
        <f ca="1">Magick!$M$74</f>
        <v>0.2</v>
      </c>
      <c r="Q651" s="67" t="s">
        <v>4602</v>
      </c>
      <c r="R651" s="67">
        <f ca="1">IF(Q651="Ritual","N/A",IF(Q651="I.E.","N/A",IF(Q651="WOG",VLOOKUP(Magick!$I$74*100,magestuff!$B$134:$F$138,2),IF(Q651="Cantrip",VLOOKUP(Magick!$I$74*100,magestuff!$B$134:$F$138,3),IF(Q651="Hex",VLOOKUP(Magick!$I$74*100,magestuff!$B$134:$F$138,4),VLOOKUP(Magick!$I$74*100,magestuff!$B$134:$F$138,5))))))</f>
        <v>19</v>
      </c>
      <c r="U651" s="67" t="str">
        <f t="shared" si="95"/>
        <v xml:space="preserve"> </v>
      </c>
      <c r="V651" s="515"/>
      <c r="W651" s="125"/>
      <c r="X651" s="31">
        <f t="shared" si="97"/>
        <v>0</v>
      </c>
      <c r="Y651" s="509"/>
      <c r="Z651" s="1054" t="str">
        <f t="shared" si="98"/>
        <v>Disguise</v>
      </c>
      <c r="AA651" s="1072" t="str">
        <f t="shared" si="99"/>
        <v>Illusion</v>
      </c>
    </row>
    <row r="652" spans="1:27" hidden="1" outlineLevel="1">
      <c r="A652" s="31" t="s">
        <v>3089</v>
      </c>
      <c r="B652" s="67">
        <v>2</v>
      </c>
      <c r="C652" s="67">
        <f ca="1">IF(magestuff!$F$202&lt;1,1,magestuff!$F$202)</f>
        <v>2</v>
      </c>
      <c r="D652" s="67">
        <f t="shared" si="94"/>
        <v>0</v>
      </c>
      <c r="E652" s="77">
        <f ca="1">IF(F652="y",HLOOKUP((IF(C652&lt;1,1,C652)),Magick!$C$20:$L$21,2),NA())</f>
        <v>21</v>
      </c>
      <c r="F652" s="67" t="str">
        <f ca="1">IF(C652&lt;=Magick!$D$3,"Y","N")</f>
        <v>Y</v>
      </c>
      <c r="G652" s="148" t="s">
        <v>128</v>
      </c>
      <c r="H652" s="151"/>
      <c r="I652" s="77" t="e">
        <f>IF(H652&gt;0,(HLOOKUP(C652,Magick!$C$20:$L$21,2)-HLOOKUP(H652,Magick!$C$20:$L$21,2)),NA())</f>
        <v>#N/A</v>
      </c>
      <c r="J652" s="77"/>
      <c r="K652" s="67">
        <v>4</v>
      </c>
      <c r="L652" s="72" t="str">
        <f>IF(H652&gt;0,Magick!$AR$24-('Master Spell List'!H619*0.1),"N/A")</f>
        <v>N/A</v>
      </c>
      <c r="M652" s="72">
        <f ca="1">Magick!$H$74</f>
        <v>0.1</v>
      </c>
      <c r="N652" s="72">
        <f ca="1">Magick!$K$74</f>
        <v>0.2</v>
      </c>
      <c r="O652" s="72">
        <f ca="1">Magick!$L$74</f>
        <v>0.2</v>
      </c>
      <c r="P652" s="72">
        <f ca="1">Magick!$M$74</f>
        <v>0.2</v>
      </c>
      <c r="Q652" s="67" t="s">
        <v>4602</v>
      </c>
      <c r="R652" s="67">
        <f ca="1">IF(Q652="Ritual","N/A",IF(Q652="I.E.","N/A",IF(Q652="WOG",VLOOKUP(Magick!$I$74*100,magestuff!$B$134:$F$138,2),IF(Q652="Cantrip",VLOOKUP(Magick!$I$74*100,magestuff!$B$134:$F$138,3),IF(Q652="Hex",VLOOKUP(Magick!$I$74*100,magestuff!$B$134:$F$138,4),VLOOKUP(Magick!$I$74*100,magestuff!$B$134:$F$138,5))))))</f>
        <v>19</v>
      </c>
      <c r="U652" s="67" t="str">
        <f t="shared" si="95"/>
        <v xml:space="preserve"> </v>
      </c>
      <c r="V652" s="515"/>
      <c r="W652" s="125"/>
      <c r="X652" s="31">
        <f t="shared" si="97"/>
        <v>0</v>
      </c>
      <c r="Y652" s="509"/>
      <c r="Z652" s="1054" t="str">
        <f t="shared" si="98"/>
        <v>Faerie Gold</v>
      </c>
      <c r="AA652" s="1072" t="str">
        <f t="shared" si="99"/>
        <v>Illusion</v>
      </c>
    </row>
    <row r="653" spans="1:27" hidden="1" outlineLevel="1">
      <c r="A653" s="31" t="s">
        <v>1751</v>
      </c>
      <c r="B653" s="67">
        <v>2</v>
      </c>
      <c r="C653" s="67">
        <f ca="1">IF(magestuff!$F$202&lt;1,1,magestuff!$F$202)</f>
        <v>2</v>
      </c>
      <c r="D653" s="67">
        <f t="shared" si="94"/>
        <v>0</v>
      </c>
      <c r="E653" s="77">
        <f ca="1">IF(F653="y",HLOOKUP((IF(C653&lt;1,1,C653)),Magick!$C$20:$L$21,2),NA())</f>
        <v>21</v>
      </c>
      <c r="F653" s="67" t="str">
        <f ca="1">IF(C653&lt;=Magick!$D$3,"Y","N")</f>
        <v>Y</v>
      </c>
      <c r="G653" s="148" t="s">
        <v>128</v>
      </c>
      <c r="H653" s="151"/>
      <c r="I653" s="77" t="e">
        <f>IF(H653&gt;0,(HLOOKUP(C653,Magick!$C$20:$L$21,2)-HLOOKUP(H653,Magick!$C$20:$L$21,2)),NA())</f>
        <v>#N/A</v>
      </c>
      <c r="J653" s="77"/>
      <c r="K653" s="67">
        <v>4</v>
      </c>
      <c r="L653" s="72" t="str">
        <f>IF(H653&gt;0,Magick!$AR$24-('Master Spell List'!H630*0.1),"N/A")</f>
        <v>N/A</v>
      </c>
      <c r="M653" s="72">
        <f ca="1">Magick!$H$74</f>
        <v>0.1</v>
      </c>
      <c r="N653" s="72">
        <f ca="1">Magick!$K$74</f>
        <v>0.2</v>
      </c>
      <c r="O653" s="72">
        <f ca="1">Magick!$L$74</f>
        <v>0.2</v>
      </c>
      <c r="P653" s="72">
        <f ca="1">Magick!$M$74</f>
        <v>0.2</v>
      </c>
      <c r="Q653" s="67" t="s">
        <v>4602</v>
      </c>
      <c r="R653" s="67">
        <f ca="1">IF(Q653="Ritual","N/A",IF(Q653="I.E.","N/A",IF(Q653="WOG",VLOOKUP(Magick!$I$74*100,magestuff!$B$134:$F$138,2),IF(Q653="Cantrip",VLOOKUP(Magick!$I$74*100,magestuff!$B$134:$F$138,3),IF(Q653="Hex",VLOOKUP(Magick!$I$74*100,magestuff!$B$134:$F$138,4),VLOOKUP(Magick!$I$74*100,magestuff!$B$134:$F$138,5))))))</f>
        <v>19</v>
      </c>
      <c r="U653" s="67" t="str">
        <f t="shared" si="95"/>
        <v xml:space="preserve"> </v>
      </c>
      <c r="V653" s="515"/>
      <c r="W653" s="125"/>
      <c r="X653" s="31">
        <f t="shared" si="97"/>
        <v>0</v>
      </c>
      <c r="Y653" s="509"/>
      <c r="Z653" s="1054" t="str">
        <f t="shared" si="98"/>
        <v>Grow</v>
      </c>
      <c r="AA653" s="1072" t="str">
        <f t="shared" si="99"/>
        <v>Illusion</v>
      </c>
    </row>
    <row r="654" spans="1:27" hidden="1" outlineLevel="1">
      <c r="A654" s="31" t="s">
        <v>1744</v>
      </c>
      <c r="B654" s="67">
        <v>2</v>
      </c>
      <c r="C654" s="67">
        <f ca="1">IF(magestuff!$F$202&lt;1,1,magestuff!$F$202)</f>
        <v>2</v>
      </c>
      <c r="D654" s="67">
        <f t="shared" si="94"/>
        <v>0</v>
      </c>
      <c r="E654" s="77">
        <f ca="1">IF(F654="y",HLOOKUP((IF(C654&lt;1,1,C654)),Magick!$C$20:$L$21,2),NA())</f>
        <v>21</v>
      </c>
      <c r="F654" s="67" t="str">
        <f ca="1">IF(C654&lt;=Magick!$D$3,"Y","N")</f>
        <v>Y</v>
      </c>
      <c r="G654" s="148" t="s">
        <v>128</v>
      </c>
      <c r="H654" s="151"/>
      <c r="I654" s="77" t="e">
        <f>IF(H654&gt;0,(HLOOKUP(C654,Magick!$C$20:$L$21,2)-HLOOKUP(H654,Magick!$C$20:$L$21,2)),NA())</f>
        <v>#N/A</v>
      </c>
      <c r="J654" s="77"/>
      <c r="K654" s="67">
        <v>4</v>
      </c>
      <c r="L654" s="72" t="str">
        <f>IF(H654&gt;0,Magick!$AR$24-('Master Spell List'!H620*0.1),"N/A")</f>
        <v>N/A</v>
      </c>
      <c r="M654" s="72">
        <f ca="1">Magick!$H$74</f>
        <v>0.1</v>
      </c>
      <c r="N654" s="72">
        <f ca="1">Magick!$K$74</f>
        <v>0.2</v>
      </c>
      <c r="O654" s="72">
        <f ca="1">Magick!$L$74</f>
        <v>0.2</v>
      </c>
      <c r="P654" s="72">
        <f ca="1">Magick!$M$74</f>
        <v>0.2</v>
      </c>
      <c r="Q654" s="67" t="s">
        <v>4602</v>
      </c>
      <c r="R654" s="67">
        <f ca="1">IF(Q654="Ritual","N/A",IF(Q654="I.E.","N/A",IF(Q654="WOG",VLOOKUP(Magick!$I$74*100,magestuff!$B$134:$F$138,2),IF(Q654="Cantrip",VLOOKUP(Magick!$I$74*100,magestuff!$B$134:$F$138,3),IF(Q654="Hex",VLOOKUP(Magick!$I$74*100,magestuff!$B$134:$F$138,4),VLOOKUP(Magick!$I$74*100,magestuff!$B$134:$F$138,5))))))</f>
        <v>19</v>
      </c>
      <c r="U654" s="67" t="str">
        <f t="shared" si="95"/>
        <v xml:space="preserve"> </v>
      </c>
      <c r="V654" s="515"/>
      <c r="W654" s="125"/>
      <c r="X654" s="31">
        <f t="shared" si="97"/>
        <v>0</v>
      </c>
      <c r="Y654" s="509"/>
      <c r="Z654" s="1054" t="str">
        <f t="shared" si="98"/>
        <v>Lesser Illusion</v>
      </c>
      <c r="AA654" s="1072" t="str">
        <f t="shared" si="99"/>
        <v>Illusion</v>
      </c>
    </row>
    <row r="655" spans="1:27" hidden="1" outlineLevel="1">
      <c r="A655" s="83" t="s">
        <v>3238</v>
      </c>
      <c r="B655" s="67">
        <v>2</v>
      </c>
      <c r="C655" s="67">
        <f ca="1">IF(magestuff!$F$202&lt;1,1,magestuff!$F$202)</f>
        <v>2</v>
      </c>
      <c r="D655" s="67">
        <f t="shared" si="94"/>
        <v>0</v>
      </c>
      <c r="E655" s="77">
        <f ca="1">IF(F655="y",HLOOKUP((IF(C655&lt;1,1,C655)),Magick!$C$20:$L$21,2),NA())</f>
        <v>21</v>
      </c>
      <c r="F655" s="67" t="str">
        <f ca="1">IF(C655&lt;=Magick!$D$3,"Y","N")</f>
        <v>Y</v>
      </c>
      <c r="G655" s="148" t="s">
        <v>1617</v>
      </c>
      <c r="H655" s="151"/>
      <c r="I655" s="77" t="e">
        <f>IF(H655&gt;0,(HLOOKUP(C655,Magick!$C$20:$L$21,2)-HLOOKUP(H655,Magick!$C$20:$L$21,2)),NA())</f>
        <v>#N/A</v>
      </c>
      <c r="J655" s="77"/>
      <c r="K655" s="67">
        <v>4</v>
      </c>
      <c r="L655" s="72" t="str">
        <f>IF(H655&gt;0,Magick!$AR$24-('Master Spell List'!H641*0.1),"N/A")</f>
        <v>N/A</v>
      </c>
      <c r="M655" s="72">
        <f ca="1">Magick!$H$74</f>
        <v>0.1</v>
      </c>
      <c r="N655" s="72">
        <f ca="1">Magick!$K$74</f>
        <v>0.2</v>
      </c>
      <c r="O655" s="72">
        <f ca="1">Magick!$L$74</f>
        <v>0.2</v>
      </c>
      <c r="P655" s="72">
        <f ca="1">Magick!$M$74</f>
        <v>0.2</v>
      </c>
      <c r="Q655" s="67" t="s">
        <v>4602</v>
      </c>
      <c r="R655" s="67">
        <f ca="1">IF(Q655="Ritual","N/A",IF(Q655="I.E.","N/A",IF(Q655="WOG",VLOOKUP(Magick!$I$74*100,magestuff!$B$134:$F$138,2),IF(Q655="Cantrip",VLOOKUP(Magick!$I$74*100,magestuff!$B$134:$F$138,3),IF(Q655="Hex",VLOOKUP(Magick!$I$74*100,magestuff!$B$134:$F$138,4),VLOOKUP(Magick!$I$74*100,magestuff!$B$134:$F$138,5))))))</f>
        <v>19</v>
      </c>
      <c r="S655" s="67" t="s">
        <v>2329</v>
      </c>
      <c r="U655" s="67" t="str">
        <f t="shared" si="95"/>
        <v xml:space="preserve"> </v>
      </c>
      <c r="V655" s="515"/>
      <c r="W655" s="125"/>
      <c r="X655" s="31">
        <f t="shared" si="97"/>
        <v>0</v>
      </c>
      <c r="Y655" s="509"/>
      <c r="Z655" s="1054" t="str">
        <f t="shared" si="98"/>
        <v>Mirror Image</v>
      </c>
      <c r="AA655" s="1072" t="str">
        <f t="shared" si="99"/>
        <v>Illusion</v>
      </c>
    </row>
    <row r="656" spans="1:27" hidden="1" outlineLevel="1">
      <c r="A656" s="83" t="s">
        <v>3134</v>
      </c>
      <c r="B656" s="67">
        <v>2</v>
      </c>
      <c r="C656" s="67">
        <f ca="1">IF(magestuff!$F$202&lt;1,1,magestuff!$F$202)</f>
        <v>2</v>
      </c>
      <c r="D656" s="67">
        <f t="shared" si="94"/>
        <v>0</v>
      </c>
      <c r="E656" s="77">
        <f ca="1">IF(F656="y",HLOOKUP((IF(C656&lt;1,1,C656)),Magick!$C$20:$L$21,2),NA())</f>
        <v>21</v>
      </c>
      <c r="F656" s="67" t="str">
        <f ca="1">IF(C656&lt;=Magick!$D$3,"Y","N")</f>
        <v>Y</v>
      </c>
      <c r="G656" s="148" t="s">
        <v>1616</v>
      </c>
      <c r="H656" s="151"/>
      <c r="I656" s="77" t="e">
        <f>IF(H656&gt;0,(HLOOKUP(C656,Magick!$C$20:$L$21,2)-HLOOKUP(H656,Magick!$C$20:$L$21,2)),NA())</f>
        <v>#N/A</v>
      </c>
      <c r="J656" s="77"/>
      <c r="K656" s="67">
        <v>4</v>
      </c>
      <c r="L656" s="72" t="str">
        <f>IF(H656&gt;0,Magick!$AR$24-('Master Spell List'!H644*0.1),"N/A")</f>
        <v>N/A</v>
      </c>
      <c r="M656" s="72">
        <f ca="1">Magick!$H$74</f>
        <v>0.1</v>
      </c>
      <c r="N656" s="72">
        <f ca="1">Magick!$K$74</f>
        <v>0.2</v>
      </c>
      <c r="O656" s="72">
        <f ca="1">Magick!$L$74</f>
        <v>0.2</v>
      </c>
      <c r="P656" s="72">
        <f ca="1">Magick!$M$74</f>
        <v>0.2</v>
      </c>
      <c r="Q656" s="67" t="s">
        <v>4603</v>
      </c>
      <c r="R656" s="67">
        <f ca="1">IF(Q656="Ritual","N/A",IF(Q656="I.E.","N/A",IF(Q656="WOG",VLOOKUP(Magick!$I$74*100,magestuff!$B$134:$F$138,2),IF(Q656="Cantrip",VLOOKUP(Magick!$I$74*100,magestuff!$B$134:$F$138,3),IF(Q656="Hex",VLOOKUP(Magick!$I$74*100,magestuff!$B$134:$F$138,4),VLOOKUP(Magick!$I$74*100,magestuff!$B$134:$F$138,5))))))</f>
        <v>9</v>
      </c>
      <c r="U656" s="67" t="str">
        <f t="shared" si="95"/>
        <v xml:space="preserve"> </v>
      </c>
      <c r="V656" s="515"/>
      <c r="W656" s="125"/>
      <c r="X656" s="31">
        <f t="shared" si="97"/>
        <v>0</v>
      </c>
      <c r="Y656" s="509"/>
      <c r="Z656" s="1054" t="str">
        <f t="shared" si="98"/>
        <v>Shade Light</v>
      </c>
      <c r="AA656" s="1072" t="str">
        <f t="shared" si="99"/>
        <v>Illusion</v>
      </c>
    </row>
    <row r="657" spans="1:27" hidden="1" outlineLevel="1">
      <c r="A657" s="83" t="s">
        <v>133</v>
      </c>
      <c r="B657" s="67">
        <v>2</v>
      </c>
      <c r="C657" s="67">
        <f ca="1">IF(magestuff!$F$202&lt;1,1,magestuff!$F$202)</f>
        <v>2</v>
      </c>
      <c r="D657" s="67">
        <f t="shared" si="94"/>
        <v>0</v>
      </c>
      <c r="E657" s="77">
        <f ca="1">IF(F657="y",HLOOKUP((IF(C657&lt;1,1,C657)),Magick!$C$20:$L$21,2),NA())</f>
        <v>21</v>
      </c>
      <c r="F657" s="67" t="str">
        <f ca="1">IF(C657&lt;=Magick!$D$3,"Y","N")</f>
        <v>Y</v>
      </c>
      <c r="G657" s="148" t="s">
        <v>1616</v>
      </c>
      <c r="H657" s="151"/>
      <c r="I657" s="77" t="e">
        <f>IF(H657&gt;0,(HLOOKUP(C657,Magick!$C$20:$L$21,2)-HLOOKUP(H657,Magick!$C$20:$L$21,2)),NA())</f>
        <v>#N/A</v>
      </c>
      <c r="J657" s="77"/>
      <c r="K657" s="67">
        <v>4</v>
      </c>
      <c r="L657" s="72" t="str">
        <f>IF(H657&gt;0,Magick!$AR$24-('Master Spell List'!H662*0.1),"N/A")</f>
        <v>N/A</v>
      </c>
      <c r="M657" s="72">
        <f ca="1">Magick!$H$74</f>
        <v>0.1</v>
      </c>
      <c r="N657" s="72">
        <f ca="1">Magick!$K$74</f>
        <v>0.2</v>
      </c>
      <c r="O657" s="72">
        <f ca="1">Magick!$L$74</f>
        <v>0.2</v>
      </c>
      <c r="P657" s="72">
        <f ca="1">Magick!$M$74</f>
        <v>0.2</v>
      </c>
      <c r="Q657" s="67" t="s">
        <v>4603</v>
      </c>
      <c r="R657" s="67">
        <f ca="1">IF(Q657="Ritual","N/A",IF(Q657="I.E.","N/A",IF(Q657="WOG",VLOOKUP(Magick!$I$74*100,magestuff!$B$134:$F$138,2),IF(Q657="Cantrip",VLOOKUP(Magick!$I$74*100,magestuff!$B$134:$F$138,3),IF(Q657="Hex",VLOOKUP(Magick!$I$74*100,magestuff!$B$134:$F$138,4),VLOOKUP(Magick!$I$74*100,magestuff!$B$134:$F$138,5))))))</f>
        <v>9</v>
      </c>
      <c r="U657" s="67" t="str">
        <f t="shared" si="95"/>
        <v xml:space="preserve"> </v>
      </c>
      <c r="V657" s="515"/>
      <c r="W657" s="125"/>
      <c r="X657" s="31">
        <f t="shared" si="97"/>
        <v>0</v>
      </c>
      <c r="Y657" s="509"/>
      <c r="Z657" s="1054" t="str">
        <f t="shared" si="98"/>
        <v>Slow Sound</v>
      </c>
      <c r="AA657" s="1072" t="str">
        <f t="shared" si="99"/>
        <v>Illusion</v>
      </c>
    </row>
    <row r="658" spans="1:27" hidden="1" outlineLevel="1">
      <c r="A658" s="83" t="s">
        <v>2862</v>
      </c>
      <c r="B658" s="67">
        <v>3</v>
      </c>
      <c r="C658" s="67">
        <f ca="1">IF(magestuff!$I$202&lt;1,1,magestuff!$I$202)</f>
        <v>3</v>
      </c>
      <c r="D658" s="67">
        <f t="shared" si="94"/>
        <v>0</v>
      </c>
      <c r="E658" s="77" t="e">
        <f ca="1">IF(F658="y",HLOOKUP((IF(C658&lt;1,1,C658)),Magick!$C$20:$L$21,2),NA())</f>
        <v>#N/A</v>
      </c>
      <c r="F658" s="67" t="str">
        <f ca="1">IF(C658&lt;=Magick!$D$3,"Y","N")</f>
        <v>N</v>
      </c>
      <c r="G658" s="148" t="s">
        <v>1616</v>
      </c>
      <c r="H658" s="151"/>
      <c r="I658" s="77" t="e">
        <f>IF(H658&gt;0,(HLOOKUP(C658,Magick!$C$20:$L$21,2)-HLOOKUP(H658,Magick!$C$20:$L$21,2)),NA())</f>
        <v>#N/A</v>
      </c>
      <c r="J658" s="77"/>
      <c r="K658" s="67">
        <v>5</v>
      </c>
      <c r="L658" s="72" t="str">
        <f>IF(H658&gt;0,Magick!$AR$24-('Master Spell List'!H651*0.1),"N/A")</f>
        <v>N/A</v>
      </c>
      <c r="M658" s="72">
        <f ca="1">Magick!$H$74</f>
        <v>0.1</v>
      </c>
      <c r="N658" s="72">
        <f ca="1">Magick!$K$74</f>
        <v>0.2</v>
      </c>
      <c r="O658" s="72">
        <f ca="1">Magick!$L$74</f>
        <v>0.2</v>
      </c>
      <c r="P658" s="72">
        <f ca="1">Magick!$M$74</f>
        <v>0.2</v>
      </c>
      <c r="Q658" s="67" t="s">
        <v>4603</v>
      </c>
      <c r="R658" s="67">
        <f ca="1">IF(Q658="Ritual","N/A",IF(Q658="I.E.","N/A",IF(Q658="WOG",VLOOKUP(Magick!$I$74*100,magestuff!$B$134:$F$138,2),IF(Q658="Cantrip",VLOOKUP(Magick!$I$74*100,magestuff!$B$134:$F$138,3),IF(Q658="Hex",VLOOKUP(Magick!$I$74*100,magestuff!$B$134:$F$138,4),VLOOKUP(Magick!$I$74*100,magestuff!$B$134:$F$138,5))))))</f>
        <v>9</v>
      </c>
      <c r="U658" s="67" t="str">
        <f t="shared" si="95"/>
        <v xml:space="preserve"> </v>
      </c>
      <c r="V658" s="515"/>
      <c r="W658" s="125"/>
      <c r="X658" s="31">
        <f t="shared" si="97"/>
        <v>0</v>
      </c>
      <c r="Y658" s="509"/>
      <c r="Z658" s="1054" t="str">
        <f t="shared" si="98"/>
        <v>Accelerate Image</v>
      </c>
      <c r="AA658" s="1072" t="str">
        <f t="shared" si="99"/>
        <v>Illusion</v>
      </c>
    </row>
    <row r="659" spans="1:27" hidden="1" outlineLevel="1">
      <c r="A659" s="83" t="s">
        <v>2860</v>
      </c>
      <c r="B659" s="67">
        <v>3</v>
      </c>
      <c r="C659" s="67">
        <f ca="1">IF(magestuff!$I$202&lt;1,1,magestuff!$I$202)</f>
        <v>3</v>
      </c>
      <c r="D659" s="67">
        <f t="shared" si="94"/>
        <v>0</v>
      </c>
      <c r="E659" s="77" t="e">
        <f ca="1">IF(F659="y",HLOOKUP((IF(C659&lt;1,1,C659)),Magick!$C$20:$L$21,2),NA())</f>
        <v>#N/A</v>
      </c>
      <c r="F659" s="67" t="str">
        <f ca="1">IF(C659&lt;=Magick!$D$3,"Y","N")</f>
        <v>N</v>
      </c>
      <c r="G659" s="148" t="s">
        <v>1616</v>
      </c>
      <c r="H659" s="151"/>
      <c r="I659" s="77" t="e">
        <f>IF(H659&gt;0,(HLOOKUP(C659,Magick!$C$20:$L$21,2)-HLOOKUP(H659,Magick!$C$20:$L$21,2)),NA())</f>
        <v>#N/A</v>
      </c>
      <c r="J659" s="77"/>
      <c r="K659" s="67">
        <v>5</v>
      </c>
      <c r="L659" s="72" t="str">
        <f>IF(H659&gt;0,Magick!$AR$24-('Master Spell List'!H649*0.1),"N/A")</f>
        <v>N/A</v>
      </c>
      <c r="M659" s="72">
        <f ca="1">Magick!$H$74</f>
        <v>0.1</v>
      </c>
      <c r="N659" s="72">
        <f ca="1">Magick!$K$74</f>
        <v>0.2</v>
      </c>
      <c r="O659" s="72">
        <f ca="1">Magick!$L$74</f>
        <v>0.2</v>
      </c>
      <c r="P659" s="72">
        <f ca="1">Magick!$M$74</f>
        <v>0.2</v>
      </c>
      <c r="Q659" s="67" t="s">
        <v>4603</v>
      </c>
      <c r="R659" s="67">
        <f ca="1">IF(Q659="Ritual","N/A",IF(Q659="I.E.","N/A",IF(Q659="WOG",VLOOKUP(Magick!$I$74*100,magestuff!$B$134:$F$138,2),IF(Q659="Cantrip",VLOOKUP(Magick!$I$74*100,magestuff!$B$134:$F$138,3),IF(Q659="Hex",VLOOKUP(Magick!$I$74*100,magestuff!$B$134:$F$138,4),VLOOKUP(Magick!$I$74*100,magestuff!$B$134:$F$138,5))))))</f>
        <v>9</v>
      </c>
      <c r="U659" s="67" t="str">
        <f t="shared" si="95"/>
        <v xml:space="preserve"> </v>
      </c>
      <c r="V659" s="515"/>
      <c r="W659" s="125"/>
      <c r="X659" s="31">
        <f t="shared" si="97"/>
        <v>0</v>
      </c>
      <c r="Y659" s="509"/>
      <c r="Z659" s="1054" t="str">
        <f t="shared" si="98"/>
        <v>Affix Image</v>
      </c>
      <c r="AA659" s="1072" t="str">
        <f t="shared" si="99"/>
        <v>Illusion</v>
      </c>
    </row>
    <row r="660" spans="1:27" hidden="1" outlineLevel="1">
      <c r="A660" s="31" t="s">
        <v>1748</v>
      </c>
      <c r="B660" s="67">
        <v>3</v>
      </c>
      <c r="C660" s="67">
        <f ca="1">IF(magestuff!$I$202&lt;1,1,magestuff!$I$202)</f>
        <v>3</v>
      </c>
      <c r="D660" s="67">
        <f t="shared" si="94"/>
        <v>0</v>
      </c>
      <c r="E660" s="77" t="e">
        <f ca="1">IF(F660="y",HLOOKUP((IF(C660&lt;1,1,C660)),Magick!$C$20:$L$21,2),NA())</f>
        <v>#N/A</v>
      </c>
      <c r="F660" s="67" t="str">
        <f ca="1">IF(C660&lt;=Magick!$D$3,"Y","N")</f>
        <v>N</v>
      </c>
      <c r="G660" s="148" t="s">
        <v>128</v>
      </c>
      <c r="H660" s="151"/>
      <c r="I660" s="77" t="e">
        <f>IF(H660&gt;0,(HLOOKUP(C660,Magick!$C$20:$L$21,2)-HLOOKUP(H660,Magick!$C$20:$L$21,2)),NA())</f>
        <v>#N/A</v>
      </c>
      <c r="J660" s="77"/>
      <c r="K660" s="67">
        <v>6</v>
      </c>
      <c r="L660" s="72" t="str">
        <f>IF(H660&gt;0,Magick!$AR$24-('Master Spell List'!H626*0.1),"N/A")</f>
        <v>N/A</v>
      </c>
      <c r="M660" s="72">
        <f ca="1">Magick!$H$74</f>
        <v>0.1</v>
      </c>
      <c r="N660" s="72">
        <f ca="1">Magick!$K$74</f>
        <v>0.2</v>
      </c>
      <c r="O660" s="72">
        <f ca="1">Magick!$L$74</f>
        <v>0.2</v>
      </c>
      <c r="P660" s="72">
        <f ca="1">Magick!$M$74</f>
        <v>0.2</v>
      </c>
      <c r="Q660" s="67" t="s">
        <v>3723</v>
      </c>
      <c r="R660" s="67">
        <f ca="1">IF(Q660="Ritual","N/A",IF(Q660="I.E.","N/A",IF(Q660="WOG",VLOOKUP(Magick!$I$74*100,magestuff!$B$134:$F$138,2),IF(Q660="Cantrip",VLOOKUP(Magick!$I$74*100,magestuff!$B$134:$F$138,3),IF(Q660="Hex",VLOOKUP(Magick!$I$74*100,magestuff!$B$134:$F$138,4),VLOOKUP(Magick!$I$74*100,magestuff!$B$134:$F$138,5))))))</f>
        <v>29</v>
      </c>
      <c r="U660" s="67" t="str">
        <f t="shared" si="95"/>
        <v xml:space="preserve"> </v>
      </c>
      <c r="V660" s="515"/>
      <c r="W660" s="125"/>
      <c r="X660" s="31">
        <f t="shared" si="97"/>
        <v>0</v>
      </c>
      <c r="Y660" s="509"/>
      <c r="Z660" s="1054" t="str">
        <f t="shared" si="98"/>
        <v>Cloak Self</v>
      </c>
      <c r="AA660" s="1072" t="str">
        <f t="shared" si="99"/>
        <v>Illusion</v>
      </c>
    </row>
    <row r="661" spans="1:27" hidden="1" outlineLevel="1">
      <c r="A661" s="83" t="s">
        <v>598</v>
      </c>
      <c r="B661" s="67">
        <v>3</v>
      </c>
      <c r="C661" s="67">
        <f ca="1">IF(magestuff!$I$202&lt;1,1,magestuff!$I$202)</f>
        <v>3</v>
      </c>
      <c r="D661" s="67">
        <f t="shared" si="94"/>
        <v>0</v>
      </c>
      <c r="E661" s="77" t="e">
        <f ca="1">IF(F661="y",HLOOKUP((IF(C661&lt;1,1,C661)),Magick!$C$20:$L$21,2),NA())</f>
        <v>#N/A</v>
      </c>
      <c r="F661" s="67" t="str">
        <f ca="1">IF(C661&lt;=Magick!$D$3,"Y","N")</f>
        <v>N</v>
      </c>
      <c r="G661" s="148" t="s">
        <v>1616</v>
      </c>
      <c r="H661" s="151"/>
      <c r="I661" s="77" t="e">
        <f>IF(H661&gt;0,(HLOOKUP(C661,Magick!$C$20:$L$21,2)-HLOOKUP(H661,Magick!$C$20:$L$21,2)),NA())</f>
        <v>#N/A</v>
      </c>
      <c r="J661" s="77"/>
      <c r="K661" s="67">
        <v>5</v>
      </c>
      <c r="L661" s="72" t="str">
        <f>IF(H661&gt;0,Magick!$AR$24-('Master Spell List'!H685*0.1),"N/A")</f>
        <v>N/A</v>
      </c>
      <c r="M661" s="72">
        <f ca="1">Magick!$H$74</f>
        <v>0.1</v>
      </c>
      <c r="N661" s="72">
        <f ca="1">Magick!$K$74</f>
        <v>0.2</v>
      </c>
      <c r="O661" s="72">
        <f ca="1">Magick!$L$74</f>
        <v>0.2</v>
      </c>
      <c r="P661" s="72">
        <f ca="1">Magick!$M$74</f>
        <v>0.2</v>
      </c>
      <c r="Q661" s="67" t="s">
        <v>4602</v>
      </c>
      <c r="R661" s="67">
        <f ca="1">IF(Q661="Ritual","N/A",IF(Q661="I.E.","N/A",IF(Q661="WOG",VLOOKUP(Magick!$I$74*100,magestuff!$B$134:$F$138,2),IF(Q661="Cantrip",VLOOKUP(Magick!$I$74*100,magestuff!$B$134:$F$138,3),IF(Q661="Hex",VLOOKUP(Magick!$I$74*100,magestuff!$B$134:$F$138,4),VLOOKUP(Magick!$I$74*100,magestuff!$B$134:$F$138,5))))))</f>
        <v>19</v>
      </c>
      <c r="U661" s="67" t="str">
        <f t="shared" si="95"/>
        <v xml:space="preserve"> </v>
      </c>
      <c r="V661" s="515"/>
      <c r="W661" s="125"/>
      <c r="X661" s="31">
        <f t="shared" si="97"/>
        <v>0</v>
      </c>
      <c r="Y661" s="509"/>
      <c r="Z661" s="1054" t="str">
        <f t="shared" si="98"/>
        <v>Create Great Illusionary Contact</v>
      </c>
      <c r="AA661" s="1072" t="str">
        <f t="shared" si="99"/>
        <v>Illusion</v>
      </c>
    </row>
    <row r="662" spans="1:27" hidden="1" outlineLevel="1">
      <c r="A662" s="83" t="s">
        <v>135</v>
      </c>
      <c r="B662" s="67">
        <v>3</v>
      </c>
      <c r="C662" s="67">
        <f ca="1">IF(magestuff!$I$202&lt;1,1,magestuff!$I$202)</f>
        <v>3</v>
      </c>
      <c r="D662" s="67">
        <f t="shared" si="94"/>
        <v>0</v>
      </c>
      <c r="E662" s="77" t="e">
        <f ca="1">IF(F662="y",HLOOKUP((IF(C662&lt;1,1,C662)),Magick!$C$20:$L$21,2),NA())</f>
        <v>#N/A</v>
      </c>
      <c r="F662" s="67" t="str">
        <f ca="1">IF(C662&lt;=Magick!$D$3,"Y","N")</f>
        <v>N</v>
      </c>
      <c r="G662" s="148" t="s">
        <v>1616</v>
      </c>
      <c r="H662" s="151"/>
      <c r="I662" s="77" t="e">
        <f>IF(H662&gt;0,(HLOOKUP(C662,Magick!$C$20:$L$21,2)-HLOOKUP(H662,Magick!$C$20:$L$21,2)),NA())</f>
        <v>#N/A</v>
      </c>
      <c r="J662" s="77"/>
      <c r="K662" s="67">
        <v>5</v>
      </c>
      <c r="L662" s="72" t="str">
        <f>IF(H662&gt;0,Magick!$AR$24-('Master Spell List'!H664*0.1),"N/A")</f>
        <v>N/A</v>
      </c>
      <c r="M662" s="72">
        <f ca="1">Magick!$H$74</f>
        <v>0.1</v>
      </c>
      <c r="N662" s="72">
        <f ca="1">Magick!$K$74</f>
        <v>0.2</v>
      </c>
      <c r="O662" s="72">
        <f ca="1">Magick!$L$74</f>
        <v>0.2</v>
      </c>
      <c r="P662" s="72">
        <f ca="1">Magick!$M$74</f>
        <v>0.2</v>
      </c>
      <c r="Q662" s="67" t="s">
        <v>4602</v>
      </c>
      <c r="R662" s="67">
        <f ca="1">IF(Q662="Ritual","N/A",IF(Q662="I.E.","N/A",IF(Q662="WOG",VLOOKUP(Magick!$I$74*100,magestuff!$B$134:$F$138,2),IF(Q662="Cantrip",VLOOKUP(Magick!$I$74*100,magestuff!$B$134:$F$138,3),IF(Q662="Hex",VLOOKUP(Magick!$I$74*100,magestuff!$B$134:$F$138,4),VLOOKUP(Magick!$I$74*100,magestuff!$B$134:$F$138,5))))))</f>
        <v>19</v>
      </c>
      <c r="U662" s="67" t="str">
        <f t="shared" si="95"/>
        <v xml:space="preserve"> </v>
      </c>
      <c r="V662" s="515"/>
      <c r="W662" s="125"/>
      <c r="X662" s="31">
        <f t="shared" si="97"/>
        <v>0</v>
      </c>
      <c r="Y662" s="509"/>
      <c r="Z662" s="1054" t="str">
        <f t="shared" si="98"/>
        <v>Create Great Sound</v>
      </c>
      <c r="AA662" s="1072" t="str">
        <f t="shared" si="99"/>
        <v>Illusion</v>
      </c>
    </row>
    <row r="663" spans="1:27" hidden="1" outlineLevel="1">
      <c r="A663" s="83" t="s">
        <v>3137</v>
      </c>
      <c r="B663" s="67">
        <v>3</v>
      </c>
      <c r="C663" s="67">
        <f ca="1">IF(magestuff!$I$202&lt;1,1,magestuff!$I$202)</f>
        <v>3</v>
      </c>
      <c r="D663" s="67">
        <f t="shared" si="94"/>
        <v>0</v>
      </c>
      <c r="E663" s="77" t="e">
        <f ca="1">IF(F663="y",HLOOKUP((IF(C663&lt;1,1,C663)),Magick!$C$20:$L$21,2),NA())</f>
        <v>#N/A</v>
      </c>
      <c r="F663" s="67" t="str">
        <f ca="1">IF(C663&lt;=Magick!$D$3,"Y","N")</f>
        <v>N</v>
      </c>
      <c r="G663" s="148" t="s">
        <v>1616</v>
      </c>
      <c r="H663" s="151"/>
      <c r="I663" s="77" t="e">
        <f>IF(H663&gt;0,(HLOOKUP(C663,Magick!$C$20:$L$21,2)-HLOOKUP(H663,Magick!$C$20:$L$21,2)),NA())</f>
        <v>#N/A</v>
      </c>
      <c r="J663" s="77"/>
      <c r="K663" s="67">
        <v>5</v>
      </c>
      <c r="L663" s="72" t="str">
        <f>IF(H663&gt;0,Magick!$AR$24-('Master Spell List'!H647*0.1),"N/A")</f>
        <v>N/A</v>
      </c>
      <c r="M663" s="72">
        <f ca="1">Magick!$H$74</f>
        <v>0.1</v>
      </c>
      <c r="N663" s="72">
        <f ca="1">Magick!$K$74</f>
        <v>0.2</v>
      </c>
      <c r="O663" s="72">
        <f ca="1">Magick!$L$74</f>
        <v>0.2</v>
      </c>
      <c r="P663" s="72">
        <f ca="1">Magick!$M$74</f>
        <v>0.2</v>
      </c>
      <c r="Q663" s="67" t="s">
        <v>4603</v>
      </c>
      <c r="R663" s="67">
        <f ca="1">IF(Q663="Ritual","N/A",IF(Q663="I.E.","N/A",IF(Q663="WOG",VLOOKUP(Magick!$I$74*100,magestuff!$B$134:$F$138,2),IF(Q663="Cantrip",VLOOKUP(Magick!$I$74*100,magestuff!$B$134:$F$138,3),IF(Q663="Hex",VLOOKUP(Magick!$I$74*100,magestuff!$B$134:$F$138,4),VLOOKUP(Magick!$I$74*100,magestuff!$B$134:$F$138,5))))))</f>
        <v>9</v>
      </c>
      <c r="U663" s="67" t="str">
        <f t="shared" si="95"/>
        <v xml:space="preserve"> </v>
      </c>
      <c r="V663" s="515"/>
      <c r="W663" s="125"/>
      <c r="X663" s="31">
        <f t="shared" si="97"/>
        <v>0</v>
      </c>
      <c r="Y663" s="509"/>
      <c r="Z663" s="1054" t="str">
        <f t="shared" si="98"/>
        <v>Detach Image</v>
      </c>
      <c r="AA663" s="1072" t="str">
        <f t="shared" si="99"/>
        <v>Illusion</v>
      </c>
    </row>
    <row r="664" spans="1:27" hidden="1" outlineLevel="1">
      <c r="A664" s="83" t="s">
        <v>2864</v>
      </c>
      <c r="B664" s="67">
        <v>3</v>
      </c>
      <c r="C664" s="67">
        <f ca="1">IF(magestuff!$I$202&lt;1,1,magestuff!$I$202)</f>
        <v>3</v>
      </c>
      <c r="D664" s="67">
        <f t="shared" si="94"/>
        <v>0</v>
      </c>
      <c r="E664" s="77" t="e">
        <f ca="1">IF(F664="y",HLOOKUP((IF(C664&lt;1,1,C664)),Magick!$C$20:$L$21,2),NA())</f>
        <v>#N/A</v>
      </c>
      <c r="F664" s="67" t="str">
        <f ca="1">IF(C664&lt;=Magick!$D$3,"Y","N")</f>
        <v>N</v>
      </c>
      <c r="G664" s="148" t="s">
        <v>1616</v>
      </c>
      <c r="H664" s="151"/>
      <c r="I664" s="77" t="e">
        <f>IF(H664&gt;0,(HLOOKUP(C664,Magick!$C$20:$L$21,2)-HLOOKUP(H664,Magick!$C$20:$L$21,2)),NA())</f>
        <v>#N/A</v>
      </c>
      <c r="J664" s="77"/>
      <c r="K664" s="67">
        <v>5</v>
      </c>
      <c r="L664" s="72" t="str">
        <f>IF(H664&gt;0,Magick!$AR$24-('Master Spell List'!H653*0.1),"N/A")</f>
        <v>N/A</v>
      </c>
      <c r="M664" s="72">
        <f ca="1">Magick!$H$74</f>
        <v>0.1</v>
      </c>
      <c r="N664" s="72">
        <f ca="1">Magick!$K$74</f>
        <v>0.2</v>
      </c>
      <c r="O664" s="72">
        <f ca="1">Magick!$L$74</f>
        <v>0.2</v>
      </c>
      <c r="P664" s="72">
        <f ca="1">Magick!$M$74</f>
        <v>0.2</v>
      </c>
      <c r="Q664" s="67" t="s">
        <v>4603</v>
      </c>
      <c r="R664" s="67">
        <f ca="1">IF(Q664="Ritual","N/A",IF(Q664="I.E.","N/A",IF(Q664="WOG",VLOOKUP(Magick!$I$74*100,magestuff!$B$134:$F$138,2),IF(Q664="Cantrip",VLOOKUP(Magick!$I$74*100,magestuff!$B$134:$F$138,3),IF(Q664="Hex",VLOOKUP(Magick!$I$74*100,magestuff!$B$134:$F$138,4),VLOOKUP(Magick!$I$74*100,magestuff!$B$134:$F$138,5))))))</f>
        <v>9</v>
      </c>
      <c r="U664" s="67" t="str">
        <f t="shared" si="95"/>
        <v xml:space="preserve"> </v>
      </c>
      <c r="V664" s="515"/>
      <c r="W664" s="125"/>
      <c r="X664" s="31">
        <f t="shared" si="97"/>
        <v>0</v>
      </c>
      <c r="Y664" s="509"/>
      <c r="Z664" s="1054" t="str">
        <f t="shared" si="98"/>
        <v>Diffuse Image</v>
      </c>
      <c r="AA664" s="1072" t="str">
        <f t="shared" si="99"/>
        <v>Illusion</v>
      </c>
    </row>
    <row r="665" spans="1:27" hidden="1" outlineLevel="1">
      <c r="A665" s="83" t="s">
        <v>2866</v>
      </c>
      <c r="B665" s="67">
        <v>3</v>
      </c>
      <c r="C665" s="67">
        <f ca="1">IF(magestuff!$I$202&lt;1,1,magestuff!$I$202)</f>
        <v>3</v>
      </c>
      <c r="D665" s="67">
        <f t="shared" si="94"/>
        <v>0</v>
      </c>
      <c r="E665" s="77" t="e">
        <f ca="1">IF(F665="y",HLOOKUP((IF(C665&lt;1,1,C665)),Magick!$C$20:$L$21,2),NA())</f>
        <v>#N/A</v>
      </c>
      <c r="F665" s="67" t="str">
        <f ca="1">IF(C665&lt;=Magick!$D$3,"Y","N")</f>
        <v>N</v>
      </c>
      <c r="G665" s="148" t="s">
        <v>1616</v>
      </c>
      <c r="H665" s="151"/>
      <c r="I665" s="77" t="e">
        <f>IF(H665&gt;0,(HLOOKUP(C665,Magick!$C$20:$L$21,2)-HLOOKUP(H665,Magick!$C$20:$L$21,2)),NA())</f>
        <v>#N/A</v>
      </c>
      <c r="J665" s="77"/>
      <c r="K665" s="67">
        <v>5</v>
      </c>
      <c r="L665" s="72" t="str">
        <f>IF(H665&gt;0,Magick!$AR$24-('Master Spell List'!H655*0.1),"N/A")</f>
        <v>N/A</v>
      </c>
      <c r="M665" s="72">
        <f ca="1">Magick!$H$74</f>
        <v>0.1</v>
      </c>
      <c r="N665" s="72">
        <f ca="1">Magick!$K$74</f>
        <v>0.2</v>
      </c>
      <c r="O665" s="72">
        <f ca="1">Magick!$L$74</f>
        <v>0.2</v>
      </c>
      <c r="P665" s="72">
        <f ca="1">Magick!$M$74</f>
        <v>0.2</v>
      </c>
      <c r="Q665" s="67" t="s">
        <v>4603</v>
      </c>
      <c r="R665" s="67">
        <f ca="1">IF(Q665="Ritual","N/A",IF(Q665="I.E.","N/A",IF(Q665="WOG",VLOOKUP(Magick!$I$74*100,magestuff!$B$134:$F$138,2),IF(Q665="Cantrip",VLOOKUP(Magick!$I$74*100,magestuff!$B$134:$F$138,3),IF(Q665="Hex",VLOOKUP(Magick!$I$74*100,magestuff!$B$134:$F$138,4),VLOOKUP(Magick!$I$74*100,magestuff!$B$134:$F$138,5))))))</f>
        <v>9</v>
      </c>
      <c r="U665" s="67" t="str">
        <f t="shared" si="95"/>
        <v xml:space="preserve"> </v>
      </c>
      <c r="V665" s="515"/>
      <c r="W665" s="125"/>
      <c r="X665" s="31">
        <f t="shared" si="97"/>
        <v>0</v>
      </c>
      <c r="Y665" s="509"/>
      <c r="Z665" s="1054" t="str">
        <f t="shared" si="98"/>
        <v>Slow Image</v>
      </c>
      <c r="AA665" s="1072" t="str">
        <f t="shared" si="99"/>
        <v>Illusion</v>
      </c>
    </row>
    <row r="666" spans="1:27" hidden="1" outlineLevel="1">
      <c r="A666" s="83" t="s">
        <v>3133</v>
      </c>
      <c r="B666" s="67">
        <v>4</v>
      </c>
      <c r="C666" s="67">
        <f ca="1">magestuff!$L$202</f>
        <v>4</v>
      </c>
      <c r="D666" s="67">
        <f t="shared" si="94"/>
        <v>0</v>
      </c>
      <c r="E666" s="77" t="e">
        <f ca="1">IF(F666="y",HLOOKUP((IF(C666&lt;1,1,C666)),Magick!$C$20:$L$21,2),NA())</f>
        <v>#N/A</v>
      </c>
      <c r="F666" s="67" t="str">
        <f ca="1">IF(C666&lt;=Magick!$D$3,"Y","N")</f>
        <v>N</v>
      </c>
      <c r="G666" s="148" t="s">
        <v>1616</v>
      </c>
      <c r="H666" s="151"/>
      <c r="I666" s="77" t="e">
        <f>IF(H666&gt;0,(HLOOKUP(C666,Magick!$C$20:$L$21,2)-HLOOKUP(H666,Magick!$C$20:$L$21,2)),NA())</f>
        <v>#N/A</v>
      </c>
      <c r="J666" s="77"/>
      <c r="K666" s="67">
        <v>7</v>
      </c>
      <c r="L666" s="72" t="str">
        <f>IF(H666&gt;0,Magick!$AR$24-('Master Spell List'!H643*0.1),"N/A")</f>
        <v>N/A</v>
      </c>
      <c r="M666" s="72">
        <f ca="1">Magick!$H$74</f>
        <v>0.1</v>
      </c>
      <c r="N666" s="72">
        <f ca="1">Magick!$K$74</f>
        <v>0.2</v>
      </c>
      <c r="O666" s="72">
        <f ca="1">Magick!$L$74</f>
        <v>0.2</v>
      </c>
      <c r="P666" s="72">
        <f ca="1">Magick!$M$74</f>
        <v>0.2</v>
      </c>
      <c r="Q666" s="67" t="s">
        <v>4603</v>
      </c>
      <c r="R666" s="67">
        <f ca="1">IF(Q666="Ritual","N/A",IF(Q666="I.E.","N/A",IF(Q666="WOG",VLOOKUP(Magick!$I$74*100,magestuff!$B$134:$F$138,2),IF(Q666="Cantrip",VLOOKUP(Magick!$I$74*100,magestuff!$B$134:$F$138,3),IF(Q666="Hex",VLOOKUP(Magick!$I$74*100,magestuff!$B$134:$F$138,4),VLOOKUP(Magick!$I$74*100,magestuff!$B$134:$F$138,5))))))</f>
        <v>9</v>
      </c>
      <c r="U666" s="67" t="str">
        <f t="shared" si="95"/>
        <v xml:space="preserve"> </v>
      </c>
      <c r="V666" s="515"/>
      <c r="W666" s="125"/>
      <c r="X666" s="31">
        <f t="shared" si="97"/>
        <v>0</v>
      </c>
      <c r="Y666" s="509"/>
      <c r="Z666" s="1054" t="str">
        <f t="shared" si="98"/>
        <v>Color Image</v>
      </c>
      <c r="AA666" s="1072" t="str">
        <f t="shared" si="99"/>
        <v>Illusion</v>
      </c>
    </row>
    <row r="667" spans="1:27" hidden="1" outlineLevel="1">
      <c r="A667" s="83" t="s">
        <v>3131</v>
      </c>
      <c r="B667" s="67">
        <v>4</v>
      </c>
      <c r="C667" s="67">
        <f ca="1">magestuff!$L$202</f>
        <v>4</v>
      </c>
      <c r="D667" s="67">
        <f t="shared" si="94"/>
        <v>0</v>
      </c>
      <c r="E667" s="77" t="e">
        <f ca="1">IF(F667="y",HLOOKUP((IF(C667&lt;1,1,C667)),Magick!$C$20:$L$21,2),NA())</f>
        <v>#N/A</v>
      </c>
      <c r="F667" s="67" t="str">
        <f ca="1">IF(C667&lt;=Magick!$D$3,"Y","N")</f>
        <v>N</v>
      </c>
      <c r="G667" s="148" t="s">
        <v>1616</v>
      </c>
      <c r="H667" s="151"/>
      <c r="I667" s="77" t="e">
        <f>IF(H667&gt;0,(HLOOKUP(C667,Magick!$C$20:$L$21,2)-HLOOKUP(H667,Magick!$C$20:$L$21,2)),NA())</f>
        <v>#N/A</v>
      </c>
      <c r="J667" s="77"/>
      <c r="K667" s="67">
        <v>7</v>
      </c>
      <c r="L667" s="72" t="str">
        <f>IF(H667&gt;0,Magick!$AR$24-('Master Spell List'!H641*0.1),"N/A")</f>
        <v>N/A</v>
      </c>
      <c r="M667" s="72">
        <f ca="1">Magick!$H$74</f>
        <v>0.1</v>
      </c>
      <c r="N667" s="72">
        <f ca="1">Magick!$K$74</f>
        <v>0.2</v>
      </c>
      <c r="O667" s="72">
        <f ca="1">Magick!$L$74</f>
        <v>0.2</v>
      </c>
      <c r="P667" s="72">
        <f ca="1">Magick!$M$74</f>
        <v>0.2</v>
      </c>
      <c r="Q667" s="67" t="s">
        <v>4603</v>
      </c>
      <c r="R667" s="67">
        <f ca="1">IF(Q667="Ritual","N/A",IF(Q667="I.E.","N/A",IF(Q667="WOG",VLOOKUP(Magick!$I$74*100,magestuff!$B$134:$F$138,2),IF(Q667="Cantrip",VLOOKUP(Magick!$I$74*100,magestuff!$B$134:$F$138,3),IF(Q667="Hex",VLOOKUP(Magick!$I$74*100,magestuff!$B$134:$F$138,4),VLOOKUP(Magick!$I$74*100,magestuff!$B$134:$F$138,5))))))</f>
        <v>9</v>
      </c>
      <c r="U667" s="67" t="str">
        <f t="shared" si="95"/>
        <v xml:space="preserve"> </v>
      </c>
      <c r="V667" s="515"/>
      <c r="W667" s="125"/>
      <c r="X667" s="31">
        <f t="shared" si="97"/>
        <v>0</v>
      </c>
      <c r="Y667" s="509"/>
      <c r="Z667" s="1054" t="str">
        <f t="shared" si="98"/>
        <v>Command Image</v>
      </c>
      <c r="AA667" s="1072" t="str">
        <f t="shared" si="99"/>
        <v>Illusion</v>
      </c>
    </row>
    <row r="668" spans="1:27" hidden="1" outlineLevel="1">
      <c r="A668" s="83" t="s">
        <v>599</v>
      </c>
      <c r="B668" s="67">
        <v>4</v>
      </c>
      <c r="C668" s="67">
        <f ca="1">magestuff!$L$202</f>
        <v>4</v>
      </c>
      <c r="D668" s="67">
        <f t="shared" si="94"/>
        <v>0</v>
      </c>
      <c r="E668" s="77" t="e">
        <f ca="1">IF(F668="y",HLOOKUP((IF(C668&lt;1,1,C668)),Magick!$C$20:$L$21,2),NA())</f>
        <v>#N/A</v>
      </c>
      <c r="F668" s="67" t="str">
        <f ca="1">IF(C668&lt;=Magick!$D$3,"Y","N")</f>
        <v>N</v>
      </c>
      <c r="G668" s="148" t="s">
        <v>1616</v>
      </c>
      <c r="H668" s="151"/>
      <c r="I668" s="77" t="e">
        <f>IF(H668&gt;0,(HLOOKUP(C668,Magick!$C$20:$L$21,2)-HLOOKUP(H668,Magick!$C$20:$L$21,2)),NA())</f>
        <v>#N/A</v>
      </c>
      <c r="J668" s="77"/>
      <c r="K668" s="67">
        <v>7</v>
      </c>
      <c r="L668" s="72" t="str">
        <f>IF(H668&gt;0,Magick!$AR$24-('Master Spell List'!H686*0.1),"N/A")</f>
        <v>N/A</v>
      </c>
      <c r="M668" s="72">
        <f ca="1">Magick!$H$74</f>
        <v>0.1</v>
      </c>
      <c r="N668" s="72">
        <f ca="1">Magick!$K$74</f>
        <v>0.2</v>
      </c>
      <c r="O668" s="72">
        <f ca="1">Magick!$L$74</f>
        <v>0.2</v>
      </c>
      <c r="P668" s="72">
        <f ca="1">Magick!$M$74</f>
        <v>0.2</v>
      </c>
      <c r="Q668" s="67" t="s">
        <v>3723</v>
      </c>
      <c r="R668" s="67">
        <f ca="1">IF(Q668="Ritual","N/A",IF(Q668="I.E.","N/A",IF(Q668="WOG",VLOOKUP(Magick!$I$74*100,magestuff!$B$134:$F$138,2),IF(Q668="Cantrip",VLOOKUP(Magick!$I$74*100,magestuff!$B$134:$F$138,3),IF(Q668="Hex",VLOOKUP(Magick!$I$74*100,magestuff!$B$134:$F$138,4),VLOOKUP(Magick!$I$74*100,magestuff!$B$134:$F$138,5))))))</f>
        <v>29</v>
      </c>
      <c r="U668" s="67" t="str">
        <f t="shared" si="95"/>
        <v xml:space="preserve"> </v>
      </c>
      <c r="V668" s="515"/>
      <c r="W668" s="125"/>
      <c r="X668" s="31">
        <f t="shared" si="97"/>
        <v>0</v>
      </c>
      <c r="Y668" s="509"/>
      <c r="Z668" s="1054" t="str">
        <f t="shared" si="98"/>
        <v>Create Greater Illusionary Contact</v>
      </c>
      <c r="AA668" s="1072" t="str">
        <f t="shared" si="99"/>
        <v>Illusion</v>
      </c>
    </row>
    <row r="669" spans="1:27" hidden="1" outlineLevel="1">
      <c r="A669" s="83" t="s">
        <v>331</v>
      </c>
      <c r="B669" s="67">
        <v>4</v>
      </c>
      <c r="C669" s="67">
        <f ca="1">magestuff!$L$202</f>
        <v>4</v>
      </c>
      <c r="D669" s="67">
        <f t="shared" si="94"/>
        <v>0</v>
      </c>
      <c r="E669" s="77" t="e">
        <f ca="1">IF(F669="y",HLOOKUP((IF(C669&lt;1,1,C669)),Magick!$C$20:$L$21,2),NA())</f>
        <v>#N/A</v>
      </c>
      <c r="F669" s="67" t="str">
        <f ca="1">IF(C669&lt;=Magick!$D$3,"Y","N")</f>
        <v>N</v>
      </c>
      <c r="G669" s="148" t="s">
        <v>1616</v>
      </c>
      <c r="H669" s="151"/>
      <c r="I669" s="77" t="e">
        <f>IF(H669&gt;0,(HLOOKUP(C669,Magick!$C$20:$L$21,2)-HLOOKUP(H669,Magick!$C$20:$L$21,2)),NA())</f>
        <v>#N/A</v>
      </c>
      <c r="J669" s="77"/>
      <c r="K669" s="67">
        <v>7</v>
      </c>
      <c r="L669" s="72" t="str">
        <f>IF(H669&gt;0,Magick!$AR$24-('Master Spell List'!H665*0.1),"N/A")</f>
        <v>N/A</v>
      </c>
      <c r="M669" s="72">
        <f ca="1">Magick!$H$74</f>
        <v>0.1</v>
      </c>
      <c r="N669" s="72">
        <f ca="1">Magick!$K$74</f>
        <v>0.2</v>
      </c>
      <c r="O669" s="72">
        <f ca="1">Magick!$L$74</f>
        <v>0.2</v>
      </c>
      <c r="P669" s="72">
        <f ca="1">Magick!$M$74</f>
        <v>0.2</v>
      </c>
      <c r="Q669" s="67" t="s">
        <v>3723</v>
      </c>
      <c r="R669" s="67">
        <f ca="1">IF(Q669="Ritual","N/A",IF(Q669="I.E.","N/A",IF(Q669="WOG",VLOOKUP(Magick!$I$74*100,magestuff!$B$134:$F$138,2),IF(Q669="Cantrip",VLOOKUP(Magick!$I$74*100,magestuff!$B$134:$F$138,3),IF(Q669="Hex",VLOOKUP(Magick!$I$74*100,magestuff!$B$134:$F$138,4),VLOOKUP(Magick!$I$74*100,magestuff!$B$134:$F$138,5))))))</f>
        <v>29</v>
      </c>
      <c r="U669" s="67" t="str">
        <f t="shared" si="95"/>
        <v xml:space="preserve"> </v>
      </c>
      <c r="V669" s="515"/>
      <c r="W669" s="125"/>
      <c r="X669" s="31">
        <f t="shared" si="97"/>
        <v>0</v>
      </c>
      <c r="Y669" s="509"/>
      <c r="Z669" s="1054" t="str">
        <f t="shared" si="98"/>
        <v>Create Greater Sound</v>
      </c>
      <c r="AA669" s="1072" t="str">
        <f t="shared" si="99"/>
        <v>Illusion</v>
      </c>
    </row>
    <row r="670" spans="1:27" hidden="1" outlineLevel="1">
      <c r="A670" s="83" t="s">
        <v>144</v>
      </c>
      <c r="B670" s="67">
        <v>4</v>
      </c>
      <c r="C670" s="67">
        <f ca="1">magestuff!$L$202</f>
        <v>4</v>
      </c>
      <c r="D670" s="67">
        <f t="shared" si="94"/>
        <v>0</v>
      </c>
      <c r="E670" s="77" t="e">
        <f ca="1">IF(F670="y",HLOOKUP((IF(C670&lt;1,1,C670)),Magick!$C$20:$L$21,2),NA())</f>
        <v>#N/A</v>
      </c>
      <c r="F670" s="67" t="str">
        <f ca="1">IF(C670&lt;=Magick!$D$3,"Y","N")</f>
        <v>N</v>
      </c>
      <c r="G670" s="148" t="s">
        <v>1616</v>
      </c>
      <c r="H670" s="151"/>
      <c r="I670" s="77" t="e">
        <f>IF(H670&gt;0,(HLOOKUP(C670,Magick!$C$20:$L$21,2)-HLOOKUP(H670,Magick!$C$20:$L$21,2)),NA())</f>
        <v>#N/A</v>
      </c>
      <c r="J670" s="77"/>
      <c r="K670" s="67">
        <v>5</v>
      </c>
      <c r="L670" s="72" t="str">
        <f>IF(H670&gt;0,Magick!$AR$24-('Master Spell List'!H674*0.1),"N/A")</f>
        <v>N/A</v>
      </c>
      <c r="M670" s="72">
        <f ca="1">Magick!$H$74</f>
        <v>0.1</v>
      </c>
      <c r="N670" s="72">
        <f ca="1">Magick!$K$74</f>
        <v>0.2</v>
      </c>
      <c r="O670" s="72">
        <f ca="1">Magick!$L$74</f>
        <v>0.2</v>
      </c>
      <c r="P670" s="72">
        <f ca="1">Magick!$M$74</f>
        <v>0.2</v>
      </c>
      <c r="Q670" s="67" t="s">
        <v>4603</v>
      </c>
      <c r="R670" s="67">
        <f ca="1">IF(Q670="Ritual","N/A",IF(Q670="I.E.","N/A",IF(Q670="WOG",VLOOKUP(Magick!$I$74*100,magestuff!$B$134:$F$138,2),IF(Q670="Cantrip",VLOOKUP(Magick!$I$74*100,magestuff!$B$134:$F$138,3),IF(Q670="Hex",VLOOKUP(Magick!$I$74*100,magestuff!$B$134:$F$138,4),VLOOKUP(Magick!$I$74*100,magestuff!$B$134:$F$138,5))))))</f>
        <v>9</v>
      </c>
      <c r="U670" s="67" t="str">
        <f t="shared" si="95"/>
        <v xml:space="preserve"> </v>
      </c>
      <c r="V670" s="515"/>
      <c r="W670" s="125"/>
      <c r="X670" s="31">
        <f t="shared" si="97"/>
        <v>0</v>
      </c>
      <c r="Y670" s="509"/>
      <c r="Z670" s="1054" t="str">
        <f t="shared" si="98"/>
        <v>Create Lesser Scent</v>
      </c>
      <c r="AA670" s="1072" t="str">
        <f t="shared" si="99"/>
        <v>Illusion</v>
      </c>
    </row>
    <row r="671" spans="1:27" hidden="1" outlineLevel="1">
      <c r="A671" s="31" t="s">
        <v>2707</v>
      </c>
      <c r="B671" s="67">
        <v>4</v>
      </c>
      <c r="C671" s="67">
        <f ca="1">magestuff!$L$202</f>
        <v>4</v>
      </c>
      <c r="D671" s="67">
        <f t="shared" si="94"/>
        <v>0</v>
      </c>
      <c r="E671" s="77" t="e">
        <f ca="1">IF(F671="y",HLOOKUP((IF(C671&lt;1,1,C671)),Magick!$C$20:$L$21,2),NA())</f>
        <v>#N/A</v>
      </c>
      <c r="F671" s="67" t="str">
        <f ca="1">IF(C671&lt;=Magick!$D$3,"Y","N")</f>
        <v>N</v>
      </c>
      <c r="G671" s="148" t="s">
        <v>128</v>
      </c>
      <c r="H671" s="151"/>
      <c r="I671" s="77" t="e">
        <f>IF(H671&gt;0,(HLOOKUP(C671,Magick!$C$20:$L$21,2)-HLOOKUP(H671,Magick!$C$20:$L$21,2)),NA())</f>
        <v>#N/A</v>
      </c>
      <c r="J671" s="77"/>
      <c r="K671" s="67">
        <v>7</v>
      </c>
      <c r="L671" s="72" t="str">
        <f>IF(H671&gt;0,Magick!$AR$24-('Master Spell List'!H627*0.1),"N/A")</f>
        <v>N/A</v>
      </c>
      <c r="M671" s="72">
        <f ca="1">Magick!$H$74</f>
        <v>0.1</v>
      </c>
      <c r="N671" s="72">
        <f ca="1">Magick!$K$74</f>
        <v>0.2</v>
      </c>
      <c r="O671" s="72">
        <f ca="1">Magick!$L$74</f>
        <v>0.2</v>
      </c>
      <c r="P671" s="72">
        <f ca="1">Magick!$M$74</f>
        <v>0.2</v>
      </c>
      <c r="Q671" s="67" t="s">
        <v>3723</v>
      </c>
      <c r="R671" s="67">
        <f ca="1">IF(Q671="Ritual","N/A",IF(Q671="I.E.","N/A",IF(Q671="WOG",VLOOKUP(Magick!$I$74*100,magestuff!$B$134:$F$138,2),IF(Q671="Cantrip",VLOOKUP(Magick!$I$74*100,magestuff!$B$134:$F$138,3),IF(Q671="Hex",VLOOKUP(Magick!$I$74*100,magestuff!$B$134:$F$138,4),VLOOKUP(Magick!$I$74*100,magestuff!$B$134:$F$138,5))))))</f>
        <v>29</v>
      </c>
      <c r="U671" s="67" t="str">
        <f t="shared" si="95"/>
        <v xml:space="preserve"> </v>
      </c>
      <c r="V671" s="515"/>
      <c r="W671" s="125"/>
      <c r="X671" s="31">
        <f t="shared" si="97"/>
        <v>0</v>
      </c>
      <c r="Y671" s="509"/>
      <c r="Z671" s="1054" t="str">
        <f t="shared" si="98"/>
        <v>Greater Cloak Self</v>
      </c>
      <c r="AA671" s="1072" t="str">
        <f t="shared" si="99"/>
        <v>Illusion</v>
      </c>
    </row>
    <row r="672" spans="1:27" hidden="1" outlineLevel="1">
      <c r="A672" s="31" t="s">
        <v>2712</v>
      </c>
      <c r="B672" s="67">
        <v>4</v>
      </c>
      <c r="C672" s="67">
        <f ca="1">magestuff!$L$202</f>
        <v>4</v>
      </c>
      <c r="D672" s="67">
        <f t="shared" si="94"/>
        <v>0</v>
      </c>
      <c r="E672" s="77" t="e">
        <f ca="1">IF(F672="y",HLOOKUP((IF(C672&lt;1,1,C672)),Magick!$C$20:$L$21,2),NA())</f>
        <v>#N/A</v>
      </c>
      <c r="F672" s="67" t="str">
        <f ca="1">IF(C672&lt;=Magick!$D$3,"Y","N")</f>
        <v>N</v>
      </c>
      <c r="G672" s="148" t="s">
        <v>128</v>
      </c>
      <c r="H672" s="151"/>
      <c r="I672" s="77" t="e">
        <f>IF(H672&gt;0,(HLOOKUP(C672,Magick!$C$20:$L$21,2)-HLOOKUP(H672,Magick!$C$20:$L$21,2)),NA())</f>
        <v>#N/A</v>
      </c>
      <c r="J672" s="77"/>
      <c r="K672" s="67">
        <v>6</v>
      </c>
      <c r="L672" s="72" t="str">
        <f>IF(H672&gt;0,Magick!$AR$24-('Master Spell List'!H625*0.1),"N/A")</f>
        <v>N/A</v>
      </c>
      <c r="M672" s="72">
        <f ca="1">Magick!$H$74</f>
        <v>0.1</v>
      </c>
      <c r="N672" s="72">
        <f ca="1">Magick!$K$74</f>
        <v>0.2</v>
      </c>
      <c r="O672" s="72">
        <f ca="1">Magick!$L$74</f>
        <v>0.2</v>
      </c>
      <c r="P672" s="72">
        <f ca="1">Magick!$M$74</f>
        <v>0.2</v>
      </c>
      <c r="Q672" s="67" t="s">
        <v>3723</v>
      </c>
      <c r="R672" s="67">
        <f ca="1">IF(Q672="Ritual","N/A",IF(Q672="I.E.","N/A",IF(Q672="WOG",VLOOKUP(Magick!$I$74*100,magestuff!$B$134:$F$138,2),IF(Q672="Cantrip",VLOOKUP(Magick!$I$74*100,magestuff!$B$134:$F$138,3),IF(Q672="Hex",VLOOKUP(Magick!$I$74*100,magestuff!$B$134:$F$138,4),VLOOKUP(Magick!$I$74*100,magestuff!$B$134:$F$138,5))))))</f>
        <v>29</v>
      </c>
      <c r="U672" s="67" t="str">
        <f t="shared" si="95"/>
        <v xml:space="preserve"> </v>
      </c>
      <c r="V672" s="515"/>
      <c r="W672" s="125"/>
      <c r="X672" s="31">
        <f t="shared" si="97"/>
        <v>0</v>
      </c>
      <c r="Y672" s="509"/>
      <c r="Z672" s="1054" t="str">
        <f t="shared" si="98"/>
        <v>Greater Disguise</v>
      </c>
      <c r="AA672" s="1072" t="str">
        <f t="shared" si="99"/>
        <v>Illusion</v>
      </c>
    </row>
    <row r="673" spans="1:27" hidden="1" outlineLevel="1">
      <c r="A673" s="83" t="s">
        <v>602</v>
      </c>
      <c r="B673" s="67">
        <v>4</v>
      </c>
      <c r="C673" s="67">
        <f ca="1">magestuff!$L$202</f>
        <v>4</v>
      </c>
      <c r="D673" s="67">
        <f t="shared" ref="D673:D698" si="100">IF(AND(ISNUMBER(H673),H673=0),C673,0)</f>
        <v>0</v>
      </c>
      <c r="E673" s="77" t="e">
        <f ca="1">IF(F673="y",HLOOKUP((IF(C673&lt;1,1,C673)),Magick!$C$20:$L$21,2),NA())</f>
        <v>#N/A</v>
      </c>
      <c r="F673" s="67" t="str">
        <f ca="1">IF(C673&lt;=Magick!$D$3,"Y","N")</f>
        <v>N</v>
      </c>
      <c r="G673" s="148" t="s">
        <v>1616</v>
      </c>
      <c r="H673" s="151"/>
      <c r="I673" s="77" t="e">
        <f>IF(H673&gt;0,(HLOOKUP(C673,Magick!$C$20:$L$21,2)-HLOOKUP(H673,Magick!$C$20:$L$21,2)),NA())</f>
        <v>#N/A</v>
      </c>
      <c r="J673" s="77"/>
      <c r="K673" s="67">
        <v>5</v>
      </c>
      <c r="L673" s="72" t="str">
        <f>IF(H673&gt;0,Magick!$AR$24-('Master Spell List'!H689*0.1),"N/A")</f>
        <v>N/A</v>
      </c>
      <c r="M673" s="72">
        <f ca="1">Magick!$H$74</f>
        <v>0.1</v>
      </c>
      <c r="N673" s="72">
        <f ca="1">Magick!$K$74</f>
        <v>0.2</v>
      </c>
      <c r="O673" s="72">
        <f ca="1">Magick!$L$74</f>
        <v>0.2</v>
      </c>
      <c r="P673" s="72">
        <f ca="1">Magick!$M$74</f>
        <v>0.2</v>
      </c>
      <c r="Q673" s="67" t="s">
        <v>3723</v>
      </c>
      <c r="R673" s="67">
        <f ca="1">IF(Q673="Ritual","N/A",IF(Q673="I.E.","N/A",IF(Q673="WOG",VLOOKUP(Magick!$I$74*100,magestuff!$B$134:$F$138,2),IF(Q673="Cantrip",VLOOKUP(Magick!$I$74*100,magestuff!$B$134:$F$138,3),IF(Q673="Hex",VLOOKUP(Magick!$I$74*100,magestuff!$B$134:$F$138,4),VLOOKUP(Magick!$I$74*100,magestuff!$B$134:$F$138,5))))))</f>
        <v>29</v>
      </c>
      <c r="U673" s="67" t="str">
        <f t="shared" ref="U673:U698" si="101">IF(ISBLANK(H673)," ",IF(H673&gt;0,0,C673*10))</f>
        <v xml:space="preserve"> </v>
      </c>
      <c r="V673" s="515"/>
      <c r="W673" s="125"/>
      <c r="X673" s="31">
        <f t="shared" ref="X673:X698" si="102">W673*3</f>
        <v>0</v>
      </c>
      <c r="Y673" s="509"/>
      <c r="Z673" s="1054" t="str">
        <f t="shared" si="98"/>
        <v>Illusionary Rain</v>
      </c>
      <c r="AA673" s="1072" t="str">
        <f t="shared" si="99"/>
        <v>Illusion</v>
      </c>
    </row>
    <row r="674" spans="1:27" hidden="1" outlineLevel="1">
      <c r="A674" s="83" t="s">
        <v>3236</v>
      </c>
      <c r="B674" s="67">
        <v>4</v>
      </c>
      <c r="C674" s="67">
        <f ca="1">magestuff!$L$202</f>
        <v>4</v>
      </c>
      <c r="D674" s="67">
        <f t="shared" si="100"/>
        <v>0</v>
      </c>
      <c r="E674" s="77" t="e">
        <f ca="1">IF(F674="y",HLOOKUP((IF(C674&lt;1,1,C674)),Magick!$C$20:$L$21,2),NA())</f>
        <v>#N/A</v>
      </c>
      <c r="F674" s="67" t="str">
        <f ca="1">IF(C674&lt;=Magick!$D$3,"Y","N")</f>
        <v>N</v>
      </c>
      <c r="G674" s="148" t="s">
        <v>1617</v>
      </c>
      <c r="H674" s="151"/>
      <c r="I674" s="77" t="e">
        <f>IF(H674&gt;0,(HLOOKUP(C674,Magick!$C$20:$L$21,2)-HLOOKUP(H674,Magick!$C$20:$L$21,2)),NA())</f>
        <v>#N/A</v>
      </c>
      <c r="J674" s="77"/>
      <c r="K674" s="67" t="s">
        <v>114</v>
      </c>
      <c r="L674" s="72" t="str">
        <f>IF(H674&gt;0,Magick!$AR$24-('Master Spell List'!H642*0.1),"N/A")</f>
        <v>N/A</v>
      </c>
      <c r="M674" s="72">
        <f ca="1">Magick!$H$74</f>
        <v>0.1</v>
      </c>
      <c r="N674" s="72">
        <f ca="1">Magick!$K$74</f>
        <v>0.2</v>
      </c>
      <c r="O674" s="72">
        <f ca="1">Magick!$L$74</f>
        <v>0.2</v>
      </c>
      <c r="P674" s="72">
        <f ca="1">Magick!$M$74</f>
        <v>0.2</v>
      </c>
      <c r="Q674" s="67" t="s">
        <v>3723</v>
      </c>
      <c r="R674" s="67">
        <f ca="1">IF(Q674="Ritual","N/A",IF(Q674="I.E.","N/A",IF(Q674="WOG",VLOOKUP(Magick!$I$74*100,magestuff!$B$134:$F$138,2),IF(Q674="Cantrip",VLOOKUP(Magick!$I$74*100,magestuff!$B$134:$F$138,3),IF(Q674="Hex",VLOOKUP(Magick!$I$74*100,magestuff!$B$134:$F$138,4),VLOOKUP(Magick!$I$74*100,magestuff!$B$134:$F$138,5))))))</f>
        <v>29</v>
      </c>
      <c r="S674" s="67" t="s">
        <v>2329</v>
      </c>
      <c r="U674" s="67" t="str">
        <f t="shared" si="101"/>
        <v xml:space="preserve"> </v>
      </c>
      <c r="V674" s="515"/>
      <c r="W674" s="125"/>
      <c r="X674" s="31">
        <f t="shared" si="102"/>
        <v>0</v>
      </c>
      <c r="Y674" s="509"/>
      <c r="Z674" s="1054" t="str">
        <f t="shared" si="98"/>
        <v>Multiple Images</v>
      </c>
      <c r="AA674" s="1072" t="str">
        <f t="shared" si="99"/>
        <v>Illusion</v>
      </c>
    </row>
    <row r="675" spans="1:27" hidden="1" outlineLevel="1">
      <c r="A675" s="31" t="s">
        <v>3088</v>
      </c>
      <c r="B675" s="67">
        <v>4</v>
      </c>
      <c r="C675" s="67">
        <f ca="1">magestuff!$L$202</f>
        <v>4</v>
      </c>
      <c r="D675" s="67">
        <f t="shared" si="100"/>
        <v>0</v>
      </c>
      <c r="E675" s="77" t="e">
        <f ca="1">IF(F675="y",HLOOKUP((IF(C675&lt;1,1,C675)),Magick!$C$20:$L$21,2),NA())</f>
        <v>#N/A</v>
      </c>
      <c r="F675" s="67" t="str">
        <f ca="1">IF(C675&lt;=Magick!$D$3,"Y","N")</f>
        <v>N</v>
      </c>
      <c r="G675" s="148" t="s">
        <v>128</v>
      </c>
      <c r="H675" s="151"/>
      <c r="I675" s="77" t="e">
        <f>IF(H675&gt;0,(HLOOKUP(C675,Magick!$C$20:$L$21,2)-HLOOKUP(H675,Magick!$C$20:$L$21,2)),NA())</f>
        <v>#N/A</v>
      </c>
      <c r="J675" s="77"/>
      <c r="K675" s="67">
        <v>7</v>
      </c>
      <c r="L675" s="72" t="str">
        <f>IF(H675&gt;0,Magick!$AR$24-('Master Spell List'!H618*0.1),"N/A")</f>
        <v>N/A</v>
      </c>
      <c r="M675" s="72">
        <f ca="1">Magick!$H$74</f>
        <v>0.1</v>
      </c>
      <c r="N675" s="72">
        <f ca="1">Magick!$K$74</f>
        <v>0.2</v>
      </c>
      <c r="O675" s="72">
        <f ca="1">Magick!$L$74</f>
        <v>0.2</v>
      </c>
      <c r="P675" s="72">
        <f ca="1">Magick!$M$74</f>
        <v>0.2</v>
      </c>
      <c r="Q675" s="67" t="s">
        <v>4602</v>
      </c>
      <c r="R675" s="67">
        <f ca="1">IF(Q675="Ritual","N/A",IF(Q675="I.E.","N/A",IF(Q675="WOG",VLOOKUP(Magick!$I$74*100,magestuff!$B$134:$F$138,2),IF(Q675="Cantrip",VLOOKUP(Magick!$I$74*100,magestuff!$B$134:$F$138,3),IF(Q675="Hex",VLOOKUP(Magick!$I$74*100,magestuff!$B$134:$F$138,4),VLOOKUP(Magick!$I$74*100,magestuff!$B$134:$F$138,5))))))</f>
        <v>19</v>
      </c>
      <c r="U675" s="67" t="str">
        <f t="shared" si="101"/>
        <v xml:space="preserve"> </v>
      </c>
      <c r="V675" s="515"/>
      <c r="W675" s="125"/>
      <c r="X675" s="31">
        <f t="shared" si="102"/>
        <v>0</v>
      </c>
      <c r="Y675" s="509"/>
      <c r="Z675" s="1054" t="str">
        <f t="shared" si="98"/>
        <v>Projected Image</v>
      </c>
      <c r="AA675" s="1072" t="str">
        <f t="shared" si="99"/>
        <v>Illusion</v>
      </c>
    </row>
    <row r="676" spans="1:27" hidden="1" outlineLevel="1">
      <c r="A676" s="83" t="s">
        <v>3135</v>
      </c>
      <c r="B676" s="67">
        <v>4</v>
      </c>
      <c r="C676" s="67">
        <f ca="1">magestuff!$L$202</f>
        <v>4</v>
      </c>
      <c r="D676" s="67">
        <f t="shared" si="100"/>
        <v>0</v>
      </c>
      <c r="E676" s="77" t="e">
        <f ca="1">IF(F676="y",HLOOKUP((IF(C676&lt;1,1,C676)),Magick!$C$20:$L$21,2),NA())</f>
        <v>#N/A</v>
      </c>
      <c r="F676" s="67" t="str">
        <f ca="1">IF(C676&lt;=Magick!$D$3,"Y","N")</f>
        <v>N</v>
      </c>
      <c r="G676" s="148" t="s">
        <v>1616</v>
      </c>
      <c r="H676" s="151"/>
      <c r="I676" s="77" t="e">
        <f>IF(H676&gt;0,(HLOOKUP(C676,Magick!$C$20:$L$21,2)-HLOOKUP(H676,Magick!$C$20:$L$21,2)),NA())</f>
        <v>#N/A</v>
      </c>
      <c r="J676" s="77"/>
      <c r="K676" s="67">
        <v>7</v>
      </c>
      <c r="L676" s="72" t="str">
        <f>IF(H676&gt;0,Magick!$AR$24-('Master Spell List'!H645*0.1),"N/A")</f>
        <v>N/A</v>
      </c>
      <c r="M676" s="72">
        <f ca="1">Magick!$H$74</f>
        <v>0.1</v>
      </c>
      <c r="N676" s="72">
        <f ca="1">Magick!$K$74</f>
        <v>0.2</v>
      </c>
      <c r="O676" s="72">
        <f ca="1">Magick!$L$74</f>
        <v>0.2</v>
      </c>
      <c r="P676" s="72">
        <f ca="1">Magick!$M$74</f>
        <v>0.2</v>
      </c>
      <c r="Q676" s="67" t="s">
        <v>4603</v>
      </c>
      <c r="R676" s="67">
        <f ca="1">IF(Q676="Ritual","N/A",IF(Q676="I.E.","N/A",IF(Q676="WOG",VLOOKUP(Magick!$I$74*100,magestuff!$B$134:$F$138,2),IF(Q676="Cantrip",VLOOKUP(Magick!$I$74*100,magestuff!$B$134:$F$138,3),IF(Q676="Hex",VLOOKUP(Magick!$I$74*100,magestuff!$B$134:$F$138,4),VLOOKUP(Magick!$I$74*100,magestuff!$B$134:$F$138,5))))))</f>
        <v>9</v>
      </c>
      <c r="U676" s="67" t="str">
        <f t="shared" si="101"/>
        <v xml:space="preserve"> </v>
      </c>
      <c r="V676" s="515"/>
      <c r="W676" s="125"/>
      <c r="X676" s="31">
        <f t="shared" si="102"/>
        <v>0</v>
      </c>
      <c r="Y676" s="509"/>
      <c r="Z676" s="1054" t="str">
        <f t="shared" si="98"/>
        <v>Shade Image</v>
      </c>
      <c r="AA676" s="1072" t="str">
        <f t="shared" si="99"/>
        <v>Illusion</v>
      </c>
    </row>
    <row r="677" spans="1:27" hidden="1" outlineLevel="1">
      <c r="A677" s="83" t="s">
        <v>2729</v>
      </c>
      <c r="B677" s="67">
        <v>5</v>
      </c>
      <c r="C677" s="67">
        <f ca="1">magestuff!$O$202</f>
        <v>5</v>
      </c>
      <c r="D677" s="67">
        <f t="shared" si="100"/>
        <v>0</v>
      </c>
      <c r="E677" s="77" t="e">
        <f ca="1">IF(F677="y",HLOOKUP((IF(C677&lt;1,1,C677)),Magick!$C$20:$L$21,2),NA())</f>
        <v>#N/A</v>
      </c>
      <c r="F677" s="67" t="str">
        <f ca="1">IF(C677&lt;=Magick!$D$3,"Y","N")</f>
        <v>N</v>
      </c>
      <c r="G677" s="148" t="s">
        <v>1616</v>
      </c>
      <c r="H677" s="151"/>
      <c r="I677" s="77" t="e">
        <f>IF(H677&gt;0,(HLOOKUP(C677,Magick!$C$20:$L$21,2)-HLOOKUP(H677,Magick!$C$20:$L$21,2)),NA())</f>
        <v>#N/A</v>
      </c>
      <c r="J677" s="77"/>
      <c r="K677" s="67">
        <v>7</v>
      </c>
      <c r="L677" s="72" t="str">
        <f>IF(H677&gt;0,Magick!$AR$24-('Master Spell List'!H675*0.1),"N/A")</f>
        <v>N/A</v>
      </c>
      <c r="M677" s="72">
        <f ca="1">Magick!$H$74</f>
        <v>0.1</v>
      </c>
      <c r="N677" s="72">
        <f ca="1">Magick!$K$74</f>
        <v>0.2</v>
      </c>
      <c r="O677" s="72">
        <f ca="1">Magick!$L$74</f>
        <v>0.2</v>
      </c>
      <c r="P677" s="72">
        <f ca="1">Magick!$M$74</f>
        <v>0.2</v>
      </c>
      <c r="Q677" s="67" t="s">
        <v>4602</v>
      </c>
      <c r="R677" s="67">
        <f ca="1">IF(Q677="Ritual","N/A",IF(Q677="I.E.","N/A",IF(Q677="WOG",VLOOKUP(Magick!$I$74*100,magestuff!$B$134:$F$138,2),IF(Q677="Cantrip",VLOOKUP(Magick!$I$74*100,magestuff!$B$134:$F$138,3),IF(Q677="Hex",VLOOKUP(Magick!$I$74*100,magestuff!$B$134:$F$138,4),VLOOKUP(Magick!$I$74*100,magestuff!$B$134:$F$138,5))))))</f>
        <v>19</v>
      </c>
      <c r="U677" s="67" t="str">
        <f t="shared" si="101"/>
        <v xml:space="preserve"> </v>
      </c>
      <c r="V677" s="515"/>
      <c r="W677" s="125"/>
      <c r="X677" s="31">
        <f t="shared" si="102"/>
        <v>0</v>
      </c>
      <c r="Y677" s="509"/>
      <c r="Z677" s="1054" t="str">
        <f t="shared" si="98"/>
        <v>Create Great Scent</v>
      </c>
      <c r="AA677" s="1072" t="str">
        <f t="shared" si="99"/>
        <v>Illusion</v>
      </c>
    </row>
    <row r="678" spans="1:27" hidden="1" outlineLevel="1">
      <c r="A678" s="83" t="s">
        <v>3237</v>
      </c>
      <c r="B678" s="67">
        <v>5</v>
      </c>
      <c r="C678" s="67">
        <f ca="1">magestuff!$O$202</f>
        <v>5</v>
      </c>
      <c r="D678" s="67">
        <f t="shared" si="100"/>
        <v>0</v>
      </c>
      <c r="E678" s="77" t="e">
        <f ca="1">IF(F678="y",HLOOKUP((IF(C678&lt;1,1,C678)),Magick!$C$20:$L$21,2),NA())</f>
        <v>#N/A</v>
      </c>
      <c r="F678" s="67" t="str">
        <f ca="1">IF(C678&lt;=Magick!$D$3,"Y","N")</f>
        <v>N</v>
      </c>
      <c r="G678" s="148" t="s">
        <v>1617</v>
      </c>
      <c r="H678" s="151"/>
      <c r="I678" s="77" t="e">
        <f>IF(H678&gt;0,(HLOOKUP(C678,Magick!$C$20:$L$21,2)-HLOOKUP(H678,Magick!$C$20:$L$21,2)),NA())</f>
        <v>#N/A</v>
      </c>
      <c r="J678" s="77"/>
      <c r="K678" s="67">
        <v>9</v>
      </c>
      <c r="L678" s="72" t="str">
        <f>IF(H678&gt;0,Magick!$AR$24-('Master Spell List'!H643*0.1),"N/A")</f>
        <v>N/A</v>
      </c>
      <c r="M678" s="72">
        <f ca="1">Magick!$H$74</f>
        <v>0.1</v>
      </c>
      <c r="N678" s="72">
        <f ca="1">Magick!$K$74</f>
        <v>0.2</v>
      </c>
      <c r="O678" s="72">
        <f ca="1">Magick!$L$74</f>
        <v>0.2</v>
      </c>
      <c r="P678" s="72">
        <f ca="1">Magick!$M$74</f>
        <v>0.2</v>
      </c>
      <c r="Q678" s="67" t="s">
        <v>3723</v>
      </c>
      <c r="R678" s="67">
        <f ca="1">IF(Q678="Ritual","N/A",IF(Q678="I.E.","N/A",IF(Q678="WOG",VLOOKUP(Magick!$I$74*100,magestuff!$B$134:$F$138,2),IF(Q678="Cantrip",VLOOKUP(Magick!$I$74*100,magestuff!$B$134:$F$138,3),IF(Q678="Hex",VLOOKUP(Magick!$I$74*100,magestuff!$B$134:$F$138,4),VLOOKUP(Magick!$I$74*100,magestuff!$B$134:$F$138,5))))))</f>
        <v>29</v>
      </c>
      <c r="S678" s="67" t="s">
        <v>1984</v>
      </c>
      <c r="U678" s="67" t="str">
        <f t="shared" si="101"/>
        <v xml:space="preserve"> </v>
      </c>
      <c r="V678" s="515"/>
      <c r="W678" s="125"/>
      <c r="X678" s="31">
        <f t="shared" si="102"/>
        <v>0</v>
      </c>
      <c r="Y678" s="509"/>
      <c r="Z678" s="1054" t="str">
        <f t="shared" si="98"/>
        <v>Duplicate</v>
      </c>
      <c r="AA678" s="1072" t="str">
        <f t="shared" si="99"/>
        <v>Illusion</v>
      </c>
    </row>
    <row r="679" spans="1:27" hidden="1" outlineLevel="1">
      <c r="A679" s="31" t="s">
        <v>1745</v>
      </c>
      <c r="B679" s="67">
        <v>5</v>
      </c>
      <c r="C679" s="67">
        <f ca="1">magestuff!$O$202</f>
        <v>5</v>
      </c>
      <c r="D679" s="67">
        <f t="shared" si="100"/>
        <v>0</v>
      </c>
      <c r="E679" s="77" t="e">
        <f ca="1">IF(F679="y",HLOOKUP((IF(C679&lt;1,1,C679)),Magick!$C$20:$L$21,2),NA())</f>
        <v>#N/A</v>
      </c>
      <c r="F679" s="67" t="str">
        <f ca="1">IF(C679&lt;=Magick!$D$3,"Y","N")</f>
        <v>N</v>
      </c>
      <c r="G679" s="148" t="s">
        <v>128</v>
      </c>
      <c r="H679" s="151"/>
      <c r="I679" s="77" t="e">
        <f>IF(H679&gt;0,(HLOOKUP(C679,Magick!$C$20:$L$21,2)-HLOOKUP(H679,Magick!$C$20:$L$21,2)),NA())</f>
        <v>#N/A</v>
      </c>
      <c r="J679" s="77"/>
      <c r="K679" s="67">
        <v>9</v>
      </c>
      <c r="L679" s="72" t="str">
        <f>IF(H679&gt;0,Magick!$AR$24-('Master Spell List'!H621*0.1),"N/A")</f>
        <v>N/A</v>
      </c>
      <c r="M679" s="72">
        <f ca="1">Magick!$H$74</f>
        <v>0.1</v>
      </c>
      <c r="N679" s="72">
        <f ca="1">Magick!$K$74</f>
        <v>0.2</v>
      </c>
      <c r="O679" s="72">
        <f ca="1">Magick!$L$74</f>
        <v>0.2</v>
      </c>
      <c r="P679" s="72">
        <f ca="1">Magick!$M$74</f>
        <v>0.2</v>
      </c>
      <c r="Q679" s="67" t="s">
        <v>3723</v>
      </c>
      <c r="R679" s="67">
        <f ca="1">IF(Q679="Ritual","N/A",IF(Q679="I.E.","N/A",IF(Q679="WOG",VLOOKUP(Magick!$I$74*100,magestuff!$B$134:$F$138,2),IF(Q679="Cantrip",VLOOKUP(Magick!$I$74*100,magestuff!$B$134:$F$138,3),IF(Q679="Hex",VLOOKUP(Magick!$I$74*100,magestuff!$B$134:$F$138,4),VLOOKUP(Magick!$I$74*100,magestuff!$B$134:$F$138,5))))))</f>
        <v>29</v>
      </c>
      <c r="U679" s="67" t="str">
        <f t="shared" si="101"/>
        <v xml:space="preserve"> </v>
      </c>
      <c r="V679" s="515"/>
      <c r="W679" s="125"/>
      <c r="X679" s="31">
        <f t="shared" si="102"/>
        <v>0</v>
      </c>
      <c r="Y679" s="509"/>
      <c r="Z679" s="1054" t="str">
        <f t="shared" si="98"/>
        <v>Greater Illusion</v>
      </c>
      <c r="AA679" s="1072" t="str">
        <f t="shared" si="99"/>
        <v>Illusion</v>
      </c>
    </row>
    <row r="680" spans="1:27" hidden="1" outlineLevel="1">
      <c r="A680" s="83" t="s">
        <v>603</v>
      </c>
      <c r="B680" s="67">
        <v>5</v>
      </c>
      <c r="C680" s="67">
        <f ca="1">magestuff!$O$202</f>
        <v>5</v>
      </c>
      <c r="D680" s="67">
        <f t="shared" si="100"/>
        <v>0</v>
      </c>
      <c r="E680" s="77" t="e">
        <f ca="1">IF(F680="y",HLOOKUP((IF(C680&lt;1,1,C680)),Magick!$C$20:$L$21,2),NA())</f>
        <v>#N/A</v>
      </c>
      <c r="F680" s="67" t="str">
        <f ca="1">IF(C680&lt;=Magick!$D$3,"Y","N")</f>
        <v>N</v>
      </c>
      <c r="G680" s="148" t="s">
        <v>1616</v>
      </c>
      <c r="H680" s="151"/>
      <c r="I680" s="77" t="e">
        <f>IF(H680&gt;0,(HLOOKUP(C680,Magick!$C$20:$L$21,2)-HLOOKUP(H680,Magick!$C$20:$L$21,2)),NA())</f>
        <v>#N/A</v>
      </c>
      <c r="J680" s="77"/>
      <c r="K680" s="67">
        <v>7</v>
      </c>
      <c r="L680" s="72" t="str">
        <f>IF(H680&gt;0,Magick!$AR$24-('Master Spell List'!H690*0.1),"N/A")</f>
        <v>N/A</v>
      </c>
      <c r="M680" s="72">
        <f ca="1">Magick!$H$74</f>
        <v>0.1</v>
      </c>
      <c r="N680" s="72">
        <f ca="1">Magick!$K$74</f>
        <v>0.2</v>
      </c>
      <c r="O680" s="72">
        <f ca="1">Magick!$L$74</f>
        <v>0.2</v>
      </c>
      <c r="P680" s="72">
        <f ca="1">Magick!$M$74</f>
        <v>0.2</v>
      </c>
      <c r="Q680" s="67" t="s">
        <v>3723</v>
      </c>
      <c r="R680" s="67">
        <f ca="1">IF(Q680="Ritual","N/A",IF(Q680="I.E.","N/A",IF(Q680="WOG",VLOOKUP(Magick!$I$74*100,magestuff!$B$134:$F$138,2),IF(Q680="Cantrip",VLOOKUP(Magick!$I$74*100,magestuff!$B$134:$F$138,3),IF(Q680="Hex",VLOOKUP(Magick!$I$74*100,magestuff!$B$134:$F$138,4),VLOOKUP(Magick!$I$74*100,magestuff!$B$134:$F$138,5))))))</f>
        <v>29</v>
      </c>
      <c r="U680" s="67" t="str">
        <f t="shared" si="101"/>
        <v xml:space="preserve"> </v>
      </c>
      <c r="V680" s="515"/>
      <c r="W680" s="125"/>
      <c r="X680" s="31">
        <f t="shared" si="102"/>
        <v>0</v>
      </c>
      <c r="Y680" s="509"/>
      <c r="Z680" s="1054" t="str">
        <f t="shared" si="98"/>
        <v>Illusionary Snow</v>
      </c>
      <c r="AA680" s="1072" t="str">
        <f t="shared" si="99"/>
        <v>Illusion</v>
      </c>
    </row>
    <row r="681" spans="1:27" hidden="1" outlineLevel="1">
      <c r="A681" s="31" t="s">
        <v>5452</v>
      </c>
      <c r="B681" s="67">
        <v>5</v>
      </c>
      <c r="C681" s="67">
        <f ca="1">magestuff!$O$202</f>
        <v>5</v>
      </c>
      <c r="D681" s="67">
        <f t="shared" si="100"/>
        <v>0</v>
      </c>
      <c r="E681" s="77" t="e">
        <f ca="1">IF(F681="y",HLOOKUP((IF(C681&lt;1,1,C681)),Magick!$C$20:$L$21,2),NA())</f>
        <v>#N/A</v>
      </c>
      <c r="F681" s="67" t="str">
        <f ca="1">IF(C681&lt;=Magick!$D$3,"Y","N")</f>
        <v>N</v>
      </c>
      <c r="G681" s="148" t="s">
        <v>128</v>
      </c>
      <c r="H681" s="151"/>
      <c r="I681" s="77" t="e">
        <f>IF(H681&gt;0,(HLOOKUP(C681,Magick!$C$20:$L$21,2)-HLOOKUP(H681,Magick!$C$20:$L$21,2)),NA())</f>
        <v>#N/A</v>
      </c>
      <c r="J681" s="77"/>
      <c r="K681" s="67">
        <v>9</v>
      </c>
      <c r="L681" s="72" t="str">
        <f>IF(H681&gt;0,Magick!$AR$24-('Master Spell List'!H631*0.1),"N/A")</f>
        <v>N/A</v>
      </c>
      <c r="M681" s="72">
        <f ca="1">Magick!$H$74</f>
        <v>0.1</v>
      </c>
      <c r="N681" s="72">
        <f ca="1">Magick!$K$74</f>
        <v>0.2</v>
      </c>
      <c r="O681" s="72">
        <f ca="1">Magick!$L$74</f>
        <v>0.2</v>
      </c>
      <c r="P681" s="72">
        <f ca="1">Magick!$M$74</f>
        <v>0.2</v>
      </c>
      <c r="Q681" s="67" t="s">
        <v>3723</v>
      </c>
      <c r="R681" s="67">
        <f ca="1">IF(Q681="Ritual","N/A",IF(Q681="I.E.","N/A",IF(Q681="WOG",VLOOKUP(Magick!$I$74*100,magestuff!$B$134:$F$138,2),IF(Q681="Cantrip",VLOOKUP(Magick!$I$74*100,magestuff!$B$134:$F$138,3),IF(Q681="Hex",VLOOKUP(Magick!$I$74*100,magestuff!$B$134:$F$138,4),VLOOKUP(Magick!$I$74*100,magestuff!$B$134:$F$138,5))))))</f>
        <v>29</v>
      </c>
      <c r="U681" s="67" t="str">
        <f t="shared" si="101"/>
        <v xml:space="preserve"> </v>
      </c>
      <c r="V681" s="515"/>
      <c r="W681" s="125"/>
      <c r="X681" s="31">
        <f t="shared" si="102"/>
        <v>0</v>
      </c>
      <c r="Y681" s="509"/>
      <c r="Z681" s="1054" t="str">
        <f t="shared" si="98"/>
        <v>Places of Mystery (Hallucinatory Landscape)</v>
      </c>
      <c r="AA681" s="1072" t="str">
        <f t="shared" si="99"/>
        <v>Illusion</v>
      </c>
    </row>
    <row r="682" spans="1:27" hidden="1" outlineLevel="1">
      <c r="A682" s="31" t="s">
        <v>1752</v>
      </c>
      <c r="B682" s="67">
        <v>6</v>
      </c>
      <c r="C682" s="67">
        <f ca="1">magestuff!$R$202</f>
        <v>6</v>
      </c>
      <c r="D682" s="67">
        <f t="shared" si="100"/>
        <v>0</v>
      </c>
      <c r="E682" s="77" t="e">
        <f ca="1">IF(F682="y",HLOOKUP((IF(C682&lt;1,1,C682)),Magick!$C$20:$L$21,2),NA())</f>
        <v>#N/A</v>
      </c>
      <c r="F682" s="67" t="str">
        <f ca="1">IF(C682&lt;=Magick!$D$3,"Y","N")</f>
        <v>N</v>
      </c>
      <c r="G682" s="148" t="s">
        <v>128</v>
      </c>
      <c r="H682" s="151"/>
      <c r="I682" s="77" t="e">
        <f>IF(H682&gt;0,(HLOOKUP(C682,Magick!$C$20:$L$21,2)-HLOOKUP(H682,Magick!$C$20:$L$21,2)),NA())</f>
        <v>#N/A</v>
      </c>
      <c r="J682" s="77"/>
      <c r="K682" s="67">
        <v>10</v>
      </c>
      <c r="L682" s="72" t="str">
        <f>IF(H682&gt;0,Magick!$AR$24-('Master Spell List'!H635*0.1),"N/A")</f>
        <v>N/A</v>
      </c>
      <c r="M682" s="72">
        <f ca="1">Magick!$H$74</f>
        <v>0.1</v>
      </c>
      <c r="N682" s="72">
        <f ca="1">Magick!$K$74</f>
        <v>0.2</v>
      </c>
      <c r="O682" s="72">
        <f ca="1">Magick!$L$74</f>
        <v>0.2</v>
      </c>
      <c r="P682" s="72">
        <f ca="1">Magick!$M$74</f>
        <v>0.2</v>
      </c>
      <c r="Q682" s="67" t="s">
        <v>113</v>
      </c>
      <c r="R682" s="67" t="str">
        <f>IF(Q682="Ritual","N/A",IF(Q682="I.E.","N/A",IF(Q682="WOG",VLOOKUP(Magick!$I$74*100,magestuff!$B$134:$F$138,2),IF(Q682="Cantrip",VLOOKUP(Magick!$I$74*100,magestuff!$B$134:$F$138,3),IF(Q682="Hex",VLOOKUP(Magick!$I$74*100,magestuff!$B$134:$F$138,4),VLOOKUP(Magick!$I$74*100,magestuff!$B$134:$F$138,5))))))</f>
        <v>N/A</v>
      </c>
      <c r="U682" s="67" t="str">
        <f t="shared" si="101"/>
        <v xml:space="preserve"> </v>
      </c>
      <c r="V682" s="515"/>
      <c r="W682" s="125"/>
      <c r="X682" s="31">
        <f t="shared" si="102"/>
        <v>0</v>
      </c>
      <c r="Y682" s="509"/>
      <c r="Z682" s="1054" t="str">
        <f t="shared" si="98"/>
        <v>Phantasmal Weather</v>
      </c>
      <c r="AA682" s="1072" t="str">
        <f t="shared" si="99"/>
        <v>Illusion</v>
      </c>
    </row>
    <row r="683" spans="1:27" hidden="1" outlineLevel="1">
      <c r="A683" s="31" t="s">
        <v>4248</v>
      </c>
      <c r="B683" s="67">
        <v>6</v>
      </c>
      <c r="C683" s="67">
        <f ca="1">magestuff!$R$202</f>
        <v>6</v>
      </c>
      <c r="D683" s="67">
        <f t="shared" si="100"/>
        <v>0</v>
      </c>
      <c r="E683" s="77" t="e">
        <f ca="1">IF(F683="y",HLOOKUP((IF(C683&lt;1,1,C683)),Magick!$C$20:$L$21,2),NA())</f>
        <v>#N/A</v>
      </c>
      <c r="F683" s="67" t="str">
        <f ca="1">IF(C683&lt;=Magick!$D$3,"Y","N")</f>
        <v>N</v>
      </c>
      <c r="G683" s="148" t="s">
        <v>128</v>
      </c>
      <c r="H683" s="151"/>
      <c r="I683" s="77" t="e">
        <f>IF(H683&gt;0,(HLOOKUP(C683,Magick!$C$20:$L$21,2)-HLOOKUP(H683,Magick!$C$20:$L$21,2)),NA())</f>
        <v>#N/A</v>
      </c>
      <c r="J683" s="77"/>
      <c r="K683" s="67">
        <v>10</v>
      </c>
      <c r="L683" s="72" t="str">
        <f>IF(H683&gt;0,Magick!$AR$24-('Master Spell List'!H638*0.1),"N/A")</f>
        <v>N/A</v>
      </c>
      <c r="M683" s="72">
        <f ca="1">Magick!$H$74</f>
        <v>0.1</v>
      </c>
      <c r="N683" s="72">
        <f ca="1">Magick!$K$74</f>
        <v>0.2</v>
      </c>
      <c r="O683" s="72">
        <f ca="1">Magick!$L$74</f>
        <v>0.2</v>
      </c>
      <c r="P683" s="72">
        <f ca="1">Magick!$M$74</f>
        <v>0.2</v>
      </c>
      <c r="Q683" s="67" t="s">
        <v>3723</v>
      </c>
      <c r="R683" s="67">
        <f ca="1">IF(Q683="Ritual","N/A",IF(Q683="I.E.","N/A",IF(Q683="WOG",VLOOKUP(Magick!$I$74*100,magestuff!$B$134:$F$138,2),IF(Q683="Cantrip",VLOOKUP(Magick!$I$74*100,magestuff!$B$134:$F$138,3),IF(Q683="Hex",VLOOKUP(Magick!$I$74*100,magestuff!$B$134:$F$138,4),VLOOKUP(Magick!$I$74*100,magestuff!$B$134:$F$138,5))))))</f>
        <v>29</v>
      </c>
      <c r="U683" s="67" t="str">
        <f t="shared" si="101"/>
        <v xml:space="preserve"> </v>
      </c>
      <c r="V683" s="515"/>
      <c r="W683" s="125"/>
      <c r="X683" s="31">
        <f t="shared" si="102"/>
        <v>0</v>
      </c>
      <c r="Y683" s="509"/>
      <c r="Z683" s="1054" t="str">
        <f t="shared" si="98"/>
        <v>Shadow Monster</v>
      </c>
      <c r="AA683" s="1072" t="str">
        <f t="shared" si="99"/>
        <v>Illusion</v>
      </c>
    </row>
    <row r="684" spans="1:27" hidden="1" outlineLevel="1">
      <c r="A684" s="31" t="s">
        <v>1260</v>
      </c>
      <c r="B684" s="67">
        <v>7</v>
      </c>
      <c r="C684" s="67">
        <f ca="1">magestuff!$U$202</f>
        <v>7</v>
      </c>
      <c r="D684" s="67">
        <f t="shared" si="100"/>
        <v>0</v>
      </c>
      <c r="E684" s="77" t="e">
        <f ca="1">IF(F684="y",HLOOKUP((IF(C684&lt;1,1,C684)),Magick!$C$20:$L$21,2),NA())</f>
        <v>#N/A</v>
      </c>
      <c r="F684" s="67" t="str">
        <f ca="1">IF(C684&lt;=Magick!$D$3,"Y","N")</f>
        <v>N</v>
      </c>
      <c r="G684" s="148" t="s">
        <v>128</v>
      </c>
      <c r="H684" s="151"/>
      <c r="I684" s="77" t="e">
        <f>IF(H684&gt;0,(HLOOKUP(C684,Magick!$C$20:$L$21,2)-HLOOKUP(H684,Magick!$C$20:$L$21,2)),NA())</f>
        <v>#N/A</v>
      </c>
      <c r="J684" s="77"/>
      <c r="L684" s="72" t="str">
        <f>IF(H684&gt;0,Magick!$AR$24-('Master Spell List'!H614*0.1),"N/A")</f>
        <v>N/A</v>
      </c>
      <c r="M684" s="72">
        <f ca="1">Magick!$H$74</f>
        <v>0.1</v>
      </c>
      <c r="N684" s="72">
        <f ca="1">Magick!$K$74</f>
        <v>0.2</v>
      </c>
      <c r="O684" s="72">
        <f ca="1">Magick!$L$74</f>
        <v>0.2</v>
      </c>
      <c r="P684" s="72">
        <f ca="1">Magick!$M$74</f>
        <v>0.2</v>
      </c>
      <c r="Q684" s="67" t="s">
        <v>3725</v>
      </c>
      <c r="R684" s="67" t="str">
        <f>IF(Q684="Ritual","N/A",IF(Q684="I.E.","N/A",IF(Q684="WOG",VLOOKUP(Magick!$I$74*100,magestuff!$B$134:$F$138,2),IF(Q684="Cantrip",VLOOKUP(Magick!$I$74*100,magestuff!$B$134:$F$138,3),IF(Q684="Hex",VLOOKUP(Magick!$I$74*100,magestuff!$B$134:$F$138,4),VLOOKUP(Magick!$I$74*100,magestuff!$B$134:$F$138,5))))))</f>
        <v>N/A</v>
      </c>
      <c r="U684" s="67" t="str">
        <f t="shared" si="101"/>
        <v xml:space="preserve"> </v>
      </c>
      <c r="V684" s="515"/>
      <c r="W684" s="125"/>
      <c r="X684" s="31">
        <f t="shared" si="102"/>
        <v>0</v>
      </c>
      <c r="Y684" s="509"/>
      <c r="Z684" s="1054" t="str">
        <f t="shared" si="98"/>
        <v>Dispel Phantasmal</v>
      </c>
      <c r="AA684" s="1072" t="str">
        <f t="shared" si="99"/>
        <v>Illusion</v>
      </c>
    </row>
    <row r="685" spans="1:27" hidden="1" outlineLevel="1">
      <c r="A685" s="31" t="s">
        <v>2708</v>
      </c>
      <c r="B685" s="67">
        <v>7</v>
      </c>
      <c r="C685" s="67">
        <f ca="1">magestuff!$U$202</f>
        <v>7</v>
      </c>
      <c r="D685" s="67">
        <f t="shared" si="100"/>
        <v>0</v>
      </c>
      <c r="E685" s="77" t="e">
        <f ca="1">IF(F685="y",HLOOKUP((IF(C685&lt;1,1,C685)),Magick!$C$20:$L$21,2),NA())</f>
        <v>#N/A</v>
      </c>
      <c r="F685" s="67" t="str">
        <f ca="1">IF(C685&lt;=Magick!$D$3,"Y","N")</f>
        <v>N</v>
      </c>
      <c r="G685" s="148" t="s">
        <v>128</v>
      </c>
      <c r="H685" s="151"/>
      <c r="I685" s="77" t="e">
        <f>IF(H685&gt;0,(HLOOKUP(C685,Magick!$C$20:$L$21,2)-HLOOKUP(H685,Magick!$C$20:$L$21,2)),NA())</f>
        <v>#N/A</v>
      </c>
      <c r="J685" s="77"/>
      <c r="K685" s="67">
        <v>12</v>
      </c>
      <c r="L685" s="72" t="str">
        <f>IF(H685&gt;0,Magick!$AR$24-('Master Spell List'!H632*0.1),"N/A")</f>
        <v>N/A</v>
      </c>
      <c r="M685" s="72">
        <f ca="1">Magick!$H$74</f>
        <v>0.1</v>
      </c>
      <c r="N685" s="72">
        <f ca="1">Magick!$K$74</f>
        <v>0.2</v>
      </c>
      <c r="O685" s="72">
        <f ca="1">Magick!$L$74</f>
        <v>0.2</v>
      </c>
      <c r="P685" s="72">
        <f ca="1">Magick!$M$74</f>
        <v>0.2</v>
      </c>
      <c r="Q685" s="67" t="s">
        <v>113</v>
      </c>
      <c r="R685" s="67" t="str">
        <f>IF(Q685="Ritual","N/A",IF(Q685="I.E.","N/A",IF(Q685="WOG",VLOOKUP(Magick!$I$74*100,magestuff!$B$134:$F$138,2),IF(Q685="Cantrip",VLOOKUP(Magick!$I$74*100,magestuff!$B$134:$F$138,3),IF(Q685="Hex",VLOOKUP(Magick!$I$74*100,magestuff!$B$134:$F$138,4),VLOOKUP(Magick!$I$74*100,magestuff!$B$134:$F$138,5))))))</f>
        <v>N/A</v>
      </c>
      <c r="U685" s="67" t="str">
        <f t="shared" si="101"/>
        <v xml:space="preserve"> </v>
      </c>
      <c r="V685" s="515"/>
      <c r="W685" s="125"/>
      <c r="X685" s="31">
        <f t="shared" si="102"/>
        <v>0</v>
      </c>
      <c r="Y685" s="509"/>
      <c r="Z685" s="1054" t="str">
        <f t="shared" si="98"/>
        <v>Illusionary Landscape</v>
      </c>
      <c r="AA685" s="1072" t="str">
        <f t="shared" si="99"/>
        <v>Illusion</v>
      </c>
    </row>
    <row r="686" spans="1:27" hidden="1" outlineLevel="1">
      <c r="A686" s="83" t="s">
        <v>604</v>
      </c>
      <c r="B686" s="67">
        <v>7</v>
      </c>
      <c r="C686" s="67">
        <f ca="1">magestuff!$U$202</f>
        <v>7</v>
      </c>
      <c r="D686" s="67">
        <f t="shared" si="100"/>
        <v>0</v>
      </c>
      <c r="E686" s="77" t="e">
        <f ca="1">IF(F686="y",HLOOKUP((IF(C686&lt;1,1,C686)),Magick!$C$20:$L$21,2),NA())</f>
        <v>#N/A</v>
      </c>
      <c r="F686" s="67" t="str">
        <f ca="1">IF(C686&lt;=Magick!$D$3,"Y","N")</f>
        <v>N</v>
      </c>
      <c r="G686" s="148" t="s">
        <v>1616</v>
      </c>
      <c r="H686" s="151"/>
      <c r="I686" s="77" t="e">
        <f>IF(H686&gt;0,(HLOOKUP(C686,Magick!$C$20:$L$21,2)-HLOOKUP(H686,Magick!$C$20:$L$21,2)),NA())</f>
        <v>#N/A</v>
      </c>
      <c r="J686" s="77"/>
      <c r="K686" s="67">
        <v>11</v>
      </c>
      <c r="L686" s="72" t="str">
        <f>IF(H686&gt;0,Magick!$AR$24-('Master Spell List'!H691*0.1),"N/A")</f>
        <v>N/A</v>
      </c>
      <c r="M686" s="72">
        <f ca="1">Magick!$H$74</f>
        <v>0.1</v>
      </c>
      <c r="N686" s="72">
        <f ca="1">Magick!$K$74</f>
        <v>0.2</v>
      </c>
      <c r="O686" s="72">
        <f ca="1">Magick!$L$74</f>
        <v>0.2</v>
      </c>
      <c r="P686" s="72">
        <f ca="1">Magick!$M$74</f>
        <v>0.2</v>
      </c>
      <c r="Q686" s="67" t="s">
        <v>3723</v>
      </c>
      <c r="R686" s="67">
        <f ca="1">IF(Q686="Ritual","N/A",IF(Q686="I.E.","N/A",IF(Q686="WOG",VLOOKUP(Magick!$I$74*100,magestuff!$B$134:$F$138,2),IF(Q686="Cantrip",VLOOKUP(Magick!$I$74*100,magestuff!$B$134:$F$138,3),IF(Q686="Hex",VLOOKUP(Magick!$I$74*100,magestuff!$B$134:$F$138,4),VLOOKUP(Magick!$I$74*100,magestuff!$B$134:$F$138,5))))))</f>
        <v>29</v>
      </c>
      <c r="U686" s="67" t="str">
        <f t="shared" si="101"/>
        <v xml:space="preserve"> </v>
      </c>
      <c r="V686" s="515"/>
      <c r="W686" s="125"/>
      <c r="X686" s="31">
        <f t="shared" si="102"/>
        <v>0</v>
      </c>
      <c r="Y686" s="509"/>
      <c r="Z686" s="1054" t="str">
        <f t="shared" si="98"/>
        <v>Illusionary Storm</v>
      </c>
      <c r="AA686" s="1072" t="str">
        <f t="shared" si="99"/>
        <v>Illusion</v>
      </c>
    </row>
    <row r="687" spans="1:27" hidden="1" outlineLevel="1">
      <c r="A687" s="31" t="s">
        <v>1261</v>
      </c>
      <c r="B687" s="67">
        <v>7</v>
      </c>
      <c r="C687" s="67">
        <f ca="1">magestuff!$U$202</f>
        <v>7</v>
      </c>
      <c r="D687" s="67">
        <f t="shared" si="100"/>
        <v>0</v>
      </c>
      <c r="E687" s="77" t="e">
        <f ca="1">IF(F687="y",HLOOKUP((IF(C687&lt;1,1,C687)),Magick!$C$20:$L$21,2),NA())</f>
        <v>#N/A</v>
      </c>
      <c r="F687" s="67" t="str">
        <f ca="1">IF(C687&lt;=Magick!$D$3,"Y","N")</f>
        <v>N</v>
      </c>
      <c r="G687" s="148" t="s">
        <v>128</v>
      </c>
      <c r="H687" s="151"/>
      <c r="I687" s="77" t="e">
        <f>IF(H687&gt;0,(HLOOKUP(C687,Magick!$C$20:$L$21,2)-HLOOKUP(H687,Magick!$C$20:$L$21,2)),NA())</f>
        <v>#N/A</v>
      </c>
      <c r="J687" s="77"/>
      <c r="K687" s="67">
        <v>11</v>
      </c>
      <c r="L687" s="72" t="str">
        <f>IF(H687&gt;0,Magick!$AR$24-('Master Spell List'!H615*0.1),"N/A")</f>
        <v>N/A</v>
      </c>
      <c r="M687" s="72">
        <f ca="1">Magick!$H$74</f>
        <v>0.1</v>
      </c>
      <c r="N687" s="72">
        <f ca="1">Magick!$K$74</f>
        <v>0.2</v>
      </c>
      <c r="O687" s="72">
        <f ca="1">Magick!$L$74</f>
        <v>0.2</v>
      </c>
      <c r="P687" s="72">
        <f ca="1">Magick!$M$74</f>
        <v>0.2</v>
      </c>
      <c r="Q687" s="67" t="s">
        <v>3723</v>
      </c>
      <c r="R687" s="67">
        <f ca="1">IF(Q687="Ritual","N/A",IF(Q687="I.E.","N/A",IF(Q687="WOG",VLOOKUP(Magick!$I$74*100,magestuff!$B$134:$F$138,2),IF(Q687="Cantrip",VLOOKUP(Magick!$I$74*100,magestuff!$B$134:$F$138,3),IF(Q687="Hex",VLOOKUP(Magick!$I$74*100,magestuff!$B$134:$F$138,4),VLOOKUP(Magick!$I$74*100,magestuff!$B$134:$F$138,5))))))</f>
        <v>29</v>
      </c>
      <c r="U687" s="67" t="str">
        <f t="shared" si="101"/>
        <v xml:space="preserve"> </v>
      </c>
      <c r="V687" s="515"/>
      <c r="W687" s="125"/>
      <c r="X687" s="31">
        <f t="shared" si="102"/>
        <v>0</v>
      </c>
      <c r="Y687" s="509"/>
      <c r="Z687" s="1054" t="str">
        <f t="shared" si="98"/>
        <v>Illusionary True Sight</v>
      </c>
      <c r="AA687" s="1072" t="str">
        <f t="shared" si="99"/>
        <v>Illusion</v>
      </c>
    </row>
    <row r="688" spans="1:27" hidden="1" outlineLevel="1">
      <c r="A688" s="83" t="s">
        <v>2730</v>
      </c>
      <c r="B688" s="67">
        <v>8</v>
      </c>
      <c r="C688" s="67">
        <f ca="1">magestuff!$X$202</f>
        <v>8</v>
      </c>
      <c r="D688" s="67">
        <f t="shared" si="100"/>
        <v>0</v>
      </c>
      <c r="E688" s="77" t="e">
        <f ca="1">IF(F688="y",HLOOKUP((IF(C688&lt;1,1,C688)),Magick!$C$20:$L$21,2),NA())</f>
        <v>#N/A</v>
      </c>
      <c r="F688" s="67" t="str">
        <f ca="1">IF(C688&lt;=Magick!$D$3,"Y","N")</f>
        <v>N</v>
      </c>
      <c r="G688" s="148" t="s">
        <v>1616</v>
      </c>
      <c r="H688" s="151"/>
      <c r="I688" s="77" t="e">
        <f>IF(H688&gt;0,(HLOOKUP(C688,Magick!$C$20:$L$21,2)-HLOOKUP(H688,Magick!$C$20:$L$21,2)),NA())</f>
        <v>#N/A</v>
      </c>
      <c r="J688" s="77"/>
      <c r="K688" s="67">
        <v>10</v>
      </c>
      <c r="L688" s="72" t="str">
        <f>IF(H688&gt;0,Magick!$AR$24-('Master Spell List'!H676*0.1),"N/A")</f>
        <v>N/A</v>
      </c>
      <c r="M688" s="72">
        <f ca="1">Magick!$H$74</f>
        <v>0.1</v>
      </c>
      <c r="N688" s="72">
        <f ca="1">Magick!$K$74</f>
        <v>0.2</v>
      </c>
      <c r="O688" s="72">
        <f ca="1">Magick!$L$74</f>
        <v>0.2</v>
      </c>
      <c r="P688" s="72">
        <f ca="1">Magick!$M$74</f>
        <v>0.2</v>
      </c>
      <c r="Q688" s="67" t="s">
        <v>3723</v>
      </c>
      <c r="R688" s="67">
        <f ca="1">IF(Q688="Ritual","N/A",IF(Q688="I.E.","N/A",IF(Q688="WOG",VLOOKUP(Magick!$I$74*100,magestuff!$B$134:$F$138,2),IF(Q688="Cantrip",VLOOKUP(Magick!$I$74*100,magestuff!$B$134:$F$138,3),IF(Q688="Hex",VLOOKUP(Magick!$I$74*100,magestuff!$B$134:$F$138,4),VLOOKUP(Magick!$I$74*100,magestuff!$B$134:$F$138,5))))))</f>
        <v>29</v>
      </c>
      <c r="U688" s="67" t="str">
        <f t="shared" si="101"/>
        <v xml:space="preserve"> </v>
      </c>
      <c r="V688" s="515"/>
      <c r="W688" s="125"/>
      <c r="X688" s="31">
        <f t="shared" si="102"/>
        <v>0</v>
      </c>
      <c r="Y688" s="509"/>
      <c r="Z688" s="1054" t="str">
        <f t="shared" si="98"/>
        <v>Create Greater  Scent</v>
      </c>
      <c r="AA688" s="1072" t="str">
        <f t="shared" si="99"/>
        <v>Illusion</v>
      </c>
    </row>
    <row r="689" spans="1:27" hidden="1" outlineLevel="1">
      <c r="A689" s="31" t="s">
        <v>1746</v>
      </c>
      <c r="B689" s="67">
        <v>8</v>
      </c>
      <c r="C689" s="67">
        <f ca="1">magestuff!$X$202</f>
        <v>8</v>
      </c>
      <c r="D689" s="67">
        <f t="shared" si="100"/>
        <v>0</v>
      </c>
      <c r="E689" s="77" t="e">
        <f ca="1">IF(F689="y",HLOOKUP((IF(C689&lt;1,1,C689)),Magick!$C$20:$L$21,2),NA())</f>
        <v>#N/A</v>
      </c>
      <c r="F689" s="67" t="str">
        <f ca="1">IF(C689&lt;=Magick!$D$3,"Y","N")</f>
        <v>N</v>
      </c>
      <c r="G689" s="148" t="s">
        <v>128</v>
      </c>
      <c r="H689" s="151"/>
      <c r="I689" s="77" t="e">
        <f>IF(H689&gt;0,(HLOOKUP(C689,Magick!$C$20:$L$21,2)-HLOOKUP(H689,Magick!$C$20:$L$21,2)),NA())</f>
        <v>#N/A</v>
      </c>
      <c r="J689" s="77"/>
      <c r="K689" s="67">
        <v>13</v>
      </c>
      <c r="L689" s="72" t="str">
        <f>IF(H689&gt;0,Magick!$AR$24-('Master Spell List'!H622*0.1),"N/A")</f>
        <v>N/A</v>
      </c>
      <c r="M689" s="72">
        <f ca="1">Magick!$H$74</f>
        <v>0.1</v>
      </c>
      <c r="N689" s="72">
        <f ca="1">Magick!$K$74</f>
        <v>0.2</v>
      </c>
      <c r="O689" s="72">
        <f ca="1">Magick!$L$74</f>
        <v>0.2</v>
      </c>
      <c r="P689" s="72">
        <f ca="1">Magick!$M$74</f>
        <v>0.2</v>
      </c>
      <c r="Q689" s="67" t="s">
        <v>3723</v>
      </c>
      <c r="R689" s="67">
        <f ca="1">IF(Q689="Ritual","N/A",IF(Q689="I.E.","N/A",IF(Q689="WOG",VLOOKUP(Magick!$I$74*100,magestuff!$B$134:$F$138,2),IF(Q689="Cantrip",VLOOKUP(Magick!$I$74*100,magestuff!$B$134:$F$138,3),IF(Q689="Hex",VLOOKUP(Magick!$I$74*100,magestuff!$B$134:$F$138,4),VLOOKUP(Magick!$I$74*100,magestuff!$B$134:$F$138,5))))))</f>
        <v>29</v>
      </c>
      <c r="U689" s="67" t="str">
        <f t="shared" si="101"/>
        <v xml:space="preserve"> </v>
      </c>
      <c r="V689" s="515"/>
      <c r="W689" s="125"/>
      <c r="X689" s="31">
        <f t="shared" si="102"/>
        <v>0</v>
      </c>
      <c r="Y689" s="509"/>
      <c r="Z689" s="1054" t="str">
        <f t="shared" si="98"/>
        <v>Faerie Glamour</v>
      </c>
      <c r="AA689" s="1072" t="str">
        <f t="shared" si="99"/>
        <v>Illusion</v>
      </c>
    </row>
    <row r="690" spans="1:27" hidden="1" outlineLevel="1" collapsed="1">
      <c r="A690" s="31" t="s">
        <v>2709</v>
      </c>
      <c r="B690" s="67">
        <v>8</v>
      </c>
      <c r="C690" s="67">
        <f ca="1">magestuff!$X$202</f>
        <v>8</v>
      </c>
      <c r="D690" s="67">
        <f t="shared" si="100"/>
        <v>0</v>
      </c>
      <c r="E690" s="77" t="e">
        <f ca="1">IF(F690="y",HLOOKUP((IF(C690&lt;1,1,C690)),Magick!$C$20:$L$21,2),NA())</f>
        <v>#N/A</v>
      </c>
      <c r="F690" s="67" t="str">
        <f ca="1">IF(C690&lt;=Magick!$D$3,"Y","N")</f>
        <v>N</v>
      </c>
      <c r="G690" s="148" t="s">
        <v>128</v>
      </c>
      <c r="H690" s="151"/>
      <c r="I690" s="77" t="e">
        <f>IF(H690&gt;0,(HLOOKUP(C690,Magick!$C$20:$L$21,2)-HLOOKUP(H690,Magick!$C$20:$L$21,2)),NA())</f>
        <v>#N/A</v>
      </c>
      <c r="J690" s="77"/>
      <c r="K690" s="67">
        <v>39</v>
      </c>
      <c r="L690" s="72" t="str">
        <f>IF(H690&gt;0,Magick!$AR$24-('Master Spell List'!H633*0.1),"N/A")</f>
        <v>N/A</v>
      </c>
      <c r="M690" s="72">
        <f ca="1">Magick!$H$74</f>
        <v>0.1</v>
      </c>
      <c r="N690" s="72">
        <f ca="1">Magick!$K$74</f>
        <v>0.2</v>
      </c>
      <c r="O690" s="72">
        <f ca="1">Magick!$L$74</f>
        <v>0.2</v>
      </c>
      <c r="P690" s="72">
        <f ca="1">Magick!$M$74</f>
        <v>0.2</v>
      </c>
      <c r="Q690" s="67" t="s">
        <v>113</v>
      </c>
      <c r="R690" s="67" t="str">
        <f>IF(Q690="Ritual","N/A",IF(Q690="I.E.","N/A",IF(Q690="WOG",VLOOKUP(Magick!$I$74*100,magestuff!$B$134:$F$138,2),IF(Q690="Cantrip",VLOOKUP(Magick!$I$74*100,magestuff!$B$134:$F$138,3),IF(Q690="Hex",VLOOKUP(Magick!$I$74*100,magestuff!$B$134:$F$138,4),VLOOKUP(Magick!$I$74*100,magestuff!$B$134:$F$138,5))))))</f>
        <v>N/A</v>
      </c>
      <c r="U690" s="67" t="str">
        <f t="shared" si="101"/>
        <v xml:space="preserve"> </v>
      </c>
      <c r="V690" s="515"/>
      <c r="W690" s="125"/>
      <c r="X690" s="31">
        <f t="shared" si="102"/>
        <v>0</v>
      </c>
      <c r="Y690" s="509"/>
      <c r="Z690" s="1054" t="str">
        <f t="shared" si="98"/>
        <v>Phantasmal Landscape</v>
      </c>
      <c r="AA690" s="1072" t="str">
        <f t="shared" si="99"/>
        <v>Illusion</v>
      </c>
    </row>
    <row r="691" spans="1:27" hidden="1" outlineLevel="1">
      <c r="A691" s="31" t="s">
        <v>3464</v>
      </c>
      <c r="B691" s="67">
        <v>8</v>
      </c>
      <c r="C691" s="67">
        <f ca="1">magestuff!$X$202</f>
        <v>8</v>
      </c>
      <c r="D691" s="67">
        <f t="shared" si="100"/>
        <v>0</v>
      </c>
      <c r="E691" s="77" t="e">
        <f ca="1">IF(F691="y",HLOOKUP((IF(C691&lt;1,1,C691)),Magick!$C$20:$L$21,2),NA())</f>
        <v>#N/A</v>
      </c>
      <c r="F691" s="67" t="str">
        <f ca="1">IF(C691&lt;=Magick!$D$3,"Y","N")</f>
        <v>N</v>
      </c>
      <c r="G691" s="148" t="s">
        <v>128</v>
      </c>
      <c r="H691" s="151"/>
      <c r="I691" s="77" t="e">
        <f>IF(H691&gt;0,(HLOOKUP(C691,Magick!$C$20:$L$21,2)-HLOOKUP(H691,Magick!$C$20:$L$21,2)),NA())</f>
        <v>#N/A</v>
      </c>
      <c r="J691" s="77"/>
      <c r="K691" s="67">
        <v>13</v>
      </c>
      <c r="L691" s="72" t="str">
        <f>IF(H691&gt;0,Magick!$AR$24-('Master Spell List'!H639*0.1),"N/A")</f>
        <v>N/A</v>
      </c>
      <c r="M691" s="72">
        <f ca="1">Magick!$H$74</f>
        <v>0.1</v>
      </c>
      <c r="N691" s="72">
        <f ca="1">Magick!$K$74</f>
        <v>0.2</v>
      </c>
      <c r="O691" s="72">
        <f ca="1">Magick!$L$74</f>
        <v>0.2</v>
      </c>
      <c r="P691" s="72">
        <f ca="1">Magick!$M$74</f>
        <v>0.2</v>
      </c>
      <c r="Q691" s="67" t="s">
        <v>3723</v>
      </c>
      <c r="R691" s="67">
        <f ca="1">IF(Q691="Ritual","N/A",IF(Q691="I.E.","N/A",IF(Q691="WOG",VLOOKUP(Magick!$I$74*100,magestuff!$B$134:$F$138,2),IF(Q691="Cantrip",VLOOKUP(Magick!$I$74*100,magestuff!$B$134:$F$138,3),IF(Q691="Hex",VLOOKUP(Magick!$I$74*100,magestuff!$B$134:$F$138,4),VLOOKUP(Magick!$I$74*100,magestuff!$B$134:$F$138,5))))))</f>
        <v>29</v>
      </c>
      <c r="U691" s="67" t="str">
        <f t="shared" si="101"/>
        <v xml:space="preserve"> </v>
      </c>
      <c r="V691" s="515"/>
      <c r="W691" s="125"/>
      <c r="X691" s="31">
        <f t="shared" si="102"/>
        <v>0</v>
      </c>
      <c r="Y691" s="509"/>
      <c r="Z691" s="1054" t="str">
        <f t="shared" si="98"/>
        <v>Phantom Monster</v>
      </c>
      <c r="AA691" s="1072" t="str">
        <f t="shared" si="99"/>
        <v>Illusion</v>
      </c>
    </row>
    <row r="692" spans="1:27" hidden="1" outlineLevel="1">
      <c r="A692" s="31" t="s">
        <v>2710</v>
      </c>
      <c r="B692" s="67">
        <v>9</v>
      </c>
      <c r="C692" s="67">
        <f ca="1">magestuff!$AA$202</f>
        <v>9</v>
      </c>
      <c r="D692" s="67">
        <f t="shared" si="100"/>
        <v>0</v>
      </c>
      <c r="E692" s="77" t="e">
        <f ca="1">IF(F692="y",HLOOKUP((IF(C692&lt;1,1,C692)),Magick!$C$20:$L$21,2),NA())</f>
        <v>#N/A</v>
      </c>
      <c r="F692" s="67" t="str">
        <f ca="1">IF(C692&lt;=Magick!$D$3,"Y","N")</f>
        <v>N</v>
      </c>
      <c r="G692" s="148" t="s">
        <v>128</v>
      </c>
      <c r="H692" s="151"/>
      <c r="I692" s="77" t="e">
        <f>IF(H692&gt;0,(HLOOKUP(C692,Magick!$C$20:$L$21,2)-HLOOKUP(H692,Magick!$C$20:$L$21,2)),NA())</f>
        <v>#N/A</v>
      </c>
      <c r="J692" s="77"/>
      <c r="K692" s="67">
        <v>105</v>
      </c>
      <c r="L692" s="72" t="str">
        <f>IF(H692&gt;0,Magick!$AR$24-('Master Spell List'!H634*0.1),"N/A")</f>
        <v>N/A</v>
      </c>
      <c r="M692" s="72">
        <f ca="1">Magick!$H$74</f>
        <v>0.1</v>
      </c>
      <c r="N692" s="72">
        <f ca="1">Magick!$K$74</f>
        <v>0.2</v>
      </c>
      <c r="O692" s="72">
        <f ca="1">Magick!$L$74</f>
        <v>0.2</v>
      </c>
      <c r="P692" s="72">
        <f ca="1">Magick!$M$74</f>
        <v>0.2</v>
      </c>
      <c r="Q692" s="67" t="s">
        <v>113</v>
      </c>
      <c r="R692" s="67" t="str">
        <f>IF(Q692="Ritual","N/A",IF(Q692="I.E.","N/A",IF(Q692="WOG",VLOOKUP(Magick!$I$74*100,magestuff!$B$134:$F$138,2),IF(Q692="Cantrip",VLOOKUP(Magick!$I$74*100,magestuff!$B$134:$F$138,3),IF(Q692="Hex",VLOOKUP(Magick!$I$74*100,magestuff!$B$134:$F$138,4),VLOOKUP(Magick!$I$74*100,magestuff!$B$134:$F$138,5))))))</f>
        <v>N/A</v>
      </c>
      <c r="U692" s="67" t="str">
        <f t="shared" si="101"/>
        <v xml:space="preserve"> </v>
      </c>
      <c r="V692" s="515"/>
      <c r="W692" s="125"/>
      <c r="X692" s="31">
        <f t="shared" si="102"/>
        <v>0</v>
      </c>
      <c r="Y692" s="509"/>
      <c r="Z692" s="1054" t="str">
        <f t="shared" si="98"/>
        <v>Shadow Lands</v>
      </c>
      <c r="AA692" s="1072" t="str">
        <f t="shared" si="99"/>
        <v>Illusion</v>
      </c>
    </row>
    <row r="693" spans="1:27" hidden="1" outlineLevel="1">
      <c r="A693" s="31" t="s">
        <v>3465</v>
      </c>
      <c r="B693" s="67">
        <v>9</v>
      </c>
      <c r="C693" s="67">
        <f ca="1">magestuff!$AA$202</f>
        <v>9</v>
      </c>
      <c r="D693" s="67">
        <f t="shared" si="100"/>
        <v>0</v>
      </c>
      <c r="E693" s="77" t="e">
        <f ca="1">IF(F693="y",HLOOKUP((IF(C693&lt;1,1,C693)),Magick!$C$20:$L$21,2),NA())</f>
        <v>#N/A</v>
      </c>
      <c r="F693" s="67" t="str">
        <f ca="1">IF(C693&lt;=Magick!$D$3,"Y","N")</f>
        <v>N</v>
      </c>
      <c r="G693" s="148" t="s">
        <v>128</v>
      </c>
      <c r="H693" s="151"/>
      <c r="I693" s="77" t="e">
        <f>IF(H693&gt;0,(HLOOKUP(C693,Magick!$C$20:$L$21,2)-HLOOKUP(H693,Magick!$C$20:$L$21,2)),NA())</f>
        <v>#N/A</v>
      </c>
      <c r="J693" s="77"/>
      <c r="K693" s="67">
        <v>14</v>
      </c>
      <c r="L693" s="72" t="str">
        <f>IF(H693&gt;0,Magick!$AR$24-('Master Spell List'!H640*0.1),"N/A")</f>
        <v>N/A</v>
      </c>
      <c r="M693" s="72">
        <f ca="1">Magick!$H$74</f>
        <v>0.1</v>
      </c>
      <c r="N693" s="72">
        <f ca="1">Magick!$K$74</f>
        <v>0.2</v>
      </c>
      <c r="O693" s="72">
        <f ca="1">Magick!$L$74</f>
        <v>0.2</v>
      </c>
      <c r="P693" s="72">
        <f ca="1">Magick!$M$74</f>
        <v>0.2</v>
      </c>
      <c r="Q693" s="67" t="s">
        <v>3723</v>
      </c>
      <c r="R693" s="67">
        <f ca="1">IF(Q693="Ritual","N/A",IF(Q693="I.E.","N/A",IF(Q693="WOG",VLOOKUP(Magick!$I$74*100,magestuff!$B$134:$F$138,2),IF(Q693="Cantrip",VLOOKUP(Magick!$I$74*100,magestuff!$B$134:$F$138,3),IF(Q693="Hex",VLOOKUP(Magick!$I$74*100,magestuff!$B$134:$F$138,4),VLOOKUP(Magick!$I$74*100,magestuff!$B$134:$F$138,5))))))</f>
        <v>29</v>
      </c>
      <c r="U693" s="67" t="str">
        <f t="shared" si="101"/>
        <v xml:space="preserve"> </v>
      </c>
      <c r="V693" s="515"/>
      <c r="W693" s="125"/>
      <c r="X693" s="31">
        <f t="shared" si="102"/>
        <v>0</v>
      </c>
      <c r="Y693" s="509"/>
      <c r="Z693" s="1054" t="str">
        <f t="shared" si="98"/>
        <v>Spectral Monster</v>
      </c>
      <c r="AA693" s="1072" t="str">
        <f t="shared" si="99"/>
        <v>Illusion</v>
      </c>
    </row>
    <row r="694" spans="1:27" hidden="1" outlineLevel="1">
      <c r="A694" s="31" t="s">
        <v>1916</v>
      </c>
      <c r="B694" s="67">
        <v>10</v>
      </c>
      <c r="C694" s="67">
        <f ca="1">magestuff!$AD$202</f>
        <v>10</v>
      </c>
      <c r="D694" s="67">
        <f t="shared" si="100"/>
        <v>0</v>
      </c>
      <c r="E694" s="77" t="e">
        <f ca="1">IF(F694="y",HLOOKUP((IF(C694&lt;1,1,C694)),Magick!$C$20:$L$21,2),NA())</f>
        <v>#N/A</v>
      </c>
      <c r="F694" s="67" t="str">
        <f ca="1">IF(C694&lt;=Magick!$D$3,"Y","N")</f>
        <v>N</v>
      </c>
      <c r="G694" s="148" t="s">
        <v>128</v>
      </c>
      <c r="H694" s="151"/>
      <c r="I694" s="77" t="e">
        <f>IF(H694&gt;0,(HLOOKUP(C694,Magick!$C$20:$L$21,2)-HLOOKUP(H694,Magick!$C$20:$L$21,2)),NA())</f>
        <v>#N/A</v>
      </c>
      <c r="J694" s="77"/>
      <c r="K694" s="67">
        <v>105</v>
      </c>
      <c r="L694" s="72" t="str">
        <f>IF(H694&gt;0,Magick!$AR$24-('Master Spell List'!H636*0.1),"N/A")</f>
        <v>N/A</v>
      </c>
      <c r="M694" s="72">
        <f ca="1">Magick!$H$74</f>
        <v>0.1</v>
      </c>
      <c r="N694" s="72">
        <f ca="1">Magick!$K$74</f>
        <v>0.2</v>
      </c>
      <c r="O694" s="72">
        <f ca="1">Magick!$L$74</f>
        <v>0.2</v>
      </c>
      <c r="P694" s="72">
        <f ca="1">Magick!$M$74</f>
        <v>0.2</v>
      </c>
      <c r="Q694" s="67" t="s">
        <v>113</v>
      </c>
      <c r="R694" s="67" t="str">
        <f>IF(Q694="Ritual","N/A",IF(Q694="I.E.","N/A",IF(Q694="WOG",VLOOKUP(Magick!$I$74*100,magestuff!$B$134:$F$138,2),IF(Q694="Cantrip",VLOOKUP(Magick!$I$74*100,magestuff!$B$134:$F$138,3),IF(Q694="Hex",VLOOKUP(Magick!$I$74*100,magestuff!$B$134:$F$138,4),VLOOKUP(Magick!$I$74*100,magestuff!$B$134:$F$138,5))))))</f>
        <v>N/A</v>
      </c>
      <c r="U694" s="67" t="str">
        <f t="shared" si="101"/>
        <v xml:space="preserve"> </v>
      </c>
      <c r="V694" s="515"/>
      <c r="W694" s="125"/>
      <c r="X694" s="31">
        <f t="shared" si="102"/>
        <v>0</v>
      </c>
      <c r="Y694" s="509"/>
      <c r="Z694" s="1054" t="str">
        <f t="shared" si="98"/>
        <v>Djinn Creation</v>
      </c>
      <c r="AA694" s="1072" t="str">
        <f t="shared" si="99"/>
        <v>Illusion</v>
      </c>
    </row>
    <row r="695" spans="1:27" hidden="1" outlineLevel="1">
      <c r="A695" s="83" t="s">
        <v>605</v>
      </c>
      <c r="B695" s="67">
        <v>10</v>
      </c>
      <c r="C695" s="67">
        <f ca="1">magestuff!$AD$202</f>
        <v>10</v>
      </c>
      <c r="D695" s="67">
        <f t="shared" si="100"/>
        <v>0</v>
      </c>
      <c r="E695" s="77" t="e">
        <f ca="1">IF(F695="y",HLOOKUP((IF(C695&lt;1,1,C695)),Magick!$C$20:$L$21,2),NA())</f>
        <v>#N/A</v>
      </c>
      <c r="F695" s="67" t="str">
        <f ca="1">IF(C695&lt;=Magick!$D$3,"Y","N")</f>
        <v>N</v>
      </c>
      <c r="G695" s="148" t="s">
        <v>1616</v>
      </c>
      <c r="H695" s="151"/>
      <c r="I695" s="77" t="e">
        <f>IF(H695&gt;0,(HLOOKUP(C695,Magick!$C$20:$L$21,2)-HLOOKUP(H695,Magick!$C$20:$L$21,2)),NA())</f>
        <v>#N/A</v>
      </c>
      <c r="J695" s="77"/>
      <c r="K695" s="67">
        <v>21</v>
      </c>
      <c r="L695" s="72" t="str">
        <f>IF(H695&gt;0,Magick!$AR$24-('Master Spell List'!H692*0.1),"N/A")</f>
        <v>N/A</v>
      </c>
      <c r="M695" s="72">
        <f ca="1">Magick!$H$74</f>
        <v>0.1</v>
      </c>
      <c r="N695" s="72">
        <f ca="1">Magick!$K$74</f>
        <v>0.2</v>
      </c>
      <c r="O695" s="72">
        <f ca="1">Magick!$L$74</f>
        <v>0.2</v>
      </c>
      <c r="P695" s="72">
        <f ca="1">Magick!$M$74</f>
        <v>0.2</v>
      </c>
      <c r="Q695" s="67" t="s">
        <v>3723</v>
      </c>
      <c r="R695" s="67">
        <f ca="1">IF(Q695="Ritual","N/A",IF(Q695="I.E.","N/A",IF(Q695="WOG",VLOOKUP(Magick!$I$74*100,magestuff!$B$134:$F$138,2),IF(Q695="Cantrip",VLOOKUP(Magick!$I$74*100,magestuff!$B$134:$F$138,3),IF(Q695="Hex",VLOOKUP(Magick!$I$74*100,magestuff!$B$134:$F$138,4),VLOOKUP(Magick!$I$74*100,magestuff!$B$134:$F$138,5))))))</f>
        <v>29</v>
      </c>
      <c r="U695" s="67" t="str">
        <f t="shared" si="101"/>
        <v xml:space="preserve"> </v>
      </c>
      <c r="V695" s="515"/>
      <c r="W695" s="125"/>
      <c r="X695" s="31">
        <f t="shared" si="102"/>
        <v>0</v>
      </c>
      <c r="Y695" s="509"/>
      <c r="Z695" s="1054" t="str">
        <f t="shared" si="98"/>
        <v>Illusionary Greater Storm</v>
      </c>
      <c r="AA695" s="1072" t="str">
        <f t="shared" si="99"/>
        <v>Illusion</v>
      </c>
    </row>
    <row r="696" spans="1:27" hidden="1" outlineLevel="1">
      <c r="A696" s="83" t="s">
        <v>600</v>
      </c>
      <c r="B696" s="67">
        <v>11</v>
      </c>
      <c r="C696" s="67">
        <f ca="1">magestuff!$AD$202+1</f>
        <v>11</v>
      </c>
      <c r="D696" s="67">
        <f t="shared" si="100"/>
        <v>0</v>
      </c>
      <c r="E696" s="77" t="e">
        <f ca="1">IF(F696="y",HLOOKUP((IF(C696&lt;1,1,C696)),Magick!$C$20:$L$21,2),NA())</f>
        <v>#N/A</v>
      </c>
      <c r="F696" s="67" t="str">
        <f ca="1">IF(C696&lt;=Magick!$D$3,"Y","N")</f>
        <v>N</v>
      </c>
      <c r="G696" s="148" t="s">
        <v>1616</v>
      </c>
      <c r="H696" s="151"/>
      <c r="I696" s="77" t="e">
        <f>IF(H696&gt;0,(HLOOKUP(C696,Magick!$C$20:$L$21,2)-HLOOKUP(H696,Magick!$C$20:$L$21,2)),NA())</f>
        <v>#N/A</v>
      </c>
      <c r="J696" s="77"/>
      <c r="K696" s="67" t="s">
        <v>332</v>
      </c>
      <c r="L696" s="72" t="str">
        <f>IF(H696&gt;0,Magick!$AR$24-('Master Spell List'!H687*0.1),"N/A")</f>
        <v>N/A</v>
      </c>
      <c r="M696" s="72">
        <f ca="1">Magick!$H$74</f>
        <v>0.1</v>
      </c>
      <c r="N696" s="72">
        <f ca="1">Magick!$K$74</f>
        <v>0.2</v>
      </c>
      <c r="O696" s="72">
        <f ca="1">Magick!$L$74</f>
        <v>0.2</v>
      </c>
      <c r="P696" s="72">
        <f ca="1">Magick!$M$74</f>
        <v>0.2</v>
      </c>
      <c r="Q696" s="67" t="s">
        <v>113</v>
      </c>
      <c r="R696" s="67" t="str">
        <f>IF(Q696="Ritual","N/A",IF(Q696="I.E.","N/A",IF(Q696="WOG",VLOOKUP(Magick!$I$74*100,magestuff!$B$134:$F$138,2),IF(Q696="Cantrip",VLOOKUP(Magick!$I$74*100,magestuff!$B$134:$F$138,3),IF(Q696="Hex",VLOOKUP(Magick!$I$74*100,magestuff!$B$134:$F$138,4),VLOOKUP(Magick!$I$74*100,magestuff!$B$134:$F$138,5))))))</f>
        <v>N/A</v>
      </c>
      <c r="U696" s="67" t="str">
        <f t="shared" si="101"/>
        <v xml:space="preserve"> </v>
      </c>
      <c r="V696" s="515"/>
      <c r="W696" s="125"/>
      <c r="X696" s="31">
        <f t="shared" si="102"/>
        <v>0</v>
      </c>
      <c r="Y696" s="509"/>
      <c r="Z696" s="1054" t="str">
        <f t="shared" si="98"/>
        <v>Illusionary Realm</v>
      </c>
      <c r="AA696" s="1072" t="str">
        <f t="shared" si="99"/>
        <v>Illusion</v>
      </c>
    </row>
    <row r="697" spans="1:27" hidden="1" outlineLevel="1">
      <c r="A697" s="83" t="s">
        <v>601</v>
      </c>
      <c r="B697" s="67">
        <v>11</v>
      </c>
      <c r="C697" s="67">
        <f ca="1">magestuff!$AD$202+1</f>
        <v>11</v>
      </c>
      <c r="D697" s="67">
        <f t="shared" si="100"/>
        <v>0</v>
      </c>
      <c r="E697" s="77" t="e">
        <f ca="1">IF(F697="y",HLOOKUP((IF(C697&lt;1,1,C697)),Magick!$C$20:$L$21,2),NA())</f>
        <v>#N/A</v>
      </c>
      <c r="F697" s="67" t="str">
        <f ca="1">IF(C697&lt;=Magick!$D$3,"Y","N")</f>
        <v>N</v>
      </c>
      <c r="G697" s="148" t="s">
        <v>1616</v>
      </c>
      <c r="H697" s="151"/>
      <c r="I697" s="77" t="e">
        <f>IF(H697&gt;0,(HLOOKUP(C697,Magick!$C$20:$L$21,2)-HLOOKUP(H697,Magick!$C$20:$L$21,2)),NA())</f>
        <v>#N/A</v>
      </c>
      <c r="J697" s="77"/>
      <c r="K697" s="67">
        <v>15</v>
      </c>
      <c r="L697" s="72" t="str">
        <f>IF(H697&gt;0,Magick!$AR$24-('Master Spell List'!H688*0.1),"N/A")</f>
        <v>N/A</v>
      </c>
      <c r="M697" s="72">
        <f ca="1">Magick!$H$74</f>
        <v>0.1</v>
      </c>
      <c r="N697" s="72">
        <f ca="1">Magick!$K$74</f>
        <v>0.2</v>
      </c>
      <c r="O697" s="72">
        <f ca="1">Magick!$L$74</f>
        <v>0.2</v>
      </c>
      <c r="P697" s="72">
        <f ca="1">Magick!$M$74</f>
        <v>0.2</v>
      </c>
      <c r="Q697" s="67" t="s">
        <v>113</v>
      </c>
      <c r="R697" s="67" t="str">
        <f>IF(Q697="Ritual","N/A",IF(Q697="I.E.","N/A",IF(Q697="WOG",VLOOKUP(Magick!$I$74*100,magestuff!$B$134:$F$138,2),IF(Q697="Cantrip",VLOOKUP(Magick!$I$74*100,magestuff!$B$134:$F$138,3),IF(Q697="Hex",VLOOKUP(Magick!$I$74*100,magestuff!$B$134:$F$138,4),VLOOKUP(Magick!$I$74*100,magestuff!$B$134:$F$138,5))))))</f>
        <v>N/A</v>
      </c>
      <c r="U697" s="67" t="str">
        <f t="shared" si="101"/>
        <v xml:space="preserve"> </v>
      </c>
      <c r="V697" s="515"/>
      <c r="W697" s="125"/>
      <c r="X697" s="31">
        <f t="shared" si="102"/>
        <v>0</v>
      </c>
      <c r="Y697" s="509"/>
      <c r="Z697" s="1054" t="str">
        <f t="shared" si="98"/>
        <v>Illusionary Scream of the Banshee</v>
      </c>
      <c r="AA697" s="1072" t="str">
        <f t="shared" si="99"/>
        <v>Illusion</v>
      </c>
    </row>
    <row r="698" spans="1:27" hidden="1" outlineLevel="1">
      <c r="A698" s="153" t="s">
        <v>2711</v>
      </c>
      <c r="B698" s="154" t="s">
        <v>3546</v>
      </c>
      <c r="C698" s="154">
        <f ca="1">magestuff!$C$202</f>
        <v>1</v>
      </c>
      <c r="D698" s="67">
        <f t="shared" si="100"/>
        <v>0</v>
      </c>
      <c r="E698" s="155">
        <f ca="1">IF(F698="y",HLOOKUP((IF(C698&lt;1,1,C698)),Magick!$C$20:$L$21,2),NA())</f>
        <v>10</v>
      </c>
      <c r="F698" s="154" t="str">
        <f ca="1">IF(C698&lt;=Magick!$D$3,"Y","N")</f>
        <v>Y</v>
      </c>
      <c r="G698" s="156" t="s">
        <v>128</v>
      </c>
      <c r="H698" s="151"/>
      <c r="I698" s="155" t="e">
        <f>IF(H698&gt;0,(HLOOKUP(C698,Magick!$C$20:$L$21,2)-HLOOKUP(H698,Magick!$C$20:$L$21,2)),NA())</f>
        <v>#N/A</v>
      </c>
      <c r="J698" s="155"/>
      <c r="K698" s="154" t="s">
        <v>3546</v>
      </c>
      <c r="L698" s="157" t="str">
        <f>IF(H698&gt;0,Magick!$AR$24-('Master Spell List'!H637*0.1),"N/A")</f>
        <v>N/A</v>
      </c>
      <c r="M698" s="157">
        <f ca="1">Magick!$H$74</f>
        <v>0.1</v>
      </c>
      <c r="N698" s="157">
        <f ca="1">Magick!$K$74</f>
        <v>0.2</v>
      </c>
      <c r="O698" s="72">
        <f ca="1">Magick!$L$74</f>
        <v>0.2</v>
      </c>
      <c r="P698" s="72">
        <f ca="1">Magick!$M$74</f>
        <v>0.2</v>
      </c>
      <c r="Q698" s="154" t="s">
        <v>330</v>
      </c>
      <c r="R698" s="67">
        <f ca="1">IF(Q698="Ritual","N/A",IF(Q698="I.E.","N/A",IF(Q698="WOG",VLOOKUP(Magick!$I$74*100,magestuff!$B$134:$F$138,2),IF(Q698="Cantrip",VLOOKUP(Magick!$I$74*100,magestuff!$B$134:$F$138,3),IF(Q698="Hex",VLOOKUP(Magick!$I$74*100,magestuff!$B$134:$F$138,4),VLOOKUP(Magick!$I$74*100,magestuff!$B$134:$F$138,5))))))</f>
        <v>29</v>
      </c>
      <c r="S698" s="154"/>
      <c r="T698" s="154"/>
      <c r="U698" s="67" t="str">
        <f t="shared" si="101"/>
        <v xml:space="preserve"> </v>
      </c>
      <c r="V698" s="515"/>
      <c r="W698" s="158"/>
      <c r="X698" s="153">
        <f t="shared" si="102"/>
        <v>0</v>
      </c>
      <c r="Y698" s="509"/>
      <c r="Z698" s="1054" t="str">
        <f t="shared" si="98"/>
        <v>Shadow Missiles</v>
      </c>
      <c r="AA698" s="1072" t="str">
        <f t="shared" si="99"/>
        <v>Illusion</v>
      </c>
    </row>
    <row r="699" spans="1:27" collapsed="1">
      <c r="A699" s="48" t="s">
        <v>3466</v>
      </c>
      <c r="B699" s="76">
        <f>SUM(B700:B788)</f>
        <v>416</v>
      </c>
      <c r="C699" s="76">
        <f ca="1">SUM(C700:C788)</f>
        <v>416</v>
      </c>
      <c r="D699" s="76">
        <f>SUM(D700:D788)</f>
        <v>0</v>
      </c>
      <c r="E699" s="76"/>
      <c r="F699" s="149">
        <f ca="1">SUM(C700:C718)+IF(F719="Y",SUM(C719:C735),0)+IF(F736="Y",SUM(C736:C750),0)+IF(F751="Y",SUM(C751:C759),0)+IF(F760="Y",SUM(C760:C769),0)+IF(F770="Y",SUM(C770:C776),0)+IF(F777="Y",SUM(C777:C778),0)+IF(F779="Y",SUM(C779:C781),0)+IF(F782="Y",SUM(C782:C787),0)+IF(F788="Y",SUM(C788:C788),0)</f>
        <v>34</v>
      </c>
      <c r="G699" s="76"/>
      <c r="H699" s="150"/>
      <c r="I699" s="76"/>
      <c r="J699" s="76"/>
      <c r="K699" s="76"/>
      <c r="L699" s="76"/>
      <c r="M699" s="222">
        <f ca="1">Magick!$H$75</f>
        <v>0.08</v>
      </c>
      <c r="N699" s="222">
        <f ca="1">Magick!$K$75</f>
        <v>0.13</v>
      </c>
      <c r="O699" s="222">
        <f ca="1">Magick!$L$75</f>
        <v>0.13</v>
      </c>
      <c r="P699" s="222">
        <f ca="1">Magick!$M$75</f>
        <v>0.13</v>
      </c>
      <c r="Q699" s="76"/>
      <c r="R699" s="76"/>
      <c r="S699" s="76"/>
      <c r="T699" s="76"/>
      <c r="U699" s="149">
        <f>SUM(U700:U788)</f>
        <v>0</v>
      </c>
      <c r="V699" s="76"/>
      <c r="W699" s="76"/>
      <c r="X699" s="149"/>
      <c r="Y699" s="509"/>
      <c r="Z699" s="1054" t="str">
        <f t="shared" si="98"/>
        <v>Plant</v>
      </c>
      <c r="AA699" s="1072" t="str">
        <f t="shared" si="99"/>
        <v>Plant</v>
      </c>
    </row>
    <row r="700" spans="1:27" hidden="1" outlineLevel="1">
      <c r="A700" s="31" t="s">
        <v>3467</v>
      </c>
      <c r="B700" s="67">
        <v>1</v>
      </c>
      <c r="C700" s="67">
        <f ca="1">IF(magestuff!$C$203&lt;1,1,magestuff!$C$203)</f>
        <v>1</v>
      </c>
      <c r="D700" s="67">
        <f t="shared" ref="D700:D763" si="103">IF(AND(ISNUMBER(H700),H700=0),C700,0)</f>
        <v>0</v>
      </c>
      <c r="E700" s="77">
        <f ca="1">IF(F700="y",HLOOKUP((IF(C700&lt;1,1,C700)),Magick!$C$20:$L$21,2),NA())</f>
        <v>10</v>
      </c>
      <c r="F700" s="67" t="str">
        <f ca="1">IF(C700&lt;=Magick!$D$3,"Y","N")</f>
        <v>Y</v>
      </c>
      <c r="G700" s="148" t="s">
        <v>128</v>
      </c>
      <c r="H700" s="151"/>
      <c r="I700" s="77" t="e">
        <f>IF(H700&gt;0,(HLOOKUP(C700,Magick!$C$20:$L$21,2)-HLOOKUP(H700,Magick!$C$20:$L$21,2)),NA())</f>
        <v>#N/A</v>
      </c>
      <c r="J700" s="77"/>
      <c r="K700" s="67">
        <v>13</v>
      </c>
      <c r="L700" s="72" t="str">
        <f>IF(H700&gt;0,Magick!$AR$25-('Master Spell List'!H700*0.1),"N/A")</f>
        <v>N/A</v>
      </c>
      <c r="M700" s="72">
        <f ca="1">Magick!$H$75</f>
        <v>0.08</v>
      </c>
      <c r="N700" s="72">
        <f ca="1">Magick!$K$75</f>
        <v>0.13</v>
      </c>
      <c r="O700" s="72">
        <f ca="1">Magick!$L$75</f>
        <v>0.13</v>
      </c>
      <c r="P700" s="72">
        <f ca="1">Magick!$M$75</f>
        <v>0.13</v>
      </c>
      <c r="Q700" s="67" t="s">
        <v>113</v>
      </c>
      <c r="R700" s="67" t="str">
        <f>IF(Q700="Ritual","N/A",IF(Q700="I.E.","N/A",IF(Q700="WOG",VLOOKUP(Magick!$I$75*100,magestuff!$B$134:$F$138,2),IF(Q700="Cantrip",VLOOKUP(Magick!$I$75*100,magestuff!$B$134:$F$138,3),IF(Q700="Hex",VLOOKUP(Magick!$I$75*100,magestuff!$B$134:$F$138,4),VLOOKUP(Magick!$I$75*100,magestuff!$B$134:$F$138,5))))))</f>
        <v>N/A</v>
      </c>
      <c r="U700" s="67" t="str">
        <f t="shared" ref="U700:U763" si="104">IF(ISBLANK(H700)," ",IF(H700&gt;0,0,C700*10))</f>
        <v xml:space="preserve"> </v>
      </c>
      <c r="V700" s="515"/>
      <c r="W700" s="125"/>
      <c r="X700" s="31">
        <f t="shared" ref="X700:X731" si="105">W700*3</f>
        <v>0</v>
      </c>
      <c r="Y700" s="509"/>
      <c r="Z700" s="1054" t="str">
        <f t="shared" si="98"/>
        <v>Demeter's Touch</v>
      </c>
      <c r="AA700" s="1072" t="str">
        <f t="shared" si="99"/>
        <v>Plant</v>
      </c>
    </row>
    <row r="701" spans="1:27" hidden="1" outlineLevel="1">
      <c r="A701" s="83" t="s">
        <v>1218</v>
      </c>
      <c r="B701" s="67">
        <v>1</v>
      </c>
      <c r="C701" s="67">
        <f ca="1">IF(magestuff!$C$203&lt;1,1,magestuff!$C$203)</f>
        <v>1</v>
      </c>
      <c r="D701" s="67">
        <f t="shared" si="103"/>
        <v>0</v>
      </c>
      <c r="E701" s="77">
        <f ca="1">IF(F701="y",HLOOKUP((IF(C701&lt;1,1,C701)),Magick!$C$20:$L$21,2),NA())</f>
        <v>10</v>
      </c>
      <c r="F701" s="67" t="str">
        <f ca="1">IF(C701&lt;=Magick!$D$3,"Y","N")</f>
        <v>Y</v>
      </c>
      <c r="G701" s="148" t="s">
        <v>1217</v>
      </c>
      <c r="H701" s="151"/>
      <c r="I701" s="77" t="e">
        <f>IF(H701&gt;0,(HLOOKUP(C701,Magick!$C$20:$L$21,2)-HLOOKUP(H701,Magick!$C$20:$L$21,2)),NA())</f>
        <v>#N/A</v>
      </c>
      <c r="J701" s="77"/>
      <c r="K701" s="67">
        <v>3</v>
      </c>
      <c r="L701" s="72" t="str">
        <f>IF(H701&gt;0,Magick!$AR$25-('Master Spell List'!H687*0.1),"N/A")</f>
        <v>N/A</v>
      </c>
      <c r="M701" s="72">
        <f ca="1">Magick!$H$75</f>
        <v>0.08</v>
      </c>
      <c r="N701" s="72">
        <f ca="1">Magick!$K$75</f>
        <v>0.13</v>
      </c>
      <c r="O701" s="72">
        <f ca="1">Magick!$L$75</f>
        <v>0.13</v>
      </c>
      <c r="P701" s="72">
        <f ca="1">Magick!$M$75</f>
        <v>0.13</v>
      </c>
      <c r="Q701" s="67" t="s">
        <v>4603</v>
      </c>
      <c r="R701" s="67">
        <f ca="1">IF(Q701="Ritual","N/A",IF(Q701="I.E.","N/A",IF(Q701="WOG",VLOOKUP(Magick!$I$75*100,magestuff!$B$134:$F$138,2),IF(Q701="Cantrip",VLOOKUP(Magick!$I$75*100,magestuff!$B$134:$F$138,3),IF(Q701="Hex",VLOOKUP(Magick!$I$75*100,magestuff!$B$134:$F$138,4),VLOOKUP(Magick!$I$75*100,magestuff!$B$134:$F$138,5))))))</f>
        <v>9</v>
      </c>
      <c r="S701" s="67">
        <f>5*Magick!$C$3</f>
        <v>0</v>
      </c>
      <c r="T701" s="67" t="s">
        <v>3218</v>
      </c>
      <c r="U701" s="67" t="str">
        <f t="shared" si="104"/>
        <v xml:space="preserve"> </v>
      </c>
      <c r="V701" s="515"/>
      <c r="W701" s="125"/>
      <c r="X701" s="31">
        <f t="shared" si="105"/>
        <v>0</v>
      </c>
      <c r="Y701" s="509"/>
      <c r="Z701" s="1054" t="str">
        <f t="shared" si="98"/>
        <v>Least Dry</v>
      </c>
      <c r="AA701" s="1072" t="str">
        <f t="shared" si="99"/>
        <v>Plant</v>
      </c>
    </row>
    <row r="702" spans="1:27" hidden="1" outlineLevel="1">
      <c r="A702" s="31" t="s">
        <v>5210</v>
      </c>
      <c r="B702" s="67">
        <v>1</v>
      </c>
      <c r="C702" s="67">
        <f ca="1">IF(magestuff!$C$203&lt;1,1,magestuff!$C$203)</f>
        <v>1</v>
      </c>
      <c r="D702" s="67">
        <f t="shared" si="103"/>
        <v>0</v>
      </c>
      <c r="E702" s="77">
        <f ca="1">IF(F702="y",HLOOKUP((IF(C702&lt;1,1,C702)),Magick!$C$20:$L$21,2),NA())</f>
        <v>10</v>
      </c>
      <c r="F702" s="67" t="str">
        <f ca="1">IF(C702&lt;=Magick!$D$3,"Y","N")</f>
        <v>Y</v>
      </c>
      <c r="G702" s="148" t="s">
        <v>128</v>
      </c>
      <c r="H702" s="151"/>
      <c r="I702" s="77" t="e">
        <f>IF(H702&gt;0,(HLOOKUP(C702,Magick!$C$20:$L$21,2)-HLOOKUP(H702,Magick!$C$20:$L$21,2)),NA())</f>
        <v>#N/A</v>
      </c>
      <c r="J702" s="77"/>
      <c r="K702" s="67">
        <v>3</v>
      </c>
      <c r="L702" s="72" t="str">
        <f>IF(H702&gt;0,Magick!$AR$25-('Master Spell List'!H708*0.1),"N/A")</f>
        <v>N/A</v>
      </c>
      <c r="M702" s="72">
        <f ca="1">Magick!$H$75</f>
        <v>0.08</v>
      </c>
      <c r="N702" s="72">
        <f ca="1">Magick!$K$75</f>
        <v>0.13</v>
      </c>
      <c r="O702" s="72">
        <f ca="1">Magick!$L$75</f>
        <v>0.13</v>
      </c>
      <c r="P702" s="72">
        <f ca="1">Magick!$M$75</f>
        <v>0.13</v>
      </c>
      <c r="Q702" s="67" t="s">
        <v>3723</v>
      </c>
      <c r="R702" s="67">
        <f ca="1">IF(Q702="Ritual","N/A",IF(Q702="I.E.","N/A",IF(Q702="WOG",VLOOKUP(Magick!$I$75*100,magestuff!$B$134:$F$138,2),IF(Q702="Cantrip",VLOOKUP(Magick!$I$75*100,magestuff!$B$134:$F$138,3),IF(Q702="Hex",VLOOKUP(Magick!$I$75*100,magestuff!$B$134:$F$138,4),VLOOKUP(Magick!$I$75*100,magestuff!$B$134:$F$138,5))))))</f>
        <v>29</v>
      </c>
      <c r="U702" s="67" t="str">
        <f t="shared" si="104"/>
        <v xml:space="preserve"> </v>
      </c>
      <c r="V702" s="515"/>
      <c r="W702" s="125"/>
      <c r="X702" s="31">
        <f t="shared" si="105"/>
        <v>0</v>
      </c>
      <c r="Y702" s="509"/>
      <c r="Z702" s="1054" t="str">
        <f t="shared" si="98"/>
        <v>Rowan Grove</v>
      </c>
      <c r="AA702" s="1072" t="str">
        <f t="shared" si="99"/>
        <v>Plant</v>
      </c>
    </row>
    <row r="703" spans="1:27" hidden="1" outlineLevel="1">
      <c r="A703" s="31" t="s">
        <v>3230</v>
      </c>
      <c r="B703" s="67">
        <v>1</v>
      </c>
      <c r="C703" s="67">
        <f ca="1">IF(magestuff!$C$203&lt;1,1,magestuff!$C$203)</f>
        <v>1</v>
      </c>
      <c r="D703" s="67">
        <f t="shared" si="103"/>
        <v>0</v>
      </c>
      <c r="E703" s="77">
        <f ca="1">IF(F703="y",HLOOKUP((IF(C703&lt;1,1,C703)),Magick!$C$20:$L$21,2),NA())</f>
        <v>10</v>
      </c>
      <c r="F703" s="67" t="str">
        <f ca="1">IF(C703&lt;=Magick!$D$3,"Y","N")</f>
        <v>Y</v>
      </c>
      <c r="G703" s="148" t="s">
        <v>128</v>
      </c>
      <c r="H703" s="151"/>
      <c r="I703" s="77" t="e">
        <f>IF(H703&gt;0,(HLOOKUP(C703,Magick!$C$20:$L$21,2)-HLOOKUP(H703,Magick!$C$20:$L$21,2)),NA())</f>
        <v>#N/A</v>
      </c>
      <c r="J703" s="77"/>
      <c r="K703" s="67">
        <v>3</v>
      </c>
      <c r="L703" s="72" t="str">
        <f>IF(H703&gt;0,Magick!$AR$25-('Master Spell List'!H718*0.1),"N/A")</f>
        <v>N/A</v>
      </c>
      <c r="M703" s="72">
        <f ca="1">Magick!$H$75</f>
        <v>0.08</v>
      </c>
      <c r="N703" s="72">
        <f ca="1">Magick!$K$75</f>
        <v>0.13</v>
      </c>
      <c r="O703" s="72">
        <f ca="1">Magick!$L$75</f>
        <v>0.13</v>
      </c>
      <c r="P703" s="72">
        <f ca="1">Magick!$M$75</f>
        <v>0.13</v>
      </c>
      <c r="Q703" s="67" t="s">
        <v>4603</v>
      </c>
      <c r="R703" s="67">
        <f ca="1">IF(Q703="Ritual","N/A",IF(Q703="I.E.","N/A",IF(Q703="WOG",VLOOKUP(Magick!$I$75*100,magestuff!$B$134:$F$138,2),IF(Q703="Cantrip",VLOOKUP(Magick!$I$75*100,magestuff!$B$134:$F$138,3),IF(Q703="Hex",VLOOKUP(Magick!$I$75*100,magestuff!$B$134:$F$138,4),VLOOKUP(Magick!$I$75*100,magestuff!$B$134:$F$138,5))))))</f>
        <v>9</v>
      </c>
      <c r="U703" s="67" t="str">
        <f t="shared" si="104"/>
        <v xml:space="preserve"> </v>
      </c>
      <c r="V703" s="515"/>
      <c r="W703" s="125"/>
      <c r="X703" s="31">
        <f t="shared" si="105"/>
        <v>0</v>
      </c>
      <c r="Y703" s="509"/>
      <c r="Z703" s="1054" t="str">
        <f t="shared" si="98"/>
        <v>Thorn Darts</v>
      </c>
      <c r="AA703" s="1072" t="str">
        <f t="shared" si="99"/>
        <v>Plant</v>
      </c>
    </row>
    <row r="704" spans="1:27" hidden="1" outlineLevel="1">
      <c r="A704" s="83" t="s">
        <v>2926</v>
      </c>
      <c r="B704" s="67">
        <v>2</v>
      </c>
      <c r="C704" s="67">
        <f ca="1">IF(magestuff!$F$203&lt;1,1,magestuff!$F$203)</f>
        <v>2</v>
      </c>
      <c r="D704" s="67">
        <f t="shared" si="103"/>
        <v>0</v>
      </c>
      <c r="E704" s="77">
        <f ca="1">IF(F704="y",HLOOKUP((IF(C704&lt;1,1,C704)),Magick!$C$20:$L$21,2),NA())</f>
        <v>21</v>
      </c>
      <c r="F704" s="67" t="str">
        <f ca="1">IF(C704&lt;=Magick!$D$3,"Y","N")</f>
        <v>Y</v>
      </c>
      <c r="G704" s="148" t="s">
        <v>129</v>
      </c>
      <c r="H704" s="151"/>
      <c r="I704" s="77" t="e">
        <f>IF(H704&gt;0,(HLOOKUP(C704,Magick!$C$20:$L$21,2)-HLOOKUP(H704,Magick!$C$20:$L$21,2)),NA())</f>
        <v>#N/A</v>
      </c>
      <c r="J704" s="77"/>
      <c r="K704" s="67">
        <v>4</v>
      </c>
      <c r="L704" s="72" t="str">
        <f>IF(H704&gt;0,Magick!$AR$25-('Master Spell List'!H758*0.1),"N/A")</f>
        <v>N/A</v>
      </c>
      <c r="M704" s="72">
        <f ca="1">Magick!$H$75</f>
        <v>0.08</v>
      </c>
      <c r="N704" s="72">
        <f ca="1">Magick!$K$75</f>
        <v>0.13</v>
      </c>
      <c r="O704" s="72">
        <f ca="1">Magick!$L$75</f>
        <v>0.13</v>
      </c>
      <c r="P704" s="72">
        <f ca="1">Magick!$M$75</f>
        <v>0.13</v>
      </c>
      <c r="Q704" s="67" t="s">
        <v>4603</v>
      </c>
      <c r="R704" s="67">
        <f ca="1">IF(Q704="Ritual","N/A",IF(Q704="I.E.","N/A",IF(Q704="WOG",VLOOKUP(Magick!$I$75*100,magestuff!$B$134:$F$138,2),IF(Q704="Cantrip",VLOOKUP(Magick!$I$75*100,magestuff!$B$134:$F$138,3),IF(Q704="Hex",VLOOKUP(Magick!$I$75*100,magestuff!$B$134:$F$138,4),VLOOKUP(Magick!$I$75*100,magestuff!$B$134:$F$138,5))))))</f>
        <v>9</v>
      </c>
      <c r="S704" s="67" t="s">
        <v>5545</v>
      </c>
      <c r="T704" s="67" t="s">
        <v>5545</v>
      </c>
      <c r="U704" s="67" t="str">
        <f t="shared" si="104"/>
        <v xml:space="preserve"> </v>
      </c>
      <c r="V704" s="515"/>
      <c r="W704" s="125"/>
      <c r="X704" s="31">
        <f t="shared" si="105"/>
        <v>0</v>
      </c>
      <c r="Y704" s="509"/>
      <c r="Z704" s="1054" t="str">
        <f t="shared" si="98"/>
        <v>Accelerate (Grow)</v>
      </c>
      <c r="AA704" s="1072" t="str">
        <f t="shared" si="99"/>
        <v>Plant</v>
      </c>
    </row>
    <row r="705" spans="1:27" hidden="1" outlineLevel="1">
      <c r="A705" s="83" t="s">
        <v>2929</v>
      </c>
      <c r="B705" s="67">
        <v>2</v>
      </c>
      <c r="C705" s="67">
        <f ca="1">IF(magestuff!$F$203&lt;1,1,magestuff!$F$203)</f>
        <v>2</v>
      </c>
      <c r="D705" s="67">
        <f t="shared" si="103"/>
        <v>0</v>
      </c>
      <c r="E705" s="77">
        <f ca="1">IF(F705="y",HLOOKUP((IF(C705&lt;1,1,C705)),Magick!$C$20:$L$21,2),NA())</f>
        <v>21</v>
      </c>
      <c r="F705" s="67" t="str">
        <f ca="1">IF(C705&lt;=Magick!$D$3,"Y","N")</f>
        <v>Y</v>
      </c>
      <c r="G705" s="148" t="s">
        <v>129</v>
      </c>
      <c r="H705" s="151"/>
      <c r="I705" s="77" t="e">
        <f>IF(H705&gt;0,(HLOOKUP(C705,Magick!$C$20:$L$21,2)-HLOOKUP(H705,Magick!$C$20:$L$21,2)),NA())</f>
        <v>#N/A</v>
      </c>
      <c r="J705" s="77"/>
      <c r="K705" s="67">
        <v>4</v>
      </c>
      <c r="L705" s="72" t="str">
        <f>IF(H705&gt;0,Magick!$AR$25-('Master Spell List'!H757*0.1),"N/A")</f>
        <v>N/A</v>
      </c>
      <c r="M705" s="72">
        <f ca="1">Magick!$H$75</f>
        <v>0.08</v>
      </c>
      <c r="N705" s="72">
        <f ca="1">Magick!$K$75</f>
        <v>0.13</v>
      </c>
      <c r="O705" s="72">
        <f ca="1">Magick!$L$75</f>
        <v>0.13</v>
      </c>
      <c r="P705" s="72">
        <f ca="1">Magick!$M$75</f>
        <v>0.13</v>
      </c>
      <c r="Q705" s="67" t="s">
        <v>4603</v>
      </c>
      <c r="R705" s="67">
        <f ca="1">IF(Q705="Ritual","N/A",IF(Q705="I.E.","N/A",IF(Q705="WOG",VLOOKUP(Magick!$I$75*100,magestuff!$B$134:$F$138,2),IF(Q705="Cantrip",VLOOKUP(Magick!$I$75*100,magestuff!$B$134:$F$138,3),IF(Q705="Hex",VLOOKUP(Magick!$I$75*100,magestuff!$B$134:$F$138,4),VLOOKUP(Magick!$I$75*100,magestuff!$B$134:$F$138,5))))))</f>
        <v>9</v>
      </c>
      <c r="S705" s="67" t="s">
        <v>5545</v>
      </c>
      <c r="T705" s="67" t="s">
        <v>5545</v>
      </c>
      <c r="U705" s="67" t="str">
        <f t="shared" si="104"/>
        <v xml:space="preserve"> </v>
      </c>
      <c r="V705" s="515"/>
      <c r="W705" s="125"/>
      <c r="X705" s="31">
        <f t="shared" si="105"/>
        <v>0</v>
      </c>
      <c r="Y705" s="509"/>
      <c r="Z705" s="1054" t="str">
        <f t="shared" si="98"/>
        <v>Affix (Root)</v>
      </c>
      <c r="AA705" s="1072" t="str">
        <f t="shared" si="99"/>
        <v>Plant</v>
      </c>
    </row>
    <row r="706" spans="1:27" hidden="1" outlineLevel="1">
      <c r="A706" s="83" t="s">
        <v>3028</v>
      </c>
      <c r="B706" s="67">
        <v>2</v>
      </c>
      <c r="C706" s="67">
        <f ca="1">IF(magestuff!$F$203&lt;1,1,magestuff!$F$203)</f>
        <v>2</v>
      </c>
      <c r="D706" s="67">
        <f t="shared" si="103"/>
        <v>0</v>
      </c>
      <c r="E706" s="77">
        <f ca="1">IF(F706="y",HLOOKUP((IF(C706&lt;1,1,C706)),Magick!$C$20:$L$21,2),NA())</f>
        <v>21</v>
      </c>
      <c r="F706" s="67" t="str">
        <f ca="1">IF(C706&lt;=Magick!$D$3,"Y","N")</f>
        <v>Y</v>
      </c>
      <c r="G706" s="148" t="s">
        <v>129</v>
      </c>
      <c r="H706" s="151"/>
      <c r="I706" s="77" t="e">
        <f>IF(H706&gt;0,(HLOOKUP(C706,Magick!$C$20:$L$21,2)-HLOOKUP(H706,Magick!$C$20:$L$21,2)),NA())</f>
        <v>#N/A</v>
      </c>
      <c r="J706" s="77"/>
      <c r="K706" s="67">
        <v>4</v>
      </c>
      <c r="L706" s="72" t="str">
        <f>IF(H706&gt;0,Magick!$AR$25-('Master Spell List'!H767*0.1),"N/A")</f>
        <v>N/A</v>
      </c>
      <c r="M706" s="72">
        <f ca="1">Magick!$H$75</f>
        <v>0.08</v>
      </c>
      <c r="N706" s="72">
        <f ca="1">Magick!$K$75</f>
        <v>0.13</v>
      </c>
      <c r="O706" s="72">
        <f ca="1">Magick!$L$75</f>
        <v>0.13</v>
      </c>
      <c r="P706" s="72">
        <f ca="1">Magick!$M$75</f>
        <v>0.13</v>
      </c>
      <c r="Q706" s="67" t="s">
        <v>3723</v>
      </c>
      <c r="R706" s="67">
        <f ca="1">IF(Q706="Ritual","N/A",IF(Q706="I.E.","N/A",IF(Q706="WOG",VLOOKUP(Magick!$I$75*100,magestuff!$B$134:$F$138,2),IF(Q706="Cantrip",VLOOKUP(Magick!$I$75*100,magestuff!$B$134:$F$138,3),IF(Q706="Hex",VLOOKUP(Magick!$I$75*100,magestuff!$B$134:$F$138,4),VLOOKUP(Magick!$I$75*100,magestuff!$B$134:$F$138,5))))))</f>
        <v>29</v>
      </c>
      <c r="S706" s="67" t="s">
        <v>1984</v>
      </c>
      <c r="T706" s="67" t="s">
        <v>4601</v>
      </c>
      <c r="U706" s="67" t="str">
        <f t="shared" si="104"/>
        <v xml:space="preserve"> </v>
      </c>
      <c r="V706" s="515"/>
      <c r="W706" s="125"/>
      <c r="X706" s="31">
        <f t="shared" si="105"/>
        <v>0</v>
      </c>
      <c r="Y706" s="509"/>
      <c r="Z706" s="1054" t="str">
        <f t="shared" ref="Z706:Z769" si="106">A706</f>
        <v>Berries of the Sprites</v>
      </c>
      <c r="AA706" s="1072" t="str">
        <f t="shared" si="99"/>
        <v>Plant</v>
      </c>
    </row>
    <row r="707" spans="1:27" hidden="1" outlineLevel="1">
      <c r="A707" s="31" t="s">
        <v>3469</v>
      </c>
      <c r="B707" s="67">
        <v>2</v>
      </c>
      <c r="C707" s="67">
        <f ca="1">IF(magestuff!$F$203&lt;1,1,magestuff!$F$203)</f>
        <v>2</v>
      </c>
      <c r="D707" s="67">
        <f t="shared" si="103"/>
        <v>0</v>
      </c>
      <c r="E707" s="77">
        <f ca="1">IF(F707="y",HLOOKUP((IF(C707&lt;1,1,C707)),Magick!$C$20:$L$21,2),NA())</f>
        <v>21</v>
      </c>
      <c r="F707" s="67" t="str">
        <f ca="1">IF(C707&lt;=Magick!$D$3,"Y","N")</f>
        <v>Y</v>
      </c>
      <c r="G707" s="148" t="s">
        <v>128</v>
      </c>
      <c r="H707" s="151"/>
      <c r="I707" s="77" t="e">
        <f>IF(H707&gt;0,(HLOOKUP(C707,Magick!$C$20:$L$21,2)-HLOOKUP(H707,Magick!$C$20:$L$21,2)),NA())</f>
        <v>#N/A</v>
      </c>
      <c r="J707" s="77"/>
      <c r="K707" s="67">
        <v>13</v>
      </c>
      <c r="L707" s="72" t="str">
        <f>IF(H707&gt;0,Magick!$AR$25-('Master Spell List'!H702*0.1),"N/A")</f>
        <v>N/A</v>
      </c>
      <c r="M707" s="72">
        <f ca="1">Magick!$H$75</f>
        <v>0.08</v>
      </c>
      <c r="N707" s="72">
        <f ca="1">Magick!$K$75</f>
        <v>0.13</v>
      </c>
      <c r="O707" s="72">
        <f ca="1">Magick!$L$75</f>
        <v>0.13</v>
      </c>
      <c r="P707" s="72">
        <f ca="1">Magick!$M$75</f>
        <v>0.13</v>
      </c>
      <c r="Q707" s="67" t="s">
        <v>113</v>
      </c>
      <c r="R707" s="67" t="str">
        <f>IF(Q707="Ritual","N/A",IF(Q707="I.E.","N/A",IF(Q707="WOG",VLOOKUP(Magick!$I$75*100,magestuff!$B$134:$F$138,2),IF(Q707="Cantrip",VLOOKUP(Magick!$I$75*100,magestuff!$B$134:$F$138,3),IF(Q707="Hex",VLOOKUP(Magick!$I$75*100,magestuff!$B$134:$F$138,4),VLOOKUP(Magick!$I$75*100,magestuff!$B$134:$F$138,5))))))</f>
        <v>N/A</v>
      </c>
      <c r="U707" s="67" t="str">
        <f t="shared" si="104"/>
        <v xml:space="preserve"> </v>
      </c>
      <c r="V707" s="515"/>
      <c r="W707" s="125"/>
      <c r="X707" s="31">
        <f t="shared" si="105"/>
        <v>0</v>
      </c>
      <c r="Y707" s="509"/>
      <c r="Z707" s="1054" t="str">
        <f t="shared" si="106"/>
        <v>Blight/Wither</v>
      </c>
      <c r="AA707" s="1072" t="str">
        <f t="shared" ref="AA707:AA770" si="107">IF(ISNUMBER(MATCH($Z707,Spell_Methods,0)),$Z707,$AA706)</f>
        <v>Plant</v>
      </c>
    </row>
    <row r="708" spans="1:27" hidden="1" outlineLevel="1">
      <c r="A708" s="83" t="s">
        <v>2927</v>
      </c>
      <c r="B708" s="67">
        <v>2</v>
      </c>
      <c r="C708" s="67">
        <f ca="1">IF(magestuff!$F$203&lt;1,1,magestuff!$F$203)</f>
        <v>2</v>
      </c>
      <c r="D708" s="67">
        <f t="shared" si="103"/>
        <v>0</v>
      </c>
      <c r="E708" s="77">
        <f ca="1">IF(F708="y",HLOOKUP((IF(C708&lt;1,1,C708)),Magick!$C$20:$L$21,2),NA())</f>
        <v>21</v>
      </c>
      <c r="F708" s="67" t="str">
        <f ca="1">IF(C708&lt;=Magick!$D$3,"Y","N")</f>
        <v>Y</v>
      </c>
      <c r="G708" s="148" t="s">
        <v>129</v>
      </c>
      <c r="H708" s="151"/>
      <c r="I708" s="77" t="e">
        <f>IF(H708&gt;0,(HLOOKUP(C708,Magick!$C$20:$L$21,2)-HLOOKUP(H708,Magick!$C$20:$L$21,2)),NA())</f>
        <v>#N/A</v>
      </c>
      <c r="J708" s="77"/>
      <c r="K708" s="67">
        <v>2</v>
      </c>
      <c r="L708" s="72" t="str">
        <f>IF(H708&gt;0,Magick!$AR$25-('Master Spell List'!H755*0.1),"N/A")</f>
        <v>N/A</v>
      </c>
      <c r="M708" s="72">
        <f ca="1">Magick!$H$75</f>
        <v>0.08</v>
      </c>
      <c r="N708" s="72">
        <f ca="1">Magick!$K$75</f>
        <v>0.13</v>
      </c>
      <c r="O708" s="72">
        <f ca="1">Magick!$L$75</f>
        <v>0.13</v>
      </c>
      <c r="P708" s="72">
        <f ca="1">Magick!$M$75</f>
        <v>0.13</v>
      </c>
      <c r="Q708" s="67" t="s">
        <v>4603</v>
      </c>
      <c r="R708" s="67">
        <f ca="1">IF(Q708="Ritual","N/A",IF(Q708="I.E.","N/A",IF(Q708="WOG",VLOOKUP(Magick!$I$75*100,magestuff!$B$134:$F$138,2),IF(Q708="Cantrip",VLOOKUP(Magick!$I$75*100,magestuff!$B$134:$F$138,3),IF(Q708="Hex",VLOOKUP(Magick!$I$75*100,magestuff!$B$134:$F$138,4),VLOOKUP(Magick!$I$75*100,magestuff!$B$134:$F$138,5))))))</f>
        <v>9</v>
      </c>
      <c r="S708" s="67" t="s">
        <v>5545</v>
      </c>
      <c r="T708" s="67" t="s">
        <v>5545</v>
      </c>
      <c r="U708" s="67" t="str">
        <f t="shared" si="104"/>
        <v xml:space="preserve"> </v>
      </c>
      <c r="V708" s="515"/>
      <c r="W708" s="125"/>
      <c r="X708" s="31">
        <f t="shared" si="105"/>
        <v>0</v>
      </c>
      <c r="Y708" s="509"/>
      <c r="Z708" s="1054" t="str">
        <f t="shared" si="106"/>
        <v>Detach (Prune)</v>
      </c>
      <c r="AA708" s="1072" t="str">
        <f t="shared" si="107"/>
        <v>Plant</v>
      </c>
    </row>
    <row r="709" spans="1:27" hidden="1" outlineLevel="1">
      <c r="A709" s="83" t="s">
        <v>4990</v>
      </c>
      <c r="B709" s="67">
        <v>2</v>
      </c>
      <c r="C709" s="67">
        <f ca="1">IF(magestuff!$F$203&lt;1,1,magestuff!$F$203)</f>
        <v>2</v>
      </c>
      <c r="D709" s="67">
        <f t="shared" si="103"/>
        <v>0</v>
      </c>
      <c r="E709" s="77">
        <f ca="1">IF(F709="y",HLOOKUP((IF(C709&lt;1,1,C709)),Magick!$C$20:$L$21,2),NA())</f>
        <v>21</v>
      </c>
      <c r="F709" s="67" t="str">
        <f ca="1">IF(C709&lt;=Magick!$D$3,"Y","N")</f>
        <v>Y</v>
      </c>
      <c r="G709" s="148" t="s">
        <v>859</v>
      </c>
      <c r="H709" s="151"/>
      <c r="I709" s="77" t="e">
        <f>IF(H709&gt;0,(HLOOKUP(C709,Magick!$C$20:$L$21,2)-HLOOKUP(H709,Magick!$C$20:$L$21,2)),NA())</f>
        <v>#N/A</v>
      </c>
      <c r="J709" s="77"/>
      <c r="L709" s="72" t="str">
        <f>IF(H709&gt;0,Magick!$AR$25-('Master Spell List'!H765*0.1),"N/A")</f>
        <v>N/A</v>
      </c>
      <c r="M709" s="72">
        <f ca="1">Magick!$H$75</f>
        <v>0.08</v>
      </c>
      <c r="N709" s="72">
        <f ca="1">Magick!$K$75</f>
        <v>0.13</v>
      </c>
      <c r="O709" s="72">
        <f ca="1">Magick!$L$75</f>
        <v>0.13</v>
      </c>
      <c r="P709" s="72">
        <f ca="1">Magick!$M$75</f>
        <v>0.13</v>
      </c>
      <c r="Q709" s="67" t="s">
        <v>4602</v>
      </c>
      <c r="R709" s="67">
        <f ca="1">IF(Q709="Ritual","N/A",IF(Q709="I.E.","N/A",IF(Q709="WOG",VLOOKUP(Magick!$I$75*100,magestuff!$B$134:$F$138,2),IF(Q709="Cantrip",VLOOKUP(Magick!$I$75*100,magestuff!$B$134:$F$138,3),IF(Q709="Hex",VLOOKUP(Magick!$I$75*100,magestuff!$B$134:$F$138,4),VLOOKUP(Magick!$I$75*100,magestuff!$B$134:$F$138,5))))))</f>
        <v>19</v>
      </c>
      <c r="U709" s="67" t="str">
        <f t="shared" si="104"/>
        <v xml:space="preserve"> </v>
      </c>
      <c r="V709" s="515"/>
      <c r="W709" s="125"/>
      <c r="X709" s="31">
        <f t="shared" si="105"/>
        <v>0</v>
      </c>
      <c r="Y709" s="509"/>
      <c r="Z709" s="1054" t="str">
        <f t="shared" si="106"/>
        <v>Draw Shafts</v>
      </c>
      <c r="AA709" s="1072" t="str">
        <f t="shared" si="107"/>
        <v>Plant</v>
      </c>
    </row>
    <row r="710" spans="1:27" hidden="1" outlineLevel="1">
      <c r="A710" s="83" t="s">
        <v>3029</v>
      </c>
      <c r="B710" s="67">
        <v>2</v>
      </c>
      <c r="C710" s="67">
        <f ca="1">IF(magestuff!$F$203&lt;1,1,magestuff!$F$203)</f>
        <v>2</v>
      </c>
      <c r="D710" s="67">
        <f t="shared" si="103"/>
        <v>0</v>
      </c>
      <c r="E710" s="77">
        <f ca="1">IF(F710="y",HLOOKUP((IF(C710&lt;1,1,C710)),Magick!$C$20:$L$21,2),NA())</f>
        <v>21</v>
      </c>
      <c r="F710" s="67" t="str">
        <f ca="1">IF(C710&lt;=Magick!$D$3,"Y","N")</f>
        <v>Y</v>
      </c>
      <c r="G710" s="148" t="s">
        <v>129</v>
      </c>
      <c r="H710" s="151"/>
      <c r="I710" s="77" t="e">
        <f>IF(H710&gt;0,(HLOOKUP(C710,Magick!$C$20:$L$21,2)-HLOOKUP(H710,Magick!$C$20:$L$21,2)),NA())</f>
        <v>#N/A</v>
      </c>
      <c r="J710" s="77"/>
      <c r="K710" s="67">
        <v>4</v>
      </c>
      <c r="L710" s="72" t="str">
        <f>IF(H710&gt;0,Magick!$AR$25-('Master Spell List'!H768*0.1),"N/A")</f>
        <v>N/A</v>
      </c>
      <c r="M710" s="72">
        <f ca="1">Magick!$H$75</f>
        <v>0.08</v>
      </c>
      <c r="N710" s="72">
        <f ca="1">Magick!$K$75</f>
        <v>0.13</v>
      </c>
      <c r="O710" s="72">
        <f ca="1">Magick!$L$75</f>
        <v>0.13</v>
      </c>
      <c r="P710" s="72">
        <f ca="1">Magick!$M$75</f>
        <v>0.13</v>
      </c>
      <c r="Q710" s="67" t="s">
        <v>3723</v>
      </c>
      <c r="R710" s="67">
        <f ca="1">IF(Q710="Ritual","N/A",IF(Q710="I.E.","N/A",IF(Q710="WOG",VLOOKUP(Magick!$I$75*100,magestuff!$B$134:$F$138,2),IF(Q710="Cantrip",VLOOKUP(Magick!$I$75*100,magestuff!$B$134:$F$138,3),IF(Q710="Hex",VLOOKUP(Magick!$I$75*100,magestuff!$B$134:$F$138,4),VLOOKUP(Magick!$I$75*100,magestuff!$B$134:$F$138,5))))))</f>
        <v>29</v>
      </c>
      <c r="S710" s="67" t="s">
        <v>1984</v>
      </c>
      <c r="T710" s="67" t="s">
        <v>4601</v>
      </c>
      <c r="U710" s="67" t="str">
        <f t="shared" si="104"/>
        <v xml:space="preserve"> </v>
      </c>
      <c r="V710" s="515"/>
      <c r="W710" s="125"/>
      <c r="X710" s="31">
        <f t="shared" si="105"/>
        <v>0</v>
      </c>
      <c r="Y710" s="509"/>
      <c r="Z710" s="1054" t="str">
        <f t="shared" si="106"/>
        <v>Faerie Bread</v>
      </c>
      <c r="AA710" s="1072" t="str">
        <f t="shared" si="107"/>
        <v>Plant</v>
      </c>
    </row>
    <row r="711" spans="1:27" hidden="1" outlineLevel="1">
      <c r="A711" s="83" t="s">
        <v>1228</v>
      </c>
      <c r="B711" s="67">
        <v>2</v>
      </c>
      <c r="C711" s="67">
        <f ca="1">IF(magestuff!$F$203&lt;1,1,magestuff!$F$203)</f>
        <v>2</v>
      </c>
      <c r="D711" s="67">
        <f t="shared" si="103"/>
        <v>0</v>
      </c>
      <c r="E711" s="77">
        <f ca="1">IF(F711="y",HLOOKUP((IF(C711&lt;1,1,C711)),Magick!$C$20:$L$21,2),NA())</f>
        <v>21</v>
      </c>
      <c r="F711" s="67" t="str">
        <f ca="1">IF(C711&lt;=Magick!$D$3,"Y","N")</f>
        <v>Y</v>
      </c>
      <c r="G711" s="148" t="s">
        <v>1217</v>
      </c>
      <c r="H711" s="151"/>
      <c r="I711" s="77" t="e">
        <f>IF(H711&gt;0,(HLOOKUP(C711,Magick!$C$20:$L$21,2)-HLOOKUP(H711,Magick!$C$20:$L$21,2)),NA())</f>
        <v>#N/A</v>
      </c>
      <c r="J711" s="77"/>
      <c r="K711" s="67" t="s">
        <v>4022</v>
      </c>
      <c r="L711" s="72" t="str">
        <f>IF(H711&gt;0,Magick!$AR$25-('Master Spell List'!H697*0.1),"N/A")</f>
        <v>N/A</v>
      </c>
      <c r="M711" s="72">
        <f ca="1">Magick!$H$75</f>
        <v>0.08</v>
      </c>
      <c r="N711" s="72">
        <f ca="1">Magick!$K$75</f>
        <v>0.13</v>
      </c>
      <c r="O711" s="72">
        <f ca="1">Magick!$L$75</f>
        <v>0.13</v>
      </c>
      <c r="P711" s="72">
        <f ca="1">Magick!$M$75</f>
        <v>0.13</v>
      </c>
      <c r="Q711" s="67" t="s">
        <v>4603</v>
      </c>
      <c r="R711" s="67">
        <f ca="1">IF(Q711="Ritual","N/A",IF(Q711="I.E.","N/A",IF(Q711="WOG",VLOOKUP(Magick!$I$75*100,magestuff!$B$134:$F$138,2),IF(Q711="Cantrip",VLOOKUP(Magick!$I$75*100,magestuff!$B$134:$F$138,3),IF(Q711="Hex",VLOOKUP(Magick!$I$75*100,magestuff!$B$134:$F$138,4),VLOOKUP(Magick!$I$75*100,magestuff!$B$134:$F$138,5))))))</f>
        <v>9</v>
      </c>
      <c r="S711" s="67">
        <f>5*Magick!$C$3</f>
        <v>0</v>
      </c>
      <c r="T711" s="67" t="s">
        <v>3218</v>
      </c>
      <c r="U711" s="67" t="str">
        <f t="shared" si="104"/>
        <v xml:space="preserve"> </v>
      </c>
      <c r="V711" s="515"/>
      <c r="W711" s="125"/>
      <c r="X711" s="31">
        <f t="shared" si="105"/>
        <v>0</v>
      </c>
      <c r="Y711" s="509"/>
      <c r="Z711" s="1054" t="str">
        <f t="shared" si="106"/>
        <v>Least Grind Coarse</v>
      </c>
      <c r="AA711" s="1072" t="str">
        <f t="shared" si="107"/>
        <v>Plant</v>
      </c>
    </row>
    <row r="712" spans="1:27" hidden="1" outlineLevel="1">
      <c r="A712" s="83" t="s">
        <v>1223</v>
      </c>
      <c r="B712" s="67">
        <v>2</v>
      </c>
      <c r="C712" s="67">
        <f ca="1">IF(magestuff!$F$203&lt;1,1,magestuff!$F$203)</f>
        <v>2</v>
      </c>
      <c r="D712" s="67">
        <f t="shared" si="103"/>
        <v>0</v>
      </c>
      <c r="E712" s="77">
        <f ca="1">IF(F712="y",HLOOKUP((IF(C712&lt;1,1,C712)),Magick!$C$20:$L$21,2),NA())</f>
        <v>21</v>
      </c>
      <c r="F712" s="67" t="str">
        <f ca="1">IF(C712&lt;=Magick!$D$3,"Y","N")</f>
        <v>Y</v>
      </c>
      <c r="G712" s="148" t="s">
        <v>1217</v>
      </c>
      <c r="H712" s="151"/>
      <c r="I712" s="77" t="e">
        <f>IF(H712&gt;0,(HLOOKUP(C712,Magick!$C$20:$L$21,2)-HLOOKUP(H712,Magick!$C$20:$L$21,2)),NA())</f>
        <v>#N/A</v>
      </c>
      <c r="J712" s="77"/>
      <c r="K712" s="67">
        <v>5</v>
      </c>
      <c r="L712" s="72" t="str">
        <f>IF(H712&gt;0,Magick!$AR$25-('Master Spell List'!H692*0.1),"N/A")</f>
        <v>N/A</v>
      </c>
      <c r="M712" s="72">
        <f ca="1">Magick!$H$75</f>
        <v>0.08</v>
      </c>
      <c r="N712" s="72">
        <f ca="1">Magick!$K$75</f>
        <v>0.13</v>
      </c>
      <c r="O712" s="72">
        <f ca="1">Magick!$L$75</f>
        <v>0.13</v>
      </c>
      <c r="P712" s="72">
        <f ca="1">Magick!$M$75</f>
        <v>0.13</v>
      </c>
      <c r="Q712" s="67" t="s">
        <v>4602</v>
      </c>
      <c r="R712" s="67">
        <f ca="1">IF(Q712="Ritual","N/A",IF(Q712="I.E.","N/A",IF(Q712="WOG",VLOOKUP(Magick!$I$75*100,magestuff!$B$134:$F$138,2),IF(Q712="Cantrip",VLOOKUP(Magick!$I$75*100,magestuff!$B$134:$F$138,3),IF(Q712="Hex",VLOOKUP(Magick!$I$75*100,magestuff!$B$134:$F$138,4),VLOOKUP(Magick!$I$75*100,magestuff!$B$134:$F$138,5))))))</f>
        <v>19</v>
      </c>
      <c r="S712" s="67">
        <f>5*Magick!$C$3</f>
        <v>0</v>
      </c>
      <c r="T712" s="67" t="s">
        <v>3218</v>
      </c>
      <c r="U712" s="67" t="str">
        <f t="shared" si="104"/>
        <v xml:space="preserve"> </v>
      </c>
      <c r="V712" s="515"/>
      <c r="W712" s="125"/>
      <c r="X712" s="31">
        <f t="shared" si="105"/>
        <v>0</v>
      </c>
      <c r="Y712" s="509"/>
      <c r="Z712" s="1054" t="str">
        <f t="shared" si="106"/>
        <v>Least Revitalize (Hydrate)</v>
      </c>
      <c r="AA712" s="1072" t="str">
        <f t="shared" si="107"/>
        <v>Plant</v>
      </c>
    </row>
    <row r="713" spans="1:27" hidden="1" outlineLevel="1">
      <c r="A713" s="83" t="s">
        <v>1219</v>
      </c>
      <c r="B713" s="67">
        <v>2</v>
      </c>
      <c r="C713" s="67">
        <f ca="1">IF(magestuff!$F$203&lt;1,1,magestuff!$F$203)</f>
        <v>2</v>
      </c>
      <c r="D713" s="67">
        <f t="shared" si="103"/>
        <v>0</v>
      </c>
      <c r="E713" s="77">
        <f ca="1">IF(F713="y",HLOOKUP((IF(C713&lt;1,1,C713)),Magick!$C$20:$L$21,2),NA())</f>
        <v>21</v>
      </c>
      <c r="F713" s="67" t="str">
        <f ca="1">IF(C713&lt;=Magick!$D$3,"Y","N")</f>
        <v>Y</v>
      </c>
      <c r="G713" s="148" t="s">
        <v>1217</v>
      </c>
      <c r="H713" s="151"/>
      <c r="I713" s="77" t="e">
        <f>IF(H713&gt;0,(HLOOKUP(C713,Magick!$C$20:$L$21,2)-HLOOKUP(H713,Magick!$C$20:$L$21,2)),NA())</f>
        <v>#N/A</v>
      </c>
      <c r="J713" s="77"/>
      <c r="K713" s="67">
        <v>4</v>
      </c>
      <c r="L713" s="72" t="str">
        <f>IF(H713&gt;0,Magick!$AR$25-('Master Spell List'!H688*0.1),"N/A")</f>
        <v>N/A</v>
      </c>
      <c r="M713" s="72">
        <f ca="1">Magick!$H$75</f>
        <v>0.08</v>
      </c>
      <c r="N713" s="72">
        <f ca="1">Magick!$K$75</f>
        <v>0.13</v>
      </c>
      <c r="O713" s="72">
        <f ca="1">Magick!$L$75</f>
        <v>0.13</v>
      </c>
      <c r="P713" s="72">
        <f ca="1">Magick!$M$75</f>
        <v>0.13</v>
      </c>
      <c r="Q713" s="67" t="s">
        <v>4603</v>
      </c>
      <c r="R713" s="67">
        <f ca="1">IF(Q713="Ritual","N/A",IF(Q713="I.E.","N/A",IF(Q713="WOG",VLOOKUP(Magick!$I$75*100,magestuff!$B$134:$F$138,2),IF(Q713="Cantrip",VLOOKUP(Magick!$I$75*100,magestuff!$B$134:$F$138,3),IF(Q713="Hex",VLOOKUP(Magick!$I$75*100,magestuff!$B$134:$F$138,4),VLOOKUP(Magick!$I$75*100,magestuff!$B$134:$F$138,5))))))</f>
        <v>9</v>
      </c>
      <c r="S713" s="67">
        <f>10*Magick!$C$3</f>
        <v>0</v>
      </c>
      <c r="T713" s="67" t="s">
        <v>3218</v>
      </c>
      <c r="U713" s="67" t="str">
        <f t="shared" si="104"/>
        <v xml:space="preserve"> </v>
      </c>
      <c r="V713" s="515"/>
      <c r="W713" s="125"/>
      <c r="X713" s="31">
        <f t="shared" si="105"/>
        <v>0</v>
      </c>
      <c r="Y713" s="509"/>
      <c r="Z713" s="1054" t="str">
        <f t="shared" si="106"/>
        <v>Lesser Dry</v>
      </c>
      <c r="AA713" s="1072" t="str">
        <f t="shared" si="107"/>
        <v>Plant</v>
      </c>
    </row>
    <row r="714" spans="1:27" hidden="1" outlineLevel="1">
      <c r="A714" s="31" t="s">
        <v>4811</v>
      </c>
      <c r="B714" s="67">
        <v>2</v>
      </c>
      <c r="C714" s="67">
        <f ca="1">IF(magestuff!$F$203&lt;1,1,magestuff!$F$203)</f>
        <v>2</v>
      </c>
      <c r="D714" s="67">
        <f t="shared" si="103"/>
        <v>0</v>
      </c>
      <c r="E714" s="77">
        <f ca="1">IF(F714="y",HLOOKUP((IF(C714&lt;1,1,C714)),Magick!$C$20:$L$21,2),NA())</f>
        <v>21</v>
      </c>
      <c r="F714" s="67" t="str">
        <f ca="1">IF(C714&lt;=Magick!$D$3,"Y","N")</f>
        <v>Y</v>
      </c>
      <c r="G714" s="148" t="s">
        <v>128</v>
      </c>
      <c r="H714" s="151"/>
      <c r="I714" s="77" t="e">
        <f>IF(H714&gt;0,(HLOOKUP(C714,Magick!$C$20:$L$21,2)-HLOOKUP(H714,Magick!$C$20:$L$21,2)),NA())</f>
        <v>#N/A</v>
      </c>
      <c r="J714" s="77"/>
      <c r="K714" s="67">
        <v>5</v>
      </c>
      <c r="L714" s="72" t="str">
        <f>IF(H714&gt;0,Magick!$AR$25-('Master Spell List'!H722*0.1),"N/A")</f>
        <v>N/A</v>
      </c>
      <c r="M714" s="72">
        <f ca="1">Magick!$H$75</f>
        <v>0.08</v>
      </c>
      <c r="N714" s="72">
        <f ca="1">Magick!$K$75</f>
        <v>0.13</v>
      </c>
      <c r="O714" s="72">
        <f ca="1">Magick!$L$75</f>
        <v>0.13</v>
      </c>
      <c r="P714" s="72">
        <f ca="1">Magick!$M$75</f>
        <v>0.13</v>
      </c>
      <c r="Q714" s="67" t="s">
        <v>113</v>
      </c>
      <c r="R714" s="67" t="str">
        <f>IF(Q714="Ritual","N/A",IF(Q714="I.E.","N/A",IF(Q714="WOG",VLOOKUP(Magick!$I$75*100,magestuff!$B$134:$F$138,2),IF(Q714="Cantrip",VLOOKUP(Magick!$I$75*100,magestuff!$B$134:$F$138,3),IF(Q714="Hex",VLOOKUP(Magick!$I$75*100,magestuff!$B$134:$F$138,4),VLOOKUP(Magick!$I$75*100,magestuff!$B$134:$F$138,5))))))</f>
        <v>N/A</v>
      </c>
      <c r="T714" s="67" t="s">
        <v>3218</v>
      </c>
      <c r="U714" s="67" t="str">
        <f t="shared" si="104"/>
        <v xml:space="preserve"> </v>
      </c>
      <c r="V714" s="515"/>
      <c r="W714" s="125"/>
      <c r="X714" s="31">
        <f t="shared" si="105"/>
        <v>0</v>
      </c>
      <c r="Y714" s="509"/>
      <c r="Z714" s="1054" t="str">
        <f t="shared" si="106"/>
        <v>Lesser Salve</v>
      </c>
      <c r="AA714" s="1072" t="str">
        <f t="shared" si="107"/>
        <v>Plant</v>
      </c>
    </row>
    <row r="715" spans="1:27" hidden="1" outlineLevel="1">
      <c r="A715" s="31" t="s">
        <v>5211</v>
      </c>
      <c r="B715" s="67">
        <v>2</v>
      </c>
      <c r="C715" s="67">
        <f ca="1">IF(magestuff!$F$203&lt;1,1,magestuff!$F$203)</f>
        <v>2</v>
      </c>
      <c r="D715" s="67">
        <f t="shared" si="103"/>
        <v>0</v>
      </c>
      <c r="E715" s="77">
        <f ca="1">IF(F715="y",HLOOKUP((IF(C715&lt;1,1,C715)),Magick!$C$20:$L$21,2),NA())</f>
        <v>21</v>
      </c>
      <c r="F715" s="67" t="str">
        <f ca="1">IF(C715&lt;=Magick!$D$3,"Y","N")</f>
        <v>Y</v>
      </c>
      <c r="G715" s="148" t="s">
        <v>128</v>
      </c>
      <c r="H715" s="151"/>
      <c r="I715" s="77" t="e">
        <f>IF(H715&gt;0,(HLOOKUP(C715,Magick!$C$20:$L$21,2)-HLOOKUP(H715,Magick!$C$20:$L$21,2)),NA())</f>
        <v>#N/A</v>
      </c>
      <c r="J715" s="77"/>
      <c r="K715" s="67">
        <v>4</v>
      </c>
      <c r="L715" s="72" t="str">
        <f>IF(H715&gt;0,Magick!$AR$25-('Master Spell List'!H709*0.1),"N/A")</f>
        <v>N/A</v>
      </c>
      <c r="M715" s="72">
        <f ca="1">Magick!$H$75</f>
        <v>0.08</v>
      </c>
      <c r="N715" s="72">
        <f ca="1">Magick!$K$75</f>
        <v>0.13</v>
      </c>
      <c r="O715" s="72">
        <f ca="1">Magick!$L$75</f>
        <v>0.13</v>
      </c>
      <c r="P715" s="72">
        <f ca="1">Magick!$M$75</f>
        <v>0.13</v>
      </c>
      <c r="Q715" s="67" t="s">
        <v>3723</v>
      </c>
      <c r="R715" s="67">
        <f ca="1">IF(Q715="Ritual","N/A",IF(Q715="I.E.","N/A",IF(Q715="WOG",VLOOKUP(Magick!$I$75*100,magestuff!$B$134:$F$138,2),IF(Q715="Cantrip",VLOOKUP(Magick!$I$75*100,magestuff!$B$134:$F$138,3),IF(Q715="Hex",VLOOKUP(Magick!$I$75*100,magestuff!$B$134:$F$138,4),VLOOKUP(Magick!$I$75*100,magestuff!$B$134:$F$138,5))))))</f>
        <v>29</v>
      </c>
      <c r="U715" s="67" t="str">
        <f t="shared" si="104"/>
        <v xml:space="preserve"> </v>
      </c>
      <c r="V715" s="515"/>
      <c r="W715" s="125"/>
      <c r="X715" s="31">
        <f t="shared" si="105"/>
        <v>0</v>
      </c>
      <c r="Y715" s="509"/>
      <c r="Z715" s="1054" t="str">
        <f t="shared" si="106"/>
        <v>Open Way</v>
      </c>
      <c r="AA715" s="1072" t="str">
        <f t="shared" si="107"/>
        <v>Plant</v>
      </c>
    </row>
    <row r="716" spans="1:27" hidden="1" outlineLevel="1">
      <c r="A716" s="31" t="s">
        <v>1359</v>
      </c>
      <c r="B716" s="67">
        <v>2</v>
      </c>
      <c r="C716" s="67">
        <f ca="1">IF(magestuff!$F$203&lt;1,1,magestuff!$F$203)</f>
        <v>2</v>
      </c>
      <c r="D716" s="67">
        <f t="shared" si="103"/>
        <v>0</v>
      </c>
      <c r="E716" s="77">
        <f ca="1">IF(F716="y",HLOOKUP((IF(C716&lt;1,1,C716)),Magick!$C$20:$L$21,2),NA())</f>
        <v>21</v>
      </c>
      <c r="F716" s="67" t="str">
        <f ca="1">IF(C716&lt;=Magick!$D$3,"Y","N")</f>
        <v>Y</v>
      </c>
      <c r="G716" s="148" t="s">
        <v>128</v>
      </c>
      <c r="H716" s="151"/>
      <c r="I716" s="77" t="e">
        <f>IF(H716&gt;0,(HLOOKUP(C716,Magick!$C$20:$L$21,2)-HLOOKUP(H716,Magick!$C$20:$L$21,2)),NA())</f>
        <v>#N/A</v>
      </c>
      <c r="J716" s="77"/>
      <c r="K716" s="67">
        <v>4</v>
      </c>
      <c r="L716" s="72" t="str">
        <f>IF(H716&gt;0,Magick!$AR$25-('Master Spell List'!H725*0.1),"N/A")</f>
        <v>N/A</v>
      </c>
      <c r="M716" s="72">
        <f ca="1">Magick!$H$75</f>
        <v>0.08</v>
      </c>
      <c r="N716" s="72">
        <f ca="1">Magick!$K$75</f>
        <v>0.13</v>
      </c>
      <c r="O716" s="72">
        <f ca="1">Magick!$L$75</f>
        <v>0.13</v>
      </c>
      <c r="P716" s="72">
        <f ca="1">Magick!$M$75</f>
        <v>0.13</v>
      </c>
      <c r="Q716" s="67" t="s">
        <v>113</v>
      </c>
      <c r="R716" s="67" t="str">
        <f>IF(Q716="Ritual","N/A",IF(Q716="I.E.","N/A",IF(Q716="WOG",VLOOKUP(Magick!$I$75*100,magestuff!$B$134:$F$138,2),IF(Q716="Cantrip",VLOOKUP(Magick!$I$75*100,magestuff!$B$134:$F$138,3),IF(Q716="Hex",VLOOKUP(Magick!$I$75*100,magestuff!$B$134:$F$138,4),VLOOKUP(Magick!$I$75*100,magestuff!$B$134:$F$138,5))))))</f>
        <v>N/A</v>
      </c>
      <c r="U716" s="67" t="str">
        <f t="shared" si="104"/>
        <v xml:space="preserve"> </v>
      </c>
      <c r="V716" s="515"/>
      <c r="W716" s="125"/>
      <c r="X716" s="31">
        <f t="shared" si="105"/>
        <v>0</v>
      </c>
      <c r="Y716" s="509"/>
      <c r="Z716" s="1054" t="str">
        <f t="shared" si="106"/>
        <v>Restorative Cordial</v>
      </c>
      <c r="AA716" s="1072" t="str">
        <f t="shared" si="107"/>
        <v>Plant</v>
      </c>
    </row>
    <row r="717" spans="1:27" hidden="1" outlineLevel="1">
      <c r="A717" s="31" t="s">
        <v>3468</v>
      </c>
      <c r="B717" s="67">
        <v>2</v>
      </c>
      <c r="C717" s="67">
        <f ca="1">IF(magestuff!$F$203&lt;1,1,magestuff!$F$203)</f>
        <v>2</v>
      </c>
      <c r="D717" s="67">
        <f t="shared" si="103"/>
        <v>0</v>
      </c>
      <c r="E717" s="77">
        <f ca="1">IF(F717="y",HLOOKUP((IF(C717&lt;1,1,C717)),Magick!$C$20:$L$21,2),NA())</f>
        <v>21</v>
      </c>
      <c r="F717" s="67" t="str">
        <f ca="1">IF(C717&lt;=Magick!$D$3,"Y","N")</f>
        <v>Y</v>
      </c>
      <c r="G717" s="148" t="s">
        <v>128</v>
      </c>
      <c r="H717" s="151"/>
      <c r="I717" s="77" t="e">
        <f>IF(H717&gt;0,(HLOOKUP(C717,Magick!$C$20:$L$21,2)-HLOOKUP(H717,Magick!$C$20:$L$21,2)),NA())</f>
        <v>#N/A</v>
      </c>
      <c r="J717" s="77"/>
      <c r="K717" s="67">
        <v>7</v>
      </c>
      <c r="L717" s="72" t="str">
        <f>IF(H717&gt;0,Magick!$AR$25-('Master Spell List'!H701*0.1),"N/A")</f>
        <v>N/A</v>
      </c>
      <c r="M717" s="72">
        <f ca="1">Magick!$H$75</f>
        <v>0.08</v>
      </c>
      <c r="N717" s="72">
        <f ca="1">Magick!$K$75</f>
        <v>0.13</v>
      </c>
      <c r="O717" s="72">
        <f ca="1">Magick!$L$75</f>
        <v>0.13</v>
      </c>
      <c r="P717" s="72">
        <f ca="1">Magick!$M$75</f>
        <v>0.13</v>
      </c>
      <c r="Q717" s="67" t="s">
        <v>113</v>
      </c>
      <c r="R717" s="67" t="str">
        <f>IF(Q717="Ritual","N/A",IF(Q717="I.E.","N/A",IF(Q717="WOG",VLOOKUP(Magick!$I$75*100,magestuff!$B$134:$F$138,2),IF(Q717="Cantrip",VLOOKUP(Magick!$I$75*100,magestuff!$B$134:$F$138,3),IF(Q717="Hex",VLOOKUP(Magick!$I$75*100,magestuff!$B$134:$F$138,4),VLOOKUP(Magick!$I$75*100,magestuff!$B$134:$F$138,5))))))</f>
        <v>N/A</v>
      </c>
      <c r="U717" s="67" t="str">
        <f t="shared" si="104"/>
        <v xml:space="preserve"> </v>
      </c>
      <c r="V717" s="515"/>
      <c r="W717" s="125"/>
      <c r="X717" s="31">
        <f t="shared" si="105"/>
        <v>0</v>
      </c>
      <c r="Y717" s="509"/>
      <c r="Z717" s="1054" t="str">
        <f t="shared" si="106"/>
        <v>Restore Plants</v>
      </c>
      <c r="AA717" s="1072" t="str">
        <f t="shared" si="107"/>
        <v>Plant</v>
      </c>
    </row>
    <row r="718" spans="1:27" hidden="1" outlineLevel="1">
      <c r="A718" s="31" t="s">
        <v>3231</v>
      </c>
      <c r="B718" s="67">
        <v>2</v>
      </c>
      <c r="C718" s="67">
        <f ca="1">IF(magestuff!$F$203&lt;1,1,magestuff!$F$203)</f>
        <v>2</v>
      </c>
      <c r="D718" s="67">
        <f t="shared" si="103"/>
        <v>0</v>
      </c>
      <c r="E718" s="77">
        <f ca="1">IF(F718="y",HLOOKUP((IF(C718&lt;1,1,C718)),Magick!$C$20:$L$21,2),NA())</f>
        <v>21</v>
      </c>
      <c r="F718" s="67" t="str">
        <f ca="1">IF(C718&lt;=Magick!$D$3,"Y","N")</f>
        <v>Y</v>
      </c>
      <c r="G718" s="148" t="s">
        <v>128</v>
      </c>
      <c r="H718" s="151"/>
      <c r="I718" s="77" t="e">
        <f>IF(H718&gt;0,(HLOOKUP(C718,Magick!$C$20:$L$21,2)-HLOOKUP(H718,Magick!$C$20:$L$21,2)),NA())</f>
        <v>#N/A</v>
      </c>
      <c r="J718" s="77"/>
      <c r="K718" s="67">
        <v>5</v>
      </c>
      <c r="L718" s="72" t="str">
        <f>IF(H718&gt;0,Magick!$AR$25-('Master Spell List'!H719*0.1),"N/A")</f>
        <v>N/A</v>
      </c>
      <c r="M718" s="72">
        <f ca="1">Magick!$H$75</f>
        <v>0.08</v>
      </c>
      <c r="N718" s="72">
        <f ca="1">Magick!$K$75</f>
        <v>0.13</v>
      </c>
      <c r="O718" s="72">
        <f ca="1">Magick!$L$75</f>
        <v>0.13</v>
      </c>
      <c r="P718" s="72">
        <f ca="1">Magick!$M$75</f>
        <v>0.13</v>
      </c>
      <c r="Q718" s="67" t="s">
        <v>3723</v>
      </c>
      <c r="R718" s="67">
        <f ca="1">IF(Q718="Ritual","N/A",IF(Q718="I.E.","N/A",IF(Q718="WOG",VLOOKUP(Magick!$I$75*100,magestuff!$B$134:$F$138,2),IF(Q718="Cantrip",VLOOKUP(Magick!$I$75*100,magestuff!$B$134:$F$138,3),IF(Q718="Hex",VLOOKUP(Magick!$I$75*100,magestuff!$B$134:$F$138,4),VLOOKUP(Magick!$I$75*100,magestuff!$B$134:$F$138,5))))))</f>
        <v>29</v>
      </c>
      <c r="U718" s="67" t="str">
        <f t="shared" si="104"/>
        <v xml:space="preserve"> </v>
      </c>
      <c r="V718" s="515"/>
      <c r="W718" s="125"/>
      <c r="X718" s="31">
        <f t="shared" si="105"/>
        <v>0</v>
      </c>
      <c r="Y718" s="509"/>
      <c r="Z718" s="1054" t="str">
        <f t="shared" si="106"/>
        <v>Tangle Weeds</v>
      </c>
      <c r="AA718" s="1072" t="str">
        <f t="shared" si="107"/>
        <v>Plant</v>
      </c>
    </row>
    <row r="719" spans="1:27" hidden="1" outlineLevel="1">
      <c r="A719" s="83" t="s">
        <v>1286</v>
      </c>
      <c r="B719" s="67">
        <v>3</v>
      </c>
      <c r="C719" s="67">
        <f ca="1">IF(magestuff!$I$203&lt;1,1,magestuff!$I$203)</f>
        <v>3</v>
      </c>
      <c r="D719" s="67">
        <f t="shared" si="103"/>
        <v>0</v>
      </c>
      <c r="E719" s="77" t="e">
        <f ca="1">IF(F719="y",HLOOKUP((IF(C719&lt;1,1,C719)),Magick!$C$20:$L$21,2),NA())</f>
        <v>#N/A</v>
      </c>
      <c r="F719" s="67" t="str">
        <f ca="1">IF(C719&lt;=Magick!$D$3,"Y","N")</f>
        <v>N</v>
      </c>
      <c r="G719" s="148" t="s">
        <v>130</v>
      </c>
      <c r="H719" s="151"/>
      <c r="I719" s="77" t="e">
        <f>IF(H719&gt;0,(HLOOKUP(C719,Magick!$C$20:$L$21,2)-HLOOKUP(H719,Magick!$C$20:$L$21,2)),NA())</f>
        <v>#N/A</v>
      </c>
      <c r="J719" s="77"/>
      <c r="K719" s="67">
        <f>ROUNDUP(+B719*1.5,0)</f>
        <v>5</v>
      </c>
      <c r="L719" s="72" t="str">
        <f>IF(H719&gt;0,Magick!$AR$22-('Master Spell List'!H751*0.1),"N/A")</f>
        <v>N/A</v>
      </c>
      <c r="M719" s="72">
        <f ca="1">Magick!$H$75</f>
        <v>0.08</v>
      </c>
      <c r="N719" s="72">
        <f ca="1">Magick!$K$75</f>
        <v>0.13</v>
      </c>
      <c r="O719" s="72">
        <f ca="1">Magick!$L$75</f>
        <v>0.13</v>
      </c>
      <c r="P719" s="72">
        <f ca="1">Magick!$M$75</f>
        <v>0.13</v>
      </c>
      <c r="Q719" s="67" t="s">
        <v>113</v>
      </c>
      <c r="R719" s="67" t="str">
        <f>IF(Q719="Ritual","N/A",IF(Q719="I.E.","N/A",IF(Q719="WOG",VLOOKUP(Magick!$I$75*100,magestuff!$B$134:$F$138,2),IF(Q719="Cantrip",VLOOKUP(Magick!$I$75*100,magestuff!$B$134:$F$138,3),IF(Q719="Hex",VLOOKUP(Magick!$I$75*100,magestuff!$B$134:$F$138,4),VLOOKUP(Magick!$I$75*100,magestuff!$B$134:$F$138,5))))))</f>
        <v>N/A</v>
      </c>
      <c r="S719" s="67" t="s">
        <v>1984</v>
      </c>
      <c r="T719" s="67" t="str">
        <f>CONCATENATE(IF(Magick!$C$3&gt;0,Magick!$C$3*10," ")," hrs.")</f>
        <v xml:space="preserve">  hrs.</v>
      </c>
      <c r="U719" s="67" t="str">
        <f t="shared" si="104"/>
        <v xml:space="preserve"> </v>
      </c>
      <c r="V719" s="515"/>
      <c r="W719" s="125"/>
      <c r="X719" s="31">
        <f t="shared" si="105"/>
        <v>0</v>
      </c>
      <c r="Y719" s="509"/>
      <c r="Z719" s="1054" t="str">
        <f t="shared" si="106"/>
        <v>Animate War Tree Type I</v>
      </c>
      <c r="AA719" s="1072" t="str">
        <f t="shared" si="107"/>
        <v>Plant</v>
      </c>
    </row>
    <row r="720" spans="1:27" hidden="1" outlineLevel="1">
      <c r="A720" s="31" t="s">
        <v>5205</v>
      </c>
      <c r="B720" s="67">
        <v>3</v>
      </c>
      <c r="C720" s="67">
        <f ca="1">IF(magestuff!$I$203&lt;1,1,magestuff!$I$203)</f>
        <v>3</v>
      </c>
      <c r="D720" s="67">
        <f t="shared" si="103"/>
        <v>0</v>
      </c>
      <c r="E720" s="77" t="e">
        <f ca="1">IF(F720="y",HLOOKUP((IF(C720&lt;1,1,C720)),Magick!$C$20:$L$21,2),NA())</f>
        <v>#N/A</v>
      </c>
      <c r="F720" s="67" t="str">
        <f ca="1">IF(C720&lt;=Magick!$D$3,"Y","N")</f>
        <v>N</v>
      </c>
      <c r="G720" s="148" t="s">
        <v>128</v>
      </c>
      <c r="H720" s="151"/>
      <c r="I720" s="77" t="e">
        <f>IF(H720&gt;0,(HLOOKUP(C720,Magick!$C$20:$L$21,2)-HLOOKUP(H720,Magick!$C$20:$L$21,2)),NA())</f>
        <v>#N/A</v>
      </c>
      <c r="J720" s="77"/>
      <c r="K720" s="67">
        <v>13</v>
      </c>
      <c r="L720" s="72" t="str">
        <f>IF(H720&gt;0,Magick!$AR$25-('Master Spell List'!H703*0.1),"N/A")</f>
        <v>N/A</v>
      </c>
      <c r="M720" s="72">
        <f ca="1">Magick!$H$75</f>
        <v>0.08</v>
      </c>
      <c r="N720" s="72">
        <f ca="1">Magick!$K$75</f>
        <v>0.13</v>
      </c>
      <c r="O720" s="72">
        <f ca="1">Magick!$L$75</f>
        <v>0.13</v>
      </c>
      <c r="P720" s="72">
        <f ca="1">Magick!$M$75</f>
        <v>0.13</v>
      </c>
      <c r="Q720" s="67" t="s">
        <v>113</v>
      </c>
      <c r="R720" s="67" t="str">
        <f>IF(Q720="Ritual","N/A",IF(Q720="I.E.","N/A",IF(Q720="WOG",VLOOKUP(Magick!$I$75*100,magestuff!$B$134:$F$138,2),IF(Q720="Cantrip",VLOOKUP(Magick!$I$75*100,magestuff!$B$134:$F$138,3),IF(Q720="Hex",VLOOKUP(Magick!$I$75*100,magestuff!$B$134:$F$138,4),VLOOKUP(Magick!$I$75*100,magestuff!$B$134:$F$138,5))))))</f>
        <v>N/A</v>
      </c>
      <c r="U720" s="67" t="str">
        <f t="shared" si="104"/>
        <v xml:space="preserve"> </v>
      </c>
      <c r="V720" s="515"/>
      <c r="W720" s="125"/>
      <c r="X720" s="31">
        <f t="shared" si="105"/>
        <v>0</v>
      </c>
      <c r="Y720" s="509"/>
      <c r="Z720" s="1054" t="str">
        <f t="shared" si="106"/>
        <v>Cure Blight</v>
      </c>
      <c r="AA720" s="1072" t="str">
        <f t="shared" si="107"/>
        <v>Plant</v>
      </c>
    </row>
    <row r="721" spans="1:27" hidden="1" outlineLevel="1">
      <c r="A721" s="83" t="s">
        <v>2928</v>
      </c>
      <c r="B721" s="67">
        <v>3</v>
      </c>
      <c r="C721" s="67">
        <f ca="1">IF(magestuff!$I$203&lt;1,1,magestuff!$I$203)</f>
        <v>3</v>
      </c>
      <c r="D721" s="67">
        <f t="shared" si="103"/>
        <v>0</v>
      </c>
      <c r="E721" s="77" t="e">
        <f ca="1">IF(F721="y",HLOOKUP((IF(C721&lt;1,1,C721)),Magick!$C$20:$L$21,2),NA())</f>
        <v>#N/A</v>
      </c>
      <c r="F721" s="67" t="str">
        <f ca="1">IF(C721&lt;=Magick!$D$3,"Y","N")</f>
        <v>N</v>
      </c>
      <c r="G721" s="148" t="s">
        <v>129</v>
      </c>
      <c r="H721" s="151"/>
      <c r="I721" s="77" t="e">
        <f>IF(H721&gt;0,(HLOOKUP(C721,Magick!$C$20:$L$21,2)-HLOOKUP(H721,Magick!$C$20:$L$21,2)),NA())</f>
        <v>#N/A</v>
      </c>
      <c r="J721" s="77"/>
      <c r="K721" s="67">
        <v>4</v>
      </c>
      <c r="L721" s="72" t="str">
        <f>IF(H721&gt;0,Magick!$AR$25-('Master Spell List'!H756*0.1),"N/A")</f>
        <v>N/A</v>
      </c>
      <c r="M721" s="72">
        <f ca="1">Magick!$H$75</f>
        <v>0.08</v>
      </c>
      <c r="N721" s="72">
        <f ca="1">Magick!$K$75</f>
        <v>0.13</v>
      </c>
      <c r="O721" s="72">
        <f ca="1">Magick!$L$75</f>
        <v>0.13</v>
      </c>
      <c r="P721" s="72">
        <f ca="1">Magick!$M$75</f>
        <v>0.13</v>
      </c>
      <c r="Q721" s="67" t="s">
        <v>4602</v>
      </c>
      <c r="R721" s="67">
        <f ca="1">IF(Q721="Ritual","N/A",IF(Q721="I.E.","N/A",IF(Q721="WOG",VLOOKUP(Magick!$I$75*100,magestuff!$B$134:$F$138,2),IF(Q721="Cantrip",VLOOKUP(Magick!$I$75*100,magestuff!$B$134:$F$138,3),IF(Q721="Hex",VLOOKUP(Magick!$I$75*100,magestuff!$B$134:$F$138,4),VLOOKUP(Magick!$I$75*100,magestuff!$B$134:$F$138,5))))))</f>
        <v>19</v>
      </c>
      <c r="S721" s="67" t="s">
        <v>5545</v>
      </c>
      <c r="T721" s="67" t="s">
        <v>5545</v>
      </c>
      <c r="U721" s="67" t="str">
        <f t="shared" si="104"/>
        <v xml:space="preserve"> </v>
      </c>
      <c r="V721" s="515"/>
      <c r="W721" s="125"/>
      <c r="X721" s="31">
        <f t="shared" si="105"/>
        <v>0</v>
      </c>
      <c r="Y721" s="509"/>
      <c r="Z721" s="1054" t="str">
        <f t="shared" si="106"/>
        <v>Detach (Harvest)</v>
      </c>
      <c r="AA721" s="1072" t="str">
        <f t="shared" si="107"/>
        <v>Plant</v>
      </c>
    </row>
    <row r="722" spans="1:27" hidden="1" outlineLevel="1">
      <c r="A722" s="31" t="s">
        <v>5212</v>
      </c>
      <c r="B722" s="67">
        <v>3</v>
      </c>
      <c r="C722" s="67">
        <f ca="1">IF(magestuff!$I$203&lt;1,1,magestuff!$I$203)</f>
        <v>3</v>
      </c>
      <c r="D722" s="67">
        <f t="shared" si="103"/>
        <v>0</v>
      </c>
      <c r="E722" s="77" t="e">
        <f ca="1">IF(F722="y",HLOOKUP((IF(C722&lt;1,1,C722)),Magick!$C$20:$L$21,2),NA())</f>
        <v>#N/A</v>
      </c>
      <c r="F722" s="67" t="str">
        <f ca="1">IF(C722&lt;=Magick!$D$3,"Y","N")</f>
        <v>N</v>
      </c>
      <c r="G722" s="148" t="s">
        <v>128</v>
      </c>
      <c r="H722" s="151"/>
      <c r="I722" s="77" t="e">
        <f>IF(H722&gt;0,(HLOOKUP(C722,Magick!$C$20:$L$21,2)-HLOOKUP(H722,Magick!$C$20:$L$21,2)),NA())</f>
        <v>#N/A</v>
      </c>
      <c r="J722" s="77"/>
      <c r="K722" s="67">
        <v>7</v>
      </c>
      <c r="L722" s="72" t="str">
        <f>IF(H722&gt;0,Magick!$AR$25-('Master Spell List'!H710*0.1),"N/A")</f>
        <v>N/A</v>
      </c>
      <c r="M722" s="72">
        <f ca="1">Magick!$H$75</f>
        <v>0.08</v>
      </c>
      <c r="N722" s="72">
        <f ca="1">Magick!$K$75</f>
        <v>0.13</v>
      </c>
      <c r="O722" s="72">
        <f ca="1">Magick!$L$75</f>
        <v>0.13</v>
      </c>
      <c r="P722" s="72">
        <f ca="1">Magick!$M$75</f>
        <v>0.13</v>
      </c>
      <c r="Q722" s="67" t="s">
        <v>3723</v>
      </c>
      <c r="R722" s="67">
        <f ca="1">IF(Q722="Ritual","N/A",IF(Q722="I.E.","N/A",IF(Q722="WOG",VLOOKUP(Magick!$I$75*100,magestuff!$B$134:$F$138,2),IF(Q722="Cantrip",VLOOKUP(Magick!$I$75*100,magestuff!$B$134:$F$138,3),IF(Q722="Hex",VLOOKUP(Magick!$I$75*100,magestuff!$B$134:$F$138,4),VLOOKUP(Magick!$I$75*100,magestuff!$B$134:$F$138,5))))))</f>
        <v>29</v>
      </c>
      <c r="U722" s="67" t="str">
        <f t="shared" si="104"/>
        <v xml:space="preserve"> </v>
      </c>
      <c r="V722" s="515"/>
      <c r="W722" s="125"/>
      <c r="X722" s="31">
        <f t="shared" si="105"/>
        <v>0</v>
      </c>
      <c r="Y722" s="509"/>
      <c r="Z722" s="1054" t="str">
        <f t="shared" si="106"/>
        <v>Faerie Ring</v>
      </c>
      <c r="AA722" s="1072" t="str">
        <f t="shared" si="107"/>
        <v>Plant</v>
      </c>
    </row>
    <row r="723" spans="1:27" hidden="1" outlineLevel="1">
      <c r="A723" s="83" t="s">
        <v>3030</v>
      </c>
      <c r="B723" s="67">
        <v>3</v>
      </c>
      <c r="C723" s="67">
        <f ca="1">IF(magestuff!$I$203&lt;1,1,magestuff!$I$203)</f>
        <v>3</v>
      </c>
      <c r="D723" s="67">
        <f t="shared" si="103"/>
        <v>0</v>
      </c>
      <c r="E723" s="77" t="e">
        <f ca="1">IF(F723="y",HLOOKUP((IF(C723&lt;1,1,C723)),Magick!$C$20:$L$21,2),NA())</f>
        <v>#N/A</v>
      </c>
      <c r="F723" s="67" t="str">
        <f ca="1">IF(C723&lt;=Magick!$D$3,"Y","N")</f>
        <v>N</v>
      </c>
      <c r="G723" s="148" t="s">
        <v>129</v>
      </c>
      <c r="H723" s="151"/>
      <c r="I723" s="77" t="e">
        <f>IF(H723&gt;0,(HLOOKUP(C723,Magick!$C$20:$L$21,2)-HLOOKUP(H723,Magick!$C$20:$L$21,2)),NA())</f>
        <v>#N/A</v>
      </c>
      <c r="J723" s="77"/>
      <c r="K723" s="67">
        <v>5</v>
      </c>
      <c r="L723" s="72" t="str">
        <f>IF(H723&gt;0,Magick!$AR$25-('Master Spell List'!H769*0.1),"N/A")</f>
        <v>N/A</v>
      </c>
      <c r="M723" s="72">
        <f ca="1">Magick!$H$75</f>
        <v>0.08</v>
      </c>
      <c r="N723" s="72">
        <f ca="1">Magick!$K$75</f>
        <v>0.13</v>
      </c>
      <c r="O723" s="72">
        <f ca="1">Magick!$L$75</f>
        <v>0.13</v>
      </c>
      <c r="P723" s="72">
        <f ca="1">Magick!$M$75</f>
        <v>0.13</v>
      </c>
      <c r="Q723" s="67" t="s">
        <v>3723</v>
      </c>
      <c r="R723" s="67">
        <f ca="1">IF(Q723="Ritual","N/A",IF(Q723="I.E.","N/A",IF(Q723="WOG",VLOOKUP(Magick!$I$75*100,magestuff!$B$134:$F$138,2),IF(Q723="Cantrip",VLOOKUP(Magick!$I$75*100,magestuff!$B$134:$F$138,3),IF(Q723="Hex",VLOOKUP(Magick!$I$75*100,magestuff!$B$134:$F$138,4),VLOOKUP(Magick!$I$75*100,magestuff!$B$134:$F$138,5))))))</f>
        <v>29</v>
      </c>
      <c r="S723" s="67" t="s">
        <v>1984</v>
      </c>
      <c r="T723" s="67" t="s">
        <v>4601</v>
      </c>
      <c r="U723" s="67" t="str">
        <f t="shared" si="104"/>
        <v xml:space="preserve"> </v>
      </c>
      <c r="V723" s="515"/>
      <c r="W723" s="125"/>
      <c r="X723" s="31">
        <f t="shared" si="105"/>
        <v>0</v>
      </c>
      <c r="Y723" s="509"/>
      <c r="Z723" s="1054" t="str">
        <f t="shared" si="106"/>
        <v>Fodder of the Fair Folk</v>
      </c>
      <c r="AA723" s="1072" t="str">
        <f t="shared" si="107"/>
        <v>Plant</v>
      </c>
    </row>
    <row r="724" spans="1:27" hidden="1" outlineLevel="1">
      <c r="A724" s="31" t="s">
        <v>1714</v>
      </c>
      <c r="B724" s="67">
        <v>3</v>
      </c>
      <c r="C724" s="67">
        <f ca="1">IF(magestuff!$I$203&lt;1,1,magestuff!$I$203)</f>
        <v>3</v>
      </c>
      <c r="D724" s="67">
        <f t="shared" si="103"/>
        <v>0</v>
      </c>
      <c r="E724" s="77" t="e">
        <f ca="1">IF(F724="y",HLOOKUP((IF(C724&lt;1,1,C724)),Magick!$C$20:$L$21,2),NA())</f>
        <v>#N/A</v>
      </c>
      <c r="F724" s="67" t="str">
        <f ca="1">IF(C724&lt;=Magick!$D$3,"Y","N")</f>
        <v>N</v>
      </c>
      <c r="G724" s="148" t="s">
        <v>128</v>
      </c>
      <c r="H724" s="151"/>
      <c r="I724" s="77" t="e">
        <f>IF(H724&gt;0,(HLOOKUP(C724,Magick!$C$20:$L$21,2)-HLOOKUP(H724,Magick!$C$20:$L$21,2)),NA())</f>
        <v>#N/A</v>
      </c>
      <c r="J724" s="77"/>
      <c r="K724" s="67">
        <v>4</v>
      </c>
      <c r="L724" s="72" t="str">
        <f>IF(H724&gt;0,Magick!$AR$25-('Master Spell List'!H712*0.1),"N/A")</f>
        <v>N/A</v>
      </c>
      <c r="M724" s="72">
        <f ca="1">Magick!$H$75</f>
        <v>0.08</v>
      </c>
      <c r="N724" s="72">
        <f ca="1">Magick!$K$75</f>
        <v>0.13</v>
      </c>
      <c r="O724" s="72">
        <f ca="1">Magick!$L$75</f>
        <v>0.13</v>
      </c>
      <c r="P724" s="72">
        <f ca="1">Magick!$M$75</f>
        <v>0.13</v>
      </c>
      <c r="Q724" s="67" t="s">
        <v>3723</v>
      </c>
      <c r="R724" s="67">
        <f ca="1">IF(Q724="Ritual","N/A",IF(Q724="I.E.","N/A",IF(Q724="WOG",VLOOKUP(Magick!$I$75*100,magestuff!$B$134:$F$138,2),IF(Q724="Cantrip",VLOOKUP(Magick!$I$75*100,magestuff!$B$134:$F$138,3),IF(Q724="Hex",VLOOKUP(Magick!$I$75*100,magestuff!$B$134:$F$138,4),VLOOKUP(Magick!$I$75*100,magestuff!$B$134:$F$138,5))))))</f>
        <v>29</v>
      </c>
      <c r="U724" s="67" t="str">
        <f t="shared" si="104"/>
        <v xml:space="preserve"> </v>
      </c>
      <c r="V724" s="515"/>
      <c r="W724" s="125"/>
      <c r="X724" s="31">
        <f t="shared" si="105"/>
        <v>0</v>
      </c>
      <c r="Y724" s="509"/>
      <c r="Z724" s="1054" t="str">
        <f t="shared" si="106"/>
        <v>Glade of Dreams</v>
      </c>
      <c r="AA724" s="1072" t="str">
        <f t="shared" si="107"/>
        <v>Plant</v>
      </c>
    </row>
    <row r="725" spans="1:27" hidden="1" outlineLevel="1">
      <c r="A725" s="31" t="s">
        <v>5206</v>
      </c>
      <c r="B725" s="67">
        <v>3</v>
      </c>
      <c r="C725" s="67">
        <f ca="1">IF(magestuff!$I$203&lt;1,1,magestuff!$I$203)</f>
        <v>3</v>
      </c>
      <c r="D725" s="67">
        <f t="shared" si="103"/>
        <v>0</v>
      </c>
      <c r="E725" s="77" t="e">
        <f ca="1">IF(F725="y",HLOOKUP((IF(C725&lt;1,1,C725)),Magick!$C$20:$L$21,2),NA())</f>
        <v>#N/A</v>
      </c>
      <c r="F725" s="67" t="str">
        <f ca="1">IF(C725&lt;=Magick!$D$3,"Y","N")</f>
        <v>N</v>
      </c>
      <c r="G725" s="148" t="s">
        <v>128</v>
      </c>
      <c r="H725" s="151"/>
      <c r="I725" s="77" t="e">
        <f>IF(H725&gt;0,(HLOOKUP(C725,Magick!$C$20:$L$21,2)-HLOOKUP(H725,Magick!$C$20:$L$21,2)),NA())</f>
        <v>#N/A</v>
      </c>
      <c r="J725" s="77"/>
      <c r="K725" s="67">
        <v>7</v>
      </c>
      <c r="L725" s="72" t="str">
        <f>IF(H725&gt;0,Magick!$AR$25-('Master Spell List'!H704*0.1),"N/A")</f>
        <v>N/A</v>
      </c>
      <c r="M725" s="72">
        <f ca="1">Magick!$H$75</f>
        <v>0.08</v>
      </c>
      <c r="N725" s="72">
        <f ca="1">Magick!$K$75</f>
        <v>0.13</v>
      </c>
      <c r="O725" s="72">
        <f ca="1">Magick!$L$75</f>
        <v>0.13</v>
      </c>
      <c r="P725" s="72">
        <f ca="1">Magick!$M$75</f>
        <v>0.13</v>
      </c>
      <c r="Q725" s="67" t="s">
        <v>3723</v>
      </c>
      <c r="R725" s="67">
        <f ca="1">IF(Q725="Ritual","N/A",IF(Q725="I.E.","N/A",IF(Q725="WOG",VLOOKUP(Magick!$I$75*100,magestuff!$B$134:$F$138,2),IF(Q725="Cantrip",VLOOKUP(Magick!$I$75*100,magestuff!$B$134:$F$138,3),IF(Q725="Hex",VLOOKUP(Magick!$I$75*100,magestuff!$B$134:$F$138,4),VLOOKUP(Magick!$I$75*100,magestuff!$B$134:$F$138,5))))))</f>
        <v>29</v>
      </c>
      <c r="U725" s="67" t="str">
        <f t="shared" si="104"/>
        <v xml:space="preserve"> </v>
      </c>
      <c r="V725" s="515"/>
      <c r="W725" s="125"/>
      <c r="X725" s="31">
        <f t="shared" si="105"/>
        <v>0</v>
      </c>
      <c r="Y725" s="509"/>
      <c r="Z725" s="1054" t="str">
        <f t="shared" si="106"/>
        <v>Grow in Haste</v>
      </c>
      <c r="AA725" s="1072" t="str">
        <f t="shared" si="107"/>
        <v>Plant</v>
      </c>
    </row>
    <row r="726" spans="1:27" hidden="1" outlineLevel="1">
      <c r="A726" s="31" t="s">
        <v>1715</v>
      </c>
      <c r="B726" s="67">
        <v>3</v>
      </c>
      <c r="C726" s="67">
        <f ca="1">IF(magestuff!$I$203&lt;1,1,magestuff!$I$203)</f>
        <v>3</v>
      </c>
      <c r="D726" s="67">
        <f t="shared" si="103"/>
        <v>0</v>
      </c>
      <c r="E726" s="77" t="e">
        <f ca="1">IF(F726="y",HLOOKUP((IF(C726&lt;1,1,C726)),Magick!$C$20:$L$21,2),NA())</f>
        <v>#N/A</v>
      </c>
      <c r="F726" s="67" t="str">
        <f ca="1">IF(C726&lt;=Magick!$D$3,"Y","N")</f>
        <v>N</v>
      </c>
      <c r="G726" s="148" t="s">
        <v>128</v>
      </c>
      <c r="H726" s="151"/>
      <c r="I726" s="77" t="e">
        <f>IF(H726&gt;0,(HLOOKUP(C726,Magick!$C$20:$L$21,2)-HLOOKUP(H726,Magick!$C$20:$L$21,2)),NA())</f>
        <v>#N/A</v>
      </c>
      <c r="J726" s="77"/>
      <c r="K726" s="67">
        <v>9</v>
      </c>
      <c r="L726" s="72" t="str">
        <f>IF(H726&gt;0,Magick!$AR$25-('Master Spell List'!H713*0.1),"N/A")</f>
        <v>N/A</v>
      </c>
      <c r="M726" s="72">
        <f ca="1">Magick!$H$75</f>
        <v>0.08</v>
      </c>
      <c r="N726" s="72">
        <f ca="1">Magick!$K$75</f>
        <v>0.13</v>
      </c>
      <c r="O726" s="72">
        <f ca="1">Magick!$L$75</f>
        <v>0.13</v>
      </c>
      <c r="P726" s="72">
        <f ca="1">Magick!$M$75</f>
        <v>0.13</v>
      </c>
      <c r="Q726" s="67" t="s">
        <v>3723</v>
      </c>
      <c r="R726" s="67">
        <f ca="1">IF(Q726="Ritual","N/A",IF(Q726="I.E.","N/A",IF(Q726="WOG",VLOOKUP(Magick!$I$75*100,magestuff!$B$134:$F$138,2),IF(Q726="Cantrip",VLOOKUP(Magick!$I$75*100,magestuff!$B$134:$F$138,3),IF(Q726="Hex",VLOOKUP(Magick!$I$75*100,magestuff!$B$134:$F$138,4),VLOOKUP(Magick!$I$75*100,magestuff!$B$134:$F$138,5))))))</f>
        <v>29</v>
      </c>
      <c r="U726" s="67" t="str">
        <f t="shared" si="104"/>
        <v xml:space="preserve"> </v>
      </c>
      <c r="V726" s="515"/>
      <c r="W726" s="125"/>
      <c r="X726" s="31">
        <f t="shared" si="105"/>
        <v>0</v>
      </c>
      <c r="Y726" s="509"/>
      <c r="Z726" s="1054" t="str">
        <f t="shared" si="106"/>
        <v>Hedge of Thorns</v>
      </c>
      <c r="AA726" s="1072" t="str">
        <f t="shared" si="107"/>
        <v>Plant</v>
      </c>
    </row>
    <row r="727" spans="1:27" hidden="1" outlineLevel="1">
      <c r="A727" s="83" t="s">
        <v>1852</v>
      </c>
      <c r="B727" s="67">
        <v>3</v>
      </c>
      <c r="C727" s="67">
        <f ca="1">IF(magestuff!$I$203&lt;1,1,magestuff!$I$203)</f>
        <v>3</v>
      </c>
      <c r="D727" s="67">
        <f t="shared" si="103"/>
        <v>0</v>
      </c>
      <c r="E727" s="77" t="e">
        <f ca="1">IF(F727="y",HLOOKUP((IF(C727&lt;1,1,C727)),Magick!$C$20:$L$21,2),NA())</f>
        <v>#N/A</v>
      </c>
      <c r="F727" s="67" t="str">
        <f ca="1">IF(C727&lt;=Magick!$D$3,"Y","N")</f>
        <v>N</v>
      </c>
      <c r="G727" s="148" t="s">
        <v>1217</v>
      </c>
      <c r="H727" s="151"/>
      <c r="I727" s="77" t="e">
        <f>IF(H727&gt;0,(HLOOKUP(C727,Magick!$C$20:$L$21,2)-HLOOKUP(H727,Magick!$C$20:$L$21,2)),NA())</f>
        <v>#N/A</v>
      </c>
      <c r="J727" s="77"/>
      <c r="K727" s="67" t="s">
        <v>4905</v>
      </c>
      <c r="L727" s="72" t="str">
        <f>IF(H727&gt;0,Magick!$AR$25-('Master Spell List'!H702*0.1),"N/A")</f>
        <v>N/A</v>
      </c>
      <c r="M727" s="72">
        <f ca="1">Magick!$H$75</f>
        <v>0.08</v>
      </c>
      <c r="N727" s="72">
        <f ca="1">Magick!$K$75</f>
        <v>0.13</v>
      </c>
      <c r="O727" s="72">
        <f ca="1">Magick!$L$75</f>
        <v>0.13</v>
      </c>
      <c r="P727" s="72">
        <f ca="1">Magick!$M$75</f>
        <v>0.13</v>
      </c>
      <c r="Q727" s="67" t="s">
        <v>4602</v>
      </c>
      <c r="R727" s="67">
        <f ca="1">IF(Q727="Ritual","N/A",IF(Q727="I.E.","N/A",IF(Q727="WOG",VLOOKUP(Magick!$I$75*100,magestuff!$B$134:$F$138,2),IF(Q727="Cantrip",VLOOKUP(Magick!$I$75*100,magestuff!$B$134:$F$138,3),IF(Q727="Hex",VLOOKUP(Magick!$I$75*100,magestuff!$B$134:$F$138,4),VLOOKUP(Magick!$I$75*100,magestuff!$B$134:$F$138,5))))))</f>
        <v>19</v>
      </c>
      <c r="S727" s="67">
        <f>5*Magick!$C$3</f>
        <v>0</v>
      </c>
      <c r="T727" s="67" t="s">
        <v>3218</v>
      </c>
      <c r="U727" s="67" t="str">
        <f t="shared" si="104"/>
        <v xml:space="preserve"> </v>
      </c>
      <c r="V727" s="515"/>
      <c r="W727" s="125"/>
      <c r="X727" s="31">
        <f t="shared" si="105"/>
        <v>0</v>
      </c>
      <c r="Y727" s="509"/>
      <c r="Z727" s="1054" t="str">
        <f t="shared" si="106"/>
        <v>Least Grind Fine</v>
      </c>
      <c r="AA727" s="1072" t="str">
        <f t="shared" si="107"/>
        <v>Plant</v>
      </c>
    </row>
    <row r="728" spans="1:27" hidden="1" outlineLevel="1">
      <c r="A728" s="83" t="s">
        <v>1229</v>
      </c>
      <c r="B728" s="67">
        <v>3</v>
      </c>
      <c r="C728" s="67">
        <f ca="1">IF(magestuff!$I$203&lt;1,1,magestuff!$I$203)</f>
        <v>3</v>
      </c>
      <c r="D728" s="67">
        <f t="shared" si="103"/>
        <v>0</v>
      </c>
      <c r="E728" s="77" t="e">
        <f ca="1">IF(F728="y",HLOOKUP((IF(C728&lt;1,1,C728)),Magick!$C$20:$L$21,2),NA())</f>
        <v>#N/A</v>
      </c>
      <c r="F728" s="67" t="str">
        <f ca="1">IF(C728&lt;=Magick!$D$3,"Y","N")</f>
        <v>N</v>
      </c>
      <c r="G728" s="148" t="s">
        <v>1217</v>
      </c>
      <c r="H728" s="151"/>
      <c r="I728" s="77" t="e">
        <f>IF(H728&gt;0,(HLOOKUP(C728,Magick!$C$20:$L$21,2)-HLOOKUP(H728,Magick!$C$20:$L$21,2)),NA())</f>
        <v>#N/A</v>
      </c>
      <c r="J728" s="77"/>
      <c r="K728" s="67" t="s">
        <v>4905</v>
      </c>
      <c r="L728" s="72" t="str">
        <f>IF(H728&gt;0,Magick!$AR$25-('Master Spell List'!H698*0.1),"N/A")</f>
        <v>N/A</v>
      </c>
      <c r="M728" s="72">
        <f ca="1">Magick!$H$75</f>
        <v>0.08</v>
      </c>
      <c r="N728" s="72">
        <f ca="1">Magick!$K$75</f>
        <v>0.13</v>
      </c>
      <c r="O728" s="72">
        <f ca="1">Magick!$L$75</f>
        <v>0.13</v>
      </c>
      <c r="P728" s="72">
        <f ca="1">Magick!$M$75</f>
        <v>0.13</v>
      </c>
      <c r="Q728" s="67" t="s">
        <v>4602</v>
      </c>
      <c r="R728" s="67">
        <f ca="1">IF(Q728="Ritual","N/A",IF(Q728="I.E.","N/A",IF(Q728="WOG",VLOOKUP(Magick!$I$75*100,magestuff!$B$134:$F$138,2),IF(Q728="Cantrip",VLOOKUP(Magick!$I$75*100,magestuff!$B$134:$F$138,3),IF(Q728="Hex",VLOOKUP(Magick!$I$75*100,magestuff!$B$134:$F$138,4),VLOOKUP(Magick!$I$75*100,magestuff!$B$134:$F$138,5))))))</f>
        <v>19</v>
      </c>
      <c r="S728" s="67">
        <f>10*Magick!$C$3</f>
        <v>0</v>
      </c>
      <c r="T728" s="67" t="s">
        <v>3218</v>
      </c>
      <c r="U728" s="67" t="str">
        <f t="shared" si="104"/>
        <v xml:space="preserve"> </v>
      </c>
      <c r="V728" s="515"/>
      <c r="W728" s="125"/>
      <c r="X728" s="31">
        <f t="shared" si="105"/>
        <v>0</v>
      </c>
      <c r="Y728" s="509"/>
      <c r="Z728" s="1054" t="str">
        <f t="shared" si="106"/>
        <v>Lesser Grind Coarse</v>
      </c>
      <c r="AA728" s="1072" t="str">
        <f t="shared" si="107"/>
        <v>Plant</v>
      </c>
    </row>
    <row r="729" spans="1:27" hidden="1" outlineLevel="1">
      <c r="A729" s="83" t="s">
        <v>1224</v>
      </c>
      <c r="B729" s="67">
        <v>3</v>
      </c>
      <c r="C729" s="67">
        <f ca="1">IF(magestuff!$I$203&lt;1,1,magestuff!$I$203)</f>
        <v>3</v>
      </c>
      <c r="D729" s="67">
        <f t="shared" si="103"/>
        <v>0</v>
      </c>
      <c r="E729" s="77" t="e">
        <f ca="1">IF(F729="y",HLOOKUP((IF(C729&lt;1,1,C729)),Magick!$C$20:$L$21,2),NA())</f>
        <v>#N/A</v>
      </c>
      <c r="F729" s="67" t="str">
        <f ca="1">IF(C729&lt;=Magick!$D$3,"Y","N")</f>
        <v>N</v>
      </c>
      <c r="G729" s="148" t="s">
        <v>1217</v>
      </c>
      <c r="H729" s="151"/>
      <c r="I729" s="77" t="e">
        <f>IF(H729&gt;0,(HLOOKUP(C729,Magick!$C$20:$L$21,2)-HLOOKUP(H729,Magick!$C$20:$L$21,2)),NA())</f>
        <v>#N/A</v>
      </c>
      <c r="J729" s="77"/>
      <c r="K729" s="67">
        <v>7</v>
      </c>
      <c r="L729" s="72" t="str">
        <f>IF(H729&gt;0,Magick!$AR$25-('Master Spell List'!H693*0.1),"N/A")</f>
        <v>N/A</v>
      </c>
      <c r="M729" s="72">
        <f ca="1">Magick!$H$75</f>
        <v>0.08</v>
      </c>
      <c r="N729" s="72">
        <f ca="1">Magick!$K$75</f>
        <v>0.13</v>
      </c>
      <c r="O729" s="72">
        <f ca="1">Magick!$L$75</f>
        <v>0.13</v>
      </c>
      <c r="P729" s="72">
        <f ca="1">Magick!$M$75</f>
        <v>0.13</v>
      </c>
      <c r="Q729" s="67" t="s">
        <v>4602</v>
      </c>
      <c r="R729" s="67">
        <f ca="1">IF(Q729="Ritual","N/A",IF(Q729="I.E.","N/A",IF(Q729="WOG",VLOOKUP(Magick!$I$75*100,magestuff!$B$134:$F$138,2),IF(Q729="Cantrip",VLOOKUP(Magick!$I$75*100,magestuff!$B$134:$F$138,3),IF(Q729="Hex",VLOOKUP(Magick!$I$75*100,magestuff!$B$134:$F$138,4),VLOOKUP(Magick!$I$75*100,magestuff!$B$134:$F$138,5))))))</f>
        <v>19</v>
      </c>
      <c r="S729" s="67">
        <f>10*Magick!$C$3</f>
        <v>0</v>
      </c>
      <c r="T729" s="67" t="s">
        <v>3218</v>
      </c>
      <c r="U729" s="67" t="str">
        <f t="shared" si="104"/>
        <v xml:space="preserve"> </v>
      </c>
      <c r="V729" s="515"/>
      <c r="W729" s="125"/>
      <c r="X729" s="31">
        <f t="shared" si="105"/>
        <v>0</v>
      </c>
      <c r="Y729" s="509"/>
      <c r="Z729" s="1054" t="str">
        <f t="shared" si="106"/>
        <v>Lesser Revitalize (Hydrate)</v>
      </c>
      <c r="AA729" s="1072" t="str">
        <f t="shared" si="107"/>
        <v>Plant</v>
      </c>
    </row>
    <row r="730" spans="1:27" hidden="1" outlineLevel="1">
      <c r="A730" s="31" t="s">
        <v>5213</v>
      </c>
      <c r="B730" s="67">
        <v>3</v>
      </c>
      <c r="C730" s="67">
        <f ca="1">IF(magestuff!$I$203&lt;1,1,magestuff!$I$203)</f>
        <v>3</v>
      </c>
      <c r="D730" s="67">
        <f t="shared" si="103"/>
        <v>0</v>
      </c>
      <c r="E730" s="77" t="e">
        <f ca="1">IF(F730="y",HLOOKUP((IF(C730&lt;1,1,C730)),Magick!$C$20:$L$21,2),NA())</f>
        <v>#N/A</v>
      </c>
      <c r="F730" s="67" t="str">
        <f ca="1">IF(C730&lt;=Magick!$D$3,"Y","N")</f>
        <v>N</v>
      </c>
      <c r="G730" s="148" t="s">
        <v>128</v>
      </c>
      <c r="H730" s="151"/>
      <c r="I730" s="77" t="e">
        <f>IF(H730&gt;0,(HLOOKUP(C730,Magick!$C$20:$L$21,2)-HLOOKUP(H730,Magick!$C$20:$L$21,2)),NA())</f>
        <v>#N/A</v>
      </c>
      <c r="J730" s="77"/>
      <c r="K730" s="67">
        <v>7</v>
      </c>
      <c r="L730" s="72" t="str">
        <f>IF(H730&gt;0,Magick!$AR$25-('Master Spell List'!H711*0.1),"N/A")</f>
        <v>N/A</v>
      </c>
      <c r="M730" s="72">
        <f ca="1">Magick!$H$75</f>
        <v>0.08</v>
      </c>
      <c r="N730" s="72">
        <f ca="1">Magick!$K$75</f>
        <v>0.13</v>
      </c>
      <c r="O730" s="72">
        <f ca="1">Magick!$L$75</f>
        <v>0.13</v>
      </c>
      <c r="P730" s="72">
        <f ca="1">Magick!$M$75</f>
        <v>0.13</v>
      </c>
      <c r="Q730" s="67" t="s">
        <v>3723</v>
      </c>
      <c r="R730" s="67">
        <f ca="1">IF(Q730="Ritual","N/A",IF(Q730="I.E.","N/A",IF(Q730="WOG",VLOOKUP(Magick!$I$75*100,magestuff!$B$134:$F$138,2),IF(Q730="Cantrip",VLOOKUP(Magick!$I$75*100,magestuff!$B$134:$F$138,3),IF(Q730="Hex",VLOOKUP(Magick!$I$75*100,magestuff!$B$134:$F$138,4),VLOOKUP(Magick!$I$75*100,magestuff!$B$134:$F$138,5))))))</f>
        <v>29</v>
      </c>
      <c r="U730" s="67" t="str">
        <f t="shared" si="104"/>
        <v xml:space="preserve"> </v>
      </c>
      <c r="V730" s="515"/>
      <c r="W730" s="125"/>
      <c r="X730" s="31">
        <f t="shared" si="105"/>
        <v>0</v>
      </c>
      <c r="Y730" s="509"/>
      <c r="Z730" s="1054" t="str">
        <f t="shared" si="106"/>
        <v>Overgrown Path</v>
      </c>
      <c r="AA730" s="1072" t="str">
        <f t="shared" si="107"/>
        <v>Plant</v>
      </c>
    </row>
    <row r="731" spans="1:27" hidden="1" outlineLevel="1">
      <c r="A731" s="83" t="s">
        <v>2577</v>
      </c>
      <c r="B731" s="67">
        <v>3</v>
      </c>
      <c r="C731" s="67">
        <f ca="1">IF(magestuff!$I$203&lt;1,1,magestuff!$I$203)</f>
        <v>3</v>
      </c>
      <c r="D731" s="67">
        <f t="shared" si="103"/>
        <v>0</v>
      </c>
      <c r="E731" s="77" t="e">
        <f ca="1">IF(F731="y",HLOOKUP((IF(C731&lt;1,1,C731)),Magick!$C$20:$L$21,2),NA())</f>
        <v>#N/A</v>
      </c>
      <c r="F731" s="67" t="str">
        <f ca="1">IF(C731&lt;=Magick!$D$3,"Y","N")</f>
        <v>N</v>
      </c>
      <c r="G731" s="148" t="s">
        <v>129</v>
      </c>
      <c r="H731" s="151"/>
      <c r="I731" s="77" t="e">
        <f>IF(H731&gt;0,(HLOOKUP(C731,Magick!$C$20:$L$21,2)-HLOOKUP(H731,Magick!$C$20:$L$21,2)),NA())</f>
        <v>#N/A</v>
      </c>
      <c r="J731" s="77"/>
      <c r="K731" s="67">
        <v>4</v>
      </c>
      <c r="L731" s="72" t="str">
        <f>IF(H731&gt;0,Magick!$AR$25-('Master Spell List'!H765*0.1),"N/A")</f>
        <v>N/A</v>
      </c>
      <c r="M731" s="72">
        <f ca="1">Magick!$H$75</f>
        <v>0.08</v>
      </c>
      <c r="N731" s="72">
        <f ca="1">Magick!$K$75</f>
        <v>0.13</v>
      </c>
      <c r="O731" s="72">
        <f ca="1">Magick!$L$75</f>
        <v>0.13</v>
      </c>
      <c r="P731" s="72">
        <f ca="1">Magick!$M$75</f>
        <v>0.13</v>
      </c>
      <c r="Q731" s="67" t="s">
        <v>113</v>
      </c>
      <c r="R731" s="67" t="str">
        <f>IF(Q731="Ritual","N/A",IF(Q731="I.E.","N/A",IF(Q731="WOG",VLOOKUP(Magick!$I$75*100,magestuff!$B$134:$F$138,2),IF(Q731="Cantrip",VLOOKUP(Magick!$I$75*100,magestuff!$B$134:$F$138,3),IF(Q731="Hex",VLOOKUP(Magick!$I$75*100,magestuff!$B$134:$F$138,4),VLOOKUP(Magick!$I$75*100,magestuff!$B$134:$F$138,5))))))</f>
        <v>N/A</v>
      </c>
      <c r="T731" s="67" t="s">
        <v>4601</v>
      </c>
      <c r="U731" s="67" t="str">
        <f t="shared" si="104"/>
        <v xml:space="preserve"> </v>
      </c>
      <c r="V731" s="515"/>
      <c r="W731" s="125"/>
      <c r="X731" s="31">
        <f t="shared" si="105"/>
        <v>0</v>
      </c>
      <c r="Y731" s="509"/>
      <c r="Z731" s="1054" t="str">
        <f t="shared" si="106"/>
        <v>Remove Plant</v>
      </c>
      <c r="AA731" s="1072" t="str">
        <f t="shared" si="107"/>
        <v>Plant</v>
      </c>
    </row>
    <row r="732" spans="1:27" hidden="1" outlineLevel="1">
      <c r="A732" s="83" t="s">
        <v>1407</v>
      </c>
      <c r="B732" s="67">
        <v>3</v>
      </c>
      <c r="C732" s="67">
        <f ca="1">IF(magestuff!$I$203&lt;1,1,magestuff!$I$203)</f>
        <v>3</v>
      </c>
      <c r="D732" s="67">
        <f t="shared" si="103"/>
        <v>0</v>
      </c>
      <c r="E732" s="77" t="e">
        <f ca="1">IF(F732="y",HLOOKUP((IF(C732&lt;1,1,C732)),Magick!$C$20:$L$21,2),NA())</f>
        <v>#N/A</v>
      </c>
      <c r="F732" s="67" t="str">
        <f ca="1">IF(C732&lt;=Magick!$D$3,"Y","N")</f>
        <v>N</v>
      </c>
      <c r="G732" s="148" t="s">
        <v>129</v>
      </c>
      <c r="H732" s="151"/>
      <c r="I732" s="77" t="e">
        <f>IF(H732&gt;0,(HLOOKUP(C732,Magick!$C$20:$L$21,2)-HLOOKUP(H732,Magick!$C$20:$L$21,2)),NA())</f>
        <v>#N/A</v>
      </c>
      <c r="J732" s="77"/>
      <c r="K732" s="67">
        <v>6</v>
      </c>
      <c r="L732" s="72" t="str">
        <f>IF(H732&gt;0,Magick!$AR$25-('Master Spell List'!H759*0.1),"N/A")</f>
        <v>N/A</v>
      </c>
      <c r="M732" s="72">
        <f ca="1">Magick!$H$75</f>
        <v>0.08</v>
      </c>
      <c r="N732" s="72">
        <f ca="1">Magick!$K$75</f>
        <v>0.13</v>
      </c>
      <c r="O732" s="72">
        <f ca="1">Magick!$L$75</f>
        <v>0.13</v>
      </c>
      <c r="P732" s="72">
        <f ca="1">Magick!$M$75</f>
        <v>0.13</v>
      </c>
      <c r="Q732" s="67" t="s">
        <v>4603</v>
      </c>
      <c r="R732" s="67">
        <f ca="1">IF(Q732="Ritual","N/A",IF(Q732="I.E.","N/A",IF(Q732="WOG",VLOOKUP(Magick!$I$75*100,magestuff!$B$134:$F$138,2),IF(Q732="Cantrip",VLOOKUP(Magick!$I$75*100,magestuff!$B$134:$F$138,3),IF(Q732="Hex",VLOOKUP(Magick!$I$75*100,magestuff!$B$134:$F$138,4),VLOOKUP(Magick!$I$75*100,magestuff!$B$134:$F$138,5))))))</f>
        <v>9</v>
      </c>
      <c r="S732" s="67" t="s">
        <v>5545</v>
      </c>
      <c r="T732" s="67" t="s">
        <v>5545</v>
      </c>
      <c r="U732" s="67" t="str">
        <f t="shared" si="104"/>
        <v xml:space="preserve"> </v>
      </c>
      <c r="V732" s="515"/>
      <c r="W732" s="125"/>
      <c r="X732" s="31">
        <f t="shared" ref="X732:X763" si="108">W732*3</f>
        <v>0</v>
      </c>
      <c r="Y732" s="509"/>
      <c r="Z732" s="1054" t="str">
        <f t="shared" si="106"/>
        <v>Slow (Stunt)</v>
      </c>
      <c r="AA732" s="1072" t="str">
        <f t="shared" si="107"/>
        <v>Plant</v>
      </c>
    </row>
    <row r="733" spans="1:27" hidden="1" outlineLevel="1">
      <c r="A733" s="31" t="s">
        <v>5207</v>
      </c>
      <c r="B733" s="67">
        <v>3</v>
      </c>
      <c r="C733" s="67">
        <f ca="1">IF(magestuff!$I$203&lt;1,1,magestuff!$I$203)</f>
        <v>3</v>
      </c>
      <c r="D733" s="67">
        <f t="shared" si="103"/>
        <v>0</v>
      </c>
      <c r="E733" s="77" t="e">
        <f ca="1">IF(F733="y",HLOOKUP((IF(C733&lt;1,1,C733)),Magick!$C$20:$L$21,2),NA())</f>
        <v>#N/A</v>
      </c>
      <c r="F733" s="67" t="str">
        <f ca="1">IF(C733&lt;=Magick!$D$3,"Y","N")</f>
        <v>N</v>
      </c>
      <c r="G733" s="148" t="s">
        <v>128</v>
      </c>
      <c r="H733" s="151"/>
      <c r="I733" s="77" t="e">
        <f>IF(H733&gt;0,(HLOOKUP(C733,Magick!$C$20:$L$21,2)-HLOOKUP(H733,Magick!$C$20:$L$21,2)),NA())</f>
        <v>#N/A</v>
      </c>
      <c r="J733" s="77"/>
      <c r="K733" s="67">
        <v>5</v>
      </c>
      <c r="L733" s="72" t="str">
        <f>IF(H733&gt;0,Magick!$AR$25-('Master Spell List'!H705*0.1),"N/A")</f>
        <v>N/A</v>
      </c>
      <c r="M733" s="72">
        <f ca="1">Magick!$H$75</f>
        <v>0.08</v>
      </c>
      <c r="N733" s="72">
        <f ca="1">Magick!$K$75</f>
        <v>0.13</v>
      </c>
      <c r="O733" s="72">
        <f ca="1">Magick!$L$75</f>
        <v>0.13</v>
      </c>
      <c r="P733" s="72">
        <f ca="1">Magick!$M$75</f>
        <v>0.13</v>
      </c>
      <c r="Q733" s="67" t="s">
        <v>3723</v>
      </c>
      <c r="R733" s="67">
        <f ca="1">IF(Q733="Ritual","N/A",IF(Q733="I.E.","N/A",IF(Q733="WOG",VLOOKUP(Magick!$I$75*100,magestuff!$B$134:$F$138,2),IF(Q733="Cantrip",VLOOKUP(Magick!$I$75*100,magestuff!$B$134:$F$138,3),IF(Q733="Hex",VLOOKUP(Magick!$I$75*100,magestuff!$B$134:$F$138,4),VLOOKUP(Magick!$I$75*100,magestuff!$B$134:$F$138,5))))))</f>
        <v>29</v>
      </c>
      <c r="U733" s="67" t="str">
        <f t="shared" si="104"/>
        <v xml:space="preserve"> </v>
      </c>
      <c r="V733" s="515"/>
      <c r="W733" s="125"/>
      <c r="X733" s="31">
        <f t="shared" si="108"/>
        <v>0</v>
      </c>
      <c r="Y733" s="509"/>
      <c r="Z733" s="1054" t="str">
        <f t="shared" si="106"/>
        <v>Speak with Plants</v>
      </c>
      <c r="AA733" s="1072" t="str">
        <f t="shared" si="107"/>
        <v>Plant</v>
      </c>
    </row>
    <row r="734" spans="1:27" hidden="1" outlineLevel="1">
      <c r="A734" s="31" t="s">
        <v>3232</v>
      </c>
      <c r="B734" s="67">
        <v>3</v>
      </c>
      <c r="C734" s="67">
        <f ca="1">IF(magestuff!$I$203&lt;1,1,magestuff!$I$203)</f>
        <v>3</v>
      </c>
      <c r="D734" s="67">
        <f t="shared" si="103"/>
        <v>0</v>
      </c>
      <c r="E734" s="77" t="e">
        <f ca="1">IF(F734="y",HLOOKUP((IF(C734&lt;1,1,C734)),Magick!$C$20:$L$21,2),NA())</f>
        <v>#N/A</v>
      </c>
      <c r="F734" s="67" t="str">
        <f ca="1">IF(C734&lt;=Magick!$D$3,"Y","N")</f>
        <v>N</v>
      </c>
      <c r="G734" s="148" t="s">
        <v>128</v>
      </c>
      <c r="H734" s="151"/>
      <c r="I734" s="77" t="e">
        <f>IF(H734&gt;0,(HLOOKUP(C734,Magick!$C$20:$L$21,2)-HLOOKUP(H734,Magick!$C$20:$L$21,2)),NA())</f>
        <v>#N/A</v>
      </c>
      <c r="J734" s="77"/>
      <c r="K734" s="67">
        <v>7</v>
      </c>
      <c r="L734" s="72" t="str">
        <f>IF(H734&gt;0,Magick!$AR$25-('Master Spell List'!H720*0.1),"N/A")</f>
        <v>N/A</v>
      </c>
      <c r="M734" s="72">
        <f ca="1">Magick!$H$75</f>
        <v>0.08</v>
      </c>
      <c r="N734" s="72">
        <f ca="1">Magick!$K$75</f>
        <v>0.13</v>
      </c>
      <c r="O734" s="72">
        <f ca="1">Magick!$L$75</f>
        <v>0.13</v>
      </c>
      <c r="P734" s="72">
        <f ca="1">Magick!$M$75</f>
        <v>0.13</v>
      </c>
      <c r="Q734" s="67" t="s">
        <v>3723</v>
      </c>
      <c r="R734" s="67">
        <f ca="1">IF(Q734="Ritual","N/A",IF(Q734="I.E.","N/A",IF(Q734="WOG",VLOOKUP(Magick!$I$75*100,magestuff!$B$134:$F$138,2),IF(Q734="Cantrip",VLOOKUP(Magick!$I$75*100,magestuff!$B$134:$F$138,3),IF(Q734="Hex",VLOOKUP(Magick!$I$75*100,magestuff!$B$134:$F$138,4),VLOOKUP(Magick!$I$75*100,magestuff!$B$134:$F$138,5))))))</f>
        <v>29</v>
      </c>
      <c r="U734" s="67" t="str">
        <f t="shared" si="104"/>
        <v xml:space="preserve"> </v>
      </c>
      <c r="V734" s="515"/>
      <c r="W734" s="125"/>
      <c r="X734" s="31">
        <f t="shared" si="108"/>
        <v>0</v>
      </c>
      <c r="Y734" s="509"/>
      <c r="Z734" s="1054" t="str">
        <f t="shared" si="106"/>
        <v>Warp Wood</v>
      </c>
      <c r="AA734" s="1072" t="str">
        <f t="shared" si="107"/>
        <v>Plant</v>
      </c>
    </row>
    <row r="735" spans="1:27" hidden="1" outlineLevel="1">
      <c r="A735" s="31" t="s">
        <v>3226</v>
      </c>
      <c r="B735" s="67">
        <v>3</v>
      </c>
      <c r="C735" s="67">
        <f ca="1">IF(magestuff!$I$203&lt;1,1,magestuff!$I$203)</f>
        <v>3</v>
      </c>
      <c r="D735" s="67">
        <f t="shared" si="103"/>
        <v>0</v>
      </c>
      <c r="E735" s="77" t="e">
        <f ca="1">IF(F735="y",HLOOKUP((IF(C735&lt;1,1,C735)),Magick!$C$20:$L$21,2),NA())</f>
        <v>#N/A</v>
      </c>
      <c r="F735" s="67" t="str">
        <f ca="1">IF(C735&lt;=Magick!$D$3,"Y","N")</f>
        <v>N</v>
      </c>
      <c r="G735" s="148" t="s">
        <v>128</v>
      </c>
      <c r="H735" s="151"/>
      <c r="I735" s="77" t="e">
        <f>IF(H735&gt;0,(HLOOKUP(C735,Magick!$C$20:$L$21,2)-HLOOKUP(H735,Magick!$C$20:$L$21,2)),NA())</f>
        <v>#N/A</v>
      </c>
      <c r="J735" s="77"/>
      <c r="K735" s="67">
        <v>6</v>
      </c>
      <c r="L735" s="72" t="str">
        <f>IF(H735&gt;0,Magick!$AR$25-('Master Spell List'!H714*0.1),"N/A")</f>
        <v>N/A</v>
      </c>
      <c r="M735" s="72">
        <f ca="1">Magick!$H$75</f>
        <v>0.08</v>
      </c>
      <c r="N735" s="72">
        <f ca="1">Magick!$K$75</f>
        <v>0.13</v>
      </c>
      <c r="O735" s="72">
        <f ca="1">Magick!$L$75</f>
        <v>0.13</v>
      </c>
      <c r="P735" s="72">
        <f ca="1">Magick!$M$75</f>
        <v>0.13</v>
      </c>
      <c r="Q735" s="67" t="s">
        <v>3723</v>
      </c>
      <c r="R735" s="67">
        <f ca="1">IF(Q735="Ritual","N/A",IF(Q735="I.E.","N/A",IF(Q735="WOG",VLOOKUP(Magick!$I$75*100,magestuff!$B$134:$F$138,2),IF(Q735="Cantrip",VLOOKUP(Magick!$I$75*100,magestuff!$B$134:$F$138,3),IF(Q735="Hex",VLOOKUP(Magick!$I$75*100,magestuff!$B$134:$F$138,4),VLOOKUP(Magick!$I$75*100,magestuff!$B$134:$F$138,5))))))</f>
        <v>29</v>
      </c>
      <c r="U735" s="67" t="str">
        <f t="shared" si="104"/>
        <v xml:space="preserve"> </v>
      </c>
      <c r="V735" s="515"/>
      <c r="W735" s="125"/>
      <c r="X735" s="31">
        <f t="shared" si="108"/>
        <v>0</v>
      </c>
      <c r="Y735" s="509"/>
      <c r="Z735" s="1054" t="str">
        <f t="shared" si="106"/>
        <v>Wooden Bridge</v>
      </c>
      <c r="AA735" s="1072" t="str">
        <f t="shared" si="107"/>
        <v>Plant</v>
      </c>
    </row>
    <row r="736" spans="1:27" hidden="1" outlineLevel="1">
      <c r="A736" s="31" t="s">
        <v>5209</v>
      </c>
      <c r="B736" s="67">
        <v>4</v>
      </c>
      <c r="C736" s="67">
        <f ca="1">magestuff!$L$203</f>
        <v>4</v>
      </c>
      <c r="D736" s="67">
        <f t="shared" si="103"/>
        <v>0</v>
      </c>
      <c r="E736" s="77" t="e">
        <f ca="1">IF(F736="y",HLOOKUP((IF(C736&lt;1,1,C736)),Magick!$C$20:$L$21,2),NA())</f>
        <v>#N/A</v>
      </c>
      <c r="F736" s="67" t="str">
        <f ca="1">IF(C736&lt;=Magick!$D$3,"Y","N")</f>
        <v>N</v>
      </c>
      <c r="G736" s="148" t="s">
        <v>128</v>
      </c>
      <c r="H736" s="151"/>
      <c r="I736" s="77" t="e">
        <f>IF(H736&gt;0,(HLOOKUP(C736,Magick!$C$20:$L$21,2)-HLOOKUP(H736,Magick!$C$20:$L$21,2)),NA())</f>
        <v>#N/A</v>
      </c>
      <c r="J736" s="77"/>
      <c r="K736" s="67">
        <v>13</v>
      </c>
      <c r="L736" s="72" t="str">
        <f>IF(H736&gt;0,Magick!$AR$25-('Master Spell List'!H707*0.1),"N/A")</f>
        <v>N/A</v>
      </c>
      <c r="M736" s="72">
        <f ca="1">Magick!$H$75</f>
        <v>0.08</v>
      </c>
      <c r="N736" s="72">
        <f ca="1">Magick!$K$75</f>
        <v>0.13</v>
      </c>
      <c r="O736" s="72">
        <f ca="1">Magick!$L$75</f>
        <v>0.13</v>
      </c>
      <c r="P736" s="72">
        <f ca="1">Magick!$M$75</f>
        <v>0.13</v>
      </c>
      <c r="Q736" s="67" t="s">
        <v>3723</v>
      </c>
      <c r="R736" s="67">
        <f ca="1">IF(Q736="Ritual","N/A",IF(Q736="I.E.","N/A",IF(Q736="WOG",VLOOKUP(Magick!$I$75*100,magestuff!$B$134:$F$138,2),IF(Q736="Cantrip",VLOOKUP(Magick!$I$75*100,magestuff!$B$134:$F$138,3),IF(Q736="Hex",VLOOKUP(Magick!$I$75*100,magestuff!$B$134:$F$138,4),VLOOKUP(Magick!$I$75*100,magestuff!$B$134:$F$138,5))))))</f>
        <v>29</v>
      </c>
      <c r="U736" s="67" t="str">
        <f t="shared" si="104"/>
        <v xml:space="preserve"> </v>
      </c>
      <c r="V736" s="515"/>
      <c r="W736" s="125"/>
      <c r="X736" s="31">
        <f t="shared" si="108"/>
        <v>0</v>
      </c>
      <c r="Y736" s="509"/>
      <c r="Z736" s="1054" t="str">
        <f t="shared" si="106"/>
        <v>Animal Pests</v>
      </c>
      <c r="AA736" s="1072" t="str">
        <f t="shared" si="107"/>
        <v>Plant</v>
      </c>
    </row>
    <row r="737" spans="1:27" hidden="1" outlineLevel="1">
      <c r="A737" s="83" t="s">
        <v>1409</v>
      </c>
      <c r="B737" s="67">
        <v>4</v>
      </c>
      <c r="C737" s="67">
        <f ca="1">magestuff!$L$203</f>
        <v>4</v>
      </c>
      <c r="D737" s="67">
        <f t="shared" si="103"/>
        <v>0</v>
      </c>
      <c r="E737" s="77" t="e">
        <f ca="1">IF(F737="y",HLOOKUP((IF(C737&lt;1,1,C737)),Magick!$C$20:$L$21,2),NA())</f>
        <v>#N/A</v>
      </c>
      <c r="F737" s="67" t="str">
        <f ca="1">IF(C737&lt;=Magick!$D$3,"Y","N")</f>
        <v>N</v>
      </c>
      <c r="G737" s="148" t="s">
        <v>129</v>
      </c>
      <c r="H737" s="151"/>
      <c r="I737" s="77" t="e">
        <f>IF(H737&gt;0,(HLOOKUP(C737,Magick!$C$20:$L$21,2)-HLOOKUP(H737,Magick!$C$20:$L$21,2)),NA())</f>
        <v>#N/A</v>
      </c>
      <c r="J737" s="77"/>
      <c r="L737" s="72" t="str">
        <f>IF(H737&gt;0,Magick!$AR$25-('Master Spell List'!H761*0.1),"N/A")</f>
        <v>N/A</v>
      </c>
      <c r="M737" s="72">
        <f ca="1">Magick!$H$75</f>
        <v>0.08</v>
      </c>
      <c r="N737" s="72">
        <f ca="1">Magick!$K$75</f>
        <v>0.13</v>
      </c>
      <c r="O737" s="72">
        <f ca="1">Magick!$L$75</f>
        <v>0.13</v>
      </c>
      <c r="P737" s="72">
        <f ca="1">Magick!$M$75</f>
        <v>0.13</v>
      </c>
      <c r="Q737" s="67" t="s">
        <v>4603</v>
      </c>
      <c r="R737" s="67">
        <f ca="1">IF(Q737="Ritual","N/A",IF(Q737="I.E.","N/A",IF(Q737="WOG",VLOOKUP(Magick!$I$75*100,magestuff!$B$134:$F$138,2),IF(Q737="Cantrip",VLOOKUP(Magick!$I$75*100,magestuff!$B$134:$F$138,3),IF(Q737="Hex",VLOOKUP(Magick!$I$75*100,magestuff!$B$134:$F$138,4),VLOOKUP(Magick!$I$75*100,magestuff!$B$134:$F$138,5))))))</f>
        <v>9</v>
      </c>
      <c r="T737" s="67" t="s">
        <v>4601</v>
      </c>
      <c r="U737" s="67" t="str">
        <f t="shared" si="104"/>
        <v xml:space="preserve"> </v>
      </c>
      <c r="V737" s="515"/>
      <c r="W737" s="125"/>
      <c r="X737" s="31">
        <f t="shared" si="108"/>
        <v>0</v>
      </c>
      <c r="Y737" s="509"/>
      <c r="Z737" s="1054" t="str">
        <f t="shared" si="106"/>
        <v>Create/Command Plant (Train)</v>
      </c>
      <c r="AA737" s="1072" t="str">
        <f t="shared" si="107"/>
        <v>Plant</v>
      </c>
    </row>
    <row r="738" spans="1:27" hidden="1" outlineLevel="1">
      <c r="A738" s="83" t="s">
        <v>1408</v>
      </c>
      <c r="B738" s="67">
        <v>4</v>
      </c>
      <c r="C738" s="67">
        <f ca="1">magestuff!$L$203</f>
        <v>4</v>
      </c>
      <c r="D738" s="67">
        <f t="shared" si="103"/>
        <v>0</v>
      </c>
      <c r="E738" s="77" t="e">
        <f ca="1">IF(F738="y",HLOOKUP((IF(C738&lt;1,1,C738)),Magick!$C$20:$L$21,2),NA())</f>
        <v>#N/A</v>
      </c>
      <c r="F738" s="67" t="str">
        <f ca="1">IF(C738&lt;=Magick!$D$3,"Y","N")</f>
        <v>N</v>
      </c>
      <c r="G738" s="148" t="s">
        <v>129</v>
      </c>
      <c r="H738" s="151"/>
      <c r="I738" s="77" t="e">
        <f>IF(H738&gt;0,(HLOOKUP(C738,Magick!$C$20:$L$21,2)-HLOOKUP(H738,Magick!$C$20:$L$21,2)),NA())</f>
        <v>#N/A</v>
      </c>
      <c r="J738" s="77"/>
      <c r="K738" s="67">
        <v>7</v>
      </c>
      <c r="L738" s="72" t="str">
        <f>IF(H738&gt;0,Magick!$AR$25-('Master Spell List'!H760*0.1),"N/A")</f>
        <v>N/A</v>
      </c>
      <c r="M738" s="72">
        <f ca="1">Magick!$H$75</f>
        <v>0.08</v>
      </c>
      <c r="N738" s="72">
        <f ca="1">Magick!$K$75</f>
        <v>0.13</v>
      </c>
      <c r="O738" s="72">
        <f ca="1">Magick!$L$75</f>
        <v>0.13</v>
      </c>
      <c r="P738" s="72">
        <f ca="1">Magick!$M$75</f>
        <v>0.13</v>
      </c>
      <c r="Q738" s="67" t="s">
        <v>4603</v>
      </c>
      <c r="R738" s="67">
        <f ca="1">IF(Q738="Ritual","N/A",IF(Q738="I.E.","N/A",IF(Q738="WOG",VLOOKUP(Magick!$I$75*100,magestuff!$B$134:$F$138,2),IF(Q738="Cantrip",VLOOKUP(Magick!$I$75*100,magestuff!$B$134:$F$138,3),IF(Q738="Hex",VLOOKUP(Magick!$I$75*100,magestuff!$B$134:$F$138,4),VLOOKUP(Magick!$I$75*100,magestuff!$B$134:$F$138,5))))))</f>
        <v>9</v>
      </c>
      <c r="S738" s="67" t="s">
        <v>5545</v>
      </c>
      <c r="T738" s="67" t="s">
        <v>5545</v>
      </c>
      <c r="U738" s="67" t="str">
        <f t="shared" si="104"/>
        <v xml:space="preserve"> </v>
      </c>
      <c r="V738" s="515"/>
      <c r="W738" s="125"/>
      <c r="X738" s="31">
        <f t="shared" si="108"/>
        <v>0</v>
      </c>
      <c r="Y738" s="509"/>
      <c r="Z738" s="1054" t="str">
        <f t="shared" si="106"/>
        <v>Dispel (Plant)</v>
      </c>
      <c r="AA738" s="1072" t="str">
        <f t="shared" si="107"/>
        <v>Plant</v>
      </c>
    </row>
    <row r="739" spans="1:27" hidden="1" outlineLevel="1">
      <c r="A739" s="83" t="s">
        <v>4991</v>
      </c>
      <c r="B739" s="67">
        <v>4</v>
      </c>
      <c r="C739" s="67">
        <f ca="1">magestuff!$L$203</f>
        <v>4</v>
      </c>
      <c r="D739" s="67">
        <f t="shared" si="103"/>
        <v>0</v>
      </c>
      <c r="E739" s="77" t="e">
        <f ca="1">IF(F739="y",HLOOKUP((IF(C739&lt;1,1,C739)),Magick!$C$20:$L$21,2),NA())</f>
        <v>#N/A</v>
      </c>
      <c r="F739" s="67" t="str">
        <f ca="1">IF(C739&lt;=Magick!$D$3,"Y","N")</f>
        <v>N</v>
      </c>
      <c r="G739" s="148" t="s">
        <v>859</v>
      </c>
      <c r="H739" s="151"/>
      <c r="I739" s="77" t="e">
        <f>IF(H739&gt;0,(HLOOKUP(C739,Magick!$C$20:$L$21,2)-HLOOKUP(H739,Magick!$C$20:$L$21,2)),NA())</f>
        <v>#N/A</v>
      </c>
      <c r="J739" s="77"/>
      <c r="L739" s="72" t="str">
        <f>IF(H739&gt;0,Magick!$AR$25-('Master Spell List'!H766*0.1),"N/A")</f>
        <v>N/A</v>
      </c>
      <c r="M739" s="72">
        <f ca="1">Magick!$H$75</f>
        <v>0.08</v>
      </c>
      <c r="N739" s="72">
        <f ca="1">Magick!$K$75</f>
        <v>0.13</v>
      </c>
      <c r="O739" s="72">
        <f ca="1">Magick!$L$75</f>
        <v>0.13</v>
      </c>
      <c r="P739" s="72">
        <f ca="1">Magick!$M$75</f>
        <v>0.13</v>
      </c>
      <c r="Q739" s="67" t="s">
        <v>4602</v>
      </c>
      <c r="R739" s="67">
        <f ca="1">IF(Q739="Ritual","N/A",IF(Q739="I.E.","N/A",IF(Q739="WOG",VLOOKUP(Magick!$I$75*100,magestuff!$B$134:$F$138,2),IF(Q739="Cantrip",VLOOKUP(Magick!$I$75*100,magestuff!$B$134:$F$138,3),IF(Q739="Hex",VLOOKUP(Magick!$I$75*100,magestuff!$B$134:$F$138,4),VLOOKUP(Magick!$I$75*100,magestuff!$B$134:$F$138,5))))))</f>
        <v>19</v>
      </c>
      <c r="U739" s="67" t="str">
        <f t="shared" si="104"/>
        <v xml:space="preserve"> </v>
      </c>
      <c r="V739" s="515"/>
      <c r="W739" s="125"/>
      <c r="X739" s="31">
        <f t="shared" si="108"/>
        <v>0</v>
      </c>
      <c r="Y739" s="509"/>
      <c r="Z739" s="1054" t="str">
        <f t="shared" si="106"/>
        <v>Draw Stave</v>
      </c>
      <c r="AA739" s="1072" t="str">
        <f t="shared" si="107"/>
        <v>Plant</v>
      </c>
    </row>
    <row r="740" spans="1:27" hidden="1" outlineLevel="1">
      <c r="A740" s="83" t="s">
        <v>3031</v>
      </c>
      <c r="B740" s="67">
        <v>4</v>
      </c>
      <c r="C740" s="67">
        <f ca="1">magestuff!$L$203</f>
        <v>4</v>
      </c>
      <c r="D740" s="67">
        <f t="shared" si="103"/>
        <v>0</v>
      </c>
      <c r="E740" s="77" t="e">
        <f ca="1">IF(F740="y",HLOOKUP((IF(C740&lt;1,1,C740)),Magick!$C$20:$L$21,2),NA())</f>
        <v>#N/A</v>
      </c>
      <c r="F740" s="67" t="str">
        <f ca="1">IF(C740&lt;=Magick!$D$3,"Y","N")</f>
        <v>N</v>
      </c>
      <c r="G740" s="148" t="s">
        <v>129</v>
      </c>
      <c r="H740" s="151"/>
      <c r="I740" s="77" t="e">
        <f>IF(H740&gt;0,(HLOOKUP(C740,Magick!$C$20:$L$21,2)-HLOOKUP(H740,Magick!$C$20:$L$21,2)),NA())</f>
        <v>#N/A</v>
      </c>
      <c r="J740" s="77"/>
      <c r="K740" s="67">
        <v>6</v>
      </c>
      <c r="L740" s="72" t="str">
        <f>IF(H740&gt;0,Magick!$AR$25-('Master Spell List'!H770*0.1),"N/A")</f>
        <v>N/A</v>
      </c>
      <c r="M740" s="72">
        <f ca="1">Magick!$H$75</f>
        <v>0.08</v>
      </c>
      <c r="N740" s="72">
        <f ca="1">Magick!$K$75</f>
        <v>0.13</v>
      </c>
      <c r="O740" s="72">
        <f ca="1">Magick!$L$75</f>
        <v>0.13</v>
      </c>
      <c r="P740" s="72">
        <f ca="1">Magick!$M$75</f>
        <v>0.13</v>
      </c>
      <c r="Q740" s="67" t="s">
        <v>3723</v>
      </c>
      <c r="R740" s="67">
        <f ca="1">IF(Q740="Ritual","N/A",IF(Q740="I.E.","N/A",IF(Q740="WOG",VLOOKUP(Magick!$I$75*100,magestuff!$B$134:$F$138,2),IF(Q740="Cantrip",VLOOKUP(Magick!$I$75*100,magestuff!$B$134:$F$138,3),IF(Q740="Hex",VLOOKUP(Magick!$I$75*100,magestuff!$B$134:$F$138,4),VLOOKUP(Magick!$I$75*100,magestuff!$B$134:$F$138,5))))))</f>
        <v>29</v>
      </c>
      <c r="S740" s="67" t="s">
        <v>1984</v>
      </c>
      <c r="T740" s="67" t="s">
        <v>4601</v>
      </c>
      <c r="U740" s="67" t="str">
        <f t="shared" si="104"/>
        <v xml:space="preserve"> </v>
      </c>
      <c r="V740" s="515"/>
      <c r="W740" s="125"/>
      <c r="X740" s="31">
        <f t="shared" si="108"/>
        <v>0</v>
      </c>
      <c r="Y740" s="509"/>
      <c r="Z740" s="1054" t="str">
        <f t="shared" si="106"/>
        <v>Flesh of the Earth</v>
      </c>
      <c r="AA740" s="1072" t="str">
        <f t="shared" si="107"/>
        <v>Plant</v>
      </c>
    </row>
    <row r="741" spans="1:27" hidden="1" outlineLevel="1">
      <c r="A741" s="83" t="s">
        <v>1220</v>
      </c>
      <c r="B741" s="67">
        <v>4</v>
      </c>
      <c r="C741" s="67">
        <f ca="1">magestuff!$L$203</f>
        <v>4</v>
      </c>
      <c r="D741" s="67">
        <f t="shared" si="103"/>
        <v>0</v>
      </c>
      <c r="E741" s="77" t="e">
        <f ca="1">IF(F741="y",HLOOKUP((IF(C741&lt;1,1,C741)),Magick!$C$20:$L$21,2),NA())</f>
        <v>#N/A</v>
      </c>
      <c r="F741" s="67" t="str">
        <f ca="1">IF(C741&lt;=Magick!$D$3,"Y","N")</f>
        <v>N</v>
      </c>
      <c r="G741" s="148" t="s">
        <v>1217</v>
      </c>
      <c r="H741" s="151"/>
      <c r="I741" s="77" t="e">
        <f>IF(H741&gt;0,(HLOOKUP(C741,Magick!$C$20:$L$21,2)-HLOOKUP(H741,Magick!$C$20:$L$21,2)),NA())</f>
        <v>#N/A</v>
      </c>
      <c r="J741" s="77"/>
      <c r="K741" s="67">
        <v>9</v>
      </c>
      <c r="L741" s="72" t="str">
        <f>IF(H741&gt;0,Magick!$AR$25-('Master Spell List'!H689*0.1),"N/A")</f>
        <v>N/A</v>
      </c>
      <c r="M741" s="72">
        <f ca="1">Magick!$H$75</f>
        <v>0.08</v>
      </c>
      <c r="N741" s="72">
        <f ca="1">Magick!$K$75</f>
        <v>0.13</v>
      </c>
      <c r="O741" s="72">
        <f ca="1">Magick!$L$75</f>
        <v>0.13</v>
      </c>
      <c r="P741" s="72">
        <f ca="1">Magick!$M$75</f>
        <v>0.13</v>
      </c>
      <c r="Q741" s="67" t="s">
        <v>4602</v>
      </c>
      <c r="R741" s="67">
        <f ca="1">IF(Q741="Ritual","N/A",IF(Q741="I.E.","N/A",IF(Q741="WOG",VLOOKUP(Magick!$I$75*100,magestuff!$B$134:$F$138,2),IF(Q741="Cantrip",VLOOKUP(Magick!$I$75*100,magestuff!$B$134:$F$138,3),IF(Q741="Hex",VLOOKUP(Magick!$I$75*100,magestuff!$B$134:$F$138,4),VLOOKUP(Magick!$I$75*100,magestuff!$B$134:$F$138,5))))))</f>
        <v>19</v>
      </c>
      <c r="S741" s="67">
        <f>15*Magick!$C$3</f>
        <v>0</v>
      </c>
      <c r="T741" s="67" t="s">
        <v>3218</v>
      </c>
      <c r="U741" s="67" t="str">
        <f t="shared" si="104"/>
        <v xml:space="preserve"> </v>
      </c>
      <c r="V741" s="515"/>
      <c r="W741" s="125"/>
      <c r="X741" s="31">
        <f t="shared" si="108"/>
        <v>0</v>
      </c>
      <c r="Y741" s="509"/>
      <c r="Z741" s="1054" t="str">
        <f t="shared" si="106"/>
        <v>Great Dry</v>
      </c>
      <c r="AA741" s="1072" t="str">
        <f t="shared" si="107"/>
        <v>Plant</v>
      </c>
    </row>
    <row r="742" spans="1:27" hidden="1" outlineLevel="1">
      <c r="A742" s="83" t="s">
        <v>1230</v>
      </c>
      <c r="B742" s="67">
        <v>4</v>
      </c>
      <c r="C742" s="67">
        <f ca="1">magestuff!$L$203</f>
        <v>4</v>
      </c>
      <c r="D742" s="67">
        <f t="shared" si="103"/>
        <v>0</v>
      </c>
      <c r="E742" s="77" t="e">
        <f ca="1">IF(F742="y",HLOOKUP((IF(C742&lt;1,1,C742)),Magick!$C$20:$L$21,2),NA())</f>
        <v>#N/A</v>
      </c>
      <c r="F742" s="67" t="str">
        <f ca="1">IF(C742&lt;=Magick!$D$3,"Y","N")</f>
        <v>N</v>
      </c>
      <c r="G742" s="148" t="s">
        <v>1217</v>
      </c>
      <c r="H742" s="151"/>
      <c r="I742" s="77" t="e">
        <f>IF(H742&gt;0,(HLOOKUP(C742,Magick!$C$20:$L$21,2)-HLOOKUP(H742,Magick!$C$20:$L$21,2)),NA())</f>
        <v>#N/A</v>
      </c>
      <c r="J742" s="77"/>
      <c r="K742" s="67" t="s">
        <v>2049</v>
      </c>
      <c r="L742" s="72" t="str">
        <f>IF(H742&gt;0,Magick!$AR$25-('Master Spell List'!H699*0.1),"N/A")</f>
        <v>N/A</v>
      </c>
      <c r="M742" s="72">
        <f ca="1">Magick!$H$75</f>
        <v>0.08</v>
      </c>
      <c r="N742" s="72">
        <f ca="1">Magick!$K$75</f>
        <v>0.13</v>
      </c>
      <c r="O742" s="72">
        <f ca="1">Magick!$L$75</f>
        <v>0.13</v>
      </c>
      <c r="P742" s="72">
        <f ca="1">Magick!$M$75</f>
        <v>0.13</v>
      </c>
      <c r="Q742" s="67" t="s">
        <v>4602</v>
      </c>
      <c r="R742" s="67">
        <f ca="1">IF(Q742="Ritual","N/A",IF(Q742="I.E.","N/A",IF(Q742="WOG",VLOOKUP(Magick!$I$75*100,magestuff!$B$134:$F$138,2),IF(Q742="Cantrip",VLOOKUP(Magick!$I$75*100,magestuff!$B$134:$F$138,3),IF(Q742="Hex",VLOOKUP(Magick!$I$75*100,magestuff!$B$134:$F$138,4),VLOOKUP(Magick!$I$75*100,magestuff!$B$134:$F$138,5))))))</f>
        <v>19</v>
      </c>
      <c r="S742" s="67">
        <f>15*Magick!$C$3</f>
        <v>0</v>
      </c>
      <c r="T742" s="67" t="s">
        <v>3218</v>
      </c>
      <c r="U742" s="67" t="str">
        <f t="shared" si="104"/>
        <v xml:space="preserve"> </v>
      </c>
      <c r="V742" s="515"/>
      <c r="W742" s="125"/>
      <c r="X742" s="31">
        <f t="shared" si="108"/>
        <v>0</v>
      </c>
      <c r="Y742" s="509"/>
      <c r="Z742" s="1054" t="str">
        <f t="shared" si="106"/>
        <v>Great Grind Coarse</v>
      </c>
      <c r="AA742" s="1072" t="str">
        <f t="shared" si="107"/>
        <v>Plant</v>
      </c>
    </row>
    <row r="743" spans="1:27" hidden="1" outlineLevel="1">
      <c r="A743" s="31" t="s">
        <v>5208</v>
      </c>
      <c r="B743" s="67">
        <v>4</v>
      </c>
      <c r="C743" s="67">
        <f ca="1">magestuff!$L$203</f>
        <v>4</v>
      </c>
      <c r="D743" s="67">
        <f t="shared" si="103"/>
        <v>0</v>
      </c>
      <c r="E743" s="77" t="e">
        <f ca="1">IF(F743="y",HLOOKUP((IF(C743&lt;1,1,C743)),Magick!$C$20:$L$21,2),NA())</f>
        <v>#N/A</v>
      </c>
      <c r="F743" s="67" t="str">
        <f ca="1">IF(C743&lt;=Magick!$D$3,"Y","N")</f>
        <v>N</v>
      </c>
      <c r="G743" s="148" t="s">
        <v>128</v>
      </c>
      <c r="H743" s="151"/>
      <c r="I743" s="77" t="e">
        <f>IF(H743&gt;0,(HLOOKUP(C743,Magick!$C$20:$L$21,2)-HLOOKUP(H743,Magick!$C$20:$L$21,2)),NA())</f>
        <v>#N/A</v>
      </c>
      <c r="J743" s="77"/>
      <c r="K743" s="67">
        <v>13</v>
      </c>
      <c r="L743" s="72" t="str">
        <f>IF(H743&gt;0,Magick!$AR$25-('Master Spell List'!H706*0.1),"N/A")</f>
        <v>N/A</v>
      </c>
      <c r="M743" s="72">
        <f ca="1">Magick!$H$75</f>
        <v>0.08</v>
      </c>
      <c r="N743" s="72">
        <f ca="1">Magick!$K$75</f>
        <v>0.13</v>
      </c>
      <c r="O743" s="72">
        <f ca="1">Magick!$L$75</f>
        <v>0.13</v>
      </c>
      <c r="P743" s="72">
        <f ca="1">Magick!$M$75</f>
        <v>0.13</v>
      </c>
      <c r="Q743" s="67" t="s">
        <v>3723</v>
      </c>
      <c r="R743" s="67">
        <f ca="1">IF(Q743="Ritual","N/A",IF(Q743="I.E.","N/A",IF(Q743="WOG",VLOOKUP(Magick!$I$75*100,magestuff!$B$134:$F$138,2),IF(Q743="Cantrip",VLOOKUP(Magick!$I$75*100,magestuff!$B$134:$F$138,3),IF(Q743="Hex",VLOOKUP(Magick!$I$75*100,magestuff!$B$134:$F$138,4),VLOOKUP(Magick!$I$75*100,magestuff!$B$134:$F$138,5))))))</f>
        <v>29</v>
      </c>
      <c r="U743" s="67" t="str">
        <f t="shared" si="104"/>
        <v xml:space="preserve"> </v>
      </c>
      <c r="V743" s="515"/>
      <c r="W743" s="125"/>
      <c r="X743" s="31">
        <f t="shared" si="108"/>
        <v>0</v>
      </c>
      <c r="Y743" s="509"/>
      <c r="Z743" s="1054" t="str">
        <f t="shared" si="106"/>
        <v>Insect Pests</v>
      </c>
      <c r="AA743" s="1072" t="str">
        <f t="shared" si="107"/>
        <v>Plant</v>
      </c>
    </row>
    <row r="744" spans="1:27" hidden="1" outlineLevel="1">
      <c r="A744" s="83" t="s">
        <v>1352</v>
      </c>
      <c r="B744" s="67">
        <v>4</v>
      </c>
      <c r="C744" s="67">
        <f ca="1">magestuff!$L$203</f>
        <v>4</v>
      </c>
      <c r="D744" s="67">
        <f t="shared" si="103"/>
        <v>0</v>
      </c>
      <c r="E744" s="77" t="e">
        <f ca="1">IF(F744="y",HLOOKUP((IF(C744&lt;1,1,C744)),Magick!$C$20:$L$21,2),NA())</f>
        <v>#N/A</v>
      </c>
      <c r="F744" s="67" t="str">
        <f ca="1">IF(C744&lt;=Magick!$D$3,"Y","N")</f>
        <v>N</v>
      </c>
      <c r="G744" s="148" t="s">
        <v>859</v>
      </c>
      <c r="H744" s="151"/>
      <c r="I744" s="77" t="e">
        <f>IF(H744&gt;0,(HLOOKUP(C744,Magick!$C$20:$L$21,2)-HLOOKUP(H744,Magick!$C$20:$L$21,2)),NA())</f>
        <v>#N/A</v>
      </c>
      <c r="J744" s="77"/>
      <c r="L744" s="72" t="str">
        <f>IF(H744&gt;0,Magick!$AR$25-('Master Spell List'!H773*0.1),"N/A")</f>
        <v>N/A</v>
      </c>
      <c r="M744" s="72">
        <f ca="1">Magick!$H$75</f>
        <v>0.08</v>
      </c>
      <c r="N744" s="72">
        <f ca="1">Magick!$K$75</f>
        <v>0.13</v>
      </c>
      <c r="O744" s="72">
        <f ca="1">Magick!$L$75</f>
        <v>0.13</v>
      </c>
      <c r="P744" s="72">
        <f ca="1">Magick!$M$75</f>
        <v>0.13</v>
      </c>
      <c r="Q744" s="67" t="s">
        <v>4602</v>
      </c>
      <c r="R744" s="67">
        <f ca="1">IF(Q744="Ritual","N/A",IF(Q744="I.E.","N/A",IF(Q744="WOG",VLOOKUP(Magick!$I$75*100,magestuff!$B$134:$F$138,2),IF(Q744="Cantrip",VLOOKUP(Magick!$I$75*100,magestuff!$B$134:$F$138,3),IF(Q744="Hex",VLOOKUP(Magick!$I$75*100,magestuff!$B$134:$F$138,4),VLOOKUP(Magick!$I$75*100,magestuff!$B$134:$F$138,5))))))</f>
        <v>19</v>
      </c>
      <c r="U744" s="67" t="str">
        <f t="shared" si="104"/>
        <v xml:space="preserve"> </v>
      </c>
      <c r="V744" s="515"/>
      <c r="W744" s="125"/>
      <c r="X744" s="31">
        <f t="shared" si="108"/>
        <v>0</v>
      </c>
      <c r="Y744" s="509"/>
      <c r="Z744" s="1054" t="str">
        <f t="shared" si="106"/>
        <v>Least Shape Tree</v>
      </c>
      <c r="AA744" s="1072" t="str">
        <f t="shared" si="107"/>
        <v>Plant</v>
      </c>
    </row>
    <row r="745" spans="1:27" hidden="1" outlineLevel="1">
      <c r="A745" s="83" t="s">
        <v>4992</v>
      </c>
      <c r="B745" s="67">
        <v>4</v>
      </c>
      <c r="C745" s="67">
        <f ca="1">magestuff!$L$203</f>
        <v>4</v>
      </c>
      <c r="D745" s="67">
        <f t="shared" si="103"/>
        <v>0</v>
      </c>
      <c r="E745" s="77" t="e">
        <f ca="1">IF(F745="y",HLOOKUP((IF(C745&lt;1,1,C745)),Magick!$C$20:$L$21,2),NA())</f>
        <v>#N/A</v>
      </c>
      <c r="F745" s="67" t="str">
        <f ca="1">IF(C745&lt;=Magick!$D$3,"Y","N")</f>
        <v>N</v>
      </c>
      <c r="G745" s="148" t="s">
        <v>859</v>
      </c>
      <c r="H745" s="151"/>
      <c r="I745" s="77" t="e">
        <f>IF(H745&gt;0,(HLOOKUP(C745,Magick!$C$20:$L$21,2)-HLOOKUP(H745,Magick!$C$20:$L$21,2)),NA())</f>
        <v>#N/A</v>
      </c>
      <c r="J745" s="77"/>
      <c r="L745" s="72" t="str">
        <f>IF(H745&gt;0,Magick!$AR$25-('Master Spell List'!H768*0.1),"N/A")</f>
        <v>N/A</v>
      </c>
      <c r="M745" s="72">
        <f ca="1">Magick!$H$75</f>
        <v>0.08</v>
      </c>
      <c r="N745" s="72">
        <f ca="1">Magick!$K$75</f>
        <v>0.13</v>
      </c>
      <c r="O745" s="72">
        <f ca="1">Magick!$L$75</f>
        <v>0.13</v>
      </c>
      <c r="P745" s="72">
        <f ca="1">Magick!$M$75</f>
        <v>0.13</v>
      </c>
      <c r="Q745" s="67" t="s">
        <v>4602</v>
      </c>
      <c r="R745" s="67">
        <f ca="1">IF(Q745="Ritual","N/A",IF(Q745="I.E.","N/A",IF(Q745="WOG",VLOOKUP(Magick!$I$75*100,magestuff!$B$134:$F$138,2),IF(Q745="Cantrip",VLOOKUP(Magick!$I$75*100,magestuff!$B$134:$F$138,3),IF(Q745="Hex",VLOOKUP(Magick!$I$75*100,magestuff!$B$134:$F$138,4),VLOOKUP(Magick!$I$75*100,magestuff!$B$134:$F$138,5))))))</f>
        <v>19</v>
      </c>
      <c r="U745" s="67" t="str">
        <f t="shared" si="104"/>
        <v xml:space="preserve"> </v>
      </c>
      <c r="V745" s="515"/>
      <c r="W745" s="125"/>
      <c r="X745" s="31">
        <f t="shared" si="108"/>
        <v>0</v>
      </c>
      <c r="Y745" s="509"/>
      <c r="Z745" s="1054" t="str">
        <f t="shared" si="106"/>
        <v>Least Shape Wood</v>
      </c>
      <c r="AA745" s="1072" t="str">
        <f t="shared" si="107"/>
        <v>Plant</v>
      </c>
    </row>
    <row r="746" spans="1:27" hidden="1" outlineLevel="1">
      <c r="A746" s="83" t="s">
        <v>1853</v>
      </c>
      <c r="B746" s="67">
        <v>4</v>
      </c>
      <c r="C746" s="67">
        <f ca="1">magestuff!$L$203</f>
        <v>4</v>
      </c>
      <c r="D746" s="67">
        <f t="shared" si="103"/>
        <v>0</v>
      </c>
      <c r="E746" s="77" t="e">
        <f ca="1">IF(F746="y",HLOOKUP((IF(C746&lt;1,1,C746)),Magick!$C$20:$L$21,2),NA())</f>
        <v>#N/A</v>
      </c>
      <c r="F746" s="67" t="str">
        <f ca="1">IF(C746&lt;=Magick!$D$3,"Y","N")</f>
        <v>N</v>
      </c>
      <c r="G746" s="148" t="s">
        <v>1217</v>
      </c>
      <c r="H746" s="151"/>
      <c r="I746" s="77" t="e">
        <f>IF(H746&gt;0,(HLOOKUP(C746,Magick!$C$20:$L$21,2)-HLOOKUP(H746,Magick!$C$20:$L$21,2)),NA())</f>
        <v>#N/A</v>
      </c>
      <c r="J746" s="77"/>
      <c r="K746" s="67" t="s">
        <v>2049</v>
      </c>
      <c r="L746" s="72" t="str">
        <f>IF(H746&gt;0,Magick!$AR$25-('Master Spell List'!H703*0.1),"N/A")</f>
        <v>N/A</v>
      </c>
      <c r="M746" s="72">
        <f ca="1">Magick!$H$75</f>
        <v>0.08</v>
      </c>
      <c r="N746" s="72">
        <f ca="1">Magick!$K$75</f>
        <v>0.13</v>
      </c>
      <c r="O746" s="72">
        <f ca="1">Magick!$L$75</f>
        <v>0.13</v>
      </c>
      <c r="P746" s="72">
        <f ca="1">Magick!$M$75</f>
        <v>0.13</v>
      </c>
      <c r="Q746" s="67" t="s">
        <v>4602</v>
      </c>
      <c r="R746" s="67">
        <f ca="1">IF(Q746="Ritual","N/A",IF(Q746="I.E.","N/A",IF(Q746="WOG",VLOOKUP(Magick!$I$75*100,magestuff!$B$134:$F$138,2),IF(Q746="Cantrip",VLOOKUP(Magick!$I$75*100,magestuff!$B$134:$F$138,3),IF(Q746="Hex",VLOOKUP(Magick!$I$75*100,magestuff!$B$134:$F$138,4),VLOOKUP(Magick!$I$75*100,magestuff!$B$134:$F$138,5))))))</f>
        <v>19</v>
      </c>
      <c r="S746" s="67">
        <f>10*Magick!$C$3</f>
        <v>0</v>
      </c>
      <c r="T746" s="67" t="s">
        <v>3218</v>
      </c>
      <c r="U746" s="67" t="str">
        <f t="shared" si="104"/>
        <v xml:space="preserve"> </v>
      </c>
      <c r="V746" s="515"/>
      <c r="W746" s="125"/>
      <c r="X746" s="31">
        <f t="shared" si="108"/>
        <v>0</v>
      </c>
      <c r="Y746" s="509"/>
      <c r="Z746" s="1054" t="str">
        <f t="shared" si="106"/>
        <v>Lesser Grind Fine</v>
      </c>
      <c r="AA746" s="1072" t="str">
        <f t="shared" si="107"/>
        <v>Plant</v>
      </c>
    </row>
    <row r="747" spans="1:27" hidden="1" outlineLevel="1">
      <c r="A747" s="83" t="s">
        <v>1357</v>
      </c>
      <c r="B747" s="67">
        <v>4</v>
      </c>
      <c r="C747" s="67">
        <f ca="1">magestuff!$L$203</f>
        <v>4</v>
      </c>
      <c r="D747" s="67">
        <f t="shared" si="103"/>
        <v>0</v>
      </c>
      <c r="E747" s="77" t="e">
        <f ca="1">IF(F747="y",HLOOKUP((IF(C747&lt;1,1,C747)),Magick!$C$20:$L$21,2),NA())</f>
        <v>#N/A</v>
      </c>
      <c r="F747" s="67" t="str">
        <f ca="1">IF(C747&lt;=Magick!$D$3,"Y","N")</f>
        <v>N</v>
      </c>
      <c r="G747" s="148" t="s">
        <v>859</v>
      </c>
      <c r="H747" s="151"/>
      <c r="I747" s="77" t="e">
        <f>IF(H747&gt;0,(HLOOKUP(C747,Magick!$C$20:$L$21,2)-HLOOKUP(H747,Magick!$C$20:$L$21,2)),NA())</f>
        <v>#N/A</v>
      </c>
      <c r="J747" s="77"/>
      <c r="L747" s="72" t="str">
        <f>IF(H747&gt;0,Magick!$AR$25-('Master Spell List'!H778*0.1),"N/A")</f>
        <v>N/A</v>
      </c>
      <c r="M747" s="72">
        <f ca="1">Magick!$H$75</f>
        <v>0.08</v>
      </c>
      <c r="N747" s="72">
        <f ca="1">Magick!$K$75</f>
        <v>0.13</v>
      </c>
      <c r="O747" s="72">
        <f ca="1">Magick!$L$75</f>
        <v>0.13</v>
      </c>
      <c r="P747" s="72">
        <f ca="1">Magick!$M$75</f>
        <v>0.13</v>
      </c>
      <c r="Q747" s="67" t="s">
        <v>4602</v>
      </c>
      <c r="R747" s="67">
        <f ca="1">IF(Q747="Ritual","N/A",IF(Q747="I.E.","N/A",IF(Q747="WOG",VLOOKUP(Magick!$I$75*100,magestuff!$B$134:$F$138,2),IF(Q747="Cantrip",VLOOKUP(Magick!$I$75*100,magestuff!$B$134:$F$138,3),IF(Q747="Hex",VLOOKUP(Magick!$I$75*100,magestuff!$B$134:$F$138,4),VLOOKUP(Magick!$I$75*100,magestuff!$B$134:$F$138,5))))))</f>
        <v>19</v>
      </c>
      <c r="U747" s="67" t="str">
        <f t="shared" si="104"/>
        <v xml:space="preserve"> </v>
      </c>
      <c r="V747" s="515"/>
      <c r="W747" s="125"/>
      <c r="X747" s="31">
        <f t="shared" si="108"/>
        <v>0</v>
      </c>
      <c r="Y747" s="509"/>
      <c r="Z747" s="1054" t="str">
        <f t="shared" si="106"/>
        <v>Lesser Healing Sap</v>
      </c>
      <c r="AA747" s="1072" t="str">
        <f t="shared" si="107"/>
        <v>Plant</v>
      </c>
    </row>
    <row r="748" spans="1:27" hidden="1" outlineLevel="1">
      <c r="A748" s="83" t="s">
        <v>2662</v>
      </c>
      <c r="B748" s="67">
        <v>4</v>
      </c>
      <c r="C748" s="67">
        <f ca="1">magestuff!$L$203</f>
        <v>4</v>
      </c>
      <c r="D748" s="67">
        <f t="shared" si="103"/>
        <v>0</v>
      </c>
      <c r="E748" s="77" t="e">
        <f ca="1">IF(F748="y",HLOOKUP((IF(C748&lt;1,1,C748)),Magick!$C$20:$L$21,2),NA())</f>
        <v>#N/A</v>
      </c>
      <c r="F748" s="67" t="str">
        <f ca="1">IF(C748&lt;=Magick!$D$3,"Y","N")</f>
        <v>N</v>
      </c>
      <c r="G748" s="148" t="s">
        <v>1616</v>
      </c>
      <c r="H748" s="151"/>
      <c r="I748" s="77" t="e">
        <f>IF(H748&gt;0,(HLOOKUP(C748,Magick!$C$20:$L$21,2)-HLOOKUP(H748,Magick!$C$20:$L$21,2)),NA())</f>
        <v>#N/A</v>
      </c>
      <c r="J748" s="77"/>
      <c r="K748" s="67">
        <v>6</v>
      </c>
      <c r="L748" s="72" t="str">
        <f>IF(H748&gt;0,Magick!$AR$25-('Master Spell List'!H718*0.1),"N/A")</f>
        <v>N/A</v>
      </c>
      <c r="M748" s="72">
        <f ca="1">Magick!$H$75</f>
        <v>0.08</v>
      </c>
      <c r="N748" s="72">
        <f ca="1">Magick!$K$75</f>
        <v>0.13</v>
      </c>
      <c r="O748" s="72">
        <f ca="1">Magick!$L$75</f>
        <v>0.13</v>
      </c>
      <c r="P748" s="72">
        <f ca="1">Magick!$M$75</f>
        <v>0.13</v>
      </c>
      <c r="Q748" s="67" t="s">
        <v>3723</v>
      </c>
      <c r="R748" s="67">
        <f ca="1">IF(Q748="Ritual","N/A",IF(Q748="I.E.","N/A",IF(Q748="WOG",VLOOKUP(Magick!$I$75*100,magestuff!$B$134:$F$138,2),IF(Q748="Cantrip",VLOOKUP(Magick!$I$75*100,magestuff!$B$134:$F$138,3),IF(Q748="Hex",VLOOKUP(Magick!$I$75*100,magestuff!$B$134:$F$138,4),VLOOKUP(Magick!$I$75*100,magestuff!$B$134:$F$138,5))))))</f>
        <v>29</v>
      </c>
      <c r="U748" s="67" t="str">
        <f t="shared" si="104"/>
        <v xml:space="preserve"> </v>
      </c>
      <c r="V748" s="515"/>
      <c r="W748" s="125"/>
      <c r="X748" s="31">
        <f t="shared" si="108"/>
        <v>0</v>
      </c>
      <c r="Y748" s="509"/>
      <c r="Z748" s="1054" t="str">
        <f t="shared" si="106"/>
        <v>Sow</v>
      </c>
      <c r="AA748" s="1072" t="str">
        <f t="shared" si="107"/>
        <v>Plant</v>
      </c>
    </row>
    <row r="749" spans="1:27" hidden="1" outlineLevel="1">
      <c r="A749" s="31" t="s">
        <v>3227</v>
      </c>
      <c r="B749" s="67">
        <v>4</v>
      </c>
      <c r="C749" s="67">
        <f ca="1">magestuff!$L$203</f>
        <v>4</v>
      </c>
      <c r="D749" s="67">
        <f t="shared" si="103"/>
        <v>0</v>
      </c>
      <c r="E749" s="77" t="e">
        <f ca="1">IF(F749="y",HLOOKUP((IF(C749&lt;1,1,C749)),Magick!$C$20:$L$21,2),NA())</f>
        <v>#N/A</v>
      </c>
      <c r="F749" s="67" t="str">
        <f ca="1">IF(C749&lt;=Magick!$D$3,"Y","N")</f>
        <v>N</v>
      </c>
      <c r="G749" s="148" t="s">
        <v>128</v>
      </c>
      <c r="H749" s="151"/>
      <c r="I749" s="77" t="e">
        <f>IF(H749&gt;0,(HLOOKUP(C749,Magick!$C$20:$L$21,2)-HLOOKUP(H749,Magick!$C$20:$L$21,2)),NA())</f>
        <v>#N/A</v>
      </c>
      <c r="J749" s="77"/>
      <c r="K749" s="67">
        <v>7</v>
      </c>
      <c r="L749" s="72" t="str">
        <f>IF(H749&gt;0,Magick!$AR$25-('Master Spell List'!H715*0.1),"N/A")</f>
        <v>N/A</v>
      </c>
      <c r="M749" s="72">
        <f ca="1">Magick!$H$75</f>
        <v>0.08</v>
      </c>
      <c r="N749" s="72">
        <f ca="1">Magick!$K$75</f>
        <v>0.13</v>
      </c>
      <c r="O749" s="72">
        <f ca="1">Magick!$L$75</f>
        <v>0.13</v>
      </c>
      <c r="P749" s="72">
        <f ca="1">Magick!$M$75</f>
        <v>0.13</v>
      </c>
      <c r="Q749" s="67" t="s">
        <v>3723</v>
      </c>
      <c r="R749" s="67">
        <f ca="1">IF(Q749="Ritual","N/A",IF(Q749="I.E.","N/A",IF(Q749="WOG",VLOOKUP(Magick!$I$75*100,magestuff!$B$134:$F$138,2),IF(Q749="Cantrip",VLOOKUP(Magick!$I$75*100,magestuff!$B$134:$F$138,3),IF(Q749="Hex",VLOOKUP(Magick!$I$75*100,magestuff!$B$134:$F$138,4),VLOOKUP(Magick!$I$75*100,magestuff!$B$134:$F$138,5))))))</f>
        <v>29</v>
      </c>
      <c r="U749" s="67" t="str">
        <f t="shared" si="104"/>
        <v xml:space="preserve"> </v>
      </c>
      <c r="V749" s="515"/>
      <c r="W749" s="125"/>
      <c r="X749" s="31">
        <f t="shared" si="108"/>
        <v>0</v>
      </c>
      <c r="Y749" s="509"/>
      <c r="Z749" s="1054" t="str">
        <f t="shared" si="106"/>
        <v>The Greenway</v>
      </c>
      <c r="AA749" s="1072" t="str">
        <f t="shared" si="107"/>
        <v>Plant</v>
      </c>
    </row>
    <row r="750" spans="1:27" hidden="1" outlineLevel="1">
      <c r="A750" s="83" t="s">
        <v>1835</v>
      </c>
      <c r="B750" s="67">
        <v>4</v>
      </c>
      <c r="C750" s="67">
        <f ca="1">magestuff!$L$203</f>
        <v>4</v>
      </c>
      <c r="D750" s="67">
        <f t="shared" si="103"/>
        <v>0</v>
      </c>
      <c r="E750" s="77" t="e">
        <f ca="1">IF(F750="y",HLOOKUP((IF(C750&lt;1,1,C750)),Magick!$C$20:$L$21,2),NA())</f>
        <v>#N/A</v>
      </c>
      <c r="F750" s="67" t="str">
        <f ca="1">IF(C750&lt;=Magick!$D$3,"Y","N")</f>
        <v>N</v>
      </c>
      <c r="G750" s="148" t="s">
        <v>859</v>
      </c>
      <c r="H750" s="151"/>
      <c r="I750" s="77" t="e">
        <f>IF(H750&gt;0,(HLOOKUP(C750,Magick!$C$20:$L$21,2)-HLOOKUP(H750,Magick!$C$20:$L$21,2)),NA())</f>
        <v>#N/A</v>
      </c>
      <c r="J750" s="77"/>
      <c r="L750" s="72" t="str">
        <f>IF(H750&gt;0,Magick!$AR$25-('Master Spell List'!H767*0.1),"N/A")</f>
        <v>N/A</v>
      </c>
      <c r="M750" s="72">
        <f ca="1">Magick!$H$75</f>
        <v>0.08</v>
      </c>
      <c r="N750" s="72">
        <f ca="1">Magick!$K$75</f>
        <v>0.13</v>
      </c>
      <c r="O750" s="72">
        <f ca="1">Magick!$L$75</f>
        <v>0.13</v>
      </c>
      <c r="P750" s="72">
        <f ca="1">Magick!$M$75</f>
        <v>0.13</v>
      </c>
      <c r="Q750" s="67" t="s">
        <v>4602</v>
      </c>
      <c r="R750" s="67">
        <f ca="1">IF(Q750="Ritual","N/A",IF(Q750="I.E.","N/A",IF(Q750="WOG",VLOOKUP(Magick!$I$75*100,magestuff!$B$134:$F$138,2),IF(Q750="Cantrip",VLOOKUP(Magick!$I$75*100,magestuff!$B$134:$F$138,3),IF(Q750="Hex",VLOOKUP(Magick!$I$75*100,magestuff!$B$134:$F$138,4),VLOOKUP(Magick!$I$75*100,magestuff!$B$134:$F$138,5))))))</f>
        <v>19</v>
      </c>
      <c r="U750" s="67" t="str">
        <f t="shared" si="104"/>
        <v xml:space="preserve"> </v>
      </c>
      <c r="V750" s="515"/>
      <c r="W750" s="125"/>
      <c r="X750" s="31">
        <f t="shared" si="108"/>
        <v>0</v>
      </c>
      <c r="Y750" s="509"/>
      <c r="Z750" s="1054" t="str">
        <f t="shared" si="106"/>
        <v>Weave Rope</v>
      </c>
      <c r="AA750" s="1072" t="str">
        <f t="shared" si="107"/>
        <v>Plant</v>
      </c>
    </row>
    <row r="751" spans="1:27" hidden="1" outlineLevel="1">
      <c r="A751" s="83" t="s">
        <v>4933</v>
      </c>
      <c r="B751" s="67">
        <v>5</v>
      </c>
      <c r="C751" s="67">
        <f ca="1">magestuff!$O$203</f>
        <v>5</v>
      </c>
      <c r="D751" s="67">
        <f t="shared" si="103"/>
        <v>0</v>
      </c>
      <c r="E751" s="77" t="e">
        <f ca="1">IF(F751="y",HLOOKUP((IF(C751&lt;1,1,C751)),Magick!$C$20:$L$21,2),NA())</f>
        <v>#N/A</v>
      </c>
      <c r="F751" s="67" t="str">
        <f ca="1">IF(C751&lt;=Magick!$D$3,"Y","N")</f>
        <v>N</v>
      </c>
      <c r="G751" s="148" t="s">
        <v>130</v>
      </c>
      <c r="H751" s="151"/>
      <c r="I751" s="77" t="e">
        <f>IF(H751&gt;0,(HLOOKUP(C751,Magick!$C$20:$L$21,2)-HLOOKUP(H751,Magick!$C$20:$L$21,2)),NA())</f>
        <v>#N/A</v>
      </c>
      <c r="J751" s="77"/>
      <c r="K751" s="67">
        <f>ROUNDUP(+B751*1.5,0)</f>
        <v>8</v>
      </c>
      <c r="L751" s="72" t="str">
        <f>IF(H751&gt;0,Magick!$AR$22-('Master Spell List'!H752*0.1),"N/A")</f>
        <v>N/A</v>
      </c>
      <c r="M751" s="72">
        <f ca="1">Magick!$H$75</f>
        <v>0.08</v>
      </c>
      <c r="N751" s="72">
        <f ca="1">Magick!$K$75</f>
        <v>0.13</v>
      </c>
      <c r="O751" s="72">
        <f ca="1">Magick!$L$75</f>
        <v>0.13</v>
      </c>
      <c r="P751" s="72">
        <f ca="1">Magick!$M$75</f>
        <v>0.13</v>
      </c>
      <c r="Q751" s="67" t="s">
        <v>113</v>
      </c>
      <c r="R751" s="67" t="str">
        <f>IF(Q751="Ritual","N/A",IF(Q751="I.E.","N/A",IF(Q751="WOG",VLOOKUP(Magick!$I$75*100,magestuff!$B$134:$F$138,2),IF(Q751="Cantrip",VLOOKUP(Magick!$I$75*100,magestuff!$B$134:$F$138,3),IF(Q751="Hex",VLOOKUP(Magick!$I$75*100,magestuff!$B$134:$F$138,4),VLOOKUP(Magick!$I$75*100,magestuff!$B$134:$F$138,5))))))</f>
        <v>N/A</v>
      </c>
      <c r="S751" s="67" t="s">
        <v>1984</v>
      </c>
      <c r="T751" s="67" t="str">
        <f>CONCATENATE(IF(Magick!$C$3&gt;0,Magick!$C$3*10," ")," hrs.")</f>
        <v xml:space="preserve">  hrs.</v>
      </c>
      <c r="U751" s="67" t="str">
        <f t="shared" si="104"/>
        <v xml:space="preserve"> </v>
      </c>
      <c r="V751" s="515"/>
      <c r="W751" s="125"/>
      <c r="X751" s="31">
        <f t="shared" si="108"/>
        <v>0</v>
      </c>
      <c r="Y751" s="509"/>
      <c r="Z751" s="1054" t="str">
        <f t="shared" si="106"/>
        <v>Animate War Tree Type II</v>
      </c>
      <c r="AA751" s="1072" t="str">
        <f t="shared" si="107"/>
        <v>Plant</v>
      </c>
    </row>
    <row r="752" spans="1:27" hidden="1" outlineLevel="1">
      <c r="A752" s="83" t="s">
        <v>4988</v>
      </c>
      <c r="B752" s="67">
        <v>5</v>
      </c>
      <c r="C752" s="67">
        <f ca="1">magestuff!$O$203</f>
        <v>5</v>
      </c>
      <c r="D752" s="67">
        <f t="shared" si="103"/>
        <v>0</v>
      </c>
      <c r="E752" s="77" t="e">
        <f ca="1">IF(F752="y",HLOOKUP((IF(C752&lt;1,1,C752)),Magick!$C$20:$L$21,2),NA())</f>
        <v>#N/A</v>
      </c>
      <c r="F752" s="67" t="str">
        <f ca="1">IF(C752&lt;=Magick!$D$3,"Y","N")</f>
        <v>N</v>
      </c>
      <c r="G752" s="148" t="s">
        <v>129</v>
      </c>
      <c r="H752" s="151"/>
      <c r="I752" s="77" t="e">
        <f>IF(H752&gt;0,(HLOOKUP(C752,Magick!$C$20:$L$21,2)-HLOOKUP(H752,Magick!$C$20:$L$21,2)),NA())</f>
        <v>#N/A</v>
      </c>
      <c r="J752" s="77"/>
      <c r="L752" s="72" t="str">
        <f>IF(H752&gt;0,Magick!$AR$25-('Master Spell List'!H762*0.1),"N/A")</f>
        <v>N/A</v>
      </c>
      <c r="M752" s="72">
        <f ca="1">Magick!$H$75</f>
        <v>0.08</v>
      </c>
      <c r="N752" s="72">
        <f ca="1">Magick!$K$75</f>
        <v>0.13</v>
      </c>
      <c r="O752" s="72">
        <f ca="1">Magick!$L$75</f>
        <v>0.13</v>
      </c>
      <c r="P752" s="72">
        <f ca="1">Magick!$M$75</f>
        <v>0.13</v>
      </c>
      <c r="Q752" s="67" t="s">
        <v>4602</v>
      </c>
      <c r="R752" s="67">
        <f ca="1">IF(Q752="Ritual","N/A",IF(Q752="I.E.","N/A",IF(Q752="WOG",VLOOKUP(Magick!$I$75*100,magestuff!$B$134:$F$138,2),IF(Q752="Cantrip",VLOOKUP(Magick!$I$75*100,magestuff!$B$134:$F$138,3),IF(Q752="Hex",VLOOKUP(Magick!$I$75*100,magestuff!$B$134:$F$138,4),VLOOKUP(Magick!$I$75*100,magestuff!$B$134:$F$138,5))))))</f>
        <v>19</v>
      </c>
      <c r="T752" s="67" t="s">
        <v>4601</v>
      </c>
      <c r="U752" s="67" t="str">
        <f t="shared" si="104"/>
        <v xml:space="preserve"> </v>
      </c>
      <c r="V752" s="515"/>
      <c r="W752" s="125"/>
      <c r="X752" s="31">
        <f t="shared" si="108"/>
        <v>0</v>
      </c>
      <c r="Y752" s="509"/>
      <c r="Z752" s="1054" t="str">
        <f t="shared" si="106"/>
        <v>Create/Command Plant (Sprout)</v>
      </c>
      <c r="AA752" s="1072" t="str">
        <f t="shared" si="107"/>
        <v>Plant</v>
      </c>
    </row>
    <row r="753" spans="1:27" hidden="1" outlineLevel="1">
      <c r="A753" s="83" t="s">
        <v>1854</v>
      </c>
      <c r="B753" s="67">
        <v>5</v>
      </c>
      <c r="C753" s="67">
        <f ca="1">magestuff!$O$203</f>
        <v>5</v>
      </c>
      <c r="D753" s="67">
        <f t="shared" si="103"/>
        <v>0</v>
      </c>
      <c r="E753" s="77" t="e">
        <f ca="1">IF(F753="y",HLOOKUP((IF(C753&lt;1,1,C753)),Magick!$C$20:$L$21,2),NA())</f>
        <v>#N/A</v>
      </c>
      <c r="F753" s="67" t="str">
        <f ca="1">IF(C753&lt;=Magick!$D$3,"Y","N")</f>
        <v>N</v>
      </c>
      <c r="G753" s="148" t="s">
        <v>1217</v>
      </c>
      <c r="H753" s="151"/>
      <c r="I753" s="77" t="e">
        <f>IF(H753&gt;0,(HLOOKUP(C753,Magick!$C$20:$L$21,2)-HLOOKUP(H753,Magick!$C$20:$L$21,2)),NA())</f>
        <v>#N/A</v>
      </c>
      <c r="J753" s="77"/>
      <c r="K753" s="67" t="s">
        <v>3193</v>
      </c>
      <c r="L753" s="72" t="str">
        <f>IF(H753&gt;0,Magick!$AR$25-('Master Spell List'!H704*0.1),"N/A")</f>
        <v>N/A</v>
      </c>
      <c r="M753" s="72">
        <f ca="1">Magick!$H$75</f>
        <v>0.08</v>
      </c>
      <c r="N753" s="72">
        <f ca="1">Magick!$K$75</f>
        <v>0.13</v>
      </c>
      <c r="O753" s="72">
        <f ca="1">Magick!$L$75</f>
        <v>0.13</v>
      </c>
      <c r="P753" s="72">
        <f ca="1">Magick!$M$75</f>
        <v>0.13</v>
      </c>
      <c r="Q753" s="67" t="s">
        <v>3723</v>
      </c>
      <c r="R753" s="67">
        <f ca="1">IF(Q753="Ritual","N/A",IF(Q753="I.E.","N/A",IF(Q753="WOG",VLOOKUP(Magick!$I$75*100,magestuff!$B$134:$F$138,2),IF(Q753="Cantrip",VLOOKUP(Magick!$I$75*100,magestuff!$B$134:$F$138,3),IF(Q753="Hex",VLOOKUP(Magick!$I$75*100,magestuff!$B$134:$F$138,4),VLOOKUP(Magick!$I$75*100,magestuff!$B$134:$F$138,5))))))</f>
        <v>29</v>
      </c>
      <c r="S753" s="67">
        <f>15*Magick!$C$3</f>
        <v>0</v>
      </c>
      <c r="T753" s="67" t="s">
        <v>3218</v>
      </c>
      <c r="U753" s="67" t="str">
        <f t="shared" si="104"/>
        <v xml:space="preserve"> </v>
      </c>
      <c r="V753" s="515"/>
      <c r="W753" s="125"/>
      <c r="X753" s="31">
        <f t="shared" si="108"/>
        <v>0</v>
      </c>
      <c r="Y753" s="509"/>
      <c r="Z753" s="1054" t="str">
        <f t="shared" si="106"/>
        <v>Great Grind Fine</v>
      </c>
      <c r="AA753" s="1072" t="str">
        <f t="shared" si="107"/>
        <v>Plant</v>
      </c>
    </row>
    <row r="754" spans="1:27" hidden="1" outlineLevel="1">
      <c r="A754" s="83" t="s">
        <v>1225</v>
      </c>
      <c r="B754" s="67">
        <v>5</v>
      </c>
      <c r="C754" s="67">
        <f ca="1">magestuff!$O$203</f>
        <v>5</v>
      </c>
      <c r="D754" s="67">
        <f t="shared" si="103"/>
        <v>0</v>
      </c>
      <c r="E754" s="77" t="e">
        <f ca="1">IF(F754="y",HLOOKUP((IF(C754&lt;1,1,C754)),Magick!$C$20:$L$21,2),NA())</f>
        <v>#N/A</v>
      </c>
      <c r="F754" s="67" t="str">
        <f ca="1">IF(C754&lt;=Magick!$D$3,"Y","N")</f>
        <v>N</v>
      </c>
      <c r="G754" s="148" t="s">
        <v>1217</v>
      </c>
      <c r="H754" s="151"/>
      <c r="I754" s="77" t="e">
        <f>IF(H754&gt;0,(HLOOKUP(C754,Magick!$C$20:$L$21,2)-HLOOKUP(H754,Magick!$C$20:$L$21,2)),NA())</f>
        <v>#N/A</v>
      </c>
      <c r="J754" s="77"/>
      <c r="K754" s="67">
        <v>11</v>
      </c>
      <c r="L754" s="72" t="str">
        <f>IF(H754&gt;0,Magick!$AR$25-('Master Spell List'!H694*0.1),"N/A")</f>
        <v>N/A</v>
      </c>
      <c r="M754" s="72">
        <f ca="1">Magick!$H$75</f>
        <v>0.08</v>
      </c>
      <c r="N754" s="72">
        <f ca="1">Magick!$K$75</f>
        <v>0.13</v>
      </c>
      <c r="O754" s="72">
        <f ca="1">Magick!$L$75</f>
        <v>0.13</v>
      </c>
      <c r="P754" s="72">
        <f ca="1">Magick!$M$75</f>
        <v>0.13</v>
      </c>
      <c r="Q754" s="67" t="s">
        <v>3723</v>
      </c>
      <c r="R754" s="67">
        <f ca="1">IF(Q754="Ritual","N/A",IF(Q754="I.E.","N/A",IF(Q754="WOG",VLOOKUP(Magick!$I$75*100,magestuff!$B$134:$F$138,2),IF(Q754="Cantrip",VLOOKUP(Magick!$I$75*100,magestuff!$B$134:$F$138,3),IF(Q754="Hex",VLOOKUP(Magick!$I$75*100,magestuff!$B$134:$F$138,4),VLOOKUP(Magick!$I$75*100,magestuff!$B$134:$F$138,5))))))</f>
        <v>29</v>
      </c>
      <c r="S754" s="67">
        <f>15*Magick!$C$3</f>
        <v>0</v>
      </c>
      <c r="T754" s="67" t="s">
        <v>3218</v>
      </c>
      <c r="U754" s="67" t="str">
        <f t="shared" si="104"/>
        <v xml:space="preserve"> </v>
      </c>
      <c r="V754" s="515"/>
      <c r="W754" s="125"/>
      <c r="X754" s="31">
        <f t="shared" si="108"/>
        <v>0</v>
      </c>
      <c r="Y754" s="509"/>
      <c r="Z754" s="1054" t="str">
        <f t="shared" si="106"/>
        <v>Great Revitalize (Hydrate)</v>
      </c>
      <c r="AA754" s="1072" t="str">
        <f t="shared" si="107"/>
        <v>Plant</v>
      </c>
    </row>
    <row r="755" spans="1:27" hidden="1" outlineLevel="1">
      <c r="A755" s="83" t="s">
        <v>1221</v>
      </c>
      <c r="B755" s="67">
        <v>5</v>
      </c>
      <c r="C755" s="67">
        <f ca="1">magestuff!$O$203</f>
        <v>5</v>
      </c>
      <c r="D755" s="67">
        <f t="shared" si="103"/>
        <v>0</v>
      </c>
      <c r="E755" s="77" t="e">
        <f ca="1">IF(F755="y",HLOOKUP((IF(C755&lt;1,1,C755)),Magick!$C$20:$L$21,2),NA())</f>
        <v>#N/A</v>
      </c>
      <c r="F755" s="67" t="str">
        <f ca="1">IF(C755&lt;=Magick!$D$3,"Y","N")</f>
        <v>N</v>
      </c>
      <c r="G755" s="148" t="s">
        <v>1217</v>
      </c>
      <c r="H755" s="151"/>
      <c r="I755" s="77" t="e">
        <f>IF(H755&gt;0,(HLOOKUP(C755,Magick!$C$20:$L$21,2)-HLOOKUP(H755,Magick!$C$20:$L$21,2)),NA())</f>
        <v>#N/A</v>
      </c>
      <c r="J755" s="77"/>
      <c r="K755" s="67">
        <v>11</v>
      </c>
      <c r="L755" s="72" t="str">
        <f>IF(H755&gt;0,Magick!$AR$25-('Master Spell List'!H690*0.1),"N/A")</f>
        <v>N/A</v>
      </c>
      <c r="M755" s="72">
        <f ca="1">Magick!$H$75</f>
        <v>0.08</v>
      </c>
      <c r="N755" s="72">
        <f ca="1">Magick!$K$75</f>
        <v>0.13</v>
      </c>
      <c r="O755" s="72">
        <f ca="1">Magick!$L$75</f>
        <v>0.13</v>
      </c>
      <c r="P755" s="72">
        <f ca="1">Magick!$M$75</f>
        <v>0.13</v>
      </c>
      <c r="Q755" s="67" t="s">
        <v>4602</v>
      </c>
      <c r="R755" s="67">
        <f ca="1">IF(Q755="Ritual","N/A",IF(Q755="I.E.","N/A",IF(Q755="WOG",VLOOKUP(Magick!$I$75*100,magestuff!$B$134:$F$138,2),IF(Q755="Cantrip",VLOOKUP(Magick!$I$75*100,magestuff!$B$134:$F$138,3),IF(Q755="Hex",VLOOKUP(Magick!$I$75*100,magestuff!$B$134:$F$138,4),VLOOKUP(Magick!$I$75*100,magestuff!$B$134:$F$138,5))))))</f>
        <v>19</v>
      </c>
      <c r="S755" s="67">
        <f>20*Magick!$C$3</f>
        <v>0</v>
      </c>
      <c r="T755" s="67" t="s">
        <v>3218</v>
      </c>
      <c r="U755" s="67" t="str">
        <f t="shared" si="104"/>
        <v xml:space="preserve"> </v>
      </c>
      <c r="V755" s="515"/>
      <c r="W755" s="125"/>
      <c r="X755" s="31">
        <f t="shared" si="108"/>
        <v>0</v>
      </c>
      <c r="Y755" s="509"/>
      <c r="Z755" s="1054" t="str">
        <f t="shared" si="106"/>
        <v>Greater Dry</v>
      </c>
      <c r="AA755" s="1072" t="str">
        <f t="shared" si="107"/>
        <v>Plant</v>
      </c>
    </row>
    <row r="756" spans="1:27" hidden="1" outlineLevel="1">
      <c r="A756" s="83" t="s">
        <v>1231</v>
      </c>
      <c r="B756" s="67">
        <v>5</v>
      </c>
      <c r="C756" s="67">
        <f ca="1">magestuff!$O$203</f>
        <v>5</v>
      </c>
      <c r="D756" s="67">
        <f t="shared" si="103"/>
        <v>0</v>
      </c>
      <c r="E756" s="77" t="e">
        <f ca="1">IF(F756="y",HLOOKUP((IF(C756&lt;1,1,C756)),Magick!$C$20:$L$21,2),NA())</f>
        <v>#N/A</v>
      </c>
      <c r="F756" s="67" t="str">
        <f ca="1">IF(C756&lt;=Magick!$D$3,"Y","N")</f>
        <v>N</v>
      </c>
      <c r="G756" s="148" t="s">
        <v>1217</v>
      </c>
      <c r="H756" s="151"/>
      <c r="I756" s="77" t="e">
        <f>IF(H756&gt;0,(HLOOKUP(C756,Magick!$C$20:$L$21,2)-HLOOKUP(H756,Magick!$C$20:$L$21,2)),NA())</f>
        <v>#N/A</v>
      </c>
      <c r="J756" s="77"/>
      <c r="K756" s="67" t="s">
        <v>3191</v>
      </c>
      <c r="L756" s="72" t="str">
        <f>IF(H756&gt;0,Magick!$AR$25-('Master Spell List'!H700*0.1),"N/A")</f>
        <v>N/A</v>
      </c>
      <c r="M756" s="72">
        <f ca="1">Magick!$H$75</f>
        <v>0.08</v>
      </c>
      <c r="N756" s="72">
        <f ca="1">Magick!$K$75</f>
        <v>0.13</v>
      </c>
      <c r="O756" s="72">
        <f ca="1">Magick!$L$75</f>
        <v>0.13</v>
      </c>
      <c r="P756" s="72">
        <f ca="1">Magick!$M$75</f>
        <v>0.13</v>
      </c>
      <c r="Q756" s="67" t="s">
        <v>3723</v>
      </c>
      <c r="R756" s="67">
        <f ca="1">IF(Q756="Ritual","N/A",IF(Q756="I.E.","N/A",IF(Q756="WOG",VLOOKUP(Magick!$I$75*100,magestuff!$B$134:$F$138,2),IF(Q756="Cantrip",VLOOKUP(Magick!$I$75*100,magestuff!$B$134:$F$138,3),IF(Q756="Hex",VLOOKUP(Magick!$I$75*100,magestuff!$B$134:$F$138,4),VLOOKUP(Magick!$I$75*100,magestuff!$B$134:$F$138,5))))))</f>
        <v>29</v>
      </c>
      <c r="S756" s="67">
        <f>20*Magick!$C$3</f>
        <v>0</v>
      </c>
      <c r="T756" s="67" t="s">
        <v>3218</v>
      </c>
      <c r="U756" s="67" t="str">
        <f t="shared" si="104"/>
        <v xml:space="preserve"> </v>
      </c>
      <c r="V756" s="515"/>
      <c r="W756" s="125"/>
      <c r="X756" s="31">
        <f t="shared" si="108"/>
        <v>0</v>
      </c>
      <c r="Y756" s="509"/>
      <c r="Z756" s="1054" t="str">
        <f t="shared" si="106"/>
        <v>Greater Grind Coarse</v>
      </c>
      <c r="AA756" s="1072" t="str">
        <f t="shared" si="107"/>
        <v>Plant</v>
      </c>
    </row>
    <row r="757" spans="1:27" hidden="1" outlineLevel="1">
      <c r="A757" s="83" t="s">
        <v>4993</v>
      </c>
      <c r="B757" s="67">
        <v>5</v>
      </c>
      <c r="C757" s="67">
        <f ca="1">magestuff!$O$203</f>
        <v>5</v>
      </c>
      <c r="D757" s="67">
        <f t="shared" si="103"/>
        <v>0</v>
      </c>
      <c r="E757" s="77" t="e">
        <f ca="1">IF(F757="y",HLOOKUP((IF(C757&lt;1,1,C757)),Magick!$C$20:$L$21,2),NA())</f>
        <v>#N/A</v>
      </c>
      <c r="F757" s="67" t="str">
        <f ca="1">IF(C757&lt;=Magick!$D$3,"Y","N")</f>
        <v>N</v>
      </c>
      <c r="G757" s="148" t="s">
        <v>859</v>
      </c>
      <c r="H757" s="151"/>
      <c r="I757" s="77" t="e">
        <f>IF(H757&gt;0,(HLOOKUP(C757,Magick!$C$20:$L$21,2)-HLOOKUP(H757,Magick!$C$20:$L$21,2)),NA())</f>
        <v>#N/A</v>
      </c>
      <c r="J757" s="77"/>
      <c r="L757" s="72" t="str">
        <f>IF(H757&gt;0,Magick!$AR$25-('Master Spell List'!H769*0.1),"N/A")</f>
        <v>N/A</v>
      </c>
      <c r="M757" s="72">
        <f ca="1">Magick!$H$75</f>
        <v>0.08</v>
      </c>
      <c r="N757" s="72">
        <f ca="1">Magick!$K$75</f>
        <v>0.13</v>
      </c>
      <c r="O757" s="72">
        <f ca="1">Magick!$L$75</f>
        <v>0.13</v>
      </c>
      <c r="P757" s="72">
        <f ca="1">Magick!$M$75</f>
        <v>0.13</v>
      </c>
      <c r="Q757" s="67" t="s">
        <v>4602</v>
      </c>
      <c r="R757" s="67">
        <f ca="1">IF(Q757="Ritual","N/A",IF(Q757="I.E.","N/A",IF(Q757="WOG",VLOOKUP(Magick!$I$75*100,magestuff!$B$134:$F$138,2),IF(Q757="Cantrip",VLOOKUP(Magick!$I$75*100,magestuff!$B$134:$F$138,3),IF(Q757="Hex",VLOOKUP(Magick!$I$75*100,magestuff!$B$134:$F$138,4),VLOOKUP(Magick!$I$75*100,magestuff!$B$134:$F$138,5))))))</f>
        <v>19</v>
      </c>
      <c r="U757" s="67" t="str">
        <f t="shared" si="104"/>
        <v xml:space="preserve"> </v>
      </c>
      <c r="V757" s="515"/>
      <c r="W757" s="125"/>
      <c r="X757" s="31">
        <f t="shared" si="108"/>
        <v>0</v>
      </c>
      <c r="Y757" s="509"/>
      <c r="Z757" s="1054" t="str">
        <f t="shared" si="106"/>
        <v>Lesser Shape Wood</v>
      </c>
      <c r="AA757" s="1072" t="str">
        <f t="shared" si="107"/>
        <v>Plant</v>
      </c>
    </row>
    <row r="758" spans="1:27" hidden="1" outlineLevel="1">
      <c r="A758" s="31" t="s">
        <v>4986</v>
      </c>
      <c r="B758" s="67">
        <v>5</v>
      </c>
      <c r="C758" s="67">
        <f ca="1">magestuff!$O$203</f>
        <v>5</v>
      </c>
      <c r="D758" s="67">
        <f t="shared" si="103"/>
        <v>0</v>
      </c>
      <c r="E758" s="77" t="e">
        <f ca="1">IF(F758="y",HLOOKUP((IF(C758&lt;1,1,C758)),Magick!$C$20:$L$21,2),NA())</f>
        <v>#N/A</v>
      </c>
      <c r="F758" s="67" t="str">
        <f ca="1">IF(C758&lt;=Magick!$D$3,"Y","N")</f>
        <v>N</v>
      </c>
      <c r="G758" s="148" t="s">
        <v>128</v>
      </c>
      <c r="H758" s="151"/>
      <c r="I758" s="77" t="e">
        <f>IF(H758&gt;0,(HLOOKUP(C758,Magick!$C$20:$L$21,2)-HLOOKUP(H758,Magick!$C$20:$L$21,2)),NA())</f>
        <v>#N/A</v>
      </c>
      <c r="J758" s="77"/>
      <c r="K758" s="67">
        <v>9</v>
      </c>
      <c r="L758" s="72" t="str">
        <f>IF(H758&gt;0,Magick!$AR$25-('Master Spell List'!H728*0.1),"N/A")</f>
        <v>N/A</v>
      </c>
      <c r="M758" s="72">
        <f ca="1">Magick!$H$75</f>
        <v>0.08</v>
      </c>
      <c r="N758" s="72">
        <f ca="1">Magick!$K$75</f>
        <v>0.13</v>
      </c>
      <c r="O758" s="72">
        <f ca="1">Magick!$L$75</f>
        <v>0.13</v>
      </c>
      <c r="P758" s="72">
        <f ca="1">Magick!$M$75</f>
        <v>0.13</v>
      </c>
      <c r="Q758" s="67" t="s">
        <v>113</v>
      </c>
      <c r="R758" s="67" t="str">
        <f>IF(Q758="Ritual","N/A",IF(Q758="I.E.","N/A",IF(Q758="WOG",VLOOKUP(Magick!$I$75*100,magestuff!$B$134:$F$138,2),IF(Q758="Cantrip",VLOOKUP(Magick!$I$75*100,magestuff!$B$134:$F$138,3),IF(Q758="Hex",VLOOKUP(Magick!$I$75*100,magestuff!$B$134:$F$138,4),VLOOKUP(Magick!$I$75*100,magestuff!$B$134:$F$138,5))))))</f>
        <v>N/A</v>
      </c>
      <c r="U758" s="67" t="str">
        <f t="shared" si="104"/>
        <v xml:space="preserve"> </v>
      </c>
      <c r="V758" s="515"/>
      <c r="W758" s="125"/>
      <c r="X758" s="31">
        <f t="shared" si="108"/>
        <v>0</v>
      </c>
      <c r="Y758" s="509"/>
      <c r="Z758" s="1054" t="str">
        <f t="shared" si="106"/>
        <v>Potion vs Illness</v>
      </c>
      <c r="AA758" s="1072" t="str">
        <f t="shared" si="107"/>
        <v>Plant</v>
      </c>
    </row>
    <row r="759" spans="1:27" hidden="1" outlineLevel="1">
      <c r="A759" s="83" t="s">
        <v>3032</v>
      </c>
      <c r="B759" s="67">
        <v>5</v>
      </c>
      <c r="C759" s="67">
        <f ca="1">magestuff!$O$203</f>
        <v>5</v>
      </c>
      <c r="D759" s="67">
        <f t="shared" si="103"/>
        <v>0</v>
      </c>
      <c r="E759" s="77" t="e">
        <f ca="1">IF(F759="y",HLOOKUP((IF(C759&lt;1,1,C759)),Magick!$C$20:$L$21,2),NA())</f>
        <v>#N/A</v>
      </c>
      <c r="F759" s="67" t="str">
        <f ca="1">IF(C759&lt;=Magick!$D$3,"Y","N")</f>
        <v>N</v>
      </c>
      <c r="G759" s="148" t="s">
        <v>129</v>
      </c>
      <c r="H759" s="151"/>
      <c r="I759" s="77" t="e">
        <f>IF(H759&gt;0,(HLOOKUP(C759,Magick!$C$20:$L$21,2)-HLOOKUP(H759,Magick!$C$20:$L$21,2)),NA())</f>
        <v>#N/A</v>
      </c>
      <c r="J759" s="77"/>
      <c r="K759" s="67">
        <v>7</v>
      </c>
      <c r="L759" s="72" t="str">
        <f>IF(H759&gt;0,Magick!$AR$25-('Master Spell List'!H771*0.1),"N/A")</f>
        <v>N/A</v>
      </c>
      <c r="M759" s="72">
        <f ca="1">Magick!$H$75</f>
        <v>0.08</v>
      </c>
      <c r="N759" s="72">
        <f ca="1">Magick!$K$75</f>
        <v>0.13</v>
      </c>
      <c r="O759" s="72">
        <f ca="1">Magick!$L$75</f>
        <v>0.13</v>
      </c>
      <c r="P759" s="72">
        <f ca="1">Magick!$M$75</f>
        <v>0.13</v>
      </c>
      <c r="Q759" s="67" t="s">
        <v>3723</v>
      </c>
      <c r="R759" s="67">
        <f ca="1">IF(Q759="Ritual","N/A",IF(Q759="I.E.","N/A",IF(Q759="WOG",VLOOKUP(Magick!$I$75*100,magestuff!$B$134:$F$138,2),IF(Q759="Cantrip",VLOOKUP(Magick!$I$75*100,magestuff!$B$134:$F$138,3),IF(Q759="Hex",VLOOKUP(Magick!$I$75*100,magestuff!$B$134:$F$138,4),VLOOKUP(Magick!$I$75*100,magestuff!$B$134:$F$138,5))))))</f>
        <v>29</v>
      </c>
      <c r="S759" s="67" t="s">
        <v>1984</v>
      </c>
      <c r="U759" s="67" t="str">
        <f t="shared" si="104"/>
        <v xml:space="preserve"> </v>
      </c>
      <c r="V759" s="515"/>
      <c r="W759" s="125"/>
      <c r="X759" s="31">
        <f t="shared" si="108"/>
        <v>0</v>
      </c>
      <c r="Y759" s="509"/>
      <c r="Z759" s="1054" t="str">
        <f t="shared" si="106"/>
        <v>Strength of the Wild Hunt</v>
      </c>
      <c r="AA759" s="1072" t="str">
        <f t="shared" si="107"/>
        <v>Plant</v>
      </c>
    </row>
    <row r="760" spans="1:27" hidden="1" outlineLevel="1">
      <c r="A760" s="31" t="s">
        <v>2581</v>
      </c>
      <c r="B760" s="67">
        <v>6</v>
      </c>
      <c r="C760" s="67">
        <f ca="1">magestuff!$R$203</f>
        <v>6</v>
      </c>
      <c r="D760" s="67">
        <f t="shared" si="103"/>
        <v>0</v>
      </c>
      <c r="E760" s="77" t="e">
        <f ca="1">IF(F760="y",HLOOKUP((IF(C760&lt;1,1,C760)),Magick!$C$20:$L$21,2),NA())</f>
        <v>#N/A</v>
      </c>
      <c r="F760" s="67" t="str">
        <f ca="1">IF(C760&lt;=Magick!$D$3,"Y","N")</f>
        <v>N</v>
      </c>
      <c r="G760" s="148" t="s">
        <v>128</v>
      </c>
      <c r="H760" s="151"/>
      <c r="I760" s="77" t="e">
        <f>IF(H760&gt;0,(HLOOKUP(C760,Magick!$C$20:$L$21,2)-HLOOKUP(H760,Magick!$C$20:$L$21,2)),NA())</f>
        <v>#N/A</v>
      </c>
      <c r="J760" s="77"/>
      <c r="K760" s="67">
        <v>9</v>
      </c>
      <c r="L760" s="72" t="str">
        <f>IF(H760&gt;0,Magick!$AR$25-('Master Spell List'!H749*0.1),"N/A")</f>
        <v>N/A</v>
      </c>
      <c r="M760" s="72">
        <f ca="1">Magick!$H$75</f>
        <v>0.08</v>
      </c>
      <c r="N760" s="72">
        <f ca="1">Magick!$K$75</f>
        <v>0.13</v>
      </c>
      <c r="O760" s="72">
        <f ca="1">Magick!$L$75</f>
        <v>0.13</v>
      </c>
      <c r="P760" s="72">
        <f ca="1">Magick!$M$75</f>
        <v>0.13</v>
      </c>
      <c r="Q760" s="67" t="s">
        <v>113</v>
      </c>
      <c r="R760" s="67" t="str">
        <f>IF(Q760="Ritual","N/A",IF(Q760="I.E.","N/A",IF(Q760="WOG",VLOOKUP(Magick!$I$75*100,magestuff!$B$134:$F$138,2),IF(Q760="Cantrip",VLOOKUP(Magick!$I$75*100,magestuff!$B$134:$F$138,3),IF(Q760="Hex",VLOOKUP(Magick!$I$75*100,magestuff!$B$134:$F$138,4),VLOOKUP(Magick!$I$75*100,magestuff!$B$134:$F$138,5))))))</f>
        <v>N/A</v>
      </c>
      <c r="U760" s="67" t="str">
        <f t="shared" si="104"/>
        <v xml:space="preserve"> </v>
      </c>
      <c r="V760" s="515"/>
      <c r="W760" s="125"/>
      <c r="X760" s="31">
        <f t="shared" si="108"/>
        <v>0</v>
      </c>
      <c r="Y760" s="509"/>
      <c r="Z760" s="1054" t="str">
        <f t="shared" si="106"/>
        <v>Antidote</v>
      </c>
      <c r="AA760" s="1072" t="str">
        <f t="shared" si="107"/>
        <v>Plant</v>
      </c>
    </row>
    <row r="761" spans="1:27" hidden="1" outlineLevel="1">
      <c r="A761" s="31" t="s">
        <v>2582</v>
      </c>
      <c r="B761" s="67">
        <v>6</v>
      </c>
      <c r="C761" s="67">
        <f ca="1">magestuff!$R$203</f>
        <v>6</v>
      </c>
      <c r="D761" s="67">
        <f t="shared" si="103"/>
        <v>0</v>
      </c>
      <c r="E761" s="77" t="e">
        <f ca="1">IF(F761="y",HLOOKUP((IF(C761&lt;1,1,C761)),Magick!$C$20:$L$21,2),NA())</f>
        <v>#N/A</v>
      </c>
      <c r="F761" s="67" t="str">
        <f ca="1">IF(C761&lt;=Magick!$D$3,"Y","N")</f>
        <v>N</v>
      </c>
      <c r="G761" s="148" t="s">
        <v>128</v>
      </c>
      <c r="H761" s="151"/>
      <c r="I761" s="77" t="e">
        <f>IF(H761&gt;0,(HLOOKUP(C761,Magick!$C$20:$L$21,2)-HLOOKUP(H761,Magick!$C$20:$L$21,2)),NA())</f>
        <v>#N/A</v>
      </c>
      <c r="J761" s="77"/>
      <c r="K761" s="67">
        <v>9</v>
      </c>
      <c r="L761" s="72" t="str">
        <f>IF(H761&gt;0,Magick!$AR$25-('Master Spell List'!H750*0.1),"N/A")</f>
        <v>N/A</v>
      </c>
      <c r="M761" s="72">
        <f ca="1">Magick!$H$75</f>
        <v>0.08</v>
      </c>
      <c r="N761" s="72">
        <f ca="1">Magick!$K$75</f>
        <v>0.13</v>
      </c>
      <c r="O761" s="72">
        <f ca="1">Magick!$L$75</f>
        <v>0.13</v>
      </c>
      <c r="P761" s="72">
        <f ca="1">Magick!$M$75</f>
        <v>0.13</v>
      </c>
      <c r="Q761" s="67" t="s">
        <v>113</v>
      </c>
      <c r="R761" s="67" t="str">
        <f>IF(Q761="Ritual","N/A",IF(Q761="I.E.","N/A",IF(Q761="WOG",VLOOKUP(Magick!$I$75*100,magestuff!$B$134:$F$138,2),IF(Q761="Cantrip",VLOOKUP(Magick!$I$75*100,magestuff!$B$134:$F$138,3),IF(Q761="Hex",VLOOKUP(Magick!$I$75*100,magestuff!$B$134:$F$138,4),VLOOKUP(Magick!$I$75*100,magestuff!$B$134:$F$138,5))))))</f>
        <v>N/A</v>
      </c>
      <c r="U761" s="67" t="str">
        <f t="shared" si="104"/>
        <v xml:space="preserve"> </v>
      </c>
      <c r="V761" s="515"/>
      <c r="W761" s="125"/>
      <c r="X761" s="31">
        <f t="shared" si="108"/>
        <v>0</v>
      </c>
      <c r="Y761" s="509"/>
      <c r="Z761" s="1054" t="str">
        <f t="shared" si="106"/>
        <v>Anti-venom</v>
      </c>
      <c r="AA761" s="1072" t="str">
        <f t="shared" si="107"/>
        <v>Plant</v>
      </c>
    </row>
    <row r="762" spans="1:27" hidden="1" outlineLevel="1">
      <c r="A762" s="83" t="s">
        <v>2578</v>
      </c>
      <c r="B762" s="67">
        <v>6</v>
      </c>
      <c r="C762" s="67">
        <f ca="1">magestuff!$R$203</f>
        <v>6</v>
      </c>
      <c r="D762" s="67">
        <f t="shared" si="103"/>
        <v>0</v>
      </c>
      <c r="E762" s="77" t="e">
        <f ca="1">IF(F762="y",HLOOKUP((IF(C762&lt;1,1,C762)),Magick!$C$20:$L$21,2),NA())</f>
        <v>#N/A</v>
      </c>
      <c r="F762" s="67" t="str">
        <f ca="1">IF(C762&lt;=Magick!$D$3,"Y","N")</f>
        <v>N</v>
      </c>
      <c r="G762" s="148" t="s">
        <v>129</v>
      </c>
      <c r="H762" s="151"/>
      <c r="I762" s="77" t="e">
        <f>IF(H762&gt;0,(HLOOKUP(C762,Magick!$C$20:$L$21,2)-HLOOKUP(H762,Magick!$C$20:$L$21,2)),NA())</f>
        <v>#N/A</v>
      </c>
      <c r="J762" s="77"/>
      <c r="K762" s="67">
        <v>21</v>
      </c>
      <c r="L762" s="72" t="str">
        <f>IF(H762&gt;0,Magick!$AR$25-('Master Spell List'!H766*0.1),"N/A")</f>
        <v>N/A</v>
      </c>
      <c r="M762" s="72">
        <f ca="1">Magick!$H$75</f>
        <v>0.08</v>
      </c>
      <c r="N762" s="72">
        <f ca="1">Magick!$K$75</f>
        <v>0.13</v>
      </c>
      <c r="O762" s="72">
        <f ca="1">Magick!$L$75</f>
        <v>0.13</v>
      </c>
      <c r="P762" s="72">
        <f ca="1">Magick!$M$75</f>
        <v>0.13</v>
      </c>
      <c r="Q762" s="67" t="s">
        <v>113</v>
      </c>
      <c r="R762" s="67" t="str">
        <f>IF(Q762="Ritual","N/A",IF(Q762="I.E.","N/A",IF(Q762="WOG",VLOOKUP(Magick!$I$75*100,magestuff!$B$134:$F$138,2),IF(Q762="Cantrip",VLOOKUP(Magick!$I$75*100,magestuff!$B$134:$F$138,3),IF(Q762="Hex",VLOOKUP(Magick!$I$75*100,magestuff!$B$134:$F$138,4),VLOOKUP(Magick!$I$75*100,magestuff!$B$134:$F$138,5))))))</f>
        <v>N/A</v>
      </c>
      <c r="T762" s="67" t="s">
        <v>2331</v>
      </c>
      <c r="U762" s="67" t="str">
        <f t="shared" si="104"/>
        <v xml:space="preserve"> </v>
      </c>
      <c r="V762" s="515"/>
      <c r="W762" s="125"/>
      <c r="X762" s="31">
        <f t="shared" si="108"/>
        <v>0</v>
      </c>
      <c r="Y762" s="509"/>
      <c r="Z762" s="1054" t="str">
        <f t="shared" si="106"/>
        <v>Blessing of Danu (Mother's Protection)</v>
      </c>
      <c r="AA762" s="1072" t="str">
        <f t="shared" si="107"/>
        <v>Plant</v>
      </c>
    </row>
    <row r="763" spans="1:27" hidden="1" outlineLevel="1">
      <c r="A763" s="31" t="s">
        <v>1360</v>
      </c>
      <c r="B763" s="67">
        <v>6</v>
      </c>
      <c r="C763" s="67">
        <f ca="1">magestuff!$R$203</f>
        <v>6</v>
      </c>
      <c r="D763" s="67">
        <f t="shared" si="103"/>
        <v>0</v>
      </c>
      <c r="E763" s="77" t="e">
        <f ca="1">IF(F763="y",HLOOKUP((IF(C763&lt;1,1,C763)),Magick!$C$20:$L$21,2),NA())</f>
        <v>#N/A</v>
      </c>
      <c r="F763" s="67" t="str">
        <f ca="1">IF(C763&lt;=Magick!$D$3,"Y","N")</f>
        <v>N</v>
      </c>
      <c r="G763" s="148" t="s">
        <v>128</v>
      </c>
      <c r="H763" s="151"/>
      <c r="I763" s="77" t="e">
        <f>IF(H763&gt;0,(HLOOKUP(C763,Magick!$C$20:$L$21,2)-HLOOKUP(H763,Magick!$C$20:$L$21,2)),NA())</f>
        <v>#N/A</v>
      </c>
      <c r="J763" s="77"/>
      <c r="K763" s="67">
        <v>9</v>
      </c>
      <c r="L763" s="72" t="str">
        <f>IF(H763&gt;0,Magick!$AR$25-('Master Spell List'!H726*0.1),"N/A")</f>
        <v>N/A</v>
      </c>
      <c r="M763" s="72">
        <f ca="1">Magick!$H$75</f>
        <v>0.08</v>
      </c>
      <c r="N763" s="72">
        <f ca="1">Magick!$K$75</f>
        <v>0.13</v>
      </c>
      <c r="O763" s="72">
        <f ca="1">Magick!$L$75</f>
        <v>0.13</v>
      </c>
      <c r="P763" s="72">
        <f ca="1">Magick!$M$75</f>
        <v>0.13</v>
      </c>
      <c r="Q763" s="67" t="s">
        <v>113</v>
      </c>
      <c r="R763" s="67" t="str">
        <f>IF(Q763="Ritual","N/A",IF(Q763="I.E.","N/A",IF(Q763="WOG",VLOOKUP(Magick!$I$75*100,magestuff!$B$134:$F$138,2),IF(Q763="Cantrip",VLOOKUP(Magick!$I$75*100,magestuff!$B$134:$F$138,3),IF(Q763="Hex",VLOOKUP(Magick!$I$75*100,magestuff!$B$134:$F$138,4),VLOOKUP(Magick!$I$75*100,magestuff!$B$134:$F$138,5))))))</f>
        <v>N/A</v>
      </c>
      <c r="U763" s="67" t="str">
        <f t="shared" si="104"/>
        <v xml:space="preserve"> </v>
      </c>
      <c r="V763" s="515"/>
      <c r="W763" s="125"/>
      <c r="X763" s="31">
        <f t="shared" si="108"/>
        <v>0</v>
      </c>
      <c r="Y763" s="509"/>
      <c r="Z763" s="1054" t="str">
        <f t="shared" si="106"/>
        <v>Elixir of Renewed Vigour</v>
      </c>
      <c r="AA763" s="1072" t="str">
        <f t="shared" si="107"/>
        <v>Plant</v>
      </c>
    </row>
    <row r="764" spans="1:27" hidden="1" outlineLevel="1">
      <c r="A764" s="83" t="s">
        <v>1349</v>
      </c>
      <c r="B764" s="67">
        <v>6</v>
      </c>
      <c r="C764" s="67">
        <f ca="1">magestuff!$R$203</f>
        <v>6</v>
      </c>
      <c r="D764" s="67">
        <f t="shared" ref="D764:D788" si="109">IF(AND(ISNUMBER(H764),H764=0),C764,0)</f>
        <v>0</v>
      </c>
      <c r="E764" s="77" t="e">
        <f ca="1">IF(F764="y",HLOOKUP((IF(C764&lt;1,1,C764)),Magick!$C$20:$L$21,2),NA())</f>
        <v>#N/A</v>
      </c>
      <c r="F764" s="67" t="str">
        <f ca="1">IF(C764&lt;=Magick!$D$3,"Y","N")</f>
        <v>N</v>
      </c>
      <c r="G764" s="148" t="s">
        <v>859</v>
      </c>
      <c r="H764" s="151"/>
      <c r="I764" s="77" t="e">
        <f>IF(H764&gt;0,(HLOOKUP(C764,Magick!$C$20:$L$21,2)-HLOOKUP(H764,Magick!$C$20:$L$21,2)),NA())</f>
        <v>#N/A</v>
      </c>
      <c r="J764" s="77"/>
      <c r="L764" s="72" t="str">
        <f>IF(H764&gt;0,Magick!$AR$25-('Master Spell List'!H770*0.1),"N/A")</f>
        <v>N/A</v>
      </c>
      <c r="M764" s="72">
        <f ca="1">Magick!$H$75</f>
        <v>0.08</v>
      </c>
      <c r="N764" s="72">
        <f ca="1">Magick!$K$75</f>
        <v>0.13</v>
      </c>
      <c r="O764" s="72">
        <f ca="1">Magick!$L$75</f>
        <v>0.13</v>
      </c>
      <c r="P764" s="72">
        <f ca="1">Magick!$M$75</f>
        <v>0.13</v>
      </c>
      <c r="Q764" s="67" t="s">
        <v>4602</v>
      </c>
      <c r="R764" s="67">
        <f ca="1">IF(Q764="Ritual","N/A",IF(Q764="I.E.","N/A",IF(Q764="WOG",VLOOKUP(Magick!$I$75*100,magestuff!$B$134:$F$138,2),IF(Q764="Cantrip",VLOOKUP(Magick!$I$75*100,magestuff!$B$134:$F$138,3),IF(Q764="Hex",VLOOKUP(Magick!$I$75*100,magestuff!$B$134:$F$138,4),VLOOKUP(Magick!$I$75*100,magestuff!$B$134:$F$138,5))))))</f>
        <v>19</v>
      </c>
      <c r="U764" s="67" t="str">
        <f t="shared" ref="U764:U788" si="110">IF(ISBLANK(H764)," ",IF(H764&gt;0,0,C764*10))</f>
        <v xml:space="preserve"> </v>
      </c>
      <c r="V764" s="515"/>
      <c r="W764" s="125"/>
      <c r="X764" s="31">
        <f t="shared" ref="X764:X788" si="111">W764*3</f>
        <v>0</v>
      </c>
      <c r="Y764" s="509"/>
      <c r="Z764" s="1054" t="str">
        <f t="shared" si="106"/>
        <v>Great Shape Wood</v>
      </c>
      <c r="AA764" s="1072" t="str">
        <f t="shared" si="107"/>
        <v>Plant</v>
      </c>
    </row>
    <row r="765" spans="1:27" hidden="1" outlineLevel="1">
      <c r="A765" s="83" t="s">
        <v>1226</v>
      </c>
      <c r="B765" s="67">
        <v>6</v>
      </c>
      <c r="C765" s="67">
        <f ca="1">magestuff!$R$203</f>
        <v>6</v>
      </c>
      <c r="D765" s="67">
        <f t="shared" si="109"/>
        <v>0</v>
      </c>
      <c r="E765" s="77" t="e">
        <f ca="1">IF(F765="y",HLOOKUP((IF(C765&lt;1,1,C765)),Magick!$C$20:$L$21,2),NA())</f>
        <v>#N/A</v>
      </c>
      <c r="F765" s="67" t="str">
        <f ca="1">IF(C765&lt;=Magick!$D$3,"Y","N")</f>
        <v>N</v>
      </c>
      <c r="G765" s="148" t="s">
        <v>1217</v>
      </c>
      <c r="H765" s="151"/>
      <c r="I765" s="77" t="e">
        <f>IF(H765&gt;0,(HLOOKUP(C765,Magick!$C$20:$L$21,2)-HLOOKUP(H765,Magick!$C$20:$L$21,2)),NA())</f>
        <v>#N/A</v>
      </c>
      <c r="J765" s="77"/>
      <c r="K765" s="67">
        <v>13</v>
      </c>
      <c r="L765" s="72" t="str">
        <f>IF(H765&gt;0,Magick!$AR$25-('Master Spell List'!H695*0.1),"N/A")</f>
        <v>N/A</v>
      </c>
      <c r="M765" s="72">
        <f ca="1">Magick!$H$75</f>
        <v>0.08</v>
      </c>
      <c r="N765" s="72">
        <f ca="1">Magick!$K$75</f>
        <v>0.13</v>
      </c>
      <c r="O765" s="72">
        <f ca="1">Magick!$L$75</f>
        <v>0.13</v>
      </c>
      <c r="P765" s="72">
        <f ca="1">Magick!$M$75</f>
        <v>0.13</v>
      </c>
      <c r="Q765" s="67" t="s">
        <v>3723</v>
      </c>
      <c r="R765" s="67">
        <f ca="1">IF(Q765="Ritual","N/A",IF(Q765="I.E.","N/A",IF(Q765="WOG",VLOOKUP(Magick!$I$75*100,magestuff!$B$134:$F$138,2),IF(Q765="Cantrip",VLOOKUP(Magick!$I$75*100,magestuff!$B$134:$F$138,3),IF(Q765="Hex",VLOOKUP(Magick!$I$75*100,magestuff!$B$134:$F$138,4),VLOOKUP(Magick!$I$75*100,magestuff!$B$134:$F$138,5))))))</f>
        <v>29</v>
      </c>
      <c r="S765" s="67">
        <f>20*Magick!$C$3</f>
        <v>0</v>
      </c>
      <c r="T765" s="67" t="s">
        <v>3218</v>
      </c>
      <c r="U765" s="67" t="str">
        <f t="shared" si="110"/>
        <v xml:space="preserve"> </v>
      </c>
      <c r="V765" s="515"/>
      <c r="W765" s="125"/>
      <c r="X765" s="31">
        <f t="shared" si="111"/>
        <v>0</v>
      </c>
      <c r="Y765" s="509"/>
      <c r="Z765" s="1054" t="str">
        <f t="shared" si="106"/>
        <v>Greater Revitalize (Hydrate)</v>
      </c>
      <c r="AA765" s="1072" t="str">
        <f t="shared" si="107"/>
        <v>Plant</v>
      </c>
    </row>
    <row r="766" spans="1:27" hidden="1" outlineLevel="1">
      <c r="A766" s="31" t="s">
        <v>4812</v>
      </c>
      <c r="B766" s="67">
        <v>6</v>
      </c>
      <c r="C766" s="67">
        <f ca="1">magestuff!$R$203</f>
        <v>6</v>
      </c>
      <c r="D766" s="67">
        <f t="shared" si="109"/>
        <v>0</v>
      </c>
      <c r="E766" s="77" t="e">
        <f ca="1">IF(F766="y",HLOOKUP((IF(C766&lt;1,1,C766)),Magick!$C$20:$L$21,2),NA())</f>
        <v>#N/A</v>
      </c>
      <c r="F766" s="67" t="str">
        <f ca="1">IF(C766&lt;=Magick!$D$3,"Y","N")</f>
        <v>N</v>
      </c>
      <c r="G766" s="148" t="s">
        <v>128</v>
      </c>
      <c r="H766" s="151"/>
      <c r="I766" s="77" t="e">
        <f>IF(H766&gt;0,(HLOOKUP(C766,Magick!$C$20:$L$21,2)-HLOOKUP(H766,Magick!$C$20:$L$21,2)),NA())</f>
        <v>#N/A</v>
      </c>
      <c r="J766" s="77"/>
      <c r="K766" s="67">
        <v>9</v>
      </c>
      <c r="L766" s="72" t="str">
        <f>IF(H766&gt;0,Magick!$AR$25-('Master Spell List'!H723*0.1),"N/A")</f>
        <v>N/A</v>
      </c>
      <c r="M766" s="72">
        <f ca="1">Magick!$H$75</f>
        <v>0.08</v>
      </c>
      <c r="N766" s="72">
        <f ca="1">Magick!$K$75</f>
        <v>0.13</v>
      </c>
      <c r="O766" s="72">
        <f ca="1">Magick!$L$75</f>
        <v>0.13</v>
      </c>
      <c r="P766" s="72">
        <f ca="1">Magick!$M$75</f>
        <v>0.13</v>
      </c>
      <c r="Q766" s="67" t="s">
        <v>113</v>
      </c>
      <c r="R766" s="67" t="str">
        <f>IF(Q766="Ritual","N/A",IF(Q766="I.E.","N/A",IF(Q766="WOG",VLOOKUP(Magick!$I$75*100,magestuff!$B$134:$F$138,2),IF(Q766="Cantrip",VLOOKUP(Magick!$I$75*100,magestuff!$B$134:$F$138,3),IF(Q766="Hex",VLOOKUP(Magick!$I$75*100,magestuff!$B$134:$F$138,4),VLOOKUP(Magick!$I$75*100,magestuff!$B$134:$F$138,5))))))</f>
        <v>N/A</v>
      </c>
      <c r="U766" s="67" t="str">
        <f t="shared" si="110"/>
        <v xml:space="preserve"> </v>
      </c>
      <c r="V766" s="515"/>
      <c r="W766" s="125"/>
      <c r="X766" s="31">
        <f t="shared" si="111"/>
        <v>0</v>
      </c>
      <c r="Y766" s="509"/>
      <c r="Z766" s="1054" t="str">
        <f t="shared" si="106"/>
        <v>Greater Salve</v>
      </c>
      <c r="AA766" s="1072" t="str">
        <f t="shared" si="107"/>
        <v>Plant</v>
      </c>
    </row>
    <row r="767" spans="1:27" hidden="1" outlineLevel="1">
      <c r="A767" s="83" t="s">
        <v>1222</v>
      </c>
      <c r="B767" s="67">
        <v>6</v>
      </c>
      <c r="C767" s="67">
        <f ca="1">magestuff!$R$203</f>
        <v>6</v>
      </c>
      <c r="D767" s="67">
        <f t="shared" si="109"/>
        <v>0</v>
      </c>
      <c r="E767" s="77" t="e">
        <f ca="1">IF(F767="y",HLOOKUP((IF(C767&lt;1,1,C767)),Magick!$C$20:$L$21,2),NA())</f>
        <v>#N/A</v>
      </c>
      <c r="F767" s="67" t="str">
        <f ca="1">IF(C767&lt;=Magick!$D$3,"Y","N")</f>
        <v>N</v>
      </c>
      <c r="G767" s="148" t="s">
        <v>1217</v>
      </c>
      <c r="H767" s="151"/>
      <c r="I767" s="77" t="e">
        <f>IF(H767&gt;0,(HLOOKUP(C767,Magick!$C$20:$L$21,2)-HLOOKUP(H767,Magick!$C$20:$L$21,2)),NA())</f>
        <v>#N/A</v>
      </c>
      <c r="J767" s="77"/>
      <c r="K767" s="67">
        <v>13</v>
      </c>
      <c r="L767" s="72" t="str">
        <f>IF(H767&gt;0,Magick!$AR$25-('Master Spell List'!H691*0.1),"N/A")</f>
        <v>N/A</v>
      </c>
      <c r="M767" s="72">
        <f ca="1">Magick!$H$75</f>
        <v>0.08</v>
      </c>
      <c r="N767" s="72">
        <f ca="1">Magick!$K$75</f>
        <v>0.13</v>
      </c>
      <c r="O767" s="72">
        <f ca="1">Magick!$L$75</f>
        <v>0.13</v>
      </c>
      <c r="P767" s="72">
        <f ca="1">Magick!$M$75</f>
        <v>0.13</v>
      </c>
      <c r="Q767" s="67" t="s">
        <v>3723</v>
      </c>
      <c r="R767" s="67">
        <f ca="1">IF(Q767="Ritual","N/A",IF(Q767="I.E.","N/A",IF(Q767="WOG",VLOOKUP(Magick!$I$75*100,magestuff!$B$134:$F$138,2),IF(Q767="Cantrip",VLOOKUP(Magick!$I$75*100,magestuff!$B$134:$F$138,3),IF(Q767="Hex",VLOOKUP(Magick!$I$75*100,magestuff!$B$134:$F$138,4),VLOOKUP(Magick!$I$75*100,magestuff!$B$134:$F$138,5))))))</f>
        <v>29</v>
      </c>
      <c r="S767" s="67">
        <f>25*Magick!$C$3</f>
        <v>0</v>
      </c>
      <c r="T767" s="67" t="s">
        <v>3218</v>
      </c>
      <c r="U767" s="67" t="str">
        <f t="shared" si="110"/>
        <v xml:space="preserve"> </v>
      </c>
      <c r="V767" s="515"/>
      <c r="W767" s="125"/>
      <c r="X767" s="31">
        <f t="shared" si="111"/>
        <v>0</v>
      </c>
      <c r="Y767" s="509"/>
      <c r="Z767" s="1054" t="str">
        <f t="shared" si="106"/>
        <v>Greatest Dry</v>
      </c>
      <c r="AA767" s="1072" t="str">
        <f t="shared" si="107"/>
        <v>Plant</v>
      </c>
    </row>
    <row r="768" spans="1:27" hidden="1" outlineLevel="1">
      <c r="A768" s="83" t="s">
        <v>1851</v>
      </c>
      <c r="B768" s="67">
        <v>6</v>
      </c>
      <c r="C768" s="67">
        <f ca="1">magestuff!$R$203</f>
        <v>6</v>
      </c>
      <c r="D768" s="67">
        <f t="shared" si="109"/>
        <v>0</v>
      </c>
      <c r="E768" s="77" t="e">
        <f ca="1">IF(F768="y",HLOOKUP((IF(C768&lt;1,1,C768)),Magick!$C$20:$L$21,2),NA())</f>
        <v>#N/A</v>
      </c>
      <c r="F768" s="67" t="str">
        <f ca="1">IF(C768&lt;=Magick!$D$3,"Y","N")</f>
        <v>N</v>
      </c>
      <c r="G768" s="148" t="s">
        <v>1217</v>
      </c>
      <c r="H768" s="151"/>
      <c r="I768" s="77" t="e">
        <f>IF(H768&gt;0,(HLOOKUP(C768,Magick!$C$20:$L$21,2)-HLOOKUP(H768,Magick!$C$20:$L$21,2)),NA())</f>
        <v>#N/A</v>
      </c>
      <c r="J768" s="77"/>
      <c r="K768" s="67" t="s">
        <v>3192</v>
      </c>
      <c r="L768" s="72" t="str">
        <f>IF(H768&gt;0,Magick!$AR$25-('Master Spell List'!H701*0.1),"N/A")</f>
        <v>N/A</v>
      </c>
      <c r="M768" s="72">
        <f ca="1">Magick!$H$75</f>
        <v>0.08</v>
      </c>
      <c r="N768" s="72">
        <f ca="1">Magick!$K$75</f>
        <v>0.13</v>
      </c>
      <c r="O768" s="72">
        <f ca="1">Magick!$L$75</f>
        <v>0.13</v>
      </c>
      <c r="P768" s="72">
        <f ca="1">Magick!$M$75</f>
        <v>0.13</v>
      </c>
      <c r="Q768" s="67" t="s">
        <v>3723</v>
      </c>
      <c r="R768" s="67">
        <f ca="1">IF(Q768="Ritual","N/A",IF(Q768="I.E.","N/A",IF(Q768="WOG",VLOOKUP(Magick!$I$75*100,magestuff!$B$134:$F$138,2),IF(Q768="Cantrip",VLOOKUP(Magick!$I$75*100,magestuff!$B$134:$F$138,3),IF(Q768="Hex",VLOOKUP(Magick!$I$75*100,magestuff!$B$134:$F$138,4),VLOOKUP(Magick!$I$75*100,magestuff!$B$134:$F$138,5))))))</f>
        <v>29</v>
      </c>
      <c r="S768" s="67">
        <f>25*Magick!$C$3</f>
        <v>0</v>
      </c>
      <c r="T768" s="67" t="s">
        <v>3218</v>
      </c>
      <c r="U768" s="67" t="str">
        <f t="shared" si="110"/>
        <v xml:space="preserve"> </v>
      </c>
      <c r="V768" s="515"/>
      <c r="W768" s="125"/>
      <c r="X768" s="31">
        <f t="shared" si="111"/>
        <v>0</v>
      </c>
      <c r="Y768" s="509"/>
      <c r="Z768" s="1054" t="str">
        <f t="shared" si="106"/>
        <v>Greatest Grind Coarse</v>
      </c>
      <c r="AA768" s="1072" t="str">
        <f t="shared" si="107"/>
        <v>Plant</v>
      </c>
    </row>
    <row r="769" spans="1:27" hidden="1" outlineLevel="1">
      <c r="A769" s="83" t="s">
        <v>1353</v>
      </c>
      <c r="B769" s="67">
        <v>6</v>
      </c>
      <c r="C769" s="67">
        <f ca="1">magestuff!$R$203</f>
        <v>6</v>
      </c>
      <c r="D769" s="67">
        <f t="shared" si="109"/>
        <v>0</v>
      </c>
      <c r="E769" s="77" t="e">
        <f ca="1">IF(F769="y",HLOOKUP((IF(C769&lt;1,1,C769)),Magick!$C$20:$L$21,2),NA())</f>
        <v>#N/A</v>
      </c>
      <c r="F769" s="67" t="str">
        <f ca="1">IF(C769&lt;=Magick!$D$3,"Y","N")</f>
        <v>N</v>
      </c>
      <c r="G769" s="148" t="s">
        <v>859</v>
      </c>
      <c r="H769" s="151"/>
      <c r="I769" s="77" t="e">
        <f>IF(H769&gt;0,(HLOOKUP(C769,Magick!$C$20:$L$21,2)-HLOOKUP(H769,Magick!$C$20:$L$21,2)),NA())</f>
        <v>#N/A</v>
      </c>
      <c r="J769" s="77"/>
      <c r="L769" s="72" t="str">
        <f>IF(H769&gt;0,Magick!$AR$25-('Master Spell List'!H774*0.1),"N/A")</f>
        <v>N/A</v>
      </c>
      <c r="M769" s="72">
        <f ca="1">Magick!$H$75</f>
        <v>0.08</v>
      </c>
      <c r="N769" s="72">
        <f ca="1">Magick!$K$75</f>
        <v>0.13</v>
      </c>
      <c r="O769" s="72">
        <f ca="1">Magick!$L$75</f>
        <v>0.13</v>
      </c>
      <c r="P769" s="72">
        <f ca="1">Magick!$M$75</f>
        <v>0.13</v>
      </c>
      <c r="Q769" s="67" t="s">
        <v>4602</v>
      </c>
      <c r="R769" s="67">
        <f ca="1">IF(Q769="Ritual","N/A",IF(Q769="I.E.","N/A",IF(Q769="WOG",VLOOKUP(Magick!$I$75*100,magestuff!$B$134:$F$138,2),IF(Q769="Cantrip",VLOOKUP(Magick!$I$75*100,magestuff!$B$134:$F$138,3),IF(Q769="Hex",VLOOKUP(Magick!$I$75*100,magestuff!$B$134:$F$138,4),VLOOKUP(Magick!$I$75*100,magestuff!$B$134:$F$138,5))))))</f>
        <v>19</v>
      </c>
      <c r="U769" s="67" t="str">
        <f t="shared" si="110"/>
        <v xml:space="preserve"> </v>
      </c>
      <c r="V769" s="515"/>
      <c r="W769" s="125"/>
      <c r="X769" s="31">
        <f t="shared" si="111"/>
        <v>0</v>
      </c>
      <c r="Y769" s="509"/>
      <c r="Z769" s="1054" t="str">
        <f t="shared" si="106"/>
        <v>Lesser Shape Tree</v>
      </c>
      <c r="AA769" s="1072" t="str">
        <f t="shared" si="107"/>
        <v>Plant</v>
      </c>
    </row>
    <row r="770" spans="1:27" hidden="1" outlineLevel="1">
      <c r="A770" s="83" t="s">
        <v>4934</v>
      </c>
      <c r="B770" s="67">
        <v>7</v>
      </c>
      <c r="C770" s="67">
        <f ca="1">magestuff!$U$203</f>
        <v>7</v>
      </c>
      <c r="D770" s="67">
        <f t="shared" si="109"/>
        <v>0</v>
      </c>
      <c r="E770" s="77" t="e">
        <f ca="1">IF(F770="y",HLOOKUP((IF(C770&lt;1,1,C770)),Magick!$C$20:$L$21,2),NA())</f>
        <v>#N/A</v>
      </c>
      <c r="F770" s="67" t="str">
        <f ca="1">IF(C770&lt;=Magick!$D$3,"Y","N")</f>
        <v>N</v>
      </c>
      <c r="G770" s="148" t="s">
        <v>130</v>
      </c>
      <c r="H770" s="151"/>
      <c r="I770" s="77" t="e">
        <f>IF(H770&gt;0,(HLOOKUP(C770,Magick!$C$20:$L$21,2)-HLOOKUP(H770,Magick!$C$20:$L$21,2)),NA())</f>
        <v>#N/A</v>
      </c>
      <c r="J770" s="77"/>
      <c r="K770" s="67">
        <f>ROUNDUP(+B770*1.5,0)</f>
        <v>11</v>
      </c>
      <c r="L770" s="72" t="str">
        <f>IF(H770&gt;0,Magick!$AR$22-('Master Spell List'!H753*0.1),"N/A")</f>
        <v>N/A</v>
      </c>
      <c r="M770" s="72">
        <f ca="1">Magick!$H$75</f>
        <v>0.08</v>
      </c>
      <c r="N770" s="72">
        <f ca="1">Magick!$K$75</f>
        <v>0.13</v>
      </c>
      <c r="O770" s="72">
        <f ca="1">Magick!$L$75</f>
        <v>0.13</v>
      </c>
      <c r="P770" s="72">
        <f ca="1">Magick!$M$75</f>
        <v>0.13</v>
      </c>
      <c r="Q770" s="67" t="s">
        <v>113</v>
      </c>
      <c r="R770" s="67" t="str">
        <f>IF(Q770="Ritual","N/A",IF(Q770="I.E.","N/A",IF(Q770="WOG",VLOOKUP(Magick!$I$75*100,magestuff!$B$134:$F$138,2),IF(Q770="Cantrip",VLOOKUP(Magick!$I$75*100,magestuff!$B$134:$F$138,3),IF(Q770="Hex",VLOOKUP(Magick!$I$75*100,magestuff!$B$134:$F$138,4),VLOOKUP(Magick!$I$75*100,magestuff!$B$134:$F$138,5))))))</f>
        <v>N/A</v>
      </c>
      <c r="S770" s="67" t="s">
        <v>1984</v>
      </c>
      <c r="T770" s="67" t="str">
        <f>CONCATENATE(IF(Magick!$C$3&gt;0,Magick!$C$3*10," ")," hrs.")</f>
        <v xml:space="preserve">  hrs.</v>
      </c>
      <c r="U770" s="67" t="str">
        <f t="shared" si="110"/>
        <v xml:space="preserve"> </v>
      </c>
      <c r="V770" s="515"/>
      <c r="W770" s="125"/>
      <c r="X770" s="31">
        <f t="shared" si="111"/>
        <v>0</v>
      </c>
      <c r="Y770" s="509"/>
      <c r="Z770" s="1054" t="str">
        <f t="shared" ref="Z770:Z833" si="112">A770</f>
        <v>Animate War Tree Type III</v>
      </c>
      <c r="AA770" s="1072" t="str">
        <f t="shared" si="107"/>
        <v>Plant</v>
      </c>
    </row>
    <row r="771" spans="1:27" hidden="1" outlineLevel="1">
      <c r="A771" s="83" t="s">
        <v>3189</v>
      </c>
      <c r="B771" s="67">
        <v>7</v>
      </c>
      <c r="C771" s="67">
        <f ca="1">magestuff!$U$203</f>
        <v>7</v>
      </c>
      <c r="D771" s="67">
        <f t="shared" si="109"/>
        <v>0</v>
      </c>
      <c r="E771" s="77" t="e">
        <f ca="1">IF(F771="y",HLOOKUP((IF(C771&lt;1,1,C771)),Magick!$C$20:$L$21,2),NA())</f>
        <v>#N/A</v>
      </c>
      <c r="F771" s="67" t="str">
        <f ca="1">IF(C771&lt;=Magick!$D$3,"Y","N")</f>
        <v>N</v>
      </c>
      <c r="G771" s="148" t="s">
        <v>1217</v>
      </c>
      <c r="H771" s="151"/>
      <c r="I771" s="77" t="e">
        <f>IF(H771&gt;0,(HLOOKUP(C771,Magick!$C$20:$L$21,2)-HLOOKUP(H771,Magick!$C$20:$L$21,2)),NA())</f>
        <v>#N/A</v>
      </c>
      <c r="J771" s="77"/>
      <c r="K771" s="67" t="s">
        <v>3194</v>
      </c>
      <c r="L771" s="72" t="str">
        <f>IF(H771&gt;0,Magick!$AR$25-('Master Spell List'!H705*0.1),"N/A")</f>
        <v>N/A</v>
      </c>
      <c r="M771" s="72">
        <f ca="1">Magick!$H$75</f>
        <v>0.08</v>
      </c>
      <c r="N771" s="72">
        <f ca="1">Magick!$K$75</f>
        <v>0.13</v>
      </c>
      <c r="O771" s="72">
        <f ca="1">Magick!$L$75</f>
        <v>0.13</v>
      </c>
      <c r="P771" s="72">
        <f ca="1">Magick!$M$75</f>
        <v>0.13</v>
      </c>
      <c r="Q771" s="67" t="s">
        <v>3723</v>
      </c>
      <c r="R771" s="67">
        <f ca="1">IF(Q771="Ritual","N/A",IF(Q771="I.E.","N/A",IF(Q771="WOG",VLOOKUP(Magick!$I$75*100,magestuff!$B$134:$F$138,2),IF(Q771="Cantrip",VLOOKUP(Magick!$I$75*100,magestuff!$B$134:$F$138,3),IF(Q771="Hex",VLOOKUP(Magick!$I$75*100,magestuff!$B$134:$F$138,4),VLOOKUP(Magick!$I$75*100,magestuff!$B$134:$F$138,5))))))</f>
        <v>29</v>
      </c>
      <c r="S771" s="67">
        <f>20*Magick!$C$3</f>
        <v>0</v>
      </c>
      <c r="T771" s="67" t="s">
        <v>3218</v>
      </c>
      <c r="U771" s="67" t="str">
        <f t="shared" si="110"/>
        <v xml:space="preserve"> </v>
      </c>
      <c r="V771" s="515"/>
      <c r="W771" s="125"/>
      <c r="X771" s="31">
        <f t="shared" si="111"/>
        <v>0</v>
      </c>
      <c r="Y771" s="509"/>
      <c r="Z771" s="1054" t="str">
        <f t="shared" si="112"/>
        <v>Greater Grind Fine</v>
      </c>
      <c r="AA771" s="1072" t="str">
        <f t="shared" ref="AA771:AA834" si="113">IF(ISNUMBER(MATCH($Z771,Spell_Methods,0)),$Z771,$AA770)</f>
        <v>Plant</v>
      </c>
    </row>
    <row r="772" spans="1:27" hidden="1" outlineLevel="1">
      <c r="A772" s="83" t="s">
        <v>1350</v>
      </c>
      <c r="B772" s="67">
        <v>7</v>
      </c>
      <c r="C772" s="67">
        <f ca="1">magestuff!$U$203</f>
        <v>7</v>
      </c>
      <c r="D772" s="67">
        <f t="shared" si="109"/>
        <v>0</v>
      </c>
      <c r="E772" s="77" t="e">
        <f ca="1">IF(F772="y",HLOOKUP((IF(C772&lt;1,1,C772)),Magick!$C$20:$L$21,2),NA())</f>
        <v>#N/A</v>
      </c>
      <c r="F772" s="67" t="str">
        <f ca="1">IF(C772&lt;=Magick!$D$3,"Y","N")</f>
        <v>N</v>
      </c>
      <c r="G772" s="148" t="s">
        <v>859</v>
      </c>
      <c r="H772" s="151"/>
      <c r="I772" s="77" t="e">
        <f>IF(H772&gt;0,(HLOOKUP(C772,Magick!$C$20:$L$21,2)-HLOOKUP(H772,Magick!$C$20:$L$21,2)),NA())</f>
        <v>#N/A</v>
      </c>
      <c r="J772" s="77"/>
      <c r="L772" s="72" t="str">
        <f>IF(H772&gt;0,Magick!$AR$25-('Master Spell List'!H771*0.1),"N/A")</f>
        <v>N/A</v>
      </c>
      <c r="M772" s="72">
        <f ca="1">Magick!$H$75</f>
        <v>0.08</v>
      </c>
      <c r="N772" s="72">
        <f ca="1">Magick!$K$75</f>
        <v>0.13</v>
      </c>
      <c r="O772" s="72">
        <f ca="1">Magick!$L$75</f>
        <v>0.13</v>
      </c>
      <c r="P772" s="72">
        <f ca="1">Magick!$M$75</f>
        <v>0.13</v>
      </c>
      <c r="Q772" s="67" t="s">
        <v>4602</v>
      </c>
      <c r="R772" s="67">
        <f ca="1">IF(Q772="Ritual","N/A",IF(Q772="I.E.","N/A",IF(Q772="WOG",VLOOKUP(Magick!$I$75*100,magestuff!$B$134:$F$138,2),IF(Q772="Cantrip",VLOOKUP(Magick!$I$75*100,magestuff!$B$134:$F$138,3),IF(Q772="Hex",VLOOKUP(Magick!$I$75*100,magestuff!$B$134:$F$138,4),VLOOKUP(Magick!$I$75*100,magestuff!$B$134:$F$138,5))))))</f>
        <v>19</v>
      </c>
      <c r="U772" s="67" t="str">
        <f t="shared" si="110"/>
        <v xml:space="preserve"> </v>
      </c>
      <c r="V772" s="515"/>
      <c r="W772" s="125"/>
      <c r="X772" s="31">
        <f t="shared" si="111"/>
        <v>0</v>
      </c>
      <c r="Y772" s="509"/>
      <c r="Z772" s="1054" t="str">
        <f t="shared" si="112"/>
        <v>Greater Shape Wood</v>
      </c>
      <c r="AA772" s="1072" t="str">
        <f t="shared" si="113"/>
        <v>Plant</v>
      </c>
    </row>
    <row r="773" spans="1:27" hidden="1" outlineLevel="1">
      <c r="A773" s="83" t="s">
        <v>1227</v>
      </c>
      <c r="B773" s="67">
        <v>7</v>
      </c>
      <c r="C773" s="67">
        <f ca="1">magestuff!$U$203</f>
        <v>7</v>
      </c>
      <c r="D773" s="67">
        <f t="shared" si="109"/>
        <v>0</v>
      </c>
      <c r="E773" s="77" t="e">
        <f ca="1">IF(F773="y",HLOOKUP((IF(C773&lt;1,1,C773)),Magick!$C$20:$L$21,2),NA())</f>
        <v>#N/A</v>
      </c>
      <c r="F773" s="67" t="str">
        <f ca="1">IF(C773&lt;=Magick!$D$3,"Y","N")</f>
        <v>N</v>
      </c>
      <c r="G773" s="148" t="s">
        <v>1217</v>
      </c>
      <c r="H773" s="151"/>
      <c r="I773" s="77" t="e">
        <f>IF(H773&gt;0,(HLOOKUP(C773,Magick!$C$20:$L$21,2)-HLOOKUP(H773,Magick!$C$20:$L$21,2)),NA())</f>
        <v>#N/A</v>
      </c>
      <c r="J773" s="77"/>
      <c r="K773" s="67">
        <v>15</v>
      </c>
      <c r="L773" s="72" t="str">
        <f>IF(H773&gt;0,Magick!$AR$25-('Master Spell List'!H696*0.1),"N/A")</f>
        <v>N/A</v>
      </c>
      <c r="M773" s="72">
        <f ca="1">Magick!$H$75</f>
        <v>0.08</v>
      </c>
      <c r="N773" s="72">
        <f ca="1">Magick!$K$75</f>
        <v>0.13</v>
      </c>
      <c r="O773" s="72">
        <f ca="1">Magick!$L$75</f>
        <v>0.13</v>
      </c>
      <c r="P773" s="72">
        <f ca="1">Magick!$M$75</f>
        <v>0.13</v>
      </c>
      <c r="Q773" s="67" t="s">
        <v>113</v>
      </c>
      <c r="R773" s="67" t="str">
        <f>IF(Q773="Ritual","N/A",IF(Q773="I.E.","N/A",IF(Q773="WOG",VLOOKUP(Magick!$I$75*100,magestuff!$B$134:$F$138,2),IF(Q773="Cantrip",VLOOKUP(Magick!$I$75*100,magestuff!$B$134:$F$138,3),IF(Q773="Hex",VLOOKUP(Magick!$I$75*100,magestuff!$B$134:$F$138,4),VLOOKUP(Magick!$I$75*100,magestuff!$B$134:$F$138,5))))))</f>
        <v>N/A</v>
      </c>
      <c r="S773" s="67">
        <f>25*Magick!$C$3</f>
        <v>0</v>
      </c>
      <c r="T773" s="67" t="s">
        <v>3218</v>
      </c>
      <c r="U773" s="67" t="str">
        <f t="shared" si="110"/>
        <v xml:space="preserve"> </v>
      </c>
      <c r="V773" s="515"/>
      <c r="W773" s="125"/>
      <c r="X773" s="31">
        <f t="shared" si="111"/>
        <v>0</v>
      </c>
      <c r="Y773" s="509"/>
      <c r="Z773" s="1054" t="str">
        <f t="shared" si="112"/>
        <v>Greatest Revitalize (Hydrate)</v>
      </c>
      <c r="AA773" s="1072" t="str">
        <f t="shared" si="113"/>
        <v>Plant</v>
      </c>
    </row>
    <row r="774" spans="1:27" hidden="1" outlineLevel="1">
      <c r="A774" s="83" t="s">
        <v>2576</v>
      </c>
      <c r="B774" s="67">
        <v>7</v>
      </c>
      <c r="C774" s="67">
        <f ca="1">magestuff!$U$203</f>
        <v>7</v>
      </c>
      <c r="D774" s="67">
        <f t="shared" si="109"/>
        <v>0</v>
      </c>
      <c r="E774" s="77" t="e">
        <f ca="1">IF(F774="y",HLOOKUP((IF(C774&lt;1,1,C774)),Magick!$C$20:$L$21,2),NA())</f>
        <v>#N/A</v>
      </c>
      <c r="F774" s="67" t="str">
        <f ca="1">IF(C774&lt;=Magick!$D$3,"Y","N")</f>
        <v>N</v>
      </c>
      <c r="G774" s="148" t="s">
        <v>129</v>
      </c>
      <c r="H774" s="151"/>
      <c r="I774" s="77" t="e">
        <f>IF(H774&gt;0,(HLOOKUP(C774,Magick!$C$20:$L$21,2)-HLOOKUP(H774,Magick!$C$20:$L$21,2)),NA())</f>
        <v>#N/A</v>
      </c>
      <c r="J774" s="77"/>
      <c r="L774" s="72" t="str">
        <f>IF(H774&gt;0,Magick!$AR$25-('Master Spell List'!H764*0.1),"N/A")</f>
        <v>N/A</v>
      </c>
      <c r="M774" s="72">
        <f ca="1">Magick!$H$75</f>
        <v>0.08</v>
      </c>
      <c r="N774" s="72">
        <f ca="1">Magick!$K$75</f>
        <v>0.13</v>
      </c>
      <c r="O774" s="72">
        <f ca="1">Magick!$L$75</f>
        <v>0.13</v>
      </c>
      <c r="P774" s="72">
        <f ca="1">Magick!$M$75</f>
        <v>0.13</v>
      </c>
      <c r="Q774" s="67" t="s">
        <v>4602</v>
      </c>
      <c r="R774" s="67">
        <f ca="1">IF(Q774="Ritual","N/A",IF(Q774="I.E.","N/A",IF(Q774="WOG",VLOOKUP(Magick!$I$75*100,magestuff!$B$134:$F$138,2),IF(Q774="Cantrip",VLOOKUP(Magick!$I$75*100,magestuff!$B$134:$F$138,3),IF(Q774="Hex",VLOOKUP(Magick!$I$75*100,magestuff!$B$134:$F$138,4),VLOOKUP(Magick!$I$75*100,magestuff!$B$134:$F$138,5))))))</f>
        <v>19</v>
      </c>
      <c r="T774" s="67" t="s">
        <v>2332</v>
      </c>
      <c r="U774" s="67" t="str">
        <f t="shared" si="110"/>
        <v xml:space="preserve"> </v>
      </c>
      <c r="V774" s="515"/>
      <c r="W774" s="125"/>
      <c r="X774" s="31">
        <f t="shared" si="111"/>
        <v>0</v>
      </c>
      <c r="Y774" s="509"/>
      <c r="Z774" s="1054" t="str">
        <f t="shared" si="112"/>
        <v>Nourish</v>
      </c>
      <c r="AA774" s="1072" t="str">
        <f t="shared" si="113"/>
        <v>Plant</v>
      </c>
    </row>
    <row r="775" spans="1:27" hidden="1" outlineLevel="1">
      <c r="A775" s="31" t="s">
        <v>3233</v>
      </c>
      <c r="B775" s="67">
        <v>7</v>
      </c>
      <c r="C775" s="67">
        <f ca="1">magestuff!$U$203</f>
        <v>7</v>
      </c>
      <c r="D775" s="67">
        <f t="shared" si="109"/>
        <v>0</v>
      </c>
      <c r="E775" s="77" t="e">
        <f ca="1">IF(F775="y",HLOOKUP((IF(C775&lt;1,1,C775)),Magick!$C$20:$L$21,2),NA())</f>
        <v>#N/A</v>
      </c>
      <c r="F775" s="67" t="str">
        <f ca="1">IF(C775&lt;=Magick!$D$3,"Y","N")</f>
        <v>N</v>
      </c>
      <c r="G775" s="148" t="s">
        <v>128</v>
      </c>
      <c r="H775" s="151"/>
      <c r="I775" s="77" t="e">
        <f>IF(H775&gt;0,(HLOOKUP(C775,Magick!$C$20:$L$21,2)-HLOOKUP(H775,Magick!$C$20:$L$21,2)),NA())</f>
        <v>#N/A</v>
      </c>
      <c r="J775" s="77"/>
      <c r="K775" s="67">
        <v>13</v>
      </c>
      <c r="L775" s="72" t="str">
        <f>IF(H775&gt;0,Magick!$AR$25-('Master Spell List'!H721*0.1),"N/A")</f>
        <v>N/A</v>
      </c>
      <c r="M775" s="72">
        <f ca="1">Magick!$H$75</f>
        <v>0.08</v>
      </c>
      <c r="N775" s="72">
        <f ca="1">Magick!$K$75</f>
        <v>0.13</v>
      </c>
      <c r="O775" s="72">
        <f ca="1">Magick!$L$75</f>
        <v>0.13</v>
      </c>
      <c r="P775" s="72">
        <f ca="1">Magick!$M$75</f>
        <v>0.13</v>
      </c>
      <c r="Q775" s="67" t="s">
        <v>113</v>
      </c>
      <c r="R775" s="67" t="str">
        <f>IF(Q775="Ritual","N/A",IF(Q775="I.E.","N/A",IF(Q775="WOG",VLOOKUP(Magick!$I$75*100,magestuff!$B$134:$F$138,2),IF(Q775="Cantrip",VLOOKUP(Magick!$I$75*100,magestuff!$B$134:$F$138,3),IF(Q775="Hex",VLOOKUP(Magick!$I$75*100,magestuff!$B$134:$F$138,4),VLOOKUP(Magick!$I$75*100,magestuff!$B$134:$F$138,5))))))</f>
        <v>N/A</v>
      </c>
      <c r="U775" s="67" t="str">
        <f t="shared" si="110"/>
        <v xml:space="preserve"> </v>
      </c>
      <c r="V775" s="515"/>
      <c r="W775" s="125"/>
      <c r="X775" s="31">
        <f t="shared" si="111"/>
        <v>0</v>
      </c>
      <c r="Y775" s="509"/>
      <c r="Z775" s="1054" t="str">
        <f t="shared" si="112"/>
        <v>Old Man Willow</v>
      </c>
      <c r="AA775" s="1072" t="str">
        <f t="shared" si="113"/>
        <v>Plant</v>
      </c>
    </row>
    <row r="776" spans="1:27" hidden="1" outlineLevel="1">
      <c r="A776" s="31" t="s">
        <v>3228</v>
      </c>
      <c r="B776" s="67">
        <v>7</v>
      </c>
      <c r="C776" s="67">
        <f ca="1">magestuff!$U$203</f>
        <v>7</v>
      </c>
      <c r="D776" s="67">
        <f t="shared" si="109"/>
        <v>0</v>
      </c>
      <c r="E776" s="77" t="e">
        <f ca="1">IF(F776="y",HLOOKUP((IF(C776&lt;1,1,C776)),Magick!$C$20:$L$21,2),NA())</f>
        <v>#N/A</v>
      </c>
      <c r="F776" s="67" t="str">
        <f ca="1">IF(C776&lt;=Magick!$D$3,"Y","N")</f>
        <v>N</v>
      </c>
      <c r="G776" s="148" t="s">
        <v>128</v>
      </c>
      <c r="H776" s="151"/>
      <c r="I776" s="77" t="e">
        <f>IF(H776&gt;0,(HLOOKUP(C776,Magick!$C$20:$L$21,2)-HLOOKUP(H776,Magick!$C$20:$L$21,2)),NA())</f>
        <v>#N/A</v>
      </c>
      <c r="J776" s="77"/>
      <c r="K776" s="67">
        <v>13</v>
      </c>
      <c r="L776" s="72" t="str">
        <f>IF(H776&gt;0,Magick!$AR$25-('Master Spell List'!H716*0.1),"N/A")</f>
        <v>N/A</v>
      </c>
      <c r="M776" s="72">
        <f ca="1">Magick!$H$75</f>
        <v>0.08</v>
      </c>
      <c r="N776" s="72">
        <f ca="1">Magick!$K$75</f>
        <v>0.13</v>
      </c>
      <c r="O776" s="72">
        <f ca="1">Magick!$L$75</f>
        <v>0.13</v>
      </c>
      <c r="P776" s="72">
        <f ca="1">Magick!$M$75</f>
        <v>0.13</v>
      </c>
      <c r="Q776" s="67" t="s">
        <v>113</v>
      </c>
      <c r="R776" s="67" t="str">
        <f>IF(Q776="Ritual","N/A",IF(Q776="I.E.","N/A",IF(Q776="WOG",VLOOKUP(Magick!$I$75*100,magestuff!$B$134:$F$138,2),IF(Q776="Cantrip",VLOOKUP(Magick!$I$75*100,magestuff!$B$134:$F$138,3),IF(Q776="Hex",VLOOKUP(Magick!$I$75*100,magestuff!$B$134:$F$138,4),VLOOKUP(Magick!$I$75*100,magestuff!$B$134:$F$138,5))))))</f>
        <v>N/A</v>
      </c>
      <c r="U776" s="67" t="str">
        <f t="shared" si="110"/>
        <v xml:space="preserve"> </v>
      </c>
      <c r="V776" s="515"/>
      <c r="W776" s="125"/>
      <c r="X776" s="31">
        <f t="shared" si="111"/>
        <v>0</v>
      </c>
      <c r="Y776" s="509"/>
      <c r="Z776" s="1054" t="str">
        <f t="shared" si="112"/>
        <v>The Greenwood</v>
      </c>
      <c r="AA776" s="1072" t="str">
        <f t="shared" si="113"/>
        <v>Plant</v>
      </c>
    </row>
    <row r="777" spans="1:27" hidden="1" outlineLevel="1">
      <c r="A777" s="83" t="s">
        <v>1174</v>
      </c>
      <c r="B777" s="67">
        <v>8</v>
      </c>
      <c r="C777" s="67">
        <f ca="1">magestuff!$X$203</f>
        <v>8</v>
      </c>
      <c r="D777" s="67">
        <f t="shared" si="109"/>
        <v>0</v>
      </c>
      <c r="E777" s="77" t="e">
        <f ca="1">IF(F777="y",HLOOKUP((IF(C777&lt;1,1,C777)),Magick!$C$20:$L$21,2),NA())</f>
        <v>#N/A</v>
      </c>
      <c r="F777" s="67" t="str">
        <f ca="1">IF(C777&lt;=Magick!$D$3,"Y","N")</f>
        <v>N</v>
      </c>
      <c r="G777" s="148" t="s">
        <v>859</v>
      </c>
      <c r="H777" s="151"/>
      <c r="I777" s="77" t="e">
        <f>IF(H777&gt;0,(HLOOKUP(C777,Magick!$C$20:$L$21,2)-HLOOKUP(H777,Magick!$C$20:$L$21,2)),NA())</f>
        <v>#N/A</v>
      </c>
      <c r="J777" s="77"/>
      <c r="L777" s="72" t="str">
        <f>IF(H777&gt;0,Magick!$AR$25-('Master Spell List'!H779*0.1),"N/A")</f>
        <v>N/A</v>
      </c>
      <c r="M777" s="72">
        <f ca="1">Magick!$H$75</f>
        <v>0.08</v>
      </c>
      <c r="N777" s="72">
        <f ca="1">Magick!$K$75</f>
        <v>0.13</v>
      </c>
      <c r="O777" s="72">
        <f ca="1">Magick!$L$75</f>
        <v>0.13</v>
      </c>
      <c r="P777" s="72">
        <f ca="1">Magick!$M$75</f>
        <v>0.13</v>
      </c>
      <c r="Q777" s="67" t="s">
        <v>4602</v>
      </c>
      <c r="R777" s="67">
        <f ca="1">IF(Q777="Ritual","N/A",IF(Q777="I.E.","N/A",IF(Q777="WOG",VLOOKUP(Magick!$I$75*100,magestuff!$B$134:$F$138,2),IF(Q777="Cantrip",VLOOKUP(Magick!$I$75*100,magestuff!$B$134:$F$138,3),IF(Q777="Hex",VLOOKUP(Magick!$I$75*100,magestuff!$B$134:$F$138,4),VLOOKUP(Magick!$I$75*100,magestuff!$B$134:$F$138,5))))))</f>
        <v>19</v>
      </c>
      <c r="U777" s="67" t="str">
        <f t="shared" si="110"/>
        <v xml:space="preserve"> </v>
      </c>
      <c r="V777" s="515"/>
      <c r="W777" s="125"/>
      <c r="X777" s="31">
        <f t="shared" si="111"/>
        <v>0</v>
      </c>
      <c r="Y777" s="509"/>
      <c r="Z777" s="1054" t="str">
        <f t="shared" si="112"/>
        <v>Great Healing Sap</v>
      </c>
      <c r="AA777" s="1072" t="str">
        <f t="shared" si="113"/>
        <v>Plant</v>
      </c>
    </row>
    <row r="778" spans="1:27" hidden="1" outlineLevel="1">
      <c r="A778" s="83" t="s">
        <v>1354</v>
      </c>
      <c r="B778" s="67">
        <v>8</v>
      </c>
      <c r="C778" s="67">
        <f ca="1">magestuff!$X$203</f>
        <v>8</v>
      </c>
      <c r="D778" s="67">
        <f t="shared" si="109"/>
        <v>0</v>
      </c>
      <c r="E778" s="77" t="e">
        <f ca="1">IF(F778="y",HLOOKUP((IF(C778&lt;1,1,C778)),Magick!$C$20:$L$21,2),NA())</f>
        <v>#N/A</v>
      </c>
      <c r="F778" s="67" t="str">
        <f ca="1">IF(C778&lt;=Magick!$D$3,"Y","N")</f>
        <v>N</v>
      </c>
      <c r="G778" s="148" t="s">
        <v>859</v>
      </c>
      <c r="H778" s="151"/>
      <c r="I778" s="77" t="e">
        <f>IF(H778&gt;0,(HLOOKUP(C778,Magick!$C$20:$L$21,2)-HLOOKUP(H778,Magick!$C$20:$L$21,2)),NA())</f>
        <v>#N/A</v>
      </c>
      <c r="J778" s="77"/>
      <c r="L778" s="72" t="str">
        <f>IF(H778&gt;0,Magick!$AR$25-('Master Spell List'!H775*0.1),"N/A")</f>
        <v>N/A</v>
      </c>
      <c r="M778" s="72">
        <f ca="1">Magick!$H$75</f>
        <v>0.08</v>
      </c>
      <c r="N778" s="72">
        <f ca="1">Magick!$K$75</f>
        <v>0.13</v>
      </c>
      <c r="O778" s="72">
        <f ca="1">Magick!$L$75</f>
        <v>0.13</v>
      </c>
      <c r="P778" s="72">
        <f ca="1">Magick!$M$75</f>
        <v>0.13</v>
      </c>
      <c r="Q778" s="67" t="s">
        <v>4602</v>
      </c>
      <c r="R778" s="67">
        <f ca="1">IF(Q778="Ritual","N/A",IF(Q778="I.E.","N/A",IF(Q778="WOG",VLOOKUP(Magick!$I$75*100,magestuff!$B$134:$F$138,2),IF(Q778="Cantrip",VLOOKUP(Magick!$I$75*100,magestuff!$B$134:$F$138,3),IF(Q778="Hex",VLOOKUP(Magick!$I$75*100,magestuff!$B$134:$F$138,4),VLOOKUP(Magick!$I$75*100,magestuff!$B$134:$F$138,5))))))</f>
        <v>19</v>
      </c>
      <c r="U778" s="67" t="str">
        <f t="shared" si="110"/>
        <v xml:space="preserve"> </v>
      </c>
      <c r="V778" s="515"/>
      <c r="W778" s="125"/>
      <c r="X778" s="31">
        <f t="shared" si="111"/>
        <v>0</v>
      </c>
      <c r="Y778" s="509"/>
      <c r="Z778" s="1054" t="str">
        <f t="shared" si="112"/>
        <v>Great Shape Tree</v>
      </c>
      <c r="AA778" s="1072" t="str">
        <f t="shared" si="113"/>
        <v>Plant</v>
      </c>
    </row>
    <row r="779" spans="1:27" hidden="1" outlineLevel="1">
      <c r="A779" s="83" t="s">
        <v>4935</v>
      </c>
      <c r="B779" s="67">
        <v>9</v>
      </c>
      <c r="C779" s="67">
        <f ca="1">magestuff!$AA$203</f>
        <v>9</v>
      </c>
      <c r="D779" s="67">
        <f t="shared" si="109"/>
        <v>0</v>
      </c>
      <c r="E779" s="77" t="e">
        <f ca="1">IF(F779="y",HLOOKUP((IF(C779&lt;1,1,C779)),Magick!$C$20:$L$21,2),NA())</f>
        <v>#N/A</v>
      </c>
      <c r="F779" s="67" t="str">
        <f ca="1">IF(C779&lt;=Magick!$D$3,"Y","N")</f>
        <v>N</v>
      </c>
      <c r="G779" s="148" t="s">
        <v>130</v>
      </c>
      <c r="H779" s="151"/>
      <c r="I779" s="77" t="e">
        <f>IF(H779&gt;0,(HLOOKUP(C779,Magick!$C$20:$L$21,2)-HLOOKUP(H779,Magick!$C$20:$L$21,2)),NA())</f>
        <v>#N/A</v>
      </c>
      <c r="J779" s="77"/>
      <c r="K779" s="67">
        <f>ROUNDUP(+B779*1.5,0)</f>
        <v>14</v>
      </c>
      <c r="L779" s="72" t="str">
        <f>IF(H779&gt;0,Magick!$AR$22-('Master Spell List'!H754*0.1),"N/A")</f>
        <v>N/A</v>
      </c>
      <c r="M779" s="72">
        <f ca="1">Magick!$H$75</f>
        <v>0.08</v>
      </c>
      <c r="N779" s="72">
        <f ca="1">Magick!$K$75</f>
        <v>0.13</v>
      </c>
      <c r="O779" s="72">
        <f ca="1">Magick!$L$75</f>
        <v>0.13</v>
      </c>
      <c r="P779" s="72">
        <f ca="1">Magick!$M$75</f>
        <v>0.13</v>
      </c>
      <c r="Q779" s="67" t="s">
        <v>113</v>
      </c>
      <c r="R779" s="67" t="str">
        <f>IF(Q779="Ritual","N/A",IF(Q779="I.E.","N/A",IF(Q779="WOG",VLOOKUP(Magick!$I$75*100,magestuff!$B$134:$F$138,2),IF(Q779="Cantrip",VLOOKUP(Magick!$I$75*100,magestuff!$B$134:$F$138,3),IF(Q779="Hex",VLOOKUP(Magick!$I$75*100,magestuff!$B$134:$F$138,4),VLOOKUP(Magick!$I$75*100,magestuff!$B$134:$F$138,5))))))</f>
        <v>N/A</v>
      </c>
      <c r="S779" s="67" t="s">
        <v>1984</v>
      </c>
      <c r="T779" s="67" t="str">
        <f>CONCATENATE(IF(Magick!$C$3&gt;0,Magick!$C$3*10," ")," hrs.")</f>
        <v xml:space="preserve">  hrs.</v>
      </c>
      <c r="U779" s="67" t="str">
        <f t="shared" si="110"/>
        <v xml:space="preserve"> </v>
      </c>
      <c r="V779" s="515"/>
      <c r="W779" s="125"/>
      <c r="X779" s="31">
        <f t="shared" si="111"/>
        <v>0</v>
      </c>
      <c r="Y779" s="509"/>
      <c r="Z779" s="1054" t="str">
        <f t="shared" si="112"/>
        <v>Animate War Tree Type IV</v>
      </c>
      <c r="AA779" s="1072" t="str">
        <f t="shared" si="113"/>
        <v>Plant</v>
      </c>
    </row>
    <row r="780" spans="1:27" hidden="1" outlineLevel="1" collapsed="1">
      <c r="A780" s="83" t="s">
        <v>3190</v>
      </c>
      <c r="B780" s="67">
        <v>9</v>
      </c>
      <c r="C780" s="67">
        <f ca="1">magestuff!$AA$203</f>
        <v>9</v>
      </c>
      <c r="D780" s="67">
        <f t="shared" si="109"/>
        <v>0</v>
      </c>
      <c r="E780" s="77" t="e">
        <f ca="1">IF(F780="y",HLOOKUP((IF(C780&lt;1,1,C780)),Magick!$C$20:$L$21,2),NA())</f>
        <v>#N/A</v>
      </c>
      <c r="F780" s="67" t="str">
        <f ca="1">IF(C780&lt;=Magick!$D$3,"Y","N")</f>
        <v>N</v>
      </c>
      <c r="G780" s="148" t="s">
        <v>1217</v>
      </c>
      <c r="H780" s="151"/>
      <c r="I780" s="77" t="e">
        <f>IF(H780&gt;0,(HLOOKUP(C780,Magick!$C$20:$L$21,2)-HLOOKUP(H780,Magick!$C$20:$L$21,2)),NA())</f>
        <v>#N/A</v>
      </c>
      <c r="J780" s="77"/>
      <c r="K780" s="67" t="s">
        <v>3195</v>
      </c>
      <c r="L780" s="72" t="str">
        <f>IF(H780&gt;0,Magick!$AR$25-('Master Spell List'!H706*0.1),"N/A")</f>
        <v>N/A</v>
      </c>
      <c r="M780" s="72">
        <f ca="1">Magick!$H$75</f>
        <v>0.08</v>
      </c>
      <c r="N780" s="72">
        <f ca="1">Magick!$K$75</f>
        <v>0.13</v>
      </c>
      <c r="O780" s="72">
        <f ca="1">Magick!$L$75</f>
        <v>0.13</v>
      </c>
      <c r="P780" s="72">
        <f ca="1">Magick!$M$75</f>
        <v>0.13</v>
      </c>
      <c r="Q780" s="67" t="s">
        <v>113</v>
      </c>
      <c r="R780" s="67" t="str">
        <f>IF(Q780="Ritual","N/A",IF(Q780="I.E.","N/A",IF(Q780="WOG",VLOOKUP(Magick!$I$75*100,magestuff!$B$134:$F$138,2),IF(Q780="Cantrip",VLOOKUP(Magick!$I$75*100,magestuff!$B$134:$F$138,3),IF(Q780="Hex",VLOOKUP(Magick!$I$75*100,magestuff!$B$134:$F$138,4),VLOOKUP(Magick!$I$75*100,magestuff!$B$134:$F$138,5))))))</f>
        <v>N/A</v>
      </c>
      <c r="S780" s="67">
        <f>25*Magick!$C$3</f>
        <v>0</v>
      </c>
      <c r="T780" s="67" t="s">
        <v>3218</v>
      </c>
      <c r="U780" s="67" t="str">
        <f t="shared" si="110"/>
        <v xml:space="preserve"> </v>
      </c>
      <c r="V780" s="515"/>
      <c r="W780" s="125"/>
      <c r="X780" s="31">
        <f t="shared" si="111"/>
        <v>0</v>
      </c>
      <c r="Y780" s="509"/>
      <c r="Z780" s="1054" t="str">
        <f t="shared" si="112"/>
        <v>Greatest Grind Fine</v>
      </c>
      <c r="AA780" s="1072" t="str">
        <f t="shared" si="113"/>
        <v>Plant</v>
      </c>
    </row>
    <row r="781" spans="1:27" hidden="1" outlineLevel="1">
      <c r="A781" s="31" t="s">
        <v>4985</v>
      </c>
      <c r="B781" s="67">
        <v>9</v>
      </c>
      <c r="C781" s="67">
        <f ca="1">magestuff!$AA$203</f>
        <v>9</v>
      </c>
      <c r="D781" s="67">
        <f t="shared" si="109"/>
        <v>0</v>
      </c>
      <c r="E781" s="77" t="e">
        <f ca="1">IF(F781="y",HLOOKUP((IF(C781&lt;1,1,C781)),Magick!$C$20:$L$21,2),NA())</f>
        <v>#N/A</v>
      </c>
      <c r="F781" s="67" t="str">
        <f ca="1">IF(C781&lt;=Magick!$D$3,"Y","N")</f>
        <v>N</v>
      </c>
      <c r="G781" s="148" t="s">
        <v>128</v>
      </c>
      <c r="H781" s="151"/>
      <c r="I781" s="77" t="e">
        <f>IF(H781&gt;0,(HLOOKUP(C781,Magick!$C$20:$L$21,2)-HLOOKUP(H781,Magick!$C$20:$L$21,2)),NA())</f>
        <v>#N/A</v>
      </c>
      <c r="J781" s="77"/>
      <c r="K781" s="67">
        <v>9</v>
      </c>
      <c r="L781" s="72" t="str">
        <f>IF(H781&gt;0,Magick!$AR$25-('Master Spell List'!H727*0.1),"N/A")</f>
        <v>N/A</v>
      </c>
      <c r="M781" s="72">
        <f ca="1">Magick!$H$75</f>
        <v>0.08</v>
      </c>
      <c r="N781" s="72">
        <f ca="1">Magick!$K$75</f>
        <v>0.13</v>
      </c>
      <c r="O781" s="72">
        <f ca="1">Magick!$L$75</f>
        <v>0.13</v>
      </c>
      <c r="P781" s="72">
        <f ca="1">Magick!$M$75</f>
        <v>0.13</v>
      </c>
      <c r="Q781" s="67" t="s">
        <v>113</v>
      </c>
      <c r="R781" s="67" t="str">
        <f>IF(Q781="Ritual","N/A",IF(Q781="I.E.","N/A",IF(Q781="WOG",VLOOKUP(Magick!$I$75*100,magestuff!$B$134:$F$138,2),IF(Q781="Cantrip",VLOOKUP(Magick!$I$75*100,magestuff!$B$134:$F$138,3),IF(Q781="Hex",VLOOKUP(Magick!$I$75*100,magestuff!$B$134:$F$138,4),VLOOKUP(Magick!$I$75*100,magestuff!$B$134:$F$138,5))))))</f>
        <v>N/A</v>
      </c>
      <c r="U781" s="67" t="str">
        <f t="shared" si="110"/>
        <v xml:space="preserve"> </v>
      </c>
      <c r="V781" s="515"/>
      <c r="W781" s="125"/>
      <c r="X781" s="31">
        <f t="shared" si="111"/>
        <v>0</v>
      </c>
      <c r="Y781" s="509"/>
      <c r="Z781" s="1054" t="str">
        <f t="shared" si="112"/>
        <v>The Great Elixir</v>
      </c>
      <c r="AA781" s="1072" t="str">
        <f t="shared" si="113"/>
        <v>Plant</v>
      </c>
    </row>
    <row r="782" spans="1:27" hidden="1" outlineLevel="1">
      <c r="A782" s="83" t="s">
        <v>4989</v>
      </c>
      <c r="B782" s="67">
        <v>10</v>
      </c>
      <c r="C782" s="67">
        <f ca="1">magestuff!$AD$203</f>
        <v>10</v>
      </c>
      <c r="D782" s="67">
        <f t="shared" si="109"/>
        <v>0</v>
      </c>
      <c r="E782" s="77" t="e">
        <f ca="1">IF(F782="y",HLOOKUP((IF(C782&lt;1,1,C782)),Magick!$C$20:$L$21,2),NA())</f>
        <v>#N/A</v>
      </c>
      <c r="F782" s="67" t="str">
        <f ca="1">IF(C782&lt;=Magick!$D$3,"Y","N")</f>
        <v>N</v>
      </c>
      <c r="G782" s="148" t="s">
        <v>129</v>
      </c>
      <c r="H782" s="151"/>
      <c r="I782" s="77" t="e">
        <f>IF(H782&gt;0,(HLOOKUP(C782,Magick!$C$20:$L$21,2)-HLOOKUP(H782,Magick!$C$20:$L$21,2)),NA())</f>
        <v>#N/A</v>
      </c>
      <c r="J782" s="77"/>
      <c r="L782" s="72" t="str">
        <f>IF(H782&gt;0,Magick!$AR$25-('Master Spell List'!H763*0.1),"N/A")</f>
        <v>N/A</v>
      </c>
      <c r="M782" s="72">
        <f ca="1">Magick!$H$75</f>
        <v>0.08</v>
      </c>
      <c r="N782" s="72">
        <f ca="1">Magick!$K$75</f>
        <v>0.13</v>
      </c>
      <c r="O782" s="72">
        <f ca="1">Magick!$L$75</f>
        <v>0.13</v>
      </c>
      <c r="P782" s="72">
        <f ca="1">Magick!$M$75</f>
        <v>0.13</v>
      </c>
      <c r="Q782" s="67" t="s">
        <v>113</v>
      </c>
      <c r="R782" s="67" t="str">
        <f>IF(Q782="Ritual","N/A",IF(Q782="I.E.","N/A",IF(Q782="WOG",VLOOKUP(Magick!$I$75*100,magestuff!$B$134:$F$138,2),IF(Q782="Cantrip",VLOOKUP(Magick!$I$75*100,magestuff!$B$134:$F$138,3),IF(Q782="Hex",VLOOKUP(Magick!$I$75*100,magestuff!$B$134:$F$138,4),VLOOKUP(Magick!$I$75*100,magestuff!$B$134:$F$138,5))))))</f>
        <v>N/A</v>
      </c>
      <c r="T782" s="67" t="s">
        <v>4601</v>
      </c>
      <c r="U782" s="67" t="str">
        <f t="shared" si="110"/>
        <v xml:space="preserve"> </v>
      </c>
      <c r="V782" s="515"/>
      <c r="W782" s="125"/>
      <c r="X782" s="31">
        <f t="shared" si="111"/>
        <v>0</v>
      </c>
      <c r="Y782" s="509"/>
      <c r="Z782" s="1054" t="str">
        <f t="shared" si="112"/>
        <v>Create/Command Plant (Create)</v>
      </c>
      <c r="AA782" s="1072" t="str">
        <f t="shared" si="113"/>
        <v>Plant</v>
      </c>
    </row>
    <row r="783" spans="1:27" hidden="1" outlineLevel="1">
      <c r="A783" s="31" t="s">
        <v>1358</v>
      </c>
      <c r="B783" s="67">
        <v>10</v>
      </c>
      <c r="C783" s="67">
        <f ca="1">magestuff!$AD$203</f>
        <v>10</v>
      </c>
      <c r="D783" s="67">
        <f t="shared" si="109"/>
        <v>0</v>
      </c>
      <c r="E783" s="77" t="e">
        <f ca="1">IF(F783="y",HLOOKUP((IF(C783&lt;1,1,C783)),Magick!$C$20:$L$21,2),NA())</f>
        <v>#N/A</v>
      </c>
      <c r="F783" s="67" t="str">
        <f ca="1">IF(C783&lt;=Magick!$D$3,"Y","N")</f>
        <v>N</v>
      </c>
      <c r="G783" s="148" t="s">
        <v>128</v>
      </c>
      <c r="H783" s="151"/>
      <c r="I783" s="77" t="e">
        <f>IF(H783&gt;0,(HLOOKUP(C783,Magick!$C$20:$L$21,2)-HLOOKUP(H783,Magick!$C$20:$L$21,2)),NA())</f>
        <v>#N/A</v>
      </c>
      <c r="J783" s="77"/>
      <c r="K783" s="67">
        <v>13</v>
      </c>
      <c r="L783" s="72" t="str">
        <f>IF(H783&gt;0,Magick!$AR$25-('Master Spell List'!H724*0.1),"N/A")</f>
        <v>N/A</v>
      </c>
      <c r="M783" s="72">
        <f ca="1">Magick!$H$75</f>
        <v>0.08</v>
      </c>
      <c r="N783" s="72">
        <f ca="1">Magick!$K$75</f>
        <v>0.13</v>
      </c>
      <c r="O783" s="72">
        <f ca="1">Magick!$L$75</f>
        <v>0.13</v>
      </c>
      <c r="P783" s="72">
        <f ca="1">Magick!$M$75</f>
        <v>0.13</v>
      </c>
      <c r="Q783" s="67" t="s">
        <v>113</v>
      </c>
      <c r="R783" s="67" t="str">
        <f>IF(Q783="Ritual","N/A",IF(Q783="I.E.","N/A",IF(Q783="WOG",VLOOKUP(Magick!$I$75*100,magestuff!$B$134:$F$138,2),IF(Q783="Cantrip",VLOOKUP(Magick!$I$75*100,magestuff!$B$134:$F$138,3),IF(Q783="Hex",VLOOKUP(Magick!$I$75*100,magestuff!$B$134:$F$138,4),VLOOKUP(Magick!$I$75*100,magestuff!$B$134:$F$138,5))))))</f>
        <v>N/A</v>
      </c>
      <c r="U783" s="67" t="str">
        <f t="shared" si="110"/>
        <v xml:space="preserve"> </v>
      </c>
      <c r="V783" s="515"/>
      <c r="W783" s="125"/>
      <c r="X783" s="31">
        <f t="shared" si="111"/>
        <v>0</v>
      </c>
      <c r="Y783" s="509"/>
      <c r="Z783" s="1054" t="str">
        <f t="shared" si="112"/>
        <v>Great Balm</v>
      </c>
      <c r="AA783" s="1072" t="str">
        <f t="shared" si="113"/>
        <v>Plant</v>
      </c>
    </row>
    <row r="784" spans="1:27" hidden="1" outlineLevel="1">
      <c r="A784" s="83" t="s">
        <v>1175</v>
      </c>
      <c r="B784" s="67">
        <v>10</v>
      </c>
      <c r="C784" s="67">
        <f ca="1">magestuff!$AD$203</f>
        <v>10</v>
      </c>
      <c r="D784" s="67">
        <f t="shared" si="109"/>
        <v>0</v>
      </c>
      <c r="E784" s="77" t="e">
        <f ca="1">IF(F784="y",HLOOKUP((IF(C784&lt;1,1,C784)),Magick!$C$20:$L$21,2),NA())</f>
        <v>#N/A</v>
      </c>
      <c r="F784" s="67" t="str">
        <f ca="1">IF(C784&lt;=Magick!$D$3,"Y","N")</f>
        <v>N</v>
      </c>
      <c r="G784" s="148" t="s">
        <v>859</v>
      </c>
      <c r="H784" s="151"/>
      <c r="I784" s="77" t="e">
        <f>IF(H784&gt;0,(HLOOKUP(C784,Magick!$C$20:$L$21,2)-HLOOKUP(H784,Magick!$C$20:$L$21,2)),NA())</f>
        <v>#N/A</v>
      </c>
      <c r="J784" s="77"/>
      <c r="L784" s="72" t="str">
        <f>IF(H784&gt;0,Magick!$AR$25-('Master Spell List'!H780*0.1),"N/A")</f>
        <v>N/A</v>
      </c>
      <c r="M784" s="72">
        <f ca="1">Magick!$H$75</f>
        <v>0.08</v>
      </c>
      <c r="N784" s="72">
        <f ca="1">Magick!$K$75</f>
        <v>0.13</v>
      </c>
      <c r="O784" s="72">
        <f ca="1">Magick!$L$75</f>
        <v>0.13</v>
      </c>
      <c r="P784" s="72">
        <f ca="1">Magick!$M$75</f>
        <v>0.13</v>
      </c>
      <c r="Q784" s="67" t="s">
        <v>4602</v>
      </c>
      <c r="R784" s="67">
        <f ca="1">IF(Q784="Ritual","N/A",IF(Q784="I.E.","N/A",IF(Q784="WOG",VLOOKUP(Magick!$I$75*100,magestuff!$B$134:$F$138,2),IF(Q784="Cantrip",VLOOKUP(Magick!$I$75*100,magestuff!$B$134:$F$138,3),IF(Q784="Hex",VLOOKUP(Magick!$I$75*100,magestuff!$B$134:$F$138,4),VLOOKUP(Magick!$I$75*100,magestuff!$B$134:$F$138,5))))))</f>
        <v>19</v>
      </c>
      <c r="U784" s="67" t="str">
        <f t="shared" si="110"/>
        <v xml:space="preserve"> </v>
      </c>
      <c r="V784" s="515"/>
      <c r="W784" s="125"/>
      <c r="X784" s="31">
        <f t="shared" si="111"/>
        <v>0</v>
      </c>
      <c r="Y784" s="509"/>
      <c r="Z784" s="1054" t="str">
        <f t="shared" si="112"/>
        <v>Greater Healing Sap</v>
      </c>
      <c r="AA784" s="1072" t="str">
        <f t="shared" si="113"/>
        <v>Plant</v>
      </c>
    </row>
    <row r="785" spans="1:27" hidden="1" outlineLevel="1">
      <c r="A785" s="83" t="s">
        <v>1355</v>
      </c>
      <c r="B785" s="67">
        <v>10</v>
      </c>
      <c r="C785" s="67">
        <f ca="1">magestuff!$AD$203</f>
        <v>10</v>
      </c>
      <c r="D785" s="67">
        <f t="shared" si="109"/>
        <v>0</v>
      </c>
      <c r="E785" s="77" t="e">
        <f ca="1">IF(F785="y",HLOOKUP((IF(C785&lt;1,1,C785)),Magick!$C$20:$L$21,2),NA())</f>
        <v>#N/A</v>
      </c>
      <c r="F785" s="67" t="str">
        <f ca="1">IF(C785&lt;=Magick!$D$3,"Y","N")</f>
        <v>N</v>
      </c>
      <c r="G785" s="148" t="s">
        <v>859</v>
      </c>
      <c r="H785" s="151"/>
      <c r="I785" s="77" t="e">
        <f>IF(H785&gt;0,(HLOOKUP(C785,Magick!$C$20:$L$21,2)-HLOOKUP(H785,Magick!$C$20:$L$21,2)),NA())</f>
        <v>#N/A</v>
      </c>
      <c r="J785" s="77"/>
      <c r="L785" s="72" t="str">
        <f>IF(H785&gt;0,Magick!$AR$25-('Master Spell List'!H776*0.1),"N/A")</f>
        <v>N/A</v>
      </c>
      <c r="M785" s="72">
        <f ca="1">Magick!$H$75</f>
        <v>0.08</v>
      </c>
      <c r="N785" s="72">
        <f ca="1">Magick!$K$75</f>
        <v>0.13</v>
      </c>
      <c r="O785" s="72">
        <f ca="1">Magick!$L$75</f>
        <v>0.13</v>
      </c>
      <c r="P785" s="72">
        <f ca="1">Magick!$M$75</f>
        <v>0.13</v>
      </c>
      <c r="Q785" s="67" t="s">
        <v>4602</v>
      </c>
      <c r="R785" s="67">
        <f ca="1">IF(Q785="Ritual","N/A",IF(Q785="I.E.","N/A",IF(Q785="WOG",VLOOKUP(Magick!$I$75*100,magestuff!$B$134:$F$138,2),IF(Q785="Cantrip",VLOOKUP(Magick!$I$75*100,magestuff!$B$134:$F$138,3),IF(Q785="Hex",VLOOKUP(Magick!$I$75*100,magestuff!$B$134:$F$138,4),VLOOKUP(Magick!$I$75*100,magestuff!$B$134:$F$138,5))))))</f>
        <v>19</v>
      </c>
      <c r="U785" s="67" t="str">
        <f t="shared" si="110"/>
        <v xml:space="preserve"> </v>
      </c>
      <c r="V785" s="515"/>
      <c r="W785" s="125"/>
      <c r="X785" s="31">
        <f t="shared" si="111"/>
        <v>0</v>
      </c>
      <c r="Y785" s="509"/>
      <c r="Z785" s="1054" t="str">
        <f t="shared" si="112"/>
        <v>Greater Shape Tree</v>
      </c>
      <c r="AA785" s="1072" t="str">
        <f t="shared" si="113"/>
        <v>Plant</v>
      </c>
    </row>
    <row r="786" spans="1:27" hidden="1" outlineLevel="1">
      <c r="A786" s="83" t="s">
        <v>1351</v>
      </c>
      <c r="B786" s="67">
        <v>10</v>
      </c>
      <c r="C786" s="67">
        <f ca="1">magestuff!$AD$203</f>
        <v>10</v>
      </c>
      <c r="D786" s="67">
        <f t="shared" si="109"/>
        <v>0</v>
      </c>
      <c r="E786" s="77" t="e">
        <f ca="1">IF(F786="y",HLOOKUP((IF(C786&lt;1,1,C786)),Magick!$C$20:$L$21,2),NA())</f>
        <v>#N/A</v>
      </c>
      <c r="F786" s="67" t="str">
        <f ca="1">IF(C786&lt;=Magick!$D$3,"Y","N")</f>
        <v>N</v>
      </c>
      <c r="G786" s="148" t="s">
        <v>859</v>
      </c>
      <c r="H786" s="151"/>
      <c r="I786" s="77" t="e">
        <f>IF(H786&gt;0,(HLOOKUP(C786,Magick!$C$20:$L$21,2)-HLOOKUP(H786,Magick!$C$20:$L$21,2)),NA())</f>
        <v>#N/A</v>
      </c>
      <c r="J786" s="77"/>
      <c r="L786" s="72" t="str">
        <f>IF(H786&gt;0,Magick!$AR$25-('Master Spell List'!H772*0.1),"N/A")</f>
        <v>N/A</v>
      </c>
      <c r="M786" s="72">
        <f ca="1">Magick!$H$75</f>
        <v>0.08</v>
      </c>
      <c r="N786" s="72">
        <f ca="1">Magick!$K$75</f>
        <v>0.13</v>
      </c>
      <c r="O786" s="72">
        <f ca="1">Magick!$L$75</f>
        <v>0.13</v>
      </c>
      <c r="P786" s="72">
        <f ca="1">Magick!$M$75</f>
        <v>0.13</v>
      </c>
      <c r="Q786" s="67" t="s">
        <v>4602</v>
      </c>
      <c r="R786" s="67">
        <f ca="1">IF(Q786="Ritual","N/A",IF(Q786="I.E.","N/A",IF(Q786="WOG",VLOOKUP(Magick!$I$75*100,magestuff!$B$134:$F$138,2),IF(Q786="Cantrip",VLOOKUP(Magick!$I$75*100,magestuff!$B$134:$F$138,3),IF(Q786="Hex",VLOOKUP(Magick!$I$75*100,magestuff!$B$134:$F$138,4),VLOOKUP(Magick!$I$75*100,magestuff!$B$134:$F$138,5))))))</f>
        <v>19</v>
      </c>
      <c r="U786" s="67" t="str">
        <f t="shared" si="110"/>
        <v xml:space="preserve"> </v>
      </c>
      <c r="V786" s="515"/>
      <c r="W786" s="125"/>
      <c r="X786" s="31">
        <f t="shared" si="111"/>
        <v>0</v>
      </c>
      <c r="Y786" s="509"/>
      <c r="Z786" s="1054" t="str">
        <f t="shared" si="112"/>
        <v>Greatest Shape Wood</v>
      </c>
      <c r="AA786" s="1072" t="str">
        <f t="shared" si="113"/>
        <v>Plant</v>
      </c>
    </row>
    <row r="787" spans="1:27" hidden="1" outlineLevel="1">
      <c r="A787" s="31" t="s">
        <v>3229</v>
      </c>
      <c r="B787" s="67">
        <v>10</v>
      </c>
      <c r="C787" s="67">
        <f ca="1">magestuff!$AD$203</f>
        <v>10</v>
      </c>
      <c r="D787" s="67">
        <f t="shared" si="109"/>
        <v>0</v>
      </c>
      <c r="E787" s="77" t="e">
        <f ca="1">IF(F787="y",HLOOKUP((IF(C787&lt;1,1,C787)),Magick!$C$20:$L$21,2),NA())</f>
        <v>#N/A</v>
      </c>
      <c r="F787" s="67" t="str">
        <f ca="1">IF(C787&lt;=Magick!$D$3,"Y","N")</f>
        <v>N</v>
      </c>
      <c r="G787" s="148" t="s">
        <v>128</v>
      </c>
      <c r="H787" s="151"/>
      <c r="I787" s="77" t="e">
        <f>IF(H787&gt;0,(HLOOKUP(C787,Magick!$C$20:$L$21,2)-HLOOKUP(H787,Magick!$C$20:$L$21,2)),NA())</f>
        <v>#N/A</v>
      </c>
      <c r="J787" s="77"/>
      <c r="K787" s="67">
        <v>39</v>
      </c>
      <c r="L787" s="72" t="str">
        <f>IF(H787&gt;0,Magick!$AR$25-('Master Spell List'!H717*0.1),"N/A")</f>
        <v>N/A</v>
      </c>
      <c r="M787" s="72">
        <f ca="1">Magick!$H$75</f>
        <v>0.08</v>
      </c>
      <c r="N787" s="72">
        <f ca="1">Magick!$K$75</f>
        <v>0.13</v>
      </c>
      <c r="O787" s="72">
        <f ca="1">Magick!$L$75</f>
        <v>0.13</v>
      </c>
      <c r="P787" s="72">
        <f ca="1">Magick!$M$75</f>
        <v>0.13</v>
      </c>
      <c r="Q787" s="67" t="s">
        <v>113</v>
      </c>
      <c r="R787" s="67" t="str">
        <f>IF(Q787="Ritual","N/A",IF(Q787="I.E.","N/A",IF(Q787="WOG",VLOOKUP(Magick!$I$75*100,magestuff!$B$134:$F$138,2),IF(Q787="Cantrip",VLOOKUP(Magick!$I$75*100,magestuff!$B$134:$F$138,3),IF(Q787="Hex",VLOOKUP(Magick!$I$75*100,magestuff!$B$134:$F$138,4),VLOOKUP(Magick!$I$75*100,magestuff!$B$134:$F$138,5))))))</f>
        <v>N/A</v>
      </c>
      <c r="U787" s="67" t="str">
        <f t="shared" si="110"/>
        <v xml:space="preserve"> </v>
      </c>
      <c r="V787" s="515"/>
      <c r="W787" s="125"/>
      <c r="X787" s="31">
        <f t="shared" si="111"/>
        <v>0</v>
      </c>
      <c r="Y787" s="509"/>
      <c r="Z787" s="1054" t="str">
        <f t="shared" si="112"/>
        <v>The New Forest</v>
      </c>
      <c r="AA787" s="1072" t="str">
        <f t="shared" si="113"/>
        <v>Plant</v>
      </c>
    </row>
    <row r="788" spans="1:27" hidden="1" outlineLevel="1">
      <c r="A788" s="83" t="s">
        <v>1356</v>
      </c>
      <c r="B788" s="67">
        <v>14</v>
      </c>
      <c r="C788" s="67">
        <f ca="1">magestuff!$AD$203+4</f>
        <v>14</v>
      </c>
      <c r="D788" s="67">
        <f t="shared" si="109"/>
        <v>0</v>
      </c>
      <c r="E788" s="77" t="e">
        <f ca="1">IF(F788="y",HLOOKUP((IF(C788&lt;1,1,C788)),Magick!$C$20:$L$21,2),NA())</f>
        <v>#N/A</v>
      </c>
      <c r="F788" s="67" t="str">
        <f ca="1">IF(C788&lt;=Magick!$D$3,"Y","N")</f>
        <v>N</v>
      </c>
      <c r="G788" s="148" t="s">
        <v>859</v>
      </c>
      <c r="H788" s="151"/>
      <c r="I788" s="77" t="e">
        <f>IF(H788&gt;0,(HLOOKUP(C788,Magick!$C$20:$L$21,2)-HLOOKUP(H788,Magick!$C$20:$L$21,2)),NA())</f>
        <v>#N/A</v>
      </c>
      <c r="J788" s="77"/>
      <c r="L788" s="72" t="str">
        <f>IF(H788&gt;0,Magick!$AR$25-('Master Spell List'!H777*0.1),"N/A")</f>
        <v>N/A</v>
      </c>
      <c r="M788" s="72">
        <f ca="1">Magick!$H$75</f>
        <v>0.08</v>
      </c>
      <c r="N788" s="72">
        <f ca="1">Magick!$K$75</f>
        <v>0.13</v>
      </c>
      <c r="O788" s="72">
        <f ca="1">Magick!$L$75</f>
        <v>0.13</v>
      </c>
      <c r="P788" s="72">
        <f ca="1">Magick!$M$75</f>
        <v>0.13</v>
      </c>
      <c r="Q788" s="67" t="s">
        <v>4602</v>
      </c>
      <c r="R788" s="67">
        <f ca="1">IF(Q788="Ritual","N/A",IF(Q788="I.E.","N/A",IF(Q788="WOG",VLOOKUP(Magick!$I$75*100,magestuff!$B$134:$F$138,2),IF(Q788="Cantrip",VLOOKUP(Magick!$I$75*100,magestuff!$B$134:$F$138,3),IF(Q788="Hex",VLOOKUP(Magick!$I$75*100,magestuff!$B$134:$F$138,4),VLOOKUP(Magick!$I$75*100,magestuff!$B$134:$F$138,5))))))</f>
        <v>19</v>
      </c>
      <c r="U788" s="67" t="str">
        <f t="shared" si="110"/>
        <v xml:space="preserve"> </v>
      </c>
      <c r="V788" s="515"/>
      <c r="W788" s="125"/>
      <c r="X788" s="31">
        <f t="shared" si="111"/>
        <v>0</v>
      </c>
      <c r="Y788" s="509"/>
      <c r="Z788" s="1054" t="str">
        <f t="shared" si="112"/>
        <v>Greatest Shape Tree</v>
      </c>
      <c r="AA788" s="1072" t="str">
        <f t="shared" si="113"/>
        <v>Plant</v>
      </c>
    </row>
    <row r="789" spans="1:27" collapsed="1">
      <c r="A789" s="48" t="s">
        <v>1633</v>
      </c>
      <c r="B789" s="76">
        <f>SUM(B790:B849)</f>
        <v>480</v>
      </c>
      <c r="C789" s="76">
        <f ca="1">SUM(C790:C849)</f>
        <v>480</v>
      </c>
      <c r="D789" s="76">
        <f>SUM(D790:D849)</f>
        <v>0</v>
      </c>
      <c r="E789" s="76"/>
      <c r="F789" s="149">
        <f ca="1">SUM(C790:C795)+IF(F796="Y",SUM(C796:C797),0)+IF(F798="Y",SUM(C798:C799),0)+IF(F800="Y",SUM(C800:C803),0)+IF(F804="Y",SUM(C804:C811),0)+IF(F812="Y",SUM(C812:C819),0)+IF(F820="Y",SUM(C820:C826),0)+IF(F827="Y",SUM(C827:C830),0)+IF(F831="Y",SUM(C831:C836),0)+IF(F837="Y",SUM(C837:C837),0)+IF(F838="Y",SUM(C838:C842),0)+IF(F843="Y",SUM(C843:C844),0)+IF(F845="Y",SUM(C845:C845),0)+IF(F846="Y",SUM(C846:C847),0)+IF(F848="Y",SUM(C848:C848),0)+IF(F849="Y",SUM(C849:C849),0)</f>
        <v>9</v>
      </c>
      <c r="G789" s="76"/>
      <c r="H789" s="150"/>
      <c r="I789" s="76"/>
      <c r="J789" s="76"/>
      <c r="K789" s="76"/>
      <c r="L789" s="76"/>
      <c r="M789" s="222">
        <f ca="1">Magick!$H$79</f>
        <v>0.08</v>
      </c>
      <c r="N789" s="222">
        <f ca="1">Magick!L79</f>
        <v>0.13</v>
      </c>
      <c r="O789" s="222">
        <f ca="1">Magick!$L$79</f>
        <v>0.13</v>
      </c>
      <c r="P789" s="222">
        <f ca="1">Magick!$M$79</f>
        <v>0.13</v>
      </c>
      <c r="Q789" s="76"/>
      <c r="R789" s="76"/>
      <c r="S789" s="76"/>
      <c r="T789" s="76"/>
      <c r="U789" s="149">
        <f>SUM(U790:U849)</f>
        <v>0</v>
      </c>
      <c r="V789" s="76"/>
      <c r="W789" s="76"/>
      <c r="X789" s="149"/>
      <c r="Y789" s="509"/>
      <c r="Z789" s="1054" t="str">
        <f t="shared" si="112"/>
        <v>Summoning</v>
      </c>
      <c r="AA789" s="1072" t="str">
        <f t="shared" si="113"/>
        <v>Summoning</v>
      </c>
    </row>
    <row r="790" spans="1:27" hidden="1" outlineLevel="1">
      <c r="A790" s="31" t="s">
        <v>5486</v>
      </c>
      <c r="B790" s="67">
        <v>1</v>
      </c>
      <c r="C790" s="67">
        <f ca="1">IF(magestuff!$C$207&lt;1,1,magestuff!$C$207)</f>
        <v>1</v>
      </c>
      <c r="D790" s="67">
        <f t="shared" ref="D790:D849" si="114">IF(AND(ISNUMBER(H790),H790=0),C790,0)</f>
        <v>0</v>
      </c>
      <c r="E790" s="77">
        <f ca="1">IF(F790="y",HLOOKUP((IF(C790&lt;1,1,C790)),Magick!$C$20:$L$21,2),NA())</f>
        <v>10</v>
      </c>
      <c r="F790" s="67" t="str">
        <f ca="1">IF(C790&lt;=Magick!$D$3,"Y","N")</f>
        <v>Y</v>
      </c>
      <c r="G790" s="148" t="s">
        <v>128</v>
      </c>
      <c r="H790" s="151"/>
      <c r="I790" s="77" t="e">
        <f>IF(H790&gt;0,(HLOOKUP(C790,Magick!$C$20:$L$21,2)-HLOOKUP(H790,Magick!$C$20:$L$21,2)),NA())</f>
        <v>#N/A</v>
      </c>
      <c r="J790" s="77"/>
      <c r="K790" s="67">
        <v>3</v>
      </c>
      <c r="L790" s="72" t="str">
        <f>IF(H790&gt;0,Magick!$AR$26-('Master Spell List'!H798*0.1),"N/A")</f>
        <v>N/A</v>
      </c>
      <c r="M790" s="72">
        <f ca="1">Magick!$H$79</f>
        <v>0.08</v>
      </c>
      <c r="N790" s="72">
        <f ca="1">Magick!$K$79</f>
        <v>0.13</v>
      </c>
      <c r="O790" s="72">
        <f ca="1">Magick!$L$79</f>
        <v>0.13</v>
      </c>
      <c r="P790" s="72">
        <f ca="1">Magick!$M$79</f>
        <v>0.13</v>
      </c>
      <c r="Q790" s="67" t="s">
        <v>113</v>
      </c>
      <c r="R790" s="67" t="str">
        <f>IF(Q790="Ritual","N/A",IF(Q790="I.E.","N/A",IF(Q790="WOG",VLOOKUP(Magick!$I$79*100,magestuff!$B$134:$F$138,2),IF(Q790="Cantrip",VLOOKUP(Magick!$I$79*100,magestuff!$B$134:$F$138,3),IF(Q790="Hex",VLOOKUP(Magick!$I$79*100,magestuff!$B$134:$F$138,4),VLOOKUP(Magick!$I$79*100,magestuff!$B$134:$F$138,5))))))</f>
        <v>N/A</v>
      </c>
      <c r="S790" s="71" t="s">
        <v>5545</v>
      </c>
      <c r="T790" s="294" t="str">
        <f>CONCATENATE(IF(Magick!$C$3&gt;0,IF(Magick!$C$3&gt;13,1,13-Magick!$C$3)," ")," hrs.")</f>
        <v xml:space="preserve">  hrs.</v>
      </c>
      <c r="U790" s="67" t="str">
        <f t="shared" ref="U790:U849" si="115">IF(ISBLANK(H790)," ",IF(H790&gt;0,0,C790*10))</f>
        <v xml:space="preserve"> </v>
      </c>
      <c r="V790" s="515"/>
      <c r="W790" s="125"/>
      <c r="X790" s="31">
        <f t="shared" ref="X790:X821" si="116">W790*3</f>
        <v>0</v>
      </c>
      <c r="Y790" s="509"/>
      <c r="Z790" s="1054" t="str">
        <f t="shared" si="112"/>
        <v>Call Familiar</v>
      </c>
      <c r="AA790" s="1072" t="str">
        <f t="shared" si="113"/>
        <v>Summoning</v>
      </c>
    </row>
    <row r="791" spans="1:27" hidden="1" outlineLevel="1">
      <c r="A791" s="31" t="s">
        <v>5489</v>
      </c>
      <c r="B791" s="67">
        <v>1</v>
      </c>
      <c r="C791" s="67">
        <f ca="1">IF(magestuff!$C$207&lt;1,1,magestuff!$C$207)</f>
        <v>1</v>
      </c>
      <c r="D791" s="67">
        <f t="shared" si="114"/>
        <v>0</v>
      </c>
      <c r="E791" s="77">
        <f ca="1">IF(F791="y",HLOOKUP((IF(C791&lt;1,1,C791)),Magick!$C$20:$L$21,2),NA())</f>
        <v>10</v>
      </c>
      <c r="F791" s="67" t="str">
        <f ca="1">IF(C791&lt;=Magick!$D$3,"Y","N")</f>
        <v>Y</v>
      </c>
      <c r="G791" s="148" t="s">
        <v>128</v>
      </c>
      <c r="H791" s="151"/>
      <c r="I791" s="77" t="e">
        <f>IF(H791&gt;0,(HLOOKUP(C791,Magick!$C$20:$L$21,2)-HLOOKUP(H791,Magick!$C$20:$L$21,2)),NA())</f>
        <v>#N/A</v>
      </c>
      <c r="J791" s="77"/>
      <c r="K791" s="67">
        <v>3</v>
      </c>
      <c r="L791" s="72" t="str">
        <f>IF(H791&gt;0,Magick!$AR$26-('Master Spell List'!H801*0.1),"N/A")</f>
        <v>N/A</v>
      </c>
      <c r="M791" s="72">
        <f ca="1">Magick!$H$79</f>
        <v>0.08</v>
      </c>
      <c r="N791" s="72">
        <f ca="1">Magick!$K$79</f>
        <v>0.13</v>
      </c>
      <c r="O791" s="72">
        <f ca="1">Magick!$L$79</f>
        <v>0.13</v>
      </c>
      <c r="P791" s="72">
        <f ca="1">Magick!$M$79</f>
        <v>0.13</v>
      </c>
      <c r="Q791" s="67" t="s">
        <v>3723</v>
      </c>
      <c r="R791" s="67">
        <f ca="1">IF(Q791="Ritual","N/A",IF(Q791="I.E.","N/A",IF(Q791="WOG",VLOOKUP(Magick!$I$79*100,magestuff!$B$134:$F$138,2),IF(Q791="Cantrip",VLOOKUP(Magick!$I$79*100,magestuff!$B$134:$F$138,3),IF(Q791="Hex",VLOOKUP(Magick!$I$79*100,magestuff!$B$134:$F$138,4),VLOOKUP(Magick!$I$79*100,magestuff!$B$134:$F$138,5))))))</f>
        <v>29</v>
      </c>
      <c r="U791" s="67" t="str">
        <f t="shared" si="115"/>
        <v xml:space="preserve"> </v>
      </c>
      <c r="V791" s="515"/>
      <c r="W791" s="125"/>
      <c r="X791" s="31">
        <f t="shared" si="116"/>
        <v>0</v>
      </c>
      <c r="Y791" s="509"/>
      <c r="Z791" s="1054" t="str">
        <f t="shared" si="112"/>
        <v>Summon Small Animals</v>
      </c>
      <c r="AA791" s="1072" t="str">
        <f t="shared" si="113"/>
        <v>Summoning</v>
      </c>
    </row>
    <row r="792" spans="1:27" hidden="1" outlineLevel="1">
      <c r="A792" s="378" t="s">
        <v>5487</v>
      </c>
      <c r="B792" s="67">
        <v>1</v>
      </c>
      <c r="C792" s="67">
        <f ca="1">IF(magestuff!$C$207&lt;1,1,magestuff!$C$207)</f>
        <v>1</v>
      </c>
      <c r="D792" s="67">
        <f t="shared" si="114"/>
        <v>0</v>
      </c>
      <c r="E792" s="77">
        <f ca="1">IF(F792="y",HLOOKUP((IF(C792&lt;1,1,C792)),Magick!$C$20:$L$21,2),NA())</f>
        <v>10</v>
      </c>
      <c r="F792" s="67" t="str">
        <f ca="1">IF(C792&lt;=Magick!$D$3,"Y","N")</f>
        <v>Y</v>
      </c>
      <c r="G792" s="148" t="s">
        <v>128</v>
      </c>
      <c r="H792" s="151"/>
      <c r="I792" s="77" t="e">
        <f>IF(H792&gt;0,(HLOOKUP(C792,Magick!$C$20:$L$21,2)-HLOOKUP(H792,Magick!$C$20:$L$21,2)),NA())</f>
        <v>#N/A</v>
      </c>
      <c r="J792" s="77"/>
      <c r="K792" s="67">
        <v>3</v>
      </c>
      <c r="L792" s="72" t="str">
        <f>IF(H792&gt;0,Magick!$AR$26-('Master Spell List'!H799*0.1),"N/A")</f>
        <v>N/A</v>
      </c>
      <c r="M792" s="72">
        <f ca="1">Magick!$H$79</f>
        <v>0.08</v>
      </c>
      <c r="N792" s="72">
        <f ca="1">Magick!$K$79</f>
        <v>0.13</v>
      </c>
      <c r="O792" s="72">
        <f ca="1">Magick!$L$79</f>
        <v>0.13</v>
      </c>
      <c r="P792" s="72">
        <f ca="1">Magick!$M$79</f>
        <v>0.13</v>
      </c>
      <c r="Q792" s="67" t="s">
        <v>3723</v>
      </c>
      <c r="R792" s="67">
        <f ca="1">IF(Q792="Ritual","N/A",IF(Q792="I.E.","N/A",IF(Q792="WOG",VLOOKUP(Magick!$I$79*100,magestuff!$B$134:$F$138,2),IF(Q792="Cantrip",VLOOKUP(Magick!$I$79*100,magestuff!$B$134:$F$138,3),IF(Q792="Hex",VLOOKUP(Magick!$I$79*100,magestuff!$B$134:$F$138,4),VLOOKUP(Magick!$I$79*100,magestuff!$B$134:$F$138,5))))))</f>
        <v>29</v>
      </c>
      <c r="U792" s="67" t="str">
        <f t="shared" si="115"/>
        <v xml:space="preserve"> </v>
      </c>
      <c r="V792" s="515"/>
      <c r="W792" s="125"/>
      <c r="X792" s="31">
        <f t="shared" si="116"/>
        <v>0</v>
      </c>
      <c r="Y792" s="509"/>
      <c r="Z792" s="1054" t="str">
        <f t="shared" si="112"/>
        <v>Summon Small Birds</v>
      </c>
      <c r="AA792" s="1072" t="str">
        <f t="shared" si="113"/>
        <v>Summoning</v>
      </c>
    </row>
    <row r="793" spans="1:27" hidden="1" outlineLevel="1">
      <c r="A793" s="378" t="s">
        <v>2583</v>
      </c>
      <c r="B793" s="67">
        <v>2</v>
      </c>
      <c r="C793" s="67">
        <f ca="1">IF(magestuff!$F$207&lt;1,1,magestuff!$F$207)</f>
        <v>2</v>
      </c>
      <c r="D793" s="67">
        <f t="shared" si="114"/>
        <v>0</v>
      </c>
      <c r="E793" s="77">
        <f ca="1">IF(F793="y",HLOOKUP((IF(C793&lt;1,1,C793)),Magick!$C$20:$L$21,2),NA())</f>
        <v>21</v>
      </c>
      <c r="F793" s="67" t="str">
        <f ca="1">IF(C793&lt;=Magick!$D$3,"Y","N")</f>
        <v>Y</v>
      </c>
      <c r="G793" s="148" t="s">
        <v>128</v>
      </c>
      <c r="H793" s="151"/>
      <c r="I793" s="77" t="e">
        <f>IF(H793&gt;0,(HLOOKUP(C793,Magick!$C$20:$L$21,2)-HLOOKUP(H793,Magick!$C$20:$L$21,2)),NA())</f>
        <v>#N/A</v>
      </c>
      <c r="J793" s="77"/>
      <c r="K793" s="67">
        <v>4</v>
      </c>
      <c r="L793" s="72" t="str">
        <f>IF(H793&gt;0,Magick!$AR$26-('Master Spell List'!H790*0.1),"N/A")</f>
        <v>N/A</v>
      </c>
      <c r="M793" s="72">
        <f ca="1">Magick!$H$79</f>
        <v>0.08</v>
      </c>
      <c r="N793" s="72">
        <f ca="1">Magick!$K$79</f>
        <v>0.13</v>
      </c>
      <c r="O793" s="72">
        <f ca="1">Magick!$L$79</f>
        <v>0.13</v>
      </c>
      <c r="P793" s="72">
        <f ca="1">Magick!$M$79</f>
        <v>0.13</v>
      </c>
      <c r="Q793" s="67" t="s">
        <v>113</v>
      </c>
      <c r="R793" s="67" t="str">
        <f>IF(Q793="Ritual","N/A",IF(Q793="I.E.","N/A",IF(Q793="WOG",VLOOKUP(Magick!$I$79*100,magestuff!$B$134:$F$138,2),IF(Q793="Cantrip",VLOOKUP(Magick!$I$79*100,magestuff!$B$134:$F$138,3),IF(Q793="Hex",VLOOKUP(Magick!$I$79*100,magestuff!$B$134:$F$138,4),VLOOKUP(Magick!$I$79*100,magestuff!$B$134:$F$138,5))))))</f>
        <v>N/A</v>
      </c>
      <c r="S793" s="71" t="s">
        <v>5545</v>
      </c>
      <c r="T793" s="71" t="s">
        <v>5545</v>
      </c>
      <c r="U793" s="67" t="str">
        <f t="shared" si="115"/>
        <v xml:space="preserve"> </v>
      </c>
      <c r="V793" s="515"/>
      <c r="W793" s="125"/>
      <c r="X793" s="31">
        <f t="shared" si="116"/>
        <v>0</v>
      </c>
      <c r="Y793" s="509"/>
      <c r="Z793" s="1054" t="str">
        <f t="shared" si="112"/>
        <v>Circles of Binding</v>
      </c>
      <c r="AA793" s="1072" t="str">
        <f t="shared" si="113"/>
        <v>Summoning</v>
      </c>
    </row>
    <row r="794" spans="1:27" hidden="1" outlineLevel="1">
      <c r="A794" s="378" t="s">
        <v>5488</v>
      </c>
      <c r="B794" s="67">
        <v>2</v>
      </c>
      <c r="C794" s="67">
        <f ca="1">IF(magestuff!$F$207&lt;1,1,magestuff!$F$207)</f>
        <v>2</v>
      </c>
      <c r="D794" s="67">
        <f t="shared" si="114"/>
        <v>0</v>
      </c>
      <c r="E794" s="77">
        <f ca="1">IF(F794="y",HLOOKUP((IF(C794&lt;1,1,C794)),Magick!$C$20:$L$21,2),NA())</f>
        <v>21</v>
      </c>
      <c r="F794" s="67" t="str">
        <f ca="1">IF(C794&lt;=Magick!$D$3,"Y","N")</f>
        <v>Y</v>
      </c>
      <c r="G794" s="148" t="s">
        <v>128</v>
      </c>
      <c r="H794" s="151"/>
      <c r="I794" s="77" t="e">
        <f>IF(H794&gt;0,(HLOOKUP(C794,Magick!$C$20:$L$21,2)-HLOOKUP(H794,Magick!$C$20:$L$21,2)),NA())</f>
        <v>#N/A</v>
      </c>
      <c r="J794" s="77"/>
      <c r="K794" s="67">
        <v>4</v>
      </c>
      <c r="L794" s="72" t="str">
        <f>IF(H794&gt;0,Magick!$AR$26-('Master Spell List'!H800*0.1),"N/A")</f>
        <v>N/A</v>
      </c>
      <c r="M794" s="72">
        <f ca="1">Magick!$H$79</f>
        <v>0.08</v>
      </c>
      <c r="N794" s="72">
        <f ca="1">Magick!$K$79</f>
        <v>0.13</v>
      </c>
      <c r="O794" s="72">
        <f ca="1">Magick!$L$79</f>
        <v>0.13</v>
      </c>
      <c r="P794" s="72">
        <f ca="1">Magick!$M$79</f>
        <v>0.13</v>
      </c>
      <c r="Q794" s="67" t="s">
        <v>3723</v>
      </c>
      <c r="R794" s="67">
        <f ca="1">IF(Q794="Ritual","N/A",IF(Q794="I.E.","N/A",IF(Q794="WOG",VLOOKUP(Magick!$I$79*100,magestuff!$B$134:$F$138,2),IF(Q794="Cantrip",VLOOKUP(Magick!$I$79*100,magestuff!$B$134:$F$138,3),IF(Q794="Hex",VLOOKUP(Magick!$I$79*100,magestuff!$B$134:$F$138,4),VLOOKUP(Magick!$I$79*100,magestuff!$B$134:$F$138,5))))))</f>
        <v>29</v>
      </c>
      <c r="U794" s="67" t="str">
        <f t="shared" si="115"/>
        <v xml:space="preserve"> </v>
      </c>
      <c r="V794" s="515"/>
      <c r="W794" s="125"/>
      <c r="X794" s="31">
        <f t="shared" si="116"/>
        <v>0</v>
      </c>
      <c r="Y794" s="509"/>
      <c r="Z794" s="1054" t="str">
        <f t="shared" si="112"/>
        <v>Summon Birds of Prey</v>
      </c>
      <c r="AA794" s="1072" t="str">
        <f t="shared" si="113"/>
        <v>Summoning</v>
      </c>
    </row>
    <row r="795" spans="1:27" hidden="1" outlineLevel="1">
      <c r="A795" s="378" t="s">
        <v>5490</v>
      </c>
      <c r="B795" s="67">
        <v>2</v>
      </c>
      <c r="C795" s="67">
        <f ca="1">IF(magestuff!$F$207&lt;1,1,magestuff!$F$207)</f>
        <v>2</v>
      </c>
      <c r="D795" s="67">
        <f t="shared" si="114"/>
        <v>0</v>
      </c>
      <c r="E795" s="77">
        <f ca="1">IF(F795="y",HLOOKUP((IF(C795&lt;1,1,C795)),Magick!$C$20:$L$21,2),NA())</f>
        <v>21</v>
      </c>
      <c r="F795" s="67" t="str">
        <f ca="1">IF(C795&lt;=Magick!$D$3,"Y","N")</f>
        <v>Y</v>
      </c>
      <c r="G795" s="148" t="s">
        <v>128</v>
      </c>
      <c r="H795" s="151"/>
      <c r="I795" s="77" t="e">
        <f>IF(H795&gt;0,(HLOOKUP(C795,Magick!$C$20:$L$21,2)-HLOOKUP(H795,Magick!$C$20:$L$21,2)),NA())</f>
        <v>#N/A</v>
      </c>
      <c r="J795" s="77"/>
      <c r="K795" s="67">
        <v>4</v>
      </c>
      <c r="L795" s="72" t="str">
        <f>IF(H795&gt;0,Magick!$AR$26-('Master Spell List'!H802*0.1),"N/A")</f>
        <v>N/A</v>
      </c>
      <c r="M795" s="72">
        <f ca="1">Magick!$H$79</f>
        <v>0.08</v>
      </c>
      <c r="N795" s="72">
        <f ca="1">Magick!$K$79</f>
        <v>0.13</v>
      </c>
      <c r="O795" s="72">
        <f ca="1">Magick!$L$79</f>
        <v>0.13</v>
      </c>
      <c r="P795" s="72">
        <f ca="1">Magick!$M$79</f>
        <v>0.13</v>
      </c>
      <c r="Q795" s="67" t="s">
        <v>3723</v>
      </c>
      <c r="R795" s="67">
        <f ca="1">IF(Q795="Ritual","N/A",IF(Q795="I.E.","N/A",IF(Q795="WOG",VLOOKUP(Magick!$I$79*100,magestuff!$B$134:$F$138,2),IF(Q795="Cantrip",VLOOKUP(Magick!$I$79*100,magestuff!$B$134:$F$138,3),IF(Q795="Hex",VLOOKUP(Magick!$I$79*100,magestuff!$B$134:$F$138,4),VLOOKUP(Magick!$I$79*100,magestuff!$B$134:$F$138,5))))))</f>
        <v>29</v>
      </c>
      <c r="U795" s="67" t="str">
        <f t="shared" si="115"/>
        <v xml:space="preserve"> </v>
      </c>
      <c r="V795" s="515"/>
      <c r="W795" s="125"/>
      <c r="X795" s="31">
        <f t="shared" si="116"/>
        <v>0</v>
      </c>
      <c r="Y795" s="509"/>
      <c r="Z795" s="1054" t="str">
        <f t="shared" si="112"/>
        <v>Summon Large Animals</v>
      </c>
      <c r="AA795" s="1072" t="str">
        <f t="shared" si="113"/>
        <v>Summoning</v>
      </c>
    </row>
    <row r="796" spans="1:27" hidden="1" outlineLevel="1">
      <c r="A796" s="379" t="s">
        <v>4303</v>
      </c>
      <c r="B796" s="67">
        <v>3</v>
      </c>
      <c r="C796" s="67">
        <f ca="1">IF(magestuff!$I$207&lt;1,1,magestuff!$I$207)</f>
        <v>3</v>
      </c>
      <c r="D796" s="67">
        <f t="shared" si="114"/>
        <v>0</v>
      </c>
      <c r="E796" s="77" t="e">
        <f ca="1">IF(F796="y",HLOOKUP((IF(C796&lt;1,1,C796)),Magick!$C$20:$L$21,2),NA())</f>
        <v>#N/A</v>
      </c>
      <c r="F796" s="67" t="str">
        <f ca="1">IF(C796&lt;=Magick!$D$3,"Y","N")</f>
        <v>N</v>
      </c>
      <c r="G796" s="148" t="s">
        <v>859</v>
      </c>
      <c r="H796" s="151"/>
      <c r="I796" s="77" t="e">
        <f>IF(H796&gt;0,(HLOOKUP(C796,Magick!$C$20:$L$21,2)-HLOOKUP(H796,Magick!$C$20:$L$21,2)),NA())</f>
        <v>#N/A</v>
      </c>
      <c r="J796" s="77"/>
      <c r="K796" s="67" t="s">
        <v>2225</v>
      </c>
      <c r="L796" s="72" t="str">
        <f>IF(H796&gt;0,Magick!$AR$26-('Master Spell List'!H823*0.1),"N/A")</f>
        <v>N/A</v>
      </c>
      <c r="M796" s="72">
        <f ca="1">Magick!$H$79</f>
        <v>0.08</v>
      </c>
      <c r="N796" s="72">
        <f ca="1">Magick!$K$79</f>
        <v>0.13</v>
      </c>
      <c r="O796" s="72">
        <f ca="1">Magick!$L$79</f>
        <v>0.13</v>
      </c>
      <c r="P796" s="72">
        <f ca="1">Magick!$M$79</f>
        <v>0.13</v>
      </c>
      <c r="Q796" s="67" t="s">
        <v>2225</v>
      </c>
      <c r="R796" s="67">
        <f ca="1">IF(Q796="Ritual","N/A",IF(Q796="I.E.","N/A",IF(Q796="WOG",VLOOKUP(Magick!$I$79*100,magestuff!$B$134:$F$138,2),IF(Q796="Cantrip",VLOOKUP(Magick!$I$79*100,magestuff!$B$134:$F$138,3),IF(Q796="Hex",VLOOKUP(Magick!$I$79*100,magestuff!$B$134:$F$138,4),VLOOKUP(Magick!$I$79*100,magestuff!$B$134:$F$138,5))))))</f>
        <v>29</v>
      </c>
      <c r="U796" s="67" t="str">
        <f t="shared" si="115"/>
        <v xml:space="preserve"> </v>
      </c>
      <c r="V796" s="515"/>
      <c r="W796" s="125"/>
      <c r="X796" s="31">
        <f t="shared" si="116"/>
        <v>0</v>
      </c>
      <c r="Y796" s="509"/>
      <c r="Z796" s="1054" t="str">
        <f t="shared" si="112"/>
        <v>Least Summon Object</v>
      </c>
      <c r="AA796" s="1072" t="str">
        <f t="shared" si="113"/>
        <v>Summoning</v>
      </c>
    </row>
    <row r="797" spans="1:27" hidden="1" outlineLevel="1">
      <c r="A797" s="378" t="s">
        <v>5491</v>
      </c>
      <c r="B797" s="67">
        <v>3</v>
      </c>
      <c r="C797" s="67">
        <f ca="1">IF(magestuff!$I$207&lt;1,1,magestuff!$I$207)</f>
        <v>3</v>
      </c>
      <c r="D797" s="67">
        <f t="shared" si="114"/>
        <v>0</v>
      </c>
      <c r="E797" s="77" t="e">
        <f ca="1">IF(F797="y",HLOOKUP((IF(C797&lt;1,1,C797)),Magick!$C$20:$L$21,2),NA())</f>
        <v>#N/A</v>
      </c>
      <c r="F797" s="67" t="str">
        <f ca="1">IF(C797&lt;=Magick!$D$3,"Y","N")</f>
        <v>N</v>
      </c>
      <c r="G797" s="148" t="s">
        <v>128</v>
      </c>
      <c r="H797" s="151"/>
      <c r="I797" s="77" t="e">
        <f>IF(H797&gt;0,(HLOOKUP(C797,Magick!$C$20:$L$21,2)-HLOOKUP(H797,Magick!$C$20:$L$21,2)),NA())</f>
        <v>#N/A</v>
      </c>
      <c r="J797" s="77"/>
      <c r="K797" s="67">
        <v>5</v>
      </c>
      <c r="L797" s="72" t="str">
        <f>IF(H797&gt;0,Magick!$AR$26-('Master Spell List'!H803*0.1),"N/A")</f>
        <v>N/A</v>
      </c>
      <c r="M797" s="72">
        <f ca="1">Magick!$H$79</f>
        <v>0.08</v>
      </c>
      <c r="N797" s="72">
        <f ca="1">Magick!$K$79</f>
        <v>0.13</v>
      </c>
      <c r="O797" s="72">
        <f ca="1">Magick!$L$79</f>
        <v>0.13</v>
      </c>
      <c r="P797" s="72">
        <f ca="1">Magick!$M$79</f>
        <v>0.13</v>
      </c>
      <c r="Q797" s="67" t="s">
        <v>113</v>
      </c>
      <c r="R797" s="67" t="str">
        <f>IF(Q797="Ritual","N/A",IF(Q797="I.E.","N/A",IF(Q797="WOG",VLOOKUP(Magick!$I$79*100,magestuff!$B$134:$F$138,2),IF(Q797="Cantrip",VLOOKUP(Magick!$I$79*100,magestuff!$B$134:$F$138,3),IF(Q797="Hex",VLOOKUP(Magick!$I$79*100,magestuff!$B$134:$F$138,4),VLOOKUP(Magick!$I$79*100,magestuff!$B$134:$F$138,5))))))</f>
        <v>N/A</v>
      </c>
      <c r="U797" s="67" t="str">
        <f t="shared" si="115"/>
        <v xml:space="preserve"> </v>
      </c>
      <c r="V797" s="515"/>
      <c r="W797" s="125"/>
      <c r="X797" s="31">
        <f t="shared" si="116"/>
        <v>0</v>
      </c>
      <c r="Y797" s="509"/>
      <c r="Z797" s="1054" t="str">
        <f t="shared" si="112"/>
        <v>Speak with the Dead</v>
      </c>
      <c r="AA797" s="1072" t="str">
        <f t="shared" si="113"/>
        <v>Summoning</v>
      </c>
    </row>
    <row r="798" spans="1:27" hidden="1" outlineLevel="1">
      <c r="A798" s="379" t="s">
        <v>214</v>
      </c>
      <c r="B798" s="67">
        <v>4</v>
      </c>
      <c r="C798" s="67">
        <f ca="1">magestuff!$L$207</f>
        <v>4</v>
      </c>
      <c r="D798" s="67">
        <f t="shared" si="114"/>
        <v>0</v>
      </c>
      <c r="E798" s="77" t="e">
        <f ca="1">IF(F798="y",HLOOKUP((IF(C798&lt;1,1,C798)),Magick!$C$20:$L$21,2),NA())</f>
        <v>#N/A</v>
      </c>
      <c r="F798" s="67" t="str">
        <f ca="1">IF(C798&lt;=Magick!$D$3,"Y","N")</f>
        <v>N</v>
      </c>
      <c r="G798" s="148" t="s">
        <v>859</v>
      </c>
      <c r="H798" s="151"/>
      <c r="I798" s="77" t="e">
        <f>IF(H798&gt;0,(HLOOKUP(C798,Magick!$C$20:$L$21,2)-HLOOKUP(H798,Magick!$C$20:$L$21,2)),NA())</f>
        <v>#N/A</v>
      </c>
      <c r="J798" s="77"/>
      <c r="K798" s="67" t="s">
        <v>2225</v>
      </c>
      <c r="L798" s="72" t="str">
        <f>IF(H798&gt;0,Magick!$AR$26-('Master Spell List'!H807*0.1),"N/A")</f>
        <v>N/A</v>
      </c>
      <c r="M798" s="72">
        <f ca="1">Magick!$H$79</f>
        <v>0.08</v>
      </c>
      <c r="N798" s="72">
        <f ca="1">Magick!$K$79</f>
        <v>0.13</v>
      </c>
      <c r="O798" s="72">
        <f ca="1">Magick!$L$79</f>
        <v>0.13</v>
      </c>
      <c r="P798" s="72">
        <f ca="1">Magick!$M$79</f>
        <v>0.13</v>
      </c>
      <c r="Q798" s="67" t="s">
        <v>2225</v>
      </c>
      <c r="R798" s="67">
        <f ca="1">IF(Q798="Ritual","N/A",IF(Q798="I.E.","N/A",IF(Q798="WOG",VLOOKUP(Magick!$I$79*100,magestuff!$B$134:$F$138,2),IF(Q798="Cantrip",VLOOKUP(Magick!$I$79*100,magestuff!$B$134:$F$138,3),IF(Q798="Hex",VLOOKUP(Magick!$I$79*100,magestuff!$B$134:$F$138,4),VLOOKUP(Magick!$I$79*100,magestuff!$B$134:$F$138,5))))))</f>
        <v>29</v>
      </c>
      <c r="U798" s="67" t="str">
        <f t="shared" si="115"/>
        <v xml:space="preserve"> </v>
      </c>
      <c r="V798" s="515"/>
      <c r="W798" s="125"/>
      <c r="X798" s="31">
        <f t="shared" si="116"/>
        <v>0</v>
      </c>
      <c r="Y798" s="509"/>
      <c r="Z798" s="1054" t="str">
        <f t="shared" si="112"/>
        <v>Animate Wood Simulacrum</v>
      </c>
      <c r="AA798" s="1072" t="str">
        <f t="shared" si="113"/>
        <v>Summoning</v>
      </c>
    </row>
    <row r="799" spans="1:27" hidden="1" outlineLevel="1">
      <c r="A799" s="378" t="s">
        <v>2493</v>
      </c>
      <c r="B799" s="67">
        <v>4</v>
      </c>
      <c r="C799" s="67">
        <f ca="1">magestuff!$L$207</f>
        <v>4</v>
      </c>
      <c r="D799" s="67">
        <f t="shared" si="114"/>
        <v>0</v>
      </c>
      <c r="E799" s="77" t="e">
        <f ca="1">IF(F799="y",HLOOKUP((IF(C799&lt;1,1,C799)),Magick!$C$20:$L$21,2),NA())</f>
        <v>#N/A</v>
      </c>
      <c r="F799" s="67" t="str">
        <f ca="1">IF(C799&lt;=Magick!$D$3,"Y","N")</f>
        <v>N</v>
      </c>
      <c r="G799" s="148" t="s">
        <v>128</v>
      </c>
      <c r="H799" s="151"/>
      <c r="I799" s="77" t="e">
        <f>IF(H799&gt;0,(HLOOKUP(C799,Magick!$C$20:$L$21,2)-HLOOKUP(H799,Magick!$C$20:$L$21,2)),NA())</f>
        <v>#N/A</v>
      </c>
      <c r="J799" s="77"/>
      <c r="K799" s="67">
        <v>7</v>
      </c>
      <c r="L799" s="72" t="str">
        <f>IF(H799&gt;0,Magick!$AR$26-('Master Spell List'!H805*0.1),"N/A")</f>
        <v>N/A</v>
      </c>
      <c r="M799" s="72">
        <f ca="1">Magick!$H$79</f>
        <v>0.08</v>
      </c>
      <c r="N799" s="72">
        <f ca="1">Magick!$K$79</f>
        <v>0.13</v>
      </c>
      <c r="O799" s="72">
        <f ca="1">Magick!$L$79</f>
        <v>0.13</v>
      </c>
      <c r="P799" s="72">
        <f ca="1">Magick!$M$79</f>
        <v>0.13</v>
      </c>
      <c r="Q799" s="67" t="s">
        <v>113</v>
      </c>
      <c r="R799" s="67" t="str">
        <f>IF(Q799="Ritual","N/A",IF(Q799="I.E.","N/A",IF(Q799="WOG",VLOOKUP(Magick!$I$79*100,magestuff!$B$134:$F$138,2),IF(Q799="Cantrip",VLOOKUP(Magick!$I$79*100,magestuff!$B$134:$F$138,3),IF(Q799="Hex",VLOOKUP(Magick!$I$79*100,magestuff!$B$134:$F$138,4),VLOOKUP(Magick!$I$79*100,magestuff!$B$134:$F$138,5))))))</f>
        <v>N/A</v>
      </c>
      <c r="U799" s="67" t="str">
        <f t="shared" si="115"/>
        <v xml:space="preserve"> </v>
      </c>
      <c r="V799" s="515"/>
      <c r="W799" s="125"/>
      <c r="X799" s="31">
        <f t="shared" si="116"/>
        <v>0</v>
      </c>
      <c r="Y799" s="509"/>
      <c r="Z799" s="1054" t="str">
        <f t="shared" si="112"/>
        <v>Summon Imp</v>
      </c>
      <c r="AA799" s="1072" t="str">
        <f t="shared" si="113"/>
        <v>Summoning</v>
      </c>
    </row>
    <row r="800" spans="1:27" hidden="1" outlineLevel="1">
      <c r="A800" s="379" t="s">
        <v>215</v>
      </c>
      <c r="B800" s="67">
        <v>5</v>
      </c>
      <c r="C800" s="67">
        <f ca="1">magestuff!$O$207</f>
        <v>5</v>
      </c>
      <c r="D800" s="67">
        <f t="shared" si="114"/>
        <v>0</v>
      </c>
      <c r="E800" s="77" t="e">
        <f ca="1">IF(F800="y",HLOOKUP((IF(C800&lt;1,1,C800)),Magick!$C$20:$L$21,2),NA())</f>
        <v>#N/A</v>
      </c>
      <c r="F800" s="67" t="str">
        <f ca="1">IF(C800&lt;=Magick!$D$3,"Y","N")</f>
        <v>N</v>
      </c>
      <c r="G800" s="148" t="s">
        <v>859</v>
      </c>
      <c r="H800" s="151"/>
      <c r="I800" s="77" t="e">
        <f>IF(H800&gt;0,(HLOOKUP(C800,Magick!$C$20:$L$21,2)-HLOOKUP(H800,Magick!$C$20:$L$21,2)),NA())</f>
        <v>#N/A</v>
      </c>
      <c r="J800" s="77"/>
      <c r="K800" s="67" t="s">
        <v>2225</v>
      </c>
      <c r="L800" s="72" t="str">
        <f>IF(H800&gt;0,Magick!$AR$26-('Master Spell List'!H808*0.1),"N/A")</f>
        <v>N/A</v>
      </c>
      <c r="M800" s="72">
        <f ca="1">Magick!$H$79</f>
        <v>0.08</v>
      </c>
      <c r="N800" s="72">
        <f ca="1">Magick!$K$79</f>
        <v>0.13</v>
      </c>
      <c r="O800" s="72">
        <f ca="1">Magick!$L$79</f>
        <v>0.13</v>
      </c>
      <c r="P800" s="72">
        <f ca="1">Magick!$M$79</f>
        <v>0.13</v>
      </c>
      <c r="Q800" s="67" t="s">
        <v>2225</v>
      </c>
      <c r="R800" s="67">
        <f ca="1">IF(Q800="Ritual","N/A",IF(Q800="I.E.","N/A",IF(Q800="WOG",VLOOKUP(Magick!$I$79*100,magestuff!$B$134:$F$138,2),IF(Q800="Cantrip",VLOOKUP(Magick!$I$79*100,magestuff!$B$134:$F$138,3),IF(Q800="Hex",VLOOKUP(Magick!$I$79*100,magestuff!$B$134:$F$138,4),VLOOKUP(Magick!$I$79*100,magestuff!$B$134:$F$138,5))))))</f>
        <v>29</v>
      </c>
      <c r="U800" s="67" t="str">
        <f t="shared" si="115"/>
        <v xml:space="preserve"> </v>
      </c>
      <c r="V800" s="515"/>
      <c r="W800" s="125"/>
      <c r="X800" s="31">
        <f t="shared" si="116"/>
        <v>0</v>
      </c>
      <c r="Y800" s="509"/>
      <c r="Z800" s="1054" t="str">
        <f t="shared" si="112"/>
        <v xml:space="preserve">Animate  Water / Ice Simulacrum </v>
      </c>
      <c r="AA800" s="1072" t="str">
        <f t="shared" si="113"/>
        <v>Summoning</v>
      </c>
    </row>
    <row r="801" spans="1:27" hidden="1" outlineLevel="1">
      <c r="A801" s="379" t="s">
        <v>1490</v>
      </c>
      <c r="B801" s="67">
        <v>5</v>
      </c>
      <c r="C801" s="67">
        <f ca="1">magestuff!$O$207</f>
        <v>5</v>
      </c>
      <c r="D801" s="67">
        <f t="shared" si="114"/>
        <v>0</v>
      </c>
      <c r="E801" s="77" t="e">
        <f ca="1">IF(F801="y",HLOOKUP((IF(C801&lt;1,1,C801)),Magick!$C$20:$L$21,2),NA())</f>
        <v>#N/A</v>
      </c>
      <c r="F801" s="67" t="str">
        <f ca="1">IF(C801&lt;=Magick!$D$3,"Y","N")</f>
        <v>N</v>
      </c>
      <c r="G801" s="148" t="s">
        <v>859</v>
      </c>
      <c r="H801" s="151"/>
      <c r="I801" s="77" t="e">
        <f>IF(H801&gt;0,(HLOOKUP(C801,Magick!$C$20:$L$21,2)-HLOOKUP(H801,Magick!$C$20:$L$21,2)),NA())</f>
        <v>#N/A</v>
      </c>
      <c r="J801" s="77"/>
      <c r="K801" s="67" t="s">
        <v>2225</v>
      </c>
      <c r="L801" s="72" t="str">
        <f>IF(H801&gt;0,Magick!$AR$26-('Master Spell List'!H819*0.1),"N/A")</f>
        <v>N/A</v>
      </c>
      <c r="M801" s="72">
        <f ca="1">Magick!$H$79</f>
        <v>0.08</v>
      </c>
      <c r="N801" s="72">
        <f ca="1">Magick!$K$79</f>
        <v>0.13</v>
      </c>
      <c r="O801" s="72">
        <f ca="1">Magick!$L$79</f>
        <v>0.13</v>
      </c>
      <c r="P801" s="72">
        <f ca="1">Magick!$M$79</f>
        <v>0.13</v>
      </c>
      <c r="Q801" s="67" t="s">
        <v>2225</v>
      </c>
      <c r="R801" s="67">
        <f ca="1">IF(Q801="Ritual","N/A",IF(Q801="I.E.","N/A",IF(Q801="WOG",VLOOKUP(Magick!$I$79*100,magestuff!$B$134:$F$138,2),IF(Q801="Cantrip",VLOOKUP(Magick!$I$79*100,magestuff!$B$134:$F$138,3),IF(Q801="Hex",VLOOKUP(Magick!$I$79*100,magestuff!$B$134:$F$138,4),VLOOKUP(Magick!$I$79*100,magestuff!$B$134:$F$138,5))))))</f>
        <v>29</v>
      </c>
      <c r="U801" s="67" t="str">
        <f t="shared" si="115"/>
        <v xml:space="preserve"> </v>
      </c>
      <c r="V801" s="515"/>
      <c r="W801" s="125"/>
      <c r="X801" s="31">
        <f t="shared" si="116"/>
        <v>0</v>
      </c>
      <c r="Y801" s="509"/>
      <c r="Z801" s="1054" t="str">
        <f t="shared" si="112"/>
        <v>Banish Imp</v>
      </c>
      <c r="AA801" s="1072" t="str">
        <f t="shared" si="113"/>
        <v>Summoning</v>
      </c>
    </row>
    <row r="802" spans="1:27" hidden="1" outlineLevel="1">
      <c r="A802" s="379" t="s">
        <v>216</v>
      </c>
      <c r="B802" s="67">
        <v>5</v>
      </c>
      <c r="C802" s="67">
        <f ca="1">magestuff!$O$207</f>
        <v>5</v>
      </c>
      <c r="D802" s="67">
        <f t="shared" si="114"/>
        <v>0</v>
      </c>
      <c r="E802" s="77" t="e">
        <f ca="1">IF(F802="y",HLOOKUP((IF(C802&lt;1,1,C802)),Magick!$C$20:$L$21,2),NA())</f>
        <v>#N/A</v>
      </c>
      <c r="F802" s="67" t="str">
        <f ca="1">IF(C802&lt;=Magick!$D$3,"Y","N")</f>
        <v>N</v>
      </c>
      <c r="G802" s="148" t="s">
        <v>859</v>
      </c>
      <c r="H802" s="151"/>
      <c r="I802" s="77" t="e">
        <f>IF(H802&gt;0,(HLOOKUP(C802,Magick!$C$20:$L$21,2)-HLOOKUP(H802,Magick!$C$20:$L$21,2)),NA())</f>
        <v>#N/A</v>
      </c>
      <c r="J802" s="77"/>
      <c r="K802" s="67" t="s">
        <v>2225</v>
      </c>
      <c r="L802" s="72" t="str">
        <f>IF(H802&gt;0,Magick!$AR$26-('Master Spell List'!H809*0.1),"N/A")</f>
        <v>N/A</v>
      </c>
      <c r="M802" s="72">
        <f ca="1">Magick!$H$79</f>
        <v>0.08</v>
      </c>
      <c r="N802" s="72">
        <f ca="1">Magick!$K$79</f>
        <v>0.13</v>
      </c>
      <c r="O802" s="72">
        <f ca="1">Magick!$L$79</f>
        <v>0.13</v>
      </c>
      <c r="P802" s="72">
        <f ca="1">Magick!$M$79</f>
        <v>0.13</v>
      </c>
      <c r="Q802" s="67" t="s">
        <v>2225</v>
      </c>
      <c r="R802" s="67">
        <f ca="1">IF(Q802="Ritual","N/A",IF(Q802="I.E.","N/A",IF(Q802="WOG",VLOOKUP(Magick!$I$79*100,magestuff!$B$134:$F$138,2),IF(Q802="Cantrip",VLOOKUP(Magick!$I$79*100,magestuff!$B$134:$F$138,3),IF(Q802="Hex",VLOOKUP(Magick!$I$79*100,magestuff!$B$134:$F$138,4),VLOOKUP(Magick!$I$79*100,magestuff!$B$134:$F$138,5))))))</f>
        <v>29</v>
      </c>
      <c r="U802" s="67" t="str">
        <f t="shared" si="115"/>
        <v xml:space="preserve"> </v>
      </c>
      <c r="V802" s="515"/>
      <c r="W802" s="125"/>
      <c r="X802" s="31">
        <f t="shared" si="116"/>
        <v>0</v>
      </c>
      <c r="Y802" s="509"/>
      <c r="Z802" s="1054" t="str">
        <f t="shared" si="112"/>
        <v>Banish Undead</v>
      </c>
      <c r="AA802" s="1072" t="str">
        <f t="shared" si="113"/>
        <v>Summoning</v>
      </c>
    </row>
    <row r="803" spans="1:27" hidden="1" outlineLevel="1">
      <c r="A803" s="382" t="s">
        <v>1176</v>
      </c>
      <c r="B803" s="67">
        <v>5</v>
      </c>
      <c r="C803" s="67">
        <f ca="1">magestuff!$O$207</f>
        <v>5</v>
      </c>
      <c r="D803" s="67">
        <f t="shared" si="114"/>
        <v>0</v>
      </c>
      <c r="E803" s="77" t="e">
        <f ca="1">IF(F803="y",HLOOKUP((IF(C803&lt;1,1,C803)),Magick!$C$20:$L$21,2),NA())</f>
        <v>#N/A</v>
      </c>
      <c r="F803" s="67" t="str">
        <f ca="1">IF(C803&lt;=Magick!$D$3,"Y","N")</f>
        <v>N</v>
      </c>
      <c r="G803" s="148" t="s">
        <v>859</v>
      </c>
      <c r="H803" s="151"/>
      <c r="I803" s="77" t="e">
        <f>IF(H803&gt;0,(HLOOKUP(C803,Magick!$C$20:$L$21,2)-HLOOKUP(H803,Magick!$C$20:$L$21,2)),NA())</f>
        <v>#N/A</v>
      </c>
      <c r="J803" s="77"/>
      <c r="K803" s="67" t="s">
        <v>2225</v>
      </c>
      <c r="L803" s="72" t="str">
        <f>IF(H803&gt;0,Magick!$AR$26-('Master Spell List'!H846*0.1),"N/A")</f>
        <v>N/A</v>
      </c>
      <c r="M803" s="72">
        <f ca="1">Magick!$H$79</f>
        <v>0.08</v>
      </c>
      <c r="N803" s="72">
        <f ca="1">Magick!$K$79</f>
        <v>0.13</v>
      </c>
      <c r="O803" s="72">
        <f ca="1">Magick!$L$79</f>
        <v>0.13</v>
      </c>
      <c r="P803" s="72">
        <f ca="1">Magick!$M$79</f>
        <v>0.13</v>
      </c>
      <c r="Q803" s="67" t="s">
        <v>2225</v>
      </c>
      <c r="R803" s="67">
        <f ca="1">IF(Q803="Ritual","N/A",IF(Q803="I.E.","N/A",IF(Q803="WOG",VLOOKUP(Magick!$I$79*100,magestuff!$B$134:$F$138,2),IF(Q803="Cantrip",VLOOKUP(Magick!$I$79*100,magestuff!$B$134:$F$138,3),IF(Q803="Hex",VLOOKUP(Magick!$I$79*100,magestuff!$B$134:$F$138,4),VLOOKUP(Magick!$I$79*100,magestuff!$B$134:$F$138,5))))))</f>
        <v>29</v>
      </c>
      <c r="U803" s="67" t="str">
        <f t="shared" si="115"/>
        <v xml:space="preserve"> </v>
      </c>
      <c r="V803" s="515"/>
      <c r="W803" s="125"/>
      <c r="X803" s="31">
        <f t="shared" si="116"/>
        <v>0</v>
      </c>
      <c r="Y803" s="509"/>
      <c r="Z803" s="1054" t="str">
        <f t="shared" si="112"/>
        <v>Summon Great Undead</v>
      </c>
      <c r="AA803" s="1072" t="str">
        <f t="shared" si="113"/>
        <v>Summoning</v>
      </c>
    </row>
    <row r="804" spans="1:27" hidden="1" outlineLevel="1">
      <c r="A804" s="378" t="s">
        <v>5480</v>
      </c>
      <c r="B804" s="67">
        <v>6</v>
      </c>
      <c r="C804" s="67">
        <f ca="1">magestuff!$R$207</f>
        <v>6</v>
      </c>
      <c r="D804" s="67">
        <f t="shared" si="114"/>
        <v>0</v>
      </c>
      <c r="E804" s="77" t="e">
        <f ca="1">IF(F804="y",HLOOKUP((IF(C804&lt;1,1,C804)),Magick!$C$20:$L$21,2),NA())</f>
        <v>#N/A</v>
      </c>
      <c r="F804" s="67" t="str">
        <f ca="1">IF(C804&lt;=Magick!$D$3,"Y","N")</f>
        <v>N</v>
      </c>
      <c r="G804" s="148" t="s">
        <v>128</v>
      </c>
      <c r="H804" s="151"/>
      <c r="I804" s="77" t="e">
        <f>IF(H804&gt;0,(HLOOKUP(C804,Magick!$C$20:$L$21,2)-HLOOKUP(H804,Magick!$C$20:$L$21,2)),NA())</f>
        <v>#N/A</v>
      </c>
      <c r="J804" s="77"/>
      <c r="K804" s="67">
        <v>70</v>
      </c>
      <c r="L804" s="72" t="str">
        <f>IF(H804&gt;0,Magick!$AR$26-('Master Spell List'!H791*0.1),"N/A")</f>
        <v>N/A</v>
      </c>
      <c r="M804" s="72">
        <f ca="1">Magick!$H$79</f>
        <v>0.08</v>
      </c>
      <c r="N804" s="72">
        <f ca="1">Magick!$K$79</f>
        <v>0.13</v>
      </c>
      <c r="O804" s="72">
        <f ca="1">Magick!$L$79</f>
        <v>0.13</v>
      </c>
      <c r="P804" s="72">
        <f ca="1">Magick!$M$79</f>
        <v>0.13</v>
      </c>
      <c r="Q804" s="67" t="s">
        <v>113</v>
      </c>
      <c r="R804" s="67" t="str">
        <f>IF(Q804="Ritual","N/A",IF(Q804="I.E.","N/A",IF(Q804="WOG",VLOOKUP(Magick!$I$79*100,magestuff!$B$134:$F$138,2),IF(Q804="Cantrip",VLOOKUP(Magick!$I$79*100,magestuff!$B$134:$F$138,3),IF(Q804="Hex",VLOOKUP(Magick!$I$79*100,magestuff!$B$134:$F$138,4),VLOOKUP(Magick!$I$79*100,magestuff!$B$134:$F$138,5))))))</f>
        <v>N/A</v>
      </c>
      <c r="S804" s="71" t="s">
        <v>5545</v>
      </c>
      <c r="T804" s="294" t="str">
        <f>CONCATENATE(IF(Magick!$C$3&gt;0,Magick!$C$3*1," ")," hrs.")</f>
        <v xml:space="preserve">  hrs.</v>
      </c>
      <c r="U804" s="67" t="str">
        <f t="shared" si="115"/>
        <v xml:space="preserve"> </v>
      </c>
      <c r="V804" s="515"/>
      <c r="W804" s="125"/>
      <c r="X804" s="31">
        <f t="shared" si="116"/>
        <v>0</v>
      </c>
      <c r="Y804" s="509"/>
      <c r="Z804" s="1054" t="str">
        <f t="shared" si="112"/>
        <v>Animate Stone Simulacrum</v>
      </c>
      <c r="AA804" s="1072" t="str">
        <f t="shared" si="113"/>
        <v>Summoning</v>
      </c>
    </row>
    <row r="805" spans="1:27" hidden="1" outlineLevel="1">
      <c r="A805" s="380" t="s">
        <v>5482</v>
      </c>
      <c r="B805" s="67">
        <f>IF(Magick!$A$3=25,3,6)</f>
        <v>6</v>
      </c>
      <c r="C805" s="67">
        <f ca="1">IF(Magick!$A$3=25,IF(magestuff!$I$207&lt;1,1,magestuff!$I$207),magestuff!$R$207)</f>
        <v>6</v>
      </c>
      <c r="D805" s="67">
        <f t="shared" si="114"/>
        <v>0</v>
      </c>
      <c r="E805" s="77" t="e">
        <f ca="1">IF(F805="y",HLOOKUP((IF(C805&lt;1,1,C805)),Magick!$C$20:$L$21,2),NA())</f>
        <v>#N/A</v>
      </c>
      <c r="F805" s="67" t="str">
        <f ca="1">IF(C805&lt;=Magick!$D$3,"Y","N")</f>
        <v>N</v>
      </c>
      <c r="G805" s="148" t="s">
        <v>128</v>
      </c>
      <c r="H805" s="151"/>
      <c r="I805" s="77" t="e">
        <f>IF(H805&gt;0,(HLOOKUP(C805,Magick!$C$20:$L$21,2)-HLOOKUP(H805,Magick!$C$20:$L$21,2)),NA())</f>
        <v>#N/A</v>
      </c>
      <c r="J805" s="77"/>
      <c r="K805" s="67">
        <f>IF(Magick!$A$3=25,6,9)</f>
        <v>9</v>
      </c>
      <c r="L805" s="72" t="str">
        <f>IF(H805&gt;0,Magick!$AR$26-('Master Spell List'!H793*0.1),"N/A")</f>
        <v>N/A</v>
      </c>
      <c r="M805" s="72">
        <f ca="1">Magick!$H$79</f>
        <v>0.08</v>
      </c>
      <c r="N805" s="72">
        <f ca="1">Magick!$K$79</f>
        <v>0.13</v>
      </c>
      <c r="O805" s="72">
        <f ca="1">Magick!$L$79</f>
        <v>0.13</v>
      </c>
      <c r="P805" s="72">
        <f ca="1">Magick!$M$79</f>
        <v>0.13</v>
      </c>
      <c r="Q805" s="67" t="s">
        <v>113</v>
      </c>
      <c r="R805" s="67" t="str">
        <f>IF(Q805="Ritual","N/A",IF(Q805="I.E.","N/A",IF(Q805="WOG",VLOOKUP(Magick!$I$79*100,magestuff!$B$134:$F$138,2),IF(Q805="Cantrip",VLOOKUP(Magick!$I$79*100,magestuff!$B$134:$F$138,3),IF(Q805="Hex",VLOOKUP(Magick!$I$79*100,magestuff!$B$134:$F$138,4),VLOOKUP(Magick!$I$79*100,magestuff!$B$134:$F$138,5))))))</f>
        <v>N/A</v>
      </c>
      <c r="T805" s="294" t="str">
        <f>CONCATENATE(IF(Magick!$C$3&gt;0,Magick!$C$3*30," ")," min.")</f>
        <v xml:space="preserve">  min.</v>
      </c>
      <c r="U805" s="67" t="str">
        <f t="shared" si="115"/>
        <v xml:space="preserve"> </v>
      </c>
      <c r="V805" s="515"/>
      <c r="W805" s="125"/>
      <c r="X805" s="31">
        <f t="shared" si="116"/>
        <v>0</v>
      </c>
      <c r="Y805" s="509"/>
      <c r="Z805" s="1054" t="str">
        <f t="shared" si="112"/>
        <v>Animate the Dead</v>
      </c>
      <c r="AA805" s="1072" t="str">
        <f t="shared" si="113"/>
        <v>Summoning</v>
      </c>
    </row>
    <row r="806" spans="1:27" hidden="1" outlineLevel="1">
      <c r="A806" s="379" t="s">
        <v>1481</v>
      </c>
      <c r="B806" s="67">
        <v>6</v>
      </c>
      <c r="C806" s="67">
        <f ca="1">magestuff!$R$207</f>
        <v>6</v>
      </c>
      <c r="D806" s="67">
        <f t="shared" si="114"/>
        <v>0</v>
      </c>
      <c r="E806" s="77" t="e">
        <f ca="1">IF(F806="y",HLOOKUP((IF(C806&lt;1,1,C806)),Magick!$C$20:$L$21,2),NA())</f>
        <v>#N/A</v>
      </c>
      <c r="F806" s="67" t="str">
        <f ca="1">IF(C806&lt;=Magick!$D$3,"Y","N")</f>
        <v>N</v>
      </c>
      <c r="G806" s="148" t="s">
        <v>859</v>
      </c>
      <c r="H806" s="151"/>
      <c r="I806" s="77" t="e">
        <f>IF(H806&gt;0,(HLOOKUP(C806,Magick!$C$20:$L$21,2)-HLOOKUP(H806,Magick!$C$20:$L$21,2)),NA())</f>
        <v>#N/A</v>
      </c>
      <c r="J806" s="77"/>
      <c r="K806" s="67" t="s">
        <v>2225</v>
      </c>
      <c r="L806" s="72" t="str">
        <f>IF(H806&gt;0,Magick!$AR$26-('Master Spell List'!H810*0.1),"N/A")</f>
        <v>N/A</v>
      </c>
      <c r="M806" s="72">
        <f ca="1">Magick!$H$79</f>
        <v>0.08</v>
      </c>
      <c r="N806" s="72">
        <f ca="1">Magick!$K$79</f>
        <v>0.13</v>
      </c>
      <c r="O806" s="72">
        <f ca="1">Magick!$L$79</f>
        <v>0.13</v>
      </c>
      <c r="P806" s="72">
        <f ca="1">Magick!$M$79</f>
        <v>0.13</v>
      </c>
      <c r="Q806" s="67" t="s">
        <v>2225</v>
      </c>
      <c r="R806" s="67">
        <f ca="1">IF(Q806="Ritual","N/A",IF(Q806="I.E.","N/A",IF(Q806="WOG",VLOOKUP(Magick!$I$79*100,magestuff!$B$134:$F$138,2),IF(Q806="Cantrip",VLOOKUP(Magick!$I$79*100,magestuff!$B$134:$F$138,3),IF(Q806="Hex",VLOOKUP(Magick!$I$79*100,magestuff!$B$134:$F$138,4),VLOOKUP(Magick!$I$79*100,magestuff!$B$134:$F$138,5))))))</f>
        <v>29</v>
      </c>
      <c r="U806" s="67" t="str">
        <f t="shared" si="115"/>
        <v xml:space="preserve"> </v>
      </c>
      <c r="V806" s="515"/>
      <c r="W806" s="125"/>
      <c r="X806" s="31">
        <f t="shared" si="116"/>
        <v>0</v>
      </c>
      <c r="Y806" s="509"/>
      <c r="Z806" s="1054" t="str">
        <f t="shared" si="112"/>
        <v>Banish Ghoul</v>
      </c>
      <c r="AA806" s="1072" t="str">
        <f t="shared" si="113"/>
        <v>Summoning</v>
      </c>
    </row>
    <row r="807" spans="1:27" hidden="1" outlineLevel="1">
      <c r="A807" s="379" t="s">
        <v>3187</v>
      </c>
      <c r="B807" s="67">
        <v>6</v>
      </c>
      <c r="C807" s="67">
        <f ca="1">magestuff!$R$207</f>
        <v>6</v>
      </c>
      <c r="D807" s="67">
        <f t="shared" si="114"/>
        <v>0</v>
      </c>
      <c r="E807" s="77" t="e">
        <f ca="1">IF(F807="y",HLOOKUP((IF(C807&lt;1,1,C807)),Magick!$C$20:$L$21,2),NA())</f>
        <v>#N/A</v>
      </c>
      <c r="F807" s="67" t="str">
        <f ca="1">IF(C807&lt;=Magick!$D$3,"Y","N")</f>
        <v>N</v>
      </c>
      <c r="G807" s="148" t="s">
        <v>859</v>
      </c>
      <c r="H807" s="151"/>
      <c r="I807" s="77" t="e">
        <f>IF(H807&gt;0,(HLOOKUP(C807,Magick!$C$20:$L$21,2)-HLOOKUP(H807,Magick!$C$20:$L$21,2)),NA())</f>
        <v>#N/A</v>
      </c>
      <c r="J807" s="77"/>
      <c r="K807" s="67" t="s">
        <v>2225</v>
      </c>
      <c r="L807" s="72" t="str">
        <f>IF(H807&gt;0,Magick!$AR$26-('Master Spell List'!H833*0.1),"N/A")</f>
        <v>N/A</v>
      </c>
      <c r="M807" s="72">
        <f ca="1">Magick!$H$79</f>
        <v>0.08</v>
      </c>
      <c r="N807" s="72">
        <f ca="1">Magick!$K$79</f>
        <v>0.13</v>
      </c>
      <c r="O807" s="72">
        <f ca="1">Magick!$L$79</f>
        <v>0.13</v>
      </c>
      <c r="P807" s="72">
        <f ca="1">Magick!$M$79</f>
        <v>0.13</v>
      </c>
      <c r="Q807" s="67" t="s">
        <v>2225</v>
      </c>
      <c r="R807" s="67">
        <f ca="1">IF(Q807="Ritual","N/A",IF(Q807="I.E.","N/A",IF(Q807="WOG",VLOOKUP(Magick!$I$79*100,magestuff!$B$134:$F$138,2),IF(Q807="Cantrip",VLOOKUP(Magick!$I$79*100,magestuff!$B$134:$F$138,3),IF(Q807="Hex",VLOOKUP(Magick!$I$79*100,magestuff!$B$134:$F$138,4),VLOOKUP(Magick!$I$79*100,magestuff!$B$134:$F$138,5))))))</f>
        <v>29</v>
      </c>
      <c r="U807" s="67" t="str">
        <f t="shared" si="115"/>
        <v xml:space="preserve"> </v>
      </c>
      <c r="V807" s="515"/>
      <c r="W807" s="125"/>
      <c r="X807" s="31">
        <f t="shared" si="116"/>
        <v>0</v>
      </c>
      <c r="Y807" s="509"/>
      <c r="Z807" s="1054" t="str">
        <f t="shared" si="112"/>
        <v xml:space="preserve">Bind Imp into a container </v>
      </c>
      <c r="AA807" s="1072" t="str">
        <f t="shared" si="113"/>
        <v>Summoning</v>
      </c>
    </row>
    <row r="808" spans="1:27" hidden="1" outlineLevel="1">
      <c r="A808" s="379" t="s">
        <v>2938</v>
      </c>
      <c r="B808" s="67">
        <v>6</v>
      </c>
      <c r="C808" s="67">
        <f ca="1">magestuff!$R$207</f>
        <v>6</v>
      </c>
      <c r="D808" s="67">
        <f t="shared" si="114"/>
        <v>0</v>
      </c>
      <c r="E808" s="77" t="e">
        <f ca="1">IF(F808="y",HLOOKUP((IF(C808&lt;1,1,C808)),Magick!$C$20:$L$21,2),NA())</f>
        <v>#N/A</v>
      </c>
      <c r="F808" s="67" t="str">
        <f ca="1">IF(C808&lt;=Magick!$D$3,"Y","N")</f>
        <v>N</v>
      </c>
      <c r="G808" s="148" t="s">
        <v>859</v>
      </c>
      <c r="H808" s="151"/>
      <c r="I808" s="77" t="e">
        <f>IF(H808&gt;0,(HLOOKUP(C808,Magick!$C$20:$L$21,2)-HLOOKUP(H808,Magick!$C$20:$L$21,2)),NA())</f>
        <v>#N/A</v>
      </c>
      <c r="J808" s="77"/>
      <c r="K808" s="67" t="s">
        <v>2225</v>
      </c>
      <c r="L808" s="72" t="str">
        <f>IF(H808&gt;0,Magick!$AR$26-('Master Spell List'!H822*0.1),"N/A")</f>
        <v>N/A</v>
      </c>
      <c r="M808" s="72">
        <f ca="1">Magick!$H$79</f>
        <v>0.08</v>
      </c>
      <c r="N808" s="72">
        <f ca="1">Magick!$K$79</f>
        <v>0.13</v>
      </c>
      <c r="O808" s="72">
        <f ca="1">Magick!$L$79</f>
        <v>0.13</v>
      </c>
      <c r="P808" s="72">
        <f ca="1">Magick!$M$79</f>
        <v>0.13</v>
      </c>
      <c r="Q808" s="67" t="s">
        <v>2225</v>
      </c>
      <c r="R808" s="67">
        <f ca="1">IF(Q808="Ritual","N/A",IF(Q808="I.E.","N/A",IF(Q808="WOG",VLOOKUP(Magick!$I$79*100,magestuff!$B$134:$F$138,2),IF(Q808="Cantrip",VLOOKUP(Magick!$I$79*100,magestuff!$B$134:$F$138,3),IF(Q808="Hex",VLOOKUP(Magick!$I$79*100,magestuff!$B$134:$F$138,4),VLOOKUP(Magick!$I$79*100,magestuff!$B$134:$F$138,5))))))</f>
        <v>29</v>
      </c>
      <c r="U808" s="67" t="str">
        <f t="shared" si="115"/>
        <v xml:space="preserve"> </v>
      </c>
      <c r="V808" s="515"/>
      <c r="W808" s="125"/>
      <c r="X808" s="31">
        <f t="shared" si="116"/>
        <v>0</v>
      </c>
      <c r="Y808" s="509"/>
      <c r="Z808" s="1054" t="str">
        <f t="shared" si="112"/>
        <v xml:space="preserve">Bind Undead into a Container </v>
      </c>
      <c r="AA808" s="1072" t="str">
        <f t="shared" si="113"/>
        <v>Summoning</v>
      </c>
    </row>
    <row r="809" spans="1:27" hidden="1" outlineLevel="1">
      <c r="A809" s="379" t="s">
        <v>883</v>
      </c>
      <c r="B809" s="67">
        <v>6</v>
      </c>
      <c r="C809" s="67">
        <f ca="1">magestuff!$R$207</f>
        <v>6</v>
      </c>
      <c r="D809" s="67">
        <f t="shared" si="114"/>
        <v>0</v>
      </c>
      <c r="E809" s="77" t="e">
        <f ca="1">IF(F809="y",HLOOKUP((IF(C809&lt;1,1,C809)),Magick!$C$20:$L$21,2),NA())</f>
        <v>#N/A</v>
      </c>
      <c r="F809" s="67" t="str">
        <f ca="1">IF(C809&lt;=Magick!$D$3,"Y","N")</f>
        <v>N</v>
      </c>
      <c r="G809" s="148" t="s">
        <v>859</v>
      </c>
      <c r="H809" s="151"/>
      <c r="I809" s="77" t="e">
        <f>IF(H809&gt;0,(HLOOKUP(C809,Magick!$C$20:$L$21,2)-HLOOKUP(H809,Magick!$C$20:$L$21,2)),NA())</f>
        <v>#N/A</v>
      </c>
      <c r="J809" s="77"/>
      <c r="K809" s="67" t="s">
        <v>2225</v>
      </c>
      <c r="L809" s="72" t="str">
        <f>IF(H809&gt;0,Magick!$AR$26-('Master Spell List'!H824*0.1),"N/A")</f>
        <v>N/A</v>
      </c>
      <c r="M809" s="72">
        <f ca="1">Magick!$H$79</f>
        <v>0.08</v>
      </c>
      <c r="N809" s="72">
        <f ca="1">Magick!$K$79</f>
        <v>0.13</v>
      </c>
      <c r="O809" s="72">
        <f ca="1">Magick!$L$79</f>
        <v>0.13</v>
      </c>
      <c r="P809" s="72">
        <f ca="1">Magick!$M$79</f>
        <v>0.13</v>
      </c>
      <c r="Q809" s="67" t="s">
        <v>2225</v>
      </c>
      <c r="R809" s="67">
        <f ca="1">IF(Q809="Ritual","N/A",IF(Q809="I.E.","N/A",IF(Q809="WOG",VLOOKUP(Magick!$I$79*100,magestuff!$B$134:$F$138,2),IF(Q809="Cantrip",VLOOKUP(Magick!$I$79*100,magestuff!$B$134:$F$138,3),IF(Q809="Hex",VLOOKUP(Magick!$I$79*100,magestuff!$B$134:$F$138,4),VLOOKUP(Magick!$I$79*100,magestuff!$B$134:$F$138,5))))))</f>
        <v>29</v>
      </c>
      <c r="U809" s="67" t="str">
        <f t="shared" si="115"/>
        <v xml:space="preserve"> </v>
      </c>
      <c r="V809" s="515"/>
      <c r="W809" s="125"/>
      <c r="X809" s="31">
        <f t="shared" si="116"/>
        <v>0</v>
      </c>
      <c r="Y809" s="509"/>
      <c r="Z809" s="1054" t="str">
        <f t="shared" si="112"/>
        <v xml:space="preserve">Lesser Summon Object </v>
      </c>
      <c r="AA809" s="1072" t="str">
        <f t="shared" si="113"/>
        <v>Summoning</v>
      </c>
    </row>
    <row r="810" spans="1:27" hidden="1" outlineLevel="1">
      <c r="A810" s="378" t="s">
        <v>2492</v>
      </c>
      <c r="B810" s="67">
        <v>6</v>
      </c>
      <c r="C810" s="67">
        <f ca="1">magestuff!$R$207</f>
        <v>6</v>
      </c>
      <c r="D810" s="67">
        <f t="shared" si="114"/>
        <v>0</v>
      </c>
      <c r="E810" s="77" t="e">
        <f ca="1">IF(F810="y",HLOOKUP((IF(C810&lt;1,1,C810)),Magick!$C$20:$L$21,2),NA())</f>
        <v>#N/A</v>
      </c>
      <c r="F810" s="67" t="str">
        <f ca="1">IF(C810&lt;=Magick!$D$3,"Y","N")</f>
        <v>N</v>
      </c>
      <c r="G810" s="148" t="s">
        <v>128</v>
      </c>
      <c r="H810" s="151"/>
      <c r="I810" s="77" t="e">
        <f>IF(H810&gt;0,(HLOOKUP(C810,Magick!$C$20:$L$21,2)-HLOOKUP(H810,Magick!$C$20:$L$21,2)),NA())</f>
        <v>#N/A</v>
      </c>
      <c r="J810" s="77"/>
      <c r="K810" s="67">
        <v>6</v>
      </c>
      <c r="L810" s="72" t="str">
        <f>IF(H810&gt;0,Magick!$AR$26-('Master Spell List'!H804*0.1),"N/A")</f>
        <v>N/A</v>
      </c>
      <c r="M810" s="72">
        <f ca="1">Magick!$H$79</f>
        <v>0.08</v>
      </c>
      <c r="N810" s="72">
        <f ca="1">Magick!$K$79</f>
        <v>0.13</v>
      </c>
      <c r="O810" s="72">
        <f ca="1">Magick!$L$79</f>
        <v>0.13</v>
      </c>
      <c r="P810" s="72">
        <f ca="1">Magick!$M$79</f>
        <v>0.13</v>
      </c>
      <c r="Q810" s="67" t="s">
        <v>113</v>
      </c>
      <c r="R810" s="67" t="str">
        <f>IF(Q810="Ritual","N/A",IF(Q810="I.E.","N/A",IF(Q810="WOG",VLOOKUP(Magick!$I$79*100,magestuff!$B$134:$F$138,2),IF(Q810="Cantrip",VLOOKUP(Magick!$I$79*100,magestuff!$B$134:$F$138,3),IF(Q810="Hex",VLOOKUP(Magick!$I$79*100,magestuff!$B$134:$F$138,4),VLOOKUP(Magick!$I$79*100,magestuff!$B$134:$F$138,5))))))</f>
        <v>N/A</v>
      </c>
      <c r="U810" s="67" t="str">
        <f t="shared" si="115"/>
        <v xml:space="preserve"> </v>
      </c>
      <c r="V810" s="515"/>
      <c r="W810" s="125"/>
      <c r="X810" s="31">
        <f t="shared" si="116"/>
        <v>0</v>
      </c>
      <c r="Y810" s="509"/>
      <c r="Z810" s="1054" t="str">
        <f t="shared" si="112"/>
        <v>Summon Least Spirit</v>
      </c>
      <c r="AA810" s="1072" t="str">
        <f t="shared" si="113"/>
        <v>Summoning</v>
      </c>
    </row>
    <row r="811" spans="1:27" hidden="1" outlineLevel="1">
      <c r="A811" s="378" t="s">
        <v>3259</v>
      </c>
      <c r="B811" s="67">
        <v>6</v>
      </c>
      <c r="C811" s="67">
        <f ca="1">magestuff!$R$207</f>
        <v>6</v>
      </c>
      <c r="D811" s="67">
        <f t="shared" si="114"/>
        <v>0</v>
      </c>
      <c r="E811" s="77" t="e">
        <f ca="1">IF(F811="y",HLOOKUP((IF(C811&lt;1,1,C811)),Magick!$C$20:$L$21,2),NA())</f>
        <v>#N/A</v>
      </c>
      <c r="F811" s="67" t="str">
        <f ca="1">IF(C811&lt;=Magick!$D$3,"Y","N")</f>
        <v>N</v>
      </c>
      <c r="G811" s="148" t="s">
        <v>128</v>
      </c>
      <c r="H811" s="151"/>
      <c r="I811" s="77" t="e">
        <f>IF(H811&gt;0,(HLOOKUP(C811,Magick!$C$20:$L$21,2)-HLOOKUP(H811,Magick!$C$20:$L$21,2)),NA())</f>
        <v>#N/A</v>
      </c>
      <c r="J811" s="77"/>
      <c r="K811" s="67">
        <v>10</v>
      </c>
      <c r="L811" s="72" t="str">
        <f>IF(H811&gt;0,Magick!$AR$26-('Master Spell List'!H806*0.1),"N/A")</f>
        <v>N/A</v>
      </c>
      <c r="M811" s="72">
        <f ca="1">Magick!$H$79</f>
        <v>0.08</v>
      </c>
      <c r="N811" s="72">
        <f ca="1">Magick!$K$79</f>
        <v>0.13</v>
      </c>
      <c r="O811" s="72">
        <f ca="1">Magick!$L$79</f>
        <v>0.13</v>
      </c>
      <c r="P811" s="72">
        <f ca="1">Magick!$M$79</f>
        <v>0.13</v>
      </c>
      <c r="Q811" s="67" t="s">
        <v>113</v>
      </c>
      <c r="R811" s="67" t="str">
        <f>IF(Q811="Ritual","N/A",IF(Q811="I.E.","N/A",IF(Q811="WOG",VLOOKUP(Magick!$I$79*100,magestuff!$B$134:$F$138,2),IF(Q811="Cantrip",VLOOKUP(Magick!$I$79*100,magestuff!$B$134:$F$138,3),IF(Q811="Hex",VLOOKUP(Magick!$I$79*100,magestuff!$B$134:$F$138,4),VLOOKUP(Magick!$I$79*100,magestuff!$B$134:$F$138,5))))))</f>
        <v>N/A</v>
      </c>
      <c r="U811" s="67" t="str">
        <f t="shared" si="115"/>
        <v xml:space="preserve"> </v>
      </c>
      <c r="V811" s="515"/>
      <c r="W811" s="125"/>
      <c r="X811" s="31">
        <f t="shared" si="116"/>
        <v>0</v>
      </c>
      <c r="Y811" s="509"/>
      <c r="Z811" s="1054" t="str">
        <f t="shared" si="112"/>
        <v>Summon Lesser Totem</v>
      </c>
      <c r="AA811" s="1072" t="str">
        <f t="shared" si="113"/>
        <v>Summoning</v>
      </c>
    </row>
    <row r="812" spans="1:27" hidden="1" outlineLevel="1">
      <c r="A812" s="378" t="s">
        <v>5481</v>
      </c>
      <c r="B812" s="67">
        <v>7</v>
      </c>
      <c r="C812" s="67">
        <f ca="1">magestuff!$U$207</f>
        <v>7</v>
      </c>
      <c r="D812" s="67">
        <f t="shared" si="114"/>
        <v>0</v>
      </c>
      <c r="E812" s="77" t="e">
        <f ca="1">IF(F812="y",HLOOKUP((IF(C812&lt;1,1,C812)),Magick!$C$20:$L$21,2),NA())</f>
        <v>#N/A</v>
      </c>
      <c r="F812" s="67" t="str">
        <f ca="1">IF(C812&lt;=Magick!$D$3,"Y","N")</f>
        <v>N</v>
      </c>
      <c r="G812" s="148" t="s">
        <v>128</v>
      </c>
      <c r="H812" s="151"/>
      <c r="I812" s="77" t="e">
        <f>IF(H812&gt;0,(HLOOKUP(C812,Magick!$C$20:$L$21,2)-HLOOKUP(H812,Magick!$C$20:$L$21,2)),NA())</f>
        <v>#N/A</v>
      </c>
      <c r="J812" s="77"/>
      <c r="K812" s="67">
        <v>84</v>
      </c>
      <c r="L812" s="72" t="str">
        <f>IF(H812&gt;0,Magick!$AR$26-('Master Spell List'!H792*0.1),"N/A")</f>
        <v>N/A</v>
      </c>
      <c r="M812" s="72">
        <f ca="1">Magick!$H$79</f>
        <v>0.08</v>
      </c>
      <c r="N812" s="72">
        <f ca="1">Magick!$K$79</f>
        <v>0.13</v>
      </c>
      <c r="O812" s="72">
        <f ca="1">Magick!$L$79</f>
        <v>0.13</v>
      </c>
      <c r="P812" s="72">
        <f ca="1">Magick!$M$79</f>
        <v>0.13</v>
      </c>
      <c r="Q812" s="67" t="s">
        <v>113</v>
      </c>
      <c r="R812" s="67" t="str">
        <f>IF(Q812="Ritual","N/A",IF(Q812="I.E.","N/A",IF(Q812="WOG",VLOOKUP(Magick!$I$79*100,magestuff!$B$134:$F$138,2),IF(Q812="Cantrip",VLOOKUP(Magick!$I$79*100,magestuff!$B$134:$F$138,3),IF(Q812="Hex",VLOOKUP(Magick!$I$79*100,magestuff!$B$134:$F$138,4),VLOOKUP(Magick!$I$79*100,magestuff!$B$134:$F$138,5))))))</f>
        <v>N/A</v>
      </c>
      <c r="S812" s="71" t="s">
        <v>5545</v>
      </c>
      <c r="T812" s="294" t="str">
        <f>CONCATENATE(IF(Magick!$C$3&gt;0,Magick!$C$3*1," ")," hrs.")</f>
        <v xml:space="preserve">  hrs.</v>
      </c>
      <c r="U812" s="67" t="str">
        <f t="shared" si="115"/>
        <v xml:space="preserve"> </v>
      </c>
      <c r="V812" s="515"/>
      <c r="W812" s="125"/>
      <c r="X812" s="31">
        <f t="shared" si="116"/>
        <v>0</v>
      </c>
      <c r="Y812" s="509"/>
      <c r="Z812" s="1054" t="str">
        <f t="shared" si="112"/>
        <v>Animate Metal Simulacrum</v>
      </c>
      <c r="AA812" s="1072" t="str">
        <f t="shared" si="113"/>
        <v>Summoning</v>
      </c>
    </row>
    <row r="813" spans="1:27" hidden="1" outlineLevel="1">
      <c r="A813" s="380" t="s">
        <v>5483</v>
      </c>
      <c r="B813" s="67">
        <f>IF(Magick!$A$3=25,4,7)</f>
        <v>7</v>
      </c>
      <c r="C813" s="67">
        <f ca="1">IF(Magick!$A$3=25,magestuff!$L$207,magestuff!$U$207)</f>
        <v>7</v>
      </c>
      <c r="D813" s="67">
        <f t="shared" si="114"/>
        <v>0</v>
      </c>
      <c r="E813" s="77" t="e">
        <f ca="1">IF(F813="y",HLOOKUP((IF(C813&lt;1,1,C813)),Magick!$C$20:$L$21,2),NA())</f>
        <v>#N/A</v>
      </c>
      <c r="F813" s="67" t="str">
        <f ca="1">IF(C813&lt;=Magick!$D$3,"Y","N")</f>
        <v>N</v>
      </c>
      <c r="G813" s="148" t="s">
        <v>128</v>
      </c>
      <c r="H813" s="151"/>
      <c r="I813" s="77" t="e">
        <f>IF(H813&gt;0,(HLOOKUP(C813,Magick!$C$20:$L$21,2)-HLOOKUP(H813,Magick!$C$20:$L$21,2)),NA())</f>
        <v>#N/A</v>
      </c>
      <c r="J813" s="77"/>
      <c r="K813" s="67" t="str">
        <f>IF(Magick!$A$3=25,"7+7","11+11")</f>
        <v>11+11</v>
      </c>
      <c r="L813" s="72" t="str">
        <f>IF(H813&gt;0,Magick!$AR$26-('Master Spell List'!H794*0.1),"N/A")</f>
        <v>N/A</v>
      </c>
      <c r="M813" s="72">
        <f ca="1">Magick!$H$79</f>
        <v>0.08</v>
      </c>
      <c r="N813" s="72">
        <f ca="1">Magick!$K$79</f>
        <v>0.13</v>
      </c>
      <c r="O813" s="72">
        <f ca="1">Magick!$L$79</f>
        <v>0.13</v>
      </c>
      <c r="P813" s="72">
        <f ca="1">Magick!$M$79</f>
        <v>0.13</v>
      </c>
      <c r="Q813" s="67" t="s">
        <v>113</v>
      </c>
      <c r="R813" s="67" t="str">
        <f>IF(Q813="Ritual","N/A",IF(Q813="I.E.","N/A",IF(Q813="WOG",VLOOKUP(Magick!$I$79*100,magestuff!$B$134:$F$138,2),IF(Q813="Cantrip",VLOOKUP(Magick!$I$79*100,magestuff!$B$134:$F$138,3),IF(Q813="Hex",VLOOKUP(Magick!$I$79*100,magestuff!$B$134:$F$138,4),VLOOKUP(Magick!$I$79*100,magestuff!$B$134:$F$138,5))))))</f>
        <v>N/A</v>
      </c>
      <c r="S813" s="71" t="s">
        <v>5545</v>
      </c>
      <c r="T813" s="294" t="str">
        <f>CONCATENATE(IF(Magick!$C$3&gt;0,Magick!$C$3*3," ")," hrs.")</f>
        <v xml:space="preserve">  hrs.</v>
      </c>
      <c r="U813" s="67" t="str">
        <f t="shared" si="115"/>
        <v xml:space="preserve"> </v>
      </c>
      <c r="V813" s="515"/>
      <c r="W813" s="125"/>
      <c r="X813" s="31">
        <f t="shared" si="116"/>
        <v>0</v>
      </c>
      <c r="Y813" s="509"/>
      <c r="Z813" s="1054" t="str">
        <f t="shared" si="112"/>
        <v>Awaken the Dead</v>
      </c>
      <c r="AA813" s="1072" t="str">
        <f t="shared" si="113"/>
        <v>Summoning</v>
      </c>
    </row>
    <row r="814" spans="1:27" hidden="1" outlineLevel="1">
      <c r="A814" s="379" t="s">
        <v>1482</v>
      </c>
      <c r="B814" s="67">
        <v>7</v>
      </c>
      <c r="C814" s="67">
        <f ca="1">IF(Magick!$A$3=25,magestuff!$L$207,magestuff!$U$207)</f>
        <v>7</v>
      </c>
      <c r="D814" s="67">
        <f t="shared" si="114"/>
        <v>0</v>
      </c>
      <c r="E814" s="77" t="e">
        <f ca="1">IF(F814="y",HLOOKUP((IF(C814&lt;1,1,C814)),Magick!$C$20:$L$21,2),NA())</f>
        <v>#N/A</v>
      </c>
      <c r="F814" s="67" t="str">
        <f ca="1">IF(C814&lt;=Magick!$D$3,"Y","N")</f>
        <v>N</v>
      </c>
      <c r="G814" s="148" t="s">
        <v>859</v>
      </c>
      <c r="H814" s="151"/>
      <c r="I814" s="77" t="e">
        <f>IF(H814&gt;0,(HLOOKUP(C814,Magick!$C$20:$L$21,2)-HLOOKUP(H814,Magick!$C$20:$L$21,2)),NA())</f>
        <v>#N/A</v>
      </c>
      <c r="J814" s="77"/>
      <c r="K814" s="67" t="s">
        <v>2225</v>
      </c>
      <c r="L814" s="72" t="str">
        <f>IF(H814&gt;0,Magick!$AR$26-('Master Spell List'!H811*0.1),"N/A")</f>
        <v>N/A</v>
      </c>
      <c r="M814" s="72">
        <f ca="1">Magick!$H$79</f>
        <v>0.08</v>
      </c>
      <c r="N814" s="72">
        <f ca="1">Magick!$K$79</f>
        <v>0.13</v>
      </c>
      <c r="O814" s="72">
        <f ca="1">Magick!$L$79</f>
        <v>0.13</v>
      </c>
      <c r="P814" s="72">
        <f ca="1">Magick!$M$79</f>
        <v>0.13</v>
      </c>
      <c r="Q814" s="67" t="s">
        <v>2225</v>
      </c>
      <c r="R814" s="67">
        <f ca="1">IF(Q814="Ritual","N/A",IF(Q814="I.E.","N/A",IF(Q814="WOG",VLOOKUP(Magick!$I$79*100,magestuff!$B$134:$F$138,2),IF(Q814="Cantrip",VLOOKUP(Magick!$I$79*100,magestuff!$B$134:$F$138,3),IF(Q814="Hex",VLOOKUP(Magick!$I$79*100,magestuff!$B$134:$F$138,4),VLOOKUP(Magick!$I$79*100,magestuff!$B$134:$F$138,5))))))</f>
        <v>29</v>
      </c>
      <c r="U814" s="67" t="str">
        <f t="shared" si="115"/>
        <v xml:space="preserve"> </v>
      </c>
      <c r="V814" s="515"/>
      <c r="W814" s="125"/>
      <c r="X814" s="31">
        <f t="shared" si="116"/>
        <v>0</v>
      </c>
      <c r="Y814" s="509"/>
      <c r="Z814" s="1054" t="str">
        <f t="shared" si="112"/>
        <v xml:space="preserve">Banish Great Undead </v>
      </c>
      <c r="AA814" s="1072" t="str">
        <f t="shared" si="113"/>
        <v>Summoning</v>
      </c>
    </row>
    <row r="815" spans="1:27" hidden="1" outlineLevel="1">
      <c r="A815" s="379" t="s">
        <v>1488</v>
      </c>
      <c r="B815" s="67">
        <v>7</v>
      </c>
      <c r="C815" s="67">
        <f ca="1">IF(Magick!$A$3=25,magestuff!$L$207,magestuff!$U$207)</f>
        <v>7</v>
      </c>
      <c r="D815" s="67">
        <f t="shared" si="114"/>
        <v>0</v>
      </c>
      <c r="E815" s="77" t="e">
        <f ca="1">IF(F815="y",HLOOKUP((IF(C815&lt;1,1,C815)),Magick!$C$20:$L$21,2),NA())</f>
        <v>#N/A</v>
      </c>
      <c r="F815" s="67" t="str">
        <f ca="1">IF(C815&lt;=Magick!$D$3,"Y","N")</f>
        <v>N</v>
      </c>
      <c r="G815" s="148" t="s">
        <v>859</v>
      </c>
      <c r="H815" s="151"/>
      <c r="I815" s="77" t="e">
        <f>IF(H815&gt;0,(HLOOKUP(C815,Magick!$C$20:$L$21,2)-HLOOKUP(H815,Magick!$C$20:$L$21,2)),NA())</f>
        <v>#N/A</v>
      </c>
      <c r="J815" s="77"/>
      <c r="K815" s="67" t="s">
        <v>2225</v>
      </c>
      <c r="L815" s="72" t="str">
        <f>IF(H815&gt;0,Magick!$AR$26-('Master Spell List'!H817*0.1),"N/A")</f>
        <v>N/A</v>
      </c>
      <c r="M815" s="72">
        <f ca="1">Magick!$H$79</f>
        <v>0.08</v>
      </c>
      <c r="N815" s="72">
        <f ca="1">Magick!$K$79</f>
        <v>0.13</v>
      </c>
      <c r="O815" s="72">
        <f ca="1">Magick!$L$79</f>
        <v>0.13</v>
      </c>
      <c r="P815" s="72">
        <f ca="1">Magick!$M$79</f>
        <v>0.13</v>
      </c>
      <c r="Q815" s="67" t="s">
        <v>2225</v>
      </c>
      <c r="R815" s="67">
        <f ca="1">IF(Q815="Ritual","N/A",IF(Q815="I.E.","N/A",IF(Q815="WOG",VLOOKUP(Magick!$I$79*100,magestuff!$B$134:$F$138,2),IF(Q815="Cantrip",VLOOKUP(Magick!$I$79*100,magestuff!$B$134:$F$138,3),IF(Q815="Hex",VLOOKUP(Magick!$I$79*100,magestuff!$B$134:$F$138,4),VLOOKUP(Magick!$I$79*100,magestuff!$B$134:$F$138,5))))))</f>
        <v>29</v>
      </c>
      <c r="U815" s="67" t="str">
        <f t="shared" si="115"/>
        <v xml:space="preserve"> </v>
      </c>
      <c r="V815" s="515"/>
      <c r="W815" s="125"/>
      <c r="X815" s="31">
        <f t="shared" si="116"/>
        <v>0</v>
      </c>
      <c r="Y815" s="509"/>
      <c r="Z815" s="1054" t="str">
        <f t="shared" si="112"/>
        <v xml:space="preserve">Banish Least Spirit </v>
      </c>
      <c r="AA815" s="1072" t="str">
        <f t="shared" si="113"/>
        <v>Summoning</v>
      </c>
    </row>
    <row r="816" spans="1:27" hidden="1" outlineLevel="1">
      <c r="A816" s="379" t="s">
        <v>1966</v>
      </c>
      <c r="B816" s="67">
        <v>7</v>
      </c>
      <c r="C816" s="67">
        <f ca="1">IF(Magick!$A$3=25,magestuff!$L$207,magestuff!$U$207)</f>
        <v>7</v>
      </c>
      <c r="D816" s="67">
        <f t="shared" si="114"/>
        <v>0</v>
      </c>
      <c r="E816" s="77" t="e">
        <f ca="1">IF(F816="y",HLOOKUP((IF(C816&lt;1,1,C816)),Magick!$C$20:$L$21,2),NA())</f>
        <v>#N/A</v>
      </c>
      <c r="F816" s="67" t="str">
        <f ca="1">IF(C816&lt;=Magick!$D$3,"Y","N")</f>
        <v>N</v>
      </c>
      <c r="G816" s="148" t="s">
        <v>859</v>
      </c>
      <c r="H816" s="151"/>
      <c r="I816" s="77" t="e">
        <f>IF(H816&gt;0,(HLOOKUP(C816,Magick!$C$20:$L$21,2)-HLOOKUP(H816,Magick!$C$20:$L$21,2)),NA())</f>
        <v>#N/A</v>
      </c>
      <c r="J816" s="77"/>
      <c r="K816" s="67" t="s">
        <v>2225</v>
      </c>
      <c r="L816" s="72" t="str">
        <f>IF(H816&gt;0,Magick!$AR$26-('Master Spell List'!H824*0.1),"N/A")</f>
        <v>N/A</v>
      </c>
      <c r="M816" s="72">
        <f ca="1">Magick!$H$79</f>
        <v>0.08</v>
      </c>
      <c r="N816" s="72">
        <f ca="1">Magick!$K$79</f>
        <v>0.13</v>
      </c>
      <c r="O816" s="72">
        <f ca="1">Magick!$L$79</f>
        <v>0.13</v>
      </c>
      <c r="P816" s="72">
        <f ca="1">Magick!$M$79</f>
        <v>0.13</v>
      </c>
      <c r="Q816" s="67" t="s">
        <v>2225</v>
      </c>
      <c r="R816" s="67">
        <f ca="1">IF(Q816="Ritual","N/A",IF(Q816="I.E.","N/A",IF(Q816="WOG",VLOOKUP(Magick!$I$79*100,magestuff!$B$134:$F$138,2),IF(Q816="Cantrip",VLOOKUP(Magick!$I$79*100,magestuff!$B$134:$F$138,3),IF(Q816="Hex",VLOOKUP(Magick!$I$79*100,magestuff!$B$134:$F$138,4),VLOOKUP(Magick!$I$79*100,magestuff!$B$134:$F$138,5))))))</f>
        <v>29</v>
      </c>
      <c r="U816" s="67" t="str">
        <f t="shared" si="115"/>
        <v xml:space="preserve"> </v>
      </c>
      <c r="V816" s="515"/>
      <c r="W816" s="125"/>
      <c r="X816" s="31">
        <f t="shared" si="116"/>
        <v>0</v>
      </c>
      <c r="Y816" s="509"/>
      <c r="Z816" s="1054" t="str">
        <f t="shared" si="112"/>
        <v xml:space="preserve">Bind Ghoul into a Container </v>
      </c>
      <c r="AA816" s="1072" t="str">
        <f t="shared" si="113"/>
        <v>Summoning</v>
      </c>
    </row>
    <row r="817" spans="1:27" hidden="1" outlineLevel="1">
      <c r="A817" s="379" t="s">
        <v>3188</v>
      </c>
      <c r="B817" s="67">
        <v>7</v>
      </c>
      <c r="C817" s="67">
        <f ca="1">IF(Magick!$A$3=25,magestuff!$L$207,magestuff!$U$207)</f>
        <v>7</v>
      </c>
      <c r="D817" s="67">
        <f t="shared" si="114"/>
        <v>0</v>
      </c>
      <c r="E817" s="77" t="e">
        <f ca="1">IF(F817="y",HLOOKUP((IF(C817&lt;1,1,C817)),Magick!$C$20:$L$21,2),NA())</f>
        <v>#N/A</v>
      </c>
      <c r="F817" s="67" t="str">
        <f ca="1">IF(C817&lt;=Magick!$D$3,"Y","N")</f>
        <v>N</v>
      </c>
      <c r="G817" s="148" t="s">
        <v>859</v>
      </c>
      <c r="H817" s="151"/>
      <c r="I817" s="77" t="e">
        <f>IF(H817&gt;0,(HLOOKUP(C817,Magick!$C$20:$L$21,2)-HLOOKUP(H817,Magick!$C$20:$L$21,2)),NA())</f>
        <v>#N/A</v>
      </c>
      <c r="J817" s="77"/>
      <c r="K817" s="67" t="s">
        <v>2225</v>
      </c>
      <c r="L817" s="72" t="str">
        <f>IF(H817&gt;0,Magick!$AR$26-('Master Spell List'!H834*0.1),"N/A")</f>
        <v>N/A</v>
      </c>
      <c r="M817" s="72">
        <f ca="1">Magick!$H$79</f>
        <v>0.08</v>
      </c>
      <c r="N817" s="72">
        <f ca="1">Magick!$K$79</f>
        <v>0.13</v>
      </c>
      <c r="O817" s="72">
        <f ca="1">Magick!$L$79</f>
        <v>0.13</v>
      </c>
      <c r="P817" s="72">
        <f ca="1">Magick!$M$79</f>
        <v>0.13</v>
      </c>
      <c r="Q817" s="67" t="s">
        <v>2225</v>
      </c>
      <c r="R817" s="67">
        <f ca="1">IF(Q817="Ritual","N/A",IF(Q817="I.E.","N/A",IF(Q817="WOG",VLOOKUP(Magick!$I$79*100,magestuff!$B$134:$F$138,2),IF(Q817="Cantrip",VLOOKUP(Magick!$I$79*100,magestuff!$B$134:$F$138,3),IF(Q817="Hex",VLOOKUP(Magick!$I$79*100,magestuff!$B$134:$F$138,4),VLOOKUP(Magick!$I$79*100,magestuff!$B$134:$F$138,5))))))</f>
        <v>29</v>
      </c>
      <c r="U817" s="67" t="str">
        <f t="shared" si="115"/>
        <v xml:space="preserve"> </v>
      </c>
      <c r="V817" s="515"/>
      <c r="W817" s="125"/>
      <c r="X817" s="31">
        <f t="shared" si="116"/>
        <v>0</v>
      </c>
      <c r="Y817" s="509"/>
      <c r="Z817" s="1054" t="str">
        <f t="shared" si="112"/>
        <v xml:space="preserve">Greater Bind Imp into a Container </v>
      </c>
      <c r="AA817" s="1072" t="str">
        <f t="shared" si="113"/>
        <v>Summoning</v>
      </c>
    </row>
    <row r="818" spans="1:27" hidden="1" outlineLevel="1">
      <c r="A818" s="379" t="s">
        <v>1965</v>
      </c>
      <c r="B818" s="67">
        <v>7</v>
      </c>
      <c r="C818" s="67">
        <f ca="1">IF(Magick!$A$3=25,magestuff!$L$207,magestuff!$U$207)</f>
        <v>7</v>
      </c>
      <c r="D818" s="67">
        <f t="shared" si="114"/>
        <v>0</v>
      </c>
      <c r="E818" s="77" t="e">
        <f ca="1">IF(F818="y",HLOOKUP((IF(C818&lt;1,1,C818)),Magick!$C$20:$L$21,2),NA())</f>
        <v>#N/A</v>
      </c>
      <c r="F818" s="67" t="str">
        <f ca="1">IF(C818&lt;=Magick!$D$3,"Y","N")</f>
        <v>N</v>
      </c>
      <c r="G818" s="148" t="s">
        <v>859</v>
      </c>
      <c r="H818" s="151"/>
      <c r="I818" s="77" t="e">
        <f>IF(H818&gt;0,(HLOOKUP(C818,Magick!$C$20:$L$21,2)-HLOOKUP(H818,Magick!$C$20:$L$21,2)),NA())</f>
        <v>#N/A</v>
      </c>
      <c r="J818" s="77"/>
      <c r="K818" s="67" t="s">
        <v>2225</v>
      </c>
      <c r="L818" s="72" t="str">
        <f>IF(H818&gt;0,Magick!$AR$26-('Master Spell List'!H823*0.1),"N/A")</f>
        <v>N/A</v>
      </c>
      <c r="M818" s="72">
        <f ca="1">Magick!$H$79</f>
        <v>0.08</v>
      </c>
      <c r="N818" s="72">
        <f ca="1">Magick!$K$79</f>
        <v>0.13</v>
      </c>
      <c r="O818" s="72">
        <f ca="1">Magick!$L$79</f>
        <v>0.13</v>
      </c>
      <c r="P818" s="72">
        <f ca="1">Magick!$M$79</f>
        <v>0.13</v>
      </c>
      <c r="Q818" s="67" t="s">
        <v>2225</v>
      </c>
      <c r="R818" s="67">
        <f ca="1">IF(Q818="Ritual","N/A",IF(Q818="I.E.","N/A",IF(Q818="WOG",VLOOKUP(Magick!$I$79*100,magestuff!$B$134:$F$138,2),IF(Q818="Cantrip",VLOOKUP(Magick!$I$79*100,magestuff!$B$134:$F$138,3),IF(Q818="Hex",VLOOKUP(Magick!$I$79*100,magestuff!$B$134:$F$138,4),VLOOKUP(Magick!$I$79*100,magestuff!$B$134:$F$138,5))))))</f>
        <v>29</v>
      </c>
      <c r="U818" s="67" t="str">
        <f t="shared" si="115"/>
        <v xml:space="preserve"> </v>
      </c>
      <c r="V818" s="515"/>
      <c r="W818" s="125"/>
      <c r="X818" s="31">
        <f t="shared" si="116"/>
        <v>0</v>
      </c>
      <c r="Y818" s="509"/>
      <c r="Z818" s="1054" t="str">
        <f t="shared" si="112"/>
        <v xml:space="preserve">Greater Bind the Undead into a Container </v>
      </c>
      <c r="AA818" s="1072" t="str">
        <f t="shared" si="113"/>
        <v>Summoning</v>
      </c>
    </row>
    <row r="819" spans="1:27" hidden="1" outlineLevel="1">
      <c r="A819" s="381" t="s">
        <v>3669</v>
      </c>
      <c r="B819" s="67">
        <v>7</v>
      </c>
      <c r="C819" s="67">
        <f ca="1">IF(Magick!$A$3=25,magestuff!$L$207,magestuff!$U$207)</f>
        <v>7</v>
      </c>
      <c r="D819" s="67">
        <f t="shared" si="114"/>
        <v>0</v>
      </c>
      <c r="E819" s="77" t="e">
        <f ca="1">IF(F819="y",HLOOKUP((IF(C819&lt;1,1,C819)),Magick!$C$20:$L$21,2),NA())</f>
        <v>#N/A</v>
      </c>
      <c r="F819" s="67" t="str">
        <f ca="1">IF(C819&lt;=Magick!$D$3,"Y","N")</f>
        <v>N</v>
      </c>
      <c r="G819" s="148" t="s">
        <v>129</v>
      </c>
      <c r="H819" s="151"/>
      <c r="I819" s="77" t="e">
        <f>IF(H819&gt;0,(HLOOKUP(C819,Magick!$C$20:$L$21,2)-HLOOKUP(H819,Magick!$C$20:$L$21,2)),NA())</f>
        <v>#N/A</v>
      </c>
      <c r="J819" s="77"/>
      <c r="K819" s="67">
        <v>13</v>
      </c>
      <c r="L819" s="72" t="str">
        <f>IF(H819&gt;0,Magick!$AR$26-('Master Spell List'!H805*0.1),"N/A")</f>
        <v>N/A</v>
      </c>
      <c r="M819" s="72">
        <f ca="1">Magick!$H$79</f>
        <v>0.08</v>
      </c>
      <c r="N819" s="72">
        <f ca="1">Magick!$K$79</f>
        <v>0.13</v>
      </c>
      <c r="O819" s="72">
        <f ca="1">Magick!$L$79</f>
        <v>0.13</v>
      </c>
      <c r="P819" s="72">
        <f ca="1">Magick!$M$79</f>
        <v>0.13</v>
      </c>
      <c r="Q819" s="67" t="s">
        <v>113</v>
      </c>
      <c r="R819" s="67" t="str">
        <f>IF(Q819="Ritual","N/A",IF(Q819="I.E.","N/A",IF(Q819="WOG",VLOOKUP(Magick!$I$79*100,magestuff!$B$134:$F$138,2),IF(Q819="Cantrip",VLOOKUP(Magick!$I$79*100,magestuff!$B$134:$F$138,3),IF(Q819="Hex",VLOOKUP(Magick!$I$79*100,magestuff!$B$134:$F$138,4),VLOOKUP(Magick!$I$79*100,magestuff!$B$134:$F$138,5))))))</f>
        <v>N/A</v>
      </c>
      <c r="U819" s="67" t="str">
        <f t="shared" si="115"/>
        <v xml:space="preserve"> </v>
      </c>
      <c r="V819" s="515"/>
      <c r="W819" s="125"/>
      <c r="X819" s="31">
        <f t="shared" si="116"/>
        <v>0</v>
      </c>
      <c r="Y819" s="509"/>
      <c r="Z819" s="1054" t="str">
        <f t="shared" si="112"/>
        <v>Summon Lesser Spirit</v>
      </c>
      <c r="AA819" s="1072" t="str">
        <f t="shared" si="113"/>
        <v>Summoning</v>
      </c>
    </row>
    <row r="820" spans="1:27" hidden="1" outlineLevel="1">
      <c r="A820" s="379" t="s">
        <v>1489</v>
      </c>
      <c r="B820" s="67">
        <v>8</v>
      </c>
      <c r="C820" s="67">
        <f ca="1">magestuff!$X$207</f>
        <v>8</v>
      </c>
      <c r="D820" s="67">
        <f t="shared" si="114"/>
        <v>0</v>
      </c>
      <c r="E820" s="77" t="e">
        <f ca="1">IF(F820="y",HLOOKUP((IF(C820&lt;1,1,C820)),Magick!$C$20:$L$21,2),NA())</f>
        <v>#N/A</v>
      </c>
      <c r="F820" s="67" t="str">
        <f ca="1">IF(C820&lt;=Magick!$D$3,"Y","N")</f>
        <v>N</v>
      </c>
      <c r="G820" s="148" t="s">
        <v>859</v>
      </c>
      <c r="H820" s="151"/>
      <c r="I820" s="77" t="e">
        <f>IF(H820&gt;0,(HLOOKUP(C820,Magick!$C$20:$L$21,2)-HLOOKUP(H820,Magick!$C$20:$L$21,2)),NA())</f>
        <v>#N/A</v>
      </c>
      <c r="J820" s="77"/>
      <c r="K820" s="67" t="s">
        <v>2225</v>
      </c>
      <c r="L820" s="72" t="str">
        <f>IF(H820&gt;0,Magick!$AR$26-('Master Spell List'!H818*0.1),"N/A")</f>
        <v>N/A</v>
      </c>
      <c r="M820" s="72">
        <f ca="1">Magick!$H$79</f>
        <v>0.08</v>
      </c>
      <c r="N820" s="72">
        <f ca="1">Magick!$K$79</f>
        <v>0.13</v>
      </c>
      <c r="O820" s="72">
        <f ca="1">Magick!$L$79</f>
        <v>0.13</v>
      </c>
      <c r="P820" s="72">
        <f ca="1">Magick!$M$79</f>
        <v>0.13</v>
      </c>
      <c r="Q820" s="67" t="s">
        <v>2225</v>
      </c>
      <c r="R820" s="67">
        <f ca="1">IF(Q820="Ritual","N/A",IF(Q820="I.E.","N/A",IF(Q820="WOG",VLOOKUP(Magick!$I$79*100,magestuff!$B$134:$F$138,2),IF(Q820="Cantrip",VLOOKUP(Magick!$I$79*100,magestuff!$B$134:$F$138,3),IF(Q820="Hex",VLOOKUP(Magick!$I$79*100,magestuff!$B$134:$F$138,4),VLOOKUP(Magick!$I$79*100,magestuff!$B$134:$F$138,5))))))</f>
        <v>29</v>
      </c>
      <c r="U820" s="67" t="str">
        <f t="shared" si="115"/>
        <v xml:space="preserve"> </v>
      </c>
      <c r="V820" s="515"/>
      <c r="W820" s="125"/>
      <c r="X820" s="31">
        <f t="shared" si="116"/>
        <v>0</v>
      </c>
      <c r="Y820" s="509"/>
      <c r="Z820" s="1054" t="str">
        <f t="shared" si="112"/>
        <v xml:space="preserve">Banish Lesser Spirit </v>
      </c>
      <c r="AA820" s="1072" t="str">
        <f t="shared" si="113"/>
        <v>Summoning</v>
      </c>
    </row>
    <row r="821" spans="1:27" hidden="1" outlineLevel="1">
      <c r="A821" s="379" t="s">
        <v>1484</v>
      </c>
      <c r="B821" s="67">
        <v>8</v>
      </c>
      <c r="C821" s="67">
        <f ca="1">magestuff!$X$207</f>
        <v>8</v>
      </c>
      <c r="D821" s="67">
        <f t="shared" si="114"/>
        <v>0</v>
      </c>
      <c r="E821" s="77" t="e">
        <f ca="1">IF(F821="y",HLOOKUP((IF(C821&lt;1,1,C821)),Magick!$C$20:$L$21,2),NA())</f>
        <v>#N/A</v>
      </c>
      <c r="F821" s="67" t="str">
        <f ca="1">IF(C821&lt;=Magick!$D$3,"Y","N")</f>
        <v>N</v>
      </c>
      <c r="G821" s="148" t="s">
        <v>859</v>
      </c>
      <c r="H821" s="151"/>
      <c r="I821" s="77" t="e">
        <f>IF(H821&gt;0,(HLOOKUP(C821,Magick!$C$20:$L$21,2)-HLOOKUP(H821,Magick!$C$20:$L$21,2)),NA())</f>
        <v>#N/A</v>
      </c>
      <c r="J821" s="77"/>
      <c r="K821" s="67" t="s">
        <v>2225</v>
      </c>
      <c r="L821" s="72" t="str">
        <f>IF(H821&gt;0,Magick!$AR$26-('Master Spell List'!H813*0.1),"N/A")</f>
        <v>N/A</v>
      </c>
      <c r="M821" s="72">
        <f ca="1">Magick!$H$79</f>
        <v>0.08</v>
      </c>
      <c r="N821" s="72">
        <f ca="1">Magick!$K$79</f>
        <v>0.13</v>
      </c>
      <c r="O821" s="72">
        <f ca="1">Magick!$L$79</f>
        <v>0.13</v>
      </c>
      <c r="P821" s="72">
        <f ca="1">Magick!$M$79</f>
        <v>0.13</v>
      </c>
      <c r="Q821" s="67" t="s">
        <v>2225</v>
      </c>
      <c r="R821" s="67">
        <f ca="1">IF(Q821="Ritual","N/A",IF(Q821="I.E.","N/A",IF(Q821="WOG",VLOOKUP(Magick!$I$79*100,magestuff!$B$134:$F$138,2),IF(Q821="Cantrip",VLOOKUP(Magick!$I$79*100,magestuff!$B$134:$F$138,3),IF(Q821="Hex",VLOOKUP(Magick!$I$79*100,magestuff!$B$134:$F$138,4),VLOOKUP(Magick!$I$79*100,magestuff!$B$134:$F$138,5))))))</f>
        <v>29</v>
      </c>
      <c r="U821" s="67" t="str">
        <f t="shared" si="115"/>
        <v xml:space="preserve"> </v>
      </c>
      <c r="V821" s="515"/>
      <c r="W821" s="125"/>
      <c r="X821" s="31">
        <f t="shared" si="116"/>
        <v>0</v>
      </c>
      <c r="Y821" s="509"/>
      <c r="Z821" s="1054" t="str">
        <f t="shared" si="112"/>
        <v xml:space="preserve">Banish the Work </v>
      </c>
      <c r="AA821" s="1072" t="str">
        <f t="shared" si="113"/>
        <v>Summoning</v>
      </c>
    </row>
    <row r="822" spans="1:27" hidden="1" outlineLevel="1">
      <c r="A822" s="379" t="s">
        <v>3185</v>
      </c>
      <c r="B822" s="67">
        <v>8</v>
      </c>
      <c r="C822" s="67">
        <f ca="1">magestuff!$X$207</f>
        <v>8</v>
      </c>
      <c r="D822" s="67">
        <f t="shared" si="114"/>
        <v>0</v>
      </c>
      <c r="E822" s="77" t="e">
        <f ca="1">IF(F822="y",HLOOKUP((IF(C822&lt;1,1,C822)),Magick!$C$20:$L$21,2),NA())</f>
        <v>#N/A</v>
      </c>
      <c r="F822" s="67" t="str">
        <f ca="1">IF(C822&lt;=Magick!$D$3,"Y","N")</f>
        <v>N</v>
      </c>
      <c r="G822" s="148" t="s">
        <v>859</v>
      </c>
      <c r="H822" s="151"/>
      <c r="I822" s="77" t="e">
        <f>IF(H822&gt;0,(HLOOKUP(C822,Magick!$C$20:$L$21,2)-HLOOKUP(H822,Magick!$C$20:$L$21,2)),NA())</f>
        <v>#N/A</v>
      </c>
      <c r="J822" s="77"/>
      <c r="K822" s="67" t="s">
        <v>2225</v>
      </c>
      <c r="L822" s="72" t="str">
        <f>IF(H822&gt;0,Magick!$AR$26-('Master Spell List'!H825*0.1),"N/A")</f>
        <v>N/A</v>
      </c>
      <c r="M822" s="72">
        <f ca="1">Magick!$H$79</f>
        <v>0.08</v>
      </c>
      <c r="N822" s="72">
        <f ca="1">Magick!$K$79</f>
        <v>0.13</v>
      </c>
      <c r="O822" s="72">
        <f ca="1">Magick!$L$79</f>
        <v>0.13</v>
      </c>
      <c r="P822" s="72">
        <f ca="1">Magick!$M$79</f>
        <v>0.13</v>
      </c>
      <c r="Q822" s="67" t="s">
        <v>2225</v>
      </c>
      <c r="R822" s="67">
        <f ca="1">IF(Q822="Ritual","N/A",IF(Q822="I.E.","N/A",IF(Q822="WOG",VLOOKUP(Magick!$I$79*100,magestuff!$B$134:$F$138,2),IF(Q822="Cantrip",VLOOKUP(Magick!$I$79*100,magestuff!$B$134:$F$138,3),IF(Q822="Hex",VLOOKUP(Magick!$I$79*100,magestuff!$B$134:$F$138,4),VLOOKUP(Magick!$I$79*100,magestuff!$B$134:$F$138,5))))))</f>
        <v>29</v>
      </c>
      <c r="U822" s="67" t="str">
        <f t="shared" si="115"/>
        <v xml:space="preserve"> </v>
      </c>
      <c r="V822" s="515"/>
      <c r="W822" s="125"/>
      <c r="X822" s="31">
        <f t="shared" ref="X822:X849" si="117">W822*3</f>
        <v>0</v>
      </c>
      <c r="Y822" s="509"/>
      <c r="Z822" s="1054" t="str">
        <f t="shared" si="112"/>
        <v>Bind Lesser Spirit into a Container</v>
      </c>
      <c r="AA822" s="1072" t="str">
        <f t="shared" si="113"/>
        <v>Summoning</v>
      </c>
    </row>
    <row r="823" spans="1:27" hidden="1" outlineLevel="1">
      <c r="A823" s="379" t="s">
        <v>1968</v>
      </c>
      <c r="B823" s="67">
        <v>8</v>
      </c>
      <c r="C823" s="67">
        <f ca="1">magestuff!$X$207</f>
        <v>8</v>
      </c>
      <c r="D823" s="67">
        <f t="shared" si="114"/>
        <v>0</v>
      </c>
      <c r="E823" s="77" t="e">
        <f ca="1">IF(F823="y",HLOOKUP((IF(C823&lt;1,1,C823)),Magick!$C$20:$L$21,2),NA())</f>
        <v>#N/A</v>
      </c>
      <c r="F823" s="67" t="str">
        <f ca="1">IF(C823&lt;=Magick!$D$3,"Y","N")</f>
        <v>N</v>
      </c>
      <c r="G823" s="148" t="s">
        <v>859</v>
      </c>
      <c r="H823" s="151"/>
      <c r="I823" s="77" t="e">
        <f>IF(H823&gt;0,(HLOOKUP(C823,Magick!$C$20:$L$21,2)-HLOOKUP(H823,Magick!$C$20:$L$21,2)),NA())</f>
        <v>#N/A</v>
      </c>
      <c r="J823" s="77"/>
      <c r="K823" s="67" t="s">
        <v>2225</v>
      </c>
      <c r="L823" s="72" t="str">
        <f>IF(H823&gt;0,Magick!$AR$26-('Master Spell List'!H826*0.1),"N/A")</f>
        <v>N/A</v>
      </c>
      <c r="M823" s="72">
        <f ca="1">Magick!$H$79</f>
        <v>0.08</v>
      </c>
      <c r="N823" s="72">
        <f ca="1">Magick!$K$79</f>
        <v>0.13</v>
      </c>
      <c r="O823" s="72">
        <f ca="1">Magick!$L$79</f>
        <v>0.13</v>
      </c>
      <c r="P823" s="72">
        <f ca="1">Magick!$M$79</f>
        <v>0.13</v>
      </c>
      <c r="Q823" s="67" t="s">
        <v>2225</v>
      </c>
      <c r="R823" s="67">
        <f ca="1">IF(Q823="Ritual","N/A",IF(Q823="I.E.","N/A",IF(Q823="WOG",VLOOKUP(Magick!$I$79*100,magestuff!$B$134:$F$138,2),IF(Q823="Cantrip",VLOOKUP(Magick!$I$79*100,magestuff!$B$134:$F$138,3),IF(Q823="Hex",VLOOKUP(Magick!$I$79*100,magestuff!$B$134:$F$138,4),VLOOKUP(Magick!$I$79*100,magestuff!$B$134:$F$138,5))))))</f>
        <v>29</v>
      </c>
      <c r="U823" s="67" t="str">
        <f t="shared" si="115"/>
        <v xml:space="preserve"> </v>
      </c>
      <c r="V823" s="515"/>
      <c r="W823" s="125"/>
      <c r="X823" s="31">
        <f t="shared" si="117"/>
        <v>0</v>
      </c>
      <c r="Y823" s="509"/>
      <c r="Z823" s="1054" t="str">
        <f t="shared" si="112"/>
        <v>Bind the Greater Undead  into a Container</v>
      </c>
      <c r="AA823" s="1072" t="str">
        <f t="shared" si="113"/>
        <v>Summoning</v>
      </c>
    </row>
    <row r="824" spans="1:27" hidden="1" outlineLevel="1">
      <c r="A824" s="379" t="s">
        <v>1967</v>
      </c>
      <c r="B824" s="67">
        <v>8</v>
      </c>
      <c r="C824" s="67">
        <f ca="1">magestuff!$X$207</f>
        <v>8</v>
      </c>
      <c r="D824" s="67">
        <f t="shared" si="114"/>
        <v>0</v>
      </c>
      <c r="E824" s="77" t="e">
        <f ca="1">IF(F824="y",HLOOKUP((IF(C824&lt;1,1,C824)),Magick!$C$20:$L$21,2),NA())</f>
        <v>#N/A</v>
      </c>
      <c r="F824" s="67" t="str">
        <f ca="1">IF(C824&lt;=Magick!$D$3,"Y","N")</f>
        <v>N</v>
      </c>
      <c r="G824" s="148" t="s">
        <v>859</v>
      </c>
      <c r="H824" s="151"/>
      <c r="I824" s="77" t="e">
        <f>IF(H824&gt;0,(HLOOKUP(C824,Magick!$C$20:$L$21,2)-HLOOKUP(H824,Magick!$C$20:$L$21,2)),NA())</f>
        <v>#N/A</v>
      </c>
      <c r="J824" s="77"/>
      <c r="K824" s="67" t="s">
        <v>2225</v>
      </c>
      <c r="L824" s="72" t="str">
        <f>IF(H824&gt;0,Magick!$AR$26-('Master Spell List'!H825*0.1),"N/A")</f>
        <v>N/A</v>
      </c>
      <c r="M824" s="72">
        <f ca="1">Magick!$H$79</f>
        <v>0.08</v>
      </c>
      <c r="N824" s="72">
        <f ca="1">Magick!$K$79</f>
        <v>0.13</v>
      </c>
      <c r="O824" s="72">
        <f ca="1">Magick!$L$79</f>
        <v>0.13</v>
      </c>
      <c r="P824" s="72">
        <f ca="1">Magick!$M$79</f>
        <v>0.13</v>
      </c>
      <c r="Q824" s="67" t="s">
        <v>2225</v>
      </c>
      <c r="R824" s="67">
        <f ca="1">IF(Q824="Ritual","N/A",IF(Q824="I.E.","N/A",IF(Q824="WOG",VLOOKUP(Magick!$I$79*100,magestuff!$B$134:$F$138,2),IF(Q824="Cantrip",VLOOKUP(Magick!$I$79*100,magestuff!$B$134:$F$138,3),IF(Q824="Hex",VLOOKUP(Magick!$I$79*100,magestuff!$B$134:$F$138,4),VLOOKUP(Magick!$I$79*100,magestuff!$B$134:$F$138,5))))))</f>
        <v>29</v>
      </c>
      <c r="U824" s="67" t="str">
        <f t="shared" si="115"/>
        <v xml:space="preserve"> </v>
      </c>
      <c r="V824" s="515"/>
      <c r="W824" s="125"/>
      <c r="X824" s="31">
        <f t="shared" si="117"/>
        <v>0</v>
      </c>
      <c r="Y824" s="509"/>
      <c r="Z824" s="1054" t="str">
        <f t="shared" si="112"/>
        <v xml:space="preserve">Greater Bind Ghoul into a Container </v>
      </c>
      <c r="AA824" s="1072" t="str">
        <f t="shared" si="113"/>
        <v>Summoning</v>
      </c>
    </row>
    <row r="825" spans="1:27" hidden="1" outlineLevel="1">
      <c r="A825" s="379" t="s">
        <v>884</v>
      </c>
      <c r="B825" s="67">
        <v>8</v>
      </c>
      <c r="C825" s="67">
        <f ca="1">magestuff!$X$207</f>
        <v>8</v>
      </c>
      <c r="D825" s="67">
        <f t="shared" si="114"/>
        <v>0</v>
      </c>
      <c r="E825" s="77" t="e">
        <f ca="1">IF(F825="y",HLOOKUP((IF(C825&lt;1,1,C825)),Magick!$C$20:$L$21,2),NA())</f>
        <v>#N/A</v>
      </c>
      <c r="F825" s="67" t="str">
        <f ca="1">IF(C825&lt;=Magick!$D$3,"Y","N")</f>
        <v>N</v>
      </c>
      <c r="G825" s="148" t="s">
        <v>859</v>
      </c>
      <c r="H825" s="151"/>
      <c r="I825" s="77" t="e">
        <f>IF(H825&gt;0,(HLOOKUP(C825,Magick!$C$20:$L$21,2)-HLOOKUP(H825,Magick!$C$20:$L$21,2)),NA())</f>
        <v>#N/A</v>
      </c>
      <c r="J825" s="77"/>
      <c r="K825" s="67" t="s">
        <v>2225</v>
      </c>
      <c r="L825" s="72" t="str">
        <f>IF(H825&gt;0,Magick!$AR$26-('Master Spell List'!H825*0.1),"N/A")</f>
        <v>N/A</v>
      </c>
      <c r="M825" s="72">
        <f ca="1">Magick!$H$79</f>
        <v>0.08</v>
      </c>
      <c r="N825" s="72">
        <f ca="1">Magick!$K$79</f>
        <v>0.13</v>
      </c>
      <c r="O825" s="72">
        <f ca="1">Magick!$L$79</f>
        <v>0.13</v>
      </c>
      <c r="P825" s="72">
        <f ca="1">Magick!$M$79</f>
        <v>0.13</v>
      </c>
      <c r="Q825" s="67" t="s">
        <v>2225</v>
      </c>
      <c r="R825" s="67">
        <f ca="1">IF(Q825="Ritual","N/A",IF(Q825="I.E.","N/A",IF(Q825="WOG",VLOOKUP(Magick!$I$79*100,magestuff!$B$134:$F$138,2),IF(Q825="Cantrip",VLOOKUP(Magick!$I$79*100,magestuff!$B$134:$F$138,3),IF(Q825="Hex",VLOOKUP(Magick!$I$79*100,magestuff!$B$134:$F$138,4),VLOOKUP(Magick!$I$79*100,magestuff!$B$134:$F$138,5))))))</f>
        <v>29</v>
      </c>
      <c r="U825" s="67" t="str">
        <f t="shared" si="115"/>
        <v xml:space="preserve"> </v>
      </c>
      <c r="V825" s="515"/>
      <c r="W825" s="125"/>
      <c r="X825" s="31">
        <f t="shared" si="117"/>
        <v>0</v>
      </c>
      <c r="Y825" s="509"/>
      <c r="Z825" s="1054" t="str">
        <f t="shared" si="112"/>
        <v xml:space="preserve">Greater Summon Object </v>
      </c>
      <c r="AA825" s="1072" t="str">
        <f t="shared" si="113"/>
        <v>Summoning</v>
      </c>
    </row>
    <row r="826" spans="1:27" hidden="1" outlineLevel="1">
      <c r="A826" s="380" t="s">
        <v>171</v>
      </c>
      <c r="B826" s="67">
        <f>IF(Magick!$A$3=25,5,8)</f>
        <v>8</v>
      </c>
      <c r="C826" s="67">
        <f ca="1">IF(Magick!$A$3=25,magestuff!$O$207,magestuff!$X$207)</f>
        <v>8</v>
      </c>
      <c r="D826" s="67">
        <f t="shared" si="114"/>
        <v>0</v>
      </c>
      <c r="E826" s="77" t="e">
        <f ca="1">IF(F826="y",HLOOKUP((IF(C826&lt;1,1,C826)),Magick!$C$20:$L$21,2),NA())</f>
        <v>#N/A</v>
      </c>
      <c r="F826" s="67" t="str">
        <f ca="1">IF(C826&lt;=Magick!$D$3,"Y","N")</f>
        <v>N</v>
      </c>
      <c r="G826" s="148" t="s">
        <v>128</v>
      </c>
      <c r="H826" s="151"/>
      <c r="I826" s="77" t="e">
        <f>IF(H826&gt;0,(HLOOKUP(C826,Magick!$C$20:$L$21,2)-HLOOKUP(H826,Magick!$C$20:$L$21,2)),NA())</f>
        <v>#N/A</v>
      </c>
      <c r="J826" s="77"/>
      <c r="K826" s="67">
        <f>IF(Magick!$A$3=25,9,14)</f>
        <v>14</v>
      </c>
      <c r="L826" s="72" t="str">
        <f>IF(H826&gt;0,Magick!$AR$26-('Master Spell List'!H795*0.1),"N/A")</f>
        <v>N/A</v>
      </c>
      <c r="M826" s="72">
        <f ca="1">Magick!$H$79</f>
        <v>0.08</v>
      </c>
      <c r="N826" s="72">
        <f ca="1">Magick!$K$79</f>
        <v>0.13</v>
      </c>
      <c r="O826" s="72">
        <f ca="1">Magick!$L$79</f>
        <v>0.13</v>
      </c>
      <c r="P826" s="72">
        <f ca="1">Magick!$M$79</f>
        <v>0.13</v>
      </c>
      <c r="Q826" s="67" t="s">
        <v>113</v>
      </c>
      <c r="R826" s="67" t="str">
        <f>IF(Q826="Ritual","N/A",IF(Q826="I.E.","N/A",IF(Q826="WOG",VLOOKUP(Magick!$I$79*100,magestuff!$B$134:$F$138,2),IF(Q826="Cantrip",VLOOKUP(Magick!$I$79*100,magestuff!$B$134:$F$138,3),IF(Q826="Hex",VLOOKUP(Magick!$I$79*100,magestuff!$B$134:$F$138,4),VLOOKUP(Magick!$I$79*100,magestuff!$B$134:$F$138,5))))))</f>
        <v>N/A</v>
      </c>
      <c r="S826" s="294" t="str">
        <f>CONCATENATE(IF(Magick!$C$3&gt;0,Magick!$C$3*0.25," ")," mi.")</f>
        <v xml:space="preserve">  mi.</v>
      </c>
      <c r="T826" s="294" t="str">
        <f>CONCATENATE(IF(Magick!$C$3&gt;0,Magick!$C$3*1," ")," hrs.")</f>
        <v xml:space="preserve">  hrs.</v>
      </c>
      <c r="U826" s="67" t="str">
        <f t="shared" si="115"/>
        <v xml:space="preserve"> </v>
      </c>
      <c r="V826" s="515"/>
      <c r="W826" s="125"/>
      <c r="X826" s="31">
        <f t="shared" si="117"/>
        <v>0</v>
      </c>
      <c r="Y826" s="509"/>
      <c r="Z826" s="1054" t="str">
        <f t="shared" si="112"/>
        <v>Summon Ghoul</v>
      </c>
      <c r="AA826" s="1072" t="str">
        <f t="shared" si="113"/>
        <v>Summoning</v>
      </c>
    </row>
    <row r="827" spans="1:27" hidden="1" outlineLevel="1">
      <c r="A827" s="379" t="s">
        <v>1491</v>
      </c>
      <c r="B827" s="67">
        <v>9</v>
      </c>
      <c r="C827" s="67">
        <f ca="1">IF(Magick!$A$3=25,magestuff!$R$207,magestuff!$AA$207)</f>
        <v>9</v>
      </c>
      <c r="D827" s="67">
        <f t="shared" si="114"/>
        <v>0</v>
      </c>
      <c r="E827" s="77" t="e">
        <f ca="1">IF(F827="y",HLOOKUP((IF(C827&lt;1,1,C827)),Magick!$C$20:$L$21,2),NA())</f>
        <v>#N/A</v>
      </c>
      <c r="F827" s="67" t="str">
        <f ca="1">IF(C827&lt;=Magick!$D$3,"Y","N")</f>
        <v>N</v>
      </c>
      <c r="G827" s="148" t="s">
        <v>859</v>
      </c>
      <c r="H827" s="151"/>
      <c r="I827" s="77" t="e">
        <f>IF(H827&gt;0,(HLOOKUP(C827,Magick!$C$20:$L$21,2)-HLOOKUP(H827,Magick!$C$20:$L$21,2)),NA())</f>
        <v>#N/A</v>
      </c>
      <c r="J827" s="77"/>
      <c r="K827" s="67" t="s">
        <v>2225</v>
      </c>
      <c r="L827" s="72" t="str">
        <f>IF(H827&gt;0,Magick!$AR$26-('Master Spell List'!H820*0.1),"N/A")</f>
        <v>N/A</v>
      </c>
      <c r="M827" s="72">
        <f ca="1">Magick!$H$79</f>
        <v>0.08</v>
      </c>
      <c r="N827" s="72">
        <f ca="1">Magick!$K$79</f>
        <v>0.13</v>
      </c>
      <c r="O827" s="72">
        <f ca="1">Magick!$L$79</f>
        <v>0.13</v>
      </c>
      <c r="P827" s="72">
        <f ca="1">Magick!$M$79</f>
        <v>0.13</v>
      </c>
      <c r="Q827" s="67" t="s">
        <v>2225</v>
      </c>
      <c r="R827" s="67">
        <f ca="1">IF(Q827="Ritual","N/A",IF(Q827="I.E.","N/A",IF(Q827="WOG",VLOOKUP(Magick!$I$79*100,magestuff!$B$134:$F$138,2),IF(Q827="Cantrip",VLOOKUP(Magick!$I$79*100,magestuff!$B$134:$F$138,3),IF(Q827="Hex",VLOOKUP(Magick!$I$79*100,magestuff!$B$134:$F$138,4),VLOOKUP(Magick!$I$79*100,magestuff!$B$134:$F$138,5))))))</f>
        <v>29</v>
      </c>
      <c r="U827" s="67" t="str">
        <f t="shared" si="115"/>
        <v xml:space="preserve"> </v>
      </c>
      <c r="V827" s="515"/>
      <c r="W827" s="125"/>
      <c r="X827" s="31">
        <f t="shared" si="117"/>
        <v>0</v>
      </c>
      <c r="Y827" s="509"/>
      <c r="Z827" s="1054" t="str">
        <f t="shared" si="112"/>
        <v>Banish Great Spirit</v>
      </c>
      <c r="AA827" s="1072" t="str">
        <f t="shared" si="113"/>
        <v>Summoning</v>
      </c>
    </row>
    <row r="828" spans="1:27" hidden="1" outlineLevel="1">
      <c r="A828" s="379" t="s">
        <v>3186</v>
      </c>
      <c r="B828" s="67">
        <v>9</v>
      </c>
      <c r="C828" s="67">
        <f ca="1">IF(Magick!$A$3=25,magestuff!$R$207,magestuff!$AA$207)</f>
        <v>9</v>
      </c>
      <c r="D828" s="67">
        <f t="shared" si="114"/>
        <v>0</v>
      </c>
      <c r="E828" s="77" t="e">
        <f ca="1">IF(F828="y",HLOOKUP((IF(C828&lt;1,1,C828)),Magick!$C$20:$L$21,2),NA())</f>
        <v>#N/A</v>
      </c>
      <c r="F828" s="67" t="str">
        <f ca="1">IF(C828&lt;=Magick!$D$3,"Y","N")</f>
        <v>N</v>
      </c>
      <c r="G828" s="148" t="s">
        <v>859</v>
      </c>
      <c r="H828" s="151"/>
      <c r="I828" s="77" t="e">
        <f>IF(H828&gt;0,(HLOOKUP(C828,Magick!$C$20:$L$21,2)-HLOOKUP(H828,Magick!$C$20:$L$21,2)),NA())</f>
        <v>#N/A</v>
      </c>
      <c r="J828" s="77"/>
      <c r="K828" s="67" t="s">
        <v>2225</v>
      </c>
      <c r="L828" s="72" t="str">
        <f>IF(H828&gt;0,Magick!$AR$26-('Master Spell List'!H826*0.1),"N/A")</f>
        <v>N/A</v>
      </c>
      <c r="M828" s="72">
        <f ca="1">Magick!$H$79</f>
        <v>0.08</v>
      </c>
      <c r="N828" s="72">
        <f ca="1">Magick!$K$79</f>
        <v>0.13</v>
      </c>
      <c r="O828" s="72">
        <f ca="1">Magick!$L$79</f>
        <v>0.13</v>
      </c>
      <c r="P828" s="72">
        <f ca="1">Magick!$M$79</f>
        <v>0.13</v>
      </c>
      <c r="Q828" s="67" t="s">
        <v>2225</v>
      </c>
      <c r="R828" s="67">
        <f ca="1">IF(Q828="Ritual","N/A",IF(Q828="I.E.","N/A",IF(Q828="WOG",VLOOKUP(Magick!$I$79*100,magestuff!$B$134:$F$138,2),IF(Q828="Cantrip",VLOOKUP(Magick!$I$79*100,magestuff!$B$134:$F$138,3),IF(Q828="Hex",VLOOKUP(Magick!$I$79*100,magestuff!$B$134:$F$138,4),VLOOKUP(Magick!$I$79*100,magestuff!$B$134:$F$138,5))))))</f>
        <v>29</v>
      </c>
      <c r="U828" s="67" t="str">
        <f t="shared" si="115"/>
        <v xml:space="preserve"> </v>
      </c>
      <c r="V828" s="515"/>
      <c r="W828" s="125"/>
      <c r="X828" s="31">
        <f t="shared" si="117"/>
        <v>0</v>
      </c>
      <c r="Y828" s="509"/>
      <c r="Z828" s="1054" t="str">
        <f t="shared" si="112"/>
        <v xml:space="preserve">Greater Bind Lesser Spirits into a container </v>
      </c>
      <c r="AA828" s="1072" t="str">
        <f t="shared" si="113"/>
        <v>Summoning</v>
      </c>
    </row>
    <row r="829" spans="1:27" hidden="1" outlineLevel="1">
      <c r="A829" s="379" t="s">
        <v>1969</v>
      </c>
      <c r="B829" s="67">
        <v>9</v>
      </c>
      <c r="C829" s="67">
        <f ca="1">IF(Magick!$A$3=25,magestuff!$R$207,magestuff!$AA$207)</f>
        <v>9</v>
      </c>
      <c r="D829" s="67">
        <f t="shared" si="114"/>
        <v>0</v>
      </c>
      <c r="E829" s="77" t="e">
        <f ca="1">IF(F829="y",HLOOKUP((IF(C829&lt;1,1,C829)),Magick!$C$20:$L$21,2),NA())</f>
        <v>#N/A</v>
      </c>
      <c r="F829" s="67" t="str">
        <f ca="1">IF(C829&lt;=Magick!$D$3,"Y","N")</f>
        <v>N</v>
      </c>
      <c r="G829" s="148" t="s">
        <v>859</v>
      </c>
      <c r="H829" s="151"/>
      <c r="I829" s="77" t="e">
        <f>IF(H829&gt;0,(HLOOKUP(C829,Magick!$C$20:$L$21,2)-HLOOKUP(H829,Magick!$C$20:$L$21,2)),NA())</f>
        <v>#N/A</v>
      </c>
      <c r="J829" s="77"/>
      <c r="K829" s="67" t="s">
        <v>2225</v>
      </c>
      <c r="L829" s="72" t="str">
        <f>IF(H829&gt;0,Magick!$AR$26-('Master Spell List'!H827*0.1),"N/A")</f>
        <v>N/A</v>
      </c>
      <c r="M829" s="72">
        <f ca="1">Magick!$H$79</f>
        <v>0.08</v>
      </c>
      <c r="N829" s="72">
        <f ca="1">Magick!$K$79</f>
        <v>0.13</v>
      </c>
      <c r="O829" s="72">
        <f ca="1">Magick!$L$79</f>
        <v>0.13</v>
      </c>
      <c r="P829" s="72">
        <f ca="1">Magick!$M$79</f>
        <v>0.13</v>
      </c>
      <c r="Q829" s="67" t="s">
        <v>2225</v>
      </c>
      <c r="R829" s="67">
        <f ca="1">IF(Q829="Ritual","N/A",IF(Q829="I.E.","N/A",IF(Q829="WOG",VLOOKUP(Magick!$I$79*100,magestuff!$B$134:$F$138,2),IF(Q829="Cantrip",VLOOKUP(Magick!$I$79*100,magestuff!$B$134:$F$138,3),IF(Q829="Hex",VLOOKUP(Magick!$I$79*100,magestuff!$B$134:$F$138,4),VLOOKUP(Magick!$I$79*100,magestuff!$B$134:$F$138,5))))))</f>
        <v>29</v>
      </c>
      <c r="U829" s="67" t="str">
        <f t="shared" si="115"/>
        <v xml:space="preserve"> </v>
      </c>
      <c r="V829" s="515"/>
      <c r="W829" s="125"/>
      <c r="X829" s="31">
        <f t="shared" si="117"/>
        <v>0</v>
      </c>
      <c r="Y829" s="509"/>
      <c r="Z829" s="1054" t="str">
        <f t="shared" si="112"/>
        <v xml:space="preserve">Greater Bind the Greater Undead into a Container </v>
      </c>
      <c r="AA829" s="1072" t="str">
        <f t="shared" si="113"/>
        <v>Summoning</v>
      </c>
    </row>
    <row r="830" spans="1:27" hidden="1" outlineLevel="1">
      <c r="A830" s="380" t="s">
        <v>5484</v>
      </c>
      <c r="B830" s="67">
        <f>IF(Magick!$A$3=25,6,9)</f>
        <v>9</v>
      </c>
      <c r="C830" s="67">
        <f ca="1">IF(Magick!$A$3=25,magestuff!$R$207,magestuff!$AA$207)</f>
        <v>9</v>
      </c>
      <c r="D830" s="67">
        <f t="shared" si="114"/>
        <v>0</v>
      </c>
      <c r="E830" s="77" t="e">
        <f ca="1">IF(F830="y",HLOOKUP((IF(C830&lt;1,1,C830)),Magick!$C$20:$L$21,2),NA())</f>
        <v>#N/A</v>
      </c>
      <c r="F830" s="67" t="str">
        <f ca="1">IF(C830&lt;=Magick!$D$3,"Y","N")</f>
        <v>N</v>
      </c>
      <c r="G830" s="148" t="s">
        <v>128</v>
      </c>
      <c r="H830" s="151"/>
      <c r="I830" s="77" t="e">
        <f>IF(H830&gt;0,(HLOOKUP(C830,Magick!$C$20:$L$21,2)-HLOOKUP(H830,Magick!$C$20:$L$21,2)),NA())</f>
        <v>#N/A</v>
      </c>
      <c r="J830" s="77"/>
      <c r="K830" s="67">
        <f>IF(Magick!$A$3=25,10,15)</f>
        <v>15</v>
      </c>
      <c r="L830" s="72" t="str">
        <f>IF(H830&gt;0,Magick!$AR$26-('Master Spell List'!H796*0.1),"N/A")</f>
        <v>N/A</v>
      </c>
      <c r="M830" s="72">
        <f ca="1">Magick!$H$79</f>
        <v>0.08</v>
      </c>
      <c r="N830" s="72">
        <f ca="1">Magick!$K$79</f>
        <v>0.13</v>
      </c>
      <c r="O830" s="72">
        <f ca="1">Magick!$L$79</f>
        <v>0.13</v>
      </c>
      <c r="P830" s="72">
        <f ca="1">Magick!$M$79</f>
        <v>0.13</v>
      </c>
      <c r="Q830" s="67" t="s">
        <v>113</v>
      </c>
      <c r="R830" s="67" t="str">
        <f>IF(Q830="Ritual","N/A",IF(Q830="I.E.","N/A",IF(Q830="WOG",VLOOKUP(Magick!$I$79*100,magestuff!$B$134:$F$138,2),IF(Q830="Cantrip",VLOOKUP(Magick!$I$79*100,magestuff!$B$134:$F$138,3),IF(Q830="Hex",VLOOKUP(Magick!$I$79*100,magestuff!$B$134:$F$138,4),VLOOKUP(Magick!$I$79*100,magestuff!$B$134:$F$138,5))))))</f>
        <v>N/A</v>
      </c>
      <c r="S830" s="294" t="str">
        <f>CONCATENATE(IF(Magick!$C$3&gt;0,Magick!$C$3*0.25," ")," mi.")</f>
        <v xml:space="preserve">  mi.</v>
      </c>
      <c r="T830" s="294" t="str">
        <f>CONCATENATE(IF(Magick!$C$3&gt;0,Magick!$C$3*1," ")," hrs.")</f>
        <v xml:space="preserve">  hrs.</v>
      </c>
      <c r="U830" s="67" t="str">
        <f t="shared" si="115"/>
        <v xml:space="preserve"> </v>
      </c>
      <c r="V830" s="515"/>
      <c r="W830" s="125"/>
      <c r="X830" s="31">
        <f t="shared" si="117"/>
        <v>0</v>
      </c>
      <c r="Y830" s="509"/>
      <c r="Z830" s="1054" t="str">
        <f t="shared" si="112"/>
        <v>Summon Greater Undead</v>
      </c>
      <c r="AA830" s="1072" t="str">
        <f t="shared" si="113"/>
        <v>Summoning</v>
      </c>
    </row>
    <row r="831" spans="1:27" hidden="1" outlineLevel="1">
      <c r="A831" s="379" t="s">
        <v>1483</v>
      </c>
      <c r="B831" s="67">
        <v>10</v>
      </c>
      <c r="C831" s="67">
        <f ca="1">magestuff!$AD$207</f>
        <v>10</v>
      </c>
      <c r="D831" s="67">
        <f t="shared" si="114"/>
        <v>0</v>
      </c>
      <c r="E831" s="77" t="e">
        <f ca="1">IF(F831="y",HLOOKUP((IF(C831&lt;1,1,C831)),Magick!$C$20:$L$21,2),NA())</f>
        <v>#N/A</v>
      </c>
      <c r="F831" s="67" t="str">
        <f ca="1">IF(C831&lt;=Magick!$D$3,"Y","N")</f>
        <v>N</v>
      </c>
      <c r="G831" s="148" t="s">
        <v>859</v>
      </c>
      <c r="H831" s="151"/>
      <c r="I831" s="77" t="e">
        <f>IF(H831&gt;0,(HLOOKUP(C831,Magick!$C$20:$L$21,2)-HLOOKUP(H831,Magick!$C$20:$L$21,2)),NA())</f>
        <v>#N/A</v>
      </c>
      <c r="J831" s="77"/>
      <c r="K831" s="67" t="s">
        <v>2225</v>
      </c>
      <c r="L831" s="72" t="str">
        <f>IF(H831&gt;0,Magick!$AR$26-('Master Spell List'!H812*0.1),"N/A")</f>
        <v>N/A</v>
      </c>
      <c r="M831" s="72">
        <f ca="1">Magick!$H$79</f>
        <v>0.08</v>
      </c>
      <c r="N831" s="72">
        <f ca="1">Magick!$K$79</f>
        <v>0.13</v>
      </c>
      <c r="O831" s="72">
        <f ca="1">Magick!$L$79</f>
        <v>0.13</v>
      </c>
      <c r="P831" s="72">
        <f ca="1">Magick!$M$79</f>
        <v>0.13</v>
      </c>
      <c r="Q831" s="67" t="s">
        <v>2225</v>
      </c>
      <c r="R831" s="67">
        <f ca="1">IF(Q831="Ritual","N/A",IF(Q831="I.E.","N/A",IF(Q831="WOG",VLOOKUP(Magick!$I$79*100,magestuff!$B$134:$F$138,2),IF(Q831="Cantrip",VLOOKUP(Magick!$I$79*100,magestuff!$B$134:$F$138,3),IF(Q831="Hex",VLOOKUP(Magick!$I$79*100,magestuff!$B$134:$F$138,4),VLOOKUP(Magick!$I$79*100,magestuff!$B$134:$F$138,5))))))</f>
        <v>29</v>
      </c>
      <c r="U831" s="67" t="str">
        <f t="shared" si="115"/>
        <v xml:space="preserve"> </v>
      </c>
      <c r="V831" s="515"/>
      <c r="W831" s="125"/>
      <c r="X831" s="31">
        <f t="shared" si="117"/>
        <v>0</v>
      </c>
      <c r="Y831" s="509"/>
      <c r="Z831" s="1054" t="str">
        <f t="shared" si="112"/>
        <v>Banish Greater Undead</v>
      </c>
      <c r="AA831" s="1072" t="str">
        <f t="shared" si="113"/>
        <v>Summoning</v>
      </c>
    </row>
    <row r="832" spans="1:27" hidden="1" outlineLevel="1">
      <c r="A832" s="379" t="s">
        <v>1485</v>
      </c>
      <c r="B832" s="67">
        <v>10</v>
      </c>
      <c r="C832" s="67">
        <f ca="1">magestuff!$AD$207</f>
        <v>10</v>
      </c>
      <c r="D832" s="67">
        <f t="shared" si="114"/>
        <v>0</v>
      </c>
      <c r="E832" s="77" t="e">
        <f ca="1">IF(F832="y",HLOOKUP((IF(C832&lt;1,1,C832)),Magick!$C$20:$L$21,2),NA())</f>
        <v>#N/A</v>
      </c>
      <c r="F832" s="67" t="str">
        <f ca="1">IF(C832&lt;=Magick!$D$3,"Y","N")</f>
        <v>N</v>
      </c>
      <c r="G832" s="148" t="s">
        <v>859</v>
      </c>
      <c r="H832" s="151"/>
      <c r="I832" s="77" t="e">
        <f>IF(H832&gt;0,(HLOOKUP(C832,Magick!$C$20:$L$21,2)-HLOOKUP(H832,Magick!$C$20:$L$21,2)),NA())</f>
        <v>#N/A</v>
      </c>
      <c r="J832" s="77"/>
      <c r="K832" s="67" t="s">
        <v>2225</v>
      </c>
      <c r="L832" s="72" t="str">
        <f>IF(H832&gt;0,Magick!$AR$26-('Master Spell List'!H814*0.1),"N/A")</f>
        <v>N/A</v>
      </c>
      <c r="M832" s="72">
        <f ca="1">Magick!$H$79</f>
        <v>0.08</v>
      </c>
      <c r="N832" s="72">
        <f ca="1">Magick!$K$79</f>
        <v>0.13</v>
      </c>
      <c r="O832" s="72">
        <f ca="1">Magick!$L$79</f>
        <v>0.13</v>
      </c>
      <c r="P832" s="72">
        <f ca="1">Magick!$M$79</f>
        <v>0.13</v>
      </c>
      <c r="Q832" s="67" t="s">
        <v>2225</v>
      </c>
      <c r="R832" s="67">
        <f ca="1">IF(Q832="Ritual","N/A",IF(Q832="I.E.","N/A",IF(Q832="WOG",VLOOKUP(Magick!$I$79*100,magestuff!$B$134:$F$138,2),IF(Q832="Cantrip",VLOOKUP(Magick!$I$79*100,magestuff!$B$134:$F$138,3),IF(Q832="Hex",VLOOKUP(Magick!$I$79*100,magestuff!$B$134:$F$138,4),VLOOKUP(Magick!$I$79*100,magestuff!$B$134:$F$138,5))))))</f>
        <v>29</v>
      </c>
      <c r="U832" s="67" t="str">
        <f t="shared" si="115"/>
        <v xml:space="preserve"> </v>
      </c>
      <c r="V832" s="515"/>
      <c r="W832" s="125"/>
      <c r="X832" s="31">
        <f t="shared" si="117"/>
        <v>0</v>
      </c>
      <c r="Y832" s="509"/>
      <c r="Z832" s="1054" t="str">
        <f t="shared" si="112"/>
        <v xml:space="preserve">Banish the Great Work </v>
      </c>
      <c r="AA832" s="1072" t="str">
        <f t="shared" si="113"/>
        <v>Summoning</v>
      </c>
    </row>
    <row r="833" spans="1:27" hidden="1" outlineLevel="1">
      <c r="A833" s="377" t="s">
        <v>730</v>
      </c>
      <c r="B833" s="67">
        <v>10</v>
      </c>
      <c r="C833" s="67">
        <f ca="1">magestuff!$AD$207</f>
        <v>10</v>
      </c>
      <c r="D833" s="67">
        <f t="shared" si="114"/>
        <v>0</v>
      </c>
      <c r="E833" s="77" t="e">
        <f ca="1">IF(F833="y",HLOOKUP((IF(C833&lt;1,1,C833)),Magick!$C$20:$L$21,2),NA())</f>
        <v>#N/A</v>
      </c>
      <c r="F833" s="67" t="str">
        <f ca="1">IF(C833&lt;=Magick!$D$3,"Y","N")</f>
        <v>N</v>
      </c>
      <c r="G833" s="148" t="s">
        <v>859</v>
      </c>
      <c r="H833" s="151"/>
      <c r="I833" s="77" t="e">
        <f>IF(H833&gt;0,(HLOOKUP(C833,Magick!$C$20:$L$21,2)-HLOOKUP(H833,Magick!$C$20:$L$21,2)),NA())</f>
        <v>#N/A</v>
      </c>
      <c r="J833" s="77"/>
      <c r="K833" s="67" t="s">
        <v>2225</v>
      </c>
      <c r="L833" s="72" t="str">
        <f>IF(H833&gt;0,Magick!$AR$26-('Master Spell List'!H840*0.1),"N/A")</f>
        <v>N/A</v>
      </c>
      <c r="M833" s="72">
        <f ca="1">Magick!$H$79</f>
        <v>0.08</v>
      </c>
      <c r="N833" s="72">
        <f ca="1">Magick!$K$79</f>
        <v>0.13</v>
      </c>
      <c r="O833" s="72">
        <f ca="1">Magick!$L$79</f>
        <v>0.13</v>
      </c>
      <c r="P833" s="72">
        <f ca="1">Magick!$M$79</f>
        <v>0.13</v>
      </c>
      <c r="Q833" s="67" t="s">
        <v>2225</v>
      </c>
      <c r="R833" s="67">
        <f ca="1">IF(Q833="Ritual","N/A",IF(Q833="I.E.","N/A",IF(Q833="WOG",VLOOKUP(Magick!$I$79*100,magestuff!$B$134:$F$138,2),IF(Q833="Cantrip",VLOOKUP(Magick!$I$79*100,magestuff!$B$134:$F$138,3),IF(Q833="Hex",VLOOKUP(Magick!$I$79*100,magestuff!$B$134:$F$138,4),VLOOKUP(Magick!$I$79*100,magestuff!$B$134:$F$138,5))))))</f>
        <v>29</v>
      </c>
      <c r="U833" s="67" t="str">
        <f t="shared" si="115"/>
        <v xml:space="preserve"> </v>
      </c>
      <c r="V833" s="515"/>
      <c r="W833" s="125"/>
      <c r="X833" s="31">
        <f t="shared" si="117"/>
        <v>0</v>
      </c>
      <c r="Y833" s="509"/>
      <c r="Z833" s="1054" t="str">
        <f t="shared" si="112"/>
        <v xml:space="preserve">Bind Great Spirit into a Container </v>
      </c>
      <c r="AA833" s="1072" t="str">
        <f t="shared" si="113"/>
        <v>Summoning</v>
      </c>
    </row>
    <row r="834" spans="1:27" hidden="1" outlineLevel="1">
      <c r="A834" s="379" t="s">
        <v>885</v>
      </c>
      <c r="B834" s="67">
        <v>10</v>
      </c>
      <c r="C834" s="67">
        <f ca="1">magestuff!$AD$207</f>
        <v>10</v>
      </c>
      <c r="D834" s="67">
        <f t="shared" si="114"/>
        <v>0</v>
      </c>
      <c r="E834" s="77" t="e">
        <f ca="1">IF(F834="y",HLOOKUP((IF(C834&lt;1,1,C834)),Magick!$C$20:$L$21,2),NA())</f>
        <v>#N/A</v>
      </c>
      <c r="F834" s="67" t="str">
        <f ca="1">IF(C834&lt;=Magick!$D$3,"Y","N")</f>
        <v>N</v>
      </c>
      <c r="G834" s="148" t="s">
        <v>859</v>
      </c>
      <c r="H834" s="151"/>
      <c r="I834" s="77" t="e">
        <f>IF(H834&gt;0,(HLOOKUP(C834,Magick!$C$20:$L$21,2)-HLOOKUP(H834,Magick!$C$20:$L$21,2)),NA())</f>
        <v>#N/A</v>
      </c>
      <c r="J834" s="77"/>
      <c r="K834" s="67" t="s">
        <v>2225</v>
      </c>
      <c r="L834" s="72" t="str">
        <f>IF(H834&gt;0,Magick!$AR$26-('Master Spell List'!H826*0.1),"N/A")</f>
        <v>N/A</v>
      </c>
      <c r="M834" s="72">
        <f ca="1">Magick!$H$79</f>
        <v>0.08</v>
      </c>
      <c r="N834" s="72">
        <f ca="1">Magick!$K$79</f>
        <v>0.13</v>
      </c>
      <c r="O834" s="72">
        <f ca="1">Magick!$L$79</f>
        <v>0.13</v>
      </c>
      <c r="P834" s="72">
        <f ca="1">Magick!$M$79</f>
        <v>0.13</v>
      </c>
      <c r="Q834" s="67" t="s">
        <v>2225</v>
      </c>
      <c r="R834" s="67">
        <f ca="1">IF(Q834="Ritual","N/A",IF(Q834="I.E.","N/A",IF(Q834="WOG",VLOOKUP(Magick!$I$79*100,magestuff!$B$134:$F$138,2),IF(Q834="Cantrip",VLOOKUP(Magick!$I$79*100,magestuff!$B$134:$F$138,3),IF(Q834="Hex",VLOOKUP(Magick!$I$79*100,magestuff!$B$134:$F$138,4),VLOOKUP(Magick!$I$79*100,magestuff!$B$134:$F$138,5))))))</f>
        <v>29</v>
      </c>
      <c r="U834" s="67" t="str">
        <f t="shared" si="115"/>
        <v xml:space="preserve"> </v>
      </c>
      <c r="V834" s="515"/>
      <c r="W834" s="125"/>
      <c r="X834" s="31">
        <f t="shared" si="117"/>
        <v>0</v>
      </c>
      <c r="Y834" s="509"/>
      <c r="Z834" s="1054" t="str">
        <f t="shared" ref="Z834:Z897" si="118">A834</f>
        <v>Great Summon Object</v>
      </c>
      <c r="AA834" s="1072" t="str">
        <f t="shared" si="113"/>
        <v>Summoning</v>
      </c>
    </row>
    <row r="835" spans="1:27" hidden="1" outlineLevel="1">
      <c r="A835" s="378" t="s">
        <v>3007</v>
      </c>
      <c r="B835" s="67">
        <v>10</v>
      </c>
      <c r="C835" s="67">
        <f ca="1">magestuff!$AD$207</f>
        <v>10</v>
      </c>
      <c r="D835" s="67">
        <f t="shared" si="114"/>
        <v>0</v>
      </c>
      <c r="E835" s="77" t="e">
        <f ca="1">IF(F835="y",HLOOKUP((IF(C835&lt;1,1,C835)),Magick!$C$20:$L$21,2),NA())</f>
        <v>#N/A</v>
      </c>
      <c r="F835" s="67" t="str">
        <f ca="1">IF(C835&lt;=Magick!$D$3,"Y","N")</f>
        <v>N</v>
      </c>
      <c r="G835" s="148" t="s">
        <v>128</v>
      </c>
      <c r="H835" s="151"/>
      <c r="I835" s="77" t="e">
        <f>IF(H835&gt;0,(HLOOKUP(C835,Magick!$C$20:$L$21,2)-HLOOKUP(H835,Magick!$C$20:$L$21,2)),NA())</f>
        <v>#N/A</v>
      </c>
      <c r="J835" s="77"/>
      <c r="K835" s="67">
        <v>15</v>
      </c>
      <c r="L835" s="72" t="str">
        <f>IF(H835&gt;0,Magick!$AR$26-('Master Spell List'!H849*0.1),"N/A")</f>
        <v>N/A</v>
      </c>
      <c r="M835" s="72">
        <f ca="1">Magick!$H$79</f>
        <v>0.08</v>
      </c>
      <c r="N835" s="72">
        <f ca="1">Magick!$K$79</f>
        <v>0.13</v>
      </c>
      <c r="O835" s="72">
        <f ca="1">Magick!$L$79</f>
        <v>0.13</v>
      </c>
      <c r="P835" s="72">
        <f ca="1">Magick!$M$79</f>
        <v>0.13</v>
      </c>
      <c r="Q835" s="67" t="s">
        <v>113</v>
      </c>
      <c r="R835" s="67" t="str">
        <f>IF(Q835="Ritual","N/A",IF(Q835="I.E.","N/A",IF(Q835="WOG",VLOOKUP(Magick!$I$79*100,magestuff!$B$134:$F$138,2),IF(Q835="Cantrip",VLOOKUP(Magick!$I$79*100,magestuff!$B$134:$F$138,3),IF(Q835="Hex",VLOOKUP(Magick!$I$79*100,magestuff!$B$134:$F$138,4),VLOOKUP(Magick!$I$79*100,magestuff!$B$134:$F$138,5))))))</f>
        <v>N/A</v>
      </c>
      <c r="S835" s="67" t="s">
        <v>5545</v>
      </c>
      <c r="U835" s="67" t="str">
        <f t="shared" si="115"/>
        <v xml:space="preserve"> </v>
      </c>
      <c r="V835" s="515"/>
      <c r="W835" s="125"/>
      <c r="X835" s="31">
        <f t="shared" si="117"/>
        <v>0</v>
      </c>
      <c r="Y835" s="509"/>
      <c r="Z835" s="1054" t="str">
        <f t="shared" si="118"/>
        <v>Summon Greater Spirit</v>
      </c>
      <c r="AA835" s="1072" t="str">
        <f t="shared" ref="AA835:AA898" si="119">IF(ISNUMBER(MATCH($Z835,Spell_Methods,0)),$Z835,$AA834)</f>
        <v>Summoning</v>
      </c>
    </row>
    <row r="836" spans="1:27" hidden="1" outlineLevel="1">
      <c r="A836" s="378" t="s">
        <v>4968</v>
      </c>
      <c r="B836" s="67">
        <v>10</v>
      </c>
      <c r="C836" s="67">
        <f ca="1">magestuff!$AD$207</f>
        <v>10</v>
      </c>
      <c r="D836" s="67">
        <f t="shared" si="114"/>
        <v>0</v>
      </c>
      <c r="E836" s="77" t="e">
        <f ca="1">IF(F836="y",HLOOKUP((IF(C836&lt;1,1,C836)),Magick!$C$20:$L$21,2),NA())</f>
        <v>#N/A</v>
      </c>
      <c r="F836" s="67" t="str">
        <f ca="1">IF(C836&lt;=Magick!$D$3,"Y","N")</f>
        <v>N</v>
      </c>
      <c r="G836" s="148" t="s">
        <v>128</v>
      </c>
      <c r="H836" s="151"/>
      <c r="I836" s="77" t="e">
        <f>IF(H836&gt;0,(HLOOKUP(C836,Magick!$C$20:$L$21,2)-HLOOKUP(H836,Magick!$C$20:$L$21,2)),NA())</f>
        <v>#N/A</v>
      </c>
      <c r="J836" s="77"/>
      <c r="K836" s="67">
        <v>16</v>
      </c>
      <c r="L836" s="72" t="str">
        <f>IF(H836&gt;0,Magick!$AR$26-('Master Spell List'!H808*0.1),"N/A")</f>
        <v>N/A</v>
      </c>
      <c r="M836" s="72">
        <f ca="1">Magick!$H$79</f>
        <v>0.08</v>
      </c>
      <c r="N836" s="72">
        <f ca="1">Magick!$K$79</f>
        <v>0.13</v>
      </c>
      <c r="O836" s="72">
        <f ca="1">Magick!$L$79</f>
        <v>0.13</v>
      </c>
      <c r="P836" s="72">
        <f ca="1">Magick!$M$79</f>
        <v>0.13</v>
      </c>
      <c r="Q836" s="67" t="s">
        <v>113</v>
      </c>
      <c r="R836" s="67" t="str">
        <f>IF(Q836="Ritual","N/A",IF(Q836="I.E.","N/A",IF(Q836="WOG",VLOOKUP(Magick!$I$79*100,magestuff!$B$134:$F$138,2),IF(Q836="Cantrip",VLOOKUP(Magick!$I$79*100,magestuff!$B$134:$F$138,3),IF(Q836="Hex",VLOOKUP(Magick!$I$79*100,magestuff!$B$134:$F$138,4),VLOOKUP(Magick!$I$79*100,magestuff!$B$134:$F$138,5))))))</f>
        <v>N/A</v>
      </c>
      <c r="S836" s="67" t="s">
        <v>5545</v>
      </c>
      <c r="U836" s="67" t="str">
        <f t="shared" si="115"/>
        <v xml:space="preserve"> </v>
      </c>
      <c r="V836" s="515"/>
      <c r="W836" s="125"/>
      <c r="X836" s="31">
        <f t="shared" si="117"/>
        <v>0</v>
      </c>
      <c r="Y836" s="509"/>
      <c r="Z836" s="1054" t="str">
        <f t="shared" si="118"/>
        <v>Summon Greater Totem</v>
      </c>
      <c r="AA836" s="1072" t="str">
        <f t="shared" si="119"/>
        <v>Summoning</v>
      </c>
    </row>
    <row r="837" spans="1:27" hidden="1" outlineLevel="1">
      <c r="A837" s="379" t="s">
        <v>1486</v>
      </c>
      <c r="B837" s="67">
        <v>11</v>
      </c>
      <c r="C837" s="67">
        <f ca="1">magestuff!$AD$207+1</f>
        <v>11</v>
      </c>
      <c r="D837" s="67">
        <f t="shared" si="114"/>
        <v>0</v>
      </c>
      <c r="E837" s="77" t="e">
        <f ca="1">IF(F837="y",HLOOKUP((IF(C837&lt;1,1,C837)),Magick!$C$20:$L$21,2),NA())</f>
        <v>#N/A</v>
      </c>
      <c r="F837" s="67" t="str">
        <f ca="1">IF(C837&lt;=Magick!$D$3,"Y","N")</f>
        <v>N</v>
      </c>
      <c r="G837" s="148" t="s">
        <v>859</v>
      </c>
      <c r="H837" s="151"/>
      <c r="I837" s="77" t="e">
        <f>IF(H837&gt;0,(HLOOKUP(C837,Magick!$C$20:$L$21,2)-HLOOKUP(H837,Magick!$C$20:$L$21,2)),NA())</f>
        <v>#N/A</v>
      </c>
      <c r="J837" s="77"/>
      <c r="K837" s="67" t="s">
        <v>2225</v>
      </c>
      <c r="L837" s="72" t="str">
        <f>IF(H837&gt;0,Magick!$AR$26-('Master Spell List'!H815*0.1),"N/A")</f>
        <v>N/A</v>
      </c>
      <c r="M837" s="72">
        <f ca="1">Magick!$H$79</f>
        <v>0.08</v>
      </c>
      <c r="N837" s="72">
        <f ca="1">Magick!$K$79</f>
        <v>0.13</v>
      </c>
      <c r="O837" s="72">
        <f ca="1">Magick!$L$79</f>
        <v>0.13</v>
      </c>
      <c r="P837" s="72">
        <f ca="1">Magick!$M$79</f>
        <v>0.13</v>
      </c>
      <c r="Q837" s="67" t="s">
        <v>2225</v>
      </c>
      <c r="R837" s="67">
        <f ca="1">IF(Q837="Ritual","N/A",IF(Q837="I.E.","N/A",IF(Q837="WOG",VLOOKUP(Magick!$I$79*100,magestuff!$B$134:$F$138,2),IF(Q837="Cantrip",VLOOKUP(Magick!$I$79*100,magestuff!$B$134:$F$138,3),IF(Q837="Hex",VLOOKUP(Magick!$I$79*100,magestuff!$B$134:$F$138,4),VLOOKUP(Magick!$I$79*100,magestuff!$B$134:$F$138,5))))))</f>
        <v>29</v>
      </c>
      <c r="U837" s="67" t="str">
        <f t="shared" si="115"/>
        <v xml:space="preserve"> </v>
      </c>
      <c r="V837" s="515"/>
      <c r="W837" s="125"/>
      <c r="X837" s="31">
        <f t="shared" si="117"/>
        <v>0</v>
      </c>
      <c r="Y837" s="509"/>
      <c r="Z837" s="1054" t="str">
        <f t="shared" si="118"/>
        <v xml:space="preserve">Banish Death </v>
      </c>
      <c r="AA837" s="1072" t="str">
        <f t="shared" si="119"/>
        <v>Summoning</v>
      </c>
    </row>
    <row r="838" spans="1:27" hidden="1" outlineLevel="1">
      <c r="A838" s="379" t="s">
        <v>1487</v>
      </c>
      <c r="B838" s="67">
        <v>12</v>
      </c>
      <c r="C838" s="67">
        <f ca="1">magestuff!$AD$207+2</f>
        <v>12</v>
      </c>
      <c r="D838" s="67">
        <f t="shared" si="114"/>
        <v>0</v>
      </c>
      <c r="E838" s="77" t="e">
        <f ca="1">IF(F838="y",HLOOKUP((IF(C838&lt;1,1,C838)),Magick!$C$20:$L$21,2),NA())</f>
        <v>#N/A</v>
      </c>
      <c r="F838" s="67" t="str">
        <f ca="1">IF(C838&lt;=Magick!$D$3,"Y","N")</f>
        <v>N</v>
      </c>
      <c r="G838" s="148" t="s">
        <v>859</v>
      </c>
      <c r="H838" s="151"/>
      <c r="I838" s="77" t="e">
        <f>IF(H838&gt;0,(HLOOKUP(C838,Magick!$C$20:$L$21,2)-HLOOKUP(H838,Magick!$C$20:$L$21,2)),NA())</f>
        <v>#N/A</v>
      </c>
      <c r="J838" s="77"/>
      <c r="K838" s="67" t="s">
        <v>2225</v>
      </c>
      <c r="L838" s="72" t="str">
        <f>IF(H838&gt;0,Magick!$AR$26-('Master Spell List'!H816*0.1),"N/A")</f>
        <v>N/A</v>
      </c>
      <c r="M838" s="72">
        <f ca="1">Magick!$H$79</f>
        <v>0.08</v>
      </c>
      <c r="N838" s="72">
        <f ca="1">Magick!$K$79</f>
        <v>0.13</v>
      </c>
      <c r="O838" s="72">
        <f ca="1">Magick!$L$79</f>
        <v>0.13</v>
      </c>
      <c r="P838" s="72">
        <f ca="1">Magick!$M$79</f>
        <v>0.13</v>
      </c>
      <c r="Q838" s="67" t="s">
        <v>2225</v>
      </c>
      <c r="R838" s="67">
        <f ca="1">IF(Q838="Ritual","N/A",IF(Q838="I.E.","N/A",IF(Q838="WOG",VLOOKUP(Magick!$I$79*100,magestuff!$B$134:$F$138,2),IF(Q838="Cantrip",VLOOKUP(Magick!$I$79*100,magestuff!$B$134:$F$138,3),IF(Q838="Hex",VLOOKUP(Magick!$I$79*100,magestuff!$B$134:$F$138,4),VLOOKUP(Magick!$I$79*100,magestuff!$B$134:$F$138,5))))))</f>
        <v>29</v>
      </c>
      <c r="U838" s="67" t="str">
        <f t="shared" si="115"/>
        <v xml:space="preserve"> </v>
      </c>
      <c r="V838" s="515"/>
      <c r="W838" s="125"/>
      <c r="X838" s="31">
        <f t="shared" si="117"/>
        <v>0</v>
      </c>
      <c r="Y838" s="509"/>
      <c r="Z838" s="1054" t="str">
        <f t="shared" si="118"/>
        <v xml:space="preserve">Banish Greater Death </v>
      </c>
      <c r="AA838" s="1072" t="str">
        <f t="shared" si="119"/>
        <v>Summoning</v>
      </c>
    </row>
    <row r="839" spans="1:27" hidden="1" outlineLevel="1">
      <c r="A839" s="379" t="s">
        <v>4100</v>
      </c>
      <c r="B839" s="67">
        <v>12</v>
      </c>
      <c r="C839" s="67">
        <f ca="1">magestuff!$AD$207+2</f>
        <v>12</v>
      </c>
      <c r="D839" s="67">
        <f t="shared" si="114"/>
        <v>0</v>
      </c>
      <c r="E839" s="77" t="e">
        <f ca="1">IF(F839="y",HLOOKUP((IF(C839&lt;1,1,C839)),Magick!$C$20:$L$21,2),NA())</f>
        <v>#N/A</v>
      </c>
      <c r="F839" s="67" t="str">
        <f ca="1">IF(C839&lt;=Magick!$D$3,"Y","N")</f>
        <v>N</v>
      </c>
      <c r="G839" s="148" t="s">
        <v>859</v>
      </c>
      <c r="H839" s="151"/>
      <c r="I839" s="77" t="e">
        <f>IF(H839&gt;0,(HLOOKUP(C839,Magick!$C$20:$L$21,2)-HLOOKUP(H839,Magick!$C$20:$L$21,2)),NA())</f>
        <v>#N/A</v>
      </c>
      <c r="J839" s="77"/>
      <c r="K839" s="67" t="s">
        <v>2225</v>
      </c>
      <c r="L839" s="72" t="str">
        <f>IF(H839&gt;0,Magick!$AR$26-('Master Spell List'!H821*0.1),"N/A")</f>
        <v>N/A</v>
      </c>
      <c r="M839" s="72">
        <f ca="1">Magick!$H$79</f>
        <v>0.08</v>
      </c>
      <c r="N839" s="72">
        <f ca="1">Magick!$K$79</f>
        <v>0.13</v>
      </c>
      <c r="O839" s="72">
        <f ca="1">Magick!$L$79</f>
        <v>0.13</v>
      </c>
      <c r="P839" s="72">
        <f ca="1">Magick!$M$79</f>
        <v>0.13</v>
      </c>
      <c r="Q839" s="67" t="s">
        <v>2225</v>
      </c>
      <c r="R839" s="67">
        <f ca="1">IF(Q839="Ritual","N/A",IF(Q839="I.E.","N/A",IF(Q839="WOG",VLOOKUP(Magick!$I$79*100,magestuff!$B$134:$F$138,2),IF(Q839="Cantrip",VLOOKUP(Magick!$I$79*100,magestuff!$B$134:$F$138,3),IF(Q839="Hex",VLOOKUP(Magick!$I$79*100,magestuff!$B$134:$F$138,4),VLOOKUP(Magick!$I$79*100,magestuff!$B$134:$F$138,5))))))</f>
        <v>29</v>
      </c>
      <c r="U839" s="67" t="str">
        <f t="shared" si="115"/>
        <v xml:space="preserve"> </v>
      </c>
      <c r="V839" s="515"/>
      <c r="W839" s="125"/>
      <c r="X839" s="31">
        <f t="shared" si="117"/>
        <v>0</v>
      </c>
      <c r="Y839" s="509"/>
      <c r="Z839" s="1054" t="str">
        <f t="shared" si="118"/>
        <v xml:space="preserve">Banish Greater Spirit </v>
      </c>
      <c r="AA839" s="1072" t="str">
        <f t="shared" si="119"/>
        <v>Summoning</v>
      </c>
    </row>
    <row r="840" spans="1:27" hidden="1" outlineLevel="1">
      <c r="A840" s="379" t="s">
        <v>2939</v>
      </c>
      <c r="B840" s="67">
        <v>12</v>
      </c>
      <c r="C840" s="67">
        <f ca="1">magestuff!$AD$207+2</f>
        <v>12</v>
      </c>
      <c r="D840" s="67">
        <f t="shared" si="114"/>
        <v>0</v>
      </c>
      <c r="E840" s="77" t="e">
        <f ca="1">IF(F840="y",HLOOKUP((IF(C840&lt;1,1,C840)),Magick!$C$20:$L$21,2),NA())</f>
        <v>#N/A</v>
      </c>
      <c r="F840" s="67" t="str">
        <f ca="1">IF(C840&lt;=Magick!$D$3,"Y","N")</f>
        <v>N</v>
      </c>
      <c r="G840" s="148" t="s">
        <v>859</v>
      </c>
      <c r="H840" s="151"/>
      <c r="I840" s="77" t="e">
        <f>IF(H840&gt;0,(HLOOKUP(C840,Magick!$C$20:$L$21,2)-HLOOKUP(H840,Magick!$C$20:$L$21,2)),NA())</f>
        <v>#N/A</v>
      </c>
      <c r="J840" s="77"/>
      <c r="K840" s="67" t="s">
        <v>2225</v>
      </c>
      <c r="L840" s="72" t="str">
        <f>IF(H840&gt;0,Magick!$AR$26-('Master Spell List'!H828*0.1),"N/A")</f>
        <v>N/A</v>
      </c>
      <c r="M840" s="72">
        <f ca="1">Magick!$H$79</f>
        <v>0.08</v>
      </c>
      <c r="N840" s="72">
        <f ca="1">Magick!$K$79</f>
        <v>0.13</v>
      </c>
      <c r="O840" s="72">
        <f ca="1">Magick!$L$79</f>
        <v>0.13</v>
      </c>
      <c r="P840" s="72">
        <f ca="1">Magick!$M$79</f>
        <v>0.13</v>
      </c>
      <c r="Q840" s="67" t="s">
        <v>2225</v>
      </c>
      <c r="R840" s="67">
        <f ca="1">IF(Q840="Ritual","N/A",IF(Q840="I.E.","N/A",IF(Q840="WOG",VLOOKUP(Magick!$I$79*100,magestuff!$B$134:$F$138,2),IF(Q840="Cantrip",VLOOKUP(Magick!$I$79*100,magestuff!$B$134:$F$138,3),IF(Q840="Hex",VLOOKUP(Magick!$I$79*100,magestuff!$B$134:$F$138,4),VLOOKUP(Magick!$I$79*100,magestuff!$B$134:$F$138,5))))))</f>
        <v>29</v>
      </c>
      <c r="U840" s="67" t="str">
        <f t="shared" si="115"/>
        <v xml:space="preserve"> </v>
      </c>
      <c r="V840" s="515"/>
      <c r="W840" s="125"/>
      <c r="X840" s="31">
        <f t="shared" si="117"/>
        <v>0</v>
      </c>
      <c r="Y840" s="509"/>
      <c r="Z840" s="1054" t="str">
        <f t="shared" si="118"/>
        <v>Bind Death into a Container</v>
      </c>
      <c r="AA840" s="1072" t="str">
        <f t="shared" si="119"/>
        <v>Summoning</v>
      </c>
    </row>
    <row r="841" spans="1:27" hidden="1" outlineLevel="1" collapsed="1">
      <c r="A841" s="379" t="s">
        <v>731</v>
      </c>
      <c r="B841" s="67">
        <v>12</v>
      </c>
      <c r="C841" s="67">
        <f ca="1">magestuff!$AD$207+2</f>
        <v>12</v>
      </c>
      <c r="D841" s="67">
        <f t="shared" si="114"/>
        <v>0</v>
      </c>
      <c r="E841" s="77" t="e">
        <f ca="1">IF(F841="y",HLOOKUP((IF(C841&lt;1,1,C841)),Magick!$C$20:$L$21,2),NA())</f>
        <v>#N/A</v>
      </c>
      <c r="F841" s="67" t="str">
        <f ca="1">IF(C841&lt;=Magick!$D$3,"Y","N")</f>
        <v>N</v>
      </c>
      <c r="G841" s="148" t="s">
        <v>859</v>
      </c>
      <c r="H841" s="151"/>
      <c r="I841" s="77" t="e">
        <f>IF(H841&gt;0,(HLOOKUP(C841,Magick!$C$20:$L$21,2)-HLOOKUP(H841,Magick!$C$20:$L$21,2)),NA())</f>
        <v>#N/A</v>
      </c>
      <c r="J841" s="77"/>
      <c r="K841" s="67" t="s">
        <v>2225</v>
      </c>
      <c r="L841" s="72" t="str">
        <f>IF(H841&gt;0,Magick!$AR$26-('Master Spell List'!H830*0.1),"N/A")</f>
        <v>N/A</v>
      </c>
      <c r="M841" s="72">
        <f ca="1">Magick!$H$79</f>
        <v>0.08</v>
      </c>
      <c r="N841" s="72">
        <f ca="1">Magick!$K$79</f>
        <v>0.13</v>
      </c>
      <c r="O841" s="72">
        <f ca="1">Magick!$L$79</f>
        <v>0.13</v>
      </c>
      <c r="P841" s="72">
        <f ca="1">Magick!$M$79</f>
        <v>0.13</v>
      </c>
      <c r="Q841" s="67" t="s">
        <v>2225</v>
      </c>
      <c r="R841" s="67">
        <f ca="1">IF(Q841="Ritual","N/A",IF(Q841="I.E.","N/A",IF(Q841="WOG",VLOOKUP(Magick!$I$79*100,magestuff!$B$134:$F$138,2),IF(Q841="Cantrip",VLOOKUP(Magick!$I$79*100,magestuff!$B$134:$F$138,3),IF(Q841="Hex",VLOOKUP(Magick!$I$79*100,magestuff!$B$134:$F$138,4),VLOOKUP(Magick!$I$79*100,magestuff!$B$134:$F$138,5))))))</f>
        <v>29</v>
      </c>
      <c r="U841" s="67" t="str">
        <f t="shared" si="115"/>
        <v xml:space="preserve"> </v>
      </c>
      <c r="V841" s="515"/>
      <c r="W841" s="125"/>
      <c r="X841" s="31">
        <f t="shared" si="117"/>
        <v>0</v>
      </c>
      <c r="Y841" s="509"/>
      <c r="Z841" s="1054" t="str">
        <f t="shared" si="118"/>
        <v xml:space="preserve">Great Bind Great Spirit into a Container </v>
      </c>
      <c r="AA841" s="1072" t="str">
        <f t="shared" si="119"/>
        <v>Summoning</v>
      </c>
    </row>
    <row r="842" spans="1:27" hidden="1" outlineLevel="1">
      <c r="A842" s="380" t="s">
        <v>5485</v>
      </c>
      <c r="B842" s="67">
        <f>IF(Magick!$A$3=25,9,12)</f>
        <v>12</v>
      </c>
      <c r="C842" s="67">
        <f ca="1">IF(Magick!$A$3=25,magestuff!$AA$207,magestuff!$AD$207+2)</f>
        <v>12</v>
      </c>
      <c r="D842" s="67">
        <f t="shared" si="114"/>
        <v>0</v>
      </c>
      <c r="E842" s="77" t="e">
        <f ca="1">IF(F842="y",HLOOKUP((IF(C842&lt;1,1,C842)),Magick!$C$20:$L$21,2),NA())</f>
        <v>#N/A</v>
      </c>
      <c r="F842" s="67" t="str">
        <f ca="1">IF(C842&lt;=Magick!$D$3,"Y","N")</f>
        <v>N</v>
      </c>
      <c r="G842" s="148" t="s">
        <v>128</v>
      </c>
      <c r="H842" s="151"/>
      <c r="I842" s="77" t="e">
        <f>IF(H842&gt;0,(HLOOKUP(C842,Magick!$C$20:$L$21,2)-HLOOKUP(H842,Magick!$C$20:$L$21,2)),NA())</f>
        <v>#N/A</v>
      </c>
      <c r="J842" s="77"/>
      <c r="K842" s="67">
        <f>IF(Magick!$A$3=25,169,254)</f>
        <v>254</v>
      </c>
      <c r="L842" s="72" t="str">
        <f>IF(H842&gt;0,Magick!$AR$26-('Master Spell List'!H797*0.1),"N/A")</f>
        <v>N/A</v>
      </c>
      <c r="M842" s="72">
        <f ca="1">Magick!$H$79</f>
        <v>0.08</v>
      </c>
      <c r="N842" s="72">
        <f ca="1">Magick!$K$79</f>
        <v>0.13</v>
      </c>
      <c r="O842" s="72">
        <f ca="1">Magick!$L$79</f>
        <v>0.13</v>
      </c>
      <c r="P842" s="72">
        <f ca="1">Magick!$M$79</f>
        <v>0.13</v>
      </c>
      <c r="Q842" s="67" t="s">
        <v>113</v>
      </c>
      <c r="R842" s="67" t="str">
        <f>IF(Q842="Ritual","N/A",IF(Q842="I.E.","N/A",IF(Q842="WOG",VLOOKUP(Magick!$I$79*100,magestuff!$B$134:$F$138,2),IF(Q842="Cantrip",VLOOKUP(Magick!$I$79*100,magestuff!$B$134:$F$138,3),IF(Q842="Hex",VLOOKUP(Magick!$I$79*100,magestuff!$B$134:$F$138,4),VLOOKUP(Magick!$I$79*100,magestuff!$B$134:$F$138,5))))))</f>
        <v>N/A</v>
      </c>
      <c r="S842" s="294" t="str">
        <f>CONCATENATE(IF(Magick!$C$3&gt;0,Magick!$C$3*30," ")," ft.")</f>
        <v xml:space="preserve">  ft.</v>
      </c>
      <c r="T842" s="67" t="s">
        <v>2382</v>
      </c>
      <c r="U842" s="67" t="str">
        <f t="shared" si="115"/>
        <v xml:space="preserve"> </v>
      </c>
      <c r="V842" s="515"/>
      <c r="W842" s="125"/>
      <c r="X842" s="31">
        <f t="shared" si="117"/>
        <v>0</v>
      </c>
      <c r="Y842" s="509"/>
      <c r="Z842" s="1054" t="str">
        <f t="shared" si="118"/>
        <v>The Great Work</v>
      </c>
      <c r="AA842" s="1072" t="str">
        <f t="shared" si="119"/>
        <v>Summoning</v>
      </c>
    </row>
    <row r="843" spans="1:27" hidden="1" outlineLevel="1">
      <c r="A843" s="379" t="s">
        <v>732</v>
      </c>
      <c r="B843" s="67">
        <v>13</v>
      </c>
      <c r="C843" s="67">
        <f ca="1">magestuff!$AD$207+3</f>
        <v>13</v>
      </c>
      <c r="D843" s="67">
        <f t="shared" si="114"/>
        <v>0</v>
      </c>
      <c r="E843" s="77" t="e">
        <f ca="1">IF(F843="y",HLOOKUP((IF(C843&lt;1,1,C843)),Magick!$C$20:$L$21,2),NA())</f>
        <v>#N/A</v>
      </c>
      <c r="F843" s="67" t="str">
        <f ca="1">IF(C843&lt;=Magick!$D$3,"Y","N")</f>
        <v>N</v>
      </c>
      <c r="G843" s="148" t="s">
        <v>859</v>
      </c>
      <c r="H843" s="151"/>
      <c r="I843" s="77" t="e">
        <f>IF(H843&gt;0,(HLOOKUP(C843,Magick!$C$20:$L$21,2)-HLOOKUP(H843,Magick!$C$20:$L$21,2)),NA())</f>
        <v>#N/A</v>
      </c>
      <c r="J843" s="77"/>
      <c r="K843" s="67" t="s">
        <v>2225</v>
      </c>
      <c r="L843" s="72" t="str">
        <f>IF(H843&gt;0,Magick!$AR$26-('Master Spell List'!H831*0.1),"N/A")</f>
        <v>N/A</v>
      </c>
      <c r="M843" s="72">
        <f ca="1">Magick!$H$79</f>
        <v>0.08</v>
      </c>
      <c r="N843" s="72">
        <f ca="1">Magick!$K$79</f>
        <v>0.13</v>
      </c>
      <c r="O843" s="72">
        <f ca="1">Magick!$L$79</f>
        <v>0.13</v>
      </c>
      <c r="P843" s="72">
        <f ca="1">Magick!$M$79</f>
        <v>0.13</v>
      </c>
      <c r="Q843" s="67" t="s">
        <v>2225</v>
      </c>
      <c r="R843" s="67">
        <f ca="1">IF(Q843="Ritual","N/A",IF(Q843="I.E.","N/A",IF(Q843="WOG",VLOOKUP(Magick!$I$79*100,magestuff!$B$134:$F$138,2),IF(Q843="Cantrip",VLOOKUP(Magick!$I$79*100,magestuff!$B$134:$F$138,3),IF(Q843="Hex",VLOOKUP(Magick!$I$79*100,magestuff!$B$134:$F$138,4),VLOOKUP(Magick!$I$79*100,magestuff!$B$134:$F$138,5))))))</f>
        <v>29</v>
      </c>
      <c r="U843" s="67" t="str">
        <f t="shared" si="115"/>
        <v xml:space="preserve"> </v>
      </c>
      <c r="V843" s="515"/>
      <c r="W843" s="125"/>
      <c r="X843" s="31">
        <f t="shared" si="117"/>
        <v>0</v>
      </c>
      <c r="Y843" s="509"/>
      <c r="Z843" s="1054" t="str">
        <f t="shared" si="118"/>
        <v xml:space="preserve">Bind Greater Spirit into a Container </v>
      </c>
      <c r="AA843" s="1072" t="str">
        <f t="shared" si="119"/>
        <v>Summoning</v>
      </c>
    </row>
    <row r="844" spans="1:27" hidden="1" outlineLevel="1">
      <c r="A844" s="381" t="s">
        <v>3007</v>
      </c>
      <c r="B844" s="67">
        <v>13</v>
      </c>
      <c r="C844" s="67">
        <f ca="1">magestuff!$AD$207+3</f>
        <v>13</v>
      </c>
      <c r="D844" s="67">
        <f t="shared" si="114"/>
        <v>0</v>
      </c>
      <c r="E844" s="77" t="e">
        <f ca="1">IF(F844="y",HLOOKUP((IF(C844&lt;1,1,C844)),Magick!$C$20:$L$21,2),NA())</f>
        <v>#N/A</v>
      </c>
      <c r="F844" s="67" t="str">
        <f ca="1">IF(C844&lt;=Magick!$D$3,"Y","N")</f>
        <v>N</v>
      </c>
      <c r="G844" s="148" t="s">
        <v>859</v>
      </c>
      <c r="H844" s="151"/>
      <c r="I844" s="77" t="e">
        <f>IF(H844&gt;0,(HLOOKUP(C844,Magick!$C$20:$L$21,2)-HLOOKUP(H844,Magick!$C$20:$L$21,2)),NA())</f>
        <v>#N/A</v>
      </c>
      <c r="J844" s="77"/>
      <c r="K844" s="67" t="s">
        <v>2225</v>
      </c>
      <c r="L844" s="72" t="str">
        <f>IF(H844&gt;0,Magick!$AR$26-('Master Spell List'!H806*0.1),"N/A")</f>
        <v>N/A</v>
      </c>
      <c r="M844" s="72">
        <f ca="1">Magick!$H$79</f>
        <v>0.08</v>
      </c>
      <c r="N844" s="72">
        <f ca="1">Magick!$K$79</f>
        <v>0.13</v>
      </c>
      <c r="O844" s="72">
        <f ca="1">Magick!$L$79</f>
        <v>0.13</v>
      </c>
      <c r="P844" s="72">
        <f ca="1">Magick!$M$79</f>
        <v>0.13</v>
      </c>
      <c r="Q844" s="67" t="s">
        <v>2225</v>
      </c>
      <c r="R844" s="67">
        <f ca="1">IF(Q844="Ritual","N/A",IF(Q844="I.E.","N/A",IF(Q844="WOG",VLOOKUP(Magick!$I$79*100,magestuff!$B$134:$F$138,2),IF(Q844="Cantrip",VLOOKUP(Magick!$I$79*100,magestuff!$B$134:$F$138,3),IF(Q844="Hex",VLOOKUP(Magick!$I$79*100,magestuff!$B$134:$F$138,4),VLOOKUP(Magick!$I$79*100,magestuff!$B$134:$F$138,5))))))</f>
        <v>29</v>
      </c>
      <c r="U844" s="67" t="str">
        <f t="shared" si="115"/>
        <v xml:space="preserve"> </v>
      </c>
      <c r="V844" s="515"/>
      <c r="W844" s="125"/>
      <c r="X844" s="31">
        <f t="shared" si="117"/>
        <v>0</v>
      </c>
      <c r="Y844" s="509"/>
      <c r="Z844" s="1054" t="str">
        <f t="shared" si="118"/>
        <v>Summon Greater Spirit</v>
      </c>
      <c r="AA844" s="1072" t="str">
        <f t="shared" si="119"/>
        <v>Summoning</v>
      </c>
    </row>
    <row r="845" spans="1:27" hidden="1" outlineLevel="1">
      <c r="A845" s="379" t="s">
        <v>1964</v>
      </c>
      <c r="B845" s="67">
        <v>14</v>
      </c>
      <c r="C845" s="67">
        <f ca="1">magestuff!$AD$207+4</f>
        <v>14</v>
      </c>
      <c r="D845" s="67">
        <f t="shared" si="114"/>
        <v>0</v>
      </c>
      <c r="E845" s="77" t="e">
        <f ca="1">IF(F845="y",HLOOKUP((IF(C845&lt;1,1,C845)),Magick!$C$20:$L$21,2),NA())</f>
        <v>#N/A</v>
      </c>
      <c r="F845" s="67" t="str">
        <f ca="1">IF(C845&lt;=Magick!$D$3,"Y","N")</f>
        <v>N</v>
      </c>
      <c r="G845" s="148" t="s">
        <v>859</v>
      </c>
      <c r="H845" s="151"/>
      <c r="I845" s="77" t="e">
        <f>IF(H845&gt;0,(HLOOKUP(C845,Magick!$C$20:$L$21,2)-HLOOKUP(H845,Magick!$C$20:$L$21,2)),NA())</f>
        <v>#N/A</v>
      </c>
      <c r="J845" s="77"/>
      <c r="K845" s="67" t="s">
        <v>2225</v>
      </c>
      <c r="L845" s="72" t="str">
        <f>IF(H845&gt;0,Magick!$AR$26-('Master Spell List'!H827*0.1),"N/A")</f>
        <v>N/A</v>
      </c>
      <c r="M845" s="72">
        <f ca="1">Magick!$H$79</f>
        <v>0.08</v>
      </c>
      <c r="N845" s="72">
        <f ca="1">Magick!$K$79</f>
        <v>0.13</v>
      </c>
      <c r="O845" s="72">
        <f ca="1">Magick!$L$79</f>
        <v>0.13</v>
      </c>
      <c r="P845" s="72">
        <f ca="1">Magick!$M$79</f>
        <v>0.13</v>
      </c>
      <c r="Q845" s="67" t="s">
        <v>2225</v>
      </c>
      <c r="R845" s="67">
        <f ca="1">IF(Q845="Ritual","N/A",IF(Q845="I.E.","N/A",IF(Q845="WOG",VLOOKUP(Magick!$I$79*100,magestuff!$B$134:$F$138,2),IF(Q845="Cantrip",VLOOKUP(Magick!$I$79*100,magestuff!$B$134:$F$138,3),IF(Q845="Hex",VLOOKUP(Magick!$I$79*100,magestuff!$B$134:$F$138,4),VLOOKUP(Magick!$I$79*100,magestuff!$B$134:$F$138,5))))))</f>
        <v>29</v>
      </c>
      <c r="U845" s="67" t="str">
        <f t="shared" si="115"/>
        <v xml:space="preserve"> </v>
      </c>
      <c r="V845" s="515"/>
      <c r="W845" s="125"/>
      <c r="X845" s="31">
        <f t="shared" si="117"/>
        <v>0</v>
      </c>
      <c r="Y845" s="509"/>
      <c r="Z845" s="1054" t="str">
        <f t="shared" si="118"/>
        <v>Greatest  Summon Object</v>
      </c>
      <c r="AA845" s="1072" t="str">
        <f t="shared" si="119"/>
        <v>Summoning</v>
      </c>
    </row>
    <row r="846" spans="1:27" hidden="1" outlineLevel="1">
      <c r="A846" s="379" t="s">
        <v>2940</v>
      </c>
      <c r="B846" s="67">
        <v>16</v>
      </c>
      <c r="C846" s="67">
        <f ca="1">magestuff!$AD$207+6</f>
        <v>16</v>
      </c>
      <c r="D846" s="67">
        <f t="shared" si="114"/>
        <v>0</v>
      </c>
      <c r="E846" s="77" t="e">
        <f ca="1">IF(F846="y",HLOOKUP((IF(C846&lt;1,1,C846)),Magick!$C$20:$L$21,2),NA())</f>
        <v>#N/A</v>
      </c>
      <c r="F846" s="67" t="str">
        <f ca="1">IF(C846&lt;=Magick!$D$3,"Y","N")</f>
        <v>N</v>
      </c>
      <c r="G846" s="148" t="s">
        <v>859</v>
      </c>
      <c r="H846" s="151"/>
      <c r="I846" s="77" t="e">
        <f>IF(H846&gt;0,(HLOOKUP(C846,Magick!$C$20:$L$21,2)-HLOOKUP(H846,Magick!$C$20:$L$21,2)),NA())</f>
        <v>#N/A</v>
      </c>
      <c r="J846" s="77"/>
      <c r="K846" s="67" t="s">
        <v>2225</v>
      </c>
      <c r="L846" s="72" t="str">
        <f>IF(H846&gt;0,Magick!$AR$26-('Master Spell List'!H829*0.1),"N/A")</f>
        <v>N/A</v>
      </c>
      <c r="M846" s="72">
        <f ca="1">Magick!$H$79</f>
        <v>0.08</v>
      </c>
      <c r="N846" s="72">
        <f ca="1">Magick!$K$79</f>
        <v>0.13</v>
      </c>
      <c r="O846" s="72">
        <f ca="1">Magick!$L$79</f>
        <v>0.13</v>
      </c>
      <c r="P846" s="72">
        <f ca="1">Magick!$M$79</f>
        <v>0.13</v>
      </c>
      <c r="Q846" s="67" t="s">
        <v>2225</v>
      </c>
      <c r="R846" s="67">
        <f ca="1">IF(Q846="Ritual","N/A",IF(Q846="I.E.","N/A",IF(Q846="WOG",VLOOKUP(Magick!$I$79*100,magestuff!$B$134:$F$138,2),IF(Q846="Cantrip",VLOOKUP(Magick!$I$79*100,magestuff!$B$134:$F$138,3),IF(Q846="Hex",VLOOKUP(Magick!$I$79*100,magestuff!$B$134:$F$138,4),VLOOKUP(Magick!$I$79*100,magestuff!$B$134:$F$138,5))))))</f>
        <v>29</v>
      </c>
      <c r="U846" s="67" t="str">
        <f t="shared" si="115"/>
        <v xml:space="preserve"> </v>
      </c>
      <c r="V846" s="515"/>
      <c r="W846" s="125"/>
      <c r="X846" s="31">
        <f t="shared" si="117"/>
        <v>0</v>
      </c>
      <c r="Y846" s="509"/>
      <c r="Z846" s="1054" t="str">
        <f t="shared" si="118"/>
        <v xml:space="preserve">Greater Bind Death into a Container </v>
      </c>
      <c r="AA846" s="1072" t="str">
        <f t="shared" si="119"/>
        <v>Summoning</v>
      </c>
    </row>
    <row r="847" spans="1:27" hidden="1" outlineLevel="1">
      <c r="A847" s="379" t="s">
        <v>733</v>
      </c>
      <c r="B847" s="67">
        <v>16</v>
      </c>
      <c r="C847" s="67">
        <f ca="1">magestuff!$AD$207+6</f>
        <v>16</v>
      </c>
      <c r="D847" s="67">
        <f t="shared" si="114"/>
        <v>0</v>
      </c>
      <c r="E847" s="77" t="e">
        <f ca="1">IF(F847="y",HLOOKUP((IF(C847&lt;1,1,C847)),Magick!$C$20:$L$21,2),NA())</f>
        <v>#N/A</v>
      </c>
      <c r="F847" s="67" t="str">
        <f ca="1">IF(C847&lt;=Magick!$D$3,"Y","N")</f>
        <v>N</v>
      </c>
      <c r="G847" s="148" t="s">
        <v>859</v>
      </c>
      <c r="H847" s="151"/>
      <c r="I847" s="77" t="e">
        <f>IF(H847&gt;0,(HLOOKUP(C847,Magick!$C$20:$L$21,2)-HLOOKUP(H847,Magick!$C$20:$L$21,2)),NA())</f>
        <v>#N/A</v>
      </c>
      <c r="J847" s="77"/>
      <c r="K847" s="67" t="s">
        <v>2225</v>
      </c>
      <c r="L847" s="72" t="str">
        <f>IF(H847&gt;0,Magick!$AR$26-('Master Spell List'!H838*0.1),"N/A")</f>
        <v>N/A</v>
      </c>
      <c r="M847" s="72">
        <f ca="1">Magick!$H$79</f>
        <v>0.08</v>
      </c>
      <c r="N847" s="72">
        <f ca="1">Magick!$K$79</f>
        <v>0.13</v>
      </c>
      <c r="O847" s="72">
        <f ca="1">Magick!$L$79</f>
        <v>0.13</v>
      </c>
      <c r="P847" s="72">
        <f ca="1">Magick!$M$79</f>
        <v>0.13</v>
      </c>
      <c r="Q847" s="67" t="s">
        <v>2225</v>
      </c>
      <c r="R847" s="67">
        <f ca="1">IF(Q847="Ritual","N/A",IF(Q847="I.E.","N/A",IF(Q847="WOG",VLOOKUP(Magick!$I$79*100,magestuff!$B$134:$F$138,2),IF(Q847="Cantrip",VLOOKUP(Magick!$I$79*100,magestuff!$B$134:$F$138,3),IF(Q847="Hex",VLOOKUP(Magick!$I$79*100,magestuff!$B$134:$F$138,4),VLOOKUP(Magick!$I$79*100,magestuff!$B$134:$F$138,5))))))</f>
        <v>29</v>
      </c>
      <c r="U847" s="67" t="str">
        <f t="shared" si="115"/>
        <v xml:space="preserve"> </v>
      </c>
      <c r="V847" s="515"/>
      <c r="W847" s="125"/>
      <c r="X847" s="31">
        <f t="shared" si="117"/>
        <v>0</v>
      </c>
      <c r="Y847" s="509"/>
      <c r="Z847" s="1054" t="str">
        <f t="shared" si="118"/>
        <v xml:space="preserve">Greater Bind Greater Spirit into a Container </v>
      </c>
      <c r="AA847" s="1072" t="str">
        <f t="shared" si="119"/>
        <v>Summoning</v>
      </c>
    </row>
    <row r="848" spans="1:27" hidden="1" outlineLevel="1">
      <c r="A848" s="379" t="s">
        <v>5214</v>
      </c>
      <c r="B848" s="67">
        <v>18</v>
      </c>
      <c r="C848" s="67">
        <f ca="1">magestuff!$AD$207+8</f>
        <v>18</v>
      </c>
      <c r="D848" s="67">
        <f t="shared" si="114"/>
        <v>0</v>
      </c>
      <c r="E848" s="77" t="e">
        <f ca="1">IF(F848="y",HLOOKUP((IF(C848&lt;1,1,C848)),Magick!$C$20:$L$21,2),NA())</f>
        <v>#N/A</v>
      </c>
      <c r="F848" s="67" t="str">
        <f ca="1">IF(C848&lt;=Magick!$D$3,"Y","N")</f>
        <v>N</v>
      </c>
      <c r="G848" s="148" t="s">
        <v>859</v>
      </c>
      <c r="H848" s="151"/>
      <c r="I848" s="77" t="e">
        <f>IF(H848&gt;0,(HLOOKUP(C848,Magick!$C$20:$L$21,2)-HLOOKUP(H848,Magick!$C$20:$L$21,2)),NA())</f>
        <v>#N/A</v>
      </c>
      <c r="J848" s="77"/>
      <c r="K848" s="67" t="s">
        <v>2225</v>
      </c>
      <c r="L848" s="72" t="str">
        <f>IF(H848&gt;0,Magick!$AR$26-('Master Spell List'!H822*0.1),"N/A")</f>
        <v>N/A</v>
      </c>
      <c r="M848" s="72">
        <f ca="1">Magick!$H$79</f>
        <v>0.08</v>
      </c>
      <c r="N848" s="72">
        <f ca="1">Magick!$K$79</f>
        <v>0.13</v>
      </c>
      <c r="O848" s="72">
        <f ca="1">Magick!$L$79</f>
        <v>0.13</v>
      </c>
      <c r="P848" s="72">
        <f ca="1">Magick!$M$79</f>
        <v>0.13</v>
      </c>
      <c r="Q848" s="67" t="s">
        <v>2225</v>
      </c>
      <c r="R848" s="67">
        <f ca="1">IF(Q848="Ritual","N/A",IF(Q848="I.E.","N/A",IF(Q848="WOG",VLOOKUP(Magick!$I$79*100,magestuff!$B$134:$F$138,2),IF(Q848="Cantrip",VLOOKUP(Magick!$I$79*100,magestuff!$B$134:$F$138,3),IF(Q848="Hex",VLOOKUP(Magick!$I$79*100,magestuff!$B$134:$F$138,4),VLOOKUP(Magick!$I$79*100,magestuff!$B$134:$F$138,5))))))</f>
        <v>29</v>
      </c>
      <c r="U848" s="67" t="str">
        <f t="shared" si="115"/>
        <v xml:space="preserve"> </v>
      </c>
      <c r="V848" s="515"/>
      <c r="W848" s="125"/>
      <c r="X848" s="31">
        <f t="shared" si="117"/>
        <v>0</v>
      </c>
      <c r="Y848" s="509"/>
      <c r="Z848" s="1054" t="str">
        <f t="shared" si="118"/>
        <v xml:space="preserve">Banish  Greatest Spirit </v>
      </c>
      <c r="AA848" s="1072" t="str">
        <f t="shared" si="119"/>
        <v>Summoning</v>
      </c>
    </row>
    <row r="849" spans="1:27" hidden="1" outlineLevel="1">
      <c r="A849" s="379" t="s">
        <v>734</v>
      </c>
      <c r="B849" s="67">
        <v>20</v>
      </c>
      <c r="C849" s="67">
        <f ca="1">magestuff!$AD$207+10</f>
        <v>20</v>
      </c>
      <c r="D849" s="67">
        <f t="shared" si="114"/>
        <v>0</v>
      </c>
      <c r="E849" s="77" t="e">
        <f ca="1">IF(F849="y",HLOOKUP((IF(C849&lt;1,1,C849)),Magick!$C$20:$L$21,2),NA())</f>
        <v>#N/A</v>
      </c>
      <c r="F849" s="67" t="str">
        <f ca="1">IF(C849&lt;=Magick!$D$3,"Y","N")</f>
        <v>N</v>
      </c>
      <c r="G849" s="148" t="s">
        <v>859</v>
      </c>
      <c r="H849" s="151"/>
      <c r="I849" s="77" t="e">
        <f>IF(H849&gt;0,(HLOOKUP(C849,Magick!$C$20:$L$21,2)-HLOOKUP(H849,Magick!$C$20:$L$21,2)),NA())</f>
        <v>#N/A</v>
      </c>
      <c r="J849" s="77"/>
      <c r="K849" s="67" t="s">
        <v>2225</v>
      </c>
      <c r="L849" s="72" t="str">
        <f>IF(H849&gt;0,Magick!$AR$26-('Master Spell List'!H839*0.1),"N/A")</f>
        <v>N/A</v>
      </c>
      <c r="M849" s="72">
        <f ca="1">Magick!$H$79</f>
        <v>0.08</v>
      </c>
      <c r="N849" s="72">
        <f ca="1">Magick!$K$79</f>
        <v>0.13</v>
      </c>
      <c r="O849" s="72">
        <f ca="1">Magick!$L$79</f>
        <v>0.13</v>
      </c>
      <c r="P849" s="72">
        <f ca="1">Magick!$M$79</f>
        <v>0.13</v>
      </c>
      <c r="Q849" s="67" t="s">
        <v>2225</v>
      </c>
      <c r="R849" s="67">
        <f ca="1">IF(Q849="Ritual","N/A",IF(Q849="I.E.","N/A",IF(Q849="WOG",VLOOKUP(Magick!$I$79*100,magestuff!$B$134:$F$138,2),IF(Q849="Cantrip",VLOOKUP(Magick!$I$79*100,magestuff!$B$134:$F$138,3),IF(Q849="Hex",VLOOKUP(Magick!$I$79*100,magestuff!$B$134:$F$138,4),VLOOKUP(Magick!$I$79*100,magestuff!$B$134:$F$138,5))))))</f>
        <v>29</v>
      </c>
      <c r="U849" s="67" t="str">
        <f t="shared" si="115"/>
        <v xml:space="preserve"> </v>
      </c>
      <c r="V849" s="515"/>
      <c r="W849" s="125"/>
      <c r="X849" s="31">
        <f t="shared" si="117"/>
        <v>0</v>
      </c>
      <c r="Y849" s="509"/>
      <c r="Z849" s="1054" t="str">
        <f t="shared" si="118"/>
        <v xml:space="preserve"> Bind Greatest Spirit into a Container </v>
      </c>
      <c r="AA849" s="1072" t="str">
        <f t="shared" si="119"/>
        <v>Summoning</v>
      </c>
    </row>
    <row r="850" spans="1:27" collapsed="1">
      <c r="A850" s="48" t="s">
        <v>1634</v>
      </c>
      <c r="B850" s="76">
        <f>SUM(B851:B895)</f>
        <v>241</v>
      </c>
      <c r="C850" s="76">
        <f ca="1">SUM(C851:C895)</f>
        <v>241</v>
      </c>
      <c r="D850" s="76">
        <f>SUM(D851:D895)</f>
        <v>0</v>
      </c>
      <c r="E850" s="76"/>
      <c r="F850" s="149">
        <f ca="1">SUM(C851:C860)+IF(F861="Y",SUM(C861:C865),0)+IF(F866="Y",SUM(C866:C870),0)+IF(F871="Y",SUM(C871:C875),0)+IF(F876="Y",SUM(C876:C877),0)+IF(F878="Y",SUM(C878:C882),0)+IF(F883="Y",SUM(C883:C886),0)+IF(F887="Y",SUM(C887:C892),0)+IF(F893="Y",SUM(C893:C894),0)+IF(F895="Y",SUM(C895:C895),0)</f>
        <v>15</v>
      </c>
      <c r="G850" s="76"/>
      <c r="H850" s="150"/>
      <c r="I850" s="76"/>
      <c r="J850" s="76"/>
      <c r="K850" s="76"/>
      <c r="L850" s="76"/>
      <c r="M850" s="222">
        <f ca="1">Magick!$H$80</f>
        <v>0.08</v>
      </c>
      <c r="N850" s="222">
        <f ca="1">Magick!$K$80</f>
        <v>0.13</v>
      </c>
      <c r="O850" s="222">
        <f ca="1">Magick!$L$80</f>
        <v>0.13</v>
      </c>
      <c r="P850" s="222">
        <f ca="1">Magick!$M$80</f>
        <v>0.13</v>
      </c>
      <c r="Q850" s="76"/>
      <c r="R850" s="76"/>
      <c r="S850" s="76"/>
      <c r="T850" s="76"/>
      <c r="U850" s="149">
        <f>SUM(U851:U895)</f>
        <v>0</v>
      </c>
      <c r="V850" s="76"/>
      <c r="W850" s="76"/>
      <c r="X850" s="149"/>
      <c r="Y850" s="509"/>
      <c r="Z850" s="1054" t="str">
        <f t="shared" si="118"/>
        <v>Transcendental</v>
      </c>
      <c r="AA850" s="1072" t="str">
        <f t="shared" si="119"/>
        <v>Transcendental</v>
      </c>
    </row>
    <row r="851" spans="1:27" hidden="1" outlineLevel="1">
      <c r="A851" s="31" t="s">
        <v>5453</v>
      </c>
      <c r="B851" s="67">
        <v>1</v>
      </c>
      <c r="C851" s="67">
        <f ca="1">IF(magestuff!$C$208&lt;1,1,magestuff!$C$208)</f>
        <v>1</v>
      </c>
      <c r="D851" s="67">
        <f t="shared" ref="D851:D895" si="120">IF(AND(ISNUMBER(H851),H851=0),C851,0)</f>
        <v>0</v>
      </c>
      <c r="E851" s="77">
        <f ca="1">IF(F851="y",HLOOKUP((IF(C851&lt;1,1,C851)),Magick!$C$20:$L$21,2),NA())</f>
        <v>10</v>
      </c>
      <c r="F851" s="67" t="str">
        <f ca="1">IF(C851&lt;=Magick!$D$3,"Y","N")</f>
        <v>Y</v>
      </c>
      <c r="G851" s="148" t="s">
        <v>128</v>
      </c>
      <c r="H851" s="151"/>
      <c r="I851" s="77" t="e">
        <f>IF(H851&gt;0,(HLOOKUP(C851,Magick!$C$20:$L$21,2)-HLOOKUP(H851,Magick!$C$20:$L$21,2)),NA())</f>
        <v>#N/A</v>
      </c>
      <c r="J851" s="77"/>
      <c r="K851" s="67" t="s">
        <v>2052</v>
      </c>
      <c r="L851" s="72" t="str">
        <f>IF(H851&gt;0,Magick!$AR$27-('Master Spell List'!H851*0.1),"N/A")</f>
        <v>N/A</v>
      </c>
      <c r="M851" s="72">
        <f ca="1">Magick!$H$80</f>
        <v>0.08</v>
      </c>
      <c r="N851" s="72">
        <f ca="1">Magick!$K$80</f>
        <v>0.13</v>
      </c>
      <c r="O851" s="72">
        <f ca="1">Magick!$L$80</f>
        <v>0.13</v>
      </c>
      <c r="P851" s="72">
        <f ca="1">Magick!$M$80</f>
        <v>0.13</v>
      </c>
      <c r="Q851" s="67" t="s">
        <v>4602</v>
      </c>
      <c r="R851" s="67">
        <f ca="1">IF(Q851="Ritual","N/A",IF(Q851="I.E.","N/A",IF(Q851="WOG",VLOOKUP(Magick!$I$80*100,magestuff!$B$134:$F$138,2),IF(Q851="Cantrip",VLOOKUP(Magick!$I$80*100,magestuff!$B$134:$F$138,3),IF(Q851="Hex",VLOOKUP(Magick!$I$80*100,magestuff!$B$134:$F$138,4),VLOOKUP(Magick!$I$80*100,magestuff!$B$134:$F$138,5))))))</f>
        <v>19</v>
      </c>
      <c r="S851" s="69" t="str">
        <f>CONCATENATE(IF(Magick!$C$3&gt;0,Magick!$C$3*10," ")," ft.")</f>
        <v xml:space="preserve">  ft.</v>
      </c>
      <c r="T851" s="67" t="s">
        <v>3255</v>
      </c>
      <c r="U851" s="67" t="str">
        <f t="shared" ref="U851:U895" si="121">IF(ISBLANK(H851)," ",IF(H851&gt;0,0,C851*10))</f>
        <v xml:space="preserve"> </v>
      </c>
      <c r="V851" s="515"/>
      <c r="W851" s="125"/>
      <c r="X851" s="31">
        <f t="shared" ref="X851:X895" si="122">W851*3</f>
        <v>0</v>
      </c>
      <c r="Y851" s="509"/>
      <c r="Z851" s="1054" t="str">
        <f t="shared" si="118"/>
        <v>Clairaudience</v>
      </c>
      <c r="AA851" s="1072" t="str">
        <f t="shared" si="119"/>
        <v>Transcendental</v>
      </c>
    </row>
    <row r="852" spans="1:27" hidden="1" outlineLevel="1">
      <c r="A852" s="31" t="s">
        <v>3462</v>
      </c>
      <c r="B852" s="67">
        <v>1</v>
      </c>
      <c r="C852" s="67">
        <f ca="1">IF(magestuff!$C$208&lt;1,1,magestuff!$C$208)</f>
        <v>1</v>
      </c>
      <c r="D852" s="67">
        <f t="shared" si="120"/>
        <v>0</v>
      </c>
      <c r="E852" s="77">
        <f ca="1">IF(F852="y",HLOOKUP((IF(C852&lt;1,1,C852)),Magick!$C$20:$L$21,2),NA())</f>
        <v>10</v>
      </c>
      <c r="F852" s="67" t="str">
        <f ca="1">IF(C852&lt;=Magick!$D$3,"Y","N")</f>
        <v>Y</v>
      </c>
      <c r="G852" s="148" t="s">
        <v>128</v>
      </c>
      <c r="H852" s="151"/>
      <c r="I852" s="77" t="e">
        <f>IF(H852&gt;0,(HLOOKUP(C852,Magick!$C$20:$L$21,2)-HLOOKUP(H852,Magick!$C$20:$L$21,2)),NA())</f>
        <v>#N/A</v>
      </c>
      <c r="J852" s="77"/>
      <c r="K852" s="67" t="s">
        <v>2052</v>
      </c>
      <c r="L852" s="72" t="str">
        <f>IF(H852&gt;0,Magick!$AR$27-('Master Spell List'!H852*0.1),"N/A")</f>
        <v>N/A</v>
      </c>
      <c r="M852" s="72">
        <f ca="1">Magick!$H$80</f>
        <v>0.08</v>
      </c>
      <c r="N852" s="72">
        <f ca="1">Magick!$K$80</f>
        <v>0.13</v>
      </c>
      <c r="O852" s="72">
        <f ca="1">Magick!$L$80</f>
        <v>0.13</v>
      </c>
      <c r="P852" s="72">
        <f ca="1">Magick!$M$80</f>
        <v>0.13</v>
      </c>
      <c r="Q852" s="67" t="s">
        <v>4602</v>
      </c>
      <c r="R852" s="67">
        <f ca="1">IF(Q852="Ritual","N/A",IF(Q852="I.E.","N/A",IF(Q852="WOG",VLOOKUP(Magick!$I$80*100,magestuff!$B$134:$F$138,2),IF(Q852="Cantrip",VLOOKUP(Magick!$I$80*100,magestuff!$B$134:$F$138,3),IF(Q852="Hex",VLOOKUP(Magick!$I$80*100,magestuff!$B$134:$F$138,4),VLOOKUP(Magick!$I$80*100,magestuff!$B$134:$F$138,5))))))</f>
        <v>19</v>
      </c>
      <c r="S852" s="69" t="str">
        <f>CONCATENATE(IF(Magick!$C$3&gt;0,Magick!$C$3*10," ")," ft.")</f>
        <v xml:space="preserve">  ft.</v>
      </c>
      <c r="T852" s="67" t="s">
        <v>3255</v>
      </c>
      <c r="U852" s="67" t="str">
        <f t="shared" si="121"/>
        <v xml:space="preserve"> </v>
      </c>
      <c r="V852" s="515"/>
      <c r="W852" s="125"/>
      <c r="X852" s="31">
        <f t="shared" si="122"/>
        <v>0</v>
      </c>
      <c r="Y852" s="509"/>
      <c r="Z852" s="1054" t="str">
        <f t="shared" si="118"/>
        <v>Clairvoyance</v>
      </c>
      <c r="AA852" s="1072" t="str">
        <f t="shared" si="119"/>
        <v>Transcendental</v>
      </c>
    </row>
    <row r="853" spans="1:27" hidden="1" outlineLevel="1">
      <c r="A853" s="31" t="s">
        <v>3670</v>
      </c>
      <c r="B853" s="67">
        <v>1</v>
      </c>
      <c r="C853" s="67">
        <f ca="1">IF(magestuff!$C$208&lt;1,1,magestuff!$C$208)</f>
        <v>1</v>
      </c>
      <c r="D853" s="67">
        <f t="shared" si="120"/>
        <v>0</v>
      </c>
      <c r="E853" s="77">
        <f ca="1">IF(F853="y",HLOOKUP((IF(C853&lt;1,1,C853)),Magick!$C$20:$L$21,2),NA())</f>
        <v>10</v>
      </c>
      <c r="F853" s="67" t="str">
        <f ca="1">IF(C853&lt;=Magick!$D$3,"Y","N")</f>
        <v>Y</v>
      </c>
      <c r="G853" s="148" t="s">
        <v>128</v>
      </c>
      <c r="H853" s="151"/>
      <c r="I853" s="77" t="e">
        <f>IF(H853&gt;0,(HLOOKUP(C853,Magick!$C$20:$L$21,2)-HLOOKUP(H853,Magick!$C$20:$L$21,2)),NA())</f>
        <v>#N/A</v>
      </c>
      <c r="J853" s="77"/>
      <c r="K853" s="67">
        <v>3</v>
      </c>
      <c r="L853" s="72" t="str">
        <f>IF(H853&gt;0,Magick!$AR$27-('Master Spell List'!H854*0.1),"N/A")</f>
        <v>N/A</v>
      </c>
      <c r="M853" s="72">
        <f ca="1">Magick!$H$80</f>
        <v>0.08</v>
      </c>
      <c r="N853" s="72">
        <f ca="1">Magick!$K$80</f>
        <v>0.13</v>
      </c>
      <c r="O853" s="72">
        <f ca="1">Magick!$L$80</f>
        <v>0.13</v>
      </c>
      <c r="P853" s="72">
        <f ca="1">Magick!$M$80</f>
        <v>0.13</v>
      </c>
      <c r="Q853" s="67" t="s">
        <v>4602</v>
      </c>
      <c r="R853" s="67">
        <f ca="1">IF(Q853="Ritual","N/A",IF(Q853="I.E.","N/A",IF(Q853="WOG",VLOOKUP(Magick!$I$80*100,magestuff!$B$134:$F$138,2),IF(Q853="Cantrip",VLOOKUP(Magick!$I$80*100,magestuff!$B$134:$F$138,3),IF(Q853="Hex",VLOOKUP(Magick!$I$80*100,magestuff!$B$134:$F$138,4),VLOOKUP(Magick!$I$80*100,magestuff!$B$134:$F$138,5))))))</f>
        <v>19</v>
      </c>
      <c r="S853" s="69" t="str">
        <f>CONCATENATE(IF(Magick!$C$3&gt;0,Magick!$C$3*10," ")," ft.")</f>
        <v xml:space="preserve">  ft.</v>
      </c>
      <c r="T853" s="294" t="str">
        <f>CONCATENATE(IF(Magick!$C$3&gt;0,Magick!$C$3*10," ")," min.")</f>
        <v xml:space="preserve">  min.</v>
      </c>
      <c r="U853" s="67" t="str">
        <f t="shared" si="121"/>
        <v xml:space="preserve"> </v>
      </c>
      <c r="V853" s="515"/>
      <c r="W853" s="125"/>
      <c r="X853" s="31">
        <f t="shared" si="122"/>
        <v>0</v>
      </c>
      <c r="Y853" s="509"/>
      <c r="Z853" s="1054" t="str">
        <f t="shared" si="118"/>
        <v>Lesser Mind Speak</v>
      </c>
      <c r="AA853" s="1072" t="str">
        <f t="shared" si="119"/>
        <v>Transcendental</v>
      </c>
    </row>
    <row r="854" spans="1:27" hidden="1" outlineLevel="1">
      <c r="A854" s="31" t="s">
        <v>1939</v>
      </c>
      <c r="B854" s="67">
        <v>1</v>
      </c>
      <c r="C854" s="67">
        <f ca="1">IF(magestuff!$C$208&lt;1,1,magestuff!$C$208)</f>
        <v>1</v>
      </c>
      <c r="D854" s="67">
        <f t="shared" si="120"/>
        <v>0</v>
      </c>
      <c r="E854" s="77">
        <f ca="1">IF(F854="y",HLOOKUP((IF(C854&lt;1,1,C854)),Magick!$C$20:$L$21,2),NA())</f>
        <v>10</v>
      </c>
      <c r="F854" s="67" t="str">
        <f ca="1">IF(C854&lt;=Magick!$D$3,"Y","N")</f>
        <v>Y</v>
      </c>
      <c r="G854" s="148" t="s">
        <v>128</v>
      </c>
      <c r="H854" s="151"/>
      <c r="I854" s="77" t="e">
        <f>IF(H854&gt;0,(HLOOKUP(C854,Magick!$C$20:$L$21,2)-HLOOKUP(H854,Magick!$C$20:$L$21,2)),NA())</f>
        <v>#N/A</v>
      </c>
      <c r="J854" s="77"/>
      <c r="K854" s="67">
        <v>3</v>
      </c>
      <c r="L854" s="72" t="str">
        <f>IF(H854&gt;0,Magick!$AR$27-('Master Spell List'!H853*0.1),"N/A")</f>
        <v>N/A</v>
      </c>
      <c r="M854" s="72">
        <f ca="1">Magick!$H$80</f>
        <v>0.08</v>
      </c>
      <c r="N854" s="72">
        <f ca="1">Magick!$K$80</f>
        <v>0.13</v>
      </c>
      <c r="O854" s="72">
        <f ca="1">Magick!$L$80</f>
        <v>0.13</v>
      </c>
      <c r="P854" s="72">
        <f ca="1">Magick!$M$80</f>
        <v>0.13</v>
      </c>
      <c r="Q854" s="67" t="s">
        <v>4602</v>
      </c>
      <c r="R854" s="67">
        <f ca="1">IF(Q854="Ritual","N/A",IF(Q854="I.E.","N/A",IF(Q854="WOG",VLOOKUP(Magick!$I$80*100,magestuff!$B$134:$F$138,2),IF(Q854="Cantrip",VLOOKUP(Magick!$I$80*100,magestuff!$B$134:$F$138,3),IF(Q854="Hex",VLOOKUP(Magick!$I$80*100,magestuff!$B$134:$F$138,4),VLOOKUP(Magick!$I$80*100,magestuff!$B$134:$F$138,5))))))</f>
        <v>19</v>
      </c>
      <c r="S854" s="67" t="s">
        <v>1082</v>
      </c>
      <c r="T854" s="294" t="str">
        <f>CONCATENATE(IF(Magick!$C$3&gt;0,45+Magick!$C$3*15," ")," sec.")</f>
        <v xml:space="preserve">  sec.</v>
      </c>
      <c r="U854" s="67" t="str">
        <f t="shared" si="121"/>
        <v xml:space="preserve"> </v>
      </c>
      <c r="V854" s="515"/>
      <c r="W854" s="125"/>
      <c r="X854" s="31">
        <f t="shared" si="122"/>
        <v>0</v>
      </c>
      <c r="Y854" s="509"/>
      <c r="Z854" s="1054" t="str">
        <f t="shared" si="118"/>
        <v>Levitation</v>
      </c>
      <c r="AA854" s="1072" t="str">
        <f t="shared" si="119"/>
        <v>Transcendental</v>
      </c>
    </row>
    <row r="855" spans="1:27" hidden="1" outlineLevel="1">
      <c r="A855" s="31" t="s">
        <v>2354</v>
      </c>
      <c r="B855" s="67">
        <v>1</v>
      </c>
      <c r="C855" s="67">
        <f ca="1">IF(magestuff!$C$208&lt;1,1,magestuff!$C$208)</f>
        <v>1</v>
      </c>
      <c r="D855" s="67">
        <f t="shared" si="120"/>
        <v>0</v>
      </c>
      <c r="E855" s="77">
        <f ca="1">IF(F855="y",HLOOKUP((IF(C855&lt;1,1,C855)),Magick!$C$20:$L$21,2),NA())</f>
        <v>10</v>
      </c>
      <c r="F855" s="67" t="str">
        <f ca="1">IF(C855&lt;=Magick!$D$3,"Y","N")</f>
        <v>Y</v>
      </c>
      <c r="G855" s="148" t="s">
        <v>128</v>
      </c>
      <c r="H855" s="151"/>
      <c r="I855" s="77" t="e">
        <f>IF(H855&gt;0,(HLOOKUP(C855,Magick!$C$20:$L$21,2)-HLOOKUP(H855,Magick!$C$20:$L$21,2)),NA())</f>
        <v>#N/A</v>
      </c>
      <c r="J855" s="77"/>
      <c r="K855" s="67" t="s">
        <v>107</v>
      </c>
      <c r="L855" s="72" t="str">
        <f>IF(H855&gt;0,Magick!$AR$27-('Master Spell List'!H856*0.1),"N/A")</f>
        <v>N/A</v>
      </c>
      <c r="M855" s="72">
        <f ca="1">Magick!$H$80</f>
        <v>0.08</v>
      </c>
      <c r="N855" s="72">
        <f ca="1">Magick!$K$80</f>
        <v>0.13</v>
      </c>
      <c r="O855" s="72">
        <f ca="1">Magick!$L$80</f>
        <v>0.13</v>
      </c>
      <c r="P855" s="72">
        <f ca="1">Magick!$M$80</f>
        <v>0.13</v>
      </c>
      <c r="Q855" s="67" t="s">
        <v>4602</v>
      </c>
      <c r="R855" s="67">
        <f ca="1">IF(Q855="Ritual","N/A",IF(Q855="I.E.","N/A",IF(Q855="WOG",VLOOKUP(Magick!$I$80*100,magestuff!$B$134:$F$138,2),IF(Q855="Cantrip",VLOOKUP(Magick!$I$80*100,magestuff!$B$134:$F$138,3),IF(Q855="Hex",VLOOKUP(Magick!$I$80*100,magestuff!$B$134:$F$138,4),VLOOKUP(Magick!$I$80*100,magestuff!$B$134:$F$138,5))))))</f>
        <v>19</v>
      </c>
      <c r="S855" s="69" t="str">
        <f>CONCATENATE(IF(Magick!$C$3&gt;0,Magick!$C$3*5," ")," ft.")</f>
        <v xml:space="preserve">  ft.</v>
      </c>
      <c r="T855" s="67" t="s">
        <v>1398</v>
      </c>
      <c r="U855" s="67" t="str">
        <f t="shared" si="121"/>
        <v xml:space="preserve"> </v>
      </c>
      <c r="V855" s="515"/>
      <c r="W855" s="125"/>
      <c r="X855" s="31">
        <f t="shared" si="122"/>
        <v>0</v>
      </c>
      <c r="Y855" s="509"/>
      <c r="Z855" s="1054" t="str">
        <f t="shared" si="118"/>
        <v>Move with the Mind</v>
      </c>
      <c r="AA855" s="1072" t="str">
        <f t="shared" si="119"/>
        <v>Transcendental</v>
      </c>
    </row>
    <row r="856" spans="1:27" hidden="1" outlineLevel="1">
      <c r="A856" s="83" t="s">
        <v>1805</v>
      </c>
      <c r="B856" s="67">
        <v>2</v>
      </c>
      <c r="C856" s="67">
        <f ca="1">IF(magestuff!$F$208&lt;1,1,magestuff!$F$208)</f>
        <v>2</v>
      </c>
      <c r="D856" s="67">
        <f t="shared" si="120"/>
        <v>0</v>
      </c>
      <c r="E856" s="77">
        <f ca="1">IF(F856="y",HLOOKUP((IF(C856&lt;1,1,C856)),Magick!$C$20:$L$21,2),NA())</f>
        <v>21</v>
      </c>
      <c r="F856" s="67" t="str">
        <f ca="1">IF(C856&lt;=Magick!$D$3,"Y","N")</f>
        <v>Y</v>
      </c>
      <c r="G856" s="148" t="s">
        <v>859</v>
      </c>
      <c r="H856" s="151"/>
      <c r="I856" s="77" t="e">
        <f>IF(H856&gt;0,(HLOOKUP(C856,Magick!$C$20:$L$21,2)-HLOOKUP(H856,Magick!$C$20:$L$21,2)),NA())</f>
        <v>#N/A</v>
      </c>
      <c r="J856" s="77"/>
      <c r="K856" s="67" t="s">
        <v>2051</v>
      </c>
      <c r="L856" s="72" t="str">
        <f>IF(H856&gt;0,Magick!$AR$27-('Master Spell List'!H869*0.1),"N/A")</f>
        <v>N/A</v>
      </c>
      <c r="M856" s="72">
        <f ca="1">Magick!$H$80</f>
        <v>0.08</v>
      </c>
      <c r="N856" s="72">
        <f ca="1">Magick!$K$80</f>
        <v>0.13</v>
      </c>
      <c r="O856" s="72">
        <f ca="1">Magick!$L$80</f>
        <v>0.13</v>
      </c>
      <c r="P856" s="72">
        <f ca="1">Magick!$M$80</f>
        <v>0.13</v>
      </c>
      <c r="Q856" s="67" t="s">
        <v>2225</v>
      </c>
      <c r="R856" s="67">
        <f ca="1">IF(Q856="Ritual","N/A",IF(Q856="I.E.","N/A",IF(Q856="WOG",VLOOKUP(Magick!$I$80*100,magestuff!$B$134:$F$138,2),IF(Q856="Cantrip",VLOOKUP(Magick!$I$80*100,magestuff!$B$134:$F$138,3),IF(Q856="Hex",VLOOKUP(Magick!$I$80*100,magestuff!$B$134:$F$138,4),VLOOKUP(Magick!$I$80*100,magestuff!$B$134:$F$138,5))))))</f>
        <v>29</v>
      </c>
      <c r="S856" s="69" t="str">
        <f>CONCATENATE(IF(Magick!$C$3&gt;0,Magick!$C$3*5," ")," ft.")</f>
        <v xml:space="preserve">  ft.</v>
      </c>
      <c r="T856" s="294" t="str">
        <f>CONCATENATE(IF(Magick!$C$3&gt;0,Magick!$C$3*15," ")," min.")</f>
        <v xml:space="preserve">  min.</v>
      </c>
      <c r="U856" s="67" t="str">
        <f t="shared" si="121"/>
        <v xml:space="preserve"> </v>
      </c>
      <c r="V856" s="515"/>
      <c r="W856" s="125"/>
      <c r="X856" s="31">
        <f t="shared" si="122"/>
        <v>0</v>
      </c>
      <c r="Y856" s="509"/>
      <c r="Z856" s="1054" t="str">
        <f t="shared" si="118"/>
        <v>Absolute Direction</v>
      </c>
      <c r="AA856" s="1072" t="str">
        <f t="shared" si="119"/>
        <v>Transcendental</v>
      </c>
    </row>
    <row r="857" spans="1:27" hidden="1" outlineLevel="1">
      <c r="A857" s="83" t="s">
        <v>473</v>
      </c>
      <c r="B857" s="67">
        <v>2</v>
      </c>
      <c r="C857" s="67">
        <f ca="1">IF(magestuff!$F$208&lt;1,1,magestuff!$F$208)</f>
        <v>2</v>
      </c>
      <c r="D857" s="67">
        <f t="shared" si="120"/>
        <v>0</v>
      </c>
      <c r="E857" s="77">
        <f ca="1">IF(F857="y",HLOOKUP((IF(C857&lt;1,1,C857)),Magick!$C$20:$L$21,2),NA())</f>
        <v>21</v>
      </c>
      <c r="F857" s="67" t="str">
        <f ca="1">IF(C857&lt;=Magick!$D$3,"Y","N")</f>
        <v>Y</v>
      </c>
      <c r="G857" s="148" t="s">
        <v>859</v>
      </c>
      <c r="H857" s="151"/>
      <c r="I857" s="77" t="e">
        <f>IF(H857&gt;0,(HLOOKUP(C857,Magick!$C$20:$L$21,2)-HLOOKUP(H857,Magick!$C$20:$L$21,2)),NA())</f>
        <v>#N/A</v>
      </c>
      <c r="J857" s="77"/>
      <c r="K857" s="67" t="s">
        <v>106</v>
      </c>
      <c r="L857" s="72" t="str">
        <f>IF(H857&gt;0,Magick!$AR$27-('Master Spell List'!H887*0.1),"N/A")</f>
        <v>N/A</v>
      </c>
      <c r="M857" s="72">
        <f ca="1">Magick!$H$80</f>
        <v>0.08</v>
      </c>
      <c r="N857" s="72">
        <f ca="1">Magick!$K$80</f>
        <v>0.13</v>
      </c>
      <c r="O857" s="72">
        <f ca="1">Magick!$L$80</f>
        <v>0.13</v>
      </c>
      <c r="P857" s="72">
        <f ca="1">Magick!$M$80</f>
        <v>0.13</v>
      </c>
      <c r="Q857" s="67" t="s">
        <v>4603</v>
      </c>
      <c r="R857" s="67">
        <f ca="1">IF(Q857="Ritual","N/A",IF(Q857="I.E.","N/A",IF(Q857="WOG",VLOOKUP(Magick!$I$80*100,magestuff!$B$134:$F$138,2),IF(Q857="Cantrip",VLOOKUP(Magick!$I$80*100,magestuff!$B$134:$F$138,3),IF(Q857="Hex",VLOOKUP(Magick!$I$80*100,magestuff!$B$134:$F$138,4),VLOOKUP(Magick!$I$80*100,magestuff!$B$134:$F$138,5))))))</f>
        <v>9</v>
      </c>
      <c r="S857" s="69" t="str">
        <f>CONCATENATE(IF(Magick!$C$3&gt;0,Magick!$C$3*5," ")," ft.")</f>
        <v xml:space="preserve">  ft.</v>
      </c>
      <c r="T857" s="294" t="str">
        <f>CONCATENATE(IF(Magick!$C$3&gt;0,Magick!$C$3*5," ")," sec.")</f>
        <v xml:space="preserve">  sec.</v>
      </c>
      <c r="U857" s="67" t="str">
        <f t="shared" si="121"/>
        <v xml:space="preserve"> </v>
      </c>
      <c r="V857" s="515"/>
      <c r="W857" s="125"/>
      <c r="X857" s="31">
        <f t="shared" si="122"/>
        <v>0</v>
      </c>
      <c r="Y857" s="509"/>
      <c r="Z857" s="1054" t="str">
        <f t="shared" si="118"/>
        <v>Least Push</v>
      </c>
      <c r="AA857" s="1072" t="str">
        <f t="shared" si="119"/>
        <v>Transcendental</v>
      </c>
    </row>
    <row r="858" spans="1:27" hidden="1" outlineLevel="1">
      <c r="A858" s="83" t="s">
        <v>3873</v>
      </c>
      <c r="B858" s="67">
        <v>2</v>
      </c>
      <c r="C858" s="67">
        <f ca="1">IF(magestuff!$F$208&lt;1,1,magestuff!$F$208)</f>
        <v>2</v>
      </c>
      <c r="D858" s="67">
        <f t="shared" si="120"/>
        <v>0</v>
      </c>
      <c r="E858" s="77">
        <f ca="1">IF(F858="y",HLOOKUP((IF(C858&lt;1,1,C858)),Magick!$C$20:$L$21,2),NA())</f>
        <v>21</v>
      </c>
      <c r="F858" s="67" t="str">
        <f ca="1">IF(C858&lt;=Magick!$D$3,"Y","N")</f>
        <v>Y</v>
      </c>
      <c r="G858" s="148" t="s">
        <v>859</v>
      </c>
      <c r="H858" s="151"/>
      <c r="I858" s="77" t="e">
        <f>IF(H858&gt;0,(HLOOKUP(C858,Magick!$C$20:$L$21,2)-HLOOKUP(H858,Magick!$C$20:$L$21,2)),NA())</f>
        <v>#N/A</v>
      </c>
      <c r="J858" s="77"/>
      <c r="K858" s="67" t="s">
        <v>2225</v>
      </c>
      <c r="L858" s="72" t="str">
        <f>IF(H858&gt;0,Magick!$AR$27-('Master Spell List'!H878*0.1),"N/A")</f>
        <v>N/A</v>
      </c>
      <c r="M858" s="72">
        <f ca="1">Magick!$H$80</f>
        <v>0.08</v>
      </c>
      <c r="N858" s="72">
        <f ca="1">Magick!$K$80</f>
        <v>0.13</v>
      </c>
      <c r="O858" s="72">
        <f ca="1">Magick!$L$80</f>
        <v>0.13</v>
      </c>
      <c r="P858" s="72">
        <f ca="1">Magick!$M$80</f>
        <v>0.13</v>
      </c>
      <c r="Q858" s="67" t="s">
        <v>2225</v>
      </c>
      <c r="R858" s="67">
        <f ca="1">IF(Q858="Ritual","N/A",IF(Q858="I.E.","N/A",IF(Q858="WOG",VLOOKUP(Magick!$I$80*100,magestuff!$B$134:$F$138,2),IF(Q858="Cantrip",VLOOKUP(Magick!$I$80*100,magestuff!$B$134:$F$138,3),IF(Q858="Hex",VLOOKUP(Magick!$I$80*100,magestuff!$B$134:$F$138,4),VLOOKUP(Magick!$I$80*100,magestuff!$B$134:$F$138,5))))))</f>
        <v>29</v>
      </c>
      <c r="S858" s="69" t="str">
        <f>CONCATENATE(IF(Magick!$C$3&gt;0,Magick!$C$3*5," ")," ft.")</f>
        <v xml:space="preserve">  ft.</v>
      </c>
      <c r="T858" s="294" t="str">
        <f>CONCATENATE(IF(Magick!$C$3&gt;0,Magick!$C$3*15," ")," min.")</f>
        <v xml:space="preserve">  min.</v>
      </c>
      <c r="U858" s="67" t="str">
        <f t="shared" si="121"/>
        <v xml:space="preserve"> </v>
      </c>
      <c r="V858" s="515"/>
      <c r="W858" s="125"/>
      <c r="X858" s="31">
        <f t="shared" si="122"/>
        <v>0</v>
      </c>
      <c r="Y858" s="509"/>
      <c r="Z858" s="1054" t="str">
        <f t="shared" si="118"/>
        <v>Lesser Conceal Body Scent</v>
      </c>
      <c r="AA858" s="1072" t="str">
        <f t="shared" si="119"/>
        <v>Transcendental</v>
      </c>
    </row>
    <row r="859" spans="1:27" hidden="1" outlineLevel="1">
      <c r="A859" s="31" t="s">
        <v>1940</v>
      </c>
      <c r="B859" s="67">
        <v>2</v>
      </c>
      <c r="C859" s="67">
        <f ca="1">IF(magestuff!$F$208&lt;1,1,magestuff!$F$208)</f>
        <v>2</v>
      </c>
      <c r="D859" s="67">
        <f t="shared" si="120"/>
        <v>0</v>
      </c>
      <c r="E859" s="77">
        <f ca="1">IF(F859="y",HLOOKUP((IF(C859&lt;1,1,C859)),Magick!$C$20:$L$21,2),NA())</f>
        <v>21</v>
      </c>
      <c r="F859" s="67" t="str">
        <f ca="1">IF(C859&lt;=Magick!$D$3,"Y","N")</f>
        <v>Y</v>
      </c>
      <c r="G859" s="148" t="s">
        <v>128</v>
      </c>
      <c r="H859" s="151"/>
      <c r="I859" s="77" t="e">
        <f>IF(H859&gt;0,(HLOOKUP(C859,Magick!$C$20:$L$21,2)-HLOOKUP(H859,Magick!$C$20:$L$21,2)),NA())</f>
        <v>#N/A</v>
      </c>
      <c r="J859" s="77"/>
      <c r="K859" s="67">
        <v>4</v>
      </c>
      <c r="L859" s="72" t="str">
        <f>IF(H859&gt;0,Magick!$AR$27-('Master Spell List'!H857*0.1),"N/A")</f>
        <v>N/A</v>
      </c>
      <c r="M859" s="72">
        <f ca="1">Magick!$H$80</f>
        <v>0.08</v>
      </c>
      <c r="N859" s="72">
        <f ca="1">Magick!$K$80</f>
        <v>0.13</v>
      </c>
      <c r="O859" s="72">
        <f ca="1">Magick!$L$80</f>
        <v>0.13</v>
      </c>
      <c r="P859" s="72">
        <f ca="1">Magick!$M$80</f>
        <v>0.13</v>
      </c>
      <c r="Q859" s="67" t="s">
        <v>3723</v>
      </c>
      <c r="R859" s="67">
        <f ca="1">IF(Q859="Ritual","N/A",IF(Q859="I.E.","N/A",IF(Q859="WOG",VLOOKUP(Magick!$I$80*100,magestuff!$B$134:$F$138,2),IF(Q859="Cantrip",VLOOKUP(Magick!$I$80*100,magestuff!$B$134:$F$138,3),IF(Q859="Hex",VLOOKUP(Magick!$I$80*100,magestuff!$B$134:$F$138,4),VLOOKUP(Magick!$I$80*100,magestuff!$B$134:$F$138,5))))))</f>
        <v>29</v>
      </c>
      <c r="S859" s="67" t="s">
        <v>1082</v>
      </c>
      <c r="T859" s="294" t="str">
        <f>CONCATENATE(IF(Magick!$C$3&gt;0,Magick!$C$3," ")," days")</f>
        <v xml:space="preserve">  days</v>
      </c>
      <c r="U859" s="67" t="str">
        <f t="shared" si="121"/>
        <v xml:space="preserve"> </v>
      </c>
      <c r="V859" s="515"/>
      <c r="W859" s="125"/>
      <c r="X859" s="31">
        <f t="shared" si="122"/>
        <v>0</v>
      </c>
      <c r="Y859" s="509"/>
      <c r="Z859" s="1054" t="str">
        <f t="shared" si="118"/>
        <v>Sleep of the Dead</v>
      </c>
      <c r="AA859" s="1072" t="str">
        <f t="shared" si="119"/>
        <v>Transcendental</v>
      </c>
    </row>
    <row r="860" spans="1:27" hidden="1" outlineLevel="1">
      <c r="A860" s="31" t="s">
        <v>1941</v>
      </c>
      <c r="B860" s="67">
        <v>2</v>
      </c>
      <c r="C860" s="67">
        <f ca="1">IF(magestuff!$F$208&lt;1,1,magestuff!$F$208)</f>
        <v>2</v>
      </c>
      <c r="D860" s="67">
        <f t="shared" si="120"/>
        <v>0</v>
      </c>
      <c r="E860" s="77">
        <f ca="1">IF(F860="y",HLOOKUP((IF(C860&lt;1,1,C860)),Magick!$C$20:$L$21,2),NA())</f>
        <v>21</v>
      </c>
      <c r="F860" s="67" t="str">
        <f ca="1">IF(C860&lt;=Magick!$D$3,"Y","N")</f>
        <v>Y</v>
      </c>
      <c r="G860" s="148" t="s">
        <v>128</v>
      </c>
      <c r="H860" s="151"/>
      <c r="I860" s="77" t="e">
        <f>IF(H860&gt;0,(HLOOKUP(C860,Magick!$C$20:$L$21,2)-HLOOKUP(H860,Magick!$C$20:$L$21,2)),NA())</f>
        <v>#N/A</v>
      </c>
      <c r="J860" s="77"/>
      <c r="K860" s="67">
        <v>4</v>
      </c>
      <c r="L860" s="72" t="str">
        <f>IF(H860&gt;0,Magick!$AR$27-('Master Spell List'!H858*0.1),"N/A")</f>
        <v>N/A</v>
      </c>
      <c r="M860" s="72">
        <f ca="1">Magick!$H$80</f>
        <v>0.08</v>
      </c>
      <c r="N860" s="72">
        <f ca="1">Magick!$K$80</f>
        <v>0.13</v>
      </c>
      <c r="O860" s="72">
        <f ca="1">Magick!$L$80</f>
        <v>0.13</v>
      </c>
      <c r="P860" s="72">
        <f ca="1">Magick!$M$80</f>
        <v>0.13</v>
      </c>
      <c r="Q860" s="67" t="s">
        <v>3723</v>
      </c>
      <c r="R860" s="67">
        <f ca="1">IF(Q860="Ritual","N/A",IF(Q860="I.E.","N/A",IF(Q860="WOG",VLOOKUP(Magick!$I$80*100,magestuff!$B$134:$F$138,2),IF(Q860="Cantrip",VLOOKUP(Magick!$I$80*100,magestuff!$B$134:$F$138,3),IF(Q860="Hex",VLOOKUP(Magick!$I$80*100,magestuff!$B$134:$F$138,4),VLOOKUP(Magick!$I$80*100,magestuff!$B$134:$F$138,5))))))</f>
        <v>29</v>
      </c>
      <c r="S860" s="67" t="s">
        <v>1082</v>
      </c>
      <c r="T860" s="294" t="str">
        <f>CONCATENATE(IF(Magick!$C$3&gt;0,45+Magick!$C$3*15," ")," sec.")</f>
        <v xml:space="preserve">  sec.</v>
      </c>
      <c r="U860" s="67" t="str">
        <f t="shared" si="121"/>
        <v xml:space="preserve"> </v>
      </c>
      <c r="V860" s="515"/>
      <c r="W860" s="125"/>
      <c r="X860" s="31">
        <f t="shared" si="122"/>
        <v>0</v>
      </c>
      <c r="Y860" s="509"/>
      <c r="Z860" s="1054" t="str">
        <f t="shared" si="118"/>
        <v>Trance</v>
      </c>
      <c r="AA860" s="1072" t="str">
        <f t="shared" si="119"/>
        <v>Transcendental</v>
      </c>
    </row>
    <row r="861" spans="1:27" hidden="1" outlineLevel="1">
      <c r="A861" s="31" t="s">
        <v>5441</v>
      </c>
      <c r="B861" s="67">
        <v>3</v>
      </c>
      <c r="C861" s="67">
        <f ca="1">IF(magestuff!$I$208&lt;1,1,magestuff!$I$208)</f>
        <v>3</v>
      </c>
      <c r="D861" s="67">
        <f t="shared" si="120"/>
        <v>0</v>
      </c>
      <c r="E861" s="77" t="e">
        <f ca="1">IF(F861="y",HLOOKUP((IF(C861&lt;1,1,C861)),Magick!$C$20:$L$21,2),NA())</f>
        <v>#N/A</v>
      </c>
      <c r="F861" s="67" t="str">
        <f ca="1">IF(C861&lt;=Magick!$D$3,"Y","N")</f>
        <v>N</v>
      </c>
      <c r="G861" s="148" t="s">
        <v>128</v>
      </c>
      <c r="H861" s="151"/>
      <c r="I861" s="77" t="e">
        <f>IF(H861&gt;0,(HLOOKUP(C861,Magick!$C$20:$L$21,2)-HLOOKUP(H861,Magick!$C$20:$L$21,2)),NA())</f>
        <v>#N/A</v>
      </c>
      <c r="J861" s="77"/>
      <c r="K861" s="67">
        <v>4</v>
      </c>
      <c r="L861" s="72" t="str">
        <f>IF(H861&gt;0,Magick!$AR$27-('Master Spell List'!H859*0.1),"N/A")</f>
        <v>N/A</v>
      </c>
      <c r="M861" s="72">
        <f ca="1">Magick!$H$80</f>
        <v>0.08</v>
      </c>
      <c r="N861" s="72">
        <f ca="1">Magick!$K$80</f>
        <v>0.13</v>
      </c>
      <c r="O861" s="72">
        <f ca="1">Magick!$L$80</f>
        <v>0.13</v>
      </c>
      <c r="P861" s="72">
        <f ca="1">Magick!$M$80</f>
        <v>0.13</v>
      </c>
      <c r="Q861" s="67" t="s">
        <v>4602</v>
      </c>
      <c r="R861" s="67">
        <f ca="1">IF(Q861="Ritual","N/A",IF(Q861="I.E.","N/A",IF(Q861="WOG",VLOOKUP(Magick!$I$80*100,magestuff!$B$134:$F$138,2),IF(Q861="Cantrip",VLOOKUP(Magick!$I$80*100,magestuff!$B$134:$F$138,3),IF(Q861="Hex",VLOOKUP(Magick!$I$80*100,magestuff!$B$134:$F$138,4),VLOOKUP(Magick!$I$80*100,magestuff!$B$134:$F$138,5))))))</f>
        <v>19</v>
      </c>
      <c r="S861" s="69">
        <f>3*Magick!$C$3</f>
        <v>0</v>
      </c>
      <c r="T861" s="67" t="s">
        <v>4269</v>
      </c>
      <c r="U861" s="67" t="str">
        <f t="shared" si="121"/>
        <v xml:space="preserve"> </v>
      </c>
      <c r="V861" s="515"/>
      <c r="W861" s="125"/>
      <c r="X861" s="31">
        <f t="shared" si="122"/>
        <v>0</v>
      </c>
      <c r="Y861" s="509"/>
      <c r="Z861" s="1054" t="str">
        <f t="shared" si="118"/>
        <v>Deflect Missile</v>
      </c>
      <c r="AA861" s="1072" t="str">
        <f t="shared" si="119"/>
        <v>Transcendental</v>
      </c>
    </row>
    <row r="862" spans="1:27" hidden="1" outlineLevel="1">
      <c r="A862" s="83" t="s">
        <v>2715</v>
      </c>
      <c r="B862" s="67">
        <v>3</v>
      </c>
      <c r="C862" s="67">
        <f ca="1">IF(magestuff!$I$208&lt;1,1,magestuff!$I$208)</f>
        <v>3</v>
      </c>
      <c r="D862" s="67">
        <f t="shared" si="120"/>
        <v>0</v>
      </c>
      <c r="E862" s="77" t="e">
        <f ca="1">IF(F862="y",HLOOKUP((IF(C862&lt;1,1,C862)),Magick!$C$20:$L$21,2),NA())</f>
        <v>#N/A</v>
      </c>
      <c r="F862" s="67" t="str">
        <f ca="1">IF(C862&lt;=Magick!$D$3,"Y","N")</f>
        <v>N</v>
      </c>
      <c r="G862" s="148" t="s">
        <v>859</v>
      </c>
      <c r="H862" s="151"/>
      <c r="I862" s="77" t="e">
        <f>IF(H862&gt;0,(HLOOKUP(C862,Magick!$C$20:$L$21,2)-HLOOKUP(H862,Magick!$C$20:$L$21,2)),NA())</f>
        <v>#N/A</v>
      </c>
      <c r="J862" s="77"/>
      <c r="K862" s="67" t="s">
        <v>2225</v>
      </c>
      <c r="L862" s="72" t="str">
        <f>IF(H862&gt;0,Magick!$AR$27-('Master Spell List'!H868*0.1),"N/A")</f>
        <v>N/A</v>
      </c>
      <c r="M862" s="72">
        <f ca="1">Magick!$H$80</f>
        <v>0.08</v>
      </c>
      <c r="N862" s="72">
        <f ca="1">Magick!$K$80</f>
        <v>0.13</v>
      </c>
      <c r="O862" s="72">
        <f ca="1">Magick!$L$80</f>
        <v>0.13</v>
      </c>
      <c r="P862" s="72">
        <f ca="1">Magick!$M$80</f>
        <v>0.13</v>
      </c>
      <c r="Q862" s="67" t="s">
        <v>2225</v>
      </c>
      <c r="R862" s="67">
        <f ca="1">IF(Q862="Ritual","N/A",IF(Q862="I.E.","N/A",IF(Q862="WOG",VLOOKUP(Magick!$I$80*100,magestuff!$B$134:$F$138,2),IF(Q862="Cantrip",VLOOKUP(Magick!$I$80*100,magestuff!$B$134:$F$138,3),IF(Q862="Hex",VLOOKUP(Magick!$I$80*100,magestuff!$B$134:$F$138,4),VLOOKUP(Magick!$I$80*100,magestuff!$B$134:$F$138,5))))))</f>
        <v>29</v>
      </c>
      <c r="S862" s="69" t="str">
        <f>CONCATENATE(IF(Magick!$C$3&gt;0,Magick!$C$3*5," ")," ft.")</f>
        <v xml:space="preserve">  ft.</v>
      </c>
      <c r="T862" s="294" t="str">
        <f>CONCATENATE(IF(Magick!$C$3&gt;0,Magick!$C$3*15," ")," min.")</f>
        <v xml:space="preserve">  min.</v>
      </c>
      <c r="U862" s="67" t="str">
        <f t="shared" si="121"/>
        <v xml:space="preserve"> </v>
      </c>
      <c r="V862" s="515"/>
      <c r="W862" s="125"/>
      <c r="X862" s="31">
        <f t="shared" si="122"/>
        <v>0</v>
      </c>
      <c r="Y862" s="509"/>
      <c r="Z862" s="1054" t="str">
        <f t="shared" si="118"/>
        <v>Dream Awareness (Participation)</v>
      </c>
      <c r="AA862" s="1072" t="str">
        <f t="shared" si="119"/>
        <v>Transcendental</v>
      </c>
    </row>
    <row r="863" spans="1:27" hidden="1" outlineLevel="1">
      <c r="A863" s="31" t="s">
        <v>3671</v>
      </c>
      <c r="B863" s="67">
        <v>3</v>
      </c>
      <c r="C863" s="67">
        <f ca="1">IF(magestuff!$I$208&lt;1,1,magestuff!$I$208)</f>
        <v>3</v>
      </c>
      <c r="D863" s="67">
        <f t="shared" si="120"/>
        <v>0</v>
      </c>
      <c r="E863" s="77" t="e">
        <f ca="1">IF(F863="y",HLOOKUP((IF(C863&lt;1,1,C863)),Magick!$C$20:$L$21,2),NA())</f>
        <v>#N/A</v>
      </c>
      <c r="F863" s="67" t="str">
        <f ca="1">IF(C863&lt;=Magick!$D$3,"Y","N")</f>
        <v>N</v>
      </c>
      <c r="G863" s="148" t="s">
        <v>128</v>
      </c>
      <c r="H863" s="151"/>
      <c r="I863" s="77" t="e">
        <f>IF(H863&gt;0,(HLOOKUP(C863,Magick!$C$20:$L$21,2)-HLOOKUP(H863,Magick!$C$20:$L$21,2)),NA())</f>
        <v>#N/A</v>
      </c>
      <c r="J863" s="77"/>
      <c r="K863" s="67">
        <v>5</v>
      </c>
      <c r="L863" s="72" t="str">
        <f>IF(H863&gt;0,Magick!$AR$27-('Master Spell List'!H855*0.1),"N/A")</f>
        <v>N/A</v>
      </c>
      <c r="M863" s="72">
        <f ca="1">Magick!$H$80</f>
        <v>0.08</v>
      </c>
      <c r="N863" s="72">
        <f ca="1">Magick!$K$80</f>
        <v>0.13</v>
      </c>
      <c r="O863" s="72">
        <f ca="1">Magick!$L$80</f>
        <v>0.13</v>
      </c>
      <c r="P863" s="72">
        <f ca="1">Magick!$M$80</f>
        <v>0.13</v>
      </c>
      <c r="Q863" s="67" t="s">
        <v>4602</v>
      </c>
      <c r="R863" s="67">
        <f ca="1">IF(Q863="Ritual","N/A",IF(Q863="I.E.","N/A",IF(Q863="WOG",VLOOKUP(Magick!$I$80*100,magestuff!$B$134:$F$138,2),IF(Q863="Cantrip",VLOOKUP(Magick!$I$80*100,magestuff!$B$134:$F$138,3),IF(Q863="Hex",VLOOKUP(Magick!$I$80*100,magestuff!$B$134:$F$138,4),VLOOKUP(Magick!$I$80*100,magestuff!$B$134:$F$138,5))))))</f>
        <v>19</v>
      </c>
      <c r="S863" s="69" t="str">
        <f>CONCATENATE(IF(Magick!$C$3&gt;0,Magick!$C$3*0.25," ")," mi.")</f>
        <v xml:space="preserve">  mi.</v>
      </c>
      <c r="T863" s="294" t="str">
        <f>CONCATENATE(IF(Magick!$C$3&gt;0,Magick!$C$3*10," ")," min.")</f>
        <v xml:space="preserve">  min.</v>
      </c>
      <c r="U863" s="67" t="str">
        <f t="shared" si="121"/>
        <v xml:space="preserve"> </v>
      </c>
      <c r="V863" s="515"/>
      <c r="W863" s="125"/>
      <c r="X863" s="31">
        <f t="shared" si="122"/>
        <v>0</v>
      </c>
      <c r="Y863" s="509"/>
      <c r="Z863" s="1054" t="str">
        <f t="shared" si="118"/>
        <v>Greater Mind Speak</v>
      </c>
      <c r="AA863" s="1072" t="str">
        <f t="shared" si="119"/>
        <v>Transcendental</v>
      </c>
    </row>
    <row r="864" spans="1:27" hidden="1" outlineLevel="1">
      <c r="A864" s="83" t="s">
        <v>468</v>
      </c>
      <c r="B864" s="67">
        <v>3</v>
      </c>
      <c r="C864" s="67">
        <f ca="1">IF(magestuff!$I$208&lt;1,1,magestuff!$I$208)</f>
        <v>3</v>
      </c>
      <c r="D864" s="67">
        <f t="shared" si="120"/>
        <v>0</v>
      </c>
      <c r="E864" s="77" t="e">
        <f ca="1">IF(F864="y",HLOOKUP((IF(C864&lt;1,1,C864)),Magick!$C$20:$L$21,2),NA())</f>
        <v>#N/A</v>
      </c>
      <c r="F864" s="67" t="str">
        <f ca="1">IF(C864&lt;=Magick!$D$3,"Y","N")</f>
        <v>N</v>
      </c>
      <c r="G864" s="148" t="s">
        <v>859</v>
      </c>
      <c r="H864" s="151"/>
      <c r="I864" s="77" t="e">
        <f>IF(H864&gt;0,(HLOOKUP(C864,Magick!$C$20:$L$21,2)-HLOOKUP(H864,Magick!$C$20:$L$21,2)),NA())</f>
        <v>#N/A</v>
      </c>
      <c r="J864" s="77"/>
      <c r="K864" s="67" t="s">
        <v>2053</v>
      </c>
      <c r="L864" s="72" t="str">
        <f>IF(H864&gt;0,Magick!$AR$27-('Master Spell List'!H882*0.1),"N/A")</f>
        <v>N/A</v>
      </c>
      <c r="M864" s="72">
        <f ca="1">Magick!$H$80</f>
        <v>0.08</v>
      </c>
      <c r="N864" s="72">
        <f ca="1">Magick!$K$80</f>
        <v>0.13</v>
      </c>
      <c r="O864" s="72">
        <f ca="1">Magick!$L$80</f>
        <v>0.13</v>
      </c>
      <c r="P864" s="72">
        <f ca="1">Magick!$M$80</f>
        <v>0.13</v>
      </c>
      <c r="Q864" s="67" t="s">
        <v>4603</v>
      </c>
      <c r="R864" s="67">
        <f ca="1">IF(Q864="Ritual","N/A",IF(Q864="I.E.","N/A",IF(Q864="WOG",VLOOKUP(Magick!$I$80*100,magestuff!$B$134:$F$138,2),IF(Q864="Cantrip",VLOOKUP(Magick!$I$80*100,magestuff!$B$134:$F$138,3),IF(Q864="Hex",VLOOKUP(Magick!$I$80*100,magestuff!$B$134:$F$138,4),VLOOKUP(Magick!$I$80*100,magestuff!$B$134:$F$138,5))))))</f>
        <v>9</v>
      </c>
      <c r="S864" s="69" t="str">
        <f>CONCATENATE(IF(Magick!$C$3&gt;0,Magick!$C$3*5," ")," ft.")</f>
        <v xml:space="preserve">  ft.</v>
      </c>
      <c r="T864" s="294" t="str">
        <f>CONCATENATE(IF(Magick!$C$3&gt;0,Magick!$C$3*5," ")," sec.")</f>
        <v xml:space="preserve">  sec.</v>
      </c>
      <c r="U864" s="67" t="str">
        <f t="shared" si="121"/>
        <v xml:space="preserve"> </v>
      </c>
      <c r="V864" s="515"/>
      <c r="W864" s="125"/>
      <c r="X864" s="31">
        <f t="shared" si="122"/>
        <v>0</v>
      </c>
      <c r="Y864" s="509"/>
      <c r="Z864" s="1054" t="str">
        <f t="shared" si="118"/>
        <v>Least Pull</v>
      </c>
      <c r="AA864" s="1072" t="str">
        <f t="shared" si="119"/>
        <v>Transcendental</v>
      </c>
    </row>
    <row r="865" spans="1:27" hidden="1" outlineLevel="1">
      <c r="A865" s="83" t="s">
        <v>474</v>
      </c>
      <c r="B865" s="67">
        <v>3</v>
      </c>
      <c r="C865" s="67">
        <f ca="1">IF(magestuff!$I$208&lt;1,1,magestuff!$I$208)</f>
        <v>3</v>
      </c>
      <c r="D865" s="67">
        <f t="shared" si="120"/>
        <v>0</v>
      </c>
      <c r="E865" s="77" t="e">
        <f ca="1">IF(F865="y",HLOOKUP((IF(C865&lt;1,1,C865)),Magick!$C$20:$L$21,2),NA())</f>
        <v>#N/A</v>
      </c>
      <c r="F865" s="67" t="str">
        <f ca="1">IF(C865&lt;=Magick!$D$3,"Y","N")</f>
        <v>N</v>
      </c>
      <c r="G865" s="148" t="s">
        <v>859</v>
      </c>
      <c r="H865" s="151"/>
      <c r="I865" s="77" t="e">
        <f>IF(H865&gt;0,(HLOOKUP(C865,Magick!$C$20:$L$21,2)-HLOOKUP(H865,Magick!$C$20:$L$21,2)),NA())</f>
        <v>#N/A</v>
      </c>
      <c r="J865" s="77"/>
      <c r="K865" s="67" t="s">
        <v>2051</v>
      </c>
      <c r="L865" s="72" t="str">
        <f>IF(H865&gt;0,Magick!$AR$27-('Master Spell List'!H888*0.1),"N/A")</f>
        <v>N/A</v>
      </c>
      <c r="M865" s="72">
        <f ca="1">Magick!$H$80</f>
        <v>0.08</v>
      </c>
      <c r="N865" s="72">
        <f ca="1">Magick!$K$80</f>
        <v>0.13</v>
      </c>
      <c r="O865" s="72">
        <f ca="1">Magick!$L$80</f>
        <v>0.13</v>
      </c>
      <c r="P865" s="72">
        <f ca="1">Magick!$M$80</f>
        <v>0.13</v>
      </c>
      <c r="Q865" s="67" t="s">
        <v>4603</v>
      </c>
      <c r="R865" s="67">
        <f ca="1">IF(Q865="Ritual","N/A",IF(Q865="I.E.","N/A",IF(Q865="WOG",VLOOKUP(Magick!$I$80*100,magestuff!$B$134:$F$138,2),IF(Q865="Cantrip",VLOOKUP(Magick!$I$80*100,magestuff!$B$134:$F$138,3),IF(Q865="Hex",VLOOKUP(Magick!$I$80*100,magestuff!$B$134:$F$138,4),VLOOKUP(Magick!$I$80*100,magestuff!$B$134:$F$138,5))))))</f>
        <v>9</v>
      </c>
      <c r="S865" s="69" t="str">
        <f>CONCATENATE(IF(Magick!$C$3&gt;0,Magick!$C$3*10," ")," ft.")</f>
        <v xml:space="preserve">  ft.</v>
      </c>
      <c r="T865" s="294" t="str">
        <f>CONCATENATE(IF(Magick!$C$3&gt;0,Magick!$C$3*10," ")," sec.")</f>
        <v xml:space="preserve">  sec.</v>
      </c>
      <c r="U865" s="67" t="str">
        <f t="shared" si="121"/>
        <v xml:space="preserve"> </v>
      </c>
      <c r="V865" s="515"/>
      <c r="W865" s="125"/>
      <c r="X865" s="31">
        <f t="shared" si="122"/>
        <v>0</v>
      </c>
      <c r="Y865" s="509"/>
      <c r="Z865" s="1054" t="str">
        <f t="shared" si="118"/>
        <v>Lesser Push</v>
      </c>
      <c r="AA865" s="1072" t="str">
        <f t="shared" si="119"/>
        <v>Transcendental</v>
      </c>
    </row>
    <row r="866" spans="1:27" hidden="1" outlineLevel="1">
      <c r="A866" s="83" t="s">
        <v>1807</v>
      </c>
      <c r="B866" s="67">
        <v>4</v>
      </c>
      <c r="C866" s="67">
        <f ca="1">magestuff!$L$208</f>
        <v>4</v>
      </c>
      <c r="D866" s="67">
        <f t="shared" si="120"/>
        <v>0</v>
      </c>
      <c r="E866" s="77" t="e">
        <f ca="1">IF(F866="y",HLOOKUP((IF(C866&lt;1,1,C866)),Magick!$C$20:$L$21,2),NA())</f>
        <v>#N/A</v>
      </c>
      <c r="F866" s="67" t="str">
        <f ca="1">IF(C866&lt;=Magick!$D$3,"Y","N")</f>
        <v>N</v>
      </c>
      <c r="G866" s="148" t="s">
        <v>859</v>
      </c>
      <c r="H866" s="151"/>
      <c r="I866" s="77" t="e">
        <f>IF(H866&gt;0,(HLOOKUP(C866,Magick!$C$20:$L$21,2)-HLOOKUP(H866,Magick!$C$20:$L$21,2)),NA())</f>
        <v>#N/A</v>
      </c>
      <c r="J866" s="77"/>
      <c r="K866" s="67" t="s">
        <v>2225</v>
      </c>
      <c r="L866" s="72" t="str">
        <f>IF(H866&gt;0,Magick!$AR$27-('Master Spell List'!H871*0.1),"N/A")</f>
        <v>N/A</v>
      </c>
      <c r="M866" s="72">
        <f ca="1">Magick!$H$80</f>
        <v>0.08</v>
      </c>
      <c r="N866" s="72">
        <f ca="1">Magick!$K$80</f>
        <v>0.13</v>
      </c>
      <c r="O866" s="72">
        <f ca="1">Magick!$L$80</f>
        <v>0.13</v>
      </c>
      <c r="P866" s="72">
        <f ca="1">Magick!$M$80</f>
        <v>0.13</v>
      </c>
      <c r="Q866" s="67" t="s">
        <v>2225</v>
      </c>
      <c r="R866" s="67">
        <f ca="1">IF(Q866="Ritual","N/A",IF(Q866="I.E.","N/A",IF(Q866="WOG",VLOOKUP(Magick!$I$80*100,magestuff!$B$134:$F$138,2),IF(Q866="Cantrip",VLOOKUP(Magick!$I$80*100,magestuff!$B$134:$F$138,3),IF(Q866="Hex",VLOOKUP(Magick!$I$80*100,magestuff!$B$134:$F$138,4),VLOOKUP(Magick!$I$80*100,magestuff!$B$134:$F$138,5))))))</f>
        <v>29</v>
      </c>
      <c r="S866" s="69" t="str">
        <f>CONCATENATE(IF(Magick!$C$3&gt;0,Magick!$C$3*5," ")," ft.")</f>
        <v xml:space="preserve">  ft.</v>
      </c>
      <c r="T866" s="294" t="str">
        <f>CONCATENATE(IF(Magick!$C$3&gt;0,Magick!$C$3*15," ")," min.")</f>
        <v xml:space="preserve">  min.</v>
      </c>
      <c r="U866" s="67" t="str">
        <f t="shared" si="121"/>
        <v xml:space="preserve"> </v>
      </c>
      <c r="V866" s="515"/>
      <c r="W866" s="125"/>
      <c r="X866" s="31">
        <f t="shared" si="122"/>
        <v>0</v>
      </c>
      <c r="Y866" s="509"/>
      <c r="Z866" s="1054" t="str">
        <f t="shared" si="118"/>
        <v>Ambidexterity</v>
      </c>
      <c r="AA866" s="1072" t="str">
        <f t="shared" si="119"/>
        <v>Transcendental</v>
      </c>
    </row>
    <row r="867" spans="1:27" hidden="1" outlineLevel="1">
      <c r="A867" s="31" t="s">
        <v>5442</v>
      </c>
      <c r="B867" s="67">
        <v>4</v>
      </c>
      <c r="C867" s="67">
        <f ca="1">magestuff!$L$208</f>
        <v>4</v>
      </c>
      <c r="D867" s="67">
        <f t="shared" si="120"/>
        <v>0</v>
      </c>
      <c r="E867" s="77" t="e">
        <f ca="1">IF(F867="y",HLOOKUP((IF(C867&lt;1,1,C867)),Magick!$C$20:$L$21,2),NA())</f>
        <v>#N/A</v>
      </c>
      <c r="F867" s="67" t="str">
        <f ca="1">IF(C867&lt;=Magick!$D$3,"Y","N")</f>
        <v>N</v>
      </c>
      <c r="G867" s="148" t="s">
        <v>128</v>
      </c>
      <c r="H867" s="151"/>
      <c r="I867" s="77" t="e">
        <f>IF(H867&gt;0,(HLOOKUP(C867,Magick!$C$20:$L$21,2)-HLOOKUP(H867,Magick!$C$20:$L$21,2)),NA())</f>
        <v>#N/A</v>
      </c>
      <c r="J867" s="77"/>
      <c r="K867" s="67">
        <v>7</v>
      </c>
      <c r="L867" s="72" t="str">
        <f>IF(H867&gt;0,Magick!$AR$27-('Master Spell List'!H860*0.1),"N/A")</f>
        <v>N/A</v>
      </c>
      <c r="M867" s="72">
        <f ca="1">Magick!$H$80</f>
        <v>0.08</v>
      </c>
      <c r="N867" s="72">
        <f ca="1">Magick!$K$80</f>
        <v>0.13</v>
      </c>
      <c r="O867" s="72">
        <f ca="1">Magick!$L$80</f>
        <v>0.13</v>
      </c>
      <c r="P867" s="72">
        <f ca="1">Magick!$M$80</f>
        <v>0.13</v>
      </c>
      <c r="Q867" s="67" t="s">
        <v>4602</v>
      </c>
      <c r="R867" s="67">
        <f ca="1">IF(Q867="Ritual","N/A",IF(Q867="I.E.","N/A",IF(Q867="WOG",VLOOKUP(Magick!$I$80*100,magestuff!$B$134:$F$138,2),IF(Q867="Cantrip",VLOOKUP(Magick!$I$80*100,magestuff!$B$134:$F$138,3),IF(Q867="Hex",VLOOKUP(Magick!$I$80*100,magestuff!$B$134:$F$138,4),VLOOKUP(Magick!$I$80*100,magestuff!$B$134:$F$138,5))))))</f>
        <v>19</v>
      </c>
      <c r="S867" s="67" t="s">
        <v>1082</v>
      </c>
      <c r="T867" s="294" t="str">
        <f>CONCATENATE(IF(Magick!$C$3&gt;0,Magick!$C$3*6," ")," min.")</f>
        <v xml:space="preserve">  min.</v>
      </c>
      <c r="U867" s="67" t="str">
        <f t="shared" si="121"/>
        <v xml:space="preserve"> </v>
      </c>
      <c r="V867" s="515"/>
      <c r="W867" s="125"/>
      <c r="X867" s="31">
        <f t="shared" si="122"/>
        <v>0</v>
      </c>
      <c r="Y867" s="509"/>
      <c r="Z867" s="1054" t="str">
        <f t="shared" si="118"/>
        <v>Fly</v>
      </c>
      <c r="AA867" s="1072" t="str">
        <f t="shared" si="119"/>
        <v>Transcendental</v>
      </c>
    </row>
    <row r="868" spans="1:27" hidden="1" outlineLevel="1">
      <c r="A868" s="83" t="s">
        <v>242</v>
      </c>
      <c r="B868" s="67">
        <v>4</v>
      </c>
      <c r="C868" s="67">
        <f ca="1">magestuff!$L$208</f>
        <v>4</v>
      </c>
      <c r="D868" s="67">
        <f t="shared" si="120"/>
        <v>0</v>
      </c>
      <c r="E868" s="77" t="e">
        <f ca="1">IF(F868="y",HLOOKUP((IF(C868&lt;1,1,C868)),Magick!$C$20:$L$21,2),NA())</f>
        <v>#N/A</v>
      </c>
      <c r="F868" s="67" t="str">
        <f ca="1">IF(C868&lt;=Magick!$D$3,"Y","N")</f>
        <v>N</v>
      </c>
      <c r="G868" s="148" t="s">
        <v>859</v>
      </c>
      <c r="H868" s="151"/>
      <c r="I868" s="77" t="e">
        <f>IF(H868&gt;0,(HLOOKUP(C868,Magick!$C$20:$L$21,2)-HLOOKUP(H868,Magick!$C$20:$L$21,2)),NA())</f>
        <v>#N/A</v>
      </c>
      <c r="J868" s="77"/>
      <c r="K868" s="67" t="s">
        <v>2225</v>
      </c>
      <c r="L868" s="72" t="str">
        <f>IF(H868&gt;0,Magick!$AR$27-('Master Spell List'!H879*0.1),"N/A")</f>
        <v>N/A</v>
      </c>
      <c r="M868" s="72">
        <f ca="1">Magick!$H$80</f>
        <v>0.08</v>
      </c>
      <c r="N868" s="72">
        <f ca="1">Magick!$K$80</f>
        <v>0.13</v>
      </c>
      <c r="O868" s="72">
        <f ca="1">Magick!$L$80</f>
        <v>0.13</v>
      </c>
      <c r="P868" s="72">
        <f ca="1">Magick!$M$80</f>
        <v>0.13</v>
      </c>
      <c r="Q868" s="67" t="s">
        <v>2225</v>
      </c>
      <c r="R868" s="67">
        <f ca="1">IF(Q868="Ritual","N/A",IF(Q868="I.E.","N/A",IF(Q868="WOG",VLOOKUP(Magick!$I$80*100,magestuff!$B$134:$F$138,2),IF(Q868="Cantrip",VLOOKUP(Magick!$I$80*100,magestuff!$B$134:$F$138,3),IF(Q868="Hex",VLOOKUP(Magick!$I$80*100,magestuff!$B$134:$F$138,4),VLOOKUP(Magick!$I$80*100,magestuff!$B$134:$F$138,5))))))</f>
        <v>29</v>
      </c>
      <c r="S868" s="69" t="str">
        <f>CONCATENATE(IF(Magick!$C$3&gt;0,Magick!$C$3*5," ")," ft.")</f>
        <v xml:space="preserve">  ft.</v>
      </c>
      <c r="T868" s="294" t="str">
        <f>CONCATENATE(IF(Magick!$C$3&gt;0,Magick!$C$3*15," ")," min.")</f>
        <v xml:space="preserve">  min.</v>
      </c>
      <c r="U868" s="67" t="str">
        <f t="shared" si="121"/>
        <v xml:space="preserve"> </v>
      </c>
      <c r="V868" s="515"/>
      <c r="W868" s="125"/>
      <c r="X868" s="31">
        <f t="shared" si="122"/>
        <v>0</v>
      </c>
      <c r="Y868" s="509"/>
      <c r="Z868" s="1054" t="str">
        <f t="shared" si="118"/>
        <v>Greater Conceal Body Scent</v>
      </c>
      <c r="AA868" s="1072" t="str">
        <f t="shared" si="119"/>
        <v>Transcendental</v>
      </c>
    </row>
    <row r="869" spans="1:27" hidden="1" outlineLevel="1">
      <c r="A869" s="83" t="s">
        <v>1806</v>
      </c>
      <c r="B869" s="67">
        <v>4</v>
      </c>
      <c r="C869" s="67">
        <f ca="1">magestuff!$L$208</f>
        <v>4</v>
      </c>
      <c r="D869" s="67">
        <f t="shared" si="120"/>
        <v>0</v>
      </c>
      <c r="E869" s="77" t="e">
        <f ca="1">IF(F869="y",HLOOKUP((IF(C869&lt;1,1,C869)),Magick!$C$20:$L$21,2),NA())</f>
        <v>#N/A</v>
      </c>
      <c r="F869" s="67" t="str">
        <f ca="1">IF(C869&lt;=Magick!$D$3,"Y","N")</f>
        <v>N</v>
      </c>
      <c r="G869" s="148" t="s">
        <v>859</v>
      </c>
      <c r="H869" s="151"/>
      <c r="I869" s="77" t="e">
        <f>IF(H869&gt;0,(HLOOKUP(C869,Magick!$C$20:$L$21,2)-HLOOKUP(H869,Magick!$C$20:$L$21,2)),NA())</f>
        <v>#N/A</v>
      </c>
      <c r="J869" s="77"/>
      <c r="K869" s="67" t="s">
        <v>2225</v>
      </c>
      <c r="L869" s="72" t="str">
        <f>IF(H869&gt;0,Magick!$AR$27-('Master Spell List'!H870*0.1),"N/A")</f>
        <v>N/A</v>
      </c>
      <c r="M869" s="72">
        <f ca="1">Magick!$H$80</f>
        <v>0.08</v>
      </c>
      <c r="N869" s="72">
        <f ca="1">Magick!$K$80</f>
        <v>0.13</v>
      </c>
      <c r="O869" s="72">
        <f ca="1">Magick!$L$80</f>
        <v>0.13</v>
      </c>
      <c r="P869" s="72">
        <f ca="1">Magick!$M$80</f>
        <v>0.13</v>
      </c>
      <c r="Q869" s="67" t="s">
        <v>2225</v>
      </c>
      <c r="R869" s="67">
        <f ca="1">IF(Q869="Ritual","N/A",IF(Q869="I.E.","N/A",IF(Q869="WOG",VLOOKUP(Magick!$I$80*100,magestuff!$B$134:$F$138,2),IF(Q869="Cantrip",VLOOKUP(Magick!$I$80*100,magestuff!$B$134:$F$138,3),IF(Q869="Hex",VLOOKUP(Magick!$I$80*100,magestuff!$B$134:$F$138,4),VLOOKUP(Magick!$I$80*100,magestuff!$B$134:$F$138,5))))))</f>
        <v>29</v>
      </c>
      <c r="S869" s="69" t="str">
        <f>CONCATENATE(IF(Magick!$C$3&gt;0,Magick!$C$3*5," ")," ft.")</f>
        <v xml:space="preserve">  ft.</v>
      </c>
      <c r="T869" s="294" t="str">
        <f>CONCATENATE(IF(Magick!$C$3&gt;0,Magick!$C$3*15," ")," min.")</f>
        <v xml:space="preserve">  min.</v>
      </c>
      <c r="U869" s="67" t="str">
        <f t="shared" si="121"/>
        <v xml:space="preserve"> </v>
      </c>
      <c r="V869" s="515"/>
      <c r="W869" s="125"/>
      <c r="X869" s="31">
        <f t="shared" si="122"/>
        <v>0</v>
      </c>
      <c r="Y869" s="509"/>
      <c r="Z869" s="1054" t="str">
        <f t="shared" si="118"/>
        <v>Hold Breath</v>
      </c>
      <c r="AA869" s="1072" t="str">
        <f t="shared" si="119"/>
        <v>Transcendental</v>
      </c>
    </row>
    <row r="870" spans="1:27" hidden="1" outlineLevel="1">
      <c r="A870" s="83" t="s">
        <v>2713</v>
      </c>
      <c r="B870" s="67">
        <v>4</v>
      </c>
      <c r="C870" s="67">
        <f ca="1">magestuff!$L$208</f>
        <v>4</v>
      </c>
      <c r="D870" s="67">
        <f t="shared" si="120"/>
        <v>0</v>
      </c>
      <c r="E870" s="77" t="e">
        <f ca="1">IF(F870="y",HLOOKUP((IF(C870&lt;1,1,C870)),Magick!$C$20:$L$21,2),NA())</f>
        <v>#N/A</v>
      </c>
      <c r="F870" s="67" t="str">
        <f ca="1">IF(C870&lt;=Magick!$D$3,"Y","N")</f>
        <v>N</v>
      </c>
      <c r="G870" s="148" t="s">
        <v>859</v>
      </c>
      <c r="H870" s="151"/>
      <c r="I870" s="77" t="e">
        <f>IF(H870&gt;0,(HLOOKUP(C870,Magick!$C$20:$L$21,2)-HLOOKUP(H870,Magick!$C$20:$L$21,2)),NA())</f>
        <v>#N/A</v>
      </c>
      <c r="J870" s="77"/>
      <c r="K870" s="67" t="s">
        <v>2225</v>
      </c>
      <c r="L870" s="72" t="str">
        <f>IF(H870&gt;0,Magick!$AR$27-('Master Spell List'!H866*0.1),"N/A")</f>
        <v>N/A</v>
      </c>
      <c r="M870" s="72">
        <f ca="1">Magick!$H$80</f>
        <v>0.08</v>
      </c>
      <c r="N870" s="72">
        <f ca="1">Magick!$K$80</f>
        <v>0.13</v>
      </c>
      <c r="O870" s="72">
        <f ca="1">Magick!$L$80</f>
        <v>0.13</v>
      </c>
      <c r="P870" s="72">
        <f ca="1">Magick!$M$80</f>
        <v>0.13</v>
      </c>
      <c r="Q870" s="67" t="s">
        <v>2225</v>
      </c>
      <c r="R870" s="67">
        <f ca="1">IF(Q870="Ritual","N/A",IF(Q870="I.E.","N/A",IF(Q870="WOG",VLOOKUP(Magick!$I$80*100,magestuff!$B$134:$F$138,2),IF(Q870="Cantrip",VLOOKUP(Magick!$I$80*100,magestuff!$B$134:$F$138,3),IF(Q870="Hex",VLOOKUP(Magick!$I$80*100,magestuff!$B$134:$F$138,4),VLOOKUP(Magick!$I$80*100,magestuff!$B$134:$F$138,5))))))</f>
        <v>29</v>
      </c>
      <c r="S870" s="69" t="str">
        <f>CONCATENATE(IF(Magick!$C$3&gt;0,Magick!$C$3*5," ")," ft.")</f>
        <v xml:space="preserve">  ft.</v>
      </c>
      <c r="T870" s="294" t="str">
        <f>CONCATENATE(IF(Magick!$C$3&gt;0,Magick!$C$3*15," ")," min.")</f>
        <v xml:space="preserve">  min.</v>
      </c>
      <c r="U870" s="67" t="str">
        <f t="shared" si="121"/>
        <v xml:space="preserve"> </v>
      </c>
      <c r="V870" s="515"/>
      <c r="W870" s="125"/>
      <c r="X870" s="31">
        <f t="shared" si="122"/>
        <v>0</v>
      </c>
      <c r="Y870" s="509"/>
      <c r="Z870" s="1054" t="str">
        <f t="shared" si="118"/>
        <v>Vigil</v>
      </c>
      <c r="AA870" s="1072" t="str">
        <f t="shared" si="119"/>
        <v>Transcendental</v>
      </c>
    </row>
    <row r="871" spans="1:27" hidden="1" outlineLevel="1">
      <c r="A871" s="83" t="s">
        <v>243</v>
      </c>
      <c r="B871" s="67">
        <v>5</v>
      </c>
      <c r="C871" s="67">
        <f ca="1">magestuff!$O$208</f>
        <v>5</v>
      </c>
      <c r="D871" s="67">
        <f t="shared" si="120"/>
        <v>0</v>
      </c>
      <c r="E871" s="77" t="e">
        <f ca="1">IF(F871="y",HLOOKUP((IF(C871&lt;1,1,C871)),Magick!$C$20:$L$21,2),NA())</f>
        <v>#N/A</v>
      </c>
      <c r="F871" s="67" t="str">
        <f ca="1">IF(C871&lt;=Magick!$D$3,"Y","N")</f>
        <v>N</v>
      </c>
      <c r="G871" s="148" t="s">
        <v>859</v>
      </c>
      <c r="H871" s="151"/>
      <c r="I871" s="77" t="e">
        <f>IF(H871&gt;0,(HLOOKUP(C871,Magick!$C$20:$L$21,2)-HLOOKUP(H871,Magick!$C$20:$L$21,2)),NA())</f>
        <v>#N/A</v>
      </c>
      <c r="J871" s="77"/>
      <c r="K871" s="67" t="s">
        <v>2225</v>
      </c>
      <c r="L871" s="72" t="str">
        <f>IF(H871&gt;0,Magick!$AR$27-('Master Spell List'!H880*0.1),"N/A")</f>
        <v>N/A</v>
      </c>
      <c r="M871" s="72">
        <f ca="1">Magick!$H$80</f>
        <v>0.08</v>
      </c>
      <c r="N871" s="72">
        <f ca="1">Magick!$K$80</f>
        <v>0.13</v>
      </c>
      <c r="O871" s="72">
        <f ca="1">Magick!$L$80</f>
        <v>0.13</v>
      </c>
      <c r="P871" s="72">
        <f ca="1">Magick!$M$80</f>
        <v>0.13</v>
      </c>
      <c r="Q871" s="67" t="s">
        <v>2225</v>
      </c>
      <c r="R871" s="67">
        <f ca="1">IF(Q871="Ritual","N/A",IF(Q871="I.E.","N/A",IF(Q871="WOG",VLOOKUP(Magick!$I$80*100,magestuff!$B$134:$F$138,2),IF(Q871="Cantrip",VLOOKUP(Magick!$I$80*100,magestuff!$B$134:$F$138,3),IF(Q871="Hex",VLOOKUP(Magick!$I$80*100,magestuff!$B$134:$F$138,4),VLOOKUP(Magick!$I$80*100,magestuff!$B$134:$F$138,5))))))</f>
        <v>29</v>
      </c>
      <c r="S871" s="69" t="str">
        <f>CONCATENATE(IF(Magick!$C$3&gt;0,Magick!$C$3*5," ")," ft.")</f>
        <v xml:space="preserve">  ft.</v>
      </c>
      <c r="T871" s="294" t="str">
        <f>CONCATENATE(IF(Magick!$C$3&gt;0,Magick!$C$3*15," ")," min.")</f>
        <v xml:space="preserve">  min.</v>
      </c>
      <c r="U871" s="67" t="str">
        <f t="shared" si="121"/>
        <v xml:space="preserve"> </v>
      </c>
      <c r="V871" s="515"/>
      <c r="W871" s="125"/>
      <c r="X871" s="31">
        <f t="shared" si="122"/>
        <v>0</v>
      </c>
      <c r="Y871" s="509"/>
      <c r="Z871" s="1054" t="str">
        <f t="shared" si="118"/>
        <v>Cloak Aura</v>
      </c>
      <c r="AA871" s="1072" t="str">
        <f t="shared" si="119"/>
        <v>Transcendental</v>
      </c>
    </row>
    <row r="872" spans="1:27" hidden="1" outlineLevel="1">
      <c r="A872" s="83" t="s">
        <v>475</v>
      </c>
      <c r="B872" s="67">
        <v>5</v>
      </c>
      <c r="C872" s="67">
        <f ca="1">magestuff!$O$208</f>
        <v>5</v>
      </c>
      <c r="D872" s="67">
        <f t="shared" si="120"/>
        <v>0</v>
      </c>
      <c r="E872" s="77" t="e">
        <f ca="1">IF(F872="y",HLOOKUP((IF(C872&lt;1,1,C872)),Magick!$C$20:$L$21,2),NA())</f>
        <v>#N/A</v>
      </c>
      <c r="F872" s="67" t="str">
        <f ca="1">IF(C872&lt;=Magick!$D$3,"Y","N")</f>
        <v>N</v>
      </c>
      <c r="G872" s="148" t="s">
        <v>859</v>
      </c>
      <c r="H872" s="151"/>
      <c r="I872" s="77" t="e">
        <f>IF(H872&gt;0,(HLOOKUP(C872,Magick!$C$20:$L$21,2)-HLOOKUP(H872,Magick!$C$20:$L$21,2)),NA())</f>
        <v>#N/A</v>
      </c>
      <c r="J872" s="77"/>
      <c r="K872" s="67" t="s">
        <v>2814</v>
      </c>
      <c r="L872" s="72" t="str">
        <f>IF(H872&gt;0,Magick!$AR$27-('Master Spell List'!H889*0.1),"N/A")</f>
        <v>N/A</v>
      </c>
      <c r="M872" s="72">
        <f ca="1">Magick!$H$80</f>
        <v>0.08</v>
      </c>
      <c r="N872" s="72">
        <f ca="1">Magick!$K$80</f>
        <v>0.13</v>
      </c>
      <c r="O872" s="72">
        <f ca="1">Magick!$L$80</f>
        <v>0.13</v>
      </c>
      <c r="P872" s="72">
        <f ca="1">Magick!$M$80</f>
        <v>0.13</v>
      </c>
      <c r="Q872" s="67" t="s">
        <v>4603</v>
      </c>
      <c r="R872" s="67">
        <f ca="1">IF(Q872="Ritual","N/A",IF(Q872="I.E.","N/A",IF(Q872="WOG",VLOOKUP(Magick!$I$80*100,magestuff!$B$134:$F$138,2),IF(Q872="Cantrip",VLOOKUP(Magick!$I$80*100,magestuff!$B$134:$F$138,3),IF(Q872="Hex",VLOOKUP(Magick!$I$80*100,magestuff!$B$134:$F$138,4),VLOOKUP(Magick!$I$80*100,magestuff!$B$134:$F$138,5))))))</f>
        <v>9</v>
      </c>
      <c r="S872" s="69" t="str">
        <f>CONCATENATE(IF(Magick!$C$3&gt;0,Magick!$C$3*15," ")," ft.")</f>
        <v xml:space="preserve">  ft.</v>
      </c>
      <c r="T872" s="294" t="str">
        <f>CONCATENATE(IF(Magick!$C$3&gt;0,Magick!$C$3*15," ")," sec.")</f>
        <v xml:space="preserve">  sec.</v>
      </c>
      <c r="U872" s="67" t="str">
        <f t="shared" si="121"/>
        <v xml:space="preserve"> </v>
      </c>
      <c r="V872" s="515"/>
      <c r="W872" s="125"/>
      <c r="X872" s="31">
        <f t="shared" si="122"/>
        <v>0</v>
      </c>
      <c r="Y872" s="509"/>
      <c r="Z872" s="1054" t="str">
        <f t="shared" si="118"/>
        <v>Great Push</v>
      </c>
      <c r="AA872" s="1072" t="str">
        <f t="shared" si="119"/>
        <v>Transcendental</v>
      </c>
    </row>
    <row r="873" spans="1:27" hidden="1" outlineLevel="1">
      <c r="A873" s="83" t="s">
        <v>4081</v>
      </c>
      <c r="B873" s="67">
        <v>5</v>
      </c>
      <c r="C873" s="67">
        <f ca="1">magestuff!$O$208</f>
        <v>5</v>
      </c>
      <c r="D873" s="67">
        <f t="shared" si="120"/>
        <v>0</v>
      </c>
      <c r="E873" s="77" t="e">
        <f ca="1">IF(F873="y",HLOOKUP((IF(C873&lt;1,1,C873)),Magick!$C$20:$L$21,2),NA())</f>
        <v>#N/A</v>
      </c>
      <c r="F873" s="67" t="str">
        <f ca="1">IF(C873&lt;=Magick!$D$3,"Y","N")</f>
        <v>N</v>
      </c>
      <c r="G873" s="148" t="s">
        <v>859</v>
      </c>
      <c r="H873" s="151"/>
      <c r="I873" s="77" t="e">
        <f>IF(H873&gt;0,(HLOOKUP(C873,Magick!$C$20:$L$21,2)-HLOOKUP(H873,Magick!$C$20:$L$21,2)),NA())</f>
        <v>#N/A</v>
      </c>
      <c r="J873" s="77"/>
      <c r="K873" s="67" t="s">
        <v>2225</v>
      </c>
      <c r="L873" s="72" t="str">
        <f>IF(H873&gt;0,Magick!$AR$27-('Master Spell List'!H876*0.1),"N/A")</f>
        <v>N/A</v>
      </c>
      <c r="M873" s="72">
        <f ca="1">Magick!$H$80</f>
        <v>0.08</v>
      </c>
      <c r="N873" s="72">
        <f ca="1">Magick!$K$80</f>
        <v>0.13</v>
      </c>
      <c r="O873" s="72">
        <f ca="1">Magick!$L$80</f>
        <v>0.13</v>
      </c>
      <c r="P873" s="72">
        <f ca="1">Magick!$M$80</f>
        <v>0.13</v>
      </c>
      <c r="Q873" s="67" t="s">
        <v>2225</v>
      </c>
      <c r="R873" s="67">
        <f ca="1">IF(Q873="Ritual","N/A",IF(Q873="I.E.","N/A",IF(Q873="WOG",VLOOKUP(Magick!$I$80*100,magestuff!$B$134:$F$138,2),IF(Q873="Cantrip",VLOOKUP(Magick!$I$80*100,magestuff!$B$134:$F$138,3),IF(Q873="Hex",VLOOKUP(Magick!$I$80*100,magestuff!$B$134:$F$138,4),VLOOKUP(Magick!$I$80*100,magestuff!$B$134:$F$138,5))))))</f>
        <v>29</v>
      </c>
      <c r="S873" s="69" t="str">
        <f>CONCATENATE(IF(Magick!$C$3&gt;0,Magick!$C$3*5," ")," ft.")</f>
        <v xml:space="preserve">  ft.</v>
      </c>
      <c r="T873" s="294" t="str">
        <f>CONCATENATE(IF(Magick!$C$3&gt;0,Magick!$C$3*15," ")," min.")</f>
        <v xml:space="preserve">  min.</v>
      </c>
      <c r="U873" s="67" t="str">
        <f t="shared" si="121"/>
        <v xml:space="preserve"> </v>
      </c>
      <c r="V873" s="515"/>
      <c r="W873" s="125"/>
      <c r="X873" s="31">
        <f t="shared" si="122"/>
        <v>0</v>
      </c>
      <c r="Y873" s="509"/>
      <c r="Z873" s="1054" t="str">
        <f t="shared" si="118"/>
        <v>Lesser Gift of Understanding</v>
      </c>
      <c r="AA873" s="1072" t="str">
        <f t="shared" si="119"/>
        <v>Transcendental</v>
      </c>
    </row>
    <row r="874" spans="1:27" hidden="1" outlineLevel="1">
      <c r="A874" s="83" t="s">
        <v>469</v>
      </c>
      <c r="B874" s="67">
        <v>5</v>
      </c>
      <c r="C874" s="67">
        <f ca="1">magestuff!$O$208</f>
        <v>5</v>
      </c>
      <c r="D874" s="67">
        <f t="shared" si="120"/>
        <v>0</v>
      </c>
      <c r="E874" s="77" t="e">
        <f ca="1">IF(F874="y",HLOOKUP((IF(C874&lt;1,1,C874)),Magick!$C$20:$L$21,2),NA())</f>
        <v>#N/A</v>
      </c>
      <c r="F874" s="67" t="str">
        <f ca="1">IF(C874&lt;=Magick!$D$3,"Y","N")</f>
        <v>N</v>
      </c>
      <c r="G874" s="148" t="s">
        <v>859</v>
      </c>
      <c r="H874" s="151"/>
      <c r="I874" s="77" t="e">
        <f>IF(H874&gt;0,(HLOOKUP(C874,Magick!$C$20:$L$21,2)-HLOOKUP(H874,Magick!$C$20:$L$21,2)),NA())</f>
        <v>#N/A</v>
      </c>
      <c r="J874" s="77"/>
      <c r="K874" s="67" t="s">
        <v>2225</v>
      </c>
      <c r="L874" s="72" t="str">
        <f>IF(H874&gt;0,Magick!$AR$27-('Master Spell List'!H883*0.1),"N/A")</f>
        <v>N/A</v>
      </c>
      <c r="M874" s="72">
        <f ca="1">Magick!$H$80</f>
        <v>0.08</v>
      </c>
      <c r="N874" s="72">
        <f ca="1">Magick!$K$80</f>
        <v>0.13</v>
      </c>
      <c r="O874" s="72">
        <f ca="1">Magick!$L$80</f>
        <v>0.13</v>
      </c>
      <c r="P874" s="72">
        <f ca="1">Magick!$M$80</f>
        <v>0.13</v>
      </c>
      <c r="Q874" s="67" t="s">
        <v>4603</v>
      </c>
      <c r="R874" s="67">
        <f ca="1">IF(Q874="Ritual","N/A",IF(Q874="I.E.","N/A",IF(Q874="WOG",VLOOKUP(Magick!$I$80*100,magestuff!$B$134:$F$138,2),IF(Q874="Cantrip",VLOOKUP(Magick!$I$80*100,magestuff!$B$134:$F$138,3),IF(Q874="Hex",VLOOKUP(Magick!$I$80*100,magestuff!$B$134:$F$138,4),VLOOKUP(Magick!$I$80*100,magestuff!$B$134:$F$138,5))))))</f>
        <v>9</v>
      </c>
      <c r="S874" s="69" t="str">
        <f>CONCATENATE(IF(Magick!$C$3&gt;0,Magick!$C$3*10," ")," ft.")</f>
        <v xml:space="preserve">  ft.</v>
      </c>
      <c r="T874" s="294" t="str">
        <f>CONCATENATE(IF(Magick!$C$3&gt;0,Magick!$C$3*10," ")," sec.")</f>
        <v xml:space="preserve">  sec.</v>
      </c>
      <c r="U874" s="67" t="str">
        <f t="shared" si="121"/>
        <v xml:space="preserve"> </v>
      </c>
      <c r="V874" s="515"/>
      <c r="W874" s="125"/>
      <c r="X874" s="31">
        <f t="shared" si="122"/>
        <v>0</v>
      </c>
      <c r="Y874" s="509"/>
      <c r="Z874" s="1054" t="str">
        <f t="shared" si="118"/>
        <v>Lesser Pull</v>
      </c>
      <c r="AA874" s="1072" t="str">
        <f t="shared" si="119"/>
        <v>Transcendental</v>
      </c>
    </row>
    <row r="875" spans="1:27" hidden="1" outlineLevel="1">
      <c r="A875" s="31" t="s">
        <v>3088</v>
      </c>
      <c r="B875" s="67">
        <v>5</v>
      </c>
      <c r="C875" s="67">
        <f ca="1">magestuff!$O$208</f>
        <v>5</v>
      </c>
      <c r="D875" s="67">
        <f t="shared" si="120"/>
        <v>0</v>
      </c>
      <c r="E875" s="77" t="e">
        <f ca="1">IF(F875="y",HLOOKUP((IF(C875&lt;1,1,C875)),Magick!$C$20:$L$21,2),NA())</f>
        <v>#N/A</v>
      </c>
      <c r="F875" s="67" t="str">
        <f ca="1">IF(C875&lt;=Magick!$D$3,"Y","N")</f>
        <v>N</v>
      </c>
      <c r="G875" s="148" t="s">
        <v>128</v>
      </c>
      <c r="H875" s="151"/>
      <c r="I875" s="77" t="e">
        <f>IF(H875&gt;0,(HLOOKUP(C875,Magick!$C$20:$L$21,2)-HLOOKUP(H875,Magick!$C$20:$L$21,2)),NA())</f>
        <v>#N/A</v>
      </c>
      <c r="J875" s="77"/>
      <c r="K875" s="67">
        <v>8</v>
      </c>
      <c r="L875" s="72" t="str">
        <f>IF(H875&gt;0,Magick!$AR$27-('Master Spell List'!H861*0.1),"N/A")</f>
        <v>N/A</v>
      </c>
      <c r="M875" s="72">
        <f ca="1">Magick!$H$80</f>
        <v>0.08</v>
      </c>
      <c r="N875" s="72">
        <f ca="1">Magick!$K$80</f>
        <v>0.13</v>
      </c>
      <c r="O875" s="72">
        <f ca="1">Magick!$L$80</f>
        <v>0.13</v>
      </c>
      <c r="P875" s="72">
        <f ca="1">Magick!$M$80</f>
        <v>0.13</v>
      </c>
      <c r="Q875" s="67" t="s">
        <v>3723</v>
      </c>
      <c r="R875" s="67">
        <f ca="1">IF(Q875="Ritual","N/A",IF(Q875="I.E.","N/A",IF(Q875="WOG",VLOOKUP(Magick!$I$80*100,magestuff!$B$134:$F$138,2),IF(Q875="Cantrip",VLOOKUP(Magick!$I$80*100,magestuff!$B$134:$F$138,3),IF(Q875="Hex",VLOOKUP(Magick!$I$80*100,magestuff!$B$134:$F$138,4),VLOOKUP(Magick!$I$80*100,magestuff!$B$134:$F$138,5))))))</f>
        <v>29</v>
      </c>
      <c r="S875" s="69" t="str">
        <f>CONCATENATE(IF(Magick!$C$3&gt;0,Magick!$C$3*25," ")," mi.")</f>
        <v xml:space="preserve">  mi.</v>
      </c>
      <c r="T875" s="294" t="str">
        <f>CONCATENATE(IF(Magick!$C$3&gt;0,Magick!$C$3*15," ")," sec.")</f>
        <v xml:space="preserve">  sec.</v>
      </c>
      <c r="U875" s="67" t="str">
        <f t="shared" si="121"/>
        <v xml:space="preserve"> </v>
      </c>
      <c r="V875" s="515"/>
      <c r="W875" s="125"/>
      <c r="X875" s="31">
        <f t="shared" si="122"/>
        <v>0</v>
      </c>
      <c r="Y875" s="509"/>
      <c r="Z875" s="1054" t="str">
        <f t="shared" si="118"/>
        <v>Projected Image</v>
      </c>
      <c r="AA875" s="1072" t="str">
        <f t="shared" si="119"/>
        <v>Transcendental</v>
      </c>
    </row>
    <row r="876" spans="1:27" hidden="1" outlineLevel="1">
      <c r="A876" s="83" t="s">
        <v>244</v>
      </c>
      <c r="B876" s="67">
        <v>6</v>
      </c>
      <c r="C876" s="67">
        <f ca="1">magestuff!$R$208</f>
        <v>6</v>
      </c>
      <c r="D876" s="67">
        <f t="shared" si="120"/>
        <v>0</v>
      </c>
      <c r="E876" s="77" t="e">
        <f ca="1">IF(F876="y",HLOOKUP((IF(C876&lt;1,1,C876)),Magick!$C$20:$L$21,2),NA())</f>
        <v>#N/A</v>
      </c>
      <c r="F876" s="67" t="str">
        <f ca="1">IF(C876&lt;=Magick!$D$3,"Y","N")</f>
        <v>N</v>
      </c>
      <c r="G876" s="148" t="s">
        <v>859</v>
      </c>
      <c r="H876" s="151"/>
      <c r="I876" s="77" t="e">
        <f>IF(H876&gt;0,(HLOOKUP(C876,Magick!$C$20:$L$21,2)-HLOOKUP(H876,Magick!$C$20:$L$21,2)),NA())</f>
        <v>#N/A</v>
      </c>
      <c r="J876" s="77"/>
      <c r="K876" s="67" t="s">
        <v>2225</v>
      </c>
      <c r="L876" s="72" t="str">
        <f>IF(H876&gt;0,Magick!$AR$27-('Master Spell List'!H881*0.1),"N/A")</f>
        <v>N/A</v>
      </c>
      <c r="M876" s="72">
        <f ca="1">Magick!$H$80</f>
        <v>0.08</v>
      </c>
      <c r="N876" s="72">
        <f ca="1">Magick!$K$80</f>
        <v>0.13</v>
      </c>
      <c r="O876" s="72">
        <f ca="1">Magick!$L$80</f>
        <v>0.13</v>
      </c>
      <c r="P876" s="72">
        <f ca="1">Magick!$M$80</f>
        <v>0.13</v>
      </c>
      <c r="Q876" s="67" t="s">
        <v>2225</v>
      </c>
      <c r="R876" s="67">
        <f ca="1">IF(Q876="Ritual","N/A",IF(Q876="I.E.","N/A",IF(Q876="WOG",VLOOKUP(Magick!$I$80*100,magestuff!$B$134:$F$138,2),IF(Q876="Cantrip",VLOOKUP(Magick!$I$80*100,magestuff!$B$134:$F$138,3),IF(Q876="Hex",VLOOKUP(Magick!$I$80*100,magestuff!$B$134:$F$138,4),VLOOKUP(Magick!$I$80*100,magestuff!$B$134:$F$138,5))))))</f>
        <v>29</v>
      </c>
      <c r="S876" s="69" t="str">
        <f>CONCATENATE(IF(Magick!$C$3&gt;0,Magick!$C$3*5," ")," ft.")</f>
        <v xml:space="preserve">  ft.</v>
      </c>
      <c r="T876" s="294" t="str">
        <f>CONCATENATE(IF(Magick!$C$3&gt;0,Magick!$C$3*15," ")," min.")</f>
        <v xml:space="preserve">  min.</v>
      </c>
      <c r="U876" s="67" t="str">
        <f t="shared" si="121"/>
        <v xml:space="preserve"> </v>
      </c>
      <c r="V876" s="515"/>
      <c r="W876" s="125"/>
      <c r="X876" s="31">
        <f t="shared" si="122"/>
        <v>0</v>
      </c>
      <c r="Y876" s="509"/>
      <c r="Z876" s="1054" t="str">
        <f t="shared" si="118"/>
        <v>Change Aura</v>
      </c>
      <c r="AA876" s="1072" t="str">
        <f t="shared" si="119"/>
        <v>Transcendental</v>
      </c>
    </row>
    <row r="877" spans="1:27" hidden="1" outlineLevel="1">
      <c r="A877" s="83" t="s">
        <v>464</v>
      </c>
      <c r="B877" s="67">
        <v>6</v>
      </c>
      <c r="C877" s="67">
        <f ca="1">magestuff!$R$208</f>
        <v>6</v>
      </c>
      <c r="D877" s="67">
        <f t="shared" si="120"/>
        <v>0</v>
      </c>
      <c r="E877" s="77" t="e">
        <f ca="1">IF(F877="y",HLOOKUP((IF(C877&lt;1,1,C877)),Magick!$C$20:$L$21,2),NA())</f>
        <v>#N/A</v>
      </c>
      <c r="F877" s="67" t="str">
        <f ca="1">IF(C877&lt;=Magick!$D$3,"Y","N")</f>
        <v>N</v>
      </c>
      <c r="G877" s="148" t="s">
        <v>859</v>
      </c>
      <c r="H877" s="151"/>
      <c r="I877" s="77" t="e">
        <f>IF(H877&gt;0,(HLOOKUP(C877,Magick!$C$20:$L$21,2)-HLOOKUP(H877,Magick!$C$20:$L$21,2)),NA())</f>
        <v>#N/A</v>
      </c>
      <c r="J877" s="77"/>
      <c r="K877" s="67" t="s">
        <v>2225</v>
      </c>
      <c r="L877" s="72" t="str">
        <f>IF(H877&gt;0,Magick!$AR$27-('Master Spell List'!H892*0.1),"N/A")</f>
        <v>N/A</v>
      </c>
      <c r="M877" s="72">
        <f ca="1">Magick!$H$80</f>
        <v>0.08</v>
      </c>
      <c r="N877" s="72">
        <f ca="1">Magick!$K$80</f>
        <v>0.13</v>
      </c>
      <c r="O877" s="72">
        <f ca="1">Magick!$L$80</f>
        <v>0.13</v>
      </c>
      <c r="P877" s="72">
        <f ca="1">Magick!$M$80</f>
        <v>0.13</v>
      </c>
      <c r="Q877" s="67" t="s">
        <v>2225</v>
      </c>
      <c r="R877" s="67">
        <f ca="1">IF(Q877="Ritual","N/A",IF(Q877="I.E.","N/A",IF(Q877="WOG",VLOOKUP(Magick!$I$80*100,magestuff!$B$134:$F$138,2),IF(Q877="Cantrip",VLOOKUP(Magick!$I$80*100,magestuff!$B$134:$F$138,3),IF(Q877="Hex",VLOOKUP(Magick!$I$80*100,magestuff!$B$134:$F$138,4),VLOOKUP(Magick!$I$80*100,magestuff!$B$134:$F$138,5))))))</f>
        <v>29</v>
      </c>
      <c r="S877" s="69" t="str">
        <f>CONCATENATE(IF(Magick!$C$3&gt;0,Magick!$C$3*5," ")," ft.")</f>
        <v xml:space="preserve">  ft.</v>
      </c>
      <c r="T877" s="294" t="str">
        <f>CONCATENATE(IF(Magick!$C$3&gt;0,Magick!$C$3*15," ")," min.")</f>
        <v xml:space="preserve">  min.</v>
      </c>
      <c r="U877" s="67" t="str">
        <f t="shared" si="121"/>
        <v xml:space="preserve"> </v>
      </c>
      <c r="V877" s="515"/>
      <c r="W877" s="125"/>
      <c r="X877" s="31">
        <f t="shared" si="122"/>
        <v>0</v>
      </c>
      <c r="Y877" s="509"/>
      <c r="Z877" s="1054" t="str">
        <f t="shared" si="118"/>
        <v>Least Cloak from Divination</v>
      </c>
      <c r="AA877" s="1072" t="str">
        <f t="shared" si="119"/>
        <v>Transcendental</v>
      </c>
    </row>
    <row r="878" spans="1:27" hidden="1" outlineLevel="1">
      <c r="A878" s="83" t="s">
        <v>470</v>
      </c>
      <c r="B878" s="67">
        <v>7</v>
      </c>
      <c r="C878" s="67">
        <f ca="1">magestuff!$U$208</f>
        <v>7</v>
      </c>
      <c r="D878" s="67">
        <f t="shared" si="120"/>
        <v>0</v>
      </c>
      <c r="E878" s="77" t="e">
        <f ca="1">IF(F878="y",HLOOKUP((IF(C878&lt;1,1,C878)),Magick!$C$20:$L$21,2),NA())</f>
        <v>#N/A</v>
      </c>
      <c r="F878" s="67" t="str">
        <f ca="1">IF(C878&lt;=Magick!$D$3,"Y","N")</f>
        <v>N</v>
      </c>
      <c r="G878" s="148" t="s">
        <v>859</v>
      </c>
      <c r="H878" s="151"/>
      <c r="I878" s="77" t="e">
        <f>IF(H878&gt;0,(HLOOKUP(C878,Magick!$C$20:$L$21,2)-HLOOKUP(H878,Magick!$C$20:$L$21,2)),NA())</f>
        <v>#N/A</v>
      </c>
      <c r="J878" s="77"/>
      <c r="K878" s="67" t="s">
        <v>2817</v>
      </c>
      <c r="L878" s="72" t="str">
        <f>IF(H878&gt;0,Magick!$AR$27-('Master Spell List'!H884*0.1),"N/A")</f>
        <v>N/A</v>
      </c>
      <c r="M878" s="72">
        <f ca="1">Magick!$H$80</f>
        <v>0.08</v>
      </c>
      <c r="N878" s="72">
        <f ca="1">Magick!$K$80</f>
        <v>0.13</v>
      </c>
      <c r="O878" s="72">
        <f ca="1">Magick!$L$80</f>
        <v>0.13</v>
      </c>
      <c r="P878" s="72">
        <f ca="1">Magick!$M$80</f>
        <v>0.13</v>
      </c>
      <c r="Q878" s="67" t="s">
        <v>4603</v>
      </c>
      <c r="R878" s="67">
        <f ca="1">IF(Q878="Ritual","N/A",IF(Q878="I.E.","N/A",IF(Q878="WOG",VLOOKUP(Magick!$I$80*100,magestuff!$B$134:$F$138,2),IF(Q878="Cantrip",VLOOKUP(Magick!$I$80*100,magestuff!$B$134:$F$138,3),IF(Q878="Hex",VLOOKUP(Magick!$I$80*100,magestuff!$B$134:$F$138,4),VLOOKUP(Magick!$I$80*100,magestuff!$B$134:$F$138,5))))))</f>
        <v>9</v>
      </c>
      <c r="S878" s="69" t="str">
        <f>CONCATENATE(IF(Magick!$C$3&gt;0,Magick!$C$3*15," ")," ft.")</f>
        <v xml:space="preserve">  ft.</v>
      </c>
      <c r="T878" s="294" t="str">
        <f>CONCATENATE(IF(Magick!$C$3&gt;0,Magick!$C$3*15," ")," sec.")</f>
        <v xml:space="preserve">  sec.</v>
      </c>
      <c r="U878" s="67" t="str">
        <f t="shared" si="121"/>
        <v xml:space="preserve"> </v>
      </c>
      <c r="V878" s="515"/>
      <c r="W878" s="125"/>
      <c r="X878" s="31">
        <f t="shared" si="122"/>
        <v>0</v>
      </c>
      <c r="Y878" s="509"/>
      <c r="Z878" s="1054" t="str">
        <f t="shared" si="118"/>
        <v>Great Pull</v>
      </c>
      <c r="AA878" s="1072" t="str">
        <f t="shared" si="119"/>
        <v>Transcendental</v>
      </c>
    </row>
    <row r="879" spans="1:27" hidden="1" outlineLevel="1">
      <c r="A879" s="83" t="s">
        <v>476</v>
      </c>
      <c r="B879" s="67">
        <v>7</v>
      </c>
      <c r="C879" s="67">
        <f ca="1">magestuff!$U$208</f>
        <v>7</v>
      </c>
      <c r="D879" s="67">
        <f t="shared" si="120"/>
        <v>0</v>
      </c>
      <c r="E879" s="77" t="e">
        <f ca="1">IF(F879="y",HLOOKUP((IF(C879&lt;1,1,C879)),Magick!$C$20:$L$21,2),NA())</f>
        <v>#N/A</v>
      </c>
      <c r="F879" s="67" t="str">
        <f ca="1">IF(C879&lt;=Magick!$D$3,"Y","N")</f>
        <v>N</v>
      </c>
      <c r="G879" s="148" t="s">
        <v>859</v>
      </c>
      <c r="H879" s="151"/>
      <c r="I879" s="77" t="e">
        <f>IF(H879&gt;0,(HLOOKUP(C879,Magick!$C$20:$L$21,2)-HLOOKUP(H879,Magick!$C$20:$L$21,2)),NA())</f>
        <v>#N/A</v>
      </c>
      <c r="J879" s="77"/>
      <c r="K879" s="67" t="s">
        <v>2815</v>
      </c>
      <c r="L879" s="72" t="str">
        <f>IF(H879&gt;0,Magick!$AR$27-('Master Spell List'!H890*0.1),"N/A")</f>
        <v>N/A</v>
      </c>
      <c r="M879" s="72">
        <f ca="1">Magick!$H$80</f>
        <v>0.08</v>
      </c>
      <c r="N879" s="72">
        <f ca="1">Magick!$K$80</f>
        <v>0.13</v>
      </c>
      <c r="O879" s="72">
        <f ca="1">Magick!$L$80</f>
        <v>0.13</v>
      </c>
      <c r="P879" s="72">
        <f ca="1">Magick!$M$80</f>
        <v>0.13</v>
      </c>
      <c r="Q879" s="67" t="s">
        <v>2225</v>
      </c>
      <c r="R879" s="67">
        <f ca="1">IF(Q879="Ritual","N/A",IF(Q879="I.E.","N/A",IF(Q879="WOG",VLOOKUP(Magick!$I$80*100,magestuff!$B$134:$F$138,2),IF(Q879="Cantrip",VLOOKUP(Magick!$I$80*100,magestuff!$B$134:$F$138,3),IF(Q879="Hex",VLOOKUP(Magick!$I$80*100,magestuff!$B$134:$F$138,4),VLOOKUP(Magick!$I$80*100,magestuff!$B$134:$F$138,5))))))</f>
        <v>29</v>
      </c>
      <c r="S879" s="69" t="str">
        <f>CONCATENATE(IF(Magick!$C$3&gt;0,Magick!$C$3*25," ")," ft.")</f>
        <v xml:space="preserve">  ft.</v>
      </c>
      <c r="T879" s="294" t="str">
        <f>CONCATENATE(IF(Magick!$C$3&gt;0,Magick!$C$3*25," ")," sec.")</f>
        <v xml:space="preserve">  sec.</v>
      </c>
      <c r="U879" s="67" t="str">
        <f t="shared" si="121"/>
        <v xml:space="preserve"> </v>
      </c>
      <c r="V879" s="515"/>
      <c r="W879" s="125"/>
      <c r="X879" s="31">
        <f t="shared" si="122"/>
        <v>0</v>
      </c>
      <c r="Y879" s="509"/>
      <c r="Z879" s="1054" t="str">
        <f t="shared" si="118"/>
        <v>Greater Push</v>
      </c>
      <c r="AA879" s="1072" t="str">
        <f t="shared" si="119"/>
        <v>Transcendental</v>
      </c>
    </row>
    <row r="880" spans="1:27" hidden="1" outlineLevel="1">
      <c r="A880" s="83" t="s">
        <v>1808</v>
      </c>
      <c r="B880" s="67">
        <v>7</v>
      </c>
      <c r="C880" s="67">
        <f ca="1">magestuff!$U$208</f>
        <v>7</v>
      </c>
      <c r="D880" s="67">
        <f t="shared" si="120"/>
        <v>0</v>
      </c>
      <c r="E880" s="77" t="e">
        <f ca="1">IF(F880="y",HLOOKUP((IF(C880&lt;1,1,C880)),Magick!$C$20:$L$21,2),NA())</f>
        <v>#N/A</v>
      </c>
      <c r="F880" s="67" t="str">
        <f ca="1">IF(C880&lt;=Magick!$D$3,"Y","N")</f>
        <v>N</v>
      </c>
      <c r="G880" s="148" t="s">
        <v>859</v>
      </c>
      <c r="H880" s="151"/>
      <c r="I880" s="77" t="e">
        <f>IF(H880&gt;0,(HLOOKUP(C880,Magick!$C$20:$L$21,2)-HLOOKUP(H880,Magick!$C$20:$L$21,2)),NA())</f>
        <v>#N/A</v>
      </c>
      <c r="J880" s="77"/>
      <c r="K880" s="67" t="s">
        <v>2225</v>
      </c>
      <c r="L880" s="72" t="str">
        <f>IF(H880&gt;0,Magick!$AR$27-('Master Spell List'!H872*0.1),"N/A")</f>
        <v>N/A</v>
      </c>
      <c r="M880" s="72">
        <f ca="1">Magick!$H$80</f>
        <v>0.08</v>
      </c>
      <c r="N880" s="72">
        <f ca="1">Magick!$K$80</f>
        <v>0.13</v>
      </c>
      <c r="O880" s="72">
        <f ca="1">Magick!$L$80</f>
        <v>0.13</v>
      </c>
      <c r="P880" s="72">
        <f ca="1">Magick!$M$80</f>
        <v>0.13</v>
      </c>
      <c r="Q880" s="67" t="s">
        <v>4602</v>
      </c>
      <c r="R880" s="67">
        <f ca="1">IF(Q880="Ritual","N/A",IF(Q880="I.E.","N/A",IF(Q880="WOG",VLOOKUP(Magick!$I$80*100,magestuff!$B$134:$F$138,2),IF(Q880="Cantrip",VLOOKUP(Magick!$I$80*100,magestuff!$B$134:$F$138,3),IF(Q880="Hex",VLOOKUP(Magick!$I$80*100,magestuff!$B$134:$F$138,4),VLOOKUP(Magick!$I$80*100,magestuff!$B$134:$F$138,5))))))</f>
        <v>19</v>
      </c>
      <c r="S880" s="69" t="str">
        <f>CONCATENATE(IF(Magick!$C$3&gt;0,Magick!$C$3*5," ")," ft.")</f>
        <v xml:space="preserve">  ft.</v>
      </c>
      <c r="T880" s="294" t="str">
        <f>CONCATENATE(IF(Magick!$C$3&gt;0,Magick!$C$3*15," ")," min.")</f>
        <v xml:space="preserve">  min.</v>
      </c>
      <c r="U880" s="67" t="str">
        <f t="shared" si="121"/>
        <v xml:space="preserve"> </v>
      </c>
      <c r="V880" s="515"/>
      <c r="W880" s="125"/>
      <c r="X880" s="31">
        <f t="shared" si="122"/>
        <v>0</v>
      </c>
      <c r="Y880" s="509"/>
      <c r="Z880" s="1054" t="str">
        <f t="shared" si="118"/>
        <v>Lesser Blending of the Mage</v>
      </c>
      <c r="AA880" s="1072" t="str">
        <f t="shared" si="119"/>
        <v>Transcendental</v>
      </c>
    </row>
    <row r="881" spans="1:27" hidden="1" outlineLevel="1">
      <c r="A881" s="83" t="s">
        <v>4079</v>
      </c>
      <c r="B881" s="67">
        <v>7</v>
      </c>
      <c r="C881" s="67">
        <f ca="1">magestuff!$U$208</f>
        <v>7</v>
      </c>
      <c r="D881" s="67">
        <f t="shared" si="120"/>
        <v>0</v>
      </c>
      <c r="E881" s="77" t="e">
        <f ca="1">IF(F881="y",HLOOKUP((IF(C881&lt;1,1,C881)),Magick!$C$20:$L$21,2),NA())</f>
        <v>#N/A</v>
      </c>
      <c r="F881" s="67" t="str">
        <f ca="1">IF(C881&lt;=Magick!$D$3,"Y","N")</f>
        <v>N</v>
      </c>
      <c r="G881" s="148" t="s">
        <v>859</v>
      </c>
      <c r="H881" s="151"/>
      <c r="I881" s="77" t="e">
        <f>IF(H881&gt;0,(HLOOKUP(C881,Magick!$C$20:$L$21,2)-HLOOKUP(H881,Magick!$C$20:$L$21,2)),NA())</f>
        <v>#N/A</v>
      </c>
      <c r="J881" s="77"/>
      <c r="K881" s="67" t="s">
        <v>2225</v>
      </c>
      <c r="L881" s="72" t="str">
        <f>IF(H881&gt;0,Magick!$AR$27-('Master Spell List'!H874*0.1),"N/A")</f>
        <v>N/A</v>
      </c>
      <c r="M881" s="72">
        <f ca="1">Magick!$H$80</f>
        <v>0.08</v>
      </c>
      <c r="N881" s="72">
        <f ca="1">Magick!$K$80</f>
        <v>0.13</v>
      </c>
      <c r="O881" s="72">
        <f ca="1">Magick!$L$80</f>
        <v>0.13</v>
      </c>
      <c r="P881" s="72">
        <f ca="1">Magick!$M$80</f>
        <v>0.13</v>
      </c>
      <c r="Q881" s="67" t="s">
        <v>2225</v>
      </c>
      <c r="R881" s="67">
        <f ca="1">IF(Q881="Ritual","N/A",IF(Q881="I.E.","N/A",IF(Q881="WOG",VLOOKUP(Magick!$I$80*100,magestuff!$B$134:$F$138,2),IF(Q881="Cantrip",VLOOKUP(Magick!$I$80*100,magestuff!$B$134:$F$138,3),IF(Q881="Hex",VLOOKUP(Magick!$I$80*100,magestuff!$B$134:$F$138,4),VLOOKUP(Magick!$I$80*100,magestuff!$B$134:$F$138,5))))))</f>
        <v>29</v>
      </c>
      <c r="S881" s="69" t="str">
        <f>CONCATENATE(IF(Magick!$C$3&gt;0,Magick!$C$3*5," ")," ft.")</f>
        <v xml:space="preserve">  ft.</v>
      </c>
      <c r="T881" s="294" t="str">
        <f>CONCATENATE(IF(Magick!$C$3&gt;0,Magick!$C$3*15," ")," min.")</f>
        <v xml:space="preserve">  min.</v>
      </c>
      <c r="U881" s="67" t="str">
        <f t="shared" si="121"/>
        <v xml:space="preserve"> </v>
      </c>
      <c r="V881" s="515"/>
      <c r="W881" s="125"/>
      <c r="X881" s="31">
        <f t="shared" si="122"/>
        <v>0</v>
      </c>
      <c r="Y881" s="509"/>
      <c r="Z881" s="1054" t="str">
        <f t="shared" si="118"/>
        <v>Lesser Stealth of the Mage</v>
      </c>
      <c r="AA881" s="1072" t="str">
        <f t="shared" si="119"/>
        <v>Transcendental</v>
      </c>
    </row>
    <row r="882" spans="1:27" hidden="1" outlineLevel="1">
      <c r="A882" s="31" t="s">
        <v>5443</v>
      </c>
      <c r="B882" s="67">
        <v>7</v>
      </c>
      <c r="C882" s="67">
        <f ca="1">magestuff!$U$208</f>
        <v>7</v>
      </c>
      <c r="D882" s="67">
        <f t="shared" si="120"/>
        <v>0</v>
      </c>
      <c r="E882" s="77" t="e">
        <f ca="1">IF(F882="y",HLOOKUP((IF(C882&lt;1,1,C882)),Magick!$C$20:$L$21,2),NA())</f>
        <v>#N/A</v>
      </c>
      <c r="F882" s="67" t="str">
        <f ca="1">IF(C882&lt;=Magick!$D$3,"Y","N")</f>
        <v>N</v>
      </c>
      <c r="G882" s="148" t="s">
        <v>128</v>
      </c>
      <c r="H882" s="151"/>
      <c r="I882" s="77" t="e">
        <f>IF(H882&gt;0,(HLOOKUP(C882,Magick!$C$20:$L$21,2)-HLOOKUP(H882,Magick!$C$20:$L$21,2)),NA())</f>
        <v>#N/A</v>
      </c>
      <c r="J882" s="77"/>
      <c r="K882" s="67">
        <v>12</v>
      </c>
      <c r="L882" s="72" t="str">
        <f>IF(H882&gt;0,Magick!$AR$27-('Master Spell List'!H862*0.1),"N/A")</f>
        <v>N/A</v>
      </c>
      <c r="M882" s="72">
        <f ca="1">Magick!$H$80</f>
        <v>0.08</v>
      </c>
      <c r="N882" s="72">
        <f ca="1">Magick!$K$80</f>
        <v>0.13</v>
      </c>
      <c r="O882" s="72">
        <f ca="1">Magick!$L$80</f>
        <v>0.13</v>
      </c>
      <c r="P882" s="72">
        <f ca="1">Magick!$M$80</f>
        <v>0.13</v>
      </c>
      <c r="Q882" s="67" t="s">
        <v>113</v>
      </c>
      <c r="R882" s="67" t="str">
        <f>IF(Q882="Ritual","N/A",IF(Q882="I.E.","N/A",IF(Q882="WOG",VLOOKUP(Magick!$I$80*100,magestuff!$B$134:$F$138,2),IF(Q882="Cantrip",VLOOKUP(Magick!$I$80*100,magestuff!$B$134:$F$138,3),IF(Q882="Hex",VLOOKUP(Magick!$I$80*100,magestuff!$B$134:$F$138,4),VLOOKUP(Magick!$I$80*100,magestuff!$B$134:$F$138,5))))))</f>
        <v>N/A</v>
      </c>
      <c r="S882" s="67" t="s">
        <v>1082</v>
      </c>
      <c r="T882" s="67" t="s">
        <v>1399</v>
      </c>
      <c r="U882" s="67" t="str">
        <f t="shared" si="121"/>
        <v xml:space="preserve"> </v>
      </c>
      <c r="V882" s="515"/>
      <c r="W882" s="125"/>
      <c r="X882" s="31">
        <f t="shared" si="122"/>
        <v>0</v>
      </c>
      <c r="Y882" s="509"/>
      <c r="Z882" s="1054" t="str">
        <f t="shared" si="118"/>
        <v>Otherwordly</v>
      </c>
      <c r="AA882" s="1072" t="str">
        <f t="shared" si="119"/>
        <v>Transcendental</v>
      </c>
    </row>
    <row r="883" spans="1:27" hidden="1" outlineLevel="1">
      <c r="A883" s="31" t="s">
        <v>5444</v>
      </c>
      <c r="B883" s="67">
        <v>8</v>
      </c>
      <c r="C883" s="67">
        <f ca="1">magestuff!$X$208</f>
        <v>8</v>
      </c>
      <c r="D883" s="67">
        <f t="shared" si="120"/>
        <v>0</v>
      </c>
      <c r="E883" s="77" t="e">
        <f ca="1">IF(F883="y",HLOOKUP((IF(C883&lt;1,1,C883)),Magick!$C$20:$L$21,2),NA())</f>
        <v>#N/A</v>
      </c>
      <c r="F883" s="67" t="str">
        <f ca="1">IF(C883&lt;=Magick!$D$3,"Y","N")</f>
        <v>N</v>
      </c>
      <c r="G883" s="148" t="s">
        <v>128</v>
      </c>
      <c r="H883" s="151"/>
      <c r="I883" s="77" t="e">
        <f>IF(H883&gt;0,(HLOOKUP(C883,Magick!$C$20:$L$21,2)-HLOOKUP(H883,Magick!$C$20:$L$21,2)),NA())</f>
        <v>#N/A</v>
      </c>
      <c r="J883" s="77"/>
      <c r="K883" s="67">
        <v>13</v>
      </c>
      <c r="L883" s="72" t="str">
        <f>IF(H883&gt;0,Magick!$AR$27-('Master Spell List'!H863*0.1),"N/A")</f>
        <v>N/A</v>
      </c>
      <c r="M883" s="72">
        <f ca="1">Magick!$H$80</f>
        <v>0.08</v>
      </c>
      <c r="N883" s="72">
        <f ca="1">Magick!$K$80</f>
        <v>0.13</v>
      </c>
      <c r="O883" s="72">
        <f ca="1">Magick!$L$80</f>
        <v>0.13</v>
      </c>
      <c r="P883" s="72">
        <f ca="1">Magick!$M$80</f>
        <v>0.13</v>
      </c>
      <c r="Q883" s="67" t="s">
        <v>3723</v>
      </c>
      <c r="R883" s="67">
        <f ca="1">IF(Q883="Ritual","N/A",IF(Q883="I.E.","N/A",IF(Q883="WOG",VLOOKUP(Magick!$I$80*100,magestuff!$B$134:$F$138,2),IF(Q883="Cantrip",VLOOKUP(Magick!$I$80*100,magestuff!$B$134:$F$138,3),IF(Q883="Hex",VLOOKUP(Magick!$I$80*100,magestuff!$B$134:$F$138,4),VLOOKUP(Magick!$I$80*100,magestuff!$B$134:$F$138,5))))))</f>
        <v>29</v>
      </c>
      <c r="S883" s="69" t="str">
        <f>CONCATENATE(IF(Magick!$C$3&gt;0,Magick!$C$3*100," ")," mi.")</f>
        <v xml:space="preserve">  mi.</v>
      </c>
      <c r="T883" s="294" t="str">
        <f>CONCATENATE(IF(Magick!$C$3&gt;0,Magick!$C$3," ")," min.")</f>
        <v xml:space="preserve">  min.</v>
      </c>
      <c r="U883" s="67" t="str">
        <f t="shared" si="121"/>
        <v xml:space="preserve"> </v>
      </c>
      <c r="V883" s="515"/>
      <c r="W883" s="125"/>
      <c r="X883" s="31">
        <f t="shared" si="122"/>
        <v>0</v>
      </c>
      <c r="Y883" s="509"/>
      <c r="Z883" s="1054" t="str">
        <f t="shared" si="118"/>
        <v>Grand Audience</v>
      </c>
      <c r="AA883" s="1072" t="str">
        <f t="shared" si="119"/>
        <v>Transcendental</v>
      </c>
    </row>
    <row r="884" spans="1:27" hidden="1" outlineLevel="1">
      <c r="A884" s="83" t="s">
        <v>471</v>
      </c>
      <c r="B884" s="67">
        <v>8</v>
      </c>
      <c r="C884" s="67">
        <f ca="1">magestuff!$X$208</f>
        <v>8</v>
      </c>
      <c r="D884" s="67">
        <f t="shared" si="120"/>
        <v>0</v>
      </c>
      <c r="E884" s="77" t="e">
        <f ca="1">IF(F884="y",HLOOKUP((IF(C884&lt;1,1,C884)),Magick!$C$20:$L$21,2),NA())</f>
        <v>#N/A</v>
      </c>
      <c r="F884" s="67" t="str">
        <f ca="1">IF(C884&lt;=Magick!$D$3,"Y","N")</f>
        <v>N</v>
      </c>
      <c r="G884" s="148" t="s">
        <v>859</v>
      </c>
      <c r="H884" s="151"/>
      <c r="I884" s="77" t="e">
        <f>IF(H884&gt;0,(HLOOKUP(C884,Magick!$C$20:$L$21,2)-HLOOKUP(H884,Magick!$C$20:$L$21,2)),NA())</f>
        <v>#N/A</v>
      </c>
      <c r="J884" s="77"/>
      <c r="K884" s="67" t="s">
        <v>2817</v>
      </c>
      <c r="L884" s="72" t="str">
        <f>IF(H884&gt;0,Magick!$AR$27-('Master Spell List'!H885*0.1),"N/A")</f>
        <v>N/A</v>
      </c>
      <c r="M884" s="72">
        <f ca="1">Magick!$H$80</f>
        <v>0.08</v>
      </c>
      <c r="N884" s="72">
        <f ca="1">Magick!$K$80</f>
        <v>0.13</v>
      </c>
      <c r="O884" s="72">
        <f ca="1">Magick!$L$80</f>
        <v>0.13</v>
      </c>
      <c r="P884" s="72">
        <f ca="1">Magick!$M$80</f>
        <v>0.13</v>
      </c>
      <c r="Q884" s="67" t="s">
        <v>4602</v>
      </c>
      <c r="R884" s="67">
        <f ca="1">IF(Q884="Ritual","N/A",IF(Q884="I.E.","N/A",IF(Q884="WOG",VLOOKUP(Magick!$I$80*100,magestuff!$B$134:$F$138,2),IF(Q884="Cantrip",VLOOKUP(Magick!$I$80*100,magestuff!$B$134:$F$138,3),IF(Q884="Hex",VLOOKUP(Magick!$I$80*100,magestuff!$B$134:$F$138,4),VLOOKUP(Magick!$I$80*100,magestuff!$B$134:$F$138,5))))))</f>
        <v>19</v>
      </c>
      <c r="S884" s="69" t="str">
        <f>CONCATENATE(IF(Magick!$C$3&gt;0,Magick!$C$3*25," ")," ft.")</f>
        <v xml:space="preserve">  ft.</v>
      </c>
      <c r="T884" s="294" t="str">
        <f>CONCATENATE(IF(Magick!$C$3&gt;0,Magick!$C$3*25," ")," sec.")</f>
        <v xml:space="preserve">  sec.</v>
      </c>
      <c r="U884" s="67" t="str">
        <f t="shared" si="121"/>
        <v xml:space="preserve"> </v>
      </c>
      <c r="V884" s="515"/>
      <c r="W884" s="125"/>
      <c r="X884" s="31">
        <f t="shared" si="122"/>
        <v>0</v>
      </c>
      <c r="Y884" s="509"/>
      <c r="Z884" s="1054" t="str">
        <f t="shared" si="118"/>
        <v>Greater Pull</v>
      </c>
      <c r="AA884" s="1072" t="str">
        <f t="shared" si="119"/>
        <v>Transcendental</v>
      </c>
    </row>
    <row r="885" spans="1:27" hidden="1" outlineLevel="1">
      <c r="A885" s="83" t="s">
        <v>2714</v>
      </c>
      <c r="B885" s="67">
        <v>8</v>
      </c>
      <c r="C885" s="67">
        <f ca="1">magestuff!$X$208</f>
        <v>8</v>
      </c>
      <c r="D885" s="67">
        <f t="shared" si="120"/>
        <v>0</v>
      </c>
      <c r="E885" s="77" t="e">
        <f ca="1">IF(F885="y",HLOOKUP((IF(C885&lt;1,1,C885)),Magick!$C$20:$L$21,2),NA())</f>
        <v>#N/A</v>
      </c>
      <c r="F885" s="67" t="str">
        <f ca="1">IF(C885&lt;=Magick!$D$3,"Y","N")</f>
        <v>N</v>
      </c>
      <c r="G885" s="148" t="s">
        <v>859</v>
      </c>
      <c r="H885" s="151"/>
      <c r="I885" s="77" t="e">
        <f>IF(H885&gt;0,(HLOOKUP(C885,Magick!$C$20:$L$21,2)-HLOOKUP(H885,Magick!$C$20:$L$21,2)),NA())</f>
        <v>#N/A</v>
      </c>
      <c r="J885" s="77"/>
      <c r="K885" s="67" t="s">
        <v>2225</v>
      </c>
      <c r="L885" s="72" t="str">
        <f>IF(H885&gt;0,Magick!$AR$27-('Master Spell List'!H867*0.1),"N/A")</f>
        <v>N/A</v>
      </c>
      <c r="M885" s="72">
        <f ca="1">Magick!$H$80</f>
        <v>0.08</v>
      </c>
      <c r="N885" s="72">
        <f ca="1">Magick!$K$80</f>
        <v>0.13</v>
      </c>
      <c r="O885" s="72">
        <f ca="1">Magick!$L$80</f>
        <v>0.13</v>
      </c>
      <c r="P885" s="72">
        <f ca="1">Magick!$M$80</f>
        <v>0.13</v>
      </c>
      <c r="Q885" s="67" t="s">
        <v>2225</v>
      </c>
      <c r="R885" s="67">
        <f ca="1">IF(Q885="Ritual","N/A",IF(Q885="I.E.","N/A",IF(Q885="WOG",VLOOKUP(Magick!$I$80*100,magestuff!$B$134:$F$138,2),IF(Q885="Cantrip",VLOOKUP(Magick!$I$80*100,magestuff!$B$134:$F$138,3),IF(Q885="Hex",VLOOKUP(Magick!$I$80*100,magestuff!$B$134:$F$138,4),VLOOKUP(Magick!$I$80*100,magestuff!$B$134:$F$138,5))))))</f>
        <v>29</v>
      </c>
      <c r="S885" s="69" t="str">
        <f>CONCATENATE(IF(Magick!$C$3&gt;0,Magick!$C$3*5," ")," ft.")</f>
        <v xml:space="preserve">  ft.</v>
      </c>
      <c r="T885" s="294" t="str">
        <f>CONCATENATE(IF(Magick!$C$3&gt;0,Magick!$C$3*15," ")," min.")</f>
        <v xml:space="preserve">  min.</v>
      </c>
      <c r="U885" s="67" t="str">
        <f t="shared" si="121"/>
        <v xml:space="preserve"> </v>
      </c>
      <c r="V885" s="515"/>
      <c r="W885" s="125"/>
      <c r="X885" s="31">
        <f t="shared" si="122"/>
        <v>0</v>
      </c>
      <c r="Y885" s="509"/>
      <c r="Z885" s="1054" t="str">
        <f t="shared" si="118"/>
        <v>Greater Vigil</v>
      </c>
      <c r="AA885" s="1072" t="str">
        <f t="shared" si="119"/>
        <v>Transcendental</v>
      </c>
    </row>
    <row r="886" spans="1:27" hidden="1" outlineLevel="1">
      <c r="A886" s="83" t="s">
        <v>465</v>
      </c>
      <c r="B886" s="67">
        <v>8</v>
      </c>
      <c r="C886" s="67">
        <f ca="1">magestuff!$X$208</f>
        <v>8</v>
      </c>
      <c r="D886" s="67">
        <f t="shared" si="120"/>
        <v>0</v>
      </c>
      <c r="E886" s="77" t="e">
        <f ca="1">IF(F886="y",HLOOKUP((IF(C886&lt;1,1,C886)),Magick!$C$20:$L$21,2),NA())</f>
        <v>#N/A</v>
      </c>
      <c r="F886" s="67" t="str">
        <f ca="1">IF(C886&lt;=Magick!$D$3,"Y","N")</f>
        <v>N</v>
      </c>
      <c r="G886" s="148" t="s">
        <v>859</v>
      </c>
      <c r="H886" s="151"/>
      <c r="I886" s="77" t="e">
        <f>IF(H886&gt;0,(HLOOKUP(C886,Magick!$C$20:$L$21,2)-HLOOKUP(H886,Magick!$C$20:$L$21,2)),NA())</f>
        <v>#N/A</v>
      </c>
      <c r="J886" s="77"/>
      <c r="K886" s="67" t="s">
        <v>2225</v>
      </c>
      <c r="L886" s="72" t="str">
        <f>IF(H886&gt;0,Magick!$AR$27-('Master Spell List'!H893*0.1),"N/A")</f>
        <v>N/A</v>
      </c>
      <c r="M886" s="72">
        <f ca="1">Magick!$H$80</f>
        <v>0.08</v>
      </c>
      <c r="N886" s="72">
        <f ca="1">Magick!$K$80</f>
        <v>0.13</v>
      </c>
      <c r="O886" s="72">
        <f ca="1">Magick!$L$80</f>
        <v>0.13</v>
      </c>
      <c r="P886" s="72">
        <f ca="1">Magick!$M$80</f>
        <v>0.13</v>
      </c>
      <c r="Q886" s="67" t="s">
        <v>2225</v>
      </c>
      <c r="R886" s="67">
        <f ca="1">IF(Q886="Ritual","N/A",IF(Q886="I.E.","N/A",IF(Q886="WOG",VLOOKUP(Magick!$I$80*100,magestuff!$B$134:$F$138,2),IF(Q886="Cantrip",VLOOKUP(Magick!$I$80*100,magestuff!$B$134:$F$138,3),IF(Q886="Hex",VLOOKUP(Magick!$I$80*100,magestuff!$B$134:$F$138,4),VLOOKUP(Magick!$I$80*100,magestuff!$B$134:$F$138,5))))))</f>
        <v>29</v>
      </c>
      <c r="S886" s="69" t="str">
        <f>CONCATENATE(IF(Magick!$C$3&gt;0,Magick!$C$3*5," ")," ft.")</f>
        <v xml:space="preserve">  ft.</v>
      </c>
      <c r="T886" s="294" t="str">
        <f>CONCATENATE(IF(Magick!$C$3&gt;0,Magick!$C$3*15," ")," min.")</f>
        <v xml:space="preserve">  min.</v>
      </c>
      <c r="U886" s="67" t="str">
        <f t="shared" si="121"/>
        <v xml:space="preserve"> </v>
      </c>
      <c r="V886" s="515"/>
      <c r="W886" s="125"/>
      <c r="X886" s="31">
        <f t="shared" si="122"/>
        <v>0</v>
      </c>
      <c r="Y886" s="509"/>
      <c r="Z886" s="1054" t="str">
        <f t="shared" si="118"/>
        <v>Lesser Cloak from Divination</v>
      </c>
      <c r="AA886" s="1072" t="str">
        <f t="shared" si="119"/>
        <v>Transcendental</v>
      </c>
    </row>
    <row r="887" spans="1:27" hidden="1" outlineLevel="1" collapsed="1">
      <c r="A887" s="31" t="s">
        <v>5445</v>
      </c>
      <c r="B887" s="67">
        <v>9</v>
      </c>
      <c r="C887" s="67">
        <f ca="1">magestuff!$AA$208</f>
        <v>9</v>
      </c>
      <c r="D887" s="67">
        <f t="shared" si="120"/>
        <v>0</v>
      </c>
      <c r="E887" s="77" t="e">
        <f ca="1">IF(F887="y",HLOOKUP((IF(C887&lt;1,1,C887)),Magick!$C$20:$L$21,2),NA())</f>
        <v>#N/A</v>
      </c>
      <c r="F887" s="67" t="str">
        <f ca="1">IF(C887&lt;=Magick!$D$3,"Y","N")</f>
        <v>N</v>
      </c>
      <c r="G887" s="148" t="s">
        <v>128</v>
      </c>
      <c r="H887" s="151"/>
      <c r="I887" s="77" t="e">
        <f>IF(H887&gt;0,(HLOOKUP(C887,Magick!$C$20:$L$21,2)-HLOOKUP(H887,Magick!$C$20:$L$21,2)),NA())</f>
        <v>#N/A</v>
      </c>
      <c r="J887" s="77"/>
      <c r="K887" s="67">
        <v>14</v>
      </c>
      <c r="L887" s="72" t="str">
        <f>IF(H887&gt;0,Magick!$AR$27-('Master Spell List'!H864*0.1),"N/A")</f>
        <v>N/A</v>
      </c>
      <c r="M887" s="72">
        <f ca="1">Magick!$H$80</f>
        <v>0.08</v>
      </c>
      <c r="N887" s="72">
        <f ca="1">Magick!$K$80</f>
        <v>0.13</v>
      </c>
      <c r="O887" s="72">
        <f ca="1">Magick!$L$80</f>
        <v>0.13</v>
      </c>
      <c r="P887" s="72">
        <f ca="1">Magick!$M$80</f>
        <v>0.13</v>
      </c>
      <c r="Q887" s="67" t="s">
        <v>3723</v>
      </c>
      <c r="R887" s="67">
        <f ca="1">IF(Q887="Ritual","N/A",IF(Q887="I.E.","N/A",IF(Q887="WOG",VLOOKUP(Magick!$I$80*100,magestuff!$B$134:$F$138,2),IF(Q887="Cantrip",VLOOKUP(Magick!$I$80*100,magestuff!$B$134:$F$138,3),IF(Q887="Hex",VLOOKUP(Magick!$I$80*100,magestuff!$B$134:$F$138,4),VLOOKUP(Magick!$I$80*100,magestuff!$B$134:$F$138,5))))))</f>
        <v>29</v>
      </c>
      <c r="S887" s="69" t="str">
        <f>CONCATENATE(IF(Magick!$C$3&gt;0,Magick!$C$3*5," ")," ft.")</f>
        <v xml:space="preserve">  ft.</v>
      </c>
      <c r="T887" s="294" t="str">
        <f>CONCATENATE(IF(Magick!$C$3&gt;0,Magick!$C$3*15," ")," sec.")</f>
        <v xml:space="preserve">  sec.</v>
      </c>
      <c r="U887" s="67" t="str">
        <f t="shared" si="121"/>
        <v xml:space="preserve"> </v>
      </c>
      <c r="V887" s="515"/>
      <c r="W887" s="125"/>
      <c r="X887" s="31">
        <f t="shared" si="122"/>
        <v>0</v>
      </c>
      <c r="Y887" s="509"/>
      <c r="Z887" s="1054" t="str">
        <f t="shared" si="118"/>
        <v>Crush the Defiant</v>
      </c>
      <c r="AA887" s="1072" t="str">
        <f t="shared" si="119"/>
        <v>Transcendental</v>
      </c>
    </row>
    <row r="888" spans="1:27" hidden="1" outlineLevel="1">
      <c r="A888" s="83" t="s">
        <v>1809</v>
      </c>
      <c r="B888" s="67">
        <v>9</v>
      </c>
      <c r="C888" s="67">
        <f ca="1">magestuff!$AA$208</f>
        <v>9</v>
      </c>
      <c r="D888" s="67">
        <f t="shared" si="120"/>
        <v>0</v>
      </c>
      <c r="E888" s="77" t="e">
        <f ca="1">IF(F888="y",HLOOKUP((IF(C888&lt;1,1,C888)),Magick!$C$20:$L$21,2),NA())</f>
        <v>#N/A</v>
      </c>
      <c r="F888" s="67" t="str">
        <f ca="1">IF(C888&lt;=Magick!$D$3,"Y","N")</f>
        <v>N</v>
      </c>
      <c r="G888" s="148" t="s">
        <v>859</v>
      </c>
      <c r="H888" s="151"/>
      <c r="I888" s="77" t="e">
        <f>IF(H888&gt;0,(HLOOKUP(C888,Magick!$C$20:$L$21,2)-HLOOKUP(H888,Magick!$C$20:$L$21,2)),NA())</f>
        <v>#N/A</v>
      </c>
      <c r="J888" s="77"/>
      <c r="K888" s="67" t="s">
        <v>2225</v>
      </c>
      <c r="L888" s="72" t="str">
        <f>IF(H888&gt;0,Magick!$AR$27-('Master Spell List'!H873*0.1),"N/A")</f>
        <v>N/A</v>
      </c>
      <c r="M888" s="72">
        <f ca="1">Magick!$H$80</f>
        <v>0.08</v>
      </c>
      <c r="N888" s="72">
        <f ca="1">Magick!$K$80</f>
        <v>0.13</v>
      </c>
      <c r="O888" s="72">
        <f ca="1">Magick!$L$80</f>
        <v>0.13</v>
      </c>
      <c r="P888" s="72">
        <f ca="1">Magick!$M$80</f>
        <v>0.13</v>
      </c>
      <c r="Q888" s="67" t="s">
        <v>2225</v>
      </c>
      <c r="R888" s="67">
        <f ca="1">IF(Q888="Ritual","N/A",IF(Q888="I.E.","N/A",IF(Q888="WOG",VLOOKUP(Magick!$I$80*100,magestuff!$B$134:$F$138,2),IF(Q888="Cantrip",VLOOKUP(Magick!$I$80*100,magestuff!$B$134:$F$138,3),IF(Q888="Hex",VLOOKUP(Magick!$I$80*100,magestuff!$B$134:$F$138,4),VLOOKUP(Magick!$I$80*100,magestuff!$B$134:$F$138,5))))))</f>
        <v>29</v>
      </c>
      <c r="S888" s="69" t="str">
        <f>CONCATENATE(IF(Magick!$C$3&gt;0,Magick!$C$3*5," ")," ft.")</f>
        <v xml:space="preserve">  ft.</v>
      </c>
      <c r="T888" s="294" t="str">
        <f>CONCATENATE(IF(Magick!$C$3&gt;0,Magick!$C$3*15," ")," min.")</f>
        <v xml:space="preserve">  min.</v>
      </c>
      <c r="U888" s="67" t="str">
        <f t="shared" si="121"/>
        <v xml:space="preserve"> </v>
      </c>
      <c r="V888" s="515"/>
      <c r="W888" s="125"/>
      <c r="X888" s="31">
        <f t="shared" si="122"/>
        <v>0</v>
      </c>
      <c r="Y888" s="509"/>
      <c r="Z888" s="1054" t="str">
        <f t="shared" si="118"/>
        <v>Greater Blending of the Mage</v>
      </c>
      <c r="AA888" s="1072" t="str">
        <f t="shared" si="119"/>
        <v>Transcendental</v>
      </c>
    </row>
    <row r="889" spans="1:27" hidden="1" outlineLevel="1">
      <c r="A889" s="83" t="s">
        <v>3872</v>
      </c>
      <c r="B889" s="67">
        <v>9</v>
      </c>
      <c r="C889" s="67">
        <f ca="1">magestuff!$AA$208</f>
        <v>9</v>
      </c>
      <c r="D889" s="67">
        <f t="shared" si="120"/>
        <v>0</v>
      </c>
      <c r="E889" s="77" t="e">
        <f ca="1">IF(F889="y",HLOOKUP((IF(C889&lt;1,1,C889)),Magick!$C$20:$L$21,2),NA())</f>
        <v>#N/A</v>
      </c>
      <c r="F889" s="67" t="str">
        <f ca="1">IF(C889&lt;=Magick!$D$3,"Y","N")</f>
        <v>N</v>
      </c>
      <c r="G889" s="148" t="s">
        <v>859</v>
      </c>
      <c r="H889" s="151"/>
      <c r="I889" s="77" t="e">
        <f>IF(H889&gt;0,(HLOOKUP(C889,Magick!$C$20:$L$21,2)-HLOOKUP(H889,Magick!$C$20:$L$21,2)),NA())</f>
        <v>#N/A</v>
      </c>
      <c r="J889" s="77"/>
      <c r="K889" s="67" t="s">
        <v>2225</v>
      </c>
      <c r="L889" s="72" t="str">
        <f>IF(H889&gt;0,Magick!$AR$27-('Master Spell List'!H877*0.1),"N/A")</f>
        <v>N/A</v>
      </c>
      <c r="M889" s="72">
        <f ca="1">Magick!$H$80</f>
        <v>0.08</v>
      </c>
      <c r="N889" s="72">
        <f ca="1">Magick!$K$80</f>
        <v>0.13</v>
      </c>
      <c r="O889" s="72">
        <f ca="1">Magick!$L$80</f>
        <v>0.13</v>
      </c>
      <c r="P889" s="72">
        <f ca="1">Magick!$M$80</f>
        <v>0.13</v>
      </c>
      <c r="Q889" s="67" t="s">
        <v>2225</v>
      </c>
      <c r="R889" s="67">
        <f ca="1">IF(Q889="Ritual","N/A",IF(Q889="I.E.","N/A",IF(Q889="WOG",VLOOKUP(Magick!$I$80*100,magestuff!$B$134:$F$138,2),IF(Q889="Cantrip",VLOOKUP(Magick!$I$80*100,magestuff!$B$134:$F$138,3),IF(Q889="Hex",VLOOKUP(Magick!$I$80*100,magestuff!$B$134:$F$138,4),VLOOKUP(Magick!$I$80*100,magestuff!$B$134:$F$138,5))))))</f>
        <v>29</v>
      </c>
      <c r="S889" s="69" t="str">
        <f>CONCATENATE(IF(Magick!$C$3&gt;0,Magick!$C$3*5," ")," ft.")</f>
        <v xml:space="preserve">  ft.</v>
      </c>
      <c r="T889" s="294" t="str">
        <f>CONCATENATE(IF(Magick!$C$3&gt;0,Magick!$C$3*15," ")," min.")</f>
        <v xml:space="preserve">  min.</v>
      </c>
      <c r="U889" s="67" t="str">
        <f t="shared" si="121"/>
        <v xml:space="preserve"> </v>
      </c>
      <c r="V889" s="515"/>
      <c r="W889" s="125"/>
      <c r="X889" s="31">
        <f t="shared" si="122"/>
        <v>0</v>
      </c>
      <c r="Y889" s="509"/>
      <c r="Z889" s="1054" t="str">
        <f t="shared" si="118"/>
        <v>Greater Gift of Understanding</v>
      </c>
      <c r="AA889" s="1072" t="str">
        <f t="shared" si="119"/>
        <v>Transcendental</v>
      </c>
    </row>
    <row r="890" spans="1:27" hidden="1" outlineLevel="1">
      <c r="A890" s="83" t="s">
        <v>4080</v>
      </c>
      <c r="B890" s="67">
        <v>9</v>
      </c>
      <c r="C890" s="67">
        <f ca="1">magestuff!$AA$208</f>
        <v>9</v>
      </c>
      <c r="D890" s="67">
        <f t="shared" si="120"/>
        <v>0</v>
      </c>
      <c r="E890" s="77" t="e">
        <f ca="1">IF(F890="y",HLOOKUP((IF(C890&lt;1,1,C890)),Magick!$C$20:$L$21,2),NA())</f>
        <v>#N/A</v>
      </c>
      <c r="F890" s="67" t="str">
        <f ca="1">IF(C890&lt;=Magick!$D$3,"Y","N")</f>
        <v>N</v>
      </c>
      <c r="G890" s="148" t="s">
        <v>859</v>
      </c>
      <c r="H890" s="151"/>
      <c r="I890" s="77" t="e">
        <f>IF(H890&gt;0,(HLOOKUP(C890,Magick!$C$20:$L$21,2)-HLOOKUP(H890,Magick!$C$20:$L$21,2)),NA())</f>
        <v>#N/A</v>
      </c>
      <c r="J890" s="77"/>
      <c r="K890" s="67" t="s">
        <v>2225</v>
      </c>
      <c r="L890" s="72" t="str">
        <f>IF(H890&gt;0,Magick!$AR$27-('Master Spell List'!H875*0.1),"N/A")</f>
        <v>N/A</v>
      </c>
      <c r="M890" s="72">
        <f ca="1">Magick!$H$80</f>
        <v>0.08</v>
      </c>
      <c r="N890" s="72">
        <f ca="1">Magick!$K$80</f>
        <v>0.13</v>
      </c>
      <c r="O890" s="72">
        <f ca="1">Magick!$L$80</f>
        <v>0.13</v>
      </c>
      <c r="P890" s="72">
        <f ca="1">Magick!$M$80</f>
        <v>0.13</v>
      </c>
      <c r="Q890" s="67" t="s">
        <v>2225</v>
      </c>
      <c r="R890" s="67">
        <f ca="1">IF(Q890="Ritual","N/A",IF(Q890="I.E.","N/A",IF(Q890="WOG",VLOOKUP(Magick!$I$80*100,magestuff!$B$134:$F$138,2),IF(Q890="Cantrip",VLOOKUP(Magick!$I$80*100,magestuff!$B$134:$F$138,3),IF(Q890="Hex",VLOOKUP(Magick!$I$80*100,magestuff!$B$134:$F$138,4),VLOOKUP(Magick!$I$80*100,magestuff!$B$134:$F$138,5))))))</f>
        <v>29</v>
      </c>
      <c r="S890" s="69" t="str">
        <f>CONCATENATE(IF(Magick!$C$3&gt;0,Magick!$C$3*5," ")," ft.")</f>
        <v xml:space="preserve">  ft.</v>
      </c>
      <c r="T890" s="294" t="str">
        <f>CONCATENATE(IF(Magick!$C$3&gt;0,Magick!$C$3*15," ")," min.")</f>
        <v xml:space="preserve">  min.</v>
      </c>
      <c r="U890" s="67" t="str">
        <f t="shared" si="121"/>
        <v xml:space="preserve"> </v>
      </c>
      <c r="V890" s="515"/>
      <c r="W890" s="125"/>
      <c r="X890" s="31">
        <f t="shared" si="122"/>
        <v>0</v>
      </c>
      <c r="Y890" s="509"/>
      <c r="Z890" s="1054" t="str">
        <f t="shared" si="118"/>
        <v>Greater Stealth of the Mage</v>
      </c>
      <c r="AA890" s="1072" t="str">
        <f t="shared" si="119"/>
        <v>Transcendental</v>
      </c>
    </row>
    <row r="891" spans="1:27" hidden="1" outlineLevel="1">
      <c r="A891" s="83" t="s">
        <v>477</v>
      </c>
      <c r="B891" s="67">
        <v>9</v>
      </c>
      <c r="C891" s="67">
        <f ca="1">magestuff!$AA$208</f>
        <v>9</v>
      </c>
      <c r="D891" s="67">
        <f t="shared" si="120"/>
        <v>0</v>
      </c>
      <c r="E891" s="77" t="e">
        <f ca="1">IF(F891="y",HLOOKUP((IF(C891&lt;1,1,C891)),Magick!$C$20:$L$21,2),NA())</f>
        <v>#N/A</v>
      </c>
      <c r="F891" s="67" t="str">
        <f ca="1">IF(C891&lt;=Magick!$D$3,"Y","N")</f>
        <v>N</v>
      </c>
      <c r="G891" s="148" t="s">
        <v>859</v>
      </c>
      <c r="H891" s="151"/>
      <c r="I891" s="77" t="e">
        <f>IF(H891&gt;0,(HLOOKUP(C891,Magick!$C$20:$L$21,2)-HLOOKUP(H891,Magick!$C$20:$L$21,2)),NA())</f>
        <v>#N/A</v>
      </c>
      <c r="J891" s="77"/>
      <c r="K891" s="67" t="s">
        <v>2816</v>
      </c>
      <c r="L891" s="72" t="str">
        <f>IF(H891&gt;0,Magick!$AR$27-('Master Spell List'!H891*0.1),"N/A")</f>
        <v>N/A</v>
      </c>
      <c r="M891" s="72">
        <f ca="1">Magick!$H$80</f>
        <v>0.08</v>
      </c>
      <c r="N891" s="72">
        <f ca="1">Magick!$K$80</f>
        <v>0.13</v>
      </c>
      <c r="O891" s="72">
        <f ca="1">Magick!$L$80</f>
        <v>0.13</v>
      </c>
      <c r="P891" s="72">
        <f ca="1">Magick!$M$80</f>
        <v>0.13</v>
      </c>
      <c r="Q891" s="67" t="s">
        <v>4602</v>
      </c>
      <c r="R891" s="67">
        <f ca="1">IF(Q891="Ritual","N/A",IF(Q891="I.E.","N/A",IF(Q891="WOG",VLOOKUP(Magick!$I$80*100,magestuff!$B$134:$F$138,2),IF(Q891="Cantrip",VLOOKUP(Magick!$I$80*100,magestuff!$B$134:$F$138,3),IF(Q891="Hex",VLOOKUP(Magick!$I$80*100,magestuff!$B$134:$F$138,4),VLOOKUP(Magick!$I$80*100,magestuff!$B$134:$F$138,5))))))</f>
        <v>19</v>
      </c>
      <c r="S891" s="69" t="str">
        <f>CONCATENATE(IF(Magick!$C$3&gt;0,Magick!$C$3*50," ")," ft.")</f>
        <v xml:space="preserve">  ft.</v>
      </c>
      <c r="T891" s="294" t="str">
        <f>CONCATENATE(IF(Magick!$C$3&gt;0,Magick!$C$3," ")," min.")</f>
        <v xml:space="preserve">  min.</v>
      </c>
      <c r="U891" s="67" t="str">
        <f t="shared" si="121"/>
        <v xml:space="preserve"> </v>
      </c>
      <c r="V891" s="515"/>
      <c r="W891" s="125"/>
      <c r="X891" s="31">
        <f t="shared" si="122"/>
        <v>0</v>
      </c>
      <c r="Y891" s="509"/>
      <c r="Z891" s="1054" t="str">
        <f t="shared" si="118"/>
        <v>Greatest Push</v>
      </c>
      <c r="AA891" s="1072" t="str">
        <f t="shared" si="119"/>
        <v>Transcendental</v>
      </c>
    </row>
    <row r="892" spans="1:27" hidden="1" outlineLevel="1">
      <c r="A892" s="31" t="s">
        <v>5446</v>
      </c>
      <c r="B892" s="67">
        <v>9</v>
      </c>
      <c r="C892" s="67">
        <f ca="1">magestuff!$AA$208</f>
        <v>9</v>
      </c>
      <c r="D892" s="67">
        <f t="shared" si="120"/>
        <v>0</v>
      </c>
      <c r="E892" s="77" t="e">
        <f ca="1">IF(F892="y",HLOOKUP((IF(C892&lt;1,1,C892)),Magick!$C$20:$L$21,2),NA())</f>
        <v>#N/A</v>
      </c>
      <c r="F892" s="67" t="str">
        <f ca="1">IF(C892&lt;=Magick!$D$3,"Y","N")</f>
        <v>N</v>
      </c>
      <c r="G892" s="148" t="s">
        <v>128</v>
      </c>
      <c r="H892" s="151"/>
      <c r="I892" s="77" t="e">
        <f>IF(H892&gt;0,(HLOOKUP(C892,Magick!$C$20:$L$21,2)-HLOOKUP(H892,Magick!$C$20:$L$21,2)),NA())</f>
        <v>#N/A</v>
      </c>
      <c r="J892" s="77"/>
      <c r="K892" s="67">
        <v>14</v>
      </c>
      <c r="L892" s="72" t="str">
        <f>IF(H892&gt;0,Magick!$AR$27-('Master Spell List'!H865*0.1),"N/A")</f>
        <v>N/A</v>
      </c>
      <c r="M892" s="72">
        <f ca="1">Magick!$H$80</f>
        <v>0.08</v>
      </c>
      <c r="N892" s="72">
        <f ca="1">Magick!$K$80</f>
        <v>0.13</v>
      </c>
      <c r="O892" s="72">
        <f ca="1">Magick!$L$80</f>
        <v>0.13</v>
      </c>
      <c r="P892" s="72">
        <f ca="1">Magick!$M$80</f>
        <v>0.13</v>
      </c>
      <c r="Q892" s="67" t="s">
        <v>3723</v>
      </c>
      <c r="R892" s="67">
        <f ca="1">IF(Q892="Ritual","N/A",IF(Q892="I.E.","N/A",IF(Q892="WOG",VLOOKUP(Magick!$I$80*100,magestuff!$B$134:$F$138,2),IF(Q892="Cantrip",VLOOKUP(Magick!$I$80*100,magestuff!$B$134:$F$138,3),IF(Q892="Hex",VLOOKUP(Magick!$I$80*100,magestuff!$B$134:$F$138,4),VLOOKUP(Magick!$I$80*100,magestuff!$B$134:$F$138,5))))))</f>
        <v>29</v>
      </c>
      <c r="S892" s="69" t="str">
        <f>CONCATENATE(IF(Magick!$C$3&gt;0,Magick!$C$3*5," ")," ft.")</f>
        <v xml:space="preserve">  ft.</v>
      </c>
      <c r="T892" s="294" t="str">
        <f>CONCATENATE(IF(Magick!$C$3&gt;0,Magick!$C$3*15," ")," min.")</f>
        <v xml:space="preserve">  min.</v>
      </c>
      <c r="U892" s="67" t="str">
        <f t="shared" si="121"/>
        <v xml:space="preserve"> </v>
      </c>
      <c r="V892" s="515"/>
      <c r="W892" s="125"/>
      <c r="X892" s="31">
        <f t="shared" si="122"/>
        <v>0</v>
      </c>
      <c r="Y892" s="509"/>
      <c r="Z892" s="1054" t="str">
        <f t="shared" si="118"/>
        <v>Kinship</v>
      </c>
      <c r="AA892" s="1072" t="str">
        <f t="shared" si="119"/>
        <v>Transcendental</v>
      </c>
    </row>
    <row r="893" spans="1:27" hidden="1" outlineLevel="1">
      <c r="A893" s="83" t="s">
        <v>466</v>
      </c>
      <c r="B893" s="67">
        <v>10</v>
      </c>
      <c r="C893" s="67">
        <f ca="1">magestuff!$AD$208</f>
        <v>10</v>
      </c>
      <c r="D893" s="67">
        <f t="shared" si="120"/>
        <v>0</v>
      </c>
      <c r="E893" s="77" t="e">
        <f ca="1">IF(F893="y",HLOOKUP((IF(C893&lt;1,1,C893)),Magick!$C$20:$L$21,2),NA())</f>
        <v>#N/A</v>
      </c>
      <c r="F893" s="67" t="str">
        <f ca="1">IF(C893&lt;=Magick!$D$3,"Y","N")</f>
        <v>N</v>
      </c>
      <c r="G893" s="148" t="s">
        <v>859</v>
      </c>
      <c r="H893" s="151"/>
      <c r="I893" s="77" t="e">
        <f>IF(H893&gt;0,(HLOOKUP(C893,Magick!$C$20:$L$21,2)-HLOOKUP(H893,Magick!$C$20:$L$21,2)),NA())</f>
        <v>#N/A</v>
      </c>
      <c r="J893" s="77"/>
      <c r="K893" s="67" t="s">
        <v>2225</v>
      </c>
      <c r="L893" s="72" t="str">
        <f>IF(H893&gt;0,Magick!$AR$27-('Master Spell List'!H894*0.1),"N/A")</f>
        <v>N/A</v>
      </c>
      <c r="M893" s="72">
        <f ca="1">Magick!$H$80</f>
        <v>0.08</v>
      </c>
      <c r="N893" s="72">
        <f ca="1">Magick!$K$80</f>
        <v>0.13</v>
      </c>
      <c r="O893" s="72">
        <f ca="1">Magick!$L$80</f>
        <v>0.13</v>
      </c>
      <c r="P893" s="72">
        <f ca="1">Magick!$M$80</f>
        <v>0.13</v>
      </c>
      <c r="Q893" s="67" t="s">
        <v>2225</v>
      </c>
      <c r="R893" s="67">
        <f ca="1">IF(Q893="Ritual","N/A",IF(Q893="I.E.","N/A",IF(Q893="WOG",VLOOKUP(Magick!$I$80*100,magestuff!$B$134:$F$138,2),IF(Q893="Cantrip",VLOOKUP(Magick!$I$80*100,magestuff!$B$134:$F$138,3),IF(Q893="Hex",VLOOKUP(Magick!$I$80*100,magestuff!$B$134:$F$138,4),VLOOKUP(Magick!$I$80*100,magestuff!$B$134:$F$138,5))))))</f>
        <v>29</v>
      </c>
      <c r="S893" s="69" t="str">
        <f>CONCATENATE(IF(Magick!$C$3&gt;0,Magick!$C$3*5," ")," ft.")</f>
        <v xml:space="preserve">  ft.</v>
      </c>
      <c r="T893" s="294" t="str">
        <f>CONCATENATE(IF(Magick!$C$3&gt;0,Magick!$C$3*15," ")," min.")</f>
        <v xml:space="preserve">  min.</v>
      </c>
      <c r="U893" s="67" t="str">
        <f t="shared" si="121"/>
        <v xml:space="preserve"> </v>
      </c>
      <c r="V893" s="515"/>
      <c r="W893" s="125"/>
      <c r="X893" s="31">
        <f t="shared" si="122"/>
        <v>0</v>
      </c>
      <c r="Y893" s="509"/>
      <c r="Z893" s="1054" t="str">
        <f t="shared" si="118"/>
        <v>Great Cloak from Divination</v>
      </c>
      <c r="AA893" s="1072" t="str">
        <f t="shared" si="119"/>
        <v>Transcendental</v>
      </c>
    </row>
    <row r="894" spans="1:27" hidden="1" outlineLevel="1">
      <c r="A894" s="83" t="s">
        <v>472</v>
      </c>
      <c r="B894" s="67">
        <v>10</v>
      </c>
      <c r="C894" s="67">
        <f ca="1">magestuff!$AD$208</f>
        <v>10</v>
      </c>
      <c r="D894" s="67">
        <f t="shared" si="120"/>
        <v>0</v>
      </c>
      <c r="E894" s="77" t="e">
        <f ca="1">IF(F894="y",HLOOKUP((IF(C894&lt;1,1,C894)),Magick!$C$20:$L$21,2),NA())</f>
        <v>#N/A</v>
      </c>
      <c r="F894" s="67" t="str">
        <f ca="1">IF(C894&lt;=Magick!$D$3,"Y","N")</f>
        <v>N</v>
      </c>
      <c r="G894" s="148" t="s">
        <v>859</v>
      </c>
      <c r="H894" s="151"/>
      <c r="I894" s="77" t="e">
        <f>IF(H894&gt;0,(HLOOKUP(C894,Magick!$C$20:$L$21,2)-HLOOKUP(H894,Magick!$C$20:$L$21,2)),NA())</f>
        <v>#N/A</v>
      </c>
      <c r="J894" s="77"/>
      <c r="K894" s="67" t="s">
        <v>2816</v>
      </c>
      <c r="L894" s="72" t="str">
        <f>IF(H894&gt;0,Magick!$AR$27-('Master Spell List'!H886*0.1),"N/A")</f>
        <v>N/A</v>
      </c>
      <c r="M894" s="72">
        <f ca="1">Magick!$H$80</f>
        <v>0.08</v>
      </c>
      <c r="N894" s="72">
        <f ca="1">Magick!$K$80</f>
        <v>0.13</v>
      </c>
      <c r="O894" s="72">
        <f ca="1">Magick!$L$80</f>
        <v>0.13</v>
      </c>
      <c r="P894" s="72">
        <f ca="1">Magick!$M$80</f>
        <v>0.13</v>
      </c>
      <c r="Q894" s="67" t="s">
        <v>4602</v>
      </c>
      <c r="R894" s="67">
        <f ca="1">IF(Q894="Ritual","N/A",IF(Q894="I.E.","N/A",IF(Q894="WOG",VLOOKUP(Magick!$I$80*100,magestuff!$B$134:$F$138,2),IF(Q894="Cantrip",VLOOKUP(Magick!$I$80*100,magestuff!$B$134:$F$138,3),IF(Q894="Hex",VLOOKUP(Magick!$I$80*100,magestuff!$B$134:$F$138,4),VLOOKUP(Magick!$I$80*100,magestuff!$B$134:$F$138,5))))))</f>
        <v>19</v>
      </c>
      <c r="S894" s="69" t="str">
        <f>CONCATENATE(IF(Magick!$C$3&gt;0,Magick!$C$3*50," ")," ft.")</f>
        <v xml:space="preserve">  ft.</v>
      </c>
      <c r="T894" s="294" t="str">
        <f>CONCATENATE(IF(Magick!$C$3&gt;0,Magick!$C$3," ")," min.")</f>
        <v xml:space="preserve">  min.</v>
      </c>
      <c r="U894" s="67" t="str">
        <f t="shared" si="121"/>
        <v xml:space="preserve"> </v>
      </c>
      <c r="V894" s="515"/>
      <c r="W894" s="125"/>
      <c r="X894" s="31">
        <f t="shared" si="122"/>
        <v>0</v>
      </c>
      <c r="Y894" s="509"/>
      <c r="Z894" s="1054" t="str">
        <f t="shared" si="118"/>
        <v>Greatest Pull</v>
      </c>
      <c r="AA894" s="1072" t="str">
        <f t="shared" si="119"/>
        <v>Transcendental</v>
      </c>
    </row>
    <row r="895" spans="1:27" hidden="1" outlineLevel="1">
      <c r="A895" s="83" t="s">
        <v>467</v>
      </c>
      <c r="B895" s="67">
        <v>13</v>
      </c>
      <c r="C895" s="67">
        <f ca="1">magestuff!$AD$208+3</f>
        <v>13</v>
      </c>
      <c r="D895" s="67">
        <f t="shared" si="120"/>
        <v>0</v>
      </c>
      <c r="E895" s="77" t="e">
        <f ca="1">IF(F895="y",HLOOKUP((IF(C895&lt;1,1,C895)),Magick!$C$20:$L$21,2),NA())</f>
        <v>#N/A</v>
      </c>
      <c r="F895" s="67" t="str">
        <f ca="1">IF(C895&lt;=Magick!$D$3,"Y","N")</f>
        <v>N</v>
      </c>
      <c r="G895" s="148" t="s">
        <v>859</v>
      </c>
      <c r="H895" s="151"/>
      <c r="I895" s="77" t="e">
        <f>IF(H895&gt;0,(HLOOKUP(C895,Magick!$C$20:$L$21,2)-HLOOKUP(H895,Magick!$C$20:$L$21,2)),NA())</f>
        <v>#N/A</v>
      </c>
      <c r="J895" s="77"/>
      <c r="K895" s="67" t="s">
        <v>2225</v>
      </c>
      <c r="L895" s="72" t="str">
        <f>IF(H895&gt;0,Magick!$AR$27-('Master Spell List'!H895*0.1),"N/A")</f>
        <v>N/A</v>
      </c>
      <c r="M895" s="72">
        <f ca="1">Magick!$H$80</f>
        <v>0.08</v>
      </c>
      <c r="N895" s="72">
        <f ca="1">Magick!$K$80</f>
        <v>0.13</v>
      </c>
      <c r="O895" s="72">
        <f ca="1">Magick!$L$80</f>
        <v>0.13</v>
      </c>
      <c r="P895" s="72">
        <f ca="1">Magick!$M$80</f>
        <v>0.13</v>
      </c>
      <c r="Q895" s="67" t="s">
        <v>2225</v>
      </c>
      <c r="R895" s="67">
        <f ca="1">IF(Q895="Ritual","N/A",IF(Q895="I.E.","N/A",IF(Q895="WOG",VLOOKUP(Magick!$I$80*100,magestuff!$B$134:$F$138,2),IF(Q895="Cantrip",VLOOKUP(Magick!$I$80*100,magestuff!$B$134:$F$138,3),IF(Q895="Hex",VLOOKUP(Magick!$I$80*100,magestuff!$B$134:$F$138,4),VLOOKUP(Magick!$I$80*100,magestuff!$B$134:$F$138,5))))))</f>
        <v>29</v>
      </c>
      <c r="S895" s="69" t="str">
        <f>CONCATENATE(IF(Magick!$C$3&gt;0,Magick!$C$3*5," ")," ft.")</f>
        <v xml:space="preserve">  ft.</v>
      </c>
      <c r="T895" s="294" t="str">
        <f>CONCATENATE(IF(Magick!$C$3&gt;0,Magick!$C$3*15," ")," min.")</f>
        <v xml:space="preserve">  min.</v>
      </c>
      <c r="U895" s="67" t="str">
        <f t="shared" si="121"/>
        <v xml:space="preserve"> </v>
      </c>
      <c r="V895" s="515"/>
      <c r="W895" s="125"/>
      <c r="X895" s="31">
        <f t="shared" si="122"/>
        <v>0</v>
      </c>
      <c r="Y895" s="509"/>
      <c r="Z895" s="1054" t="str">
        <f t="shared" si="118"/>
        <v>Greater Cloak from Divination</v>
      </c>
      <c r="AA895" s="1072" t="str">
        <f t="shared" si="119"/>
        <v>Transcendental</v>
      </c>
    </row>
    <row r="896" spans="1:27" collapsed="1">
      <c r="A896" s="48" t="s">
        <v>4815</v>
      </c>
      <c r="B896" s="76">
        <f>SUM(B897:B943)</f>
        <v>240</v>
      </c>
      <c r="C896" s="76">
        <f ca="1">SUM(C897:C943)</f>
        <v>240</v>
      </c>
      <c r="D896" s="76">
        <f>SUM(D897:D943)</f>
        <v>0</v>
      </c>
      <c r="E896" s="76"/>
      <c r="F896" s="149">
        <f ca="1">SUM(C897:C906)+IF(F907="Y",SUM(C907:C912),0)+IF(F913="Y",SUM(C913:C919),0)+IF(F920="Y",SUM(C920:C924),0)+IF(F925="Y",SUM(C925:C928),0)+IF(F929="Y",SUM(C929:C933),0)+IF(F934="Y",SUM(C934:C935),0)+IF(F936="Y",SUM(C936:C937),0)+IF(F938="Y",SUM(C938:C941),0)+IF(F942="Y",SUM(C942:C943),0)</f>
        <v>14</v>
      </c>
      <c r="G896" s="76"/>
      <c r="H896" s="150"/>
      <c r="I896" s="76"/>
      <c r="J896" s="76"/>
      <c r="K896" s="76"/>
      <c r="L896" s="76"/>
      <c r="M896" s="222">
        <f ca="1">Magick!$H$81</f>
        <v>0.08</v>
      </c>
      <c r="N896" s="222">
        <f ca="1">Magick!$K$81</f>
        <v>0.13</v>
      </c>
      <c r="O896" s="222">
        <f ca="1">Magick!$L$81</f>
        <v>0.13</v>
      </c>
      <c r="P896" s="222">
        <f ca="1">Magick!$M$81</f>
        <v>0.13</v>
      </c>
      <c r="Q896" s="76"/>
      <c r="R896" s="76"/>
      <c r="S896" s="76"/>
      <c r="T896" s="76"/>
      <c r="U896" s="149">
        <f>SUM(U897:U943)</f>
        <v>0</v>
      </c>
      <c r="V896" s="76"/>
      <c r="W896" s="76"/>
      <c r="X896" s="149"/>
      <c r="Y896" s="509"/>
      <c r="Z896" s="1054" t="str">
        <f t="shared" si="118"/>
        <v>Transmutational</v>
      </c>
      <c r="AA896" s="1072" t="str">
        <f t="shared" si="119"/>
        <v>Transcendental</v>
      </c>
    </row>
    <row r="897" spans="1:27" hidden="1" outlineLevel="1">
      <c r="A897" s="31" t="s">
        <v>5454</v>
      </c>
      <c r="B897" s="67">
        <v>1</v>
      </c>
      <c r="C897" s="67">
        <f ca="1">IF(magestuff!$C$209&lt;1,1,magestuff!$C$209)</f>
        <v>1</v>
      </c>
      <c r="D897" s="67">
        <f t="shared" ref="D897:D943" si="123">IF(AND(ISNUMBER(H897),H897=0),C897,0)</f>
        <v>0</v>
      </c>
      <c r="E897" s="77">
        <f ca="1">IF(F897="y",HLOOKUP((IF(C897&lt;1,1,C897)),Magick!$C$20:$L$21,2),NA())</f>
        <v>10</v>
      </c>
      <c r="F897" s="67" t="str">
        <f ca="1">IF(C897&lt;=Magick!$D$3,"Y","N")</f>
        <v>Y</v>
      </c>
      <c r="G897" s="148" t="s">
        <v>128</v>
      </c>
      <c r="H897" s="151"/>
      <c r="I897" s="77" t="e">
        <f>IF(H897&gt;0,(HLOOKUP(C897,Magick!$C$20:$L$21,2)-HLOOKUP(H897,Magick!$C$20:$L$21,2)),NA())</f>
        <v>#N/A</v>
      </c>
      <c r="J897" s="77"/>
      <c r="K897" s="67">
        <v>3</v>
      </c>
      <c r="L897" s="72" t="str">
        <f>IF(H897&gt;0,Magick!$AR$29-('Master Spell List'!H897*0.1),"N/A")</f>
        <v>N/A</v>
      </c>
      <c r="M897" s="72">
        <f ca="1">Magick!$H$81</f>
        <v>0.08</v>
      </c>
      <c r="N897" s="72">
        <f ca="1">Magick!$K$81</f>
        <v>0.13</v>
      </c>
      <c r="O897" s="72">
        <f ca="1">Magick!$L$81</f>
        <v>0.13</v>
      </c>
      <c r="P897" s="72">
        <f ca="1">Magick!$M$81</f>
        <v>0.13</v>
      </c>
      <c r="Q897" s="67" t="s">
        <v>4603</v>
      </c>
      <c r="R897" s="67">
        <f ca="1">IF(Q897="Ritual","N/A",IF(Q897="I.E.","N/A",IF(Q897="WOG",VLOOKUP(Magick!$I$81*100,magestuff!$B$134:$F$138,2),IF(Q897="Cantrip",VLOOKUP(Magick!$I$81*100,magestuff!$B$134:$F$138,3),IF(Q897="Hex",VLOOKUP(Magick!$I$81*100,magestuff!$B$134:$F$138,4),VLOOKUP(Magick!$I$81*100,magestuff!$B$134:$F$138,5))))))</f>
        <v>9</v>
      </c>
      <c r="S897" s="67" t="s">
        <v>1984</v>
      </c>
      <c r="T897" s="294" t="str">
        <f>CONCATENATE(IF(Magick!$C$3&gt;0,Magick!$C$3*45," ")," sec.")</f>
        <v xml:space="preserve">  sec.</v>
      </c>
      <c r="U897" s="67" t="str">
        <f t="shared" ref="U897:U943" si="124">IF(ISBLANK(H897)," ",IF(H897&gt;0,0,C897*10))</f>
        <v xml:space="preserve"> </v>
      </c>
      <c r="V897" s="515"/>
      <c r="W897" s="125"/>
      <c r="X897" s="31">
        <f t="shared" ref="X897:X943" si="125">W897*3</f>
        <v>0</v>
      </c>
      <c r="Y897" s="509"/>
      <c r="Z897" s="1054" t="str">
        <f t="shared" si="118"/>
        <v>Armoured Skin - Armour of Stout Leather</v>
      </c>
      <c r="AA897" s="1072" t="str">
        <f t="shared" si="119"/>
        <v>Transcendental</v>
      </c>
    </row>
    <row r="898" spans="1:27" hidden="1" outlineLevel="1">
      <c r="A898" s="31" t="s">
        <v>5198</v>
      </c>
      <c r="B898" s="67">
        <v>1</v>
      </c>
      <c r="C898" s="67">
        <f ca="1">IF(magestuff!$C$209&lt;1,1,magestuff!$C$209)</f>
        <v>1</v>
      </c>
      <c r="D898" s="67">
        <f t="shared" si="123"/>
        <v>0</v>
      </c>
      <c r="E898" s="77">
        <f ca="1">IF(F898="y",HLOOKUP((IF(C898&lt;1,1,C898)),Magick!$C$20:$L$21,2),NA())</f>
        <v>10</v>
      </c>
      <c r="F898" s="67" t="str">
        <f ca="1">IF(C898&lt;=Magick!$D$3,"Y","N")</f>
        <v>Y</v>
      </c>
      <c r="G898" s="148" t="s">
        <v>128</v>
      </c>
      <c r="H898" s="151"/>
      <c r="I898" s="77" t="e">
        <f>IF(H898&gt;0,(HLOOKUP(C898,Magick!$C$20:$L$21,2)-HLOOKUP(H898,Magick!$C$20:$L$21,2)),NA())</f>
        <v>#N/A</v>
      </c>
      <c r="J898" s="77"/>
      <c r="K898" s="67">
        <v>3</v>
      </c>
      <c r="L898" s="72" t="str">
        <f>IF(H898&gt;0,Magick!$AR$29-('Master Spell List'!H907*0.1),"N/A")</f>
        <v>N/A</v>
      </c>
      <c r="M898" s="72">
        <f ca="1">Magick!$H$81</f>
        <v>0.08</v>
      </c>
      <c r="N898" s="72">
        <f ca="1">Magick!$K$81</f>
        <v>0.13</v>
      </c>
      <c r="O898" s="72">
        <f ca="1">Magick!$L$81</f>
        <v>0.13</v>
      </c>
      <c r="P898" s="72">
        <f ca="1">Magick!$M$81</f>
        <v>0.13</v>
      </c>
      <c r="Q898" s="67" t="s">
        <v>4603</v>
      </c>
      <c r="R898" s="67">
        <f ca="1">IF(Q898="Ritual","N/A",IF(Q898="I.E.","N/A",IF(Q898="WOG",VLOOKUP(Magick!$I$81*100,magestuff!$B$134:$F$138,2),IF(Q898="Cantrip",VLOOKUP(Magick!$I$81*100,magestuff!$B$134:$F$138,3),IF(Q898="Hex",VLOOKUP(Magick!$I$81*100,magestuff!$B$134:$F$138,4),VLOOKUP(Magick!$I$81*100,magestuff!$B$134:$F$138,5))))))</f>
        <v>9</v>
      </c>
      <c r="S898" s="67" t="s">
        <v>1984</v>
      </c>
      <c r="T898" s="294" t="str">
        <f>CONCATENATE(IF(Magick!$C$3&gt;0,Magick!$C$3*30," ")," min.")</f>
        <v xml:space="preserve">  min.</v>
      </c>
      <c r="U898" s="67" t="str">
        <f t="shared" si="124"/>
        <v xml:space="preserve"> </v>
      </c>
      <c r="V898" s="515"/>
      <c r="W898" s="125"/>
      <c r="X898" s="31">
        <f t="shared" si="125"/>
        <v>0</v>
      </c>
      <c r="Y898" s="509"/>
      <c r="Z898" s="1054" t="str">
        <f t="shared" ref="Z898:Z961" si="126">A898</f>
        <v>Keen Hearing</v>
      </c>
      <c r="AA898" s="1072" t="str">
        <f t="shared" si="119"/>
        <v>Transcendental</v>
      </c>
    </row>
    <row r="899" spans="1:27" hidden="1" outlineLevel="1">
      <c r="A899" s="31" t="s">
        <v>5197</v>
      </c>
      <c r="B899" s="67">
        <v>1</v>
      </c>
      <c r="C899" s="67">
        <f ca="1">IF(magestuff!$C$209&lt;1,1,magestuff!$C$209)</f>
        <v>1</v>
      </c>
      <c r="D899" s="67">
        <f t="shared" si="123"/>
        <v>0</v>
      </c>
      <c r="E899" s="77">
        <f ca="1">IF(F899="y",HLOOKUP((IF(C899&lt;1,1,C899)),Magick!$C$20:$L$21,2),NA())</f>
        <v>10</v>
      </c>
      <c r="F899" s="67" t="str">
        <f ca="1">IF(C899&lt;=Magick!$D$3,"Y","N")</f>
        <v>Y</v>
      </c>
      <c r="G899" s="148" t="s">
        <v>128</v>
      </c>
      <c r="H899" s="151"/>
      <c r="I899" s="77" t="e">
        <f>IF(H899&gt;0,(HLOOKUP(C899,Magick!$C$20:$L$21,2)-HLOOKUP(H899,Magick!$C$20:$L$21,2)),NA())</f>
        <v>#N/A</v>
      </c>
      <c r="J899" s="77"/>
      <c r="K899" s="67">
        <v>3</v>
      </c>
      <c r="L899" s="72" t="str">
        <f>IF(H899&gt;0,Magick!$AR$29-('Master Spell List'!H906*0.1),"N/A")</f>
        <v>N/A</v>
      </c>
      <c r="M899" s="72">
        <f ca="1">Magick!$H$81</f>
        <v>0.08</v>
      </c>
      <c r="N899" s="72">
        <f ca="1">Magick!$K$81</f>
        <v>0.13</v>
      </c>
      <c r="O899" s="72">
        <f ca="1">Magick!$L$81</f>
        <v>0.13</v>
      </c>
      <c r="P899" s="72">
        <f ca="1">Magick!$M$81</f>
        <v>0.13</v>
      </c>
      <c r="Q899" s="67" t="s">
        <v>4603</v>
      </c>
      <c r="R899" s="67">
        <f ca="1">IF(Q899="Ritual","N/A",IF(Q899="I.E.","N/A",IF(Q899="WOG",VLOOKUP(Magick!$I$81*100,magestuff!$B$134:$F$138,2),IF(Q899="Cantrip",VLOOKUP(Magick!$I$81*100,magestuff!$B$134:$F$138,3),IF(Q899="Hex",VLOOKUP(Magick!$I$81*100,magestuff!$B$134:$F$138,4),VLOOKUP(Magick!$I$81*100,magestuff!$B$134:$F$138,5))))))</f>
        <v>9</v>
      </c>
      <c r="S899" s="67" t="s">
        <v>1984</v>
      </c>
      <c r="T899" s="294" t="str">
        <f>CONCATENATE(IF(Magick!$C$3&gt;0,Magick!$C$3*30," ")," min.")</f>
        <v xml:space="preserve">  min.</v>
      </c>
      <c r="U899" s="67" t="str">
        <f t="shared" si="124"/>
        <v xml:space="preserve"> </v>
      </c>
      <c r="V899" s="515"/>
      <c r="W899" s="125"/>
      <c r="X899" s="31">
        <f t="shared" si="125"/>
        <v>0</v>
      </c>
      <c r="Y899" s="509"/>
      <c r="Z899" s="1054" t="str">
        <f t="shared" si="126"/>
        <v>Keen Sight</v>
      </c>
      <c r="AA899" s="1072" t="str">
        <f t="shared" ref="AA899:AA962" si="127">IF(ISNUMBER(MATCH($Z899,Spell_Methods,0)),$Z899,$AA898)</f>
        <v>Transcendental</v>
      </c>
    </row>
    <row r="900" spans="1:27" hidden="1" outlineLevel="1">
      <c r="A900" s="83" t="s">
        <v>333</v>
      </c>
      <c r="B900" s="67">
        <v>1</v>
      </c>
      <c r="C900" s="67">
        <f ca="1">IF(magestuff!$C$209&lt;1,1,magestuff!$C$209)</f>
        <v>1</v>
      </c>
      <c r="D900" s="67">
        <f t="shared" si="123"/>
        <v>0</v>
      </c>
      <c r="E900" s="77">
        <f ca="1">IF(F900="y",HLOOKUP((IF(C900&lt;1,1,C900)),Magick!$C$20:$L$21,2),NA())</f>
        <v>10</v>
      </c>
      <c r="F900" s="67" t="str">
        <f ca="1">IF(C900&lt;=Magick!$D$3,"Y","N")</f>
        <v>Y</v>
      </c>
      <c r="G900" s="148" t="s">
        <v>859</v>
      </c>
      <c r="H900" s="151"/>
      <c r="I900" s="77" t="e">
        <f>IF(H900&gt;0,(HLOOKUP(C900,Magick!$C$20:$L$21,2)-HLOOKUP(H900,Magick!$C$20:$L$21,2)),NA())</f>
        <v>#N/A</v>
      </c>
      <c r="J900" s="77"/>
      <c r="K900" s="67">
        <v>3</v>
      </c>
      <c r="L900" s="72" t="str">
        <f>IF(H900&gt;0,Magick!$AR$29-('Master Spell List'!H907*0.1),"N/A")</f>
        <v>N/A</v>
      </c>
      <c r="M900" s="72">
        <f ca="1">Magick!$H$81</f>
        <v>0.08</v>
      </c>
      <c r="N900" s="72">
        <f ca="1">Magick!$K$81</f>
        <v>0.13</v>
      </c>
      <c r="O900" s="72">
        <f ca="1">Magick!$L$81</f>
        <v>0.13</v>
      </c>
      <c r="P900" s="72">
        <f ca="1">Magick!$M$81</f>
        <v>0.13</v>
      </c>
      <c r="Q900" s="67" t="s">
        <v>4603</v>
      </c>
      <c r="R900" s="67">
        <f ca="1">IF(Q900="Ritual","N/A",IF(Q900="I.E.","N/A",IF(Q900="WOG",VLOOKUP(Magick!$I$81*100,magestuff!$B$134:$F$138,2),IF(Q900="Cantrip",VLOOKUP(Magick!$I$81*100,magestuff!$B$134:$F$138,3),IF(Q900="Hex",VLOOKUP(Magick!$I$81*100,magestuff!$B$134:$F$138,4),VLOOKUP(Magick!$I$81*100,magestuff!$B$134:$F$138,5))))))</f>
        <v>9</v>
      </c>
      <c r="S900" s="67" t="s">
        <v>1984</v>
      </c>
      <c r="T900" s="294" t="str">
        <f>CONCATENATE(IF(Magick!$C$3&gt;0,Magick!$C$3*30," ")," min.")</f>
        <v xml:space="preserve">  min.</v>
      </c>
      <c r="U900" s="67" t="str">
        <f t="shared" si="124"/>
        <v xml:space="preserve"> </v>
      </c>
      <c r="V900" s="515"/>
      <c r="W900" s="125"/>
      <c r="X900" s="31">
        <f t="shared" si="125"/>
        <v>0</v>
      </c>
      <c r="Y900" s="509"/>
      <c r="Z900" s="1054" t="str">
        <f t="shared" si="126"/>
        <v>Keen Smell</v>
      </c>
      <c r="AA900" s="1072" t="str">
        <f t="shared" si="127"/>
        <v>Transcendental</v>
      </c>
    </row>
    <row r="901" spans="1:27" hidden="1" outlineLevel="1">
      <c r="A901" s="83" t="s">
        <v>334</v>
      </c>
      <c r="B901" s="67">
        <v>1</v>
      </c>
      <c r="C901" s="67">
        <f ca="1">IF(magestuff!$C$209&lt;1,1,magestuff!$C$209)</f>
        <v>1</v>
      </c>
      <c r="D901" s="67">
        <f t="shared" si="123"/>
        <v>0</v>
      </c>
      <c r="E901" s="77">
        <f ca="1">IF(F901="y",HLOOKUP((IF(C901&lt;1,1,C901)),Magick!$C$20:$L$21,2),NA())</f>
        <v>10</v>
      </c>
      <c r="F901" s="67" t="str">
        <f ca="1">IF(C901&lt;=Magick!$D$3,"Y","N")</f>
        <v>Y</v>
      </c>
      <c r="G901" s="148" t="s">
        <v>859</v>
      </c>
      <c r="H901" s="151"/>
      <c r="I901" s="77" t="e">
        <f>IF(H901&gt;0,(HLOOKUP(C901,Magick!$C$20:$L$21,2)-HLOOKUP(H901,Magick!$C$20:$L$21,2)),NA())</f>
        <v>#N/A</v>
      </c>
      <c r="J901" s="77"/>
      <c r="K901" s="67">
        <v>3</v>
      </c>
      <c r="L901" s="72" t="str">
        <f>IF(H901&gt;0,Magick!$AR$29-('Master Spell List'!H907*0.1),"N/A")</f>
        <v>N/A</v>
      </c>
      <c r="M901" s="72">
        <f ca="1">Magick!$H$81</f>
        <v>0.08</v>
      </c>
      <c r="N901" s="72">
        <f ca="1">Magick!$K$81</f>
        <v>0.13</v>
      </c>
      <c r="O901" s="72">
        <f ca="1">Magick!$L$81</f>
        <v>0.13</v>
      </c>
      <c r="P901" s="72">
        <f ca="1">Magick!$M$81</f>
        <v>0.13</v>
      </c>
      <c r="Q901" s="67" t="s">
        <v>4603</v>
      </c>
      <c r="R901" s="67">
        <f ca="1">IF(Q901="Ritual","N/A",IF(Q901="I.E.","N/A",IF(Q901="WOG",VLOOKUP(Magick!$I$81*100,magestuff!$B$134:$F$138,2),IF(Q901="Cantrip",VLOOKUP(Magick!$I$81*100,magestuff!$B$134:$F$138,3),IF(Q901="Hex",VLOOKUP(Magick!$I$81*100,magestuff!$B$134:$F$138,4),VLOOKUP(Magick!$I$81*100,magestuff!$B$134:$F$138,5))))))</f>
        <v>9</v>
      </c>
      <c r="S901" s="67" t="s">
        <v>1984</v>
      </c>
      <c r="T901" s="294" t="str">
        <f>CONCATENATE(IF(Magick!$C$3&gt;0,Magick!$C$3*30," ")," min.")</f>
        <v xml:space="preserve">  min.</v>
      </c>
      <c r="U901" s="67" t="str">
        <f t="shared" si="124"/>
        <v xml:space="preserve"> </v>
      </c>
      <c r="V901" s="515"/>
      <c r="W901" s="125"/>
      <c r="X901" s="31">
        <f t="shared" si="125"/>
        <v>0</v>
      </c>
      <c r="Y901" s="509"/>
      <c r="Z901" s="1054" t="str">
        <f t="shared" si="126"/>
        <v>Keen Taste</v>
      </c>
      <c r="AA901" s="1072" t="str">
        <f t="shared" si="127"/>
        <v>Transcendental</v>
      </c>
    </row>
    <row r="902" spans="1:27" hidden="1" outlineLevel="1">
      <c r="A902" s="83" t="s">
        <v>335</v>
      </c>
      <c r="B902" s="67">
        <v>1</v>
      </c>
      <c r="C902" s="67">
        <f ca="1">IF(magestuff!$C$209&lt;1,1,magestuff!$C$209)</f>
        <v>1</v>
      </c>
      <c r="D902" s="67">
        <f t="shared" si="123"/>
        <v>0</v>
      </c>
      <c r="E902" s="77">
        <f ca="1">IF(F902="y",HLOOKUP((IF(C902&lt;1,1,C902)),Magick!$C$20:$L$21,2),NA())</f>
        <v>10</v>
      </c>
      <c r="F902" s="67" t="str">
        <f ca="1">IF(C902&lt;=Magick!$D$3,"Y","N")</f>
        <v>Y</v>
      </c>
      <c r="G902" s="148" t="s">
        <v>859</v>
      </c>
      <c r="H902" s="151"/>
      <c r="I902" s="77" t="e">
        <f>IF(H902&gt;0,(HLOOKUP(C902,Magick!$C$20:$L$21,2)-HLOOKUP(H902,Magick!$C$20:$L$21,2)),NA())</f>
        <v>#N/A</v>
      </c>
      <c r="J902" s="77"/>
      <c r="K902" s="67">
        <v>3</v>
      </c>
      <c r="L902" s="72" t="str">
        <f>IF(H902&gt;0,Magick!$AR$29-('Master Spell List'!H908*0.1),"N/A")</f>
        <v>N/A</v>
      </c>
      <c r="M902" s="72">
        <f ca="1">Magick!$H$81</f>
        <v>0.08</v>
      </c>
      <c r="N902" s="72">
        <f ca="1">Magick!$K$81</f>
        <v>0.13</v>
      </c>
      <c r="O902" s="72">
        <f ca="1">Magick!$L$81</f>
        <v>0.13</v>
      </c>
      <c r="P902" s="72">
        <f ca="1">Magick!$M$81</f>
        <v>0.13</v>
      </c>
      <c r="Q902" s="67" t="s">
        <v>4603</v>
      </c>
      <c r="R902" s="67">
        <f ca="1">IF(Q902="Ritual","N/A",IF(Q902="I.E.","N/A",IF(Q902="WOG",VLOOKUP(Magick!$I$81*100,magestuff!$B$134:$F$138,2),IF(Q902="Cantrip",VLOOKUP(Magick!$I$81*100,magestuff!$B$134:$F$138,3),IF(Q902="Hex",VLOOKUP(Magick!$I$81*100,magestuff!$B$134:$F$138,4),VLOOKUP(Magick!$I$81*100,magestuff!$B$134:$F$138,5))))))</f>
        <v>9</v>
      </c>
      <c r="S902" s="67" t="s">
        <v>1984</v>
      </c>
      <c r="T902" s="294" t="str">
        <f>CONCATENATE(IF(Magick!$C$3&gt;0,Magick!$C$3*30," ")," min.")</f>
        <v xml:space="preserve">  min.</v>
      </c>
      <c r="U902" s="67" t="str">
        <f t="shared" si="124"/>
        <v xml:space="preserve"> </v>
      </c>
      <c r="V902" s="515"/>
      <c r="W902" s="125"/>
      <c r="X902" s="31">
        <f t="shared" si="125"/>
        <v>0</v>
      </c>
      <c r="Y902" s="509"/>
      <c r="Z902" s="1054" t="str">
        <f t="shared" si="126"/>
        <v>Keen Touch</v>
      </c>
      <c r="AA902" s="1072" t="str">
        <f t="shared" si="127"/>
        <v>Transcendental</v>
      </c>
    </row>
    <row r="903" spans="1:27" hidden="1" outlineLevel="1">
      <c r="A903" s="31" t="s">
        <v>4436</v>
      </c>
      <c r="B903" s="67">
        <v>2</v>
      </c>
      <c r="C903" s="67">
        <f ca="1">IF(magestuff!$F$209&lt;1,1,magestuff!$F$209)</f>
        <v>2</v>
      </c>
      <c r="D903" s="67">
        <f t="shared" si="123"/>
        <v>0</v>
      </c>
      <c r="E903" s="77">
        <f ca="1">IF(F903="y",HLOOKUP((IF(C903&lt;1,1,C903)),Magick!$C$20:$L$21,2),NA())</f>
        <v>21</v>
      </c>
      <c r="F903" s="67" t="str">
        <f ca="1">IF(C903&lt;=Magick!$D$3,"Y","N")</f>
        <v>Y</v>
      </c>
      <c r="G903" s="148" t="s">
        <v>128</v>
      </c>
      <c r="H903" s="151"/>
      <c r="I903" s="77" t="e">
        <f>IF(H903&gt;0,(HLOOKUP(C903,Magick!$C$20:$L$21,2)-HLOOKUP(H903,Magick!$C$20:$L$21,2)),NA())</f>
        <v>#N/A</v>
      </c>
      <c r="J903" s="77"/>
      <c r="K903" s="67">
        <v>4</v>
      </c>
      <c r="L903" s="72" t="str">
        <f>IF(H903&gt;0,Magick!$AR$29-('Master Spell List'!H904*0.1),"N/A")</f>
        <v>N/A</v>
      </c>
      <c r="M903" s="72">
        <f ca="1">Magick!$H$81</f>
        <v>0.08</v>
      </c>
      <c r="N903" s="72">
        <f ca="1">Magick!$K$81</f>
        <v>0.13</v>
      </c>
      <c r="O903" s="72">
        <f ca="1">Magick!$L$81</f>
        <v>0.13</v>
      </c>
      <c r="P903" s="72">
        <f ca="1">Magick!$M$81</f>
        <v>0.13</v>
      </c>
      <c r="Q903" s="67" t="s">
        <v>4602</v>
      </c>
      <c r="R903" s="67">
        <f ca="1">IF(Q903="Ritual","N/A",IF(Q903="I.E.","N/A",IF(Q903="WOG",VLOOKUP(Magick!$I$81*100,magestuff!$B$134:$F$138,2),IF(Q903="Cantrip",VLOOKUP(Magick!$I$81*100,magestuff!$B$134:$F$138,3),IF(Q903="Hex",VLOOKUP(Magick!$I$81*100,magestuff!$B$134:$F$138,4),VLOOKUP(Magick!$I$81*100,magestuff!$B$134:$F$138,5))))))</f>
        <v>19</v>
      </c>
      <c r="S903" s="67" t="s">
        <v>1984</v>
      </c>
      <c r="T903" s="294" t="str">
        <f>CONCATENATE(IF(Magick!$C$3&gt;0,Magick!$C$3*15," ")," min.")</f>
        <v xml:space="preserve">  min.</v>
      </c>
      <c r="U903" s="67" t="str">
        <f t="shared" si="124"/>
        <v xml:space="preserve"> </v>
      </c>
      <c r="V903" s="515"/>
      <c r="W903" s="125"/>
      <c r="X903" s="31">
        <f t="shared" si="125"/>
        <v>0</v>
      </c>
      <c r="Y903" s="509"/>
      <c r="Z903" s="1054" t="str">
        <f t="shared" si="126"/>
        <v>Cool Cloak (Mantle of Borealis)</v>
      </c>
      <c r="AA903" s="1072" t="str">
        <f t="shared" si="127"/>
        <v>Transcendental</v>
      </c>
    </row>
    <row r="904" spans="1:27" hidden="1" outlineLevel="1">
      <c r="A904" s="31" t="s">
        <v>5199</v>
      </c>
      <c r="B904" s="67">
        <v>2</v>
      </c>
      <c r="C904" s="67">
        <f ca="1">IF(magestuff!$F$209&lt;1,1,magestuff!$F$209)</f>
        <v>2</v>
      </c>
      <c r="D904" s="67">
        <f t="shared" si="123"/>
        <v>0</v>
      </c>
      <c r="E904" s="77">
        <f ca="1">IF(F904="y",HLOOKUP((IF(C904&lt;1,1,C904)),Magick!$C$20:$L$21,2),NA())</f>
        <v>21</v>
      </c>
      <c r="F904" s="67" t="str">
        <f ca="1">IF(C904&lt;=Magick!$D$3,"Y","N")</f>
        <v>Y</v>
      </c>
      <c r="G904" s="148" t="s">
        <v>128</v>
      </c>
      <c r="H904" s="151"/>
      <c r="I904" s="77" t="e">
        <f>IF(H904&gt;0,(HLOOKUP(C904,Magick!$C$20:$L$21,2)-HLOOKUP(H904,Magick!$C$20:$L$21,2)),NA())</f>
        <v>#N/A</v>
      </c>
      <c r="J904" s="77"/>
      <c r="K904" s="67">
        <v>3</v>
      </c>
      <c r="L904" s="72" t="str">
        <f>IF(H904&gt;0,Magick!$AR$29-('Master Spell List'!H910*0.1),"N/A")</f>
        <v>N/A</v>
      </c>
      <c r="M904" s="72">
        <f ca="1">Magick!$H$81</f>
        <v>0.08</v>
      </c>
      <c r="N904" s="72">
        <f ca="1">Magick!$K$81</f>
        <v>0.13</v>
      </c>
      <c r="O904" s="72">
        <f ca="1">Magick!$L$81</f>
        <v>0.13</v>
      </c>
      <c r="P904" s="72">
        <f ca="1">Magick!$M$81</f>
        <v>0.13</v>
      </c>
      <c r="Q904" s="67" t="s">
        <v>4603</v>
      </c>
      <c r="R904" s="67">
        <f ca="1">IF(Q904="Ritual","N/A",IF(Q904="I.E.","N/A",IF(Q904="WOG",VLOOKUP(Magick!$I$81*100,magestuff!$B$134:$F$138,2),IF(Q904="Cantrip",VLOOKUP(Magick!$I$81*100,magestuff!$B$134:$F$138,3),IF(Q904="Hex",VLOOKUP(Magick!$I$81*100,magestuff!$B$134:$F$138,4),VLOOKUP(Magick!$I$81*100,magestuff!$B$134:$F$138,5))))))</f>
        <v>9</v>
      </c>
      <c r="S904" s="67" t="s">
        <v>1984</v>
      </c>
      <c r="T904" s="294" t="str">
        <f>CONCATENATE(IF(Magick!$C$3&gt;0,Magick!$C$3*10," ")," min.")</f>
        <v xml:space="preserve">  min.</v>
      </c>
      <c r="U904" s="67" t="str">
        <f t="shared" si="124"/>
        <v xml:space="preserve"> </v>
      </c>
      <c r="V904" s="515"/>
      <c r="W904" s="125"/>
      <c r="X904" s="31">
        <f t="shared" si="125"/>
        <v>0</v>
      </c>
      <c r="Y904" s="509"/>
      <c r="Z904" s="1054" t="str">
        <f t="shared" si="126"/>
        <v>Far Sight</v>
      </c>
      <c r="AA904" s="1072" t="str">
        <f t="shared" si="127"/>
        <v>Transcendental</v>
      </c>
    </row>
    <row r="905" spans="1:27" hidden="1" outlineLevel="1">
      <c r="A905" s="31" t="s">
        <v>4821</v>
      </c>
      <c r="B905" s="67">
        <v>2</v>
      </c>
      <c r="C905" s="67">
        <f ca="1">IF(magestuff!$F$209&lt;1,1,magestuff!$F$209)</f>
        <v>2</v>
      </c>
      <c r="D905" s="67">
        <f t="shared" si="123"/>
        <v>0</v>
      </c>
      <c r="E905" s="77">
        <f ca="1">IF(F905="y",HLOOKUP((IF(C905&lt;1,1,C905)),Magick!$C$20:$L$21,2),NA())</f>
        <v>21</v>
      </c>
      <c r="F905" s="67" t="str">
        <f ca="1">IF(C905&lt;=Magick!$D$3,"Y","N")</f>
        <v>Y</v>
      </c>
      <c r="G905" s="148" t="s">
        <v>128</v>
      </c>
      <c r="H905" s="151"/>
      <c r="I905" s="77" t="e">
        <f>IF(H905&gt;0,(HLOOKUP(C905,Magick!$C$20:$L$21,2)-HLOOKUP(H905,Magick!$C$20:$L$21,2)),NA())</f>
        <v>#N/A</v>
      </c>
      <c r="J905" s="77"/>
      <c r="K905" s="67">
        <v>4</v>
      </c>
      <c r="L905" s="72" t="str">
        <f>IF(H905&gt;0,Magick!$AR$29-('Master Spell List'!H908*0.1),"N/A")</f>
        <v>N/A</v>
      </c>
      <c r="M905" s="72">
        <f ca="1">Magick!$H$81</f>
        <v>0.08</v>
      </c>
      <c r="N905" s="72">
        <f ca="1">Magick!$K$81</f>
        <v>0.13</v>
      </c>
      <c r="O905" s="72">
        <f ca="1">Magick!$L$81</f>
        <v>0.13</v>
      </c>
      <c r="P905" s="72">
        <f ca="1">Magick!$M$81</f>
        <v>0.13</v>
      </c>
      <c r="Q905" s="67" t="s">
        <v>4603</v>
      </c>
      <c r="R905" s="67">
        <f ca="1">IF(Q905="Ritual","N/A",IF(Q905="I.E.","N/A",IF(Q905="WOG",VLOOKUP(Magick!$I$81*100,magestuff!$B$134:$F$138,2),IF(Q905="Cantrip",VLOOKUP(Magick!$I$81*100,magestuff!$B$134:$F$138,3),IF(Q905="Hex",VLOOKUP(Magick!$I$81*100,magestuff!$B$134:$F$138,4),VLOOKUP(Magick!$I$81*100,magestuff!$B$134:$F$138,5))))))</f>
        <v>9</v>
      </c>
      <c r="S905" s="67" t="s">
        <v>1984</v>
      </c>
      <c r="T905" s="294" t="str">
        <f>CONCATENATE(IF(Magick!$C$3&gt;0,Magick!$C$3*30," ")," min.")</f>
        <v xml:space="preserve">  min.</v>
      </c>
      <c r="U905" s="67" t="str">
        <f t="shared" si="124"/>
        <v xml:space="preserve"> </v>
      </c>
      <c r="V905" s="515"/>
      <c r="W905" s="125"/>
      <c r="X905" s="31">
        <f t="shared" si="125"/>
        <v>0</v>
      </c>
      <c r="Y905" s="509"/>
      <c r="Z905" s="1054" t="str">
        <f t="shared" si="126"/>
        <v>Nightvision - Cat's Eyes</v>
      </c>
      <c r="AA905" s="1072" t="str">
        <f t="shared" si="127"/>
        <v>Transcendental</v>
      </c>
    </row>
    <row r="906" spans="1:27" hidden="1" outlineLevel="1">
      <c r="A906" s="31" t="s">
        <v>4437</v>
      </c>
      <c r="B906" s="67">
        <v>2</v>
      </c>
      <c r="C906" s="67">
        <f ca="1">IF(magestuff!$F$209&lt;1,1,magestuff!$F$209)</f>
        <v>2</v>
      </c>
      <c r="D906" s="67">
        <f t="shared" si="123"/>
        <v>0</v>
      </c>
      <c r="E906" s="77">
        <f ca="1">IF(F906="y",HLOOKUP((IF(C906&lt;1,1,C906)),Magick!$C$20:$L$21,2),NA())</f>
        <v>21</v>
      </c>
      <c r="F906" s="67" t="str">
        <f ca="1">IF(C906&lt;=Magick!$D$3,"Y","N")</f>
        <v>Y</v>
      </c>
      <c r="G906" s="148" t="s">
        <v>128</v>
      </c>
      <c r="H906" s="151"/>
      <c r="I906" s="77" t="e">
        <f>IF(H906&gt;0,(HLOOKUP(C906,Magick!$C$20:$L$21,2)-HLOOKUP(H906,Magick!$C$20:$L$21,2)),NA())</f>
        <v>#N/A</v>
      </c>
      <c r="J906" s="77"/>
      <c r="K906" s="67">
        <v>4</v>
      </c>
      <c r="L906" s="72" t="str">
        <f>IF(H906&gt;0,Magick!$AR$29-('Master Spell List'!H905*0.1),"N/A")</f>
        <v>N/A</v>
      </c>
      <c r="M906" s="72">
        <f ca="1">Magick!$H$81</f>
        <v>0.08</v>
      </c>
      <c r="N906" s="72">
        <f ca="1">Magick!$K$81</f>
        <v>0.13</v>
      </c>
      <c r="O906" s="72">
        <f ca="1">Magick!$L$81</f>
        <v>0.13</v>
      </c>
      <c r="P906" s="72">
        <f ca="1">Magick!$M$81</f>
        <v>0.13</v>
      </c>
      <c r="Q906" s="67" t="s">
        <v>4602</v>
      </c>
      <c r="R906" s="67">
        <f ca="1">IF(Q906="Ritual","N/A",IF(Q906="I.E.","N/A",IF(Q906="WOG",VLOOKUP(Magick!$I$81*100,magestuff!$B$134:$F$138,2),IF(Q906="Cantrip",VLOOKUP(Magick!$I$81*100,magestuff!$B$134:$F$138,3),IF(Q906="Hex",VLOOKUP(Magick!$I$81*100,magestuff!$B$134:$F$138,4),VLOOKUP(Magick!$I$81*100,magestuff!$B$134:$F$138,5))))))</f>
        <v>19</v>
      </c>
      <c r="S906" s="67" t="s">
        <v>1984</v>
      </c>
      <c r="T906" s="294" t="str">
        <f>CONCATENATE(IF(Magick!$C$3&gt;0,Magick!$C$3*15," ")," min.")</f>
        <v xml:space="preserve">  min.</v>
      </c>
      <c r="U906" s="67" t="str">
        <f t="shared" si="124"/>
        <v xml:space="preserve"> </v>
      </c>
      <c r="V906" s="515"/>
      <c r="W906" s="125"/>
      <c r="X906" s="31">
        <f t="shared" si="125"/>
        <v>0</v>
      </c>
      <c r="Y906" s="509"/>
      <c r="Z906" s="1054" t="str">
        <f t="shared" si="126"/>
        <v>Warm Cloak (Mantle of Helios)</v>
      </c>
      <c r="AA906" s="1072" t="str">
        <f t="shared" si="127"/>
        <v>Transcendental</v>
      </c>
    </row>
    <row r="907" spans="1:27" hidden="1" outlineLevel="1">
      <c r="A907" s="31" t="s">
        <v>5200</v>
      </c>
      <c r="B907" s="67">
        <v>3</v>
      </c>
      <c r="C907" s="67">
        <f ca="1">IF(magestuff!$I$209&lt;1,1,magestuff!$I$209)</f>
        <v>3</v>
      </c>
      <c r="D907" s="67">
        <f t="shared" si="123"/>
        <v>0</v>
      </c>
      <c r="E907" s="77" t="e">
        <f ca="1">IF(F907="y",HLOOKUP((IF(C907&lt;1,1,C907)),Magick!$C$20:$L$21,2),NA())</f>
        <v>#N/A</v>
      </c>
      <c r="F907" s="67" t="str">
        <f ca="1">IF(C907&lt;=Magick!$D$3,"Y","N")</f>
        <v>N</v>
      </c>
      <c r="G907" s="148" t="s">
        <v>128</v>
      </c>
      <c r="H907" s="151"/>
      <c r="I907" s="77" t="e">
        <f>IF(H907&gt;0,(HLOOKUP(C907,Magick!$C$20:$L$21,2)-HLOOKUP(H907,Magick!$C$20:$L$21,2)),NA())</f>
        <v>#N/A</v>
      </c>
      <c r="J907" s="77"/>
      <c r="K907" s="67">
        <v>4</v>
      </c>
      <c r="L907" s="72" t="str">
        <f>IF(H907&gt;0,Magick!$AR$29-('Master Spell List'!H911*0.1),"N/A")</f>
        <v>N/A</v>
      </c>
      <c r="M907" s="72">
        <f ca="1">Magick!$H$81</f>
        <v>0.08</v>
      </c>
      <c r="N907" s="72">
        <f ca="1">Magick!$K$81</f>
        <v>0.13</v>
      </c>
      <c r="O907" s="72">
        <f ca="1">Magick!$L$81</f>
        <v>0.13</v>
      </c>
      <c r="P907" s="72">
        <f ca="1">Magick!$M$81</f>
        <v>0.13</v>
      </c>
      <c r="Q907" s="67" t="s">
        <v>4603</v>
      </c>
      <c r="R907" s="67">
        <f ca="1">IF(Q907="Ritual","N/A",IF(Q907="I.E.","N/A",IF(Q907="WOG",VLOOKUP(Magick!$I$81*100,magestuff!$B$134:$F$138,2),IF(Q907="Cantrip",VLOOKUP(Magick!$I$81*100,magestuff!$B$134:$F$138,3),IF(Q907="Hex",VLOOKUP(Magick!$I$81*100,magestuff!$B$134:$F$138,4),VLOOKUP(Magick!$I$81*100,magestuff!$B$134:$F$138,5))))))</f>
        <v>9</v>
      </c>
      <c r="S907" s="67" t="s">
        <v>1984</v>
      </c>
      <c r="T907" s="294" t="str">
        <f>CONCATENATE(IF(Magick!$C$3&gt;0,Magick!$C$3*10," ")," min.")</f>
        <v xml:space="preserve">  min.</v>
      </c>
      <c r="U907" s="67" t="str">
        <f t="shared" si="124"/>
        <v xml:space="preserve"> </v>
      </c>
      <c r="V907" s="515"/>
      <c r="W907" s="125"/>
      <c r="X907" s="31">
        <f t="shared" si="125"/>
        <v>0</v>
      </c>
      <c r="Y907" s="509"/>
      <c r="Z907" s="1054" t="str">
        <f t="shared" si="126"/>
        <v>Breathe Water</v>
      </c>
      <c r="AA907" s="1072" t="str">
        <f t="shared" si="127"/>
        <v>Transcendental</v>
      </c>
    </row>
    <row r="908" spans="1:27" hidden="1" outlineLevel="1">
      <c r="A908" s="31" t="s">
        <v>864</v>
      </c>
      <c r="B908" s="67">
        <v>3</v>
      </c>
      <c r="C908" s="67">
        <f ca="1">IF(magestuff!$I$209&lt;1,1,magestuff!$I$209)</f>
        <v>3</v>
      </c>
      <c r="D908" s="67">
        <f t="shared" si="123"/>
        <v>0</v>
      </c>
      <c r="E908" s="77" t="e">
        <f ca="1">IF(F908="y",HLOOKUP((IF(C908&lt;1,1,C908)),Magick!$C$20:$L$21,2),NA())</f>
        <v>#N/A</v>
      </c>
      <c r="F908" s="67" t="str">
        <f ca="1">IF(C908&lt;=Magick!$D$3,"Y","N")</f>
        <v>N</v>
      </c>
      <c r="G908" s="148" t="s">
        <v>128</v>
      </c>
      <c r="H908" s="151"/>
      <c r="I908" s="77" t="e">
        <f>IF(H908&gt;0,(HLOOKUP(C908,Magick!$C$20:$L$21,2)-HLOOKUP(H908,Magick!$C$20:$L$21,2)),NA())</f>
        <v>#N/A</v>
      </c>
      <c r="J908" s="77"/>
      <c r="K908" s="67">
        <v>7</v>
      </c>
      <c r="L908" s="72" t="str">
        <f>IF(H908&gt;0,Magick!$AR$29-('Master Spell List'!H913*0.1),"N/A")</f>
        <v>N/A</v>
      </c>
      <c r="M908" s="72">
        <f ca="1">Magick!$H$81</f>
        <v>0.08</v>
      </c>
      <c r="N908" s="72">
        <f ca="1">Magick!$K$81</f>
        <v>0.13</v>
      </c>
      <c r="O908" s="72">
        <f ca="1">Magick!$L$81</f>
        <v>0.13</v>
      </c>
      <c r="P908" s="72">
        <f ca="1">Magick!$M$81</f>
        <v>0.13</v>
      </c>
      <c r="Q908" s="67" t="s">
        <v>3723</v>
      </c>
      <c r="R908" s="67">
        <f ca="1">IF(Q908="Ritual","N/A",IF(Q908="I.E.","N/A",IF(Q908="WOG",VLOOKUP(Magick!$I$81*100,magestuff!$B$134:$F$138,2),IF(Q908="Cantrip",VLOOKUP(Magick!$I$81*100,magestuff!$B$134:$F$138,3),IF(Q908="Hex",VLOOKUP(Magick!$I$81*100,magestuff!$B$134:$F$138,4),VLOOKUP(Magick!$I$81*100,magestuff!$B$134:$F$138,5))))))</f>
        <v>29</v>
      </c>
      <c r="S908" s="67" t="s">
        <v>1984</v>
      </c>
      <c r="T908" s="294" t="str">
        <f>CONCATENATE(IF(Magick!$C$3&gt;0,Magick!$C$3," ")," hrs.")</f>
        <v xml:space="preserve">  hrs.</v>
      </c>
      <c r="U908" s="67" t="str">
        <f t="shared" si="124"/>
        <v xml:space="preserve"> </v>
      </c>
      <c r="V908" s="515"/>
      <c r="W908" s="125"/>
      <c r="X908" s="31">
        <f t="shared" si="125"/>
        <v>0</v>
      </c>
      <c r="Y908" s="509"/>
      <c r="Z908" s="1054" t="str">
        <f t="shared" si="126"/>
        <v>Calm Pain</v>
      </c>
      <c r="AA908" s="1072" t="str">
        <f t="shared" si="127"/>
        <v>Transcendental</v>
      </c>
    </row>
    <row r="909" spans="1:27" hidden="1" outlineLevel="1">
      <c r="A909" s="83" t="s">
        <v>336</v>
      </c>
      <c r="B909" s="67">
        <v>3</v>
      </c>
      <c r="C909" s="67">
        <f ca="1">IF(magestuff!$I$209&lt;1,1,magestuff!$I$209)</f>
        <v>3</v>
      </c>
      <c r="D909" s="67">
        <f t="shared" si="123"/>
        <v>0</v>
      </c>
      <c r="E909" s="77" t="e">
        <f ca="1">IF(F909="y",HLOOKUP((IF(C909&lt;1,1,C909)),Magick!$C$20:$L$21,2),NA())</f>
        <v>#N/A</v>
      </c>
      <c r="F909" s="67" t="str">
        <f ca="1">IF(C909&lt;=Magick!$D$3,"Y","N")</f>
        <v>N</v>
      </c>
      <c r="G909" s="148" t="s">
        <v>859</v>
      </c>
      <c r="H909" s="151"/>
      <c r="I909" s="77" t="e">
        <f>IF(H909&gt;0,(HLOOKUP(C909,Magick!$C$20:$L$21,2)-HLOOKUP(H909,Magick!$C$20:$L$21,2)),NA())</f>
        <v>#N/A</v>
      </c>
      <c r="J909" s="77"/>
      <c r="K909" s="67">
        <v>5</v>
      </c>
      <c r="L909" s="72" t="str">
        <f>IF(H909&gt;0,Magick!$AR$29-('Master Spell List'!H909*0.1),"N/A")</f>
        <v>N/A</v>
      </c>
      <c r="M909" s="72">
        <f ca="1">Magick!$H$81</f>
        <v>0.08</v>
      </c>
      <c r="N909" s="72">
        <f ca="1">Magick!$K$81</f>
        <v>0.13</v>
      </c>
      <c r="O909" s="72">
        <f ca="1">Magick!$L$81</f>
        <v>0.13</v>
      </c>
      <c r="P909" s="72">
        <f ca="1">Magick!$M$81</f>
        <v>0.13</v>
      </c>
      <c r="Q909" s="67" t="s">
        <v>4602</v>
      </c>
      <c r="R909" s="67">
        <f ca="1">IF(Q909="Ritual","N/A",IF(Q909="I.E.","N/A",IF(Q909="WOG",VLOOKUP(Magick!$I$81*100,magestuff!$B$134:$F$138,2),IF(Q909="Cantrip",VLOOKUP(Magick!$I$81*100,magestuff!$B$134:$F$138,3),IF(Q909="Hex",VLOOKUP(Magick!$I$81*100,magestuff!$B$134:$F$138,4),VLOOKUP(Magick!$I$81*100,magestuff!$B$134:$F$138,5))))))</f>
        <v>19</v>
      </c>
      <c r="S909" s="67" t="s">
        <v>1984</v>
      </c>
      <c r="T909" s="294" t="str">
        <f>CONCATENATE(IF(Magick!$C$3&gt;0,Magick!$C$3*30," ")," min.")</f>
        <v xml:space="preserve">  min.</v>
      </c>
      <c r="U909" s="67" t="str">
        <f t="shared" si="124"/>
        <v xml:space="preserve"> </v>
      </c>
      <c r="V909" s="515"/>
      <c r="W909" s="125"/>
      <c r="X909" s="31">
        <f t="shared" si="125"/>
        <v>0</v>
      </c>
      <c r="Y909" s="509"/>
      <c r="Z909" s="1054" t="str">
        <f t="shared" si="126"/>
        <v>Keen Situational Awareness</v>
      </c>
      <c r="AA909" s="1072" t="str">
        <f t="shared" si="127"/>
        <v>Transcendental</v>
      </c>
    </row>
    <row r="910" spans="1:27" hidden="1" outlineLevel="1">
      <c r="A910" s="83" t="s">
        <v>478</v>
      </c>
      <c r="B910" s="67">
        <v>3</v>
      </c>
      <c r="C910" s="67">
        <f ca="1">IF(magestuff!$I$209&lt;1,1,magestuff!$I$209)</f>
        <v>3</v>
      </c>
      <c r="D910" s="67">
        <f t="shared" si="123"/>
        <v>0</v>
      </c>
      <c r="E910" s="77" t="e">
        <f ca="1">IF(F910="y",HLOOKUP((IF(C910&lt;1,1,C910)),Magick!$C$20:$L$21,2),NA())</f>
        <v>#N/A</v>
      </c>
      <c r="F910" s="67" t="str">
        <f ca="1">IF(C910&lt;=Magick!$D$3,"Y","N")</f>
        <v>N</v>
      </c>
      <c r="G910" s="148" t="s">
        <v>859</v>
      </c>
      <c r="H910" s="151"/>
      <c r="I910" s="77" t="e">
        <f>IF(H910&gt;0,(HLOOKUP(C910,Magick!$C$20:$L$21,2)-HLOOKUP(H910,Magick!$C$20:$L$21,2)),NA())</f>
        <v>#N/A</v>
      </c>
      <c r="J910" s="77"/>
      <c r="K910" s="67" t="s">
        <v>2225</v>
      </c>
      <c r="L910" s="72" t="str">
        <f>IF(H910&gt;0,Magick!$AR$29-('Master Spell List'!H931*0.1),"N/A")</f>
        <v>N/A</v>
      </c>
      <c r="M910" s="72">
        <f ca="1">Magick!$H$81</f>
        <v>0.08</v>
      </c>
      <c r="N910" s="72">
        <f ca="1">Magick!$K$81</f>
        <v>0.13</v>
      </c>
      <c r="O910" s="72">
        <f ca="1">Magick!$L$81</f>
        <v>0.13</v>
      </c>
      <c r="P910" s="72">
        <f ca="1">Magick!$M$81</f>
        <v>0.13</v>
      </c>
      <c r="Q910" s="67" t="s">
        <v>2225</v>
      </c>
      <c r="R910" s="67">
        <f ca="1">IF(Q910="Ritual","N/A",IF(Q910="I.E.","N/A",IF(Q910="WOG",VLOOKUP(Magick!$I$81*100,magestuff!$B$134:$F$138,2),IF(Q910="Cantrip",VLOOKUP(Magick!$I$81*100,magestuff!$B$134:$F$138,3),IF(Q910="Hex",VLOOKUP(Magick!$I$81*100,magestuff!$B$134:$F$138,4),VLOOKUP(Magick!$I$81*100,magestuff!$B$134:$F$138,5))))))</f>
        <v>29</v>
      </c>
      <c r="S910" s="67" t="s">
        <v>2225</v>
      </c>
      <c r="T910" s="69" t="s">
        <v>2225</v>
      </c>
      <c r="U910" s="67" t="str">
        <f t="shared" si="124"/>
        <v xml:space="preserve"> </v>
      </c>
      <c r="V910" s="515"/>
      <c r="W910" s="125"/>
      <c r="X910" s="31">
        <f t="shared" si="125"/>
        <v>0</v>
      </c>
      <c r="Y910" s="509"/>
      <c r="Z910" s="1054" t="str">
        <f t="shared" si="126"/>
        <v>Least Preserve</v>
      </c>
      <c r="AA910" s="1072" t="str">
        <f t="shared" si="127"/>
        <v>Transcendental</v>
      </c>
    </row>
    <row r="911" spans="1:27" hidden="1" outlineLevel="1">
      <c r="A911" s="31" t="s">
        <v>863</v>
      </c>
      <c r="B911" s="67">
        <v>3</v>
      </c>
      <c r="C911" s="67">
        <f ca="1">IF(magestuff!$I$209&lt;1,1,magestuff!$I$209)</f>
        <v>3</v>
      </c>
      <c r="D911" s="67">
        <f t="shared" si="123"/>
        <v>0</v>
      </c>
      <c r="E911" s="77" t="e">
        <f ca="1">IF(F911="y",HLOOKUP((IF(C911&lt;1,1,C911)),Magick!$C$20:$L$21,2),NA())</f>
        <v>#N/A</v>
      </c>
      <c r="F911" s="67" t="str">
        <f ca="1">IF(C911&lt;=Magick!$D$3,"Y","N")</f>
        <v>N</v>
      </c>
      <c r="G911" s="148" t="s">
        <v>128</v>
      </c>
      <c r="H911" s="151"/>
      <c r="I911" s="77" t="e">
        <f>IF(H911&gt;0,(HLOOKUP(C911,Magick!$C$20:$L$21,2)-HLOOKUP(H911,Magick!$C$20:$L$21,2)),NA())</f>
        <v>#N/A</v>
      </c>
      <c r="J911" s="77"/>
      <c r="K911" s="67">
        <v>5</v>
      </c>
      <c r="L911" s="72" t="str">
        <f>IF(H911&gt;0,Magick!$AR$29-('Master Spell List'!H912*0.1),"N/A")</f>
        <v>N/A</v>
      </c>
      <c r="M911" s="72">
        <f ca="1">Magick!$H$81</f>
        <v>0.08</v>
      </c>
      <c r="N911" s="72">
        <f ca="1">Magick!$K$81</f>
        <v>0.13</v>
      </c>
      <c r="O911" s="72">
        <f ca="1">Magick!$L$81</f>
        <v>0.13</v>
      </c>
      <c r="P911" s="72">
        <f ca="1">Magick!$M$81</f>
        <v>0.13</v>
      </c>
      <c r="Q911" s="67" t="s">
        <v>3723</v>
      </c>
      <c r="R911" s="67">
        <f ca="1">IF(Q911="Ritual","N/A",IF(Q911="I.E.","N/A",IF(Q911="WOG",VLOOKUP(Magick!$I$81*100,magestuff!$B$134:$F$138,2),IF(Q911="Cantrip",VLOOKUP(Magick!$I$81*100,magestuff!$B$134:$F$138,3),IF(Q911="Hex",VLOOKUP(Magick!$I$81*100,magestuff!$B$134:$F$138,4),VLOOKUP(Magick!$I$81*100,magestuff!$B$134:$F$138,5))))))</f>
        <v>29</v>
      </c>
      <c r="S911" s="67" t="s">
        <v>1984</v>
      </c>
      <c r="T911" s="294" t="str">
        <f>CONCATENATE(IF(Magick!$C$3&gt;0,Magick!$C$3," ")," hrs.")</f>
        <v xml:space="preserve">  hrs.</v>
      </c>
      <c r="U911" s="67" t="str">
        <f t="shared" si="124"/>
        <v xml:space="preserve"> </v>
      </c>
      <c r="V911" s="515"/>
      <c r="W911" s="125"/>
      <c r="X911" s="31">
        <f t="shared" si="125"/>
        <v>0</v>
      </c>
      <c r="Y911" s="509"/>
      <c r="Z911" s="1054" t="str">
        <f t="shared" si="126"/>
        <v>Pain</v>
      </c>
      <c r="AA911" s="1072" t="str">
        <f t="shared" si="127"/>
        <v>Transcendental</v>
      </c>
    </row>
    <row r="912" spans="1:27" hidden="1" outlineLevel="1">
      <c r="A912" s="31" t="s">
        <v>3139</v>
      </c>
      <c r="B912" s="67">
        <v>3</v>
      </c>
      <c r="C912" s="67">
        <f ca="1">IF(magestuff!$I$209&lt;1,1,magestuff!$I$209)</f>
        <v>3</v>
      </c>
      <c r="D912" s="67">
        <f t="shared" si="123"/>
        <v>0</v>
      </c>
      <c r="E912" s="77" t="e">
        <f ca="1">IF(F912="y",HLOOKUP((IF(C912&lt;1,1,C912)),Magick!$C$20:$L$21,2),NA())</f>
        <v>#N/A</v>
      </c>
      <c r="F912" s="67" t="str">
        <f ca="1">IF(C912&lt;=Magick!$D$3,"Y","N")</f>
        <v>N</v>
      </c>
      <c r="G912" s="148" t="s">
        <v>128</v>
      </c>
      <c r="H912" s="151"/>
      <c r="I912" s="77" t="e">
        <f>IF(H912&gt;0,(HLOOKUP(C912,Magick!$C$20:$L$21,2)-HLOOKUP(H912,Magick!$C$20:$L$21,2)),NA())</f>
        <v>#N/A</v>
      </c>
      <c r="J912" s="77"/>
      <c r="K912" s="67">
        <v>5</v>
      </c>
      <c r="L912" s="72" t="str">
        <f>IF(H912&gt;0,Magick!$AR$29-('Master Spell List'!H918*0.1),"N/A")</f>
        <v>N/A</v>
      </c>
      <c r="M912" s="72">
        <f ca="1">Magick!$H$81</f>
        <v>0.08</v>
      </c>
      <c r="N912" s="72">
        <f ca="1">Magick!$K$81</f>
        <v>0.13</v>
      </c>
      <c r="O912" s="72">
        <f ca="1">Magick!$L$81</f>
        <v>0.13</v>
      </c>
      <c r="P912" s="72">
        <f ca="1">Magick!$M$81</f>
        <v>0.13</v>
      </c>
      <c r="Q912" s="67" t="s">
        <v>4603</v>
      </c>
      <c r="R912" s="67">
        <f ca="1">IF(Q912="Ritual","N/A",IF(Q912="I.E.","N/A",IF(Q912="WOG",VLOOKUP(Magick!$I$81*100,magestuff!$B$134:$F$138,2),IF(Q912="Cantrip",VLOOKUP(Magick!$I$81*100,magestuff!$B$134:$F$138,3),IF(Q912="Hex",VLOOKUP(Magick!$I$81*100,magestuff!$B$134:$F$138,4),VLOOKUP(Magick!$I$81*100,magestuff!$B$134:$F$138,5))))))</f>
        <v>9</v>
      </c>
      <c r="S912" s="67" t="s">
        <v>1984</v>
      </c>
      <c r="T912" s="294" t="str">
        <f>CONCATENATE(IF(Magick!$C$3&gt;0,Magick!$C$3*15," ")," sec.")</f>
        <v xml:space="preserve">  sec.</v>
      </c>
      <c r="U912" s="67" t="str">
        <f t="shared" si="124"/>
        <v xml:space="preserve"> </v>
      </c>
      <c r="V912" s="515"/>
      <c r="W912" s="125"/>
      <c r="X912" s="31">
        <f t="shared" si="125"/>
        <v>0</v>
      </c>
      <c r="Y912" s="509"/>
      <c r="Z912" s="1054" t="str">
        <f t="shared" si="126"/>
        <v>Slow</v>
      </c>
      <c r="AA912" s="1072" t="str">
        <f t="shared" si="127"/>
        <v>Transcendental</v>
      </c>
    </row>
    <row r="913" spans="1:27" hidden="1" outlineLevel="1">
      <c r="A913" s="31" t="s">
        <v>865</v>
      </c>
      <c r="B913" s="67">
        <v>4</v>
      </c>
      <c r="C913" s="67">
        <f ca="1">magestuff!$L$209</f>
        <v>4</v>
      </c>
      <c r="D913" s="67">
        <f t="shared" si="123"/>
        <v>0</v>
      </c>
      <c r="E913" s="77" t="e">
        <f ca="1">IF(F913="y",HLOOKUP((IF(C913&lt;1,1,C913)),Magick!$C$20:$L$21,2),NA())</f>
        <v>#N/A</v>
      </c>
      <c r="F913" s="67" t="str">
        <f ca="1">IF(C913&lt;=Magick!$D$3,"Y","N")</f>
        <v>N</v>
      </c>
      <c r="G913" s="148" t="s">
        <v>128</v>
      </c>
      <c r="H913" s="151"/>
      <c r="I913" s="77" t="e">
        <f>IF(H913&gt;0,(HLOOKUP(C913,Magick!$C$20:$L$21,2)-HLOOKUP(H913,Magick!$C$20:$L$21,2)),NA())</f>
        <v>#N/A</v>
      </c>
      <c r="J913" s="77"/>
      <c r="K913" s="67">
        <v>6</v>
      </c>
      <c r="L913" s="72" t="str">
        <f>IF(H913&gt;0,Magick!$AR$29-('Master Spell List'!H914*0.1),"N/A")</f>
        <v>N/A</v>
      </c>
      <c r="M913" s="72">
        <f ca="1">Magick!$H$81</f>
        <v>0.08</v>
      </c>
      <c r="N913" s="72">
        <f ca="1">Magick!$K$81</f>
        <v>0.13</v>
      </c>
      <c r="O913" s="72">
        <f ca="1">Magick!$L$81</f>
        <v>0.13</v>
      </c>
      <c r="P913" s="72">
        <f ca="1">Magick!$M$81</f>
        <v>0.13</v>
      </c>
      <c r="Q913" s="67" t="s">
        <v>4602</v>
      </c>
      <c r="R913" s="67">
        <f ca="1">IF(Q913="Ritual","N/A",IF(Q913="I.E.","N/A",IF(Q913="WOG",VLOOKUP(Magick!$I$81*100,magestuff!$B$134:$F$138,2),IF(Q913="Cantrip",VLOOKUP(Magick!$I$81*100,magestuff!$B$134:$F$138,3),IF(Q913="Hex",VLOOKUP(Magick!$I$81*100,magestuff!$B$134:$F$138,4),VLOOKUP(Magick!$I$81*100,magestuff!$B$134:$F$138,5))))))</f>
        <v>19</v>
      </c>
      <c r="S913" s="67" t="s">
        <v>1984</v>
      </c>
      <c r="T913" s="294" t="str">
        <f>CONCATENATE(IF(Magick!$C$3&gt;0,120+(Magick!$C$3*15)," ")," sec.")</f>
        <v xml:space="preserve">  sec.</v>
      </c>
      <c r="U913" s="67" t="str">
        <f t="shared" si="124"/>
        <v xml:space="preserve"> </v>
      </c>
      <c r="V913" s="515"/>
      <c r="W913" s="125"/>
      <c r="X913" s="31">
        <f t="shared" si="125"/>
        <v>0</v>
      </c>
      <c r="Y913" s="509"/>
      <c r="Z913" s="1054" t="str">
        <f t="shared" si="126"/>
        <v>Agony of the Damned</v>
      </c>
      <c r="AA913" s="1072" t="str">
        <f t="shared" si="127"/>
        <v>Transcendental</v>
      </c>
    </row>
    <row r="914" spans="1:27" hidden="1" outlineLevel="1">
      <c r="A914" s="31" t="s">
        <v>1255</v>
      </c>
      <c r="B914" s="67">
        <v>4</v>
      </c>
      <c r="C914" s="67">
        <f ca="1">magestuff!$L$209</f>
        <v>4</v>
      </c>
      <c r="D914" s="67">
        <f t="shared" si="123"/>
        <v>0</v>
      </c>
      <c r="E914" s="77" t="e">
        <f ca="1">IF(F914="y",HLOOKUP((IF(C914&lt;1,1,C914)),Magick!$C$20:$L$21,2),NA())</f>
        <v>#N/A</v>
      </c>
      <c r="F914" s="67" t="str">
        <f ca="1">IF(C914&lt;=Magick!$D$3,"Y","N")</f>
        <v>N</v>
      </c>
      <c r="G914" s="148" t="s">
        <v>128</v>
      </c>
      <c r="H914" s="151"/>
      <c r="I914" s="77" t="e">
        <f>IF(H914&gt;0,(HLOOKUP(C914,Magick!$C$20:$L$21,2)-HLOOKUP(H914,Magick!$C$20:$L$21,2)),NA())</f>
        <v>#N/A</v>
      </c>
      <c r="J914" s="77"/>
      <c r="K914" s="67">
        <v>6</v>
      </c>
      <c r="L914" s="72" t="str">
        <f>IF(H914&gt;0,Magick!$AR$29-('Master Spell List'!H898*0.1),"N/A")</f>
        <v>N/A</v>
      </c>
      <c r="M914" s="72">
        <f ca="1">Magick!$H$81</f>
        <v>0.08</v>
      </c>
      <c r="N914" s="72">
        <f ca="1">Magick!$K$81</f>
        <v>0.13</v>
      </c>
      <c r="O914" s="72">
        <f ca="1">Magick!$L$81</f>
        <v>0.13</v>
      </c>
      <c r="P914" s="72">
        <f ca="1">Magick!$M$81</f>
        <v>0.13</v>
      </c>
      <c r="Q914" s="67" t="s">
        <v>4602</v>
      </c>
      <c r="R914" s="67">
        <f ca="1">IF(Q914="Ritual","N/A",IF(Q914="I.E.","N/A",IF(Q914="WOG",VLOOKUP(Magick!$I$81*100,magestuff!$B$134:$F$138,2),IF(Q914="Cantrip",VLOOKUP(Magick!$I$81*100,magestuff!$B$134:$F$138,3),IF(Q914="Hex",VLOOKUP(Magick!$I$81*100,magestuff!$B$134:$F$138,4),VLOOKUP(Magick!$I$81*100,magestuff!$B$134:$F$138,5))))))</f>
        <v>19</v>
      </c>
      <c r="S914" s="67" t="s">
        <v>1984</v>
      </c>
      <c r="T914" s="294" t="str">
        <f>CONCATENATE(IF(Magick!$C$3&gt;0,Magick!$C$3*45," ")," sec.")</f>
        <v xml:space="preserve">  sec.</v>
      </c>
      <c r="U914" s="67" t="str">
        <f t="shared" si="124"/>
        <v xml:space="preserve"> </v>
      </c>
      <c r="V914" s="515"/>
      <c r="W914" s="125"/>
      <c r="X914" s="31">
        <f t="shared" si="125"/>
        <v>0</v>
      </c>
      <c r="Y914" s="509"/>
      <c r="Z914" s="1054" t="str">
        <f t="shared" si="126"/>
        <v>Armoured Skin - Armour of Guard</v>
      </c>
      <c r="AA914" s="1072" t="str">
        <f t="shared" si="127"/>
        <v>Transcendental</v>
      </c>
    </row>
    <row r="915" spans="1:27" hidden="1" outlineLevel="1">
      <c r="A915" s="83" t="s">
        <v>4318</v>
      </c>
      <c r="B915" s="67">
        <v>4</v>
      </c>
      <c r="C915" s="67">
        <f ca="1">magestuff!$L$209</f>
        <v>4</v>
      </c>
      <c r="D915" s="67">
        <f t="shared" si="123"/>
        <v>0</v>
      </c>
      <c r="E915" s="77" t="e">
        <f ca="1">IF(F915="y",HLOOKUP((IF(C915&lt;1,1,C915)),Magick!$C$20:$L$21,2),NA())</f>
        <v>#N/A</v>
      </c>
      <c r="F915" s="67" t="str">
        <f ca="1">IF(C915&lt;=Magick!$D$3,"Y","N")</f>
        <v>N</v>
      </c>
      <c r="G915" s="148" t="s">
        <v>859</v>
      </c>
      <c r="H915" s="151"/>
      <c r="I915" s="77" t="e">
        <f>IF(H915&gt;0,(HLOOKUP(C915,Magick!$C$20:$L$21,2)-HLOOKUP(H915,Magick!$C$20:$L$21,2)),NA())</f>
        <v>#N/A</v>
      </c>
      <c r="J915" s="77"/>
      <c r="K915" s="67" t="s">
        <v>2225</v>
      </c>
      <c r="L915" s="72" t="str">
        <f>IF(H915&gt;0,Magick!$AR$29-('Master Spell List'!H935*0.1),"N/A")</f>
        <v>N/A</v>
      </c>
      <c r="M915" s="72">
        <f ca="1">Magick!$H$81</f>
        <v>0.08</v>
      </c>
      <c r="N915" s="72">
        <f ca="1">Magick!$K$81</f>
        <v>0.13</v>
      </c>
      <c r="O915" s="72">
        <f ca="1">Magick!$L$81</f>
        <v>0.13</v>
      </c>
      <c r="P915" s="72">
        <f ca="1">Magick!$M$81</f>
        <v>0.13</v>
      </c>
      <c r="Q915" s="67" t="s">
        <v>2225</v>
      </c>
      <c r="R915" s="67">
        <f ca="1">IF(Q915="Ritual","N/A",IF(Q915="I.E.","N/A",IF(Q915="WOG",VLOOKUP(Magick!$I$81*100,magestuff!$B$134:$F$138,2),IF(Q915="Cantrip",VLOOKUP(Magick!$I$81*100,magestuff!$B$134:$F$138,3),IF(Q915="Hex",VLOOKUP(Magick!$I$81*100,magestuff!$B$134:$F$138,4),VLOOKUP(Magick!$I$81*100,magestuff!$B$134:$F$138,5))))))</f>
        <v>29</v>
      </c>
      <c r="S915" s="67" t="s">
        <v>2225</v>
      </c>
      <c r="T915" s="69" t="s">
        <v>2225</v>
      </c>
      <c r="U915" s="67" t="str">
        <f t="shared" si="124"/>
        <v xml:space="preserve"> </v>
      </c>
      <c r="V915" s="515"/>
      <c r="W915" s="125"/>
      <c r="X915" s="31">
        <f t="shared" si="125"/>
        <v>0</v>
      </c>
      <c r="Y915" s="509"/>
      <c r="Z915" s="1054" t="str">
        <f t="shared" si="126"/>
        <v>Least Enhancement</v>
      </c>
      <c r="AA915" s="1072" t="str">
        <f t="shared" si="127"/>
        <v>Transcendental</v>
      </c>
    </row>
    <row r="916" spans="1:27" hidden="1" outlineLevel="1">
      <c r="A916" s="83" t="s">
        <v>4322</v>
      </c>
      <c r="B916" s="67">
        <v>4</v>
      </c>
      <c r="C916" s="67">
        <f ca="1">magestuff!$L$209</f>
        <v>4</v>
      </c>
      <c r="D916" s="67">
        <f t="shared" si="123"/>
        <v>0</v>
      </c>
      <c r="E916" s="77" t="e">
        <f ca="1">IF(F916="y",HLOOKUP((IF(C916&lt;1,1,C916)),Magick!$C$20:$L$21,2),NA())</f>
        <v>#N/A</v>
      </c>
      <c r="F916" s="67" t="str">
        <f ca="1">IF(C916&lt;=Magick!$D$3,"Y","N")</f>
        <v>N</v>
      </c>
      <c r="G916" s="148" t="s">
        <v>859</v>
      </c>
      <c r="H916" s="151"/>
      <c r="I916" s="77" t="e">
        <f>IF(H916&gt;0,(HLOOKUP(C916,Magick!$C$20:$L$21,2)-HLOOKUP(H916,Magick!$C$20:$L$21,2)),NA())</f>
        <v>#N/A</v>
      </c>
      <c r="J916" s="77"/>
      <c r="K916" s="67" t="s">
        <v>2225</v>
      </c>
      <c r="L916" s="72" t="str">
        <f>IF(H916&gt;0,Magick!$AR$29-('Master Spell List'!H939*0.1),"N/A")</f>
        <v>N/A</v>
      </c>
      <c r="M916" s="72">
        <f ca="1">Magick!$H$81</f>
        <v>0.08</v>
      </c>
      <c r="N916" s="72">
        <f ca="1">Magick!$K$81</f>
        <v>0.13</v>
      </c>
      <c r="O916" s="72">
        <f ca="1">Magick!$L$81</f>
        <v>0.13</v>
      </c>
      <c r="P916" s="72">
        <f ca="1">Magick!$M$81</f>
        <v>0.13</v>
      </c>
      <c r="Q916" s="67" t="s">
        <v>2225</v>
      </c>
      <c r="R916" s="67">
        <f ca="1">IF(Q916="Ritual","N/A",IF(Q916="I.E.","N/A",IF(Q916="WOG",VLOOKUP(Magick!$I$81*100,magestuff!$B$134:$F$138,2),IF(Q916="Cantrip",VLOOKUP(Magick!$I$81*100,magestuff!$B$134:$F$138,3),IF(Q916="Hex",VLOOKUP(Magick!$I$81*100,magestuff!$B$134:$F$138,4),VLOOKUP(Magick!$I$81*100,magestuff!$B$134:$F$138,5))))))</f>
        <v>29</v>
      </c>
      <c r="S916" s="67" t="s">
        <v>2225</v>
      </c>
      <c r="T916" s="69" t="s">
        <v>2225</v>
      </c>
      <c r="U916" s="67" t="str">
        <f t="shared" si="124"/>
        <v xml:space="preserve"> </v>
      </c>
      <c r="V916" s="515"/>
      <c r="W916" s="125"/>
      <c r="X916" s="31">
        <f t="shared" si="125"/>
        <v>0</v>
      </c>
      <c r="Y916" s="509"/>
      <c r="Z916" s="1054" t="str">
        <f t="shared" si="126"/>
        <v>Least Transform Self</v>
      </c>
      <c r="AA916" s="1072" t="str">
        <f t="shared" si="127"/>
        <v>Transcendental</v>
      </c>
    </row>
    <row r="917" spans="1:27" hidden="1" outlineLevel="1">
      <c r="A917" s="31" t="s">
        <v>866</v>
      </c>
      <c r="B917" s="67">
        <v>4</v>
      </c>
      <c r="C917" s="67">
        <f ca="1">magestuff!$L$209</f>
        <v>4</v>
      </c>
      <c r="D917" s="67">
        <f t="shared" si="123"/>
        <v>0</v>
      </c>
      <c r="E917" s="77" t="e">
        <f ca="1">IF(F917="y",HLOOKUP((IF(C917&lt;1,1,C917)),Magick!$C$20:$L$21,2),NA())</f>
        <v>#N/A</v>
      </c>
      <c r="F917" s="67" t="str">
        <f ca="1">IF(C917&lt;=Magick!$D$3,"Y","N")</f>
        <v>N</v>
      </c>
      <c r="G917" s="148" t="s">
        <v>128</v>
      </c>
      <c r="H917" s="151"/>
      <c r="I917" s="77" t="e">
        <f>IF(H917&gt;0,(HLOOKUP(C917,Magick!$C$20:$L$21,2)-HLOOKUP(H917,Magick!$C$20:$L$21,2)),NA())</f>
        <v>#N/A</v>
      </c>
      <c r="J917" s="77"/>
      <c r="K917" s="67">
        <v>7</v>
      </c>
      <c r="L917" s="72" t="str">
        <f>IF(H917&gt;0,Magick!$AR$29-('Master Spell List'!H915*0.1),"N/A")</f>
        <v>N/A</v>
      </c>
      <c r="M917" s="72">
        <f ca="1">Magick!$H$81</f>
        <v>0.08</v>
      </c>
      <c r="N917" s="72">
        <f ca="1">Magick!$K$81</f>
        <v>0.13</v>
      </c>
      <c r="O917" s="72">
        <f ca="1">Magick!$L$81</f>
        <v>0.13</v>
      </c>
      <c r="P917" s="72">
        <f ca="1">Magick!$M$81</f>
        <v>0.13</v>
      </c>
      <c r="Q917" s="67" t="s">
        <v>4602</v>
      </c>
      <c r="R917" s="67">
        <f ca="1">IF(Q917="Ritual","N/A",IF(Q917="I.E.","N/A",IF(Q917="WOG",VLOOKUP(Magick!$I$81*100,magestuff!$B$134:$F$138,2),IF(Q917="Cantrip",VLOOKUP(Magick!$I$81*100,magestuff!$B$134:$F$138,3),IF(Q917="Hex",VLOOKUP(Magick!$I$81*100,magestuff!$B$134:$F$138,4),VLOOKUP(Magick!$I$81*100,magestuff!$B$134:$F$138,5))))))</f>
        <v>19</v>
      </c>
      <c r="S917" s="67" t="s">
        <v>1984</v>
      </c>
      <c r="T917" s="69" t="s">
        <v>3725</v>
      </c>
      <c r="U917" s="67" t="str">
        <f t="shared" si="124"/>
        <v xml:space="preserve"> </v>
      </c>
      <c r="V917" s="515"/>
      <c r="W917" s="125"/>
      <c r="X917" s="31">
        <f t="shared" si="125"/>
        <v>0</v>
      </c>
      <c r="Y917" s="509"/>
      <c r="Z917" s="1054" t="str">
        <f t="shared" si="126"/>
        <v>Release From Agony</v>
      </c>
      <c r="AA917" s="1072" t="str">
        <f t="shared" si="127"/>
        <v>Transcendental</v>
      </c>
    </row>
    <row r="918" spans="1:27" hidden="1" outlineLevel="1">
      <c r="A918" s="31" t="s">
        <v>867</v>
      </c>
      <c r="B918" s="67">
        <v>4</v>
      </c>
      <c r="C918" s="67">
        <f ca="1">magestuff!$L$209</f>
        <v>4</v>
      </c>
      <c r="D918" s="67">
        <f t="shared" si="123"/>
        <v>0</v>
      </c>
      <c r="E918" s="77" t="e">
        <f ca="1">IF(F918="y",HLOOKUP((IF(C918&lt;1,1,C918)),Magick!$C$20:$L$21,2),NA())</f>
        <v>#N/A</v>
      </c>
      <c r="F918" s="67" t="str">
        <f ca="1">IF(C918&lt;=Magick!$D$3,"Y","N")</f>
        <v>N</v>
      </c>
      <c r="G918" s="148" t="s">
        <v>128</v>
      </c>
      <c r="H918" s="151"/>
      <c r="I918" s="77" t="e">
        <f>IF(H918&gt;0,(HLOOKUP(C918,Magick!$C$20:$L$21,2)-HLOOKUP(H918,Magick!$C$20:$L$21,2)),NA())</f>
        <v>#N/A</v>
      </c>
      <c r="J918" s="77"/>
      <c r="K918" s="67" t="s">
        <v>3673</v>
      </c>
      <c r="L918" s="72" t="str">
        <f>IF(H918&gt;0,Magick!$AR$29-('Master Spell List'!H916*0.1),"N/A")</f>
        <v>N/A</v>
      </c>
      <c r="M918" s="72">
        <f ca="1">Magick!$H$81</f>
        <v>0.08</v>
      </c>
      <c r="N918" s="72">
        <f ca="1">Magick!$K$81</f>
        <v>0.13</v>
      </c>
      <c r="O918" s="72">
        <f ca="1">Magick!$L$81</f>
        <v>0.13</v>
      </c>
      <c r="P918" s="72">
        <f ca="1">Magick!$M$81</f>
        <v>0.13</v>
      </c>
      <c r="Q918" s="67" t="s">
        <v>3723</v>
      </c>
      <c r="R918" s="67">
        <f ca="1">IF(Q918="Ritual","N/A",IF(Q918="I.E.","N/A",IF(Q918="WOG",VLOOKUP(Magick!$I$81*100,magestuff!$B$134:$F$138,2),IF(Q918="Cantrip",VLOOKUP(Magick!$I$81*100,magestuff!$B$134:$F$138,3),IF(Q918="Hex",VLOOKUP(Magick!$I$81*100,magestuff!$B$134:$F$138,4),VLOOKUP(Magick!$I$81*100,magestuff!$B$134:$F$138,5))))))</f>
        <v>29</v>
      </c>
      <c r="S918" s="67" t="s">
        <v>1984</v>
      </c>
      <c r="T918" s="294" t="str">
        <f>CONCATENATE(IF(Magick!$C$3&gt;0,Magick!$C$3*10," ")," min.")</f>
        <v xml:space="preserve">  min.</v>
      </c>
      <c r="U918" s="67" t="str">
        <f t="shared" si="124"/>
        <v xml:space="preserve"> </v>
      </c>
      <c r="V918" s="515"/>
      <c r="W918" s="125"/>
      <c r="X918" s="31">
        <f t="shared" si="125"/>
        <v>0</v>
      </c>
      <c r="Y918" s="509"/>
      <c r="Z918" s="1054" t="str">
        <f t="shared" si="126"/>
        <v>Shape Shift</v>
      </c>
      <c r="AA918" s="1072" t="str">
        <f t="shared" si="127"/>
        <v>Transcendental</v>
      </c>
    </row>
    <row r="919" spans="1:27" hidden="1" outlineLevel="1">
      <c r="A919" s="31" t="s">
        <v>868</v>
      </c>
      <c r="B919" s="67">
        <v>4</v>
      </c>
      <c r="C919" s="67">
        <f ca="1">magestuff!$L$209</f>
        <v>4</v>
      </c>
      <c r="D919" s="67">
        <f t="shared" si="123"/>
        <v>0</v>
      </c>
      <c r="E919" s="77" t="e">
        <f ca="1">IF(F919="y",HLOOKUP((IF(C919&lt;1,1,C919)),Magick!$C$20:$L$21,2),NA())</f>
        <v>#N/A</v>
      </c>
      <c r="F919" s="67" t="str">
        <f ca="1">IF(C919&lt;=Magick!$D$3,"Y","N")</f>
        <v>N</v>
      </c>
      <c r="G919" s="148" t="s">
        <v>128</v>
      </c>
      <c r="H919" s="151"/>
      <c r="I919" s="77" t="e">
        <f>IF(H919&gt;0,(HLOOKUP(C919,Magick!$C$20:$L$21,2)-HLOOKUP(H919,Magick!$C$20:$L$21,2)),NA())</f>
        <v>#N/A</v>
      </c>
      <c r="J919" s="77"/>
      <c r="K919" s="67">
        <v>6</v>
      </c>
      <c r="L919" s="72" t="str">
        <f>IF(H919&gt;0,Magick!$AR$29-('Master Spell List'!H917*0.1),"N/A")</f>
        <v>N/A</v>
      </c>
      <c r="M919" s="72">
        <f ca="1">Magick!$H$81</f>
        <v>0.08</v>
      </c>
      <c r="N919" s="72">
        <f ca="1">Magick!$K$81</f>
        <v>0.13</v>
      </c>
      <c r="O919" s="72">
        <f ca="1">Magick!$L$81</f>
        <v>0.13</v>
      </c>
      <c r="P919" s="72">
        <f ca="1">Magick!$M$81</f>
        <v>0.13</v>
      </c>
      <c r="Q919" s="67" t="s">
        <v>4603</v>
      </c>
      <c r="R919" s="67">
        <f ca="1">IF(Q919="Ritual","N/A",IF(Q919="I.E.","N/A",IF(Q919="WOG",VLOOKUP(Magick!$I$81*100,magestuff!$B$134:$F$138,2),IF(Q919="Cantrip",VLOOKUP(Magick!$I$81*100,magestuff!$B$134:$F$138,3),IF(Q919="Hex",VLOOKUP(Magick!$I$81*100,magestuff!$B$134:$F$138,4),VLOOKUP(Magick!$I$81*100,magestuff!$B$134:$F$138,5))))))</f>
        <v>9</v>
      </c>
      <c r="S919" s="67" t="s">
        <v>1984</v>
      </c>
      <c r="T919" s="294" t="str">
        <f>CONCATENATE(IF(Magick!$C$3&gt;0,Magick!$C$3*15," ")," sec.")</f>
        <v xml:space="preserve">  sec.</v>
      </c>
      <c r="U919" s="67" t="str">
        <f t="shared" si="124"/>
        <v xml:space="preserve"> </v>
      </c>
      <c r="V919" s="515"/>
      <c r="W919" s="125"/>
      <c r="X919" s="31">
        <f t="shared" si="125"/>
        <v>0</v>
      </c>
      <c r="Y919" s="509"/>
      <c r="Z919" s="1054" t="str">
        <f t="shared" si="126"/>
        <v>Speed</v>
      </c>
      <c r="AA919" s="1072" t="str">
        <f t="shared" si="127"/>
        <v>Transcendental</v>
      </c>
    </row>
    <row r="920" spans="1:27" hidden="1" outlineLevel="1">
      <c r="A920" s="31" t="s">
        <v>3167</v>
      </c>
      <c r="B920" s="67">
        <v>5</v>
      </c>
      <c r="C920" s="67">
        <f ca="1">magestuff!$O$209</f>
        <v>5</v>
      </c>
      <c r="D920" s="67">
        <f t="shared" si="123"/>
        <v>0</v>
      </c>
      <c r="E920" s="77" t="e">
        <f ca="1">IF(F920="y",HLOOKUP((IF(C920&lt;1,1,C920)),Magick!$C$20:$L$21,2),NA())</f>
        <v>#N/A</v>
      </c>
      <c r="F920" s="67" t="str">
        <f ca="1">IF(C920&lt;=Magick!$D$3,"Y","N")</f>
        <v>N</v>
      </c>
      <c r="G920" s="148" t="s">
        <v>128</v>
      </c>
      <c r="H920" s="151"/>
      <c r="I920" s="77" t="e">
        <f>IF(H920&gt;0,(HLOOKUP(C920,Magick!$C$20:$L$21,2)-HLOOKUP(H920,Magick!$C$20:$L$21,2)),NA())</f>
        <v>#N/A</v>
      </c>
      <c r="J920" s="77"/>
      <c r="K920" s="67">
        <v>9</v>
      </c>
      <c r="L920" s="72" t="str">
        <f>IF(H920&gt;0,Magick!$AR$29-('Master Spell List'!#REF!*0.1),"N/A")</f>
        <v>N/A</v>
      </c>
      <c r="M920" s="72">
        <f ca="1">Magick!$H$81</f>
        <v>0.08</v>
      </c>
      <c r="N920" s="72">
        <f ca="1">Magick!$K$81</f>
        <v>0.13</v>
      </c>
      <c r="O920" s="72">
        <f ca="1">Magick!$L$81</f>
        <v>0.13</v>
      </c>
      <c r="P920" s="72">
        <f ca="1">Magick!$M$81</f>
        <v>0.13</v>
      </c>
      <c r="Q920" s="67" t="s">
        <v>3723</v>
      </c>
      <c r="R920" s="67">
        <f ca="1">IF(Q920="Ritual","N/A",IF(Q920="I.E.","N/A",IF(Q920="WOG",VLOOKUP(Magick!$I$81*100,magestuff!$B$134:$F$138,2),IF(Q920="Cantrip",VLOOKUP(Magick!$I$81*100,magestuff!$B$134:$F$138,3),IF(Q920="Hex",VLOOKUP(Magick!$I$81*100,magestuff!$B$134:$F$138,4),VLOOKUP(Magick!$I$81*100,magestuff!$B$134:$F$138,5))))))</f>
        <v>29</v>
      </c>
      <c r="S920" s="67" t="s">
        <v>1984</v>
      </c>
      <c r="T920" s="69" t="s">
        <v>3675</v>
      </c>
      <c r="U920" s="67" t="str">
        <f t="shared" si="124"/>
        <v xml:space="preserve"> </v>
      </c>
      <c r="V920" s="515"/>
      <c r="W920" s="125"/>
      <c r="X920" s="31">
        <f t="shared" si="125"/>
        <v>0</v>
      </c>
      <c r="Y920" s="509"/>
      <c r="Z920" s="1054" t="str">
        <f t="shared" si="126"/>
        <v>Circe's Touch</v>
      </c>
      <c r="AA920" s="1072" t="str">
        <f t="shared" si="127"/>
        <v>Transcendental</v>
      </c>
    </row>
    <row r="921" spans="1:27" hidden="1" outlineLevel="1">
      <c r="A921" s="31" t="s">
        <v>869</v>
      </c>
      <c r="B921" s="67">
        <v>5</v>
      </c>
      <c r="C921" s="67">
        <f ca="1">magestuff!$O$209</f>
        <v>5</v>
      </c>
      <c r="D921" s="67">
        <f t="shared" si="123"/>
        <v>0</v>
      </c>
      <c r="E921" s="77" t="e">
        <f ca="1">IF(F921="y",HLOOKUP((IF(C921&lt;1,1,C921)),Magick!$C$20:$L$21,2),NA())</f>
        <v>#N/A</v>
      </c>
      <c r="F921" s="67" t="str">
        <f ca="1">IF(C921&lt;=Magick!$D$3,"Y","N")</f>
        <v>N</v>
      </c>
      <c r="G921" s="148" t="s">
        <v>128</v>
      </c>
      <c r="H921" s="151"/>
      <c r="I921" s="77" t="e">
        <f>IF(H921&gt;0,(HLOOKUP(C921,Magick!$C$20:$L$21,2)-HLOOKUP(H921,Magick!$C$20:$L$21,2)),NA())</f>
        <v>#N/A</v>
      </c>
      <c r="J921" s="77"/>
      <c r="K921" s="67">
        <v>9</v>
      </c>
      <c r="L921" s="72" t="str">
        <f>IF(H921&gt;0,Magick!$AR$29-('Master Spell List'!H919*0.1),"N/A")</f>
        <v>N/A</v>
      </c>
      <c r="M921" s="72">
        <f ca="1">Magick!$H$81</f>
        <v>0.08</v>
      </c>
      <c r="N921" s="72">
        <f ca="1">Magick!$K$81</f>
        <v>0.13</v>
      </c>
      <c r="O921" s="72">
        <f ca="1">Magick!$L$81</f>
        <v>0.13</v>
      </c>
      <c r="P921" s="72">
        <f ca="1">Magick!$M$81</f>
        <v>0.13</v>
      </c>
      <c r="Q921" s="67" t="s">
        <v>3723</v>
      </c>
      <c r="R921" s="67">
        <f ca="1">IF(Q921="Ritual","N/A",IF(Q921="I.E.","N/A",IF(Q921="WOG",VLOOKUP(Magick!$I$81*100,magestuff!$B$134:$F$138,2),IF(Q921="Cantrip",VLOOKUP(Magick!$I$81*100,magestuff!$B$134:$F$138,3),IF(Q921="Hex",VLOOKUP(Magick!$I$81*100,magestuff!$B$134:$F$138,4),VLOOKUP(Magick!$I$81*100,magestuff!$B$134:$F$138,5))))))</f>
        <v>29</v>
      </c>
      <c r="S921" s="67" t="s">
        <v>1984</v>
      </c>
      <c r="T921" s="69" t="s">
        <v>3675</v>
      </c>
      <c r="U921" s="67" t="str">
        <f t="shared" si="124"/>
        <v xml:space="preserve"> </v>
      </c>
      <c r="V921" s="515"/>
      <c r="W921" s="125"/>
      <c r="X921" s="31">
        <f t="shared" si="125"/>
        <v>0</v>
      </c>
      <c r="Y921" s="509"/>
      <c r="Z921" s="1054" t="str">
        <f t="shared" si="126"/>
        <v>Journey in Haste</v>
      </c>
      <c r="AA921" s="1072" t="str">
        <f t="shared" si="127"/>
        <v>Transcendental</v>
      </c>
    </row>
    <row r="922" spans="1:27" hidden="1" outlineLevel="1">
      <c r="A922" s="83" t="s">
        <v>479</v>
      </c>
      <c r="B922" s="67">
        <v>5</v>
      </c>
      <c r="C922" s="67">
        <f ca="1">magestuff!$O$209</f>
        <v>5</v>
      </c>
      <c r="D922" s="67">
        <f t="shared" si="123"/>
        <v>0</v>
      </c>
      <c r="E922" s="77" t="e">
        <f ca="1">IF(F922="y",HLOOKUP((IF(C922&lt;1,1,C922)),Magick!$C$20:$L$21,2),NA())</f>
        <v>#N/A</v>
      </c>
      <c r="F922" s="67" t="str">
        <f ca="1">IF(C922&lt;=Magick!$D$3,"Y","N")</f>
        <v>N</v>
      </c>
      <c r="G922" s="148" t="s">
        <v>859</v>
      </c>
      <c r="H922" s="151"/>
      <c r="I922" s="77" t="e">
        <f>IF(H922&gt;0,(HLOOKUP(C922,Magick!$C$20:$L$21,2)-HLOOKUP(H922,Magick!$C$20:$L$21,2)),NA())</f>
        <v>#N/A</v>
      </c>
      <c r="J922" s="77"/>
      <c r="K922" s="67" t="s">
        <v>2225</v>
      </c>
      <c r="L922" s="72" t="str">
        <f>IF(H922&gt;0,Magick!$AR$29-('Master Spell List'!H933*0.1),"N/A")</f>
        <v>N/A</v>
      </c>
      <c r="M922" s="72">
        <f ca="1">Magick!$H$81</f>
        <v>0.08</v>
      </c>
      <c r="N922" s="72">
        <f ca="1">Magick!$K$81</f>
        <v>0.13</v>
      </c>
      <c r="O922" s="72">
        <f ca="1">Magick!$L$81</f>
        <v>0.13</v>
      </c>
      <c r="P922" s="72">
        <f ca="1">Magick!$M$81</f>
        <v>0.13</v>
      </c>
      <c r="Q922" s="67" t="s">
        <v>2225</v>
      </c>
      <c r="R922" s="67">
        <f ca="1">IF(Q922="Ritual","N/A",IF(Q922="I.E.","N/A",IF(Q922="WOG",VLOOKUP(Magick!$I$81*100,magestuff!$B$134:$F$138,2),IF(Q922="Cantrip",VLOOKUP(Magick!$I$81*100,magestuff!$B$134:$F$138,3),IF(Q922="Hex",VLOOKUP(Magick!$I$81*100,magestuff!$B$134:$F$138,4),VLOOKUP(Magick!$I$81*100,magestuff!$B$134:$F$138,5))))))</f>
        <v>29</v>
      </c>
      <c r="S922" s="67" t="s">
        <v>2225</v>
      </c>
      <c r="T922" s="69" t="s">
        <v>2225</v>
      </c>
      <c r="U922" s="67" t="str">
        <f t="shared" si="124"/>
        <v xml:space="preserve"> </v>
      </c>
      <c r="V922" s="515"/>
      <c r="W922" s="125"/>
      <c r="X922" s="31">
        <f t="shared" si="125"/>
        <v>0</v>
      </c>
      <c r="Y922" s="509"/>
      <c r="Z922" s="1054" t="str">
        <f t="shared" si="126"/>
        <v>Lesser Preserve</v>
      </c>
      <c r="AA922" s="1072" t="str">
        <f t="shared" si="127"/>
        <v>Transcendental</v>
      </c>
    </row>
    <row r="923" spans="1:27" hidden="1" outlineLevel="1">
      <c r="A923" s="83" t="s">
        <v>4323</v>
      </c>
      <c r="B923" s="67">
        <v>5</v>
      </c>
      <c r="C923" s="67">
        <f ca="1">magestuff!$O$209</f>
        <v>5</v>
      </c>
      <c r="D923" s="67">
        <f t="shared" si="123"/>
        <v>0</v>
      </c>
      <c r="E923" s="77" t="e">
        <f ca="1">IF(F923="y",HLOOKUP((IF(C923&lt;1,1,C923)),Magick!$C$20:$L$21,2),NA())</f>
        <v>#N/A</v>
      </c>
      <c r="F923" s="67" t="str">
        <f ca="1">IF(C923&lt;=Magick!$D$3,"Y","N")</f>
        <v>N</v>
      </c>
      <c r="G923" s="148" t="s">
        <v>859</v>
      </c>
      <c r="H923" s="151"/>
      <c r="I923" s="77" t="e">
        <f>IF(H923&gt;0,(HLOOKUP(C923,Magick!$C$20:$L$21,2)-HLOOKUP(H923,Magick!$C$20:$L$21,2)),NA())</f>
        <v>#N/A</v>
      </c>
      <c r="J923" s="77"/>
      <c r="K923" s="67" t="s">
        <v>2225</v>
      </c>
      <c r="L923" s="72" t="str">
        <f>IF(H923&gt;0,Magick!$AR$29-('Master Spell List'!H941*0.1),"N/A")</f>
        <v>N/A</v>
      </c>
      <c r="M923" s="72">
        <f ca="1">Magick!$H$81</f>
        <v>0.08</v>
      </c>
      <c r="N923" s="72">
        <f ca="1">Magick!$K$81</f>
        <v>0.13</v>
      </c>
      <c r="O923" s="72">
        <f ca="1">Magick!$L$81</f>
        <v>0.13</v>
      </c>
      <c r="P923" s="72">
        <f ca="1">Magick!$M$81</f>
        <v>0.13</v>
      </c>
      <c r="Q923" s="67" t="s">
        <v>2225</v>
      </c>
      <c r="R923" s="67">
        <f ca="1">IF(Q923="Ritual","N/A",IF(Q923="I.E.","N/A",IF(Q923="WOG",VLOOKUP(Magick!$I$81*100,magestuff!$B$134:$F$138,2),IF(Q923="Cantrip",VLOOKUP(Magick!$I$81*100,magestuff!$B$134:$F$138,3),IF(Q923="Hex",VLOOKUP(Magick!$I$81*100,magestuff!$B$134:$F$138,4),VLOOKUP(Magick!$I$81*100,magestuff!$B$134:$F$138,5))))))</f>
        <v>29</v>
      </c>
      <c r="S923" s="67" t="s">
        <v>2225</v>
      </c>
      <c r="T923" s="294" t="str">
        <f>CONCATENATE(IF(Magick!$C$3&gt;0,Magick!$C$3," ")," week")</f>
        <v xml:space="preserve">  week</v>
      </c>
      <c r="U923" s="67" t="str">
        <f t="shared" si="124"/>
        <v xml:space="preserve"> </v>
      </c>
      <c r="V923" s="515"/>
      <c r="W923" s="125"/>
      <c r="X923" s="31">
        <f t="shared" si="125"/>
        <v>0</v>
      </c>
      <c r="Y923" s="509"/>
      <c r="Z923" s="1054" t="str">
        <f t="shared" si="126"/>
        <v>Lesser Transform Self</v>
      </c>
      <c r="AA923" s="1072" t="str">
        <f t="shared" si="127"/>
        <v>Transcendental</v>
      </c>
    </row>
    <row r="924" spans="1:27" hidden="1" outlineLevel="1">
      <c r="A924" s="31" t="s">
        <v>3672</v>
      </c>
      <c r="B924" s="67">
        <v>5</v>
      </c>
      <c r="C924" s="67">
        <f ca="1">magestuff!$O$209</f>
        <v>5</v>
      </c>
      <c r="D924" s="67">
        <f t="shared" si="123"/>
        <v>0</v>
      </c>
      <c r="E924" s="77" t="e">
        <f ca="1">IF(F924="y",HLOOKUP((IF(C924&lt;1,1,C924)),Magick!$C$20:$L$21,2),NA())</f>
        <v>#N/A</v>
      </c>
      <c r="F924" s="67" t="str">
        <f ca="1">IF(C924&lt;=Magick!$D$3,"Y","N")</f>
        <v>N</v>
      </c>
      <c r="G924" s="148" t="s">
        <v>128</v>
      </c>
      <c r="H924" s="151"/>
      <c r="I924" s="77" t="e">
        <f>IF(H924&gt;0,(HLOOKUP(C924,Magick!$C$20:$L$21,2)-HLOOKUP(H924,Magick!$C$20:$L$21,2)),NA())</f>
        <v>#N/A</v>
      </c>
      <c r="J924" s="77"/>
      <c r="K924" s="67">
        <v>8</v>
      </c>
      <c r="L924" s="72" t="str">
        <f>IF(H924&gt;0,Magick!$AR$29-('Master Spell List'!H909*0.1),"N/A")</f>
        <v>N/A</v>
      </c>
      <c r="M924" s="72">
        <f ca="1">Magick!$H$81</f>
        <v>0.08</v>
      </c>
      <c r="N924" s="72">
        <f ca="1">Magick!$K$81</f>
        <v>0.13</v>
      </c>
      <c r="O924" s="72">
        <f ca="1">Magick!$L$81</f>
        <v>0.13</v>
      </c>
      <c r="P924" s="72">
        <f ca="1">Magick!$M$81</f>
        <v>0.13</v>
      </c>
      <c r="Q924" s="67" t="s">
        <v>4603</v>
      </c>
      <c r="R924" s="67">
        <f ca="1">IF(Q924="Ritual","N/A",IF(Q924="I.E.","N/A",IF(Q924="WOG",VLOOKUP(Magick!$I$81*100,magestuff!$B$134:$F$138,2),IF(Q924="Cantrip",VLOOKUP(Magick!$I$81*100,magestuff!$B$134:$F$138,3),IF(Q924="Hex",VLOOKUP(Magick!$I$81*100,magestuff!$B$134:$F$138,4),VLOOKUP(Magick!$I$81*100,magestuff!$B$134:$F$138,5))))))</f>
        <v>9</v>
      </c>
      <c r="S924" s="67" t="s">
        <v>1984</v>
      </c>
      <c r="T924" s="294" t="str">
        <f>CONCATENATE(IF(Magick!$C$3&gt;0,Magick!$C$3*10," ")," min.")</f>
        <v xml:space="preserve">  min.</v>
      </c>
      <c r="U924" s="67" t="str">
        <f t="shared" si="124"/>
        <v xml:space="preserve"> </v>
      </c>
      <c r="V924" s="515"/>
      <c r="W924" s="125"/>
      <c r="X924" s="31">
        <f t="shared" si="125"/>
        <v>0</v>
      </c>
      <c r="Y924" s="509"/>
      <c r="Z924" s="1054" t="str">
        <f t="shared" si="126"/>
        <v>Nightvision - Dark Sight</v>
      </c>
      <c r="AA924" s="1072" t="str">
        <f t="shared" si="127"/>
        <v>Transcendental</v>
      </c>
    </row>
    <row r="925" spans="1:27" hidden="1" outlineLevel="1">
      <c r="A925" s="31" t="s">
        <v>3169</v>
      </c>
      <c r="B925" s="67">
        <v>6</v>
      </c>
      <c r="C925" s="67">
        <f ca="1">magestuff!$R$209</f>
        <v>6</v>
      </c>
      <c r="D925" s="67">
        <f t="shared" si="123"/>
        <v>0</v>
      </c>
      <c r="E925" s="77" t="e">
        <f ca="1">IF(F925="y",HLOOKUP((IF(C925&lt;1,1,C925)),Magick!$C$20:$L$21,2),NA())</f>
        <v>#N/A</v>
      </c>
      <c r="F925" s="67" t="str">
        <f ca="1">IF(C925&lt;=Magick!$D$3,"Y","N")</f>
        <v>N</v>
      </c>
      <c r="G925" s="148" t="s">
        <v>128</v>
      </c>
      <c r="H925" s="151"/>
      <c r="I925" s="77" t="e">
        <f>IF(H925&gt;0,(HLOOKUP(C925,Magick!$C$20:$L$21,2)-HLOOKUP(H925,Magick!$C$20:$L$21,2)),NA())</f>
        <v>#N/A</v>
      </c>
      <c r="J925" s="77"/>
      <c r="K925" s="67">
        <v>9</v>
      </c>
      <c r="L925" s="72" t="str">
        <f>IF(H925&gt;0,Magick!$AR$29-('Master Spell List'!H921*0.1),"N/A")</f>
        <v>N/A</v>
      </c>
      <c r="M925" s="72">
        <f ca="1">Magick!$H$81</f>
        <v>0.08</v>
      </c>
      <c r="N925" s="72">
        <f ca="1">Magick!$K$81</f>
        <v>0.13</v>
      </c>
      <c r="O925" s="72">
        <f ca="1">Magick!$L$81</f>
        <v>0.13</v>
      </c>
      <c r="P925" s="72">
        <f ca="1">Magick!$M$81</f>
        <v>0.13</v>
      </c>
      <c r="Q925" s="67" t="s">
        <v>3723</v>
      </c>
      <c r="R925" s="67">
        <f ca="1">IF(Q925="Ritual","N/A",IF(Q925="I.E.","N/A",IF(Q925="WOG",VLOOKUP(Magick!$I$81*100,magestuff!$B$134:$F$138,2),IF(Q925="Cantrip",VLOOKUP(Magick!$I$81*100,magestuff!$B$134:$F$138,3),IF(Q925="Hex",VLOOKUP(Magick!$I$81*100,magestuff!$B$134:$F$138,4),VLOOKUP(Magick!$I$81*100,magestuff!$B$134:$F$138,5))))))</f>
        <v>29</v>
      </c>
      <c r="S925" s="67" t="s">
        <v>1984</v>
      </c>
      <c r="T925" s="294" t="str">
        <f>CONCATENATE(IF(Magick!$C$3&gt;0,Magick!$C$3*45," ")," sec.")</f>
        <v xml:space="preserve">  sec.</v>
      </c>
      <c r="U925" s="67" t="str">
        <f t="shared" si="124"/>
        <v xml:space="preserve"> </v>
      </c>
      <c r="V925" s="515"/>
      <c r="W925" s="125"/>
      <c r="X925" s="31">
        <f t="shared" si="125"/>
        <v>0</v>
      </c>
      <c r="Y925" s="509"/>
      <c r="Z925" s="1054" t="str">
        <f t="shared" si="126"/>
        <v>Gaseous Form</v>
      </c>
      <c r="AA925" s="1072" t="str">
        <f t="shared" si="127"/>
        <v>Transcendental</v>
      </c>
    </row>
    <row r="926" spans="1:27" hidden="1" outlineLevel="1">
      <c r="A926" s="83" t="s">
        <v>4319</v>
      </c>
      <c r="B926" s="67">
        <v>6</v>
      </c>
      <c r="C926" s="67">
        <f ca="1">magestuff!$R$209</f>
        <v>6</v>
      </c>
      <c r="D926" s="67">
        <f t="shared" si="123"/>
        <v>0</v>
      </c>
      <c r="E926" s="77" t="e">
        <f ca="1">IF(F926="y",HLOOKUP((IF(C926&lt;1,1,C926)),Magick!$C$20:$L$21,2),NA())</f>
        <v>#N/A</v>
      </c>
      <c r="F926" s="67" t="str">
        <f ca="1">IF(C926&lt;=Magick!$D$3,"Y","N")</f>
        <v>N</v>
      </c>
      <c r="G926" s="148" t="s">
        <v>859</v>
      </c>
      <c r="H926" s="151"/>
      <c r="I926" s="77" t="e">
        <f>IF(H926&gt;0,(HLOOKUP(C926,Magick!$C$20:$L$21,2)-HLOOKUP(H926,Magick!$C$20:$L$21,2)),NA())</f>
        <v>#N/A</v>
      </c>
      <c r="J926" s="77"/>
      <c r="K926" s="67" t="s">
        <v>2225</v>
      </c>
      <c r="L926" s="72" t="str">
        <f>IF(H926&gt;0,Magick!$AR$29-('Master Spell List'!H937*0.1),"N/A")</f>
        <v>N/A</v>
      </c>
      <c r="M926" s="72">
        <f ca="1">Magick!$H$81</f>
        <v>0.08</v>
      </c>
      <c r="N926" s="72">
        <f ca="1">Magick!$K$81</f>
        <v>0.13</v>
      </c>
      <c r="O926" s="72">
        <f ca="1">Magick!$L$81</f>
        <v>0.13</v>
      </c>
      <c r="P926" s="72">
        <f ca="1">Magick!$M$81</f>
        <v>0.13</v>
      </c>
      <c r="Q926" s="67" t="s">
        <v>2225</v>
      </c>
      <c r="R926" s="67">
        <f ca="1">IF(Q926="Ritual","N/A",IF(Q926="I.E.","N/A",IF(Q926="WOG",VLOOKUP(Magick!$I$81*100,magestuff!$B$134:$F$138,2),IF(Q926="Cantrip",VLOOKUP(Magick!$I$81*100,magestuff!$B$134:$F$138,3),IF(Q926="Hex",VLOOKUP(Magick!$I$81*100,magestuff!$B$134:$F$138,4),VLOOKUP(Magick!$I$81*100,magestuff!$B$134:$F$138,5))))))</f>
        <v>29</v>
      </c>
      <c r="S926" s="67" t="s">
        <v>2225</v>
      </c>
      <c r="T926" s="69" t="s">
        <v>2225</v>
      </c>
      <c r="U926" s="67" t="str">
        <f t="shared" si="124"/>
        <v xml:space="preserve"> </v>
      </c>
      <c r="V926" s="515"/>
      <c r="W926" s="125"/>
      <c r="X926" s="31">
        <f t="shared" si="125"/>
        <v>0</v>
      </c>
      <c r="Y926" s="509"/>
      <c r="Z926" s="1054" t="str">
        <f t="shared" si="126"/>
        <v>Lesser Enhancement</v>
      </c>
      <c r="AA926" s="1072" t="str">
        <f t="shared" si="127"/>
        <v>Transcendental</v>
      </c>
    </row>
    <row r="927" spans="1:27" hidden="1" outlineLevel="1">
      <c r="A927" s="31" t="s">
        <v>3170</v>
      </c>
      <c r="B927" s="67">
        <v>6</v>
      </c>
      <c r="C927" s="67">
        <f ca="1">magestuff!$R$209</f>
        <v>6</v>
      </c>
      <c r="D927" s="67">
        <f t="shared" si="123"/>
        <v>0</v>
      </c>
      <c r="E927" s="77" t="e">
        <f ca="1">IF(F927="y",HLOOKUP((IF(C927&lt;1,1,C927)),Magick!$C$20:$L$21,2),NA())</f>
        <v>#N/A</v>
      </c>
      <c r="F927" s="67" t="str">
        <f ca="1">IF(C927&lt;=Magick!$D$3,"Y","N")</f>
        <v>N</v>
      </c>
      <c r="G927" s="148" t="s">
        <v>128</v>
      </c>
      <c r="H927" s="151"/>
      <c r="I927" s="77" t="e">
        <f>IF(H927&gt;0,(HLOOKUP(C927,Magick!$C$20:$L$21,2)-HLOOKUP(H927,Magick!$C$20:$L$21,2)),NA())</f>
        <v>#N/A</v>
      </c>
      <c r="J927" s="77"/>
      <c r="K927" s="67">
        <v>10</v>
      </c>
      <c r="L927" s="72" t="str">
        <f>IF(H927&gt;0,Magick!$AR$29-('Master Spell List'!H922*0.1),"N/A")</f>
        <v>N/A</v>
      </c>
      <c r="M927" s="72">
        <f ca="1">Magick!$H$81</f>
        <v>0.08</v>
      </c>
      <c r="N927" s="72">
        <f ca="1">Magick!$K$81</f>
        <v>0.13</v>
      </c>
      <c r="O927" s="72">
        <f ca="1">Magick!$L$81</f>
        <v>0.13</v>
      </c>
      <c r="P927" s="72">
        <f ca="1">Magick!$M$81</f>
        <v>0.13</v>
      </c>
      <c r="Q927" s="67" t="s">
        <v>3723</v>
      </c>
      <c r="R927" s="67">
        <f ca="1">IF(Q927="Ritual","N/A",IF(Q927="I.E.","N/A",IF(Q927="WOG",VLOOKUP(Magick!$I$81*100,magestuff!$B$134:$F$138,2),IF(Q927="Cantrip",VLOOKUP(Magick!$I$81*100,magestuff!$B$134:$F$138,3),IF(Q927="Hex",VLOOKUP(Magick!$I$81*100,magestuff!$B$134:$F$138,4),VLOOKUP(Magick!$I$81*100,magestuff!$B$134:$F$138,5))))))</f>
        <v>29</v>
      </c>
      <c r="S927" s="67" t="s">
        <v>1984</v>
      </c>
      <c r="T927" s="67" t="s">
        <v>1398</v>
      </c>
      <c r="U927" s="67" t="str">
        <f t="shared" si="124"/>
        <v xml:space="preserve"> </v>
      </c>
      <c r="V927" s="515"/>
      <c r="W927" s="125"/>
      <c r="X927" s="31">
        <f t="shared" si="125"/>
        <v>0</v>
      </c>
      <c r="Y927" s="509"/>
      <c r="Z927" s="1054" t="str">
        <f t="shared" si="126"/>
        <v>Turn To Stone</v>
      </c>
      <c r="AA927" s="1072" t="str">
        <f t="shared" si="127"/>
        <v>Transcendental</v>
      </c>
    </row>
    <row r="928" spans="1:27" hidden="1" outlineLevel="1">
      <c r="A928" s="31" t="s">
        <v>3168</v>
      </c>
      <c r="B928" s="67">
        <v>6</v>
      </c>
      <c r="C928" s="67">
        <f ca="1">magestuff!$R$209</f>
        <v>6</v>
      </c>
      <c r="D928" s="67">
        <f t="shared" si="123"/>
        <v>0</v>
      </c>
      <c r="E928" s="77" t="e">
        <f ca="1">IF(F928="y",HLOOKUP((IF(C928&lt;1,1,C928)),Magick!$C$20:$L$21,2),NA())</f>
        <v>#N/A</v>
      </c>
      <c r="F928" s="67" t="str">
        <f ca="1">IF(C928&lt;=Magick!$D$3,"Y","N")</f>
        <v>N</v>
      </c>
      <c r="G928" s="148" t="s">
        <v>128</v>
      </c>
      <c r="H928" s="151"/>
      <c r="I928" s="77" t="e">
        <f>IF(H928&gt;0,(HLOOKUP(C928,Magick!$C$20:$L$21,2)-HLOOKUP(H928,Magick!$C$20:$L$21,2)),NA())</f>
        <v>#N/A</v>
      </c>
      <c r="J928" s="77"/>
      <c r="K928" s="67">
        <v>10</v>
      </c>
      <c r="L928" s="72" t="str">
        <f>IF(H928&gt;0,Magick!$AR$29-('Master Spell List'!H920*0.1),"N/A")</f>
        <v>N/A</v>
      </c>
      <c r="M928" s="72">
        <f ca="1">Magick!$H$81</f>
        <v>0.08</v>
      </c>
      <c r="N928" s="72">
        <f ca="1">Magick!$K$81</f>
        <v>0.13</v>
      </c>
      <c r="O928" s="72">
        <f ca="1">Magick!$L$81</f>
        <v>0.13</v>
      </c>
      <c r="P928" s="72">
        <f ca="1">Magick!$M$81</f>
        <v>0.13</v>
      </c>
      <c r="Q928" s="67" t="s">
        <v>3723</v>
      </c>
      <c r="R928" s="67">
        <f ca="1">IF(Q928="Ritual","N/A",IF(Q928="I.E.","N/A",IF(Q928="WOG",VLOOKUP(Magick!$I$81*100,magestuff!$B$134:$F$138,2),IF(Q928="Cantrip",VLOOKUP(Magick!$I$81*100,magestuff!$B$134:$F$138,3),IF(Q928="Hex",VLOOKUP(Magick!$I$81*100,magestuff!$B$134:$F$138,4),VLOOKUP(Magick!$I$81*100,magestuff!$B$134:$F$138,5))))))</f>
        <v>29</v>
      </c>
      <c r="S928" s="67" t="s">
        <v>1984</v>
      </c>
      <c r="T928" s="69" t="s">
        <v>3675</v>
      </c>
      <c r="U928" s="67" t="str">
        <f t="shared" si="124"/>
        <v xml:space="preserve"> </v>
      </c>
      <c r="V928" s="515"/>
      <c r="W928" s="125"/>
      <c r="X928" s="31">
        <f t="shared" si="125"/>
        <v>0</v>
      </c>
      <c r="Y928" s="509"/>
      <c r="Z928" s="1054" t="str">
        <f t="shared" si="126"/>
        <v>Wither</v>
      </c>
      <c r="AA928" s="1072" t="str">
        <f t="shared" si="127"/>
        <v>Transcendental</v>
      </c>
    </row>
    <row r="929" spans="1:27" hidden="1" outlineLevel="1">
      <c r="A929" s="31" t="s">
        <v>5075</v>
      </c>
      <c r="B929" s="67">
        <v>7</v>
      </c>
      <c r="C929" s="67">
        <f ca="1">magestuff!$U$209</f>
        <v>7</v>
      </c>
      <c r="D929" s="67">
        <f t="shared" si="123"/>
        <v>0</v>
      </c>
      <c r="E929" s="77" t="e">
        <f ca="1">IF(F929="y",HLOOKUP((IF(C929&lt;1,1,C929)),Magick!$C$20:$L$21,2),NA())</f>
        <v>#N/A</v>
      </c>
      <c r="F929" s="67" t="str">
        <f ca="1">IF(C929&lt;=Magick!$D$3,"Y","N")</f>
        <v>N</v>
      </c>
      <c r="G929" s="148" t="s">
        <v>128</v>
      </c>
      <c r="H929" s="151"/>
      <c r="I929" s="77" t="e">
        <f>IF(H929&gt;0,(HLOOKUP(C929,Magick!$C$20:$L$21,2)-HLOOKUP(H929,Magick!$C$20:$L$21,2)),NA())</f>
        <v>#N/A</v>
      </c>
      <c r="J929" s="77"/>
      <c r="K929" s="67">
        <v>10</v>
      </c>
      <c r="L929" s="72" t="str">
        <f>IF(H929&gt;0,Magick!$AR$29-('Master Spell List'!H899*0.1),"N/A")</f>
        <v>N/A</v>
      </c>
      <c r="M929" s="72">
        <f ca="1">Magick!$H$81</f>
        <v>0.08</v>
      </c>
      <c r="N929" s="72">
        <f ca="1">Magick!$K$81</f>
        <v>0.13</v>
      </c>
      <c r="O929" s="72">
        <f ca="1">Magick!$L$81</f>
        <v>0.13</v>
      </c>
      <c r="P929" s="72">
        <f ca="1">Magick!$M$81</f>
        <v>0.13</v>
      </c>
      <c r="Q929" s="67" t="s">
        <v>3723</v>
      </c>
      <c r="R929" s="67">
        <f ca="1">IF(Q929="Ritual","N/A",IF(Q929="I.E.","N/A",IF(Q929="WOG",VLOOKUP(Magick!$I$81*100,magestuff!$B$134:$F$138,2),IF(Q929="Cantrip",VLOOKUP(Magick!$I$81*100,magestuff!$B$134:$F$138,3),IF(Q929="Hex",VLOOKUP(Magick!$I$81*100,magestuff!$B$134:$F$138,4),VLOOKUP(Magick!$I$81*100,magestuff!$B$134:$F$138,5))))))</f>
        <v>29</v>
      </c>
      <c r="S929" s="67" t="s">
        <v>1984</v>
      </c>
      <c r="T929" s="294" t="str">
        <f>CONCATENATE(IF(Magick!$C$3&gt;0,Magick!$C$3*45," ")," sec.")</f>
        <v xml:space="preserve">  sec.</v>
      </c>
      <c r="U929" s="67" t="str">
        <f t="shared" si="124"/>
        <v xml:space="preserve"> </v>
      </c>
      <c r="V929" s="515"/>
      <c r="W929" s="125"/>
      <c r="X929" s="31">
        <f t="shared" si="125"/>
        <v>0</v>
      </c>
      <c r="Y929" s="509"/>
      <c r="Z929" s="1054" t="str">
        <f t="shared" si="126"/>
        <v>Armoured Skin - Armour of Preservation</v>
      </c>
      <c r="AA929" s="1072" t="str">
        <f t="shared" si="127"/>
        <v>Transcendental</v>
      </c>
    </row>
    <row r="930" spans="1:27" hidden="1" outlineLevel="1">
      <c r="A930" s="31" t="s">
        <v>955</v>
      </c>
      <c r="B930" s="67">
        <v>7</v>
      </c>
      <c r="C930" s="67">
        <f ca="1">magestuff!$U$209</f>
        <v>7</v>
      </c>
      <c r="D930" s="67">
        <f t="shared" si="123"/>
        <v>0</v>
      </c>
      <c r="E930" s="77" t="e">
        <f ca="1">IF(F930="y",HLOOKUP((IF(C930&lt;1,1,C930)),Magick!$C$20:$L$21,2),NA())</f>
        <v>#N/A</v>
      </c>
      <c r="F930" s="67" t="str">
        <f ca="1">IF(C930&lt;=Magick!$D$3,"Y","N")</f>
        <v>N</v>
      </c>
      <c r="G930" s="148" t="s">
        <v>128</v>
      </c>
      <c r="H930" s="151"/>
      <c r="I930" s="77" t="e">
        <f>IF(H930&gt;0,(HLOOKUP(C930,Magick!$C$20:$L$21,2)-HLOOKUP(H930,Magick!$C$20:$L$21,2)),NA())</f>
        <v>#N/A</v>
      </c>
      <c r="J930" s="77"/>
      <c r="K930" s="67">
        <v>12</v>
      </c>
      <c r="L930" s="72" t="str">
        <f>IF(H930&gt;0,Magick!$AR$29-('Master Spell List'!H924*0.1),"N/A")</f>
        <v>N/A</v>
      </c>
      <c r="M930" s="72">
        <f ca="1">Magick!$H$81</f>
        <v>0.08</v>
      </c>
      <c r="N930" s="72">
        <f ca="1">Magick!$K$81</f>
        <v>0.13</v>
      </c>
      <c r="O930" s="72">
        <f ca="1">Magick!$L$81</f>
        <v>0.13</v>
      </c>
      <c r="P930" s="72">
        <f ca="1">Magick!$M$81</f>
        <v>0.13</v>
      </c>
      <c r="Q930" s="67" t="s">
        <v>4602</v>
      </c>
      <c r="R930" s="67">
        <f ca="1">IF(Q930="Ritual","N/A",IF(Q930="I.E.","N/A",IF(Q930="WOG",VLOOKUP(Magick!$I$81*100,magestuff!$B$134:$F$138,2),IF(Q930="Cantrip",VLOOKUP(Magick!$I$81*100,magestuff!$B$134:$F$138,3),IF(Q930="Hex",VLOOKUP(Magick!$I$81*100,magestuff!$B$134:$F$138,4),VLOOKUP(Magick!$I$81*100,magestuff!$B$134:$F$138,5))))))</f>
        <v>19</v>
      </c>
      <c r="S930" s="71" t="s">
        <v>3263</v>
      </c>
      <c r="T930" s="69" t="s">
        <v>4601</v>
      </c>
      <c r="U930" s="67" t="str">
        <f t="shared" si="124"/>
        <v xml:space="preserve"> </v>
      </c>
      <c r="V930" s="515"/>
      <c r="W930" s="125"/>
      <c r="X930" s="31">
        <f t="shared" si="125"/>
        <v>0</v>
      </c>
      <c r="Y930" s="509"/>
      <c r="Z930" s="1054" t="str">
        <f t="shared" si="126"/>
        <v>Breath of the Basilisk</v>
      </c>
      <c r="AA930" s="1072" t="str">
        <f t="shared" si="127"/>
        <v>Transcendental</v>
      </c>
    </row>
    <row r="931" spans="1:27" hidden="1" outlineLevel="1">
      <c r="A931" s="31" t="s">
        <v>956</v>
      </c>
      <c r="B931" s="67">
        <v>7</v>
      </c>
      <c r="C931" s="67">
        <f ca="1">magestuff!$U$209</f>
        <v>7</v>
      </c>
      <c r="D931" s="67">
        <f t="shared" si="123"/>
        <v>0</v>
      </c>
      <c r="E931" s="77" t="e">
        <f ca="1">IF(F931="y",HLOOKUP((IF(C931&lt;1,1,C931)),Magick!$C$20:$L$21,2),NA())</f>
        <v>#N/A</v>
      </c>
      <c r="F931" s="67" t="str">
        <f ca="1">IF(C931&lt;=Magick!$D$3,"Y","N")</f>
        <v>N</v>
      </c>
      <c r="G931" s="148" t="s">
        <v>128</v>
      </c>
      <c r="H931" s="151"/>
      <c r="I931" s="77" t="e">
        <f>IF(H931&gt;0,(HLOOKUP(C931,Magick!$C$20:$L$21,2)-HLOOKUP(H931,Magick!$C$20:$L$21,2)),NA())</f>
        <v>#N/A</v>
      </c>
      <c r="J931" s="77"/>
      <c r="K931" s="67">
        <v>11</v>
      </c>
      <c r="L931" s="72" t="str">
        <f>IF(H931&gt;0,Magick!$AR$29-('Master Spell List'!H923*0.1),"N/A")</f>
        <v>N/A</v>
      </c>
      <c r="M931" s="72">
        <f ca="1">Magick!$H$81</f>
        <v>0.08</v>
      </c>
      <c r="N931" s="72">
        <f ca="1">Magick!$K$81</f>
        <v>0.13</v>
      </c>
      <c r="O931" s="72">
        <f ca="1">Magick!$L$81</f>
        <v>0.13</v>
      </c>
      <c r="P931" s="72">
        <f ca="1">Magick!$M$81</f>
        <v>0.13</v>
      </c>
      <c r="Q931" s="67" t="s">
        <v>4602</v>
      </c>
      <c r="R931" s="67">
        <f ca="1">IF(Q931="Ritual","N/A",IF(Q931="I.E.","N/A",IF(Q931="WOG",VLOOKUP(Magick!$I$81*100,magestuff!$B$134:$F$138,2),IF(Q931="Cantrip",VLOOKUP(Magick!$I$81*100,magestuff!$B$134:$F$138,3),IF(Q931="Hex",VLOOKUP(Magick!$I$81*100,magestuff!$B$134:$F$138,4),VLOOKUP(Magick!$I$81*100,magestuff!$B$134:$F$138,5))))))</f>
        <v>19</v>
      </c>
      <c r="S931" s="69" t="str">
        <f>CONCATENATE(IF(Magick!$C$3&gt;0,Magick!$C$3*5," ")," ft.")</f>
        <v xml:space="preserve">  ft.</v>
      </c>
      <c r="T931" s="67" t="s">
        <v>1398</v>
      </c>
      <c r="U931" s="67" t="str">
        <f t="shared" si="124"/>
        <v xml:space="preserve"> </v>
      </c>
      <c r="V931" s="515"/>
      <c r="W931" s="125"/>
      <c r="X931" s="31">
        <f t="shared" si="125"/>
        <v>0</v>
      </c>
      <c r="Y931" s="509"/>
      <c r="Z931" s="1054" t="str">
        <f t="shared" si="126"/>
        <v>Gaze of the Basilisk</v>
      </c>
      <c r="AA931" s="1072" t="str">
        <f t="shared" si="127"/>
        <v>Transcendental</v>
      </c>
    </row>
    <row r="932" spans="1:27" hidden="1" outlineLevel="1">
      <c r="A932" s="83" t="s">
        <v>4316</v>
      </c>
      <c r="B932" s="67">
        <v>7</v>
      </c>
      <c r="C932" s="67">
        <f ca="1">magestuff!$U$209</f>
        <v>7</v>
      </c>
      <c r="D932" s="67">
        <f t="shared" si="123"/>
        <v>0</v>
      </c>
      <c r="E932" s="77" t="e">
        <f ca="1">IF(F932="y",HLOOKUP((IF(C932&lt;1,1,C932)),Magick!$C$20:$L$21,2),NA())</f>
        <v>#N/A</v>
      </c>
      <c r="F932" s="67" t="str">
        <f ca="1">IF(C932&lt;=Magick!$D$3,"Y","N")</f>
        <v>N</v>
      </c>
      <c r="G932" s="148" t="s">
        <v>859</v>
      </c>
      <c r="H932" s="151"/>
      <c r="I932" s="77" t="e">
        <f>IF(H932&gt;0,(HLOOKUP(C932,Magick!$C$20:$L$21,2)-HLOOKUP(H932,Magick!$C$20:$L$21,2)),NA())</f>
        <v>#N/A</v>
      </c>
      <c r="J932" s="77"/>
      <c r="K932" s="67" t="s">
        <v>2225</v>
      </c>
      <c r="L932" s="72" t="str">
        <f>IF(H932&gt;0,Magick!$AR$29-('Master Spell List'!#REF!*0.1),"N/A")</f>
        <v>N/A</v>
      </c>
      <c r="M932" s="72">
        <f ca="1">Magick!$H$81</f>
        <v>0.08</v>
      </c>
      <c r="N932" s="72">
        <f ca="1">Magick!$K$81</f>
        <v>0.13</v>
      </c>
      <c r="O932" s="72">
        <f ca="1">Magick!$L$81</f>
        <v>0.13</v>
      </c>
      <c r="P932" s="72">
        <f ca="1">Magick!$M$81</f>
        <v>0.13</v>
      </c>
      <c r="Q932" s="67" t="s">
        <v>2225</v>
      </c>
      <c r="R932" s="67">
        <f ca="1">IF(Q932="Ritual","N/A",IF(Q932="I.E.","N/A",IF(Q932="WOG",VLOOKUP(Magick!$I$81*100,magestuff!$B$134:$F$138,2),IF(Q932="Cantrip",VLOOKUP(Magick!$I$81*100,magestuff!$B$134:$F$138,3),IF(Q932="Hex",VLOOKUP(Magick!$I$81*100,magestuff!$B$134:$F$138,4),VLOOKUP(Magick!$I$81*100,magestuff!$B$134:$F$138,5))))))</f>
        <v>29</v>
      </c>
      <c r="S932" s="67" t="s">
        <v>2225</v>
      </c>
      <c r="T932" s="69" t="s">
        <v>2225</v>
      </c>
      <c r="U932" s="67" t="str">
        <f t="shared" si="124"/>
        <v xml:space="preserve"> </v>
      </c>
      <c r="V932" s="515"/>
      <c r="W932" s="125"/>
      <c r="X932" s="31">
        <f t="shared" si="125"/>
        <v>0</v>
      </c>
      <c r="Y932" s="509"/>
      <c r="Z932" s="1054" t="str">
        <f t="shared" si="126"/>
        <v>Great Preserve</v>
      </c>
      <c r="AA932" s="1072" t="str">
        <f t="shared" si="127"/>
        <v>Transcendental</v>
      </c>
    </row>
    <row r="933" spans="1:27" hidden="1" outlineLevel="1">
      <c r="A933" s="83" t="s">
        <v>4324</v>
      </c>
      <c r="B933" s="67">
        <v>7</v>
      </c>
      <c r="C933" s="67">
        <f ca="1">magestuff!$U$209</f>
        <v>7</v>
      </c>
      <c r="D933" s="67">
        <f t="shared" si="123"/>
        <v>0</v>
      </c>
      <c r="E933" s="77" t="e">
        <f ca="1">IF(F933="y",HLOOKUP((IF(C933&lt;1,1,C933)),Magick!$C$20:$L$21,2),NA())</f>
        <v>#N/A</v>
      </c>
      <c r="F933" s="67" t="str">
        <f ca="1">IF(C933&lt;=Magick!$D$3,"Y","N")</f>
        <v>N</v>
      </c>
      <c r="G933" s="148" t="s">
        <v>859</v>
      </c>
      <c r="H933" s="151"/>
      <c r="I933" s="77" t="e">
        <f>IF(H933&gt;0,(HLOOKUP(C933,Magick!$C$20:$L$21,2)-HLOOKUP(H933,Magick!$C$20:$L$21,2)),NA())</f>
        <v>#N/A</v>
      </c>
      <c r="J933" s="77"/>
      <c r="K933" s="67" t="s">
        <v>1313</v>
      </c>
      <c r="L933" s="72" t="str">
        <f>IF(H933&gt;0,Magick!$AR$29-('Master Spell List'!#REF!*0.1),"N/A")</f>
        <v>N/A</v>
      </c>
      <c r="M933" s="72">
        <f ca="1">Magick!$H$81</f>
        <v>0.08</v>
      </c>
      <c r="N933" s="72">
        <f ca="1">Magick!$K$81</f>
        <v>0.13</v>
      </c>
      <c r="O933" s="72">
        <f ca="1">Magick!$L$81</f>
        <v>0.13</v>
      </c>
      <c r="P933" s="72">
        <f ca="1">Magick!$M$81</f>
        <v>0.13</v>
      </c>
      <c r="Q933" s="67" t="s">
        <v>3723</v>
      </c>
      <c r="R933" s="67">
        <f ca="1">IF(Q933="Ritual","N/A",IF(Q933="I.E.","N/A",IF(Q933="WOG",VLOOKUP(Magick!$I$81*100,magestuff!$B$134:$F$138,2),IF(Q933="Cantrip",VLOOKUP(Magick!$I$81*100,magestuff!$B$134:$F$138,3),IF(Q933="Hex",VLOOKUP(Magick!$I$81*100,magestuff!$B$134:$F$138,4),VLOOKUP(Magick!$I$81*100,magestuff!$B$134:$F$138,5))))))</f>
        <v>29</v>
      </c>
      <c r="S933" s="67" t="s">
        <v>2329</v>
      </c>
      <c r="T933" s="294" t="str">
        <f>CONCATENATE(IF(Magick!$C$3&gt;0,Magick!$C$3," ")," week")</f>
        <v xml:space="preserve">  week</v>
      </c>
      <c r="U933" s="67" t="str">
        <f t="shared" si="124"/>
        <v xml:space="preserve"> </v>
      </c>
      <c r="V933" s="515"/>
      <c r="W933" s="125"/>
      <c r="X933" s="31">
        <f t="shared" si="125"/>
        <v>0</v>
      </c>
      <c r="Y933" s="509"/>
      <c r="Z933" s="1054" t="str">
        <f t="shared" si="126"/>
        <v>Great Transform Self</v>
      </c>
      <c r="AA933" s="1072" t="str">
        <f t="shared" si="127"/>
        <v>Transcendental</v>
      </c>
    </row>
    <row r="934" spans="1:27" hidden="1" outlineLevel="1">
      <c r="A934" s="31" t="s">
        <v>957</v>
      </c>
      <c r="B934" s="67">
        <v>8</v>
      </c>
      <c r="C934" s="67">
        <f ca="1">magestuff!$X$209</f>
        <v>8</v>
      </c>
      <c r="D934" s="67">
        <f t="shared" si="123"/>
        <v>0</v>
      </c>
      <c r="E934" s="77" t="e">
        <f ca="1">IF(F934="y",HLOOKUP((IF(C934&lt;1,1,C934)),Magick!$C$20:$L$21,2),NA())</f>
        <v>#N/A</v>
      </c>
      <c r="F934" s="67" t="str">
        <f ca="1">IF(C934&lt;=Magick!$D$3,"Y","N")</f>
        <v>N</v>
      </c>
      <c r="G934" s="148" t="s">
        <v>128</v>
      </c>
      <c r="H934" s="151"/>
      <c r="I934" s="77" t="e">
        <f>IF(H934&gt;0,(HLOOKUP(C934,Magick!$C$20:$L$21,2)-HLOOKUP(H934,Magick!$C$20:$L$21,2)),NA())</f>
        <v>#N/A</v>
      </c>
      <c r="J934" s="77"/>
      <c r="K934" s="67">
        <v>12</v>
      </c>
      <c r="L934" s="72" t="str">
        <f>IF(H934&gt;0,Magick!$AR$29-('Master Spell List'!H925*0.1),"N/A")</f>
        <v>N/A</v>
      </c>
      <c r="M934" s="72">
        <f ca="1">Magick!$H$81</f>
        <v>0.08</v>
      </c>
      <c r="N934" s="72">
        <f ca="1">Magick!$K$81</f>
        <v>0.13</v>
      </c>
      <c r="O934" s="72">
        <f ca="1">Magick!$L$81</f>
        <v>0.13</v>
      </c>
      <c r="P934" s="72">
        <f ca="1">Magick!$M$81</f>
        <v>0.13</v>
      </c>
      <c r="Q934" s="67" t="s">
        <v>3723</v>
      </c>
      <c r="R934" s="67">
        <f ca="1">IF(Q934="Ritual","N/A",IF(Q934="I.E.","N/A",IF(Q934="WOG",VLOOKUP(Magick!$I$81*100,magestuff!$B$134:$F$138,2),IF(Q934="Cantrip",VLOOKUP(Magick!$I$81*100,magestuff!$B$134:$F$138,3),IF(Q934="Hex",VLOOKUP(Magick!$I$81*100,magestuff!$B$134:$F$138,4),VLOOKUP(Magick!$I$81*100,magestuff!$B$134:$F$138,5))))))</f>
        <v>29</v>
      </c>
      <c r="S934" s="69" t="str">
        <f>CONCATENATE(IF(Magick!$C$3&gt;0,Magick!$C$3*5," ")," ft.")</f>
        <v xml:space="preserve">  ft.</v>
      </c>
      <c r="T934" s="69" t="s">
        <v>4601</v>
      </c>
      <c r="U934" s="67" t="str">
        <f t="shared" si="124"/>
        <v xml:space="preserve"> </v>
      </c>
      <c r="V934" s="515"/>
      <c r="W934" s="125"/>
      <c r="X934" s="31">
        <f t="shared" si="125"/>
        <v>0</v>
      </c>
      <c r="Y934" s="509"/>
      <c r="Z934" s="1054" t="str">
        <f t="shared" si="126"/>
        <v>Eyes of Medusa</v>
      </c>
      <c r="AA934" s="1072" t="str">
        <f t="shared" si="127"/>
        <v>Transcendental</v>
      </c>
    </row>
    <row r="935" spans="1:27" hidden="1" outlineLevel="1" collapsed="1">
      <c r="A935" s="83" t="s">
        <v>4320</v>
      </c>
      <c r="B935" s="67">
        <v>8</v>
      </c>
      <c r="C935" s="67">
        <f ca="1">magestuff!$X$209</f>
        <v>8</v>
      </c>
      <c r="D935" s="67">
        <f t="shared" si="123"/>
        <v>0</v>
      </c>
      <c r="E935" s="77" t="e">
        <f ca="1">IF(F935="y",HLOOKUP((IF(C935&lt;1,1,C935)),Magick!$C$20:$L$21,2),NA())</f>
        <v>#N/A</v>
      </c>
      <c r="F935" s="67" t="str">
        <f ca="1">IF(C935&lt;=Magick!$D$3,"Y","N")</f>
        <v>N</v>
      </c>
      <c r="G935" s="148" t="s">
        <v>859</v>
      </c>
      <c r="H935" s="151"/>
      <c r="I935" s="77" t="e">
        <f>IF(H935&gt;0,(HLOOKUP(C935,Magick!$C$20:$L$21,2)-HLOOKUP(H935,Magick!$C$20:$L$21,2)),NA())</f>
        <v>#N/A</v>
      </c>
      <c r="J935" s="77"/>
      <c r="K935" s="67" t="s">
        <v>2225</v>
      </c>
      <c r="L935" s="72" t="str">
        <f>IF(H935&gt;0,Magick!$AR$29-('Master Spell List'!#REF!*0.1),"N/A")</f>
        <v>N/A</v>
      </c>
      <c r="M935" s="72">
        <f ca="1">Magick!$H$81</f>
        <v>0.08</v>
      </c>
      <c r="N935" s="72">
        <f ca="1">Magick!$K$81</f>
        <v>0.13</v>
      </c>
      <c r="O935" s="72">
        <f ca="1">Magick!$L$81</f>
        <v>0.13</v>
      </c>
      <c r="P935" s="72">
        <f ca="1">Magick!$M$81</f>
        <v>0.13</v>
      </c>
      <c r="Q935" s="67" t="s">
        <v>2225</v>
      </c>
      <c r="R935" s="67">
        <f ca="1">IF(Q935="Ritual","N/A",IF(Q935="I.E.","N/A",IF(Q935="WOG",VLOOKUP(Magick!$I$81*100,magestuff!$B$134:$F$138,2),IF(Q935="Cantrip",VLOOKUP(Magick!$I$81*100,magestuff!$B$134:$F$138,3),IF(Q935="Hex",VLOOKUP(Magick!$I$81*100,magestuff!$B$134:$F$138,4),VLOOKUP(Magick!$I$81*100,magestuff!$B$134:$F$138,5))))))</f>
        <v>29</v>
      </c>
      <c r="S935" s="67" t="s">
        <v>2225</v>
      </c>
      <c r="T935" s="69" t="s">
        <v>2225</v>
      </c>
      <c r="U935" s="67" t="str">
        <f t="shared" si="124"/>
        <v xml:space="preserve"> </v>
      </c>
      <c r="V935" s="515"/>
      <c r="W935" s="125"/>
      <c r="X935" s="31">
        <f t="shared" si="125"/>
        <v>0</v>
      </c>
      <c r="Y935" s="509"/>
      <c r="Z935" s="1054" t="str">
        <f t="shared" si="126"/>
        <v>Great Enhancement</v>
      </c>
      <c r="AA935" s="1072" t="str">
        <f t="shared" si="127"/>
        <v>Transcendental</v>
      </c>
    </row>
    <row r="936" spans="1:27" hidden="1" outlineLevel="1">
      <c r="A936" s="83" t="s">
        <v>1310</v>
      </c>
      <c r="B936" s="67">
        <v>9</v>
      </c>
      <c r="C936" s="67">
        <f ca="1">magestuff!$AA$209</f>
        <v>9</v>
      </c>
      <c r="D936" s="67">
        <f t="shared" si="123"/>
        <v>0</v>
      </c>
      <c r="E936" s="77" t="e">
        <f ca="1">IF(F936="y",HLOOKUP((IF(C936&lt;1,1,C936)),Magick!$C$20:$L$21,2),NA())</f>
        <v>#N/A</v>
      </c>
      <c r="F936" s="67" t="str">
        <f ca="1">IF(C936&lt;=Magick!$D$3,"Y","N")</f>
        <v>N</v>
      </c>
      <c r="G936" s="148" t="s">
        <v>859</v>
      </c>
      <c r="H936" s="151"/>
      <c r="I936" s="77" t="e">
        <f>IF(H936&gt;0,(HLOOKUP(C936,Magick!$C$20:$L$21,2)-HLOOKUP(H936,Magick!$C$20:$L$21,2)),NA())</f>
        <v>#N/A</v>
      </c>
      <c r="J936" s="77"/>
      <c r="K936" s="67" t="s">
        <v>1311</v>
      </c>
      <c r="L936" s="72" t="str">
        <f>IF(H936&gt;0,Magick!$AR$29-('Master Spell List'!H917*0.1),"N/A")</f>
        <v>N/A</v>
      </c>
      <c r="M936" s="72">
        <f ca="1">Magick!$H$81</f>
        <v>0.08</v>
      </c>
      <c r="N936" s="72">
        <f ca="1">Magick!$K$81</f>
        <v>0.13</v>
      </c>
      <c r="O936" s="72">
        <f ca="1">Magick!$L$81</f>
        <v>0.13</v>
      </c>
      <c r="P936" s="72">
        <f ca="1">Magick!$M$81</f>
        <v>0.13</v>
      </c>
      <c r="Q936" s="67" t="s">
        <v>3723</v>
      </c>
      <c r="R936" s="67">
        <f ca="1">IF(Q936="Ritual","N/A",IF(Q936="I.E.","N/A",IF(Q936="WOG",VLOOKUP(Magick!$I$81*100,magestuff!$B$134:$F$138,2),IF(Q936="Cantrip",VLOOKUP(Magick!$I$81*100,magestuff!$B$134:$F$138,3),IF(Q936="Hex",VLOOKUP(Magick!$I$81*100,magestuff!$B$134:$F$138,4),VLOOKUP(Magick!$I$81*100,magestuff!$B$134:$F$138,5))))))</f>
        <v>29</v>
      </c>
      <c r="S936" s="67" t="s">
        <v>2329</v>
      </c>
      <c r="T936" s="294" t="str">
        <f>CONCATENATE(IF(Magick!$C$3&gt;0,Magick!$C$3," ")," month")</f>
        <v xml:space="preserve">  month</v>
      </c>
      <c r="U936" s="67" t="str">
        <f t="shared" si="124"/>
        <v xml:space="preserve"> </v>
      </c>
      <c r="V936" s="515"/>
      <c r="W936" s="125"/>
      <c r="X936" s="31">
        <f t="shared" si="125"/>
        <v>0</v>
      </c>
      <c r="Y936" s="509"/>
      <c r="Z936" s="1054" t="str">
        <f t="shared" si="126"/>
        <v>Greater Transform Self</v>
      </c>
      <c r="AA936" s="1072" t="str">
        <f t="shared" si="127"/>
        <v>Transcendental</v>
      </c>
    </row>
    <row r="937" spans="1:27" hidden="1" outlineLevel="1">
      <c r="A937" s="31" t="s">
        <v>958</v>
      </c>
      <c r="B937" s="67">
        <v>9</v>
      </c>
      <c r="C937" s="67">
        <f ca="1">magestuff!$AA$209</f>
        <v>9</v>
      </c>
      <c r="D937" s="67">
        <f t="shared" si="123"/>
        <v>0</v>
      </c>
      <c r="E937" s="77" t="e">
        <f ca="1">IF(F937="y",HLOOKUP((IF(C937&lt;1,1,C937)),Magick!$C$20:$L$21,2),NA())</f>
        <v>#N/A</v>
      </c>
      <c r="F937" s="67" t="str">
        <f ca="1">IF(C937&lt;=Magick!$D$3,"Y","N")</f>
        <v>N</v>
      </c>
      <c r="G937" s="148" t="s">
        <v>128</v>
      </c>
      <c r="H937" s="151"/>
      <c r="I937" s="77" t="e">
        <f>IF(H937&gt;0,(HLOOKUP(C937,Magick!$C$20:$L$21,2)-HLOOKUP(H937,Magick!$C$20:$L$21,2)),NA())</f>
        <v>#N/A</v>
      </c>
      <c r="J937" s="77"/>
      <c r="K937" s="67">
        <v>14</v>
      </c>
      <c r="L937" s="72" t="str">
        <f>IF(H937&gt;0,Magick!$AR$29-('Master Spell List'!H926*0.1),"N/A")</f>
        <v>N/A</v>
      </c>
      <c r="M937" s="72">
        <f ca="1">Magick!$H$81</f>
        <v>0.08</v>
      </c>
      <c r="N937" s="72">
        <f ca="1">Magick!$K$81</f>
        <v>0.13</v>
      </c>
      <c r="O937" s="72">
        <f ca="1">Magick!$L$81</f>
        <v>0.13</v>
      </c>
      <c r="P937" s="72">
        <f ca="1">Magick!$M$81</f>
        <v>0.13</v>
      </c>
      <c r="Q937" s="67" t="s">
        <v>3723</v>
      </c>
      <c r="R937" s="67">
        <f ca="1">IF(Q937="Ritual","N/A",IF(Q937="I.E.","N/A",IF(Q937="WOG",VLOOKUP(Magick!$I$81*100,magestuff!$B$134:$F$138,2),IF(Q937="Cantrip",VLOOKUP(Magick!$I$81*100,magestuff!$B$134:$F$138,3),IF(Q937="Hex",VLOOKUP(Magick!$I$81*100,magestuff!$B$134:$F$138,4),VLOOKUP(Magick!$I$81*100,magestuff!$B$134:$F$138,5))))))</f>
        <v>29</v>
      </c>
      <c r="S937" s="67" t="s">
        <v>1984</v>
      </c>
      <c r="T937" s="69" t="s">
        <v>4601</v>
      </c>
      <c r="U937" s="67" t="str">
        <f t="shared" si="124"/>
        <v xml:space="preserve"> </v>
      </c>
      <c r="V937" s="515"/>
      <c r="W937" s="125"/>
      <c r="X937" s="31">
        <f t="shared" si="125"/>
        <v>0</v>
      </c>
      <c r="Y937" s="509"/>
      <c r="Z937" s="1054" t="str">
        <f t="shared" si="126"/>
        <v>Grow Aged</v>
      </c>
      <c r="AA937" s="1072" t="str">
        <f t="shared" si="127"/>
        <v>Transcendental</v>
      </c>
    </row>
    <row r="938" spans="1:27" hidden="1" outlineLevel="1">
      <c r="A938" s="31" t="s">
        <v>514</v>
      </c>
      <c r="B938" s="67">
        <v>10</v>
      </c>
      <c r="C938" s="67">
        <f ca="1">magestuff!$AD$209</f>
        <v>10</v>
      </c>
      <c r="D938" s="67">
        <f t="shared" si="123"/>
        <v>0</v>
      </c>
      <c r="E938" s="77" t="e">
        <f ca="1">IF(F938="y",HLOOKUP((IF(C938&lt;1,1,C938)),Magick!$C$20:$L$21,2),NA())</f>
        <v>#N/A</v>
      </c>
      <c r="F938" s="67" t="str">
        <f ca="1">IF(C938&lt;=Magick!$D$3,"Y","N")</f>
        <v>N</v>
      </c>
      <c r="G938" s="148" t="s">
        <v>128</v>
      </c>
      <c r="H938" s="151"/>
      <c r="I938" s="77" t="e">
        <f>IF(H938&gt;0,(HLOOKUP(C938,Magick!$C$20:$L$21,2)-HLOOKUP(H938,Magick!$C$20:$L$21,2)),NA())</f>
        <v>#N/A</v>
      </c>
      <c r="J938" s="77"/>
      <c r="K938" s="67">
        <v>45</v>
      </c>
      <c r="L938" s="72" t="str">
        <f>IF(H938&gt;0,Magick!$AR$29-('Master Spell List'!H928*0.1),"N/A")</f>
        <v>N/A</v>
      </c>
      <c r="M938" s="72">
        <f ca="1">Magick!$H$81</f>
        <v>0.08</v>
      </c>
      <c r="N938" s="72">
        <f ca="1">Magick!$K$81</f>
        <v>0.13</v>
      </c>
      <c r="O938" s="72">
        <f ca="1">Magick!$L$81</f>
        <v>0.13</v>
      </c>
      <c r="P938" s="72">
        <f ca="1">Magick!$M$81</f>
        <v>0.13</v>
      </c>
      <c r="Q938" s="67" t="s">
        <v>113</v>
      </c>
      <c r="R938" s="67" t="str">
        <f>IF(Q938="Ritual","N/A",IF(Q938="I.E.","N/A",IF(Q938="WOG",VLOOKUP(Magick!$I$81*100,magestuff!$B$134:$F$138,2),IF(Q938="Cantrip",VLOOKUP(Magick!$I$81*100,magestuff!$B$134:$F$138,3),IF(Q938="Hex",VLOOKUP(Magick!$I$81*100,magestuff!$B$134:$F$138,4),VLOOKUP(Magick!$I$81*100,magestuff!$B$134:$F$138,5))))))</f>
        <v>N/A</v>
      </c>
      <c r="S938" s="67" t="s">
        <v>1984</v>
      </c>
      <c r="T938" s="69" t="s">
        <v>3674</v>
      </c>
      <c r="U938" s="67" t="str">
        <f t="shared" si="124"/>
        <v xml:space="preserve"> </v>
      </c>
      <c r="V938" s="515"/>
      <c r="W938" s="125"/>
      <c r="X938" s="31">
        <f t="shared" si="125"/>
        <v>0</v>
      </c>
      <c r="Y938" s="509"/>
      <c r="Z938" s="1054" t="str">
        <f t="shared" si="126"/>
        <v>Become Another</v>
      </c>
      <c r="AA938" s="1072" t="str">
        <f t="shared" si="127"/>
        <v>Transcendental</v>
      </c>
    </row>
    <row r="939" spans="1:27" hidden="1" outlineLevel="1">
      <c r="A939" s="31" t="s">
        <v>515</v>
      </c>
      <c r="B939" s="67">
        <v>10</v>
      </c>
      <c r="C939" s="67">
        <f ca="1">magestuff!$AD$209</f>
        <v>10</v>
      </c>
      <c r="D939" s="67">
        <f t="shared" si="123"/>
        <v>0</v>
      </c>
      <c r="E939" s="77" t="e">
        <f ca="1">IF(F939="y",HLOOKUP((IF(C939&lt;1,1,C939)),Magick!$C$20:$L$21,2),NA())</f>
        <v>#N/A</v>
      </c>
      <c r="F939" s="67" t="str">
        <f ca="1">IF(C939&lt;=Magick!$D$3,"Y","N")</f>
        <v>N</v>
      </c>
      <c r="G939" s="148" t="s">
        <v>128</v>
      </c>
      <c r="H939" s="151"/>
      <c r="I939" s="77" t="e">
        <f>IF(H939&gt;0,(HLOOKUP(C939,Magick!$C$20:$L$21,2)-HLOOKUP(H939,Magick!$C$20:$L$21,2)),NA())</f>
        <v>#N/A</v>
      </c>
      <c r="J939" s="77"/>
      <c r="K939" s="67" t="s">
        <v>210</v>
      </c>
      <c r="L939" s="72" t="str">
        <f>IF(H939&gt;0,Magick!$AR$29-('Master Spell List'!H929*0.1),"N/A")</f>
        <v>N/A</v>
      </c>
      <c r="M939" s="72">
        <f ca="1">Magick!$H$81</f>
        <v>0.08</v>
      </c>
      <c r="N939" s="72">
        <f ca="1">Magick!$K$81</f>
        <v>0.13</v>
      </c>
      <c r="O939" s="72">
        <f ca="1">Magick!$L$81</f>
        <v>0.13</v>
      </c>
      <c r="P939" s="72">
        <f ca="1">Magick!$M$81</f>
        <v>0.13</v>
      </c>
      <c r="Q939" s="67" t="s">
        <v>113</v>
      </c>
      <c r="R939" s="67" t="str">
        <f>IF(Q939="Ritual","N/A",IF(Q939="I.E.","N/A",IF(Q939="WOG",VLOOKUP(Magick!$I$81*100,magestuff!$B$134:$F$138,2),IF(Q939="Cantrip",VLOOKUP(Magick!$I$81*100,magestuff!$B$134:$F$138,3),IF(Q939="Hex",VLOOKUP(Magick!$I$81*100,magestuff!$B$134:$F$138,4),VLOOKUP(Magick!$I$81*100,magestuff!$B$134:$F$138,5))))))</f>
        <v>N/A</v>
      </c>
      <c r="S939" s="67" t="s">
        <v>1984</v>
      </c>
      <c r="T939" s="69" t="s">
        <v>4601</v>
      </c>
      <c r="U939" s="67" t="str">
        <f t="shared" si="124"/>
        <v xml:space="preserve"> </v>
      </c>
      <c r="V939" s="515"/>
      <c r="W939" s="125"/>
      <c r="X939" s="31">
        <f t="shared" si="125"/>
        <v>0</v>
      </c>
      <c r="Y939" s="509"/>
      <c r="Z939" s="1054" t="str">
        <f t="shared" si="126"/>
        <v>Bloom Of Youth</v>
      </c>
      <c r="AA939" s="1072" t="str">
        <f t="shared" si="127"/>
        <v>Transcendental</v>
      </c>
    </row>
    <row r="940" spans="1:27" hidden="1" outlineLevel="1">
      <c r="A940" s="83" t="s">
        <v>4317</v>
      </c>
      <c r="B940" s="67">
        <v>10</v>
      </c>
      <c r="C940" s="67">
        <f ca="1">magestuff!$AD$209</f>
        <v>10</v>
      </c>
      <c r="D940" s="67">
        <f t="shared" si="123"/>
        <v>0</v>
      </c>
      <c r="E940" s="77" t="e">
        <f ca="1">IF(F940="y",HLOOKUP((IF(C940&lt;1,1,C940)),Magick!$C$20:$L$21,2),NA())</f>
        <v>#N/A</v>
      </c>
      <c r="F940" s="67" t="str">
        <f ca="1">IF(C940&lt;=Magick!$D$3,"Y","N")</f>
        <v>N</v>
      </c>
      <c r="G940" s="148" t="s">
        <v>859</v>
      </c>
      <c r="H940" s="151"/>
      <c r="I940" s="77" t="e">
        <f>IF(H940&gt;0,(HLOOKUP(C940,Magick!$C$20:$L$21,2)-HLOOKUP(H940,Magick!$C$20:$L$21,2)),NA())</f>
        <v>#N/A</v>
      </c>
      <c r="J940" s="77"/>
      <c r="K940" s="67" t="s">
        <v>2225</v>
      </c>
      <c r="L940" s="72" t="str">
        <f>IF(H940&gt;0,Magick!$AR$29-('Master Spell List'!H909*0.1),"N/A")</f>
        <v>N/A</v>
      </c>
      <c r="M940" s="72">
        <f ca="1">Magick!$H$81</f>
        <v>0.08</v>
      </c>
      <c r="N940" s="72">
        <f ca="1">Magick!$K$81</f>
        <v>0.13</v>
      </c>
      <c r="O940" s="72">
        <f ca="1">Magick!$L$81</f>
        <v>0.13</v>
      </c>
      <c r="P940" s="72">
        <f ca="1">Magick!$M$81</f>
        <v>0.13</v>
      </c>
      <c r="Q940" s="67" t="s">
        <v>2225</v>
      </c>
      <c r="R940" s="67">
        <f ca="1">IF(Q940="Ritual","N/A",IF(Q940="I.E.","N/A",IF(Q940="WOG",VLOOKUP(Magick!$I$81*100,magestuff!$B$134:$F$138,2),IF(Q940="Cantrip",VLOOKUP(Magick!$I$81*100,magestuff!$B$134:$F$138,3),IF(Q940="Hex",VLOOKUP(Magick!$I$81*100,magestuff!$B$134:$F$138,4),VLOOKUP(Magick!$I$81*100,magestuff!$B$134:$F$138,5))))))</f>
        <v>29</v>
      </c>
      <c r="S940" s="67" t="s">
        <v>2225</v>
      </c>
      <c r="T940" s="294" t="s">
        <v>2225</v>
      </c>
      <c r="U940" s="67" t="str">
        <f t="shared" si="124"/>
        <v xml:space="preserve"> </v>
      </c>
      <c r="V940" s="515"/>
      <c r="W940" s="125"/>
      <c r="X940" s="31">
        <f t="shared" si="125"/>
        <v>0</v>
      </c>
      <c r="Y940" s="509"/>
      <c r="Z940" s="1054" t="str">
        <f t="shared" si="126"/>
        <v>Greatest Preserve</v>
      </c>
      <c r="AA940" s="1072" t="str">
        <f t="shared" si="127"/>
        <v>Transcendental</v>
      </c>
    </row>
    <row r="941" spans="1:27" hidden="1" outlineLevel="1">
      <c r="A941" s="31" t="s">
        <v>959</v>
      </c>
      <c r="B941" s="67">
        <v>10</v>
      </c>
      <c r="C941" s="67">
        <f ca="1">magestuff!$AD$209</f>
        <v>10</v>
      </c>
      <c r="D941" s="67">
        <f t="shared" si="123"/>
        <v>0</v>
      </c>
      <c r="E941" s="77" t="e">
        <f ca="1">IF(F941="y",HLOOKUP((IF(C941&lt;1,1,C941)),Magick!$C$20:$L$21,2),NA())</f>
        <v>#N/A</v>
      </c>
      <c r="F941" s="67" t="str">
        <f ca="1">IF(C941&lt;=Magick!$D$3,"Y","N")</f>
        <v>N</v>
      </c>
      <c r="G941" s="148" t="s">
        <v>128</v>
      </c>
      <c r="H941" s="151"/>
      <c r="I941" s="77" t="e">
        <f>IF(H941&gt;0,(HLOOKUP(C941,Magick!$C$20:$L$21,2)-HLOOKUP(H941,Magick!$C$20:$L$21,2)),NA())</f>
        <v>#N/A</v>
      </c>
      <c r="J941" s="77"/>
      <c r="K941" s="67">
        <v>16</v>
      </c>
      <c r="L941" s="72" t="str">
        <f>IF(H941&gt;0,Magick!$AR$29-('Master Spell List'!H927*0.1),"N/A")</f>
        <v>N/A</v>
      </c>
      <c r="M941" s="72">
        <f ca="1">Magick!$H$81</f>
        <v>0.08</v>
      </c>
      <c r="N941" s="72">
        <f ca="1">Magick!$K$81</f>
        <v>0.13</v>
      </c>
      <c r="O941" s="72">
        <f ca="1">Magick!$L$81</f>
        <v>0.13</v>
      </c>
      <c r="P941" s="72">
        <f ca="1">Magick!$M$81</f>
        <v>0.13</v>
      </c>
      <c r="Q941" s="67" t="s">
        <v>113</v>
      </c>
      <c r="R941" s="67" t="str">
        <f>IF(Q941="Ritual","N/A",IF(Q941="I.E.","N/A",IF(Q941="WOG",VLOOKUP(Magick!$I$81*100,magestuff!$B$134:$F$138,2),IF(Q941="Cantrip",VLOOKUP(Magick!$I$81*100,magestuff!$B$134:$F$138,3),IF(Q941="Hex",VLOOKUP(Magick!$I$81*100,magestuff!$B$134:$F$138,4),VLOOKUP(Magick!$I$81*100,magestuff!$B$134:$F$138,5))))))</f>
        <v>N/A</v>
      </c>
      <c r="S941" s="67" t="s">
        <v>1984</v>
      </c>
      <c r="T941" s="69" t="s">
        <v>3675</v>
      </c>
      <c r="U941" s="67" t="str">
        <f t="shared" si="124"/>
        <v xml:space="preserve"> </v>
      </c>
      <c r="V941" s="515"/>
      <c r="W941" s="125"/>
      <c r="X941" s="31">
        <f t="shared" si="125"/>
        <v>0</v>
      </c>
      <c r="Y941" s="509"/>
      <c r="Z941" s="1054" t="str">
        <f t="shared" si="126"/>
        <v>Regenerate</v>
      </c>
      <c r="AA941" s="1072" t="str">
        <f t="shared" si="127"/>
        <v>Transcendental</v>
      </c>
    </row>
    <row r="942" spans="1:27" hidden="1" outlineLevel="1">
      <c r="A942" s="83" t="s">
        <v>4321</v>
      </c>
      <c r="B942" s="67">
        <v>11</v>
      </c>
      <c r="C942" s="67">
        <f ca="1">magestuff!$AD$209+1</f>
        <v>11</v>
      </c>
      <c r="D942" s="67">
        <f t="shared" si="123"/>
        <v>0</v>
      </c>
      <c r="E942" s="77" t="e">
        <f ca="1">IF(F942="y",HLOOKUP((IF(C942&lt;1,1,C942)),Magick!$C$20:$L$21,2),NA())</f>
        <v>#N/A</v>
      </c>
      <c r="F942" s="67" t="str">
        <f ca="1">IF(C942&lt;=Magick!$D$3,"Y","N")</f>
        <v>N</v>
      </c>
      <c r="G942" s="148" t="s">
        <v>859</v>
      </c>
      <c r="H942" s="151"/>
      <c r="I942" s="77" t="e">
        <f>IF(H942&gt;0,(HLOOKUP(C942,Magick!$C$20:$L$21,2)-HLOOKUP(H942,Magick!$C$20:$L$21,2)),NA())</f>
        <v>#N/A</v>
      </c>
      <c r="J942" s="77"/>
      <c r="K942" s="67" t="s">
        <v>2225</v>
      </c>
      <c r="L942" s="72" t="str">
        <f>IF(H942&gt;0,Magick!$AR$29-('Master Spell List'!H913*0.1),"N/A")</f>
        <v>N/A</v>
      </c>
      <c r="M942" s="72">
        <f ca="1">Magick!$H$81</f>
        <v>0.08</v>
      </c>
      <c r="N942" s="72">
        <f ca="1">Magick!$K$81</f>
        <v>0.13</v>
      </c>
      <c r="O942" s="72">
        <f ca="1">Magick!$L$81</f>
        <v>0.13</v>
      </c>
      <c r="P942" s="72">
        <f ca="1">Magick!$M$81</f>
        <v>0.13</v>
      </c>
      <c r="Q942" s="67" t="s">
        <v>2225</v>
      </c>
      <c r="R942" s="67">
        <f ca="1">IF(Q942="Ritual","N/A",IF(Q942="I.E.","N/A",IF(Q942="WOG",VLOOKUP(Magick!$I$81*100,magestuff!$B$134:$F$138,2),IF(Q942="Cantrip",VLOOKUP(Magick!$I$81*100,magestuff!$B$134:$F$138,3),IF(Q942="Hex",VLOOKUP(Magick!$I$81*100,magestuff!$B$134:$F$138,4),VLOOKUP(Magick!$I$81*100,magestuff!$B$134:$F$138,5))))))</f>
        <v>29</v>
      </c>
      <c r="S942" s="67" t="s">
        <v>2225</v>
      </c>
      <c r="T942" s="294" t="s">
        <v>2225</v>
      </c>
      <c r="U942" s="67" t="str">
        <f t="shared" si="124"/>
        <v xml:space="preserve"> </v>
      </c>
      <c r="V942" s="515"/>
      <c r="W942" s="125"/>
      <c r="X942" s="31">
        <f t="shared" si="125"/>
        <v>0</v>
      </c>
      <c r="Y942" s="509"/>
      <c r="Z942" s="1054" t="str">
        <f t="shared" si="126"/>
        <v>Greatest Enhancement</v>
      </c>
      <c r="AA942" s="1072" t="str">
        <f t="shared" si="127"/>
        <v>Transcendental</v>
      </c>
    </row>
    <row r="943" spans="1:27" hidden="1" outlineLevel="1">
      <c r="A943" s="83" t="s">
        <v>2137</v>
      </c>
      <c r="B943" s="67">
        <v>11</v>
      </c>
      <c r="C943" s="67">
        <f ca="1">magestuff!$AD$209+1</f>
        <v>11</v>
      </c>
      <c r="D943" s="67">
        <f t="shared" si="123"/>
        <v>0</v>
      </c>
      <c r="E943" s="77" t="e">
        <f ca="1">IF(F943="y",HLOOKUP((IF(C943&lt;1,1,C943)),Magick!$C$20:$L$21,2),NA())</f>
        <v>#N/A</v>
      </c>
      <c r="F943" s="67" t="str">
        <f ca="1">IF(C943&lt;=Magick!$D$3,"Y","N")</f>
        <v>N</v>
      </c>
      <c r="G943" s="148" t="s">
        <v>859</v>
      </c>
      <c r="H943" s="151"/>
      <c r="I943" s="77" t="e">
        <f>IF(H943&gt;0,(HLOOKUP(C943,Magick!$C$20:$L$21,2)-HLOOKUP(H943,Magick!$C$20:$L$21,2)),NA())</f>
        <v>#N/A</v>
      </c>
      <c r="J943" s="77"/>
      <c r="K943" s="67" t="s">
        <v>1312</v>
      </c>
      <c r="L943" s="72" t="str">
        <f>IF(H943&gt;0,Magick!$AR$29-('Master Spell List'!H918*0.1),"N/A")</f>
        <v>N/A</v>
      </c>
      <c r="M943" s="72">
        <f ca="1">Magick!$H$81</f>
        <v>0.08</v>
      </c>
      <c r="N943" s="72">
        <f ca="1">Magick!$K$81</f>
        <v>0.13</v>
      </c>
      <c r="O943" s="72">
        <f ca="1">Magick!$L$81</f>
        <v>0.13</v>
      </c>
      <c r="P943" s="72">
        <f ca="1">Magick!$M$81</f>
        <v>0.13</v>
      </c>
      <c r="Q943" s="67" t="s">
        <v>113</v>
      </c>
      <c r="R943" s="67" t="str">
        <f>IF(Q943="Ritual","N/A",IF(Q943="I.E.","N/A",IF(Q943="WOG",VLOOKUP(Magick!$I$81*100,magestuff!$B$134:$F$138,2),IF(Q943="Cantrip",VLOOKUP(Magick!$I$81*100,magestuff!$B$134:$F$138,3),IF(Q943="Hex",VLOOKUP(Magick!$I$81*100,magestuff!$B$134:$F$138,4),VLOOKUP(Magick!$I$81*100,magestuff!$B$134:$F$138,5))))))</f>
        <v>N/A</v>
      </c>
      <c r="S943" s="67" t="s">
        <v>2329</v>
      </c>
      <c r="T943" s="294" t="s">
        <v>4601</v>
      </c>
      <c r="U943" s="67" t="str">
        <f t="shared" si="124"/>
        <v xml:space="preserve"> </v>
      </c>
      <c r="V943" s="515"/>
      <c r="W943" s="125"/>
      <c r="X943" s="31">
        <f t="shared" si="125"/>
        <v>0</v>
      </c>
      <c r="Y943" s="509"/>
      <c r="Z943" s="1054" t="str">
        <f t="shared" si="126"/>
        <v>The Great Transformation</v>
      </c>
      <c r="AA943" s="1072" t="str">
        <f t="shared" si="127"/>
        <v>Transcendental</v>
      </c>
    </row>
    <row r="944" spans="1:27" collapsed="1">
      <c r="A944" s="48" t="s">
        <v>1636</v>
      </c>
      <c r="B944" s="76">
        <f>SUM(B945:B991)</f>
        <v>122</v>
      </c>
      <c r="C944" s="76">
        <f ca="1">SUM(C945:C991)</f>
        <v>122</v>
      </c>
      <c r="D944" s="76">
        <f>SUM(D945:D991)</f>
        <v>0</v>
      </c>
      <c r="E944" s="76"/>
      <c r="F944" s="149">
        <f ca="1">SUM(C945:C982)+IF(F983="Y",SUM(C983:C984),0)+IF(F983="Y",SUM(C983:C984),0)+IF(F985="Y",SUM(C985:C986),0)+IF(F987="Y",SUM(C987:C988),0)+IF(F989="Y",SUM(C989:C990),0)+IF(F991="Y",SUM(C991),0)</f>
        <v>66</v>
      </c>
      <c r="G944" s="76"/>
      <c r="H944" s="150"/>
      <c r="I944" s="76"/>
      <c r="J944" s="76"/>
      <c r="K944" s="76"/>
      <c r="L944" s="76"/>
      <c r="M944" s="222">
        <f ca="1">Magick!$H$83</f>
        <v>0.08</v>
      </c>
      <c r="N944" s="222">
        <f ca="1">Magick!$K$83</f>
        <v>0.13</v>
      </c>
      <c r="O944" s="222">
        <f ca="1">Magick!$L$83</f>
        <v>0.13</v>
      </c>
      <c r="P944" s="222">
        <f ca="1">Magick!$M$83</f>
        <v>0.13</v>
      </c>
      <c r="Q944" s="76"/>
      <c r="R944" s="76"/>
      <c r="S944" s="76"/>
      <c r="T944" s="76"/>
      <c r="U944" s="149">
        <f>SUM(U945:U991)</f>
        <v>0</v>
      </c>
      <c r="V944" s="76"/>
      <c r="W944" s="76"/>
      <c r="X944" s="149"/>
      <c r="Y944" s="509"/>
      <c r="Z944" s="1054" t="str">
        <f t="shared" si="126"/>
        <v>Wards</v>
      </c>
      <c r="AA944" s="1072" t="str">
        <f t="shared" si="127"/>
        <v>Wards</v>
      </c>
    </row>
    <row r="945" spans="1:27" hidden="1" outlineLevel="1">
      <c r="A945" s="83" t="s">
        <v>1177</v>
      </c>
      <c r="B945" s="67">
        <v>1</v>
      </c>
      <c r="C945" s="67">
        <f ca="1">IF(magestuff!$C$211&lt;1,1,magestuff!$C$211)</f>
        <v>1</v>
      </c>
      <c r="D945" s="67">
        <f t="shared" ref="D945:D991" si="128">IF(AND(ISNUMBER(H945),H945=0),C945,0)</f>
        <v>0</v>
      </c>
      <c r="E945" s="77">
        <f ca="1">IF(F945="y",HLOOKUP((IF(C945&lt;1,1,C945)),Magick!$C$20:$L$21,2),NA())</f>
        <v>10</v>
      </c>
      <c r="F945" s="67" t="str">
        <f ca="1">IF(C945&lt;=Magick!$D$3,"Y","N")</f>
        <v>Y</v>
      </c>
      <c r="G945" s="148" t="s">
        <v>859</v>
      </c>
      <c r="H945" s="151"/>
      <c r="I945" s="77" t="e">
        <f>IF(H945&gt;0,(HLOOKUP(C945,Magick!$C$20:$L$21,2)-HLOOKUP(H945,Magick!$C$20:$L$21,2)),NA())</f>
        <v>#N/A</v>
      </c>
      <c r="J945" s="77"/>
      <c r="K945" s="67">
        <v>3</v>
      </c>
      <c r="L945" s="72" t="str">
        <f>IF(H945&gt;0,Magick!$AR$30-('Master Spell List'!H992*0.1),"N/A")</f>
        <v>N/A</v>
      </c>
      <c r="M945" s="72">
        <f ca="1">Magick!$H$83</f>
        <v>0.08</v>
      </c>
      <c r="N945" s="72">
        <f ca="1">Magick!$K$83</f>
        <v>0.13</v>
      </c>
      <c r="O945" s="72">
        <f ca="1">Magick!$L$83</f>
        <v>0.13</v>
      </c>
      <c r="P945" s="72">
        <f ca="1">Magick!$M$83</f>
        <v>0.13</v>
      </c>
      <c r="Q945" s="67" t="s">
        <v>4603</v>
      </c>
      <c r="R945" s="67">
        <f ca="1">IF(Q945="Ritual","N/A",IF(Q945="I.E.","N/A",IF(Q945="WOG",VLOOKUP(Magick!$I$83*100,magestuff!$B$134:$F$138,2),IF(Q945="Cantrip",VLOOKUP(Magick!$I$83*100,magestuff!$B$134:$F$138,3),IF(Q945="Hex",VLOOKUP(Magick!$I$83*100,magestuff!$B$134:$F$138,4),VLOOKUP(Magick!$I$83*100,magestuff!$B$134:$F$138,5))))))</f>
        <v>9</v>
      </c>
      <c r="S945" s="69" t="str">
        <f>CONCATENATE(IF(Magick!$C$3&gt;0,5+Magick!$C$3," ")," ft.")</f>
        <v xml:space="preserve">  ft.</v>
      </c>
      <c r="T945" s="294" t="str">
        <f>CONCATENATE(IF(Magick!$C$3&gt;0,Magick!$C$3*3," ")," min.")</f>
        <v xml:space="preserve">  min.</v>
      </c>
      <c r="U945" s="67" t="str">
        <f t="shared" ref="U945:U991" si="129">IF(ISBLANK(H945)," ",IF(H945&gt;0,0,C945*10))</f>
        <v xml:space="preserve"> </v>
      </c>
      <c r="V945" s="515"/>
      <c r="W945" s="125"/>
      <c r="X945" s="31">
        <f t="shared" ref="X945:X991" si="130">W945*3</f>
        <v>0</v>
      </c>
      <c r="Y945" s="509"/>
      <c r="Z945" s="1054" t="str">
        <f t="shared" si="126"/>
        <v>Lesser Circle of Alarm</v>
      </c>
      <c r="AA945" s="1072" t="str">
        <f t="shared" si="127"/>
        <v>Wards</v>
      </c>
    </row>
    <row r="946" spans="1:27" hidden="1" outlineLevel="1">
      <c r="A946" s="83" t="s">
        <v>1691</v>
      </c>
      <c r="B946" s="67">
        <v>1</v>
      </c>
      <c r="C946" s="67">
        <f ca="1">IF(magestuff!$C$211&lt;1,1,magestuff!$C$211)</f>
        <v>1</v>
      </c>
      <c r="D946" s="67">
        <f t="shared" si="128"/>
        <v>0</v>
      </c>
      <c r="E946" s="77">
        <f ca="1">IF(F946="y",HLOOKUP((IF(C946&lt;1,1,C946)),Magick!$C$20:$L$21,2),NA())</f>
        <v>10</v>
      </c>
      <c r="F946" s="67" t="str">
        <f ca="1">IF(C946&lt;=Magick!$D$3,"Y","N")</f>
        <v>Y</v>
      </c>
      <c r="G946" s="148" t="s">
        <v>1617</v>
      </c>
      <c r="H946" s="151"/>
      <c r="I946" s="77" t="e">
        <f>IF(H946&gt;0,(HLOOKUP(C946,Magick!$C$20:$L$21,2)-HLOOKUP(H946,Magick!$C$20:$L$21,2)),NA())</f>
        <v>#N/A</v>
      </c>
      <c r="J946" s="77"/>
      <c r="K946" s="67">
        <v>3</v>
      </c>
      <c r="L946" s="72" t="str">
        <f>IF(H946&gt;0,Magick!$AR$30-('Master Spell List'!H985*0.1),"N/A")</f>
        <v>N/A</v>
      </c>
      <c r="M946" s="72">
        <f ca="1">Magick!$H$83</f>
        <v>0.08</v>
      </c>
      <c r="N946" s="72">
        <f ca="1">Magick!$K$83</f>
        <v>0.13</v>
      </c>
      <c r="O946" s="72">
        <f ca="1">Magick!$L$83</f>
        <v>0.13</v>
      </c>
      <c r="P946" s="72">
        <f ca="1">Magick!$M$83</f>
        <v>0.13</v>
      </c>
      <c r="Q946" s="67" t="s">
        <v>4603</v>
      </c>
      <c r="R946" s="67">
        <f ca="1">IF(Q946="Ritual","N/A",IF(Q946="I.E.","N/A",IF(Q946="WOG",VLOOKUP(Magick!$I$83*100,magestuff!$B$134:$F$138,2),IF(Q946="Cantrip",VLOOKUP(Magick!$I$83*100,magestuff!$B$134:$F$138,3),IF(Q946="Hex",VLOOKUP(Magick!$I$83*100,magestuff!$B$134:$F$138,4),VLOOKUP(Magick!$I$83*100,magestuff!$B$134:$F$138,5))))))</f>
        <v>9</v>
      </c>
      <c r="S946" s="69" t="str">
        <f>CONCATENATE(IF(Magick!$C$3&gt;0,5+Magick!$C$3," ")," ft.")</f>
        <v xml:space="preserve">  ft.</v>
      </c>
      <c r="T946" s="294" t="str">
        <f>CONCATENATE(IF(Magick!$C$3&gt;0,Magick!$C$3*3," ")," min.")</f>
        <v xml:space="preserve">  min.</v>
      </c>
      <c r="U946" s="67" t="str">
        <f t="shared" si="129"/>
        <v xml:space="preserve"> </v>
      </c>
      <c r="V946" s="515"/>
      <c r="W946" s="125"/>
      <c r="X946" s="31">
        <f t="shared" si="130"/>
        <v>0</v>
      </c>
      <c r="Y946" s="509"/>
      <c r="Z946" s="1054" t="str">
        <f t="shared" si="126"/>
        <v>Lesser Circle of Alertness</v>
      </c>
      <c r="AA946" s="1072" t="str">
        <f t="shared" si="127"/>
        <v>Wards</v>
      </c>
    </row>
    <row r="947" spans="1:27" hidden="1" outlineLevel="1">
      <c r="A947" s="31" t="s">
        <v>1928</v>
      </c>
      <c r="B947" s="67">
        <v>1</v>
      </c>
      <c r="C947" s="67">
        <f ca="1">IF(magestuff!$C$211&lt;1,1,magestuff!$C$211)</f>
        <v>1</v>
      </c>
      <c r="D947" s="67">
        <f t="shared" si="128"/>
        <v>0</v>
      </c>
      <c r="E947" s="77">
        <f ca="1">IF(F947="y",HLOOKUP((IF(C947&lt;1,1,C947)),Magick!$C$20:$L$21,2),NA())</f>
        <v>10</v>
      </c>
      <c r="F947" s="67" t="str">
        <f ca="1">IF(C947&lt;=Magick!$D$3,"Y","N")</f>
        <v>Y</v>
      </c>
      <c r="G947" s="148" t="s">
        <v>128</v>
      </c>
      <c r="H947" s="151"/>
      <c r="I947" s="77" t="e">
        <f>IF(H947&gt;0,(HLOOKUP(C947,Magick!$C$20:$L$21,2)-HLOOKUP(H947,Magick!$C$20:$L$21,2)),NA())</f>
        <v>#N/A</v>
      </c>
      <c r="J947" s="77"/>
      <c r="K947" s="67">
        <v>3</v>
      </c>
      <c r="L947" s="72" t="str">
        <f>IF(H947&gt;0,Magick!$AR$30-('Master Spell List'!H947*0.1),"N/A")</f>
        <v>N/A</v>
      </c>
      <c r="M947" s="72">
        <f ca="1">Magick!$H$83</f>
        <v>0.08</v>
      </c>
      <c r="N947" s="72">
        <f ca="1">Magick!$K$83</f>
        <v>0.13</v>
      </c>
      <c r="O947" s="72">
        <f ca="1">Magick!$L$83</f>
        <v>0.13</v>
      </c>
      <c r="P947" s="72">
        <f ca="1">Magick!$M$83</f>
        <v>0.13</v>
      </c>
      <c r="Q947" s="67" t="s">
        <v>4603</v>
      </c>
      <c r="R947" s="67">
        <f ca="1">IF(Q947="Ritual","N/A",IF(Q947="I.E.","N/A",IF(Q947="WOG",VLOOKUP(Magick!$I$83*100,magestuff!$B$134:$F$138,2),IF(Q947="Cantrip",VLOOKUP(Magick!$I$83*100,magestuff!$B$134:$F$138,3),IF(Q947="Hex",VLOOKUP(Magick!$I$83*100,magestuff!$B$134:$F$138,4),VLOOKUP(Magick!$I$83*100,magestuff!$B$134:$F$138,5))))))</f>
        <v>9</v>
      </c>
      <c r="S947" s="69" t="str">
        <f>CONCATENATE(IF(Magick!$C$3&gt;0,5+Magick!$C$3," ")," ft.")</f>
        <v xml:space="preserve">  ft.</v>
      </c>
      <c r="T947" s="294" t="str">
        <f>CONCATENATE(IF(Magick!$C$3&gt;0,Magick!$C$3*3," ")," min.")</f>
        <v xml:space="preserve">  min.</v>
      </c>
      <c r="U947" s="67" t="str">
        <f t="shared" si="129"/>
        <v xml:space="preserve"> </v>
      </c>
      <c r="V947" s="515"/>
      <c r="W947" s="125"/>
      <c r="X947" s="31">
        <f t="shared" si="130"/>
        <v>0</v>
      </c>
      <c r="Y947" s="509"/>
      <c r="Z947" s="1054" t="str">
        <f t="shared" si="126"/>
        <v>Lesser Circle of Protection vs Beasts</v>
      </c>
      <c r="AA947" s="1072" t="str">
        <f t="shared" si="127"/>
        <v>Wards</v>
      </c>
    </row>
    <row r="948" spans="1:27" hidden="1" outlineLevel="1">
      <c r="A948" s="31" t="s">
        <v>1370</v>
      </c>
      <c r="B948" s="67">
        <v>1</v>
      </c>
      <c r="C948" s="67">
        <f ca="1">IF(magestuff!$C$211&lt;1,1,magestuff!$C$211)</f>
        <v>1</v>
      </c>
      <c r="D948" s="67">
        <f t="shared" si="128"/>
        <v>0</v>
      </c>
      <c r="E948" s="77">
        <f ca="1">IF(F948="y",HLOOKUP((IF(C948&lt;1,1,C948)),Magick!$C$20:$L$21,2),NA())</f>
        <v>10</v>
      </c>
      <c r="F948" s="67" t="str">
        <f ca="1">IF(C948&lt;=Magick!$D$3,"Y","N")</f>
        <v>Y</v>
      </c>
      <c r="G948" s="148" t="s">
        <v>128</v>
      </c>
      <c r="H948" s="151"/>
      <c r="I948" s="77" t="e">
        <f>IF(H948&gt;0,(HLOOKUP(C948,Magick!$C$20:$L$21,2)-HLOOKUP(H948,Magick!$C$20:$L$21,2)),NA())</f>
        <v>#N/A</v>
      </c>
      <c r="J948" s="77"/>
      <c r="K948" s="67">
        <v>3</v>
      </c>
      <c r="L948" s="72" t="str">
        <f>IF(H948&gt;0,Magick!$AR$30-('Master Spell List'!H945*0.1),"N/A")</f>
        <v>N/A</v>
      </c>
      <c r="M948" s="72">
        <f ca="1">Magick!$H$83</f>
        <v>0.08</v>
      </c>
      <c r="N948" s="72">
        <f ca="1">Magick!$K$83</f>
        <v>0.13</v>
      </c>
      <c r="O948" s="72">
        <f ca="1">Magick!$L$83</f>
        <v>0.13</v>
      </c>
      <c r="P948" s="72">
        <f ca="1">Magick!$M$83</f>
        <v>0.13</v>
      </c>
      <c r="Q948" s="67" t="s">
        <v>4603</v>
      </c>
      <c r="R948" s="67">
        <f ca="1">IF(Q948="Ritual","N/A",IF(Q948="I.E.","N/A",IF(Q948="WOG",VLOOKUP(Magick!$I$83*100,magestuff!$B$134:$F$138,2),IF(Q948="Cantrip",VLOOKUP(Magick!$I$83*100,magestuff!$B$134:$F$138,3),IF(Q948="Hex",VLOOKUP(Magick!$I$83*100,magestuff!$B$134:$F$138,4),VLOOKUP(Magick!$I$83*100,magestuff!$B$134:$F$138,5))))))</f>
        <v>9</v>
      </c>
      <c r="S948" s="69" t="str">
        <f>CONCATENATE(IF(Magick!$C$3&gt;0,5+Magick!$C$3," ")," ft.")</f>
        <v xml:space="preserve">  ft.</v>
      </c>
      <c r="T948" s="294" t="str">
        <f>CONCATENATE(IF(Magick!$C$3&gt;0,Magick!$C$3*3," ")," min.")</f>
        <v xml:space="preserve">  min.</v>
      </c>
      <c r="U948" s="67" t="str">
        <f t="shared" si="129"/>
        <v xml:space="preserve"> </v>
      </c>
      <c r="V948" s="515"/>
      <c r="W948" s="125"/>
      <c r="X948" s="31">
        <f t="shared" si="130"/>
        <v>0</v>
      </c>
      <c r="Y948" s="509"/>
      <c r="Z948" s="1054" t="str">
        <f t="shared" si="126"/>
        <v>Lesser Circle of Protection vs Evil</v>
      </c>
      <c r="AA948" s="1072" t="str">
        <f t="shared" si="127"/>
        <v>Wards</v>
      </c>
    </row>
    <row r="949" spans="1:27" hidden="1" outlineLevel="1">
      <c r="A949" s="31" t="s">
        <v>2066</v>
      </c>
      <c r="B949" s="67">
        <v>1</v>
      </c>
      <c r="C949" s="67">
        <f ca="1">IF(magestuff!$C$211&lt;1,1,magestuff!$C$211)</f>
        <v>1</v>
      </c>
      <c r="D949" s="67">
        <f t="shared" si="128"/>
        <v>0</v>
      </c>
      <c r="E949" s="77">
        <f ca="1">IF(F949="y",HLOOKUP((IF(C949&lt;1,1,C949)),Magick!$C$20:$L$21,2),NA())</f>
        <v>10</v>
      </c>
      <c r="F949" s="67" t="str">
        <f ca="1">IF(C949&lt;=Magick!$D$3,"Y","N")</f>
        <v>Y</v>
      </c>
      <c r="G949" s="148" t="s">
        <v>128</v>
      </c>
      <c r="H949" s="151"/>
      <c r="I949" s="77" t="e">
        <f>IF(H949&gt;0,(HLOOKUP(C949,Magick!$C$20:$L$21,2)-HLOOKUP(H949,Magick!$C$20:$L$21,2)),NA())</f>
        <v>#N/A</v>
      </c>
      <c r="J949" s="77"/>
      <c r="K949" s="67">
        <v>3</v>
      </c>
      <c r="L949" s="72" t="str">
        <f>IF(H949&gt;0,Magick!$AR$30-('Master Spell List'!H946*0.1),"N/A")</f>
        <v>N/A</v>
      </c>
      <c r="M949" s="72">
        <f ca="1">Magick!$H$83</f>
        <v>0.08</v>
      </c>
      <c r="N949" s="72">
        <f ca="1">Magick!$K$83</f>
        <v>0.13</v>
      </c>
      <c r="O949" s="72">
        <f ca="1">Magick!$L$83</f>
        <v>0.13</v>
      </c>
      <c r="P949" s="72">
        <f ca="1">Magick!$M$83</f>
        <v>0.13</v>
      </c>
      <c r="Q949" s="67" t="s">
        <v>4603</v>
      </c>
      <c r="R949" s="67">
        <f ca="1">IF(Q949="Ritual","N/A",IF(Q949="I.E.","N/A",IF(Q949="WOG",VLOOKUP(Magick!$I$83*100,magestuff!$B$134:$F$138,2),IF(Q949="Cantrip",VLOOKUP(Magick!$I$83*100,magestuff!$B$134:$F$138,3),IF(Q949="Hex",VLOOKUP(Magick!$I$83*100,magestuff!$B$134:$F$138,4),VLOOKUP(Magick!$I$83*100,magestuff!$B$134:$F$138,5))))))</f>
        <v>9</v>
      </c>
      <c r="S949" s="69" t="str">
        <f>CONCATENATE(IF(Magick!$C$3&gt;0,5+Magick!$C$3," ")," ft.")</f>
        <v xml:space="preserve">  ft.</v>
      </c>
      <c r="T949" s="294" t="str">
        <f>CONCATENATE(IF(Magick!$C$3&gt;0,Magick!$C$3*3," ")," min.")</f>
        <v xml:space="preserve">  min.</v>
      </c>
      <c r="U949" s="67" t="str">
        <f t="shared" si="129"/>
        <v xml:space="preserve"> </v>
      </c>
      <c r="V949" s="515"/>
      <c r="W949" s="125"/>
      <c r="X949" s="31">
        <f t="shared" si="130"/>
        <v>0</v>
      </c>
      <c r="Y949" s="509"/>
      <c r="Z949" s="1054" t="str">
        <f t="shared" si="126"/>
        <v>Lesser Circle of Protection vs Good</v>
      </c>
      <c r="AA949" s="1072" t="str">
        <f t="shared" si="127"/>
        <v>Wards</v>
      </c>
    </row>
    <row r="950" spans="1:27" hidden="1" outlineLevel="1">
      <c r="A950" s="83" t="s">
        <v>1178</v>
      </c>
      <c r="B950" s="67">
        <v>1</v>
      </c>
      <c r="C950" s="67">
        <f ca="1">IF(magestuff!$C$211&lt;1,1,magestuff!$C$211)</f>
        <v>1</v>
      </c>
      <c r="D950" s="67">
        <f t="shared" si="128"/>
        <v>0</v>
      </c>
      <c r="E950" s="77">
        <f ca="1">IF(F950="y",HLOOKUP((IF(C950&lt;1,1,C950)),Magick!$C$20:$L$21,2),NA())</f>
        <v>10</v>
      </c>
      <c r="F950" s="67" t="str">
        <f ca="1">IF(C950&lt;=Magick!$D$3,"Y","N")</f>
        <v>Y</v>
      </c>
      <c r="G950" s="148" t="s">
        <v>859</v>
      </c>
      <c r="H950" s="151"/>
      <c r="I950" s="77" t="e">
        <f>IF(H950&gt;0,(HLOOKUP(C950,Magick!$C$20:$L$21,2)-HLOOKUP(H950,Magick!$C$20:$L$21,2)),NA())</f>
        <v>#N/A</v>
      </c>
      <c r="J950" s="77"/>
      <c r="K950" s="67">
        <v>3</v>
      </c>
      <c r="L950" s="72" t="str">
        <f>IF(H950&gt;0,Magick!$AR$30-('Master Spell List'!H993*0.1),"N/A")</f>
        <v>N/A</v>
      </c>
      <c r="M950" s="72">
        <f ca="1">Magick!$H$83</f>
        <v>0.08</v>
      </c>
      <c r="N950" s="72">
        <f ca="1">Magick!$K$83</f>
        <v>0.13</v>
      </c>
      <c r="O950" s="72">
        <f ca="1">Magick!$L$83</f>
        <v>0.13</v>
      </c>
      <c r="P950" s="72">
        <f ca="1">Magick!$M$83</f>
        <v>0.13</v>
      </c>
      <c r="Q950" s="67" t="s">
        <v>4603</v>
      </c>
      <c r="R950" s="67">
        <f ca="1">IF(Q950="Ritual","N/A",IF(Q950="I.E.","N/A",IF(Q950="WOG",VLOOKUP(Magick!$I$83*100,magestuff!$B$134:$F$138,2),IF(Q950="Cantrip",VLOOKUP(Magick!$I$83*100,magestuff!$B$134:$F$138,3),IF(Q950="Hex",VLOOKUP(Magick!$I$83*100,magestuff!$B$134:$F$138,4),VLOOKUP(Magick!$I$83*100,magestuff!$B$134:$F$138,5))))))</f>
        <v>9</v>
      </c>
      <c r="S950" s="314" t="s">
        <v>3263</v>
      </c>
      <c r="T950" s="294" t="str">
        <f>CONCATENATE(IF(Magick!$C$3&gt;0,45+Magick!$C$3*3," ")," sec.")</f>
        <v xml:space="preserve">  sec.</v>
      </c>
      <c r="U950" s="67" t="str">
        <f t="shared" si="129"/>
        <v xml:space="preserve"> </v>
      </c>
      <c r="V950" s="515"/>
      <c r="W950" s="125"/>
      <c r="X950" s="31">
        <f t="shared" si="130"/>
        <v>0</v>
      </c>
      <c r="Y950" s="509"/>
      <c r="Z950" s="1054" t="str">
        <f t="shared" si="126"/>
        <v>Lesser Ward of Alarm</v>
      </c>
      <c r="AA950" s="1072" t="str">
        <f t="shared" si="127"/>
        <v>Wards</v>
      </c>
    </row>
    <row r="951" spans="1:27" hidden="1" outlineLevel="1">
      <c r="A951" s="83" t="s">
        <v>1692</v>
      </c>
      <c r="B951" s="67">
        <v>1</v>
      </c>
      <c r="C951" s="67">
        <f ca="1">IF(magestuff!$C$211&lt;1,1,magestuff!$C$211)</f>
        <v>1</v>
      </c>
      <c r="D951" s="67">
        <f t="shared" si="128"/>
        <v>0</v>
      </c>
      <c r="E951" s="77">
        <f ca="1">IF(F951="y",HLOOKUP((IF(C951&lt;1,1,C951)),Magick!$C$20:$L$21,2),NA())</f>
        <v>10</v>
      </c>
      <c r="F951" s="67" t="str">
        <f ca="1">IF(C951&lt;=Magick!$D$3,"Y","N")</f>
        <v>Y</v>
      </c>
      <c r="G951" s="148" t="s">
        <v>1617</v>
      </c>
      <c r="H951" s="151"/>
      <c r="I951" s="77" t="e">
        <f>IF(H951&gt;0,(HLOOKUP(C951,Magick!$C$20:$L$21,2)-HLOOKUP(H951,Magick!$C$20:$L$21,2)),NA())</f>
        <v>#N/A</v>
      </c>
      <c r="J951" s="77"/>
      <c r="K951" s="67">
        <v>3</v>
      </c>
      <c r="L951" s="72" t="str">
        <f>IF(H951&gt;0,Magick!$AR$30-('Master Spell List'!H986*0.1),"N/A")</f>
        <v>N/A</v>
      </c>
      <c r="M951" s="72">
        <f ca="1">Magick!$H$83</f>
        <v>0.08</v>
      </c>
      <c r="N951" s="72">
        <f ca="1">Magick!$K$83</f>
        <v>0.13</v>
      </c>
      <c r="O951" s="72">
        <f ca="1">Magick!$L$83</f>
        <v>0.13</v>
      </c>
      <c r="P951" s="72">
        <f ca="1">Magick!$M$83</f>
        <v>0.13</v>
      </c>
      <c r="Q951" s="67" t="s">
        <v>4603</v>
      </c>
      <c r="R951" s="67">
        <f ca="1">IF(Q951="Ritual","N/A",IF(Q951="I.E.","N/A",IF(Q951="WOG",VLOOKUP(Magick!$I$83*100,magestuff!$B$134:$F$138,2),IF(Q951="Cantrip",VLOOKUP(Magick!$I$83*100,magestuff!$B$134:$F$138,3),IF(Q951="Hex",VLOOKUP(Magick!$I$83*100,magestuff!$B$134:$F$138,4),VLOOKUP(Magick!$I$83*100,magestuff!$B$134:$F$138,5))))))</f>
        <v>9</v>
      </c>
      <c r="S951" s="314" t="s">
        <v>3263</v>
      </c>
      <c r="T951" s="294" t="str">
        <f>CONCATENATE(IF(Magick!$C$3&gt;0,45+Magick!$C$3*3," ")," sec.")</f>
        <v xml:space="preserve">  sec.</v>
      </c>
      <c r="U951" s="67" t="str">
        <f t="shared" si="129"/>
        <v xml:space="preserve"> </v>
      </c>
      <c r="V951" s="515"/>
      <c r="W951" s="125"/>
      <c r="X951" s="31">
        <f t="shared" si="130"/>
        <v>0</v>
      </c>
      <c r="Y951" s="509"/>
      <c r="Z951" s="1054" t="str">
        <f t="shared" si="126"/>
        <v>Lesser Ward of Alertness</v>
      </c>
      <c r="AA951" s="1072" t="str">
        <f t="shared" si="127"/>
        <v>Wards</v>
      </c>
    </row>
    <row r="952" spans="1:27" hidden="1" outlineLevel="1">
      <c r="A952" s="31" t="s">
        <v>1338</v>
      </c>
      <c r="B952" s="67">
        <v>1</v>
      </c>
      <c r="C952" s="67">
        <f ca="1">IF(magestuff!$C$211&lt;1,1,magestuff!$C$211)</f>
        <v>1</v>
      </c>
      <c r="D952" s="67">
        <f t="shared" si="128"/>
        <v>0</v>
      </c>
      <c r="E952" s="77">
        <f ca="1">IF(F952="y",HLOOKUP((IF(C952&lt;1,1,C952)),Magick!$C$20:$L$21,2),NA())</f>
        <v>10</v>
      </c>
      <c r="F952" s="67" t="str">
        <f ca="1">IF(C952&lt;=Magick!$D$3,"Y","N")</f>
        <v>Y</v>
      </c>
      <c r="G952" s="148" t="s">
        <v>128</v>
      </c>
      <c r="H952" s="151"/>
      <c r="I952" s="77" t="e">
        <f>IF(H952&gt;0,(HLOOKUP(C952,Magick!$C$20:$L$21,2)-HLOOKUP(H952,Magick!$C$20:$L$21,2)),NA())</f>
        <v>#N/A</v>
      </c>
      <c r="J952" s="77"/>
      <c r="K952" s="67">
        <v>3</v>
      </c>
      <c r="L952" s="72" t="str">
        <f>IF(H952&gt;0,Magick!$AR$30-('Master Spell List'!H964*0.1),"N/A")</f>
        <v>N/A</v>
      </c>
      <c r="M952" s="72">
        <f ca="1">Magick!$H$83</f>
        <v>0.08</v>
      </c>
      <c r="N952" s="72">
        <f ca="1">Magick!$K$83</f>
        <v>0.13</v>
      </c>
      <c r="O952" s="72">
        <f ca="1">Magick!$L$83</f>
        <v>0.13</v>
      </c>
      <c r="P952" s="72">
        <f ca="1">Magick!$M$83</f>
        <v>0.13</v>
      </c>
      <c r="Q952" s="67" t="s">
        <v>4603</v>
      </c>
      <c r="R952" s="67">
        <f ca="1">IF(Q952="Ritual","N/A",IF(Q952="I.E.","N/A",IF(Q952="WOG",VLOOKUP(Magick!$I$83*100,magestuff!$B$134:$F$138,2),IF(Q952="Cantrip",VLOOKUP(Magick!$I$83*100,magestuff!$B$134:$F$138,3),IF(Q952="Hex",VLOOKUP(Magick!$I$83*100,magestuff!$B$134:$F$138,4),VLOOKUP(Magick!$I$83*100,magestuff!$B$134:$F$138,5))))))</f>
        <v>9</v>
      </c>
      <c r="S952" s="314" t="s">
        <v>3263</v>
      </c>
      <c r="T952" s="294" t="str">
        <f>CONCATENATE(IF(Magick!$C$3&gt;0,45+Magick!$C$3*3," ")," sec.")</f>
        <v xml:space="preserve">  sec.</v>
      </c>
      <c r="U952" s="67" t="str">
        <f t="shared" si="129"/>
        <v xml:space="preserve"> </v>
      </c>
      <c r="V952" s="515"/>
      <c r="W952" s="125"/>
      <c r="X952" s="31">
        <f t="shared" si="130"/>
        <v>0</v>
      </c>
      <c r="Y952" s="509"/>
      <c r="Z952" s="1054" t="str">
        <f t="shared" si="126"/>
        <v>Lesser Ward of Protection vs Beasts</v>
      </c>
      <c r="AA952" s="1072" t="str">
        <f t="shared" si="127"/>
        <v>Wards</v>
      </c>
    </row>
    <row r="953" spans="1:27" hidden="1" outlineLevel="1">
      <c r="A953" s="31" t="s">
        <v>1473</v>
      </c>
      <c r="B953" s="67">
        <v>1</v>
      </c>
      <c r="C953" s="67">
        <f ca="1">IF(magestuff!$C$211&lt;1,1,magestuff!$C$211)</f>
        <v>1</v>
      </c>
      <c r="D953" s="67">
        <f t="shared" si="128"/>
        <v>0</v>
      </c>
      <c r="E953" s="77">
        <f ca="1">IF(F953="y",HLOOKUP((IF(C953&lt;1,1,C953)),Magick!$C$20:$L$21,2),NA())</f>
        <v>10</v>
      </c>
      <c r="F953" s="67" t="str">
        <f ca="1">IF(C953&lt;=Magick!$D$3,"Y","N")</f>
        <v>Y</v>
      </c>
      <c r="G953" s="148" t="s">
        <v>128</v>
      </c>
      <c r="H953" s="151"/>
      <c r="I953" s="77" t="e">
        <f>IF(H953&gt;0,(HLOOKUP(C953,Magick!$C$20:$L$21,2)-HLOOKUP(H953,Magick!$C$20:$L$21,2)),NA())</f>
        <v>#N/A</v>
      </c>
      <c r="J953" s="77"/>
      <c r="K953" s="67">
        <v>3</v>
      </c>
      <c r="L953" s="72" t="str">
        <f>IF(H953&gt;0,Magick!$AR$30-('Master Spell List'!H962*0.1),"N/A")</f>
        <v>N/A</v>
      </c>
      <c r="M953" s="72">
        <f ca="1">Magick!$H$83</f>
        <v>0.08</v>
      </c>
      <c r="N953" s="72">
        <f ca="1">Magick!$K$83</f>
        <v>0.13</v>
      </c>
      <c r="O953" s="72">
        <f ca="1">Magick!$L$83</f>
        <v>0.13</v>
      </c>
      <c r="P953" s="72">
        <f ca="1">Magick!$M$83</f>
        <v>0.13</v>
      </c>
      <c r="Q953" s="67" t="s">
        <v>4603</v>
      </c>
      <c r="R953" s="67">
        <f ca="1">IF(Q953="Ritual","N/A",IF(Q953="I.E.","N/A",IF(Q953="WOG",VLOOKUP(Magick!$I$83*100,magestuff!$B$134:$F$138,2),IF(Q953="Cantrip",VLOOKUP(Magick!$I$83*100,magestuff!$B$134:$F$138,3),IF(Q953="Hex",VLOOKUP(Magick!$I$83*100,magestuff!$B$134:$F$138,4),VLOOKUP(Magick!$I$83*100,magestuff!$B$134:$F$138,5))))))</f>
        <v>9</v>
      </c>
      <c r="S953" s="314" t="s">
        <v>3263</v>
      </c>
      <c r="T953" s="294" t="str">
        <f>CONCATENATE(IF(Magick!$C$3&gt;0,45+Magick!$C$3*3," ")," sec.")</f>
        <v xml:space="preserve">  sec.</v>
      </c>
      <c r="U953" s="67" t="str">
        <f t="shared" si="129"/>
        <v xml:space="preserve"> </v>
      </c>
      <c r="V953" s="515"/>
      <c r="W953" s="125"/>
      <c r="X953" s="31">
        <f t="shared" si="130"/>
        <v>0</v>
      </c>
      <c r="Y953" s="509"/>
      <c r="Z953" s="1054" t="str">
        <f t="shared" si="126"/>
        <v>Lesser Ward of Protection vs Evil</v>
      </c>
      <c r="AA953" s="1072" t="str">
        <f t="shared" si="127"/>
        <v>Wards</v>
      </c>
    </row>
    <row r="954" spans="1:27" hidden="1" outlineLevel="1">
      <c r="A954" s="31" t="s">
        <v>1337</v>
      </c>
      <c r="B954" s="67">
        <v>1</v>
      </c>
      <c r="C954" s="67">
        <f ca="1">IF(magestuff!$C$211&lt;1,1,magestuff!$C$211)</f>
        <v>1</v>
      </c>
      <c r="D954" s="67">
        <f t="shared" si="128"/>
        <v>0</v>
      </c>
      <c r="E954" s="77">
        <f ca="1">IF(F954="y",HLOOKUP((IF(C954&lt;1,1,C954)),Magick!$C$20:$L$21,2),NA())</f>
        <v>10</v>
      </c>
      <c r="F954" s="67" t="str">
        <f ca="1">IF(C954&lt;=Magick!$D$3,"Y","N")</f>
        <v>Y</v>
      </c>
      <c r="G954" s="148" t="s">
        <v>128</v>
      </c>
      <c r="H954" s="151"/>
      <c r="I954" s="77" t="e">
        <f>IF(H954&gt;0,(HLOOKUP(C954,Magick!$C$20:$L$21,2)-HLOOKUP(H954,Magick!$C$20:$L$21,2)),NA())</f>
        <v>#N/A</v>
      </c>
      <c r="J954" s="77"/>
      <c r="K954" s="67">
        <v>3</v>
      </c>
      <c r="L954" s="72" t="str">
        <f>IF(H954&gt;0,Magick!$AR$30-('Master Spell List'!H963*0.1),"N/A")</f>
        <v>N/A</v>
      </c>
      <c r="M954" s="72">
        <f ca="1">Magick!$H$83</f>
        <v>0.08</v>
      </c>
      <c r="N954" s="72">
        <f ca="1">Magick!$K$83</f>
        <v>0.13</v>
      </c>
      <c r="O954" s="72">
        <f ca="1">Magick!$L$83</f>
        <v>0.13</v>
      </c>
      <c r="P954" s="72">
        <f ca="1">Magick!$M$83</f>
        <v>0.13</v>
      </c>
      <c r="Q954" s="67" t="s">
        <v>4603</v>
      </c>
      <c r="R954" s="67">
        <f ca="1">IF(Q954="Ritual","N/A",IF(Q954="I.E.","N/A",IF(Q954="WOG",VLOOKUP(Magick!$I$83*100,magestuff!$B$134:$F$138,2),IF(Q954="Cantrip",VLOOKUP(Magick!$I$83*100,magestuff!$B$134:$F$138,3),IF(Q954="Hex",VLOOKUP(Magick!$I$83*100,magestuff!$B$134:$F$138,4),VLOOKUP(Magick!$I$83*100,magestuff!$B$134:$F$138,5))))))</f>
        <v>9</v>
      </c>
      <c r="S954" s="314" t="s">
        <v>3263</v>
      </c>
      <c r="T954" s="294" t="str">
        <f>CONCATENATE(IF(Magick!$C$3&gt;0,45+Magick!$C$3*3," ")," sec.")</f>
        <v xml:space="preserve">  sec.</v>
      </c>
      <c r="U954" s="67" t="str">
        <f t="shared" si="129"/>
        <v xml:space="preserve"> </v>
      </c>
      <c r="V954" s="515"/>
      <c r="W954" s="125"/>
      <c r="X954" s="31">
        <f t="shared" si="130"/>
        <v>0</v>
      </c>
      <c r="Y954" s="509"/>
      <c r="Z954" s="1054" t="str">
        <f t="shared" si="126"/>
        <v>Lesser Ward of Protection vs Good</v>
      </c>
      <c r="AA954" s="1072" t="str">
        <f t="shared" si="127"/>
        <v>Wards</v>
      </c>
    </row>
    <row r="955" spans="1:27" hidden="1" outlineLevel="1">
      <c r="A955" s="31" t="s">
        <v>3086</v>
      </c>
      <c r="B955" s="67">
        <v>2</v>
      </c>
      <c r="C955" s="67">
        <f ca="1">IF(magestuff!$F$211&lt;1,1,magestuff!$F$211)</f>
        <v>2</v>
      </c>
      <c r="D955" s="67">
        <f t="shared" si="128"/>
        <v>0</v>
      </c>
      <c r="E955" s="77">
        <f ca="1">IF(F955="y",HLOOKUP((IF(C955&lt;1,1,C955)),Magick!$C$20:$L$21,2),NA())</f>
        <v>21</v>
      </c>
      <c r="F955" s="67" t="str">
        <f ca="1">IF(C955&lt;=Magick!$D$3,"Y","N")</f>
        <v>Y</v>
      </c>
      <c r="G955" s="148" t="s">
        <v>128</v>
      </c>
      <c r="H955" s="151"/>
      <c r="I955" s="77" t="e">
        <f>IF(H955&gt;0,(HLOOKUP(C955,Magick!$C$20:$L$21,2)-HLOOKUP(H955,Magick!$C$20:$L$21,2)),NA())</f>
        <v>#N/A</v>
      </c>
      <c r="J955" s="77"/>
      <c r="K955" s="67">
        <v>4</v>
      </c>
      <c r="L955" s="72" t="str">
        <f>IF(H955&gt;0,Magick!$AR$30-('Master Spell List'!H952*0.1),"N/A")</f>
        <v>N/A</v>
      </c>
      <c r="M955" s="72">
        <f ca="1">Magick!$H$83</f>
        <v>0.08</v>
      </c>
      <c r="N955" s="72">
        <f ca="1">Magick!$K$83</f>
        <v>0.13</v>
      </c>
      <c r="O955" s="72">
        <f ca="1">Magick!$L$83</f>
        <v>0.13</v>
      </c>
      <c r="P955" s="72">
        <f ca="1">Magick!$M$83</f>
        <v>0.13</v>
      </c>
      <c r="Q955" s="67" t="s">
        <v>4603</v>
      </c>
      <c r="R955" s="67">
        <f ca="1">IF(Q955="Ritual","N/A",IF(Q955="I.E.","N/A",IF(Q955="WOG",VLOOKUP(Magick!$I$83*100,magestuff!$B$134:$F$138,2),IF(Q955="Cantrip",VLOOKUP(Magick!$I$83*100,magestuff!$B$134:$F$138,3),IF(Q955="Hex",VLOOKUP(Magick!$I$83*100,magestuff!$B$134:$F$138,4),VLOOKUP(Magick!$I$83*100,magestuff!$B$134:$F$138,5))))))</f>
        <v>9</v>
      </c>
      <c r="S955" s="69" t="str">
        <f>CONCATENATE(IF(Magick!$C$3&gt;0,5+Magick!$C$3," ")," ft.")</f>
        <v xml:space="preserve">  ft.</v>
      </c>
      <c r="T955" s="294" t="str">
        <f>CONCATENATE(IF(Magick!$C$3&gt;0,Magick!$C$3*3," ")," min.")</f>
        <v xml:space="preserve">  min.</v>
      </c>
      <c r="U955" s="67" t="str">
        <f t="shared" si="129"/>
        <v xml:space="preserve"> </v>
      </c>
      <c r="V955" s="515"/>
      <c r="W955" s="125"/>
      <c r="X955" s="31">
        <f t="shared" si="130"/>
        <v>0</v>
      </c>
      <c r="Y955" s="509"/>
      <c r="Z955" s="1054" t="str">
        <f t="shared" si="126"/>
        <v>Lesser Circle of Protection vs Arcane</v>
      </c>
      <c r="AA955" s="1072" t="str">
        <f t="shared" si="127"/>
        <v>Wards</v>
      </c>
    </row>
    <row r="956" spans="1:27" hidden="1" outlineLevel="1">
      <c r="A956" s="31" t="s">
        <v>1929</v>
      </c>
      <c r="B956" s="67">
        <v>2</v>
      </c>
      <c r="C956" s="67">
        <f ca="1">IF(magestuff!$F$211&lt;1,1,magestuff!$F$211)</f>
        <v>2</v>
      </c>
      <c r="D956" s="67">
        <f t="shared" si="128"/>
        <v>0</v>
      </c>
      <c r="E956" s="77">
        <f ca="1">IF(F956="y",HLOOKUP((IF(C956&lt;1,1,C956)),Magick!$C$20:$L$21,2),NA())</f>
        <v>21</v>
      </c>
      <c r="F956" s="67" t="str">
        <f ca="1">IF(C956&lt;=Magick!$D$3,"Y","N")</f>
        <v>Y</v>
      </c>
      <c r="G956" s="148" t="s">
        <v>128</v>
      </c>
      <c r="H956" s="151"/>
      <c r="I956" s="77" t="e">
        <f>IF(H956&gt;0,(HLOOKUP(C956,Magick!$C$20:$L$21,2)-HLOOKUP(H956,Magick!$C$20:$L$21,2)),NA())</f>
        <v>#N/A</v>
      </c>
      <c r="J956" s="77"/>
      <c r="K956" s="67">
        <v>4</v>
      </c>
      <c r="L956" s="72" t="str">
        <f>IF(H956&gt;0,Magick!$AR$30-('Master Spell List'!H948*0.1),"N/A")</f>
        <v>N/A</v>
      </c>
      <c r="M956" s="72">
        <f ca="1">Magick!$H$83</f>
        <v>0.08</v>
      </c>
      <c r="N956" s="72">
        <f ca="1">Magick!$K$83</f>
        <v>0.13</v>
      </c>
      <c r="O956" s="72">
        <f ca="1">Magick!$L$83</f>
        <v>0.13</v>
      </c>
      <c r="P956" s="72">
        <f ca="1">Magick!$M$83</f>
        <v>0.13</v>
      </c>
      <c r="Q956" s="67" t="s">
        <v>4603</v>
      </c>
      <c r="R956" s="67">
        <f ca="1">IF(Q956="Ritual","N/A",IF(Q956="I.E.","N/A",IF(Q956="WOG",VLOOKUP(Magick!$I$83*100,magestuff!$B$134:$F$138,2),IF(Q956="Cantrip",VLOOKUP(Magick!$I$83*100,magestuff!$B$134:$F$138,3),IF(Q956="Hex",VLOOKUP(Magick!$I$83*100,magestuff!$B$134:$F$138,4),VLOOKUP(Magick!$I$83*100,magestuff!$B$134:$F$138,5))))))</f>
        <v>9</v>
      </c>
      <c r="S956" s="69" t="str">
        <f>CONCATENATE(IF(Magick!$C$3&gt;0,5+Magick!$C$3," ")," ft.")</f>
        <v xml:space="preserve">  ft.</v>
      </c>
      <c r="T956" s="294" t="str">
        <f>CONCATENATE(IF(Magick!$C$3&gt;0,Magick!$C$3*3," ")," min.")</f>
        <v xml:space="preserve">  min.</v>
      </c>
      <c r="U956" s="67" t="str">
        <f t="shared" si="129"/>
        <v xml:space="preserve"> </v>
      </c>
      <c r="V956" s="515"/>
      <c r="W956" s="125"/>
      <c r="X956" s="31">
        <f t="shared" si="130"/>
        <v>0</v>
      </c>
      <c r="Y956" s="509"/>
      <c r="Z956" s="1054" t="str">
        <f t="shared" si="126"/>
        <v>Lesser Circle of Protection vs Basick Magick - Air</v>
      </c>
      <c r="AA956" s="1072" t="str">
        <f t="shared" si="127"/>
        <v>Wards</v>
      </c>
    </row>
    <row r="957" spans="1:27" hidden="1" outlineLevel="1">
      <c r="A957" s="31" t="s">
        <v>1931</v>
      </c>
      <c r="B957" s="67">
        <v>2</v>
      </c>
      <c r="C957" s="67">
        <f ca="1">IF(magestuff!$F$211&lt;1,1,magestuff!$F$211)</f>
        <v>2</v>
      </c>
      <c r="D957" s="67">
        <f t="shared" si="128"/>
        <v>0</v>
      </c>
      <c r="E957" s="77">
        <f ca="1">IF(F957="y",HLOOKUP((IF(C957&lt;1,1,C957)),Magick!$C$20:$L$21,2),NA())</f>
        <v>21</v>
      </c>
      <c r="F957" s="67" t="str">
        <f ca="1">IF(C957&lt;=Magick!$D$3,"Y","N")</f>
        <v>Y</v>
      </c>
      <c r="G957" s="148" t="s">
        <v>128</v>
      </c>
      <c r="H957" s="151"/>
      <c r="I957" s="77" t="e">
        <f>IF(H957&gt;0,(HLOOKUP(C957,Magick!$C$20:$L$21,2)-HLOOKUP(H957,Magick!$C$20:$L$21,2)),NA())</f>
        <v>#N/A</v>
      </c>
      <c r="J957" s="77"/>
      <c r="K957" s="67">
        <v>4</v>
      </c>
      <c r="L957" s="72" t="str">
        <f>IF(H957&gt;0,Magick!$AR$30-('Master Spell List'!H950*0.1),"N/A")</f>
        <v>N/A</v>
      </c>
      <c r="M957" s="72">
        <f ca="1">Magick!$H$83</f>
        <v>0.08</v>
      </c>
      <c r="N957" s="72">
        <f ca="1">Magick!$K$83</f>
        <v>0.13</v>
      </c>
      <c r="O957" s="72">
        <f ca="1">Magick!$L$83</f>
        <v>0.13</v>
      </c>
      <c r="P957" s="72">
        <f ca="1">Magick!$M$83</f>
        <v>0.13</v>
      </c>
      <c r="Q957" s="67" t="s">
        <v>4603</v>
      </c>
      <c r="R957" s="67">
        <f ca="1">IF(Q957="Ritual","N/A",IF(Q957="I.E.","N/A",IF(Q957="WOG",VLOOKUP(Magick!$I$83*100,magestuff!$B$134:$F$138,2),IF(Q957="Cantrip",VLOOKUP(Magick!$I$83*100,magestuff!$B$134:$F$138,3),IF(Q957="Hex",VLOOKUP(Magick!$I$83*100,magestuff!$B$134:$F$138,4),VLOOKUP(Magick!$I$83*100,magestuff!$B$134:$F$138,5))))))</f>
        <v>9</v>
      </c>
      <c r="S957" s="69" t="str">
        <f>CONCATENATE(IF(Magick!$C$3&gt;0,5+Magick!$C$3," ")," ft.")</f>
        <v xml:space="preserve">  ft.</v>
      </c>
      <c r="T957" s="294" t="str">
        <f>CONCATENATE(IF(Magick!$C$3&gt;0,Magick!$C$3*3," ")," min.")</f>
        <v xml:space="preserve">  min.</v>
      </c>
      <c r="U957" s="67" t="str">
        <f t="shared" si="129"/>
        <v xml:space="preserve"> </v>
      </c>
      <c r="V957" s="515"/>
      <c r="W957" s="125"/>
      <c r="X957" s="31">
        <f t="shared" si="130"/>
        <v>0</v>
      </c>
      <c r="Y957" s="509"/>
      <c r="Z957" s="1054" t="str">
        <f t="shared" si="126"/>
        <v>Lesser Circle of Protection vs Basick Magick - Earth</v>
      </c>
      <c r="AA957" s="1072" t="str">
        <f t="shared" si="127"/>
        <v>Wards</v>
      </c>
    </row>
    <row r="958" spans="1:27" hidden="1" outlineLevel="1">
      <c r="A958" s="31" t="s">
        <v>1379</v>
      </c>
      <c r="B958" s="67">
        <v>2</v>
      </c>
      <c r="C958" s="67">
        <f ca="1">IF(magestuff!$F$211&lt;1,1,magestuff!$F$211)</f>
        <v>2</v>
      </c>
      <c r="D958" s="67">
        <f t="shared" si="128"/>
        <v>0</v>
      </c>
      <c r="E958" s="77">
        <f ca="1">IF(F958="y",HLOOKUP((IF(C958&lt;1,1,C958)),Magick!$C$20:$L$21,2),NA())</f>
        <v>21</v>
      </c>
      <c r="F958" s="67" t="str">
        <f ca="1">IF(C958&lt;=Magick!$D$3,"Y","N")</f>
        <v>Y</v>
      </c>
      <c r="G958" s="148" t="s">
        <v>128</v>
      </c>
      <c r="H958" s="151"/>
      <c r="I958" s="77" t="e">
        <f>IF(H958&gt;0,(HLOOKUP(C958,Magick!$C$20:$L$21,2)-HLOOKUP(H958,Magick!$C$20:$L$21,2)),NA())</f>
        <v>#N/A</v>
      </c>
      <c r="J958" s="77"/>
      <c r="K958" s="67">
        <v>4</v>
      </c>
      <c r="L958" s="72" t="str">
        <f>IF(H958&gt;0,Magick!$AR$30-('Master Spell List'!H951*0.1),"N/A")</f>
        <v>N/A</v>
      </c>
      <c r="M958" s="72">
        <f ca="1">Magick!$H$83</f>
        <v>0.08</v>
      </c>
      <c r="N958" s="72">
        <f ca="1">Magick!$K$83</f>
        <v>0.13</v>
      </c>
      <c r="O958" s="72">
        <f ca="1">Magick!$L$83</f>
        <v>0.13</v>
      </c>
      <c r="P958" s="72">
        <f ca="1">Magick!$M$83</f>
        <v>0.13</v>
      </c>
      <c r="Q958" s="67" t="s">
        <v>4603</v>
      </c>
      <c r="R958" s="67">
        <f ca="1">IF(Q958="Ritual","N/A",IF(Q958="I.E.","N/A",IF(Q958="WOG",VLOOKUP(Magick!$I$83*100,magestuff!$B$134:$F$138,2),IF(Q958="Cantrip",VLOOKUP(Magick!$I$83*100,magestuff!$B$134:$F$138,3),IF(Q958="Hex",VLOOKUP(Magick!$I$83*100,magestuff!$B$134:$F$138,4),VLOOKUP(Magick!$I$83*100,magestuff!$B$134:$F$138,5))))))</f>
        <v>9</v>
      </c>
      <c r="S958" s="69" t="str">
        <f>CONCATENATE(IF(Magick!$C$3&gt;0,5+Magick!$C$3," ")," ft.")</f>
        <v xml:space="preserve">  ft.</v>
      </c>
      <c r="T958" s="294" t="str">
        <f>CONCATENATE(IF(Magick!$C$3&gt;0,Magick!$C$3*3," ")," min.")</f>
        <v xml:space="preserve">  min.</v>
      </c>
      <c r="U958" s="67" t="str">
        <f t="shared" si="129"/>
        <v xml:space="preserve"> </v>
      </c>
      <c r="V958" s="515"/>
      <c r="W958" s="125"/>
      <c r="X958" s="31">
        <f t="shared" si="130"/>
        <v>0</v>
      </c>
      <c r="Y958" s="509"/>
      <c r="Z958" s="1054" t="str">
        <f t="shared" si="126"/>
        <v>Lesser Circle of Protection vs Basick Magick - Fire</v>
      </c>
      <c r="AA958" s="1072" t="str">
        <f t="shared" si="127"/>
        <v>Wards</v>
      </c>
    </row>
    <row r="959" spans="1:27" hidden="1" outlineLevel="1">
      <c r="A959" s="31" t="s">
        <v>1930</v>
      </c>
      <c r="B959" s="67">
        <v>2</v>
      </c>
      <c r="C959" s="67">
        <f ca="1">IF(magestuff!$F$211&lt;1,1,magestuff!$F$211)</f>
        <v>2</v>
      </c>
      <c r="D959" s="67">
        <f t="shared" si="128"/>
        <v>0</v>
      </c>
      <c r="E959" s="77">
        <f ca="1">IF(F959="y",HLOOKUP((IF(C959&lt;1,1,C959)),Magick!$C$20:$L$21,2),NA())</f>
        <v>21</v>
      </c>
      <c r="F959" s="67" t="str">
        <f ca="1">IF(C959&lt;=Magick!$D$3,"Y","N")</f>
        <v>Y</v>
      </c>
      <c r="G959" s="148" t="s">
        <v>128</v>
      </c>
      <c r="H959" s="151"/>
      <c r="I959" s="77" t="e">
        <f>IF(H959&gt;0,(HLOOKUP(C959,Magick!$C$20:$L$21,2)-HLOOKUP(H959,Magick!$C$20:$L$21,2)),NA())</f>
        <v>#N/A</v>
      </c>
      <c r="J959" s="77"/>
      <c r="K959" s="67">
        <v>4</v>
      </c>
      <c r="L959" s="72" t="str">
        <f>IF(H959&gt;0,Magick!$AR$30-('Master Spell List'!H949*0.1),"N/A")</f>
        <v>N/A</v>
      </c>
      <c r="M959" s="72">
        <f ca="1">Magick!$H$83</f>
        <v>0.08</v>
      </c>
      <c r="N959" s="72">
        <f ca="1">Magick!$K$83</f>
        <v>0.13</v>
      </c>
      <c r="O959" s="72">
        <f ca="1">Magick!$L$83</f>
        <v>0.13</v>
      </c>
      <c r="P959" s="72">
        <f ca="1">Magick!$M$83</f>
        <v>0.13</v>
      </c>
      <c r="Q959" s="67" t="s">
        <v>4603</v>
      </c>
      <c r="R959" s="67">
        <f ca="1">IF(Q959="Ritual","N/A",IF(Q959="I.E.","N/A",IF(Q959="WOG",VLOOKUP(Magick!$I$83*100,magestuff!$B$134:$F$138,2),IF(Q959="Cantrip",VLOOKUP(Magick!$I$83*100,magestuff!$B$134:$F$138,3),IF(Q959="Hex",VLOOKUP(Magick!$I$83*100,magestuff!$B$134:$F$138,4),VLOOKUP(Magick!$I$83*100,magestuff!$B$134:$F$138,5))))))</f>
        <v>9</v>
      </c>
      <c r="S959" s="69" t="str">
        <f>CONCATENATE(IF(Magick!$C$3&gt;0,5+Magick!$C$3," ")," ft.")</f>
        <v xml:space="preserve">  ft.</v>
      </c>
      <c r="T959" s="294" t="str">
        <f>CONCATENATE(IF(Magick!$C$3&gt;0,Magick!$C$3*3," ")," min.")</f>
        <v xml:space="preserve">  min.</v>
      </c>
      <c r="U959" s="67" t="str">
        <f t="shared" si="129"/>
        <v xml:space="preserve"> </v>
      </c>
      <c r="V959" s="515"/>
      <c r="W959" s="125"/>
      <c r="X959" s="31">
        <f t="shared" si="130"/>
        <v>0</v>
      </c>
      <c r="Y959" s="509"/>
      <c r="Z959" s="1054" t="str">
        <f t="shared" si="126"/>
        <v>Lesser Circle of Protection vs Basick Magick - Water</v>
      </c>
      <c r="AA959" s="1072" t="str">
        <f t="shared" si="127"/>
        <v>Wards</v>
      </c>
    </row>
    <row r="960" spans="1:27" hidden="1" outlineLevel="1">
      <c r="A960" s="31" t="s">
        <v>2352</v>
      </c>
      <c r="B960" s="67">
        <v>2</v>
      </c>
      <c r="C960" s="67">
        <f ca="1">IF(magestuff!$F$211&lt;1,1,magestuff!$F$211)</f>
        <v>2</v>
      </c>
      <c r="D960" s="67">
        <f t="shared" si="128"/>
        <v>0</v>
      </c>
      <c r="E960" s="77">
        <f ca="1">IF(F960="y",HLOOKUP((IF(C960&lt;1,1,C960)),Magick!$C$20:$L$21,2),NA())</f>
        <v>21</v>
      </c>
      <c r="F960" s="67" t="str">
        <f ca="1">IF(C960&lt;=Magick!$D$3,"Y","N")</f>
        <v>Y</v>
      </c>
      <c r="G960" s="148" t="s">
        <v>128</v>
      </c>
      <c r="H960" s="151"/>
      <c r="I960" s="77" t="e">
        <f>IF(H960&gt;0,(HLOOKUP(C960,Magick!$C$20:$L$21,2)-HLOOKUP(H960,Magick!$C$20:$L$21,2)),NA())</f>
        <v>#N/A</v>
      </c>
      <c r="J960" s="77"/>
      <c r="K960" s="67">
        <v>4</v>
      </c>
      <c r="L960" s="72" t="str">
        <f>IF(H960&gt;0,Magick!$AR$30-('Master Spell List'!H953*0.1),"N/A")</f>
        <v>N/A</v>
      </c>
      <c r="M960" s="72">
        <f ca="1">Magick!$H$83</f>
        <v>0.08</v>
      </c>
      <c r="N960" s="72">
        <f ca="1">Magick!$K$83</f>
        <v>0.13</v>
      </c>
      <c r="O960" s="72">
        <f ca="1">Magick!$L$83</f>
        <v>0.13</v>
      </c>
      <c r="P960" s="72">
        <f ca="1">Magick!$M$83</f>
        <v>0.13</v>
      </c>
      <c r="Q960" s="67" t="s">
        <v>4603</v>
      </c>
      <c r="R960" s="67">
        <f ca="1">IF(Q960="Ritual","N/A",IF(Q960="I.E.","N/A",IF(Q960="WOG",VLOOKUP(Magick!$I$83*100,magestuff!$B$134:$F$138,2),IF(Q960="Cantrip",VLOOKUP(Magick!$I$83*100,magestuff!$B$134:$F$138,3),IF(Q960="Hex",VLOOKUP(Magick!$I$83*100,magestuff!$B$134:$F$138,4),VLOOKUP(Magick!$I$83*100,magestuff!$B$134:$F$138,5))))))</f>
        <v>9</v>
      </c>
      <c r="S960" s="69" t="str">
        <f>CONCATENATE(IF(Magick!$C$3&gt;0,5+Magick!$C$3," ")," ft.")</f>
        <v xml:space="preserve">  ft.</v>
      </c>
      <c r="T960" s="294" t="str">
        <f>CONCATENATE(IF(Magick!$C$3&gt;0,Magick!$C$3*3," ")," min.")</f>
        <v xml:space="preserve">  min.</v>
      </c>
      <c r="U960" s="67" t="str">
        <f t="shared" si="129"/>
        <v xml:space="preserve"> </v>
      </c>
      <c r="V960" s="515"/>
      <c r="W960" s="125"/>
      <c r="X960" s="31">
        <f t="shared" si="130"/>
        <v>0</v>
      </c>
      <c r="Y960" s="509"/>
      <c r="Z960" s="1054" t="str">
        <f t="shared" si="126"/>
        <v>Lesser Circle of Protection vs Command</v>
      </c>
      <c r="AA960" s="1072" t="str">
        <f t="shared" si="127"/>
        <v>Wards</v>
      </c>
    </row>
    <row r="961" spans="1:27" hidden="1" outlineLevel="1">
      <c r="A961" s="31" t="s">
        <v>2353</v>
      </c>
      <c r="B961" s="67">
        <v>2</v>
      </c>
      <c r="C961" s="67">
        <f ca="1">IF(magestuff!$F$211&lt;1,1,magestuff!$F$211)</f>
        <v>2</v>
      </c>
      <c r="D961" s="67">
        <f t="shared" si="128"/>
        <v>0</v>
      </c>
      <c r="E961" s="77">
        <f ca="1">IF(F961="y",HLOOKUP((IF(C961&lt;1,1,C961)),Magick!$C$20:$L$21,2),NA())</f>
        <v>21</v>
      </c>
      <c r="F961" s="67" t="str">
        <f ca="1">IF(C961&lt;=Magick!$D$3,"Y","N")</f>
        <v>Y</v>
      </c>
      <c r="G961" s="148" t="s">
        <v>128</v>
      </c>
      <c r="H961" s="151"/>
      <c r="I961" s="77" t="e">
        <f>IF(H961&gt;0,(HLOOKUP(C961,Magick!$C$20:$L$21,2)-HLOOKUP(H961,Magick!$C$20:$L$21,2)),NA())</f>
        <v>#N/A</v>
      </c>
      <c r="J961" s="77"/>
      <c r="K961" s="67">
        <v>4</v>
      </c>
      <c r="L961" s="72" t="str">
        <f>IF(H961&gt;0,Magick!$AR$30-('Master Spell List'!H954*0.1),"N/A")</f>
        <v>N/A</v>
      </c>
      <c r="M961" s="72">
        <f ca="1">Magick!$H$83</f>
        <v>0.08</v>
      </c>
      <c r="N961" s="72">
        <f ca="1">Magick!$K$83</f>
        <v>0.13</v>
      </c>
      <c r="O961" s="72">
        <f ca="1">Magick!$L$83</f>
        <v>0.13</v>
      </c>
      <c r="P961" s="72">
        <f ca="1">Magick!$M$83</f>
        <v>0.13</v>
      </c>
      <c r="Q961" s="67" t="s">
        <v>4603</v>
      </c>
      <c r="R961" s="67">
        <f ca="1">IF(Q961="Ritual","N/A",IF(Q961="I.E.","N/A",IF(Q961="WOG",VLOOKUP(Magick!$I$83*100,magestuff!$B$134:$F$138,2),IF(Q961="Cantrip",VLOOKUP(Magick!$I$83*100,magestuff!$B$134:$F$138,3),IF(Q961="Hex",VLOOKUP(Magick!$I$83*100,magestuff!$B$134:$F$138,4),VLOOKUP(Magick!$I$83*100,magestuff!$B$134:$F$138,5))))))</f>
        <v>9</v>
      </c>
      <c r="S961" s="69" t="str">
        <f>CONCATENATE(IF(Magick!$C$3&gt;0,5+Magick!$C$3," ")," ft.")</f>
        <v xml:space="preserve">  ft.</v>
      </c>
      <c r="T961" s="294" t="str">
        <f>CONCATENATE(IF(Magick!$C$3&gt;0,Magick!$C$3*3," ")," min.")</f>
        <v xml:space="preserve">  min.</v>
      </c>
      <c r="U961" s="67" t="str">
        <f t="shared" si="129"/>
        <v xml:space="preserve"> </v>
      </c>
      <c r="V961" s="515"/>
      <c r="W961" s="125"/>
      <c r="X961" s="31">
        <f t="shared" si="130"/>
        <v>0</v>
      </c>
      <c r="Y961" s="509"/>
      <c r="Z961" s="1054" t="str">
        <f t="shared" si="126"/>
        <v>Lesser Circle of Protection vs Divination</v>
      </c>
      <c r="AA961" s="1072" t="str">
        <f t="shared" si="127"/>
        <v>Wards</v>
      </c>
    </row>
    <row r="962" spans="1:27" hidden="1" outlineLevel="1">
      <c r="A962" s="31" t="s">
        <v>2372</v>
      </c>
      <c r="B962" s="67">
        <v>2</v>
      </c>
      <c r="C962" s="67">
        <f ca="1">IF(magestuff!$F$211&lt;1,1,magestuff!$F$211)</f>
        <v>2</v>
      </c>
      <c r="D962" s="67">
        <f t="shared" si="128"/>
        <v>0</v>
      </c>
      <c r="E962" s="77">
        <f ca="1">IF(F962="y",HLOOKUP((IF(C962&lt;1,1,C962)),Magick!$C$20:$L$21,2),NA())</f>
        <v>21</v>
      </c>
      <c r="F962" s="67" t="str">
        <f ca="1">IF(C962&lt;=Magick!$D$3,"Y","N")</f>
        <v>Y</v>
      </c>
      <c r="G962" s="148" t="s">
        <v>128</v>
      </c>
      <c r="H962" s="151"/>
      <c r="I962" s="77" t="e">
        <f>IF(H962&gt;0,(HLOOKUP(C962,Magick!$C$20:$L$21,2)-HLOOKUP(H962,Magick!$C$20:$L$21,2)),NA())</f>
        <v>#N/A</v>
      </c>
      <c r="J962" s="77"/>
      <c r="K962" s="67">
        <v>4</v>
      </c>
      <c r="L962" s="72" t="str">
        <f>IF(H962&gt;0,Magick!$AR$30-('Master Spell List'!H955*0.1),"N/A")</f>
        <v>N/A</v>
      </c>
      <c r="M962" s="72">
        <f ca="1">Magick!$H$83</f>
        <v>0.08</v>
      </c>
      <c r="N962" s="72">
        <f ca="1">Magick!$K$83</f>
        <v>0.13</v>
      </c>
      <c r="O962" s="72">
        <f ca="1">Magick!$L$83</f>
        <v>0.13</v>
      </c>
      <c r="P962" s="72">
        <f ca="1">Magick!$M$83</f>
        <v>0.13</v>
      </c>
      <c r="Q962" s="67" t="s">
        <v>4603</v>
      </c>
      <c r="R962" s="67">
        <f ca="1">IF(Q962="Ritual","N/A",IF(Q962="I.E.","N/A",IF(Q962="WOG",VLOOKUP(Magick!$I$83*100,magestuff!$B$134:$F$138,2),IF(Q962="Cantrip",VLOOKUP(Magick!$I$83*100,magestuff!$B$134:$F$138,3),IF(Q962="Hex",VLOOKUP(Magick!$I$83*100,magestuff!$B$134:$F$138,4),VLOOKUP(Magick!$I$83*100,magestuff!$B$134:$F$138,5))))))</f>
        <v>9</v>
      </c>
      <c r="S962" s="69" t="str">
        <f>CONCATENATE(IF(Magick!$C$3&gt;0,5+Magick!$C$3," ")," ft.")</f>
        <v xml:space="preserve">  ft.</v>
      </c>
      <c r="T962" s="294" t="str">
        <f>CONCATENATE(IF(Magick!$C$3&gt;0,Magick!$C$3*3," ")," min.")</f>
        <v xml:space="preserve">  min.</v>
      </c>
      <c r="U962" s="67" t="str">
        <f t="shared" si="129"/>
        <v xml:space="preserve"> </v>
      </c>
      <c r="V962" s="515"/>
      <c r="W962" s="125"/>
      <c r="X962" s="31">
        <f t="shared" si="130"/>
        <v>0</v>
      </c>
      <c r="Y962" s="509"/>
      <c r="Z962" s="1054" t="str">
        <f t="shared" ref="Z962:Z1025" si="131">A962</f>
        <v>Lesser Circle of Protection vs Illusion</v>
      </c>
      <c r="AA962" s="1072" t="str">
        <f t="shared" si="127"/>
        <v>Wards</v>
      </c>
    </row>
    <row r="963" spans="1:27" hidden="1" outlineLevel="1">
      <c r="A963" s="31" t="s">
        <v>5353</v>
      </c>
      <c r="B963" s="67">
        <v>2</v>
      </c>
      <c r="C963" s="67">
        <f ca="1">IF(magestuff!$F$211&lt;1,1,magestuff!$F$211)</f>
        <v>2</v>
      </c>
      <c r="D963" s="67">
        <f t="shared" si="128"/>
        <v>0</v>
      </c>
      <c r="E963" s="77">
        <f ca="1">IF(F963="y",HLOOKUP((IF(C963&lt;1,1,C963)),Magick!$C$20:$L$21,2),NA())</f>
        <v>21</v>
      </c>
      <c r="F963" s="67" t="str">
        <f ca="1">IF(C963&lt;=Magick!$D$3,"Y","N")</f>
        <v>Y</v>
      </c>
      <c r="G963" s="148" t="s">
        <v>128</v>
      </c>
      <c r="H963" s="151"/>
      <c r="I963" s="77" t="e">
        <f>IF(H963&gt;0,(HLOOKUP(C963,Magick!$C$20:$L$21,2)-HLOOKUP(H963,Magick!$C$20:$L$21,2)),NA())</f>
        <v>#N/A</v>
      </c>
      <c r="J963" s="77"/>
      <c r="K963" s="67">
        <v>4</v>
      </c>
      <c r="L963" s="72" t="str">
        <f>IF(H963&gt;0,Magick!$AR$30-('Master Spell List'!H959*0.1),"N/A")</f>
        <v>N/A</v>
      </c>
      <c r="M963" s="72">
        <f ca="1">Magick!$H$83</f>
        <v>0.08</v>
      </c>
      <c r="N963" s="72">
        <f ca="1">Magick!$K$83</f>
        <v>0.13</v>
      </c>
      <c r="O963" s="72">
        <f ca="1">Magick!$L$83</f>
        <v>0.13</v>
      </c>
      <c r="P963" s="72">
        <f ca="1">Magick!$M$83</f>
        <v>0.13</v>
      </c>
      <c r="Q963" s="67" t="s">
        <v>4603</v>
      </c>
      <c r="R963" s="67">
        <f ca="1">IF(Q963="Ritual","N/A",IF(Q963="I.E.","N/A",IF(Q963="WOG",VLOOKUP(Magick!$I$83*100,magestuff!$B$134:$F$138,2),IF(Q963="Cantrip",VLOOKUP(Magick!$I$83*100,magestuff!$B$134:$F$138,3),IF(Q963="Hex",VLOOKUP(Magick!$I$83*100,magestuff!$B$134:$F$138,4),VLOOKUP(Magick!$I$83*100,magestuff!$B$134:$F$138,5))))))</f>
        <v>9</v>
      </c>
      <c r="S963" s="69" t="str">
        <f>CONCATENATE(IF(Magick!$C$3&gt;0,5+Magick!$C$3," ")," ft.")</f>
        <v xml:space="preserve">  ft.</v>
      </c>
      <c r="T963" s="294" t="str">
        <f>CONCATENATE(IF(Magick!$C$3&gt;0,Magick!$C$3*3," ")," min.")</f>
        <v xml:space="preserve">  min.</v>
      </c>
      <c r="U963" s="67" t="str">
        <f t="shared" si="129"/>
        <v xml:space="preserve"> </v>
      </c>
      <c r="V963" s="515"/>
      <c r="W963" s="125"/>
      <c r="X963" s="31">
        <f t="shared" si="130"/>
        <v>0</v>
      </c>
      <c r="Y963" s="509"/>
      <c r="Z963" s="1054" t="str">
        <f t="shared" si="131"/>
        <v>Lesser Circle of Protection vs Lycanthropes</v>
      </c>
      <c r="AA963" s="1072" t="str">
        <f t="shared" ref="AA963:AA1026" si="132">IF(ISNUMBER(MATCH($Z963,Spell_Methods,0)),$Z963,$AA962)</f>
        <v>Wards</v>
      </c>
    </row>
    <row r="964" spans="1:27" hidden="1" outlineLevel="1">
      <c r="A964" s="31" t="s">
        <v>827</v>
      </c>
      <c r="B964" s="67">
        <v>2</v>
      </c>
      <c r="C964" s="67">
        <f ca="1">IF(magestuff!$F$211&lt;1,1,magestuff!$F$211)</f>
        <v>2</v>
      </c>
      <c r="D964" s="67">
        <f t="shared" si="128"/>
        <v>0</v>
      </c>
      <c r="E964" s="77">
        <f ca="1">IF(F964="y",HLOOKUP((IF(C964&lt;1,1,C964)),Magick!$C$20:$L$21,2),NA())</f>
        <v>21</v>
      </c>
      <c r="F964" s="67" t="str">
        <f ca="1">IF(C964&lt;=Magick!$D$3,"Y","N")</f>
        <v>Y</v>
      </c>
      <c r="G964" s="148" t="s">
        <v>128</v>
      </c>
      <c r="H964" s="151"/>
      <c r="I964" s="77" t="e">
        <f>IF(H964&gt;0,(HLOOKUP(C964,Magick!$C$20:$L$21,2)-HLOOKUP(H964,Magick!$C$20:$L$21,2)),NA())</f>
        <v>#N/A</v>
      </c>
      <c r="J964" s="77"/>
      <c r="K964" s="67">
        <v>4</v>
      </c>
      <c r="L964" s="72" t="str">
        <f>IF(H964&gt;0,Magick!$AR$30-('Master Spell List'!H956*0.1),"N/A")</f>
        <v>N/A</v>
      </c>
      <c r="M964" s="72">
        <f ca="1">Magick!$H$83</f>
        <v>0.08</v>
      </c>
      <c r="N964" s="72">
        <f ca="1">Magick!$K$83</f>
        <v>0.13</v>
      </c>
      <c r="O964" s="72">
        <f ca="1">Magick!$L$83</f>
        <v>0.13</v>
      </c>
      <c r="P964" s="72">
        <f ca="1">Magick!$M$83</f>
        <v>0.13</v>
      </c>
      <c r="Q964" s="67" t="s">
        <v>4603</v>
      </c>
      <c r="R964" s="67">
        <f ca="1">IF(Q964="Ritual","N/A",IF(Q964="I.E.","N/A",IF(Q964="WOG",VLOOKUP(Magick!$I$83*100,magestuff!$B$134:$F$138,2),IF(Q964="Cantrip",VLOOKUP(Magick!$I$83*100,magestuff!$B$134:$F$138,3),IF(Q964="Hex",VLOOKUP(Magick!$I$83*100,magestuff!$B$134:$F$138,4),VLOOKUP(Magick!$I$83*100,magestuff!$B$134:$F$138,5))))))</f>
        <v>9</v>
      </c>
      <c r="S964" s="69" t="str">
        <f>CONCATENATE(IF(Magick!$C$3&gt;0,5+Magick!$C$3," ")," ft.")</f>
        <v xml:space="preserve">  ft.</v>
      </c>
      <c r="T964" s="294" t="str">
        <f>CONCATENATE(IF(Magick!$C$3&gt;0,Magick!$C$3*3," ")," min.")</f>
        <v xml:space="preserve">  min.</v>
      </c>
      <c r="U964" s="67" t="str">
        <f t="shared" si="129"/>
        <v xml:space="preserve"> </v>
      </c>
      <c r="V964" s="515"/>
      <c r="W964" s="125"/>
      <c r="X964" s="31">
        <f t="shared" si="130"/>
        <v>0</v>
      </c>
      <c r="Y964" s="509"/>
      <c r="Z964" s="1054" t="str">
        <f t="shared" si="131"/>
        <v>Lesser Circle of Protection vs Plant</v>
      </c>
      <c r="AA964" s="1072" t="str">
        <f t="shared" si="132"/>
        <v>Wards</v>
      </c>
    </row>
    <row r="965" spans="1:27" hidden="1" outlineLevel="1">
      <c r="A965" s="31" t="s">
        <v>828</v>
      </c>
      <c r="B965" s="67">
        <v>2</v>
      </c>
      <c r="C965" s="67">
        <f ca="1">IF(magestuff!$F$211&lt;1,1,magestuff!$F$211)</f>
        <v>2</v>
      </c>
      <c r="D965" s="67">
        <f t="shared" si="128"/>
        <v>0</v>
      </c>
      <c r="E965" s="77">
        <f ca="1">IF(F965="y",HLOOKUP((IF(C965&lt;1,1,C965)),Magick!$C$20:$L$21,2),NA())</f>
        <v>21</v>
      </c>
      <c r="F965" s="67" t="str">
        <f ca="1">IF(C965&lt;=Magick!$D$3,"Y","N")</f>
        <v>Y</v>
      </c>
      <c r="G965" s="148" t="s">
        <v>128</v>
      </c>
      <c r="H965" s="151"/>
      <c r="I965" s="77" t="e">
        <f>IF(H965&gt;0,(HLOOKUP(C965,Magick!$C$20:$L$21,2)-HLOOKUP(H965,Magick!$C$20:$L$21,2)),NA())</f>
        <v>#N/A</v>
      </c>
      <c r="J965" s="77"/>
      <c r="K965" s="67">
        <v>4</v>
      </c>
      <c r="L965" s="72" t="str">
        <f>IF(H965&gt;0,Magick!$AR$30-('Master Spell List'!H957*0.1),"N/A")</f>
        <v>N/A</v>
      </c>
      <c r="M965" s="72">
        <f ca="1">Magick!$H$83</f>
        <v>0.08</v>
      </c>
      <c r="N965" s="72">
        <f ca="1">Magick!$K$83</f>
        <v>0.13</v>
      </c>
      <c r="O965" s="72">
        <f ca="1">Magick!$L$83</f>
        <v>0.13</v>
      </c>
      <c r="P965" s="72">
        <f ca="1">Magick!$M$83</f>
        <v>0.13</v>
      </c>
      <c r="Q965" s="67" t="s">
        <v>4603</v>
      </c>
      <c r="R965" s="67">
        <f ca="1">IF(Q965="Ritual","N/A",IF(Q965="I.E.","N/A",IF(Q965="WOG",VLOOKUP(Magick!$I$83*100,magestuff!$B$134:$F$138,2),IF(Q965="Cantrip",VLOOKUP(Magick!$I$83*100,magestuff!$B$134:$F$138,3),IF(Q965="Hex",VLOOKUP(Magick!$I$83*100,magestuff!$B$134:$F$138,4),VLOOKUP(Magick!$I$83*100,magestuff!$B$134:$F$138,5))))))</f>
        <v>9</v>
      </c>
      <c r="S965" s="69" t="str">
        <f>CONCATENATE(IF(Magick!$C$3&gt;0,5+Magick!$C$3," ")," ft.")</f>
        <v xml:space="preserve">  ft.</v>
      </c>
      <c r="T965" s="294" t="str">
        <f>CONCATENATE(IF(Magick!$C$3&gt;0,Magick!$C$3*3," ")," min.")</f>
        <v xml:space="preserve">  min.</v>
      </c>
      <c r="U965" s="67" t="str">
        <f t="shared" si="129"/>
        <v xml:space="preserve"> </v>
      </c>
      <c r="V965" s="515"/>
      <c r="W965" s="125"/>
      <c r="X965" s="31">
        <f t="shared" si="130"/>
        <v>0</v>
      </c>
      <c r="Y965" s="509"/>
      <c r="Z965" s="1054" t="str">
        <f t="shared" si="131"/>
        <v>Lesser Circle of Protection vs Transcendental</v>
      </c>
      <c r="AA965" s="1072" t="str">
        <f t="shared" si="132"/>
        <v>Wards</v>
      </c>
    </row>
    <row r="966" spans="1:27" hidden="1" outlineLevel="1">
      <c r="A966" s="31" t="s">
        <v>5352</v>
      </c>
      <c r="B966" s="67">
        <v>2</v>
      </c>
      <c r="C966" s="67">
        <f ca="1">IF(magestuff!$F$211&lt;1,1,magestuff!$F$211)</f>
        <v>2</v>
      </c>
      <c r="D966" s="67">
        <f t="shared" si="128"/>
        <v>0</v>
      </c>
      <c r="E966" s="77">
        <f ca="1">IF(F966="y",HLOOKUP((IF(C966&lt;1,1,C966)),Magick!$C$20:$L$21,2),NA())</f>
        <v>21</v>
      </c>
      <c r="F966" s="67" t="str">
        <f ca="1">IF(C966&lt;=Magick!$D$3,"Y","N")</f>
        <v>Y</v>
      </c>
      <c r="G966" s="148" t="s">
        <v>128</v>
      </c>
      <c r="H966" s="151"/>
      <c r="I966" s="77" t="e">
        <f>IF(H966&gt;0,(HLOOKUP(C966,Magick!$C$20:$L$21,2)-HLOOKUP(H966,Magick!$C$20:$L$21,2)),NA())</f>
        <v>#N/A</v>
      </c>
      <c r="J966" s="77"/>
      <c r="K966" s="67">
        <v>4</v>
      </c>
      <c r="L966" s="72" t="str">
        <f>IF(H966&gt;0,Magick!$AR$30-('Master Spell List'!H958*0.1),"N/A")</f>
        <v>N/A</v>
      </c>
      <c r="M966" s="72">
        <f ca="1">Magick!$H$83</f>
        <v>0.08</v>
      </c>
      <c r="N966" s="72">
        <f ca="1">Magick!$K$83</f>
        <v>0.13</v>
      </c>
      <c r="O966" s="72">
        <f ca="1">Magick!$L$83</f>
        <v>0.13</v>
      </c>
      <c r="P966" s="72">
        <f ca="1">Magick!$M$83</f>
        <v>0.13</v>
      </c>
      <c r="Q966" s="67" t="s">
        <v>4603</v>
      </c>
      <c r="R966" s="67">
        <f ca="1">IF(Q966="Ritual","N/A",IF(Q966="I.E.","N/A",IF(Q966="WOG",VLOOKUP(Magick!$I$83*100,magestuff!$B$134:$F$138,2),IF(Q966="Cantrip",VLOOKUP(Magick!$I$83*100,magestuff!$B$134:$F$138,3),IF(Q966="Hex",VLOOKUP(Magick!$I$83*100,magestuff!$B$134:$F$138,4),VLOOKUP(Magick!$I$83*100,magestuff!$B$134:$F$138,5))))))</f>
        <v>9</v>
      </c>
      <c r="S966" s="69" t="str">
        <f>CONCATENATE(IF(Magick!$C$3&gt;0,5+Magick!$C$3," ")," ft.")</f>
        <v xml:space="preserve">  ft.</v>
      </c>
      <c r="T966" s="294" t="str">
        <f>CONCATENATE(IF(Magick!$C$3&gt;0,Magick!$C$3*3," ")," min.")</f>
        <v xml:space="preserve">  min.</v>
      </c>
      <c r="U966" s="67" t="str">
        <f t="shared" si="129"/>
        <v xml:space="preserve"> </v>
      </c>
      <c r="V966" s="515"/>
      <c r="W966" s="125"/>
      <c r="X966" s="31">
        <f t="shared" si="130"/>
        <v>0</v>
      </c>
      <c r="Y966" s="509"/>
      <c r="Z966" s="1054" t="str">
        <f t="shared" si="131"/>
        <v>Lesser Circle of Protection vs Transmutational</v>
      </c>
      <c r="AA966" s="1072" t="str">
        <f t="shared" si="132"/>
        <v>Wards</v>
      </c>
    </row>
    <row r="967" spans="1:27" hidden="1" outlineLevel="1">
      <c r="A967" s="31" t="s">
        <v>1471</v>
      </c>
      <c r="B967" s="67">
        <v>2</v>
      </c>
      <c r="C967" s="67">
        <f ca="1">IF(magestuff!$F$211&lt;1,1,magestuff!$F$211)</f>
        <v>2</v>
      </c>
      <c r="D967" s="67">
        <f t="shared" si="128"/>
        <v>0</v>
      </c>
      <c r="E967" s="77">
        <f ca="1">IF(F967="y",HLOOKUP((IF(C967&lt;1,1,C967)),Magick!$C$20:$L$21,2),NA())</f>
        <v>21</v>
      </c>
      <c r="F967" s="67" t="str">
        <f ca="1">IF(C967&lt;=Magick!$D$3,"Y","N")</f>
        <v>Y</v>
      </c>
      <c r="G967" s="148" t="s">
        <v>128</v>
      </c>
      <c r="H967" s="151"/>
      <c r="I967" s="77" t="e">
        <f>IF(H967&gt;0,(HLOOKUP(C967,Magick!$C$20:$L$21,2)-HLOOKUP(H967,Magick!$C$20:$L$21,2)),NA())</f>
        <v>#N/A</v>
      </c>
      <c r="J967" s="77"/>
      <c r="K967" s="67">
        <v>4</v>
      </c>
      <c r="L967" s="72" t="str">
        <f>IF(H967&gt;0,Magick!$AR$30-('Master Spell List'!H960*0.1),"N/A")</f>
        <v>N/A</v>
      </c>
      <c r="M967" s="72">
        <f ca="1">Magick!$H$83</f>
        <v>0.08</v>
      </c>
      <c r="N967" s="72">
        <f ca="1">Magick!$K$83</f>
        <v>0.13</v>
      </c>
      <c r="O967" s="72">
        <f ca="1">Magick!$L$83</f>
        <v>0.13</v>
      </c>
      <c r="P967" s="72">
        <f ca="1">Magick!$M$83</f>
        <v>0.13</v>
      </c>
      <c r="Q967" s="67" t="s">
        <v>4603</v>
      </c>
      <c r="R967" s="67">
        <f ca="1">IF(Q967="Ritual","N/A",IF(Q967="I.E.","N/A",IF(Q967="WOG",VLOOKUP(Magick!$I$83*100,magestuff!$B$134:$F$138,2),IF(Q967="Cantrip",VLOOKUP(Magick!$I$83*100,magestuff!$B$134:$F$138,3),IF(Q967="Hex",VLOOKUP(Magick!$I$83*100,magestuff!$B$134:$F$138,4),VLOOKUP(Magick!$I$83*100,magestuff!$B$134:$F$138,5))))))</f>
        <v>9</v>
      </c>
      <c r="S967" s="69" t="str">
        <f>CONCATENATE(IF(Magick!$C$3&gt;0,5+Magick!$C$3," ")," ft.")</f>
        <v xml:space="preserve">  ft.</v>
      </c>
      <c r="T967" s="294" t="str">
        <f>CONCATENATE(IF(Magick!$C$3&gt;0,Magick!$C$3*3," ")," min.")</f>
        <v xml:space="preserve">  min.</v>
      </c>
      <c r="U967" s="67" t="str">
        <f t="shared" si="129"/>
        <v xml:space="preserve"> </v>
      </c>
      <c r="V967" s="515"/>
      <c r="W967" s="125"/>
      <c r="X967" s="31">
        <f t="shared" si="130"/>
        <v>0</v>
      </c>
      <c r="Y967" s="509"/>
      <c r="Z967" s="1054" t="str">
        <f t="shared" si="131"/>
        <v>Lesser Circle of Protection vs Undead</v>
      </c>
      <c r="AA967" s="1072" t="str">
        <f t="shared" si="132"/>
        <v>Wards</v>
      </c>
    </row>
    <row r="968" spans="1:27" hidden="1" outlineLevel="1">
      <c r="A968" s="83" t="s">
        <v>1693</v>
      </c>
      <c r="B968" s="67">
        <v>2</v>
      </c>
      <c r="C968" s="67">
        <f ca="1">IF(magestuff!$F$211&lt;1,1,magestuff!$F$211)</f>
        <v>2</v>
      </c>
      <c r="D968" s="67">
        <f t="shared" si="128"/>
        <v>0</v>
      </c>
      <c r="E968" s="77">
        <f ca="1">IF(F968="y",HLOOKUP((IF(C968&lt;1,1,C968)),Magick!$C$20:$L$21,2),NA())</f>
        <v>21</v>
      </c>
      <c r="F968" s="67" t="str">
        <f ca="1">IF(C968&lt;=Magick!$D$3,"Y","N")</f>
        <v>Y</v>
      </c>
      <c r="G968" s="148" t="s">
        <v>1617</v>
      </c>
      <c r="H968" s="151"/>
      <c r="I968" s="77" t="e">
        <f>IF(H968&gt;0,(HLOOKUP(C968,Magick!$C$20:$L$21,2)-HLOOKUP(H968,Magick!$C$20:$L$21,2)),NA())</f>
        <v>#N/A</v>
      </c>
      <c r="J968" s="77"/>
      <c r="K968" s="67">
        <v>4</v>
      </c>
      <c r="L968" s="72" t="str">
        <f>IF(H968&gt;0,Magick!$AR$30-('Master Spell List'!H990*0.1),"N/A")</f>
        <v>N/A</v>
      </c>
      <c r="M968" s="72">
        <f ca="1">Magick!$H$83</f>
        <v>0.08</v>
      </c>
      <c r="N968" s="72">
        <f ca="1">Magick!$K$83</f>
        <v>0.13</v>
      </c>
      <c r="O968" s="72">
        <f ca="1">Magick!$L$83</f>
        <v>0.13</v>
      </c>
      <c r="P968" s="72">
        <f ca="1">Magick!$M$83</f>
        <v>0.13</v>
      </c>
      <c r="Q968" s="67" t="s">
        <v>4603</v>
      </c>
      <c r="R968" s="67">
        <f ca="1">IF(Q968="Ritual","N/A",IF(Q968="I.E.","N/A",IF(Q968="WOG",VLOOKUP(Magick!$I$83*100,magestuff!$B$134:$F$138,2),IF(Q968="Cantrip",VLOOKUP(Magick!$I$83*100,magestuff!$B$134:$F$138,3),IF(Q968="Hex",VLOOKUP(Magick!$I$83*100,magestuff!$B$134:$F$138,4),VLOOKUP(Magick!$I$83*100,magestuff!$B$134:$F$138,5))))))</f>
        <v>9</v>
      </c>
      <c r="S968" s="69" t="str">
        <f>CONCATENATE(IF(Magick!$C$3&gt;0,5+Magick!$C$3," ")," ft.")</f>
        <v xml:space="preserve">  ft.</v>
      </c>
      <c r="T968" s="294" t="str">
        <f>CONCATENATE(IF(Magick!$C$3&gt;0,Magick!$C$3*3," ")," min.")</f>
        <v xml:space="preserve">  min.</v>
      </c>
      <c r="U968" s="67" t="str">
        <f t="shared" si="129"/>
        <v xml:space="preserve"> </v>
      </c>
      <c r="V968" s="515"/>
      <c r="W968" s="125"/>
      <c r="X968" s="31">
        <f t="shared" si="130"/>
        <v>0</v>
      </c>
      <c r="Y968" s="509"/>
      <c r="Z968" s="1054" t="str">
        <f t="shared" si="131"/>
        <v>Lesser Circle of Warning</v>
      </c>
      <c r="AA968" s="1072" t="str">
        <f t="shared" si="132"/>
        <v>Wards</v>
      </c>
    </row>
    <row r="969" spans="1:27" hidden="1" outlineLevel="1">
      <c r="A969" s="31" t="s">
        <v>239</v>
      </c>
      <c r="B969" s="67">
        <v>2</v>
      </c>
      <c r="C969" s="67">
        <f ca="1">IF(magestuff!$F$211&lt;1,1,magestuff!$F$211)</f>
        <v>2</v>
      </c>
      <c r="D969" s="67">
        <f t="shared" si="128"/>
        <v>0</v>
      </c>
      <c r="E969" s="77">
        <f ca="1">IF(F969="y",HLOOKUP((IF(C969&lt;1,1,C969)),Magick!$C$20:$L$21,2),NA())</f>
        <v>21</v>
      </c>
      <c r="F969" s="67" t="str">
        <f ca="1">IF(C969&lt;=Magick!$D$3,"Y","N")</f>
        <v>Y</v>
      </c>
      <c r="G969" s="148" t="s">
        <v>128</v>
      </c>
      <c r="H969" s="151"/>
      <c r="I969" s="77" t="e">
        <f>IF(H969&gt;0,(HLOOKUP(C969,Magick!$C$20:$L$21,2)-HLOOKUP(H969,Magick!$C$20:$L$21,2)),NA())</f>
        <v>#N/A</v>
      </c>
      <c r="J969" s="77"/>
      <c r="K969" s="67">
        <v>4</v>
      </c>
      <c r="L969" s="72" t="str">
        <f>IF(H969&gt;0,Magick!$AR$30-('Master Spell List'!H969*0.1),"N/A")</f>
        <v>N/A</v>
      </c>
      <c r="M969" s="72">
        <f ca="1">Magick!$H$83</f>
        <v>0.08</v>
      </c>
      <c r="N969" s="72">
        <f ca="1">Magick!$K$83</f>
        <v>0.13</v>
      </c>
      <c r="O969" s="72">
        <f ca="1">Magick!$L$83</f>
        <v>0.13</v>
      </c>
      <c r="P969" s="72">
        <f ca="1">Magick!$M$83</f>
        <v>0.13</v>
      </c>
      <c r="Q969" s="67" t="s">
        <v>4603</v>
      </c>
      <c r="R969" s="67">
        <f ca="1">IF(Q969="Ritual","N/A",IF(Q969="I.E.","N/A",IF(Q969="WOG",VLOOKUP(Magick!$I$83*100,magestuff!$B$134:$F$138,2),IF(Q969="Cantrip",VLOOKUP(Magick!$I$83*100,magestuff!$B$134:$F$138,3),IF(Q969="Hex",VLOOKUP(Magick!$I$83*100,magestuff!$B$134:$F$138,4),VLOOKUP(Magick!$I$83*100,magestuff!$B$134:$F$138,5))))))</f>
        <v>9</v>
      </c>
      <c r="S969" s="314" t="s">
        <v>3263</v>
      </c>
      <c r="T969" s="294" t="str">
        <f>CONCATENATE(IF(Magick!$C$3&gt;0,45+Magick!$C$3*3," ")," sec.")</f>
        <v xml:space="preserve">  sec.</v>
      </c>
      <c r="U969" s="67" t="str">
        <f t="shared" si="129"/>
        <v xml:space="preserve"> </v>
      </c>
      <c r="V969" s="515"/>
      <c r="W969" s="125"/>
      <c r="X969" s="31">
        <f t="shared" si="130"/>
        <v>0</v>
      </c>
      <c r="Y969" s="509"/>
      <c r="Z969" s="1054" t="str">
        <f t="shared" si="131"/>
        <v>Lesser Ward of Protection vs Arcane</v>
      </c>
      <c r="AA969" s="1072" t="str">
        <f t="shared" si="132"/>
        <v>Wards</v>
      </c>
    </row>
    <row r="970" spans="1:27" hidden="1" outlineLevel="1">
      <c r="A970" s="31" t="s">
        <v>235</v>
      </c>
      <c r="B970" s="67">
        <v>2</v>
      </c>
      <c r="C970" s="67">
        <f ca="1">IF(magestuff!$F$211&lt;1,1,magestuff!$F$211)</f>
        <v>2</v>
      </c>
      <c r="D970" s="67">
        <f t="shared" si="128"/>
        <v>0</v>
      </c>
      <c r="E970" s="77">
        <f ca="1">IF(F970="y",HLOOKUP((IF(C970&lt;1,1,C970)),Magick!$C$20:$L$21,2),NA())</f>
        <v>21</v>
      </c>
      <c r="F970" s="67" t="str">
        <f ca="1">IF(C970&lt;=Magick!$D$3,"Y","N")</f>
        <v>Y</v>
      </c>
      <c r="G970" s="148" t="s">
        <v>128</v>
      </c>
      <c r="H970" s="151"/>
      <c r="I970" s="77" t="e">
        <f>IF(H970&gt;0,(HLOOKUP(C970,Magick!$C$20:$L$21,2)-HLOOKUP(H970,Magick!$C$20:$L$21,2)),NA())</f>
        <v>#N/A</v>
      </c>
      <c r="J970" s="77"/>
      <c r="K970" s="67">
        <v>4</v>
      </c>
      <c r="L970" s="72" t="str">
        <f>IF(H970&gt;0,Magick!$AR$30-('Master Spell List'!H965*0.1),"N/A")</f>
        <v>N/A</v>
      </c>
      <c r="M970" s="72">
        <f ca="1">Magick!$H$83</f>
        <v>0.08</v>
      </c>
      <c r="N970" s="72">
        <f ca="1">Magick!$K$83</f>
        <v>0.13</v>
      </c>
      <c r="O970" s="72">
        <f ca="1">Magick!$L$83</f>
        <v>0.13</v>
      </c>
      <c r="P970" s="72">
        <f ca="1">Magick!$M$83</f>
        <v>0.13</v>
      </c>
      <c r="Q970" s="67" t="s">
        <v>4603</v>
      </c>
      <c r="R970" s="67">
        <f ca="1">IF(Q970="Ritual","N/A",IF(Q970="I.E.","N/A",IF(Q970="WOG",VLOOKUP(Magick!$I$83*100,magestuff!$B$134:$F$138,2),IF(Q970="Cantrip",VLOOKUP(Magick!$I$83*100,magestuff!$B$134:$F$138,3),IF(Q970="Hex",VLOOKUP(Magick!$I$83*100,magestuff!$B$134:$F$138,4),VLOOKUP(Magick!$I$83*100,magestuff!$B$134:$F$138,5))))))</f>
        <v>9</v>
      </c>
      <c r="S970" s="314" t="s">
        <v>3263</v>
      </c>
      <c r="T970" s="294" t="str">
        <f>CONCATENATE(IF(Magick!$C$3&gt;0,45+Magick!$C$3*3," ")," sec.")</f>
        <v xml:space="preserve">  sec.</v>
      </c>
      <c r="U970" s="67" t="str">
        <f t="shared" si="129"/>
        <v xml:space="preserve"> </v>
      </c>
      <c r="V970" s="515"/>
      <c r="W970" s="125"/>
      <c r="X970" s="31">
        <f t="shared" si="130"/>
        <v>0</v>
      </c>
      <c r="Y970" s="509"/>
      <c r="Z970" s="1054" t="str">
        <f t="shared" si="131"/>
        <v>Lesser Ward of Protection vs Basick Magick - Air</v>
      </c>
      <c r="AA970" s="1072" t="str">
        <f t="shared" si="132"/>
        <v>Wards</v>
      </c>
    </row>
    <row r="971" spans="1:27" hidden="1" outlineLevel="1">
      <c r="A971" s="31" t="s">
        <v>237</v>
      </c>
      <c r="B971" s="67">
        <v>2</v>
      </c>
      <c r="C971" s="67">
        <f ca="1">IF(magestuff!$F$211&lt;1,1,magestuff!$F$211)</f>
        <v>2</v>
      </c>
      <c r="D971" s="67">
        <f t="shared" si="128"/>
        <v>0</v>
      </c>
      <c r="E971" s="77">
        <f ca="1">IF(F971="y",HLOOKUP((IF(C971&lt;1,1,C971)),Magick!$C$20:$L$21,2),NA())</f>
        <v>21</v>
      </c>
      <c r="F971" s="67" t="str">
        <f ca="1">IF(C971&lt;=Magick!$D$3,"Y","N")</f>
        <v>Y</v>
      </c>
      <c r="G971" s="148" t="s">
        <v>128</v>
      </c>
      <c r="H971" s="151"/>
      <c r="I971" s="77" t="e">
        <f>IF(H971&gt;0,(HLOOKUP(C971,Magick!$C$20:$L$21,2)-HLOOKUP(H971,Magick!$C$20:$L$21,2)),NA())</f>
        <v>#N/A</v>
      </c>
      <c r="J971" s="77"/>
      <c r="K971" s="67">
        <v>4</v>
      </c>
      <c r="L971" s="72" t="str">
        <f>IF(H971&gt;0,Magick!$AR$30-('Master Spell List'!H967*0.1),"N/A")</f>
        <v>N/A</v>
      </c>
      <c r="M971" s="72">
        <f ca="1">Magick!$H$83</f>
        <v>0.08</v>
      </c>
      <c r="N971" s="72">
        <f ca="1">Magick!$K$83</f>
        <v>0.13</v>
      </c>
      <c r="O971" s="72">
        <f ca="1">Magick!$L$83</f>
        <v>0.13</v>
      </c>
      <c r="P971" s="72">
        <f ca="1">Magick!$M$83</f>
        <v>0.13</v>
      </c>
      <c r="Q971" s="67" t="s">
        <v>4603</v>
      </c>
      <c r="R971" s="67">
        <f ca="1">IF(Q971="Ritual","N/A",IF(Q971="I.E.","N/A",IF(Q971="WOG",VLOOKUP(Magick!$I$83*100,magestuff!$B$134:$F$138,2),IF(Q971="Cantrip",VLOOKUP(Magick!$I$83*100,magestuff!$B$134:$F$138,3),IF(Q971="Hex",VLOOKUP(Magick!$I$83*100,magestuff!$B$134:$F$138,4),VLOOKUP(Magick!$I$83*100,magestuff!$B$134:$F$138,5))))))</f>
        <v>9</v>
      </c>
      <c r="S971" s="314" t="s">
        <v>3263</v>
      </c>
      <c r="T971" s="294" t="str">
        <f>CONCATENATE(IF(Magick!$C$3&gt;0,45+Magick!$C$3*3," ")," sec.")</f>
        <v xml:space="preserve">  sec.</v>
      </c>
      <c r="U971" s="67" t="str">
        <f t="shared" si="129"/>
        <v xml:space="preserve"> </v>
      </c>
      <c r="V971" s="515"/>
      <c r="W971" s="125"/>
      <c r="X971" s="31">
        <f t="shared" si="130"/>
        <v>0</v>
      </c>
      <c r="Y971" s="509"/>
      <c r="Z971" s="1054" t="str">
        <f t="shared" si="131"/>
        <v>Lesser Ward of Protection vs Basick Magick - Earth</v>
      </c>
      <c r="AA971" s="1072" t="str">
        <f t="shared" si="132"/>
        <v>Wards</v>
      </c>
    </row>
    <row r="972" spans="1:27" hidden="1" outlineLevel="1">
      <c r="A972" s="31" t="s">
        <v>238</v>
      </c>
      <c r="B972" s="67">
        <v>2</v>
      </c>
      <c r="C972" s="67">
        <f ca="1">IF(magestuff!$F$211&lt;1,1,magestuff!$F$211)</f>
        <v>2</v>
      </c>
      <c r="D972" s="67">
        <f t="shared" si="128"/>
        <v>0</v>
      </c>
      <c r="E972" s="77">
        <f ca="1">IF(F972="y",HLOOKUP((IF(C972&lt;1,1,C972)),Magick!$C$20:$L$21,2),NA())</f>
        <v>21</v>
      </c>
      <c r="F972" s="67" t="str">
        <f ca="1">IF(C972&lt;=Magick!$D$3,"Y","N")</f>
        <v>Y</v>
      </c>
      <c r="G972" s="148" t="s">
        <v>128</v>
      </c>
      <c r="H972" s="151"/>
      <c r="I972" s="77" t="e">
        <f>IF(H972&gt;0,(HLOOKUP(C972,Magick!$C$20:$L$21,2)-HLOOKUP(H972,Magick!$C$20:$L$21,2)),NA())</f>
        <v>#N/A</v>
      </c>
      <c r="J972" s="77"/>
      <c r="K972" s="67">
        <v>4</v>
      </c>
      <c r="L972" s="72" t="str">
        <f>IF(H972&gt;0,Magick!$AR$30-('Master Spell List'!H968*0.1),"N/A")</f>
        <v>N/A</v>
      </c>
      <c r="M972" s="72">
        <f ca="1">Magick!$H$83</f>
        <v>0.08</v>
      </c>
      <c r="N972" s="72">
        <f ca="1">Magick!$K$83</f>
        <v>0.13</v>
      </c>
      <c r="O972" s="72">
        <f ca="1">Magick!$L$83</f>
        <v>0.13</v>
      </c>
      <c r="P972" s="72">
        <f ca="1">Magick!$M$83</f>
        <v>0.13</v>
      </c>
      <c r="Q972" s="67" t="s">
        <v>4603</v>
      </c>
      <c r="R972" s="67">
        <f ca="1">IF(Q972="Ritual","N/A",IF(Q972="I.E.","N/A",IF(Q972="WOG",VLOOKUP(Magick!$I$83*100,magestuff!$B$134:$F$138,2),IF(Q972="Cantrip",VLOOKUP(Magick!$I$83*100,magestuff!$B$134:$F$138,3),IF(Q972="Hex",VLOOKUP(Magick!$I$83*100,magestuff!$B$134:$F$138,4),VLOOKUP(Magick!$I$83*100,magestuff!$B$134:$F$138,5))))))</f>
        <v>9</v>
      </c>
      <c r="S972" s="314" t="s">
        <v>3263</v>
      </c>
      <c r="T972" s="294" t="str">
        <f>CONCATENATE(IF(Magick!$C$3&gt;0,45+Magick!$C$3*3," ")," sec.")</f>
        <v xml:space="preserve">  sec.</v>
      </c>
      <c r="U972" s="67" t="str">
        <f t="shared" si="129"/>
        <v xml:space="preserve"> </v>
      </c>
      <c r="V972" s="515"/>
      <c r="W972" s="125"/>
      <c r="X972" s="31">
        <f t="shared" si="130"/>
        <v>0</v>
      </c>
      <c r="Y972" s="509"/>
      <c r="Z972" s="1054" t="str">
        <f t="shared" si="131"/>
        <v>Lesser Ward of Protection vs Basick Magick - Fire</v>
      </c>
      <c r="AA972" s="1072" t="str">
        <f t="shared" si="132"/>
        <v>Wards</v>
      </c>
    </row>
    <row r="973" spans="1:27" hidden="1" outlineLevel="1">
      <c r="A973" s="31" t="s">
        <v>236</v>
      </c>
      <c r="B973" s="67">
        <v>2</v>
      </c>
      <c r="C973" s="67">
        <f ca="1">IF(magestuff!$F$211&lt;1,1,magestuff!$F$211)</f>
        <v>2</v>
      </c>
      <c r="D973" s="67">
        <f t="shared" si="128"/>
        <v>0</v>
      </c>
      <c r="E973" s="77">
        <f ca="1">IF(F973="y",HLOOKUP((IF(C973&lt;1,1,C973)),Magick!$C$20:$L$21,2),NA())</f>
        <v>21</v>
      </c>
      <c r="F973" s="67" t="str">
        <f ca="1">IF(C973&lt;=Magick!$D$3,"Y","N")</f>
        <v>Y</v>
      </c>
      <c r="G973" s="148" t="s">
        <v>128</v>
      </c>
      <c r="H973" s="151"/>
      <c r="I973" s="77" t="e">
        <f>IF(H973&gt;0,(HLOOKUP(C973,Magick!$C$20:$L$21,2)-HLOOKUP(H973,Magick!$C$20:$L$21,2)),NA())</f>
        <v>#N/A</v>
      </c>
      <c r="J973" s="77"/>
      <c r="K973" s="67">
        <v>4</v>
      </c>
      <c r="L973" s="72" t="str">
        <f>IF(H973&gt;0,Magick!$AR$30-('Master Spell List'!H966*0.1),"N/A")</f>
        <v>N/A</v>
      </c>
      <c r="M973" s="72">
        <f ca="1">Magick!$H$83</f>
        <v>0.08</v>
      </c>
      <c r="N973" s="72">
        <f ca="1">Magick!$K$83</f>
        <v>0.13</v>
      </c>
      <c r="O973" s="72">
        <f ca="1">Magick!$L$83</f>
        <v>0.13</v>
      </c>
      <c r="P973" s="72">
        <f ca="1">Magick!$M$83</f>
        <v>0.13</v>
      </c>
      <c r="Q973" s="67" t="s">
        <v>4603</v>
      </c>
      <c r="R973" s="67">
        <f ca="1">IF(Q973="Ritual","N/A",IF(Q973="I.E.","N/A",IF(Q973="WOG",VLOOKUP(Magick!$I$83*100,magestuff!$B$134:$F$138,2),IF(Q973="Cantrip",VLOOKUP(Magick!$I$83*100,magestuff!$B$134:$F$138,3),IF(Q973="Hex",VLOOKUP(Magick!$I$83*100,magestuff!$B$134:$F$138,4),VLOOKUP(Magick!$I$83*100,magestuff!$B$134:$F$138,5))))))</f>
        <v>9</v>
      </c>
      <c r="S973" s="314" t="s">
        <v>3263</v>
      </c>
      <c r="T973" s="294" t="str">
        <f>CONCATENATE(IF(Magick!$C$3&gt;0,45+Magick!$C$3*3," ")," sec.")</f>
        <v xml:space="preserve">  sec.</v>
      </c>
      <c r="U973" s="67" t="str">
        <f t="shared" si="129"/>
        <v xml:space="preserve"> </v>
      </c>
      <c r="V973" s="515"/>
      <c r="W973" s="125"/>
      <c r="X973" s="31">
        <f t="shared" si="130"/>
        <v>0</v>
      </c>
      <c r="Y973" s="509"/>
      <c r="Z973" s="1054" t="str">
        <f t="shared" si="131"/>
        <v>Lesser Ward of Protection vs Basick Magick - Water</v>
      </c>
      <c r="AA973" s="1072" t="str">
        <f t="shared" si="132"/>
        <v>Wards</v>
      </c>
    </row>
    <row r="974" spans="1:27" hidden="1" outlineLevel="1">
      <c r="A974" s="31" t="s">
        <v>593</v>
      </c>
      <c r="B974" s="67">
        <v>2</v>
      </c>
      <c r="C974" s="67">
        <f ca="1">IF(magestuff!$F$211&lt;1,1,magestuff!$F$211)</f>
        <v>2</v>
      </c>
      <c r="D974" s="67">
        <f t="shared" si="128"/>
        <v>0</v>
      </c>
      <c r="E974" s="77">
        <f ca="1">IF(F974="y",HLOOKUP((IF(C974&lt;1,1,C974)),Magick!$C$20:$L$21,2),NA())</f>
        <v>21</v>
      </c>
      <c r="F974" s="67" t="str">
        <f ca="1">IF(C974&lt;=Magick!$D$3,"Y","N")</f>
        <v>Y</v>
      </c>
      <c r="G974" s="148" t="s">
        <v>128</v>
      </c>
      <c r="H974" s="151"/>
      <c r="I974" s="77" t="e">
        <f>IF(H974&gt;0,(HLOOKUP(C974,Magick!$C$20:$L$21,2)-HLOOKUP(H974,Magick!$C$20:$L$21,2)),NA())</f>
        <v>#N/A</v>
      </c>
      <c r="J974" s="77"/>
      <c r="K974" s="67">
        <v>4</v>
      </c>
      <c r="L974" s="72" t="str">
        <f>IF(H974&gt;0,Magick!$AR$30-('Master Spell List'!H970*0.1),"N/A")</f>
        <v>N/A</v>
      </c>
      <c r="M974" s="72">
        <f ca="1">Magick!$H$83</f>
        <v>0.08</v>
      </c>
      <c r="N974" s="72">
        <f ca="1">Magick!$K$83</f>
        <v>0.13</v>
      </c>
      <c r="O974" s="72">
        <f ca="1">Magick!$L$83</f>
        <v>0.13</v>
      </c>
      <c r="P974" s="72">
        <f ca="1">Magick!$M$83</f>
        <v>0.13</v>
      </c>
      <c r="Q974" s="67" t="s">
        <v>4603</v>
      </c>
      <c r="R974" s="67">
        <f ca="1">IF(Q974="Ritual","N/A",IF(Q974="I.E.","N/A",IF(Q974="WOG",VLOOKUP(Magick!$I$83*100,magestuff!$B$134:$F$138,2),IF(Q974="Cantrip",VLOOKUP(Magick!$I$83*100,magestuff!$B$134:$F$138,3),IF(Q974="Hex",VLOOKUP(Magick!$I$83*100,magestuff!$B$134:$F$138,4),VLOOKUP(Magick!$I$83*100,magestuff!$B$134:$F$138,5))))))</f>
        <v>9</v>
      </c>
      <c r="S974" s="314" t="s">
        <v>3263</v>
      </c>
      <c r="T974" s="294" t="str">
        <f>CONCATENATE(IF(Magick!$C$3&gt;0,45+Magick!$C$3*3," ")," sec.")</f>
        <v xml:space="preserve">  sec.</v>
      </c>
      <c r="U974" s="67" t="str">
        <f t="shared" si="129"/>
        <v xml:space="preserve"> </v>
      </c>
      <c r="V974" s="515"/>
      <c r="W974" s="125"/>
      <c r="X974" s="31">
        <f t="shared" si="130"/>
        <v>0</v>
      </c>
      <c r="Y974" s="509"/>
      <c r="Z974" s="1054" t="str">
        <f t="shared" si="131"/>
        <v>Lesser Ward of Protection vs Command</v>
      </c>
      <c r="AA974" s="1072" t="str">
        <f t="shared" si="132"/>
        <v>Wards</v>
      </c>
    </row>
    <row r="975" spans="1:27" hidden="1" outlineLevel="1">
      <c r="A975" s="31" t="s">
        <v>4481</v>
      </c>
      <c r="B975" s="67">
        <v>2</v>
      </c>
      <c r="C975" s="67">
        <f ca="1">IF(magestuff!$F$211&lt;1,1,magestuff!$F$211)</f>
        <v>2</v>
      </c>
      <c r="D975" s="67">
        <f t="shared" si="128"/>
        <v>0</v>
      </c>
      <c r="E975" s="77">
        <f ca="1">IF(F975="y",HLOOKUP((IF(C975&lt;1,1,C975)),Magick!$C$20:$L$21,2),NA())</f>
        <v>21</v>
      </c>
      <c r="F975" s="67" t="str">
        <f ca="1">IF(C975&lt;=Magick!$D$3,"Y","N")</f>
        <v>Y</v>
      </c>
      <c r="G975" s="148" t="s">
        <v>128</v>
      </c>
      <c r="H975" s="151"/>
      <c r="I975" s="77" t="e">
        <f>IF(H975&gt;0,(HLOOKUP(C975,Magick!$C$20:$L$21,2)-HLOOKUP(H975,Magick!$C$20:$L$21,2)),NA())</f>
        <v>#N/A</v>
      </c>
      <c r="J975" s="77"/>
      <c r="K975" s="67">
        <v>4</v>
      </c>
      <c r="L975" s="72" t="str">
        <f>IF(H975&gt;0,Magick!$AR$30-('Master Spell List'!H971*0.1),"N/A")</f>
        <v>N/A</v>
      </c>
      <c r="M975" s="72">
        <f ca="1">Magick!$H$83</f>
        <v>0.08</v>
      </c>
      <c r="N975" s="72">
        <f ca="1">Magick!$K$83</f>
        <v>0.13</v>
      </c>
      <c r="O975" s="72">
        <f ca="1">Magick!$L$83</f>
        <v>0.13</v>
      </c>
      <c r="P975" s="72">
        <f ca="1">Magick!$M$83</f>
        <v>0.13</v>
      </c>
      <c r="Q975" s="67" t="s">
        <v>4603</v>
      </c>
      <c r="R975" s="67">
        <f ca="1">IF(Q975="Ritual","N/A",IF(Q975="I.E.","N/A",IF(Q975="WOG",VLOOKUP(Magick!$I$83*100,magestuff!$B$134:$F$138,2),IF(Q975="Cantrip",VLOOKUP(Magick!$I$83*100,magestuff!$B$134:$F$138,3),IF(Q975="Hex",VLOOKUP(Magick!$I$83*100,magestuff!$B$134:$F$138,4),VLOOKUP(Magick!$I$83*100,magestuff!$B$134:$F$138,5))))))</f>
        <v>9</v>
      </c>
      <c r="S975" s="314" t="s">
        <v>3263</v>
      </c>
      <c r="T975" s="294" t="str">
        <f>CONCATENATE(IF(Magick!$C$3&gt;0,45+Magick!$C$3*3," ")," sec.")</f>
        <v xml:space="preserve">  sec.</v>
      </c>
      <c r="U975" s="67" t="str">
        <f t="shared" si="129"/>
        <v xml:space="preserve"> </v>
      </c>
      <c r="V975" s="515"/>
      <c r="W975" s="125"/>
      <c r="X975" s="31">
        <f t="shared" si="130"/>
        <v>0</v>
      </c>
      <c r="Y975" s="509"/>
      <c r="Z975" s="1054" t="str">
        <f t="shared" si="131"/>
        <v>Lesser Ward of Protection vs Divination</v>
      </c>
      <c r="AA975" s="1072" t="str">
        <f t="shared" si="132"/>
        <v>Wards</v>
      </c>
    </row>
    <row r="976" spans="1:27" hidden="1" outlineLevel="1">
      <c r="A976" s="31" t="s">
        <v>2086</v>
      </c>
      <c r="B976" s="67">
        <v>2</v>
      </c>
      <c r="C976" s="67">
        <f ca="1">IF(magestuff!$F$211&lt;1,1,magestuff!$F$211)</f>
        <v>2</v>
      </c>
      <c r="D976" s="67">
        <f t="shared" si="128"/>
        <v>0</v>
      </c>
      <c r="E976" s="77">
        <f ca="1">IF(F976="y",HLOOKUP((IF(C976&lt;1,1,C976)),Magick!$C$20:$L$21,2),NA())</f>
        <v>21</v>
      </c>
      <c r="F976" s="67" t="str">
        <f ca="1">IF(C976&lt;=Magick!$D$3,"Y","N")</f>
        <v>Y</v>
      </c>
      <c r="G976" s="148" t="s">
        <v>128</v>
      </c>
      <c r="H976" s="151"/>
      <c r="I976" s="77" t="e">
        <f>IF(H976&gt;0,(HLOOKUP(C976,Magick!$C$20:$L$21,2)-HLOOKUP(H976,Magick!$C$20:$L$21,2)),NA())</f>
        <v>#N/A</v>
      </c>
      <c r="J976" s="77"/>
      <c r="K976" s="67">
        <v>4</v>
      </c>
      <c r="L976" s="72" t="str">
        <f>IF(H976&gt;0,Magick!$AR$30-('Master Spell List'!H972*0.1),"N/A")</f>
        <v>N/A</v>
      </c>
      <c r="M976" s="72">
        <f ca="1">Magick!$H$83</f>
        <v>0.08</v>
      </c>
      <c r="N976" s="72">
        <f ca="1">Magick!$K$83</f>
        <v>0.13</v>
      </c>
      <c r="O976" s="72">
        <f ca="1">Magick!$L$83</f>
        <v>0.13</v>
      </c>
      <c r="P976" s="72">
        <f ca="1">Magick!$M$83</f>
        <v>0.13</v>
      </c>
      <c r="Q976" s="67" t="s">
        <v>4603</v>
      </c>
      <c r="R976" s="67">
        <f ca="1">IF(Q976="Ritual","N/A",IF(Q976="I.E.","N/A",IF(Q976="WOG",VLOOKUP(Magick!$I$83*100,magestuff!$B$134:$F$138,2),IF(Q976="Cantrip",VLOOKUP(Magick!$I$83*100,magestuff!$B$134:$F$138,3),IF(Q976="Hex",VLOOKUP(Magick!$I$83*100,magestuff!$B$134:$F$138,4),VLOOKUP(Magick!$I$83*100,magestuff!$B$134:$F$138,5))))))</f>
        <v>9</v>
      </c>
      <c r="S976" s="314" t="s">
        <v>3263</v>
      </c>
      <c r="T976" s="294" t="str">
        <f>CONCATENATE(IF(Magick!$C$3&gt;0,45+Magick!$C$3*3," ")," sec.")</f>
        <v xml:space="preserve">  sec.</v>
      </c>
      <c r="U976" s="67" t="str">
        <f t="shared" si="129"/>
        <v xml:space="preserve"> </v>
      </c>
      <c r="V976" s="515"/>
      <c r="W976" s="125"/>
      <c r="X976" s="31">
        <f t="shared" si="130"/>
        <v>0</v>
      </c>
      <c r="Y976" s="509"/>
      <c r="Z976" s="1054" t="str">
        <f t="shared" si="131"/>
        <v>Lesser Ward of Protection vs Illusion</v>
      </c>
      <c r="AA976" s="1072" t="str">
        <f t="shared" si="132"/>
        <v>Wards</v>
      </c>
    </row>
    <row r="977" spans="1:27" hidden="1" outlineLevel="1">
      <c r="A977" s="31" t="s">
        <v>909</v>
      </c>
      <c r="B977" s="67">
        <v>2</v>
      </c>
      <c r="C977" s="67">
        <f ca="1">IF(magestuff!$F$211&lt;1,1,magestuff!$F$211)</f>
        <v>2</v>
      </c>
      <c r="D977" s="67">
        <f t="shared" si="128"/>
        <v>0</v>
      </c>
      <c r="E977" s="77">
        <f ca="1">IF(F977="y",HLOOKUP((IF(C977&lt;1,1,C977)),Magick!$C$20:$L$21,2),NA())</f>
        <v>21</v>
      </c>
      <c r="F977" s="67" t="str">
        <f ca="1">IF(C977&lt;=Magick!$D$3,"Y","N")</f>
        <v>Y</v>
      </c>
      <c r="G977" s="148" t="s">
        <v>128</v>
      </c>
      <c r="H977" s="151"/>
      <c r="I977" s="77" t="e">
        <f>IF(H977&gt;0,(HLOOKUP(C977,Magick!$C$20:$L$21,2)-HLOOKUP(H977,Magick!$C$20:$L$21,2)),NA())</f>
        <v>#N/A</v>
      </c>
      <c r="J977" s="77"/>
      <c r="K977" s="67">
        <v>4</v>
      </c>
      <c r="L977" s="72" t="str">
        <f>IF(H977&gt;0,Magick!$AR$30-('Master Spell List'!H976*0.1),"N/A")</f>
        <v>N/A</v>
      </c>
      <c r="M977" s="72">
        <f ca="1">Magick!$H$83</f>
        <v>0.08</v>
      </c>
      <c r="N977" s="72">
        <f ca="1">Magick!$K$83</f>
        <v>0.13</v>
      </c>
      <c r="O977" s="72">
        <f ca="1">Magick!$L$83</f>
        <v>0.13</v>
      </c>
      <c r="P977" s="72">
        <f ca="1">Magick!$M$83</f>
        <v>0.13</v>
      </c>
      <c r="Q977" s="67" t="s">
        <v>4603</v>
      </c>
      <c r="R977" s="67">
        <f ca="1">IF(Q977="Ritual","N/A",IF(Q977="I.E.","N/A",IF(Q977="WOG",VLOOKUP(Magick!$I$83*100,magestuff!$B$134:$F$138,2),IF(Q977="Cantrip",VLOOKUP(Magick!$I$83*100,magestuff!$B$134:$F$138,3),IF(Q977="Hex",VLOOKUP(Magick!$I$83*100,magestuff!$B$134:$F$138,4),VLOOKUP(Magick!$I$83*100,magestuff!$B$134:$F$138,5))))))</f>
        <v>9</v>
      </c>
      <c r="S977" s="314" t="s">
        <v>3263</v>
      </c>
      <c r="T977" s="294" t="str">
        <f>CONCATENATE(IF(Magick!$C$3&gt;0,45+Magick!$C$3*3," ")," sec.")</f>
        <v xml:space="preserve">  sec.</v>
      </c>
      <c r="U977" s="67" t="str">
        <f t="shared" si="129"/>
        <v xml:space="preserve"> </v>
      </c>
      <c r="V977" s="515"/>
      <c r="W977" s="125"/>
      <c r="X977" s="31">
        <f t="shared" si="130"/>
        <v>0</v>
      </c>
      <c r="Y977" s="509"/>
      <c r="Z977" s="1054" t="str">
        <f t="shared" si="131"/>
        <v>Lesser Ward of Protection vs Lycanthropes</v>
      </c>
      <c r="AA977" s="1072" t="str">
        <f t="shared" si="132"/>
        <v>Wards</v>
      </c>
    </row>
    <row r="978" spans="1:27" hidden="1" outlineLevel="1">
      <c r="A978" s="31" t="s">
        <v>2087</v>
      </c>
      <c r="B978" s="67">
        <v>2</v>
      </c>
      <c r="C978" s="67">
        <f ca="1">IF(magestuff!$F$211&lt;1,1,magestuff!$F$211)</f>
        <v>2</v>
      </c>
      <c r="D978" s="67">
        <f t="shared" si="128"/>
        <v>0</v>
      </c>
      <c r="E978" s="77">
        <f ca="1">IF(F978="y",HLOOKUP((IF(C978&lt;1,1,C978)),Magick!$C$20:$L$21,2),NA())</f>
        <v>21</v>
      </c>
      <c r="F978" s="67" t="str">
        <f ca="1">IF(C978&lt;=Magick!$D$3,"Y","N")</f>
        <v>Y</v>
      </c>
      <c r="G978" s="148" t="s">
        <v>128</v>
      </c>
      <c r="H978" s="151"/>
      <c r="I978" s="77" t="e">
        <f>IF(H978&gt;0,(HLOOKUP(C978,Magick!$C$20:$L$21,2)-HLOOKUP(H978,Magick!$C$20:$L$21,2)),NA())</f>
        <v>#N/A</v>
      </c>
      <c r="J978" s="77"/>
      <c r="K978" s="67">
        <v>4</v>
      </c>
      <c r="L978" s="72" t="str">
        <f>IF(H978&gt;0,Magick!$AR$30-('Master Spell List'!H973*0.1),"N/A")</f>
        <v>N/A</v>
      </c>
      <c r="M978" s="72">
        <f ca="1">Magick!$H$83</f>
        <v>0.08</v>
      </c>
      <c r="N978" s="72">
        <f ca="1">Magick!$K$83</f>
        <v>0.13</v>
      </c>
      <c r="O978" s="72">
        <f ca="1">Magick!$L$83</f>
        <v>0.13</v>
      </c>
      <c r="P978" s="72">
        <f ca="1">Magick!$M$83</f>
        <v>0.13</v>
      </c>
      <c r="Q978" s="67" t="s">
        <v>4603</v>
      </c>
      <c r="R978" s="67">
        <f ca="1">IF(Q978="Ritual","N/A",IF(Q978="I.E.","N/A",IF(Q978="WOG",VLOOKUP(Magick!$I$83*100,magestuff!$B$134:$F$138,2),IF(Q978="Cantrip",VLOOKUP(Magick!$I$83*100,magestuff!$B$134:$F$138,3),IF(Q978="Hex",VLOOKUP(Magick!$I$83*100,magestuff!$B$134:$F$138,4),VLOOKUP(Magick!$I$83*100,magestuff!$B$134:$F$138,5))))))</f>
        <v>9</v>
      </c>
      <c r="S978" s="314" t="s">
        <v>3263</v>
      </c>
      <c r="T978" s="294" t="str">
        <f>CONCATENATE(IF(Magick!$C$3&gt;0,45+Magick!$C$3*3," ")," sec.")</f>
        <v xml:space="preserve">  sec.</v>
      </c>
      <c r="U978" s="67" t="str">
        <f t="shared" si="129"/>
        <v xml:space="preserve"> </v>
      </c>
      <c r="V978" s="515"/>
      <c r="W978" s="125"/>
      <c r="X978" s="31">
        <f t="shared" si="130"/>
        <v>0</v>
      </c>
      <c r="Y978" s="509"/>
      <c r="Z978" s="1054" t="str">
        <f t="shared" si="131"/>
        <v>Lesser Ward of Protection vs Plant</v>
      </c>
      <c r="AA978" s="1072" t="str">
        <f t="shared" si="132"/>
        <v>Wards</v>
      </c>
    </row>
    <row r="979" spans="1:27" hidden="1" outlineLevel="1">
      <c r="A979" s="31" t="s">
        <v>2088</v>
      </c>
      <c r="B979" s="67">
        <v>2</v>
      </c>
      <c r="C979" s="67">
        <f ca="1">IF(magestuff!$F$211&lt;1,1,magestuff!$F$211)</f>
        <v>2</v>
      </c>
      <c r="D979" s="67">
        <f t="shared" si="128"/>
        <v>0</v>
      </c>
      <c r="E979" s="77">
        <f ca="1">IF(F979="y",HLOOKUP((IF(C979&lt;1,1,C979)),Magick!$C$20:$L$21,2),NA())</f>
        <v>21</v>
      </c>
      <c r="F979" s="67" t="str">
        <f ca="1">IF(C979&lt;=Magick!$D$3,"Y","N")</f>
        <v>Y</v>
      </c>
      <c r="G979" s="148" t="s">
        <v>128</v>
      </c>
      <c r="H979" s="151"/>
      <c r="I979" s="77" t="e">
        <f>IF(H979&gt;0,(HLOOKUP(C979,Magick!$C$20:$L$21,2)-HLOOKUP(H979,Magick!$C$20:$L$21,2)),NA())</f>
        <v>#N/A</v>
      </c>
      <c r="J979" s="77"/>
      <c r="K979" s="67">
        <v>4</v>
      </c>
      <c r="L979" s="72" t="str">
        <f>IF(H979&gt;0,Magick!$AR$30-('Master Spell List'!H974*0.1),"N/A")</f>
        <v>N/A</v>
      </c>
      <c r="M979" s="72">
        <f ca="1">Magick!$H$83</f>
        <v>0.08</v>
      </c>
      <c r="N979" s="72">
        <f ca="1">Magick!$K$83</f>
        <v>0.13</v>
      </c>
      <c r="O979" s="72">
        <f ca="1">Magick!$L$83</f>
        <v>0.13</v>
      </c>
      <c r="P979" s="72">
        <f ca="1">Magick!$M$83</f>
        <v>0.13</v>
      </c>
      <c r="Q979" s="67" t="s">
        <v>4603</v>
      </c>
      <c r="R979" s="67">
        <f ca="1">IF(Q979="Ritual","N/A",IF(Q979="I.E.","N/A",IF(Q979="WOG",VLOOKUP(Magick!$I$83*100,magestuff!$B$134:$F$138,2),IF(Q979="Cantrip",VLOOKUP(Magick!$I$83*100,magestuff!$B$134:$F$138,3),IF(Q979="Hex",VLOOKUP(Magick!$I$83*100,magestuff!$B$134:$F$138,4),VLOOKUP(Magick!$I$83*100,magestuff!$B$134:$F$138,5))))))</f>
        <v>9</v>
      </c>
      <c r="S979" s="314" t="s">
        <v>3263</v>
      </c>
      <c r="T979" s="294" t="str">
        <f>CONCATENATE(IF(Magick!$C$3&gt;0,45+Magick!$C$3*3," ")," sec.")</f>
        <v xml:space="preserve">  sec.</v>
      </c>
      <c r="U979" s="67" t="str">
        <f t="shared" si="129"/>
        <v xml:space="preserve"> </v>
      </c>
      <c r="V979" s="515"/>
      <c r="W979" s="125"/>
      <c r="X979" s="31">
        <f t="shared" si="130"/>
        <v>0</v>
      </c>
      <c r="Y979" s="509"/>
      <c r="Z979" s="1054" t="str">
        <f t="shared" si="131"/>
        <v>Lesser Ward of Protection vs Transcendental</v>
      </c>
      <c r="AA979" s="1072" t="str">
        <f t="shared" si="132"/>
        <v>Wards</v>
      </c>
    </row>
    <row r="980" spans="1:27" hidden="1" outlineLevel="1">
      <c r="A980" s="31" t="s">
        <v>2089</v>
      </c>
      <c r="B980" s="67">
        <v>2</v>
      </c>
      <c r="C980" s="67">
        <f ca="1">IF(magestuff!$F$211&lt;1,1,magestuff!$F$211)</f>
        <v>2</v>
      </c>
      <c r="D980" s="67">
        <f t="shared" si="128"/>
        <v>0</v>
      </c>
      <c r="E980" s="77">
        <f ca="1">IF(F980="y",HLOOKUP((IF(C980&lt;1,1,C980)),Magick!$C$20:$L$21,2),NA())</f>
        <v>21</v>
      </c>
      <c r="F980" s="67" t="str">
        <f ca="1">IF(C980&lt;=Magick!$D$3,"Y","N")</f>
        <v>Y</v>
      </c>
      <c r="G980" s="148" t="s">
        <v>128</v>
      </c>
      <c r="H980" s="151"/>
      <c r="I980" s="77" t="e">
        <f>IF(H980&gt;0,(HLOOKUP(C980,Magick!$C$20:$L$21,2)-HLOOKUP(H980,Magick!$C$20:$L$21,2)),NA())</f>
        <v>#N/A</v>
      </c>
      <c r="J980" s="77"/>
      <c r="K980" s="67">
        <v>4</v>
      </c>
      <c r="L980" s="72" t="str">
        <f>IF(H980&gt;0,Magick!$AR$30-('Master Spell List'!H975*0.1),"N/A")</f>
        <v>N/A</v>
      </c>
      <c r="M980" s="72">
        <f ca="1">Magick!$H$83</f>
        <v>0.08</v>
      </c>
      <c r="N980" s="72">
        <f ca="1">Magick!$K$83</f>
        <v>0.13</v>
      </c>
      <c r="O980" s="72">
        <f ca="1">Magick!$L$83</f>
        <v>0.13</v>
      </c>
      <c r="P980" s="72">
        <f ca="1">Magick!$M$83</f>
        <v>0.13</v>
      </c>
      <c r="Q980" s="67" t="s">
        <v>4603</v>
      </c>
      <c r="R980" s="67">
        <f ca="1">IF(Q980="Ritual","N/A",IF(Q980="I.E.","N/A",IF(Q980="WOG",VLOOKUP(Magick!$I$83*100,magestuff!$B$134:$F$138,2),IF(Q980="Cantrip",VLOOKUP(Magick!$I$83*100,magestuff!$B$134:$F$138,3),IF(Q980="Hex",VLOOKUP(Magick!$I$83*100,magestuff!$B$134:$F$138,4),VLOOKUP(Magick!$I$83*100,magestuff!$B$134:$F$138,5))))))</f>
        <v>9</v>
      </c>
      <c r="S980" s="314" t="s">
        <v>3263</v>
      </c>
      <c r="T980" s="294" t="str">
        <f>CONCATENATE(IF(Magick!$C$3&gt;0,45+Magick!$C$3*3," ")," sec.")</f>
        <v xml:space="preserve">  sec.</v>
      </c>
      <c r="U980" s="67" t="str">
        <f t="shared" si="129"/>
        <v xml:space="preserve"> </v>
      </c>
      <c r="V980" s="515"/>
      <c r="W980" s="125"/>
      <c r="X980" s="31">
        <f t="shared" si="130"/>
        <v>0</v>
      </c>
      <c r="Y980" s="509"/>
      <c r="Z980" s="1054" t="str">
        <f t="shared" si="131"/>
        <v>Lesser Ward of Protection vs Transmutational</v>
      </c>
      <c r="AA980" s="1072" t="str">
        <f t="shared" si="132"/>
        <v>Wards</v>
      </c>
    </row>
    <row r="981" spans="1:27" hidden="1" outlineLevel="1">
      <c r="A981" s="31" t="s">
        <v>3049</v>
      </c>
      <c r="B981" s="67">
        <v>2</v>
      </c>
      <c r="C981" s="67">
        <f ca="1">IF(magestuff!$F$211&lt;1,1,magestuff!$F$211)</f>
        <v>2</v>
      </c>
      <c r="D981" s="67">
        <f t="shared" si="128"/>
        <v>0</v>
      </c>
      <c r="E981" s="77">
        <f ca="1">IF(F981="y",HLOOKUP((IF(C981&lt;1,1,C981)),Magick!$C$20:$L$21,2),NA())</f>
        <v>21</v>
      </c>
      <c r="F981" s="67" t="str">
        <f ca="1">IF(C981&lt;=Magick!$D$3,"Y","N")</f>
        <v>Y</v>
      </c>
      <c r="G981" s="148" t="s">
        <v>128</v>
      </c>
      <c r="H981" s="151"/>
      <c r="I981" s="77" t="e">
        <f>IF(H981&gt;0,(HLOOKUP(C981,Magick!$C$20:$L$21,2)-HLOOKUP(H981,Magick!$C$20:$L$21,2)),NA())</f>
        <v>#N/A</v>
      </c>
      <c r="J981" s="77"/>
      <c r="K981" s="67">
        <v>4</v>
      </c>
      <c r="L981" s="72" t="str">
        <f>IF(H981&gt;0,Magick!$AR$30-('Master Spell List'!H977*0.1),"N/A")</f>
        <v>N/A</v>
      </c>
      <c r="M981" s="72">
        <f ca="1">Magick!$H$83</f>
        <v>0.08</v>
      </c>
      <c r="N981" s="72">
        <f ca="1">Magick!$K$83</f>
        <v>0.13</v>
      </c>
      <c r="O981" s="72">
        <f ca="1">Magick!$L$83</f>
        <v>0.13</v>
      </c>
      <c r="P981" s="72">
        <f ca="1">Magick!$M$83</f>
        <v>0.13</v>
      </c>
      <c r="Q981" s="67" t="s">
        <v>4603</v>
      </c>
      <c r="R981" s="67">
        <f ca="1">IF(Q981="Ritual","N/A",IF(Q981="I.E.","N/A",IF(Q981="WOG",VLOOKUP(Magick!$I$83*100,magestuff!$B$134:$F$138,2),IF(Q981="Cantrip",VLOOKUP(Magick!$I$83*100,magestuff!$B$134:$F$138,3),IF(Q981="Hex",VLOOKUP(Magick!$I$83*100,magestuff!$B$134:$F$138,4),VLOOKUP(Magick!$I$83*100,magestuff!$B$134:$F$138,5))))))</f>
        <v>9</v>
      </c>
      <c r="S981" s="314" t="s">
        <v>3263</v>
      </c>
      <c r="T981" s="294" t="str">
        <f>CONCATENATE(IF(Magick!$C$3&gt;0,45+Magick!$C$3*3," ")," sec.")</f>
        <v xml:space="preserve">  sec.</v>
      </c>
      <c r="U981" s="67" t="str">
        <f t="shared" si="129"/>
        <v xml:space="preserve"> </v>
      </c>
      <c r="V981" s="515"/>
      <c r="W981" s="125"/>
      <c r="X981" s="31">
        <f t="shared" si="130"/>
        <v>0</v>
      </c>
      <c r="Y981" s="509"/>
      <c r="Z981" s="1054" t="str">
        <f t="shared" si="131"/>
        <v>Lesser Ward of Protection vs Undead</v>
      </c>
      <c r="AA981" s="1072" t="str">
        <f t="shared" si="132"/>
        <v>Wards</v>
      </c>
    </row>
    <row r="982" spans="1:27" hidden="1" outlineLevel="1">
      <c r="A982" s="83" t="s">
        <v>1694</v>
      </c>
      <c r="B982" s="67">
        <v>2</v>
      </c>
      <c r="C982" s="67">
        <f ca="1">IF(magestuff!$F$211&lt;1,1,magestuff!$F$211)</f>
        <v>2</v>
      </c>
      <c r="D982" s="67">
        <f t="shared" si="128"/>
        <v>0</v>
      </c>
      <c r="E982" s="77">
        <f ca="1">IF(F982="y",HLOOKUP((IF(C982&lt;1,1,C982)),Magick!$C$20:$L$21,2),NA())</f>
        <v>21</v>
      </c>
      <c r="F982" s="67" t="str">
        <f ca="1">IF(C982&lt;=Magick!$D$3,"Y","N")</f>
        <v>Y</v>
      </c>
      <c r="G982" s="148" t="s">
        <v>1617</v>
      </c>
      <c r="H982" s="151"/>
      <c r="I982" s="77" t="e">
        <f>IF(H982&gt;0,(HLOOKUP(C982,Magick!$C$20:$L$21,2)-HLOOKUP(H982,Magick!$C$20:$L$21,2)),NA())</f>
        <v>#N/A</v>
      </c>
      <c r="J982" s="77"/>
      <c r="K982" s="67">
        <v>4</v>
      </c>
      <c r="L982" s="72" t="str">
        <f>IF(H982&gt;0,Magick!$AR$30-('Master Spell List'!H991*0.1),"N/A")</f>
        <v>N/A</v>
      </c>
      <c r="M982" s="72">
        <f ca="1">Magick!$H$83</f>
        <v>0.08</v>
      </c>
      <c r="N982" s="72">
        <f ca="1">Magick!$K$83</f>
        <v>0.13</v>
      </c>
      <c r="O982" s="72">
        <f ca="1">Magick!$L$83</f>
        <v>0.13</v>
      </c>
      <c r="P982" s="72">
        <f ca="1">Magick!$M$83</f>
        <v>0.13</v>
      </c>
      <c r="Q982" s="67" t="s">
        <v>4603</v>
      </c>
      <c r="R982" s="67">
        <f ca="1">IF(Q982="Ritual","N/A",IF(Q982="I.E.","N/A",IF(Q982="WOG",VLOOKUP(Magick!$I$83*100,magestuff!$B$134:$F$138,2),IF(Q982="Cantrip",VLOOKUP(Magick!$I$83*100,magestuff!$B$134:$F$138,3),IF(Q982="Hex",VLOOKUP(Magick!$I$83*100,magestuff!$B$134:$F$138,4),VLOOKUP(Magick!$I$83*100,magestuff!$B$134:$F$138,5))))))</f>
        <v>9</v>
      </c>
      <c r="S982" s="314" t="s">
        <v>3263</v>
      </c>
      <c r="T982" s="294" t="str">
        <f>CONCATENATE(IF(Magick!$C$3&gt;0,45+Magick!$C$3*3," ")," sec.")</f>
        <v xml:space="preserve">  sec.</v>
      </c>
      <c r="U982" s="67" t="str">
        <f t="shared" si="129"/>
        <v xml:space="preserve"> </v>
      </c>
      <c r="V982" s="515"/>
      <c r="W982" s="125"/>
      <c r="X982" s="31">
        <f t="shared" si="130"/>
        <v>0</v>
      </c>
      <c r="Y982" s="509"/>
      <c r="Z982" s="1054" t="str">
        <f t="shared" si="131"/>
        <v>Lesser Ward of Warning</v>
      </c>
      <c r="AA982" s="1072" t="str">
        <f t="shared" si="132"/>
        <v>Wards</v>
      </c>
    </row>
    <row r="983" spans="1:27" hidden="1" outlineLevel="1" collapsed="1">
      <c r="A983" s="31" t="s">
        <v>1472</v>
      </c>
      <c r="B983" s="67">
        <v>3</v>
      </c>
      <c r="C983" s="67">
        <f ca="1">IF(magestuff!$I$211&lt;1,1,magestuff!$I$211)</f>
        <v>3</v>
      </c>
      <c r="D983" s="67">
        <f t="shared" si="128"/>
        <v>0</v>
      </c>
      <c r="E983" s="77" t="e">
        <f ca="1">IF(F983="y",HLOOKUP((IF(C983&lt;1,1,C983)),Magick!$C$20:$L$21,2),NA())</f>
        <v>#N/A</v>
      </c>
      <c r="F983" s="67" t="str">
        <f ca="1">IF(C983&lt;=Magick!$D$3,"Y","N")</f>
        <v>N</v>
      </c>
      <c r="G983" s="148" t="s">
        <v>128</v>
      </c>
      <c r="H983" s="151"/>
      <c r="I983" s="77" t="e">
        <f>IF(H983&gt;0,(HLOOKUP(C983,Magick!$C$20:$L$21,2)-HLOOKUP(H983,Magick!$C$20:$L$21,2)),NA())</f>
        <v>#N/A</v>
      </c>
      <c r="J983" s="77"/>
      <c r="K983" s="67">
        <v>5</v>
      </c>
      <c r="L983" s="72" t="str">
        <f>IF(H983&gt;0,Magick!$AR$30-('Master Spell List'!H961*0.1),"N/A")</f>
        <v>N/A</v>
      </c>
      <c r="M983" s="72">
        <f ca="1">Magick!$H$83</f>
        <v>0.08</v>
      </c>
      <c r="N983" s="72">
        <f ca="1">Magick!$K$83</f>
        <v>0.13</v>
      </c>
      <c r="O983" s="72">
        <f ca="1">Magick!$L$83</f>
        <v>0.13</v>
      </c>
      <c r="P983" s="72">
        <f ca="1">Magick!$M$83</f>
        <v>0.13</v>
      </c>
      <c r="Q983" s="67" t="s">
        <v>4603</v>
      </c>
      <c r="R983" s="67">
        <f ca="1">IF(Q983="Ritual","N/A",IF(Q983="I.E.","N/A",IF(Q983="WOG",VLOOKUP(Magick!$I$83*100,magestuff!$B$134:$F$138,2),IF(Q983="Cantrip",VLOOKUP(Magick!$I$83*100,magestuff!$B$134:$F$138,3),IF(Q983="Hex",VLOOKUP(Magick!$I$83*100,magestuff!$B$134:$F$138,4),VLOOKUP(Magick!$I$83*100,magestuff!$B$134:$F$138,5))))))</f>
        <v>9</v>
      </c>
      <c r="S983" s="69" t="str">
        <f>CONCATENATE(IF(Magick!$C$3&gt;0,5+Magick!$C$3," ")," ft.")</f>
        <v xml:space="preserve">  ft.</v>
      </c>
      <c r="T983" s="294" t="str">
        <f>CONCATENATE(IF(Magick!$C$3&gt;0,Magick!$C$3*3," ")," min.")</f>
        <v xml:space="preserve">  min.</v>
      </c>
      <c r="U983" s="67" t="str">
        <f t="shared" si="129"/>
        <v xml:space="preserve"> </v>
      </c>
      <c r="V983" s="515"/>
      <c r="W983" s="125"/>
      <c r="X983" s="31">
        <f t="shared" si="130"/>
        <v>0</v>
      </c>
      <c r="Y983" s="509"/>
      <c r="Z983" s="1054" t="str">
        <f t="shared" si="131"/>
        <v>Lesser Circle of Protection vs Supernatural</v>
      </c>
      <c r="AA983" s="1072" t="str">
        <f t="shared" si="132"/>
        <v>Wards</v>
      </c>
    </row>
    <row r="984" spans="1:27" hidden="1" outlineLevel="1">
      <c r="A984" s="31" t="s">
        <v>3050</v>
      </c>
      <c r="B984" s="67">
        <v>3</v>
      </c>
      <c r="C984" s="67">
        <f ca="1">IF(magestuff!$I$211&lt;1,1,magestuff!$I$211)</f>
        <v>3</v>
      </c>
      <c r="D984" s="67">
        <f t="shared" si="128"/>
        <v>0</v>
      </c>
      <c r="E984" s="77" t="e">
        <f ca="1">IF(F984="y",HLOOKUP((IF(C984&lt;1,1,C984)),Magick!$C$20:$L$21,2),NA())</f>
        <v>#N/A</v>
      </c>
      <c r="F984" s="67" t="str">
        <f ca="1">IF(C984&lt;=Magick!$D$3,"Y","N")</f>
        <v>N</v>
      </c>
      <c r="G984" s="148" t="s">
        <v>128</v>
      </c>
      <c r="H984" s="151"/>
      <c r="I984" s="77" t="e">
        <f>IF(H984&gt;0,(HLOOKUP(C984,Magick!$C$20:$L$21,2)-HLOOKUP(H984,Magick!$C$20:$L$21,2)),NA())</f>
        <v>#N/A</v>
      </c>
      <c r="J984" s="77"/>
      <c r="K984" s="67">
        <v>5</v>
      </c>
      <c r="L984" s="72" t="str">
        <f>IF(H984&gt;0,Magick!$AR$30-('Master Spell List'!H978*0.1),"N/A")</f>
        <v>N/A</v>
      </c>
      <c r="M984" s="72">
        <f ca="1">Magick!$H$83</f>
        <v>0.08</v>
      </c>
      <c r="N984" s="72">
        <f ca="1">Magick!$K$83</f>
        <v>0.13</v>
      </c>
      <c r="O984" s="72">
        <f ca="1">Magick!$L$83</f>
        <v>0.13</v>
      </c>
      <c r="P984" s="72">
        <f ca="1">Magick!$M$83</f>
        <v>0.13</v>
      </c>
      <c r="Q984" s="67" t="s">
        <v>4603</v>
      </c>
      <c r="R984" s="67">
        <f ca="1">IF(Q984="Ritual","N/A",IF(Q984="I.E.","N/A",IF(Q984="WOG",VLOOKUP(Magick!$I$83*100,magestuff!$B$134:$F$138,2),IF(Q984="Cantrip",VLOOKUP(Magick!$I$83*100,magestuff!$B$134:$F$138,3),IF(Q984="Hex",VLOOKUP(Magick!$I$83*100,magestuff!$B$134:$F$138,4),VLOOKUP(Magick!$I$83*100,magestuff!$B$134:$F$138,5))))))</f>
        <v>9</v>
      </c>
      <c r="S984" s="314" t="s">
        <v>3263</v>
      </c>
      <c r="T984" s="294" t="str">
        <f>CONCATENATE(IF(Magick!$C$3&gt;0,45+Magick!$C$3*3," ")," sec.")</f>
        <v xml:space="preserve">  sec.</v>
      </c>
      <c r="U984" s="67" t="str">
        <f t="shared" si="129"/>
        <v xml:space="preserve"> </v>
      </c>
      <c r="V984" s="515"/>
      <c r="W984" s="125"/>
      <c r="X984" s="31">
        <f t="shared" si="130"/>
        <v>0</v>
      </c>
      <c r="Y984" s="509"/>
      <c r="Z984" s="1054" t="str">
        <f t="shared" si="131"/>
        <v>Lesser Ward of Protection vs Supernatural</v>
      </c>
      <c r="AA984" s="1072" t="str">
        <f t="shared" si="132"/>
        <v>Wards</v>
      </c>
    </row>
    <row r="985" spans="1:27" hidden="1" outlineLevel="1">
      <c r="A985" s="31" t="s">
        <v>3677</v>
      </c>
      <c r="B985" s="67">
        <v>4</v>
      </c>
      <c r="C985" s="67">
        <f ca="1">magestuff!$L$211</f>
        <v>4</v>
      </c>
      <c r="D985" s="67">
        <f t="shared" si="128"/>
        <v>0</v>
      </c>
      <c r="E985" s="77" t="e">
        <f ca="1">IF(F985="y",HLOOKUP((IF(C985&lt;1,1,C985)),Magick!$C$20:$L$21,2),NA())</f>
        <v>#N/A</v>
      </c>
      <c r="F985" s="67" t="str">
        <f ca="1">IF(C985&lt;=Magick!$D$3,"Y","N")</f>
        <v>N</v>
      </c>
      <c r="G985" s="148" t="s">
        <v>128</v>
      </c>
      <c r="H985" s="151"/>
      <c r="I985" s="77" t="e">
        <f>IF(H985&gt;0,(HLOOKUP(C985,Magick!$C$20:$L$21,2)-HLOOKUP(H985,Magick!$C$20:$L$21,2)),NA())</f>
        <v>#N/A</v>
      </c>
      <c r="J985" s="77"/>
      <c r="K985" s="67">
        <v>7</v>
      </c>
      <c r="L985" s="72" t="str">
        <f>IF(H985&gt;0,Magick!$AR$30-('Master Spell List'!H979*0.1),"N/A")</f>
        <v>N/A</v>
      </c>
      <c r="M985" s="72">
        <f ca="1">Magick!$H$83</f>
        <v>0.08</v>
      </c>
      <c r="N985" s="72">
        <f ca="1">Magick!$K$83</f>
        <v>0.13</v>
      </c>
      <c r="O985" s="72">
        <f ca="1">Magick!$L$83</f>
        <v>0.13</v>
      </c>
      <c r="P985" s="72">
        <f ca="1">Magick!$M$83</f>
        <v>0.13</v>
      </c>
      <c r="Q985" s="67" t="s">
        <v>4603</v>
      </c>
      <c r="R985" s="67">
        <f ca="1">IF(Q985="Ritual","N/A",IF(Q985="I.E.","N/A",IF(Q985="WOG",VLOOKUP(Magick!$I$83*100,magestuff!$B$134:$F$138,2),IF(Q985="Cantrip",VLOOKUP(Magick!$I$83*100,magestuff!$B$134:$F$138,3),IF(Q985="Hex",VLOOKUP(Magick!$I$83*100,magestuff!$B$134:$F$138,4),VLOOKUP(Magick!$I$83*100,magestuff!$B$134:$F$138,5))))))</f>
        <v>9</v>
      </c>
      <c r="S985" s="69" t="str">
        <f>CONCATENATE(IF(Magick!$C$3&gt;0,5+Magick!$C$3," ")," ft.")</f>
        <v xml:space="preserve">  ft.</v>
      </c>
      <c r="T985" s="294" t="str">
        <f>CONCATENATE(IF(Magick!$C$3&gt;0,Magick!$C$3*3," ")," min.")</f>
        <v xml:space="preserve">  min.</v>
      </c>
      <c r="U985" s="67" t="str">
        <f t="shared" si="129"/>
        <v xml:space="preserve"> </v>
      </c>
      <c r="V985" s="515"/>
      <c r="W985" s="125"/>
      <c r="X985" s="31">
        <f t="shared" si="130"/>
        <v>0</v>
      </c>
      <c r="Y985" s="509"/>
      <c r="Z985" s="1054" t="str">
        <f t="shared" si="131"/>
        <v>Circle of Protection</v>
      </c>
      <c r="AA985" s="1072" t="str">
        <f t="shared" si="132"/>
        <v>Wards</v>
      </c>
    </row>
    <row r="986" spans="1:27" hidden="1" outlineLevel="1">
      <c r="A986" s="31" t="s">
        <v>1636</v>
      </c>
      <c r="B986" s="67">
        <v>4</v>
      </c>
      <c r="C986" s="67">
        <f ca="1">magestuff!$L$211</f>
        <v>4</v>
      </c>
      <c r="D986" s="67">
        <f t="shared" si="128"/>
        <v>0</v>
      </c>
      <c r="E986" s="77" t="e">
        <f ca="1">IF(F986="y",HLOOKUP((IF(C986&lt;1,1,C986)),Magick!$C$20:$L$21,2),NA())</f>
        <v>#N/A</v>
      </c>
      <c r="F986" s="67" t="str">
        <f ca="1">IF(C986&lt;=Magick!$D$3,"Y","N")</f>
        <v>N</v>
      </c>
      <c r="G986" s="148" t="s">
        <v>128</v>
      </c>
      <c r="H986" s="151"/>
      <c r="I986" s="77" t="e">
        <f>IF(H986&gt;0,(HLOOKUP(C986,Magick!$C$20:$L$21,2)-HLOOKUP(H986,Magick!$C$20:$L$21,2)),NA())</f>
        <v>#N/A</v>
      </c>
      <c r="J986" s="77"/>
      <c r="K986" s="67">
        <v>7</v>
      </c>
      <c r="L986" s="72" t="str">
        <f>IF(H986&gt;0,Magick!$AR$30-('Master Spell List'!H980*0.1),"N/A")</f>
        <v>N/A</v>
      </c>
      <c r="M986" s="72">
        <f ca="1">Magick!$H$83</f>
        <v>0.08</v>
      </c>
      <c r="N986" s="72">
        <f ca="1">Magick!$K$83</f>
        <v>0.13</v>
      </c>
      <c r="O986" s="72">
        <f ca="1">Magick!$L$83</f>
        <v>0.13</v>
      </c>
      <c r="P986" s="72">
        <f ca="1">Magick!$M$83</f>
        <v>0.13</v>
      </c>
      <c r="Q986" s="67" t="s">
        <v>4603</v>
      </c>
      <c r="R986" s="67">
        <f ca="1">IF(Q986="Ritual","N/A",IF(Q986="I.E.","N/A",IF(Q986="WOG",VLOOKUP(Magick!$I$83*100,magestuff!$B$134:$F$138,2),IF(Q986="Cantrip",VLOOKUP(Magick!$I$83*100,magestuff!$B$134:$F$138,3),IF(Q986="Hex",VLOOKUP(Magick!$I$83*100,magestuff!$B$134:$F$138,4),VLOOKUP(Magick!$I$83*100,magestuff!$B$134:$F$138,5))))))</f>
        <v>9</v>
      </c>
      <c r="S986" s="69" t="str">
        <f>CONCATENATE(IF(Magick!$C$3&gt;0,5+Magick!$C$3," ")," ft.")</f>
        <v xml:space="preserve">  ft.</v>
      </c>
      <c r="T986" s="294" t="str">
        <f>CONCATENATE(IF(Magick!$C$3&gt;0,45+Magick!$C$3*3," ")," sec.")</f>
        <v xml:space="preserve">  sec.</v>
      </c>
      <c r="U986" s="67" t="str">
        <f t="shared" si="129"/>
        <v xml:space="preserve"> </v>
      </c>
      <c r="V986" s="515"/>
      <c r="W986" s="125"/>
      <c r="X986" s="31">
        <f t="shared" si="130"/>
        <v>0</v>
      </c>
      <c r="Y986" s="509"/>
      <c r="Z986" s="1054" t="str">
        <f t="shared" si="131"/>
        <v>Wards</v>
      </c>
      <c r="AA986" s="1072" t="str">
        <f t="shared" si="132"/>
        <v>Wards</v>
      </c>
    </row>
    <row r="987" spans="1:27" hidden="1" outlineLevel="1">
      <c r="A987" s="31" t="s">
        <v>3678</v>
      </c>
      <c r="B987" s="67">
        <v>7</v>
      </c>
      <c r="C987" s="67">
        <f ca="1">magestuff!$U$211</f>
        <v>7</v>
      </c>
      <c r="D987" s="67">
        <f t="shared" si="128"/>
        <v>0</v>
      </c>
      <c r="E987" s="77" t="e">
        <f ca="1">IF(F987="y",HLOOKUP((IF(C987&lt;1,1,C987)),Magick!$C$20:$L$21,2),NA())</f>
        <v>#N/A</v>
      </c>
      <c r="F987" s="67" t="str">
        <f ca="1">IF(C987&lt;=Magick!$D$3,"Y","N")</f>
        <v>N</v>
      </c>
      <c r="G987" s="148" t="s">
        <v>128</v>
      </c>
      <c r="H987" s="151"/>
      <c r="I987" s="77" t="e">
        <f>IF(H987&gt;0,(HLOOKUP(C987,Magick!$C$20:$L$21,2)-HLOOKUP(H987,Magick!$C$20:$L$21,2)),NA())</f>
        <v>#N/A</v>
      </c>
      <c r="J987" s="77"/>
      <c r="K987" s="67">
        <v>11</v>
      </c>
      <c r="L987" s="72" t="str">
        <f>IF(H987&gt;0,Magick!$AR$30-('Master Spell List'!H981*0.1),"N/A")</f>
        <v>N/A</v>
      </c>
      <c r="M987" s="72">
        <f ca="1">Magick!$H$83</f>
        <v>0.08</v>
      </c>
      <c r="N987" s="72">
        <f ca="1">Magick!$K$83</f>
        <v>0.13</v>
      </c>
      <c r="O987" s="72">
        <f ca="1">Magick!$L$83</f>
        <v>0.13</v>
      </c>
      <c r="P987" s="72">
        <f ca="1">Magick!$M$83</f>
        <v>0.13</v>
      </c>
      <c r="Q987" s="67" t="s">
        <v>4603</v>
      </c>
      <c r="R987" s="67">
        <f ca="1">IF(Q987="Ritual","N/A",IF(Q987="I.E.","N/A",IF(Q987="WOG",VLOOKUP(Magick!$I$83*100,magestuff!$B$134:$F$138,2),IF(Q987="Cantrip",VLOOKUP(Magick!$I$83*100,magestuff!$B$134:$F$138,3),IF(Q987="Hex",VLOOKUP(Magick!$I$83*100,magestuff!$B$134:$F$138,4),VLOOKUP(Magick!$I$83*100,magestuff!$B$134:$F$138,5))))))</f>
        <v>9</v>
      </c>
      <c r="S987" s="69" t="str">
        <f>CONCATENATE(IF(Magick!$C$3&gt;0,5+Magick!$C$3," ")," ft.")</f>
        <v xml:space="preserve">  ft.</v>
      </c>
      <c r="T987" s="294" t="str">
        <f>CONCATENATE(IF(Magick!$C$3&gt;0,Magick!$C$3*3," ")," min.")</f>
        <v xml:space="preserve">  min.</v>
      </c>
      <c r="U987" s="67" t="str">
        <f t="shared" si="129"/>
        <v xml:space="preserve"> </v>
      </c>
      <c r="V987" s="515"/>
      <c r="W987" s="125"/>
      <c r="X987" s="31">
        <f t="shared" si="130"/>
        <v>0</v>
      </c>
      <c r="Y987" s="509"/>
      <c r="Z987" s="1054" t="str">
        <f t="shared" si="131"/>
        <v>Greater Circle of Protection</v>
      </c>
      <c r="AA987" s="1072" t="str">
        <f t="shared" si="132"/>
        <v>Wards</v>
      </c>
    </row>
    <row r="988" spans="1:27" hidden="1" outlineLevel="1">
      <c r="A988" s="31" t="s">
        <v>3679</v>
      </c>
      <c r="B988" s="67">
        <v>7</v>
      </c>
      <c r="C988" s="67">
        <f ca="1">magestuff!$U$211</f>
        <v>7</v>
      </c>
      <c r="D988" s="67">
        <f t="shared" si="128"/>
        <v>0</v>
      </c>
      <c r="E988" s="77" t="e">
        <f ca="1">IF(F988="y",HLOOKUP((IF(C988&lt;1,1,C988)),Magick!$C$20:$L$21,2),NA())</f>
        <v>#N/A</v>
      </c>
      <c r="F988" s="67" t="str">
        <f ca="1">IF(C988&lt;=Magick!$D$3,"Y","N")</f>
        <v>N</v>
      </c>
      <c r="G988" s="148" t="s">
        <v>128</v>
      </c>
      <c r="H988" s="151"/>
      <c r="I988" s="77" t="e">
        <f>IF(H988&gt;0,(HLOOKUP(C988,Magick!$C$20:$L$21,2)-HLOOKUP(H988,Magick!$C$20:$L$21,2)),NA())</f>
        <v>#N/A</v>
      </c>
      <c r="J988" s="77"/>
      <c r="K988" s="67">
        <v>11</v>
      </c>
      <c r="L988" s="72" t="str">
        <f>IF(H988&gt;0,Magick!$AR$30-('Master Spell List'!H982*0.1),"N/A")</f>
        <v>N/A</v>
      </c>
      <c r="M988" s="72">
        <f ca="1">Magick!$H$83</f>
        <v>0.08</v>
      </c>
      <c r="N988" s="72">
        <f ca="1">Magick!$K$83</f>
        <v>0.13</v>
      </c>
      <c r="O988" s="72">
        <f ca="1">Magick!$L$83</f>
        <v>0.13</v>
      </c>
      <c r="P988" s="72">
        <f ca="1">Magick!$M$83</f>
        <v>0.13</v>
      </c>
      <c r="Q988" s="67" t="s">
        <v>4603</v>
      </c>
      <c r="R988" s="67">
        <f ca="1">IF(Q988="Ritual","N/A",IF(Q988="I.E.","N/A",IF(Q988="WOG",VLOOKUP(Magick!$I$83*100,magestuff!$B$134:$F$138,2),IF(Q988="Cantrip",VLOOKUP(Magick!$I$83*100,magestuff!$B$134:$F$138,3),IF(Q988="Hex",VLOOKUP(Magick!$I$83*100,magestuff!$B$134:$F$138,4),VLOOKUP(Magick!$I$83*100,magestuff!$B$134:$F$138,5))))))</f>
        <v>9</v>
      </c>
      <c r="S988" s="69" t="str">
        <f>CONCATENATE(IF(Magick!$C$3&gt;0,5+Magick!$C$3," ")," ft.")</f>
        <v xml:space="preserve">  ft.</v>
      </c>
      <c r="T988" s="294" t="str">
        <f>CONCATENATE(IF(Magick!$C$3&gt;0,45+Magick!$C$3*3," ")," sec.")</f>
        <v xml:space="preserve">  sec.</v>
      </c>
      <c r="U988" s="67" t="str">
        <f t="shared" si="129"/>
        <v xml:space="preserve"> </v>
      </c>
      <c r="V988" s="515"/>
      <c r="W988" s="125"/>
      <c r="X988" s="31">
        <f t="shared" si="130"/>
        <v>0</v>
      </c>
      <c r="Y988" s="509"/>
      <c r="Z988" s="1054" t="str">
        <f t="shared" si="131"/>
        <v>Greater Wards</v>
      </c>
      <c r="AA988" s="1072" t="str">
        <f t="shared" si="132"/>
        <v>Wards</v>
      </c>
    </row>
    <row r="989" spans="1:27" hidden="1" outlineLevel="1">
      <c r="A989" s="31" t="s">
        <v>3680</v>
      </c>
      <c r="B989" s="67">
        <v>9</v>
      </c>
      <c r="C989" s="67">
        <f ca="1">magestuff!$AA$211</f>
        <v>9</v>
      </c>
      <c r="D989" s="67">
        <f t="shared" si="128"/>
        <v>0</v>
      </c>
      <c r="E989" s="77" t="e">
        <f ca="1">IF(F989="y",HLOOKUP((IF(C989&lt;1,1,C989)),Magick!$C$20:$L$21,2),NA())</f>
        <v>#N/A</v>
      </c>
      <c r="F989" s="67" t="str">
        <f ca="1">IF(C989&lt;=Magick!$D$3,"Y","N")</f>
        <v>N</v>
      </c>
      <c r="G989" s="148" t="s">
        <v>128</v>
      </c>
      <c r="H989" s="151"/>
      <c r="I989" s="77" t="e">
        <f>IF(H989&gt;0,(HLOOKUP(C989,Magick!$C$20:$L$21,2)-HLOOKUP(H989,Magick!$C$20:$L$21,2)),NA())</f>
        <v>#N/A</v>
      </c>
      <c r="J989" s="77"/>
      <c r="K989" s="67">
        <v>9</v>
      </c>
      <c r="L989" s="72" t="str">
        <f>IF(H989&gt;0,Magick!$AR$30-('Master Spell List'!H983*0.1),"N/A")</f>
        <v>N/A</v>
      </c>
      <c r="M989" s="72">
        <f ca="1">Magick!$H$83</f>
        <v>0.08</v>
      </c>
      <c r="N989" s="72">
        <f ca="1">Magick!$K$83</f>
        <v>0.13</v>
      </c>
      <c r="O989" s="72">
        <f ca="1">Magick!$L$83</f>
        <v>0.13</v>
      </c>
      <c r="P989" s="72">
        <f ca="1">Magick!$M$83</f>
        <v>0.13</v>
      </c>
      <c r="Q989" s="67" t="s">
        <v>4603</v>
      </c>
      <c r="R989" s="67">
        <f ca="1">IF(Q989="Ritual","N/A",IF(Q989="I.E.","N/A",IF(Q989="WOG",VLOOKUP(Magick!$I$83*100,magestuff!$B$134:$F$138,2),IF(Q989="Cantrip",VLOOKUP(Magick!$I$83*100,magestuff!$B$134:$F$138,3),IF(Q989="Hex",VLOOKUP(Magick!$I$83*100,magestuff!$B$134:$F$138,4),VLOOKUP(Magick!$I$83*100,magestuff!$B$134:$F$138,5))))))</f>
        <v>9</v>
      </c>
      <c r="S989" s="69" t="str">
        <f>CONCATENATE(IF(Magick!$C$3&gt;0,5+Magick!$C$3," ")," ft.")</f>
        <v xml:space="preserve">  ft.</v>
      </c>
      <c r="T989" s="294" t="str">
        <f>CONCATENATE(IF(Magick!$C$3&gt;0,Magick!$C$3*3," ")," min.")</f>
        <v xml:space="preserve">  min.</v>
      </c>
      <c r="U989" s="67" t="str">
        <f t="shared" si="129"/>
        <v xml:space="preserve"> </v>
      </c>
      <c r="V989" s="515"/>
      <c r="W989" s="125"/>
      <c r="X989" s="31">
        <f t="shared" si="130"/>
        <v>0</v>
      </c>
      <c r="Y989" s="509"/>
      <c r="Z989" s="1054" t="str">
        <f t="shared" si="131"/>
        <v>Great Circle of Protection</v>
      </c>
      <c r="AA989" s="1072" t="str">
        <f t="shared" si="132"/>
        <v>Wards</v>
      </c>
    </row>
    <row r="990" spans="1:27" hidden="1" outlineLevel="1">
      <c r="A990" s="83" t="s">
        <v>1016</v>
      </c>
      <c r="B990" s="67">
        <v>9</v>
      </c>
      <c r="C990" s="67">
        <f ca="1">magestuff!$AA$211</f>
        <v>9</v>
      </c>
      <c r="D990" s="67">
        <f t="shared" si="128"/>
        <v>0</v>
      </c>
      <c r="E990" s="77" t="e">
        <f ca="1">IF(F990="y",HLOOKUP((IF(C990&lt;1,1,C990)),Magick!$C$20:$L$21,2),NA())</f>
        <v>#N/A</v>
      </c>
      <c r="F990" s="67" t="str">
        <f ca="1">IF(C990&lt;=Magick!$D$3,"Y","N")</f>
        <v>N</v>
      </c>
      <c r="G990" s="148" t="s">
        <v>129</v>
      </c>
      <c r="H990" s="151"/>
      <c r="I990" s="77" t="e">
        <f>IF(H990&gt;0,(HLOOKUP(C990,Magick!$C$20:$L$21,2)-HLOOKUP(H990,Magick!$C$20:$L$21,2)),NA())</f>
        <v>#N/A</v>
      </c>
      <c r="J990" s="77"/>
      <c r="K990" s="67">
        <v>9</v>
      </c>
      <c r="L990" s="72" t="str">
        <f>IF(H990&gt;0,Magick!$AR$30-('Master Spell List'!H984*0.1),"N/A")</f>
        <v>N/A</v>
      </c>
      <c r="M990" s="72">
        <f ca="1">Magick!$H$83</f>
        <v>0.08</v>
      </c>
      <c r="N990" s="72">
        <f ca="1">Magick!$K$83</f>
        <v>0.13</v>
      </c>
      <c r="O990" s="72">
        <f ca="1">Magick!$L$83</f>
        <v>0.13</v>
      </c>
      <c r="P990" s="72">
        <f ca="1">Magick!$M$83</f>
        <v>0.13</v>
      </c>
      <c r="Q990" s="67" t="s">
        <v>4603</v>
      </c>
      <c r="R990" s="67">
        <f ca="1">IF(Q990="Ritual","N/A",IF(Q990="I.E.","N/A",IF(Q990="WOG",VLOOKUP(Magick!$I$83*100,magestuff!$B$134:$F$138,2),IF(Q990="Cantrip",VLOOKUP(Magick!$I$83*100,magestuff!$B$134:$F$138,3),IF(Q990="Hex",VLOOKUP(Magick!$I$83*100,magestuff!$B$134:$F$138,4),VLOOKUP(Magick!$I$83*100,magestuff!$B$134:$F$138,5))))))</f>
        <v>9</v>
      </c>
      <c r="S990" s="69" t="str">
        <f>CONCATENATE(IF(Magick!$C$3&gt;0,5+Magick!$C$3," ")," ft.")</f>
        <v xml:space="preserve">  ft.</v>
      </c>
      <c r="T990" s="294" t="str">
        <f>CONCATENATE(IF(Magick!$C$3&gt;0,45+Magick!$C$3*3," ")," sec.")</f>
        <v xml:space="preserve">  sec.</v>
      </c>
      <c r="U990" s="67" t="str">
        <f t="shared" si="129"/>
        <v xml:space="preserve"> </v>
      </c>
      <c r="V990" s="515"/>
      <c r="W990" s="125"/>
      <c r="X990" s="31">
        <f t="shared" si="130"/>
        <v>0</v>
      </c>
      <c r="Y990" s="509"/>
      <c r="Z990" s="1054" t="str">
        <f t="shared" si="131"/>
        <v>Great Ward of Protection</v>
      </c>
      <c r="AA990" s="1072" t="str">
        <f t="shared" si="132"/>
        <v>Wards</v>
      </c>
    </row>
    <row r="991" spans="1:27" hidden="1" outlineLevel="1">
      <c r="A991" s="83" t="s">
        <v>3235</v>
      </c>
      <c r="B991" s="67">
        <v>10</v>
      </c>
      <c r="C991" s="67">
        <f ca="1">magestuff!$AD$211</f>
        <v>10</v>
      </c>
      <c r="D991" s="67">
        <f t="shared" si="128"/>
        <v>0</v>
      </c>
      <c r="E991" s="77" t="e">
        <f ca="1">IF(F991="y",HLOOKUP((IF(C991&lt;1,1,C991)),Magick!$C$20:$L$21,2),NA())</f>
        <v>#N/A</v>
      </c>
      <c r="F991" s="67" t="str">
        <f ca="1">IF(C991&lt;=Magick!$D$3,"Y","N")</f>
        <v>N</v>
      </c>
      <c r="G991" s="148" t="s">
        <v>1617</v>
      </c>
      <c r="H991" s="151"/>
      <c r="I991" s="77" t="e">
        <f>IF(H991&gt;0,(HLOOKUP(C991,Magick!$C$20:$L$21,2)-HLOOKUP(H991,Magick!$C$20:$L$21,2)),NA())</f>
        <v>#N/A</v>
      </c>
      <c r="J991" s="77"/>
      <c r="K991" s="67">
        <v>23</v>
      </c>
      <c r="L991" s="72" t="str">
        <f>IF(H991&gt;0,Magick!$AR$30-('Master Spell List'!H987*0.1),"N/A")</f>
        <v>N/A</v>
      </c>
      <c r="M991" s="72">
        <f ca="1">Magick!$H$83</f>
        <v>0.08</v>
      </c>
      <c r="N991" s="72">
        <f ca="1">Magick!$K$83</f>
        <v>0.13</v>
      </c>
      <c r="O991" s="72">
        <f ca="1">Magick!$L$83</f>
        <v>0.13</v>
      </c>
      <c r="P991" s="72">
        <f ca="1">Magick!$M$83</f>
        <v>0.13</v>
      </c>
      <c r="Q991" s="67" t="s">
        <v>113</v>
      </c>
      <c r="R991" s="67" t="str">
        <f>IF(Q991="Ritual","N/A",IF(Q991="I.E.","N/A",IF(Q991="WOG",VLOOKUP(Magick!$I$83*100,magestuff!$B$134:$F$138,2),IF(Q991="Cantrip",VLOOKUP(Magick!$I$83*100,magestuff!$B$134:$F$138,3),IF(Q991="Hex",VLOOKUP(Magick!$I$83*100,magestuff!$B$134:$F$138,4),VLOOKUP(Magick!$I$83*100,magestuff!$B$134:$F$138,5))))))</f>
        <v>N/A</v>
      </c>
      <c r="S991" s="69" t="str">
        <f>CONCATENATE(IF(Magick!$C$3&gt;0,5+Magick!$C$3," ")," ft.")</f>
        <v xml:space="preserve">  ft.</v>
      </c>
      <c r="T991" s="294" t="str">
        <f>CONCATENATE(IF(Magick!$C$3&gt;0,Magick!$C$3," ")," hr.")</f>
        <v xml:space="preserve">  hr.</v>
      </c>
      <c r="U991" s="67" t="str">
        <f t="shared" si="129"/>
        <v xml:space="preserve"> </v>
      </c>
      <c r="V991" s="515"/>
      <c r="W991" s="125"/>
      <c r="X991" s="31">
        <f t="shared" si="130"/>
        <v>0</v>
      </c>
      <c r="Y991" s="509"/>
      <c r="Z991" s="1054" t="str">
        <f t="shared" si="131"/>
        <v>Vulcan's Circle of Protection</v>
      </c>
      <c r="AA991" s="1072" t="str">
        <f t="shared" si="132"/>
        <v>Wards</v>
      </c>
    </row>
    <row r="992" spans="1:27" collapsed="1">
      <c r="A992" s="48" t="s">
        <v>776</v>
      </c>
      <c r="B992" s="76">
        <f>SUM(B993:B1014)</f>
        <v>103</v>
      </c>
      <c r="C992" s="76" t="e">
        <f ca="1">SUM(C993:C1014)</f>
        <v>#N/A</v>
      </c>
      <c r="D992" s="76">
        <f>SUM(D993:D1014)</f>
        <v>0</v>
      </c>
      <c r="E992" s="76"/>
      <c r="F992" s="149" t="e">
        <f ca="1">SUM(C993:C997)+IF(F998="Y",SUM(C998:C1000),0)+IF(F1001="Y",SUM(C1001:C1003),0)+IF(F1004="Y",SUM(C1004:C1006),0)+IF(F1007="Y",SUM(C1010:C1011),0)+IF(F1012="Y",SUM(C1012),0)+IF(F1013="Y",SUM(C1013),0)+IF(F1014="Y",SUM(C1014),0)</f>
        <v>#N/A</v>
      </c>
      <c r="G992" s="76"/>
      <c r="H992" s="150"/>
      <c r="I992" s="76"/>
      <c r="J992" s="76"/>
      <c r="K992" s="76"/>
      <c r="L992" s="76"/>
      <c r="M992" s="222">
        <f ca="1">Magick!$H$70</f>
        <v>0.08</v>
      </c>
      <c r="N992" s="222">
        <f ca="1">Magick!$K$70</f>
        <v>0.1</v>
      </c>
      <c r="O992" s="222">
        <f ca="1">Magick!$L$70</f>
        <v>0.1</v>
      </c>
      <c r="P992" s="222">
        <f ca="1">Magick!$M$70</f>
        <v>0.1</v>
      </c>
      <c r="Q992" s="76"/>
      <c r="R992" s="76"/>
      <c r="S992" s="76"/>
      <c r="T992" s="76"/>
      <c r="U992" s="149">
        <f>SUM(U993:U1014)</f>
        <v>0</v>
      </c>
      <c r="V992" s="76"/>
      <c r="W992" s="76"/>
      <c r="X992" s="149"/>
      <c r="Y992" s="509"/>
      <c r="Z992" s="1054" t="str">
        <f t="shared" si="131"/>
        <v>Bow Magick</v>
      </c>
      <c r="AA992" s="1072" t="str">
        <f t="shared" si="132"/>
        <v>Wards</v>
      </c>
    </row>
    <row r="993" spans="1:27" hidden="1" outlineLevel="1">
      <c r="A993" s="83" t="s">
        <v>1801</v>
      </c>
      <c r="B993" s="67">
        <v>1</v>
      </c>
      <c r="C993" s="67" t="e">
        <f ca="1">IF(magestuff!$C$198&lt;1,1,magestuff!$C$198)</f>
        <v>#N/A</v>
      </c>
      <c r="D993" s="67">
        <f t="shared" ref="D993:D1014" si="133">IF(AND(ISNUMBER(H993),H993=0),C993,0)</f>
        <v>0</v>
      </c>
      <c r="E993" s="77" t="e">
        <f ca="1">IF(F993="y",HLOOKUP((IF(C993&lt;1,1,C993)),Magick!$C$20:$L$21,2),NA())</f>
        <v>#N/A</v>
      </c>
      <c r="F993" s="67" t="e">
        <f ca="1">IF(C993&lt;=Magick!$D$3,"Y","N")</f>
        <v>#N/A</v>
      </c>
      <c r="G993" s="148" t="s">
        <v>1615</v>
      </c>
      <c r="H993" s="151"/>
      <c r="I993" s="77" t="e">
        <f>IF(H993&gt;0,(HLOOKUP(C993,Magick!$C$20:$L$21,2)-HLOOKUP(H993,Magick!$C$20:$L$21,2)),NA())</f>
        <v>#N/A</v>
      </c>
      <c r="J993" s="77"/>
      <c r="K993" s="67">
        <v>4</v>
      </c>
      <c r="L993" s="72" t="str">
        <f>IF(H993&gt;0,Magick!$AR$30-('Master Spell List'!H994*0.1),"N/A")</f>
        <v>N/A</v>
      </c>
      <c r="M993" s="72">
        <f ca="1">Magick!$H$70</f>
        <v>0.08</v>
      </c>
      <c r="N993" s="72">
        <f ca="1">Magick!$K$70</f>
        <v>0.1</v>
      </c>
      <c r="O993" s="72">
        <f ca="1">Magick!$L$70</f>
        <v>0.1</v>
      </c>
      <c r="P993" s="72">
        <f ca="1">Magick!$M$70</f>
        <v>0.1</v>
      </c>
      <c r="Q993" s="67" t="s">
        <v>4602</v>
      </c>
      <c r="R993" s="67">
        <f ca="1">IF(Q993="Ritual","N/A",IF(Q993="I.E.","N/A",IF(Q993="WOG",VLOOKUP(Magick!$I$70*100,magestuff!$B$134:$F$138,2),IF(Q993="Cantrip",VLOOKUP(Magick!$I$70*100,magestuff!$B$134:$F$138,3),IF(Q993="Hex",VLOOKUP(Magick!$I$70*100,magestuff!$B$134:$F$138,4),VLOOKUP(Magick!$I$70*100,magestuff!$B$134:$F$138,5))))))</f>
        <v>19</v>
      </c>
      <c r="S993" s="69" t="s">
        <v>1984</v>
      </c>
      <c r="T993" s="69" t="s">
        <v>3725</v>
      </c>
      <c r="U993" s="67" t="str">
        <f t="shared" ref="U993:U1014" si="134">IF(ISBLANK(H993)," ",IF(H993&gt;0,0,C993*10))</f>
        <v xml:space="preserve"> </v>
      </c>
      <c r="V993" s="515"/>
      <c r="W993" s="125"/>
      <c r="X993" s="31">
        <f t="shared" ref="X993:X1014" si="135">W993*3</f>
        <v>0</v>
      </c>
      <c r="Y993" s="509"/>
      <c r="Z993" s="1054" t="str">
        <f t="shared" si="131"/>
        <v>Shape Wood</v>
      </c>
      <c r="AA993" s="1072" t="str">
        <f t="shared" si="132"/>
        <v>Wards</v>
      </c>
    </row>
    <row r="994" spans="1:27" hidden="1" outlineLevel="1">
      <c r="A994" s="83" t="s">
        <v>5255</v>
      </c>
      <c r="B994" s="67">
        <v>1</v>
      </c>
      <c r="C994" s="67" t="e">
        <f ca="1">IF(magestuff!$C$198&lt;1,1,magestuff!$C$198)</f>
        <v>#N/A</v>
      </c>
      <c r="D994" s="67">
        <f t="shared" si="133"/>
        <v>0</v>
      </c>
      <c r="E994" s="77" t="e">
        <f ca="1">IF(F994="y",HLOOKUP((IF(C994&lt;1,1,C994)),Magick!$C$20:$L$21,2),NA())</f>
        <v>#N/A</v>
      </c>
      <c r="F994" s="67" t="e">
        <f ca="1">IF(C994&lt;=Magick!$D$3,"Y","N")</f>
        <v>#N/A</v>
      </c>
      <c r="G994" s="148" t="s">
        <v>1615</v>
      </c>
      <c r="H994" s="151"/>
      <c r="I994" s="77" t="e">
        <f>IF(H994&gt;0,(HLOOKUP(C994,Magick!$C$20:$L$21,2)-HLOOKUP(H994,Magick!$C$20:$L$21,2)),NA())</f>
        <v>#N/A</v>
      </c>
      <c r="J994" s="77"/>
      <c r="K994" s="67">
        <v>4</v>
      </c>
      <c r="L994" s="72" t="str">
        <f>IF(H994&gt;0,Magick!$AR$30-('Master Spell List'!H993*0.1),"N/A")</f>
        <v>N/A</v>
      </c>
      <c r="M994" s="72">
        <f ca="1">Magick!$H$70</f>
        <v>0.08</v>
      </c>
      <c r="N994" s="72">
        <f ca="1">Magick!$K$70</f>
        <v>0.1</v>
      </c>
      <c r="O994" s="72">
        <f ca="1">Magick!$L$70</f>
        <v>0.1</v>
      </c>
      <c r="P994" s="72">
        <f ca="1">Magick!$M$70</f>
        <v>0.1</v>
      </c>
      <c r="Q994" s="67" t="s">
        <v>3723</v>
      </c>
      <c r="R994" s="67">
        <f ca="1">IF(Q994="Ritual","N/A",IF(Q994="I.E.","N/A",IF(Q994="WOG",VLOOKUP(Magick!$I$70*100,magestuff!$B$134:$F$138,2),IF(Q994="Cantrip",VLOOKUP(Magick!$I$70*100,magestuff!$B$134:$F$138,3),IF(Q994="Hex",VLOOKUP(Magick!$I$70*100,magestuff!$B$134:$F$138,4),VLOOKUP(Magick!$I$70*100,magestuff!$B$134:$F$138,5))))))</f>
        <v>29</v>
      </c>
      <c r="S994" s="69" t="s">
        <v>1984</v>
      </c>
      <c r="T994" s="69" t="s">
        <v>3725</v>
      </c>
      <c r="U994" s="67" t="str">
        <f t="shared" si="134"/>
        <v xml:space="preserve"> </v>
      </c>
      <c r="V994" s="515"/>
      <c r="W994" s="125"/>
      <c r="X994" s="31">
        <f t="shared" si="135"/>
        <v>0</v>
      </c>
      <c r="Y994" s="509"/>
      <c r="Z994" s="1054" t="str">
        <f t="shared" si="131"/>
        <v>Wings of Flight</v>
      </c>
      <c r="AA994" s="1072" t="str">
        <f t="shared" si="132"/>
        <v>Wards</v>
      </c>
    </row>
    <row r="995" spans="1:27" hidden="1" outlineLevel="1">
      <c r="A995" s="83" t="s">
        <v>1802</v>
      </c>
      <c r="B995" s="67">
        <v>2</v>
      </c>
      <c r="C995" s="67" t="e">
        <f ca="1">IF(magestuff!$F$198&lt;1,1,magestuff!$F$198)</f>
        <v>#N/A</v>
      </c>
      <c r="D995" s="67">
        <f t="shared" si="133"/>
        <v>0</v>
      </c>
      <c r="E995" s="77" t="e">
        <f ca="1">IF(F995="y",HLOOKUP((IF(C995&lt;1,1,C995)),Magick!$C$20:$L$21,2),NA())</f>
        <v>#N/A</v>
      </c>
      <c r="F995" s="67" t="e">
        <f ca="1">IF(C995&lt;=Magick!$D$3,"Y","N")</f>
        <v>#N/A</v>
      </c>
      <c r="G995" s="148" t="s">
        <v>1615</v>
      </c>
      <c r="H995" s="151"/>
      <c r="I995" s="77" t="e">
        <f>IF(H995&gt;0,(HLOOKUP(C995,Magick!$C$20:$L$21,2)-HLOOKUP(H995,Magick!$C$20:$L$21,2)),NA())</f>
        <v>#N/A</v>
      </c>
      <c r="J995" s="77"/>
      <c r="K995" s="67">
        <v>5</v>
      </c>
      <c r="L995" s="72" t="str">
        <f>IF(H995&gt;0,Magick!$AR$30-('Master Spell List'!H995*0.1),"N/A")</f>
        <v>N/A</v>
      </c>
      <c r="M995" s="72">
        <f ca="1">Magick!$H$70</f>
        <v>0.08</v>
      </c>
      <c r="N995" s="72">
        <f ca="1">Magick!$K$70</f>
        <v>0.1</v>
      </c>
      <c r="O995" s="72">
        <f ca="1">Magick!$L$70</f>
        <v>0.1</v>
      </c>
      <c r="P995" s="72">
        <f ca="1">Magick!$M$70</f>
        <v>0.1</v>
      </c>
      <c r="Q995" s="67" t="s">
        <v>4602</v>
      </c>
      <c r="R995" s="67">
        <f ca="1">IF(Q995="Ritual","N/A",IF(Q995="I.E.","N/A",IF(Q995="WOG",VLOOKUP(Magick!$I$70*100,magestuff!$B$134:$F$138,2),IF(Q995="Cantrip",VLOOKUP(Magick!$I$70*100,magestuff!$B$134:$F$138,3),IF(Q995="Hex",VLOOKUP(Magick!$I$70*100,magestuff!$B$134:$F$138,4),VLOOKUP(Magick!$I$70*100,magestuff!$B$134:$F$138,5))))))</f>
        <v>19</v>
      </c>
      <c r="S995" s="69" t="s">
        <v>1984</v>
      </c>
      <c r="T995" s="69" t="s">
        <v>3725</v>
      </c>
      <c r="U995" s="67" t="str">
        <f t="shared" si="134"/>
        <v xml:space="preserve"> </v>
      </c>
      <c r="V995" s="515"/>
      <c r="W995" s="125"/>
      <c r="X995" s="31">
        <f t="shared" si="135"/>
        <v>0</v>
      </c>
      <c r="Y995" s="509"/>
      <c r="Z995" s="1054" t="str">
        <f t="shared" si="131"/>
        <v>Magical Bowery +4</v>
      </c>
      <c r="AA995" s="1072" t="str">
        <f t="shared" si="132"/>
        <v>Wards</v>
      </c>
    </row>
    <row r="996" spans="1:27" hidden="1" outlineLevel="1">
      <c r="A996" s="83" t="s">
        <v>1803</v>
      </c>
      <c r="B996" s="67">
        <v>2</v>
      </c>
      <c r="C996" s="67" t="e">
        <f ca="1">IF(magestuff!$F$198&lt;1,1,magestuff!$F$198)</f>
        <v>#N/A</v>
      </c>
      <c r="D996" s="67">
        <f t="shared" si="133"/>
        <v>0</v>
      </c>
      <c r="E996" s="77" t="e">
        <f ca="1">IF(F996="y",HLOOKUP((IF(C996&lt;1,1,C996)),Magick!$C$20:$L$21,2),NA())</f>
        <v>#N/A</v>
      </c>
      <c r="F996" s="67" t="e">
        <f ca="1">IF(C996&lt;=Magick!$D$3,"Y","N")</f>
        <v>#N/A</v>
      </c>
      <c r="G996" s="148" t="s">
        <v>1615</v>
      </c>
      <c r="H996" s="151"/>
      <c r="I996" s="77" t="e">
        <f>IF(H996&gt;0,(HLOOKUP(C996,Magick!$C$20:$L$21,2)-HLOOKUP(H996,Magick!$C$20:$L$21,2)),NA())</f>
        <v>#N/A</v>
      </c>
      <c r="J996" s="77"/>
      <c r="K996" s="67">
        <v>5</v>
      </c>
      <c r="L996" s="72" t="str">
        <f>IF(H996&gt;0,Magick!$AR$30-('Master Spell List'!H996*0.1),"N/A")</f>
        <v>N/A</v>
      </c>
      <c r="M996" s="72">
        <f ca="1">Magick!$H$70</f>
        <v>0.08</v>
      </c>
      <c r="N996" s="72">
        <f ca="1">Magick!$K$70</f>
        <v>0.1</v>
      </c>
      <c r="O996" s="72">
        <f ca="1">Magick!$L$70</f>
        <v>0.1</v>
      </c>
      <c r="P996" s="72">
        <f ca="1">Magick!$M$70</f>
        <v>0.1</v>
      </c>
      <c r="Q996" s="67" t="s">
        <v>4602</v>
      </c>
      <c r="R996" s="67">
        <f ca="1">IF(Q996="Ritual","N/A",IF(Q996="I.E.","N/A",IF(Q996="WOG",VLOOKUP(Magick!$I$70*100,magestuff!$B$134:$F$138,2),IF(Q996="Cantrip",VLOOKUP(Magick!$I$70*100,magestuff!$B$134:$F$138,3),IF(Q996="Hex",VLOOKUP(Magick!$I$70*100,magestuff!$B$134:$F$138,4),VLOOKUP(Magick!$I$70*100,magestuff!$B$134:$F$138,5))))))</f>
        <v>19</v>
      </c>
      <c r="S996" s="69" t="s">
        <v>1984</v>
      </c>
      <c r="T996" s="69" t="s">
        <v>3725</v>
      </c>
      <c r="U996" s="67" t="str">
        <f t="shared" si="134"/>
        <v xml:space="preserve"> </v>
      </c>
      <c r="V996" s="515"/>
      <c r="W996" s="125"/>
      <c r="X996" s="31">
        <f t="shared" si="135"/>
        <v>0</v>
      </c>
      <c r="Y996" s="509"/>
      <c r="Z996" s="1054" t="str">
        <f t="shared" si="131"/>
        <v>Magical Fletching +4</v>
      </c>
      <c r="AA996" s="1072" t="str">
        <f t="shared" si="132"/>
        <v>Wards</v>
      </c>
    </row>
    <row r="997" spans="1:27" hidden="1" outlineLevel="1">
      <c r="A997" s="83" t="s">
        <v>1709</v>
      </c>
      <c r="B997" s="67">
        <v>2</v>
      </c>
      <c r="C997" s="67" t="e">
        <f ca="1">IF(magestuff!$F$198&lt;1,1,magestuff!$F$198)</f>
        <v>#N/A</v>
      </c>
      <c r="D997" s="67">
        <f t="shared" si="133"/>
        <v>0</v>
      </c>
      <c r="E997" s="77" t="e">
        <f ca="1">IF(F997="y",HLOOKUP((IF(C997&lt;1,1,C997)),Magick!$C$20:$L$21,2),NA())</f>
        <v>#N/A</v>
      </c>
      <c r="F997" s="67" t="e">
        <f ca="1">IF(C997&lt;=Magick!$D$3,"Y","N")</f>
        <v>#N/A</v>
      </c>
      <c r="G997" s="148" t="s">
        <v>1615</v>
      </c>
      <c r="H997" s="151"/>
      <c r="I997" s="77" t="e">
        <f>IF(H997&gt;0,(HLOOKUP(C997,Magick!$C$20:$L$21,2)-HLOOKUP(H997,Magick!$C$20:$L$21,2)),NA())</f>
        <v>#N/A</v>
      </c>
      <c r="J997" s="77"/>
      <c r="K997" s="67">
        <v>5</v>
      </c>
      <c r="L997" s="72" t="str">
        <f>IF(H997&gt;0,Magick!$AR$30-('Master Spell List'!H997*0.1),"N/A")</f>
        <v>N/A</v>
      </c>
      <c r="M997" s="72">
        <f ca="1">Magick!$H$70</f>
        <v>0.08</v>
      </c>
      <c r="N997" s="72">
        <f ca="1">Magick!$K$70</f>
        <v>0.1</v>
      </c>
      <c r="O997" s="72">
        <f ca="1">Magick!$L$70</f>
        <v>0.1</v>
      </c>
      <c r="P997" s="72">
        <f ca="1">Magick!$M$70</f>
        <v>0.1</v>
      </c>
      <c r="Q997" s="67" t="s">
        <v>4602</v>
      </c>
      <c r="R997" s="67">
        <f ca="1">IF(Q997="Ritual","N/A",IF(Q997="I.E.","N/A",IF(Q997="WOG",VLOOKUP(Magick!$I$70*100,magestuff!$B$134:$F$138,2),IF(Q997="Cantrip",VLOOKUP(Magick!$I$70*100,magestuff!$B$134:$F$138,3),IF(Q997="Hex",VLOOKUP(Magick!$I$70*100,magestuff!$B$134:$F$138,4),VLOOKUP(Magick!$I$70*100,magestuff!$B$134:$F$138,5))))))</f>
        <v>19</v>
      </c>
      <c r="S997" s="69" t="s">
        <v>1984</v>
      </c>
      <c r="T997" s="69" t="s">
        <v>3725</v>
      </c>
      <c r="U997" s="67" t="str">
        <f t="shared" si="134"/>
        <v xml:space="preserve"> </v>
      </c>
      <c r="V997" s="515"/>
      <c r="W997" s="125"/>
      <c r="X997" s="31">
        <f t="shared" si="135"/>
        <v>0</v>
      </c>
      <c r="Y997" s="509"/>
      <c r="Z997" s="1054" t="str">
        <f t="shared" si="131"/>
        <v>Strike with Power +4</v>
      </c>
      <c r="AA997" s="1072" t="str">
        <f t="shared" si="132"/>
        <v>Wards</v>
      </c>
    </row>
    <row r="998" spans="1:27" hidden="1" outlineLevel="1">
      <c r="A998" s="83" t="s">
        <v>1710</v>
      </c>
      <c r="B998" s="67">
        <v>3</v>
      </c>
      <c r="C998" s="67" t="e">
        <f ca="1">IF(magestuff!$I$198&lt;1,1,magestuff!$I$198)</f>
        <v>#N/A</v>
      </c>
      <c r="D998" s="67">
        <f t="shared" si="133"/>
        <v>0</v>
      </c>
      <c r="E998" s="77" t="e">
        <f ca="1">IF(F998="y",HLOOKUP((IF(C998&lt;1,1,C998)),Magick!$C$20:$L$21,2),NA())</f>
        <v>#N/A</v>
      </c>
      <c r="F998" s="67" t="e">
        <f ca="1">IF(C998&lt;=Magick!$D$3,"Y","N")</f>
        <v>#N/A</v>
      </c>
      <c r="G998" s="148" t="s">
        <v>1615</v>
      </c>
      <c r="H998" s="151"/>
      <c r="I998" s="77" t="e">
        <f>IF(H998&gt;0,(HLOOKUP(C998,Magick!$C$20:$L$21,2)-HLOOKUP(H998,Magick!$C$20:$L$21,2)),NA())</f>
        <v>#N/A</v>
      </c>
      <c r="J998" s="77"/>
      <c r="K998" s="67">
        <v>6</v>
      </c>
      <c r="L998" s="72" t="str">
        <f>IF(H998&gt;0,Magick!$AR$30-('Master Spell List'!H998*0.1),"N/A")</f>
        <v>N/A</v>
      </c>
      <c r="M998" s="72">
        <f ca="1">Magick!$H$70</f>
        <v>0.08</v>
      </c>
      <c r="N998" s="72">
        <f ca="1">Magick!$K$70</f>
        <v>0.1</v>
      </c>
      <c r="O998" s="72">
        <f ca="1">Magick!$L$70</f>
        <v>0.1</v>
      </c>
      <c r="P998" s="72">
        <f ca="1">Magick!$M$70</f>
        <v>0.1</v>
      </c>
      <c r="Q998" s="67" t="s">
        <v>4602</v>
      </c>
      <c r="R998" s="67">
        <f ca="1">IF(Q998="Ritual","N/A",IF(Q998="I.E.","N/A",IF(Q998="WOG",VLOOKUP(Magick!$I$70*100,magestuff!$B$134:$F$138,2),IF(Q998="Cantrip",VLOOKUP(Magick!$I$70*100,magestuff!$B$134:$F$138,3),IF(Q998="Hex",VLOOKUP(Magick!$I$70*100,magestuff!$B$134:$F$138,4),VLOOKUP(Magick!$I$70*100,magestuff!$B$134:$F$138,5))))))</f>
        <v>19</v>
      </c>
      <c r="S998" s="69" t="s">
        <v>1984</v>
      </c>
      <c r="T998" s="69" t="s">
        <v>3725</v>
      </c>
      <c r="U998" s="67" t="str">
        <f t="shared" si="134"/>
        <v xml:space="preserve"> </v>
      </c>
      <c r="V998" s="515"/>
      <c r="W998" s="125"/>
      <c r="X998" s="31">
        <f t="shared" si="135"/>
        <v>0</v>
      </c>
      <c r="Y998" s="509"/>
      <c r="Z998" s="1054" t="str">
        <f t="shared" si="131"/>
        <v>Magical Bowery +5</v>
      </c>
      <c r="AA998" s="1072" t="str">
        <f t="shared" si="132"/>
        <v>Wards</v>
      </c>
    </row>
    <row r="999" spans="1:27" hidden="1" outlineLevel="1">
      <c r="A999" s="83" t="s">
        <v>1711</v>
      </c>
      <c r="B999" s="67">
        <v>3</v>
      </c>
      <c r="C999" s="67" t="e">
        <f ca="1">IF(magestuff!$I$198&lt;1,1,magestuff!$I$198)</f>
        <v>#N/A</v>
      </c>
      <c r="D999" s="67">
        <f t="shared" si="133"/>
        <v>0</v>
      </c>
      <c r="E999" s="77" t="e">
        <f ca="1">IF(F999="y",HLOOKUP((IF(C999&lt;1,1,C999)),Magick!$C$20:$L$21,2),NA())</f>
        <v>#N/A</v>
      </c>
      <c r="F999" s="67" t="e">
        <f ca="1">IF(C999&lt;=Magick!$D$3,"Y","N")</f>
        <v>#N/A</v>
      </c>
      <c r="G999" s="148" t="s">
        <v>1615</v>
      </c>
      <c r="H999" s="151"/>
      <c r="I999" s="77" t="e">
        <f>IF(H999&gt;0,(HLOOKUP(C999,Magick!$C$20:$L$21,2)-HLOOKUP(H999,Magick!$C$20:$L$21,2)),NA())</f>
        <v>#N/A</v>
      </c>
      <c r="J999" s="77"/>
      <c r="K999" s="67">
        <v>6</v>
      </c>
      <c r="L999" s="72" t="str">
        <f>IF(H999&gt;0,Magick!$AR$30-('Master Spell List'!H999*0.1),"N/A")</f>
        <v>N/A</v>
      </c>
      <c r="M999" s="72">
        <f ca="1">Magick!$H$70</f>
        <v>0.08</v>
      </c>
      <c r="N999" s="72">
        <f ca="1">Magick!$K$70</f>
        <v>0.1</v>
      </c>
      <c r="O999" s="72">
        <f ca="1">Magick!$L$70</f>
        <v>0.1</v>
      </c>
      <c r="P999" s="72">
        <f ca="1">Magick!$M$70</f>
        <v>0.1</v>
      </c>
      <c r="Q999" s="67" t="s">
        <v>4602</v>
      </c>
      <c r="R999" s="67">
        <f ca="1">IF(Q999="Ritual","N/A",IF(Q999="I.E.","N/A",IF(Q999="WOG",VLOOKUP(Magick!$I$70*100,magestuff!$B$134:$F$138,2),IF(Q999="Cantrip",VLOOKUP(Magick!$I$70*100,magestuff!$B$134:$F$138,3),IF(Q999="Hex",VLOOKUP(Magick!$I$70*100,magestuff!$B$134:$F$138,4),VLOOKUP(Magick!$I$70*100,magestuff!$B$134:$F$138,5))))))</f>
        <v>19</v>
      </c>
      <c r="S999" s="69" t="s">
        <v>1984</v>
      </c>
      <c r="T999" s="69" t="s">
        <v>3725</v>
      </c>
      <c r="U999" s="67" t="str">
        <f t="shared" si="134"/>
        <v xml:space="preserve"> </v>
      </c>
      <c r="V999" s="515"/>
      <c r="W999" s="125"/>
      <c r="X999" s="31">
        <f t="shared" si="135"/>
        <v>0</v>
      </c>
      <c r="Y999" s="509"/>
      <c r="Z999" s="1054" t="str">
        <f t="shared" si="131"/>
        <v>Magical Fletching +5</v>
      </c>
      <c r="AA999" s="1072" t="str">
        <f t="shared" si="132"/>
        <v>Wards</v>
      </c>
    </row>
    <row r="1000" spans="1:27" hidden="1" outlineLevel="1">
      <c r="A1000" s="83" t="s">
        <v>1712</v>
      </c>
      <c r="B1000" s="67">
        <v>3</v>
      </c>
      <c r="C1000" s="67" t="e">
        <f ca="1">IF(magestuff!$I$198&lt;1,1,magestuff!$I$198)</f>
        <v>#N/A</v>
      </c>
      <c r="D1000" s="67">
        <f t="shared" si="133"/>
        <v>0</v>
      </c>
      <c r="E1000" s="77" t="e">
        <f ca="1">IF(F1000="y",HLOOKUP((IF(C1000&lt;1,1,C1000)),Magick!$C$20:$L$21,2),NA())</f>
        <v>#N/A</v>
      </c>
      <c r="F1000" s="67" t="e">
        <f ca="1">IF(C1000&lt;=Magick!$D$3,"Y","N")</f>
        <v>#N/A</v>
      </c>
      <c r="G1000" s="148" t="s">
        <v>1615</v>
      </c>
      <c r="H1000" s="151"/>
      <c r="I1000" s="77" t="e">
        <f>IF(H1000&gt;0,(HLOOKUP(C1000,Magick!$C$20:$L$21,2)-HLOOKUP(H1000,Magick!$C$20:$L$21,2)),NA())</f>
        <v>#N/A</v>
      </c>
      <c r="J1000" s="77"/>
      <c r="K1000" s="67">
        <v>6</v>
      </c>
      <c r="L1000" s="72" t="str">
        <f>IF(H1000&gt;0,Magick!$AR$30-('Master Spell List'!H1000*0.1),"N/A")</f>
        <v>N/A</v>
      </c>
      <c r="M1000" s="72">
        <f ca="1">Magick!$H$70</f>
        <v>0.08</v>
      </c>
      <c r="N1000" s="72">
        <f ca="1">Magick!$K$70</f>
        <v>0.1</v>
      </c>
      <c r="O1000" s="72">
        <f ca="1">Magick!$L$70</f>
        <v>0.1</v>
      </c>
      <c r="P1000" s="72">
        <f ca="1">Magick!$M$70</f>
        <v>0.1</v>
      </c>
      <c r="Q1000" s="67" t="s">
        <v>4602</v>
      </c>
      <c r="R1000" s="67">
        <f ca="1">IF(Q1000="Ritual","N/A",IF(Q1000="I.E.","N/A",IF(Q1000="WOG",VLOOKUP(Magick!$I$70*100,magestuff!$B$134:$F$138,2),IF(Q1000="Cantrip",VLOOKUP(Magick!$I$70*100,magestuff!$B$134:$F$138,3),IF(Q1000="Hex",VLOOKUP(Magick!$I$70*100,magestuff!$B$134:$F$138,4),VLOOKUP(Magick!$I$70*100,magestuff!$B$134:$F$138,5))))))</f>
        <v>19</v>
      </c>
      <c r="S1000" s="69" t="s">
        <v>1984</v>
      </c>
      <c r="T1000" s="69" t="s">
        <v>3725</v>
      </c>
      <c r="U1000" s="67" t="str">
        <f t="shared" si="134"/>
        <v xml:space="preserve"> </v>
      </c>
      <c r="V1000" s="515"/>
      <c r="W1000" s="125"/>
      <c r="X1000" s="31">
        <f t="shared" si="135"/>
        <v>0</v>
      </c>
      <c r="Y1000" s="509"/>
      <c r="Z1000" s="1054" t="str">
        <f t="shared" si="131"/>
        <v>Strike with Power +5</v>
      </c>
      <c r="AA1000" s="1072" t="str">
        <f t="shared" si="132"/>
        <v>Wards</v>
      </c>
    </row>
    <row r="1001" spans="1:27" hidden="1" outlineLevel="1">
      <c r="A1001" s="83" t="s">
        <v>5345</v>
      </c>
      <c r="B1001" s="67">
        <v>4</v>
      </c>
      <c r="C1001" s="67" t="e">
        <f ca="1">magestuff!$L$198</f>
        <v>#N/A</v>
      </c>
      <c r="D1001" s="67">
        <f t="shared" si="133"/>
        <v>0</v>
      </c>
      <c r="E1001" s="77" t="e">
        <f ca="1">IF(F1001="y",HLOOKUP((IF(C1001&lt;1,1,C1001)),Magick!$C$20:$L$21,2),NA())</f>
        <v>#N/A</v>
      </c>
      <c r="F1001" s="67" t="e">
        <f ca="1">IF(C1001&lt;=Magick!$D$3,"Y","N")</f>
        <v>#N/A</v>
      </c>
      <c r="G1001" s="148" t="s">
        <v>1615</v>
      </c>
      <c r="H1001" s="151"/>
      <c r="I1001" s="77" t="e">
        <f>IF(H1001&gt;0,(HLOOKUP(C1001,Magick!$C$20:$L$21,2)-HLOOKUP(H1001,Magick!$C$20:$L$21,2)),NA())</f>
        <v>#N/A</v>
      </c>
      <c r="J1001" s="77"/>
      <c r="K1001" s="67">
        <v>7</v>
      </c>
      <c r="L1001" s="72" t="str">
        <f>IF(H1001&gt;0,Magick!$AR$30-('Master Spell List'!H1001*0.1),"N/A")</f>
        <v>N/A</v>
      </c>
      <c r="M1001" s="72">
        <f ca="1">Magick!$H$70</f>
        <v>0.08</v>
      </c>
      <c r="N1001" s="72">
        <f ca="1">Magick!$K$70</f>
        <v>0.1</v>
      </c>
      <c r="O1001" s="72">
        <f ca="1">Magick!$L$70</f>
        <v>0.1</v>
      </c>
      <c r="P1001" s="72">
        <f ca="1">Magick!$M$70</f>
        <v>0.1</v>
      </c>
      <c r="Q1001" s="67" t="s">
        <v>4602</v>
      </c>
      <c r="R1001" s="67">
        <f ca="1">IF(Q1001="Ritual","N/A",IF(Q1001="I.E.","N/A",IF(Q1001="WOG",VLOOKUP(Magick!$I$70*100,magestuff!$B$134:$F$138,2),IF(Q1001="Cantrip",VLOOKUP(Magick!$I$70*100,magestuff!$B$134:$F$138,3),IF(Q1001="Hex",VLOOKUP(Magick!$I$70*100,magestuff!$B$134:$F$138,4),VLOOKUP(Magick!$I$70*100,magestuff!$B$134:$F$138,5))))))</f>
        <v>19</v>
      </c>
      <c r="S1001" s="69" t="s">
        <v>1984</v>
      </c>
      <c r="T1001" s="69" t="s">
        <v>3725</v>
      </c>
      <c r="U1001" s="67" t="str">
        <f t="shared" si="134"/>
        <v xml:space="preserve"> </v>
      </c>
      <c r="V1001" s="515"/>
      <c r="W1001" s="125"/>
      <c r="X1001" s="31">
        <f t="shared" si="135"/>
        <v>0</v>
      </c>
      <c r="Y1001" s="509"/>
      <c r="Z1001" s="1054" t="str">
        <f t="shared" si="131"/>
        <v>Magical Bowery +6</v>
      </c>
      <c r="AA1001" s="1072" t="str">
        <f t="shared" si="132"/>
        <v>Wards</v>
      </c>
    </row>
    <row r="1002" spans="1:27" hidden="1" outlineLevel="1">
      <c r="A1002" s="83" t="s">
        <v>275</v>
      </c>
      <c r="B1002" s="67">
        <v>4</v>
      </c>
      <c r="C1002" s="67" t="e">
        <f ca="1">magestuff!$L$198</f>
        <v>#N/A</v>
      </c>
      <c r="D1002" s="67">
        <f t="shared" si="133"/>
        <v>0</v>
      </c>
      <c r="E1002" s="77" t="e">
        <f ca="1">IF(F1002="y",HLOOKUP((IF(C1002&lt;1,1,C1002)),Magick!$C$20:$L$21,2),NA())</f>
        <v>#N/A</v>
      </c>
      <c r="F1002" s="67" t="e">
        <f ca="1">IF(C1002&lt;=Magick!$D$3,"Y","N")</f>
        <v>#N/A</v>
      </c>
      <c r="G1002" s="148" t="s">
        <v>1615</v>
      </c>
      <c r="H1002" s="151"/>
      <c r="I1002" s="77" t="e">
        <f>IF(H1002&gt;0,(HLOOKUP(C1002,Magick!$C$20:$L$21,2)-HLOOKUP(H1002,Magick!$C$20:$L$21,2)),NA())</f>
        <v>#N/A</v>
      </c>
      <c r="J1002" s="77"/>
      <c r="K1002" s="67">
        <v>7</v>
      </c>
      <c r="L1002" s="72" t="str">
        <f>IF(H1002&gt;0,Magick!$AR$30-('Master Spell List'!H1002*0.1),"N/A")</f>
        <v>N/A</v>
      </c>
      <c r="M1002" s="72">
        <f ca="1">Magick!$H$70</f>
        <v>0.08</v>
      </c>
      <c r="N1002" s="72">
        <f ca="1">Magick!$K$70</f>
        <v>0.1</v>
      </c>
      <c r="O1002" s="72">
        <f ca="1">Magick!$L$70</f>
        <v>0.1</v>
      </c>
      <c r="P1002" s="72">
        <f ca="1">Magick!$M$70</f>
        <v>0.1</v>
      </c>
      <c r="Q1002" s="67" t="s">
        <v>4602</v>
      </c>
      <c r="R1002" s="67">
        <f ca="1">IF(Q1002="Ritual","N/A",IF(Q1002="I.E.","N/A",IF(Q1002="WOG",VLOOKUP(Magick!$I$70*100,magestuff!$B$134:$F$138,2),IF(Q1002="Cantrip",VLOOKUP(Magick!$I$70*100,magestuff!$B$134:$F$138,3),IF(Q1002="Hex",VLOOKUP(Magick!$I$70*100,magestuff!$B$134:$F$138,4),VLOOKUP(Magick!$I$70*100,magestuff!$B$134:$F$138,5))))))</f>
        <v>19</v>
      </c>
      <c r="S1002" s="69" t="s">
        <v>1984</v>
      </c>
      <c r="T1002" s="69" t="s">
        <v>3725</v>
      </c>
      <c r="U1002" s="67" t="str">
        <f t="shared" si="134"/>
        <v xml:space="preserve"> </v>
      </c>
      <c r="V1002" s="515"/>
      <c r="W1002" s="125"/>
      <c r="X1002" s="31">
        <f t="shared" si="135"/>
        <v>0</v>
      </c>
      <c r="Y1002" s="509"/>
      <c r="Z1002" s="1054" t="str">
        <f t="shared" si="131"/>
        <v>Magical Fletching +6</v>
      </c>
      <c r="AA1002" s="1072" t="str">
        <f t="shared" si="132"/>
        <v>Wards</v>
      </c>
    </row>
    <row r="1003" spans="1:27" hidden="1" outlineLevel="1">
      <c r="A1003" s="83" t="s">
        <v>276</v>
      </c>
      <c r="B1003" s="67">
        <v>4</v>
      </c>
      <c r="C1003" s="67" t="e">
        <f ca="1">magestuff!$L$198</f>
        <v>#N/A</v>
      </c>
      <c r="D1003" s="67">
        <f t="shared" si="133"/>
        <v>0</v>
      </c>
      <c r="E1003" s="77" t="e">
        <f ca="1">IF(F1003="y",HLOOKUP((IF(C1003&lt;1,1,C1003)),Magick!$C$20:$L$21,2),NA())</f>
        <v>#N/A</v>
      </c>
      <c r="F1003" s="67" t="e">
        <f ca="1">IF(C1003&lt;=Magick!$D$3,"Y","N")</f>
        <v>#N/A</v>
      </c>
      <c r="G1003" s="148" t="s">
        <v>1615</v>
      </c>
      <c r="H1003" s="151"/>
      <c r="I1003" s="77" t="e">
        <f>IF(H1003&gt;0,(HLOOKUP(C1003,Magick!$C$20:$L$21,2)-HLOOKUP(H1003,Magick!$C$20:$L$21,2)),NA())</f>
        <v>#N/A</v>
      </c>
      <c r="J1003" s="77"/>
      <c r="K1003" s="67">
        <v>7</v>
      </c>
      <c r="L1003" s="72" t="str">
        <f>IF(H1003&gt;0,Magick!$AR$30-('Master Spell List'!H1003*0.1),"N/A")</f>
        <v>N/A</v>
      </c>
      <c r="M1003" s="72">
        <f ca="1">Magick!$H$70</f>
        <v>0.08</v>
      </c>
      <c r="N1003" s="72">
        <f ca="1">Magick!$K$70</f>
        <v>0.1</v>
      </c>
      <c r="O1003" s="72">
        <f ca="1">Magick!$L$70</f>
        <v>0.1</v>
      </c>
      <c r="P1003" s="72">
        <f ca="1">Magick!$M$70</f>
        <v>0.1</v>
      </c>
      <c r="Q1003" s="67" t="s">
        <v>4602</v>
      </c>
      <c r="R1003" s="67">
        <f ca="1">IF(Q1003="Ritual","N/A",IF(Q1003="I.E.","N/A",IF(Q1003="WOG",VLOOKUP(Magick!$I$70*100,magestuff!$B$134:$F$138,2),IF(Q1003="Cantrip",VLOOKUP(Magick!$I$70*100,magestuff!$B$134:$F$138,3),IF(Q1003="Hex",VLOOKUP(Magick!$I$70*100,magestuff!$B$134:$F$138,4),VLOOKUP(Magick!$I$70*100,magestuff!$B$134:$F$138,5))))))</f>
        <v>19</v>
      </c>
      <c r="S1003" s="69" t="s">
        <v>1984</v>
      </c>
      <c r="T1003" s="69" t="s">
        <v>3725</v>
      </c>
      <c r="U1003" s="67" t="str">
        <f t="shared" si="134"/>
        <v xml:space="preserve"> </v>
      </c>
      <c r="V1003" s="515"/>
      <c r="W1003" s="125"/>
      <c r="X1003" s="31">
        <f t="shared" si="135"/>
        <v>0</v>
      </c>
      <c r="Y1003" s="509"/>
      <c r="Z1003" s="1054" t="str">
        <f t="shared" si="131"/>
        <v>Strike with Power +6</v>
      </c>
      <c r="AA1003" s="1072" t="str">
        <f t="shared" si="132"/>
        <v>Wards</v>
      </c>
    </row>
    <row r="1004" spans="1:27" hidden="1" outlineLevel="1">
      <c r="A1004" s="83" t="s">
        <v>277</v>
      </c>
      <c r="B1004" s="67">
        <v>5</v>
      </c>
      <c r="C1004" s="67" t="e">
        <f ca="1">magestuff!$O$198</f>
        <v>#N/A</v>
      </c>
      <c r="D1004" s="67">
        <f t="shared" si="133"/>
        <v>0</v>
      </c>
      <c r="E1004" s="77" t="e">
        <f ca="1">IF(F1004="y",HLOOKUP((IF(C1004&lt;1,1,C1004)),Magick!$C$20:$L$21,2),NA())</f>
        <v>#N/A</v>
      </c>
      <c r="F1004" s="67" t="e">
        <f ca="1">IF(C1004&lt;=Magick!$D$3,"Y","N")</f>
        <v>#N/A</v>
      </c>
      <c r="G1004" s="148" t="s">
        <v>1615</v>
      </c>
      <c r="H1004" s="151"/>
      <c r="I1004" s="77" t="e">
        <f>IF(H1004&gt;0,(HLOOKUP(C1004,Magick!$C$20:$L$21,2)-HLOOKUP(H1004,Magick!$C$20:$L$21,2)),NA())</f>
        <v>#N/A</v>
      </c>
      <c r="J1004" s="77"/>
      <c r="K1004" s="67">
        <v>8</v>
      </c>
      <c r="L1004" s="72" t="str">
        <f>IF(H1004&gt;0,Magick!$AR$30-('Master Spell List'!H1004*0.1),"N/A")</f>
        <v>N/A</v>
      </c>
      <c r="M1004" s="72">
        <f ca="1">Magick!$H$70</f>
        <v>0.08</v>
      </c>
      <c r="N1004" s="72">
        <f ca="1">Magick!$K$70</f>
        <v>0.1</v>
      </c>
      <c r="O1004" s="72">
        <f ca="1">Magick!$L$70</f>
        <v>0.1</v>
      </c>
      <c r="P1004" s="72">
        <f ca="1">Magick!$M$70</f>
        <v>0.1</v>
      </c>
      <c r="Q1004" s="67" t="s">
        <v>4602</v>
      </c>
      <c r="R1004" s="67">
        <f ca="1">IF(Q1004="Ritual","N/A",IF(Q1004="I.E.","N/A",IF(Q1004="WOG",VLOOKUP(Magick!$I$70*100,magestuff!$B$134:$F$138,2),IF(Q1004="Cantrip",VLOOKUP(Magick!$I$70*100,magestuff!$B$134:$F$138,3),IF(Q1004="Hex",VLOOKUP(Magick!$I$70*100,magestuff!$B$134:$F$138,4),VLOOKUP(Magick!$I$70*100,magestuff!$B$134:$F$138,5))))))</f>
        <v>19</v>
      </c>
      <c r="S1004" s="69" t="s">
        <v>1984</v>
      </c>
      <c r="T1004" s="69" t="s">
        <v>3725</v>
      </c>
      <c r="U1004" s="67" t="str">
        <f t="shared" si="134"/>
        <v xml:space="preserve"> </v>
      </c>
      <c r="V1004" s="515"/>
      <c r="W1004" s="125"/>
      <c r="X1004" s="31">
        <f t="shared" si="135"/>
        <v>0</v>
      </c>
      <c r="Y1004" s="509"/>
      <c r="Z1004" s="1054" t="str">
        <f t="shared" si="131"/>
        <v>Fey Magical Bowery +7</v>
      </c>
      <c r="AA1004" s="1072" t="str">
        <f t="shared" si="132"/>
        <v>Wards</v>
      </c>
    </row>
    <row r="1005" spans="1:27" hidden="1" outlineLevel="1">
      <c r="A1005" s="83" t="s">
        <v>278</v>
      </c>
      <c r="B1005" s="67">
        <v>5</v>
      </c>
      <c r="C1005" s="67" t="e">
        <f ca="1">magestuff!$O$198</f>
        <v>#N/A</v>
      </c>
      <c r="D1005" s="67">
        <f t="shared" si="133"/>
        <v>0</v>
      </c>
      <c r="E1005" s="77" t="e">
        <f ca="1">IF(F1005="y",HLOOKUP((IF(C1005&lt;1,1,C1005)),Magick!$C$20:$L$21,2),NA())</f>
        <v>#N/A</v>
      </c>
      <c r="F1005" s="67" t="e">
        <f ca="1">IF(C1005&lt;=Magick!$D$3,"Y","N")</f>
        <v>#N/A</v>
      </c>
      <c r="G1005" s="148" t="s">
        <v>1615</v>
      </c>
      <c r="H1005" s="151"/>
      <c r="I1005" s="77" t="e">
        <f>IF(H1005&gt;0,(HLOOKUP(C1005,Magick!$C$20:$L$21,2)-HLOOKUP(H1005,Magick!$C$20:$L$21,2)),NA())</f>
        <v>#N/A</v>
      </c>
      <c r="J1005" s="77"/>
      <c r="K1005" s="67">
        <v>8</v>
      </c>
      <c r="L1005" s="72" t="str">
        <f>IF(H1005&gt;0,Magick!$AR$30-('Master Spell List'!H1005*0.1),"N/A")</f>
        <v>N/A</v>
      </c>
      <c r="M1005" s="72">
        <f ca="1">Magick!$H$70</f>
        <v>0.08</v>
      </c>
      <c r="N1005" s="72">
        <f ca="1">Magick!$K$70</f>
        <v>0.1</v>
      </c>
      <c r="O1005" s="72">
        <f ca="1">Magick!$L$70</f>
        <v>0.1</v>
      </c>
      <c r="P1005" s="72">
        <f ca="1">Magick!$M$70</f>
        <v>0.1</v>
      </c>
      <c r="Q1005" s="67" t="s">
        <v>4602</v>
      </c>
      <c r="R1005" s="67">
        <f ca="1">IF(Q1005="Ritual","N/A",IF(Q1005="I.E.","N/A",IF(Q1005="WOG",VLOOKUP(Magick!$I$70*100,magestuff!$B$134:$F$138,2),IF(Q1005="Cantrip",VLOOKUP(Magick!$I$70*100,magestuff!$B$134:$F$138,3),IF(Q1005="Hex",VLOOKUP(Magick!$I$70*100,magestuff!$B$134:$F$138,4),VLOOKUP(Magick!$I$70*100,magestuff!$B$134:$F$138,5))))))</f>
        <v>19</v>
      </c>
      <c r="S1005" s="69" t="s">
        <v>1984</v>
      </c>
      <c r="T1005" s="69" t="s">
        <v>3725</v>
      </c>
      <c r="U1005" s="67" t="str">
        <f t="shared" si="134"/>
        <v xml:space="preserve"> </v>
      </c>
      <c r="V1005" s="515"/>
      <c r="W1005" s="125"/>
      <c r="X1005" s="31">
        <f t="shared" si="135"/>
        <v>0</v>
      </c>
      <c r="Y1005" s="509"/>
      <c r="Z1005" s="1054" t="str">
        <f t="shared" si="131"/>
        <v>Fey Magical Fletching +7</v>
      </c>
      <c r="AA1005" s="1072" t="str">
        <f t="shared" si="132"/>
        <v>Wards</v>
      </c>
    </row>
    <row r="1006" spans="1:27" hidden="1" outlineLevel="1">
      <c r="A1006" s="83" t="s">
        <v>5289</v>
      </c>
      <c r="B1006" s="67">
        <v>5</v>
      </c>
      <c r="C1006" s="67" t="e">
        <f ca="1">magestuff!$O$198</f>
        <v>#N/A</v>
      </c>
      <c r="D1006" s="67">
        <f t="shared" si="133"/>
        <v>0</v>
      </c>
      <c r="E1006" s="77" t="e">
        <f ca="1">IF(F1006="y",HLOOKUP((IF(C1006&lt;1,1,C1006)),Magick!$C$20:$L$21,2),NA())</f>
        <v>#N/A</v>
      </c>
      <c r="F1006" s="67" t="e">
        <f ca="1">IF(C1006&lt;=Magick!$D$3,"Y","N")</f>
        <v>#N/A</v>
      </c>
      <c r="G1006" s="148" t="s">
        <v>1615</v>
      </c>
      <c r="H1006" s="151"/>
      <c r="I1006" s="77" t="e">
        <f>IF(H1006&gt;0,(HLOOKUP(C1006,Magick!$C$20:$L$21,2)-HLOOKUP(H1006,Magick!$C$20:$L$21,2)),NA())</f>
        <v>#N/A</v>
      </c>
      <c r="J1006" s="77"/>
      <c r="K1006" s="67">
        <v>8</v>
      </c>
      <c r="L1006" s="72" t="str">
        <f>IF(H1006&gt;0,Magick!$AR$30-('Master Spell List'!H1006*0.1),"N/A")</f>
        <v>N/A</v>
      </c>
      <c r="M1006" s="72">
        <f ca="1">Magick!$H$70</f>
        <v>0.08</v>
      </c>
      <c r="N1006" s="72">
        <f ca="1">Magick!$K$70</f>
        <v>0.1</v>
      </c>
      <c r="O1006" s="72">
        <f ca="1">Magick!$L$70</f>
        <v>0.1</v>
      </c>
      <c r="P1006" s="72">
        <f ca="1">Magick!$M$70</f>
        <v>0.1</v>
      </c>
      <c r="Q1006" s="67" t="s">
        <v>4602</v>
      </c>
      <c r="R1006" s="67">
        <f ca="1">IF(Q1006="Ritual","N/A",IF(Q1006="I.E.","N/A",IF(Q1006="WOG",VLOOKUP(Magick!$I$70*100,magestuff!$B$134:$F$138,2),IF(Q1006="Cantrip",VLOOKUP(Magick!$I$70*100,magestuff!$B$134:$F$138,3),IF(Q1006="Hex",VLOOKUP(Magick!$I$70*100,magestuff!$B$134:$F$138,4),VLOOKUP(Magick!$I$70*100,magestuff!$B$134:$F$138,5))))))</f>
        <v>19</v>
      </c>
      <c r="S1006" s="69" t="s">
        <v>1984</v>
      </c>
      <c r="T1006" s="69" t="s">
        <v>3725</v>
      </c>
      <c r="U1006" s="67" t="str">
        <f t="shared" si="134"/>
        <v xml:space="preserve"> </v>
      </c>
      <c r="V1006" s="515"/>
      <c r="W1006" s="125"/>
      <c r="X1006" s="31">
        <f t="shared" si="135"/>
        <v>0</v>
      </c>
      <c r="Y1006" s="509"/>
      <c r="Z1006" s="1054" t="str">
        <f t="shared" si="131"/>
        <v>Strike with Power +7</v>
      </c>
      <c r="AA1006" s="1072" t="str">
        <f t="shared" si="132"/>
        <v>Wards</v>
      </c>
    </row>
    <row r="1007" spans="1:27" hidden="1" outlineLevel="1">
      <c r="A1007" s="83" t="s">
        <v>5161</v>
      </c>
      <c r="B1007" s="67">
        <v>6</v>
      </c>
      <c r="C1007" s="67" t="e">
        <f ca="1">magestuff!$R$198</f>
        <v>#N/A</v>
      </c>
      <c r="D1007" s="67">
        <f t="shared" si="133"/>
        <v>0</v>
      </c>
      <c r="E1007" s="77" t="e">
        <f ca="1">IF(F1007="y",HLOOKUP((IF(C1007&lt;1,1,C1007)),Magick!$C$20:$L$21,2),NA())</f>
        <v>#N/A</v>
      </c>
      <c r="F1007" s="67" t="e">
        <f ca="1">IF(C1007&lt;=Magick!$D$3,"Y","N")</f>
        <v>#N/A</v>
      </c>
      <c r="G1007" s="148" t="s">
        <v>1615</v>
      </c>
      <c r="H1007" s="151"/>
      <c r="I1007" s="77" t="e">
        <f>IF(H1007&gt;0,(HLOOKUP(C1007,Magick!$C$20:$L$21,2)-HLOOKUP(H1007,Magick!$C$20:$L$21,2)),NA())</f>
        <v>#N/A</v>
      </c>
      <c r="J1007" s="77"/>
      <c r="K1007" s="67">
        <v>9</v>
      </c>
      <c r="L1007" s="72" t="str">
        <f>IF(H1007&gt;0,Magick!$AR$30-('Master Spell List'!H1007*0.1),"N/A")</f>
        <v>N/A</v>
      </c>
      <c r="M1007" s="72">
        <f ca="1">Magick!$H$70</f>
        <v>0.08</v>
      </c>
      <c r="N1007" s="72">
        <f ca="1">Magick!$K$70</f>
        <v>0.1</v>
      </c>
      <c r="O1007" s="72">
        <f ca="1">Magick!$L$70</f>
        <v>0.1</v>
      </c>
      <c r="P1007" s="72">
        <f ca="1">Magick!$M$70</f>
        <v>0.1</v>
      </c>
      <c r="Q1007" s="67" t="s">
        <v>4602</v>
      </c>
      <c r="R1007" s="67">
        <f ca="1">IF(Q1007="Ritual","N/A",IF(Q1007="I.E.","N/A",IF(Q1007="WOG",VLOOKUP(Magick!$I$70*100,magestuff!$B$134:$F$138,2),IF(Q1007="Cantrip",VLOOKUP(Magick!$I$70*100,magestuff!$B$134:$F$138,3),IF(Q1007="Hex",VLOOKUP(Magick!$I$70*100,magestuff!$B$134:$F$138,4),VLOOKUP(Magick!$I$70*100,magestuff!$B$134:$F$138,5))))))</f>
        <v>19</v>
      </c>
      <c r="S1007" s="69" t="s">
        <v>1984</v>
      </c>
      <c r="T1007" s="69" t="s">
        <v>3725</v>
      </c>
      <c r="U1007" s="67" t="str">
        <f t="shared" si="134"/>
        <v xml:space="preserve"> </v>
      </c>
      <c r="V1007" s="515"/>
      <c r="W1007" s="125"/>
      <c r="X1007" s="31">
        <f t="shared" si="135"/>
        <v>0</v>
      </c>
      <c r="Y1007" s="509"/>
      <c r="Z1007" s="1054" t="str">
        <f t="shared" si="131"/>
        <v>Fey Magical Bowery +8</v>
      </c>
      <c r="AA1007" s="1072" t="str">
        <f t="shared" si="132"/>
        <v>Wards</v>
      </c>
    </row>
    <row r="1008" spans="1:27" hidden="1" outlineLevel="1">
      <c r="A1008" s="83" t="s">
        <v>5162</v>
      </c>
      <c r="B1008" s="67">
        <v>6</v>
      </c>
      <c r="C1008" s="67" t="e">
        <f ca="1">magestuff!$R$198</f>
        <v>#N/A</v>
      </c>
      <c r="D1008" s="67">
        <f t="shared" si="133"/>
        <v>0</v>
      </c>
      <c r="E1008" s="77" t="e">
        <f ca="1">IF(F1008="y",HLOOKUP((IF(C1008&lt;1,1,C1008)),Magick!$C$20:$L$21,2),NA())</f>
        <v>#N/A</v>
      </c>
      <c r="F1008" s="67" t="e">
        <f ca="1">IF(C1008&lt;=Magick!$D$3,"Y","N")</f>
        <v>#N/A</v>
      </c>
      <c r="G1008" s="148" t="s">
        <v>1615</v>
      </c>
      <c r="H1008" s="151"/>
      <c r="I1008" s="77" t="e">
        <f>IF(H1008&gt;0,(HLOOKUP(C1008,Magick!$C$20:$L$21,2)-HLOOKUP(H1008,Magick!$C$20:$L$21,2)),NA())</f>
        <v>#N/A</v>
      </c>
      <c r="J1008" s="77"/>
      <c r="K1008" s="67">
        <v>9</v>
      </c>
      <c r="L1008" s="72" t="str">
        <f>IF(H1008&gt;0,Magick!$AR$30-('Master Spell List'!H1008*0.1),"N/A")</f>
        <v>N/A</v>
      </c>
      <c r="M1008" s="72">
        <f ca="1">Magick!$H$70</f>
        <v>0.08</v>
      </c>
      <c r="N1008" s="72">
        <f ca="1">Magick!$K$70</f>
        <v>0.1</v>
      </c>
      <c r="O1008" s="72">
        <f ca="1">Magick!$L$70</f>
        <v>0.1</v>
      </c>
      <c r="P1008" s="72">
        <f ca="1">Magick!$M$70</f>
        <v>0.1</v>
      </c>
      <c r="Q1008" s="67" t="s">
        <v>4602</v>
      </c>
      <c r="R1008" s="67">
        <f ca="1">IF(Q1008="Ritual","N/A",IF(Q1008="I.E.","N/A",IF(Q1008="WOG",VLOOKUP(Magick!$I$70*100,magestuff!$B$134:$F$138,2),IF(Q1008="Cantrip",VLOOKUP(Magick!$I$70*100,magestuff!$B$134:$F$138,3),IF(Q1008="Hex",VLOOKUP(Magick!$I$70*100,magestuff!$B$134:$F$138,4),VLOOKUP(Magick!$I$70*100,magestuff!$B$134:$F$138,5))))))</f>
        <v>19</v>
      </c>
      <c r="S1008" s="69" t="s">
        <v>1984</v>
      </c>
      <c r="T1008" s="69" t="s">
        <v>3725</v>
      </c>
      <c r="U1008" s="67" t="str">
        <f t="shared" si="134"/>
        <v xml:space="preserve"> </v>
      </c>
      <c r="V1008" s="515"/>
      <c r="W1008" s="125"/>
      <c r="X1008" s="31">
        <f t="shared" si="135"/>
        <v>0</v>
      </c>
      <c r="Y1008" s="509"/>
      <c r="Z1008" s="1054" t="str">
        <f t="shared" si="131"/>
        <v>Fey Magical Fletching +8</v>
      </c>
      <c r="AA1008" s="1072" t="str">
        <f t="shared" si="132"/>
        <v>Wards</v>
      </c>
    </row>
    <row r="1009" spans="1:27" hidden="1" outlineLevel="1">
      <c r="A1009" s="83" t="s">
        <v>5163</v>
      </c>
      <c r="B1009" s="67">
        <v>6</v>
      </c>
      <c r="C1009" s="67" t="e">
        <f ca="1">magestuff!$R$198</f>
        <v>#N/A</v>
      </c>
      <c r="D1009" s="67">
        <f t="shared" si="133"/>
        <v>0</v>
      </c>
      <c r="E1009" s="77" t="e">
        <f ca="1">IF(F1009="y",HLOOKUP((IF(C1009&lt;1,1,C1009)),Magick!$C$20:$L$21,2),NA())</f>
        <v>#N/A</v>
      </c>
      <c r="F1009" s="67" t="e">
        <f ca="1">IF(C1009&lt;=Magick!$D$3,"Y","N")</f>
        <v>#N/A</v>
      </c>
      <c r="G1009" s="148" t="s">
        <v>1615</v>
      </c>
      <c r="H1009" s="151"/>
      <c r="I1009" s="77" t="e">
        <f>IF(H1009&gt;0,(HLOOKUP(C1009,Magick!$C$20:$L$21,2)-HLOOKUP(H1009,Magick!$C$20:$L$21,2)),NA())</f>
        <v>#N/A</v>
      </c>
      <c r="J1009" s="77"/>
      <c r="K1009" s="67">
        <v>9</v>
      </c>
      <c r="L1009" s="72" t="str">
        <f>IF(H1009&gt;0,Magick!$AR$30-('Master Spell List'!H1009*0.1),"N/A")</f>
        <v>N/A</v>
      </c>
      <c r="M1009" s="72">
        <f ca="1">Magick!$H$70</f>
        <v>0.08</v>
      </c>
      <c r="N1009" s="72">
        <f ca="1">Magick!$K$70</f>
        <v>0.1</v>
      </c>
      <c r="O1009" s="72">
        <f ca="1">Magick!$L$70</f>
        <v>0.1</v>
      </c>
      <c r="P1009" s="72">
        <f ca="1">Magick!$M$70</f>
        <v>0.1</v>
      </c>
      <c r="Q1009" s="67" t="s">
        <v>4602</v>
      </c>
      <c r="R1009" s="67">
        <f ca="1">IF(Q1009="Ritual","N/A",IF(Q1009="I.E.","N/A",IF(Q1009="WOG",VLOOKUP(Magick!$I$70*100,magestuff!$B$134:$F$138,2),IF(Q1009="Cantrip",VLOOKUP(Magick!$I$70*100,magestuff!$B$134:$F$138,3),IF(Q1009="Hex",VLOOKUP(Magick!$I$70*100,magestuff!$B$134:$F$138,4),VLOOKUP(Magick!$I$70*100,magestuff!$B$134:$F$138,5))))))</f>
        <v>19</v>
      </c>
      <c r="S1009" s="69" t="s">
        <v>1984</v>
      </c>
      <c r="T1009" s="69" t="s">
        <v>3725</v>
      </c>
      <c r="U1009" s="67" t="str">
        <f t="shared" si="134"/>
        <v xml:space="preserve"> </v>
      </c>
      <c r="V1009" s="515"/>
      <c r="W1009" s="125"/>
      <c r="X1009" s="31">
        <f t="shared" si="135"/>
        <v>0</v>
      </c>
      <c r="Y1009" s="509"/>
      <c r="Z1009" s="1054" t="str">
        <f t="shared" si="131"/>
        <v>Strike with Power +8</v>
      </c>
      <c r="AA1009" s="1072" t="str">
        <f t="shared" si="132"/>
        <v>Wards</v>
      </c>
    </row>
    <row r="1010" spans="1:27" hidden="1" outlineLevel="1">
      <c r="A1010" s="83" t="s">
        <v>1572</v>
      </c>
      <c r="B1010" s="67">
        <v>7</v>
      </c>
      <c r="C1010" s="67" t="e">
        <f ca="1">magestuff!$U$198</f>
        <v>#N/A</v>
      </c>
      <c r="D1010" s="67">
        <f t="shared" si="133"/>
        <v>0</v>
      </c>
      <c r="E1010" s="77" t="e">
        <f ca="1">IF(F1010="y",HLOOKUP((IF(C1010&lt;1,1,C1010)),Magick!$C$20:$L$21,2),NA())</f>
        <v>#N/A</v>
      </c>
      <c r="F1010" s="67" t="e">
        <f ca="1">IF(C1010&lt;=Magick!$D$3,"Y","N")</f>
        <v>#N/A</v>
      </c>
      <c r="G1010" s="148" t="s">
        <v>1615</v>
      </c>
      <c r="H1010" s="151"/>
      <c r="I1010" s="77" t="e">
        <f>IF(H1010&gt;0,(HLOOKUP(C1010,Magick!$C$20:$L$21,2)-HLOOKUP(H1010,Magick!$C$20:$L$21,2)),NA())</f>
        <v>#N/A</v>
      </c>
      <c r="J1010" s="77"/>
      <c r="K1010" s="67">
        <v>10</v>
      </c>
      <c r="L1010" s="72" t="str">
        <f>IF(H1010&gt;0,Magick!$AR$30-('Master Spell List'!H1011*0.1),"N/A")</f>
        <v>N/A</v>
      </c>
      <c r="M1010" s="72">
        <f ca="1">Magick!$H$70</f>
        <v>0.08</v>
      </c>
      <c r="N1010" s="72">
        <f ca="1">Magick!$K$70</f>
        <v>0.1</v>
      </c>
      <c r="O1010" s="72">
        <f ca="1">Magick!$L$70</f>
        <v>0.1</v>
      </c>
      <c r="P1010" s="72">
        <f ca="1">Magick!$M$70</f>
        <v>0.1</v>
      </c>
      <c r="Q1010" s="67" t="s">
        <v>4602</v>
      </c>
      <c r="R1010" s="67">
        <f ca="1">IF(Q1010="Ritual","N/A",IF(Q1010="I.E.","N/A",IF(Q1010="WOG",VLOOKUP(Magick!$I$70*100,magestuff!$B$134:$F$138,2),IF(Q1010="Cantrip",VLOOKUP(Magick!$I$70*100,magestuff!$B$134:$F$138,3),IF(Q1010="Hex",VLOOKUP(Magick!$I$70*100,magestuff!$B$134:$F$138,4),VLOOKUP(Magick!$I$70*100,magestuff!$B$134:$F$138,5))))))</f>
        <v>19</v>
      </c>
      <c r="S1010" s="69" t="s">
        <v>1984</v>
      </c>
      <c r="T1010" s="69" t="s">
        <v>3725</v>
      </c>
      <c r="U1010" s="67" t="str">
        <f t="shared" si="134"/>
        <v xml:space="preserve"> </v>
      </c>
      <c r="V1010" s="515"/>
      <c r="W1010" s="125"/>
      <c r="X1010" s="31">
        <f t="shared" si="135"/>
        <v>0</v>
      </c>
      <c r="Y1010" s="509"/>
      <c r="Z1010" s="1054" t="str">
        <f t="shared" si="131"/>
        <v>Greater Fey Magical Bowery +10</v>
      </c>
      <c r="AA1010" s="1072" t="str">
        <f t="shared" si="132"/>
        <v>Wards</v>
      </c>
    </row>
    <row r="1011" spans="1:27" hidden="1" outlineLevel="1">
      <c r="A1011" s="83" t="s">
        <v>5164</v>
      </c>
      <c r="B1011" s="67">
        <v>7</v>
      </c>
      <c r="C1011" s="67" t="e">
        <f ca="1">magestuff!$U$198</f>
        <v>#N/A</v>
      </c>
      <c r="D1011" s="67">
        <f t="shared" si="133"/>
        <v>0</v>
      </c>
      <c r="E1011" s="77" t="e">
        <f ca="1">IF(F1011="y",HLOOKUP((IF(C1011&lt;1,1,C1011)),Magick!$C$20:$L$21,2),NA())</f>
        <v>#N/A</v>
      </c>
      <c r="F1011" s="67" t="e">
        <f ca="1">IF(C1011&lt;=Magick!$D$3,"Y","N")</f>
        <v>#N/A</v>
      </c>
      <c r="G1011" s="148" t="s">
        <v>1615</v>
      </c>
      <c r="H1011" s="151"/>
      <c r="I1011" s="77" t="e">
        <f>IF(H1011&gt;0,(HLOOKUP(C1011,Magick!$C$20:$L$21,2)-HLOOKUP(H1011,Magick!$C$20:$L$21,2)),NA())</f>
        <v>#N/A</v>
      </c>
      <c r="J1011" s="77"/>
      <c r="K1011" s="67">
        <v>10</v>
      </c>
      <c r="L1011" s="72" t="str">
        <f>IF(H1011&gt;0,Magick!$AR$30-('Master Spell List'!H1010*0.1),"N/A")</f>
        <v>N/A</v>
      </c>
      <c r="M1011" s="72">
        <f ca="1">Magick!$H$70</f>
        <v>0.08</v>
      </c>
      <c r="N1011" s="72">
        <f ca="1">Magick!$K$70</f>
        <v>0.1</v>
      </c>
      <c r="O1011" s="72">
        <f ca="1">Magick!$L$70</f>
        <v>0.1</v>
      </c>
      <c r="P1011" s="72">
        <f ca="1">Magick!$M$70</f>
        <v>0.1</v>
      </c>
      <c r="Q1011" s="67" t="s">
        <v>4602</v>
      </c>
      <c r="R1011" s="67">
        <f ca="1">IF(Q1011="Ritual","N/A",IF(Q1011="I.E.","N/A",IF(Q1011="WOG",VLOOKUP(Magick!$I$70*100,magestuff!$B$134:$F$138,2),IF(Q1011="Cantrip",VLOOKUP(Magick!$I$70*100,magestuff!$B$134:$F$138,3),IF(Q1011="Hex",VLOOKUP(Magick!$I$70*100,magestuff!$B$134:$F$138,4),VLOOKUP(Magick!$I$70*100,magestuff!$B$134:$F$138,5))))))</f>
        <v>19</v>
      </c>
      <c r="S1011" s="69" t="s">
        <v>1984</v>
      </c>
      <c r="T1011" s="69" t="s">
        <v>3725</v>
      </c>
      <c r="U1011" s="67" t="str">
        <f t="shared" si="134"/>
        <v xml:space="preserve"> </v>
      </c>
      <c r="V1011" s="515"/>
      <c r="W1011" s="125"/>
      <c r="X1011" s="31">
        <f t="shared" si="135"/>
        <v>0</v>
      </c>
      <c r="Y1011" s="509"/>
      <c r="Z1011" s="1054" t="str">
        <f t="shared" si="131"/>
        <v>Greater Fey Magical Bowery +9</v>
      </c>
      <c r="AA1011" s="1072" t="str">
        <f t="shared" si="132"/>
        <v>Wards</v>
      </c>
    </row>
    <row r="1012" spans="1:27" hidden="1" outlineLevel="1">
      <c r="A1012" s="83" t="s">
        <v>1573</v>
      </c>
      <c r="B1012" s="67">
        <v>8</v>
      </c>
      <c r="C1012" s="67" t="e">
        <f ca="1">magestuff!$X$198</f>
        <v>#N/A</v>
      </c>
      <c r="D1012" s="67">
        <f t="shared" si="133"/>
        <v>0</v>
      </c>
      <c r="E1012" s="77" t="e">
        <f ca="1">IF(F1012="y",HLOOKUP((IF(C1012&lt;1,1,C1012)),Magick!$C$20:$L$21,2),NA())</f>
        <v>#N/A</v>
      </c>
      <c r="F1012" s="67" t="e">
        <f ca="1">IF(C1012&lt;=Magick!$D$3,"Y","N")</f>
        <v>#N/A</v>
      </c>
      <c r="G1012" s="148" t="s">
        <v>1615</v>
      </c>
      <c r="H1012" s="151"/>
      <c r="I1012" s="77" t="e">
        <f>IF(H1012&gt;0,(HLOOKUP(C1012,Magick!$C$20:$L$21,2)-HLOOKUP(H1012,Magick!$C$20:$L$21,2)),NA())</f>
        <v>#N/A</v>
      </c>
      <c r="J1012" s="77"/>
      <c r="K1012" s="67">
        <v>11</v>
      </c>
      <c r="L1012" s="72" t="str">
        <f>IF(H1012&gt;0,Magick!$AR$30-('Master Spell List'!H1012*0.1),"N/A")</f>
        <v>N/A</v>
      </c>
      <c r="M1012" s="72">
        <f ca="1">Magick!$H$70</f>
        <v>0.08</v>
      </c>
      <c r="N1012" s="72">
        <f ca="1">Magick!$K$70</f>
        <v>0.1</v>
      </c>
      <c r="O1012" s="72">
        <f ca="1">Magick!$L$70</f>
        <v>0.1</v>
      </c>
      <c r="P1012" s="72">
        <f ca="1">Magick!$M$70</f>
        <v>0.1</v>
      </c>
      <c r="Q1012" s="67" t="s">
        <v>4602</v>
      </c>
      <c r="R1012" s="67">
        <f ca="1">IF(Q1012="Ritual","N/A",IF(Q1012="I.E.","N/A",IF(Q1012="WOG",VLOOKUP(Magick!$I$70*100,magestuff!$B$134:$F$138,2),IF(Q1012="Cantrip",VLOOKUP(Magick!$I$70*100,magestuff!$B$134:$F$138,3),IF(Q1012="Hex",VLOOKUP(Magick!$I$70*100,magestuff!$B$134:$F$138,4),VLOOKUP(Magick!$I$70*100,magestuff!$B$134:$F$138,5))))))</f>
        <v>19</v>
      </c>
      <c r="S1012" s="69" t="s">
        <v>1984</v>
      </c>
      <c r="T1012" s="69" t="s">
        <v>3725</v>
      </c>
      <c r="U1012" s="67" t="str">
        <f t="shared" si="134"/>
        <v xml:space="preserve"> </v>
      </c>
      <c r="V1012" s="515"/>
      <c r="W1012" s="125"/>
      <c r="X1012" s="31">
        <f t="shared" si="135"/>
        <v>0</v>
      </c>
      <c r="Y1012" s="509"/>
      <c r="Z1012" s="1054" t="str">
        <f t="shared" si="131"/>
        <v>Greater Fey Magical Bowery +11</v>
      </c>
      <c r="AA1012" s="1072" t="str">
        <f t="shared" si="132"/>
        <v>Wards</v>
      </c>
    </row>
    <row r="1013" spans="1:27" hidden="1" outlineLevel="1">
      <c r="A1013" s="83" t="s">
        <v>1574</v>
      </c>
      <c r="B1013" s="67">
        <v>9</v>
      </c>
      <c r="C1013" s="67" t="e">
        <f ca="1">magestuff!$AA$198</f>
        <v>#N/A</v>
      </c>
      <c r="D1013" s="67">
        <f t="shared" si="133"/>
        <v>0</v>
      </c>
      <c r="E1013" s="77" t="e">
        <f ca="1">IF(F1013="y",HLOOKUP((IF(C1013&lt;1,1,C1013)),Magick!$C$20:$L$21,2),NA())</f>
        <v>#N/A</v>
      </c>
      <c r="F1013" s="67" t="e">
        <f ca="1">IF(C1013&lt;=Magick!$D$3,"Y","N")</f>
        <v>#N/A</v>
      </c>
      <c r="G1013" s="148" t="s">
        <v>1615</v>
      </c>
      <c r="H1013" s="151"/>
      <c r="I1013" s="77" t="e">
        <f>IF(H1013&gt;0,(HLOOKUP(C1013,Magick!$C$20:$L$21,2)-HLOOKUP(H1013,Magick!$C$20:$L$21,2)),NA())</f>
        <v>#N/A</v>
      </c>
      <c r="J1013" s="77"/>
      <c r="K1013" s="67">
        <v>12</v>
      </c>
      <c r="L1013" s="72" t="str">
        <f>IF(H1013&gt;0,Magick!$AR$30-('Master Spell List'!H1013*0.1),"N/A")</f>
        <v>N/A</v>
      </c>
      <c r="M1013" s="72">
        <f ca="1">Magick!$H$70</f>
        <v>0.08</v>
      </c>
      <c r="N1013" s="72">
        <f ca="1">Magick!$K$70</f>
        <v>0.1</v>
      </c>
      <c r="O1013" s="72">
        <f ca="1">Magick!$L$70</f>
        <v>0.1</v>
      </c>
      <c r="P1013" s="72">
        <f ca="1">Magick!$M$70</f>
        <v>0.1</v>
      </c>
      <c r="Q1013" s="67" t="s">
        <v>4602</v>
      </c>
      <c r="R1013" s="67">
        <f ca="1">IF(Q1013="Ritual","N/A",IF(Q1013="I.E.","N/A",IF(Q1013="WOG",VLOOKUP(Magick!$I$70*100,magestuff!$B$134:$F$138,2),IF(Q1013="Cantrip",VLOOKUP(Magick!$I$70*100,magestuff!$B$134:$F$138,3),IF(Q1013="Hex",VLOOKUP(Magick!$I$70*100,magestuff!$B$134:$F$138,4),VLOOKUP(Magick!$I$70*100,magestuff!$B$134:$F$138,5))))))</f>
        <v>19</v>
      </c>
      <c r="S1013" s="69" t="s">
        <v>1984</v>
      </c>
      <c r="T1013" s="69" t="s">
        <v>3725</v>
      </c>
      <c r="U1013" s="67" t="str">
        <f t="shared" si="134"/>
        <v xml:space="preserve"> </v>
      </c>
      <c r="V1013" s="515"/>
      <c r="W1013" s="125"/>
      <c r="X1013" s="31">
        <f t="shared" si="135"/>
        <v>0</v>
      </c>
      <c r="Y1013" s="509"/>
      <c r="Z1013" s="1054" t="str">
        <f t="shared" si="131"/>
        <v>Greater Fey Magical Bowery +12</v>
      </c>
      <c r="AA1013" s="1072" t="str">
        <f t="shared" si="132"/>
        <v>Wards</v>
      </c>
    </row>
    <row r="1014" spans="1:27" hidden="1" outlineLevel="1">
      <c r="A1014" s="83" t="s">
        <v>3664</v>
      </c>
      <c r="B1014" s="67">
        <v>10</v>
      </c>
      <c r="C1014" s="67" t="e">
        <f ca="1">magestuff!$AD$198</f>
        <v>#N/A</v>
      </c>
      <c r="D1014" s="67">
        <f t="shared" si="133"/>
        <v>0</v>
      </c>
      <c r="E1014" s="77" t="e">
        <f ca="1">IF(F1014="y",HLOOKUP((IF(C1014&lt;1,1,C1014)),Magick!$C$20:$L$21,2),NA())</f>
        <v>#N/A</v>
      </c>
      <c r="F1014" s="67" t="e">
        <f ca="1">IF(C1014&lt;=Magick!$D$3,"Y","N")</f>
        <v>#N/A</v>
      </c>
      <c r="G1014" s="148" t="s">
        <v>1615</v>
      </c>
      <c r="H1014" s="151"/>
      <c r="I1014" s="77" t="e">
        <f>IF(H1014&gt;0,(HLOOKUP(C1014,Magick!$C$20:$L$21,2)-HLOOKUP(H1014,Magick!$C$20:$L$21,2)),NA())</f>
        <v>#N/A</v>
      </c>
      <c r="J1014" s="77"/>
      <c r="K1014" s="67">
        <v>13</v>
      </c>
      <c r="L1014" s="72" t="str">
        <f>IF(H1014&gt;0,Magick!$AR$30-('Master Spell List'!H1014*0.1),"N/A")</f>
        <v>N/A</v>
      </c>
      <c r="M1014" s="72">
        <f ca="1">Magick!$H$70</f>
        <v>0.08</v>
      </c>
      <c r="N1014" s="72">
        <f ca="1">Magick!$K$70</f>
        <v>0.1</v>
      </c>
      <c r="O1014" s="72">
        <f ca="1">Magick!$L$70</f>
        <v>0.1</v>
      </c>
      <c r="P1014" s="72">
        <f ca="1">Magick!$M$70</f>
        <v>0.1</v>
      </c>
      <c r="Q1014" s="67" t="s">
        <v>4602</v>
      </c>
      <c r="R1014" s="67">
        <f ca="1">IF(Q1014="Ritual","N/A",IF(Q1014="I.E.","N/A",IF(Q1014="WOG",VLOOKUP(Magick!$I$70*100,magestuff!$B$134:$F$138,2),IF(Q1014="Cantrip",VLOOKUP(Magick!$I$70*100,magestuff!$B$134:$F$138,3),IF(Q1014="Hex",VLOOKUP(Magick!$I$70*100,magestuff!$B$134:$F$138,4),VLOOKUP(Magick!$I$70*100,magestuff!$B$134:$F$138,5))))))</f>
        <v>19</v>
      </c>
      <c r="S1014" s="69" t="s">
        <v>1984</v>
      </c>
      <c r="T1014" s="69" t="s">
        <v>3725</v>
      </c>
      <c r="U1014" s="67" t="str">
        <f t="shared" si="134"/>
        <v xml:space="preserve"> </v>
      </c>
      <c r="V1014" s="515"/>
      <c r="W1014" s="125"/>
      <c r="X1014" s="31">
        <f t="shared" si="135"/>
        <v>0</v>
      </c>
      <c r="Y1014" s="509"/>
      <c r="Z1014" s="1054" t="str">
        <f t="shared" si="131"/>
        <v>Greater Fey Magical Bowery +13</v>
      </c>
      <c r="AA1014" s="1072" t="str">
        <f t="shared" si="132"/>
        <v>Wards</v>
      </c>
    </row>
    <row r="1015" spans="1:27" collapsed="1">
      <c r="A1015" s="48" t="s">
        <v>3055</v>
      </c>
      <c r="B1015" s="76">
        <f>SUM(B1016:B1044)</f>
        <v>132</v>
      </c>
      <c r="C1015" s="76" t="e">
        <f ca="1">SUM(C1016:C1044)</f>
        <v>#N/A</v>
      </c>
      <c r="D1015" s="76">
        <f>SUM(D1016:D1044)</f>
        <v>0</v>
      </c>
      <c r="E1015" s="76"/>
      <c r="F1015" s="149" t="e">
        <f ca="1">SUM(C1016:C1021)+IF(F1022="Y",SUM(C1022:C1027),0)+IF(F1028="Y",SUM(C1028:C1030),0)+IF(F1031="Y",SUM(C1031:C1034),0)+IF(F1035="Y",SUM(C1035:C1037),0)+IF(F1038="Y",SUM(C1038:C1041),0)+IF(F1042="Y",SUM(C1042),0)+IF(F1043="Y",SUM(C1043),0)+IF(F1044="Y",SUM(C1044),0)</f>
        <v>#N/A</v>
      </c>
      <c r="G1015" s="76"/>
      <c r="H1015" s="150"/>
      <c r="I1015" s="76"/>
      <c r="J1015" s="76"/>
      <c r="K1015" s="76"/>
      <c r="L1015" s="76"/>
      <c r="M1015" s="222">
        <f ca="1">Magick!$H$73</f>
        <v>0.14000000000000001</v>
      </c>
      <c r="N1015" s="222">
        <f ca="1">Magick!L73</f>
        <v>0.16</v>
      </c>
      <c r="O1015" s="222">
        <f ca="1">Magick!L73</f>
        <v>0.16</v>
      </c>
      <c r="P1015" s="222">
        <f ca="1">Magick!M73</f>
        <v>0.16</v>
      </c>
      <c r="Q1015" s="76"/>
      <c r="R1015" s="76"/>
      <c r="S1015" s="76"/>
      <c r="T1015" s="76"/>
      <c r="U1015" s="149">
        <f>SUM(U1016:U1044)</f>
        <v>0</v>
      </c>
      <c r="V1015" s="76"/>
      <c r="W1015" s="76"/>
      <c r="X1015" s="149"/>
      <c r="Y1015" s="509"/>
      <c r="Z1015" s="1054" t="str">
        <f t="shared" si="131"/>
        <v>Forge Magick</v>
      </c>
      <c r="AA1015" s="1072" t="str">
        <f t="shared" si="132"/>
        <v>Wards</v>
      </c>
    </row>
    <row r="1016" spans="1:27" hidden="1" outlineLevel="1">
      <c r="A1016" s="83" t="s">
        <v>3665</v>
      </c>
      <c r="B1016" s="67">
        <v>1</v>
      </c>
      <c r="C1016" s="67" t="e">
        <f ca="1">IF(magestuff!$C$201&lt;1,1,magestuff!$C$201)</f>
        <v>#N/A</v>
      </c>
      <c r="D1016" s="67">
        <f t="shared" ref="D1016:D1044" si="136">IF(AND(ISNUMBER(H1016),H1016=0),C1016,0)</f>
        <v>0</v>
      </c>
      <c r="E1016" s="77" t="e">
        <f ca="1">IF(F1016="y",HLOOKUP((IF(C1016&lt;1,1,C1016)),Magick!$C$20:$L$21,2),NA())</f>
        <v>#N/A</v>
      </c>
      <c r="F1016" s="67" t="e">
        <f ca="1">IF(C1016&lt;=Magick!$D$3,"Y","N")</f>
        <v>#N/A</v>
      </c>
      <c r="G1016" s="148" t="s">
        <v>1615</v>
      </c>
      <c r="H1016" s="151"/>
      <c r="I1016" s="77" t="e">
        <f>IF(H1016&gt;0,(HLOOKUP(C1016,Magick!$C$20:$L$21,2)-HLOOKUP(H1016,Magick!$C$20:$L$21,2)),NA())</f>
        <v>#N/A</v>
      </c>
      <c r="J1016" s="77"/>
      <c r="K1016" s="67">
        <v>4</v>
      </c>
      <c r="L1016" s="72" t="str">
        <f>IF(H1016&gt;0,Magick!$AR$30-('Master Spell List'!H1016*0.1),"N/A")</f>
        <v>N/A</v>
      </c>
      <c r="M1016" s="72">
        <f ca="1">Magick!$H$73</f>
        <v>0.14000000000000001</v>
      </c>
      <c r="N1016" s="72">
        <f ca="1">Magick!$K$73</f>
        <v>0.16</v>
      </c>
      <c r="O1016" s="72">
        <f ca="1">Magick!$L$73</f>
        <v>0.16</v>
      </c>
      <c r="P1016" s="72">
        <f ca="1">Magick!$M$73</f>
        <v>0.16</v>
      </c>
      <c r="Q1016" s="67" t="s">
        <v>4603</v>
      </c>
      <c r="R1016" s="67">
        <f ca="1">IF(Q1016="Ritual","N/A",IF(Q1016="I.E.","N/A",IF(Q1016="WOG",VLOOKUP(Magick!$I$73*100,magestuff!$B$134:$F$138,2),IF(Q1016="Cantrip",VLOOKUP(Magick!$I$73*100,magestuff!$B$134:$F$138,3),IF(Q1016="Hex",VLOOKUP(Magick!$I$73*100,magestuff!$B$134:$F$138,4),VLOOKUP(Magick!$I$73*100,magestuff!$B$134:$F$138,5))))))</f>
        <v>9</v>
      </c>
      <c r="S1016" s="69" t="s">
        <v>1984</v>
      </c>
      <c r="T1016" s="69" t="s">
        <v>3725</v>
      </c>
      <c r="U1016" s="67" t="str">
        <f t="shared" ref="U1016:U1044" si="137">IF(ISBLANK(H1016)," ",IF(H1016&gt;0,0,C1016*10))</f>
        <v xml:space="preserve"> </v>
      </c>
      <c r="V1016" s="515"/>
      <c r="W1016" s="125"/>
      <c r="X1016" s="31">
        <f t="shared" ref="X1016:X1044" si="138">W1016*3</f>
        <v>0</v>
      </c>
      <c r="Y1016" s="509"/>
      <c r="Z1016" s="1054" t="str">
        <f t="shared" si="131"/>
        <v>Firing &amp; Tending the Forge</v>
      </c>
      <c r="AA1016" s="1072" t="str">
        <f t="shared" si="132"/>
        <v>Wards</v>
      </c>
    </row>
    <row r="1017" spans="1:27" hidden="1" outlineLevel="1">
      <c r="A1017" s="83" t="s">
        <v>688</v>
      </c>
      <c r="B1017" s="67">
        <v>1</v>
      </c>
      <c r="C1017" s="67" t="e">
        <f ca="1">IF(magestuff!$C$201&lt;1,1,magestuff!$C$201)</f>
        <v>#N/A</v>
      </c>
      <c r="D1017" s="67">
        <f t="shared" si="136"/>
        <v>0</v>
      </c>
      <c r="E1017" s="77" t="e">
        <f ca="1">IF(F1017="y",HLOOKUP((IF(C1017&lt;1,1,C1017)),Magick!$C$20:$L$21,2),NA())</f>
        <v>#N/A</v>
      </c>
      <c r="F1017" s="67" t="e">
        <f ca="1">IF(C1017&lt;=Magick!$D$3,"Y","N")</f>
        <v>#N/A</v>
      </c>
      <c r="G1017" s="148" t="s">
        <v>1615</v>
      </c>
      <c r="H1017" s="151"/>
      <c r="I1017" s="77" t="e">
        <f>IF(H1017&gt;0,(HLOOKUP(C1017,Magick!$C$20:$L$21,2)-HLOOKUP(H1017,Magick!$C$20:$L$21,2)),NA())</f>
        <v>#N/A</v>
      </c>
      <c r="J1017" s="77"/>
      <c r="K1017" s="67">
        <v>4</v>
      </c>
      <c r="L1017" s="72" t="str">
        <f>IF(H1017&gt;0,Magick!$AR$30-('Master Spell List'!H1017*0.1),"N/A")</f>
        <v>N/A</v>
      </c>
      <c r="M1017" s="72">
        <f ca="1">Magick!$H$73</f>
        <v>0.14000000000000001</v>
      </c>
      <c r="N1017" s="72">
        <f ca="1">Magick!$K$73</f>
        <v>0.16</v>
      </c>
      <c r="O1017" s="72">
        <f ca="1">Magick!$L$73</f>
        <v>0.16</v>
      </c>
      <c r="P1017" s="72">
        <f ca="1">Magick!$M$73</f>
        <v>0.16</v>
      </c>
      <c r="Q1017" s="67" t="s">
        <v>4603</v>
      </c>
      <c r="R1017" s="67">
        <f ca="1">IF(Q1017="Ritual","N/A",IF(Q1017="I.E.","N/A",IF(Q1017="WOG",VLOOKUP(Magick!$I$73*100,magestuff!$B$134:$F$138,2),IF(Q1017="Cantrip",VLOOKUP(Magick!$I$73*100,magestuff!$B$134:$F$138,3),IF(Q1017="Hex",VLOOKUP(Magick!$I$73*100,magestuff!$B$134:$F$138,4),VLOOKUP(Magick!$I$73*100,magestuff!$B$134:$F$138,5))))))</f>
        <v>9</v>
      </c>
      <c r="S1017" s="69" t="s">
        <v>1984</v>
      </c>
      <c r="T1017" s="69" t="s">
        <v>3725</v>
      </c>
      <c r="U1017" s="67" t="str">
        <f t="shared" si="137"/>
        <v xml:space="preserve"> </v>
      </c>
      <c r="V1017" s="515"/>
      <c r="W1017" s="125"/>
      <c r="X1017" s="31">
        <f t="shared" si="138"/>
        <v>0</v>
      </c>
      <c r="Y1017" s="509"/>
      <c r="Z1017" s="1054" t="str">
        <f t="shared" si="131"/>
        <v>Rejoin Metal</v>
      </c>
      <c r="AA1017" s="1072" t="str">
        <f t="shared" si="132"/>
        <v>Wards</v>
      </c>
    </row>
    <row r="1018" spans="1:27" hidden="1" outlineLevel="1">
      <c r="A1018" s="83" t="s">
        <v>284</v>
      </c>
      <c r="B1018" s="67">
        <v>2</v>
      </c>
      <c r="C1018" s="67" t="e">
        <f ca="1">IF(magestuff!$F$201&lt;1,1,magestuff!$F$201)</f>
        <v>#N/A</v>
      </c>
      <c r="D1018" s="67">
        <f t="shared" si="136"/>
        <v>0</v>
      </c>
      <c r="E1018" s="77" t="e">
        <f ca="1">IF(F1018="y",HLOOKUP((IF(C1018&lt;1,1,C1018)),Magick!$C$20:$L$21,2),NA())</f>
        <v>#N/A</v>
      </c>
      <c r="F1018" s="67" t="e">
        <f ca="1">IF(C1018&lt;=Magick!$D$3,"Y","N")</f>
        <v>#N/A</v>
      </c>
      <c r="G1018" s="148" t="s">
        <v>1615</v>
      </c>
      <c r="H1018" s="151"/>
      <c r="I1018" s="77" t="e">
        <f>IF(H1018&gt;0,(HLOOKUP(C1018,Magick!$C$20:$L$21,2)-HLOOKUP(H1018,Magick!$C$20:$L$21,2)),NA())</f>
        <v>#N/A</v>
      </c>
      <c r="J1018" s="77"/>
      <c r="K1018" s="67">
        <v>5</v>
      </c>
      <c r="L1018" s="72" t="str">
        <f>IF(H1018&gt;0,Magick!$AR$30-('Master Spell List'!H1018*0.1),"N/A")</f>
        <v>N/A</v>
      </c>
      <c r="M1018" s="72">
        <f ca="1">Magick!$H$73</f>
        <v>0.14000000000000001</v>
      </c>
      <c r="N1018" s="72">
        <f ca="1">Magick!$K$73</f>
        <v>0.16</v>
      </c>
      <c r="O1018" s="72">
        <f ca="1">Magick!$L$73</f>
        <v>0.16</v>
      </c>
      <c r="P1018" s="72">
        <f ca="1">Magick!$M$73</f>
        <v>0.16</v>
      </c>
      <c r="Q1018" s="67" t="s">
        <v>113</v>
      </c>
      <c r="R1018" s="67" t="str">
        <f>IF(Q1018="Ritual","N/A",IF(Q1018="I.E.","N/A",IF(Q1018="WOG",VLOOKUP(Magick!$I$73*100,magestuff!$B$134:$F$138,2),IF(Q1018="Cantrip",VLOOKUP(Magick!$I$73*100,magestuff!$B$134:$F$138,3),IF(Q1018="Hex",VLOOKUP(Magick!$I$73*100,magestuff!$B$134:$F$138,4),VLOOKUP(Magick!$I$73*100,magestuff!$B$134:$F$138,5))))))</f>
        <v>N/A</v>
      </c>
      <c r="S1018" s="69" t="s">
        <v>1984</v>
      </c>
      <c r="T1018" s="69" t="s">
        <v>3725</v>
      </c>
      <c r="U1018" s="67" t="str">
        <f t="shared" si="137"/>
        <v xml:space="preserve"> </v>
      </c>
      <c r="V1018" s="515"/>
      <c r="W1018" s="125"/>
      <c r="X1018" s="31">
        <f t="shared" si="138"/>
        <v>0</v>
      </c>
      <c r="Y1018" s="509"/>
      <c r="Z1018" s="1054" t="str">
        <f t="shared" si="131"/>
        <v>Call the Salamander</v>
      </c>
      <c r="AA1018" s="1072" t="str">
        <f t="shared" si="132"/>
        <v>Wards</v>
      </c>
    </row>
    <row r="1019" spans="1:27" hidden="1" outlineLevel="1">
      <c r="A1019" s="83" t="s">
        <v>285</v>
      </c>
      <c r="B1019" s="67">
        <v>2</v>
      </c>
      <c r="C1019" s="67" t="e">
        <f ca="1">IF(magestuff!$F$201&lt;1,1,magestuff!$F$201)</f>
        <v>#N/A</v>
      </c>
      <c r="D1019" s="67">
        <f t="shared" si="136"/>
        <v>0</v>
      </c>
      <c r="E1019" s="77" t="e">
        <f ca="1">IF(F1019="y",HLOOKUP((IF(C1019&lt;1,1,C1019)),Magick!$C$20:$L$21,2),NA())</f>
        <v>#N/A</v>
      </c>
      <c r="F1019" s="67" t="e">
        <f ca="1">IF(C1019&lt;=Magick!$D$3,"Y","N")</f>
        <v>#N/A</v>
      </c>
      <c r="G1019" s="148" t="s">
        <v>1615</v>
      </c>
      <c r="H1019" s="151"/>
      <c r="I1019" s="77" t="e">
        <f>IF(H1019&gt;0,(HLOOKUP(C1019,Magick!$C$20:$L$21,2)-HLOOKUP(H1019,Magick!$C$20:$L$21,2)),NA())</f>
        <v>#N/A</v>
      </c>
      <c r="J1019" s="77"/>
      <c r="K1019" s="67">
        <v>5</v>
      </c>
      <c r="L1019" s="72" t="str">
        <f>IF(H1019&gt;0,Magick!$AR$30-('Master Spell List'!H1019*0.1),"N/A")</f>
        <v>N/A</v>
      </c>
      <c r="M1019" s="72">
        <f ca="1">Magick!$H$73</f>
        <v>0.14000000000000001</v>
      </c>
      <c r="N1019" s="72">
        <f ca="1">Magick!$K$73</f>
        <v>0.16</v>
      </c>
      <c r="O1019" s="72">
        <f ca="1">Magick!$L$73</f>
        <v>0.16</v>
      </c>
      <c r="P1019" s="72">
        <f ca="1">Magick!$M$73</f>
        <v>0.16</v>
      </c>
      <c r="Q1019" s="67" t="s">
        <v>4603</v>
      </c>
      <c r="R1019" s="67">
        <f ca="1">IF(Q1019="Ritual","N/A",IF(Q1019="I.E.","N/A",IF(Q1019="WOG",VLOOKUP(Magick!$I$73*100,magestuff!$B$134:$F$138,2),IF(Q1019="Cantrip",VLOOKUP(Magick!$I$73*100,magestuff!$B$134:$F$138,3),IF(Q1019="Hex",VLOOKUP(Magick!$I$73*100,magestuff!$B$134:$F$138,4),VLOOKUP(Magick!$I$73*100,magestuff!$B$134:$F$138,5))))))</f>
        <v>9</v>
      </c>
      <c r="S1019" s="69" t="s">
        <v>1984</v>
      </c>
      <c r="T1019" s="69" t="s">
        <v>3725</v>
      </c>
      <c r="U1019" s="67" t="str">
        <f t="shared" si="137"/>
        <v xml:space="preserve"> </v>
      </c>
      <c r="V1019" s="515"/>
      <c r="W1019" s="125"/>
      <c r="X1019" s="31">
        <f t="shared" si="138"/>
        <v>0</v>
      </c>
      <c r="Y1019" s="509"/>
      <c r="Z1019" s="1054" t="str">
        <f t="shared" si="131"/>
        <v>Dull Blade</v>
      </c>
      <c r="AA1019" s="1072" t="str">
        <f t="shared" si="132"/>
        <v>Wards</v>
      </c>
    </row>
    <row r="1020" spans="1:27" hidden="1" outlineLevel="1">
      <c r="A1020" s="83" t="s">
        <v>5201</v>
      </c>
      <c r="B1020" s="67">
        <v>2</v>
      </c>
      <c r="C1020" s="67" t="e">
        <f ca="1">IF(magestuff!$F$201&lt;1,1,magestuff!$F$201)</f>
        <v>#N/A</v>
      </c>
      <c r="D1020" s="67">
        <f t="shared" si="136"/>
        <v>0</v>
      </c>
      <c r="E1020" s="77" t="e">
        <f ca="1">IF(F1020="y",HLOOKUP((IF(C1020&lt;1,1,C1020)),Magick!$C$20:$L$21,2),NA())</f>
        <v>#N/A</v>
      </c>
      <c r="F1020" s="67" t="e">
        <f ca="1">IF(C1020&lt;=Magick!$D$3,"Y","N")</f>
        <v>#N/A</v>
      </c>
      <c r="G1020" s="148" t="s">
        <v>1615</v>
      </c>
      <c r="H1020" s="151"/>
      <c r="I1020" s="77" t="e">
        <f>IF(H1020&gt;0,(HLOOKUP(C1020,Magick!$C$20:$L$21,2)-HLOOKUP(H1020,Magick!$C$20:$L$21,2)),NA())</f>
        <v>#N/A</v>
      </c>
      <c r="J1020" s="77"/>
      <c r="K1020" s="67">
        <v>5</v>
      </c>
      <c r="L1020" s="72" t="str">
        <f>IF(H1020&gt;0,Magick!$AR$30-('Master Spell List'!H1020*0.1),"N/A")</f>
        <v>N/A</v>
      </c>
      <c r="M1020" s="72">
        <f ca="1">Magick!$H$73</f>
        <v>0.14000000000000001</v>
      </c>
      <c r="N1020" s="72">
        <f ca="1">Magick!$K$73</f>
        <v>0.16</v>
      </c>
      <c r="O1020" s="72">
        <f ca="1">Magick!$L$73</f>
        <v>0.16</v>
      </c>
      <c r="P1020" s="72">
        <f ca="1">Magick!$M$73</f>
        <v>0.16</v>
      </c>
      <c r="Q1020" s="67" t="s">
        <v>4603</v>
      </c>
      <c r="R1020" s="67">
        <f ca="1">IF(Q1020="Ritual","N/A",IF(Q1020="I.E.","N/A",IF(Q1020="WOG",VLOOKUP(Magick!$I$73*100,magestuff!$B$134:$F$138,2),IF(Q1020="Cantrip",VLOOKUP(Magick!$I$73*100,magestuff!$B$134:$F$138,3),IF(Q1020="Hex",VLOOKUP(Magick!$I$73*100,magestuff!$B$134:$F$138,4),VLOOKUP(Magick!$I$73*100,magestuff!$B$134:$F$138,5))))))</f>
        <v>9</v>
      </c>
      <c r="S1020" s="69" t="s">
        <v>1984</v>
      </c>
      <c r="T1020" s="69" t="s">
        <v>3725</v>
      </c>
      <c r="U1020" s="67" t="str">
        <f t="shared" si="137"/>
        <v xml:space="preserve"> </v>
      </c>
      <c r="V1020" s="515"/>
      <c r="W1020" s="125"/>
      <c r="X1020" s="31">
        <f t="shared" si="138"/>
        <v>0</v>
      </c>
      <c r="Y1020" s="509"/>
      <c r="Z1020" s="1054" t="str">
        <f t="shared" si="131"/>
        <v>Evaluate Steel Weapons &amp; Armour</v>
      </c>
      <c r="AA1020" s="1072" t="str">
        <f t="shared" si="132"/>
        <v>Wards</v>
      </c>
    </row>
    <row r="1021" spans="1:27" hidden="1" outlineLevel="1">
      <c r="A1021" s="83" t="s">
        <v>5202</v>
      </c>
      <c r="B1021" s="67">
        <v>2</v>
      </c>
      <c r="C1021" s="67" t="e">
        <f ca="1">IF(magestuff!$F$201&lt;1,1,magestuff!$F$201)</f>
        <v>#N/A</v>
      </c>
      <c r="D1021" s="67">
        <f t="shared" si="136"/>
        <v>0</v>
      </c>
      <c r="E1021" s="77" t="e">
        <f ca="1">IF(F1021="y",HLOOKUP((IF(C1021&lt;1,1,C1021)),Magick!$C$20:$L$21,2),NA())</f>
        <v>#N/A</v>
      </c>
      <c r="F1021" s="67" t="e">
        <f ca="1">IF(C1021&lt;=Magick!$D$3,"Y","N")</f>
        <v>#N/A</v>
      </c>
      <c r="G1021" s="148" t="s">
        <v>1615</v>
      </c>
      <c r="H1021" s="151"/>
      <c r="I1021" s="77" t="e">
        <f>IF(H1021&gt;0,(HLOOKUP(C1021,Magick!$C$20:$L$21,2)-HLOOKUP(H1021,Magick!$C$20:$L$21,2)),NA())</f>
        <v>#N/A</v>
      </c>
      <c r="J1021" s="77"/>
      <c r="K1021" s="67">
        <v>5</v>
      </c>
      <c r="L1021" s="72" t="str">
        <f>IF(H1021&gt;0,Magick!$AR$30-('Master Spell List'!H1021*0.1),"N/A")</f>
        <v>N/A</v>
      </c>
      <c r="M1021" s="72">
        <f ca="1">Magick!$H$73</f>
        <v>0.14000000000000001</v>
      </c>
      <c r="N1021" s="72">
        <f ca="1">Magick!$K$73</f>
        <v>0.16</v>
      </c>
      <c r="O1021" s="72">
        <f ca="1">Magick!$L$73</f>
        <v>0.16</v>
      </c>
      <c r="P1021" s="72">
        <f ca="1">Magick!$M$73</f>
        <v>0.16</v>
      </c>
      <c r="Q1021" s="67" t="s">
        <v>4603</v>
      </c>
      <c r="R1021" s="67">
        <f ca="1">IF(Q1021="Ritual","N/A",IF(Q1021="I.E.","N/A",IF(Q1021="WOG",VLOOKUP(Magick!$I$73*100,magestuff!$B$134:$F$138,2),IF(Q1021="Cantrip",VLOOKUP(Magick!$I$73*100,magestuff!$B$134:$F$138,3),IF(Q1021="Hex",VLOOKUP(Magick!$I$73*100,magestuff!$B$134:$F$138,4),VLOOKUP(Magick!$I$73*100,magestuff!$B$134:$F$138,5))))))</f>
        <v>9</v>
      </c>
      <c r="S1021" s="69" t="s">
        <v>1984</v>
      </c>
      <c r="T1021" s="69" t="s">
        <v>3725</v>
      </c>
      <c r="U1021" s="67" t="str">
        <f t="shared" si="137"/>
        <v xml:space="preserve"> </v>
      </c>
      <c r="V1021" s="515"/>
      <c r="W1021" s="125"/>
      <c r="X1021" s="31">
        <f t="shared" si="138"/>
        <v>0</v>
      </c>
      <c r="Y1021" s="509"/>
      <c r="Z1021" s="1054" t="str">
        <f t="shared" si="131"/>
        <v>Sharpen Blade</v>
      </c>
      <c r="AA1021" s="1072" t="str">
        <f t="shared" si="132"/>
        <v>Wards</v>
      </c>
    </row>
    <row r="1022" spans="1:27" hidden="1" outlineLevel="1">
      <c r="A1022" s="83" t="s">
        <v>5203</v>
      </c>
      <c r="B1022" s="67">
        <v>3</v>
      </c>
      <c r="C1022" s="67" t="e">
        <f ca="1">IF(magestuff!$I$201&lt;1,1,magestuff!$I$201)</f>
        <v>#N/A</v>
      </c>
      <c r="D1022" s="67">
        <f t="shared" si="136"/>
        <v>0</v>
      </c>
      <c r="E1022" s="77" t="e">
        <f ca="1">IF(F1022="y",HLOOKUP((IF(C1022&lt;1,1,C1022)),Magick!$C$20:$L$21,2),NA())</f>
        <v>#N/A</v>
      </c>
      <c r="F1022" s="67" t="e">
        <f ca="1">IF(C1022&lt;=Magick!$D$3,"Y","N")</f>
        <v>#N/A</v>
      </c>
      <c r="G1022" s="148" t="s">
        <v>1615</v>
      </c>
      <c r="H1022" s="151"/>
      <c r="I1022" s="77" t="e">
        <f>IF(H1022&gt;0,(HLOOKUP(C1022,Magick!$C$20:$L$21,2)-HLOOKUP(H1022,Magick!$C$20:$L$21,2)),NA())</f>
        <v>#N/A</v>
      </c>
      <c r="J1022" s="77"/>
      <c r="K1022" s="67">
        <v>6</v>
      </c>
      <c r="L1022" s="72" t="str">
        <f>IF(H1022&gt;0,Magick!$AR$30-('Master Spell List'!H1022*0.1),"N/A")</f>
        <v>N/A</v>
      </c>
      <c r="M1022" s="72">
        <f ca="1">Magick!$H$73</f>
        <v>0.14000000000000001</v>
      </c>
      <c r="N1022" s="72">
        <f ca="1">Magick!$K$73</f>
        <v>0.16</v>
      </c>
      <c r="O1022" s="72">
        <f ca="1">Magick!$L$73</f>
        <v>0.16</v>
      </c>
      <c r="P1022" s="72">
        <f ca="1">Magick!$M$73</f>
        <v>0.16</v>
      </c>
      <c r="Q1022" s="67" t="s">
        <v>3723</v>
      </c>
      <c r="R1022" s="67">
        <f ca="1">IF(Q1022="Ritual","N/A",IF(Q1022="I.E.","N/A",IF(Q1022="WOG",VLOOKUP(Magick!$I$73*100,magestuff!$B$134:$F$138,2),IF(Q1022="Cantrip",VLOOKUP(Magick!$I$73*100,magestuff!$B$134:$F$138,3),IF(Q1022="Hex",VLOOKUP(Magick!$I$73*100,magestuff!$B$134:$F$138,4),VLOOKUP(Magick!$I$73*100,magestuff!$B$134:$F$138,5))))))</f>
        <v>29</v>
      </c>
      <c r="S1022" s="69" t="s">
        <v>1984</v>
      </c>
      <c r="T1022" s="69" t="s">
        <v>3725</v>
      </c>
      <c r="U1022" s="67" t="str">
        <f t="shared" si="137"/>
        <v xml:space="preserve"> </v>
      </c>
      <c r="V1022" s="515"/>
      <c r="W1022" s="125"/>
      <c r="X1022" s="31">
        <f t="shared" si="138"/>
        <v>0</v>
      </c>
      <c r="Y1022" s="509"/>
      <c r="Z1022" s="1054" t="str">
        <f t="shared" si="131"/>
        <v>Heal Rust</v>
      </c>
      <c r="AA1022" s="1072" t="str">
        <f t="shared" si="132"/>
        <v>Wards</v>
      </c>
    </row>
    <row r="1023" spans="1:27" hidden="1" outlineLevel="1">
      <c r="A1023" s="83" t="s">
        <v>2386</v>
      </c>
      <c r="B1023" s="67">
        <v>3</v>
      </c>
      <c r="C1023" s="67" t="e">
        <f ca="1">IF(magestuff!$I$201&lt;1,1,magestuff!$I$201)</f>
        <v>#N/A</v>
      </c>
      <c r="D1023" s="67">
        <f t="shared" si="136"/>
        <v>0</v>
      </c>
      <c r="E1023" s="77" t="e">
        <f ca="1">IF(F1023="y",HLOOKUP((IF(C1023&lt;1,1,C1023)),Magick!$C$20:$L$21,2),NA())</f>
        <v>#N/A</v>
      </c>
      <c r="F1023" s="67" t="e">
        <f ca="1">IF(C1023&lt;=Magick!$D$3,"Y","N")</f>
        <v>#N/A</v>
      </c>
      <c r="G1023" s="148" t="s">
        <v>1615</v>
      </c>
      <c r="H1023" s="151"/>
      <c r="I1023" s="77" t="e">
        <f>IF(H1023&gt;0,(HLOOKUP(C1023,Magick!$C$20:$L$21,2)-HLOOKUP(H1023,Magick!$C$20:$L$21,2)),NA())</f>
        <v>#N/A</v>
      </c>
      <c r="J1023" s="77"/>
      <c r="K1023" s="67">
        <v>6</v>
      </c>
      <c r="L1023" s="72" t="str">
        <f>IF(H1023&gt;0,Magick!$AR$30-('Master Spell List'!H1023*0.1),"N/A")</f>
        <v>N/A</v>
      </c>
      <c r="M1023" s="72">
        <f ca="1">Magick!$H$73</f>
        <v>0.14000000000000001</v>
      </c>
      <c r="N1023" s="72">
        <f ca="1">Magick!$K$73</f>
        <v>0.16</v>
      </c>
      <c r="O1023" s="72">
        <f ca="1">Magick!$L$73</f>
        <v>0.16</v>
      </c>
      <c r="P1023" s="72">
        <f ca="1">Magick!$M$73</f>
        <v>0.16</v>
      </c>
      <c r="Q1023" s="67" t="s">
        <v>4603</v>
      </c>
      <c r="R1023" s="67">
        <f ca="1">IF(Q1023="Ritual","N/A",IF(Q1023="I.E.","N/A",IF(Q1023="WOG",VLOOKUP(Magick!$I$73*100,magestuff!$B$134:$F$138,2),IF(Q1023="Cantrip",VLOOKUP(Magick!$I$73*100,magestuff!$B$134:$F$138,3),IF(Q1023="Hex",VLOOKUP(Magick!$I$73*100,magestuff!$B$134:$F$138,4),VLOOKUP(Magick!$I$73*100,magestuff!$B$134:$F$138,5))))))</f>
        <v>9</v>
      </c>
      <c r="S1023" s="69" t="s">
        <v>1984</v>
      </c>
      <c r="T1023" s="69" t="str">
        <f>CONCATENATE(IF(Magick!$C$3&gt;0,Magick!$C$3*5," ")," min.")</f>
        <v xml:space="preserve">  min.</v>
      </c>
      <c r="U1023" s="67" t="str">
        <f t="shared" si="137"/>
        <v xml:space="preserve"> </v>
      </c>
      <c r="V1023" s="515"/>
      <c r="W1023" s="125"/>
      <c r="X1023" s="31">
        <f t="shared" si="138"/>
        <v>0</v>
      </c>
      <c r="Y1023" s="509"/>
      <c r="Z1023" s="1054" t="str">
        <f t="shared" si="131"/>
        <v>Join Items</v>
      </c>
      <c r="AA1023" s="1072" t="str">
        <f t="shared" si="132"/>
        <v>Wards</v>
      </c>
    </row>
    <row r="1024" spans="1:27" hidden="1" outlineLevel="1">
      <c r="A1024" s="83" t="s">
        <v>4446</v>
      </c>
      <c r="B1024" s="67">
        <v>3</v>
      </c>
      <c r="C1024" s="67" t="e">
        <f ca="1">IF(magestuff!$I$201&lt;1,1,magestuff!$I$201)</f>
        <v>#N/A</v>
      </c>
      <c r="D1024" s="67">
        <f t="shared" si="136"/>
        <v>0</v>
      </c>
      <c r="E1024" s="77" t="e">
        <f ca="1">IF(F1024="y",HLOOKUP((IF(C1024&lt;1,1,C1024)),Magick!$C$20:$L$21,2),NA())</f>
        <v>#N/A</v>
      </c>
      <c r="F1024" s="67" t="e">
        <f ca="1">IF(C1024&lt;=Magick!$D$3,"Y","N")</f>
        <v>#N/A</v>
      </c>
      <c r="G1024" s="148" t="s">
        <v>1615</v>
      </c>
      <c r="H1024" s="151"/>
      <c r="I1024" s="77" t="e">
        <f>IF(H1024&gt;0,(HLOOKUP(C1024,Magick!$C$20:$L$21,2)-HLOOKUP(H1024,Magick!$C$20:$L$21,2)),NA())</f>
        <v>#N/A</v>
      </c>
      <c r="J1024" s="77"/>
      <c r="K1024" s="67">
        <v>6</v>
      </c>
      <c r="L1024" s="72" t="str">
        <f>IF(H1024&gt;0,Magick!$AR$30-('Master Spell List'!H1025*0.1),"N/A")</f>
        <v>N/A</v>
      </c>
      <c r="M1024" s="72">
        <f ca="1">Magick!$H$73</f>
        <v>0.14000000000000001</v>
      </c>
      <c r="N1024" s="72">
        <f ca="1">Magick!$K$73</f>
        <v>0.16</v>
      </c>
      <c r="O1024" s="72">
        <f ca="1">Magick!$L$73</f>
        <v>0.16</v>
      </c>
      <c r="P1024" s="72">
        <f ca="1">Magick!$M$73</f>
        <v>0.16</v>
      </c>
      <c r="Q1024" s="67" t="s">
        <v>113</v>
      </c>
      <c r="R1024" s="67" t="str">
        <f>IF(Q1024="Ritual","N/A",IF(Q1024="I.E.","N/A",IF(Q1024="WOG",VLOOKUP(Magick!$I$73*100,magestuff!$B$134:$F$138,2),IF(Q1024="Cantrip",VLOOKUP(Magick!$I$73*100,magestuff!$B$134:$F$138,3),IF(Q1024="Hex",VLOOKUP(Magick!$I$73*100,magestuff!$B$134:$F$138,4),VLOOKUP(Magick!$I$73*100,magestuff!$B$134:$F$138,5))))))</f>
        <v>N/A</v>
      </c>
      <c r="S1024" s="69" t="s">
        <v>1984</v>
      </c>
      <c r="T1024" s="69" t="s">
        <v>4601</v>
      </c>
      <c r="U1024" s="67" t="str">
        <f t="shared" si="137"/>
        <v xml:space="preserve"> </v>
      </c>
      <c r="V1024" s="515"/>
      <c r="W1024" s="125"/>
      <c r="X1024" s="31">
        <f t="shared" si="138"/>
        <v>0</v>
      </c>
      <c r="Y1024" s="509"/>
      <c r="Z1024" s="1054" t="str">
        <f t="shared" si="131"/>
        <v>Magically Fashion Armour</v>
      </c>
      <c r="AA1024" s="1072" t="str">
        <f t="shared" si="132"/>
        <v>Wards</v>
      </c>
    </row>
    <row r="1025" spans="1:27" hidden="1" outlineLevel="1">
      <c r="A1025" s="83" t="s">
        <v>2705</v>
      </c>
      <c r="B1025" s="67">
        <v>3</v>
      </c>
      <c r="C1025" s="67" t="e">
        <f ca="1">IF(magestuff!$I$201&lt;1,1,magestuff!$I$201)</f>
        <v>#N/A</v>
      </c>
      <c r="D1025" s="67">
        <f t="shared" si="136"/>
        <v>0</v>
      </c>
      <c r="E1025" s="77" t="e">
        <f ca="1">IF(F1025="y",HLOOKUP((IF(C1025&lt;1,1,C1025)),Magick!$C$20:$L$21,2),NA())</f>
        <v>#N/A</v>
      </c>
      <c r="F1025" s="67" t="e">
        <f ca="1">IF(C1025&lt;=Magick!$D$3,"Y","N")</f>
        <v>#N/A</v>
      </c>
      <c r="G1025" s="148" t="s">
        <v>1615</v>
      </c>
      <c r="H1025" s="151"/>
      <c r="I1025" s="77" t="e">
        <f>IF(H1025&gt;0,(HLOOKUP(C1025,Magick!$C$20:$L$21,2)-HLOOKUP(H1025,Magick!$C$20:$L$21,2)),NA())</f>
        <v>#N/A</v>
      </c>
      <c r="J1025" s="77"/>
      <c r="K1025" s="67">
        <v>6</v>
      </c>
      <c r="L1025" s="72" t="str">
        <f>IF(H1025&gt;0,Magick!$AR$30-('Master Spell List'!H1026*0.1),"N/A")</f>
        <v>N/A</v>
      </c>
      <c r="M1025" s="72">
        <f ca="1">Magick!$H$73</f>
        <v>0.14000000000000001</v>
      </c>
      <c r="N1025" s="72">
        <f ca="1">Magick!$K$73</f>
        <v>0.16</v>
      </c>
      <c r="O1025" s="72">
        <f ca="1">Magick!$L$73</f>
        <v>0.16</v>
      </c>
      <c r="P1025" s="72">
        <f ca="1">Magick!$M$73</f>
        <v>0.16</v>
      </c>
      <c r="Q1025" s="67" t="s">
        <v>113</v>
      </c>
      <c r="R1025" s="67" t="str">
        <f>IF(Q1025="Ritual","N/A",IF(Q1025="I.E.","N/A",IF(Q1025="WOG",VLOOKUP(Magick!$I$73*100,magestuff!$B$134:$F$138,2),IF(Q1025="Cantrip",VLOOKUP(Magick!$I$73*100,magestuff!$B$134:$F$138,3),IF(Q1025="Hex",VLOOKUP(Magick!$I$73*100,magestuff!$B$134:$F$138,4),VLOOKUP(Magick!$I$73*100,magestuff!$B$134:$F$138,5))))))</f>
        <v>N/A</v>
      </c>
      <c r="S1025" s="69" t="s">
        <v>1984</v>
      </c>
      <c r="T1025" s="69" t="s">
        <v>4601</v>
      </c>
      <c r="U1025" s="67" t="str">
        <f t="shared" si="137"/>
        <v xml:space="preserve"> </v>
      </c>
      <c r="V1025" s="515"/>
      <c r="W1025" s="125"/>
      <c r="X1025" s="31">
        <f t="shared" si="138"/>
        <v>0</v>
      </c>
      <c r="Y1025" s="509"/>
      <c r="Z1025" s="1054" t="str">
        <f t="shared" si="131"/>
        <v>Magically Forge Armaments</v>
      </c>
      <c r="AA1025" s="1072" t="str">
        <f t="shared" si="132"/>
        <v>Wards</v>
      </c>
    </row>
    <row r="1026" spans="1:27" hidden="1" outlineLevel="1">
      <c r="A1026" s="83" t="s">
        <v>2706</v>
      </c>
      <c r="B1026" s="67">
        <v>3</v>
      </c>
      <c r="C1026" s="67" t="e">
        <f ca="1">IF(magestuff!$I$201&lt;1,1,magestuff!$I$201)</f>
        <v>#N/A</v>
      </c>
      <c r="D1026" s="67">
        <f t="shared" si="136"/>
        <v>0</v>
      </c>
      <c r="E1026" s="77" t="e">
        <f ca="1">IF(F1026="y",HLOOKUP((IF(C1026&lt;1,1,C1026)),Magick!$C$20:$L$21,2),NA())</f>
        <v>#N/A</v>
      </c>
      <c r="F1026" s="67" t="e">
        <f ca="1">IF(C1026&lt;=Magick!$D$3,"Y","N")</f>
        <v>#N/A</v>
      </c>
      <c r="G1026" s="148" t="s">
        <v>1615</v>
      </c>
      <c r="H1026" s="151"/>
      <c r="I1026" s="77" t="e">
        <f>IF(H1026&gt;0,(HLOOKUP(C1026,Magick!$C$20:$L$21,2)-HLOOKUP(H1026,Magick!$C$20:$L$21,2)),NA())</f>
        <v>#N/A</v>
      </c>
      <c r="J1026" s="77"/>
      <c r="K1026" s="67">
        <v>6</v>
      </c>
      <c r="L1026" s="72" t="str">
        <f>IF(H1026&gt;0,Magick!$AR$30-('Master Spell List'!H1027*0.1),"N/A")</f>
        <v>N/A</v>
      </c>
      <c r="M1026" s="72">
        <f ca="1">Magick!$H$73</f>
        <v>0.14000000000000001</v>
      </c>
      <c r="N1026" s="72">
        <f ca="1">Magick!$K$73</f>
        <v>0.16</v>
      </c>
      <c r="O1026" s="72">
        <f ca="1">Magick!$L$73</f>
        <v>0.16</v>
      </c>
      <c r="P1026" s="72">
        <f ca="1">Magick!$M$73</f>
        <v>0.16</v>
      </c>
      <c r="Q1026" s="67" t="s">
        <v>113</v>
      </c>
      <c r="R1026" s="67" t="str">
        <f>IF(Q1026="Ritual","N/A",IF(Q1026="I.E.","N/A",IF(Q1026="WOG",VLOOKUP(Magick!$I$73*100,magestuff!$B$134:$F$138,2),IF(Q1026="Cantrip",VLOOKUP(Magick!$I$73*100,magestuff!$B$134:$F$138,3),IF(Q1026="Hex",VLOOKUP(Magick!$I$73*100,magestuff!$B$134:$F$138,4),VLOOKUP(Magick!$I$73*100,magestuff!$B$134:$F$138,5))))))</f>
        <v>N/A</v>
      </c>
      <c r="S1026" s="69" t="s">
        <v>1984</v>
      </c>
      <c r="T1026" s="69" t="s">
        <v>4601</v>
      </c>
      <c r="U1026" s="67" t="str">
        <f t="shared" si="137"/>
        <v xml:space="preserve"> </v>
      </c>
      <c r="V1026" s="515"/>
      <c r="W1026" s="125"/>
      <c r="X1026" s="31">
        <f t="shared" si="138"/>
        <v>0</v>
      </c>
      <c r="Y1026" s="509"/>
      <c r="Z1026" s="1054" t="str">
        <f t="shared" ref="Z1026:Z1054" si="139">A1026</f>
        <v>Magically Forge Swords</v>
      </c>
      <c r="AA1026" s="1072" t="str">
        <f t="shared" si="132"/>
        <v>Wards</v>
      </c>
    </row>
    <row r="1027" spans="1:27" hidden="1" outlineLevel="1">
      <c r="A1027" s="83" t="s">
        <v>4953</v>
      </c>
      <c r="B1027" s="67">
        <v>3</v>
      </c>
      <c r="C1027" s="67" t="e">
        <f ca="1">IF(magestuff!$I$201&lt;1,1,magestuff!$I$201)</f>
        <v>#N/A</v>
      </c>
      <c r="D1027" s="67">
        <f t="shared" si="136"/>
        <v>0</v>
      </c>
      <c r="E1027" s="77" t="e">
        <f ca="1">IF(F1027="y",HLOOKUP((IF(C1027&lt;1,1,C1027)),Magick!$C$20:$L$21,2),NA())</f>
        <v>#N/A</v>
      </c>
      <c r="F1027" s="67" t="e">
        <f ca="1">IF(C1027&lt;=Magick!$D$3,"Y","N")</f>
        <v>#N/A</v>
      </c>
      <c r="G1027" s="148" t="s">
        <v>1615</v>
      </c>
      <c r="H1027" s="151"/>
      <c r="I1027" s="77" t="e">
        <f>IF(H1027&gt;0,(HLOOKUP(C1027,Magick!$C$20:$L$21,2)-HLOOKUP(H1027,Magick!$C$20:$L$21,2)),NA())</f>
        <v>#N/A</v>
      </c>
      <c r="J1027" s="77"/>
      <c r="K1027" s="67">
        <v>6</v>
      </c>
      <c r="L1027" s="72" t="str">
        <f>IF(H1027&gt;0,Magick!$AR$30-('Master Spell List'!H1024*0.1),"N/A")</f>
        <v>N/A</v>
      </c>
      <c r="M1027" s="72">
        <f ca="1">Magick!$H$73</f>
        <v>0.14000000000000001</v>
      </c>
      <c r="N1027" s="72">
        <f ca="1">Magick!$K$73</f>
        <v>0.16</v>
      </c>
      <c r="O1027" s="72">
        <f ca="1">Magick!$L$73</f>
        <v>0.16</v>
      </c>
      <c r="P1027" s="72">
        <f ca="1">Magick!$M$73</f>
        <v>0.16</v>
      </c>
      <c r="Q1027" s="67" t="s">
        <v>3723</v>
      </c>
      <c r="R1027" s="67">
        <f ca="1">IF(Q1027="Ritual","N/A",IF(Q1027="I.E.","N/A",IF(Q1027="WOG",VLOOKUP(Magick!$I$73*100,magestuff!$B$134:$F$138,2),IF(Q1027="Cantrip",VLOOKUP(Magick!$I$73*100,magestuff!$B$134:$F$138,3),IF(Q1027="Hex",VLOOKUP(Magick!$I$73*100,magestuff!$B$134:$F$138,4),VLOOKUP(Magick!$I$73*100,magestuff!$B$134:$F$138,5))))))</f>
        <v>29</v>
      </c>
      <c r="S1027" s="69" t="s">
        <v>1984</v>
      </c>
      <c r="T1027" s="69" t="s">
        <v>3725</v>
      </c>
      <c r="U1027" s="67" t="str">
        <f t="shared" si="137"/>
        <v xml:space="preserve"> </v>
      </c>
      <c r="V1027" s="515"/>
      <c r="W1027" s="125"/>
      <c r="X1027" s="31">
        <f t="shared" si="138"/>
        <v>0</v>
      </c>
      <c r="Y1027" s="509"/>
      <c r="Z1027" s="1054" t="str">
        <f t="shared" si="139"/>
        <v>Rust Metal</v>
      </c>
      <c r="AA1027" s="1072" t="str">
        <f t="shared" ref="AA1027:AA1055" si="140">IF(ISNUMBER(MATCH($Z1027,Spell_Methods,0)),$Z1027,$AA1026)</f>
        <v>Wards</v>
      </c>
    </row>
    <row r="1028" spans="1:27" hidden="1" outlineLevel="1">
      <c r="A1028" s="83" t="s">
        <v>3999</v>
      </c>
      <c r="B1028" s="67">
        <v>4</v>
      </c>
      <c r="C1028" s="67" t="e">
        <f ca="1">magestuff!$L$201</f>
        <v>#N/A</v>
      </c>
      <c r="D1028" s="67">
        <f t="shared" si="136"/>
        <v>0</v>
      </c>
      <c r="E1028" s="77" t="e">
        <f ca="1">IF(F1028="y",HLOOKUP((IF(C1028&lt;1,1,C1028)),Magick!$C$20:$L$21,2),NA())</f>
        <v>#N/A</v>
      </c>
      <c r="F1028" s="67" t="e">
        <f ca="1">IF(C1028&lt;=Magick!$D$3,"Y","N")</f>
        <v>#N/A</v>
      </c>
      <c r="G1028" s="148" t="s">
        <v>1615</v>
      </c>
      <c r="H1028" s="151"/>
      <c r="I1028" s="77" t="e">
        <f>IF(H1028&gt;0,(HLOOKUP(C1028,Magick!$C$20:$L$21,2)-HLOOKUP(H1028,Magick!$C$20:$L$21,2)),NA())</f>
        <v>#N/A</v>
      </c>
      <c r="J1028" s="77"/>
      <c r="K1028" s="67">
        <v>7</v>
      </c>
      <c r="L1028" s="72" t="str">
        <f>IF(H1028&gt;0,Magick!$AR$30-('Master Spell List'!H1028*0.1),"N/A")</f>
        <v>N/A</v>
      </c>
      <c r="M1028" s="72">
        <f ca="1">Magick!$H$73</f>
        <v>0.14000000000000001</v>
      </c>
      <c r="N1028" s="72">
        <f ca="1">Magick!$K$73</f>
        <v>0.16</v>
      </c>
      <c r="O1028" s="72">
        <f ca="1">Magick!$L$73</f>
        <v>0.16</v>
      </c>
      <c r="P1028" s="72">
        <f ca="1">Magick!$M$73</f>
        <v>0.16</v>
      </c>
      <c r="Q1028" s="67" t="s">
        <v>113</v>
      </c>
      <c r="R1028" s="67" t="str">
        <f>IF(Q1028="Ritual","N/A",IF(Q1028="I.E.","N/A",IF(Q1028="WOG",VLOOKUP(Magick!$I$73*100,magestuff!$B$134:$F$138,2),IF(Q1028="Cantrip",VLOOKUP(Magick!$I$73*100,magestuff!$B$134:$F$138,3),IF(Q1028="Hex",VLOOKUP(Magick!$I$73*100,magestuff!$B$134:$F$138,4),VLOOKUP(Magick!$I$73*100,magestuff!$B$134:$F$138,5))))))</f>
        <v>N/A</v>
      </c>
      <c r="S1028" s="69" t="s">
        <v>1984</v>
      </c>
      <c r="T1028" s="69" t="s">
        <v>3725</v>
      </c>
      <c r="U1028" s="67" t="str">
        <f t="shared" si="137"/>
        <v xml:space="preserve"> </v>
      </c>
      <c r="V1028" s="515"/>
      <c r="W1028" s="125"/>
      <c r="X1028" s="31">
        <f t="shared" si="138"/>
        <v>0</v>
      </c>
      <c r="Y1028" s="509"/>
      <c r="Z1028" s="1054" t="str">
        <f t="shared" si="139"/>
        <v>Discern Metal Object's History</v>
      </c>
      <c r="AA1028" s="1072" t="str">
        <f t="shared" si="140"/>
        <v>Wards</v>
      </c>
    </row>
    <row r="1029" spans="1:27" hidden="1" outlineLevel="1">
      <c r="A1029" s="83" t="s">
        <v>4000</v>
      </c>
      <c r="B1029" s="67">
        <v>4</v>
      </c>
      <c r="C1029" s="67" t="e">
        <f ca="1">magestuff!$L$201</f>
        <v>#N/A</v>
      </c>
      <c r="D1029" s="67">
        <f t="shared" si="136"/>
        <v>0</v>
      </c>
      <c r="E1029" s="77" t="e">
        <f ca="1">IF(F1029="y",HLOOKUP((IF(C1029&lt;1,1,C1029)),Magick!$C$20:$L$21,2),NA())</f>
        <v>#N/A</v>
      </c>
      <c r="F1029" s="67" t="e">
        <f ca="1">IF(C1029&lt;=Magick!$D$3,"Y","N")</f>
        <v>#N/A</v>
      </c>
      <c r="G1029" s="148" t="s">
        <v>1615</v>
      </c>
      <c r="H1029" s="151"/>
      <c r="I1029" s="77" t="e">
        <f>IF(H1029&gt;0,(HLOOKUP(C1029,Magick!$C$20:$L$21,2)-HLOOKUP(H1029,Magick!$C$20:$L$21,2)),NA())</f>
        <v>#N/A</v>
      </c>
      <c r="J1029" s="77"/>
      <c r="K1029" s="67">
        <v>7</v>
      </c>
      <c r="L1029" s="72" t="str">
        <f>IF(H1029&gt;0,Magick!$AR$30-('Master Spell List'!H1029*0.1),"N/A")</f>
        <v>N/A</v>
      </c>
      <c r="M1029" s="72">
        <f ca="1">Magick!$H$73</f>
        <v>0.14000000000000001</v>
      </c>
      <c r="N1029" s="72">
        <f ca="1">Magick!$K$73</f>
        <v>0.16</v>
      </c>
      <c r="O1029" s="72">
        <f ca="1">Magick!$L$73</f>
        <v>0.16</v>
      </c>
      <c r="P1029" s="72">
        <f ca="1">Magick!$M$73</f>
        <v>0.16</v>
      </c>
      <c r="Q1029" s="67" t="s">
        <v>113</v>
      </c>
      <c r="R1029" s="67" t="str">
        <f>IF(Q1029="Ritual","N/A",IF(Q1029="I.E.","N/A",IF(Q1029="WOG",VLOOKUP(Magick!$I$73*100,magestuff!$B$134:$F$138,2),IF(Q1029="Cantrip",VLOOKUP(Magick!$I$73*100,magestuff!$B$134:$F$138,3),IF(Q1029="Hex",VLOOKUP(Magick!$I$73*100,magestuff!$B$134:$F$138,4),VLOOKUP(Magick!$I$73*100,magestuff!$B$134:$F$138,5))))))</f>
        <v>N/A</v>
      </c>
      <c r="S1029" s="69" t="s">
        <v>1984</v>
      </c>
      <c r="T1029" s="69" t="str">
        <f>CONCATENATE(IF(Magick!$C$3&gt;0,Magick!$C$3," ")," hits")</f>
        <v xml:space="preserve">  hits</v>
      </c>
      <c r="U1029" s="67" t="str">
        <f t="shared" si="137"/>
        <v xml:space="preserve"> </v>
      </c>
      <c r="V1029" s="515"/>
      <c r="W1029" s="125"/>
      <c r="X1029" s="31">
        <f t="shared" si="138"/>
        <v>0</v>
      </c>
      <c r="Y1029" s="509"/>
      <c r="Z1029" s="1054" t="str">
        <f t="shared" si="139"/>
        <v>Magical Sharpness</v>
      </c>
      <c r="AA1029" s="1072" t="str">
        <f t="shared" si="140"/>
        <v>Wards</v>
      </c>
    </row>
    <row r="1030" spans="1:27" hidden="1" outlineLevel="1">
      <c r="A1030" s="83" t="s">
        <v>4286</v>
      </c>
      <c r="B1030" s="67">
        <v>4</v>
      </c>
      <c r="C1030" s="67" t="e">
        <f ca="1">magestuff!$L$201</f>
        <v>#N/A</v>
      </c>
      <c r="D1030" s="67">
        <f t="shared" si="136"/>
        <v>0</v>
      </c>
      <c r="E1030" s="77" t="e">
        <f ca="1">IF(F1030="y",HLOOKUP((IF(C1030&lt;1,1,C1030)),Magick!$C$20:$L$21,2),NA())</f>
        <v>#N/A</v>
      </c>
      <c r="F1030" s="67" t="e">
        <f ca="1">IF(C1030&lt;=Magick!$D$3,"Y","N")</f>
        <v>#N/A</v>
      </c>
      <c r="G1030" s="148" t="s">
        <v>1615</v>
      </c>
      <c r="H1030" s="151"/>
      <c r="I1030" s="77" t="e">
        <f>IF(H1030&gt;0,(HLOOKUP(C1030,Magick!$C$20:$L$21,2)-HLOOKUP(H1030,Magick!$C$20:$L$21,2)),NA())</f>
        <v>#N/A</v>
      </c>
      <c r="J1030" s="77"/>
      <c r="K1030" s="67">
        <v>7</v>
      </c>
      <c r="L1030" s="72" t="str">
        <f>IF(H1030&gt;0,Magick!$AR$30-('Master Spell List'!H1030*0.1),"N/A")</f>
        <v>N/A</v>
      </c>
      <c r="M1030" s="72">
        <f ca="1">Magick!$H$73</f>
        <v>0.14000000000000001</v>
      </c>
      <c r="N1030" s="72">
        <f ca="1">Magick!$K$73</f>
        <v>0.16</v>
      </c>
      <c r="O1030" s="72">
        <f ca="1">Magick!$L$73</f>
        <v>0.16</v>
      </c>
      <c r="P1030" s="72">
        <f ca="1">Magick!$M$73</f>
        <v>0.16</v>
      </c>
      <c r="Q1030" s="67" t="s">
        <v>113</v>
      </c>
      <c r="R1030" s="67" t="str">
        <f>IF(Q1030="Ritual","N/A",IF(Q1030="I.E.","N/A",IF(Q1030="WOG",VLOOKUP(Magick!$I$73*100,magestuff!$B$134:$F$138,2),IF(Q1030="Cantrip",VLOOKUP(Magick!$I$73*100,magestuff!$B$134:$F$138,3),IF(Q1030="Hex",VLOOKUP(Magick!$I$73*100,magestuff!$B$134:$F$138,4),VLOOKUP(Magick!$I$73*100,magestuff!$B$134:$F$138,5))))))</f>
        <v>N/A</v>
      </c>
      <c r="S1030" s="69" t="s">
        <v>1984</v>
      </c>
      <c r="T1030" s="69" t="str">
        <f>CONCATENATE(IF(Magick!$C$3&gt;0,Magick!$C$3*5," ")," min.")</f>
        <v xml:space="preserve">  min.</v>
      </c>
      <c r="U1030" s="67" t="str">
        <f t="shared" si="137"/>
        <v xml:space="preserve"> </v>
      </c>
      <c r="V1030" s="515"/>
      <c r="W1030" s="125"/>
      <c r="X1030" s="31">
        <f t="shared" si="138"/>
        <v>0</v>
      </c>
      <c r="Y1030" s="509"/>
      <c r="Z1030" s="1054" t="str">
        <f t="shared" si="139"/>
        <v>Strength of the Smith</v>
      </c>
      <c r="AA1030" s="1072" t="str">
        <f t="shared" si="140"/>
        <v>Wards</v>
      </c>
    </row>
    <row r="1031" spans="1:27" hidden="1" outlineLevel="1">
      <c r="A1031" s="83" t="s">
        <v>1470</v>
      </c>
      <c r="B1031" s="67">
        <v>5</v>
      </c>
      <c r="C1031" s="67" t="e">
        <f ca="1">magestuff!$O$201</f>
        <v>#N/A</v>
      </c>
      <c r="D1031" s="67">
        <f t="shared" si="136"/>
        <v>0</v>
      </c>
      <c r="E1031" s="77" t="e">
        <f ca="1">IF(F1031="y",HLOOKUP((IF(C1031&lt;1,1,C1031)),Magick!$C$20:$L$21,2),NA())</f>
        <v>#N/A</v>
      </c>
      <c r="F1031" s="67" t="e">
        <f ca="1">IF(C1031&lt;=Magick!$D$3,"Y","N")</f>
        <v>#N/A</v>
      </c>
      <c r="G1031" s="148" t="s">
        <v>1615</v>
      </c>
      <c r="H1031" s="151"/>
      <c r="I1031" s="77" t="e">
        <f>IF(H1031&gt;0,(HLOOKUP(C1031,Magick!$C$20:$L$21,2)-HLOOKUP(H1031,Magick!$C$20:$L$21,2)),NA())</f>
        <v>#N/A</v>
      </c>
      <c r="J1031" s="77"/>
      <c r="K1031" s="67">
        <v>8</v>
      </c>
      <c r="L1031" s="72" t="str">
        <f>IF(H1031&gt;0,Magick!$AR$30-('Master Spell List'!H1031*0.1),"N/A")</f>
        <v>N/A</v>
      </c>
      <c r="M1031" s="72">
        <f ca="1">Magick!$H$73</f>
        <v>0.14000000000000001</v>
      </c>
      <c r="N1031" s="72">
        <f ca="1">Magick!$K$73</f>
        <v>0.16</v>
      </c>
      <c r="O1031" s="72">
        <f ca="1">Magick!$L$73</f>
        <v>0.16</v>
      </c>
      <c r="P1031" s="72">
        <f ca="1">Magick!$M$73</f>
        <v>0.16</v>
      </c>
      <c r="Q1031" s="67" t="s">
        <v>113</v>
      </c>
      <c r="R1031" s="67" t="str">
        <f>IF(Q1031="Ritual","N/A",IF(Q1031="I.E.","N/A",IF(Q1031="WOG",VLOOKUP(Magick!$I$73*100,magestuff!$B$134:$F$138,2),IF(Q1031="Cantrip",VLOOKUP(Magick!$I$73*100,magestuff!$B$134:$F$138,3),IF(Q1031="Hex",VLOOKUP(Magick!$I$73*100,magestuff!$B$134:$F$138,4),VLOOKUP(Magick!$I$73*100,magestuff!$B$134:$F$138,5))))))</f>
        <v>N/A</v>
      </c>
      <c r="S1031" s="69" t="s">
        <v>1984</v>
      </c>
      <c r="T1031" s="69" t="str">
        <f>CONCATENATE(IF(Magick!$C$3&gt;0,Magick!$C$3*10," ")," min.")</f>
        <v xml:space="preserve">  min.</v>
      </c>
      <c r="U1031" s="67" t="str">
        <f t="shared" si="137"/>
        <v xml:space="preserve"> </v>
      </c>
      <c r="V1031" s="515"/>
      <c r="W1031" s="125"/>
      <c r="X1031" s="31">
        <f t="shared" si="138"/>
        <v>0</v>
      </c>
      <c r="Y1031" s="509"/>
      <c r="Z1031" s="1054" t="str">
        <f t="shared" si="139"/>
        <v>Enchant the Paste of Terpsichore</v>
      </c>
      <c r="AA1031" s="1072" t="str">
        <f t="shared" si="140"/>
        <v>Wards</v>
      </c>
    </row>
    <row r="1032" spans="1:27" hidden="1" outlineLevel="1">
      <c r="A1032" s="83" t="s">
        <v>2826</v>
      </c>
      <c r="B1032" s="67">
        <v>5</v>
      </c>
      <c r="C1032" s="67" t="e">
        <f ca="1">magestuff!$O$201</f>
        <v>#N/A</v>
      </c>
      <c r="D1032" s="67">
        <f t="shared" si="136"/>
        <v>0</v>
      </c>
      <c r="E1032" s="77" t="e">
        <f ca="1">IF(F1032="y",HLOOKUP((IF(C1032&lt;1,1,C1032)),Magick!$C$20:$L$21,2),NA())</f>
        <v>#N/A</v>
      </c>
      <c r="F1032" s="67" t="e">
        <f ca="1">IF(C1032&lt;=Magick!$D$3,"Y","N")</f>
        <v>#N/A</v>
      </c>
      <c r="G1032" s="148" t="s">
        <v>1615</v>
      </c>
      <c r="H1032" s="151"/>
      <c r="I1032" s="77" t="e">
        <f>IF(H1032&gt;0,(HLOOKUP(C1032,Magick!$C$20:$L$21,2)-HLOOKUP(H1032,Magick!$C$20:$L$21,2)),NA())</f>
        <v>#N/A</v>
      </c>
      <c r="J1032" s="77"/>
      <c r="K1032" s="67">
        <v>8</v>
      </c>
      <c r="L1032" s="72" t="str">
        <f>IF(H1032&gt;0,Magick!$AR$30-('Master Spell List'!H1032*0.1),"N/A")</f>
        <v>N/A</v>
      </c>
      <c r="M1032" s="72">
        <f ca="1">Magick!$H$73</f>
        <v>0.14000000000000001</v>
      </c>
      <c r="N1032" s="72">
        <f ca="1">Magick!$K$73</f>
        <v>0.16</v>
      </c>
      <c r="O1032" s="72">
        <f ca="1">Magick!$L$73</f>
        <v>0.16</v>
      </c>
      <c r="P1032" s="72">
        <f ca="1">Magick!$M$73</f>
        <v>0.16</v>
      </c>
      <c r="Q1032" s="67" t="s">
        <v>4602</v>
      </c>
      <c r="R1032" s="67">
        <f ca="1">IF(Q1032="Ritual","N/A",IF(Q1032="I.E.","N/A",IF(Q1032="WOG",VLOOKUP(Magick!$I$73*100,magestuff!$B$134:$F$138,2),IF(Q1032="Cantrip",VLOOKUP(Magick!$I$73*100,magestuff!$B$134:$F$138,3),IF(Q1032="Hex",VLOOKUP(Magick!$I$73*100,magestuff!$B$134:$F$138,4),VLOOKUP(Magick!$I$73*100,magestuff!$B$134:$F$138,5))))))</f>
        <v>19</v>
      </c>
      <c r="S1032" s="69" t="str">
        <f>CONCATENATE(IF(Magick!$C$3&gt;0,Magick!$C$3," ")," ft.")</f>
        <v xml:space="preserve">  ft.</v>
      </c>
      <c r="T1032" s="69" t="s">
        <v>3725</v>
      </c>
      <c r="U1032" s="67" t="str">
        <f t="shared" si="137"/>
        <v xml:space="preserve"> </v>
      </c>
      <c r="V1032" s="515"/>
      <c r="W1032" s="125"/>
      <c r="X1032" s="31">
        <f t="shared" si="138"/>
        <v>0</v>
      </c>
      <c r="Y1032" s="509"/>
      <c r="Z1032" s="1054" t="str">
        <f t="shared" si="139"/>
        <v>Lesser Vulcan's Tempering</v>
      </c>
      <c r="AA1032" s="1072" t="str">
        <f t="shared" si="140"/>
        <v>Wards</v>
      </c>
    </row>
    <row r="1033" spans="1:27" hidden="1" outlineLevel="1">
      <c r="A1033" s="83" t="s">
        <v>2827</v>
      </c>
      <c r="B1033" s="67">
        <v>5</v>
      </c>
      <c r="C1033" s="67" t="e">
        <f ca="1">magestuff!$O$201</f>
        <v>#N/A</v>
      </c>
      <c r="D1033" s="67">
        <f t="shared" si="136"/>
        <v>0</v>
      </c>
      <c r="E1033" s="77" t="e">
        <f ca="1">IF(F1033="y",HLOOKUP((IF(C1033&lt;1,1,C1033)),Magick!$C$20:$L$21,2),NA())</f>
        <v>#N/A</v>
      </c>
      <c r="F1033" s="67" t="e">
        <f ca="1">IF(C1033&lt;=Magick!$D$3,"Y","N")</f>
        <v>#N/A</v>
      </c>
      <c r="G1033" s="148" t="s">
        <v>1615</v>
      </c>
      <c r="H1033" s="151"/>
      <c r="I1033" s="77" t="e">
        <f>IF(H1033&gt;0,(HLOOKUP(C1033,Magick!$C$20:$L$21,2)-HLOOKUP(H1033,Magick!$C$20:$L$21,2)),NA())</f>
        <v>#N/A</v>
      </c>
      <c r="J1033" s="77"/>
      <c r="K1033" s="67">
        <v>8</v>
      </c>
      <c r="L1033" s="72" t="str">
        <f>IF(H1033&gt;0,Magick!$AR$30-('Master Spell List'!H1033*0.1),"N/A")</f>
        <v>N/A</v>
      </c>
      <c r="M1033" s="72">
        <f ca="1">Magick!$H$73</f>
        <v>0.14000000000000001</v>
      </c>
      <c r="N1033" s="72">
        <f ca="1">Magick!$K$73</f>
        <v>0.16</v>
      </c>
      <c r="O1033" s="72">
        <f ca="1">Magick!$L$73</f>
        <v>0.16</v>
      </c>
      <c r="P1033" s="72">
        <f ca="1">Magick!$M$73</f>
        <v>0.16</v>
      </c>
      <c r="Q1033" s="67" t="s">
        <v>3723</v>
      </c>
      <c r="R1033" s="67">
        <f ca="1">IF(Q1033="Ritual","N/A",IF(Q1033="I.E.","N/A",IF(Q1033="WOG",VLOOKUP(Magick!$I$73*100,magestuff!$B$134:$F$138,2),IF(Q1033="Cantrip",VLOOKUP(Magick!$I$73*100,magestuff!$B$134:$F$138,3),IF(Q1033="Hex",VLOOKUP(Magick!$I$73*100,magestuff!$B$134:$F$138,4),VLOOKUP(Magick!$I$73*100,magestuff!$B$134:$F$138,5))))))</f>
        <v>29</v>
      </c>
      <c r="S1033" s="69" t="s">
        <v>2329</v>
      </c>
      <c r="T1033" s="69" t="str">
        <f>CONCATENATE(IF(Magick!$C$3&gt;0,Magick!$C$3," ")," min.")</f>
        <v xml:space="preserve">  min.</v>
      </c>
      <c r="U1033" s="67" t="str">
        <f t="shared" si="137"/>
        <v xml:space="preserve"> </v>
      </c>
      <c r="V1033" s="515"/>
      <c r="W1033" s="125"/>
      <c r="X1033" s="31">
        <f t="shared" si="138"/>
        <v>0</v>
      </c>
      <c r="Y1033" s="509"/>
      <c r="Z1033" s="1054" t="str">
        <f t="shared" si="139"/>
        <v>The Secret of Steel</v>
      </c>
      <c r="AA1033" s="1072" t="str">
        <f t="shared" si="140"/>
        <v>Wards</v>
      </c>
    </row>
    <row r="1034" spans="1:27" hidden="1" outlineLevel="1">
      <c r="A1034" s="83" t="s">
        <v>2828</v>
      </c>
      <c r="B1034" s="67">
        <v>5</v>
      </c>
      <c r="C1034" s="67" t="e">
        <f ca="1">magestuff!$O$201</f>
        <v>#N/A</v>
      </c>
      <c r="D1034" s="67">
        <f t="shared" si="136"/>
        <v>0</v>
      </c>
      <c r="E1034" s="77" t="e">
        <f ca="1">IF(F1034="y",HLOOKUP((IF(C1034&lt;1,1,C1034)),Magick!$C$20:$L$21,2),NA())</f>
        <v>#N/A</v>
      </c>
      <c r="F1034" s="67" t="e">
        <f ca="1">IF(C1034&lt;=Magick!$D$3,"Y","N")</f>
        <v>#N/A</v>
      </c>
      <c r="G1034" s="148" t="s">
        <v>1615</v>
      </c>
      <c r="H1034" s="151"/>
      <c r="I1034" s="77" t="e">
        <f>IF(H1034&gt;0,(HLOOKUP(C1034,Magick!$C$20:$L$21,2)-HLOOKUP(H1034,Magick!$C$20:$L$21,2)),NA())</f>
        <v>#N/A</v>
      </c>
      <c r="J1034" s="77"/>
      <c r="K1034" s="67">
        <v>8</v>
      </c>
      <c r="L1034" s="72" t="str">
        <f>IF(H1034&gt;0,Magick!$AR$30-('Master Spell List'!H1034*0.1),"N/A")</f>
        <v>N/A</v>
      </c>
      <c r="M1034" s="72">
        <f ca="1">Magick!$H$73</f>
        <v>0.14000000000000001</v>
      </c>
      <c r="N1034" s="72">
        <f ca="1">Magick!$K$73</f>
        <v>0.16</v>
      </c>
      <c r="O1034" s="72">
        <f ca="1">Magick!$L$73</f>
        <v>0.16</v>
      </c>
      <c r="P1034" s="72">
        <f ca="1">Magick!$M$73</f>
        <v>0.16</v>
      </c>
      <c r="Q1034" s="67" t="s">
        <v>4602</v>
      </c>
      <c r="R1034" s="67">
        <f ca="1">IF(Q1034="Ritual","N/A",IF(Q1034="I.E.","N/A",IF(Q1034="WOG",VLOOKUP(Magick!$I$73*100,magestuff!$B$134:$F$138,2),IF(Q1034="Cantrip",VLOOKUP(Magick!$I$73*100,magestuff!$B$134:$F$138,3),IF(Q1034="Hex",VLOOKUP(Magick!$I$73*100,magestuff!$B$134:$F$138,4),VLOOKUP(Magick!$I$73*100,magestuff!$B$134:$F$138,5))))))</f>
        <v>19</v>
      </c>
      <c r="S1034" s="69" t="s">
        <v>1984</v>
      </c>
      <c r="T1034" s="69" t="s">
        <v>3725</v>
      </c>
      <c r="U1034" s="67" t="str">
        <f t="shared" si="137"/>
        <v xml:space="preserve"> </v>
      </c>
      <c r="V1034" s="515"/>
      <c r="W1034" s="125"/>
      <c r="X1034" s="31">
        <f t="shared" si="138"/>
        <v>0</v>
      </c>
      <c r="Y1034" s="509"/>
      <c r="Z1034" s="1054" t="str">
        <f t="shared" si="139"/>
        <v>Vulcan's Forger</v>
      </c>
      <c r="AA1034" s="1072" t="str">
        <f t="shared" si="140"/>
        <v>Wards</v>
      </c>
    </row>
    <row r="1035" spans="1:27" hidden="1" outlineLevel="1">
      <c r="A1035" s="83" t="s">
        <v>2829</v>
      </c>
      <c r="B1035" s="67">
        <v>6</v>
      </c>
      <c r="C1035" s="67" t="e">
        <f ca="1">magestuff!$R$201</f>
        <v>#N/A</v>
      </c>
      <c r="D1035" s="67">
        <f t="shared" si="136"/>
        <v>0</v>
      </c>
      <c r="E1035" s="77" t="e">
        <f ca="1">IF(F1035="y",HLOOKUP((IF(C1035&lt;1,1,C1035)),Magick!$C$20:$L$21,2),NA())</f>
        <v>#N/A</v>
      </c>
      <c r="F1035" s="67" t="e">
        <f ca="1">IF(C1035&lt;=Magick!$D$3,"Y","N")</f>
        <v>#N/A</v>
      </c>
      <c r="G1035" s="148" t="s">
        <v>1615</v>
      </c>
      <c r="H1035" s="151"/>
      <c r="I1035" s="77" t="e">
        <f>IF(H1035&gt;0,(HLOOKUP(C1035,Magick!$C$20:$L$21,2)-HLOOKUP(H1035,Magick!$C$20:$L$21,2)),NA())</f>
        <v>#N/A</v>
      </c>
      <c r="J1035" s="77"/>
      <c r="K1035" s="67">
        <v>9</v>
      </c>
      <c r="L1035" s="72" t="str">
        <f>IF(H1035&gt;0,Magick!$AR$30-('Master Spell List'!H1035*0.1),"N/A")</f>
        <v>N/A</v>
      </c>
      <c r="M1035" s="72">
        <f ca="1">Magick!$H$73</f>
        <v>0.14000000000000001</v>
      </c>
      <c r="N1035" s="72">
        <f ca="1">Magick!$K$73</f>
        <v>0.16</v>
      </c>
      <c r="O1035" s="72">
        <f ca="1">Magick!$L$73</f>
        <v>0.16</v>
      </c>
      <c r="P1035" s="72">
        <f ca="1">Magick!$M$73</f>
        <v>0.16</v>
      </c>
      <c r="Q1035" s="67" t="s">
        <v>4602</v>
      </c>
      <c r="R1035" s="67">
        <f ca="1">IF(Q1035="Ritual","N/A",IF(Q1035="I.E.","N/A",IF(Q1035="WOG",VLOOKUP(Magick!$I$73*100,magestuff!$B$134:$F$138,2),IF(Q1035="Cantrip",VLOOKUP(Magick!$I$73*100,magestuff!$B$134:$F$138,3),IF(Q1035="Hex",VLOOKUP(Magick!$I$73*100,magestuff!$B$134:$F$138,4),VLOOKUP(Magick!$I$73*100,magestuff!$B$134:$F$138,5))))))</f>
        <v>19</v>
      </c>
      <c r="S1035" s="69" t="str">
        <f>CONCATENATE(IF(Magick!$C$3&gt;0,Magick!$C$3," ")," ft.")</f>
        <v xml:space="preserve">  ft.</v>
      </c>
      <c r="T1035" s="69" t="s">
        <v>3725</v>
      </c>
      <c r="U1035" s="67" t="str">
        <f t="shared" si="137"/>
        <v xml:space="preserve"> </v>
      </c>
      <c r="V1035" s="515"/>
      <c r="W1035" s="125"/>
      <c r="X1035" s="31">
        <f t="shared" si="138"/>
        <v>0</v>
      </c>
      <c r="Y1035" s="509"/>
      <c r="Z1035" s="1054" t="str">
        <f t="shared" si="139"/>
        <v>Greater Vulcan's Tempering</v>
      </c>
      <c r="AA1035" s="1072" t="str">
        <f t="shared" si="140"/>
        <v>Wards</v>
      </c>
    </row>
    <row r="1036" spans="1:27" hidden="1" outlineLevel="1">
      <c r="A1036" s="83" t="s">
        <v>2831</v>
      </c>
      <c r="B1036" s="67">
        <v>6</v>
      </c>
      <c r="C1036" s="67" t="e">
        <f ca="1">magestuff!$R$201</f>
        <v>#N/A</v>
      </c>
      <c r="D1036" s="67">
        <f t="shared" si="136"/>
        <v>0</v>
      </c>
      <c r="E1036" s="77" t="e">
        <f ca="1">IF(F1036="y",HLOOKUP((IF(C1036&lt;1,1,C1036)),Magick!$C$20:$L$21,2),NA())</f>
        <v>#N/A</v>
      </c>
      <c r="F1036" s="67" t="e">
        <f ca="1">IF(C1036&lt;=Magick!$D$3,"Y","N")</f>
        <v>#N/A</v>
      </c>
      <c r="G1036" s="148" t="s">
        <v>1615</v>
      </c>
      <c r="H1036" s="151"/>
      <c r="I1036" s="77" t="e">
        <f>IF(H1036&gt;0,(HLOOKUP(C1036,Magick!$C$20:$L$21,2)-HLOOKUP(H1036,Magick!$C$20:$L$21,2)),NA())</f>
        <v>#N/A</v>
      </c>
      <c r="J1036" s="77"/>
      <c r="K1036" s="67">
        <v>9</v>
      </c>
      <c r="L1036" s="72" t="str">
        <f>IF(H1036&gt;0,Magick!$AR$30-('Master Spell List'!H1037*0.1),"N/A")</f>
        <v>N/A</v>
      </c>
      <c r="M1036" s="72">
        <f ca="1">Magick!$H$73</f>
        <v>0.14000000000000001</v>
      </c>
      <c r="N1036" s="72">
        <f ca="1">Magick!$K$73</f>
        <v>0.16</v>
      </c>
      <c r="O1036" s="72">
        <f ca="1">Magick!$L$73</f>
        <v>0.16</v>
      </c>
      <c r="P1036" s="72">
        <f ca="1">Magick!$M$73</f>
        <v>0.16</v>
      </c>
      <c r="Q1036" s="67" t="s">
        <v>113</v>
      </c>
      <c r="R1036" s="67" t="str">
        <f>IF(Q1036="Ritual","N/A",IF(Q1036="I.E.","N/A",IF(Q1036="WOG",VLOOKUP(Magick!$I$73*100,magestuff!$B$134:$F$138,2),IF(Q1036="Cantrip",VLOOKUP(Magick!$I$73*100,magestuff!$B$134:$F$138,3),IF(Q1036="Hex",VLOOKUP(Magick!$I$73*100,magestuff!$B$134:$F$138,4),VLOOKUP(Magick!$I$73*100,magestuff!$B$134:$F$138,5))))))</f>
        <v>N/A</v>
      </c>
      <c r="S1036" s="69" t="s">
        <v>2329</v>
      </c>
      <c r="T1036" s="69" t="s">
        <v>3725</v>
      </c>
      <c r="U1036" s="67" t="str">
        <f t="shared" si="137"/>
        <v xml:space="preserve"> </v>
      </c>
      <c r="V1036" s="515"/>
      <c r="W1036" s="125"/>
      <c r="X1036" s="31">
        <f t="shared" si="138"/>
        <v>0</v>
      </c>
      <c r="Y1036" s="509"/>
      <c r="Z1036" s="1054" t="str">
        <f t="shared" si="139"/>
        <v>Inspiration of Vulcan</v>
      </c>
      <c r="AA1036" s="1072" t="str">
        <f t="shared" si="140"/>
        <v>Wards</v>
      </c>
    </row>
    <row r="1037" spans="1:27" hidden="1" outlineLevel="1">
      <c r="A1037" s="83" t="s">
        <v>2830</v>
      </c>
      <c r="B1037" s="67">
        <v>6</v>
      </c>
      <c r="C1037" s="67" t="e">
        <f ca="1">magestuff!$R$201</f>
        <v>#N/A</v>
      </c>
      <c r="D1037" s="67">
        <f t="shared" si="136"/>
        <v>0</v>
      </c>
      <c r="E1037" s="77" t="e">
        <f ca="1">IF(F1037="y",HLOOKUP((IF(C1037&lt;1,1,C1037)),Magick!$C$20:$L$21,2),NA())</f>
        <v>#N/A</v>
      </c>
      <c r="F1037" s="67" t="e">
        <f ca="1">IF(C1037&lt;=Magick!$D$3,"Y","N")</f>
        <v>#N/A</v>
      </c>
      <c r="G1037" s="148" t="s">
        <v>1615</v>
      </c>
      <c r="H1037" s="151"/>
      <c r="I1037" s="77" t="e">
        <f>IF(H1037&gt;0,(HLOOKUP(C1037,Magick!$C$20:$L$21,2)-HLOOKUP(H1037,Magick!$C$20:$L$21,2)),NA())</f>
        <v>#N/A</v>
      </c>
      <c r="J1037" s="77"/>
      <c r="K1037" s="67">
        <v>9</v>
      </c>
      <c r="L1037" s="72" t="str">
        <f>IF(H1037&gt;0,Magick!$AR$30-('Master Spell List'!H1036*0.1),"N/A")</f>
        <v>N/A</v>
      </c>
      <c r="M1037" s="72">
        <f ca="1">Magick!$H$73</f>
        <v>0.14000000000000001</v>
      </c>
      <c r="N1037" s="72">
        <f ca="1">Magick!$K$73</f>
        <v>0.16</v>
      </c>
      <c r="O1037" s="72">
        <f ca="1">Magick!$L$73</f>
        <v>0.16</v>
      </c>
      <c r="P1037" s="72">
        <f ca="1">Magick!$M$73</f>
        <v>0.16</v>
      </c>
      <c r="Q1037" s="67" t="s">
        <v>113</v>
      </c>
      <c r="R1037" s="67" t="str">
        <f>IF(Q1037="Ritual","N/A",IF(Q1037="I.E.","N/A",IF(Q1037="WOG",VLOOKUP(Magick!$I$73*100,magestuff!$B$134:$F$138,2),IF(Q1037="Cantrip",VLOOKUP(Magick!$I$73*100,magestuff!$B$134:$F$138,3),IF(Q1037="Hex",VLOOKUP(Magick!$I$73*100,magestuff!$B$134:$F$138,4),VLOOKUP(Magick!$I$73*100,magestuff!$B$134:$F$138,5))))))</f>
        <v>N/A</v>
      </c>
      <c r="S1037" s="69" t="str">
        <f>CONCATENATE(IF(Magick!$C$3&gt;0,Magick!$C$3," ")," ft.")</f>
        <v xml:space="preserve">  ft.</v>
      </c>
      <c r="T1037" s="69" t="s">
        <v>3725</v>
      </c>
      <c r="U1037" s="67" t="str">
        <f t="shared" si="137"/>
        <v xml:space="preserve"> </v>
      </c>
      <c r="V1037" s="515"/>
      <c r="W1037" s="125"/>
      <c r="X1037" s="31">
        <f t="shared" si="138"/>
        <v>0</v>
      </c>
      <c r="Y1037" s="509"/>
      <c r="Z1037" s="1054" t="str">
        <f t="shared" si="139"/>
        <v>Transfer the Qualities of Fire and Water</v>
      </c>
      <c r="AA1037" s="1072" t="str">
        <f t="shared" si="140"/>
        <v>Wards</v>
      </c>
    </row>
    <row r="1038" spans="1:27" hidden="1" outlineLevel="1">
      <c r="A1038" s="83" t="s">
        <v>2832</v>
      </c>
      <c r="B1038" s="67">
        <v>6</v>
      </c>
      <c r="C1038" s="67" t="e">
        <f ca="1">magestuff!$U$201</f>
        <v>#N/A</v>
      </c>
      <c r="D1038" s="67">
        <f t="shared" si="136"/>
        <v>0</v>
      </c>
      <c r="E1038" s="77" t="e">
        <f ca="1">IF(F1038="y",HLOOKUP((IF(C1038&lt;1,1,C1038)),Magick!$C$20:$L$21,2),NA())</f>
        <v>#N/A</v>
      </c>
      <c r="F1038" s="67" t="e">
        <f ca="1">IF(C1038&lt;=Magick!$D$3,"Y","N")</f>
        <v>#N/A</v>
      </c>
      <c r="G1038" s="148" t="s">
        <v>1615</v>
      </c>
      <c r="H1038" s="151"/>
      <c r="I1038" s="77" t="e">
        <f>IF(H1038&gt;0,(HLOOKUP(C1038,Magick!$C$20:$L$21,2)-HLOOKUP(H1038,Magick!$C$20:$L$21,2)),NA())</f>
        <v>#N/A</v>
      </c>
      <c r="J1038" s="77"/>
      <c r="K1038" s="67">
        <v>10</v>
      </c>
      <c r="L1038" s="72" t="str">
        <f>IF(H1038&gt;0,Magick!$AR$30-('Master Spell List'!H1038*0.1),"N/A")</f>
        <v>N/A</v>
      </c>
      <c r="M1038" s="72">
        <f ca="1">Magick!$H$73</f>
        <v>0.14000000000000001</v>
      </c>
      <c r="N1038" s="72">
        <f ca="1">Magick!$K$73</f>
        <v>0.16</v>
      </c>
      <c r="O1038" s="72">
        <f ca="1">Magick!$L$73</f>
        <v>0.16</v>
      </c>
      <c r="P1038" s="72">
        <f ca="1">Magick!$M$73</f>
        <v>0.16</v>
      </c>
      <c r="Q1038" s="67" t="s">
        <v>3723</v>
      </c>
      <c r="R1038" s="67">
        <f ca="1">IF(Q1038="Ritual","N/A",IF(Q1038="I.E.","N/A",IF(Q1038="WOG",VLOOKUP(Magick!$I$73*100,magestuff!$B$134:$F$138,2),IF(Q1038="Cantrip",VLOOKUP(Magick!$I$73*100,magestuff!$B$134:$F$138,3),IF(Q1038="Hex",VLOOKUP(Magick!$I$73*100,magestuff!$B$134:$F$138,4),VLOOKUP(Magick!$I$73*100,magestuff!$B$134:$F$138,5))))))</f>
        <v>29</v>
      </c>
      <c r="S1038" s="69" t="s">
        <v>117</v>
      </c>
      <c r="T1038" s="69" t="s">
        <v>3725</v>
      </c>
      <c r="U1038" s="67" t="str">
        <f t="shared" si="137"/>
        <v xml:space="preserve"> </v>
      </c>
      <c r="V1038" s="515"/>
      <c r="W1038" s="125"/>
      <c r="X1038" s="31">
        <f t="shared" si="138"/>
        <v>0</v>
      </c>
      <c r="Y1038" s="509"/>
      <c r="Z1038" s="1054" t="str">
        <f t="shared" si="139"/>
        <v>Vulcan's Casting</v>
      </c>
      <c r="AA1038" s="1072" t="str">
        <f t="shared" si="140"/>
        <v>Wards</v>
      </c>
    </row>
    <row r="1039" spans="1:27" hidden="1" outlineLevel="1">
      <c r="A1039" s="83" t="s">
        <v>2833</v>
      </c>
      <c r="B1039" s="67">
        <v>7</v>
      </c>
      <c r="C1039" s="67" t="e">
        <f ca="1">magestuff!$U$201</f>
        <v>#N/A</v>
      </c>
      <c r="D1039" s="67">
        <f t="shared" si="136"/>
        <v>0</v>
      </c>
      <c r="E1039" s="77" t="e">
        <f ca="1">IF(F1039="y",HLOOKUP((IF(C1039&lt;1,1,C1039)),Magick!$C$20:$L$21,2),NA())</f>
        <v>#N/A</v>
      </c>
      <c r="F1039" s="67" t="e">
        <f ca="1">IF(C1039&lt;=Magick!$D$3,"Y","N")</f>
        <v>#N/A</v>
      </c>
      <c r="G1039" s="148" t="s">
        <v>1615</v>
      </c>
      <c r="H1039" s="151"/>
      <c r="I1039" s="77" t="e">
        <f>IF(H1039&gt;0,(HLOOKUP(C1039,Magick!$C$20:$L$21,2)-HLOOKUP(H1039,Magick!$C$20:$L$21,2)),NA())</f>
        <v>#N/A</v>
      </c>
      <c r="J1039" s="77"/>
      <c r="K1039" s="67">
        <v>10</v>
      </c>
      <c r="L1039" s="72" t="str">
        <f>IF(H1039&gt;0,Magick!$AR$30-('Master Spell List'!H1039*0.1),"N/A")</f>
        <v>N/A</v>
      </c>
      <c r="M1039" s="72">
        <f ca="1">Magick!$H$73</f>
        <v>0.14000000000000001</v>
      </c>
      <c r="N1039" s="72">
        <f ca="1">Magick!$K$73</f>
        <v>0.16</v>
      </c>
      <c r="O1039" s="72">
        <f ca="1">Magick!$L$73</f>
        <v>0.16</v>
      </c>
      <c r="P1039" s="72">
        <f ca="1">Magick!$M$73</f>
        <v>0.16</v>
      </c>
      <c r="Q1039" s="67" t="s">
        <v>113</v>
      </c>
      <c r="R1039" s="67" t="str">
        <f>IF(Q1039="Ritual","N/A",IF(Q1039="I.E.","N/A",IF(Q1039="WOG",VLOOKUP(Magick!$I$73*100,magestuff!$B$134:$F$138,2),IF(Q1039="Cantrip",VLOOKUP(Magick!$I$73*100,magestuff!$B$134:$F$138,3),IF(Q1039="Hex",VLOOKUP(Magick!$I$73*100,magestuff!$B$134:$F$138,4),VLOOKUP(Magick!$I$73*100,magestuff!$B$134:$F$138,5))))))</f>
        <v>N/A</v>
      </c>
      <c r="S1039" s="69" t="s">
        <v>1984</v>
      </c>
      <c r="T1039" s="69" t="s">
        <v>3725</v>
      </c>
      <c r="U1039" s="67" t="str">
        <f t="shared" si="137"/>
        <v xml:space="preserve"> </v>
      </c>
      <c r="V1039" s="515"/>
      <c r="W1039" s="125"/>
      <c r="X1039" s="31">
        <f t="shared" si="138"/>
        <v>0</v>
      </c>
      <c r="Y1039" s="509"/>
      <c r="Z1039" s="1054" t="str">
        <f t="shared" si="139"/>
        <v>Forge in the Breath of the Salamander</v>
      </c>
      <c r="AA1039" s="1072" t="str">
        <f t="shared" si="140"/>
        <v>Wards</v>
      </c>
    </row>
    <row r="1040" spans="1:27" hidden="1" outlineLevel="1">
      <c r="A1040" s="83" t="s">
        <v>2834</v>
      </c>
      <c r="B1040" s="67">
        <v>7</v>
      </c>
      <c r="C1040" s="67" t="e">
        <f ca="1">magestuff!$U$201</f>
        <v>#N/A</v>
      </c>
      <c r="D1040" s="67">
        <f t="shared" si="136"/>
        <v>0</v>
      </c>
      <c r="E1040" s="77" t="e">
        <f ca="1">IF(F1040="y",HLOOKUP((IF(C1040&lt;1,1,C1040)),Magick!$C$20:$L$21,2),NA())</f>
        <v>#N/A</v>
      </c>
      <c r="F1040" s="67" t="e">
        <f ca="1">IF(C1040&lt;=Magick!$D$3,"Y","N")</f>
        <v>#N/A</v>
      </c>
      <c r="G1040" s="148" t="s">
        <v>1615</v>
      </c>
      <c r="H1040" s="151"/>
      <c r="I1040" s="77" t="e">
        <f>IF(H1040&gt;0,(HLOOKUP(C1040,Magick!$C$20:$L$21,2)-HLOOKUP(H1040,Magick!$C$20:$L$21,2)),NA())</f>
        <v>#N/A</v>
      </c>
      <c r="J1040" s="77"/>
      <c r="K1040" s="67">
        <v>10</v>
      </c>
      <c r="L1040" s="72" t="str">
        <f>IF(H1040&gt;0,Magick!$AR$30-('Master Spell List'!H1041*0.1),"N/A")</f>
        <v>N/A</v>
      </c>
      <c r="M1040" s="72">
        <f ca="1">Magick!$H$73</f>
        <v>0.14000000000000001</v>
      </c>
      <c r="N1040" s="72">
        <f ca="1">Magick!$K$73</f>
        <v>0.16</v>
      </c>
      <c r="O1040" s="72">
        <f ca="1">Magick!$L$73</f>
        <v>0.16</v>
      </c>
      <c r="P1040" s="72">
        <f ca="1">Magick!$M$73</f>
        <v>0.16</v>
      </c>
      <c r="Q1040" s="67" t="s">
        <v>113</v>
      </c>
      <c r="R1040" s="67" t="str">
        <f>IF(Q1040="Ritual","N/A",IF(Q1040="I.E.","N/A",IF(Q1040="WOG",VLOOKUP(Magick!$I$73*100,magestuff!$B$134:$F$138,2),IF(Q1040="Cantrip",VLOOKUP(Magick!$I$73*100,magestuff!$B$134:$F$138,3),IF(Q1040="Hex",VLOOKUP(Magick!$I$73*100,magestuff!$B$134:$F$138,4),VLOOKUP(Magick!$I$73*100,magestuff!$B$134:$F$138,5))))))</f>
        <v>N/A</v>
      </c>
      <c r="S1040" s="69" t="s">
        <v>1984</v>
      </c>
      <c r="T1040" s="69" t="s">
        <v>3725</v>
      </c>
      <c r="U1040" s="67" t="str">
        <f t="shared" si="137"/>
        <v xml:space="preserve"> </v>
      </c>
      <c r="V1040" s="515"/>
      <c r="W1040" s="125"/>
      <c r="X1040" s="31">
        <f t="shared" si="138"/>
        <v>0</v>
      </c>
      <c r="Y1040" s="509"/>
      <c r="Z1040" s="1054" t="str">
        <f t="shared" si="139"/>
        <v>Forge with Black Sky &amp; Diamonds</v>
      </c>
      <c r="AA1040" s="1072" t="str">
        <f t="shared" si="140"/>
        <v>Wards</v>
      </c>
    </row>
    <row r="1041" spans="1:27" hidden="1" outlineLevel="1">
      <c r="A1041" s="83" t="s">
        <v>2835</v>
      </c>
      <c r="B1041" s="67">
        <v>7</v>
      </c>
      <c r="C1041" s="67" t="e">
        <f ca="1">magestuff!$U$201</f>
        <v>#N/A</v>
      </c>
      <c r="D1041" s="67">
        <f t="shared" si="136"/>
        <v>0</v>
      </c>
      <c r="E1041" s="77" t="e">
        <f ca="1">IF(F1041="y",HLOOKUP((IF(C1041&lt;1,1,C1041)),Magick!$C$20:$L$21,2),NA())</f>
        <v>#N/A</v>
      </c>
      <c r="F1041" s="67" t="e">
        <f ca="1">IF(C1041&lt;=Magick!$D$3,"Y","N")</f>
        <v>#N/A</v>
      </c>
      <c r="G1041" s="148" t="s">
        <v>1615</v>
      </c>
      <c r="H1041" s="151"/>
      <c r="I1041" s="77" t="e">
        <f>IF(H1041&gt;0,(HLOOKUP(C1041,Magick!$C$20:$L$21,2)-HLOOKUP(H1041,Magick!$C$20:$L$21,2)),NA())</f>
        <v>#N/A</v>
      </c>
      <c r="J1041" s="77"/>
      <c r="K1041" s="67">
        <v>10</v>
      </c>
      <c r="L1041" s="72" t="str">
        <f>IF(H1041&gt;0,Magick!$AR$30-('Master Spell List'!H1040*0.1),"N/A")</f>
        <v>N/A</v>
      </c>
      <c r="M1041" s="72">
        <f ca="1">Magick!$H$73</f>
        <v>0.14000000000000001</v>
      </c>
      <c r="N1041" s="72">
        <f ca="1">Magick!$K$73</f>
        <v>0.16</v>
      </c>
      <c r="O1041" s="72">
        <f ca="1">Magick!$L$73</f>
        <v>0.16</v>
      </c>
      <c r="P1041" s="72">
        <f ca="1">Magick!$M$73</f>
        <v>0.16</v>
      </c>
      <c r="Q1041" s="67" t="s">
        <v>113</v>
      </c>
      <c r="R1041" s="67" t="str">
        <f>IF(Q1041="Ritual","N/A",IF(Q1041="I.E.","N/A",IF(Q1041="WOG",VLOOKUP(Magick!$I$73*100,magestuff!$B$134:$F$138,2),IF(Q1041="Cantrip",VLOOKUP(Magick!$I$73*100,magestuff!$B$134:$F$138,3),IF(Q1041="Hex",VLOOKUP(Magick!$I$73*100,magestuff!$B$134:$F$138,4),VLOOKUP(Magick!$I$73*100,magestuff!$B$134:$F$138,5))))))</f>
        <v>N/A</v>
      </c>
      <c r="S1041" s="69" t="s">
        <v>1984</v>
      </c>
      <c r="T1041" s="69" t="s">
        <v>3725</v>
      </c>
      <c r="U1041" s="67" t="str">
        <f t="shared" si="137"/>
        <v xml:space="preserve"> </v>
      </c>
      <c r="V1041" s="515"/>
      <c r="W1041" s="125"/>
      <c r="X1041" s="31">
        <f t="shared" si="138"/>
        <v>0</v>
      </c>
      <c r="Y1041" s="509"/>
      <c r="Z1041" s="1054" t="str">
        <f t="shared" si="139"/>
        <v>Forge with Moonlight &amp; Silver</v>
      </c>
      <c r="AA1041" s="1072" t="str">
        <f t="shared" si="140"/>
        <v>Wards</v>
      </c>
    </row>
    <row r="1042" spans="1:27" hidden="1" outlineLevel="1">
      <c r="A1042" s="83" t="s">
        <v>2836</v>
      </c>
      <c r="B1042" s="67">
        <v>8</v>
      </c>
      <c r="C1042" s="67" t="e">
        <f ca="1">magestuff!$X$201</f>
        <v>#N/A</v>
      </c>
      <c r="D1042" s="67">
        <f t="shared" si="136"/>
        <v>0</v>
      </c>
      <c r="E1042" s="77" t="e">
        <f ca="1">IF(F1042="y",HLOOKUP((IF(C1042&lt;1,1,C1042)),Magick!$C$20:$L$21,2),NA())</f>
        <v>#N/A</v>
      </c>
      <c r="F1042" s="67" t="e">
        <f ca="1">IF(C1042&lt;=Magick!$D$3,"Y","N")</f>
        <v>#N/A</v>
      </c>
      <c r="G1042" s="148" t="s">
        <v>1615</v>
      </c>
      <c r="H1042" s="151"/>
      <c r="I1042" s="77" t="e">
        <f>IF(H1042&gt;0,(HLOOKUP(C1042,Magick!$C$20:$L$21,2)-HLOOKUP(H1042,Magick!$C$20:$L$21,2)),NA())</f>
        <v>#N/A</v>
      </c>
      <c r="J1042" s="77"/>
      <c r="K1042" s="67">
        <v>11</v>
      </c>
      <c r="L1042" s="72" t="str">
        <f>IF(H1042&gt;0,Magick!$AR$30-('Master Spell List'!H1042*0.1),"N/A")</f>
        <v>N/A</v>
      </c>
      <c r="M1042" s="72">
        <f ca="1">Magick!$H$73</f>
        <v>0.14000000000000001</v>
      </c>
      <c r="N1042" s="72">
        <f ca="1">Magick!$K$73</f>
        <v>0.16</v>
      </c>
      <c r="O1042" s="72">
        <f ca="1">Magick!$L$73</f>
        <v>0.16</v>
      </c>
      <c r="P1042" s="72">
        <f ca="1">Magick!$M$73</f>
        <v>0.16</v>
      </c>
      <c r="Q1042" s="67" t="s">
        <v>113</v>
      </c>
      <c r="R1042" s="67" t="str">
        <f>IF(Q1042="Ritual","N/A",IF(Q1042="I.E.","N/A",IF(Q1042="WOG",VLOOKUP(Magick!$I$73*100,magestuff!$B$134:$F$138,2),IF(Q1042="Cantrip",VLOOKUP(Magick!$I$73*100,magestuff!$B$134:$F$138,3),IF(Q1042="Hex",VLOOKUP(Magick!$I$73*100,magestuff!$B$134:$F$138,4),VLOOKUP(Magick!$I$73*100,magestuff!$B$134:$F$138,5))))))</f>
        <v>N/A</v>
      </c>
      <c r="S1042" s="69" t="s">
        <v>1984</v>
      </c>
      <c r="T1042" s="69" t="s">
        <v>3725</v>
      </c>
      <c r="U1042" s="67" t="str">
        <f t="shared" si="137"/>
        <v xml:space="preserve"> </v>
      </c>
      <c r="V1042" s="515"/>
      <c r="W1042" s="125"/>
      <c r="X1042" s="31">
        <f t="shared" si="138"/>
        <v>0</v>
      </c>
      <c r="Y1042" s="509"/>
      <c r="Z1042" s="1054" t="str">
        <f t="shared" si="139"/>
        <v>Forge with Sunlight &amp; Gold</v>
      </c>
      <c r="AA1042" s="1072" t="str">
        <f t="shared" si="140"/>
        <v>Wards</v>
      </c>
    </row>
    <row r="1043" spans="1:27" hidden="1" outlineLevel="1">
      <c r="A1043" s="83" t="s">
        <v>1282</v>
      </c>
      <c r="B1043" s="67">
        <v>9</v>
      </c>
      <c r="C1043" s="67" t="e">
        <f ca="1">magestuff!$AA$201</f>
        <v>#N/A</v>
      </c>
      <c r="D1043" s="67">
        <f t="shared" si="136"/>
        <v>0</v>
      </c>
      <c r="E1043" s="77" t="e">
        <f ca="1">IF(F1043="y",HLOOKUP((IF(C1043&lt;1,1,C1043)),Magick!$C$20:$L$21,2),NA())</f>
        <v>#N/A</v>
      </c>
      <c r="F1043" s="67" t="e">
        <f ca="1">IF(C1043&lt;=Magick!$D$3,"Y","N")</f>
        <v>#N/A</v>
      </c>
      <c r="G1043" s="148" t="s">
        <v>1615</v>
      </c>
      <c r="H1043" s="151"/>
      <c r="I1043" s="77" t="e">
        <f>IF(H1043&gt;0,(HLOOKUP(C1043,Magick!$C$20:$L$21,2)-HLOOKUP(H1043,Magick!$C$20:$L$21,2)),NA())</f>
        <v>#N/A</v>
      </c>
      <c r="J1043" s="77"/>
      <c r="K1043" s="67">
        <v>12</v>
      </c>
      <c r="L1043" s="72" t="str">
        <f>IF(H1043&gt;0,Magick!$AR$30-('Master Spell List'!H1043*0.1),"N/A")</f>
        <v>N/A</v>
      </c>
      <c r="M1043" s="72">
        <f ca="1">Magick!$H$73</f>
        <v>0.14000000000000001</v>
      </c>
      <c r="N1043" s="72">
        <f ca="1">Magick!$K$73</f>
        <v>0.16</v>
      </c>
      <c r="O1043" s="72">
        <f ca="1">Magick!$L$73</f>
        <v>0.16</v>
      </c>
      <c r="P1043" s="72">
        <f ca="1">Magick!$M$73</f>
        <v>0.16</v>
      </c>
      <c r="Q1043" s="67" t="s">
        <v>113</v>
      </c>
      <c r="R1043" s="67" t="str">
        <f>IF(Q1043="Ritual","N/A",IF(Q1043="I.E.","N/A",IF(Q1043="WOG",VLOOKUP(Magick!$I$73*100,magestuff!$B$134:$F$138,2),IF(Q1043="Cantrip",VLOOKUP(Magick!$I$73*100,magestuff!$B$134:$F$138,3),IF(Q1043="Hex",VLOOKUP(Magick!$I$73*100,magestuff!$B$134:$F$138,4),VLOOKUP(Magick!$I$73*100,magestuff!$B$134:$F$138,5))))))</f>
        <v>N/A</v>
      </c>
      <c r="S1043" s="69" t="s">
        <v>1984</v>
      </c>
      <c r="T1043" s="69" t="s">
        <v>3725</v>
      </c>
      <c r="U1043" s="67" t="str">
        <f t="shared" si="137"/>
        <v xml:space="preserve"> </v>
      </c>
      <c r="V1043" s="515"/>
      <c r="W1043" s="125"/>
      <c r="X1043" s="31">
        <f t="shared" si="138"/>
        <v>0</v>
      </c>
      <c r="Y1043" s="509"/>
      <c r="Z1043" s="1054" t="str">
        <f t="shared" si="139"/>
        <v>Bane of the Unrighteous</v>
      </c>
      <c r="AA1043" s="1072" t="str">
        <f t="shared" si="140"/>
        <v>Wards</v>
      </c>
    </row>
    <row r="1044" spans="1:27" hidden="1" outlineLevel="1">
      <c r="A1044" s="83" t="s">
        <v>1283</v>
      </c>
      <c r="B1044" s="67">
        <v>10</v>
      </c>
      <c r="C1044" s="67" t="e">
        <f ca="1">magestuff!$AD$201</f>
        <v>#N/A</v>
      </c>
      <c r="D1044" s="67">
        <f t="shared" si="136"/>
        <v>0</v>
      </c>
      <c r="E1044" s="77" t="e">
        <f ca="1">IF(F1044="y",HLOOKUP((IF(C1044&lt;1,1,C1044)),Magick!$C$20:$L$21,2),NA())</f>
        <v>#N/A</v>
      </c>
      <c r="F1044" s="67" t="e">
        <f ca="1">IF(C1044&lt;=Magick!$D$3,"Y","N")</f>
        <v>#N/A</v>
      </c>
      <c r="G1044" s="148" t="s">
        <v>1615</v>
      </c>
      <c r="H1044" s="151"/>
      <c r="I1044" s="77" t="e">
        <f>IF(H1044&gt;0,(HLOOKUP(C1044,Magick!$C$20:$L$21,2)-HLOOKUP(H1044,Magick!$C$20:$L$21,2)),NA())</f>
        <v>#N/A</v>
      </c>
      <c r="J1044" s="77"/>
      <c r="K1044" s="67">
        <v>13</v>
      </c>
      <c r="L1044" s="72" t="str">
        <f>IF(H1044&gt;0,Magick!$AR$30-('Master Spell List'!H1044*0.1),"N/A")</f>
        <v>N/A</v>
      </c>
      <c r="M1044" s="72">
        <f ca="1">Magick!$H$73</f>
        <v>0.14000000000000001</v>
      </c>
      <c r="N1044" s="72">
        <f ca="1">Magick!$K$73</f>
        <v>0.16</v>
      </c>
      <c r="O1044" s="72">
        <f ca="1">Magick!$L$73</f>
        <v>0.16</v>
      </c>
      <c r="P1044" s="72">
        <f ca="1">Magick!$M$73</f>
        <v>0.16</v>
      </c>
      <c r="Q1044" s="67" t="s">
        <v>113</v>
      </c>
      <c r="R1044" s="67" t="str">
        <f>IF(Q1044="Ritual","N/A",IF(Q1044="I.E.","N/A",IF(Q1044="WOG",VLOOKUP(Magick!$I$73*100,magestuff!$B$134:$F$138,2),IF(Q1044="Cantrip",VLOOKUP(Magick!$I$73*100,magestuff!$B$134:$F$138,3),IF(Q1044="Hex",VLOOKUP(Magick!$I$73*100,magestuff!$B$134:$F$138,4),VLOOKUP(Magick!$I$73*100,magestuff!$B$134:$F$138,5))))))</f>
        <v>N/A</v>
      </c>
      <c r="S1044" s="69" t="s">
        <v>3262</v>
      </c>
      <c r="T1044" s="69" t="s">
        <v>3725</v>
      </c>
      <c r="U1044" s="67" t="str">
        <f t="shared" si="137"/>
        <v xml:space="preserve"> </v>
      </c>
      <c r="V1044" s="515"/>
      <c r="W1044" s="125"/>
      <c r="X1044" s="31">
        <f t="shared" si="138"/>
        <v>0</v>
      </c>
      <c r="Y1044" s="509"/>
      <c r="Z1044" s="1054" t="str">
        <f t="shared" si="139"/>
        <v>Call Forth Fiery Steel</v>
      </c>
      <c r="AA1044" s="1072" t="str">
        <f t="shared" si="140"/>
        <v>Wards</v>
      </c>
    </row>
    <row r="1045" spans="1:27" collapsed="1">
      <c r="A1045" s="48" t="s">
        <v>174</v>
      </c>
      <c r="B1045" s="76">
        <f>SUM(B1046:B1054)</f>
        <v>38</v>
      </c>
      <c r="C1045" s="76" t="e">
        <f ca="1">SUM(C1046:C1054)</f>
        <v>#N/A</v>
      </c>
      <c r="D1045" s="76">
        <f>SUM(D1046:D1054)</f>
        <v>0</v>
      </c>
      <c r="E1045" s="76"/>
      <c r="F1045" s="149" t="e">
        <f ca="1">SUM(C1046:C1047)+IF(F1048="Y",SUM(C1048:C1049),0)+IF(F1050="Y",SUM(C1050),0)+IF(F1051="Y",SUM(C1051),0)+IF(F1052="Y",SUM(C1052:C1053),0)+IF(F1054="Y",SUM(C1054),0)</f>
        <v>#N/A</v>
      </c>
      <c r="G1045" s="76"/>
      <c r="H1045" s="150"/>
      <c r="I1045" s="76"/>
      <c r="J1045" s="76"/>
      <c r="K1045" s="76"/>
      <c r="L1045" s="76"/>
      <c r="M1045" s="222">
        <f ca="1">Magick!$H$82</f>
        <v>0.08</v>
      </c>
      <c r="N1045" s="222">
        <f ca="1">Magick!$K$82</f>
        <v>0.13</v>
      </c>
      <c r="O1045" s="222">
        <f ca="1">Magick!$L$82</f>
        <v>0.13</v>
      </c>
      <c r="P1045" s="222">
        <f ca="1">Magick!$M$82</f>
        <v>0.13</v>
      </c>
      <c r="Q1045" s="76"/>
      <c r="R1045" s="76"/>
      <c r="S1045" s="76"/>
      <c r="T1045" s="76"/>
      <c r="U1045" s="149">
        <f>SUM(U1046:U1054)</f>
        <v>0</v>
      </c>
      <c r="V1045" s="76"/>
      <c r="W1045" s="76"/>
      <c r="X1045" s="149"/>
      <c r="Y1045" s="509"/>
      <c r="Z1045" s="1054" t="str">
        <f t="shared" si="139"/>
        <v>Troll Method</v>
      </c>
      <c r="AA1045" s="1072" t="str">
        <f t="shared" si="140"/>
        <v>Wards</v>
      </c>
    </row>
    <row r="1046" spans="1:27" hidden="1" outlineLevel="1">
      <c r="A1046" s="31" t="s">
        <v>176</v>
      </c>
      <c r="B1046" s="67">
        <v>2</v>
      </c>
      <c r="C1046" s="67" t="e">
        <f ca="1">IF(magestuff!$F$210&lt;1,1,magestuff!$F$210)</f>
        <v>#N/A</v>
      </c>
      <c r="D1046" s="67">
        <f t="shared" ref="D1046:D1054" si="141">IF(AND(ISNUMBER(H1046),H1046=0),C1046,0)</f>
        <v>0</v>
      </c>
      <c r="E1046" s="77" t="e">
        <f ca="1">IF(F1046="y",HLOOKUP((IF(C1046&lt;1,1,C1046)),Magick!$C$20:$L$21,2),NA())</f>
        <v>#N/A</v>
      </c>
      <c r="F1046" s="67" t="e">
        <f ca="1">IF(C1046&lt;=Magick!$D$3,"Y","N")</f>
        <v>#N/A</v>
      </c>
      <c r="G1046" s="148" t="s">
        <v>131</v>
      </c>
      <c r="H1046" s="151"/>
      <c r="I1046" s="77" t="e">
        <f>IF(H1046&gt;0,(HLOOKUP(C1046,Magick!$C$20:$L$21,2)-HLOOKUP(H1046,Magick!$C$20:$L$21,2)),NA())</f>
        <v>#N/A</v>
      </c>
      <c r="J1046" s="77"/>
      <c r="K1046" s="67">
        <v>4</v>
      </c>
      <c r="L1046" s="72" t="str">
        <f>IF(H1046&gt;0,Magick!$AR$30-('Master Spell List'!H1048*0.1),"N/A")</f>
        <v>N/A</v>
      </c>
      <c r="M1046" s="72">
        <f ca="1">Magick!$H$82</f>
        <v>0.08</v>
      </c>
      <c r="N1046" s="72">
        <f ca="1">Magick!$K$82</f>
        <v>0.13</v>
      </c>
      <c r="O1046" s="72">
        <f ca="1">Magick!$L$82</f>
        <v>0.13</v>
      </c>
      <c r="P1046" s="72">
        <f ca="1">Magick!$M$82</f>
        <v>0.13</v>
      </c>
      <c r="Q1046" s="67" t="s">
        <v>4603</v>
      </c>
      <c r="R1046" s="67">
        <f ca="1">IF(Q1046="Ritual","N/A",IF(Q1046="I.E.","N/A",IF(Q1046="WOG",VLOOKUP(Magick!$I$82*100,magestuff!$B$134:$F$138,2),IF(Q1046="Cantrip",VLOOKUP(Magick!$I$82*100,magestuff!$B$134:$F$138,3),IF(Q1046="Hex",VLOOKUP(Magick!$I$82*100,magestuff!$B$134:$F$138,4),VLOOKUP(Magick!$I$82*100,magestuff!$B$134:$F$138,5))))))</f>
        <v>9</v>
      </c>
      <c r="S1046" s="69" t="str">
        <f>CONCATENATE(IF(Magick!$C$3&gt;0,10*Magick!$C$3," ")," ft.")</f>
        <v xml:space="preserve">  ft.</v>
      </c>
      <c r="T1046" s="69" t="str">
        <f>CONCATENATE(IF(Magick!$C$3&gt;0,5*Magick!$C$3," ")," min.")</f>
        <v xml:space="preserve">  min.</v>
      </c>
      <c r="U1046" s="67" t="str">
        <f t="shared" ref="U1046:U1054" si="142">IF(ISBLANK(H1046)," ",IF(H1046&gt;0,0,C1046*10))</f>
        <v xml:space="preserve"> </v>
      </c>
      <c r="V1046" s="515"/>
      <c r="W1046" s="125"/>
      <c r="X1046" s="31">
        <f t="shared" ref="X1046:X1054" si="143">W1046*3</f>
        <v>0</v>
      </c>
      <c r="Y1046" s="509"/>
      <c r="Z1046" s="1054" t="str">
        <f t="shared" si="139"/>
        <v>Concealment</v>
      </c>
      <c r="AA1046" s="1072" t="str">
        <f t="shared" si="140"/>
        <v>Wards</v>
      </c>
    </row>
    <row r="1047" spans="1:27" hidden="1" outlineLevel="1">
      <c r="A1047" s="31" t="s">
        <v>175</v>
      </c>
      <c r="B1047" s="67">
        <v>2</v>
      </c>
      <c r="C1047" s="67" t="e">
        <f ca="1">IF(magestuff!$F$210&lt;1,1,magestuff!$F$210)</f>
        <v>#N/A</v>
      </c>
      <c r="D1047" s="67">
        <f t="shared" si="141"/>
        <v>0</v>
      </c>
      <c r="E1047" s="77" t="e">
        <f ca="1">IF(F1047="y",HLOOKUP((IF(C1047&lt;1,1,C1047)),Magick!$C$20:$L$21,2),NA())</f>
        <v>#N/A</v>
      </c>
      <c r="F1047" s="67" t="e">
        <f ca="1">IF(C1047&lt;=Magick!$D$3,"Y","N")</f>
        <v>#N/A</v>
      </c>
      <c r="G1047" s="148" t="s">
        <v>131</v>
      </c>
      <c r="H1047" s="151"/>
      <c r="I1047" s="77" t="e">
        <f>IF(H1047&gt;0,(HLOOKUP(C1047,Magick!$C$20:$L$21,2)-HLOOKUP(H1047,Magick!$C$20:$L$21,2)),NA())</f>
        <v>#N/A</v>
      </c>
      <c r="J1047" s="77"/>
      <c r="K1047" s="67">
        <v>3</v>
      </c>
      <c r="L1047" s="72" t="str">
        <f>IF(H1047&gt;0,Magick!$AR$30-('Master Spell List'!H1047*0.1),"N/A")</f>
        <v>N/A</v>
      </c>
      <c r="M1047" s="72">
        <f ca="1">Magick!$H$82</f>
        <v>0.08</v>
      </c>
      <c r="N1047" s="72">
        <f ca="1">Magick!$K$82</f>
        <v>0.13</v>
      </c>
      <c r="O1047" s="72">
        <f ca="1">Magick!$L$82</f>
        <v>0.13</v>
      </c>
      <c r="P1047" s="72">
        <f ca="1">Magick!$M$82</f>
        <v>0.13</v>
      </c>
      <c r="Q1047" s="67" t="s">
        <v>3723</v>
      </c>
      <c r="R1047" s="67">
        <f ca="1">IF(Q1047="Ritual","N/A",IF(Q1047="I.E.","N/A",IF(Q1047="WOG",VLOOKUP(Magick!$I$82*100,magestuff!$B$134:$F$138,2),IF(Q1047="Cantrip",VLOOKUP(Magick!$I$82*100,magestuff!$B$134:$F$138,3),IF(Q1047="Hex",VLOOKUP(Magick!$I$82*100,magestuff!$B$134:$F$138,4),VLOOKUP(Magick!$I$82*100,magestuff!$B$134:$F$138,5))))))</f>
        <v>29</v>
      </c>
      <c r="S1047" s="69" t="s">
        <v>1082</v>
      </c>
      <c r="T1047" s="69" t="str">
        <f>CONCATENATE(IF(Magick!$C$3&gt;0,'Main Creation Page'!E12*Magick!$C$3," ")," min.")</f>
        <v xml:space="preserve">  min.</v>
      </c>
      <c r="U1047" s="67" t="str">
        <f t="shared" si="142"/>
        <v xml:space="preserve"> </v>
      </c>
      <c r="V1047" s="515"/>
      <c r="W1047" s="125"/>
      <c r="X1047" s="31">
        <f t="shared" si="143"/>
        <v>0</v>
      </c>
      <c r="Y1047" s="509"/>
      <c r="Z1047" s="1054" t="str">
        <f t="shared" si="139"/>
        <v>Prolong Breathing Underwater</v>
      </c>
      <c r="AA1047" s="1072" t="str">
        <f t="shared" si="140"/>
        <v>Wards</v>
      </c>
    </row>
    <row r="1048" spans="1:27" hidden="1" outlineLevel="1">
      <c r="A1048" s="31" t="s">
        <v>4856</v>
      </c>
      <c r="B1048" s="67">
        <v>3</v>
      </c>
      <c r="C1048" s="67" t="e">
        <f ca="1">IF(magestuff!$I$210&lt;1,1,magestuff!$I$210)</f>
        <v>#N/A</v>
      </c>
      <c r="D1048" s="67">
        <f t="shared" si="141"/>
        <v>0</v>
      </c>
      <c r="E1048" s="77" t="e">
        <f ca="1">IF(F1048="y",HLOOKUP((IF(C1048&lt;1,1,C1048)),Magick!$C$20:$L$21,2),NA())</f>
        <v>#N/A</v>
      </c>
      <c r="F1048" s="67" t="e">
        <f ca="1">IF(C1048&lt;=Magick!$D$3,"Y","N")</f>
        <v>#N/A</v>
      </c>
      <c r="G1048" s="148" t="s">
        <v>131</v>
      </c>
      <c r="H1048" s="151"/>
      <c r="I1048" s="77" t="e">
        <f>IF(H1048&gt;0,(HLOOKUP(C1048,Magick!$C$20:$L$21,2)-HLOOKUP(H1048,Magick!$C$20:$L$21,2)),NA())</f>
        <v>#N/A</v>
      </c>
      <c r="J1048" s="77"/>
      <c r="K1048" s="67">
        <v>6</v>
      </c>
      <c r="L1048" s="72" t="str">
        <f>IF(H1048&gt;0,Magick!$AR$30-('Master Spell List'!H1049*0.1),"N/A")</f>
        <v>N/A</v>
      </c>
      <c r="M1048" s="72">
        <f ca="1">Magick!$H$82</f>
        <v>0.08</v>
      </c>
      <c r="N1048" s="72">
        <f ca="1">Magick!$K$82</f>
        <v>0.13</v>
      </c>
      <c r="O1048" s="72">
        <f ca="1">Magick!$L$82</f>
        <v>0.13</v>
      </c>
      <c r="P1048" s="72">
        <f ca="1">Magick!$M$82</f>
        <v>0.13</v>
      </c>
      <c r="Q1048" s="67" t="s">
        <v>3723</v>
      </c>
      <c r="R1048" s="67">
        <f ca="1">IF(Q1048="Ritual","N/A",IF(Q1048="I.E.","N/A",IF(Q1048="WOG",VLOOKUP(Magick!$I$82*100,magestuff!$B$134:$F$138,2),IF(Q1048="Cantrip",VLOOKUP(Magick!$I$82*100,magestuff!$B$134:$F$138,3),IF(Q1048="Hex",VLOOKUP(Magick!$I$82*100,magestuff!$B$134:$F$138,4),VLOOKUP(Magick!$I$82*100,magestuff!$B$134:$F$138,5))))))</f>
        <v>29</v>
      </c>
      <c r="S1048" s="69" t="str">
        <f>CONCATENATE(IF(Magick!$C$3&gt;0,10*Magick!$C$3," ")," ft.")</f>
        <v xml:space="preserve">  ft.</v>
      </c>
      <c r="T1048" s="69" t="str">
        <f>CONCATENATE(IF(Magick!$C$3&gt;0,1*Magick!$C$3," ")," min.")</f>
        <v xml:space="preserve">  min.</v>
      </c>
      <c r="U1048" s="67" t="str">
        <f t="shared" si="142"/>
        <v xml:space="preserve"> </v>
      </c>
      <c r="V1048" s="515"/>
      <c r="W1048" s="125"/>
      <c r="X1048" s="31">
        <f t="shared" si="143"/>
        <v>0</v>
      </c>
      <c r="Y1048" s="509"/>
      <c r="Z1048" s="1054" t="str">
        <f t="shared" si="139"/>
        <v>Bind Fear</v>
      </c>
      <c r="AA1048" s="1072" t="str">
        <f t="shared" si="140"/>
        <v>Wards</v>
      </c>
    </row>
    <row r="1049" spans="1:27" hidden="1" outlineLevel="1">
      <c r="A1049" s="31" t="s">
        <v>5121</v>
      </c>
      <c r="B1049" s="67">
        <v>3</v>
      </c>
      <c r="C1049" s="67" t="e">
        <f ca="1">IF(magestuff!$I$210&lt;1,1,magestuff!$I$210)</f>
        <v>#N/A</v>
      </c>
      <c r="D1049" s="67">
        <f t="shared" si="141"/>
        <v>0</v>
      </c>
      <c r="E1049" s="77" t="e">
        <f ca="1">IF(F1049="y",HLOOKUP((IF(C1049&lt;1,1,C1049)),Magick!$C$20:$L$21,2),NA())</f>
        <v>#N/A</v>
      </c>
      <c r="F1049" s="67" t="e">
        <f ca="1">IF(C1049&lt;=Magick!$D$3,"Y","N")</f>
        <v>#N/A</v>
      </c>
      <c r="G1049" s="148" t="s">
        <v>131</v>
      </c>
      <c r="H1049" s="151"/>
      <c r="I1049" s="77" t="e">
        <f>IF(H1049&gt;0,(HLOOKUP(C1049,Magick!$C$20:$L$21,2)-HLOOKUP(H1049,Magick!$C$20:$L$21,2)),NA())</f>
        <v>#N/A</v>
      </c>
      <c r="J1049" s="77"/>
      <c r="K1049" s="67">
        <v>4</v>
      </c>
      <c r="L1049" s="72" t="str">
        <f>IF(H1049&gt;0,Magick!$AR$30-('Master Spell List'!H1051*0.1),"N/A")</f>
        <v>N/A</v>
      </c>
      <c r="M1049" s="72">
        <f ca="1">Magick!$H$82</f>
        <v>0.08</v>
      </c>
      <c r="N1049" s="72">
        <f ca="1">Magick!$K$82</f>
        <v>0.13</v>
      </c>
      <c r="O1049" s="72">
        <f ca="1">Magick!$L$82</f>
        <v>0.13</v>
      </c>
      <c r="P1049" s="72">
        <f ca="1">Magick!$M$82</f>
        <v>0.13</v>
      </c>
      <c r="Q1049" s="67" t="s">
        <v>3723</v>
      </c>
      <c r="R1049" s="67">
        <f ca="1">IF(Q1049="Ritual","N/A",IF(Q1049="I.E.","N/A",IF(Q1049="WOG",VLOOKUP(Magick!$I$82*100,magestuff!$B$134:$F$138,2),IF(Q1049="Cantrip",VLOOKUP(Magick!$I$82*100,magestuff!$B$134:$F$138,3),IF(Q1049="Hex",VLOOKUP(Magick!$I$82*100,magestuff!$B$134:$F$138,4),VLOOKUP(Magick!$I$82*100,magestuff!$B$134:$F$138,5))))))</f>
        <v>29</v>
      </c>
      <c r="S1049" s="69" t="s">
        <v>1082</v>
      </c>
      <c r="T1049" s="69" t="str">
        <f>CONCATENATE(IF(Magick!$C$3&gt;0,2*Magick!$C$3," ")," hrs.")</f>
        <v xml:space="preserve">  hrs.</v>
      </c>
      <c r="U1049" s="67" t="str">
        <f t="shared" si="142"/>
        <v xml:space="preserve"> </v>
      </c>
      <c r="V1049" s="515"/>
      <c r="W1049" s="125"/>
      <c r="X1049" s="31">
        <f t="shared" si="143"/>
        <v>0</v>
      </c>
      <c r="Y1049" s="509"/>
      <c r="Z1049" s="1054" t="str">
        <f t="shared" si="139"/>
        <v>Walk Unhindered</v>
      </c>
      <c r="AA1049" s="1072" t="str">
        <f t="shared" si="140"/>
        <v>Wards</v>
      </c>
    </row>
    <row r="1050" spans="1:27" hidden="1" outlineLevel="1">
      <c r="A1050" s="31" t="s">
        <v>4454</v>
      </c>
      <c r="B1050" s="67">
        <v>4</v>
      </c>
      <c r="C1050" s="67" t="e">
        <f ca="1">magestuff!$L$210</f>
        <v>#N/A</v>
      </c>
      <c r="D1050" s="67">
        <f t="shared" si="141"/>
        <v>0</v>
      </c>
      <c r="E1050" s="77" t="e">
        <f ca="1">IF(F1050="y",HLOOKUP((IF(C1050&lt;1,1,C1050)),Magick!$C$20:$L$21,2),NA())</f>
        <v>#N/A</v>
      </c>
      <c r="F1050" s="67" t="e">
        <f ca="1">IF(C1050&lt;=Magick!$D$3,"Y","N")</f>
        <v>#N/A</v>
      </c>
      <c r="G1050" s="148" t="s">
        <v>131</v>
      </c>
      <c r="H1050" s="151"/>
      <c r="I1050" s="77" t="e">
        <f>IF(H1050&gt;0,(HLOOKUP(C1050,Magick!$C$20:$L$21,2)-HLOOKUP(H1050,Magick!$C$20:$L$21,2)),NA())</f>
        <v>#N/A</v>
      </c>
      <c r="J1050" s="77"/>
      <c r="K1050" s="67">
        <v>6</v>
      </c>
      <c r="L1050" s="72" t="str">
        <f>IF(H1050&gt;0,Magick!$AR$30-('Master Spell List'!H1050*0.1),"N/A")</f>
        <v>N/A</v>
      </c>
      <c r="M1050" s="72">
        <f ca="1">Magick!$H$82</f>
        <v>0.08</v>
      </c>
      <c r="N1050" s="72">
        <f ca="1">Magick!$K$82</f>
        <v>0.13</v>
      </c>
      <c r="O1050" s="72">
        <f ca="1">Magick!$L$82</f>
        <v>0.13</v>
      </c>
      <c r="P1050" s="72">
        <f ca="1">Magick!$M$82</f>
        <v>0.13</v>
      </c>
      <c r="Q1050" s="67" t="s">
        <v>3723</v>
      </c>
      <c r="R1050" s="67">
        <f ca="1">IF(Q1050="Ritual","N/A",IF(Q1050="I.E.","N/A",IF(Q1050="WOG",VLOOKUP(Magick!$I$82*100,magestuff!$B$134:$F$138,2),IF(Q1050="Cantrip",VLOOKUP(Magick!$I$82*100,magestuff!$B$134:$F$138,3),IF(Q1050="Hex",VLOOKUP(Magick!$I$82*100,magestuff!$B$134:$F$138,4),VLOOKUP(Magick!$I$82*100,magestuff!$B$134:$F$138,5))))))</f>
        <v>29</v>
      </c>
      <c r="S1050" s="69" t="str">
        <f>CONCATENATE(IF(Magick!$C$3&gt;0,10*Magick!$C$3," ")," ft.")</f>
        <v xml:space="preserve">  ft.</v>
      </c>
      <c r="T1050" s="69" t="str">
        <f>CONCATENATE(IF(Magick!$C$3&gt;0,1*Magick!$C$3," ")," min.")</f>
        <v xml:space="preserve">  min.</v>
      </c>
      <c r="U1050" s="67" t="str">
        <f t="shared" si="142"/>
        <v xml:space="preserve"> </v>
      </c>
      <c r="V1050" s="515"/>
      <c r="W1050" s="125"/>
      <c r="X1050" s="31">
        <f t="shared" si="143"/>
        <v>0</v>
      </c>
      <c r="Y1050" s="509"/>
      <c r="Z1050" s="1054" t="str">
        <f t="shared" si="139"/>
        <v>Enhance Fear</v>
      </c>
      <c r="AA1050" s="1072" t="str">
        <f t="shared" si="140"/>
        <v>Wards</v>
      </c>
    </row>
    <row r="1051" spans="1:27" hidden="1" outlineLevel="1">
      <c r="A1051" s="31" t="s">
        <v>4095</v>
      </c>
      <c r="B1051" s="67">
        <v>5</v>
      </c>
      <c r="C1051" s="67" t="e">
        <f ca="1">magestuff!$O$210</f>
        <v>#N/A</v>
      </c>
      <c r="D1051" s="67">
        <f t="shared" si="141"/>
        <v>0</v>
      </c>
      <c r="E1051" s="77" t="e">
        <f ca="1">IF(F1051="y",HLOOKUP((IF(C1051&lt;1,1,C1051)),Magick!$C$20:$L$21,2),NA())</f>
        <v>#N/A</v>
      </c>
      <c r="F1051" s="67" t="e">
        <f ca="1">IF(C1051&lt;=Magick!$D$3,"Y","N")</f>
        <v>#N/A</v>
      </c>
      <c r="G1051" s="148" t="s">
        <v>131</v>
      </c>
      <c r="H1051" s="151"/>
      <c r="I1051" s="77" t="e">
        <f>IF(H1051&gt;0,(HLOOKUP(C1051,Magick!$C$20:$L$21,2)-HLOOKUP(H1051,Magick!$C$20:$L$21,2)),NA())</f>
        <v>#N/A</v>
      </c>
      <c r="J1051" s="77"/>
      <c r="K1051" s="67">
        <v>6</v>
      </c>
      <c r="L1051" s="72" t="str">
        <f>IF(H1051&gt;0,Magick!$AR$30-('Master Spell List'!H1052*0.1),"N/A")</f>
        <v>N/A</v>
      </c>
      <c r="M1051" s="72">
        <f ca="1">Magick!$H$82</f>
        <v>0.08</v>
      </c>
      <c r="N1051" s="72">
        <f ca="1">Magick!$K$82</f>
        <v>0.13</v>
      </c>
      <c r="O1051" s="72">
        <f ca="1">Magick!$L$82</f>
        <v>0.13</v>
      </c>
      <c r="P1051" s="72">
        <f ca="1">Magick!$M$82</f>
        <v>0.13</v>
      </c>
      <c r="Q1051" s="67" t="s">
        <v>4602</v>
      </c>
      <c r="R1051" s="67">
        <f ca="1">IF(Q1051="Ritual","N/A",IF(Q1051="I.E.","N/A",IF(Q1051="WOG",VLOOKUP(Magick!$I$82*100,magestuff!$B$134:$F$138,2),IF(Q1051="Cantrip",VLOOKUP(Magick!$I$82*100,magestuff!$B$134:$F$138,3),IF(Q1051="Hex",VLOOKUP(Magick!$I$82*100,magestuff!$B$134:$F$138,4),VLOOKUP(Magick!$I$82*100,magestuff!$B$134:$F$138,5))))))</f>
        <v>19</v>
      </c>
      <c r="S1051" s="69" t="s">
        <v>1559</v>
      </c>
      <c r="T1051" s="69" t="s">
        <v>3725</v>
      </c>
      <c r="U1051" s="67" t="str">
        <f t="shared" si="142"/>
        <v xml:space="preserve"> </v>
      </c>
      <c r="V1051" s="515"/>
      <c r="W1051" s="125"/>
      <c r="X1051" s="31">
        <f t="shared" si="143"/>
        <v>0</v>
      </c>
      <c r="Y1051" s="509"/>
      <c r="Z1051" s="1054" t="str">
        <f t="shared" si="139"/>
        <v>Venom of Hel</v>
      </c>
      <c r="AA1051" s="1072" t="str">
        <f t="shared" si="140"/>
        <v>Wards</v>
      </c>
    </row>
    <row r="1052" spans="1:27" hidden="1" outlineLevel="1">
      <c r="A1052" s="31" t="s">
        <v>4096</v>
      </c>
      <c r="B1052" s="67">
        <v>6</v>
      </c>
      <c r="C1052" s="67" t="e">
        <f ca="1">magestuff!$R$210</f>
        <v>#N/A</v>
      </c>
      <c r="D1052" s="67">
        <f t="shared" si="141"/>
        <v>0</v>
      </c>
      <c r="E1052" s="77" t="e">
        <f ca="1">IF(F1052="y",HLOOKUP((IF(C1052&lt;1,1,C1052)),Magick!$C$20:$L$21,2),NA())</f>
        <v>#N/A</v>
      </c>
      <c r="F1052" s="67" t="e">
        <f ca="1">IF(C1052&lt;=Magick!$D$3,"Y","N")</f>
        <v>#N/A</v>
      </c>
      <c r="G1052" s="148" t="s">
        <v>131</v>
      </c>
      <c r="H1052" s="151"/>
      <c r="I1052" s="77" t="e">
        <f>IF(H1052&gt;0,(HLOOKUP(C1052,Magick!$C$20:$L$21,2)-HLOOKUP(H1052,Magick!$C$20:$L$21,2)),NA())</f>
        <v>#N/A</v>
      </c>
      <c r="J1052" s="77"/>
      <c r="K1052" s="67">
        <v>8</v>
      </c>
      <c r="L1052" s="72" t="str">
        <f>IF(H1052&gt;0,Magick!$AR$30-('Master Spell List'!H1053*0.1),"N/A")</f>
        <v>N/A</v>
      </c>
      <c r="M1052" s="72">
        <f ca="1">Magick!$H$82</f>
        <v>0.08</v>
      </c>
      <c r="N1052" s="72">
        <f ca="1">Magick!$K$82</f>
        <v>0.13</v>
      </c>
      <c r="O1052" s="72">
        <f ca="1">Magick!$L$82</f>
        <v>0.13</v>
      </c>
      <c r="P1052" s="72">
        <f ca="1">Magick!$M$82</f>
        <v>0.13</v>
      </c>
      <c r="Q1052" s="67" t="s">
        <v>3723</v>
      </c>
      <c r="R1052" s="67">
        <f ca="1">IF(Q1052="Ritual","N/A",IF(Q1052="I.E.","N/A",IF(Q1052="WOG",VLOOKUP(Magick!$I$82*100,magestuff!$B$134:$F$138,2),IF(Q1052="Cantrip",VLOOKUP(Magick!$I$82*100,magestuff!$B$134:$F$138,3),IF(Q1052="Hex",VLOOKUP(Magick!$I$82*100,magestuff!$B$134:$F$138,4),VLOOKUP(Magick!$I$82*100,magestuff!$B$134:$F$138,5))))))</f>
        <v>29</v>
      </c>
      <c r="S1052" s="69" t="s">
        <v>5545</v>
      </c>
      <c r="T1052" s="69" t="s">
        <v>5545</v>
      </c>
      <c r="U1052" s="67" t="str">
        <f t="shared" si="142"/>
        <v xml:space="preserve"> </v>
      </c>
      <c r="V1052" s="515"/>
      <c r="W1052" s="125"/>
      <c r="X1052" s="31">
        <f t="shared" si="143"/>
        <v>0</v>
      </c>
      <c r="Y1052" s="509"/>
      <c r="Z1052" s="1054" t="str">
        <f t="shared" si="139"/>
        <v>Stormblast</v>
      </c>
      <c r="AA1052" s="1072" t="str">
        <f t="shared" si="140"/>
        <v>Wards</v>
      </c>
    </row>
    <row r="1053" spans="1:27" hidden="1" outlineLevel="1">
      <c r="A1053" s="31" t="s">
        <v>4098</v>
      </c>
      <c r="B1053" s="67">
        <v>6</v>
      </c>
      <c r="C1053" s="67" t="e">
        <f ca="1">magestuff!$R$210</f>
        <v>#N/A</v>
      </c>
      <c r="D1053" s="67">
        <f t="shared" si="141"/>
        <v>0</v>
      </c>
      <c r="E1053" s="77" t="e">
        <f ca="1">IF(F1053="y",HLOOKUP((IF(C1053&lt;1,1,C1053)),Magick!$C$20:$L$21,2),NA())</f>
        <v>#N/A</v>
      </c>
      <c r="F1053" s="67" t="e">
        <f ca="1">IF(C1053&lt;=Magick!$D$3,"Y","N")</f>
        <v>#N/A</v>
      </c>
      <c r="G1053" s="148" t="s">
        <v>131</v>
      </c>
      <c r="H1053" s="151"/>
      <c r="I1053" s="77" t="e">
        <f>IF(H1053&gt;0,(HLOOKUP(C1053,Magick!$C$20:$L$21,2)-HLOOKUP(H1053,Magick!$C$20:$L$21,2)),NA())</f>
        <v>#N/A</v>
      </c>
      <c r="J1053" s="77"/>
      <c r="K1053" s="67">
        <v>10</v>
      </c>
      <c r="L1053" s="72" t="str">
        <f>IF(H1053&gt;0,Magick!$AR$26-('Master Spell List'!H1046*0.1),"N/A")</f>
        <v>N/A</v>
      </c>
      <c r="M1053" s="72">
        <f ca="1">Magick!$H$82</f>
        <v>0.08</v>
      </c>
      <c r="N1053" s="72">
        <f ca="1">Magick!$K$82</f>
        <v>0.13</v>
      </c>
      <c r="O1053" s="72">
        <f ca="1">Magick!$L$82</f>
        <v>0.13</v>
      </c>
      <c r="P1053" s="72">
        <f ca="1">Magick!$M$82</f>
        <v>0.13</v>
      </c>
      <c r="Q1053" s="67" t="s">
        <v>113</v>
      </c>
      <c r="R1053" s="67" t="str">
        <f>IF(Q1053="Ritual","N/A",IF(Q1053="I.E.","N/A",IF(Q1053="WOG",VLOOKUP(Magick!$I$82*100,magestuff!$B$134:$F$138,2),IF(Q1053="Cantrip",VLOOKUP(Magick!$I$82*100,magestuff!$B$134:$F$138,3),IF(Q1053="Hex",VLOOKUP(Magick!$I$82*100,magestuff!$B$134:$F$138,4),VLOOKUP(Magick!$I$82*100,magestuff!$B$134:$F$138,5))))))</f>
        <v>N/A</v>
      </c>
      <c r="S1053" s="67" t="s">
        <v>5545</v>
      </c>
      <c r="T1053" s="67" t="s">
        <v>5545</v>
      </c>
      <c r="U1053" s="67" t="str">
        <f t="shared" si="142"/>
        <v xml:space="preserve"> </v>
      </c>
      <c r="V1053" s="515"/>
      <c r="W1053" s="125"/>
      <c r="X1053" s="31">
        <f t="shared" si="143"/>
        <v>0</v>
      </c>
      <c r="Y1053" s="509"/>
      <c r="Z1053" s="1054" t="str">
        <f t="shared" si="139"/>
        <v>Summon Totem</v>
      </c>
      <c r="AA1053" s="1072" t="str">
        <f t="shared" si="140"/>
        <v>Wards</v>
      </c>
    </row>
    <row r="1054" spans="1:27" hidden="1" outlineLevel="1">
      <c r="A1054" s="31" t="s">
        <v>4097</v>
      </c>
      <c r="B1054" s="67">
        <v>7</v>
      </c>
      <c r="C1054" s="67" t="e">
        <f ca="1">magestuff!$U$210</f>
        <v>#N/A</v>
      </c>
      <c r="D1054" s="67">
        <f t="shared" si="141"/>
        <v>0</v>
      </c>
      <c r="E1054" s="77" t="e">
        <f ca="1">IF(F1054="y",HLOOKUP((IF(C1054&lt;1,1,C1054)),Magick!$C$20:$L$21,2),NA())</f>
        <v>#N/A</v>
      </c>
      <c r="F1054" s="67" t="e">
        <f ca="1">IF(C1054&lt;=Magick!$D$3,"Y","N")</f>
        <v>#N/A</v>
      </c>
      <c r="G1054" s="148" t="s">
        <v>131</v>
      </c>
      <c r="H1054" s="151"/>
      <c r="I1054" s="77" t="e">
        <f>IF(H1054&gt;0,(HLOOKUP(C1054,Magick!$C$20:$L$21,2)-HLOOKUP(H1054,Magick!$C$20:$L$21,2)),NA())</f>
        <v>#N/A</v>
      </c>
      <c r="J1054" s="77"/>
      <c r="K1054" s="67">
        <v>11</v>
      </c>
      <c r="L1054" s="72" t="str">
        <f>IF(H1054&gt;0,Magick!$AR$30-('Master Spell List'!H1054*0.1),"N/A")</f>
        <v>N/A</v>
      </c>
      <c r="M1054" s="72">
        <f ca="1">Magick!$H$82</f>
        <v>0.08</v>
      </c>
      <c r="N1054" s="72">
        <f ca="1">Magick!$K$82</f>
        <v>0.13</v>
      </c>
      <c r="O1054" s="72">
        <f ca="1">Magick!$L$82</f>
        <v>0.13</v>
      </c>
      <c r="P1054" s="72">
        <f ca="1">Magick!$M$82</f>
        <v>0.13</v>
      </c>
      <c r="Q1054" s="67" t="s">
        <v>113</v>
      </c>
      <c r="R1054" s="67" t="str">
        <f>IF(Q1054="Ritual","N/A",IF(Q1054="I.E.","N/A",IF(Q1054="WOG",VLOOKUP(Magick!$I$82*100,magestuff!$B$134:$F$138,2),IF(Q1054="Cantrip",VLOOKUP(Magick!$I$82*100,magestuff!$B$134:$F$138,3),IF(Q1054="Hex",VLOOKUP(Magick!$I$82*100,magestuff!$B$134:$F$138,4),VLOOKUP(Magick!$I$82*100,magestuff!$B$134:$F$138,5))))))</f>
        <v>N/A</v>
      </c>
      <c r="S1054" s="69" t="s">
        <v>1082</v>
      </c>
      <c r="T1054" s="69" t="s">
        <v>4601</v>
      </c>
      <c r="U1054" s="67" t="str">
        <f t="shared" si="142"/>
        <v xml:space="preserve"> </v>
      </c>
      <c r="V1054" s="515"/>
      <c r="W1054" s="125"/>
      <c r="X1054" s="31">
        <f t="shared" si="143"/>
        <v>0</v>
      </c>
      <c r="Y1054" s="509"/>
      <c r="Z1054" s="1054" t="str">
        <f t="shared" si="139"/>
        <v>Enchantment of Skin</v>
      </c>
      <c r="AA1054" s="1072" t="str">
        <f t="shared" si="140"/>
        <v>Wards</v>
      </c>
    </row>
    <row r="1055" spans="1:27" collapsed="1">
      <c r="A1055" s="48" t="s">
        <v>1015</v>
      </c>
      <c r="B1055" s="76"/>
      <c r="C1055" s="76"/>
      <c r="D1055" s="76"/>
      <c r="E1055" s="76"/>
      <c r="F1055" s="149"/>
      <c r="G1055" s="76"/>
      <c r="H1055" s="150"/>
      <c r="I1055" s="76"/>
      <c r="J1055" s="76"/>
      <c r="K1055" s="76"/>
      <c r="L1055" s="76"/>
      <c r="M1055" s="222">
        <f>Magick!$L$4</f>
        <v>0.1</v>
      </c>
      <c r="N1055" s="222">
        <f>Magick!$L$4</f>
        <v>0.1</v>
      </c>
      <c r="O1055" s="222">
        <f>Magick!$L$4</f>
        <v>0.1</v>
      </c>
      <c r="P1055" s="222">
        <f>Magick!$L$4</f>
        <v>0.1</v>
      </c>
      <c r="Q1055" s="76"/>
      <c r="R1055" s="76"/>
      <c r="S1055" s="76"/>
      <c r="T1055" s="76"/>
      <c r="U1055" s="149"/>
      <c r="V1055" s="76"/>
      <c r="W1055" s="76"/>
      <c r="X1055" s="149"/>
      <c r="Y1055" s="509"/>
      <c r="Z1055" t="str">
        <f>A1055</f>
        <v>Combination/Designed Spells</v>
      </c>
      <c r="AA1055" s="1072" t="str">
        <f t="shared" si="140"/>
        <v>Wards</v>
      </c>
    </row>
    <row r="1056" spans="1:27">
      <c r="G1056" s="223"/>
      <c r="H1056" s="151"/>
      <c r="R1056" s="67">
        <f ca="1">IF(Q1056="Ritual","N/A",IF(Q1056="I.E.","N/A",IF(Q1056="WOG",VLOOKUP(Magick!$I$82*100,magestuff!$B$134:$F$138,2),IF(Q1056="Cantrip",VLOOKUP(Magick!$I$82*100,magestuff!$B$134:$F$138,3),IF(Q1056="Hex",VLOOKUP(Magick!$I$82*100,magestuff!$B$134:$F$138,4),VLOOKUP(Magick!$I$82*100,magestuff!$B$134:$F$138,5))))))</f>
        <v>29</v>
      </c>
      <c r="V1056" s="515"/>
      <c r="W1056" s="125"/>
      <c r="X1056" s="31">
        <f>W1056*3</f>
        <v>0</v>
      </c>
      <c r="Y1056" s="509"/>
      <c r="Z1056" s="522" t="s">
        <v>5676</v>
      </c>
      <c r="AA1056" s="1072"/>
    </row>
    <row r="1057" spans="1:25">
      <c r="G1057" s="223"/>
      <c r="H1057" s="151"/>
      <c r="R1057" s="67">
        <f ca="1">IF(Q1057="Ritual","N/A",IF(Q1057="I.E.","N/A",IF(Q1057="WOG",VLOOKUP(Magick!$I$82*100,magestuff!$B$134:$F$138,2),IF(Q1057="Cantrip",VLOOKUP(Magick!$I$82*100,magestuff!$B$134:$F$138,3),IF(Q1057="Hex",VLOOKUP(Magick!$I$82*100,magestuff!$B$134:$F$138,4),VLOOKUP(Magick!$I$82*100,magestuff!$B$134:$F$138,5))))))</f>
        <v>29</v>
      </c>
      <c r="V1057" s="515"/>
      <c r="W1057" s="125"/>
      <c r="X1057" s="31">
        <f>W1057*3</f>
        <v>0</v>
      </c>
      <c r="Y1057" s="509"/>
    </row>
    <row r="1058" spans="1:25">
      <c r="A1058" s="48" t="s">
        <v>2787</v>
      </c>
      <c r="B1058" s="76">
        <f>B1045+B1015+B992+B944+B896+B850+B789+B699+B608+B516+B406+B253+B184+B135+B54+B22+B3</f>
        <v>5537</v>
      </c>
      <c r="C1058" s="76">
        <f ca="1">IF(ISNA(C1045),0,C1045)+IF(ISNA(C1015),0,C1015)+IF(ISNA(C992),0,C992)+C944+C896+C850+C789+C699+C608+C516+C406+C253+C184+C135+C54+C22+C3</f>
        <v>5261</v>
      </c>
      <c r="D1058" s="76">
        <f>IF(ISNA(D1045),0,D1045)+IF(ISNA(D1015),0,D1015)+IF(ISNA(D992),0,D992)+D944+D896+D850+D789+D699+D608+D516+D406+D253+D184+D135+D54+D22+D3</f>
        <v>0</v>
      </c>
      <c r="E1058" s="76"/>
      <c r="F1058" s="76">
        <f ca="1">IF(ISNA(F1045),0,F1045)+IF(ISNA(F1015),0,F1015)+IF(ISNA(F992),0,F992)+F944+F896+F850+F789+F699+F608+F516+F406+F253+F184+F135+F54+F22+F3</f>
        <v>433</v>
      </c>
      <c r="G1058" s="76"/>
      <c r="H1058" s="150"/>
      <c r="I1058" s="76"/>
      <c r="J1058" s="76"/>
      <c r="K1058" s="76"/>
      <c r="L1058" s="76"/>
      <c r="M1058" s="222"/>
      <c r="N1058" s="222"/>
      <c r="O1058" s="222"/>
      <c r="P1058" s="222"/>
      <c r="Q1058" s="76"/>
      <c r="R1058" s="76"/>
      <c r="S1058" s="76"/>
      <c r="T1058" s="76"/>
      <c r="U1058" s="149">
        <f>IF(ISNA(U1045),0,U1045)+IF(ISNA(U1015),0,U1015)+IF(ISNA(U992),0,U992)+U944+U896+U850+U789+U699+U608+U516+U406+U253+U184+U135+U54+U22+U3</f>
        <v>0</v>
      </c>
      <c r="V1058" s="76"/>
      <c r="W1058" s="76"/>
      <c r="X1058" s="149"/>
      <c r="Y1058" s="509"/>
    </row>
    <row r="1059" spans="1:25">
      <c r="B1059" s="67" t="s">
        <v>940</v>
      </c>
      <c r="C1059" s="67" t="s">
        <v>1651</v>
      </c>
      <c r="D1059" s="67" t="s">
        <v>2636</v>
      </c>
      <c r="F1059" s="67" t="s">
        <v>1873</v>
      </c>
      <c r="U1059" s="67" t="s">
        <v>1394</v>
      </c>
    </row>
    <row r="1060" spans="1:25">
      <c r="D1060" s="69">
        <f ca="1">Magick!C5-'Master Spell List'!D1058</f>
        <v>0.03</v>
      </c>
    </row>
    <row r="1061" spans="1:25">
      <c r="D1061" s="76"/>
      <c r="F1061" s="68" t="s">
        <v>6049</v>
      </c>
    </row>
    <row r="1062" spans="1:25">
      <c r="D1062" s="69">
        <f ca="1">D1060-D1061</f>
        <v>0.03</v>
      </c>
      <c r="F1062" s="68" t="s">
        <v>6050</v>
      </c>
    </row>
  </sheetData>
  <autoFilter ref="A2:AA1062"/>
  <sortState ref="A55:BN134">
    <sortCondition ref="B55:B134"/>
  </sortState>
  <mergeCells count="1">
    <mergeCell ref="A1:X1"/>
  </mergeCells>
  <phoneticPr fontId="17" type="noConversion"/>
  <pageMargins left="0.25" right="0.25" top="0.25" bottom="0.25" header="0" footer="0"/>
  <pageSetup scale="70" orientation="portrait" r:id="rId1"/>
  <headerFooter alignWithMargins="0"/>
  <rowBreaks count="4" manualBreakCount="4">
    <brk id="371" max="16383" man="1"/>
    <brk id="484" max="16383" man="1"/>
    <brk id="818" max="16383" man="1"/>
    <brk id="1028" max="16383" man="1"/>
  </rowBreaks>
  <legacyDrawing r:id="rId2"/>
</worksheet>
</file>

<file path=xl/worksheets/sheet14.xml><?xml version="1.0" encoding="utf-8"?>
<worksheet xmlns="http://schemas.openxmlformats.org/spreadsheetml/2006/main" xmlns:r="http://schemas.openxmlformats.org/officeDocument/2006/relationships">
  <sheetPr codeName="Sheet11">
    <tabColor rgb="FF0070C0"/>
  </sheetPr>
  <dimension ref="A1:AJ56"/>
  <sheetViews>
    <sheetView zoomScale="85" zoomScaleNormal="85" workbookViewId="0">
      <pane ySplit="1" topLeftCell="A2" activePane="bottomLeft" state="frozen"/>
      <selection activeCell="A2" sqref="A2"/>
      <selection pane="bottomLeft" activeCell="A2" sqref="A2"/>
    </sheetView>
  </sheetViews>
  <sheetFormatPr defaultColWidth="9.140625" defaultRowHeight="12.75"/>
  <cols>
    <col min="1" max="1" width="8.42578125" bestFit="1" customWidth="1"/>
    <col min="2" max="3" width="4.7109375" customWidth="1"/>
    <col min="4" max="11" width="3.7109375" customWidth="1"/>
    <col min="12" max="12" width="4.85546875" bestFit="1" customWidth="1"/>
    <col min="13" max="13" width="3.7109375" customWidth="1"/>
    <col min="14" max="14" width="4.42578125" customWidth="1"/>
    <col min="15" max="28" width="3.7109375" customWidth="1"/>
    <col min="29" max="29" width="5.7109375" customWidth="1"/>
    <col min="30" max="38" width="9.140625" customWidth="1"/>
  </cols>
  <sheetData>
    <row r="1" spans="1:36" ht="18.75">
      <c r="A1" s="2897" t="s">
        <v>2972</v>
      </c>
      <c r="B1" s="2898"/>
      <c r="C1" s="2898"/>
      <c r="D1" s="2898"/>
      <c r="E1" s="2898"/>
      <c r="F1" s="2898"/>
      <c r="G1" s="2898"/>
      <c r="H1" s="2898"/>
      <c r="I1" s="2898"/>
      <c r="J1" s="2898"/>
      <c r="K1" s="2898"/>
      <c r="L1" s="2898"/>
      <c r="M1" s="2898"/>
      <c r="N1" s="2898"/>
      <c r="O1" s="2898"/>
      <c r="P1" s="2898"/>
      <c r="Q1" s="2898"/>
      <c r="R1" s="2898"/>
      <c r="S1" s="2898"/>
      <c r="T1" s="2898"/>
      <c r="U1" s="2898"/>
      <c r="V1" s="2898"/>
      <c r="W1" s="2898"/>
    </row>
    <row r="2" spans="1:36">
      <c r="A2" s="129" t="s">
        <v>851</v>
      </c>
      <c r="B2" s="1585"/>
      <c r="C2" s="2885"/>
      <c r="D2" s="2885"/>
      <c r="E2" s="2885"/>
      <c r="F2" s="2886"/>
      <c r="G2" s="2840" t="s">
        <v>2988</v>
      </c>
      <c r="H2" s="2853"/>
      <c r="I2" s="2899" t="str">
        <f>IF(Magick!W6=28, " ",VLOOKUP(Magick!$W$6,Mount!U166:V193,2))</f>
        <v xml:space="preserve"> </v>
      </c>
      <c r="J2" s="2880"/>
      <c r="K2" s="2880"/>
      <c r="L2" s="2840" t="s">
        <v>2296</v>
      </c>
      <c r="M2" s="2853"/>
      <c r="N2" s="2852" t="str">
        <f ca="1">IF(Magick!W6=28," ",INDIRECT(ADDRESS(115,VLOOKUP(Magick!$W$6,Mount!$U$166:$Y$193,5),,,"Mount")))</f>
        <v xml:space="preserve"> </v>
      </c>
      <c r="O2" s="2908"/>
      <c r="P2" s="1488"/>
      <c r="Q2" s="1489"/>
      <c r="R2" s="2840" t="s">
        <v>2298</v>
      </c>
      <c r="S2" s="2878"/>
      <c r="T2" s="2853"/>
      <c r="U2" s="2813"/>
      <c r="V2" s="2810"/>
      <c r="W2" s="2877"/>
      <c r="Z2" s="518" t="s">
        <v>2387</v>
      </c>
      <c r="AA2" s="107"/>
      <c r="AB2" s="107"/>
      <c r="AC2" s="107"/>
      <c r="AD2" s="107"/>
      <c r="AE2" s="107"/>
      <c r="AF2" s="107"/>
      <c r="AG2" s="107"/>
    </row>
    <row r="3" spans="1:36">
      <c r="A3" s="130" t="s">
        <v>2989</v>
      </c>
      <c r="B3" s="1585"/>
      <c r="C3" s="2885"/>
      <c r="D3" s="2885"/>
      <c r="E3" s="2885"/>
      <c r="F3" s="2886"/>
      <c r="G3" s="2840" t="s">
        <v>2295</v>
      </c>
      <c r="H3" s="2853"/>
      <c r="I3" s="2899" t="str">
        <f>IF(Magick!W6=28," ",+'Main Creation Page'!I31)</f>
        <v xml:space="preserve"> </v>
      </c>
      <c r="J3" s="2880"/>
      <c r="K3" s="2880"/>
      <c r="L3" s="2840" t="s">
        <v>2297</v>
      </c>
      <c r="M3" s="2853"/>
      <c r="N3" s="2851" t="str">
        <f ca="1">IF(Magick!W6=28, " ",INDIRECT(ADDRESS(116,VLOOKUP(Magick!$W$6,Mount!$U$166:$Y$193,5),,,"Mount")))</f>
        <v xml:space="preserve"> </v>
      </c>
      <c r="O3" s="1488"/>
      <c r="P3" s="1488"/>
      <c r="Q3" s="1489"/>
      <c r="R3" s="2840" t="s">
        <v>2990</v>
      </c>
      <c r="S3" s="2878"/>
      <c r="T3" s="2853"/>
      <c r="U3" s="2813"/>
      <c r="V3" s="2810"/>
      <c r="W3" s="2877"/>
      <c r="Z3" s="518" t="s">
        <v>5106</v>
      </c>
      <c r="AA3" s="107"/>
      <c r="AB3" s="107"/>
      <c r="AC3" s="107"/>
      <c r="AD3" s="107"/>
      <c r="AE3" s="107"/>
      <c r="AF3" s="107"/>
      <c r="AG3" s="107"/>
    </row>
    <row r="4" spans="1:36">
      <c r="A4" s="130" t="s">
        <v>2991</v>
      </c>
      <c r="B4" s="1585"/>
      <c r="C4" s="2885"/>
      <c r="D4" s="2885"/>
      <c r="E4" s="2885"/>
      <c r="F4" s="2886"/>
      <c r="G4" s="2840" t="s">
        <v>2992</v>
      </c>
      <c r="H4" s="2853"/>
      <c r="I4" s="2899"/>
      <c r="J4" s="2880"/>
      <c r="K4" s="2880"/>
      <c r="L4" s="2840" t="s">
        <v>4728</v>
      </c>
      <c r="M4" s="2853"/>
      <c r="N4" s="2851" t="str">
        <f ca="1">IF(Magick!W6=28," ",INDIRECT(ADDRESS(118,VLOOKUP(Magick!$W$6,Mount!$U$166:$Y$193,5),,,"Mount")))</f>
        <v xml:space="preserve"> </v>
      </c>
      <c r="O4" s="1488"/>
      <c r="P4" s="1488"/>
      <c r="Q4" s="1489"/>
      <c r="R4" s="2840" t="s">
        <v>217</v>
      </c>
      <c r="S4" s="2878"/>
      <c r="T4" s="2853"/>
      <c r="U4" s="2813"/>
      <c r="V4" s="2810"/>
      <c r="W4" s="2877"/>
      <c r="Z4" s="518" t="s">
        <v>5306</v>
      </c>
      <c r="AA4" s="107"/>
      <c r="AB4" s="107"/>
      <c r="AC4" s="107"/>
      <c r="AD4" s="107"/>
      <c r="AE4" s="107"/>
      <c r="AF4" s="107"/>
      <c r="AG4" s="107"/>
    </row>
    <row r="5" spans="1:36" ht="12.75" customHeight="1">
      <c r="A5" s="2820" t="s">
        <v>218</v>
      </c>
      <c r="B5" s="1721"/>
      <c r="C5" s="1721"/>
      <c r="D5" s="1721"/>
      <c r="E5" s="1721"/>
      <c r="F5" s="1721"/>
      <c r="G5" s="1721"/>
      <c r="H5" s="1721"/>
      <c r="I5" s="1721"/>
      <c r="J5" s="1721"/>
      <c r="K5" s="1722"/>
      <c r="L5" s="2840" t="s">
        <v>4729</v>
      </c>
      <c r="M5" s="1722"/>
      <c r="N5" s="2851" t="str">
        <f ca="1">IF(Magick!W6=28," ",INDIRECT(ADDRESS(117,VLOOKUP(Magick!$W$6,Mount!$U$166:$Y$193,5),,,"Mount")))</f>
        <v xml:space="preserve"> </v>
      </c>
      <c r="O5" s="1488"/>
      <c r="P5" s="1488"/>
      <c r="Q5" s="1489"/>
      <c r="R5" s="2859" t="s">
        <v>2446</v>
      </c>
      <c r="S5" s="1298"/>
      <c r="T5" s="1296"/>
      <c r="U5" s="447" t="str">
        <f>IF(Magick!$W$6=28," ",IF('Main Creation Page'!$O$42&gt;VLOOKUP($D$10,'System Lookups'!$F$30:$N$50,6),'Main Creation Page'!$O$42,VLOOKUP($D$10,'System Lookups'!$F$30:$N$50,6)))</f>
        <v xml:space="preserve"> </v>
      </c>
      <c r="V5" s="2837" t="str">
        <f>IF(Magick!$W$6=28," ",IF('Main Creation Page'!$O$43&gt;VLOOKUP($D$10,'System Lookups'!$F$30:$N$50,6),'Main Creation Page'!$O$43,VLOOKUP($D$10,'System Lookups'!$F$30:$N$50,6)))</f>
        <v xml:space="preserve"> </v>
      </c>
      <c r="W5" s="1489"/>
      <c r="Z5" s="518" t="s">
        <v>5307</v>
      </c>
      <c r="AA5" s="107"/>
      <c r="AB5" s="107"/>
      <c r="AC5" s="107"/>
      <c r="AD5" s="107"/>
      <c r="AE5" s="107"/>
      <c r="AF5" s="107"/>
      <c r="AG5" s="107"/>
    </row>
    <row r="6" spans="1:36" ht="12.75" customHeight="1">
      <c r="A6" s="132" t="s">
        <v>4414</v>
      </c>
      <c r="B6" s="2906" t="str">
        <f ca="1">IF(Magick!W6=28," ",INDIRECT(ADDRESS(162,VLOOKUP(Magick!$W$6,Mount!$U$166:$Y$193,5),,,"Mount")))</f>
        <v xml:space="preserve"> </v>
      </c>
      <c r="C6" s="2907"/>
      <c r="D6" s="132" t="s">
        <v>2979</v>
      </c>
      <c r="E6" s="2906" t="str">
        <f ca="1">IF(Magick!W6=28," ",INDIRECT(ADDRESS(163,VLOOKUP(Magick!$W$6,Mount!$U$166:$Y$193,5),,,"Mount")))</f>
        <v xml:space="preserve"> </v>
      </c>
      <c r="F6" s="2907"/>
      <c r="G6" s="2859" t="s">
        <v>2980</v>
      </c>
      <c r="H6" s="2860"/>
      <c r="I6" s="2861"/>
      <c r="J6" s="2906" t="str">
        <f ca="1">IF(Magick!W6=28," ",INDIRECT(ADDRESS(164,VLOOKUP(Magick!$W$6,Mount!$U$166:$Y$193,5),,,"Mount")))</f>
        <v xml:space="preserve"> </v>
      </c>
      <c r="K6" s="2907"/>
      <c r="L6" s="60"/>
      <c r="M6" s="60"/>
      <c r="N6" s="2862" t="s">
        <v>2239</v>
      </c>
      <c r="O6" s="1382"/>
      <c r="P6" s="1382"/>
      <c r="Q6" s="1382"/>
      <c r="R6" s="1382"/>
      <c r="S6" s="1382"/>
      <c r="T6" s="1382"/>
      <c r="U6" s="1382"/>
      <c r="V6" s="1382"/>
      <c r="W6" s="1311"/>
      <c r="Z6" s="107"/>
      <c r="AA6" s="107"/>
      <c r="AB6" s="107"/>
      <c r="AC6" s="107"/>
      <c r="AD6" s="107"/>
      <c r="AE6" s="107"/>
      <c r="AF6" s="107"/>
      <c r="AG6" s="107"/>
    </row>
    <row r="7" spans="1:36" ht="15.75" customHeight="1">
      <c r="A7" s="2830" t="s">
        <v>2724</v>
      </c>
      <c r="B7" s="2831"/>
      <c r="C7" s="2832"/>
      <c r="D7" s="2830" t="s">
        <v>5370</v>
      </c>
      <c r="E7" s="2843"/>
      <c r="F7" s="2844"/>
      <c r="G7" s="2830" t="s">
        <v>5085</v>
      </c>
      <c r="H7" s="2831"/>
      <c r="I7" s="2832"/>
      <c r="J7" s="2840" t="s">
        <v>3781</v>
      </c>
      <c r="K7" s="2853"/>
      <c r="L7" s="2852" t="str">
        <f ca="1">IF(Magick!W6=28," ",INDIRECT(ADDRESS(120,VLOOKUP(Magick!$W$6,Mount!$U$166:$Y$193,5),,,"Mount")))</f>
        <v xml:space="preserve"> </v>
      </c>
      <c r="M7" s="2811"/>
      <c r="N7" s="2858" t="s">
        <v>1821</v>
      </c>
      <c r="O7" s="1486"/>
      <c r="P7" s="134" t="str">
        <f>IF(Magick!W6=28," ",IF('Main Creation Page'!$P$38&gt;VLOOKUP($D$10,'System Lookups'!$F$30:$N$50,3),'Main Creation Page'!$P$38,VLOOKUP($D$10,'System Lookups'!$F$30:$N$50,3)))</f>
        <v xml:space="preserve"> </v>
      </c>
      <c r="Q7" s="2858" t="s">
        <v>1820</v>
      </c>
      <c r="R7" s="2135"/>
      <c r="S7" s="2136"/>
      <c r="T7" s="134" t="str">
        <f>IF(Magick!W6=28," ",IF('Main Creation Page'!$P$39&gt;VLOOKUP($D$10,'System Lookups'!$F$30:$N$50,4),'Main Creation Page'!$P$39,VLOOKUP($D$10,'System Lookups'!$F$30:$N$50,4)))</f>
        <v xml:space="preserve"> </v>
      </c>
      <c r="U7" s="2875" t="s">
        <v>4734</v>
      </c>
      <c r="V7" s="2876"/>
      <c r="W7" s="134" t="str">
        <f>IF(Magick!W6=28," ",IF('Main Creation Page'!$P$40&gt;VLOOKUP($D$10,'System Lookups'!$F$30:$N$50,5),'Main Creation Page'!$P$40,VLOOKUP($D$10,'System Lookups'!$F$30:$N$50,5)))</f>
        <v xml:space="preserve"> </v>
      </c>
      <c r="Z7" s="518" t="s">
        <v>2388</v>
      </c>
      <c r="AA7" s="107"/>
      <c r="AB7" s="107"/>
      <c r="AC7" s="107"/>
      <c r="AD7" s="107"/>
      <c r="AE7" s="107"/>
      <c r="AF7" s="107"/>
      <c r="AG7" s="107"/>
    </row>
    <row r="8" spans="1:36">
      <c r="A8" s="2834" t="s">
        <v>4122</v>
      </c>
      <c r="B8" s="2835"/>
      <c r="C8" s="2836"/>
      <c r="D8" s="2813" t="str">
        <f ca="1">IF(Magick!W6=28," ",INDIRECT(ADDRESS(101,VLOOKUP(Magick!$W$6,Mount!$U$166:$Y$193,5),,,"Mount")))</f>
        <v xml:space="preserve"> </v>
      </c>
      <c r="E8" s="2810"/>
      <c r="F8" s="2811"/>
      <c r="G8" s="2903" t="str">
        <f ca="1">IF(Magick!W6=28," ",INDIRECT(ADDRESS(102,VLOOKUP(Magick!$W$6,Mount!$U$166:$Y$193,5),,,"Mount")))</f>
        <v xml:space="preserve"> </v>
      </c>
      <c r="H8" s="2904"/>
      <c r="I8" s="2905"/>
      <c r="J8" s="2840" t="s">
        <v>4733</v>
      </c>
      <c r="K8" s="2853"/>
      <c r="L8" s="2852" t="str">
        <f ca="1">IF(Magick!W6=28," ",INDIRECT(ADDRESS(121,VLOOKUP(Magick!$W$6,Mount!$U$166:$Y$193,5),,,"Mount")))</f>
        <v xml:space="preserve"> </v>
      </c>
      <c r="M8" s="2811"/>
      <c r="N8" s="135" t="s">
        <v>519</v>
      </c>
      <c r="O8" s="1318" t="str">
        <f>IF(Magick!W6=28," ",IF('Main Creation Page'!$AD$4&gt;VLOOKUP($D$10,'System Lookups'!$F$30:$N$50,7),'Main Creation Page'!$AD$4,VLOOKUP($D$10,'System Lookups'!$F$30:$N$50,7)))</f>
        <v xml:space="preserve"> </v>
      </c>
      <c r="P8" s="2204"/>
      <c r="Q8" s="2051" t="s">
        <v>2242</v>
      </c>
      <c r="R8" s="2856"/>
      <c r="S8" s="2857"/>
      <c r="T8" s="136" t="str">
        <f>IF(Magick!W6=28," ",IF('Main Creation Page'!$AD$5&gt;VLOOKUP($D$10,'System Lookups'!$F$30:$N$50,8),'Main Creation Page'!$AD$5,VLOOKUP($D$10,'System Lookups'!$F$30:$N$50,8)))</f>
        <v xml:space="preserve"> </v>
      </c>
      <c r="U8" s="1745" t="s">
        <v>2243</v>
      </c>
      <c r="V8" s="2869"/>
      <c r="W8" s="2869"/>
      <c r="Z8" s="518" t="s">
        <v>4556</v>
      </c>
      <c r="AA8" s="107"/>
      <c r="AB8" s="107"/>
      <c r="AC8" s="107"/>
      <c r="AD8" s="107"/>
      <c r="AE8" s="107"/>
      <c r="AF8" s="107"/>
      <c r="AG8" s="107"/>
    </row>
    <row r="9" spans="1:36">
      <c r="A9" s="2834" t="s">
        <v>4123</v>
      </c>
      <c r="B9" s="2835"/>
      <c r="C9" s="2836"/>
      <c r="D9" s="2813" t="str">
        <f ca="1">IF(Magick!W6=28," ",INDIRECT(ADDRESS(103,VLOOKUP(Magick!$W$6,Mount!$U$166:$Y$193,5),,,"Mount")))</f>
        <v xml:space="preserve"> </v>
      </c>
      <c r="E9" s="2810"/>
      <c r="F9" s="2811"/>
      <c r="G9" s="2837" t="str">
        <f ca="1">IF(Magick!W6=28," ",INDIRECT(ADDRESS(104,VLOOKUP(Magick!$W$6,Mount!$U$166:$Y$193,5),,,"Mount")))</f>
        <v xml:space="preserve"> </v>
      </c>
      <c r="H9" s="2854"/>
      <c r="I9" s="2855"/>
      <c r="J9" s="2840" t="s">
        <v>4735</v>
      </c>
      <c r="K9" s="2853"/>
      <c r="L9" s="2863" t="str">
        <f ca="1">IF(Magick!W6=28," ",INDIRECT(ADDRESS(122,VLOOKUP(Magick!$W$6,Mount!$U$166:$Y$193,5),,,"Mount")))</f>
        <v xml:space="preserve"> </v>
      </c>
      <c r="M9" s="2864"/>
      <c r="N9" s="2820" t="s">
        <v>2974</v>
      </c>
      <c r="O9" s="2873"/>
      <c r="P9" s="2873"/>
      <c r="Q9" s="2873"/>
      <c r="R9" s="2873"/>
      <c r="S9" s="2873"/>
      <c r="T9" s="2873"/>
      <c r="U9" s="2873"/>
      <c r="V9" s="2873"/>
      <c r="W9" s="2874"/>
      <c r="Z9" s="1"/>
      <c r="AA9" s="1" t="s">
        <v>289</v>
      </c>
      <c r="AB9" s="107"/>
      <c r="AC9" s="107"/>
      <c r="AD9" s="1"/>
      <c r="AE9" s="1"/>
      <c r="AF9" s="1"/>
      <c r="AG9" s="107"/>
    </row>
    <row r="10" spans="1:36">
      <c r="A10" s="2834" t="s">
        <v>5148</v>
      </c>
      <c r="B10" s="2835"/>
      <c r="C10" s="2836"/>
      <c r="D10" s="2813" t="str">
        <f ca="1">IF(Magick!W6=28," ",INDIRECT(ADDRESS(105,VLOOKUP(Magick!$W$6,Mount!$U$166:$Y$193,5),,,"Mount")))</f>
        <v xml:space="preserve"> </v>
      </c>
      <c r="E10" s="2810"/>
      <c r="F10" s="2811"/>
      <c r="G10" s="2837" t="str">
        <f ca="1">IF(Magick!W6=28," ",INDIRECT(ADDRESS(106,VLOOKUP(Magick!$W$6,Mount!$U$166:$Y$193,5),,,"Mount")))</f>
        <v xml:space="preserve"> </v>
      </c>
      <c r="H10" s="2135"/>
      <c r="I10" s="2136"/>
      <c r="J10" s="2890"/>
      <c r="K10" s="2208"/>
      <c r="L10" s="2865"/>
      <c r="M10" s="2866"/>
      <c r="N10" s="2870"/>
      <c r="O10" s="2871"/>
      <c r="P10" s="2871"/>
      <c r="Q10" s="2871"/>
      <c r="R10" s="2871"/>
      <c r="S10" s="2871"/>
      <c r="T10" s="2871"/>
      <c r="U10" s="2871"/>
      <c r="V10" s="2871"/>
      <c r="W10" s="2872"/>
      <c r="Z10" s="107"/>
      <c r="AA10" s="1" t="s">
        <v>3290</v>
      </c>
      <c r="AB10" s="107"/>
      <c r="AC10" s="107"/>
      <c r="AD10" s="107"/>
      <c r="AE10" s="107"/>
      <c r="AF10" s="107"/>
      <c r="AG10" s="107"/>
    </row>
    <row r="11" spans="1:36">
      <c r="A11" s="2834" t="s">
        <v>3835</v>
      </c>
      <c r="B11" s="2835"/>
      <c r="C11" s="2836"/>
      <c r="D11" s="2813" t="str">
        <f ca="1">IF(Magick!W6=28," ",INDIRECT(ADDRESS(107,VLOOKUP(Magick!$W$6,Mount!$U$166:$Y$193,5),,,"Mount")))</f>
        <v xml:space="preserve"> </v>
      </c>
      <c r="E11" s="2810"/>
      <c r="F11" s="2811"/>
      <c r="G11" s="2837" t="str">
        <f ca="1">IF(Magick!W6=28," ",INDIRECT(ADDRESS(108,VLOOKUP(Magick!$W$6,Mount!$U$166:$Y$193,5),,,"Mount")))</f>
        <v xml:space="preserve"> </v>
      </c>
      <c r="H11" s="2135"/>
      <c r="I11" s="2136"/>
      <c r="J11" s="2891"/>
      <c r="K11" s="2629"/>
      <c r="L11" s="2865"/>
      <c r="M11" s="2866"/>
      <c r="N11" s="2870"/>
      <c r="O11" s="2871"/>
      <c r="P11" s="2871"/>
      <c r="Q11" s="2871"/>
      <c r="R11" s="2871"/>
      <c r="S11" s="2871"/>
      <c r="T11" s="2871"/>
      <c r="U11" s="2871"/>
      <c r="V11" s="2871"/>
      <c r="W11" s="2872"/>
      <c r="Z11" s="107"/>
      <c r="AA11" s="1" t="s">
        <v>4555</v>
      </c>
      <c r="AB11" s="107"/>
      <c r="AC11" s="107"/>
      <c r="AD11" s="107"/>
      <c r="AE11" s="107"/>
      <c r="AF11" s="107"/>
      <c r="AG11" s="1"/>
      <c r="AH11" s="1"/>
      <c r="AI11" s="1"/>
      <c r="AJ11" s="1"/>
    </row>
    <row r="12" spans="1:36">
      <c r="A12" s="2834" t="s">
        <v>3836</v>
      </c>
      <c r="B12" s="2835"/>
      <c r="C12" s="2836"/>
      <c r="D12" s="2813" t="str">
        <f ca="1">IF(Magick!W6=28," ",INDIRECT(ADDRESS(109,VLOOKUP(Magick!$W$6,Mount!$U$166:$Y$193,5),,,"Mount")))</f>
        <v xml:space="preserve"> </v>
      </c>
      <c r="E12" s="2810"/>
      <c r="F12" s="2811"/>
      <c r="G12" s="2837" t="str">
        <f ca="1">IF(Magick!W6=28," ",INDIRECT(ADDRESS(110,VLOOKUP(Magick!$W$6,Mount!$U$166:$Y$193,5),,,"Mount")))</f>
        <v xml:space="preserve"> </v>
      </c>
      <c r="H12" s="2135"/>
      <c r="I12" s="2136"/>
      <c r="J12" s="2892"/>
      <c r="K12" s="2893"/>
      <c r="L12" s="2867"/>
      <c r="M12" s="2868"/>
      <c r="N12" s="2870"/>
      <c r="O12" s="2871"/>
      <c r="P12" s="2871"/>
      <c r="Q12" s="2871"/>
      <c r="R12" s="2871"/>
      <c r="S12" s="2871"/>
      <c r="T12" s="2871"/>
      <c r="U12" s="2871"/>
      <c r="V12" s="2871"/>
      <c r="W12" s="2872"/>
      <c r="Z12" s="107"/>
      <c r="AA12" s="107"/>
      <c r="AB12" s="107"/>
      <c r="AC12" s="107"/>
      <c r="AD12" s="107"/>
      <c r="AE12" s="107"/>
      <c r="AF12" s="107"/>
      <c r="AG12" s="107"/>
    </row>
    <row r="13" spans="1:36">
      <c r="A13" s="2834" t="s">
        <v>947</v>
      </c>
      <c r="B13" s="2835"/>
      <c r="C13" s="2836"/>
      <c r="D13" s="2813" t="str">
        <f ca="1">IF(Magick!W6=28," ",INDIRECT(ADDRESS(111,VLOOKUP(Magick!$W$6,Mount!$U$166:$Y$193,5),,,"Mount")))</f>
        <v xml:space="preserve"> </v>
      </c>
      <c r="E13" s="2810"/>
      <c r="F13" s="2811"/>
      <c r="G13" s="2837" t="str">
        <f ca="1">IF(Magick!W6=28," ",INDIRECT(ADDRESS(112,VLOOKUP(Magick!$W$6,Mount!$U$166:$Y$193,5),,,"Mount")))</f>
        <v xml:space="preserve"> </v>
      </c>
      <c r="H13" s="2135"/>
      <c r="I13" s="2136"/>
      <c r="J13" s="2847" t="s">
        <v>2965</v>
      </c>
      <c r="K13" s="2848"/>
      <c r="L13" s="29" t="s">
        <v>2966</v>
      </c>
      <c r="M13" s="446" t="str">
        <f ca="1">IF(Magick!W6=28," ",INDIRECT(ADDRESS(123,VLOOKUP(Magick!$W$6,Mount!$U$166:$Y$193,5),,,"Mount")))</f>
        <v xml:space="preserve"> </v>
      </c>
      <c r="N13" s="2870"/>
      <c r="O13" s="2871"/>
      <c r="P13" s="2871"/>
      <c r="Q13" s="2871"/>
      <c r="R13" s="2871"/>
      <c r="S13" s="2871"/>
      <c r="T13" s="2871"/>
      <c r="U13" s="2871"/>
      <c r="V13" s="2871"/>
      <c r="W13" s="2872"/>
    </row>
    <row r="14" spans="1:36" ht="12.75" customHeight="1">
      <c r="A14" s="2834" t="s">
        <v>948</v>
      </c>
      <c r="B14" s="2835"/>
      <c r="C14" s="2836"/>
      <c r="D14" s="2813" t="str">
        <f ca="1">IF(Magick!W6=28," ",INDIRECT(ADDRESS(113,VLOOKUP(Magick!$W$6,Mount!$U$166:$Y$193,5),,,"Mount")))</f>
        <v xml:space="preserve"> </v>
      </c>
      <c r="E14" s="2810"/>
      <c r="F14" s="2811"/>
      <c r="G14" s="2837" t="str">
        <f ca="1">IF(Magick!W6=28," ",INDIRECT(ADDRESS(114,VLOOKUP(Magick!$W$6,Mount!$U$166:$Y$193,5),,,"Mount")))</f>
        <v xml:space="preserve"> </v>
      </c>
      <c r="H14" s="2135"/>
      <c r="I14" s="2136"/>
      <c r="J14" s="2849"/>
      <c r="K14" s="2850"/>
      <c r="L14" s="131" t="s">
        <v>2967</v>
      </c>
      <c r="M14" s="446" t="str">
        <f ca="1">IF(Magick!W6=28," ",INDIRECT(ADDRESS(124,VLOOKUP(Magick!$W$6,Mount!$U$166:$Y$193,5),,,"Mount")))</f>
        <v xml:space="preserve"> </v>
      </c>
      <c r="N14" s="2894"/>
      <c r="O14" s="2895"/>
      <c r="P14" s="2895"/>
      <c r="Q14" s="2895"/>
      <c r="R14" s="2895"/>
      <c r="S14" s="2895"/>
      <c r="T14" s="2895"/>
      <c r="U14" s="2895"/>
      <c r="V14" s="2895"/>
      <c r="W14" s="2896"/>
    </row>
    <row r="15" spans="1:36" ht="15.95" customHeight="1">
      <c r="A15" s="2840" t="s">
        <v>949</v>
      </c>
      <c r="B15" s="2841"/>
      <c r="C15" s="2842"/>
      <c r="D15" s="2820" t="s">
        <v>5370</v>
      </c>
      <c r="E15" s="2843"/>
      <c r="F15" s="2844"/>
      <c r="G15" s="2840" t="s">
        <v>5085</v>
      </c>
      <c r="H15" s="2841"/>
      <c r="I15" s="2842"/>
      <c r="J15" s="2847" t="s">
        <v>2969</v>
      </c>
      <c r="K15" s="2848"/>
      <c r="L15" s="133" t="s">
        <v>2966</v>
      </c>
      <c r="M15" s="446" t="str">
        <f ca="1">IF(Magick!W6=28," ",INDIRECT(ADDRESS(125,VLOOKUP(Magick!$W$6,Mount!$U$166:$Y$193,5),,,"Mount")))</f>
        <v xml:space="preserve"> </v>
      </c>
      <c r="N15" s="2879" t="s">
        <v>2976</v>
      </c>
      <c r="O15" s="2880"/>
      <c r="P15" s="2880"/>
      <c r="Q15" s="2878"/>
      <c r="R15" s="457"/>
      <c r="S15" s="458">
        <v>42</v>
      </c>
      <c r="T15" s="458"/>
      <c r="U15" s="458">
        <v>42</v>
      </c>
      <c r="V15" s="459"/>
    </row>
    <row r="16" spans="1:36" ht="15.95" customHeight="1">
      <c r="A16" s="2834" t="s">
        <v>489</v>
      </c>
      <c r="B16" s="2835"/>
      <c r="C16" s="2836"/>
      <c r="D16" s="2813" t="str">
        <f>IF(Magick!W6=28," ",+'Character Sheet'!H38)</f>
        <v xml:space="preserve"> </v>
      </c>
      <c r="E16" s="2810"/>
      <c r="F16" s="2811"/>
      <c r="G16" s="2837" t="str">
        <f>IF(Magick!W6=28," ",VLOOKUP(D16,'System Lookups'!$F$4:$G$27,2))</f>
        <v xml:space="preserve"> </v>
      </c>
      <c r="H16" s="2838"/>
      <c r="I16" s="2839"/>
      <c r="J16" s="2849"/>
      <c r="K16" s="2850"/>
      <c r="L16" s="131" t="s">
        <v>2967</v>
      </c>
      <c r="M16" s="446" t="str">
        <f ca="1">IF(Magick!W6=28," ",INDIRECT(ADDRESS(126,VLOOKUP(Magick!$W$6,Mount!$U$166:$Y$193,5),,,"Mount")))</f>
        <v xml:space="preserve"> </v>
      </c>
      <c r="N16" s="2879" t="s">
        <v>1845</v>
      </c>
      <c r="O16" s="2880"/>
      <c r="P16" s="2880"/>
      <c r="Q16" s="2878"/>
      <c r="R16" s="1585"/>
      <c r="S16" s="1586">
        <v>22</v>
      </c>
      <c r="T16" s="1586"/>
      <c r="U16" s="1586"/>
      <c r="V16" s="1587"/>
    </row>
    <row r="17" spans="1:24" ht="15.95" customHeight="1">
      <c r="A17" s="2834" t="s">
        <v>4824</v>
      </c>
      <c r="B17" s="2835"/>
      <c r="C17" s="2836"/>
      <c r="D17" s="2882" t="str">
        <f>IF(Magick!W6=28," ",SQRT(N4))</f>
        <v xml:space="preserve"> </v>
      </c>
      <c r="E17" s="2883"/>
      <c r="F17" s="2884"/>
      <c r="G17" s="2837"/>
      <c r="H17" s="2838"/>
      <c r="I17" s="2839"/>
      <c r="J17" s="2847" t="s">
        <v>2968</v>
      </c>
      <c r="K17" s="2848"/>
      <c r="L17" s="133" t="s">
        <v>2966</v>
      </c>
      <c r="M17" s="446" t="str">
        <f ca="1">IF(Magick!W6=28," ",INDIRECT(ADDRESS(127,VLOOKUP(Magick!$W$6,Mount!$U$166:$Y$193,5),,,"Mount")))</f>
        <v xml:space="preserve"> </v>
      </c>
      <c r="N17" s="2879" t="s">
        <v>2975</v>
      </c>
      <c r="O17" s="2880"/>
      <c r="P17" s="2880"/>
      <c r="Q17" s="2878"/>
      <c r="R17" s="1572"/>
      <c r="S17" s="1573"/>
      <c r="T17" s="1573"/>
      <c r="U17" s="1573"/>
      <c r="V17" s="1574"/>
    </row>
    <row r="18" spans="1:24" ht="12.75" customHeight="1">
      <c r="A18" s="1430" t="s">
        <v>490</v>
      </c>
      <c r="B18" s="1431"/>
      <c r="C18" s="1432"/>
      <c r="D18" s="1318" t="str">
        <f>IF(Magick!W6=28," ",IF('Main Creation Page'!C19=10,D8+3,IF('Main Creation Page'!C19=9,D8+2,IF('Main Creation Page'!C19&gt;6,D8+1,IF('Main Creation Page'!C19&gt;3,D8,IF('Main Creation Page'!C19=3,D8-1,IF('Main Creation Page'!C19=2,D8-2,D8-3)))))))</f>
        <v xml:space="preserve"> </v>
      </c>
      <c r="E18" s="1420"/>
      <c r="F18" s="1421"/>
      <c r="G18" s="2837" t="str">
        <f>IF(Magick!W6=28," ",VLOOKUP(D18,'System Lookups'!$F$4:$G$27,2))</f>
        <v xml:space="preserve"> </v>
      </c>
      <c r="H18" s="2838"/>
      <c r="I18" s="2839"/>
      <c r="J18" s="2849"/>
      <c r="K18" s="2850"/>
      <c r="L18" s="131" t="s">
        <v>2967</v>
      </c>
      <c r="M18" s="446" t="str">
        <f ca="1">IF(Magick!W6=28," ",INDIRECT(ADDRESS(128,VLOOKUP(Magick!$W$6,Mount!$U$166:$Y$193,5),,,"Mount")))</f>
        <v xml:space="preserve"> </v>
      </c>
      <c r="N18" s="2879" t="s">
        <v>518</v>
      </c>
      <c r="O18" s="2880"/>
      <c r="P18" s="2880"/>
      <c r="Q18" s="2878"/>
      <c r="R18" s="1585"/>
      <c r="S18" s="1586"/>
      <c r="T18" s="1586"/>
      <c r="U18" s="1586"/>
      <c r="V18" s="1586"/>
      <c r="W18" s="1296"/>
    </row>
    <row r="19" spans="1:24">
      <c r="A19" s="2830" t="s">
        <v>3992</v>
      </c>
      <c r="B19" s="2831"/>
      <c r="C19" s="2831"/>
      <c r="D19" s="2831"/>
      <c r="E19" s="2831"/>
      <c r="F19" s="2831"/>
      <c r="G19" s="2831"/>
      <c r="H19" s="2831"/>
      <c r="I19" s="2831"/>
      <c r="J19" s="2831"/>
      <c r="K19" s="2831"/>
      <c r="L19" s="2831"/>
      <c r="M19" s="2831"/>
      <c r="N19" s="2831"/>
      <c r="O19" s="2831"/>
      <c r="P19" s="2831"/>
      <c r="Q19" s="2831"/>
      <c r="R19" s="2831"/>
      <c r="S19" s="2831"/>
      <c r="T19" s="2831"/>
      <c r="U19" s="2831"/>
      <c r="V19" s="2873"/>
      <c r="W19" s="1311"/>
    </row>
    <row r="20" spans="1:24">
      <c r="A20" s="2845" t="s">
        <v>4825</v>
      </c>
      <c r="B20" s="2845"/>
      <c r="C20" s="2846"/>
      <c r="D20" s="2819" t="s">
        <v>706</v>
      </c>
      <c r="E20" s="2819"/>
      <c r="F20" s="2819"/>
      <c r="G20" s="2819" t="s">
        <v>209</v>
      </c>
      <c r="H20" s="2819"/>
      <c r="I20" s="2819"/>
      <c r="J20" s="2819" t="s">
        <v>2014</v>
      </c>
      <c r="K20" s="2819"/>
      <c r="L20" s="2819"/>
      <c r="M20" s="2819"/>
      <c r="N20" s="2820" t="s">
        <v>2971</v>
      </c>
      <c r="O20" s="2873"/>
      <c r="P20" s="2873"/>
      <c r="Q20" s="2873"/>
      <c r="R20" s="2873"/>
      <c r="S20" s="2881" t="s">
        <v>2970</v>
      </c>
      <c r="T20" s="1382"/>
      <c r="U20" s="1382"/>
      <c r="V20" s="1382"/>
      <c r="W20" s="1311"/>
    </row>
    <row r="21" spans="1:24">
      <c r="A21" s="2833" t="s">
        <v>4168</v>
      </c>
      <c r="B21" s="2833"/>
      <c r="C21" s="2506"/>
      <c r="D21" s="2837" t="str">
        <f>IF(Magick!W6=28," ",+J21-G21)</f>
        <v xml:space="preserve"> </v>
      </c>
      <c r="E21" s="2838"/>
      <c r="F21" s="2839"/>
      <c r="G21" s="2837" t="str">
        <f ca="1">IF(Magick!W6=28," ",INDIRECT(ADDRESS(138,VLOOKUP(Magick!$W$6,Mount!$U$166:$Y$193,5),,,"Mount")))</f>
        <v xml:space="preserve"> </v>
      </c>
      <c r="H21" s="2838"/>
      <c r="I21" s="2839"/>
      <c r="J21" s="2837" t="str">
        <f ca="1">IF(Magick!W6=28," ",INDIRECT(ADDRESS(139,VLOOKUP(Magick!$W$6,Mount!$U$166:$Y$193,5),,,"Mount")))</f>
        <v xml:space="preserve"> </v>
      </c>
      <c r="K21" s="2838"/>
      <c r="L21" s="2838"/>
      <c r="M21" s="2839"/>
      <c r="N21" s="1585"/>
      <c r="O21" s="1586"/>
      <c r="P21" s="1586"/>
      <c r="Q21" s="1586"/>
      <c r="R21" s="1587"/>
      <c r="S21" s="1585"/>
      <c r="T21" s="1586"/>
      <c r="U21" s="1586"/>
      <c r="V21" s="1586"/>
      <c r="W21" s="1587"/>
    </row>
    <row r="22" spans="1:24">
      <c r="A22" s="2833" t="s">
        <v>4169</v>
      </c>
      <c r="B22" s="2833"/>
      <c r="C22" s="2506"/>
      <c r="D22" s="2837" t="str">
        <f>IF(Magick!W6=28," ",+J22-G22)</f>
        <v xml:space="preserve"> </v>
      </c>
      <c r="E22" s="2838"/>
      <c r="F22" s="2839"/>
      <c r="G22" s="2837" t="str">
        <f ca="1">IF(Magick!W6=28," ",INDIRECT(ADDRESS(140,VLOOKUP(Magick!$W$6,Mount!$U$166:$Y$193,5),,,"Mount")))</f>
        <v xml:space="preserve"> </v>
      </c>
      <c r="H22" s="2838"/>
      <c r="I22" s="2839"/>
      <c r="J22" s="2837" t="str">
        <f ca="1">IF(Magick!W6=28," ",INDIRECT(ADDRESS(141,VLOOKUP(Magick!$W$6,Mount!$U$166:$Y$193,5),,,"Mount")))</f>
        <v xml:space="preserve"> </v>
      </c>
      <c r="K22" s="2838"/>
      <c r="L22" s="2838"/>
      <c r="M22" s="2839"/>
      <c r="N22" s="1585"/>
      <c r="O22" s="1586"/>
      <c r="P22" s="1586"/>
      <c r="Q22" s="1586"/>
      <c r="R22" s="1587"/>
      <c r="S22" s="1585"/>
      <c r="T22" s="1586"/>
      <c r="U22" s="1586"/>
      <c r="V22" s="1586"/>
      <c r="W22" s="1587"/>
    </row>
    <row r="23" spans="1:24">
      <c r="A23" s="2833" t="s">
        <v>2283</v>
      </c>
      <c r="B23" s="2833"/>
      <c r="C23" s="2506"/>
      <c r="D23" s="2837" t="str">
        <f>IF(Magick!W6=28," ",+J23-G23)</f>
        <v xml:space="preserve"> </v>
      </c>
      <c r="E23" s="2838"/>
      <c r="F23" s="2839"/>
      <c r="G23" s="2837" t="str">
        <f ca="1">IF(Magick!W6=28," ",INDIRECT(ADDRESS(142,VLOOKUP(Magick!$W$6,Mount!$U$166:$Y$193,5),,,"Mount")))</f>
        <v xml:space="preserve"> </v>
      </c>
      <c r="H23" s="2838"/>
      <c r="I23" s="2839"/>
      <c r="J23" s="2837" t="str">
        <f ca="1">IF(Magick!W6=28," ",INDIRECT(ADDRESS(143,VLOOKUP(Magick!$W$6,Mount!$U$166:$Y$193,5),,,"Mount")))</f>
        <v xml:space="preserve"> </v>
      </c>
      <c r="K23" s="2838"/>
      <c r="L23" s="2838"/>
      <c r="M23" s="2839"/>
      <c r="N23" s="1585"/>
      <c r="O23" s="1586"/>
      <c r="P23" s="1586"/>
      <c r="Q23" s="1586"/>
      <c r="R23" s="1587"/>
      <c r="S23" s="1585"/>
      <c r="T23" s="1586"/>
      <c r="U23" s="1586"/>
      <c r="V23" s="1586"/>
      <c r="W23" s="1587"/>
    </row>
    <row r="24" spans="1:24">
      <c r="A24" s="2833" t="s">
        <v>660</v>
      </c>
      <c r="B24" s="2833"/>
      <c r="C24" s="2506"/>
      <c r="D24" s="2837" t="str">
        <f>IF(Magick!W6=28," ",+J24-G24)</f>
        <v xml:space="preserve"> </v>
      </c>
      <c r="E24" s="2838"/>
      <c r="F24" s="2839"/>
      <c r="G24" s="2837" t="str">
        <f ca="1">IF(Magick!W6=28," ",INDIRECT(ADDRESS(132,VLOOKUP(Magick!$W$6,Mount!$U$166:$Y$193,5),,,"Mount")))</f>
        <v xml:space="preserve"> </v>
      </c>
      <c r="H24" s="2838"/>
      <c r="I24" s="2839"/>
      <c r="J24" s="2837" t="str">
        <f ca="1">IF(Magick!W6=28," ",INDIRECT(ADDRESS(133,VLOOKUP(Magick!$W$6,Mount!$U$166:$Y$193,5),,,"Mount")))</f>
        <v xml:space="preserve"> </v>
      </c>
      <c r="K24" s="2838"/>
      <c r="L24" s="2838"/>
      <c r="M24" s="2839"/>
      <c r="N24" s="1585"/>
      <c r="O24" s="1586"/>
      <c r="P24" s="1586"/>
      <c r="Q24" s="1586"/>
      <c r="R24" s="1587"/>
      <c r="S24" s="1585"/>
      <c r="T24" s="1586"/>
      <c r="U24" s="1586"/>
      <c r="V24" s="1586"/>
      <c r="W24" s="1587"/>
    </row>
    <row r="25" spans="1:24">
      <c r="A25" s="2833" t="s">
        <v>661</v>
      </c>
      <c r="B25" s="2833"/>
      <c r="C25" s="2506"/>
      <c r="D25" s="2837" t="str">
        <f>IF(Magick!W6=28," ",+J25-G25)</f>
        <v xml:space="preserve"> </v>
      </c>
      <c r="E25" s="2838"/>
      <c r="F25" s="2839"/>
      <c r="G25" s="2837" t="str">
        <f ca="1">IF(Magick!W6=28," ",INDIRECT(ADDRESS(134,VLOOKUP(Magick!$W$6,Mount!$U$166:$Y$193,5),,,"Mount")))</f>
        <v xml:space="preserve"> </v>
      </c>
      <c r="H25" s="2838"/>
      <c r="I25" s="2839"/>
      <c r="J25" s="2837" t="str">
        <f ca="1">IF(Magick!W6=28," ",INDIRECT(ADDRESS(135,VLOOKUP(Magick!$W$6,Mount!$U$166:$Y$193,5),,,"Mount")))</f>
        <v xml:space="preserve"> </v>
      </c>
      <c r="K25" s="2838"/>
      <c r="L25" s="2838"/>
      <c r="M25" s="2839"/>
      <c r="N25" s="1585"/>
      <c r="O25" s="1586"/>
      <c r="P25" s="1586"/>
      <c r="Q25" s="1586"/>
      <c r="R25" s="1587"/>
      <c r="S25" s="1585"/>
      <c r="T25" s="1586"/>
      <c r="U25" s="1586"/>
      <c r="V25" s="1586"/>
      <c r="W25" s="1587"/>
    </row>
    <row r="26" spans="1:24">
      <c r="A26" s="2833" t="s">
        <v>662</v>
      </c>
      <c r="B26" s="2833"/>
      <c r="C26" s="2506"/>
      <c r="D26" s="2837" t="str">
        <f>IF(Magick!W6=28," ",+J26-G26)</f>
        <v xml:space="preserve"> </v>
      </c>
      <c r="E26" s="2838"/>
      <c r="F26" s="2839"/>
      <c r="G26" s="2837" t="str">
        <f ca="1">IF(Magick!W6=28," ",IF(Skills!$AA$736&gt;INDIRECT(ADDRESS(136,VLOOKUP(Magick!$W$6,Mount!$U$166:$Y$193,5),,,"Mount")),Skills!$AA$736,INDIRECT(ADDRESS(136,VLOOKUP(Magick!$W$6,Mount!$U$166:$Y$193,5),,,"Mount"))))</f>
        <v xml:space="preserve"> </v>
      </c>
      <c r="H26" s="2838"/>
      <c r="I26" s="2839"/>
      <c r="J26" s="2837" t="str">
        <f ca="1">IF(Magick!W6=28," ",IF(Skills!$AA$736&gt;INDIRECT(ADDRESS(136,VLOOKUP(Magick!$W$6,Mount!$U$166:$Y$193,5),,,"Mount")),Skills!$AA$736+(INDIRECT(ADDRESS(137,VLOOKUP(Magick!$W$6,Mount!$U$166:$Y$193,5),,,"Mount"))-INDIRECT(ADDRESS(136,VLOOKUP(Magick!$W$6,Mount!$U$166:$Y$193,5),,,"Mount"))),INDIRECT(ADDRESS(137,VLOOKUP(Magick!$W$6,Mount!$U$166:$Y$193,5),,,"Mount"))))</f>
        <v xml:space="preserve"> </v>
      </c>
      <c r="K26" s="2838"/>
      <c r="L26" s="2838"/>
      <c r="M26" s="2839"/>
      <c r="N26" s="2887"/>
      <c r="O26" s="2888"/>
      <c r="P26" s="2888"/>
      <c r="Q26" s="2888"/>
      <c r="R26" s="2889"/>
      <c r="S26" s="1585"/>
      <c r="T26" s="1586"/>
      <c r="U26" s="1586"/>
      <c r="V26" s="1586"/>
      <c r="W26" s="1587"/>
    </row>
    <row r="27" spans="1:24">
      <c r="A27" s="2840" t="s">
        <v>2625</v>
      </c>
      <c r="B27" s="2841"/>
      <c r="C27" s="2853"/>
      <c r="D27" s="2840" t="s">
        <v>5067</v>
      </c>
      <c r="E27" s="1722"/>
      <c r="F27" s="2840" t="s">
        <v>3805</v>
      </c>
      <c r="G27" s="1722"/>
      <c r="H27" s="2840" t="s">
        <v>1333</v>
      </c>
      <c r="I27" s="1722"/>
      <c r="J27" s="2840" t="s">
        <v>4740</v>
      </c>
      <c r="K27" s="1722"/>
      <c r="L27" s="2840" t="s">
        <v>2005</v>
      </c>
      <c r="M27" s="1722"/>
      <c r="N27" s="2840" t="s">
        <v>3604</v>
      </c>
      <c r="O27" s="1722"/>
      <c r="P27" s="2840" t="s">
        <v>3605</v>
      </c>
      <c r="Q27" s="1722"/>
      <c r="R27" s="2859" t="s">
        <v>664</v>
      </c>
      <c r="S27" s="1721"/>
      <c r="T27" s="1722"/>
      <c r="U27" s="2840" t="s">
        <v>3606</v>
      </c>
      <c r="V27" s="2878"/>
      <c r="W27" s="1296"/>
    </row>
    <row r="28" spans="1:24" ht="17.25" customHeight="1">
      <c r="A28" s="2816" t="str">
        <f>IF(Magick!W6=28," ","Animal Hide")</f>
        <v xml:space="preserve"> </v>
      </c>
      <c r="B28" s="2817"/>
      <c r="C28" s="2818"/>
      <c r="D28" s="1318" t="str">
        <f ca="1">IF(Magick!W6=28," ",INDIRECT(ADDRESS(155,VLOOKUP(Magick!$W$6,Mount!$U$166:$Y$193,5),,,"Mount")))</f>
        <v xml:space="preserve"> </v>
      </c>
      <c r="E28" s="1421"/>
      <c r="F28" s="1318" t="str">
        <f ca="1">IF(Magick!W6=28," ",INDIRECT(ADDRESS(156,VLOOKUP(Magick!$W$6,Mount!$U$166:$Y$193,5),,,"Mount")))</f>
        <v xml:space="preserve"> </v>
      </c>
      <c r="G28" s="1421"/>
      <c r="H28" s="1318" t="str">
        <f ca="1">IF(Magick!W6=28," ",INDIRECT(ADDRESS(157,VLOOKUP(Magick!$W$6,Mount!$U$166:$Y$193,5),,,"Mount")))</f>
        <v xml:space="preserve"> </v>
      </c>
      <c r="I28" s="1421"/>
      <c r="J28" s="1318" t="str">
        <f ca="1">IF(Magick!W6=28," ",INDIRECT(ADDRESS(158,VLOOKUP(Magick!$W$6,Mount!$U$166:$Y$193,5),,,"Mount")))</f>
        <v xml:space="preserve"> </v>
      </c>
      <c r="K28" s="1421"/>
      <c r="L28" s="1318" t="str">
        <f ca="1">IF(Magick!W6=28," ",INDIRECT(ADDRESS(159,VLOOKUP(Magick!$W$6,Mount!$U$166:$Y$193,5),,,"Mount")))</f>
        <v xml:space="preserve"> </v>
      </c>
      <c r="M28" s="1421"/>
      <c r="N28" s="1318" t="str">
        <f>IF(Magick!W6=28," ",VLOOKUP((VLOOKUP(2,Combat!$BQ$5:$CA$32,11)),Combat!$A$191:$R$230,18))</f>
        <v xml:space="preserve"> </v>
      </c>
      <c r="O28" s="1421"/>
      <c r="P28" s="1318" t="str">
        <f>IF(Magick!W6=28," ",VLOOKUP((VLOOKUP(2,Combat!$BQ$5:$CA$32,11)),Combat!$A$191:$R$230,17))</f>
        <v xml:space="preserve"> </v>
      </c>
      <c r="Q28" s="1421"/>
      <c r="R28" s="1318" t="str">
        <f>IF(Magick!W6=28," ",VLOOKUP((VLOOKUP(2,Combat!$BQ$5:$CA$32,11)),Combat!$A$191:$R$230,16))</f>
        <v xml:space="preserve"> </v>
      </c>
      <c r="S28" s="2856"/>
      <c r="T28" s="2857"/>
      <c r="U28" s="1323" t="str">
        <f ca="1">IF(Magick!W6=28," ",INDIRECT(ADDRESS(154,VLOOKUP(Magick!$W$6,Mount!$U$166:$Y$193,5),,,"Mount")))</f>
        <v xml:space="preserve"> </v>
      </c>
      <c r="V28" s="1441"/>
      <c r="W28" s="1442"/>
    </row>
    <row r="29" spans="1:24" ht="12.75" customHeight="1">
      <c r="A29" s="2820" t="s">
        <v>665</v>
      </c>
      <c r="B29" s="2873"/>
      <c r="C29" s="2873"/>
      <c r="D29" s="2873"/>
      <c r="E29" s="2873"/>
      <c r="F29" s="2873"/>
      <c r="G29" s="2873"/>
      <c r="H29" s="2873"/>
      <c r="I29" s="2873"/>
      <c r="J29" s="2873"/>
      <c r="K29" s="2873"/>
      <c r="L29" s="2873"/>
      <c r="M29" s="2873"/>
      <c r="N29" s="2873"/>
      <c r="O29" s="2873"/>
      <c r="P29" s="2873"/>
      <c r="Q29" s="2873"/>
      <c r="R29" s="2873"/>
      <c r="S29" s="2873"/>
      <c r="T29" s="2873"/>
      <c r="U29" s="2873"/>
      <c r="V29" s="2873"/>
      <c r="W29" s="2874"/>
    </row>
    <row r="30" spans="1:24" ht="12.75" customHeight="1">
      <c r="A30" s="2900" t="s">
        <v>2977</v>
      </c>
      <c r="B30" s="2901"/>
      <c r="C30" s="2901"/>
      <c r="D30" s="2901"/>
      <c r="E30" s="2902"/>
      <c r="F30" s="2913" t="str">
        <f>IF(Magick!W6=28," ",1*ROUNDUP(Magick!$C$3,0))</f>
        <v xml:space="preserve"> </v>
      </c>
      <c r="G30" s="1298"/>
      <c r="H30" s="1298"/>
      <c r="I30" s="2914" t="s">
        <v>1189</v>
      </c>
      <c r="J30" s="2915"/>
      <c r="K30" s="2151"/>
      <c r="L30" s="2914" t="s">
        <v>1188</v>
      </c>
      <c r="M30" s="1387"/>
      <c r="N30" s="1387"/>
      <c r="O30" s="2914" t="s">
        <v>669</v>
      </c>
      <c r="P30" s="2915"/>
      <c r="Q30" s="2915"/>
      <c r="R30" s="2915"/>
      <c r="S30" s="2915"/>
      <c r="T30" s="2915"/>
      <c r="U30" s="2915"/>
      <c r="V30" s="2915"/>
      <c r="W30" s="2151"/>
    </row>
    <row r="31" spans="1:24" ht="12.75" customHeight="1">
      <c r="A31" s="2819" t="s">
        <v>666</v>
      </c>
      <c r="B31" s="2819"/>
      <c r="C31" s="2820" t="s">
        <v>667</v>
      </c>
      <c r="D31" s="2821"/>
      <c r="E31" s="2822"/>
      <c r="F31" s="2881" t="s">
        <v>3535</v>
      </c>
      <c r="G31" s="2911"/>
      <c r="H31" s="2912"/>
      <c r="I31" s="1534"/>
      <c r="J31" s="1535"/>
      <c r="K31" s="1536"/>
      <c r="L31" s="1351"/>
      <c r="M31" s="1175"/>
      <c r="N31" s="1175"/>
      <c r="O31" s="2916"/>
      <c r="P31" s="2917"/>
      <c r="Q31" s="2917"/>
      <c r="R31" s="2917"/>
      <c r="S31" s="2917"/>
      <c r="T31" s="2917"/>
      <c r="U31" s="2917"/>
      <c r="V31" s="2917"/>
      <c r="W31" s="2154"/>
    </row>
    <row r="32" spans="1:24">
      <c r="A32" s="2823" t="str">
        <f>IF(Magick!W6=28," ","Bite/Beak")</f>
        <v xml:space="preserve"> </v>
      </c>
      <c r="B32" s="2823"/>
      <c r="C32" s="2813"/>
      <c r="D32" s="2810"/>
      <c r="E32" s="2811"/>
      <c r="F32" s="2813"/>
      <c r="G32" s="2810"/>
      <c r="H32" s="2811"/>
      <c r="I32" s="2882" t="str">
        <f>IF(Magick!W6=28," ",+F32+$F$30)</f>
        <v xml:space="preserve"> </v>
      </c>
      <c r="J32" s="2810"/>
      <c r="K32" s="2811"/>
      <c r="L32" s="2813"/>
      <c r="M32" s="2810"/>
      <c r="N32" s="2811"/>
      <c r="O32" s="2813"/>
      <c r="P32" s="2810"/>
      <c r="Q32" s="2810"/>
      <c r="R32" s="2810"/>
      <c r="S32" s="2810"/>
      <c r="T32" s="2810"/>
      <c r="U32" s="2810"/>
      <c r="V32" s="2810"/>
      <c r="W32" s="2811"/>
      <c r="X32" s="160"/>
    </row>
    <row r="33" spans="1:23">
      <c r="A33" s="2823" t="str">
        <f>IF(Magick!W6=28," ","Claw/Hand/Talon")</f>
        <v xml:space="preserve"> </v>
      </c>
      <c r="B33" s="2823"/>
      <c r="C33" s="2813"/>
      <c r="D33" s="2810"/>
      <c r="E33" s="2811"/>
      <c r="F33" s="2813"/>
      <c r="G33" s="2810"/>
      <c r="H33" s="2811"/>
      <c r="I33" s="2882" t="str">
        <f>IF(Magick!W6=28," ",+F33+$F$30)</f>
        <v xml:space="preserve"> </v>
      </c>
      <c r="J33" s="2810"/>
      <c r="K33" s="2811"/>
      <c r="L33" s="2813"/>
      <c r="M33" s="2810"/>
      <c r="N33" s="2811"/>
      <c r="O33" s="2813"/>
      <c r="P33" s="2810"/>
      <c r="Q33" s="2810"/>
      <c r="R33" s="2810"/>
      <c r="S33" s="2810"/>
      <c r="T33" s="2810"/>
      <c r="U33" s="2810"/>
      <c r="V33" s="2810"/>
      <c r="W33" s="2811"/>
    </row>
    <row r="34" spans="1:23">
      <c r="A34" s="2823" t="str">
        <f>IF(Magick!W6=28," ",IF(Magick!W6&lt;26," ","Magic"))</f>
        <v xml:space="preserve"> </v>
      </c>
      <c r="B34" s="2823"/>
      <c r="C34" s="2813"/>
      <c r="D34" s="2810"/>
      <c r="E34" s="2811"/>
      <c r="F34" s="2813"/>
      <c r="G34" s="2810"/>
      <c r="H34" s="2811"/>
      <c r="I34" s="2882" t="str">
        <f>IF(Magick!W6=28," ",+F34+$F$30)</f>
        <v xml:space="preserve"> </v>
      </c>
      <c r="J34" s="2810"/>
      <c r="K34" s="2811"/>
      <c r="L34" s="2813"/>
      <c r="M34" s="2810"/>
      <c r="N34" s="2811"/>
      <c r="O34" s="2813"/>
      <c r="P34" s="2810"/>
      <c r="Q34" s="2810"/>
      <c r="R34" s="2810"/>
      <c r="S34" s="2810"/>
      <c r="T34" s="2810"/>
      <c r="U34" s="2810"/>
      <c r="V34" s="2810"/>
      <c r="W34" s="2811"/>
    </row>
    <row r="35" spans="1:23">
      <c r="A35" s="2823" t="str">
        <f>IF(Magick!W6=28," ",IF(Magick!W6&lt;26," ","Weapon"))</f>
        <v xml:space="preserve"> </v>
      </c>
      <c r="B35" s="2823"/>
      <c r="C35" s="2813"/>
      <c r="D35" s="2810"/>
      <c r="E35" s="2811"/>
      <c r="F35" s="2813"/>
      <c r="G35" s="2810"/>
      <c r="H35" s="2811"/>
      <c r="I35" s="2882" t="str">
        <f>IF(Magick!W6=28," ",+F35+$F$30)</f>
        <v xml:space="preserve"> </v>
      </c>
      <c r="J35" s="2810"/>
      <c r="K35" s="2811"/>
      <c r="L35" s="2813"/>
      <c r="M35" s="2810"/>
      <c r="N35" s="2811"/>
      <c r="O35" s="2813"/>
      <c r="P35" s="2810"/>
      <c r="Q35" s="2810"/>
      <c r="R35" s="2810"/>
      <c r="S35" s="2810"/>
      <c r="T35" s="2810"/>
      <c r="U35" s="2810"/>
      <c r="V35" s="2810"/>
      <c r="W35" s="2811"/>
    </row>
    <row r="36" spans="1:23" ht="12.75" customHeight="1">
      <c r="A36" s="2827" t="s">
        <v>2973</v>
      </c>
      <c r="B36" s="1382"/>
      <c r="C36" s="1382"/>
      <c r="D36" s="1382"/>
      <c r="E36" s="1382"/>
      <c r="F36" s="1382"/>
      <c r="G36" s="1382"/>
      <c r="H36" s="1382"/>
      <c r="I36" s="1382"/>
      <c r="J36" s="1382"/>
      <c r="K36" s="1382"/>
      <c r="L36" s="1382"/>
      <c r="M36" s="1382"/>
      <c r="N36" s="1382"/>
      <c r="O36" s="1382"/>
      <c r="P36" s="1382"/>
      <c r="Q36" s="1382"/>
      <c r="R36" s="1382"/>
      <c r="S36" s="1382"/>
      <c r="T36" s="1382"/>
      <c r="U36" s="1382"/>
      <c r="V36" s="1382"/>
      <c r="W36" s="1311"/>
    </row>
    <row r="37" spans="1:23">
      <c r="A37" s="38"/>
      <c r="B37" s="2828" t="str">
        <f ca="1">IF(Magick!W6=28," ",IF(INDIRECT(ADDRESS(119,VLOOKUP(Magick!$W$6,Mount!$U$166:$Y$193,5),,,"Mount"))="S","Small","Large"))</f>
        <v xml:space="preserve"> </v>
      </c>
      <c r="C37" s="2829"/>
      <c r="D37" s="2824" t="s">
        <v>1739</v>
      </c>
      <c r="E37" s="1366"/>
      <c r="F37" s="1366"/>
      <c r="G37" s="2825" t="str">
        <f>IF(Magick!W6=28," ",'Main Creation Page'!G13-(0.02*L7))</f>
        <v xml:space="preserve"> </v>
      </c>
      <c r="H37" s="2826"/>
      <c r="I37" s="2812"/>
      <c r="J37" s="2135"/>
      <c r="K37" s="2135"/>
      <c r="L37" s="2135"/>
      <c r="M37" s="2135"/>
      <c r="N37" s="2135"/>
      <c r="O37" s="2135"/>
      <c r="P37" s="2135"/>
      <c r="Q37" s="2135"/>
      <c r="R37" s="2135"/>
      <c r="S37" s="2135"/>
      <c r="T37" s="2135"/>
      <c r="U37" s="2135"/>
      <c r="V37" s="2135"/>
      <c r="W37" s="2136"/>
    </row>
    <row r="38" spans="1:23">
      <c r="A38" s="2824" t="s">
        <v>2978</v>
      </c>
      <c r="B38" s="1366"/>
      <c r="C38" s="1366"/>
      <c r="D38" s="2814" t="str">
        <f>IF(Magick!W6=28," ",+INT(L8/2))</f>
        <v xml:space="preserve"> </v>
      </c>
      <c r="E38" s="2815"/>
      <c r="F38" s="2136"/>
      <c r="G38" s="1498"/>
      <c r="H38" s="1296"/>
      <c r="I38" s="2812"/>
      <c r="J38" s="2135"/>
      <c r="K38" s="2135"/>
      <c r="L38" s="2135"/>
      <c r="M38" s="2135"/>
      <c r="N38" s="2135"/>
      <c r="O38" s="2135"/>
      <c r="P38" s="2135"/>
      <c r="Q38" s="2135"/>
      <c r="R38" s="2135"/>
      <c r="S38" s="2135"/>
      <c r="T38" s="2135"/>
      <c r="U38" s="2135"/>
      <c r="V38" s="2135"/>
      <c r="W38" s="2136"/>
    </row>
    <row r="39" spans="1:23">
      <c r="A39" s="2809"/>
      <c r="B39" s="2909"/>
      <c r="C39" s="2909"/>
      <c r="D39" s="2909"/>
      <c r="E39" s="2909"/>
      <c r="F39" s="2909"/>
      <c r="G39" s="2909"/>
      <c r="H39" s="2910"/>
      <c r="I39" s="2812"/>
      <c r="J39" s="2135"/>
      <c r="K39" s="2135"/>
      <c r="L39" s="2135"/>
      <c r="M39" s="2135"/>
      <c r="N39" s="2135"/>
      <c r="O39" s="2135"/>
      <c r="P39" s="2135"/>
      <c r="Q39" s="2135"/>
      <c r="R39" s="2135"/>
      <c r="S39" s="2135"/>
      <c r="T39" s="2135"/>
      <c r="U39" s="2135"/>
      <c r="V39" s="2135"/>
      <c r="W39" s="2136"/>
    </row>
    <row r="40" spans="1:23">
      <c r="A40" s="2809"/>
      <c r="B40" s="2810"/>
      <c r="C40" s="2810"/>
      <c r="D40" s="2810"/>
      <c r="E40" s="2810"/>
      <c r="F40" s="2810"/>
      <c r="G40" s="2810"/>
      <c r="H40" s="2811"/>
      <c r="I40" s="2812"/>
      <c r="J40" s="2135"/>
      <c r="K40" s="2135"/>
      <c r="L40" s="2135"/>
      <c r="M40" s="2135"/>
      <c r="N40" s="2135"/>
      <c r="O40" s="2135"/>
      <c r="P40" s="2135"/>
      <c r="Q40" s="2135"/>
      <c r="R40" s="2135"/>
      <c r="S40" s="2135"/>
      <c r="T40" s="2135"/>
      <c r="U40" s="2135"/>
      <c r="V40" s="2135"/>
      <c r="W40" s="2136"/>
    </row>
    <row r="41" spans="1:23">
      <c r="A41" s="2809"/>
      <c r="B41" s="2810"/>
      <c r="C41" s="2810"/>
      <c r="D41" s="2810"/>
      <c r="E41" s="2810"/>
      <c r="F41" s="2810"/>
      <c r="G41" s="2810"/>
      <c r="H41" s="2811"/>
      <c r="I41" s="2812"/>
      <c r="J41" s="2135"/>
      <c r="K41" s="2135"/>
      <c r="L41" s="2135"/>
      <c r="M41" s="2135"/>
      <c r="N41" s="2135"/>
      <c r="O41" s="2135"/>
      <c r="P41" s="2135"/>
      <c r="Q41" s="2135"/>
      <c r="R41" s="2135"/>
      <c r="S41" s="2135"/>
      <c r="T41" s="2135"/>
      <c r="U41" s="2135"/>
      <c r="V41" s="2135"/>
      <c r="W41" s="2136"/>
    </row>
    <row r="42" spans="1:23">
      <c r="A42" s="2809"/>
      <c r="B42" s="2810"/>
      <c r="C42" s="2810"/>
      <c r="D42" s="2810"/>
      <c r="E42" s="2810"/>
      <c r="F42" s="2810"/>
      <c r="G42" s="2810"/>
      <c r="H42" s="2811"/>
      <c r="I42" s="2812"/>
      <c r="J42" s="2135"/>
      <c r="K42" s="2135"/>
      <c r="L42" s="2135"/>
      <c r="M42" s="2135"/>
      <c r="N42" s="2135"/>
      <c r="O42" s="2135"/>
      <c r="P42" s="2135"/>
      <c r="Q42" s="2135"/>
      <c r="R42" s="2135"/>
      <c r="S42" s="2135"/>
      <c r="T42" s="2135"/>
      <c r="U42" s="2135"/>
      <c r="V42" s="2135"/>
      <c r="W42" s="2136"/>
    </row>
    <row r="43" spans="1:23">
      <c r="A43" s="2809"/>
      <c r="B43" s="2810"/>
      <c r="C43" s="2810"/>
      <c r="D43" s="2810"/>
      <c r="E43" s="2810"/>
      <c r="F43" s="2810"/>
      <c r="G43" s="2810"/>
      <c r="H43" s="2811"/>
      <c r="I43" s="2812"/>
      <c r="J43" s="2135"/>
      <c r="K43" s="2135"/>
      <c r="L43" s="2135"/>
      <c r="M43" s="2135"/>
      <c r="N43" s="2135"/>
      <c r="O43" s="2135"/>
      <c r="P43" s="2135"/>
      <c r="Q43" s="2135"/>
      <c r="R43" s="2135"/>
      <c r="S43" s="2135"/>
      <c r="T43" s="2135"/>
      <c r="U43" s="2135"/>
      <c r="V43" s="2135"/>
      <c r="W43" s="2136"/>
    </row>
    <row r="44" spans="1:23">
      <c r="A44" s="2809"/>
      <c r="B44" s="2810"/>
      <c r="C44" s="2810"/>
      <c r="D44" s="2810"/>
      <c r="E44" s="2810"/>
      <c r="F44" s="2810"/>
      <c r="G44" s="2810"/>
      <c r="H44" s="2811"/>
      <c r="I44" s="2812"/>
      <c r="J44" s="2135"/>
      <c r="K44" s="2135"/>
      <c r="L44" s="2135"/>
      <c r="M44" s="2135"/>
      <c r="N44" s="2135"/>
      <c r="O44" s="2135"/>
      <c r="P44" s="2135"/>
      <c r="Q44" s="2135"/>
      <c r="R44" s="2135"/>
      <c r="S44" s="2135"/>
      <c r="T44" s="2135"/>
      <c r="U44" s="2135"/>
      <c r="V44" s="2135"/>
      <c r="W44" s="2136"/>
    </row>
    <row r="45" spans="1:23">
      <c r="A45" s="2809"/>
      <c r="B45" s="2810"/>
      <c r="C45" s="2810"/>
      <c r="D45" s="2810"/>
      <c r="E45" s="2810"/>
      <c r="F45" s="2810"/>
      <c r="G45" s="2810"/>
      <c r="H45" s="2811"/>
      <c r="I45" s="2812"/>
      <c r="J45" s="2135"/>
      <c r="K45" s="2135"/>
      <c r="L45" s="2135"/>
      <c r="M45" s="2135"/>
      <c r="N45" s="2135"/>
      <c r="O45" s="2135"/>
      <c r="P45" s="2135"/>
      <c r="Q45" s="2135"/>
      <c r="R45" s="2135"/>
      <c r="S45" s="2135"/>
      <c r="T45" s="2135"/>
      <c r="U45" s="2135"/>
      <c r="V45" s="2135"/>
      <c r="W45" s="2136"/>
    </row>
    <row r="46" spans="1:23">
      <c r="A46" s="2809"/>
      <c r="B46" s="2810"/>
      <c r="C46" s="2810"/>
      <c r="D46" s="2810"/>
      <c r="E46" s="2810"/>
      <c r="F46" s="2810"/>
      <c r="G46" s="2810"/>
      <c r="H46" s="2811"/>
      <c r="I46" s="2812"/>
      <c r="J46" s="2135"/>
      <c r="K46" s="2135"/>
      <c r="L46" s="2135"/>
      <c r="M46" s="2135"/>
      <c r="N46" s="2135"/>
      <c r="O46" s="2135"/>
      <c r="P46" s="2135"/>
      <c r="Q46" s="2135"/>
      <c r="R46" s="2135"/>
      <c r="S46" s="2135"/>
      <c r="T46" s="2135"/>
      <c r="U46" s="2135"/>
      <c r="V46" s="2135"/>
      <c r="W46" s="2136"/>
    </row>
    <row r="47" spans="1:23">
      <c r="A47" s="2809"/>
      <c r="B47" s="2810"/>
      <c r="C47" s="2810"/>
      <c r="D47" s="2810"/>
      <c r="E47" s="2810"/>
      <c r="F47" s="2810"/>
      <c r="G47" s="2810"/>
      <c r="H47" s="2811"/>
      <c r="I47" s="2812"/>
      <c r="J47" s="2135"/>
      <c r="K47" s="2135"/>
      <c r="L47" s="2135"/>
      <c r="M47" s="2135"/>
      <c r="N47" s="2135"/>
      <c r="O47" s="2135"/>
      <c r="P47" s="2135"/>
      <c r="Q47" s="2135"/>
      <c r="R47" s="2135"/>
      <c r="S47" s="2135"/>
      <c r="T47" s="2135"/>
      <c r="U47" s="2135"/>
      <c r="V47" s="2135"/>
      <c r="W47" s="2136"/>
    </row>
    <row r="48" spans="1:23">
      <c r="A48" s="2809"/>
      <c r="B48" s="2810"/>
      <c r="C48" s="2810"/>
      <c r="D48" s="2810"/>
      <c r="E48" s="2810"/>
      <c r="F48" s="2810"/>
      <c r="G48" s="2810"/>
      <c r="H48" s="2811"/>
      <c r="I48" s="2812"/>
      <c r="J48" s="2135"/>
      <c r="K48" s="2135"/>
      <c r="L48" s="2135"/>
      <c r="M48" s="2135"/>
      <c r="N48" s="2135"/>
      <c r="O48" s="2135"/>
      <c r="P48" s="2135"/>
      <c r="Q48" s="2135"/>
      <c r="R48" s="2135"/>
      <c r="S48" s="2135"/>
      <c r="T48" s="2135"/>
      <c r="U48" s="2135"/>
      <c r="V48" s="2135"/>
      <c r="W48" s="2136"/>
    </row>
    <row r="49" spans="1:23">
      <c r="A49" s="2809"/>
      <c r="B49" s="2810"/>
      <c r="C49" s="2810"/>
      <c r="D49" s="2810"/>
      <c r="E49" s="2810"/>
      <c r="F49" s="2810"/>
      <c r="G49" s="2810"/>
      <c r="H49" s="2811"/>
      <c r="I49" s="2812"/>
      <c r="J49" s="2135"/>
      <c r="K49" s="2135"/>
      <c r="L49" s="2135"/>
      <c r="M49" s="2135"/>
      <c r="N49" s="2135"/>
      <c r="O49" s="2135"/>
      <c r="P49" s="2135"/>
      <c r="Q49" s="2135"/>
      <c r="R49" s="2135"/>
      <c r="S49" s="2135"/>
      <c r="T49" s="2135"/>
      <c r="U49" s="2135"/>
      <c r="V49" s="2135"/>
      <c r="W49" s="2136"/>
    </row>
    <row r="50" spans="1:23">
      <c r="A50" s="2809"/>
      <c r="B50" s="2810"/>
      <c r="C50" s="2810"/>
      <c r="D50" s="2810"/>
      <c r="E50" s="2810"/>
      <c r="F50" s="2810"/>
      <c r="G50" s="2810"/>
      <c r="H50" s="2811"/>
      <c r="I50" s="2812"/>
      <c r="J50" s="2135"/>
      <c r="K50" s="2135"/>
      <c r="L50" s="2135"/>
      <c r="M50" s="2135"/>
      <c r="N50" s="2135"/>
      <c r="O50" s="2135"/>
      <c r="P50" s="2135"/>
      <c r="Q50" s="2135"/>
      <c r="R50" s="2135"/>
      <c r="S50" s="2135"/>
      <c r="T50" s="2135"/>
      <c r="U50" s="2135"/>
      <c r="V50" s="2135"/>
      <c r="W50" s="2136"/>
    </row>
    <row r="51" spans="1:23">
      <c r="A51" s="2809"/>
      <c r="B51" s="2810"/>
      <c r="C51" s="2810"/>
      <c r="D51" s="2810"/>
      <c r="E51" s="2810"/>
      <c r="F51" s="2810"/>
      <c r="G51" s="2810"/>
      <c r="H51" s="2811"/>
      <c r="I51" s="2812"/>
      <c r="J51" s="2135"/>
      <c r="K51" s="2135"/>
      <c r="L51" s="2135"/>
      <c r="M51" s="2135"/>
      <c r="N51" s="2135"/>
      <c r="O51" s="2135"/>
      <c r="P51" s="2135"/>
      <c r="Q51" s="2135"/>
      <c r="R51" s="2135"/>
      <c r="S51" s="2135"/>
      <c r="T51" s="2135"/>
      <c r="U51" s="2135"/>
      <c r="V51" s="2135"/>
      <c r="W51" s="2136"/>
    </row>
    <row r="52" spans="1:23">
      <c r="A52" s="2809"/>
      <c r="B52" s="2810"/>
      <c r="C52" s="2810"/>
      <c r="D52" s="2810"/>
      <c r="E52" s="2810"/>
      <c r="F52" s="2810"/>
      <c r="G52" s="2810"/>
      <c r="H52" s="2811"/>
      <c r="I52" s="2812"/>
      <c r="J52" s="2135"/>
      <c r="K52" s="2135"/>
      <c r="L52" s="2135"/>
      <c r="M52" s="2135"/>
      <c r="N52" s="2135"/>
      <c r="O52" s="2135"/>
      <c r="P52" s="2135"/>
      <c r="Q52" s="2135"/>
      <c r="R52" s="2135"/>
      <c r="S52" s="2135"/>
      <c r="T52" s="2135"/>
      <c r="U52" s="2135"/>
      <c r="V52" s="2135"/>
      <c r="W52" s="2136"/>
    </row>
    <row r="53" spans="1:23">
      <c r="A53" s="2809"/>
      <c r="B53" s="2810"/>
      <c r="C53" s="2810"/>
      <c r="D53" s="2810"/>
      <c r="E53" s="2810"/>
      <c r="F53" s="2810"/>
      <c r="G53" s="2810"/>
      <c r="H53" s="2811"/>
      <c r="I53" s="2812"/>
      <c r="J53" s="2135"/>
      <c r="K53" s="2135"/>
      <c r="L53" s="2135"/>
      <c r="M53" s="2135"/>
      <c r="N53" s="2135"/>
      <c r="O53" s="2135"/>
      <c r="P53" s="2135"/>
      <c r="Q53" s="2135"/>
      <c r="R53" s="2135"/>
      <c r="S53" s="2135"/>
      <c r="T53" s="2135"/>
      <c r="U53" s="2135"/>
      <c r="V53" s="2135"/>
      <c r="W53" s="2136"/>
    </row>
    <row r="54" spans="1:23">
      <c r="A54" s="2809"/>
      <c r="B54" s="2810"/>
      <c r="C54" s="2810"/>
      <c r="D54" s="2810"/>
      <c r="E54" s="2810"/>
      <c r="F54" s="2810"/>
      <c r="G54" s="2810"/>
      <c r="H54" s="2811"/>
      <c r="I54" s="2812"/>
      <c r="J54" s="2135"/>
      <c r="K54" s="2135"/>
      <c r="L54" s="2135"/>
      <c r="M54" s="2135"/>
      <c r="N54" s="2135"/>
      <c r="O54" s="2135"/>
      <c r="P54" s="2135"/>
      <c r="Q54" s="2135"/>
      <c r="R54" s="2135"/>
      <c r="S54" s="2135"/>
      <c r="T54" s="2135"/>
      <c r="U54" s="2135"/>
      <c r="V54" s="2135"/>
      <c r="W54" s="2136"/>
    </row>
    <row r="55" spans="1:23">
      <c r="A55" s="2809"/>
      <c r="B55" s="2810"/>
      <c r="C55" s="2810"/>
      <c r="D55" s="2810"/>
      <c r="E55" s="2810"/>
      <c r="F55" s="2810"/>
      <c r="G55" s="2810"/>
      <c r="H55" s="2811"/>
      <c r="I55" s="2812"/>
      <c r="J55" s="2135"/>
      <c r="K55" s="2135"/>
      <c r="L55" s="2135"/>
      <c r="M55" s="2135"/>
      <c r="N55" s="2135"/>
      <c r="O55" s="2135"/>
      <c r="P55" s="2135"/>
      <c r="Q55" s="2135"/>
      <c r="R55" s="2135"/>
      <c r="S55" s="2135"/>
      <c r="T55" s="2135"/>
      <c r="U55" s="2135"/>
      <c r="V55" s="2135"/>
      <c r="W55" s="2136"/>
    </row>
    <row r="56" spans="1:23">
      <c r="A56" s="2809"/>
      <c r="B56" s="2810"/>
      <c r="C56" s="2810"/>
      <c r="D56" s="2810"/>
      <c r="E56" s="2810"/>
      <c r="F56" s="2810"/>
      <c r="G56" s="2810"/>
      <c r="H56" s="2811"/>
      <c r="I56" s="2812"/>
      <c r="J56" s="2135"/>
      <c r="K56" s="2135"/>
      <c r="L56" s="2135"/>
      <c r="M56" s="2135"/>
      <c r="N56" s="2135"/>
      <c r="O56" s="2135"/>
      <c r="P56" s="2135"/>
      <c r="Q56" s="2135"/>
      <c r="R56" s="2135"/>
      <c r="S56" s="2135"/>
      <c r="T56" s="2135"/>
      <c r="U56" s="2135"/>
      <c r="V56" s="2135"/>
      <c r="W56" s="2136"/>
    </row>
  </sheetData>
  <mergeCells count="238">
    <mergeCell ref="O30:W31"/>
    <mergeCell ref="I34:K34"/>
    <mergeCell ref="L35:N35"/>
    <mergeCell ref="L34:N34"/>
    <mergeCell ref="L33:N33"/>
    <mergeCell ref="I33:K33"/>
    <mergeCell ref="I35:K35"/>
    <mergeCell ref="L30:N31"/>
    <mergeCell ref="O32:W32"/>
    <mergeCell ref="I2:K2"/>
    <mergeCell ref="L2:M2"/>
    <mergeCell ref="L3:M3"/>
    <mergeCell ref="L4:M4"/>
    <mergeCell ref="I4:K4"/>
    <mergeCell ref="B6:C6"/>
    <mergeCell ref="F31:H31"/>
    <mergeCell ref="H28:I28"/>
    <mergeCell ref="I32:K32"/>
    <mergeCell ref="F30:H30"/>
    <mergeCell ref="I30:K31"/>
    <mergeCell ref="F28:G28"/>
    <mergeCell ref="L32:N32"/>
    <mergeCell ref="A32:B32"/>
    <mergeCell ref="C32:E32"/>
    <mergeCell ref="F32:H32"/>
    <mergeCell ref="N28:O28"/>
    <mergeCell ref="L27:M27"/>
    <mergeCell ref="A29:W29"/>
    <mergeCell ref="H27:I27"/>
    <mergeCell ref="J27:K27"/>
    <mergeCell ref="P27:Q27"/>
    <mergeCell ref="N27:O27"/>
    <mergeCell ref="G26:I26"/>
    <mergeCell ref="A35:B35"/>
    <mergeCell ref="A39:H39"/>
    <mergeCell ref="A40:H40"/>
    <mergeCell ref="I43:W43"/>
    <mergeCell ref="A41:H41"/>
    <mergeCell ref="A42:H42"/>
    <mergeCell ref="I38:W38"/>
    <mergeCell ref="O35:W35"/>
    <mergeCell ref="I37:W37"/>
    <mergeCell ref="I39:W39"/>
    <mergeCell ref="I41:W41"/>
    <mergeCell ref="I40:W40"/>
    <mergeCell ref="I42:W42"/>
    <mergeCell ref="A1:W1"/>
    <mergeCell ref="B2:F2"/>
    <mergeCell ref="B3:F3"/>
    <mergeCell ref="R2:T2"/>
    <mergeCell ref="I3:K3"/>
    <mergeCell ref="U2:W2"/>
    <mergeCell ref="R3:T3"/>
    <mergeCell ref="U3:W3"/>
    <mergeCell ref="A30:E30"/>
    <mergeCell ref="J28:K28"/>
    <mergeCell ref="G8:I8"/>
    <mergeCell ref="G2:H2"/>
    <mergeCell ref="E6:F6"/>
    <mergeCell ref="R28:T28"/>
    <mergeCell ref="P28:Q28"/>
    <mergeCell ref="N25:R25"/>
    <mergeCell ref="N23:R23"/>
    <mergeCell ref="N2:Q2"/>
    <mergeCell ref="G3:H3"/>
    <mergeCell ref="J6:K6"/>
    <mergeCell ref="F27:G27"/>
    <mergeCell ref="L28:M28"/>
    <mergeCell ref="D27:E27"/>
    <mergeCell ref="D28:E28"/>
    <mergeCell ref="A52:H52"/>
    <mergeCell ref="A45:H45"/>
    <mergeCell ref="A46:H46"/>
    <mergeCell ref="A47:H47"/>
    <mergeCell ref="A50:H50"/>
    <mergeCell ref="A49:H49"/>
    <mergeCell ref="I56:W56"/>
    <mergeCell ref="A54:H54"/>
    <mergeCell ref="A55:H55"/>
    <mergeCell ref="A56:H56"/>
    <mergeCell ref="I54:W54"/>
    <mergeCell ref="I55:W55"/>
    <mergeCell ref="I48:W48"/>
    <mergeCell ref="I50:W50"/>
    <mergeCell ref="I52:W52"/>
    <mergeCell ref="I53:W53"/>
    <mergeCell ref="A53:H53"/>
    <mergeCell ref="I49:W49"/>
    <mergeCell ref="I51:W51"/>
    <mergeCell ref="A48:H48"/>
    <mergeCell ref="A51:H51"/>
    <mergeCell ref="I45:W45"/>
    <mergeCell ref="I46:W46"/>
    <mergeCell ref="I47:W47"/>
    <mergeCell ref="B4:F4"/>
    <mergeCell ref="L5:M5"/>
    <mergeCell ref="V5:W5"/>
    <mergeCell ref="G22:I22"/>
    <mergeCell ref="J26:M26"/>
    <mergeCell ref="N26:R26"/>
    <mergeCell ref="A25:C25"/>
    <mergeCell ref="R4:T4"/>
    <mergeCell ref="J9:K9"/>
    <mergeCell ref="L8:M8"/>
    <mergeCell ref="G11:I11"/>
    <mergeCell ref="D10:F10"/>
    <mergeCell ref="A11:C11"/>
    <mergeCell ref="A9:C9"/>
    <mergeCell ref="J22:M22"/>
    <mergeCell ref="S25:W25"/>
    <mergeCell ref="S26:W26"/>
    <mergeCell ref="J25:M25"/>
    <mergeCell ref="N13:W13"/>
    <mergeCell ref="N12:W12"/>
    <mergeCell ref="N11:W11"/>
    <mergeCell ref="J10:K12"/>
    <mergeCell ref="D7:F7"/>
    <mergeCell ref="N14:W14"/>
    <mergeCell ref="G10:I10"/>
    <mergeCell ref="D11:F11"/>
    <mergeCell ref="A27:C27"/>
    <mergeCell ref="A26:C26"/>
    <mergeCell ref="D26:F26"/>
    <mergeCell ref="U27:W27"/>
    <mergeCell ref="R27:T27"/>
    <mergeCell ref="N24:R24"/>
    <mergeCell ref="S23:W23"/>
    <mergeCell ref="S24:W24"/>
    <mergeCell ref="N21:R21"/>
    <mergeCell ref="N22:R22"/>
    <mergeCell ref="S22:W22"/>
    <mergeCell ref="N17:Q17"/>
    <mergeCell ref="N18:Q18"/>
    <mergeCell ref="N20:R20"/>
    <mergeCell ref="N15:Q15"/>
    <mergeCell ref="N16:Q16"/>
    <mergeCell ref="J15:K16"/>
    <mergeCell ref="A19:W19"/>
    <mergeCell ref="J21:M21"/>
    <mergeCell ref="R18:W18"/>
    <mergeCell ref="S20:W20"/>
    <mergeCell ref="D17:F17"/>
    <mergeCell ref="N3:Q3"/>
    <mergeCell ref="N4:Q4"/>
    <mergeCell ref="N5:Q5"/>
    <mergeCell ref="L7:M7"/>
    <mergeCell ref="J8:K8"/>
    <mergeCell ref="D8:F8"/>
    <mergeCell ref="D9:F9"/>
    <mergeCell ref="G9:I9"/>
    <mergeCell ref="J7:K7"/>
    <mergeCell ref="A5:K5"/>
    <mergeCell ref="Q8:S8"/>
    <mergeCell ref="O8:P8"/>
    <mergeCell ref="N7:O7"/>
    <mergeCell ref="G6:I6"/>
    <mergeCell ref="N6:W6"/>
    <mergeCell ref="L9:M12"/>
    <mergeCell ref="U8:W8"/>
    <mergeCell ref="N10:W10"/>
    <mergeCell ref="N9:W9"/>
    <mergeCell ref="Q7:S7"/>
    <mergeCell ref="U7:V7"/>
    <mergeCell ref="U4:W4"/>
    <mergeCell ref="R5:T5"/>
    <mergeCell ref="G4:H4"/>
    <mergeCell ref="S21:W21"/>
    <mergeCell ref="R17:V17"/>
    <mergeCell ref="R16:V16"/>
    <mergeCell ref="G18:I18"/>
    <mergeCell ref="G13:I13"/>
    <mergeCell ref="D16:F16"/>
    <mergeCell ref="A23:C23"/>
    <mergeCell ref="G23:I23"/>
    <mergeCell ref="J23:M23"/>
    <mergeCell ref="J24:M24"/>
    <mergeCell ref="D13:F13"/>
    <mergeCell ref="A14:C14"/>
    <mergeCell ref="G14:I14"/>
    <mergeCell ref="D14:F14"/>
    <mergeCell ref="A13:C13"/>
    <mergeCell ref="J13:K14"/>
    <mergeCell ref="G21:I21"/>
    <mergeCell ref="D24:F24"/>
    <mergeCell ref="G24:I24"/>
    <mergeCell ref="J20:M20"/>
    <mergeCell ref="J17:K18"/>
    <mergeCell ref="G16:I16"/>
    <mergeCell ref="G15:I15"/>
    <mergeCell ref="G20:I20"/>
    <mergeCell ref="A7:C7"/>
    <mergeCell ref="G7:I7"/>
    <mergeCell ref="A24:C24"/>
    <mergeCell ref="A10:C10"/>
    <mergeCell ref="D21:F21"/>
    <mergeCell ref="D12:F12"/>
    <mergeCell ref="G17:I17"/>
    <mergeCell ref="A8:C8"/>
    <mergeCell ref="G25:I25"/>
    <mergeCell ref="D22:F22"/>
    <mergeCell ref="D25:F25"/>
    <mergeCell ref="A12:C12"/>
    <mergeCell ref="G12:I12"/>
    <mergeCell ref="A18:C18"/>
    <mergeCell ref="A15:C15"/>
    <mergeCell ref="A16:C16"/>
    <mergeCell ref="A17:C17"/>
    <mergeCell ref="D15:F15"/>
    <mergeCell ref="A20:C20"/>
    <mergeCell ref="D23:F23"/>
    <mergeCell ref="D20:F20"/>
    <mergeCell ref="A22:C22"/>
    <mergeCell ref="A21:C21"/>
    <mergeCell ref="D18:F18"/>
    <mergeCell ref="A44:H44"/>
    <mergeCell ref="I44:W44"/>
    <mergeCell ref="G38:H38"/>
    <mergeCell ref="F35:H35"/>
    <mergeCell ref="D38:F38"/>
    <mergeCell ref="A28:C28"/>
    <mergeCell ref="A31:B31"/>
    <mergeCell ref="C31:E31"/>
    <mergeCell ref="F34:H34"/>
    <mergeCell ref="A34:B34"/>
    <mergeCell ref="C34:E34"/>
    <mergeCell ref="C33:E33"/>
    <mergeCell ref="A33:B33"/>
    <mergeCell ref="U28:W28"/>
    <mergeCell ref="F33:H33"/>
    <mergeCell ref="D37:F37"/>
    <mergeCell ref="G37:H37"/>
    <mergeCell ref="O33:W33"/>
    <mergeCell ref="O34:W34"/>
    <mergeCell ref="A36:W36"/>
    <mergeCell ref="A38:C38"/>
    <mergeCell ref="A43:H43"/>
    <mergeCell ref="B37:C37"/>
    <mergeCell ref="C35:E35"/>
  </mergeCells>
  <phoneticPr fontId="21" type="noConversion"/>
  <printOptions horizontalCentered="1"/>
  <pageMargins left="0.5" right="0.5" top="0.1" bottom="0.5" header="0.5" footer="0.5"/>
  <pageSetup orientation="portrait" horizontalDpi="96" verticalDpi="96" r:id="rId1"/>
  <headerFooter alignWithMargins="0">
    <oddFooter>&amp;CChivalry &amp; Sorcery: The Rebirth Mount Sheet ã  2003 Mystic Station Designs, LLC Chivalry &amp; SorceryÔ of BGD LTD.</oddFooter>
  </headerFooter>
  <legacyDrawing r:id="rId2"/>
</worksheet>
</file>

<file path=xl/worksheets/sheet15.xml><?xml version="1.0" encoding="utf-8"?>
<worksheet xmlns="http://schemas.openxmlformats.org/spreadsheetml/2006/main" xmlns:r="http://schemas.openxmlformats.org/officeDocument/2006/relationships">
  <sheetPr codeName="Sheet19"/>
  <dimension ref="A1:AT236"/>
  <sheetViews>
    <sheetView zoomScale="70" workbookViewId="0"/>
  </sheetViews>
  <sheetFormatPr defaultRowHeight="12.75"/>
  <cols>
    <col min="1" max="46" width="3.7109375" customWidth="1"/>
  </cols>
  <sheetData>
    <row r="1" spans="1:46" ht="8.1" customHeight="1">
      <c r="B1" t="s">
        <v>4606</v>
      </c>
      <c r="F1" t="s">
        <v>2273</v>
      </c>
      <c r="J1" t="s">
        <v>4836</v>
      </c>
      <c r="N1" t="s">
        <v>4837</v>
      </c>
      <c r="R1" t="s">
        <v>3747</v>
      </c>
      <c r="V1" t="s">
        <v>4653</v>
      </c>
      <c r="Z1" t="s">
        <v>4654</v>
      </c>
      <c r="AD1" t="s">
        <v>4658</v>
      </c>
      <c r="AE1" t="s">
        <v>4655</v>
      </c>
      <c r="AF1" t="s">
        <v>4656</v>
      </c>
      <c r="AG1" t="s">
        <v>4657</v>
      </c>
      <c r="AH1" t="s">
        <v>4154</v>
      </c>
      <c r="AI1" t="s">
        <v>4153</v>
      </c>
      <c r="AM1" t="s">
        <v>3484</v>
      </c>
      <c r="AQ1" t="s">
        <v>3485</v>
      </c>
    </row>
    <row r="2" spans="1:46" ht="8.1" customHeight="1">
      <c r="B2" t="s">
        <v>5025</v>
      </c>
      <c r="C2" t="s">
        <v>4833</v>
      </c>
      <c r="D2" t="s">
        <v>4834</v>
      </c>
      <c r="E2" t="s">
        <v>4835</v>
      </c>
      <c r="F2" t="s">
        <v>5025</v>
      </c>
      <c r="G2" t="s">
        <v>4833</v>
      </c>
      <c r="H2" t="s">
        <v>4834</v>
      </c>
      <c r="I2" t="s">
        <v>4835</v>
      </c>
      <c r="J2" t="s">
        <v>5025</v>
      </c>
      <c r="K2" t="s">
        <v>4833</v>
      </c>
      <c r="L2" t="s">
        <v>4834</v>
      </c>
      <c r="M2" t="s">
        <v>4835</v>
      </c>
      <c r="N2" t="s">
        <v>5025</v>
      </c>
      <c r="O2" t="s">
        <v>4833</v>
      </c>
      <c r="P2" t="s">
        <v>4834</v>
      </c>
      <c r="Q2" t="s">
        <v>4835</v>
      </c>
      <c r="R2" t="s">
        <v>5025</v>
      </c>
      <c r="S2" t="s">
        <v>4833</v>
      </c>
      <c r="T2" t="s">
        <v>4834</v>
      </c>
      <c r="U2" t="s">
        <v>4835</v>
      </c>
      <c r="V2" t="s">
        <v>5025</v>
      </c>
      <c r="W2" t="s">
        <v>4833</v>
      </c>
      <c r="X2" t="s">
        <v>4834</v>
      </c>
      <c r="Y2" t="s">
        <v>4835</v>
      </c>
      <c r="Z2" t="s">
        <v>5025</v>
      </c>
      <c r="AA2" t="s">
        <v>4833</v>
      </c>
      <c r="AB2" t="s">
        <v>4834</v>
      </c>
      <c r="AC2" t="s">
        <v>4835</v>
      </c>
      <c r="AD2" t="s">
        <v>5025</v>
      </c>
      <c r="AE2" t="s">
        <v>5025</v>
      </c>
      <c r="AF2" t="s">
        <v>5025</v>
      </c>
      <c r="AG2" t="s">
        <v>5025</v>
      </c>
      <c r="AH2" t="s">
        <v>5025</v>
      </c>
      <c r="AI2" t="s">
        <v>5025</v>
      </c>
      <c r="AJ2" t="s">
        <v>4833</v>
      </c>
      <c r="AK2" t="s">
        <v>4834</v>
      </c>
      <c r="AL2" t="s">
        <v>4835</v>
      </c>
      <c r="AM2" t="s">
        <v>5025</v>
      </c>
      <c r="AN2" t="s">
        <v>4833</v>
      </c>
      <c r="AO2" t="s">
        <v>4834</v>
      </c>
      <c r="AP2" t="s">
        <v>4835</v>
      </c>
      <c r="AQ2" t="s">
        <v>5025</v>
      </c>
      <c r="AR2" t="s">
        <v>4833</v>
      </c>
      <c r="AS2" t="s">
        <v>4834</v>
      </c>
      <c r="AT2" t="s">
        <v>4835</v>
      </c>
    </row>
    <row r="3" spans="1:46" ht="8.1" customHeight="1">
      <c r="A3" t="s">
        <v>3291</v>
      </c>
      <c r="B3">
        <v>10</v>
      </c>
      <c r="C3">
        <v>11</v>
      </c>
      <c r="D3">
        <v>12</v>
      </c>
      <c r="E3">
        <v>13</v>
      </c>
      <c r="F3">
        <v>12</v>
      </c>
      <c r="G3">
        <v>13</v>
      </c>
      <c r="H3">
        <v>14</v>
      </c>
      <c r="I3">
        <v>15</v>
      </c>
      <c r="J3">
        <v>14</v>
      </c>
      <c r="K3">
        <v>15</v>
      </c>
      <c r="L3">
        <v>16</v>
      </c>
      <c r="M3">
        <v>17</v>
      </c>
      <c r="N3">
        <v>18</v>
      </c>
      <c r="O3">
        <v>19</v>
      </c>
      <c r="P3">
        <v>21</v>
      </c>
      <c r="Q3">
        <v>22</v>
      </c>
      <c r="R3">
        <v>22</v>
      </c>
      <c r="S3">
        <v>24</v>
      </c>
      <c r="T3">
        <v>25</v>
      </c>
      <c r="U3">
        <v>25</v>
      </c>
      <c r="V3">
        <v>13</v>
      </c>
      <c r="W3">
        <v>14</v>
      </c>
      <c r="X3">
        <v>17</v>
      </c>
      <c r="Y3">
        <v>18</v>
      </c>
      <c r="Z3">
        <v>17</v>
      </c>
      <c r="AA3">
        <v>18</v>
      </c>
      <c r="AB3">
        <v>19</v>
      </c>
      <c r="AC3">
        <v>20</v>
      </c>
      <c r="AD3">
        <v>16</v>
      </c>
      <c r="AE3">
        <v>15</v>
      </c>
      <c r="AF3">
        <v>10</v>
      </c>
      <c r="AG3">
        <v>13</v>
      </c>
      <c r="AH3">
        <v>14</v>
      </c>
      <c r="AI3">
        <v>15</v>
      </c>
      <c r="AJ3">
        <v>16</v>
      </c>
      <c r="AK3">
        <v>16</v>
      </c>
      <c r="AL3">
        <v>16</v>
      </c>
      <c r="AM3">
        <v>24</v>
      </c>
      <c r="AN3">
        <v>25</v>
      </c>
      <c r="AO3">
        <v>26</v>
      </c>
      <c r="AP3">
        <v>27</v>
      </c>
      <c r="AQ3">
        <v>13</v>
      </c>
      <c r="AR3">
        <v>15</v>
      </c>
      <c r="AS3">
        <v>17</v>
      </c>
      <c r="AT3">
        <v>18</v>
      </c>
    </row>
    <row r="4" spans="1:46" ht="8.1" customHeight="1">
      <c r="A4" t="s">
        <v>3292</v>
      </c>
      <c r="B4">
        <f>VLOOKUP(B3,'System Lookups'!$F$4:$G$27,2)</f>
        <v>0.57999999999999996</v>
      </c>
      <c r="C4">
        <f>VLOOKUP(C3,'System Lookups'!$F$4:$G$27,2)</f>
        <v>0.62</v>
      </c>
      <c r="D4">
        <f>VLOOKUP(D3,'System Lookups'!$F$4:$G$27,2)</f>
        <v>0.66</v>
      </c>
      <c r="E4">
        <f>VLOOKUP(E3,'System Lookups'!$F$4:$G$27,2)</f>
        <v>0.7</v>
      </c>
      <c r="F4">
        <f>VLOOKUP(F3,'System Lookups'!$F$4:$G$27,2)</f>
        <v>0.66</v>
      </c>
      <c r="G4">
        <f>VLOOKUP(G3,'System Lookups'!$F$4:$G$27,2)</f>
        <v>0.7</v>
      </c>
      <c r="H4">
        <f>VLOOKUP(H3,'System Lookups'!$F$4:$G$27,2)</f>
        <v>0.73</v>
      </c>
      <c r="I4">
        <f>VLOOKUP(I3,'System Lookups'!$F$4:$G$27,2)</f>
        <v>0.76</v>
      </c>
      <c r="J4">
        <f>VLOOKUP(J3,'System Lookups'!$F$4:$G$27,2)</f>
        <v>0.73</v>
      </c>
      <c r="K4">
        <f>VLOOKUP(K3,'System Lookups'!$F$4:$G$27,2)</f>
        <v>0.76</v>
      </c>
      <c r="L4">
        <f>VLOOKUP(L3,'System Lookups'!$F$4:$G$27,2)</f>
        <v>0.79</v>
      </c>
      <c r="M4">
        <f>VLOOKUP(M3,'System Lookups'!$F$4:$G$27,2)</f>
        <v>0.82</v>
      </c>
      <c r="N4">
        <f>VLOOKUP(N3,'System Lookups'!$F$4:$G$27,2)</f>
        <v>0.85</v>
      </c>
      <c r="O4">
        <f>VLOOKUP(O3,'System Lookups'!$F$4:$G$27,2)</f>
        <v>0.88</v>
      </c>
      <c r="P4">
        <f>VLOOKUP(P3,'System Lookups'!$F$4:$G$27,2)</f>
        <v>0.92</v>
      </c>
      <c r="Q4">
        <f>VLOOKUP(Q3,'System Lookups'!$F$4:$G$27,2)</f>
        <v>0.94</v>
      </c>
      <c r="R4">
        <f>VLOOKUP(R3,'System Lookups'!$F$4:$G$27,2)</f>
        <v>0.94</v>
      </c>
      <c r="S4">
        <f>VLOOKUP(S3,'System Lookups'!$F$4:$G$27,2)</f>
        <v>0.98</v>
      </c>
      <c r="T4">
        <f>VLOOKUP(T3,'System Lookups'!$F$4:$G$27,2)</f>
        <v>0.99</v>
      </c>
      <c r="U4">
        <f>VLOOKUP(U3,'System Lookups'!$F$4:$G$27,2)</f>
        <v>0.99</v>
      </c>
      <c r="V4">
        <f>VLOOKUP(V3,'System Lookups'!$F$4:$G$27,2)</f>
        <v>0.7</v>
      </c>
      <c r="W4">
        <f>VLOOKUP(W3,'System Lookups'!$F$4:$G$27,2)</f>
        <v>0.73</v>
      </c>
      <c r="X4">
        <f>VLOOKUP(X3,'System Lookups'!$F$4:$G$27,2)</f>
        <v>0.82</v>
      </c>
      <c r="Y4">
        <f>VLOOKUP(Y3,'System Lookups'!$F$4:$G$27,2)</f>
        <v>0.85</v>
      </c>
      <c r="Z4">
        <f>VLOOKUP(Z3,'System Lookups'!$F$4:$G$27,2)</f>
        <v>0.82</v>
      </c>
      <c r="AA4">
        <f>VLOOKUP(AA3,'System Lookups'!$F$4:$G$27,2)</f>
        <v>0.85</v>
      </c>
      <c r="AB4">
        <f>VLOOKUP(AB3,'System Lookups'!$F$4:$G$27,2)</f>
        <v>0.88</v>
      </c>
      <c r="AC4">
        <f>VLOOKUP(AC3,'System Lookups'!$F$4:$G$27,2)</f>
        <v>0.9</v>
      </c>
      <c r="AD4">
        <f>VLOOKUP(AD3,'System Lookups'!$F$4:$G$27,2)</f>
        <v>0.79</v>
      </c>
      <c r="AE4">
        <f>VLOOKUP(AE3,'System Lookups'!$F$4:$G$27,2)</f>
        <v>0.76</v>
      </c>
      <c r="AF4">
        <f>VLOOKUP(AF3,'System Lookups'!$F$4:$G$27,2)</f>
        <v>0.57999999999999996</v>
      </c>
      <c r="AG4">
        <f>VLOOKUP(AG3,'System Lookups'!$F$4:$G$27,2)</f>
        <v>0.7</v>
      </c>
      <c r="AH4">
        <f>VLOOKUP(AH3,'System Lookups'!$F$4:$G$27,2)</f>
        <v>0.73</v>
      </c>
      <c r="AI4">
        <f>VLOOKUP(AI3,'System Lookups'!$F$4:$G$27,2)</f>
        <v>0.76</v>
      </c>
      <c r="AJ4">
        <f>VLOOKUP(AJ3,'System Lookups'!$F$4:$G$27,2)</f>
        <v>0.79</v>
      </c>
      <c r="AK4">
        <f>VLOOKUP(AK3,'System Lookups'!$F$4:$G$27,2)</f>
        <v>0.79</v>
      </c>
      <c r="AL4">
        <f>VLOOKUP(AL3,'System Lookups'!$F$4:$G$27,2)</f>
        <v>0.79</v>
      </c>
      <c r="AM4">
        <f>VLOOKUP(AM3,'System Lookups'!$F$4:$G$27,2)</f>
        <v>0.98</v>
      </c>
      <c r="AN4">
        <f>VLOOKUP(AN3,'System Lookups'!$F$4:$G$27,2)</f>
        <v>0.99</v>
      </c>
      <c r="AO4">
        <f>VLOOKUP(AO3,'System Lookups'!$F$4:$G$27,2)</f>
        <v>0.99</v>
      </c>
      <c r="AP4">
        <f>VLOOKUP(AP3,'System Lookups'!$F$4:$G$27,2)</f>
        <v>0.99</v>
      </c>
      <c r="AQ4">
        <f>VLOOKUP(AQ3,'System Lookups'!$F$4:$G$27,2)</f>
        <v>0.7</v>
      </c>
      <c r="AR4">
        <f>VLOOKUP(AR3,'System Lookups'!$F$4:$G$27,2)</f>
        <v>0.76</v>
      </c>
      <c r="AS4">
        <f>VLOOKUP(AS3,'System Lookups'!$F$4:$G$27,2)</f>
        <v>0.82</v>
      </c>
      <c r="AT4">
        <f>VLOOKUP(AT3,'System Lookups'!$F$4:$G$27,2)</f>
        <v>0.85</v>
      </c>
    </row>
    <row r="5" spans="1:46" ht="8.1" customHeight="1">
      <c r="A5" t="s">
        <v>3293</v>
      </c>
      <c r="B5">
        <v>20</v>
      </c>
      <c r="C5">
        <v>22</v>
      </c>
      <c r="D5">
        <v>23</v>
      </c>
      <c r="E5">
        <v>24</v>
      </c>
      <c r="F5">
        <v>20</v>
      </c>
      <c r="G5">
        <v>21</v>
      </c>
      <c r="H5">
        <v>22</v>
      </c>
      <c r="I5">
        <v>23</v>
      </c>
      <c r="J5">
        <v>19</v>
      </c>
      <c r="K5">
        <v>20</v>
      </c>
      <c r="L5">
        <v>21</v>
      </c>
      <c r="M5">
        <v>22</v>
      </c>
      <c r="N5">
        <v>17</v>
      </c>
      <c r="O5">
        <v>18</v>
      </c>
      <c r="P5">
        <v>19</v>
      </c>
      <c r="Q5">
        <v>20</v>
      </c>
      <c r="R5">
        <v>20</v>
      </c>
      <c r="S5">
        <v>20</v>
      </c>
      <c r="T5">
        <v>21</v>
      </c>
      <c r="U5">
        <v>23</v>
      </c>
      <c r="V5">
        <v>19</v>
      </c>
      <c r="W5">
        <v>20</v>
      </c>
      <c r="X5">
        <v>21</v>
      </c>
      <c r="Y5">
        <v>22</v>
      </c>
      <c r="Z5">
        <v>15</v>
      </c>
      <c r="AA5">
        <v>16</v>
      </c>
      <c r="AB5">
        <v>17</v>
      </c>
      <c r="AC5">
        <v>18</v>
      </c>
      <c r="AD5">
        <v>12</v>
      </c>
      <c r="AE5">
        <v>12</v>
      </c>
      <c r="AF5">
        <v>20</v>
      </c>
      <c r="AG5">
        <v>20</v>
      </c>
      <c r="AH5">
        <v>14</v>
      </c>
      <c r="AI5">
        <v>16</v>
      </c>
      <c r="AJ5">
        <v>16</v>
      </c>
      <c r="AK5">
        <v>19</v>
      </c>
      <c r="AL5">
        <v>20</v>
      </c>
      <c r="AM5">
        <v>20</v>
      </c>
      <c r="AN5">
        <v>23</v>
      </c>
      <c r="AO5">
        <v>24</v>
      </c>
      <c r="AP5">
        <v>25</v>
      </c>
      <c r="AQ5">
        <v>20</v>
      </c>
      <c r="AR5">
        <v>22</v>
      </c>
      <c r="AS5">
        <v>24</v>
      </c>
      <c r="AT5">
        <v>25</v>
      </c>
    </row>
    <row r="6" spans="1:46" ht="8.1" customHeight="1">
      <c r="A6" t="s">
        <v>3294</v>
      </c>
      <c r="B6">
        <f>VLOOKUP(B5,'System Lookups'!$F$4:$G$27,2)</f>
        <v>0.9</v>
      </c>
      <c r="C6">
        <f>VLOOKUP(C5,'System Lookups'!$F$4:$G$27,2)</f>
        <v>0.94</v>
      </c>
      <c r="D6">
        <f>VLOOKUP(D5,'System Lookups'!$F$4:$G$27,2)</f>
        <v>0.96</v>
      </c>
      <c r="E6">
        <f>VLOOKUP(E5,'System Lookups'!$F$4:$G$27,2)</f>
        <v>0.98</v>
      </c>
      <c r="F6">
        <f>VLOOKUP(F5,'System Lookups'!$F$4:$G$27,2)</f>
        <v>0.9</v>
      </c>
      <c r="G6">
        <f>VLOOKUP(G5,'System Lookups'!$F$4:$G$27,2)</f>
        <v>0.92</v>
      </c>
      <c r="H6">
        <f>VLOOKUP(H5,'System Lookups'!$F$4:$G$27,2)</f>
        <v>0.94</v>
      </c>
      <c r="I6">
        <f>VLOOKUP(I5,'System Lookups'!$F$4:$G$27,2)</f>
        <v>0.96</v>
      </c>
      <c r="J6">
        <f>VLOOKUP(J5,'System Lookups'!$F$4:$G$27,2)</f>
        <v>0.88</v>
      </c>
      <c r="K6">
        <f>VLOOKUP(K5,'System Lookups'!$F$4:$G$27,2)</f>
        <v>0.9</v>
      </c>
      <c r="L6">
        <f>VLOOKUP(L5,'System Lookups'!$F$4:$G$27,2)</f>
        <v>0.92</v>
      </c>
      <c r="M6">
        <f>VLOOKUP(M5,'System Lookups'!$F$4:$G$27,2)</f>
        <v>0.94</v>
      </c>
      <c r="N6">
        <f>VLOOKUP(N5,'System Lookups'!$F$4:$G$27,2)</f>
        <v>0.82</v>
      </c>
      <c r="O6">
        <f>VLOOKUP(O5,'System Lookups'!$F$4:$G$27,2)</f>
        <v>0.85</v>
      </c>
      <c r="P6">
        <f>VLOOKUP(P5,'System Lookups'!$F$4:$G$27,2)</f>
        <v>0.88</v>
      </c>
      <c r="Q6">
        <f>VLOOKUP(Q5,'System Lookups'!$F$4:$G$27,2)</f>
        <v>0.9</v>
      </c>
      <c r="R6">
        <f>VLOOKUP(R5,'System Lookups'!$F$4:$G$27,2)</f>
        <v>0.9</v>
      </c>
      <c r="S6">
        <f>VLOOKUP(S5,'System Lookups'!$F$4:$G$27,2)</f>
        <v>0.9</v>
      </c>
      <c r="T6">
        <f>VLOOKUP(T5,'System Lookups'!$F$4:$G$27,2)</f>
        <v>0.92</v>
      </c>
      <c r="U6">
        <f>VLOOKUP(U5,'System Lookups'!$F$4:$G$27,2)</f>
        <v>0.96</v>
      </c>
      <c r="V6">
        <f>VLOOKUP(V5,'System Lookups'!$F$4:$G$27,2)</f>
        <v>0.88</v>
      </c>
      <c r="W6">
        <f>VLOOKUP(W5,'System Lookups'!$F$4:$G$27,2)</f>
        <v>0.9</v>
      </c>
      <c r="X6">
        <f>VLOOKUP(X5,'System Lookups'!$F$4:$G$27,2)</f>
        <v>0.92</v>
      </c>
      <c r="Y6">
        <f>VLOOKUP(Y5,'System Lookups'!$F$4:$G$27,2)</f>
        <v>0.94</v>
      </c>
      <c r="Z6">
        <f>VLOOKUP(Z5,'System Lookups'!$F$4:$G$27,2)</f>
        <v>0.76</v>
      </c>
      <c r="AA6">
        <f>VLOOKUP(AA5,'System Lookups'!$F$4:$G$27,2)</f>
        <v>0.79</v>
      </c>
      <c r="AB6">
        <f>VLOOKUP(AB5,'System Lookups'!$F$4:$G$27,2)</f>
        <v>0.82</v>
      </c>
      <c r="AC6">
        <f>VLOOKUP(AC5,'System Lookups'!$F$4:$G$27,2)</f>
        <v>0.85</v>
      </c>
      <c r="AD6">
        <f>VLOOKUP(AD5,'System Lookups'!$F$4:$G$27,2)</f>
        <v>0.66</v>
      </c>
      <c r="AE6">
        <f>VLOOKUP(AE5,'System Lookups'!$F$4:$G$27,2)</f>
        <v>0.66</v>
      </c>
      <c r="AF6">
        <f>VLOOKUP(AF5,'System Lookups'!$F$4:$G$27,2)</f>
        <v>0.9</v>
      </c>
      <c r="AG6">
        <f>VLOOKUP(AG5,'System Lookups'!$F$4:$G$27,2)</f>
        <v>0.9</v>
      </c>
      <c r="AH6">
        <f>VLOOKUP(AH5,'System Lookups'!$F$4:$G$27,2)</f>
        <v>0.73</v>
      </c>
      <c r="AI6">
        <f>VLOOKUP(AI5,'System Lookups'!$F$4:$G$27,2)</f>
        <v>0.79</v>
      </c>
      <c r="AJ6">
        <f>VLOOKUP(AJ5,'System Lookups'!$F$4:$G$27,2)</f>
        <v>0.79</v>
      </c>
      <c r="AK6">
        <f>VLOOKUP(AK5,'System Lookups'!$F$4:$G$27,2)</f>
        <v>0.88</v>
      </c>
      <c r="AL6">
        <f>VLOOKUP(AL5,'System Lookups'!$F$4:$G$27,2)</f>
        <v>0.9</v>
      </c>
      <c r="AM6">
        <f>VLOOKUP(AM5,'System Lookups'!$F$4:$G$27,2)</f>
        <v>0.9</v>
      </c>
      <c r="AN6">
        <f>VLOOKUP(AN5,'System Lookups'!$F$4:$G$27,2)</f>
        <v>0.96</v>
      </c>
      <c r="AO6">
        <f>VLOOKUP(AO5,'System Lookups'!$F$4:$G$27,2)</f>
        <v>0.98</v>
      </c>
      <c r="AP6">
        <f>VLOOKUP(AP5,'System Lookups'!$F$4:$G$27,2)</f>
        <v>0.99</v>
      </c>
      <c r="AQ6">
        <f>VLOOKUP(AQ5,'System Lookups'!$F$4:$G$27,2)</f>
        <v>0.9</v>
      </c>
      <c r="AR6">
        <f>VLOOKUP(AR5,'System Lookups'!$F$4:$G$27,2)</f>
        <v>0.94</v>
      </c>
      <c r="AS6">
        <f>VLOOKUP(AS5,'System Lookups'!$F$4:$G$27,2)</f>
        <v>0.98</v>
      </c>
      <c r="AT6">
        <f>VLOOKUP(AT5,'System Lookups'!$F$4:$G$27,2)</f>
        <v>0.99</v>
      </c>
    </row>
    <row r="7" spans="1:46" ht="8.1" customHeight="1">
      <c r="A7" t="s">
        <v>5264</v>
      </c>
      <c r="B7">
        <v>13</v>
      </c>
      <c r="C7">
        <v>15</v>
      </c>
      <c r="D7">
        <v>17</v>
      </c>
      <c r="E7">
        <v>19</v>
      </c>
      <c r="F7">
        <v>13</v>
      </c>
      <c r="G7">
        <v>15</v>
      </c>
      <c r="H7">
        <v>17</v>
      </c>
      <c r="I7">
        <v>19</v>
      </c>
      <c r="J7">
        <v>12</v>
      </c>
      <c r="K7">
        <v>13</v>
      </c>
      <c r="L7">
        <v>16</v>
      </c>
      <c r="M7">
        <v>18</v>
      </c>
      <c r="N7">
        <v>12</v>
      </c>
      <c r="O7">
        <v>13</v>
      </c>
      <c r="P7">
        <v>15</v>
      </c>
      <c r="Q7">
        <v>18</v>
      </c>
      <c r="R7">
        <v>12</v>
      </c>
      <c r="S7">
        <v>13</v>
      </c>
      <c r="T7">
        <v>16</v>
      </c>
      <c r="U7">
        <v>18</v>
      </c>
      <c r="V7">
        <v>12</v>
      </c>
      <c r="W7">
        <v>13</v>
      </c>
      <c r="X7">
        <v>16</v>
      </c>
      <c r="Y7">
        <v>18</v>
      </c>
      <c r="Z7">
        <v>7</v>
      </c>
      <c r="AA7">
        <v>7</v>
      </c>
      <c r="AB7">
        <v>8</v>
      </c>
      <c r="AC7">
        <v>8</v>
      </c>
      <c r="AD7">
        <v>7</v>
      </c>
      <c r="AE7">
        <v>7</v>
      </c>
      <c r="AF7">
        <v>7</v>
      </c>
      <c r="AG7">
        <v>7</v>
      </c>
      <c r="AH7">
        <v>10</v>
      </c>
      <c r="AI7">
        <v>7</v>
      </c>
      <c r="AJ7">
        <v>7</v>
      </c>
      <c r="AK7">
        <v>8</v>
      </c>
      <c r="AL7">
        <v>9</v>
      </c>
      <c r="AM7">
        <v>13</v>
      </c>
      <c r="AN7">
        <v>18</v>
      </c>
      <c r="AO7">
        <v>19</v>
      </c>
      <c r="AP7">
        <v>20</v>
      </c>
      <c r="AQ7">
        <v>15</v>
      </c>
      <c r="AR7">
        <v>16</v>
      </c>
      <c r="AS7">
        <v>19</v>
      </c>
      <c r="AT7">
        <v>20</v>
      </c>
    </row>
    <row r="8" spans="1:46" ht="8.1" customHeight="1">
      <c r="A8" t="s">
        <v>5265</v>
      </c>
      <c r="B8">
        <f>VLOOKUP(B7,'System Lookups'!$F$4:$G$27,2)</f>
        <v>0.7</v>
      </c>
      <c r="C8">
        <f>VLOOKUP(C7,'System Lookups'!$F$4:$G$27,2)</f>
        <v>0.76</v>
      </c>
      <c r="D8">
        <f>VLOOKUP(D7,'System Lookups'!$F$4:$G$27,2)</f>
        <v>0.82</v>
      </c>
      <c r="E8">
        <f>VLOOKUP(E7,'System Lookups'!$F$4:$G$27,2)</f>
        <v>0.88</v>
      </c>
      <c r="F8">
        <f>VLOOKUP(F7,'System Lookups'!$F$4:$G$27,2)</f>
        <v>0.7</v>
      </c>
      <c r="G8">
        <f>VLOOKUP(G7,'System Lookups'!$F$4:$G$27,2)</f>
        <v>0.76</v>
      </c>
      <c r="H8">
        <f>VLOOKUP(H7,'System Lookups'!$F$4:$G$27,2)</f>
        <v>0.82</v>
      </c>
      <c r="I8">
        <f>VLOOKUP(I7,'System Lookups'!$F$4:$G$27,2)</f>
        <v>0.88</v>
      </c>
      <c r="J8">
        <f>VLOOKUP(J7,'System Lookups'!$F$4:$G$27,2)</f>
        <v>0.66</v>
      </c>
      <c r="K8">
        <f>VLOOKUP(K7,'System Lookups'!$F$4:$G$27,2)</f>
        <v>0.7</v>
      </c>
      <c r="L8">
        <f>VLOOKUP(L7,'System Lookups'!$F$4:$G$27,2)</f>
        <v>0.79</v>
      </c>
      <c r="M8">
        <f>VLOOKUP(M7,'System Lookups'!$F$4:$G$27,2)</f>
        <v>0.85</v>
      </c>
      <c r="N8">
        <f>VLOOKUP(N7,'System Lookups'!$F$4:$G$27,2)</f>
        <v>0.66</v>
      </c>
      <c r="O8">
        <f>VLOOKUP(O7,'System Lookups'!$F$4:$G$27,2)</f>
        <v>0.7</v>
      </c>
      <c r="P8">
        <f>VLOOKUP(P7,'System Lookups'!$F$4:$G$27,2)</f>
        <v>0.76</v>
      </c>
      <c r="Q8">
        <f>VLOOKUP(Q7,'System Lookups'!$F$4:$G$27,2)</f>
        <v>0.85</v>
      </c>
      <c r="R8">
        <f>VLOOKUP(R7,'System Lookups'!$F$4:$G$27,2)</f>
        <v>0.66</v>
      </c>
      <c r="S8">
        <f>VLOOKUP(S7,'System Lookups'!$F$4:$G$27,2)</f>
        <v>0.7</v>
      </c>
      <c r="T8">
        <f>VLOOKUP(T7,'System Lookups'!$F$4:$G$27,2)</f>
        <v>0.79</v>
      </c>
      <c r="U8">
        <f>VLOOKUP(U7,'System Lookups'!$F$4:$G$27,2)</f>
        <v>0.85</v>
      </c>
      <c r="V8">
        <f>VLOOKUP(V7,'System Lookups'!$F$4:$G$27,2)</f>
        <v>0.66</v>
      </c>
      <c r="W8">
        <f>VLOOKUP(W7,'System Lookups'!$F$4:$G$27,2)</f>
        <v>0.7</v>
      </c>
      <c r="X8">
        <f>VLOOKUP(X7,'System Lookups'!$F$4:$G$27,2)</f>
        <v>0.79</v>
      </c>
      <c r="Y8">
        <f>VLOOKUP(Y7,'System Lookups'!$F$4:$G$27,2)</f>
        <v>0.85</v>
      </c>
      <c r="Z8">
        <f>VLOOKUP(Z7,'System Lookups'!$F$4:$G$27,2)</f>
        <v>0.45</v>
      </c>
      <c r="AA8">
        <f>VLOOKUP(AA7,'System Lookups'!$F$4:$G$27,2)</f>
        <v>0.45</v>
      </c>
      <c r="AB8">
        <f>VLOOKUP(AB7,'System Lookups'!$F$4:$G$27,2)</f>
        <v>0.5</v>
      </c>
      <c r="AC8">
        <f>VLOOKUP(AC7,'System Lookups'!$F$4:$G$27,2)</f>
        <v>0.5</v>
      </c>
      <c r="AD8">
        <f>VLOOKUP(AD7,'System Lookups'!$F$4:$G$27,2)</f>
        <v>0.45</v>
      </c>
      <c r="AE8">
        <f>VLOOKUP(AE7,'System Lookups'!$F$4:$G$27,2)</f>
        <v>0.45</v>
      </c>
      <c r="AF8">
        <f>VLOOKUP(AF7,'System Lookups'!$F$4:$G$27,2)</f>
        <v>0.45</v>
      </c>
      <c r="AG8">
        <f>VLOOKUP(AG7,'System Lookups'!$F$4:$G$27,2)</f>
        <v>0.45</v>
      </c>
      <c r="AH8">
        <f>VLOOKUP(AH7,'System Lookups'!$F$4:$G$27,2)</f>
        <v>0.57999999999999996</v>
      </c>
      <c r="AI8">
        <f>VLOOKUP(AI7,'System Lookups'!$F$4:$G$27,2)</f>
        <v>0.45</v>
      </c>
      <c r="AJ8">
        <f>VLOOKUP(AJ7,'System Lookups'!$F$4:$G$27,2)</f>
        <v>0.45</v>
      </c>
      <c r="AK8">
        <f>VLOOKUP(AK7,'System Lookups'!$F$4:$G$27,2)</f>
        <v>0.5</v>
      </c>
      <c r="AL8">
        <f>VLOOKUP(AL7,'System Lookups'!$F$4:$G$27,2)</f>
        <v>0.54</v>
      </c>
      <c r="AM8">
        <f>VLOOKUP(AM7,'System Lookups'!$F$4:$G$27,2)</f>
        <v>0.7</v>
      </c>
      <c r="AN8">
        <f>VLOOKUP(AN7,'System Lookups'!$F$4:$G$27,2)</f>
        <v>0.85</v>
      </c>
      <c r="AO8">
        <f>VLOOKUP(AO7,'System Lookups'!$F$4:$G$27,2)</f>
        <v>0.88</v>
      </c>
      <c r="AP8">
        <f>VLOOKUP(AP7,'System Lookups'!$F$4:$G$27,2)</f>
        <v>0.9</v>
      </c>
      <c r="AQ8">
        <f>VLOOKUP(AQ7,'System Lookups'!$F$4:$G$27,2)</f>
        <v>0.76</v>
      </c>
      <c r="AR8">
        <f>VLOOKUP(AR7,'System Lookups'!$F$4:$G$27,2)</f>
        <v>0.79</v>
      </c>
      <c r="AS8">
        <f>VLOOKUP(AS7,'System Lookups'!$F$4:$G$27,2)</f>
        <v>0.88</v>
      </c>
      <c r="AT8">
        <f>VLOOKUP(AT7,'System Lookups'!$F$4:$G$27,2)</f>
        <v>0.9</v>
      </c>
    </row>
    <row r="9" spans="1:46" ht="8.1" customHeight="1">
      <c r="A9" t="s">
        <v>5266</v>
      </c>
      <c r="B9">
        <v>3</v>
      </c>
      <c r="C9">
        <v>4</v>
      </c>
      <c r="D9">
        <v>4</v>
      </c>
      <c r="E9">
        <v>4</v>
      </c>
      <c r="F9">
        <v>4</v>
      </c>
      <c r="G9">
        <v>4</v>
      </c>
      <c r="H9">
        <v>4</v>
      </c>
      <c r="I9">
        <v>4</v>
      </c>
      <c r="J9">
        <v>3</v>
      </c>
      <c r="K9">
        <v>4</v>
      </c>
      <c r="L9">
        <v>4</v>
      </c>
      <c r="M9">
        <v>4</v>
      </c>
      <c r="N9">
        <v>3</v>
      </c>
      <c r="O9">
        <v>4</v>
      </c>
      <c r="P9">
        <v>4</v>
      </c>
      <c r="Q9">
        <v>4</v>
      </c>
      <c r="R9">
        <v>4</v>
      </c>
      <c r="S9">
        <v>4</v>
      </c>
      <c r="T9">
        <v>4</v>
      </c>
      <c r="U9">
        <v>4</v>
      </c>
      <c r="V9">
        <v>3</v>
      </c>
      <c r="W9">
        <v>4</v>
      </c>
      <c r="X9">
        <v>4</v>
      </c>
      <c r="Y9">
        <v>4</v>
      </c>
      <c r="Z9">
        <v>3</v>
      </c>
      <c r="AA9">
        <v>3</v>
      </c>
      <c r="AB9">
        <v>4</v>
      </c>
      <c r="AC9">
        <v>4</v>
      </c>
      <c r="AD9">
        <v>3</v>
      </c>
      <c r="AE9">
        <v>3</v>
      </c>
      <c r="AF9">
        <v>4</v>
      </c>
      <c r="AG9">
        <v>4</v>
      </c>
      <c r="AH9">
        <v>4</v>
      </c>
      <c r="AI9">
        <v>4</v>
      </c>
      <c r="AJ9">
        <v>4</v>
      </c>
      <c r="AK9">
        <v>4</v>
      </c>
      <c r="AL9">
        <v>5</v>
      </c>
      <c r="AM9">
        <v>14</v>
      </c>
      <c r="AN9">
        <v>14</v>
      </c>
      <c r="AO9">
        <v>14</v>
      </c>
      <c r="AP9">
        <v>15</v>
      </c>
      <c r="AQ9">
        <v>4</v>
      </c>
      <c r="AR9">
        <v>4</v>
      </c>
      <c r="AS9">
        <v>5</v>
      </c>
      <c r="AT9">
        <v>6</v>
      </c>
    </row>
    <row r="10" spans="1:46" ht="8.1" customHeight="1">
      <c r="A10" t="s">
        <v>5267</v>
      </c>
      <c r="B10">
        <f>VLOOKUP(B9,'System Lookups'!$F$4:$G$27,2)</f>
        <v>0.25</v>
      </c>
      <c r="C10">
        <f>VLOOKUP(C9,'System Lookups'!$F$4:$G$27,2)</f>
        <v>0.3</v>
      </c>
      <c r="D10">
        <f>VLOOKUP(D9,'System Lookups'!$F$4:$G$27,2)</f>
        <v>0.3</v>
      </c>
      <c r="E10">
        <f>VLOOKUP(E9,'System Lookups'!$F$4:$G$27,2)</f>
        <v>0.3</v>
      </c>
      <c r="F10">
        <f>VLOOKUP(F9,'System Lookups'!$F$4:$G$27,2)</f>
        <v>0.3</v>
      </c>
      <c r="G10">
        <f>VLOOKUP(G9,'System Lookups'!$F$4:$G$27,2)</f>
        <v>0.3</v>
      </c>
      <c r="H10">
        <f>VLOOKUP(H9,'System Lookups'!$F$4:$G$27,2)</f>
        <v>0.3</v>
      </c>
      <c r="I10">
        <f>VLOOKUP(I9,'System Lookups'!$F$4:$G$27,2)</f>
        <v>0.3</v>
      </c>
      <c r="J10">
        <f>VLOOKUP(J9,'System Lookups'!$F$4:$G$27,2)</f>
        <v>0.25</v>
      </c>
      <c r="K10">
        <f>VLOOKUP(K9,'System Lookups'!$F$4:$G$27,2)</f>
        <v>0.3</v>
      </c>
      <c r="L10">
        <f>VLOOKUP(L9,'System Lookups'!$F$4:$G$27,2)</f>
        <v>0.3</v>
      </c>
      <c r="M10">
        <f>VLOOKUP(M9,'System Lookups'!$F$4:$G$27,2)</f>
        <v>0.3</v>
      </c>
      <c r="N10">
        <f>VLOOKUP(N9,'System Lookups'!$F$4:$G$27,2)</f>
        <v>0.25</v>
      </c>
      <c r="O10">
        <f>VLOOKUP(O9,'System Lookups'!$F$4:$G$27,2)</f>
        <v>0.3</v>
      </c>
      <c r="P10">
        <f>VLOOKUP(P9,'System Lookups'!$F$4:$G$27,2)</f>
        <v>0.3</v>
      </c>
      <c r="Q10">
        <f>VLOOKUP(Q9,'System Lookups'!$F$4:$G$27,2)</f>
        <v>0.3</v>
      </c>
      <c r="R10">
        <f>VLOOKUP(R9,'System Lookups'!$F$4:$G$27,2)</f>
        <v>0.3</v>
      </c>
      <c r="S10">
        <f>VLOOKUP(S9,'System Lookups'!$F$4:$G$27,2)</f>
        <v>0.3</v>
      </c>
      <c r="T10">
        <f>VLOOKUP(T9,'System Lookups'!$F$4:$G$27,2)</f>
        <v>0.3</v>
      </c>
      <c r="U10">
        <f>VLOOKUP(U9,'System Lookups'!$F$4:$G$27,2)</f>
        <v>0.3</v>
      </c>
      <c r="V10">
        <f>VLOOKUP(V9,'System Lookups'!$F$4:$G$27,2)</f>
        <v>0.25</v>
      </c>
      <c r="W10">
        <f>VLOOKUP(W9,'System Lookups'!$F$4:$G$27,2)</f>
        <v>0.3</v>
      </c>
      <c r="X10">
        <f>VLOOKUP(X9,'System Lookups'!$F$4:$G$27,2)</f>
        <v>0.3</v>
      </c>
      <c r="Y10">
        <f>VLOOKUP(Y9,'System Lookups'!$F$4:$G$27,2)</f>
        <v>0.3</v>
      </c>
      <c r="Z10">
        <f>VLOOKUP(Z9,'System Lookups'!$F$4:$G$27,2)</f>
        <v>0.25</v>
      </c>
      <c r="AA10">
        <f>VLOOKUP(AA9,'System Lookups'!$F$4:$G$27,2)</f>
        <v>0.25</v>
      </c>
      <c r="AB10">
        <f>VLOOKUP(AB9,'System Lookups'!$F$4:$G$27,2)</f>
        <v>0.3</v>
      </c>
      <c r="AC10">
        <f>VLOOKUP(AC9,'System Lookups'!$F$4:$G$27,2)</f>
        <v>0.3</v>
      </c>
      <c r="AD10">
        <f>VLOOKUP(AD9,'System Lookups'!$F$4:$G$27,2)</f>
        <v>0.25</v>
      </c>
      <c r="AE10">
        <f>VLOOKUP(AE9,'System Lookups'!$F$4:$G$27,2)</f>
        <v>0.25</v>
      </c>
      <c r="AF10">
        <f>VLOOKUP(AF9,'System Lookups'!$F$4:$G$27,2)</f>
        <v>0.3</v>
      </c>
      <c r="AG10">
        <f>VLOOKUP(AG9,'System Lookups'!$F$4:$G$27,2)</f>
        <v>0.3</v>
      </c>
      <c r="AH10">
        <f>VLOOKUP(AH9,'System Lookups'!$F$4:$G$27,2)</f>
        <v>0.3</v>
      </c>
      <c r="AI10">
        <f>VLOOKUP(AI9,'System Lookups'!$F$4:$G$27,2)</f>
        <v>0.3</v>
      </c>
      <c r="AJ10">
        <f>VLOOKUP(AJ9,'System Lookups'!$F$4:$G$27,2)</f>
        <v>0.3</v>
      </c>
      <c r="AK10">
        <f>VLOOKUP(AK9,'System Lookups'!$F$4:$G$27,2)</f>
        <v>0.3</v>
      </c>
      <c r="AL10">
        <f>VLOOKUP(AL9,'System Lookups'!$F$4:$G$27,2)</f>
        <v>0.35</v>
      </c>
      <c r="AM10">
        <f>VLOOKUP(AM9,'System Lookups'!$F$4:$G$27,2)</f>
        <v>0.73</v>
      </c>
      <c r="AN10">
        <f>VLOOKUP(AN9,'System Lookups'!$F$4:$G$27,2)</f>
        <v>0.73</v>
      </c>
      <c r="AO10">
        <f>VLOOKUP(AO9,'System Lookups'!$F$4:$G$27,2)</f>
        <v>0.73</v>
      </c>
      <c r="AP10">
        <f>VLOOKUP(AP9,'System Lookups'!$F$4:$G$27,2)</f>
        <v>0.76</v>
      </c>
      <c r="AQ10">
        <f>VLOOKUP(AQ9,'System Lookups'!$F$4:$G$27,2)</f>
        <v>0.3</v>
      </c>
      <c r="AR10">
        <f>VLOOKUP(AR9,'System Lookups'!$F$4:$G$27,2)</f>
        <v>0.3</v>
      </c>
      <c r="AS10">
        <f>VLOOKUP(AS9,'System Lookups'!$F$4:$G$27,2)</f>
        <v>0.35</v>
      </c>
      <c r="AT10">
        <f>VLOOKUP(AT9,'System Lookups'!$F$4:$G$27,2)</f>
        <v>0.4</v>
      </c>
    </row>
    <row r="11" spans="1:46" ht="8.1" customHeight="1">
      <c r="A11" t="s">
        <v>3592</v>
      </c>
      <c r="B11">
        <f t="shared" ref="B11:AP11" si="0">B9+2</f>
        <v>5</v>
      </c>
      <c r="C11">
        <f t="shared" si="0"/>
        <v>6</v>
      </c>
      <c r="D11">
        <f t="shared" si="0"/>
        <v>6</v>
      </c>
      <c r="E11">
        <f t="shared" si="0"/>
        <v>6</v>
      </c>
      <c r="F11">
        <f t="shared" si="0"/>
        <v>6</v>
      </c>
      <c r="G11">
        <f t="shared" si="0"/>
        <v>6</v>
      </c>
      <c r="H11">
        <f t="shared" si="0"/>
        <v>6</v>
      </c>
      <c r="I11">
        <f t="shared" si="0"/>
        <v>6</v>
      </c>
      <c r="J11">
        <f t="shared" si="0"/>
        <v>5</v>
      </c>
      <c r="K11">
        <f t="shared" si="0"/>
        <v>6</v>
      </c>
      <c r="L11">
        <f t="shared" si="0"/>
        <v>6</v>
      </c>
      <c r="M11">
        <f t="shared" si="0"/>
        <v>6</v>
      </c>
      <c r="N11">
        <f t="shared" si="0"/>
        <v>5</v>
      </c>
      <c r="O11">
        <f t="shared" si="0"/>
        <v>6</v>
      </c>
      <c r="P11">
        <f t="shared" si="0"/>
        <v>6</v>
      </c>
      <c r="Q11">
        <f t="shared" si="0"/>
        <v>6</v>
      </c>
      <c r="R11">
        <f t="shared" si="0"/>
        <v>6</v>
      </c>
      <c r="S11">
        <f t="shared" si="0"/>
        <v>6</v>
      </c>
      <c r="T11">
        <f t="shared" si="0"/>
        <v>6</v>
      </c>
      <c r="U11">
        <f t="shared" si="0"/>
        <v>6</v>
      </c>
      <c r="V11">
        <f t="shared" si="0"/>
        <v>5</v>
      </c>
      <c r="W11">
        <f t="shared" si="0"/>
        <v>6</v>
      </c>
      <c r="X11">
        <f t="shared" si="0"/>
        <v>6</v>
      </c>
      <c r="Y11">
        <f t="shared" si="0"/>
        <v>6</v>
      </c>
      <c r="Z11">
        <f t="shared" si="0"/>
        <v>5</v>
      </c>
      <c r="AA11">
        <f t="shared" si="0"/>
        <v>5</v>
      </c>
      <c r="AB11">
        <f t="shared" si="0"/>
        <v>6</v>
      </c>
      <c r="AC11">
        <f t="shared" si="0"/>
        <v>6</v>
      </c>
      <c r="AD11">
        <f t="shared" si="0"/>
        <v>5</v>
      </c>
      <c r="AE11">
        <f t="shared" si="0"/>
        <v>5</v>
      </c>
      <c r="AF11">
        <f t="shared" si="0"/>
        <v>6</v>
      </c>
      <c r="AG11">
        <f t="shared" si="0"/>
        <v>6</v>
      </c>
      <c r="AH11">
        <f t="shared" si="0"/>
        <v>6</v>
      </c>
      <c r="AI11">
        <f t="shared" si="0"/>
        <v>6</v>
      </c>
      <c r="AJ11">
        <f t="shared" si="0"/>
        <v>6</v>
      </c>
      <c r="AK11">
        <f t="shared" si="0"/>
        <v>6</v>
      </c>
      <c r="AL11">
        <f t="shared" si="0"/>
        <v>7</v>
      </c>
      <c r="AM11">
        <f t="shared" si="0"/>
        <v>16</v>
      </c>
      <c r="AN11">
        <f t="shared" si="0"/>
        <v>16</v>
      </c>
      <c r="AO11">
        <f t="shared" si="0"/>
        <v>16</v>
      </c>
      <c r="AP11">
        <f t="shared" si="0"/>
        <v>17</v>
      </c>
      <c r="AQ11">
        <v>8</v>
      </c>
      <c r="AR11">
        <v>8</v>
      </c>
      <c r="AS11">
        <v>9</v>
      </c>
      <c r="AT11">
        <v>10</v>
      </c>
    </row>
    <row r="12" spans="1:46" ht="8.1" customHeight="1">
      <c r="A12" t="s">
        <v>5268</v>
      </c>
      <c r="B12">
        <f>VLOOKUP(B11,'System Lookups'!$F$4:$G$27,2)</f>
        <v>0.35</v>
      </c>
      <c r="C12">
        <f>VLOOKUP(C11,'System Lookups'!$F$4:$G$27,2)</f>
        <v>0.4</v>
      </c>
      <c r="D12">
        <f>VLOOKUP(D11,'System Lookups'!$F$4:$G$27,2)</f>
        <v>0.4</v>
      </c>
      <c r="E12">
        <f>VLOOKUP(E11,'System Lookups'!$F$4:$G$27,2)</f>
        <v>0.4</v>
      </c>
      <c r="F12">
        <f>VLOOKUP(F11,'System Lookups'!$F$4:$G$27,2)</f>
        <v>0.4</v>
      </c>
      <c r="G12">
        <f>VLOOKUP(G11,'System Lookups'!$F$4:$G$27,2)</f>
        <v>0.4</v>
      </c>
      <c r="H12">
        <f>VLOOKUP(H11,'System Lookups'!$F$4:$G$27,2)</f>
        <v>0.4</v>
      </c>
      <c r="I12">
        <f>VLOOKUP(I11,'System Lookups'!$F$4:$G$27,2)</f>
        <v>0.4</v>
      </c>
      <c r="J12">
        <f>VLOOKUP(J11,'System Lookups'!$F$4:$G$27,2)</f>
        <v>0.35</v>
      </c>
      <c r="K12">
        <f>VLOOKUP(K11,'System Lookups'!$F$4:$G$27,2)</f>
        <v>0.4</v>
      </c>
      <c r="L12">
        <f>VLOOKUP(L11,'System Lookups'!$F$4:$G$27,2)</f>
        <v>0.4</v>
      </c>
      <c r="M12">
        <f>VLOOKUP(M11,'System Lookups'!$F$4:$G$27,2)</f>
        <v>0.4</v>
      </c>
      <c r="N12">
        <f>VLOOKUP(N11,'System Lookups'!$F$4:$G$27,2)</f>
        <v>0.35</v>
      </c>
      <c r="O12">
        <f>VLOOKUP(O11,'System Lookups'!$F$4:$G$27,2)</f>
        <v>0.4</v>
      </c>
      <c r="P12">
        <f>VLOOKUP(P11,'System Lookups'!$F$4:$G$27,2)</f>
        <v>0.4</v>
      </c>
      <c r="Q12">
        <f>VLOOKUP(Q11,'System Lookups'!$F$4:$G$27,2)</f>
        <v>0.4</v>
      </c>
      <c r="R12">
        <f>VLOOKUP(R11,'System Lookups'!$F$4:$G$27,2)</f>
        <v>0.4</v>
      </c>
      <c r="S12">
        <f>VLOOKUP(S11,'System Lookups'!$F$4:$G$27,2)</f>
        <v>0.4</v>
      </c>
      <c r="T12">
        <f>VLOOKUP(T11,'System Lookups'!$F$4:$G$27,2)</f>
        <v>0.4</v>
      </c>
      <c r="U12">
        <f>VLOOKUP(U11,'System Lookups'!$F$4:$G$27,2)</f>
        <v>0.4</v>
      </c>
      <c r="V12">
        <f>VLOOKUP(V11,'System Lookups'!$F$4:$G$27,2)</f>
        <v>0.35</v>
      </c>
      <c r="W12">
        <f>VLOOKUP(W11,'System Lookups'!$F$4:$G$27,2)</f>
        <v>0.4</v>
      </c>
      <c r="X12">
        <f>VLOOKUP(X11,'System Lookups'!$F$4:$G$27,2)</f>
        <v>0.4</v>
      </c>
      <c r="Y12">
        <f>VLOOKUP(Y11,'System Lookups'!$F$4:$G$27,2)</f>
        <v>0.4</v>
      </c>
      <c r="Z12">
        <f>VLOOKUP(Z11,'System Lookups'!$F$4:$G$27,2)</f>
        <v>0.35</v>
      </c>
      <c r="AA12">
        <f>VLOOKUP(AA11,'System Lookups'!$F$4:$G$27,2)</f>
        <v>0.35</v>
      </c>
      <c r="AB12">
        <f>VLOOKUP(AB11,'System Lookups'!$F$4:$G$27,2)</f>
        <v>0.4</v>
      </c>
      <c r="AC12">
        <f>VLOOKUP(AC11,'System Lookups'!$F$4:$G$27,2)</f>
        <v>0.4</v>
      </c>
      <c r="AD12">
        <f>VLOOKUP(AD11,'System Lookups'!$F$4:$G$27,2)</f>
        <v>0.35</v>
      </c>
      <c r="AE12">
        <f>VLOOKUP(AE11,'System Lookups'!$F$4:$G$27,2)</f>
        <v>0.35</v>
      </c>
      <c r="AF12">
        <f>VLOOKUP(AF11,'System Lookups'!$F$4:$G$27,2)</f>
        <v>0.4</v>
      </c>
      <c r="AG12">
        <f>VLOOKUP(AG11,'System Lookups'!$F$4:$G$27,2)</f>
        <v>0.4</v>
      </c>
      <c r="AH12">
        <f>VLOOKUP(AH11,'System Lookups'!$F$4:$G$27,2)</f>
        <v>0.4</v>
      </c>
      <c r="AI12">
        <f>VLOOKUP(AI11,'System Lookups'!$F$4:$G$27,2)</f>
        <v>0.4</v>
      </c>
      <c r="AJ12">
        <f>VLOOKUP(AJ11,'System Lookups'!$F$4:$G$27,2)</f>
        <v>0.4</v>
      </c>
      <c r="AK12">
        <f>VLOOKUP(AK11,'System Lookups'!$F$4:$G$27,2)</f>
        <v>0.4</v>
      </c>
      <c r="AL12">
        <f>VLOOKUP(AL11,'System Lookups'!$F$4:$G$27,2)</f>
        <v>0.45</v>
      </c>
      <c r="AM12">
        <f>VLOOKUP(AM11,'System Lookups'!$F$4:$G$27,2)</f>
        <v>0.79</v>
      </c>
      <c r="AN12">
        <f>VLOOKUP(AN11,'System Lookups'!$F$4:$G$27,2)</f>
        <v>0.79</v>
      </c>
      <c r="AO12">
        <f>VLOOKUP(AO11,'System Lookups'!$F$4:$G$27,2)</f>
        <v>0.79</v>
      </c>
      <c r="AP12">
        <f>VLOOKUP(AP11,'System Lookups'!$F$4:$G$27,2)</f>
        <v>0.82</v>
      </c>
      <c r="AQ12">
        <f>VLOOKUP(AQ11,'System Lookups'!$F$4:$G$27,2)</f>
        <v>0.5</v>
      </c>
      <c r="AR12">
        <f>VLOOKUP(AR11,'System Lookups'!$F$4:$G$27,2)</f>
        <v>0.5</v>
      </c>
      <c r="AS12">
        <f>VLOOKUP(AS11,'System Lookups'!$F$4:$G$27,2)</f>
        <v>0.54</v>
      </c>
      <c r="AT12">
        <f>VLOOKUP(AT11,'System Lookups'!$F$4:$G$27,2)</f>
        <v>0.57999999999999996</v>
      </c>
    </row>
    <row r="13" spans="1:46" ht="8.1" customHeight="1">
      <c r="A13" t="s">
        <v>5269</v>
      </c>
      <c r="B13">
        <v>21</v>
      </c>
      <c r="C13">
        <v>22</v>
      </c>
      <c r="D13">
        <v>24</v>
      </c>
      <c r="E13">
        <v>25</v>
      </c>
      <c r="F13">
        <v>20</v>
      </c>
      <c r="G13">
        <v>21</v>
      </c>
      <c r="H13">
        <v>22</v>
      </c>
      <c r="I13">
        <v>23</v>
      </c>
      <c r="J13">
        <v>19</v>
      </c>
      <c r="K13">
        <v>20</v>
      </c>
      <c r="L13">
        <v>21</v>
      </c>
      <c r="M13">
        <v>22</v>
      </c>
      <c r="N13">
        <v>16</v>
      </c>
      <c r="O13">
        <v>16</v>
      </c>
      <c r="P13">
        <v>17</v>
      </c>
      <c r="Q13">
        <v>18</v>
      </c>
      <c r="R13">
        <v>16</v>
      </c>
      <c r="S13">
        <v>17</v>
      </c>
      <c r="T13">
        <v>19</v>
      </c>
      <c r="U13">
        <v>21</v>
      </c>
      <c r="V13">
        <v>15</v>
      </c>
      <c r="W13">
        <v>17</v>
      </c>
      <c r="X13">
        <v>18</v>
      </c>
      <c r="Y13">
        <v>20</v>
      </c>
      <c r="Z13">
        <v>15</v>
      </c>
      <c r="AA13">
        <v>16</v>
      </c>
      <c r="AB13">
        <v>18</v>
      </c>
      <c r="AC13">
        <v>19</v>
      </c>
      <c r="AD13">
        <v>15</v>
      </c>
      <c r="AE13">
        <v>12</v>
      </c>
      <c r="AF13">
        <v>23</v>
      </c>
      <c r="AG13">
        <v>21</v>
      </c>
      <c r="AH13">
        <v>14</v>
      </c>
      <c r="AI13">
        <v>16</v>
      </c>
      <c r="AJ13">
        <v>17</v>
      </c>
      <c r="AK13">
        <v>18</v>
      </c>
      <c r="AL13">
        <v>19</v>
      </c>
      <c r="AM13">
        <v>17</v>
      </c>
      <c r="AN13">
        <v>21</v>
      </c>
      <c r="AO13">
        <v>21</v>
      </c>
      <c r="AP13">
        <v>23</v>
      </c>
      <c r="AQ13">
        <v>22</v>
      </c>
      <c r="AR13">
        <v>23</v>
      </c>
      <c r="AS13">
        <v>24</v>
      </c>
      <c r="AT13">
        <v>25</v>
      </c>
    </row>
    <row r="14" spans="1:46" ht="8.1" customHeight="1">
      <c r="A14" t="s">
        <v>5270</v>
      </c>
      <c r="B14">
        <f>VLOOKUP(B13,'System Lookups'!$F$4:$G$27,2)</f>
        <v>0.92</v>
      </c>
      <c r="C14">
        <f>VLOOKUP(C13,'System Lookups'!$F$4:$G$27,2)</f>
        <v>0.94</v>
      </c>
      <c r="D14">
        <f>VLOOKUP(D13,'System Lookups'!$F$4:$G$27,2)</f>
        <v>0.98</v>
      </c>
      <c r="E14">
        <f>VLOOKUP(E13,'System Lookups'!$F$4:$G$27,2)</f>
        <v>0.99</v>
      </c>
      <c r="F14">
        <f>VLOOKUP(F13,'System Lookups'!$F$4:$G$27,2)</f>
        <v>0.9</v>
      </c>
      <c r="G14">
        <f>VLOOKUP(G13,'System Lookups'!$F$4:$G$27,2)</f>
        <v>0.92</v>
      </c>
      <c r="H14">
        <f>VLOOKUP(H13,'System Lookups'!$F$4:$G$27,2)</f>
        <v>0.94</v>
      </c>
      <c r="I14">
        <f>VLOOKUP(I13,'System Lookups'!$F$4:$G$27,2)</f>
        <v>0.96</v>
      </c>
      <c r="J14">
        <f>VLOOKUP(J13,'System Lookups'!$F$4:$G$27,2)</f>
        <v>0.88</v>
      </c>
      <c r="K14">
        <f>VLOOKUP(K13,'System Lookups'!$F$4:$G$27,2)</f>
        <v>0.9</v>
      </c>
      <c r="L14">
        <f>VLOOKUP(L13,'System Lookups'!$F$4:$G$27,2)</f>
        <v>0.92</v>
      </c>
      <c r="M14">
        <f>VLOOKUP(M13,'System Lookups'!$F$4:$G$27,2)</f>
        <v>0.94</v>
      </c>
      <c r="N14">
        <f>VLOOKUP(N13,'System Lookups'!$F$4:$G$27,2)</f>
        <v>0.79</v>
      </c>
      <c r="O14">
        <f>VLOOKUP(O13,'System Lookups'!$F$4:$G$27,2)</f>
        <v>0.79</v>
      </c>
      <c r="P14">
        <f>VLOOKUP(P13,'System Lookups'!$F$4:$G$27,2)</f>
        <v>0.82</v>
      </c>
      <c r="Q14">
        <f>VLOOKUP(Q13,'System Lookups'!$F$4:$G$27,2)</f>
        <v>0.85</v>
      </c>
      <c r="R14">
        <f>VLOOKUP(R13,'System Lookups'!$F$4:$G$27,2)</f>
        <v>0.79</v>
      </c>
      <c r="S14">
        <f>VLOOKUP(S13,'System Lookups'!$F$4:$G$27,2)</f>
        <v>0.82</v>
      </c>
      <c r="T14">
        <f>VLOOKUP(T13,'System Lookups'!$F$4:$G$27,2)</f>
        <v>0.88</v>
      </c>
      <c r="U14">
        <f>VLOOKUP(U13,'System Lookups'!$F$4:$G$27,2)</f>
        <v>0.92</v>
      </c>
      <c r="V14">
        <f>VLOOKUP(V13,'System Lookups'!$F$4:$G$27,2)</f>
        <v>0.76</v>
      </c>
      <c r="W14">
        <f>VLOOKUP(W13,'System Lookups'!$F$4:$G$27,2)</f>
        <v>0.82</v>
      </c>
      <c r="X14">
        <f>VLOOKUP(X13,'System Lookups'!$F$4:$G$27,2)</f>
        <v>0.85</v>
      </c>
      <c r="Y14">
        <f>VLOOKUP(Y13,'System Lookups'!$F$4:$G$27,2)</f>
        <v>0.9</v>
      </c>
      <c r="Z14">
        <f>VLOOKUP(Z13,'System Lookups'!$F$4:$G$27,2)</f>
        <v>0.76</v>
      </c>
      <c r="AA14">
        <f>VLOOKUP(AA13,'System Lookups'!$F$4:$G$27,2)</f>
        <v>0.79</v>
      </c>
      <c r="AB14">
        <f>VLOOKUP(AB13,'System Lookups'!$F$4:$G$27,2)</f>
        <v>0.85</v>
      </c>
      <c r="AC14">
        <f>VLOOKUP(AC13,'System Lookups'!$F$4:$G$27,2)</f>
        <v>0.88</v>
      </c>
      <c r="AD14">
        <f>VLOOKUP(AD13,'System Lookups'!$F$4:$G$27,2)</f>
        <v>0.76</v>
      </c>
      <c r="AE14">
        <f>VLOOKUP(AE13,'System Lookups'!$F$4:$G$27,2)</f>
        <v>0.66</v>
      </c>
      <c r="AF14">
        <f>VLOOKUP(AF13,'System Lookups'!$F$4:$G$27,2)</f>
        <v>0.96</v>
      </c>
      <c r="AG14">
        <f>VLOOKUP(AG13,'System Lookups'!$F$4:$G$27,2)</f>
        <v>0.92</v>
      </c>
      <c r="AH14">
        <f>VLOOKUP(AH13,'System Lookups'!$F$4:$G$27,2)</f>
        <v>0.73</v>
      </c>
      <c r="AI14">
        <f>VLOOKUP(AI13,'System Lookups'!$F$4:$G$27,2)</f>
        <v>0.79</v>
      </c>
      <c r="AJ14">
        <f>VLOOKUP(AJ13,'System Lookups'!$F$4:$G$27,2)</f>
        <v>0.82</v>
      </c>
      <c r="AK14">
        <f>VLOOKUP(AK13,'System Lookups'!$F$4:$G$27,2)</f>
        <v>0.85</v>
      </c>
      <c r="AL14">
        <f>VLOOKUP(AL13,'System Lookups'!$F$4:$G$27,2)</f>
        <v>0.88</v>
      </c>
      <c r="AM14">
        <f>VLOOKUP(AM13,'System Lookups'!$F$4:$G$27,2)</f>
        <v>0.82</v>
      </c>
      <c r="AN14">
        <f>VLOOKUP(AN13,'System Lookups'!$F$4:$G$27,2)</f>
        <v>0.92</v>
      </c>
      <c r="AO14">
        <f>VLOOKUP(AO13,'System Lookups'!$F$4:$G$27,2)</f>
        <v>0.92</v>
      </c>
      <c r="AP14">
        <f>VLOOKUP(AP13,'System Lookups'!$F$4:$G$27,2)</f>
        <v>0.96</v>
      </c>
      <c r="AQ14">
        <f>VLOOKUP(AQ13,'System Lookups'!$F$4:$G$27,2)</f>
        <v>0.94</v>
      </c>
      <c r="AR14">
        <f>VLOOKUP(AR13,'System Lookups'!$F$4:$G$27,2)</f>
        <v>0.96</v>
      </c>
      <c r="AS14">
        <f>VLOOKUP(AS13,'System Lookups'!$F$4:$G$27,2)</f>
        <v>0.98</v>
      </c>
      <c r="AT14">
        <f>VLOOKUP(AT13,'System Lookups'!$F$4:$G$27,2)</f>
        <v>0.99</v>
      </c>
    </row>
    <row r="15" spans="1:46" ht="8.1" customHeight="1">
      <c r="A15" t="s">
        <v>4651</v>
      </c>
      <c r="B15">
        <v>14</v>
      </c>
      <c r="C15">
        <v>14</v>
      </c>
      <c r="D15">
        <v>14</v>
      </c>
      <c r="E15">
        <v>14</v>
      </c>
      <c r="F15">
        <v>14</v>
      </c>
      <c r="G15">
        <v>14</v>
      </c>
      <c r="H15">
        <v>14</v>
      </c>
      <c r="I15">
        <v>14</v>
      </c>
      <c r="J15">
        <v>14</v>
      </c>
      <c r="K15">
        <v>14</v>
      </c>
      <c r="L15">
        <v>14</v>
      </c>
      <c r="M15">
        <v>14</v>
      </c>
      <c r="N15">
        <v>14</v>
      </c>
      <c r="O15">
        <v>14</v>
      </c>
      <c r="P15">
        <v>14</v>
      </c>
      <c r="Q15">
        <v>14</v>
      </c>
      <c r="R15">
        <v>14</v>
      </c>
      <c r="S15">
        <v>14</v>
      </c>
      <c r="T15">
        <v>14</v>
      </c>
      <c r="U15">
        <v>14</v>
      </c>
      <c r="V15">
        <v>15</v>
      </c>
      <c r="W15">
        <v>15</v>
      </c>
      <c r="X15">
        <v>15</v>
      </c>
      <c r="Y15">
        <v>15</v>
      </c>
      <c r="Z15">
        <v>14</v>
      </c>
      <c r="AA15">
        <v>14</v>
      </c>
      <c r="AB15">
        <v>14</v>
      </c>
      <c r="AC15">
        <v>14</v>
      </c>
      <c r="AD15">
        <v>13</v>
      </c>
      <c r="AE15">
        <v>13</v>
      </c>
      <c r="AF15">
        <v>12</v>
      </c>
      <c r="AG15">
        <v>12</v>
      </c>
      <c r="AH15">
        <v>12</v>
      </c>
      <c r="AI15">
        <v>11</v>
      </c>
      <c r="AJ15">
        <v>11</v>
      </c>
      <c r="AK15">
        <v>11</v>
      </c>
      <c r="AL15">
        <v>11</v>
      </c>
      <c r="AM15">
        <v>16</v>
      </c>
      <c r="AN15">
        <v>16</v>
      </c>
      <c r="AO15">
        <v>16</v>
      </c>
      <c r="AP15">
        <v>17</v>
      </c>
      <c r="AQ15">
        <v>14</v>
      </c>
      <c r="AR15">
        <v>14</v>
      </c>
      <c r="AS15">
        <v>14</v>
      </c>
      <c r="AT15">
        <v>14</v>
      </c>
    </row>
    <row r="16" spans="1:46" ht="8.1" customHeight="1">
      <c r="A16" t="s">
        <v>4652</v>
      </c>
      <c r="B16">
        <f>VLOOKUP(B15,'System Lookups'!$F$4:$G$27,2)</f>
        <v>0.73</v>
      </c>
      <c r="C16">
        <f>VLOOKUP(C15,'System Lookups'!$F$4:$G$27,2)</f>
        <v>0.73</v>
      </c>
      <c r="D16">
        <f>VLOOKUP(D15,'System Lookups'!$F$4:$G$27,2)</f>
        <v>0.73</v>
      </c>
      <c r="E16">
        <f>VLOOKUP(E15,'System Lookups'!$F$4:$G$27,2)</f>
        <v>0.73</v>
      </c>
      <c r="F16">
        <f>VLOOKUP(F15,'System Lookups'!$F$4:$G$27,2)</f>
        <v>0.73</v>
      </c>
      <c r="G16">
        <f>VLOOKUP(G15,'System Lookups'!$F$4:$G$27,2)</f>
        <v>0.73</v>
      </c>
      <c r="H16">
        <f>VLOOKUP(H15,'System Lookups'!$F$4:$G$27,2)</f>
        <v>0.73</v>
      </c>
      <c r="I16">
        <f>VLOOKUP(I15,'System Lookups'!$F$4:$G$27,2)</f>
        <v>0.73</v>
      </c>
      <c r="J16">
        <f>VLOOKUP(J15,'System Lookups'!$F$4:$G$27,2)</f>
        <v>0.73</v>
      </c>
      <c r="K16">
        <f>VLOOKUP(K15,'System Lookups'!$F$4:$G$27,2)</f>
        <v>0.73</v>
      </c>
      <c r="L16">
        <f>VLOOKUP(L15,'System Lookups'!$F$4:$G$27,2)</f>
        <v>0.73</v>
      </c>
      <c r="M16">
        <f>VLOOKUP(M15,'System Lookups'!$F$4:$G$27,2)</f>
        <v>0.73</v>
      </c>
      <c r="N16">
        <f>VLOOKUP(N15,'System Lookups'!$F$4:$G$27,2)</f>
        <v>0.73</v>
      </c>
      <c r="O16">
        <f>VLOOKUP(O15,'System Lookups'!$F$4:$G$27,2)</f>
        <v>0.73</v>
      </c>
      <c r="P16">
        <f>VLOOKUP(P15,'System Lookups'!$F$4:$G$27,2)</f>
        <v>0.73</v>
      </c>
      <c r="Q16">
        <f>VLOOKUP(Q15,'System Lookups'!$F$4:$G$27,2)</f>
        <v>0.73</v>
      </c>
      <c r="R16">
        <f>VLOOKUP(R15,'System Lookups'!$F$4:$G$27,2)</f>
        <v>0.73</v>
      </c>
      <c r="S16">
        <f>VLOOKUP(S15,'System Lookups'!$F$4:$G$27,2)</f>
        <v>0.73</v>
      </c>
      <c r="T16">
        <f>VLOOKUP(T15,'System Lookups'!$F$4:$G$27,2)</f>
        <v>0.73</v>
      </c>
      <c r="U16">
        <f>VLOOKUP(U15,'System Lookups'!$F$4:$G$27,2)</f>
        <v>0.73</v>
      </c>
      <c r="V16">
        <f>VLOOKUP(V15,'System Lookups'!$F$4:$G$27,2)</f>
        <v>0.76</v>
      </c>
      <c r="W16">
        <f>VLOOKUP(W15,'System Lookups'!$F$4:$G$27,2)</f>
        <v>0.76</v>
      </c>
      <c r="X16">
        <f>VLOOKUP(X15,'System Lookups'!$F$4:$G$27,2)</f>
        <v>0.76</v>
      </c>
      <c r="Y16">
        <f>VLOOKUP(Y15,'System Lookups'!$F$4:$G$27,2)</f>
        <v>0.76</v>
      </c>
      <c r="Z16">
        <f>VLOOKUP(Z15,'System Lookups'!$F$4:$G$27,2)</f>
        <v>0.73</v>
      </c>
      <c r="AA16">
        <f>VLOOKUP(AA15,'System Lookups'!$F$4:$G$27,2)</f>
        <v>0.73</v>
      </c>
      <c r="AB16">
        <f>VLOOKUP(AB15,'System Lookups'!$F$4:$G$27,2)</f>
        <v>0.73</v>
      </c>
      <c r="AC16">
        <f>VLOOKUP(AC15,'System Lookups'!$F$4:$G$27,2)</f>
        <v>0.73</v>
      </c>
      <c r="AD16">
        <f>VLOOKUP(AD15,'System Lookups'!$F$4:$G$27,2)</f>
        <v>0.7</v>
      </c>
      <c r="AE16">
        <f>VLOOKUP(AE15,'System Lookups'!$F$4:$G$27,2)</f>
        <v>0.7</v>
      </c>
      <c r="AF16">
        <f>VLOOKUP(AF15,'System Lookups'!$F$4:$G$27,2)</f>
        <v>0.66</v>
      </c>
      <c r="AG16">
        <f>VLOOKUP(AG15,'System Lookups'!$F$4:$G$27,2)</f>
        <v>0.66</v>
      </c>
      <c r="AH16">
        <f>VLOOKUP(AH15,'System Lookups'!$F$4:$G$27,2)</f>
        <v>0.66</v>
      </c>
      <c r="AI16">
        <f>VLOOKUP(AI15,'System Lookups'!$F$4:$G$27,2)</f>
        <v>0.62</v>
      </c>
      <c r="AJ16">
        <f>VLOOKUP(AJ15,'System Lookups'!$F$4:$G$27,2)</f>
        <v>0.62</v>
      </c>
      <c r="AK16">
        <f>VLOOKUP(AK15,'System Lookups'!$F$4:$G$27,2)</f>
        <v>0.62</v>
      </c>
      <c r="AL16">
        <f>VLOOKUP(AL15,'System Lookups'!$F$4:$G$27,2)</f>
        <v>0.62</v>
      </c>
      <c r="AM16">
        <f>VLOOKUP(AM15,'System Lookups'!$F$4:$G$27,2)</f>
        <v>0.79</v>
      </c>
      <c r="AN16">
        <f>VLOOKUP(AN15,'System Lookups'!$F$4:$G$27,2)</f>
        <v>0.79</v>
      </c>
      <c r="AO16">
        <f>VLOOKUP(AO15,'System Lookups'!$F$4:$G$27,2)</f>
        <v>0.79</v>
      </c>
      <c r="AP16">
        <f>VLOOKUP(AP15,'System Lookups'!$F$4:$G$27,2)</f>
        <v>0.82</v>
      </c>
      <c r="AQ16">
        <f>VLOOKUP(AQ15,'System Lookups'!$F$4:$G$27,2)</f>
        <v>0.73</v>
      </c>
      <c r="AR16">
        <f>VLOOKUP(AR15,'System Lookups'!$F$4:$G$27,2)</f>
        <v>0.73</v>
      </c>
      <c r="AS16">
        <f>VLOOKUP(AS15,'System Lookups'!$F$4:$G$27,2)</f>
        <v>0.73</v>
      </c>
      <c r="AT16">
        <f>VLOOKUP(AT15,'System Lookups'!$F$4:$G$27,2)</f>
        <v>0.73</v>
      </c>
    </row>
    <row r="17" spans="1:46" ht="8.1" customHeight="1" collapsed="1">
      <c r="A17" t="s">
        <v>5271</v>
      </c>
      <c r="B17">
        <v>74</v>
      </c>
      <c r="C17">
        <v>76</v>
      </c>
      <c r="D17">
        <v>78</v>
      </c>
      <c r="E17">
        <v>80</v>
      </c>
      <c r="F17">
        <v>70</v>
      </c>
      <c r="G17">
        <v>71</v>
      </c>
      <c r="H17">
        <v>72</v>
      </c>
      <c r="I17">
        <v>73</v>
      </c>
      <c r="J17">
        <v>65</v>
      </c>
      <c r="K17">
        <v>66</v>
      </c>
      <c r="L17">
        <v>67</v>
      </c>
      <c r="M17">
        <v>68</v>
      </c>
      <c r="N17">
        <v>65</v>
      </c>
      <c r="O17">
        <v>66</v>
      </c>
      <c r="P17">
        <v>67</v>
      </c>
      <c r="Q17">
        <v>68</v>
      </c>
      <c r="R17">
        <v>66</v>
      </c>
      <c r="S17">
        <v>67</v>
      </c>
      <c r="T17">
        <v>68</v>
      </c>
      <c r="U17">
        <v>69</v>
      </c>
      <c r="V17">
        <v>56</v>
      </c>
      <c r="W17">
        <v>56</v>
      </c>
      <c r="X17">
        <v>57</v>
      </c>
      <c r="Y17">
        <v>58</v>
      </c>
      <c r="Z17">
        <v>66</v>
      </c>
      <c r="AA17">
        <v>66</v>
      </c>
      <c r="AB17">
        <v>67</v>
      </c>
      <c r="AC17">
        <v>68</v>
      </c>
      <c r="AD17">
        <v>56</v>
      </c>
      <c r="AE17">
        <v>48</v>
      </c>
      <c r="AF17">
        <v>72</v>
      </c>
      <c r="AG17">
        <v>66</v>
      </c>
      <c r="AH17">
        <v>58</v>
      </c>
      <c r="AI17">
        <v>77</v>
      </c>
      <c r="AJ17">
        <v>80</v>
      </c>
      <c r="AK17">
        <v>84</v>
      </c>
      <c r="AL17">
        <v>87</v>
      </c>
      <c r="AM17">
        <v>67</v>
      </c>
      <c r="AN17">
        <v>69</v>
      </c>
      <c r="AO17">
        <v>69</v>
      </c>
      <c r="AP17">
        <v>70</v>
      </c>
      <c r="AQ17">
        <v>56</v>
      </c>
      <c r="AR17">
        <v>58</v>
      </c>
      <c r="AS17">
        <v>60</v>
      </c>
      <c r="AT17">
        <v>62</v>
      </c>
    </row>
    <row r="18" spans="1:46" ht="8.1" customHeight="1">
      <c r="A18" t="s">
        <v>5023</v>
      </c>
      <c r="B18">
        <v>2000</v>
      </c>
      <c r="C18">
        <v>2100</v>
      </c>
      <c r="D18">
        <v>2250</v>
      </c>
      <c r="E18">
        <v>2400</v>
      </c>
      <c r="F18">
        <v>1700</v>
      </c>
      <c r="G18">
        <v>1800</v>
      </c>
      <c r="H18">
        <v>1900</v>
      </c>
      <c r="I18">
        <v>1900</v>
      </c>
      <c r="J18">
        <v>1400</v>
      </c>
      <c r="K18">
        <v>1500</v>
      </c>
      <c r="L18">
        <v>1600</v>
      </c>
      <c r="M18">
        <v>1600</v>
      </c>
      <c r="N18">
        <v>1100</v>
      </c>
      <c r="O18">
        <v>1100</v>
      </c>
      <c r="P18">
        <v>1200</v>
      </c>
      <c r="Q18">
        <v>1300</v>
      </c>
      <c r="R18">
        <v>1200</v>
      </c>
      <c r="S18">
        <v>1200</v>
      </c>
      <c r="T18">
        <v>1300</v>
      </c>
      <c r="U18">
        <v>1400</v>
      </c>
      <c r="V18">
        <v>900</v>
      </c>
      <c r="W18">
        <v>900</v>
      </c>
      <c r="X18">
        <v>1000</v>
      </c>
      <c r="Y18">
        <v>1100</v>
      </c>
      <c r="Z18">
        <v>1000</v>
      </c>
      <c r="AA18">
        <v>1000</v>
      </c>
      <c r="AB18">
        <v>1100</v>
      </c>
      <c r="AC18">
        <v>1200</v>
      </c>
      <c r="AD18">
        <v>800</v>
      </c>
      <c r="AE18">
        <v>500</v>
      </c>
      <c r="AF18">
        <v>2000</v>
      </c>
      <c r="AG18">
        <v>1500</v>
      </c>
      <c r="AH18">
        <v>400</v>
      </c>
      <c r="AI18">
        <v>1700</v>
      </c>
      <c r="AJ18">
        <v>1900</v>
      </c>
      <c r="AK18">
        <v>2100</v>
      </c>
      <c r="AL18">
        <v>2400</v>
      </c>
      <c r="AM18">
        <v>900</v>
      </c>
      <c r="AN18">
        <v>1100</v>
      </c>
      <c r="AO18">
        <v>1200</v>
      </c>
      <c r="AP18">
        <v>1400</v>
      </c>
      <c r="AQ18">
        <v>1100</v>
      </c>
      <c r="AR18">
        <v>1200</v>
      </c>
      <c r="AS18">
        <v>1400</v>
      </c>
      <c r="AT18">
        <v>1500</v>
      </c>
    </row>
    <row r="19" spans="1:46" ht="8.1" customHeight="1">
      <c r="A19" t="s">
        <v>5272</v>
      </c>
      <c r="B19">
        <v>650</v>
      </c>
      <c r="C19">
        <v>675</v>
      </c>
      <c r="D19">
        <v>700</v>
      </c>
      <c r="E19">
        <v>725</v>
      </c>
      <c r="F19">
        <v>600</v>
      </c>
      <c r="G19">
        <v>625</v>
      </c>
      <c r="H19">
        <v>650</v>
      </c>
      <c r="I19">
        <v>675</v>
      </c>
      <c r="J19">
        <v>450</v>
      </c>
      <c r="K19">
        <v>475</v>
      </c>
      <c r="L19">
        <v>500</v>
      </c>
      <c r="M19">
        <v>525</v>
      </c>
      <c r="N19">
        <v>425</v>
      </c>
      <c r="O19">
        <v>450</v>
      </c>
      <c r="P19">
        <v>475</v>
      </c>
      <c r="Q19">
        <v>500</v>
      </c>
      <c r="R19">
        <v>285</v>
      </c>
      <c r="S19">
        <v>300</v>
      </c>
      <c r="T19">
        <v>325</v>
      </c>
      <c r="U19">
        <v>350</v>
      </c>
      <c r="V19">
        <v>225</v>
      </c>
      <c r="W19">
        <v>235</v>
      </c>
      <c r="X19">
        <v>250</v>
      </c>
      <c r="Y19">
        <v>265</v>
      </c>
      <c r="Z19">
        <v>250</v>
      </c>
      <c r="AA19">
        <v>275</v>
      </c>
      <c r="AB19">
        <v>275</v>
      </c>
      <c r="AC19">
        <v>300</v>
      </c>
      <c r="AD19">
        <v>200</v>
      </c>
      <c r="AE19">
        <v>150</v>
      </c>
      <c r="AF19">
        <v>600</v>
      </c>
      <c r="AG19">
        <v>450</v>
      </c>
      <c r="AH19">
        <v>190</v>
      </c>
      <c r="AI19">
        <v>360</v>
      </c>
      <c r="AJ19">
        <v>400</v>
      </c>
      <c r="AK19">
        <v>450</v>
      </c>
      <c r="AL19">
        <v>525</v>
      </c>
      <c r="AM19">
        <v>250</v>
      </c>
      <c r="AN19">
        <v>300</v>
      </c>
      <c r="AO19">
        <v>325</v>
      </c>
      <c r="AP19">
        <v>350</v>
      </c>
      <c r="AQ19">
        <v>500</v>
      </c>
      <c r="AR19">
        <v>540</v>
      </c>
      <c r="AS19">
        <v>600</v>
      </c>
      <c r="AT19">
        <v>800</v>
      </c>
    </row>
    <row r="20" spans="1:46" ht="8.1" customHeight="1">
      <c r="A20" t="s">
        <v>5273</v>
      </c>
      <c r="B20">
        <f t="shared" ref="B20:AT20" si="1">B19*2</f>
        <v>1300</v>
      </c>
      <c r="C20">
        <f t="shared" si="1"/>
        <v>1350</v>
      </c>
      <c r="D20">
        <f t="shared" si="1"/>
        <v>1400</v>
      </c>
      <c r="E20">
        <f t="shared" si="1"/>
        <v>1450</v>
      </c>
      <c r="F20">
        <f t="shared" si="1"/>
        <v>1200</v>
      </c>
      <c r="G20">
        <f t="shared" si="1"/>
        <v>1250</v>
      </c>
      <c r="H20">
        <f t="shared" si="1"/>
        <v>1300</v>
      </c>
      <c r="I20">
        <f t="shared" si="1"/>
        <v>1350</v>
      </c>
      <c r="J20">
        <f t="shared" si="1"/>
        <v>900</v>
      </c>
      <c r="K20">
        <f t="shared" si="1"/>
        <v>950</v>
      </c>
      <c r="L20">
        <f t="shared" si="1"/>
        <v>1000</v>
      </c>
      <c r="M20">
        <f t="shared" si="1"/>
        <v>1050</v>
      </c>
      <c r="N20">
        <f t="shared" si="1"/>
        <v>850</v>
      </c>
      <c r="O20">
        <f t="shared" si="1"/>
        <v>900</v>
      </c>
      <c r="P20">
        <f t="shared" si="1"/>
        <v>950</v>
      </c>
      <c r="Q20">
        <f t="shared" si="1"/>
        <v>1000</v>
      </c>
      <c r="R20">
        <f t="shared" si="1"/>
        <v>570</v>
      </c>
      <c r="S20">
        <f t="shared" si="1"/>
        <v>600</v>
      </c>
      <c r="T20">
        <f t="shared" si="1"/>
        <v>650</v>
      </c>
      <c r="U20">
        <f t="shared" si="1"/>
        <v>700</v>
      </c>
      <c r="V20">
        <f t="shared" si="1"/>
        <v>450</v>
      </c>
      <c r="W20">
        <f t="shared" si="1"/>
        <v>470</v>
      </c>
      <c r="X20">
        <f t="shared" si="1"/>
        <v>500</v>
      </c>
      <c r="Y20">
        <f t="shared" si="1"/>
        <v>530</v>
      </c>
      <c r="Z20">
        <f t="shared" si="1"/>
        <v>500</v>
      </c>
      <c r="AA20">
        <f t="shared" si="1"/>
        <v>550</v>
      </c>
      <c r="AB20">
        <f t="shared" si="1"/>
        <v>550</v>
      </c>
      <c r="AC20">
        <f t="shared" si="1"/>
        <v>600</v>
      </c>
      <c r="AD20">
        <f t="shared" si="1"/>
        <v>400</v>
      </c>
      <c r="AE20">
        <f t="shared" si="1"/>
        <v>300</v>
      </c>
      <c r="AF20">
        <f t="shared" si="1"/>
        <v>1200</v>
      </c>
      <c r="AG20">
        <f t="shared" si="1"/>
        <v>900</v>
      </c>
      <c r="AH20">
        <f t="shared" si="1"/>
        <v>380</v>
      </c>
      <c r="AI20">
        <f t="shared" si="1"/>
        <v>720</v>
      </c>
      <c r="AJ20">
        <f t="shared" si="1"/>
        <v>800</v>
      </c>
      <c r="AK20">
        <f t="shared" si="1"/>
        <v>900</v>
      </c>
      <c r="AL20">
        <f t="shared" si="1"/>
        <v>1050</v>
      </c>
      <c r="AM20">
        <f t="shared" si="1"/>
        <v>500</v>
      </c>
      <c r="AN20">
        <f t="shared" si="1"/>
        <v>600</v>
      </c>
      <c r="AO20">
        <f t="shared" si="1"/>
        <v>650</v>
      </c>
      <c r="AP20">
        <f t="shared" si="1"/>
        <v>700</v>
      </c>
      <c r="AQ20">
        <f t="shared" si="1"/>
        <v>1000</v>
      </c>
      <c r="AR20">
        <f t="shared" si="1"/>
        <v>1080</v>
      </c>
      <c r="AS20">
        <f t="shared" si="1"/>
        <v>1200</v>
      </c>
      <c r="AT20">
        <f t="shared" si="1"/>
        <v>1600</v>
      </c>
    </row>
    <row r="21" spans="1:46" ht="8.1" customHeight="1">
      <c r="A21" t="s">
        <v>5274</v>
      </c>
      <c r="B21">
        <f t="shared" ref="B21:AT21" si="2">B19*3</f>
        <v>1950</v>
      </c>
      <c r="C21">
        <f t="shared" si="2"/>
        <v>2025</v>
      </c>
      <c r="D21">
        <f t="shared" si="2"/>
        <v>2100</v>
      </c>
      <c r="E21">
        <f t="shared" si="2"/>
        <v>2175</v>
      </c>
      <c r="F21">
        <f t="shared" si="2"/>
        <v>1800</v>
      </c>
      <c r="G21">
        <f t="shared" si="2"/>
        <v>1875</v>
      </c>
      <c r="H21">
        <f t="shared" si="2"/>
        <v>1950</v>
      </c>
      <c r="I21">
        <f t="shared" si="2"/>
        <v>2025</v>
      </c>
      <c r="J21">
        <f t="shared" si="2"/>
        <v>1350</v>
      </c>
      <c r="K21">
        <f t="shared" si="2"/>
        <v>1425</v>
      </c>
      <c r="L21">
        <f t="shared" si="2"/>
        <v>1500</v>
      </c>
      <c r="M21">
        <f t="shared" si="2"/>
        <v>1575</v>
      </c>
      <c r="N21">
        <f t="shared" si="2"/>
        <v>1275</v>
      </c>
      <c r="O21">
        <f t="shared" si="2"/>
        <v>1350</v>
      </c>
      <c r="P21">
        <f t="shared" si="2"/>
        <v>1425</v>
      </c>
      <c r="Q21">
        <f t="shared" si="2"/>
        <v>1500</v>
      </c>
      <c r="R21">
        <f t="shared" si="2"/>
        <v>855</v>
      </c>
      <c r="S21">
        <f t="shared" si="2"/>
        <v>900</v>
      </c>
      <c r="T21">
        <f t="shared" si="2"/>
        <v>975</v>
      </c>
      <c r="U21">
        <f t="shared" si="2"/>
        <v>1050</v>
      </c>
      <c r="V21">
        <f t="shared" si="2"/>
        <v>675</v>
      </c>
      <c r="W21">
        <f t="shared" si="2"/>
        <v>705</v>
      </c>
      <c r="X21">
        <f t="shared" si="2"/>
        <v>750</v>
      </c>
      <c r="Y21">
        <f t="shared" si="2"/>
        <v>795</v>
      </c>
      <c r="Z21">
        <f t="shared" si="2"/>
        <v>750</v>
      </c>
      <c r="AA21">
        <f t="shared" si="2"/>
        <v>825</v>
      </c>
      <c r="AB21">
        <f t="shared" si="2"/>
        <v>825</v>
      </c>
      <c r="AC21">
        <f t="shared" si="2"/>
        <v>900</v>
      </c>
      <c r="AD21">
        <f t="shared" si="2"/>
        <v>600</v>
      </c>
      <c r="AE21">
        <f t="shared" si="2"/>
        <v>450</v>
      </c>
      <c r="AF21">
        <f t="shared" si="2"/>
        <v>1800</v>
      </c>
      <c r="AG21">
        <f t="shared" si="2"/>
        <v>1350</v>
      </c>
      <c r="AH21">
        <f t="shared" si="2"/>
        <v>570</v>
      </c>
      <c r="AI21">
        <f t="shared" si="2"/>
        <v>1080</v>
      </c>
      <c r="AJ21">
        <f t="shared" si="2"/>
        <v>1200</v>
      </c>
      <c r="AK21">
        <f t="shared" si="2"/>
        <v>1350</v>
      </c>
      <c r="AL21">
        <f t="shared" si="2"/>
        <v>1575</v>
      </c>
      <c r="AM21">
        <f t="shared" si="2"/>
        <v>750</v>
      </c>
      <c r="AN21">
        <f t="shared" si="2"/>
        <v>900</v>
      </c>
      <c r="AO21">
        <f t="shared" si="2"/>
        <v>975</v>
      </c>
      <c r="AP21">
        <f t="shared" si="2"/>
        <v>1050</v>
      </c>
      <c r="AQ21">
        <f t="shared" si="2"/>
        <v>1500</v>
      </c>
      <c r="AR21">
        <f t="shared" si="2"/>
        <v>1620</v>
      </c>
      <c r="AS21">
        <f t="shared" si="2"/>
        <v>1800</v>
      </c>
      <c r="AT21">
        <f t="shared" si="2"/>
        <v>2400</v>
      </c>
    </row>
    <row r="22" spans="1:46" ht="8.1" customHeight="1">
      <c r="A22" t="s">
        <v>5275</v>
      </c>
      <c r="B22">
        <f t="shared" ref="B22:AT22" si="3">B19*5</f>
        <v>3250</v>
      </c>
      <c r="C22">
        <f t="shared" si="3"/>
        <v>3375</v>
      </c>
      <c r="D22">
        <f t="shared" si="3"/>
        <v>3500</v>
      </c>
      <c r="E22">
        <f t="shared" si="3"/>
        <v>3625</v>
      </c>
      <c r="F22">
        <f t="shared" si="3"/>
        <v>3000</v>
      </c>
      <c r="G22">
        <f t="shared" si="3"/>
        <v>3125</v>
      </c>
      <c r="H22">
        <f t="shared" si="3"/>
        <v>3250</v>
      </c>
      <c r="I22">
        <f t="shared" si="3"/>
        <v>3375</v>
      </c>
      <c r="J22">
        <f t="shared" si="3"/>
        <v>2250</v>
      </c>
      <c r="K22">
        <f t="shared" si="3"/>
        <v>2375</v>
      </c>
      <c r="L22">
        <f t="shared" si="3"/>
        <v>2500</v>
      </c>
      <c r="M22">
        <f t="shared" si="3"/>
        <v>2625</v>
      </c>
      <c r="N22">
        <f t="shared" si="3"/>
        <v>2125</v>
      </c>
      <c r="O22">
        <f t="shared" si="3"/>
        <v>2250</v>
      </c>
      <c r="P22">
        <f t="shared" si="3"/>
        <v>2375</v>
      </c>
      <c r="Q22">
        <f t="shared" si="3"/>
        <v>2500</v>
      </c>
      <c r="R22">
        <f t="shared" si="3"/>
        <v>1425</v>
      </c>
      <c r="S22">
        <f t="shared" si="3"/>
        <v>1500</v>
      </c>
      <c r="T22">
        <f t="shared" si="3"/>
        <v>1625</v>
      </c>
      <c r="U22">
        <f t="shared" si="3"/>
        <v>1750</v>
      </c>
      <c r="V22">
        <f t="shared" si="3"/>
        <v>1125</v>
      </c>
      <c r="W22">
        <f t="shared" si="3"/>
        <v>1175</v>
      </c>
      <c r="X22">
        <f t="shared" si="3"/>
        <v>1250</v>
      </c>
      <c r="Y22">
        <f t="shared" si="3"/>
        <v>1325</v>
      </c>
      <c r="Z22">
        <f t="shared" si="3"/>
        <v>1250</v>
      </c>
      <c r="AA22">
        <f t="shared" si="3"/>
        <v>1375</v>
      </c>
      <c r="AB22">
        <f t="shared" si="3"/>
        <v>1375</v>
      </c>
      <c r="AC22">
        <f t="shared" si="3"/>
        <v>1500</v>
      </c>
      <c r="AD22">
        <f t="shared" si="3"/>
        <v>1000</v>
      </c>
      <c r="AE22">
        <f t="shared" si="3"/>
        <v>750</v>
      </c>
      <c r="AF22">
        <f t="shared" si="3"/>
        <v>3000</v>
      </c>
      <c r="AG22">
        <f t="shared" si="3"/>
        <v>2250</v>
      </c>
      <c r="AH22">
        <f t="shared" si="3"/>
        <v>950</v>
      </c>
      <c r="AI22">
        <f t="shared" si="3"/>
        <v>1800</v>
      </c>
      <c r="AJ22">
        <f t="shared" si="3"/>
        <v>2000</v>
      </c>
      <c r="AK22">
        <f t="shared" si="3"/>
        <v>2250</v>
      </c>
      <c r="AL22">
        <f t="shared" si="3"/>
        <v>2625</v>
      </c>
      <c r="AM22">
        <f t="shared" si="3"/>
        <v>1250</v>
      </c>
      <c r="AN22">
        <f t="shared" si="3"/>
        <v>1500</v>
      </c>
      <c r="AO22">
        <f t="shared" si="3"/>
        <v>1625</v>
      </c>
      <c r="AP22">
        <f t="shared" si="3"/>
        <v>1750</v>
      </c>
      <c r="AQ22">
        <f t="shared" si="3"/>
        <v>2500</v>
      </c>
      <c r="AR22">
        <f t="shared" si="3"/>
        <v>2700</v>
      </c>
      <c r="AS22">
        <f t="shared" si="3"/>
        <v>3000</v>
      </c>
      <c r="AT22">
        <f t="shared" si="3"/>
        <v>4000</v>
      </c>
    </row>
    <row r="23" spans="1:46" ht="8.1" customHeight="1">
      <c r="A23" t="s">
        <v>5276</v>
      </c>
      <c r="B23">
        <v>97</v>
      </c>
      <c r="C23">
        <v>100</v>
      </c>
      <c r="D23">
        <v>103</v>
      </c>
      <c r="E23">
        <v>106</v>
      </c>
      <c r="F23">
        <v>91</v>
      </c>
      <c r="G23">
        <v>94</v>
      </c>
      <c r="H23">
        <v>97</v>
      </c>
      <c r="I23">
        <v>100</v>
      </c>
      <c r="J23">
        <v>84</v>
      </c>
      <c r="K23">
        <v>86</v>
      </c>
      <c r="L23">
        <v>88</v>
      </c>
      <c r="M23">
        <v>90</v>
      </c>
      <c r="N23">
        <v>77</v>
      </c>
      <c r="O23">
        <v>79</v>
      </c>
      <c r="P23">
        <v>82</v>
      </c>
      <c r="Q23">
        <v>85</v>
      </c>
      <c r="R23">
        <v>79</v>
      </c>
      <c r="S23">
        <v>82</v>
      </c>
      <c r="T23">
        <v>85</v>
      </c>
      <c r="U23">
        <v>89</v>
      </c>
      <c r="V23">
        <v>65</v>
      </c>
      <c r="W23">
        <v>68</v>
      </c>
      <c r="X23">
        <v>71</v>
      </c>
      <c r="Y23">
        <v>76</v>
      </c>
      <c r="Z23">
        <v>72</v>
      </c>
      <c r="AA23">
        <v>75</v>
      </c>
      <c r="AB23">
        <v>79</v>
      </c>
      <c r="AC23">
        <v>82</v>
      </c>
      <c r="AD23">
        <v>61</v>
      </c>
      <c r="AE23">
        <v>56</v>
      </c>
      <c r="AF23">
        <v>96</v>
      </c>
      <c r="AG23">
        <v>88</v>
      </c>
      <c r="AH23">
        <v>53</v>
      </c>
      <c r="AI23">
        <v>69</v>
      </c>
      <c r="AJ23">
        <v>73</v>
      </c>
      <c r="AK23">
        <v>77</v>
      </c>
      <c r="AL23">
        <v>82</v>
      </c>
      <c r="AM23">
        <v>87</v>
      </c>
      <c r="AN23">
        <v>90</v>
      </c>
      <c r="AO23">
        <v>93</v>
      </c>
      <c r="AP23">
        <v>96</v>
      </c>
      <c r="AQ23">
        <v>63</v>
      </c>
      <c r="AR23">
        <v>68</v>
      </c>
      <c r="AS23">
        <v>75</v>
      </c>
      <c r="AT23">
        <v>80</v>
      </c>
    </row>
    <row r="24" spans="1:46" ht="8.1" customHeight="1">
      <c r="A24" t="s">
        <v>5277</v>
      </c>
      <c r="B24">
        <v>41</v>
      </c>
      <c r="C24">
        <v>44</v>
      </c>
      <c r="D24">
        <v>47</v>
      </c>
      <c r="E24">
        <v>49</v>
      </c>
      <c r="F24">
        <v>40</v>
      </c>
      <c r="G24">
        <v>42</v>
      </c>
      <c r="H24">
        <v>44</v>
      </c>
      <c r="I24">
        <v>46</v>
      </c>
      <c r="J24">
        <v>38</v>
      </c>
      <c r="K24">
        <v>40</v>
      </c>
      <c r="L24">
        <v>42</v>
      </c>
      <c r="M24">
        <v>44</v>
      </c>
      <c r="N24">
        <v>32</v>
      </c>
      <c r="O24">
        <v>34</v>
      </c>
      <c r="P24">
        <v>36</v>
      </c>
      <c r="Q24">
        <v>38</v>
      </c>
      <c r="R24">
        <v>36</v>
      </c>
      <c r="S24">
        <v>40</v>
      </c>
      <c r="T24">
        <v>43</v>
      </c>
      <c r="U24">
        <v>46</v>
      </c>
      <c r="V24">
        <v>34</v>
      </c>
      <c r="W24">
        <v>37</v>
      </c>
      <c r="X24">
        <v>40</v>
      </c>
      <c r="Y24">
        <v>42</v>
      </c>
      <c r="Z24">
        <v>28</v>
      </c>
      <c r="AA24">
        <v>30</v>
      </c>
      <c r="AB24">
        <v>34</v>
      </c>
      <c r="AC24">
        <v>36</v>
      </c>
      <c r="AD24">
        <v>27</v>
      </c>
      <c r="AE24">
        <v>24</v>
      </c>
      <c r="AF24">
        <v>43</v>
      </c>
      <c r="AG24">
        <v>41</v>
      </c>
      <c r="AH24">
        <v>28</v>
      </c>
      <c r="AI24">
        <v>34</v>
      </c>
      <c r="AJ24">
        <v>37</v>
      </c>
      <c r="AK24">
        <v>40</v>
      </c>
      <c r="AL24">
        <v>43</v>
      </c>
      <c r="AM24">
        <v>41</v>
      </c>
      <c r="AN24">
        <v>46</v>
      </c>
      <c r="AO24">
        <v>49</v>
      </c>
      <c r="AP24">
        <v>51</v>
      </c>
      <c r="AQ24">
        <v>38</v>
      </c>
      <c r="AR24">
        <v>42</v>
      </c>
      <c r="AS24">
        <v>44</v>
      </c>
      <c r="AT24">
        <v>50</v>
      </c>
    </row>
    <row r="25" spans="1:46" ht="8.1" customHeight="1">
      <c r="A25" t="s">
        <v>5278</v>
      </c>
      <c r="B25">
        <v>15</v>
      </c>
      <c r="C25">
        <v>16</v>
      </c>
      <c r="D25">
        <v>17</v>
      </c>
      <c r="E25">
        <v>18</v>
      </c>
      <c r="F25">
        <v>15</v>
      </c>
      <c r="G25">
        <v>16</v>
      </c>
      <c r="H25">
        <v>17</v>
      </c>
      <c r="I25">
        <v>18</v>
      </c>
      <c r="J25">
        <v>16</v>
      </c>
      <c r="K25">
        <v>17</v>
      </c>
      <c r="L25">
        <v>18</v>
      </c>
      <c r="M25">
        <v>19</v>
      </c>
      <c r="N25">
        <v>17</v>
      </c>
      <c r="O25">
        <v>18</v>
      </c>
      <c r="P25">
        <v>20</v>
      </c>
      <c r="Q25">
        <v>21</v>
      </c>
      <c r="R25">
        <v>21</v>
      </c>
      <c r="S25">
        <v>22</v>
      </c>
      <c r="T25">
        <v>23</v>
      </c>
      <c r="U25">
        <v>24</v>
      </c>
      <c r="V25">
        <v>16</v>
      </c>
      <c r="W25">
        <v>17</v>
      </c>
      <c r="X25">
        <v>19</v>
      </c>
      <c r="Y25">
        <v>20</v>
      </c>
      <c r="Z25">
        <v>16</v>
      </c>
      <c r="AA25">
        <v>17</v>
      </c>
      <c r="AB25">
        <v>17</v>
      </c>
      <c r="AC25">
        <v>18</v>
      </c>
      <c r="AD25">
        <v>16</v>
      </c>
      <c r="AE25">
        <v>15</v>
      </c>
      <c r="AF25">
        <v>15</v>
      </c>
      <c r="AG25">
        <v>16</v>
      </c>
      <c r="AH25">
        <v>14</v>
      </c>
      <c r="AI25">
        <v>16</v>
      </c>
      <c r="AJ25">
        <v>17</v>
      </c>
      <c r="AK25">
        <v>18</v>
      </c>
      <c r="AL25">
        <v>20</v>
      </c>
      <c r="AM25">
        <v>22</v>
      </c>
      <c r="AN25">
        <v>24</v>
      </c>
      <c r="AO25">
        <v>25</v>
      </c>
      <c r="AP25">
        <v>26</v>
      </c>
      <c r="AQ25">
        <v>17</v>
      </c>
      <c r="AR25">
        <v>18</v>
      </c>
      <c r="AS25">
        <v>19</v>
      </c>
      <c r="AT25">
        <v>19</v>
      </c>
    </row>
    <row r="26" spans="1:46" ht="8.1" customHeight="1">
      <c r="A26" t="s">
        <v>5279</v>
      </c>
      <c r="B26">
        <v>4</v>
      </c>
      <c r="C26">
        <v>4</v>
      </c>
      <c r="D26">
        <v>4</v>
      </c>
      <c r="E26">
        <v>4</v>
      </c>
      <c r="F26">
        <v>4</v>
      </c>
      <c r="G26">
        <v>4</v>
      </c>
      <c r="H26">
        <v>4</v>
      </c>
      <c r="I26">
        <v>4</v>
      </c>
      <c r="J26">
        <v>4</v>
      </c>
      <c r="K26">
        <v>4</v>
      </c>
      <c r="L26">
        <v>4</v>
      </c>
      <c r="M26">
        <v>4</v>
      </c>
      <c r="N26">
        <v>4</v>
      </c>
      <c r="O26">
        <v>4</v>
      </c>
      <c r="P26">
        <v>4</v>
      </c>
      <c r="Q26">
        <v>4</v>
      </c>
      <c r="R26">
        <v>4</v>
      </c>
      <c r="S26">
        <v>4</v>
      </c>
      <c r="T26">
        <v>4</v>
      </c>
      <c r="U26">
        <v>4</v>
      </c>
      <c r="V26">
        <v>4</v>
      </c>
      <c r="W26">
        <v>4</v>
      </c>
      <c r="X26">
        <v>4</v>
      </c>
      <c r="Y26">
        <v>4</v>
      </c>
      <c r="Z26">
        <v>4</v>
      </c>
      <c r="AA26">
        <v>4</v>
      </c>
      <c r="AB26">
        <v>4</v>
      </c>
      <c r="AC26">
        <v>4</v>
      </c>
      <c r="AD26">
        <v>4</v>
      </c>
      <c r="AE26">
        <v>4</v>
      </c>
      <c r="AF26">
        <v>4</v>
      </c>
      <c r="AG26">
        <v>4</v>
      </c>
      <c r="AH26">
        <v>4</v>
      </c>
      <c r="AI26">
        <v>4</v>
      </c>
      <c r="AJ26">
        <v>4</v>
      </c>
      <c r="AK26">
        <v>4</v>
      </c>
      <c r="AL26">
        <v>4</v>
      </c>
      <c r="AM26">
        <v>4</v>
      </c>
      <c r="AN26">
        <v>4</v>
      </c>
      <c r="AO26">
        <v>4</v>
      </c>
      <c r="AP26">
        <v>4</v>
      </c>
      <c r="AQ26">
        <v>4</v>
      </c>
      <c r="AR26">
        <v>4</v>
      </c>
      <c r="AS26">
        <v>4</v>
      </c>
      <c r="AT26">
        <v>4</v>
      </c>
    </row>
    <row r="27" spans="1:46" ht="8.1" customHeight="1">
      <c r="A27" t="s">
        <v>3750</v>
      </c>
      <c r="B27">
        <v>3.6</v>
      </c>
      <c r="C27">
        <v>3.8</v>
      </c>
      <c r="D27">
        <v>4</v>
      </c>
      <c r="E27">
        <v>4.2</v>
      </c>
      <c r="F27">
        <v>3.6</v>
      </c>
      <c r="G27">
        <v>3.8</v>
      </c>
      <c r="H27">
        <v>4</v>
      </c>
      <c r="I27">
        <v>4.2</v>
      </c>
      <c r="J27">
        <v>3.8</v>
      </c>
      <c r="K27">
        <v>4</v>
      </c>
      <c r="L27">
        <v>4.2</v>
      </c>
      <c r="M27">
        <v>4.4000000000000004</v>
      </c>
      <c r="N27">
        <v>4</v>
      </c>
      <c r="O27">
        <v>4.2</v>
      </c>
      <c r="P27">
        <v>4.5</v>
      </c>
      <c r="Q27">
        <v>4.7</v>
      </c>
      <c r="R27">
        <v>4.7</v>
      </c>
      <c r="S27">
        <v>4.9000000000000004</v>
      </c>
      <c r="T27">
        <v>5.0999999999999996</v>
      </c>
      <c r="U27">
        <v>5.2</v>
      </c>
      <c r="V27">
        <v>3.8</v>
      </c>
      <c r="W27">
        <v>4</v>
      </c>
      <c r="X27">
        <v>4.4000000000000004</v>
      </c>
      <c r="Y27">
        <v>4.5</v>
      </c>
      <c r="Z27">
        <v>3.8</v>
      </c>
      <c r="AA27">
        <v>4</v>
      </c>
      <c r="AB27">
        <v>4.2</v>
      </c>
      <c r="AC27">
        <v>4.5999999999999996</v>
      </c>
      <c r="AD27">
        <v>4</v>
      </c>
      <c r="AE27">
        <v>4.4000000000000004</v>
      </c>
      <c r="AF27">
        <v>4.4000000000000004</v>
      </c>
      <c r="AG27">
        <v>4.5</v>
      </c>
      <c r="AH27">
        <v>4.5</v>
      </c>
      <c r="AI27">
        <v>3.8</v>
      </c>
      <c r="AJ27">
        <v>4</v>
      </c>
      <c r="AK27">
        <v>4.2</v>
      </c>
      <c r="AL27">
        <v>4.5</v>
      </c>
      <c r="AM27">
        <v>4.9000000000000004</v>
      </c>
      <c r="AN27">
        <v>5.2</v>
      </c>
      <c r="AO27">
        <v>5.4</v>
      </c>
      <c r="AP27">
        <v>5.6</v>
      </c>
      <c r="AQ27">
        <v>4</v>
      </c>
      <c r="AR27">
        <v>4.2</v>
      </c>
      <c r="AS27">
        <v>4.4000000000000004</v>
      </c>
      <c r="AT27">
        <v>4.4000000000000004</v>
      </c>
    </row>
    <row r="28" spans="1:46" ht="8.1" customHeight="1">
      <c r="A28" t="s">
        <v>5280</v>
      </c>
      <c r="B28">
        <v>12</v>
      </c>
      <c r="C28">
        <v>12</v>
      </c>
      <c r="D28">
        <v>12</v>
      </c>
      <c r="E28">
        <v>12</v>
      </c>
      <c r="F28">
        <v>12</v>
      </c>
      <c r="G28">
        <v>12</v>
      </c>
      <c r="H28">
        <v>12</v>
      </c>
      <c r="I28">
        <v>12</v>
      </c>
      <c r="J28">
        <v>12</v>
      </c>
      <c r="K28">
        <v>12</v>
      </c>
      <c r="L28">
        <v>12</v>
      </c>
      <c r="M28">
        <v>12</v>
      </c>
      <c r="N28">
        <v>12</v>
      </c>
      <c r="O28">
        <v>12</v>
      </c>
      <c r="P28">
        <v>12</v>
      </c>
      <c r="Q28">
        <v>12</v>
      </c>
      <c r="R28">
        <v>12</v>
      </c>
      <c r="S28">
        <v>12</v>
      </c>
      <c r="T28">
        <v>12</v>
      </c>
      <c r="U28">
        <v>12</v>
      </c>
      <c r="V28">
        <v>12</v>
      </c>
      <c r="W28">
        <v>12</v>
      </c>
      <c r="X28">
        <v>12</v>
      </c>
      <c r="Y28">
        <v>12</v>
      </c>
      <c r="Z28">
        <v>12</v>
      </c>
      <c r="AA28">
        <v>12</v>
      </c>
      <c r="AB28">
        <v>12</v>
      </c>
      <c r="AC28">
        <v>12</v>
      </c>
      <c r="AD28">
        <v>12</v>
      </c>
      <c r="AE28">
        <v>12</v>
      </c>
      <c r="AF28">
        <v>12</v>
      </c>
      <c r="AG28">
        <v>12</v>
      </c>
      <c r="AH28">
        <v>12</v>
      </c>
      <c r="AI28">
        <v>12</v>
      </c>
      <c r="AJ28">
        <v>12</v>
      </c>
      <c r="AK28">
        <v>12</v>
      </c>
      <c r="AL28">
        <v>12</v>
      </c>
      <c r="AM28">
        <v>12</v>
      </c>
      <c r="AN28">
        <v>12</v>
      </c>
      <c r="AO28">
        <v>12</v>
      </c>
      <c r="AP28">
        <v>12</v>
      </c>
      <c r="AQ28">
        <v>12</v>
      </c>
      <c r="AR28">
        <v>12</v>
      </c>
      <c r="AS28">
        <v>12</v>
      </c>
      <c r="AT28">
        <v>12</v>
      </c>
    </row>
    <row r="29" spans="1:46" ht="8.1" customHeight="1">
      <c r="A29" t="s">
        <v>3751</v>
      </c>
      <c r="B29">
        <v>10.9</v>
      </c>
      <c r="C29">
        <v>11.5</v>
      </c>
      <c r="D29">
        <v>12</v>
      </c>
      <c r="E29">
        <v>12.5</v>
      </c>
      <c r="F29">
        <v>10.9</v>
      </c>
      <c r="G29">
        <v>11.5</v>
      </c>
      <c r="H29">
        <v>12</v>
      </c>
      <c r="I29">
        <v>12.5</v>
      </c>
      <c r="J29">
        <v>11.5</v>
      </c>
      <c r="K29">
        <v>12</v>
      </c>
      <c r="L29">
        <v>12.5</v>
      </c>
      <c r="M29">
        <v>13.1</v>
      </c>
      <c r="N29">
        <v>12.1</v>
      </c>
      <c r="O29">
        <v>12.5</v>
      </c>
      <c r="P29">
        <v>13.6</v>
      </c>
      <c r="Q29">
        <v>14.2</v>
      </c>
      <c r="R29">
        <v>14.7</v>
      </c>
      <c r="S29">
        <v>14.7</v>
      </c>
      <c r="T29">
        <v>15.3</v>
      </c>
      <c r="U29">
        <v>15.8</v>
      </c>
      <c r="V29">
        <v>11.5</v>
      </c>
      <c r="W29">
        <v>12</v>
      </c>
      <c r="X29">
        <v>13.1</v>
      </c>
      <c r="Y29">
        <v>13.6</v>
      </c>
      <c r="Z29">
        <v>11.5</v>
      </c>
      <c r="AA29">
        <v>12</v>
      </c>
      <c r="AB29">
        <v>13.1</v>
      </c>
      <c r="AC29">
        <v>13.6</v>
      </c>
      <c r="AD29">
        <v>12</v>
      </c>
      <c r="AE29">
        <v>13.1</v>
      </c>
      <c r="AF29">
        <v>13.1</v>
      </c>
      <c r="AG29">
        <v>13.6</v>
      </c>
      <c r="AH29">
        <v>13.6</v>
      </c>
      <c r="AI29">
        <v>11.5</v>
      </c>
      <c r="AJ29">
        <v>12</v>
      </c>
      <c r="AK29">
        <v>12.5</v>
      </c>
      <c r="AL29">
        <v>13.1</v>
      </c>
      <c r="AM29">
        <v>14.7</v>
      </c>
      <c r="AN29">
        <v>15.8</v>
      </c>
      <c r="AO29">
        <v>16.3</v>
      </c>
      <c r="AP29">
        <v>16.8</v>
      </c>
      <c r="AQ29">
        <v>12.1</v>
      </c>
      <c r="AR29">
        <v>12.5</v>
      </c>
      <c r="AS29">
        <v>13.1</v>
      </c>
      <c r="AT29">
        <v>13.1</v>
      </c>
    </row>
    <row r="30" spans="1:46" ht="8.1" customHeight="1">
      <c r="A30" t="s">
        <v>5281</v>
      </c>
      <c r="B30">
        <v>24</v>
      </c>
      <c r="C30">
        <v>24</v>
      </c>
      <c r="D30">
        <v>24</v>
      </c>
      <c r="E30">
        <v>24</v>
      </c>
      <c r="F30">
        <v>24</v>
      </c>
      <c r="G30">
        <v>24</v>
      </c>
      <c r="H30">
        <v>24</v>
      </c>
      <c r="I30">
        <v>24</v>
      </c>
      <c r="J30">
        <v>24</v>
      </c>
      <c r="K30">
        <v>24</v>
      </c>
      <c r="L30">
        <v>24</v>
      </c>
      <c r="M30">
        <v>24</v>
      </c>
      <c r="N30">
        <v>24</v>
      </c>
      <c r="O30">
        <v>24</v>
      </c>
      <c r="P30">
        <v>24</v>
      </c>
      <c r="Q30">
        <v>24</v>
      </c>
      <c r="R30">
        <v>24</v>
      </c>
      <c r="S30">
        <v>24</v>
      </c>
      <c r="T30">
        <v>24</v>
      </c>
      <c r="U30">
        <v>24</v>
      </c>
      <c r="V30">
        <v>24</v>
      </c>
      <c r="W30">
        <v>24</v>
      </c>
      <c r="X30">
        <v>24</v>
      </c>
      <c r="Y30">
        <v>24</v>
      </c>
      <c r="Z30">
        <v>24</v>
      </c>
      <c r="AA30">
        <v>24</v>
      </c>
      <c r="AB30">
        <v>24</v>
      </c>
      <c r="AC30">
        <v>24</v>
      </c>
      <c r="AD30">
        <v>24</v>
      </c>
      <c r="AE30">
        <v>24</v>
      </c>
      <c r="AF30">
        <v>24</v>
      </c>
      <c r="AG30">
        <v>24</v>
      </c>
      <c r="AH30">
        <v>24</v>
      </c>
      <c r="AI30">
        <v>24</v>
      </c>
      <c r="AJ30">
        <v>24</v>
      </c>
      <c r="AK30">
        <v>24</v>
      </c>
      <c r="AL30">
        <v>24</v>
      </c>
      <c r="AM30">
        <v>24</v>
      </c>
      <c r="AN30">
        <v>24</v>
      </c>
      <c r="AO30">
        <v>24</v>
      </c>
      <c r="AP30">
        <v>24</v>
      </c>
      <c r="AQ30">
        <v>24</v>
      </c>
      <c r="AR30">
        <v>24</v>
      </c>
      <c r="AS30">
        <v>24</v>
      </c>
      <c r="AT30">
        <v>24</v>
      </c>
    </row>
    <row r="31" spans="1:46" ht="8.1" customHeight="1">
      <c r="A31" t="s">
        <v>3752</v>
      </c>
      <c r="B31">
        <v>27.3</v>
      </c>
      <c r="C31">
        <v>28.4</v>
      </c>
      <c r="D31">
        <v>29.5</v>
      </c>
      <c r="E31">
        <v>30.5</v>
      </c>
      <c r="F31">
        <v>27.3</v>
      </c>
      <c r="G31">
        <v>28.4</v>
      </c>
      <c r="H31">
        <v>29.5</v>
      </c>
      <c r="I31">
        <v>30.5</v>
      </c>
      <c r="J31">
        <v>28.4</v>
      </c>
      <c r="K31">
        <v>29.5</v>
      </c>
      <c r="L31">
        <v>30.5</v>
      </c>
      <c r="M31">
        <v>31.6</v>
      </c>
      <c r="N31">
        <v>29.5</v>
      </c>
      <c r="O31">
        <v>30.5</v>
      </c>
      <c r="P31">
        <v>32.700000000000003</v>
      </c>
      <c r="Q31">
        <v>33.799999999999997</v>
      </c>
      <c r="R31">
        <v>33.799999999999997</v>
      </c>
      <c r="S31">
        <v>34.9</v>
      </c>
      <c r="T31">
        <v>36</v>
      </c>
      <c r="U31">
        <v>37.1</v>
      </c>
      <c r="V31">
        <v>28.4</v>
      </c>
      <c r="W31">
        <v>29.5</v>
      </c>
      <c r="X31">
        <v>31.6</v>
      </c>
      <c r="Y31">
        <v>32.700000000000003</v>
      </c>
      <c r="Z31">
        <v>28.4</v>
      </c>
      <c r="AA31">
        <v>29.5</v>
      </c>
      <c r="AB31">
        <v>31.6</v>
      </c>
      <c r="AC31">
        <v>32.700000000000003</v>
      </c>
      <c r="AD31">
        <v>29.5</v>
      </c>
      <c r="AE31">
        <v>31.6</v>
      </c>
      <c r="AF31">
        <v>31.6</v>
      </c>
      <c r="AG31">
        <v>32.700000000000003</v>
      </c>
      <c r="AH31">
        <v>32.700000000000003</v>
      </c>
      <c r="AI31">
        <v>28.4</v>
      </c>
      <c r="AJ31">
        <v>29.5</v>
      </c>
      <c r="AK31">
        <v>30.5</v>
      </c>
      <c r="AL31">
        <v>31.6</v>
      </c>
      <c r="AM31">
        <v>34.9</v>
      </c>
      <c r="AN31">
        <v>37.1</v>
      </c>
      <c r="AO31">
        <v>38.299999999999997</v>
      </c>
      <c r="AP31">
        <v>39.5</v>
      </c>
      <c r="AQ31">
        <v>29.5</v>
      </c>
      <c r="AR31">
        <v>30.5</v>
      </c>
      <c r="AS31">
        <v>31.6</v>
      </c>
      <c r="AT31">
        <v>31.6</v>
      </c>
    </row>
    <row r="32" spans="1:46" ht="8.1" customHeight="1">
      <c r="A32" t="s">
        <v>3748</v>
      </c>
      <c r="B32">
        <v>4</v>
      </c>
      <c r="C32">
        <v>4</v>
      </c>
      <c r="D32">
        <v>4</v>
      </c>
      <c r="E32">
        <v>5</v>
      </c>
      <c r="F32">
        <v>4</v>
      </c>
      <c r="G32">
        <v>4</v>
      </c>
      <c r="H32">
        <v>5</v>
      </c>
      <c r="I32">
        <v>5</v>
      </c>
      <c r="J32">
        <v>4</v>
      </c>
      <c r="K32">
        <v>4</v>
      </c>
      <c r="L32">
        <v>5</v>
      </c>
      <c r="M32">
        <v>5</v>
      </c>
      <c r="N32">
        <v>4</v>
      </c>
      <c r="O32">
        <v>4</v>
      </c>
      <c r="P32">
        <v>5</v>
      </c>
      <c r="Q32">
        <v>5</v>
      </c>
      <c r="R32">
        <v>4</v>
      </c>
      <c r="S32">
        <v>4</v>
      </c>
      <c r="T32">
        <v>5</v>
      </c>
      <c r="U32">
        <v>5</v>
      </c>
      <c r="V32">
        <v>4</v>
      </c>
      <c r="W32">
        <v>4</v>
      </c>
      <c r="X32">
        <v>4</v>
      </c>
      <c r="Y32">
        <v>4</v>
      </c>
      <c r="Z32">
        <v>5</v>
      </c>
      <c r="AA32">
        <v>5</v>
      </c>
      <c r="AB32">
        <v>5</v>
      </c>
      <c r="AC32">
        <v>5</v>
      </c>
      <c r="AD32">
        <v>4</v>
      </c>
      <c r="AE32">
        <v>3</v>
      </c>
      <c r="AF32">
        <v>4</v>
      </c>
      <c r="AG32">
        <v>4</v>
      </c>
      <c r="AH32">
        <v>3</v>
      </c>
      <c r="AI32">
        <v>3</v>
      </c>
      <c r="AJ32">
        <v>3</v>
      </c>
      <c r="AK32">
        <v>3</v>
      </c>
      <c r="AL32">
        <v>3</v>
      </c>
      <c r="AM32">
        <v>4</v>
      </c>
      <c r="AN32">
        <v>4</v>
      </c>
      <c r="AO32">
        <v>5</v>
      </c>
      <c r="AP32">
        <v>5</v>
      </c>
      <c r="AQ32">
        <v>3</v>
      </c>
      <c r="AR32">
        <v>4</v>
      </c>
      <c r="AS32">
        <v>5</v>
      </c>
      <c r="AT32">
        <v>5</v>
      </c>
    </row>
    <row r="33" spans="1:46" ht="8.1" customHeight="1">
      <c r="A33" t="s">
        <v>3749</v>
      </c>
      <c r="B33">
        <v>10</v>
      </c>
      <c r="C33">
        <v>11</v>
      </c>
      <c r="D33">
        <v>12</v>
      </c>
      <c r="E33">
        <v>12</v>
      </c>
      <c r="F33">
        <v>10</v>
      </c>
      <c r="G33">
        <v>11</v>
      </c>
      <c r="H33">
        <v>12</v>
      </c>
      <c r="I33">
        <v>12</v>
      </c>
      <c r="J33">
        <v>11</v>
      </c>
      <c r="K33">
        <v>12</v>
      </c>
      <c r="L33">
        <v>12</v>
      </c>
      <c r="M33">
        <v>12</v>
      </c>
      <c r="N33">
        <v>11</v>
      </c>
      <c r="O33">
        <v>12</v>
      </c>
      <c r="P33">
        <v>12</v>
      </c>
      <c r="Q33">
        <v>13</v>
      </c>
      <c r="R33">
        <v>11</v>
      </c>
      <c r="S33">
        <v>12</v>
      </c>
      <c r="T33">
        <v>13</v>
      </c>
      <c r="U33">
        <v>13</v>
      </c>
      <c r="V33">
        <v>10</v>
      </c>
      <c r="W33">
        <v>10</v>
      </c>
      <c r="X33">
        <v>11</v>
      </c>
      <c r="Y33">
        <v>11</v>
      </c>
      <c r="Z33">
        <v>10</v>
      </c>
      <c r="AA33">
        <v>12</v>
      </c>
      <c r="AB33">
        <v>12</v>
      </c>
      <c r="AC33">
        <v>13</v>
      </c>
      <c r="AD33">
        <v>8</v>
      </c>
      <c r="AE33">
        <v>7</v>
      </c>
      <c r="AF33">
        <v>7</v>
      </c>
      <c r="AG33">
        <v>7</v>
      </c>
      <c r="AH33">
        <v>7</v>
      </c>
      <c r="AI33">
        <v>7</v>
      </c>
      <c r="AJ33">
        <v>7</v>
      </c>
      <c r="AK33">
        <v>7</v>
      </c>
      <c r="AL33">
        <v>8</v>
      </c>
      <c r="AM33">
        <v>12</v>
      </c>
      <c r="AN33">
        <v>13</v>
      </c>
      <c r="AO33">
        <v>14</v>
      </c>
      <c r="AP33">
        <v>14</v>
      </c>
      <c r="AQ33">
        <v>8</v>
      </c>
      <c r="AR33">
        <v>9</v>
      </c>
      <c r="AS33">
        <v>10</v>
      </c>
      <c r="AT33">
        <v>10</v>
      </c>
    </row>
    <row r="34" spans="1:46" ht="8.1" customHeight="1" collapsed="1">
      <c r="A34" t="s">
        <v>5282</v>
      </c>
      <c r="B34">
        <v>0.1</v>
      </c>
      <c r="C34">
        <v>0.1</v>
      </c>
      <c r="D34">
        <v>0.1</v>
      </c>
      <c r="E34">
        <v>0.1</v>
      </c>
      <c r="F34">
        <v>0.1</v>
      </c>
      <c r="G34">
        <v>0.1</v>
      </c>
      <c r="H34">
        <v>0.1</v>
      </c>
      <c r="I34">
        <v>0.1</v>
      </c>
      <c r="J34">
        <v>0.1</v>
      </c>
      <c r="K34">
        <v>0.1</v>
      </c>
      <c r="L34">
        <v>0.1</v>
      </c>
      <c r="M34">
        <v>0.1</v>
      </c>
      <c r="N34">
        <v>0.1</v>
      </c>
      <c r="O34">
        <v>0.1</v>
      </c>
      <c r="P34">
        <v>0.1</v>
      </c>
      <c r="Q34">
        <v>0.1</v>
      </c>
      <c r="R34">
        <v>0.1</v>
      </c>
      <c r="S34">
        <v>0.1</v>
      </c>
      <c r="T34">
        <v>0.1</v>
      </c>
      <c r="U34">
        <v>0.1</v>
      </c>
      <c r="V34">
        <v>0.1</v>
      </c>
      <c r="W34">
        <v>0.1</v>
      </c>
      <c r="X34">
        <v>0.1</v>
      </c>
      <c r="Y34">
        <v>0.1</v>
      </c>
      <c r="Z34">
        <v>0.1</v>
      </c>
      <c r="AA34">
        <v>0.1</v>
      </c>
      <c r="AB34">
        <v>0.1</v>
      </c>
      <c r="AC34">
        <v>0.1</v>
      </c>
      <c r="AD34">
        <v>0.1</v>
      </c>
      <c r="AE34">
        <v>0.1</v>
      </c>
      <c r="AF34">
        <v>0.1</v>
      </c>
      <c r="AG34">
        <v>0.1</v>
      </c>
      <c r="AH34">
        <v>0.1</v>
      </c>
      <c r="AI34">
        <v>0</v>
      </c>
      <c r="AJ34">
        <v>0</v>
      </c>
      <c r="AK34">
        <v>0</v>
      </c>
      <c r="AL34">
        <v>0</v>
      </c>
      <c r="AM34">
        <v>0.25</v>
      </c>
      <c r="AN34">
        <v>0.25</v>
      </c>
      <c r="AO34">
        <v>0.25</v>
      </c>
      <c r="AP34">
        <v>0.25</v>
      </c>
      <c r="AQ34">
        <v>0.1</v>
      </c>
      <c r="AR34">
        <v>0.1</v>
      </c>
      <c r="AS34">
        <v>0.1</v>
      </c>
      <c r="AT34">
        <v>0.1</v>
      </c>
    </row>
    <row r="35" spans="1:46" ht="8.1" customHeight="1">
      <c r="A35" t="s">
        <v>3280</v>
      </c>
      <c r="B35">
        <v>0.1</v>
      </c>
      <c r="C35">
        <v>0.12</v>
      </c>
      <c r="D35">
        <v>0.14000000000000001</v>
      </c>
      <c r="E35">
        <v>0.16</v>
      </c>
      <c r="F35">
        <v>0.1</v>
      </c>
      <c r="G35">
        <v>0.12</v>
      </c>
      <c r="H35">
        <v>0.14000000000000001</v>
      </c>
      <c r="I35">
        <v>0.16</v>
      </c>
      <c r="J35">
        <v>0.12</v>
      </c>
      <c r="K35">
        <v>0.14000000000000001</v>
      </c>
      <c r="L35">
        <v>0.16</v>
      </c>
      <c r="M35">
        <v>0.18</v>
      </c>
      <c r="N35">
        <v>0.12</v>
      </c>
      <c r="O35">
        <v>0.15</v>
      </c>
      <c r="P35">
        <v>0.18</v>
      </c>
      <c r="Q35">
        <v>0.21</v>
      </c>
      <c r="R35">
        <v>0.15</v>
      </c>
      <c r="S35">
        <v>0.18</v>
      </c>
      <c r="T35">
        <v>0.21</v>
      </c>
      <c r="U35">
        <v>0.24</v>
      </c>
      <c r="V35">
        <v>0.12</v>
      </c>
      <c r="W35">
        <v>0.16</v>
      </c>
      <c r="X35">
        <v>0.2</v>
      </c>
      <c r="Y35">
        <v>0.24</v>
      </c>
      <c r="Z35">
        <v>7.0000000000000007E-2</v>
      </c>
      <c r="AA35">
        <v>0.12</v>
      </c>
      <c r="AB35">
        <v>0.15</v>
      </c>
      <c r="AC35">
        <v>0.18</v>
      </c>
      <c r="AD35">
        <v>7.0000000000000007E-2</v>
      </c>
      <c r="AE35">
        <v>7.0000000000000007E-2</v>
      </c>
      <c r="AF35">
        <v>0.04</v>
      </c>
      <c r="AG35">
        <v>7.0000000000000007E-2</v>
      </c>
      <c r="AH35">
        <v>0.05</v>
      </c>
      <c r="AI35">
        <v>0.05</v>
      </c>
      <c r="AJ35">
        <v>0.08</v>
      </c>
      <c r="AK35">
        <v>0.11</v>
      </c>
      <c r="AL35">
        <v>0.15</v>
      </c>
      <c r="AM35">
        <v>0.18</v>
      </c>
      <c r="AN35">
        <v>0.24</v>
      </c>
      <c r="AO35">
        <v>0.27</v>
      </c>
      <c r="AP35">
        <v>0.3</v>
      </c>
      <c r="AQ35">
        <v>0.12</v>
      </c>
      <c r="AR35">
        <v>0.12</v>
      </c>
      <c r="AS35">
        <v>0.15</v>
      </c>
      <c r="AT35">
        <v>0.18</v>
      </c>
    </row>
    <row r="36" spans="1:46" ht="8.1" customHeight="1">
      <c r="A36" t="s">
        <v>2685</v>
      </c>
      <c r="B36">
        <f t="shared" ref="B36:AT36" si="4">B35+0.4</f>
        <v>0.5</v>
      </c>
      <c r="C36">
        <f t="shared" si="4"/>
        <v>0.52</v>
      </c>
      <c r="D36">
        <f t="shared" si="4"/>
        <v>0.54</v>
      </c>
      <c r="E36">
        <f t="shared" si="4"/>
        <v>0.56000000000000005</v>
      </c>
      <c r="F36">
        <f t="shared" si="4"/>
        <v>0.5</v>
      </c>
      <c r="G36">
        <f t="shared" si="4"/>
        <v>0.52</v>
      </c>
      <c r="H36">
        <f t="shared" si="4"/>
        <v>0.54</v>
      </c>
      <c r="I36">
        <f t="shared" si="4"/>
        <v>0.56000000000000005</v>
      </c>
      <c r="J36">
        <f t="shared" si="4"/>
        <v>0.52</v>
      </c>
      <c r="K36">
        <f t="shared" si="4"/>
        <v>0.54</v>
      </c>
      <c r="L36">
        <f t="shared" si="4"/>
        <v>0.56000000000000005</v>
      </c>
      <c r="M36">
        <f t="shared" si="4"/>
        <v>0.58000000000000007</v>
      </c>
      <c r="N36">
        <f t="shared" si="4"/>
        <v>0.52</v>
      </c>
      <c r="O36">
        <f t="shared" si="4"/>
        <v>0.55000000000000004</v>
      </c>
      <c r="P36">
        <f t="shared" si="4"/>
        <v>0.58000000000000007</v>
      </c>
      <c r="Q36">
        <f t="shared" si="4"/>
        <v>0.61</v>
      </c>
      <c r="R36">
        <f t="shared" si="4"/>
        <v>0.55000000000000004</v>
      </c>
      <c r="S36">
        <f t="shared" si="4"/>
        <v>0.58000000000000007</v>
      </c>
      <c r="T36">
        <f t="shared" si="4"/>
        <v>0.61</v>
      </c>
      <c r="U36">
        <f t="shared" si="4"/>
        <v>0.64</v>
      </c>
      <c r="V36">
        <f t="shared" si="4"/>
        <v>0.52</v>
      </c>
      <c r="W36">
        <f t="shared" si="4"/>
        <v>0.56000000000000005</v>
      </c>
      <c r="X36">
        <f t="shared" si="4"/>
        <v>0.60000000000000009</v>
      </c>
      <c r="Y36">
        <f t="shared" si="4"/>
        <v>0.64</v>
      </c>
      <c r="Z36">
        <f t="shared" si="4"/>
        <v>0.47000000000000003</v>
      </c>
      <c r="AA36">
        <f t="shared" si="4"/>
        <v>0.52</v>
      </c>
      <c r="AB36">
        <f t="shared" si="4"/>
        <v>0.55000000000000004</v>
      </c>
      <c r="AC36">
        <f t="shared" si="4"/>
        <v>0.58000000000000007</v>
      </c>
      <c r="AD36">
        <f t="shared" si="4"/>
        <v>0.47000000000000003</v>
      </c>
      <c r="AE36">
        <f t="shared" si="4"/>
        <v>0.47000000000000003</v>
      </c>
      <c r="AF36">
        <f t="shared" si="4"/>
        <v>0.44</v>
      </c>
      <c r="AG36">
        <f t="shared" si="4"/>
        <v>0.47000000000000003</v>
      </c>
      <c r="AH36">
        <f t="shared" si="4"/>
        <v>0.45</v>
      </c>
      <c r="AI36">
        <f t="shared" si="4"/>
        <v>0.45</v>
      </c>
      <c r="AJ36">
        <f t="shared" si="4"/>
        <v>0.48000000000000004</v>
      </c>
      <c r="AK36">
        <f t="shared" si="4"/>
        <v>0.51</v>
      </c>
      <c r="AL36">
        <f t="shared" si="4"/>
        <v>0.55000000000000004</v>
      </c>
      <c r="AM36">
        <f t="shared" si="4"/>
        <v>0.58000000000000007</v>
      </c>
      <c r="AN36">
        <f t="shared" si="4"/>
        <v>0.64</v>
      </c>
      <c r="AO36">
        <f t="shared" si="4"/>
        <v>0.67</v>
      </c>
      <c r="AP36">
        <f t="shared" si="4"/>
        <v>0.7</v>
      </c>
      <c r="AQ36">
        <f t="shared" si="4"/>
        <v>0.52</v>
      </c>
      <c r="AR36">
        <f t="shared" si="4"/>
        <v>0.52</v>
      </c>
      <c r="AS36">
        <f t="shared" si="4"/>
        <v>0.55000000000000004</v>
      </c>
      <c r="AT36">
        <f t="shared" si="4"/>
        <v>0.58000000000000007</v>
      </c>
    </row>
    <row r="37" spans="1:46" ht="8.1" customHeight="1">
      <c r="A37" t="s">
        <v>2686</v>
      </c>
      <c r="B37">
        <v>0.33</v>
      </c>
      <c r="C37">
        <v>0.35</v>
      </c>
      <c r="D37">
        <v>0.37</v>
      </c>
      <c r="E37">
        <v>0.4</v>
      </c>
      <c r="F37">
        <v>0.3</v>
      </c>
      <c r="G37">
        <v>0.33</v>
      </c>
      <c r="H37">
        <v>0.36</v>
      </c>
      <c r="I37">
        <v>0.39</v>
      </c>
      <c r="J37">
        <v>0.24</v>
      </c>
      <c r="K37">
        <v>0.27</v>
      </c>
      <c r="L37">
        <v>0.3</v>
      </c>
      <c r="M37">
        <v>0.33</v>
      </c>
      <c r="N37">
        <v>0.2</v>
      </c>
      <c r="O37">
        <v>0.22</v>
      </c>
      <c r="P37">
        <v>0.25</v>
      </c>
      <c r="Q37">
        <v>0.27</v>
      </c>
      <c r="R37">
        <v>0.22</v>
      </c>
      <c r="S37">
        <v>0.24</v>
      </c>
      <c r="T37">
        <v>0.26</v>
      </c>
      <c r="U37">
        <v>0.3</v>
      </c>
      <c r="V37">
        <v>0.22</v>
      </c>
      <c r="W37">
        <v>0.25</v>
      </c>
      <c r="X37">
        <v>0.3</v>
      </c>
      <c r="Y37">
        <v>0.35</v>
      </c>
      <c r="Z37">
        <v>0.15</v>
      </c>
      <c r="AA37">
        <v>0.18</v>
      </c>
      <c r="AB37">
        <v>0.2</v>
      </c>
      <c r="AC37">
        <v>0.21</v>
      </c>
      <c r="AD37">
        <v>0.15</v>
      </c>
      <c r="AE37">
        <v>0.12</v>
      </c>
      <c r="AF37">
        <v>0.3</v>
      </c>
      <c r="AG37">
        <v>0.25</v>
      </c>
      <c r="AH37">
        <v>0.15</v>
      </c>
      <c r="AI37">
        <v>0.27</v>
      </c>
      <c r="AJ37">
        <v>0.33</v>
      </c>
      <c r="AK37">
        <v>0.39</v>
      </c>
      <c r="AL37">
        <v>0.42</v>
      </c>
      <c r="AM37">
        <v>0.24</v>
      </c>
      <c r="AN37">
        <v>0.3</v>
      </c>
      <c r="AO37">
        <v>0.32</v>
      </c>
      <c r="AP37">
        <v>0.36</v>
      </c>
      <c r="AQ37">
        <v>0.24</v>
      </c>
      <c r="AR37">
        <v>0.27</v>
      </c>
      <c r="AS37">
        <v>0.3</v>
      </c>
      <c r="AT37">
        <v>0.33</v>
      </c>
    </row>
    <row r="38" spans="1:46" ht="8.1" customHeight="1">
      <c r="A38" t="s">
        <v>2687</v>
      </c>
      <c r="B38">
        <f t="shared" ref="B38:AT38" si="5">B37+0.4</f>
        <v>0.73</v>
      </c>
      <c r="C38">
        <f t="shared" si="5"/>
        <v>0.75</v>
      </c>
      <c r="D38">
        <f t="shared" si="5"/>
        <v>0.77</v>
      </c>
      <c r="E38">
        <f t="shared" si="5"/>
        <v>0.8</v>
      </c>
      <c r="F38">
        <f t="shared" si="5"/>
        <v>0.7</v>
      </c>
      <c r="G38">
        <f t="shared" si="5"/>
        <v>0.73</v>
      </c>
      <c r="H38">
        <f t="shared" si="5"/>
        <v>0.76</v>
      </c>
      <c r="I38">
        <f t="shared" si="5"/>
        <v>0.79</v>
      </c>
      <c r="J38">
        <f t="shared" si="5"/>
        <v>0.64</v>
      </c>
      <c r="K38">
        <f t="shared" si="5"/>
        <v>0.67</v>
      </c>
      <c r="L38">
        <f t="shared" si="5"/>
        <v>0.7</v>
      </c>
      <c r="M38">
        <f t="shared" si="5"/>
        <v>0.73</v>
      </c>
      <c r="N38">
        <f t="shared" si="5"/>
        <v>0.60000000000000009</v>
      </c>
      <c r="O38">
        <f t="shared" si="5"/>
        <v>0.62</v>
      </c>
      <c r="P38">
        <f t="shared" si="5"/>
        <v>0.65</v>
      </c>
      <c r="Q38">
        <f t="shared" si="5"/>
        <v>0.67</v>
      </c>
      <c r="R38">
        <f t="shared" si="5"/>
        <v>0.62</v>
      </c>
      <c r="S38">
        <f t="shared" si="5"/>
        <v>0.64</v>
      </c>
      <c r="T38">
        <f t="shared" si="5"/>
        <v>0.66</v>
      </c>
      <c r="U38">
        <f t="shared" si="5"/>
        <v>0.7</v>
      </c>
      <c r="V38">
        <f t="shared" si="5"/>
        <v>0.62</v>
      </c>
      <c r="W38">
        <f t="shared" si="5"/>
        <v>0.65</v>
      </c>
      <c r="X38">
        <f t="shared" si="5"/>
        <v>0.7</v>
      </c>
      <c r="Y38">
        <f t="shared" si="5"/>
        <v>0.75</v>
      </c>
      <c r="Z38">
        <f t="shared" si="5"/>
        <v>0.55000000000000004</v>
      </c>
      <c r="AA38">
        <f t="shared" si="5"/>
        <v>0.58000000000000007</v>
      </c>
      <c r="AB38">
        <f t="shared" si="5"/>
        <v>0.60000000000000009</v>
      </c>
      <c r="AC38">
        <f t="shared" si="5"/>
        <v>0.61</v>
      </c>
      <c r="AD38">
        <f t="shared" si="5"/>
        <v>0.55000000000000004</v>
      </c>
      <c r="AE38">
        <f t="shared" si="5"/>
        <v>0.52</v>
      </c>
      <c r="AF38">
        <f t="shared" si="5"/>
        <v>0.7</v>
      </c>
      <c r="AG38">
        <f t="shared" si="5"/>
        <v>0.65</v>
      </c>
      <c r="AH38">
        <f t="shared" si="5"/>
        <v>0.55000000000000004</v>
      </c>
      <c r="AI38">
        <f t="shared" si="5"/>
        <v>0.67</v>
      </c>
      <c r="AJ38">
        <f t="shared" si="5"/>
        <v>0.73</v>
      </c>
      <c r="AK38">
        <f t="shared" si="5"/>
        <v>0.79</v>
      </c>
      <c r="AL38">
        <f t="shared" si="5"/>
        <v>0.82000000000000006</v>
      </c>
      <c r="AM38">
        <f t="shared" si="5"/>
        <v>0.64</v>
      </c>
      <c r="AN38">
        <f t="shared" si="5"/>
        <v>0.7</v>
      </c>
      <c r="AO38">
        <f t="shared" si="5"/>
        <v>0.72</v>
      </c>
      <c r="AP38">
        <f t="shared" si="5"/>
        <v>0.76</v>
      </c>
      <c r="AQ38">
        <f t="shared" si="5"/>
        <v>0.64</v>
      </c>
      <c r="AR38">
        <f t="shared" si="5"/>
        <v>0.67</v>
      </c>
      <c r="AS38">
        <f t="shared" si="5"/>
        <v>0.7</v>
      </c>
      <c r="AT38">
        <f t="shared" si="5"/>
        <v>0.73</v>
      </c>
    </row>
    <row r="39" spans="1:46" ht="8.1" customHeight="1">
      <c r="A39" t="s">
        <v>2688</v>
      </c>
      <c r="B39">
        <v>0.23</v>
      </c>
      <c r="C39">
        <v>0.25</v>
      </c>
      <c r="D39">
        <v>0.27</v>
      </c>
      <c r="E39">
        <v>0.3</v>
      </c>
      <c r="F39">
        <v>0.23</v>
      </c>
      <c r="G39">
        <v>0.25</v>
      </c>
      <c r="H39">
        <v>0.27</v>
      </c>
      <c r="I39">
        <v>0.3</v>
      </c>
      <c r="J39">
        <v>0.23</v>
      </c>
      <c r="K39">
        <v>0.25</v>
      </c>
      <c r="L39">
        <v>0.27</v>
      </c>
      <c r="M39">
        <v>0.3</v>
      </c>
      <c r="N39">
        <v>0.22</v>
      </c>
      <c r="O39">
        <v>0.25</v>
      </c>
      <c r="P39">
        <v>0.27</v>
      </c>
      <c r="Q39">
        <v>0.3</v>
      </c>
      <c r="R39">
        <v>0.23</v>
      </c>
      <c r="S39">
        <v>0.25</v>
      </c>
      <c r="T39">
        <v>0.27</v>
      </c>
      <c r="U39">
        <v>0.3</v>
      </c>
      <c r="V39">
        <v>0.18</v>
      </c>
      <c r="W39">
        <v>0.2</v>
      </c>
      <c r="X39">
        <v>0.23</v>
      </c>
      <c r="Y39">
        <v>0.25</v>
      </c>
      <c r="Z39">
        <v>0.23</v>
      </c>
      <c r="AA39">
        <v>0.23</v>
      </c>
      <c r="AB39">
        <v>0.27</v>
      </c>
      <c r="AC39">
        <v>0.27</v>
      </c>
      <c r="AD39">
        <v>0.23</v>
      </c>
      <c r="AE39">
        <v>0.23</v>
      </c>
      <c r="AF39">
        <v>0.33</v>
      </c>
      <c r="AG39">
        <v>0.33</v>
      </c>
      <c r="AH39">
        <v>0.33</v>
      </c>
      <c r="AI39">
        <v>0.23</v>
      </c>
      <c r="AJ39">
        <v>0.23</v>
      </c>
      <c r="AK39">
        <v>0.33</v>
      </c>
      <c r="AL39">
        <v>0.39</v>
      </c>
      <c r="AM39">
        <v>0.25</v>
      </c>
      <c r="AN39">
        <v>0.3</v>
      </c>
      <c r="AO39">
        <v>0.32</v>
      </c>
      <c r="AP39">
        <v>0.35</v>
      </c>
      <c r="AQ39">
        <v>0.22</v>
      </c>
      <c r="AR39">
        <v>0.24</v>
      </c>
      <c r="AS39">
        <v>0.27</v>
      </c>
      <c r="AT39">
        <v>0.3</v>
      </c>
    </row>
    <row r="40" spans="1:46" ht="8.1" customHeight="1">
      <c r="A40" t="s">
        <v>2689</v>
      </c>
      <c r="B40">
        <f t="shared" ref="B40:AT40" si="6">B39+0.4</f>
        <v>0.63</v>
      </c>
      <c r="C40">
        <f t="shared" si="6"/>
        <v>0.65</v>
      </c>
      <c r="D40">
        <f t="shared" si="6"/>
        <v>0.67</v>
      </c>
      <c r="E40">
        <f t="shared" si="6"/>
        <v>0.7</v>
      </c>
      <c r="F40">
        <f t="shared" si="6"/>
        <v>0.63</v>
      </c>
      <c r="G40">
        <f t="shared" si="6"/>
        <v>0.65</v>
      </c>
      <c r="H40">
        <f t="shared" si="6"/>
        <v>0.67</v>
      </c>
      <c r="I40">
        <f t="shared" si="6"/>
        <v>0.7</v>
      </c>
      <c r="J40">
        <f t="shared" si="6"/>
        <v>0.63</v>
      </c>
      <c r="K40">
        <f t="shared" si="6"/>
        <v>0.65</v>
      </c>
      <c r="L40">
        <f t="shared" si="6"/>
        <v>0.67</v>
      </c>
      <c r="M40">
        <f t="shared" si="6"/>
        <v>0.7</v>
      </c>
      <c r="N40">
        <f t="shared" si="6"/>
        <v>0.62</v>
      </c>
      <c r="O40">
        <f t="shared" si="6"/>
        <v>0.65</v>
      </c>
      <c r="P40">
        <f t="shared" si="6"/>
        <v>0.67</v>
      </c>
      <c r="Q40">
        <f t="shared" si="6"/>
        <v>0.7</v>
      </c>
      <c r="R40">
        <f t="shared" si="6"/>
        <v>0.63</v>
      </c>
      <c r="S40">
        <f t="shared" si="6"/>
        <v>0.65</v>
      </c>
      <c r="T40">
        <f t="shared" si="6"/>
        <v>0.67</v>
      </c>
      <c r="U40">
        <f t="shared" si="6"/>
        <v>0.7</v>
      </c>
      <c r="V40">
        <f t="shared" si="6"/>
        <v>0.58000000000000007</v>
      </c>
      <c r="W40">
        <f t="shared" si="6"/>
        <v>0.60000000000000009</v>
      </c>
      <c r="X40">
        <f t="shared" si="6"/>
        <v>0.63</v>
      </c>
      <c r="Y40">
        <f t="shared" si="6"/>
        <v>0.65</v>
      </c>
      <c r="Z40">
        <f t="shared" si="6"/>
        <v>0.63</v>
      </c>
      <c r="AA40">
        <f t="shared" si="6"/>
        <v>0.63</v>
      </c>
      <c r="AB40">
        <f t="shared" si="6"/>
        <v>0.67</v>
      </c>
      <c r="AC40">
        <f t="shared" si="6"/>
        <v>0.67</v>
      </c>
      <c r="AD40">
        <f t="shared" si="6"/>
        <v>0.63</v>
      </c>
      <c r="AE40">
        <f t="shared" si="6"/>
        <v>0.63</v>
      </c>
      <c r="AF40">
        <f t="shared" si="6"/>
        <v>0.73</v>
      </c>
      <c r="AG40">
        <f t="shared" si="6"/>
        <v>0.73</v>
      </c>
      <c r="AH40">
        <f t="shared" si="6"/>
        <v>0.73</v>
      </c>
      <c r="AI40">
        <f t="shared" si="6"/>
        <v>0.63</v>
      </c>
      <c r="AJ40">
        <f t="shared" si="6"/>
        <v>0.63</v>
      </c>
      <c r="AK40">
        <f t="shared" si="6"/>
        <v>0.73</v>
      </c>
      <c r="AL40">
        <f t="shared" si="6"/>
        <v>0.79</v>
      </c>
      <c r="AM40">
        <f t="shared" si="6"/>
        <v>0.65</v>
      </c>
      <c r="AN40">
        <f t="shared" si="6"/>
        <v>0.7</v>
      </c>
      <c r="AO40">
        <f t="shared" si="6"/>
        <v>0.72</v>
      </c>
      <c r="AP40">
        <f t="shared" si="6"/>
        <v>0.75</v>
      </c>
      <c r="AQ40">
        <f t="shared" si="6"/>
        <v>0.62</v>
      </c>
      <c r="AR40">
        <f t="shared" si="6"/>
        <v>0.64</v>
      </c>
      <c r="AS40">
        <f t="shared" si="6"/>
        <v>0.67</v>
      </c>
      <c r="AT40">
        <f t="shared" si="6"/>
        <v>0.7</v>
      </c>
    </row>
    <row r="41" spans="1:46" ht="8.1" customHeight="1">
      <c r="A41" t="s">
        <v>2690</v>
      </c>
      <c r="B41">
        <v>0.21</v>
      </c>
      <c r="C41">
        <v>0.21</v>
      </c>
      <c r="D41">
        <v>0.24</v>
      </c>
      <c r="E41">
        <v>0.24</v>
      </c>
      <c r="F41">
        <v>0.21</v>
      </c>
      <c r="G41">
        <v>0.21</v>
      </c>
      <c r="H41">
        <v>0.24</v>
      </c>
      <c r="I41">
        <v>0.24</v>
      </c>
      <c r="J41">
        <v>0.21</v>
      </c>
      <c r="K41">
        <v>0.21</v>
      </c>
      <c r="L41">
        <v>0.24</v>
      </c>
      <c r="M41">
        <v>0.24</v>
      </c>
      <c r="N41">
        <v>0.21</v>
      </c>
      <c r="O41">
        <v>0.21</v>
      </c>
      <c r="P41">
        <v>0.24</v>
      </c>
      <c r="Q41">
        <v>0.24</v>
      </c>
      <c r="R41">
        <v>0.21</v>
      </c>
      <c r="S41">
        <v>0.21</v>
      </c>
      <c r="T41">
        <v>0.24</v>
      </c>
      <c r="U41">
        <v>0.24</v>
      </c>
      <c r="V41">
        <v>0.21</v>
      </c>
      <c r="W41">
        <v>0.21</v>
      </c>
      <c r="X41">
        <v>0.24</v>
      </c>
      <c r="Y41">
        <v>0.24</v>
      </c>
      <c r="Z41">
        <v>0.21</v>
      </c>
      <c r="AA41">
        <v>0.21</v>
      </c>
      <c r="AB41">
        <v>0.21</v>
      </c>
      <c r="AC41">
        <v>0.21</v>
      </c>
      <c r="AD41">
        <v>0.21</v>
      </c>
      <c r="AE41">
        <v>0.21</v>
      </c>
      <c r="AF41">
        <v>0.21</v>
      </c>
      <c r="AG41">
        <v>0.21</v>
      </c>
      <c r="AH41">
        <v>0.21</v>
      </c>
      <c r="AI41">
        <v>0.21</v>
      </c>
      <c r="AJ41">
        <v>0.21</v>
      </c>
      <c r="AK41">
        <v>0.21</v>
      </c>
      <c r="AL41">
        <v>0.21</v>
      </c>
      <c r="AM41">
        <v>0.21</v>
      </c>
      <c r="AN41">
        <v>0.24</v>
      </c>
      <c r="AO41">
        <v>0.24</v>
      </c>
      <c r="AP41">
        <v>0.24</v>
      </c>
      <c r="AQ41">
        <v>0.21</v>
      </c>
      <c r="AR41">
        <v>0.21</v>
      </c>
      <c r="AS41">
        <v>0.24</v>
      </c>
      <c r="AT41">
        <v>0.27</v>
      </c>
    </row>
    <row r="42" spans="1:46" ht="8.1" customHeight="1">
      <c r="A42" t="s">
        <v>2691</v>
      </c>
      <c r="B42">
        <f t="shared" ref="B42:AT42" si="7">B41+0.07</f>
        <v>0.28000000000000003</v>
      </c>
      <c r="C42">
        <f t="shared" si="7"/>
        <v>0.28000000000000003</v>
      </c>
      <c r="D42">
        <f t="shared" si="7"/>
        <v>0.31</v>
      </c>
      <c r="E42">
        <f t="shared" si="7"/>
        <v>0.31</v>
      </c>
      <c r="F42">
        <f t="shared" si="7"/>
        <v>0.28000000000000003</v>
      </c>
      <c r="G42">
        <f t="shared" si="7"/>
        <v>0.28000000000000003</v>
      </c>
      <c r="H42">
        <f t="shared" si="7"/>
        <v>0.31</v>
      </c>
      <c r="I42">
        <f t="shared" si="7"/>
        <v>0.31</v>
      </c>
      <c r="J42">
        <f t="shared" si="7"/>
        <v>0.28000000000000003</v>
      </c>
      <c r="K42">
        <f t="shared" si="7"/>
        <v>0.28000000000000003</v>
      </c>
      <c r="L42">
        <f t="shared" si="7"/>
        <v>0.31</v>
      </c>
      <c r="M42">
        <f t="shared" si="7"/>
        <v>0.31</v>
      </c>
      <c r="N42">
        <f t="shared" si="7"/>
        <v>0.28000000000000003</v>
      </c>
      <c r="O42">
        <f t="shared" si="7"/>
        <v>0.28000000000000003</v>
      </c>
      <c r="P42">
        <f t="shared" si="7"/>
        <v>0.31</v>
      </c>
      <c r="Q42">
        <f t="shared" si="7"/>
        <v>0.31</v>
      </c>
      <c r="R42">
        <f t="shared" si="7"/>
        <v>0.28000000000000003</v>
      </c>
      <c r="S42">
        <f t="shared" si="7"/>
        <v>0.28000000000000003</v>
      </c>
      <c r="T42">
        <f t="shared" si="7"/>
        <v>0.31</v>
      </c>
      <c r="U42">
        <f t="shared" si="7"/>
        <v>0.31</v>
      </c>
      <c r="V42">
        <f t="shared" si="7"/>
        <v>0.28000000000000003</v>
      </c>
      <c r="W42">
        <f t="shared" si="7"/>
        <v>0.28000000000000003</v>
      </c>
      <c r="X42">
        <f t="shared" si="7"/>
        <v>0.31</v>
      </c>
      <c r="Y42">
        <f t="shared" si="7"/>
        <v>0.31</v>
      </c>
      <c r="Z42">
        <f t="shared" si="7"/>
        <v>0.28000000000000003</v>
      </c>
      <c r="AA42">
        <f t="shared" si="7"/>
        <v>0.28000000000000003</v>
      </c>
      <c r="AB42">
        <f t="shared" si="7"/>
        <v>0.28000000000000003</v>
      </c>
      <c r="AC42">
        <f t="shared" si="7"/>
        <v>0.28000000000000003</v>
      </c>
      <c r="AD42">
        <f t="shared" si="7"/>
        <v>0.28000000000000003</v>
      </c>
      <c r="AE42">
        <f t="shared" si="7"/>
        <v>0.28000000000000003</v>
      </c>
      <c r="AF42">
        <f t="shared" si="7"/>
        <v>0.28000000000000003</v>
      </c>
      <c r="AG42">
        <f t="shared" si="7"/>
        <v>0.28000000000000003</v>
      </c>
      <c r="AH42">
        <f t="shared" si="7"/>
        <v>0.28000000000000003</v>
      </c>
      <c r="AI42">
        <f t="shared" si="7"/>
        <v>0.28000000000000003</v>
      </c>
      <c r="AJ42">
        <f t="shared" si="7"/>
        <v>0.28000000000000003</v>
      </c>
      <c r="AK42">
        <f t="shared" si="7"/>
        <v>0.28000000000000003</v>
      </c>
      <c r="AL42">
        <f t="shared" si="7"/>
        <v>0.28000000000000003</v>
      </c>
      <c r="AM42">
        <f t="shared" si="7"/>
        <v>0.28000000000000003</v>
      </c>
      <c r="AN42">
        <f t="shared" si="7"/>
        <v>0.31</v>
      </c>
      <c r="AO42">
        <f t="shared" si="7"/>
        <v>0.31</v>
      </c>
      <c r="AP42">
        <f t="shared" si="7"/>
        <v>0.31</v>
      </c>
      <c r="AQ42">
        <f t="shared" si="7"/>
        <v>0.28000000000000003</v>
      </c>
      <c r="AR42">
        <f t="shared" si="7"/>
        <v>0.28000000000000003</v>
      </c>
      <c r="AS42">
        <f t="shared" si="7"/>
        <v>0.31</v>
      </c>
      <c r="AT42">
        <f t="shared" si="7"/>
        <v>0.34</v>
      </c>
    </row>
    <row r="43" spans="1:46" ht="8.1" customHeight="1">
      <c r="A43" t="s">
        <v>2692</v>
      </c>
      <c r="B43">
        <v>0.3</v>
      </c>
      <c r="C43">
        <v>0.33</v>
      </c>
      <c r="D43">
        <v>0.33</v>
      </c>
      <c r="E43">
        <v>0.33</v>
      </c>
      <c r="F43">
        <v>0.3</v>
      </c>
      <c r="G43">
        <v>0.33</v>
      </c>
      <c r="H43">
        <v>0.33</v>
      </c>
      <c r="I43">
        <v>0.33</v>
      </c>
      <c r="J43">
        <v>0.3</v>
      </c>
      <c r="K43">
        <v>0.33</v>
      </c>
      <c r="L43">
        <v>0.33</v>
      </c>
      <c r="M43">
        <v>0.33</v>
      </c>
      <c r="N43">
        <v>0.3</v>
      </c>
      <c r="O43">
        <v>0.33</v>
      </c>
      <c r="P43">
        <v>0.33</v>
      </c>
      <c r="Q43">
        <v>0.33</v>
      </c>
      <c r="R43">
        <v>0.3</v>
      </c>
      <c r="S43">
        <v>0.33</v>
      </c>
      <c r="T43">
        <v>0.33</v>
      </c>
      <c r="U43">
        <v>0.33</v>
      </c>
      <c r="V43">
        <v>0.3</v>
      </c>
      <c r="W43">
        <v>0.33</v>
      </c>
      <c r="X43">
        <v>0.33</v>
      </c>
      <c r="Y43">
        <v>0.33</v>
      </c>
      <c r="Z43">
        <v>0.3</v>
      </c>
      <c r="AA43">
        <v>0.3</v>
      </c>
      <c r="AB43">
        <v>0.3</v>
      </c>
      <c r="AC43">
        <v>0.3</v>
      </c>
      <c r="AD43">
        <v>0.3</v>
      </c>
      <c r="AE43">
        <v>0.3</v>
      </c>
      <c r="AF43">
        <v>0.39</v>
      </c>
      <c r="AG43">
        <v>0.39</v>
      </c>
      <c r="AH43">
        <v>0.39</v>
      </c>
      <c r="AI43">
        <v>0.3</v>
      </c>
      <c r="AJ43">
        <v>0.39</v>
      </c>
      <c r="AK43">
        <v>0.39</v>
      </c>
      <c r="AL43">
        <v>0.42</v>
      </c>
      <c r="AM43">
        <v>0.33</v>
      </c>
      <c r="AN43">
        <v>0.33</v>
      </c>
      <c r="AO43">
        <v>0.33</v>
      </c>
      <c r="AP43">
        <v>0.36</v>
      </c>
      <c r="AQ43">
        <v>0.33</v>
      </c>
      <c r="AR43">
        <v>0.33</v>
      </c>
      <c r="AS43">
        <v>0.39</v>
      </c>
      <c r="AT43">
        <v>0.42</v>
      </c>
    </row>
    <row r="44" spans="1:46" ht="8.1" customHeight="1">
      <c r="A44" t="s">
        <v>2693</v>
      </c>
      <c r="B44">
        <f t="shared" ref="B44:AT44" si="8">B43+0.07</f>
        <v>0.37</v>
      </c>
      <c r="C44">
        <f t="shared" si="8"/>
        <v>0.4</v>
      </c>
      <c r="D44">
        <f t="shared" si="8"/>
        <v>0.4</v>
      </c>
      <c r="E44">
        <f t="shared" si="8"/>
        <v>0.4</v>
      </c>
      <c r="F44">
        <f t="shared" si="8"/>
        <v>0.37</v>
      </c>
      <c r="G44">
        <f t="shared" si="8"/>
        <v>0.4</v>
      </c>
      <c r="H44">
        <f t="shared" si="8"/>
        <v>0.4</v>
      </c>
      <c r="I44">
        <f t="shared" si="8"/>
        <v>0.4</v>
      </c>
      <c r="J44">
        <f t="shared" si="8"/>
        <v>0.37</v>
      </c>
      <c r="K44">
        <f t="shared" si="8"/>
        <v>0.4</v>
      </c>
      <c r="L44">
        <f t="shared" si="8"/>
        <v>0.4</v>
      </c>
      <c r="M44">
        <f t="shared" si="8"/>
        <v>0.4</v>
      </c>
      <c r="N44">
        <f t="shared" si="8"/>
        <v>0.37</v>
      </c>
      <c r="O44">
        <f t="shared" si="8"/>
        <v>0.4</v>
      </c>
      <c r="P44">
        <f t="shared" si="8"/>
        <v>0.4</v>
      </c>
      <c r="Q44">
        <f t="shared" si="8"/>
        <v>0.4</v>
      </c>
      <c r="R44">
        <f t="shared" si="8"/>
        <v>0.37</v>
      </c>
      <c r="S44">
        <f t="shared" si="8"/>
        <v>0.4</v>
      </c>
      <c r="T44">
        <f t="shared" si="8"/>
        <v>0.4</v>
      </c>
      <c r="U44">
        <f t="shared" si="8"/>
        <v>0.4</v>
      </c>
      <c r="V44">
        <f t="shared" si="8"/>
        <v>0.37</v>
      </c>
      <c r="W44">
        <f t="shared" si="8"/>
        <v>0.4</v>
      </c>
      <c r="X44">
        <f t="shared" si="8"/>
        <v>0.4</v>
      </c>
      <c r="Y44">
        <f t="shared" si="8"/>
        <v>0.4</v>
      </c>
      <c r="Z44">
        <f t="shared" si="8"/>
        <v>0.37</v>
      </c>
      <c r="AA44">
        <f t="shared" si="8"/>
        <v>0.37</v>
      </c>
      <c r="AB44">
        <f t="shared" si="8"/>
        <v>0.37</v>
      </c>
      <c r="AC44">
        <f t="shared" si="8"/>
        <v>0.37</v>
      </c>
      <c r="AD44">
        <f t="shared" si="8"/>
        <v>0.37</v>
      </c>
      <c r="AE44">
        <f t="shared" si="8"/>
        <v>0.37</v>
      </c>
      <c r="AF44">
        <f t="shared" si="8"/>
        <v>0.46</v>
      </c>
      <c r="AG44">
        <f t="shared" si="8"/>
        <v>0.46</v>
      </c>
      <c r="AH44">
        <f t="shared" si="8"/>
        <v>0.46</v>
      </c>
      <c r="AI44">
        <f t="shared" si="8"/>
        <v>0.37</v>
      </c>
      <c r="AJ44">
        <f t="shared" si="8"/>
        <v>0.46</v>
      </c>
      <c r="AK44">
        <f t="shared" si="8"/>
        <v>0.46</v>
      </c>
      <c r="AL44">
        <f t="shared" si="8"/>
        <v>0.49</v>
      </c>
      <c r="AM44">
        <f t="shared" si="8"/>
        <v>0.4</v>
      </c>
      <c r="AN44">
        <f t="shared" si="8"/>
        <v>0.4</v>
      </c>
      <c r="AO44">
        <f t="shared" si="8"/>
        <v>0.4</v>
      </c>
      <c r="AP44">
        <f t="shared" si="8"/>
        <v>0.43</v>
      </c>
      <c r="AQ44">
        <f t="shared" si="8"/>
        <v>0.4</v>
      </c>
      <c r="AR44">
        <f t="shared" si="8"/>
        <v>0.4</v>
      </c>
      <c r="AS44">
        <f t="shared" si="8"/>
        <v>0.46</v>
      </c>
      <c r="AT44">
        <f t="shared" si="8"/>
        <v>0.49</v>
      </c>
    </row>
    <row r="45" spans="1:46" ht="8.1" customHeight="1">
      <c r="A45" t="s">
        <v>2695</v>
      </c>
      <c r="B45">
        <v>0.24</v>
      </c>
      <c r="C45">
        <v>0.27</v>
      </c>
      <c r="D45">
        <v>0.3</v>
      </c>
      <c r="E45">
        <v>0.33</v>
      </c>
      <c r="F45">
        <v>0.24</v>
      </c>
      <c r="G45">
        <v>0.27</v>
      </c>
      <c r="H45">
        <v>0.3</v>
      </c>
      <c r="I45">
        <v>0.33</v>
      </c>
      <c r="J45">
        <v>0.24</v>
      </c>
      <c r="K45">
        <v>0.27</v>
      </c>
      <c r="L45">
        <v>0.3</v>
      </c>
      <c r="M45">
        <v>0.33</v>
      </c>
      <c r="N45">
        <v>0.24</v>
      </c>
      <c r="O45">
        <v>0.27</v>
      </c>
      <c r="P45">
        <v>0.3</v>
      </c>
      <c r="Q45">
        <v>0.33</v>
      </c>
      <c r="R45">
        <v>0.24</v>
      </c>
      <c r="S45">
        <v>0.27</v>
      </c>
      <c r="T45">
        <v>0.3</v>
      </c>
      <c r="U45">
        <v>0.33</v>
      </c>
      <c r="V45">
        <v>0.24</v>
      </c>
      <c r="W45">
        <v>0.27</v>
      </c>
      <c r="X45">
        <v>0.3</v>
      </c>
      <c r="Y45">
        <v>0.33</v>
      </c>
      <c r="Z45">
        <v>0.24</v>
      </c>
      <c r="AA45">
        <v>0.24</v>
      </c>
      <c r="AB45">
        <v>0.24</v>
      </c>
      <c r="AC45">
        <v>0.24</v>
      </c>
      <c r="AD45">
        <v>0.24</v>
      </c>
      <c r="AE45">
        <v>0.24</v>
      </c>
      <c r="AF45">
        <v>0.24</v>
      </c>
      <c r="AG45">
        <v>0.24</v>
      </c>
      <c r="AH45">
        <v>0.24</v>
      </c>
      <c r="AI45">
        <v>0.24</v>
      </c>
      <c r="AJ45">
        <v>0.24</v>
      </c>
      <c r="AK45">
        <v>0.24</v>
      </c>
      <c r="AL45">
        <v>0.27</v>
      </c>
      <c r="AM45">
        <v>0.3</v>
      </c>
      <c r="AN45">
        <v>0.33</v>
      </c>
      <c r="AO45">
        <v>0.36</v>
      </c>
      <c r="AP45">
        <v>0.39</v>
      </c>
      <c r="AQ45">
        <v>0.3</v>
      </c>
      <c r="AR45">
        <v>0.3</v>
      </c>
      <c r="AS45">
        <v>0.33</v>
      </c>
      <c r="AT45">
        <v>0.39</v>
      </c>
    </row>
    <row r="46" spans="1:46" ht="8.1" customHeight="1">
      <c r="A46" t="s">
        <v>2694</v>
      </c>
      <c r="B46">
        <f t="shared" ref="B46:AT46" si="9">B45+0.07</f>
        <v>0.31</v>
      </c>
      <c r="C46">
        <f t="shared" si="9"/>
        <v>0.34</v>
      </c>
      <c r="D46">
        <f t="shared" si="9"/>
        <v>0.37</v>
      </c>
      <c r="E46">
        <f t="shared" si="9"/>
        <v>0.4</v>
      </c>
      <c r="F46">
        <f t="shared" si="9"/>
        <v>0.31</v>
      </c>
      <c r="G46">
        <f t="shared" si="9"/>
        <v>0.34</v>
      </c>
      <c r="H46">
        <f t="shared" si="9"/>
        <v>0.37</v>
      </c>
      <c r="I46">
        <f t="shared" si="9"/>
        <v>0.4</v>
      </c>
      <c r="J46">
        <f t="shared" si="9"/>
        <v>0.31</v>
      </c>
      <c r="K46">
        <f t="shared" si="9"/>
        <v>0.34</v>
      </c>
      <c r="L46">
        <f t="shared" si="9"/>
        <v>0.37</v>
      </c>
      <c r="M46">
        <f t="shared" si="9"/>
        <v>0.4</v>
      </c>
      <c r="N46">
        <f t="shared" si="9"/>
        <v>0.31</v>
      </c>
      <c r="O46">
        <f t="shared" si="9"/>
        <v>0.34</v>
      </c>
      <c r="P46">
        <f t="shared" si="9"/>
        <v>0.37</v>
      </c>
      <c r="Q46">
        <f t="shared" si="9"/>
        <v>0.4</v>
      </c>
      <c r="R46">
        <f t="shared" si="9"/>
        <v>0.31</v>
      </c>
      <c r="S46">
        <f t="shared" si="9"/>
        <v>0.34</v>
      </c>
      <c r="T46">
        <f t="shared" si="9"/>
        <v>0.37</v>
      </c>
      <c r="U46">
        <f t="shared" si="9"/>
        <v>0.4</v>
      </c>
      <c r="V46">
        <f t="shared" si="9"/>
        <v>0.31</v>
      </c>
      <c r="W46">
        <f t="shared" si="9"/>
        <v>0.34</v>
      </c>
      <c r="X46">
        <f t="shared" si="9"/>
        <v>0.37</v>
      </c>
      <c r="Y46">
        <f t="shared" si="9"/>
        <v>0.4</v>
      </c>
      <c r="Z46">
        <f t="shared" si="9"/>
        <v>0.31</v>
      </c>
      <c r="AA46">
        <f t="shared" si="9"/>
        <v>0.31</v>
      </c>
      <c r="AB46">
        <f t="shared" si="9"/>
        <v>0.31</v>
      </c>
      <c r="AC46">
        <f t="shared" si="9"/>
        <v>0.31</v>
      </c>
      <c r="AD46">
        <f t="shared" si="9"/>
        <v>0.31</v>
      </c>
      <c r="AE46">
        <f t="shared" si="9"/>
        <v>0.31</v>
      </c>
      <c r="AF46">
        <f t="shared" si="9"/>
        <v>0.31</v>
      </c>
      <c r="AG46">
        <f t="shared" si="9"/>
        <v>0.31</v>
      </c>
      <c r="AH46">
        <f t="shared" si="9"/>
        <v>0.31</v>
      </c>
      <c r="AI46">
        <f t="shared" si="9"/>
        <v>0.31</v>
      </c>
      <c r="AJ46">
        <f t="shared" si="9"/>
        <v>0.31</v>
      </c>
      <c r="AK46">
        <f t="shared" si="9"/>
        <v>0.31</v>
      </c>
      <c r="AL46">
        <f t="shared" si="9"/>
        <v>0.34</v>
      </c>
      <c r="AM46">
        <f t="shared" si="9"/>
        <v>0.37</v>
      </c>
      <c r="AN46">
        <f t="shared" si="9"/>
        <v>0.4</v>
      </c>
      <c r="AO46">
        <f t="shared" si="9"/>
        <v>0.43</v>
      </c>
      <c r="AP46">
        <f t="shared" si="9"/>
        <v>0.46</v>
      </c>
      <c r="AQ46">
        <f t="shared" si="9"/>
        <v>0.37</v>
      </c>
      <c r="AR46">
        <f t="shared" si="9"/>
        <v>0.37</v>
      </c>
      <c r="AS46">
        <f t="shared" si="9"/>
        <v>0.4</v>
      </c>
      <c r="AT46">
        <f t="shared" si="9"/>
        <v>0.46</v>
      </c>
    </row>
    <row r="47" spans="1:46" ht="8.1" customHeight="1" collapsed="1">
      <c r="A47" t="s">
        <v>2696</v>
      </c>
      <c r="B47">
        <v>0.27</v>
      </c>
      <c r="C47">
        <v>0.27</v>
      </c>
      <c r="D47">
        <v>0.3</v>
      </c>
      <c r="E47">
        <v>0.33</v>
      </c>
      <c r="F47">
        <v>0.22</v>
      </c>
      <c r="G47">
        <v>0.25</v>
      </c>
      <c r="H47">
        <v>0.27</v>
      </c>
      <c r="I47">
        <v>0.3</v>
      </c>
      <c r="J47">
        <v>0.15</v>
      </c>
      <c r="K47">
        <v>0.18</v>
      </c>
      <c r="L47">
        <v>0.21</v>
      </c>
      <c r="M47">
        <v>0.27</v>
      </c>
      <c r="N47">
        <v>0.12</v>
      </c>
      <c r="O47">
        <v>0.15</v>
      </c>
      <c r="P47">
        <v>0.18</v>
      </c>
      <c r="Q47">
        <v>0.21</v>
      </c>
      <c r="R47">
        <v>0.1</v>
      </c>
      <c r="S47">
        <v>0.12</v>
      </c>
      <c r="T47">
        <v>0.16</v>
      </c>
      <c r="U47">
        <v>0.2</v>
      </c>
      <c r="V47">
        <v>0.09</v>
      </c>
      <c r="W47">
        <v>0.12</v>
      </c>
      <c r="X47">
        <v>0.15</v>
      </c>
      <c r="Y47">
        <v>0.15</v>
      </c>
      <c r="Z47">
        <v>0.03</v>
      </c>
      <c r="AA47">
        <v>0.09</v>
      </c>
      <c r="AB47">
        <v>0.12</v>
      </c>
      <c r="AC47">
        <v>0.15</v>
      </c>
      <c r="AD47">
        <v>0</v>
      </c>
      <c r="AE47">
        <v>0</v>
      </c>
      <c r="AF47">
        <v>0.09</v>
      </c>
      <c r="AG47">
        <v>7.0000000000000007E-2</v>
      </c>
      <c r="AH47">
        <v>7.0000000000000007E-2</v>
      </c>
      <c r="AI47">
        <v>0.04</v>
      </c>
      <c r="AJ47">
        <v>7.0000000000000007E-2</v>
      </c>
      <c r="AK47">
        <v>0.09</v>
      </c>
      <c r="AL47">
        <v>0.12</v>
      </c>
      <c r="AM47">
        <v>0.12</v>
      </c>
      <c r="AN47">
        <v>0.2</v>
      </c>
      <c r="AO47">
        <v>0.24</v>
      </c>
      <c r="AP47">
        <v>0.28000000000000003</v>
      </c>
      <c r="AQ47">
        <v>0.12</v>
      </c>
      <c r="AR47">
        <v>0.12</v>
      </c>
      <c r="AS47">
        <v>0.15</v>
      </c>
      <c r="AT47">
        <v>0.18</v>
      </c>
    </row>
    <row r="48" spans="1:46" ht="8.1" customHeight="1">
      <c r="A48" t="s">
        <v>2697</v>
      </c>
      <c r="B48">
        <f t="shared" ref="B48:AT48" si="10">B47+0.4</f>
        <v>0.67</v>
      </c>
      <c r="C48">
        <f t="shared" si="10"/>
        <v>0.67</v>
      </c>
      <c r="D48">
        <f t="shared" si="10"/>
        <v>0.7</v>
      </c>
      <c r="E48">
        <f t="shared" si="10"/>
        <v>0.73</v>
      </c>
      <c r="F48">
        <f t="shared" si="10"/>
        <v>0.62</v>
      </c>
      <c r="G48">
        <f t="shared" si="10"/>
        <v>0.65</v>
      </c>
      <c r="H48">
        <f t="shared" si="10"/>
        <v>0.67</v>
      </c>
      <c r="I48">
        <f t="shared" si="10"/>
        <v>0.7</v>
      </c>
      <c r="J48">
        <f t="shared" si="10"/>
        <v>0.55000000000000004</v>
      </c>
      <c r="K48">
        <f t="shared" si="10"/>
        <v>0.58000000000000007</v>
      </c>
      <c r="L48">
        <f t="shared" si="10"/>
        <v>0.61</v>
      </c>
      <c r="M48">
        <f t="shared" si="10"/>
        <v>0.67</v>
      </c>
      <c r="N48">
        <f t="shared" si="10"/>
        <v>0.52</v>
      </c>
      <c r="O48">
        <f t="shared" si="10"/>
        <v>0.55000000000000004</v>
      </c>
      <c r="P48">
        <f t="shared" si="10"/>
        <v>0.58000000000000007</v>
      </c>
      <c r="Q48">
        <f t="shared" si="10"/>
        <v>0.61</v>
      </c>
      <c r="R48">
        <f t="shared" si="10"/>
        <v>0.5</v>
      </c>
      <c r="S48">
        <f t="shared" si="10"/>
        <v>0.52</v>
      </c>
      <c r="T48">
        <f t="shared" si="10"/>
        <v>0.56000000000000005</v>
      </c>
      <c r="U48">
        <f t="shared" si="10"/>
        <v>0.60000000000000009</v>
      </c>
      <c r="V48">
        <f t="shared" si="10"/>
        <v>0.49</v>
      </c>
      <c r="W48">
        <f t="shared" si="10"/>
        <v>0.52</v>
      </c>
      <c r="X48">
        <f t="shared" si="10"/>
        <v>0.55000000000000004</v>
      </c>
      <c r="Y48">
        <f t="shared" si="10"/>
        <v>0.55000000000000004</v>
      </c>
      <c r="Z48">
        <f t="shared" si="10"/>
        <v>0.43000000000000005</v>
      </c>
      <c r="AA48">
        <f t="shared" si="10"/>
        <v>0.49</v>
      </c>
      <c r="AB48">
        <f t="shared" si="10"/>
        <v>0.52</v>
      </c>
      <c r="AC48">
        <f t="shared" si="10"/>
        <v>0.55000000000000004</v>
      </c>
      <c r="AD48">
        <f t="shared" si="10"/>
        <v>0.4</v>
      </c>
      <c r="AE48">
        <f t="shared" si="10"/>
        <v>0.4</v>
      </c>
      <c r="AF48">
        <f t="shared" si="10"/>
        <v>0.49</v>
      </c>
      <c r="AG48">
        <f t="shared" si="10"/>
        <v>0.47000000000000003</v>
      </c>
      <c r="AH48">
        <f t="shared" si="10"/>
        <v>0.47000000000000003</v>
      </c>
      <c r="AI48">
        <f t="shared" si="10"/>
        <v>0.44</v>
      </c>
      <c r="AJ48">
        <f t="shared" si="10"/>
        <v>0.47000000000000003</v>
      </c>
      <c r="AK48">
        <f t="shared" si="10"/>
        <v>0.49</v>
      </c>
      <c r="AL48">
        <f t="shared" si="10"/>
        <v>0.52</v>
      </c>
      <c r="AM48">
        <f t="shared" si="10"/>
        <v>0.52</v>
      </c>
      <c r="AN48">
        <f t="shared" si="10"/>
        <v>0.60000000000000009</v>
      </c>
      <c r="AO48">
        <f t="shared" si="10"/>
        <v>0.64</v>
      </c>
      <c r="AP48">
        <f t="shared" si="10"/>
        <v>0.68</v>
      </c>
      <c r="AQ48">
        <f t="shared" si="10"/>
        <v>0.52</v>
      </c>
      <c r="AR48">
        <f t="shared" si="10"/>
        <v>0.52</v>
      </c>
      <c r="AS48">
        <f t="shared" si="10"/>
        <v>0.55000000000000004</v>
      </c>
      <c r="AT48">
        <f t="shared" si="10"/>
        <v>0.58000000000000007</v>
      </c>
    </row>
    <row r="49" spans="1:46" ht="8.1" customHeight="1">
      <c r="A49" t="s">
        <v>2698</v>
      </c>
      <c r="B49">
        <f t="shared" ref="B49:I49" si="11">4+1</f>
        <v>5</v>
      </c>
      <c r="C49">
        <f t="shared" si="11"/>
        <v>5</v>
      </c>
      <c r="D49">
        <f t="shared" si="11"/>
        <v>5</v>
      </c>
      <c r="E49">
        <f t="shared" si="11"/>
        <v>5</v>
      </c>
      <c r="F49">
        <f t="shared" si="11"/>
        <v>5</v>
      </c>
      <c r="G49">
        <f t="shared" si="11"/>
        <v>5</v>
      </c>
      <c r="H49">
        <f t="shared" si="11"/>
        <v>5</v>
      </c>
      <c r="I49">
        <f t="shared" si="11"/>
        <v>5</v>
      </c>
      <c r="J49">
        <f t="shared" ref="J49:AR49" si="12">4+1</f>
        <v>5</v>
      </c>
      <c r="K49">
        <f t="shared" si="12"/>
        <v>5</v>
      </c>
      <c r="L49">
        <f t="shared" si="12"/>
        <v>5</v>
      </c>
      <c r="M49">
        <f t="shared" si="12"/>
        <v>5</v>
      </c>
      <c r="N49">
        <f t="shared" si="12"/>
        <v>5</v>
      </c>
      <c r="O49">
        <f t="shared" si="12"/>
        <v>5</v>
      </c>
      <c r="P49">
        <f t="shared" si="12"/>
        <v>5</v>
      </c>
      <c r="Q49">
        <f t="shared" si="12"/>
        <v>5</v>
      </c>
      <c r="R49">
        <f t="shared" si="12"/>
        <v>5</v>
      </c>
      <c r="S49">
        <f t="shared" si="12"/>
        <v>5</v>
      </c>
      <c r="T49">
        <f t="shared" si="12"/>
        <v>5</v>
      </c>
      <c r="U49">
        <f t="shared" si="12"/>
        <v>5</v>
      </c>
      <c r="V49">
        <f t="shared" si="12"/>
        <v>5</v>
      </c>
      <c r="W49">
        <f t="shared" si="12"/>
        <v>5</v>
      </c>
      <c r="X49">
        <f t="shared" si="12"/>
        <v>5</v>
      </c>
      <c r="Y49">
        <v>5</v>
      </c>
      <c r="Z49">
        <f t="shared" si="12"/>
        <v>5</v>
      </c>
      <c r="AA49">
        <f t="shared" si="12"/>
        <v>5</v>
      </c>
      <c r="AB49">
        <f t="shared" si="12"/>
        <v>5</v>
      </c>
      <c r="AC49">
        <v>5</v>
      </c>
      <c r="AD49">
        <f t="shared" si="12"/>
        <v>5</v>
      </c>
      <c r="AE49">
        <f t="shared" si="12"/>
        <v>5</v>
      </c>
      <c r="AF49">
        <v>5</v>
      </c>
      <c r="AG49">
        <f t="shared" si="12"/>
        <v>5</v>
      </c>
      <c r="AH49">
        <f t="shared" si="12"/>
        <v>5</v>
      </c>
      <c r="AI49">
        <f t="shared" si="12"/>
        <v>5</v>
      </c>
      <c r="AJ49">
        <f t="shared" si="12"/>
        <v>5</v>
      </c>
      <c r="AK49">
        <f t="shared" si="12"/>
        <v>5</v>
      </c>
      <c r="AL49">
        <f t="shared" si="12"/>
        <v>5</v>
      </c>
      <c r="AM49">
        <f t="shared" si="12"/>
        <v>5</v>
      </c>
      <c r="AN49">
        <f t="shared" si="12"/>
        <v>5</v>
      </c>
      <c r="AO49">
        <f t="shared" si="12"/>
        <v>5</v>
      </c>
      <c r="AP49">
        <f t="shared" si="12"/>
        <v>5</v>
      </c>
      <c r="AQ49">
        <v>4</v>
      </c>
      <c r="AR49">
        <f t="shared" si="12"/>
        <v>5</v>
      </c>
      <c r="AS49">
        <v>6</v>
      </c>
      <c r="AT49">
        <v>7</v>
      </c>
    </row>
    <row r="50" spans="1:46" ht="8.1" customHeight="1">
      <c r="A50" t="s">
        <v>3753</v>
      </c>
      <c r="B50">
        <v>1</v>
      </c>
      <c r="C50">
        <v>2</v>
      </c>
      <c r="D50">
        <v>2</v>
      </c>
      <c r="E50">
        <v>2</v>
      </c>
      <c r="F50">
        <v>1</v>
      </c>
      <c r="G50">
        <v>1</v>
      </c>
      <c r="H50">
        <v>1</v>
      </c>
      <c r="I50">
        <v>1</v>
      </c>
      <c r="J50">
        <v>1</v>
      </c>
      <c r="K50">
        <v>1</v>
      </c>
      <c r="L50">
        <v>1</v>
      </c>
      <c r="M50">
        <v>1</v>
      </c>
      <c r="N50">
        <v>0</v>
      </c>
      <c r="O50">
        <v>0</v>
      </c>
      <c r="P50">
        <v>0</v>
      </c>
      <c r="Q50">
        <v>1</v>
      </c>
      <c r="R50">
        <v>0</v>
      </c>
      <c r="S50">
        <v>0</v>
      </c>
      <c r="T50">
        <v>1</v>
      </c>
      <c r="U50">
        <v>1</v>
      </c>
      <c r="V50">
        <v>0</v>
      </c>
      <c r="W50">
        <v>0</v>
      </c>
      <c r="X50">
        <v>0</v>
      </c>
      <c r="Y50">
        <v>0</v>
      </c>
      <c r="Z50">
        <v>0</v>
      </c>
      <c r="AA50">
        <v>0</v>
      </c>
      <c r="AB50">
        <v>0</v>
      </c>
      <c r="AC50">
        <v>1</v>
      </c>
      <c r="AD50">
        <v>0</v>
      </c>
      <c r="AE50">
        <v>0</v>
      </c>
      <c r="AF50">
        <v>1</v>
      </c>
      <c r="AG50">
        <v>0</v>
      </c>
      <c r="AH50">
        <v>0</v>
      </c>
      <c r="AI50">
        <v>1</v>
      </c>
      <c r="AJ50">
        <v>1</v>
      </c>
      <c r="AK50">
        <v>1</v>
      </c>
      <c r="AL50">
        <v>2</v>
      </c>
      <c r="AM50">
        <v>0</v>
      </c>
      <c r="AN50">
        <v>1</v>
      </c>
      <c r="AO50">
        <v>1</v>
      </c>
      <c r="AP50">
        <v>1</v>
      </c>
      <c r="AQ50">
        <v>0</v>
      </c>
      <c r="AR50">
        <v>0</v>
      </c>
      <c r="AS50">
        <v>1</v>
      </c>
      <c r="AT50">
        <v>1</v>
      </c>
    </row>
    <row r="51" spans="1:46" ht="8.1" customHeight="1">
      <c r="A51" t="s">
        <v>4766</v>
      </c>
      <c r="B51" t="s">
        <v>1825</v>
      </c>
      <c r="C51" t="s">
        <v>1825</v>
      </c>
      <c r="D51" t="s">
        <v>1825</v>
      </c>
      <c r="E51" t="s">
        <v>1825</v>
      </c>
      <c r="F51" t="s">
        <v>1825</v>
      </c>
      <c r="G51" t="s">
        <v>1825</v>
      </c>
      <c r="H51" t="s">
        <v>1825</v>
      </c>
      <c r="I51" t="s">
        <v>1825</v>
      </c>
      <c r="J51" t="s">
        <v>1825</v>
      </c>
      <c r="K51" t="s">
        <v>1825</v>
      </c>
      <c r="L51" t="s">
        <v>1825</v>
      </c>
      <c r="M51" t="s">
        <v>1825</v>
      </c>
      <c r="N51" t="s">
        <v>1825</v>
      </c>
      <c r="O51" t="s">
        <v>1825</v>
      </c>
      <c r="P51" t="s">
        <v>1825</v>
      </c>
      <c r="Q51" t="s">
        <v>1825</v>
      </c>
      <c r="R51" t="s">
        <v>1825</v>
      </c>
      <c r="S51" t="s">
        <v>1825</v>
      </c>
      <c r="T51" t="s">
        <v>1825</v>
      </c>
      <c r="U51" t="s">
        <v>1825</v>
      </c>
      <c r="V51" t="s">
        <v>1825</v>
      </c>
      <c r="W51" t="s">
        <v>1825</v>
      </c>
      <c r="X51" t="s">
        <v>1825</v>
      </c>
      <c r="Y51" t="s">
        <v>1825</v>
      </c>
      <c r="Z51" t="s">
        <v>1825</v>
      </c>
      <c r="AA51" t="s">
        <v>1825</v>
      </c>
      <c r="AB51" t="s">
        <v>1825</v>
      </c>
      <c r="AC51" t="s">
        <v>1825</v>
      </c>
      <c r="AD51" t="s">
        <v>1825</v>
      </c>
      <c r="AE51" t="s">
        <v>1825</v>
      </c>
      <c r="AF51" t="s">
        <v>1825</v>
      </c>
      <c r="AG51" t="s">
        <v>1825</v>
      </c>
      <c r="AH51" t="s">
        <v>1825</v>
      </c>
      <c r="AI51" t="s">
        <v>1825</v>
      </c>
      <c r="AJ51" t="s">
        <v>1825</v>
      </c>
      <c r="AK51" t="s">
        <v>1825</v>
      </c>
      <c r="AL51" t="s">
        <v>1825</v>
      </c>
      <c r="AM51" t="s">
        <v>1825</v>
      </c>
      <c r="AN51" t="s">
        <v>1825</v>
      </c>
      <c r="AO51" t="s">
        <v>1825</v>
      </c>
      <c r="AP51" t="s">
        <v>1825</v>
      </c>
      <c r="AQ51" t="s">
        <v>1825</v>
      </c>
      <c r="AR51" t="s">
        <v>1825</v>
      </c>
      <c r="AS51" t="s">
        <v>1825</v>
      </c>
      <c r="AT51" t="s">
        <v>1825</v>
      </c>
    </row>
    <row r="52" spans="1:46" ht="8.1" customHeight="1">
      <c r="A52" t="s">
        <v>1822</v>
      </c>
      <c r="B52">
        <v>0.3</v>
      </c>
      <c r="C52">
        <v>0.33</v>
      </c>
      <c r="D52">
        <v>0.33</v>
      </c>
      <c r="E52">
        <v>0.36</v>
      </c>
      <c r="F52">
        <v>0.28000000000000003</v>
      </c>
      <c r="G52">
        <v>0.3</v>
      </c>
      <c r="H52">
        <v>0.32</v>
      </c>
      <c r="I52">
        <v>0.35</v>
      </c>
      <c r="J52">
        <v>0.18</v>
      </c>
      <c r="K52">
        <v>0.21</v>
      </c>
      <c r="L52">
        <v>0.25</v>
      </c>
      <c r="M52">
        <v>0.3</v>
      </c>
      <c r="N52">
        <v>0.14000000000000001</v>
      </c>
      <c r="O52">
        <v>0.16</v>
      </c>
      <c r="P52">
        <v>0.2</v>
      </c>
      <c r="Q52">
        <v>0.24</v>
      </c>
      <c r="R52">
        <v>0.16</v>
      </c>
      <c r="S52">
        <v>0.19</v>
      </c>
      <c r="T52">
        <v>0.24</v>
      </c>
      <c r="U52">
        <v>0.3</v>
      </c>
      <c r="V52">
        <v>0.12</v>
      </c>
      <c r="W52">
        <v>0.15</v>
      </c>
      <c r="X52">
        <v>0.18</v>
      </c>
      <c r="Y52">
        <v>0.21</v>
      </c>
      <c r="Z52">
        <v>0.06</v>
      </c>
      <c r="AA52">
        <v>0.09</v>
      </c>
      <c r="AB52">
        <v>0.12</v>
      </c>
      <c r="AC52">
        <v>0.15</v>
      </c>
      <c r="AD52">
        <v>0.06</v>
      </c>
      <c r="AE52">
        <v>0.02</v>
      </c>
      <c r="AF52">
        <v>0.14000000000000001</v>
      </c>
      <c r="AG52">
        <v>0.14000000000000001</v>
      </c>
      <c r="AH52">
        <v>7.0000000000000007E-2</v>
      </c>
      <c r="AI52">
        <v>0.1</v>
      </c>
      <c r="AJ52">
        <v>0.13</v>
      </c>
      <c r="AK52">
        <v>0.16</v>
      </c>
      <c r="AL52">
        <v>0.21</v>
      </c>
      <c r="AM52">
        <v>0.19</v>
      </c>
      <c r="AN52">
        <v>0.3</v>
      </c>
      <c r="AO52">
        <v>0.35</v>
      </c>
      <c r="AP52">
        <v>0.41</v>
      </c>
      <c r="AQ52">
        <v>0.18</v>
      </c>
      <c r="AR52">
        <v>0.24</v>
      </c>
      <c r="AS52">
        <v>0.27</v>
      </c>
      <c r="AT52">
        <v>0.3</v>
      </c>
    </row>
    <row r="53" spans="1:46" ht="8.1" customHeight="1">
      <c r="A53" t="s">
        <v>1823</v>
      </c>
      <c r="B53">
        <f t="shared" ref="B53:AT53" si="13">B52+0.5</f>
        <v>0.8</v>
      </c>
      <c r="C53">
        <f t="shared" si="13"/>
        <v>0.83000000000000007</v>
      </c>
      <c r="D53">
        <f t="shared" si="13"/>
        <v>0.83000000000000007</v>
      </c>
      <c r="E53">
        <f t="shared" si="13"/>
        <v>0.86</v>
      </c>
      <c r="F53">
        <f t="shared" si="13"/>
        <v>0.78</v>
      </c>
      <c r="G53">
        <f t="shared" si="13"/>
        <v>0.8</v>
      </c>
      <c r="H53">
        <f t="shared" si="13"/>
        <v>0.82000000000000006</v>
      </c>
      <c r="I53">
        <f t="shared" si="13"/>
        <v>0.85</v>
      </c>
      <c r="J53">
        <f t="shared" si="13"/>
        <v>0.67999999999999994</v>
      </c>
      <c r="K53">
        <f t="shared" si="13"/>
        <v>0.71</v>
      </c>
      <c r="L53">
        <f t="shared" si="13"/>
        <v>0.75</v>
      </c>
      <c r="M53">
        <f t="shared" si="13"/>
        <v>0.8</v>
      </c>
      <c r="N53">
        <f t="shared" si="13"/>
        <v>0.64</v>
      </c>
      <c r="O53">
        <f t="shared" si="13"/>
        <v>0.66</v>
      </c>
      <c r="P53">
        <f t="shared" si="13"/>
        <v>0.7</v>
      </c>
      <c r="Q53">
        <f t="shared" si="13"/>
        <v>0.74</v>
      </c>
      <c r="R53">
        <f t="shared" si="13"/>
        <v>0.66</v>
      </c>
      <c r="S53">
        <f t="shared" si="13"/>
        <v>0.69</v>
      </c>
      <c r="T53">
        <f t="shared" si="13"/>
        <v>0.74</v>
      </c>
      <c r="U53">
        <f t="shared" si="13"/>
        <v>0.8</v>
      </c>
      <c r="V53">
        <f t="shared" si="13"/>
        <v>0.62</v>
      </c>
      <c r="W53">
        <f t="shared" si="13"/>
        <v>0.65</v>
      </c>
      <c r="X53">
        <f t="shared" si="13"/>
        <v>0.67999999999999994</v>
      </c>
      <c r="Y53">
        <f t="shared" si="13"/>
        <v>0.71</v>
      </c>
      <c r="Z53">
        <f t="shared" si="13"/>
        <v>0.56000000000000005</v>
      </c>
      <c r="AA53">
        <f t="shared" si="13"/>
        <v>0.59</v>
      </c>
      <c r="AB53">
        <f t="shared" si="13"/>
        <v>0.62</v>
      </c>
      <c r="AC53">
        <f t="shared" si="13"/>
        <v>0.65</v>
      </c>
      <c r="AD53">
        <f t="shared" si="13"/>
        <v>0.56000000000000005</v>
      </c>
      <c r="AE53">
        <f t="shared" si="13"/>
        <v>0.52</v>
      </c>
      <c r="AF53">
        <f t="shared" si="13"/>
        <v>0.64</v>
      </c>
      <c r="AG53">
        <f t="shared" si="13"/>
        <v>0.64</v>
      </c>
      <c r="AH53">
        <f t="shared" si="13"/>
        <v>0.57000000000000006</v>
      </c>
      <c r="AI53">
        <f t="shared" si="13"/>
        <v>0.6</v>
      </c>
      <c r="AJ53">
        <f t="shared" si="13"/>
        <v>0.63</v>
      </c>
      <c r="AK53">
        <f t="shared" si="13"/>
        <v>0.66</v>
      </c>
      <c r="AL53">
        <f t="shared" si="13"/>
        <v>0.71</v>
      </c>
      <c r="AM53">
        <f t="shared" si="13"/>
        <v>0.69</v>
      </c>
      <c r="AN53">
        <f t="shared" si="13"/>
        <v>0.8</v>
      </c>
      <c r="AO53">
        <f t="shared" si="13"/>
        <v>0.85</v>
      </c>
      <c r="AP53">
        <f t="shared" si="13"/>
        <v>0.90999999999999992</v>
      </c>
      <c r="AQ53">
        <f t="shared" si="13"/>
        <v>0.67999999999999994</v>
      </c>
      <c r="AR53">
        <f t="shared" si="13"/>
        <v>0.74</v>
      </c>
      <c r="AS53">
        <f t="shared" si="13"/>
        <v>0.77</v>
      </c>
      <c r="AT53">
        <f t="shared" si="13"/>
        <v>0.8</v>
      </c>
    </row>
    <row r="54" spans="1:46" ht="8.1" customHeight="1">
      <c r="A54" t="s">
        <v>1824</v>
      </c>
      <c r="B54">
        <f t="shared" ref="B54:I54" si="14">10+12</f>
        <v>22</v>
      </c>
      <c r="C54">
        <f t="shared" si="14"/>
        <v>22</v>
      </c>
      <c r="D54">
        <f t="shared" si="14"/>
        <v>22</v>
      </c>
      <c r="E54">
        <f t="shared" si="14"/>
        <v>22</v>
      </c>
      <c r="F54">
        <f t="shared" si="14"/>
        <v>22</v>
      </c>
      <c r="G54">
        <f t="shared" si="14"/>
        <v>22</v>
      </c>
      <c r="H54">
        <f t="shared" si="14"/>
        <v>22</v>
      </c>
      <c r="I54">
        <f t="shared" si="14"/>
        <v>22</v>
      </c>
      <c r="J54">
        <f t="shared" ref="J54:AP54" si="15">10+12</f>
        <v>22</v>
      </c>
      <c r="K54">
        <f t="shared" si="15"/>
        <v>22</v>
      </c>
      <c r="L54">
        <f t="shared" si="15"/>
        <v>22</v>
      </c>
      <c r="M54">
        <f t="shared" si="15"/>
        <v>22</v>
      </c>
      <c r="N54">
        <f t="shared" si="15"/>
        <v>22</v>
      </c>
      <c r="O54">
        <f t="shared" si="15"/>
        <v>22</v>
      </c>
      <c r="P54">
        <f t="shared" si="15"/>
        <v>22</v>
      </c>
      <c r="Q54">
        <f t="shared" si="15"/>
        <v>22</v>
      </c>
      <c r="R54">
        <f t="shared" si="15"/>
        <v>22</v>
      </c>
      <c r="S54">
        <f t="shared" si="15"/>
        <v>22</v>
      </c>
      <c r="T54">
        <f t="shared" si="15"/>
        <v>22</v>
      </c>
      <c r="U54">
        <f t="shared" si="15"/>
        <v>22</v>
      </c>
      <c r="V54">
        <f t="shared" si="15"/>
        <v>22</v>
      </c>
      <c r="W54">
        <f t="shared" si="15"/>
        <v>22</v>
      </c>
      <c r="X54">
        <f t="shared" si="15"/>
        <v>22</v>
      </c>
      <c r="Y54">
        <f t="shared" si="15"/>
        <v>22</v>
      </c>
      <c r="Z54">
        <f t="shared" si="15"/>
        <v>22</v>
      </c>
      <c r="AA54">
        <f t="shared" si="15"/>
        <v>22</v>
      </c>
      <c r="AB54">
        <f t="shared" si="15"/>
        <v>22</v>
      </c>
      <c r="AC54">
        <f t="shared" si="15"/>
        <v>22</v>
      </c>
      <c r="AD54">
        <f t="shared" si="15"/>
        <v>22</v>
      </c>
      <c r="AE54">
        <f t="shared" si="15"/>
        <v>22</v>
      </c>
      <c r="AF54">
        <f t="shared" si="15"/>
        <v>22</v>
      </c>
      <c r="AG54">
        <f t="shared" si="15"/>
        <v>22</v>
      </c>
      <c r="AH54">
        <f t="shared" si="15"/>
        <v>22</v>
      </c>
      <c r="AI54">
        <f t="shared" si="15"/>
        <v>22</v>
      </c>
      <c r="AJ54">
        <f t="shared" si="15"/>
        <v>22</v>
      </c>
      <c r="AK54">
        <f t="shared" si="15"/>
        <v>22</v>
      </c>
      <c r="AL54">
        <f>10+14</f>
        <v>24</v>
      </c>
      <c r="AM54">
        <f t="shared" si="15"/>
        <v>22</v>
      </c>
      <c r="AN54">
        <f t="shared" si="15"/>
        <v>22</v>
      </c>
      <c r="AO54">
        <f t="shared" si="15"/>
        <v>22</v>
      </c>
      <c r="AP54">
        <f t="shared" si="15"/>
        <v>22</v>
      </c>
      <c r="AQ54">
        <v>12</v>
      </c>
      <c r="AR54">
        <v>14</v>
      </c>
      <c r="AS54">
        <v>16</v>
      </c>
      <c r="AT54">
        <v>18</v>
      </c>
    </row>
    <row r="55" spans="1:46" ht="8.1" customHeight="1">
      <c r="A55" t="s">
        <v>3754</v>
      </c>
      <c r="B55">
        <v>1</v>
      </c>
      <c r="C55">
        <v>2</v>
      </c>
      <c r="D55">
        <v>2</v>
      </c>
      <c r="E55">
        <v>3</v>
      </c>
      <c r="F55">
        <v>1</v>
      </c>
      <c r="G55">
        <v>1</v>
      </c>
      <c r="H55">
        <v>1</v>
      </c>
      <c r="I55">
        <v>2</v>
      </c>
      <c r="J55">
        <v>1</v>
      </c>
      <c r="K55">
        <v>1</v>
      </c>
      <c r="L55">
        <v>1</v>
      </c>
      <c r="M55">
        <v>2</v>
      </c>
      <c r="N55">
        <v>0</v>
      </c>
      <c r="O55">
        <v>0</v>
      </c>
      <c r="P55">
        <v>1</v>
      </c>
      <c r="Q55">
        <v>1</v>
      </c>
      <c r="R55">
        <v>1</v>
      </c>
      <c r="S55">
        <v>1</v>
      </c>
      <c r="T55">
        <v>2</v>
      </c>
      <c r="U55">
        <v>2</v>
      </c>
      <c r="V55">
        <v>0</v>
      </c>
      <c r="W55">
        <v>0</v>
      </c>
      <c r="X55">
        <v>0</v>
      </c>
      <c r="Y55">
        <v>1</v>
      </c>
      <c r="Z55">
        <v>0</v>
      </c>
      <c r="AA55">
        <v>0</v>
      </c>
      <c r="AB55">
        <v>0</v>
      </c>
      <c r="AC55">
        <v>1</v>
      </c>
      <c r="AD55">
        <v>0</v>
      </c>
      <c r="AE55">
        <v>0</v>
      </c>
      <c r="AF55">
        <v>1</v>
      </c>
      <c r="AG55">
        <v>0</v>
      </c>
      <c r="AH55">
        <v>0</v>
      </c>
      <c r="AI55">
        <v>1</v>
      </c>
      <c r="AJ55">
        <v>1</v>
      </c>
      <c r="AK55">
        <v>1</v>
      </c>
      <c r="AL55">
        <v>2</v>
      </c>
      <c r="AM55">
        <v>1</v>
      </c>
      <c r="AN55">
        <v>1</v>
      </c>
      <c r="AO55">
        <v>2</v>
      </c>
      <c r="AP55">
        <v>2</v>
      </c>
      <c r="AQ55">
        <v>1</v>
      </c>
      <c r="AR55">
        <v>1</v>
      </c>
      <c r="AS55">
        <v>2</v>
      </c>
      <c r="AT55">
        <v>2</v>
      </c>
    </row>
    <row r="56" spans="1:46" ht="8.1" customHeight="1">
      <c r="A56" t="s">
        <v>4767</v>
      </c>
      <c r="B56" t="s">
        <v>2003</v>
      </c>
      <c r="C56" t="s">
        <v>2003</v>
      </c>
      <c r="D56" t="s">
        <v>2003</v>
      </c>
      <c r="E56" t="s">
        <v>2003</v>
      </c>
      <c r="F56" t="s">
        <v>2003</v>
      </c>
      <c r="G56" t="s">
        <v>2003</v>
      </c>
      <c r="H56" t="s">
        <v>2003</v>
      </c>
      <c r="I56" t="s">
        <v>2003</v>
      </c>
      <c r="J56" t="s">
        <v>2003</v>
      </c>
      <c r="K56" t="s">
        <v>2003</v>
      </c>
      <c r="L56" t="s">
        <v>2003</v>
      </c>
      <c r="M56" t="s">
        <v>2003</v>
      </c>
      <c r="N56" t="s">
        <v>2003</v>
      </c>
      <c r="O56" t="s">
        <v>2003</v>
      </c>
      <c r="P56" t="s">
        <v>2003</v>
      </c>
      <c r="Q56" t="s">
        <v>2003</v>
      </c>
      <c r="R56" t="s">
        <v>2003</v>
      </c>
      <c r="S56" t="s">
        <v>2003</v>
      </c>
      <c r="T56" t="s">
        <v>2003</v>
      </c>
      <c r="U56" t="s">
        <v>2003</v>
      </c>
      <c r="V56" t="s">
        <v>2003</v>
      </c>
      <c r="W56" t="s">
        <v>2003</v>
      </c>
      <c r="X56" t="s">
        <v>2003</v>
      </c>
      <c r="Y56" t="s">
        <v>2003</v>
      </c>
      <c r="Z56" t="s">
        <v>2003</v>
      </c>
      <c r="AA56" t="s">
        <v>2003</v>
      </c>
      <c r="AB56" t="s">
        <v>2003</v>
      </c>
      <c r="AC56" t="s">
        <v>2003</v>
      </c>
      <c r="AD56" t="s">
        <v>2003</v>
      </c>
      <c r="AE56" t="s">
        <v>2003</v>
      </c>
      <c r="AF56" t="s">
        <v>2003</v>
      </c>
      <c r="AG56" t="s">
        <v>2003</v>
      </c>
      <c r="AH56" t="s">
        <v>2003</v>
      </c>
      <c r="AI56" t="s">
        <v>2003</v>
      </c>
      <c r="AJ56" t="s">
        <v>2003</v>
      </c>
      <c r="AK56" t="s">
        <v>2003</v>
      </c>
      <c r="AL56" t="s">
        <v>2003</v>
      </c>
      <c r="AM56" t="s">
        <v>2003</v>
      </c>
      <c r="AN56" t="s">
        <v>2003</v>
      </c>
      <c r="AO56" t="s">
        <v>2003</v>
      </c>
      <c r="AP56" t="s">
        <v>2003</v>
      </c>
      <c r="AQ56" t="s">
        <v>2003</v>
      </c>
      <c r="AR56" t="s">
        <v>2003</v>
      </c>
      <c r="AS56" t="s">
        <v>2003</v>
      </c>
      <c r="AT56" t="s">
        <v>2003</v>
      </c>
    </row>
    <row r="57" spans="1:46" ht="8.1" customHeight="1">
      <c r="A57" t="s">
        <v>1825</v>
      </c>
      <c r="B57">
        <v>1</v>
      </c>
      <c r="C57">
        <v>1</v>
      </c>
      <c r="D57">
        <v>1</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2</v>
      </c>
      <c r="AN57">
        <v>2</v>
      </c>
      <c r="AO57">
        <v>2</v>
      </c>
      <c r="AP57">
        <v>2</v>
      </c>
      <c r="AQ57">
        <v>1</v>
      </c>
      <c r="AR57">
        <v>1</v>
      </c>
      <c r="AS57">
        <v>1</v>
      </c>
      <c r="AT57">
        <v>1</v>
      </c>
    </row>
    <row r="58" spans="1:46" ht="8.1" customHeight="1">
      <c r="A58" t="s">
        <v>2003</v>
      </c>
      <c r="B58">
        <v>0</v>
      </c>
      <c r="C58">
        <v>0</v>
      </c>
      <c r="D58">
        <v>1</v>
      </c>
      <c r="E58">
        <v>2</v>
      </c>
      <c r="F58">
        <v>0</v>
      </c>
      <c r="G58">
        <v>0</v>
      </c>
      <c r="H58">
        <v>1</v>
      </c>
      <c r="I58">
        <v>2</v>
      </c>
      <c r="J58">
        <v>0</v>
      </c>
      <c r="K58">
        <v>0</v>
      </c>
      <c r="L58">
        <v>1</v>
      </c>
      <c r="M58">
        <v>2</v>
      </c>
      <c r="N58">
        <v>0</v>
      </c>
      <c r="O58">
        <v>0</v>
      </c>
      <c r="P58">
        <v>1</v>
      </c>
      <c r="Q58">
        <v>2</v>
      </c>
      <c r="R58">
        <v>0</v>
      </c>
      <c r="S58">
        <v>0</v>
      </c>
      <c r="T58">
        <v>1</v>
      </c>
      <c r="U58">
        <v>2</v>
      </c>
      <c r="V58">
        <v>0</v>
      </c>
      <c r="W58">
        <v>0</v>
      </c>
      <c r="X58">
        <v>1</v>
      </c>
      <c r="Y58">
        <v>2</v>
      </c>
      <c r="Z58">
        <v>0</v>
      </c>
      <c r="AA58">
        <v>0</v>
      </c>
      <c r="AB58">
        <v>1</v>
      </c>
      <c r="AC58">
        <v>2</v>
      </c>
      <c r="AD58">
        <v>0</v>
      </c>
      <c r="AE58">
        <v>1</v>
      </c>
      <c r="AF58">
        <v>1</v>
      </c>
      <c r="AG58">
        <v>1</v>
      </c>
      <c r="AH58">
        <v>0</v>
      </c>
      <c r="AI58">
        <v>0</v>
      </c>
      <c r="AJ58">
        <v>0</v>
      </c>
      <c r="AK58">
        <v>1</v>
      </c>
      <c r="AL58">
        <v>1</v>
      </c>
      <c r="AM58">
        <v>1</v>
      </c>
      <c r="AN58">
        <v>3</v>
      </c>
      <c r="AO58">
        <v>3</v>
      </c>
      <c r="AP58">
        <v>4</v>
      </c>
      <c r="AQ58">
        <v>0</v>
      </c>
      <c r="AR58">
        <v>0</v>
      </c>
      <c r="AS58">
        <v>0</v>
      </c>
      <c r="AT58">
        <v>0</v>
      </c>
    </row>
    <row r="59" spans="1:46" ht="8.1" customHeight="1">
      <c r="A59" t="s">
        <v>2004</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1</v>
      </c>
      <c r="AN59">
        <v>1</v>
      </c>
      <c r="AO59">
        <v>1</v>
      </c>
      <c r="AP59">
        <v>1</v>
      </c>
      <c r="AQ59">
        <v>0</v>
      </c>
      <c r="AR59">
        <v>0</v>
      </c>
      <c r="AS59">
        <v>0</v>
      </c>
      <c r="AT59">
        <v>0</v>
      </c>
    </row>
    <row r="60" spans="1:46" ht="8.1" customHeight="1">
      <c r="A60" t="s">
        <v>1826</v>
      </c>
      <c r="B60">
        <v>1</v>
      </c>
      <c r="C60">
        <v>1</v>
      </c>
      <c r="D60">
        <v>1</v>
      </c>
      <c r="E60">
        <v>1</v>
      </c>
      <c r="F60">
        <v>1</v>
      </c>
      <c r="G60">
        <v>1</v>
      </c>
      <c r="H60">
        <v>1</v>
      </c>
      <c r="I60">
        <v>1</v>
      </c>
      <c r="J60">
        <v>1</v>
      </c>
      <c r="K60">
        <v>1</v>
      </c>
      <c r="L60">
        <v>1</v>
      </c>
      <c r="M60">
        <v>1</v>
      </c>
      <c r="N60">
        <v>1</v>
      </c>
      <c r="O60">
        <v>1</v>
      </c>
      <c r="P60">
        <v>1</v>
      </c>
      <c r="Q60">
        <v>1</v>
      </c>
      <c r="R60">
        <v>1</v>
      </c>
      <c r="S60">
        <v>1</v>
      </c>
      <c r="T60">
        <v>1</v>
      </c>
      <c r="U60">
        <v>1</v>
      </c>
      <c r="V60">
        <v>1</v>
      </c>
      <c r="W60">
        <v>1</v>
      </c>
      <c r="X60">
        <v>1</v>
      </c>
      <c r="Y60">
        <v>1</v>
      </c>
      <c r="Z60">
        <v>1</v>
      </c>
      <c r="AA60">
        <v>1</v>
      </c>
      <c r="AB60">
        <v>1</v>
      </c>
      <c r="AC60">
        <v>1</v>
      </c>
      <c r="AD60">
        <v>1</v>
      </c>
      <c r="AE60">
        <v>1</v>
      </c>
      <c r="AF60">
        <v>1</v>
      </c>
      <c r="AG60">
        <v>1</v>
      </c>
      <c r="AH60">
        <v>1</v>
      </c>
      <c r="AI60">
        <v>1</v>
      </c>
      <c r="AJ60">
        <v>1</v>
      </c>
      <c r="AK60">
        <v>1</v>
      </c>
      <c r="AL60">
        <v>1</v>
      </c>
      <c r="AM60">
        <v>2</v>
      </c>
      <c r="AN60">
        <v>2</v>
      </c>
      <c r="AO60">
        <v>2</v>
      </c>
      <c r="AP60">
        <v>2</v>
      </c>
      <c r="AQ60">
        <v>1</v>
      </c>
      <c r="AR60">
        <v>1</v>
      </c>
      <c r="AS60">
        <v>1</v>
      </c>
      <c r="AT60">
        <v>1</v>
      </c>
    </row>
    <row r="61" spans="1:46" ht="8.1" customHeight="1">
      <c r="A61" t="s">
        <v>1827</v>
      </c>
      <c r="B61">
        <v>1</v>
      </c>
      <c r="C61">
        <v>1</v>
      </c>
      <c r="D61">
        <v>1</v>
      </c>
      <c r="E61">
        <v>3</v>
      </c>
      <c r="F61">
        <v>1</v>
      </c>
      <c r="G61">
        <v>1</v>
      </c>
      <c r="H61">
        <v>1</v>
      </c>
      <c r="I61">
        <v>3</v>
      </c>
      <c r="J61">
        <v>1</v>
      </c>
      <c r="K61">
        <v>1</v>
      </c>
      <c r="L61">
        <v>1</v>
      </c>
      <c r="M61">
        <v>3</v>
      </c>
      <c r="N61">
        <v>1</v>
      </c>
      <c r="O61">
        <v>1</v>
      </c>
      <c r="P61">
        <v>1</v>
      </c>
      <c r="Q61">
        <v>3</v>
      </c>
      <c r="R61">
        <v>1</v>
      </c>
      <c r="S61">
        <v>1</v>
      </c>
      <c r="T61">
        <v>1</v>
      </c>
      <c r="U61">
        <v>3</v>
      </c>
      <c r="V61">
        <v>1</v>
      </c>
      <c r="W61">
        <v>1</v>
      </c>
      <c r="X61">
        <v>1</v>
      </c>
      <c r="Y61">
        <v>3</v>
      </c>
      <c r="Z61">
        <v>1</v>
      </c>
      <c r="AA61">
        <v>1</v>
      </c>
      <c r="AB61">
        <v>1</v>
      </c>
      <c r="AC61">
        <v>3</v>
      </c>
      <c r="AD61">
        <v>1</v>
      </c>
      <c r="AE61">
        <v>1</v>
      </c>
      <c r="AF61">
        <v>1</v>
      </c>
      <c r="AG61">
        <v>1</v>
      </c>
      <c r="AH61">
        <v>1</v>
      </c>
      <c r="AI61">
        <v>1</v>
      </c>
      <c r="AJ61">
        <v>1</v>
      </c>
      <c r="AK61">
        <v>1</v>
      </c>
      <c r="AL61">
        <v>1</v>
      </c>
      <c r="AM61">
        <v>2</v>
      </c>
      <c r="AN61">
        <v>4</v>
      </c>
      <c r="AO61">
        <v>4</v>
      </c>
      <c r="AP61">
        <v>6</v>
      </c>
      <c r="AQ61">
        <v>1</v>
      </c>
      <c r="AR61">
        <v>1</v>
      </c>
      <c r="AS61">
        <v>1</v>
      </c>
      <c r="AT61">
        <v>1</v>
      </c>
    </row>
    <row r="62" spans="1:46" ht="8.1" customHeight="1">
      <c r="A62" t="s">
        <v>4327</v>
      </c>
      <c r="B62">
        <v>2600</v>
      </c>
      <c r="C62">
        <v>2900</v>
      </c>
      <c r="D62">
        <v>3200</v>
      </c>
      <c r="E62">
        <v>3500</v>
      </c>
      <c r="F62">
        <v>2300</v>
      </c>
      <c r="G62">
        <v>2500</v>
      </c>
      <c r="H62">
        <v>2700</v>
      </c>
      <c r="I62">
        <v>3000</v>
      </c>
      <c r="J62">
        <v>1800</v>
      </c>
      <c r="K62">
        <v>2000</v>
      </c>
      <c r="L62">
        <v>2300</v>
      </c>
      <c r="M62">
        <v>2500</v>
      </c>
      <c r="N62">
        <v>1400</v>
      </c>
      <c r="O62">
        <v>1600</v>
      </c>
      <c r="P62">
        <v>1800</v>
      </c>
      <c r="Q62">
        <v>2000</v>
      </c>
      <c r="R62">
        <v>2000</v>
      </c>
      <c r="S62">
        <v>2300</v>
      </c>
      <c r="T62">
        <v>2600</v>
      </c>
      <c r="U62">
        <v>3000</v>
      </c>
      <c r="V62">
        <v>2000</v>
      </c>
      <c r="W62">
        <v>2300</v>
      </c>
      <c r="X62">
        <v>2600</v>
      </c>
      <c r="Y62">
        <v>3000</v>
      </c>
      <c r="Z62">
        <v>600</v>
      </c>
      <c r="AA62">
        <v>600</v>
      </c>
      <c r="AB62">
        <v>600</v>
      </c>
      <c r="AC62">
        <v>600</v>
      </c>
      <c r="AD62">
        <v>360</v>
      </c>
      <c r="AE62">
        <v>200</v>
      </c>
      <c r="AF62">
        <v>600</v>
      </c>
      <c r="AG62">
        <v>400</v>
      </c>
      <c r="AH62">
        <v>160</v>
      </c>
      <c r="AI62">
        <v>1000</v>
      </c>
      <c r="AJ62">
        <v>1300</v>
      </c>
      <c r="AK62">
        <v>1600</v>
      </c>
      <c r="AL62">
        <v>2000</v>
      </c>
      <c r="AM62">
        <v>4000</v>
      </c>
      <c r="AN62">
        <v>4500</v>
      </c>
      <c r="AO62">
        <v>5000</v>
      </c>
      <c r="AP62">
        <v>6000</v>
      </c>
      <c r="AQ62">
        <v>3200</v>
      </c>
      <c r="AR62">
        <v>3500</v>
      </c>
      <c r="AS62">
        <v>3700</v>
      </c>
      <c r="AT62">
        <v>4000</v>
      </c>
    </row>
    <row r="63" spans="1:46" ht="8.1" customHeight="1">
      <c r="A63" t="s">
        <v>1828</v>
      </c>
      <c r="B63">
        <f t="shared" ref="B63:AT63" si="16">B18/5</f>
        <v>400</v>
      </c>
      <c r="C63">
        <f t="shared" si="16"/>
        <v>420</v>
      </c>
      <c r="D63">
        <f t="shared" si="16"/>
        <v>450</v>
      </c>
      <c r="E63">
        <f t="shared" si="16"/>
        <v>480</v>
      </c>
      <c r="F63">
        <f t="shared" si="16"/>
        <v>340</v>
      </c>
      <c r="G63">
        <f t="shared" si="16"/>
        <v>360</v>
      </c>
      <c r="H63">
        <f t="shared" si="16"/>
        <v>380</v>
      </c>
      <c r="I63">
        <f t="shared" si="16"/>
        <v>380</v>
      </c>
      <c r="J63">
        <f t="shared" si="16"/>
        <v>280</v>
      </c>
      <c r="K63">
        <f t="shared" si="16"/>
        <v>300</v>
      </c>
      <c r="L63">
        <f t="shared" si="16"/>
        <v>320</v>
      </c>
      <c r="M63">
        <f t="shared" si="16"/>
        <v>320</v>
      </c>
      <c r="N63">
        <f t="shared" si="16"/>
        <v>220</v>
      </c>
      <c r="O63">
        <f t="shared" si="16"/>
        <v>220</v>
      </c>
      <c r="P63">
        <f t="shared" si="16"/>
        <v>240</v>
      </c>
      <c r="Q63">
        <f t="shared" si="16"/>
        <v>260</v>
      </c>
      <c r="R63">
        <f t="shared" si="16"/>
        <v>240</v>
      </c>
      <c r="S63">
        <f t="shared" si="16"/>
        <v>240</v>
      </c>
      <c r="T63">
        <f t="shared" si="16"/>
        <v>260</v>
      </c>
      <c r="U63">
        <f t="shared" si="16"/>
        <v>280</v>
      </c>
      <c r="V63">
        <f t="shared" si="16"/>
        <v>180</v>
      </c>
      <c r="W63">
        <f t="shared" si="16"/>
        <v>180</v>
      </c>
      <c r="X63">
        <f t="shared" si="16"/>
        <v>200</v>
      </c>
      <c r="Y63">
        <f t="shared" si="16"/>
        <v>220</v>
      </c>
      <c r="Z63">
        <f t="shared" si="16"/>
        <v>200</v>
      </c>
      <c r="AA63">
        <f t="shared" si="16"/>
        <v>200</v>
      </c>
      <c r="AB63">
        <f t="shared" si="16"/>
        <v>220</v>
      </c>
      <c r="AC63">
        <f t="shared" si="16"/>
        <v>240</v>
      </c>
      <c r="AD63">
        <f t="shared" si="16"/>
        <v>160</v>
      </c>
      <c r="AE63">
        <f t="shared" si="16"/>
        <v>100</v>
      </c>
      <c r="AF63">
        <f t="shared" si="16"/>
        <v>400</v>
      </c>
      <c r="AG63">
        <f t="shared" si="16"/>
        <v>300</v>
      </c>
      <c r="AH63">
        <f t="shared" si="16"/>
        <v>80</v>
      </c>
      <c r="AI63">
        <f t="shared" si="16"/>
        <v>340</v>
      </c>
      <c r="AJ63">
        <f t="shared" si="16"/>
        <v>380</v>
      </c>
      <c r="AK63">
        <f t="shared" si="16"/>
        <v>420</v>
      </c>
      <c r="AL63">
        <f t="shared" si="16"/>
        <v>480</v>
      </c>
      <c r="AM63">
        <f t="shared" si="16"/>
        <v>180</v>
      </c>
      <c r="AN63">
        <f t="shared" si="16"/>
        <v>220</v>
      </c>
      <c r="AO63">
        <f t="shared" si="16"/>
        <v>240</v>
      </c>
      <c r="AP63">
        <f t="shared" si="16"/>
        <v>280</v>
      </c>
      <c r="AQ63">
        <f t="shared" si="16"/>
        <v>220</v>
      </c>
      <c r="AR63">
        <f t="shared" si="16"/>
        <v>240</v>
      </c>
      <c r="AS63">
        <f t="shared" si="16"/>
        <v>280</v>
      </c>
      <c r="AT63">
        <f t="shared" si="16"/>
        <v>300</v>
      </c>
    </row>
    <row r="64" spans="1:46" ht="8.1" customHeight="1">
      <c r="A64" t="s">
        <v>1829</v>
      </c>
      <c r="B64">
        <v>0.6</v>
      </c>
      <c r="C64">
        <v>0.6</v>
      </c>
      <c r="D64">
        <v>0.6</v>
      </c>
      <c r="E64">
        <v>0.6</v>
      </c>
      <c r="F64">
        <v>0.6</v>
      </c>
      <c r="G64">
        <v>0.6</v>
      </c>
      <c r="H64">
        <v>0.6</v>
      </c>
      <c r="I64">
        <v>0.6</v>
      </c>
      <c r="J64">
        <v>0.6</v>
      </c>
      <c r="K64">
        <v>0.6</v>
      </c>
      <c r="L64">
        <v>0.6</v>
      </c>
      <c r="M64">
        <v>0.6</v>
      </c>
      <c r="N64">
        <v>0.6</v>
      </c>
      <c r="O64">
        <v>0.6</v>
      </c>
      <c r="P64">
        <v>0.6</v>
      </c>
      <c r="Q64">
        <v>0.6</v>
      </c>
      <c r="R64">
        <v>0.6</v>
      </c>
      <c r="S64">
        <v>0.6</v>
      </c>
      <c r="T64">
        <v>0.6</v>
      </c>
      <c r="U64">
        <v>0.6</v>
      </c>
      <c r="V64">
        <v>0.6</v>
      </c>
      <c r="W64">
        <v>0.6</v>
      </c>
      <c r="X64">
        <v>0.6</v>
      </c>
      <c r="Y64">
        <v>0.6</v>
      </c>
      <c r="Z64">
        <v>0.6</v>
      </c>
      <c r="AA64">
        <v>0.6</v>
      </c>
      <c r="AB64">
        <v>0.6</v>
      </c>
      <c r="AC64">
        <v>0.6</v>
      </c>
      <c r="AD64">
        <v>0.6</v>
      </c>
      <c r="AE64">
        <v>0.6</v>
      </c>
      <c r="AF64">
        <v>0.6</v>
      </c>
      <c r="AG64">
        <v>0.6</v>
      </c>
      <c r="AH64">
        <v>0.6</v>
      </c>
      <c r="AI64">
        <v>0.6</v>
      </c>
      <c r="AJ64">
        <v>0.6</v>
      </c>
      <c r="AK64">
        <v>0.6</v>
      </c>
      <c r="AL64">
        <v>0.6</v>
      </c>
      <c r="AM64">
        <v>0.6</v>
      </c>
      <c r="AN64">
        <v>0.6</v>
      </c>
      <c r="AO64">
        <v>0.6</v>
      </c>
      <c r="AP64">
        <v>0.6</v>
      </c>
      <c r="AQ64">
        <v>0.6</v>
      </c>
      <c r="AR64">
        <v>0.6</v>
      </c>
      <c r="AS64">
        <v>0.6</v>
      </c>
      <c r="AT64">
        <v>0.6</v>
      </c>
    </row>
    <row r="65" spans="1:46" ht="8.1" customHeight="1">
      <c r="A65" t="s">
        <v>5024</v>
      </c>
      <c r="B65">
        <v>40</v>
      </c>
      <c r="C65">
        <v>40</v>
      </c>
      <c r="D65">
        <v>40</v>
      </c>
      <c r="E65">
        <v>40</v>
      </c>
      <c r="F65">
        <v>40</v>
      </c>
      <c r="G65">
        <v>40</v>
      </c>
      <c r="H65">
        <v>40</v>
      </c>
      <c r="I65">
        <v>40</v>
      </c>
      <c r="J65">
        <v>36</v>
      </c>
      <c r="K65">
        <v>36</v>
      </c>
      <c r="L65">
        <v>36</v>
      </c>
      <c r="M65">
        <v>36</v>
      </c>
      <c r="N65">
        <v>32</v>
      </c>
      <c r="O65">
        <v>32</v>
      </c>
      <c r="P65">
        <v>32</v>
      </c>
      <c r="Q65">
        <v>32</v>
      </c>
      <c r="R65">
        <v>36</v>
      </c>
      <c r="S65">
        <v>36</v>
      </c>
      <c r="T65">
        <v>36</v>
      </c>
      <c r="U65">
        <v>36</v>
      </c>
      <c r="V65">
        <v>27</v>
      </c>
      <c r="W65">
        <v>27</v>
      </c>
      <c r="X65">
        <v>27</v>
      </c>
      <c r="Y65">
        <v>27</v>
      </c>
      <c r="Z65">
        <v>30</v>
      </c>
      <c r="AA65">
        <v>30</v>
      </c>
      <c r="AB65">
        <v>30</v>
      </c>
      <c r="AC65">
        <v>30</v>
      </c>
      <c r="AD65">
        <v>27</v>
      </c>
      <c r="AE65">
        <v>23</v>
      </c>
      <c r="AF65">
        <v>36</v>
      </c>
      <c r="AG65">
        <v>36</v>
      </c>
      <c r="AH65">
        <v>20</v>
      </c>
      <c r="AI65">
        <v>35</v>
      </c>
      <c r="AJ65">
        <v>35</v>
      </c>
      <c r="AK65">
        <v>35</v>
      </c>
      <c r="AL65">
        <v>35</v>
      </c>
      <c r="AM65">
        <v>36</v>
      </c>
      <c r="AN65">
        <v>36</v>
      </c>
      <c r="AO65">
        <v>36</v>
      </c>
      <c r="AP65">
        <v>36</v>
      </c>
      <c r="AQ65">
        <v>30</v>
      </c>
      <c r="AR65">
        <v>30</v>
      </c>
      <c r="AS65">
        <v>30</v>
      </c>
      <c r="AT65">
        <v>30</v>
      </c>
    </row>
    <row r="66" spans="1:46" ht="8.1" customHeight="1">
      <c r="A66" t="s">
        <v>5025</v>
      </c>
      <c r="B66">
        <v>50</v>
      </c>
      <c r="C66">
        <v>50</v>
      </c>
      <c r="D66">
        <v>50</v>
      </c>
      <c r="E66">
        <v>50</v>
      </c>
      <c r="F66">
        <v>50</v>
      </c>
      <c r="G66">
        <v>50</v>
      </c>
      <c r="H66">
        <v>50</v>
      </c>
      <c r="I66">
        <v>50</v>
      </c>
      <c r="J66">
        <v>45</v>
      </c>
      <c r="K66">
        <v>45</v>
      </c>
      <c r="L66">
        <v>45</v>
      </c>
      <c r="M66">
        <v>45</v>
      </c>
      <c r="N66">
        <v>40</v>
      </c>
      <c r="O66">
        <v>40</v>
      </c>
      <c r="P66">
        <v>40</v>
      </c>
      <c r="Q66">
        <v>40</v>
      </c>
      <c r="R66">
        <v>45</v>
      </c>
      <c r="S66">
        <v>45</v>
      </c>
      <c r="T66">
        <v>45</v>
      </c>
      <c r="U66">
        <v>45</v>
      </c>
      <c r="V66">
        <v>33</v>
      </c>
      <c r="W66">
        <v>33</v>
      </c>
      <c r="X66">
        <v>33</v>
      </c>
      <c r="Y66">
        <v>33</v>
      </c>
      <c r="Z66">
        <v>37</v>
      </c>
      <c r="AA66">
        <v>37</v>
      </c>
      <c r="AB66">
        <v>37</v>
      </c>
      <c r="AC66">
        <v>37</v>
      </c>
      <c r="AD66">
        <v>33</v>
      </c>
      <c r="AE66">
        <v>26</v>
      </c>
      <c r="AF66">
        <v>45</v>
      </c>
      <c r="AG66">
        <v>45</v>
      </c>
      <c r="AH66">
        <v>25</v>
      </c>
      <c r="AI66">
        <v>45</v>
      </c>
      <c r="AJ66">
        <v>45</v>
      </c>
      <c r="AK66">
        <v>45</v>
      </c>
      <c r="AL66">
        <v>45</v>
      </c>
      <c r="AM66">
        <v>45</v>
      </c>
      <c r="AN66">
        <v>45</v>
      </c>
      <c r="AO66">
        <v>45</v>
      </c>
      <c r="AP66">
        <v>45</v>
      </c>
      <c r="AQ66">
        <v>37</v>
      </c>
      <c r="AR66">
        <v>37</v>
      </c>
      <c r="AS66">
        <v>37</v>
      </c>
      <c r="AT66">
        <v>37</v>
      </c>
    </row>
    <row r="67" spans="1:46" ht="8.1" customHeight="1">
      <c r="A67" t="s">
        <v>4688</v>
      </c>
      <c r="B67">
        <v>65</v>
      </c>
      <c r="C67">
        <v>65</v>
      </c>
      <c r="D67">
        <v>65</v>
      </c>
      <c r="E67">
        <v>65</v>
      </c>
      <c r="F67">
        <v>65</v>
      </c>
      <c r="G67">
        <v>65</v>
      </c>
      <c r="H67">
        <v>65</v>
      </c>
      <c r="I67">
        <v>65</v>
      </c>
      <c r="J67">
        <v>60</v>
      </c>
      <c r="K67">
        <v>60</v>
      </c>
      <c r="L67">
        <v>60</v>
      </c>
      <c r="M67">
        <v>60</v>
      </c>
      <c r="N67">
        <v>53</v>
      </c>
      <c r="O67">
        <v>53</v>
      </c>
      <c r="P67">
        <v>53</v>
      </c>
      <c r="Q67">
        <v>53</v>
      </c>
      <c r="R67">
        <v>60</v>
      </c>
      <c r="S67">
        <v>60</v>
      </c>
      <c r="T67">
        <v>60</v>
      </c>
      <c r="U67">
        <v>60</v>
      </c>
      <c r="V67">
        <v>40</v>
      </c>
      <c r="W67">
        <v>40</v>
      </c>
      <c r="X67">
        <v>40</v>
      </c>
      <c r="Y67">
        <v>40</v>
      </c>
      <c r="Z67">
        <v>45</v>
      </c>
      <c r="AA67">
        <v>45</v>
      </c>
      <c r="AB67">
        <v>45</v>
      </c>
      <c r="AC67">
        <v>45</v>
      </c>
      <c r="AD67">
        <v>40</v>
      </c>
      <c r="AE67">
        <v>32</v>
      </c>
      <c r="AF67">
        <v>60</v>
      </c>
      <c r="AG67">
        <v>60</v>
      </c>
      <c r="AH67">
        <v>30</v>
      </c>
      <c r="AI67">
        <v>55</v>
      </c>
      <c r="AJ67">
        <v>55</v>
      </c>
      <c r="AK67">
        <v>55</v>
      </c>
      <c r="AL67">
        <v>55</v>
      </c>
      <c r="AM67">
        <v>60</v>
      </c>
      <c r="AN67">
        <v>60</v>
      </c>
      <c r="AO67">
        <v>60</v>
      </c>
      <c r="AP67">
        <v>60</v>
      </c>
      <c r="AQ67">
        <v>45</v>
      </c>
      <c r="AR67">
        <v>45</v>
      </c>
      <c r="AS67">
        <v>45</v>
      </c>
      <c r="AT67">
        <v>45</v>
      </c>
    </row>
    <row r="68" spans="1:46" ht="8.1" customHeight="1" collapsed="1">
      <c r="G68" t="s">
        <v>1825</v>
      </c>
      <c r="H68" t="s">
        <v>2003</v>
      </c>
      <c r="I68" t="s">
        <v>2004</v>
      </c>
      <c r="J68" t="s">
        <v>1826</v>
      </c>
      <c r="K68" t="s">
        <v>1827</v>
      </c>
    </row>
    <row r="69" spans="1:46" ht="8.1" customHeight="1">
      <c r="A69">
        <v>1</v>
      </c>
      <c r="B69" t="s">
        <v>3997</v>
      </c>
      <c r="E69">
        <v>0.03</v>
      </c>
      <c r="F69">
        <v>240</v>
      </c>
      <c r="G69">
        <v>4</v>
      </c>
      <c r="H69">
        <v>5</v>
      </c>
      <c r="I69">
        <v>3</v>
      </c>
      <c r="J69">
        <v>4</v>
      </c>
      <c r="K69">
        <v>4</v>
      </c>
      <c r="L69" t="s">
        <v>3440</v>
      </c>
      <c r="M69">
        <v>0</v>
      </c>
      <c r="N69">
        <v>0</v>
      </c>
      <c r="O69">
        <v>0</v>
      </c>
    </row>
    <row r="70" spans="1:46" ht="8.1" customHeight="1">
      <c r="A70">
        <v>2</v>
      </c>
      <c r="B70" t="s">
        <v>3996</v>
      </c>
      <c r="E70">
        <v>0.06</v>
      </c>
      <c r="F70">
        <v>400</v>
      </c>
      <c r="G70">
        <v>6</v>
      </c>
      <c r="H70">
        <v>8</v>
      </c>
      <c r="I70">
        <v>5</v>
      </c>
      <c r="J70">
        <v>6</v>
      </c>
      <c r="K70">
        <v>6</v>
      </c>
      <c r="L70" t="s">
        <v>3440</v>
      </c>
      <c r="M70">
        <v>0</v>
      </c>
      <c r="N70">
        <v>0</v>
      </c>
      <c r="O70">
        <v>0</v>
      </c>
    </row>
    <row r="71" spans="1:46" ht="8.1" customHeight="1">
      <c r="A71">
        <v>3</v>
      </c>
      <c r="B71" t="s">
        <v>3481</v>
      </c>
      <c r="E71">
        <v>0.09</v>
      </c>
      <c r="F71">
        <v>800</v>
      </c>
      <c r="G71">
        <v>10</v>
      </c>
      <c r="H71">
        <v>11</v>
      </c>
      <c r="I71">
        <v>8</v>
      </c>
      <c r="J71">
        <v>9</v>
      </c>
      <c r="K71">
        <v>7</v>
      </c>
      <c r="L71" t="s">
        <v>2585</v>
      </c>
      <c r="M71">
        <v>-2</v>
      </c>
      <c r="N71">
        <v>-3</v>
      </c>
      <c r="O71">
        <v>1</v>
      </c>
    </row>
    <row r="72" spans="1:46" ht="8.1" customHeight="1">
      <c r="A72">
        <v>4</v>
      </c>
      <c r="B72" t="s">
        <v>3480</v>
      </c>
      <c r="E72">
        <v>0.09</v>
      </c>
      <c r="F72">
        <v>1200</v>
      </c>
      <c r="G72">
        <v>10</v>
      </c>
      <c r="H72">
        <v>8</v>
      </c>
      <c r="I72">
        <v>7</v>
      </c>
      <c r="J72">
        <v>8</v>
      </c>
      <c r="K72">
        <v>7</v>
      </c>
      <c r="L72" t="s">
        <v>2585</v>
      </c>
      <c r="M72">
        <v>-2</v>
      </c>
      <c r="N72">
        <v>-3</v>
      </c>
      <c r="O72">
        <v>1</v>
      </c>
    </row>
    <row r="73" spans="1:46" ht="8.1" customHeight="1">
      <c r="A73">
        <v>5</v>
      </c>
      <c r="B73" t="s">
        <v>3479</v>
      </c>
      <c r="E73">
        <v>0.1</v>
      </c>
      <c r="F73">
        <v>2000</v>
      </c>
      <c r="G73">
        <v>13</v>
      </c>
      <c r="H73">
        <v>11</v>
      </c>
      <c r="I73">
        <v>11</v>
      </c>
      <c r="J73">
        <v>11</v>
      </c>
      <c r="K73">
        <v>8</v>
      </c>
      <c r="L73" t="s">
        <v>4659</v>
      </c>
      <c r="M73">
        <v>-4</v>
      </c>
      <c r="N73">
        <v>-5</v>
      </c>
      <c r="O73">
        <v>2</v>
      </c>
      <c r="U73">
        <v>1</v>
      </c>
      <c r="V73" t="s">
        <v>4606</v>
      </c>
      <c r="X73" t="str">
        <f>IF('Character Sheet'!$Q$407&lt;0.6,"B3",IF('Character Sheet'!$Q$407&lt;0.85,"C3",IF('Character Sheet'!$Q$407&lt;0.95,"D3","E3")))</f>
        <v>B3</v>
      </c>
      <c r="Y73">
        <f ca="1">COLUMN(INDIRECT(X73))</f>
        <v>2</v>
      </c>
      <c r="Z73" t="str">
        <f>IF('Character Sheet'!$AW$407&lt;0.6,"B3",IF('Character Sheet'!$AW$407&lt;0.85,"C3",IF('Character Sheet'!$AW$407&lt;0.95,"D3","E3")))</f>
        <v>B3</v>
      </c>
      <c r="AA73">
        <f ca="1">COLUMN(INDIRECT(Z73))</f>
        <v>2</v>
      </c>
    </row>
    <row r="74" spans="1:46" ht="8.1" customHeight="1">
      <c r="A74">
        <v>6</v>
      </c>
      <c r="B74" t="s">
        <v>3478</v>
      </c>
      <c r="E74">
        <v>0.12</v>
      </c>
      <c r="F74">
        <v>3000</v>
      </c>
      <c r="G74">
        <v>18</v>
      </c>
      <c r="H74">
        <v>17</v>
      </c>
      <c r="I74">
        <v>15</v>
      </c>
      <c r="J74">
        <v>15</v>
      </c>
      <c r="K74">
        <v>9</v>
      </c>
      <c r="L74" t="s">
        <v>4659</v>
      </c>
      <c r="M74">
        <v>-5</v>
      </c>
      <c r="N74">
        <v>-5</v>
      </c>
      <c r="O74">
        <v>2</v>
      </c>
      <c r="U74">
        <v>2</v>
      </c>
      <c r="V74" t="s">
        <v>2273</v>
      </c>
      <c r="X74" t="str">
        <f>IF('Character Sheet'!$Q$407&lt;0.6,"F3",IF('Character Sheet'!$Q$407&lt;0.85,"G3",IF('Character Sheet'!$Q$407&lt;0.95,"H3","I3")))</f>
        <v>F3</v>
      </c>
      <c r="Y74">
        <f t="shared" ref="Y74:AA87" ca="1" si="17">COLUMN(INDIRECT(X74))</f>
        <v>6</v>
      </c>
      <c r="Z74" t="str">
        <f>IF('Character Sheet'!$AW$407&lt;0.6,"F3",IF('Character Sheet'!$AW$407&lt;0.85,"G3",IF('Character Sheet'!$AW$407&lt;0.95,"H3","I3")))</f>
        <v>F3</v>
      </c>
      <c r="AA74">
        <f t="shared" ca="1" si="17"/>
        <v>6</v>
      </c>
    </row>
    <row r="75" spans="1:46" ht="8.1" customHeight="1">
      <c r="A75">
        <v>7</v>
      </c>
      <c r="B75" t="s">
        <v>3477</v>
      </c>
      <c r="E75">
        <v>0.14000000000000001</v>
      </c>
      <c r="F75">
        <v>4400</v>
      </c>
      <c r="G75">
        <v>20</v>
      </c>
      <c r="H75">
        <v>17</v>
      </c>
      <c r="I75">
        <v>17</v>
      </c>
      <c r="J75">
        <v>17</v>
      </c>
      <c r="K75">
        <v>10</v>
      </c>
      <c r="L75" t="s">
        <v>4659</v>
      </c>
      <c r="M75">
        <v>-5</v>
      </c>
      <c r="N75">
        <v>-5</v>
      </c>
      <c r="O75">
        <v>2</v>
      </c>
      <c r="U75">
        <v>3</v>
      </c>
      <c r="V75" t="s">
        <v>4836</v>
      </c>
      <c r="X75" t="str">
        <f>IF('Character Sheet'!$Q$407&lt;0.6,"J3",IF('Character Sheet'!$Q$407&lt;0.85,"K3",IF('Character Sheet'!$Q$407&lt;0.95,"L3","M3")))</f>
        <v>J3</v>
      </c>
      <c r="Y75">
        <f t="shared" ca="1" si="17"/>
        <v>10</v>
      </c>
      <c r="Z75" t="str">
        <f>IF('Character Sheet'!$AW$407&lt;0.6,"J3",IF('Character Sheet'!$AW$407&lt;0.85,"K3",IF('Character Sheet'!$AW$407&lt;0.95,"L3","M3")))</f>
        <v>J3</v>
      </c>
      <c r="AA75">
        <f t="shared" ca="1" si="17"/>
        <v>10</v>
      </c>
    </row>
    <row r="76" spans="1:46" ht="8.1" customHeight="1">
      <c r="A76">
        <v>8</v>
      </c>
      <c r="B76" t="s">
        <v>4781</v>
      </c>
      <c r="E76">
        <v>0</v>
      </c>
      <c r="F76">
        <v>0</v>
      </c>
      <c r="G76">
        <v>0</v>
      </c>
      <c r="H76">
        <v>0</v>
      </c>
      <c r="I76">
        <v>0</v>
      </c>
      <c r="J76">
        <v>0</v>
      </c>
      <c r="K76">
        <v>0</v>
      </c>
      <c r="L76">
        <v>0</v>
      </c>
      <c r="M76">
        <v>0</v>
      </c>
      <c r="N76">
        <v>0</v>
      </c>
      <c r="O76">
        <v>0</v>
      </c>
      <c r="U76">
        <v>4</v>
      </c>
      <c r="V76" t="s">
        <v>4837</v>
      </c>
      <c r="X76" t="str">
        <f>IF('Character Sheet'!$Q$407&lt;0.6,"N3",IF('Character Sheet'!$Q$407&lt;0.85,"O3",IF('Character Sheet'!$Q$407&lt;0.95,"P3","Q3")))</f>
        <v>N3</v>
      </c>
      <c r="Y76">
        <f t="shared" ca="1" si="17"/>
        <v>14</v>
      </c>
      <c r="Z76" t="str">
        <f>IF('Character Sheet'!$AW$407&lt;0.6,"N3",IF('Character Sheet'!$AW$407&lt;0.85,"O3",IF('Character Sheet'!$AW$407&lt;0.95,"P3","Q3")))</f>
        <v>N3</v>
      </c>
      <c r="AA76">
        <f t="shared" ca="1" si="17"/>
        <v>14</v>
      </c>
    </row>
    <row r="77" spans="1:46" ht="8.1" customHeight="1">
      <c r="A77">
        <v>1</v>
      </c>
      <c r="B77" t="s">
        <v>3442</v>
      </c>
      <c r="E77">
        <v>0.03</v>
      </c>
      <c r="F77">
        <v>160</v>
      </c>
      <c r="G77">
        <v>4</v>
      </c>
      <c r="H77">
        <v>5</v>
      </c>
      <c r="I77">
        <v>3</v>
      </c>
      <c r="J77">
        <v>4</v>
      </c>
      <c r="K77">
        <v>4</v>
      </c>
      <c r="L77" t="s">
        <v>3440</v>
      </c>
      <c r="M77">
        <v>0</v>
      </c>
      <c r="N77">
        <v>0</v>
      </c>
      <c r="O77">
        <v>0</v>
      </c>
      <c r="U77">
        <v>5</v>
      </c>
      <c r="V77" t="s">
        <v>3747</v>
      </c>
      <c r="X77" t="str">
        <f>IF('Character Sheet'!$Q$407&lt;0.6,"R3",IF('Character Sheet'!$Q$407&lt;0.85,"S3",IF('Character Sheet'!$Q$407&lt;0.95,"T3","U3")))</f>
        <v>R3</v>
      </c>
      <c r="Y77">
        <f t="shared" ca="1" si="17"/>
        <v>18</v>
      </c>
      <c r="Z77" t="str">
        <f>IF('Character Sheet'!$AW$407&lt;0.6,"R3",IF('Character Sheet'!$AW$407&lt;0.85,"S3",IF('Character Sheet'!$AW$407&lt;0.95,"T3","U3")))</f>
        <v>R3</v>
      </c>
      <c r="AA77">
        <f t="shared" ca="1" si="17"/>
        <v>18</v>
      </c>
    </row>
    <row r="78" spans="1:46" ht="8.1" customHeight="1">
      <c r="A78">
        <v>2</v>
      </c>
      <c r="B78" t="s">
        <v>3441</v>
      </c>
      <c r="E78">
        <v>0.05</v>
      </c>
      <c r="F78">
        <v>240</v>
      </c>
      <c r="G78">
        <v>6</v>
      </c>
      <c r="H78">
        <v>8</v>
      </c>
      <c r="I78">
        <v>5</v>
      </c>
      <c r="J78">
        <v>6</v>
      </c>
      <c r="K78">
        <v>6</v>
      </c>
      <c r="L78" t="s">
        <v>3440</v>
      </c>
      <c r="M78">
        <v>0</v>
      </c>
      <c r="N78">
        <v>0</v>
      </c>
      <c r="O78">
        <v>0</v>
      </c>
      <c r="U78">
        <v>6</v>
      </c>
      <c r="V78" t="s">
        <v>4653</v>
      </c>
      <c r="X78" t="str">
        <f>IF('Character Sheet'!$Q$407&lt;0.6,"V3",IF('Character Sheet'!$Q$407&lt;0.85,"W3",IF('Character Sheet'!$Q$407&lt;0.95,"X3","Y3")))</f>
        <v>V3</v>
      </c>
      <c r="Y78">
        <f t="shared" ca="1" si="17"/>
        <v>22</v>
      </c>
      <c r="Z78" t="str">
        <f>IF('Character Sheet'!$AW$407&lt;0.6,"V3",IF('Character Sheet'!$AW$407&lt;0.85,"W3",IF('Character Sheet'!$AW$407&lt;0.95,"X3","Y3")))</f>
        <v>V3</v>
      </c>
      <c r="AA78">
        <f t="shared" ca="1" si="17"/>
        <v>22</v>
      </c>
    </row>
    <row r="79" spans="1:46" ht="8.1" customHeight="1">
      <c r="A79">
        <v>3</v>
      </c>
      <c r="B79" t="s">
        <v>3563</v>
      </c>
      <c r="E79">
        <v>0.08</v>
      </c>
      <c r="F79">
        <v>600</v>
      </c>
      <c r="G79">
        <v>10</v>
      </c>
      <c r="H79">
        <v>11</v>
      </c>
      <c r="I79">
        <v>8</v>
      </c>
      <c r="J79">
        <v>9</v>
      </c>
      <c r="K79">
        <v>7</v>
      </c>
      <c r="L79" t="s">
        <v>2585</v>
      </c>
      <c r="M79">
        <v>-2</v>
      </c>
      <c r="N79">
        <v>-3</v>
      </c>
      <c r="O79">
        <v>1</v>
      </c>
      <c r="U79">
        <v>7</v>
      </c>
      <c r="V79" t="s">
        <v>4654</v>
      </c>
      <c r="X79" t="str">
        <f>IF('Character Sheet'!$Q$407&lt;0.6,"Z3",IF('Character Sheet'!$Q$407&lt;0.85,"AA3",IF('Character Sheet'!$Q$407&lt;0.95,"AB3","AC3")))</f>
        <v>Z3</v>
      </c>
      <c r="Y79">
        <f t="shared" ca="1" si="17"/>
        <v>26</v>
      </c>
      <c r="Z79" t="str">
        <f>IF('Character Sheet'!$AW$407&lt;0.6,"Z3",IF('Character Sheet'!$AW$407&lt;0.85,"AA3",IF('Character Sheet'!$AW$407&lt;0.95,"AB3","AC3")))</f>
        <v>Z3</v>
      </c>
      <c r="AA79">
        <f t="shared" ca="1" si="17"/>
        <v>26</v>
      </c>
    </row>
    <row r="80" spans="1:46" ht="8.1" customHeight="1">
      <c r="A80">
        <v>4</v>
      </c>
      <c r="B80" t="s">
        <v>3342</v>
      </c>
      <c r="E80">
        <v>0.08</v>
      </c>
      <c r="F80">
        <v>900</v>
      </c>
      <c r="G80">
        <v>10</v>
      </c>
      <c r="H80">
        <v>8</v>
      </c>
      <c r="I80">
        <v>7</v>
      </c>
      <c r="J80">
        <v>8</v>
      </c>
      <c r="K80">
        <v>7</v>
      </c>
      <c r="L80" t="s">
        <v>2585</v>
      </c>
      <c r="M80">
        <v>-2</v>
      </c>
      <c r="N80">
        <v>-3</v>
      </c>
      <c r="O80">
        <v>1</v>
      </c>
      <c r="U80">
        <v>8</v>
      </c>
      <c r="V80" t="s">
        <v>4658</v>
      </c>
      <c r="X80" t="s">
        <v>4669</v>
      </c>
      <c r="Y80">
        <f t="shared" ca="1" si="17"/>
        <v>30</v>
      </c>
      <c r="Z80" t="s">
        <v>4669</v>
      </c>
      <c r="AA80">
        <f t="shared" ca="1" si="17"/>
        <v>30</v>
      </c>
    </row>
    <row r="81" spans="1:27" ht="8.1" customHeight="1">
      <c r="A81">
        <v>5</v>
      </c>
      <c r="B81" t="s">
        <v>3341</v>
      </c>
      <c r="E81">
        <v>0.08</v>
      </c>
      <c r="F81">
        <v>1300</v>
      </c>
      <c r="G81">
        <v>13</v>
      </c>
      <c r="H81">
        <v>11</v>
      </c>
      <c r="I81">
        <v>11</v>
      </c>
      <c r="J81">
        <v>11</v>
      </c>
      <c r="K81">
        <v>8</v>
      </c>
      <c r="L81" t="s">
        <v>4659</v>
      </c>
      <c r="M81">
        <v>-4</v>
      </c>
      <c r="N81">
        <v>-5</v>
      </c>
      <c r="O81">
        <v>2</v>
      </c>
      <c r="U81">
        <v>9</v>
      </c>
      <c r="V81" t="s">
        <v>4655</v>
      </c>
      <c r="X81" t="s">
        <v>4664</v>
      </c>
      <c r="Y81">
        <f t="shared" ca="1" si="17"/>
        <v>31</v>
      </c>
      <c r="Z81" t="s">
        <v>4664</v>
      </c>
      <c r="AA81">
        <f t="shared" ca="1" si="17"/>
        <v>31</v>
      </c>
    </row>
    <row r="82" spans="1:27" ht="8.1" customHeight="1">
      <c r="A82">
        <v>6</v>
      </c>
      <c r="B82" t="s">
        <v>322</v>
      </c>
      <c r="E82">
        <v>0.1</v>
      </c>
      <c r="F82">
        <v>2000</v>
      </c>
      <c r="G82">
        <v>18</v>
      </c>
      <c r="H82">
        <v>17</v>
      </c>
      <c r="I82">
        <v>15</v>
      </c>
      <c r="J82">
        <v>15</v>
      </c>
      <c r="K82">
        <v>9</v>
      </c>
      <c r="L82" t="s">
        <v>4659</v>
      </c>
      <c r="M82">
        <v>-5</v>
      </c>
      <c r="N82">
        <v>-5</v>
      </c>
      <c r="O82">
        <v>2</v>
      </c>
      <c r="U82">
        <v>10</v>
      </c>
      <c r="V82" t="s">
        <v>4656</v>
      </c>
      <c r="X82" t="s">
        <v>4665</v>
      </c>
      <c r="Y82">
        <f t="shared" ca="1" si="17"/>
        <v>32</v>
      </c>
      <c r="Z82" t="s">
        <v>4665</v>
      </c>
      <c r="AA82">
        <f t="shared" ca="1" si="17"/>
        <v>32</v>
      </c>
    </row>
    <row r="83" spans="1:27" ht="8.1" customHeight="1">
      <c r="A83">
        <v>7</v>
      </c>
      <c r="B83" t="s">
        <v>3340</v>
      </c>
      <c r="E83">
        <v>0.12</v>
      </c>
      <c r="F83">
        <v>3200</v>
      </c>
      <c r="G83">
        <v>20</v>
      </c>
      <c r="H83">
        <v>17</v>
      </c>
      <c r="I83">
        <v>17</v>
      </c>
      <c r="J83">
        <v>17</v>
      </c>
      <c r="K83">
        <v>10</v>
      </c>
      <c r="L83" t="s">
        <v>4659</v>
      </c>
      <c r="M83">
        <v>-5</v>
      </c>
      <c r="N83">
        <v>-5</v>
      </c>
      <c r="O83">
        <v>2</v>
      </c>
      <c r="U83">
        <v>11</v>
      </c>
      <c r="V83" t="s">
        <v>4657</v>
      </c>
      <c r="X83" t="s">
        <v>4666</v>
      </c>
      <c r="Y83">
        <f t="shared" ca="1" si="17"/>
        <v>33</v>
      </c>
      <c r="Z83" t="s">
        <v>4666</v>
      </c>
      <c r="AA83">
        <f t="shared" ca="1" si="17"/>
        <v>33</v>
      </c>
    </row>
    <row r="84" spans="1:27" ht="8.1" customHeight="1">
      <c r="A84">
        <v>8</v>
      </c>
      <c r="B84" t="s">
        <v>4781</v>
      </c>
      <c r="E84">
        <v>0</v>
      </c>
      <c r="F84">
        <v>0</v>
      </c>
      <c r="G84">
        <v>0</v>
      </c>
      <c r="H84">
        <v>0</v>
      </c>
      <c r="I84">
        <v>0</v>
      </c>
      <c r="J84">
        <v>0</v>
      </c>
      <c r="K84">
        <v>0</v>
      </c>
      <c r="L84">
        <v>0</v>
      </c>
      <c r="M84">
        <v>0</v>
      </c>
      <c r="N84">
        <v>0</v>
      </c>
      <c r="O84">
        <v>0</v>
      </c>
      <c r="U84">
        <v>12</v>
      </c>
      <c r="V84" t="s">
        <v>4154</v>
      </c>
      <c r="X84" t="s">
        <v>4667</v>
      </c>
      <c r="Y84">
        <f t="shared" ca="1" si="17"/>
        <v>34</v>
      </c>
      <c r="Z84" t="s">
        <v>4667</v>
      </c>
      <c r="AA84">
        <f t="shared" ca="1" si="17"/>
        <v>34</v>
      </c>
    </row>
    <row r="85" spans="1:27" ht="8.1" customHeight="1">
      <c r="B85" t="s">
        <v>2274</v>
      </c>
      <c r="C85" t="s">
        <v>1773</v>
      </c>
      <c r="D85" t="s">
        <v>1774</v>
      </c>
      <c r="E85" t="s">
        <v>3034</v>
      </c>
      <c r="F85" t="s">
        <v>3000</v>
      </c>
      <c r="G85" t="s">
        <v>1795</v>
      </c>
      <c r="H85" t="s">
        <v>1796</v>
      </c>
      <c r="I85" t="s">
        <v>1797</v>
      </c>
      <c r="J85" t="s">
        <v>1772</v>
      </c>
      <c r="U85">
        <v>13</v>
      </c>
      <c r="V85" t="s">
        <v>4153</v>
      </c>
      <c r="X85" t="str">
        <f>IF('Character Sheet'!$Q$407&lt;0.6,"AI3",IF('Character Sheet'!$Q$407&lt;0.85,"AJ3",IF('Character Sheet'!$Q$407&lt;0.95,"AK3","AL3")))</f>
        <v>AI3</v>
      </c>
      <c r="Y85">
        <f t="shared" ca="1" si="17"/>
        <v>35</v>
      </c>
      <c r="Z85" t="str">
        <f>IF('Character Sheet'!$AW$407&lt;0.6,"AI3",IF('Character Sheet'!$AW$407&lt;0.85,"AJ3",IF('Character Sheet'!$AW$407&lt;0.95,"AK3","AL3")))</f>
        <v>AI3</v>
      </c>
      <c r="AA85">
        <f t="shared" ca="1" si="17"/>
        <v>35</v>
      </c>
    </row>
    <row r="86" spans="1:27" ht="8.1" customHeight="1">
      <c r="B86" t="s">
        <v>2275</v>
      </c>
      <c r="C86">
        <v>7</v>
      </c>
      <c r="D86">
        <v>12</v>
      </c>
      <c r="E86">
        <v>15</v>
      </c>
      <c r="F86">
        <v>18</v>
      </c>
      <c r="G86">
        <f>E86*C86</f>
        <v>105</v>
      </c>
      <c r="H86">
        <f>E86*D86</f>
        <v>180</v>
      </c>
      <c r="I86">
        <f>F86*C86</f>
        <v>126</v>
      </c>
      <c r="J86">
        <f>F86*D86</f>
        <v>216</v>
      </c>
      <c r="U86">
        <v>14</v>
      </c>
      <c r="V86" t="s">
        <v>3486</v>
      </c>
      <c r="X86" t="str">
        <f>IF('Character Sheet'!$Q$407&lt;0.6,"AM3",IF('Character Sheet'!$Q$407&lt;0.85,"AN3",IF('Character Sheet'!$Q$407&lt;0.95,"AO3","AP3")))</f>
        <v>AM3</v>
      </c>
      <c r="Y86">
        <f t="shared" ca="1" si="17"/>
        <v>39</v>
      </c>
      <c r="Z86" t="str">
        <f>IF('Character Sheet'!$AW$407&lt;0.6,"AM3",IF('Character Sheet'!$AW$407&lt;0.85,"AN3",IF('Character Sheet'!$AW$407&lt;0.95,"AO3","AP3")))</f>
        <v>AM3</v>
      </c>
      <c r="AA86">
        <f t="shared" ca="1" si="17"/>
        <v>39</v>
      </c>
    </row>
    <row r="87" spans="1:27" ht="8.1" customHeight="1">
      <c r="B87" t="s">
        <v>1793</v>
      </c>
      <c r="C87">
        <v>4</v>
      </c>
      <c r="D87">
        <v>7</v>
      </c>
      <c r="E87">
        <v>15</v>
      </c>
      <c r="F87">
        <v>18</v>
      </c>
      <c r="G87">
        <f>E87*C87</f>
        <v>60</v>
      </c>
      <c r="H87">
        <f>E87*D87</f>
        <v>105</v>
      </c>
      <c r="I87">
        <f>F87*C87</f>
        <v>72</v>
      </c>
      <c r="J87">
        <f>F87*D87</f>
        <v>126</v>
      </c>
      <c r="U87">
        <v>15</v>
      </c>
      <c r="V87" t="s">
        <v>3487</v>
      </c>
      <c r="X87" t="str">
        <f>IF('Character Sheet'!$Q$407&lt;0.6,"AQ3",IF('Character Sheet'!$Q$407&lt;0.85,"AR3",IF('Character Sheet'!$Q$407&lt;0.95,"AS3","AT3")))</f>
        <v>AQ3</v>
      </c>
      <c r="Y87">
        <f t="shared" ca="1" si="17"/>
        <v>43</v>
      </c>
      <c r="Z87" t="str">
        <f>IF('Character Sheet'!$AW$407&lt;0.6,"AQ3",IF('Character Sheet'!$AW$407&lt;0.85,"AR3",IF('Character Sheet'!$AW$407&lt;0.95,"AS3","AT3")))</f>
        <v>AQ3</v>
      </c>
      <c r="AA87">
        <f t="shared" ca="1" si="17"/>
        <v>43</v>
      </c>
    </row>
    <row r="88" spans="1:27" ht="8.1" customHeight="1">
      <c r="B88" t="s">
        <v>1794</v>
      </c>
      <c r="C88">
        <v>1</v>
      </c>
      <c r="D88">
        <v>4</v>
      </c>
      <c r="E88">
        <v>15</v>
      </c>
      <c r="F88">
        <v>18</v>
      </c>
      <c r="G88">
        <f>E88*C88</f>
        <v>15</v>
      </c>
      <c r="H88">
        <f>E88*D88</f>
        <v>60</v>
      </c>
      <c r="I88">
        <f>F88*C88</f>
        <v>18</v>
      </c>
      <c r="J88">
        <f>F88*D88</f>
        <v>72</v>
      </c>
      <c r="V88" t="s">
        <v>4781</v>
      </c>
    </row>
    <row r="89" spans="1:27" ht="8.1" customHeight="1"/>
    <row r="90" spans="1:27" ht="8.1" customHeight="1">
      <c r="V90">
        <f>'Character Sheet'!AE404</f>
        <v>4</v>
      </c>
    </row>
    <row r="91" spans="1:27" ht="8.1" customHeight="1">
      <c r="V91" t="str">
        <f>VLOOKUP('Character Sheet'!AE404,Mount!U73:Y86,4)</f>
        <v>N3</v>
      </c>
    </row>
    <row r="92" spans="1:27" ht="8.1" customHeight="1">
      <c r="V92">
        <f ca="1">INDIRECT(V91)</f>
        <v>18</v>
      </c>
    </row>
    <row r="93" spans="1:27" ht="8.1" customHeight="1"/>
    <row r="94" spans="1:27" ht="8.1" customHeight="1"/>
    <row r="95" spans="1:27" ht="8.1" customHeight="1"/>
    <row r="96" spans="1:27" ht="8.1" customHeight="1"/>
    <row r="97" spans="1:28" ht="8.1" customHeight="1"/>
    <row r="98" spans="1:28" ht="8.1" customHeight="1"/>
    <row r="99" spans="1:28" ht="8.1" customHeight="1"/>
    <row r="100" spans="1:28" ht="8.1" customHeight="1">
      <c r="B100" t="s">
        <v>2569</v>
      </c>
      <c r="C100" t="s">
        <v>2570</v>
      </c>
      <c r="D100" t="s">
        <v>2571</v>
      </c>
      <c r="E100" t="s">
        <v>2572</v>
      </c>
      <c r="F100" t="s">
        <v>2573</v>
      </c>
      <c r="G100" t="s">
        <v>2574</v>
      </c>
      <c r="H100" t="s">
        <v>2575</v>
      </c>
      <c r="I100" t="s">
        <v>4826</v>
      </c>
      <c r="J100" t="s">
        <v>4831</v>
      </c>
      <c r="K100" t="s">
        <v>4827</v>
      </c>
      <c r="L100" t="s">
        <v>4828</v>
      </c>
      <c r="M100" t="s">
        <v>4829</v>
      </c>
      <c r="N100" t="s">
        <v>4830</v>
      </c>
      <c r="O100" t="s">
        <v>4830</v>
      </c>
      <c r="P100" t="s">
        <v>3445</v>
      </c>
      <c r="Q100" t="s">
        <v>4832</v>
      </c>
      <c r="R100" t="s">
        <v>4046</v>
      </c>
      <c r="S100" t="s">
        <v>4830</v>
      </c>
      <c r="T100" t="s">
        <v>4296</v>
      </c>
      <c r="U100" t="s">
        <v>4047</v>
      </c>
      <c r="V100" t="s">
        <v>4048</v>
      </c>
      <c r="W100" t="s">
        <v>4049</v>
      </c>
      <c r="X100" t="s">
        <v>4050</v>
      </c>
      <c r="Y100" t="s">
        <v>4051</v>
      </c>
      <c r="Z100" t="s">
        <v>4052</v>
      </c>
      <c r="AA100" t="s">
        <v>4053</v>
      </c>
      <c r="AB100" t="s">
        <v>4054</v>
      </c>
    </row>
    <row r="101" spans="1:28" ht="8.1" customHeight="1">
      <c r="A101" t="s">
        <v>3291</v>
      </c>
      <c r="B101">
        <v>10</v>
      </c>
      <c r="C101">
        <v>10</v>
      </c>
      <c r="D101">
        <v>9</v>
      </c>
      <c r="F101">
        <v>12</v>
      </c>
      <c r="G101">
        <v>10</v>
      </c>
      <c r="H101">
        <v>11</v>
      </c>
      <c r="I101">
        <v>14</v>
      </c>
      <c r="K101">
        <f>INT(AVERAGE(15,17))</f>
        <v>16</v>
      </c>
      <c r="L101">
        <v>11</v>
      </c>
      <c r="M101">
        <v>17</v>
      </c>
      <c r="N101">
        <v>12</v>
      </c>
      <c r="O101">
        <v>12</v>
      </c>
      <c r="P101">
        <v>16</v>
      </c>
      <c r="Q101">
        <f>INT(AVERAGE(17,19,17,16))</f>
        <v>17</v>
      </c>
      <c r="R101">
        <v>13</v>
      </c>
      <c r="S101">
        <v>12</v>
      </c>
      <c r="T101">
        <f>INT(AVERAGE(11,12,13,14,20))</f>
        <v>14</v>
      </c>
      <c r="U101">
        <v>15</v>
      </c>
      <c r="V101">
        <v>14</v>
      </c>
      <c r="W101">
        <v>18</v>
      </c>
      <c r="X101">
        <v>15</v>
      </c>
      <c r="Y101">
        <v>12</v>
      </c>
      <c r="Z101">
        <v>17</v>
      </c>
      <c r="AA101">
        <v>21</v>
      </c>
      <c r="AB101">
        <v>13</v>
      </c>
    </row>
    <row r="102" spans="1:28" ht="8.1" customHeight="1">
      <c r="A102" t="s">
        <v>3292</v>
      </c>
      <c r="B102">
        <f>VLOOKUP(B101,'System Lookups'!$F$4:$G$27,2)</f>
        <v>0.57999999999999996</v>
      </c>
      <c r="C102">
        <f>VLOOKUP(C101,'System Lookups'!$F$4:$G$27,2)</f>
        <v>0.57999999999999996</v>
      </c>
      <c r="D102">
        <f>VLOOKUP(D101,'System Lookups'!$F$4:$G$27,2)</f>
        <v>0.54</v>
      </c>
      <c r="E102" t="e">
        <f>VLOOKUP(E101,'System Lookups'!$F$4:$G$27,2)</f>
        <v>#N/A</v>
      </c>
      <c r="F102">
        <f>VLOOKUP(F101,'System Lookups'!$F$4:$G$27,2)</f>
        <v>0.66</v>
      </c>
      <c r="G102">
        <f>VLOOKUP(G101,'System Lookups'!$F$4:$G$27,2)</f>
        <v>0.57999999999999996</v>
      </c>
      <c r="H102">
        <f>VLOOKUP(H101,'System Lookups'!$F$4:$G$27,2)</f>
        <v>0.62</v>
      </c>
      <c r="I102">
        <f>VLOOKUP(I101,'System Lookups'!$F$4:$G$27,2)</f>
        <v>0.73</v>
      </c>
      <c r="J102" t="e">
        <f>VLOOKUP(J101,'System Lookups'!$F$4:$G$27,2)</f>
        <v>#N/A</v>
      </c>
      <c r="K102">
        <f>VLOOKUP(K101,'System Lookups'!$F$4:$G$27,2)</f>
        <v>0.79</v>
      </c>
      <c r="L102">
        <f>VLOOKUP(L101,'System Lookups'!$F$4:$G$27,2)</f>
        <v>0.62</v>
      </c>
      <c r="M102">
        <f>VLOOKUP(M101,'System Lookups'!$F$4:$G$27,2)</f>
        <v>0.82</v>
      </c>
      <c r="N102">
        <f>VLOOKUP(N101,'System Lookups'!$F$4:$G$27,2)</f>
        <v>0.66</v>
      </c>
      <c r="O102">
        <f>VLOOKUP(O101,'System Lookups'!$F$4:$G$27,2)</f>
        <v>0.66</v>
      </c>
      <c r="P102">
        <f>VLOOKUP(P101,'System Lookups'!$F$4:$G$27,2)</f>
        <v>0.79</v>
      </c>
      <c r="Q102">
        <f>VLOOKUP(Q101,'System Lookups'!$F$4:$G$27,2)</f>
        <v>0.82</v>
      </c>
      <c r="R102">
        <f>VLOOKUP(R101,'System Lookups'!$F$4:$G$27,2)</f>
        <v>0.7</v>
      </c>
      <c r="S102">
        <f>VLOOKUP(S101,'System Lookups'!$F$4:$G$27,2)</f>
        <v>0.66</v>
      </c>
      <c r="T102">
        <f>VLOOKUP(T101,'System Lookups'!$F$4:$G$27,2)</f>
        <v>0.73</v>
      </c>
      <c r="U102">
        <f>VLOOKUP(U101,'System Lookups'!$F$4:$G$27,2)</f>
        <v>0.76</v>
      </c>
      <c r="V102">
        <f>VLOOKUP(V101,'System Lookups'!$F$4:$G$27,2)</f>
        <v>0.73</v>
      </c>
      <c r="W102">
        <f>VLOOKUP(W101,'System Lookups'!$F$4:$G$27,2)</f>
        <v>0.85</v>
      </c>
      <c r="X102">
        <f>VLOOKUP(X101,'System Lookups'!$F$4:$G$27,2)</f>
        <v>0.76</v>
      </c>
      <c r="Y102">
        <f>VLOOKUP(Y101,'System Lookups'!$F$4:$G$27,2)</f>
        <v>0.66</v>
      </c>
      <c r="Z102">
        <f>VLOOKUP(Z101,'System Lookups'!$F$4:$G$27,2)</f>
        <v>0.82</v>
      </c>
      <c r="AA102">
        <f>VLOOKUP(AA101,'System Lookups'!$F$4:$G$27,2)</f>
        <v>0.92</v>
      </c>
      <c r="AB102">
        <f>VLOOKUP(AB101,'System Lookups'!$F$4:$G$27,2)</f>
        <v>0.7</v>
      </c>
    </row>
    <row r="103" spans="1:28" ht="8.1" customHeight="1">
      <c r="A103" t="s">
        <v>3293</v>
      </c>
      <c r="B103">
        <v>8</v>
      </c>
      <c r="C103">
        <v>8</v>
      </c>
      <c r="D103">
        <v>7</v>
      </c>
      <c r="F103">
        <v>10</v>
      </c>
      <c r="G103">
        <v>11</v>
      </c>
      <c r="H103">
        <v>7</v>
      </c>
      <c r="I103">
        <v>3</v>
      </c>
      <c r="K103">
        <f>INT(AVERAGE(7,8))</f>
        <v>7</v>
      </c>
      <c r="L103">
        <v>16</v>
      </c>
      <c r="M103">
        <v>10</v>
      </c>
      <c r="N103">
        <v>10</v>
      </c>
      <c r="O103">
        <v>11</v>
      </c>
      <c r="P103">
        <v>8</v>
      </c>
      <c r="Q103">
        <f>INT(AVERAGE(6,7,7,8))</f>
        <v>7</v>
      </c>
      <c r="R103">
        <v>15</v>
      </c>
      <c r="S103">
        <v>13</v>
      </c>
      <c r="T103">
        <f>INT(AVERAGE(16,17,17,17,10))</f>
        <v>15</v>
      </c>
      <c r="U103">
        <v>16</v>
      </c>
      <c r="V103">
        <v>17</v>
      </c>
      <c r="W103">
        <v>24</v>
      </c>
      <c r="X103">
        <v>12</v>
      </c>
      <c r="Y103">
        <v>18</v>
      </c>
      <c r="Z103">
        <f>INT(AVERAGE(14,14,15,15))</f>
        <v>14</v>
      </c>
      <c r="AA103">
        <v>7</v>
      </c>
      <c r="AB103">
        <v>9</v>
      </c>
    </row>
    <row r="104" spans="1:28" ht="8.1" customHeight="1">
      <c r="A104" t="s">
        <v>3294</v>
      </c>
      <c r="B104">
        <f>VLOOKUP(B103,'System Lookups'!$F$4:$G$27,2)</f>
        <v>0.5</v>
      </c>
      <c r="C104">
        <f>VLOOKUP(C103,'System Lookups'!$F$4:$G$27,2)</f>
        <v>0.5</v>
      </c>
      <c r="D104">
        <f>VLOOKUP(D103,'System Lookups'!$F$4:$G$27,2)</f>
        <v>0.45</v>
      </c>
      <c r="E104" t="e">
        <f>VLOOKUP(E103,'System Lookups'!$F$4:$G$27,2)</f>
        <v>#N/A</v>
      </c>
      <c r="F104">
        <f>VLOOKUP(F103,'System Lookups'!$F$4:$G$27,2)</f>
        <v>0.57999999999999996</v>
      </c>
      <c r="G104">
        <f>VLOOKUP(G103,'System Lookups'!$F$4:$G$27,2)</f>
        <v>0.62</v>
      </c>
      <c r="H104">
        <f>VLOOKUP(H103,'System Lookups'!$F$4:$G$27,2)</f>
        <v>0.45</v>
      </c>
      <c r="I104">
        <f>VLOOKUP(I103,'System Lookups'!$F$4:$G$27,2)</f>
        <v>0.25</v>
      </c>
      <c r="J104" t="e">
        <f>VLOOKUP(J103,'System Lookups'!$F$4:$G$27,2)</f>
        <v>#N/A</v>
      </c>
      <c r="K104">
        <f>VLOOKUP(K103,'System Lookups'!$F$4:$G$27,2)</f>
        <v>0.45</v>
      </c>
      <c r="L104">
        <f>VLOOKUP(L103,'System Lookups'!$F$4:$G$27,2)</f>
        <v>0.79</v>
      </c>
      <c r="M104">
        <f>VLOOKUP(M103,'System Lookups'!$F$4:$G$27,2)</f>
        <v>0.57999999999999996</v>
      </c>
      <c r="N104">
        <f>VLOOKUP(N103,'System Lookups'!$F$4:$G$27,2)</f>
        <v>0.57999999999999996</v>
      </c>
      <c r="O104">
        <f>VLOOKUP(O103,'System Lookups'!$F$4:$G$27,2)</f>
        <v>0.62</v>
      </c>
      <c r="P104">
        <f>VLOOKUP(P103,'System Lookups'!$F$4:$G$27,2)</f>
        <v>0.5</v>
      </c>
      <c r="Q104">
        <f>VLOOKUP(Q103,'System Lookups'!$F$4:$G$27,2)</f>
        <v>0.45</v>
      </c>
      <c r="R104">
        <f>VLOOKUP(R103,'System Lookups'!$F$4:$G$27,2)</f>
        <v>0.76</v>
      </c>
      <c r="S104">
        <f>VLOOKUP(S103,'System Lookups'!$F$4:$G$27,2)</f>
        <v>0.7</v>
      </c>
      <c r="T104">
        <f>VLOOKUP(T103,'System Lookups'!$F$4:$G$27,2)</f>
        <v>0.76</v>
      </c>
      <c r="U104">
        <f>VLOOKUP(U103,'System Lookups'!$F$4:$G$27,2)</f>
        <v>0.79</v>
      </c>
      <c r="V104">
        <f>VLOOKUP(V103,'System Lookups'!$F$4:$G$27,2)</f>
        <v>0.82</v>
      </c>
      <c r="W104">
        <f>VLOOKUP(W103,'System Lookups'!$F$4:$G$27,2)</f>
        <v>0.98</v>
      </c>
      <c r="X104">
        <f>VLOOKUP(X103,'System Lookups'!$F$4:$G$27,2)</f>
        <v>0.66</v>
      </c>
      <c r="Y104">
        <f>VLOOKUP(Y103,'System Lookups'!$F$4:$G$27,2)</f>
        <v>0.85</v>
      </c>
      <c r="Z104">
        <f>VLOOKUP(Z103,'System Lookups'!$F$4:$G$27,2)</f>
        <v>0.73</v>
      </c>
      <c r="AA104">
        <f>VLOOKUP(AA103,'System Lookups'!$F$4:$G$27,2)</f>
        <v>0.45</v>
      </c>
      <c r="AB104">
        <f>VLOOKUP(AB103,'System Lookups'!$F$4:$G$27,2)</f>
        <v>0.54</v>
      </c>
    </row>
    <row r="105" spans="1:28" ht="8.1" customHeight="1">
      <c r="A105" t="s">
        <v>5264</v>
      </c>
      <c r="B105">
        <v>4</v>
      </c>
      <c r="C105">
        <v>4</v>
      </c>
      <c r="D105">
        <v>4</v>
      </c>
      <c r="F105">
        <v>13</v>
      </c>
      <c r="G105">
        <v>11</v>
      </c>
      <c r="H105">
        <v>7</v>
      </c>
      <c r="I105">
        <v>10</v>
      </c>
      <c r="K105">
        <v>9</v>
      </c>
      <c r="L105">
        <v>9</v>
      </c>
      <c r="M105">
        <f>INT(AVERAGE(10,16))</f>
        <v>13</v>
      </c>
      <c r="N105">
        <v>10</v>
      </c>
      <c r="O105">
        <v>11</v>
      </c>
      <c r="P105">
        <v>4</v>
      </c>
      <c r="Q105">
        <v>13</v>
      </c>
      <c r="R105">
        <v>12</v>
      </c>
      <c r="S105">
        <v>12</v>
      </c>
      <c r="T105">
        <f>INT(AVERAGE(9,10,11,13,6))</f>
        <v>9</v>
      </c>
      <c r="U105">
        <v>16</v>
      </c>
      <c r="V105">
        <v>18</v>
      </c>
      <c r="W105">
        <v>6</v>
      </c>
      <c r="X105">
        <v>5</v>
      </c>
      <c r="Y105">
        <v>9</v>
      </c>
      <c r="Z105">
        <f>INT(AVERAGE(9,10,12,13))</f>
        <v>11</v>
      </c>
      <c r="AA105">
        <v>8</v>
      </c>
      <c r="AB105">
        <v>9</v>
      </c>
    </row>
    <row r="106" spans="1:28" ht="8.1" customHeight="1">
      <c r="A106" t="s">
        <v>5265</v>
      </c>
      <c r="B106">
        <f>VLOOKUP(B105,'System Lookups'!$F$4:$G$27,2)</f>
        <v>0.3</v>
      </c>
      <c r="C106">
        <f>VLOOKUP(C105,'System Lookups'!$F$4:$G$27,2)</f>
        <v>0.3</v>
      </c>
      <c r="D106">
        <f>VLOOKUP(D105,'System Lookups'!$F$4:$G$27,2)</f>
        <v>0.3</v>
      </c>
      <c r="E106" t="e">
        <f>VLOOKUP(E105,'System Lookups'!$F$4:$G$27,2)</f>
        <v>#N/A</v>
      </c>
      <c r="F106">
        <f>VLOOKUP(F105,'System Lookups'!$F$4:$G$27,2)</f>
        <v>0.7</v>
      </c>
      <c r="G106">
        <f>VLOOKUP(G105,'System Lookups'!$F$4:$G$27,2)</f>
        <v>0.62</v>
      </c>
      <c r="H106">
        <f>VLOOKUP(H105,'System Lookups'!$F$4:$G$27,2)</f>
        <v>0.45</v>
      </c>
      <c r="I106">
        <f>VLOOKUP(I105,'System Lookups'!$F$4:$G$27,2)</f>
        <v>0.57999999999999996</v>
      </c>
      <c r="J106" t="e">
        <f>VLOOKUP(J105,'System Lookups'!$F$4:$G$27,2)</f>
        <v>#N/A</v>
      </c>
      <c r="K106">
        <f>VLOOKUP(K105,'System Lookups'!$F$4:$G$27,2)</f>
        <v>0.54</v>
      </c>
      <c r="L106">
        <f>VLOOKUP(L105,'System Lookups'!$F$4:$G$27,2)</f>
        <v>0.54</v>
      </c>
      <c r="M106">
        <f>VLOOKUP(M105,'System Lookups'!$F$4:$G$27,2)</f>
        <v>0.7</v>
      </c>
      <c r="N106">
        <f>VLOOKUP(N105,'System Lookups'!$F$4:$G$27,2)</f>
        <v>0.57999999999999996</v>
      </c>
      <c r="O106">
        <f>VLOOKUP(O105,'System Lookups'!$F$4:$G$27,2)</f>
        <v>0.62</v>
      </c>
      <c r="P106">
        <f>VLOOKUP(P105,'System Lookups'!$F$4:$G$27,2)</f>
        <v>0.3</v>
      </c>
      <c r="Q106">
        <f>VLOOKUP(Q105,'System Lookups'!$F$4:$G$27,2)</f>
        <v>0.7</v>
      </c>
      <c r="R106">
        <f>VLOOKUP(R105,'System Lookups'!$F$4:$G$27,2)</f>
        <v>0.66</v>
      </c>
      <c r="S106">
        <f>VLOOKUP(S105,'System Lookups'!$F$4:$G$27,2)</f>
        <v>0.66</v>
      </c>
      <c r="T106">
        <f>VLOOKUP(T105,'System Lookups'!$F$4:$G$27,2)</f>
        <v>0.54</v>
      </c>
      <c r="U106">
        <f>VLOOKUP(U105,'System Lookups'!$F$4:$G$27,2)</f>
        <v>0.79</v>
      </c>
      <c r="V106">
        <f>VLOOKUP(V105,'System Lookups'!$F$4:$G$27,2)</f>
        <v>0.85</v>
      </c>
      <c r="W106">
        <f>VLOOKUP(W105,'System Lookups'!$F$4:$G$27,2)</f>
        <v>0.4</v>
      </c>
      <c r="X106">
        <f>VLOOKUP(X105,'System Lookups'!$F$4:$G$27,2)</f>
        <v>0.35</v>
      </c>
      <c r="Y106">
        <f>VLOOKUP(Y105,'System Lookups'!$F$4:$G$27,2)</f>
        <v>0.54</v>
      </c>
      <c r="Z106">
        <f>VLOOKUP(Z105,'System Lookups'!$F$4:$G$27,2)</f>
        <v>0.62</v>
      </c>
      <c r="AA106">
        <f>VLOOKUP(AA105,'System Lookups'!$F$4:$G$27,2)</f>
        <v>0.5</v>
      </c>
      <c r="AB106">
        <f>VLOOKUP(AB105,'System Lookups'!$F$4:$G$27,2)</f>
        <v>0.54</v>
      </c>
    </row>
    <row r="107" spans="1:28" ht="8.1" customHeight="1">
      <c r="A107" t="s">
        <v>5266</v>
      </c>
      <c r="B107">
        <v>3</v>
      </c>
      <c r="C107">
        <v>4</v>
      </c>
      <c r="D107">
        <v>5</v>
      </c>
      <c r="F107">
        <v>4</v>
      </c>
      <c r="G107">
        <v>9</v>
      </c>
      <c r="H107">
        <f>INT(AVERAGE(4,10))</f>
        <v>7</v>
      </c>
      <c r="I107">
        <v>3</v>
      </c>
      <c r="K107">
        <f>INT(AVERAGE(15,17))</f>
        <v>16</v>
      </c>
      <c r="L107">
        <v>8</v>
      </c>
      <c r="M107">
        <f>INT(AVERAGE(4,10))</f>
        <v>7</v>
      </c>
      <c r="N107">
        <v>4</v>
      </c>
      <c r="O107">
        <v>5</v>
      </c>
      <c r="P107">
        <v>5</v>
      </c>
      <c r="Q107">
        <v>4</v>
      </c>
      <c r="R107">
        <v>4</v>
      </c>
      <c r="S107">
        <v>5</v>
      </c>
      <c r="T107">
        <v>4</v>
      </c>
      <c r="U107">
        <v>5</v>
      </c>
      <c r="V107">
        <v>4</v>
      </c>
      <c r="W107">
        <v>13</v>
      </c>
      <c r="X107">
        <v>9</v>
      </c>
      <c r="Y107">
        <v>5</v>
      </c>
      <c r="Z107">
        <v>5</v>
      </c>
      <c r="AA107">
        <v>11</v>
      </c>
      <c r="AB107">
        <v>11</v>
      </c>
    </row>
    <row r="108" spans="1:28" ht="8.1" customHeight="1">
      <c r="A108" t="s">
        <v>5267</v>
      </c>
      <c r="B108">
        <f>VLOOKUP(B107,'System Lookups'!$F$4:$G$27,2)</f>
        <v>0.25</v>
      </c>
      <c r="C108">
        <f>VLOOKUP(C107,'System Lookups'!$F$4:$G$27,2)</f>
        <v>0.3</v>
      </c>
      <c r="D108">
        <f>VLOOKUP(D107,'System Lookups'!$F$4:$G$27,2)</f>
        <v>0.35</v>
      </c>
      <c r="E108" t="e">
        <f>VLOOKUP(E107,'System Lookups'!$F$4:$G$27,2)</f>
        <v>#N/A</v>
      </c>
      <c r="F108">
        <f>VLOOKUP(F107,'System Lookups'!$F$4:$G$27,2)</f>
        <v>0.3</v>
      </c>
      <c r="G108">
        <f>VLOOKUP(G107,'System Lookups'!$F$4:$G$27,2)</f>
        <v>0.54</v>
      </c>
      <c r="H108">
        <f>VLOOKUP(H107,'System Lookups'!$F$4:$G$27,2)</f>
        <v>0.45</v>
      </c>
      <c r="I108">
        <f>VLOOKUP(I107,'System Lookups'!$F$4:$G$27,2)</f>
        <v>0.25</v>
      </c>
      <c r="J108" t="e">
        <f>VLOOKUP(J107,'System Lookups'!$F$4:$G$27,2)</f>
        <v>#N/A</v>
      </c>
      <c r="K108">
        <f>VLOOKUP(K107,'System Lookups'!$F$4:$G$27,2)</f>
        <v>0.79</v>
      </c>
      <c r="L108">
        <f>VLOOKUP(L107,'System Lookups'!$F$4:$G$27,2)</f>
        <v>0.5</v>
      </c>
      <c r="M108">
        <f>VLOOKUP(M107,'System Lookups'!$F$4:$G$27,2)</f>
        <v>0.45</v>
      </c>
      <c r="N108">
        <f>VLOOKUP(N107,'System Lookups'!$F$4:$G$27,2)</f>
        <v>0.3</v>
      </c>
      <c r="O108">
        <f>VLOOKUP(O107,'System Lookups'!$F$4:$G$27,2)</f>
        <v>0.35</v>
      </c>
      <c r="P108">
        <f>VLOOKUP(P107,'System Lookups'!$F$4:$G$27,2)</f>
        <v>0.35</v>
      </c>
      <c r="Q108">
        <f>VLOOKUP(Q107,'System Lookups'!$F$4:$G$27,2)</f>
        <v>0.3</v>
      </c>
      <c r="R108">
        <f>VLOOKUP(R107,'System Lookups'!$F$4:$G$27,2)</f>
        <v>0.3</v>
      </c>
      <c r="S108">
        <f>VLOOKUP(S107,'System Lookups'!$F$4:$G$27,2)</f>
        <v>0.35</v>
      </c>
      <c r="T108">
        <f>VLOOKUP(T107,'System Lookups'!$F$4:$G$27,2)</f>
        <v>0.3</v>
      </c>
      <c r="U108">
        <f>VLOOKUP(U107,'System Lookups'!$F$4:$G$27,2)</f>
        <v>0.35</v>
      </c>
      <c r="V108">
        <f>VLOOKUP(V107,'System Lookups'!$F$4:$G$27,2)</f>
        <v>0.3</v>
      </c>
      <c r="W108">
        <f>VLOOKUP(W107,'System Lookups'!$F$4:$G$27,2)</f>
        <v>0.7</v>
      </c>
      <c r="X108">
        <f>VLOOKUP(X107,'System Lookups'!$F$4:$G$27,2)</f>
        <v>0.54</v>
      </c>
      <c r="Y108">
        <f>VLOOKUP(Y107,'System Lookups'!$F$4:$G$27,2)</f>
        <v>0.35</v>
      </c>
      <c r="Z108">
        <f>VLOOKUP(Z107,'System Lookups'!$F$4:$G$27,2)</f>
        <v>0.35</v>
      </c>
      <c r="AA108">
        <f>VLOOKUP(AA107,'System Lookups'!$F$4:$G$27,2)</f>
        <v>0.62</v>
      </c>
      <c r="AB108">
        <f>VLOOKUP(AB107,'System Lookups'!$F$4:$G$27,2)</f>
        <v>0.62</v>
      </c>
    </row>
    <row r="109" spans="1:28" ht="8.1" customHeight="1">
      <c r="A109" t="s">
        <v>3592</v>
      </c>
      <c r="B109">
        <v>4</v>
      </c>
      <c r="C109">
        <v>5</v>
      </c>
      <c r="D109">
        <v>6</v>
      </c>
      <c r="E109">
        <f>E107+2</f>
        <v>2</v>
      </c>
      <c r="F109">
        <v>3</v>
      </c>
      <c r="G109">
        <v>12</v>
      </c>
      <c r="H109">
        <v>12</v>
      </c>
      <c r="I109">
        <f>I107+2</f>
        <v>5</v>
      </c>
      <c r="J109">
        <f>J107+2</f>
        <v>2</v>
      </c>
      <c r="K109">
        <f>K107+2</f>
        <v>18</v>
      </c>
      <c r="L109">
        <v>10</v>
      </c>
      <c r="M109">
        <f>INT(AVERAGE(12,M107+2))</f>
        <v>10</v>
      </c>
      <c r="N109">
        <f t="shared" ref="N109:V109" si="18">N107+2</f>
        <v>6</v>
      </c>
      <c r="O109">
        <f t="shared" si="18"/>
        <v>7</v>
      </c>
      <c r="P109">
        <f t="shared" si="18"/>
        <v>7</v>
      </c>
      <c r="Q109">
        <f t="shared" si="18"/>
        <v>6</v>
      </c>
      <c r="R109">
        <f t="shared" si="18"/>
        <v>6</v>
      </c>
      <c r="S109">
        <f t="shared" si="18"/>
        <v>7</v>
      </c>
      <c r="T109">
        <f t="shared" si="18"/>
        <v>6</v>
      </c>
      <c r="U109">
        <f t="shared" si="18"/>
        <v>7</v>
      </c>
      <c r="V109">
        <f t="shared" si="18"/>
        <v>6</v>
      </c>
      <c r="W109">
        <v>12</v>
      </c>
      <c r="X109">
        <v>11</v>
      </c>
      <c r="Y109">
        <f>Y107+2</f>
        <v>7</v>
      </c>
      <c r="Z109">
        <f>Z107+2</f>
        <v>7</v>
      </c>
      <c r="AA109">
        <f>AA107+2</f>
        <v>13</v>
      </c>
      <c r="AB109">
        <f>AB107+2</f>
        <v>13</v>
      </c>
    </row>
    <row r="110" spans="1:28" ht="8.1" customHeight="1">
      <c r="A110" t="s">
        <v>5268</v>
      </c>
      <c r="B110">
        <f>VLOOKUP(B109,'System Lookups'!$F$4:$G$27,2)</f>
        <v>0.3</v>
      </c>
      <c r="C110">
        <f>VLOOKUP(C109,'System Lookups'!$F$4:$G$27,2)</f>
        <v>0.35</v>
      </c>
      <c r="D110">
        <f>VLOOKUP(D109,'System Lookups'!$F$4:$G$27,2)</f>
        <v>0.4</v>
      </c>
      <c r="E110">
        <f>VLOOKUP(E109,'System Lookups'!$F$4:$G$27,2)</f>
        <v>0.2</v>
      </c>
      <c r="F110">
        <f>VLOOKUP(F109,'System Lookups'!$F$4:$G$27,2)</f>
        <v>0.25</v>
      </c>
      <c r="G110">
        <f>VLOOKUP(G109,'System Lookups'!$F$4:$G$27,2)</f>
        <v>0.66</v>
      </c>
      <c r="H110">
        <f>VLOOKUP(H109,'System Lookups'!$F$4:$G$27,2)</f>
        <v>0.66</v>
      </c>
      <c r="I110">
        <f>VLOOKUP(I109,'System Lookups'!$F$4:$G$27,2)</f>
        <v>0.35</v>
      </c>
      <c r="J110">
        <f>VLOOKUP(J109,'System Lookups'!$F$4:$G$27,2)</f>
        <v>0.2</v>
      </c>
      <c r="K110">
        <f>VLOOKUP(K109,'System Lookups'!$F$4:$G$27,2)</f>
        <v>0.85</v>
      </c>
      <c r="L110">
        <f>VLOOKUP(L109,'System Lookups'!$F$4:$G$27,2)</f>
        <v>0.57999999999999996</v>
      </c>
      <c r="M110">
        <f>VLOOKUP(M109,'System Lookups'!$F$4:$G$27,2)</f>
        <v>0.57999999999999996</v>
      </c>
      <c r="N110">
        <f>VLOOKUP(N109,'System Lookups'!$F$4:$G$27,2)</f>
        <v>0.4</v>
      </c>
      <c r="O110">
        <f>VLOOKUP(O109,'System Lookups'!$F$4:$G$27,2)</f>
        <v>0.45</v>
      </c>
      <c r="P110">
        <f>VLOOKUP(P109,'System Lookups'!$F$4:$G$27,2)</f>
        <v>0.45</v>
      </c>
      <c r="Q110">
        <f>VLOOKUP(Q109,'System Lookups'!$F$4:$G$27,2)</f>
        <v>0.4</v>
      </c>
      <c r="R110">
        <f>VLOOKUP(R109,'System Lookups'!$F$4:$G$27,2)</f>
        <v>0.4</v>
      </c>
      <c r="S110">
        <f>VLOOKUP(S109,'System Lookups'!$F$4:$G$27,2)</f>
        <v>0.45</v>
      </c>
      <c r="T110">
        <f>VLOOKUP(T109,'System Lookups'!$F$4:$G$27,2)</f>
        <v>0.4</v>
      </c>
      <c r="U110">
        <f>VLOOKUP(U109,'System Lookups'!$F$4:$G$27,2)</f>
        <v>0.45</v>
      </c>
      <c r="V110">
        <f>VLOOKUP(V109,'System Lookups'!$F$4:$G$27,2)</f>
        <v>0.4</v>
      </c>
      <c r="W110">
        <f>VLOOKUP(W109,'System Lookups'!$F$4:$G$27,2)</f>
        <v>0.66</v>
      </c>
      <c r="X110">
        <f>VLOOKUP(X109,'System Lookups'!$F$4:$G$27,2)</f>
        <v>0.62</v>
      </c>
      <c r="Y110">
        <f>VLOOKUP(Y109,'System Lookups'!$F$4:$G$27,2)</f>
        <v>0.45</v>
      </c>
      <c r="Z110">
        <f>VLOOKUP(Z111,'System Lookups'!$F$4:$G$27,2)</f>
        <v>0.76</v>
      </c>
      <c r="AA110">
        <f>VLOOKUP(AA109,'System Lookups'!$F$4:$G$27,2)</f>
        <v>0.7</v>
      </c>
      <c r="AB110">
        <f>VLOOKUP(AB109,'System Lookups'!$F$4:$G$27,2)</f>
        <v>0.7</v>
      </c>
    </row>
    <row r="111" spans="1:28" ht="8.1" customHeight="1">
      <c r="A111" t="s">
        <v>5269</v>
      </c>
      <c r="B111">
        <v>15</v>
      </c>
      <c r="C111">
        <v>15</v>
      </c>
      <c r="D111">
        <v>15</v>
      </c>
      <c r="F111">
        <v>9</v>
      </c>
      <c r="G111">
        <v>8</v>
      </c>
      <c r="H111">
        <v>4</v>
      </c>
      <c r="I111">
        <v>3</v>
      </c>
      <c r="K111">
        <f>INT(AVERAGE(7,9))</f>
        <v>8</v>
      </c>
      <c r="L111">
        <v>16</v>
      </c>
      <c r="M111">
        <v>8</v>
      </c>
      <c r="N111">
        <v>10</v>
      </c>
      <c r="O111">
        <v>11</v>
      </c>
      <c r="P111">
        <v>10</v>
      </c>
      <c r="Q111">
        <v>6</v>
      </c>
      <c r="R111">
        <v>15</v>
      </c>
      <c r="S111">
        <v>12</v>
      </c>
      <c r="T111">
        <f>INT(AVERAGE(16,16,17,17,10))</f>
        <v>15</v>
      </c>
      <c r="U111">
        <v>16</v>
      </c>
      <c r="V111">
        <v>16</v>
      </c>
      <c r="W111">
        <v>20</v>
      </c>
      <c r="X111">
        <v>15</v>
      </c>
      <c r="Y111">
        <v>20</v>
      </c>
      <c r="Z111">
        <f>INT(AVERAGE(14,14,16,17))</f>
        <v>15</v>
      </c>
      <c r="AA111">
        <v>6</v>
      </c>
      <c r="AB111">
        <v>9</v>
      </c>
    </row>
    <row r="112" spans="1:28" ht="8.1" customHeight="1">
      <c r="A112" t="s">
        <v>5270</v>
      </c>
      <c r="B112">
        <f>VLOOKUP(B111,'System Lookups'!$F$4:$G$27,2)</f>
        <v>0.76</v>
      </c>
      <c r="C112">
        <f>VLOOKUP(C111,'System Lookups'!$F$4:$G$27,2)</f>
        <v>0.76</v>
      </c>
      <c r="D112">
        <f>VLOOKUP(D111,'System Lookups'!$F$4:$G$27,2)</f>
        <v>0.76</v>
      </c>
      <c r="E112" t="e">
        <f>VLOOKUP(E111,'System Lookups'!$F$4:$G$27,2)</f>
        <v>#N/A</v>
      </c>
      <c r="F112">
        <f>VLOOKUP(F111,'System Lookups'!$F$4:$G$27,2)</f>
        <v>0.54</v>
      </c>
      <c r="G112">
        <f>VLOOKUP(G111,'System Lookups'!$F$4:$G$27,2)</f>
        <v>0.5</v>
      </c>
      <c r="H112">
        <f>VLOOKUP(H111,'System Lookups'!$F$4:$G$27,2)</f>
        <v>0.3</v>
      </c>
      <c r="I112">
        <f>VLOOKUP(I111,'System Lookups'!$F$4:$G$27,2)</f>
        <v>0.25</v>
      </c>
      <c r="J112" t="e">
        <f>VLOOKUP(J111,'System Lookups'!$F$4:$G$27,2)</f>
        <v>#N/A</v>
      </c>
      <c r="K112">
        <f>VLOOKUP(K111,'System Lookups'!$F$4:$G$27,2)</f>
        <v>0.5</v>
      </c>
      <c r="L112">
        <f>VLOOKUP(L111,'System Lookups'!$F$4:$G$27,2)</f>
        <v>0.79</v>
      </c>
      <c r="M112">
        <f>VLOOKUP(M111,'System Lookups'!$F$4:$G$27,2)</f>
        <v>0.5</v>
      </c>
      <c r="N112">
        <f>VLOOKUP(N111,'System Lookups'!$F$4:$G$27,2)</f>
        <v>0.57999999999999996</v>
      </c>
      <c r="O112">
        <f>VLOOKUP(O111,'System Lookups'!$F$4:$G$27,2)</f>
        <v>0.62</v>
      </c>
      <c r="P112">
        <f>VLOOKUP(P111,'System Lookups'!$F$4:$G$27,2)</f>
        <v>0.57999999999999996</v>
      </c>
      <c r="Q112">
        <f>VLOOKUP(Q111,'System Lookups'!$F$4:$G$27,2)</f>
        <v>0.4</v>
      </c>
      <c r="R112">
        <f>VLOOKUP(R111,'System Lookups'!$F$4:$G$27,2)</f>
        <v>0.76</v>
      </c>
      <c r="S112">
        <f>VLOOKUP(S111,'System Lookups'!$F$4:$G$27,2)</f>
        <v>0.66</v>
      </c>
      <c r="T112">
        <f>VLOOKUP(T111,'System Lookups'!$F$4:$G$27,2)</f>
        <v>0.76</v>
      </c>
      <c r="U112">
        <f>VLOOKUP(U111,'System Lookups'!$F$4:$G$27,2)</f>
        <v>0.79</v>
      </c>
      <c r="V112">
        <f>VLOOKUP(V111,'System Lookups'!$F$4:$G$27,2)</f>
        <v>0.79</v>
      </c>
      <c r="W112">
        <f>VLOOKUP(W111,'System Lookups'!$F$4:$G$27,2)</f>
        <v>0.9</v>
      </c>
      <c r="X112">
        <f>VLOOKUP(X111,'System Lookups'!$F$4:$G$27,2)</f>
        <v>0.76</v>
      </c>
      <c r="Y112">
        <f>VLOOKUP(Y111,'System Lookups'!$F$4:$G$27,2)</f>
        <v>0.9</v>
      </c>
      <c r="Z112">
        <f>VLOOKUP(Z111,'System Lookups'!$F$4:$G$27,2)</f>
        <v>0.76</v>
      </c>
      <c r="AA112">
        <f>VLOOKUP(AA111,'System Lookups'!$F$4:$G$27,2)</f>
        <v>0.4</v>
      </c>
      <c r="AB112">
        <f>VLOOKUP(AB111,'System Lookups'!$F$4:$G$27,2)</f>
        <v>0.54</v>
      </c>
    </row>
    <row r="113" spans="1:28" ht="8.1" customHeight="1">
      <c r="A113" t="s">
        <v>4651</v>
      </c>
      <c r="B113">
        <v>8</v>
      </c>
      <c r="C113">
        <v>6</v>
      </c>
      <c r="D113">
        <v>9</v>
      </c>
      <c r="F113">
        <v>5</v>
      </c>
      <c r="G113">
        <v>8</v>
      </c>
      <c r="H113">
        <v>4</v>
      </c>
      <c r="I113">
        <v>7</v>
      </c>
      <c r="K113">
        <f>8</f>
        <v>8</v>
      </c>
      <c r="L113">
        <v>10</v>
      </c>
      <c r="M113">
        <v>8</v>
      </c>
      <c r="N113">
        <v>10</v>
      </c>
      <c r="O113">
        <v>10</v>
      </c>
      <c r="P113">
        <v>10</v>
      </c>
      <c r="Q113">
        <v>10</v>
      </c>
      <c r="R113">
        <v>8</v>
      </c>
      <c r="S113">
        <v>10</v>
      </c>
      <c r="T113">
        <v>12</v>
      </c>
      <c r="U113">
        <v>10</v>
      </c>
      <c r="V113">
        <v>10</v>
      </c>
      <c r="W113">
        <v>12</v>
      </c>
      <c r="X113">
        <v>11</v>
      </c>
      <c r="Y113">
        <v>10</v>
      </c>
      <c r="Z113">
        <v>10</v>
      </c>
      <c r="AA113">
        <v>12</v>
      </c>
      <c r="AB113">
        <v>8</v>
      </c>
    </row>
    <row r="114" spans="1:28" ht="8.1" customHeight="1">
      <c r="A114" t="s">
        <v>4652</v>
      </c>
      <c r="B114">
        <f>VLOOKUP(B113,'System Lookups'!$F$4:$G$27,2)</f>
        <v>0.5</v>
      </c>
      <c r="C114">
        <f>VLOOKUP(C113,'System Lookups'!$F$4:$G$27,2)</f>
        <v>0.4</v>
      </c>
      <c r="D114">
        <f>VLOOKUP(D113,'System Lookups'!$F$4:$G$27,2)</f>
        <v>0.54</v>
      </c>
      <c r="E114" t="e">
        <f>VLOOKUP(E113,'System Lookups'!$F$4:$G$27,2)</f>
        <v>#N/A</v>
      </c>
      <c r="F114">
        <f>VLOOKUP(F113,'System Lookups'!$F$4:$G$27,2)</f>
        <v>0.35</v>
      </c>
      <c r="G114">
        <f>VLOOKUP(G113,'System Lookups'!$F$4:$G$27,2)</f>
        <v>0.5</v>
      </c>
      <c r="H114">
        <f>VLOOKUP(H113,'System Lookups'!$F$4:$G$27,2)</f>
        <v>0.3</v>
      </c>
      <c r="I114">
        <f>VLOOKUP(I113,'System Lookups'!$F$4:$G$27,2)</f>
        <v>0.45</v>
      </c>
      <c r="J114" t="e">
        <f>VLOOKUP(J113,'System Lookups'!$F$4:$G$27,2)</f>
        <v>#N/A</v>
      </c>
      <c r="K114">
        <f>VLOOKUP(K113,'System Lookups'!$F$4:$G$27,2)</f>
        <v>0.5</v>
      </c>
      <c r="L114">
        <f>VLOOKUP(L113,'System Lookups'!$F$4:$G$27,2)</f>
        <v>0.57999999999999996</v>
      </c>
      <c r="M114">
        <f>VLOOKUP(M113,'System Lookups'!$F$4:$G$27,2)</f>
        <v>0.5</v>
      </c>
      <c r="N114">
        <f>VLOOKUP(N113,'System Lookups'!$F$4:$G$27,2)</f>
        <v>0.57999999999999996</v>
      </c>
      <c r="O114">
        <f>VLOOKUP(O113,'System Lookups'!$F$4:$G$27,2)</f>
        <v>0.57999999999999996</v>
      </c>
      <c r="P114">
        <f>VLOOKUP(P113,'System Lookups'!$F$4:$G$27,2)</f>
        <v>0.57999999999999996</v>
      </c>
      <c r="Q114">
        <f>VLOOKUP(Q113,'System Lookups'!$F$4:$G$27,2)</f>
        <v>0.57999999999999996</v>
      </c>
      <c r="R114">
        <f>VLOOKUP(R113,'System Lookups'!$F$4:$G$27,2)</f>
        <v>0.5</v>
      </c>
      <c r="S114">
        <f>VLOOKUP(S113,'System Lookups'!$F$4:$G$27,2)</f>
        <v>0.57999999999999996</v>
      </c>
      <c r="T114">
        <f>VLOOKUP(T113,'System Lookups'!$F$4:$G$27,2)</f>
        <v>0.66</v>
      </c>
      <c r="U114">
        <f>VLOOKUP(U113,'System Lookups'!$F$4:$G$27,2)</f>
        <v>0.57999999999999996</v>
      </c>
      <c r="V114">
        <f>VLOOKUP(V113,'System Lookups'!$F$4:$G$27,2)</f>
        <v>0.57999999999999996</v>
      </c>
      <c r="W114">
        <f>VLOOKUP(W113,'System Lookups'!$F$4:$G$27,2)</f>
        <v>0.66</v>
      </c>
      <c r="X114">
        <f>VLOOKUP(X113,'System Lookups'!$F$4:$G$27,2)</f>
        <v>0.62</v>
      </c>
      <c r="Y114">
        <f>VLOOKUP(Y113,'System Lookups'!$F$4:$G$27,2)</f>
        <v>0.57999999999999996</v>
      </c>
      <c r="Z114">
        <f>VLOOKUP(Z113,'System Lookups'!$F$4:$G$27,2)</f>
        <v>0.57999999999999996</v>
      </c>
      <c r="AA114">
        <f>VLOOKUP(AA113,'System Lookups'!$F$4:$G$27,2)</f>
        <v>0.66</v>
      </c>
      <c r="AB114">
        <f>VLOOKUP(AB113,'System Lookups'!$F$4:$G$27,2)</f>
        <v>0.5</v>
      </c>
    </row>
    <row r="115" spans="1:28" ht="8.1" customHeight="1" collapsed="1">
      <c r="A115" t="s">
        <v>4056</v>
      </c>
      <c r="B115">
        <v>2</v>
      </c>
      <c r="C115">
        <v>2</v>
      </c>
      <c r="D115">
        <v>4</v>
      </c>
      <c r="F115">
        <v>72</v>
      </c>
      <c r="G115">
        <v>2</v>
      </c>
      <c r="H115">
        <f>INT(AVERAGE(5,9))</f>
        <v>7</v>
      </c>
      <c r="I115">
        <v>12</v>
      </c>
      <c r="K115">
        <f>INT(AVERAGE(8,14))</f>
        <v>11</v>
      </c>
      <c r="L115">
        <v>5</v>
      </c>
      <c r="M115">
        <v>5</v>
      </c>
      <c r="N115">
        <v>13</v>
      </c>
      <c r="O115">
        <v>18</v>
      </c>
      <c r="P115">
        <v>18</v>
      </c>
      <c r="Q115">
        <v>18</v>
      </c>
      <c r="R115">
        <v>27</v>
      </c>
      <c r="S115">
        <v>28</v>
      </c>
      <c r="T115">
        <v>7</v>
      </c>
      <c r="U115">
        <v>33</v>
      </c>
      <c r="V115">
        <v>15</v>
      </c>
      <c r="W115">
        <v>39</v>
      </c>
      <c r="X115">
        <v>20</v>
      </c>
      <c r="Y115">
        <v>38</v>
      </c>
      <c r="Z115">
        <v>3</v>
      </c>
      <c r="AA115">
        <v>6</v>
      </c>
      <c r="AB115">
        <v>36</v>
      </c>
    </row>
    <row r="116" spans="1:28" ht="8.1" customHeight="1">
      <c r="A116" t="s">
        <v>5023</v>
      </c>
      <c r="B116">
        <v>0.5</v>
      </c>
      <c r="C116">
        <v>0.5</v>
      </c>
      <c r="D116">
        <v>3</v>
      </c>
      <c r="F116">
        <v>7</v>
      </c>
      <c r="G116">
        <v>0.25</v>
      </c>
      <c r="H116">
        <v>1</v>
      </c>
      <c r="I116">
        <v>1</v>
      </c>
      <c r="K116">
        <f>INT(AVERAGE(8,18))</f>
        <v>13</v>
      </c>
      <c r="L116">
        <v>1</v>
      </c>
      <c r="M116">
        <v>4</v>
      </c>
      <c r="N116">
        <f>INT(AVERAGE(25,35))</f>
        <v>30</v>
      </c>
      <c r="O116">
        <v>50</v>
      </c>
      <c r="P116">
        <v>15</v>
      </c>
      <c r="Q116">
        <v>2.5</v>
      </c>
      <c r="R116">
        <v>125</v>
      </c>
      <c r="S116">
        <v>125</v>
      </c>
      <c r="T116">
        <v>10</v>
      </c>
      <c r="U116">
        <v>135</v>
      </c>
      <c r="V116">
        <v>50</v>
      </c>
      <c r="W116">
        <v>75</v>
      </c>
      <c r="X116">
        <v>40</v>
      </c>
      <c r="Y116">
        <v>250</v>
      </c>
      <c r="Z116">
        <v>350</v>
      </c>
      <c r="AA116">
        <v>0.25</v>
      </c>
      <c r="AB116">
        <v>55</v>
      </c>
    </row>
    <row r="117" spans="1:28" ht="8.1" customHeight="1">
      <c r="A117" t="s">
        <v>5272</v>
      </c>
      <c r="B117">
        <v>1</v>
      </c>
      <c r="C117">
        <v>2</v>
      </c>
      <c r="D117">
        <v>6</v>
      </c>
      <c r="F117">
        <v>0</v>
      </c>
      <c r="G117">
        <v>0.25</v>
      </c>
      <c r="H117">
        <v>0.25</v>
      </c>
      <c r="I117">
        <v>1</v>
      </c>
      <c r="K117">
        <f>INT(AVERAGE(2,6))</f>
        <v>4</v>
      </c>
      <c r="L117">
        <v>0.5</v>
      </c>
      <c r="M117">
        <v>3</v>
      </c>
      <c r="N117">
        <v>10</v>
      </c>
      <c r="O117">
        <v>22</v>
      </c>
      <c r="P117">
        <v>5</v>
      </c>
      <c r="Q117">
        <v>10</v>
      </c>
      <c r="R117">
        <v>100</v>
      </c>
      <c r="S117">
        <v>32</v>
      </c>
      <c r="T117">
        <v>7</v>
      </c>
      <c r="U117">
        <v>80</v>
      </c>
      <c r="V117">
        <v>45</v>
      </c>
      <c r="W117">
        <v>200</v>
      </c>
      <c r="X117">
        <v>25</v>
      </c>
      <c r="Y117">
        <v>250</v>
      </c>
      <c r="Z117">
        <f>INT(AVERAGE(70,85,115,155))</f>
        <v>106</v>
      </c>
      <c r="AA117">
        <v>0.25</v>
      </c>
      <c r="AB117">
        <v>40</v>
      </c>
    </row>
    <row r="118" spans="1:28" ht="8.1" customHeight="1">
      <c r="A118" t="s">
        <v>5273</v>
      </c>
      <c r="B118">
        <f t="shared" ref="B118:AB118" si="19">B117*2</f>
        <v>2</v>
      </c>
      <c r="C118">
        <f t="shared" si="19"/>
        <v>4</v>
      </c>
      <c r="D118">
        <f t="shared" si="19"/>
        <v>12</v>
      </c>
      <c r="E118">
        <f t="shared" si="19"/>
        <v>0</v>
      </c>
      <c r="F118">
        <f t="shared" si="19"/>
        <v>0</v>
      </c>
      <c r="G118">
        <f t="shared" si="19"/>
        <v>0.5</v>
      </c>
      <c r="H118">
        <f t="shared" si="19"/>
        <v>0.5</v>
      </c>
      <c r="I118">
        <f t="shared" si="19"/>
        <v>2</v>
      </c>
      <c r="J118">
        <f t="shared" si="19"/>
        <v>0</v>
      </c>
      <c r="K118">
        <f t="shared" si="19"/>
        <v>8</v>
      </c>
      <c r="L118">
        <f t="shared" si="19"/>
        <v>1</v>
      </c>
      <c r="M118">
        <f t="shared" si="19"/>
        <v>6</v>
      </c>
      <c r="N118">
        <f t="shared" si="19"/>
        <v>20</v>
      </c>
      <c r="O118">
        <f t="shared" si="19"/>
        <v>44</v>
      </c>
      <c r="P118">
        <f t="shared" si="19"/>
        <v>10</v>
      </c>
      <c r="Q118">
        <f t="shared" si="19"/>
        <v>20</v>
      </c>
      <c r="R118">
        <f t="shared" si="19"/>
        <v>200</v>
      </c>
      <c r="S118">
        <f t="shared" si="19"/>
        <v>64</v>
      </c>
      <c r="T118">
        <f t="shared" si="19"/>
        <v>14</v>
      </c>
      <c r="U118">
        <f t="shared" si="19"/>
        <v>160</v>
      </c>
      <c r="V118">
        <f t="shared" si="19"/>
        <v>90</v>
      </c>
      <c r="W118">
        <f t="shared" si="19"/>
        <v>400</v>
      </c>
      <c r="X118">
        <f t="shared" si="19"/>
        <v>50</v>
      </c>
      <c r="Y118">
        <f t="shared" si="19"/>
        <v>500</v>
      </c>
      <c r="Z118">
        <f t="shared" si="19"/>
        <v>212</v>
      </c>
      <c r="AA118">
        <f t="shared" si="19"/>
        <v>0.5</v>
      </c>
      <c r="AB118">
        <f t="shared" si="19"/>
        <v>80</v>
      </c>
    </row>
    <row r="119" spans="1:28" ht="8.1" customHeight="1">
      <c r="A119" t="s">
        <v>3443</v>
      </c>
      <c r="B119" t="s">
        <v>4630</v>
      </c>
      <c r="C119" t="s">
        <v>4630</v>
      </c>
      <c r="D119" t="s">
        <v>4630</v>
      </c>
      <c r="E119" t="s">
        <v>1563</v>
      </c>
      <c r="F119" t="s">
        <v>1563</v>
      </c>
      <c r="G119" t="s">
        <v>4630</v>
      </c>
      <c r="H119" t="s">
        <v>4630</v>
      </c>
      <c r="I119" t="s">
        <v>4630</v>
      </c>
      <c r="J119" t="s">
        <v>4630</v>
      </c>
      <c r="K119" t="s">
        <v>4630</v>
      </c>
      <c r="L119" t="s">
        <v>4630</v>
      </c>
      <c r="M119" t="s">
        <v>4630</v>
      </c>
      <c r="N119" t="s">
        <v>4630</v>
      </c>
      <c r="O119" t="s">
        <v>1563</v>
      </c>
      <c r="P119" t="s">
        <v>4630</v>
      </c>
      <c r="Q119" t="s">
        <v>4630</v>
      </c>
      <c r="R119" t="s">
        <v>1563</v>
      </c>
      <c r="S119" t="s">
        <v>1563</v>
      </c>
      <c r="T119" t="s">
        <v>1563</v>
      </c>
      <c r="U119" t="s">
        <v>1563</v>
      </c>
      <c r="V119" t="s">
        <v>1563</v>
      </c>
      <c r="W119" t="s">
        <v>1563</v>
      </c>
      <c r="X119" t="s">
        <v>1563</v>
      </c>
      <c r="Y119" t="s">
        <v>1563</v>
      </c>
      <c r="Z119" t="s">
        <v>1563</v>
      </c>
      <c r="AA119" t="s">
        <v>4630</v>
      </c>
      <c r="AB119" t="s">
        <v>1563</v>
      </c>
    </row>
    <row r="120" spans="1:28" ht="8.1" customHeight="1">
      <c r="A120" t="s">
        <v>5276</v>
      </c>
      <c r="B120">
        <f>IF(IF(B119="S",1*ROUNDUP(Magick!$C$3,0),IF(B119="L",3*ROUNDUP(Magick!$C$3,0),0))&gt;1,IF(B119="S",1*ROUNDUP(Magick!$C$3,0),IF(B119="L",3*ROUNDUP(Magick!$C$3,0),0)),1)</f>
        <v>1</v>
      </c>
      <c r="C120">
        <f>IF(IF(C119="S",1*ROUNDUP(Magick!$C$3,0),IF(C119="L",3*ROUNDUP(Magick!$C$3,0),0))&gt;2,IF(C119="S",1*ROUNDUP(Magick!$C$3,0),IF(C119="L",3*ROUNDUP(Magick!$C$3,0),0)),2)</f>
        <v>2</v>
      </c>
      <c r="D120">
        <f>IF(IF(D119="S",1*ROUNDUP(Magick!$C$3,0),IF(D119="L",3*ROUNDUP(Magick!$C$3,0),0))&gt;4,IF(D119="S",1*ROUNDUP(Magick!$C$3,0),IF(D119="L",3*ROUNDUP(Magick!$C$3,0),0)),4)</f>
        <v>4</v>
      </c>
      <c r="E120">
        <f>IF(IF(E119="S",1*ROUNDUP(Magick!$C$3,0),IF(E119="L",3*ROUNDUP(Magick!$C$3,0),0))&gt;1,IF(E119="S",1*ROUNDUP(Magick!$C$3,0),IF(E119="L",3*ROUNDUP(Magick!$C$3,0),0)),1)</f>
        <v>1</v>
      </c>
      <c r="F120">
        <f>IF(IF(F119="S",1*ROUNDUP(Magick!$C$3,0),IF(F119="L",3*ROUNDUP(Magick!$C$3,0),0))&gt;9,IF(F119="S",1*ROUNDUP(Magick!$C$3,0),IF(F119="L",3*ROUNDUP(Magick!$C$3,0),0)),9)</f>
        <v>9</v>
      </c>
      <c r="G120">
        <f>IF(IF(G119="S",1*ROUNDUP(Magick!$C$3,0),IF(G119="L",3*ROUNDUP(Magick!$C$3,0),0))&gt;3,IF(G119="S",1*ROUNDUP(Magick!$C$3,0),IF(G119="L",3*ROUNDUP(Magick!$C$3,0),0)),3)</f>
        <v>3</v>
      </c>
      <c r="H120">
        <f>IF(IF(H119="S",1*ROUNDUP(Magick!$C$3,0),IF(H119="L",3*ROUNDUP(Magick!$C$3,0),0))&gt;2,IF(H119="S",1*ROUNDUP(Magick!$C$3,0),IF(H119="L",3*ROUNDUP(Magick!$C$3,0),0)),2)</f>
        <v>2</v>
      </c>
      <c r="I120">
        <f>IF(IF(I119="S",1*ROUNDUP(Magick!$C$3,0),IF(I119="L",3*ROUNDUP(Magick!$C$3,0),0))&gt;2,IF(I119="S",1*ROUNDUP(Magick!$C$3,0),IF(I119="L",3*ROUNDUP(Magick!$C$3,0),0)),2)</f>
        <v>2</v>
      </c>
      <c r="J120">
        <f>IF(IF(J119="S",1*ROUNDUP(Magick!$C$3,0),IF(J119="L",3*ROUNDUP(Magick!$C$3,0),0))&gt;1,IF(J119="S",1*ROUNDUP(Magick!$C$3,0),IF(J119="L",3*ROUNDUP(Magick!$C$3,0),0)),1)</f>
        <v>1</v>
      </c>
      <c r="K120">
        <f>IF(IF(K119="S",1*ROUNDUP(Magick!$C$3,0),IF(K119="L",3*ROUNDUP(Magick!$C$3,0),0))&gt;INT(AVERAGE(2,10,14)),IF(K119="S",1*ROUNDUP(Magick!$C$3,0),IF(K119="L",3*ROUNDUP(Magick!$C$3,0),0)),INT(AVERAGE(2,10,14)))</f>
        <v>8</v>
      </c>
      <c r="L120">
        <f>IF(IF(L119="S",1*ROUNDUP(Magick!$C$3,0),IF(L119="L",3*ROUNDUP(Magick!$C$3,0),0))&gt;4,IF(L119="S",1*ROUNDUP(Magick!$C$3,0),IF(L119="L",3*ROUNDUP(Magick!$C$3,0),0)),6)</f>
        <v>6</v>
      </c>
      <c r="M120">
        <f>IF(IF(M119="S",1*ROUNDUP(Magick!$C$3,0),IF(M119="L",3*ROUNDUP(Magick!$C$3,0),0))&gt;INT(AVERAGE(7,3)),IF(M119="S",1*ROUNDUP(Magick!$C$3,0),IF(M119="L",3*ROUNDUP(Magick!$C$3,0),0)),INT(AVERAGE(7,3)))</f>
        <v>5</v>
      </c>
      <c r="N120">
        <f>IF(IF(N119="S",1*ROUNDUP(Magick!$C$3,0),IF(N119="L",3*ROUNDUP(Magick!$C$3,0),0))&gt;INT(AVERAGE(13,23)),IF(N119="S",1*ROUNDUP(Magick!$C$3,0),IF(N119="L",3*ROUNDUP(Magick!$C$3,0),0)),INT(AVERAGE(13,23)))</f>
        <v>18</v>
      </c>
      <c r="O120">
        <f>IF(IF(O119="S",1*ROUNDUP(Magick!$C$3,0),IF(O119="L",3*ROUNDUP(Magick!$C$3,0),0))&gt;INT(AVERAGE(16,22)),IF(O119="S",1*ROUNDUP(Magick!$C$3,0),IF(O119="L",3*ROUNDUP(Magick!$C$3,0),0)),INT(AVERAGE(16,22)))</f>
        <v>19</v>
      </c>
      <c r="P120">
        <f>IF(IF(P119="S",1*ROUNDUP(Magick!$C$3,0),IF(P119="L",3*ROUNDUP(Magick!$C$3,0),0))&gt;10,IF(P119="S",1*ROUNDUP(Magick!$C$3,0),IF(P119="L",3*ROUNDUP(Magick!$C$3,0),0)),10)</f>
        <v>10</v>
      </c>
      <c r="Q120">
        <f>IF(IF(Q119="S",1*ROUNDUP(Magick!$C$3,0),IF(Q119="L",3*ROUNDUP(Magick!$C$3,0),0))&gt;4,IF(Q119="S",1*ROUNDUP(Magick!$C$3,0),IF(Q119="L",3*ROUNDUP(Magick!$C$3,0),0)),4)</f>
        <v>4</v>
      </c>
      <c r="R120">
        <f>IF(IF(R119="S",1*ROUNDUP(Magick!$C$3,0),IF(R119="L",3*ROUNDUP(Magick!$C$3,0),0))&gt;27,IF(R119="S",1*ROUNDUP(Magick!$C$3,0),IF(R119="L",3*ROUNDUP(Magick!$C$3,0),0)),27)</f>
        <v>27</v>
      </c>
      <c r="S120">
        <f>IF(IF(S119="S",1*ROUNDUP(Magick!$C$3,0),IF(S119="L",3*ROUNDUP(Magick!$C$3,0),0))&gt;INT(AVERAGE(18,35)),IF(S119="S",1*ROUNDUP(Magick!$C$3,0),IF(S119="L",3*ROUNDUP(Magick!$C$3,0),0)),INT(AVERAGE(18,35)))</f>
        <v>26</v>
      </c>
      <c r="T120">
        <f>IF(IF(T119="S",1*ROUNDUP(Magick!$C$3,0),IF(T119="L",3*ROUNDUP(Magick!$C$3,0),0))&gt;INT(AVERAGE(2,4,4,8,12)),IF(T119="S",1*ROUNDUP(Magick!$C$3,0),IF(T119="L",3*ROUNDUP(Magick!$C$3,0),0)),INT(AVERAGE(2,4,4,8,12)))</f>
        <v>6</v>
      </c>
      <c r="U120">
        <f>IF(IF(U119="S",1*ROUNDUP(Magick!$C$3,0),IF(U119="L",3*ROUNDUP(Magick!$C$3,0),0))&gt;36,IF(U119="S",1*ROUNDUP(Magick!$C$3,0),IF(U119="L",3*ROUNDUP(Magick!$C$3,0),0)),36)</f>
        <v>36</v>
      </c>
      <c r="V120">
        <f>IF(IF(V119="S",1*ROUNDUP(Magick!$C$3,0),IF(V119="L",3*ROUNDUP(Magick!$C$3,0),0))&gt;22,IF(V119="S",1*ROUNDUP(Magick!$C$3,0),IF(V119="L",3*ROUNDUP(Magick!$C$3,0),0)),22)</f>
        <v>22</v>
      </c>
      <c r="W120">
        <f>IF(IF(W119="S",1*ROUNDUP(Magick!$C$3,0),IF(W119="L",3*ROUNDUP(Magick!$C$3,0),0))&gt;36,IF(W119="S",1*ROUNDUP(Magick!$C$3,0),IF(W119="L",3*ROUNDUP(Magick!$C$3,0),0)),36)</f>
        <v>36</v>
      </c>
      <c r="X120">
        <f>IF(IF(X119="S",1*ROUNDUP(Magick!$C$3,0),IF(X119="L",3*ROUNDUP(Magick!$C$3,0),0))&gt;20,IF(X119="S",1*ROUNDUP(Magick!$C$3,0),IF(X119="L",3*ROUNDUP(Magick!$C$3,0),0)),20)</f>
        <v>20</v>
      </c>
      <c r="Y120">
        <v>45</v>
      </c>
      <c r="Z120">
        <f>IF(IF(Z119="S",1*ROUNDUP(Magick!$C$3,0),IF(Z119="L",3*ROUNDUP(Magick!$C$3,0),0))&gt;INT(AVERAGE(27,31,36,41,51)),IF(Z119="S",1*ROUNDUP(Magick!$C$3,0),IF(Z119="L",3*ROUNDUP(Magick!$C$3,0),0)),INT(AVERAGE(27,31,36,41,51)))</f>
        <v>37</v>
      </c>
      <c r="AA120">
        <f>IF(IF(AA119="S",1*ROUNDUP(Magick!$C$3,0),IF(AA119="L",3*ROUNDUP(Magick!$C$3,0),0))&gt;6,IF(AA119="S",1*ROUNDUP(Magick!$C$3,0),IF(AA119="L",3*ROUNDUP(Magick!$C$3,0),0)),6)</f>
        <v>6</v>
      </c>
      <c r="AB120">
        <f>IF(IF(AB119="S",1*ROUNDUP(Magick!$C$3,0),IF(AB119="L",3*ROUNDUP(Magick!$C$3,0),0))&gt;57,IF(AB119="S",1*ROUNDUP(Magick!$C$3,0),IF(AB119="L",3*ROUNDUP(Magick!$C$3,0),0)),57)</f>
        <v>57</v>
      </c>
    </row>
    <row r="121" spans="1:28" ht="8.1" customHeight="1">
      <c r="A121" t="s">
        <v>5277</v>
      </c>
      <c r="B121">
        <f>IF(IF(B119="S",3*ROUNDUP(Magick!$C$3,0),IF(B119="L",3*ROUNDUP(Magick!$C$3,0),0))&gt;4,IF(B119="S",3*ROUNDUP(Magick!$C$3,0),IF(B119="L",3*ROUNDUP(Magick!$C$3,0),0)),4)</f>
        <v>4</v>
      </c>
      <c r="C121">
        <f>IF(IF(C119="S",3*ROUNDUP(Magick!$C$3,0),IF(C119="L",3*ROUNDUP(Magick!$C$3,0),0))&gt;6,IF(C119="S",3*ROUNDUP(Magick!$C$3,0),IF(C119="L",3*ROUNDUP(Magick!$C$3,0),0)),6)</f>
        <v>6</v>
      </c>
      <c r="D121">
        <f>IF(IF(D119="S",3*ROUNDUP(Magick!$C$3,0),IF(D119="L",3*ROUNDUP(Magick!$C$3,0),0))&gt;8,IF(D119="S",3*ROUNDUP(Magick!$C$3,0),IF(D119="L",3*ROUNDUP(Magick!$C$3,0),0)),8)</f>
        <v>8</v>
      </c>
      <c r="E121">
        <f>IF(IF(E119="S",3*ROUNDUP(Magick!$C$3,0),IF(E119="L",3*ROUNDUP(Magick!$C$3,0),0))&gt;1,IF(E119="S",3*ROUNDUP(Magick!$C$3,0),IF(E119="L",3*ROUNDUP(Magick!$C$3,0),0)),1)</f>
        <v>1</v>
      </c>
      <c r="F121">
        <f>IF(IF(F119="S",3*ROUNDUP(Magick!$C$3,0),IF(F119="L",3*ROUNDUP(Magick!$C$3,0),0))&gt;8,IF(F119="S",3*ROUNDUP(Magick!$C$3,0),IF(F119="L",3*ROUNDUP(Magick!$C$3,0),0)),8)</f>
        <v>8</v>
      </c>
      <c r="G121">
        <f>IF(IF(G119="S",3*ROUNDUP(Magick!$C$3,0),IF(G119="L",3*ROUNDUP(Magick!$C$3,0),0))&gt;7,IF(G119="S",3*ROUNDUP(Magick!$C$3,0),IF(G119="L",3*ROUNDUP(Magick!$C$3,0),0)),7)</f>
        <v>7</v>
      </c>
      <c r="H121">
        <f>IF(IF(H119="S",3*ROUNDUP(Magick!$C$3,0),IF(H119="L",3*ROUNDUP(Magick!$C$3,0),0))&gt;INT(AVERAGE(4,6)),IF(H119="S",3*ROUNDUP(Magick!$C$3,0),IF(H119="L",3*ROUNDUP(Magick!$C$3,0),0)),INT(AVERAGE(4,6)))</f>
        <v>5</v>
      </c>
      <c r="I121">
        <f>IF(IF(I119="S",3*ROUNDUP(Magick!$C$3,0),IF(I119="L",3*ROUNDUP(Magick!$C$3,0),0))&gt;3,IF(I119="S",3*ROUNDUP(Magick!$C$3,0),IF(I119="L",3*ROUNDUP(Magick!$C$3,0),0)),3)</f>
        <v>3</v>
      </c>
      <c r="J121">
        <f>IF(IF(J119="S",3*ROUNDUP(Magick!$C$3,0),IF(J119="L",3*ROUNDUP(Magick!$C$3,0),0))&gt;1,IF(J119="S",3*ROUNDUP(Magick!$C$3,0),IF(J119="L",3*ROUNDUP(Magick!$C$3,0),0)),1)</f>
        <v>1</v>
      </c>
      <c r="K121">
        <f>IF(IF(K119="S",3*ROUNDUP(Magick!$C$3,0),IF(K119="L",3*ROUNDUP(Magick!$C$3,0),0))&gt;INT(AVERAGE(5,12,16)),IF(K119="S",3*ROUNDUP(Magick!$C$3,0),IF(K119="L",3*ROUNDUP(Magick!$C$3,0),0)),INT(AVERAGE(5,12,16)))</f>
        <v>11</v>
      </c>
      <c r="L121">
        <f>IF(IF(L119="S",3*ROUNDUP(Magick!$C$3,0),IF(L119="L",3*ROUNDUP(Magick!$C$3,0),0))&gt;10,IF(L119="S",3*ROUNDUP(Magick!$C$3,0),IF(L119="L",3*ROUNDUP(Magick!$C$3,0),0)),10)</f>
        <v>10</v>
      </c>
      <c r="M121">
        <f>IF(IF(M119="S",3*ROUNDUP(Magick!$C$3,0),IF(M119="L",3*ROUNDUP(Magick!$C$3,0),0))&gt;INT(AVERAGE(8,18)),IF(M119="S",3*ROUNDUP(Magick!$C$3,0),IF(M119="L",3*ROUNDUP(Magick!$C$3,0),0)),INT(AVERAGE(8,18)))</f>
        <v>13</v>
      </c>
      <c r="N121">
        <f>IF(IF(N119="S",3*ROUNDUP(Magick!$C$3,0),IF(N119="L",3*ROUNDUP(Magick!$C$3,0),0))&gt;INT(AVERAGE(13,20)),IF(N119="S",3*ROUNDUP(Magick!$C$3,0),IF(N119="L",3*ROUNDUP(Magick!$C$3,0),0)),INT(AVERAGE(13,20)))</f>
        <v>16</v>
      </c>
      <c r="O121">
        <f>IF(IF(O119="S",3*ROUNDUP(Magick!$C$3,0),IF(O119="L",3*ROUNDUP(Magick!$C$3,0),0))&gt;INT(AVERAGE(17,26)),IF(O119="S",3*ROUNDUP(Magick!$C$3,0),IF(O119="L",3*ROUNDUP(Magick!$C$3,0),0)),INT(AVERAGE(17,26)))</f>
        <v>21</v>
      </c>
      <c r="P121">
        <f>IF(IF(P119="S",3*ROUNDUP(Magick!$C$3,0),IF(P119="L",3*ROUNDUP(Magick!$C$3,0),0))&gt;14,IF(P119="S",3*ROUNDUP(Magick!$C$3,0),IF(P119="L",3*ROUNDUP(Magick!$C$3,0),0)),14)</f>
        <v>14</v>
      </c>
      <c r="Q121">
        <f>IF(IF(Q119="S",3*ROUNDUP(Magick!$C$3,0),IF(Q119="L",3*ROUNDUP(Magick!$C$3,0),0))&gt;8,IF(Q119="S",3*ROUNDUP(Magick!$C$3,0),IF(Q119="L",3*ROUNDUP(Magick!$C$3,0),0)),8)</f>
        <v>8</v>
      </c>
      <c r="R121">
        <f>IF(IF(R119="S",3*ROUNDUP(Magick!$C$3,0),IF(R119="L",3*ROUNDUP(Magick!$C$3,0),0))&gt;27,IF(R119="S",3*ROUNDUP(Magick!$C$3,0),IF(R119="L",3*ROUNDUP(Magick!$C$3,0),0)),27)</f>
        <v>27</v>
      </c>
      <c r="S121">
        <f>IF(IF(S119="S",3*ROUNDUP(Magick!$C$3,0),IF(S119="L",3*ROUNDUP(Magick!$C$3,0),0))&gt;INT(AVERAGE(18,25)),IF(S119="S",3*ROUNDUP(Magick!$C$3,0),IF(S119="L",3*ROUNDUP(Magick!$C$3,0),0)),INT(AVERAGE(18,25)))</f>
        <v>21</v>
      </c>
      <c r="T121">
        <f>IF(IF(T119="S",3*ROUNDUP(Magick!$C$3,0),IF(T119="L",3*ROUNDUP(Magick!$C$3,0),0))&gt;INT(AVERAGE(4,8,8,12,20)),IF(T119="S",3*ROUNDUP(Magick!$C$3,0),IF(T119="L",3*ROUNDUP(Magick!$C$3,0),0)),INT(AVERAGE(4,8,8,12,20)))</f>
        <v>10</v>
      </c>
      <c r="U121">
        <f>IF(IF(U119="S",3*ROUNDUP(Magick!$C$3,0),IF(U119="L",3*ROUNDUP(Magick!$C$3,0),0))&gt;31,IF(U119="S",3*ROUNDUP(Magick!$C$3,0),IF(U119="L",3*ROUNDUP(Magick!$C$3,0),0)),31)</f>
        <v>31</v>
      </c>
      <c r="V121">
        <f>IF(IF(V119="S",3*ROUNDUP(Magick!$C$3,0),IF(V119="L",3*ROUNDUP(Magick!$C$3,0),0))&gt;20,IF(V119="S",3*ROUNDUP(Magick!$C$3,0),IF(V119="L",3*ROUNDUP(Magick!$C$3,0),0)),20)</f>
        <v>20</v>
      </c>
      <c r="W121">
        <f>IF(IF(W119="S",3*ROUNDUP(Magick!$C$3,0),IF(W119="L",3*ROUNDUP(Magick!$C$3,0),0))&gt;34,IF(W119="S",3*ROUNDUP(Magick!$C$3,0),IF(W119="L",3*ROUNDUP(Magick!$C$3,0),0)),34)</f>
        <v>34</v>
      </c>
      <c r="X121">
        <f>IF(IF(X119="S",3*ROUNDUP(Magick!$C$3,0),IF(X119="L",3*ROUNDUP(Magick!$C$3,0),0))&gt;22,IF(X119="S",3*ROUNDUP(Magick!$C$3,0),IF(X119="L",3*ROUNDUP(Magick!$C$3,0),0)),22)</f>
        <v>22</v>
      </c>
      <c r="Y121">
        <v>33</v>
      </c>
      <c r="Z121">
        <f>IF(IF(Z119="S",3*ROUNDUP(Magick!$C$3,0),IF(Z119="L",3*ROUNDUP(Magick!$C$3,0),0))&gt;INT(AVERAGE(27,27,32,27,29)),IF(Z119="S",3*ROUNDUP(Magick!$C$3,0),IF(Z119="L",3*ROUNDUP(Magick!$C$3,0),0)),INT(AVERAGE(27,27,32,27,29)))</f>
        <v>28</v>
      </c>
      <c r="AA121">
        <f>IF(IF(AA119="S",3*ROUNDUP(Magick!$C$3,0),IF(AA119="L",3*ROUNDUP(Magick!$C$3,0),0))&gt;16,IF(AA119="S",3*ROUNDUP(Magick!$C$3,0),IF(AA119="L",3*ROUNDUP(Magick!$C$3,0),0)),16)</f>
        <v>16</v>
      </c>
      <c r="AB121">
        <f>IF(IF(AB119="S",3*ROUNDUP(Magick!$C$3,0),IF(AB119="L",3*ROUNDUP(Magick!$C$3,0),0))&gt;30,IF(AB119="S",3*ROUNDUP(Magick!$C$3,0),IF(AB119="L",3*ROUNDUP(Magick!$C$3,0),0)),30)</f>
        <v>30</v>
      </c>
    </row>
    <row r="122" spans="1:28" ht="8.1" customHeight="1">
      <c r="A122" t="s">
        <v>5278</v>
      </c>
      <c r="B122">
        <v>15</v>
      </c>
      <c r="C122">
        <v>15</v>
      </c>
      <c r="D122">
        <v>12</v>
      </c>
      <c r="F122">
        <v>15</v>
      </c>
      <c r="G122">
        <v>11</v>
      </c>
      <c r="H122">
        <f>INT(AVERAGE(9,11))</f>
        <v>10</v>
      </c>
      <c r="I122">
        <v>15</v>
      </c>
      <c r="K122">
        <f>INT(AVERAGE(12,12,14))</f>
        <v>12</v>
      </c>
      <c r="L122">
        <v>10</v>
      </c>
      <c r="M122">
        <f>INT(AVERAGE(15,17))</f>
        <v>16</v>
      </c>
      <c r="N122">
        <f>INT(AVERAGE(8,11))</f>
        <v>9</v>
      </c>
      <c r="O122">
        <f>INT(AVERAGE(8,11))</f>
        <v>9</v>
      </c>
      <c r="P122">
        <v>12</v>
      </c>
      <c r="Q122">
        <v>23</v>
      </c>
      <c r="R122">
        <v>13</v>
      </c>
      <c r="S122">
        <f>INT(AVERAGE(8,12))</f>
        <v>10</v>
      </c>
      <c r="T122">
        <v>10</v>
      </c>
      <c r="U122">
        <v>12</v>
      </c>
      <c r="V122">
        <v>13</v>
      </c>
      <c r="W122">
        <v>18</v>
      </c>
      <c r="X122">
        <v>16</v>
      </c>
      <c r="Y122">
        <v>11</v>
      </c>
      <c r="Z122">
        <v>16</v>
      </c>
      <c r="AA122">
        <v>16</v>
      </c>
      <c r="AB122">
        <v>14</v>
      </c>
    </row>
    <row r="123" spans="1:28" ht="8.1" customHeight="1">
      <c r="A123" t="s">
        <v>5279</v>
      </c>
      <c r="B123">
        <v>1</v>
      </c>
      <c r="C123">
        <v>1</v>
      </c>
      <c r="D123">
        <v>3</v>
      </c>
      <c r="F123">
        <v>2</v>
      </c>
      <c r="G123">
        <v>2</v>
      </c>
      <c r="H123">
        <v>3</v>
      </c>
      <c r="I123">
        <v>1</v>
      </c>
      <c r="K123">
        <v>4</v>
      </c>
      <c r="L123">
        <v>3</v>
      </c>
      <c r="M123">
        <v>3</v>
      </c>
      <c r="N123">
        <v>4</v>
      </c>
      <c r="O123">
        <v>4</v>
      </c>
      <c r="P123">
        <v>3</v>
      </c>
      <c r="Q123">
        <v>2</v>
      </c>
      <c r="R123">
        <v>4</v>
      </c>
      <c r="S123">
        <v>4</v>
      </c>
      <c r="T123">
        <v>3</v>
      </c>
      <c r="U123">
        <v>4</v>
      </c>
      <c r="V123">
        <v>3</v>
      </c>
      <c r="W123">
        <v>3</v>
      </c>
      <c r="X123">
        <v>3</v>
      </c>
      <c r="Y123">
        <v>3</v>
      </c>
      <c r="Z123">
        <v>3</v>
      </c>
      <c r="AA123">
        <v>2</v>
      </c>
      <c r="AB123">
        <v>3</v>
      </c>
    </row>
    <row r="124" spans="1:28" ht="8.1" customHeight="1">
      <c r="A124" t="s">
        <v>3750</v>
      </c>
      <c r="B124">
        <v>0.5</v>
      </c>
      <c r="C124">
        <v>0.5</v>
      </c>
      <c r="D124">
        <v>1</v>
      </c>
      <c r="F124">
        <v>1.5</v>
      </c>
      <c r="G124">
        <v>1.4</v>
      </c>
      <c r="H124">
        <v>1.9</v>
      </c>
      <c r="I124">
        <v>1</v>
      </c>
      <c r="K124">
        <f>AVERAGE(2.9,3.4)</f>
        <v>3.15</v>
      </c>
      <c r="L124">
        <v>2</v>
      </c>
      <c r="M124">
        <v>3</v>
      </c>
      <c r="N124">
        <v>2.9</v>
      </c>
      <c r="O124">
        <v>2.9</v>
      </c>
      <c r="P124">
        <v>2.2000000000000002</v>
      </c>
      <c r="Q124">
        <v>2.1</v>
      </c>
      <c r="R124">
        <v>3.3</v>
      </c>
      <c r="S124">
        <v>2.9</v>
      </c>
      <c r="T124">
        <v>2.5</v>
      </c>
      <c r="U124">
        <v>3.8</v>
      </c>
      <c r="V124">
        <v>2.7</v>
      </c>
      <c r="W124">
        <v>2.9</v>
      </c>
      <c r="X124">
        <v>2.5</v>
      </c>
      <c r="Y124">
        <v>2.2000000000000002</v>
      </c>
      <c r="Z124">
        <v>3</v>
      </c>
      <c r="AA124">
        <v>0.8</v>
      </c>
      <c r="AB124">
        <v>2.5</v>
      </c>
    </row>
    <row r="125" spans="1:28" ht="8.1" customHeight="1">
      <c r="A125" t="s">
        <v>5280</v>
      </c>
      <c r="B125">
        <v>3</v>
      </c>
      <c r="C125">
        <v>3</v>
      </c>
      <c r="D125">
        <v>6</v>
      </c>
      <c r="F125">
        <v>4</v>
      </c>
      <c r="G125">
        <v>5</v>
      </c>
      <c r="H125">
        <v>6</v>
      </c>
      <c r="I125">
        <v>4</v>
      </c>
      <c r="K125">
        <v>6</v>
      </c>
      <c r="L125">
        <v>5</v>
      </c>
      <c r="M125">
        <v>6</v>
      </c>
      <c r="N125">
        <v>6</v>
      </c>
      <c r="O125">
        <v>6</v>
      </c>
      <c r="P125">
        <v>5</v>
      </c>
      <c r="Q125">
        <v>25</v>
      </c>
      <c r="R125">
        <v>7</v>
      </c>
      <c r="S125">
        <v>6</v>
      </c>
      <c r="T125">
        <v>6</v>
      </c>
      <c r="U125">
        <v>8</v>
      </c>
      <c r="V125">
        <v>6</v>
      </c>
      <c r="W125">
        <v>5</v>
      </c>
      <c r="X125">
        <v>6</v>
      </c>
      <c r="Y125">
        <v>6</v>
      </c>
      <c r="Z125">
        <v>7</v>
      </c>
      <c r="AA125">
        <v>3</v>
      </c>
      <c r="AB125">
        <v>6</v>
      </c>
    </row>
    <row r="126" spans="1:28" ht="8.1" customHeight="1">
      <c r="A126" t="s">
        <v>3751</v>
      </c>
      <c r="B126">
        <v>1</v>
      </c>
      <c r="C126">
        <v>1</v>
      </c>
      <c r="D126">
        <v>3.2</v>
      </c>
      <c r="F126">
        <v>3.1</v>
      </c>
      <c r="G126">
        <v>3</v>
      </c>
      <c r="H126">
        <v>3.8</v>
      </c>
      <c r="I126">
        <v>4.5</v>
      </c>
      <c r="K126">
        <f>AVERAGE(4.4,5.2)</f>
        <v>4.8000000000000007</v>
      </c>
      <c r="L126">
        <v>3.4</v>
      </c>
      <c r="M126">
        <v>6</v>
      </c>
      <c r="N126">
        <v>4.4000000000000004</v>
      </c>
      <c r="O126">
        <v>4.4000000000000004</v>
      </c>
      <c r="P126">
        <v>3.6</v>
      </c>
      <c r="Q126">
        <v>30</v>
      </c>
      <c r="R126">
        <v>5.7</v>
      </c>
      <c r="S126">
        <v>4.4000000000000004</v>
      </c>
      <c r="T126">
        <v>5.4</v>
      </c>
      <c r="U126">
        <v>7.6</v>
      </c>
      <c r="V126">
        <v>5.5</v>
      </c>
      <c r="W126">
        <v>4.8</v>
      </c>
      <c r="X126">
        <v>5</v>
      </c>
      <c r="Y126">
        <v>4.4000000000000004</v>
      </c>
      <c r="Z126">
        <v>7</v>
      </c>
      <c r="AA126">
        <v>1.5</v>
      </c>
      <c r="AB126">
        <v>5</v>
      </c>
    </row>
    <row r="127" spans="1:28" ht="8.1" customHeight="1">
      <c r="A127" t="s">
        <v>5281</v>
      </c>
      <c r="B127">
        <v>5</v>
      </c>
      <c r="C127">
        <v>5</v>
      </c>
      <c r="D127">
        <v>12</v>
      </c>
      <c r="F127">
        <v>6</v>
      </c>
      <c r="G127">
        <v>10</v>
      </c>
      <c r="H127">
        <v>12</v>
      </c>
      <c r="I127">
        <v>25</v>
      </c>
      <c r="K127">
        <f>INT(AVERAGE(15,18,18))</f>
        <v>17</v>
      </c>
      <c r="L127">
        <v>12</v>
      </c>
      <c r="M127">
        <v>12</v>
      </c>
      <c r="N127">
        <v>24</v>
      </c>
      <c r="O127">
        <v>27</v>
      </c>
      <c r="P127">
        <v>8</v>
      </c>
      <c r="Q127">
        <v>65</v>
      </c>
      <c r="R127">
        <v>24</v>
      </c>
      <c r="S127">
        <v>27</v>
      </c>
      <c r="T127">
        <v>15</v>
      </c>
      <c r="U127">
        <v>27</v>
      </c>
      <c r="V127">
        <v>16</v>
      </c>
      <c r="W127">
        <v>8</v>
      </c>
      <c r="X127">
        <v>16</v>
      </c>
      <c r="Y127">
        <v>18</v>
      </c>
      <c r="Z127">
        <v>24</v>
      </c>
      <c r="AA127">
        <v>6</v>
      </c>
      <c r="AB127">
        <v>12</v>
      </c>
    </row>
    <row r="128" spans="1:28" ht="8.1" customHeight="1">
      <c r="A128" t="s">
        <v>3752</v>
      </c>
      <c r="B128">
        <v>3</v>
      </c>
      <c r="C128">
        <v>3</v>
      </c>
      <c r="D128">
        <v>10.3</v>
      </c>
      <c r="F128">
        <v>6</v>
      </c>
      <c r="G128">
        <v>9.8000000000000007</v>
      </c>
      <c r="H128">
        <v>10.4</v>
      </c>
      <c r="I128">
        <v>22.7</v>
      </c>
      <c r="K128">
        <f>AVERAGE(18,19.6)</f>
        <v>18.8</v>
      </c>
      <c r="L128">
        <v>10.8</v>
      </c>
      <c r="M128">
        <v>14.7</v>
      </c>
      <c r="N128">
        <v>22.9</v>
      </c>
      <c r="O128">
        <v>25.8</v>
      </c>
      <c r="P128">
        <v>7.3</v>
      </c>
      <c r="Q128">
        <v>88</v>
      </c>
      <c r="R128">
        <v>25.1</v>
      </c>
      <c r="S128">
        <v>27</v>
      </c>
      <c r="T128">
        <v>17</v>
      </c>
      <c r="U128">
        <v>31.9</v>
      </c>
      <c r="V128">
        <v>16.7</v>
      </c>
      <c r="W128">
        <v>9.5</v>
      </c>
      <c r="X128">
        <v>16.7</v>
      </c>
      <c r="Y128">
        <v>18.3</v>
      </c>
      <c r="Z128">
        <v>28</v>
      </c>
      <c r="AA128">
        <v>3.1</v>
      </c>
      <c r="AB128">
        <v>10.1</v>
      </c>
    </row>
    <row r="129" spans="1:28" ht="8.1" customHeight="1">
      <c r="A129" t="s">
        <v>3748</v>
      </c>
      <c r="B129">
        <v>6</v>
      </c>
      <c r="C129">
        <v>7</v>
      </c>
      <c r="D129">
        <v>3</v>
      </c>
      <c r="F129">
        <v>0</v>
      </c>
      <c r="G129">
        <v>0.75</v>
      </c>
      <c r="H129">
        <v>3</v>
      </c>
      <c r="W129">
        <v>4</v>
      </c>
      <c r="X129">
        <v>3</v>
      </c>
    </row>
    <row r="130" spans="1:28" ht="8.1" customHeight="1">
      <c r="A130" t="s">
        <v>3749</v>
      </c>
      <c r="B130">
        <v>10</v>
      </c>
      <c r="C130">
        <v>12</v>
      </c>
      <c r="D130">
        <v>6</v>
      </c>
      <c r="F130">
        <v>0</v>
      </c>
      <c r="G130">
        <v>2</v>
      </c>
      <c r="H130">
        <v>4</v>
      </c>
      <c r="K130">
        <v>2.5</v>
      </c>
      <c r="M130">
        <v>2</v>
      </c>
      <c r="N130">
        <v>5</v>
      </c>
      <c r="O130">
        <v>8</v>
      </c>
      <c r="P130">
        <v>1</v>
      </c>
      <c r="Q130">
        <v>5</v>
      </c>
      <c r="R130">
        <v>7</v>
      </c>
      <c r="S130">
        <v>9</v>
      </c>
      <c r="T130">
        <v>2</v>
      </c>
      <c r="U130">
        <v>10</v>
      </c>
      <c r="V130">
        <v>6</v>
      </c>
      <c r="W130">
        <v>6</v>
      </c>
      <c r="X130">
        <v>8</v>
      </c>
      <c r="Y130">
        <v>5</v>
      </c>
      <c r="AA130">
        <v>0.5</v>
      </c>
      <c r="AB130">
        <v>5</v>
      </c>
    </row>
    <row r="131" spans="1:28" ht="8.1" customHeight="1" collapsed="1">
      <c r="A131" t="s">
        <v>5282</v>
      </c>
      <c r="B131">
        <v>0.1</v>
      </c>
      <c r="C131">
        <v>0.1</v>
      </c>
      <c r="D131">
        <v>0.1</v>
      </c>
      <c r="E131">
        <v>0.1</v>
      </c>
      <c r="F131">
        <v>0.05</v>
      </c>
      <c r="G131">
        <v>0</v>
      </c>
      <c r="H131">
        <v>0</v>
      </c>
      <c r="I131">
        <v>0.1</v>
      </c>
      <c r="J131">
        <v>0.1</v>
      </c>
      <c r="K131">
        <v>0.1</v>
      </c>
      <c r="L131">
        <v>0</v>
      </c>
      <c r="M131">
        <v>0.15</v>
      </c>
      <c r="N131">
        <v>0.1</v>
      </c>
      <c r="O131">
        <v>0.1</v>
      </c>
      <c r="P131">
        <v>0.1</v>
      </c>
      <c r="Q131">
        <v>0.1</v>
      </c>
      <c r="R131">
        <v>0.1</v>
      </c>
      <c r="S131">
        <v>0.1</v>
      </c>
      <c r="T131">
        <v>0.1</v>
      </c>
      <c r="U131">
        <v>0.1</v>
      </c>
      <c r="V131">
        <v>0.15</v>
      </c>
      <c r="W131">
        <v>0</v>
      </c>
      <c r="X131">
        <v>0</v>
      </c>
      <c r="Y131">
        <v>0.1</v>
      </c>
      <c r="Z131">
        <v>0.1</v>
      </c>
      <c r="AA131">
        <v>0</v>
      </c>
      <c r="AB131">
        <v>0.2</v>
      </c>
    </row>
    <row r="132" spans="1:28" ht="8.1" customHeight="1">
      <c r="A132" t="s">
        <v>3280</v>
      </c>
      <c r="B132">
        <v>0.24</v>
      </c>
      <c r="C132">
        <v>0.21</v>
      </c>
      <c r="D132">
        <v>0.15</v>
      </c>
      <c r="E132">
        <v>0</v>
      </c>
      <c r="F132">
        <v>0.12</v>
      </c>
      <c r="G132">
        <v>0.18</v>
      </c>
      <c r="H132">
        <f>INT(AVERAGE(9,12))%</f>
        <v>0.1</v>
      </c>
      <c r="I132">
        <v>0.2</v>
      </c>
      <c r="J132">
        <v>0</v>
      </c>
      <c r="K132">
        <v>0.24</v>
      </c>
      <c r="L132">
        <v>0.18</v>
      </c>
      <c r="M132">
        <v>0.39</v>
      </c>
      <c r="N132">
        <v>0.18</v>
      </c>
      <c r="O132">
        <v>0.15</v>
      </c>
      <c r="P132">
        <v>0.15</v>
      </c>
      <c r="Q132">
        <v>0.24</v>
      </c>
      <c r="R132">
        <v>0.15</v>
      </c>
      <c r="S132">
        <v>0.15</v>
      </c>
      <c r="T132">
        <f>INT(AVERAGE(18,24,27,36,6))%</f>
        <v>0.22</v>
      </c>
      <c r="U132">
        <v>0.18</v>
      </c>
      <c r="V132">
        <v>0.24</v>
      </c>
      <c r="W132">
        <v>0.33</v>
      </c>
      <c r="X132">
        <v>0.3</v>
      </c>
      <c r="Y132">
        <v>0</v>
      </c>
      <c r="Z132">
        <f>INT(AVERAGE(10,30,30,27,27))/100</f>
        <v>0.24</v>
      </c>
      <c r="AA132">
        <v>0.45</v>
      </c>
      <c r="AB132">
        <v>0.25</v>
      </c>
    </row>
    <row r="133" spans="1:28" ht="8.1" customHeight="1">
      <c r="A133" t="s">
        <v>2685</v>
      </c>
      <c r="B133">
        <f t="shared" ref="B133:AB133" si="20">B132+0.4</f>
        <v>0.64</v>
      </c>
      <c r="C133">
        <f t="shared" si="20"/>
        <v>0.61</v>
      </c>
      <c r="D133">
        <f t="shared" si="20"/>
        <v>0.55000000000000004</v>
      </c>
      <c r="E133">
        <f t="shared" si="20"/>
        <v>0.4</v>
      </c>
      <c r="F133">
        <f t="shared" si="20"/>
        <v>0.52</v>
      </c>
      <c r="G133">
        <f t="shared" si="20"/>
        <v>0.58000000000000007</v>
      </c>
      <c r="H133">
        <f t="shared" si="20"/>
        <v>0.5</v>
      </c>
      <c r="I133">
        <f t="shared" si="20"/>
        <v>0.60000000000000009</v>
      </c>
      <c r="J133">
        <f t="shared" si="20"/>
        <v>0.4</v>
      </c>
      <c r="K133">
        <f t="shared" si="20"/>
        <v>0.64</v>
      </c>
      <c r="L133">
        <f t="shared" si="20"/>
        <v>0.58000000000000007</v>
      </c>
      <c r="M133">
        <f t="shared" si="20"/>
        <v>0.79</v>
      </c>
      <c r="N133">
        <f t="shared" si="20"/>
        <v>0.58000000000000007</v>
      </c>
      <c r="O133">
        <f t="shared" si="20"/>
        <v>0.55000000000000004</v>
      </c>
      <c r="P133">
        <f t="shared" si="20"/>
        <v>0.55000000000000004</v>
      </c>
      <c r="Q133">
        <f t="shared" si="20"/>
        <v>0.64</v>
      </c>
      <c r="R133">
        <f t="shared" si="20"/>
        <v>0.55000000000000004</v>
      </c>
      <c r="S133">
        <f t="shared" si="20"/>
        <v>0.55000000000000004</v>
      </c>
      <c r="T133">
        <f t="shared" si="20"/>
        <v>0.62</v>
      </c>
      <c r="U133">
        <f t="shared" si="20"/>
        <v>0.58000000000000007</v>
      </c>
      <c r="V133">
        <f t="shared" si="20"/>
        <v>0.64</v>
      </c>
      <c r="W133">
        <f t="shared" si="20"/>
        <v>0.73</v>
      </c>
      <c r="X133">
        <f t="shared" si="20"/>
        <v>0.7</v>
      </c>
      <c r="Y133">
        <f t="shared" si="20"/>
        <v>0.4</v>
      </c>
      <c r="Z133">
        <f t="shared" si="20"/>
        <v>0.64</v>
      </c>
      <c r="AA133">
        <f t="shared" si="20"/>
        <v>0.85000000000000009</v>
      </c>
      <c r="AB133">
        <f t="shared" si="20"/>
        <v>0.65</v>
      </c>
    </row>
    <row r="134" spans="1:28" ht="8.1" customHeight="1">
      <c r="A134" t="s">
        <v>2686</v>
      </c>
      <c r="B134">
        <v>0</v>
      </c>
      <c r="C134">
        <v>0</v>
      </c>
      <c r="D134">
        <v>0.03</v>
      </c>
      <c r="E134">
        <v>0</v>
      </c>
      <c r="F134">
        <v>0.14000000000000001</v>
      </c>
      <c r="G134">
        <v>0.03</v>
      </c>
      <c r="H134">
        <v>0.09</v>
      </c>
      <c r="I134">
        <v>0</v>
      </c>
      <c r="J134">
        <v>0</v>
      </c>
      <c r="K134">
        <f>INT(AVERAGE(0,0,9))/100</f>
        <v>0.03</v>
      </c>
      <c r="L134">
        <v>0</v>
      </c>
      <c r="M134">
        <f>INT(AVERAGE(9,3))%</f>
        <v>0.06</v>
      </c>
      <c r="N134">
        <v>0.1</v>
      </c>
      <c r="O134">
        <v>0.12</v>
      </c>
      <c r="P134">
        <v>0.05</v>
      </c>
      <c r="Q134">
        <v>0.03</v>
      </c>
      <c r="R134">
        <v>0.18</v>
      </c>
      <c r="S134">
        <v>0.18</v>
      </c>
      <c r="T134">
        <f>INT(AVERAGE(0,3,3,15,21))%</f>
        <v>0.08</v>
      </c>
      <c r="U134">
        <v>0.24</v>
      </c>
      <c r="V134">
        <v>0.4</v>
      </c>
      <c r="W134">
        <v>0.2</v>
      </c>
      <c r="X134">
        <v>0.18</v>
      </c>
      <c r="Y134">
        <v>0.31</v>
      </c>
      <c r="Z134">
        <f>INT(AVERAGE(34,21,21,24,24))/100</f>
        <v>0.24</v>
      </c>
      <c r="AA134">
        <v>0.03</v>
      </c>
      <c r="AB134">
        <v>0.06</v>
      </c>
    </row>
    <row r="135" spans="1:28" ht="8.1" customHeight="1">
      <c r="A135" t="s">
        <v>2687</v>
      </c>
      <c r="B135">
        <f t="shared" ref="B135:AB135" si="21">B134+0.4</f>
        <v>0.4</v>
      </c>
      <c r="C135">
        <f t="shared" si="21"/>
        <v>0.4</v>
      </c>
      <c r="D135">
        <f t="shared" si="21"/>
        <v>0.43000000000000005</v>
      </c>
      <c r="E135">
        <f t="shared" si="21"/>
        <v>0.4</v>
      </c>
      <c r="F135">
        <f t="shared" si="21"/>
        <v>0.54</v>
      </c>
      <c r="G135">
        <f t="shared" si="21"/>
        <v>0.43000000000000005</v>
      </c>
      <c r="H135">
        <f t="shared" si="21"/>
        <v>0.49</v>
      </c>
      <c r="I135">
        <f t="shared" si="21"/>
        <v>0.4</v>
      </c>
      <c r="J135">
        <f t="shared" si="21"/>
        <v>0.4</v>
      </c>
      <c r="K135">
        <f t="shared" si="21"/>
        <v>0.43000000000000005</v>
      </c>
      <c r="L135">
        <f t="shared" si="21"/>
        <v>0.4</v>
      </c>
      <c r="M135">
        <f t="shared" si="21"/>
        <v>0.46</v>
      </c>
      <c r="N135">
        <f t="shared" si="21"/>
        <v>0.5</v>
      </c>
      <c r="O135">
        <f t="shared" si="21"/>
        <v>0.52</v>
      </c>
      <c r="P135">
        <f t="shared" si="21"/>
        <v>0.45</v>
      </c>
      <c r="Q135">
        <f t="shared" si="21"/>
        <v>0.43000000000000005</v>
      </c>
      <c r="R135">
        <f t="shared" si="21"/>
        <v>0.58000000000000007</v>
      </c>
      <c r="S135">
        <f t="shared" si="21"/>
        <v>0.58000000000000007</v>
      </c>
      <c r="T135">
        <f t="shared" si="21"/>
        <v>0.48000000000000004</v>
      </c>
      <c r="U135">
        <f t="shared" si="21"/>
        <v>0.64</v>
      </c>
      <c r="V135">
        <f t="shared" si="21"/>
        <v>0.8</v>
      </c>
      <c r="W135">
        <f t="shared" si="21"/>
        <v>0.60000000000000009</v>
      </c>
      <c r="X135">
        <f t="shared" si="21"/>
        <v>0.58000000000000007</v>
      </c>
      <c r="Y135">
        <f t="shared" si="21"/>
        <v>0.71</v>
      </c>
      <c r="Z135">
        <f t="shared" si="21"/>
        <v>0.64</v>
      </c>
      <c r="AA135">
        <f t="shared" si="21"/>
        <v>0.43000000000000005</v>
      </c>
      <c r="AB135">
        <f t="shared" si="21"/>
        <v>0.46</v>
      </c>
    </row>
    <row r="136" spans="1:28" ht="8.1" customHeight="1">
      <c r="A136" t="s">
        <v>2688</v>
      </c>
      <c r="B136">
        <v>0</v>
      </c>
      <c r="C136">
        <v>0</v>
      </c>
      <c r="D136">
        <v>0.03</v>
      </c>
      <c r="E136">
        <v>0</v>
      </c>
      <c r="F136">
        <v>0.16</v>
      </c>
      <c r="G136">
        <v>0.01</v>
      </c>
      <c r="H136">
        <v>0.09</v>
      </c>
      <c r="I136">
        <v>0.03</v>
      </c>
      <c r="J136">
        <v>0</v>
      </c>
      <c r="K136">
        <f>INT(AVERAGE(3,3,12))/100</f>
        <v>0.06</v>
      </c>
      <c r="L136">
        <v>0.03</v>
      </c>
      <c r="M136">
        <v>0.18</v>
      </c>
      <c r="N136">
        <v>0.15</v>
      </c>
      <c r="O136">
        <v>0.15</v>
      </c>
      <c r="P136">
        <v>0.03</v>
      </c>
      <c r="Q136">
        <v>0.06</v>
      </c>
      <c r="R136">
        <v>0.15</v>
      </c>
      <c r="S136">
        <v>0.15</v>
      </c>
      <c r="T136">
        <f>INT(AVERAGE(3,6,6,18,21))%</f>
        <v>0.1</v>
      </c>
      <c r="U136">
        <v>0.21</v>
      </c>
      <c r="V136">
        <v>0.33</v>
      </c>
      <c r="W136">
        <v>0.12</v>
      </c>
      <c r="X136">
        <v>0.14000000000000001</v>
      </c>
      <c r="Y136">
        <v>0.21</v>
      </c>
      <c r="Z136">
        <f>INT(AVERAGE(24,18,18,21,21))/100</f>
        <v>0.2</v>
      </c>
      <c r="AA136">
        <v>0.13</v>
      </c>
      <c r="AB136">
        <v>0.2</v>
      </c>
    </row>
    <row r="137" spans="1:28" ht="8.1" customHeight="1">
      <c r="A137" t="s">
        <v>2689</v>
      </c>
      <c r="B137">
        <f t="shared" ref="B137:AB137" si="22">B136+0.4</f>
        <v>0.4</v>
      </c>
      <c r="C137">
        <f t="shared" si="22"/>
        <v>0.4</v>
      </c>
      <c r="D137">
        <f t="shared" si="22"/>
        <v>0.43000000000000005</v>
      </c>
      <c r="E137">
        <f t="shared" si="22"/>
        <v>0.4</v>
      </c>
      <c r="F137">
        <f t="shared" si="22"/>
        <v>0.56000000000000005</v>
      </c>
      <c r="G137">
        <f t="shared" si="22"/>
        <v>0.41000000000000003</v>
      </c>
      <c r="H137">
        <f t="shared" si="22"/>
        <v>0.49</v>
      </c>
      <c r="I137">
        <f t="shared" si="22"/>
        <v>0.43000000000000005</v>
      </c>
      <c r="J137">
        <f t="shared" si="22"/>
        <v>0.4</v>
      </c>
      <c r="K137">
        <f t="shared" si="22"/>
        <v>0.46</v>
      </c>
      <c r="L137">
        <f t="shared" si="22"/>
        <v>0.43000000000000005</v>
      </c>
      <c r="M137">
        <f t="shared" si="22"/>
        <v>0.58000000000000007</v>
      </c>
      <c r="N137">
        <f t="shared" si="22"/>
        <v>0.55000000000000004</v>
      </c>
      <c r="O137">
        <f t="shared" si="22"/>
        <v>0.55000000000000004</v>
      </c>
      <c r="P137">
        <f t="shared" si="22"/>
        <v>0.43000000000000005</v>
      </c>
      <c r="Q137">
        <f t="shared" si="22"/>
        <v>0.46</v>
      </c>
      <c r="R137">
        <f t="shared" si="22"/>
        <v>0.55000000000000004</v>
      </c>
      <c r="S137">
        <f t="shared" si="22"/>
        <v>0.55000000000000004</v>
      </c>
      <c r="T137">
        <f t="shared" si="22"/>
        <v>0.5</v>
      </c>
      <c r="U137">
        <f t="shared" si="22"/>
        <v>0.61</v>
      </c>
      <c r="V137">
        <f t="shared" si="22"/>
        <v>0.73</v>
      </c>
      <c r="W137">
        <f t="shared" si="22"/>
        <v>0.52</v>
      </c>
      <c r="X137">
        <f t="shared" si="22"/>
        <v>0.54</v>
      </c>
      <c r="Y137">
        <f t="shared" si="22"/>
        <v>0.61</v>
      </c>
      <c r="Z137">
        <f t="shared" si="22"/>
        <v>0.60000000000000009</v>
      </c>
      <c r="AA137">
        <f t="shared" si="22"/>
        <v>0.53</v>
      </c>
      <c r="AB137">
        <f t="shared" si="22"/>
        <v>0.60000000000000009</v>
      </c>
    </row>
    <row r="138" spans="1:28" ht="8.1" customHeight="1">
      <c r="A138" t="s">
        <v>2690</v>
      </c>
      <c r="B138">
        <v>0.33</v>
      </c>
      <c r="C138">
        <v>0.33</v>
      </c>
      <c r="D138">
        <v>0.18</v>
      </c>
      <c r="F138">
        <v>0.18</v>
      </c>
      <c r="G138">
        <v>0.18</v>
      </c>
      <c r="H138">
        <v>0.21</v>
      </c>
      <c r="I138">
        <v>0.45</v>
      </c>
      <c r="K138">
        <v>0.33</v>
      </c>
      <c r="L138">
        <v>0.33</v>
      </c>
      <c r="M138">
        <v>0.33</v>
      </c>
      <c r="N138">
        <v>0.21</v>
      </c>
      <c r="O138">
        <v>0.21</v>
      </c>
      <c r="P138">
        <v>0.2</v>
      </c>
      <c r="Q138">
        <v>0.53</v>
      </c>
      <c r="R138">
        <v>0.33</v>
      </c>
      <c r="S138">
        <v>0.21</v>
      </c>
      <c r="T138">
        <v>0.24</v>
      </c>
      <c r="U138">
        <v>0.27</v>
      </c>
      <c r="V138">
        <v>0.21</v>
      </c>
      <c r="W138">
        <v>0.1</v>
      </c>
      <c r="X138">
        <v>0.24</v>
      </c>
      <c r="Y138">
        <v>0.12</v>
      </c>
      <c r="Z138">
        <f>INT(AVERAGE(33,33,36,36))/100</f>
        <v>0.34</v>
      </c>
      <c r="AA138">
        <v>0.4</v>
      </c>
      <c r="AB138">
        <v>0.22</v>
      </c>
    </row>
    <row r="139" spans="1:28" ht="8.1" customHeight="1">
      <c r="A139" t="s">
        <v>2691</v>
      </c>
      <c r="B139">
        <f t="shared" ref="B139:AB139" si="23">B138+0.07</f>
        <v>0.4</v>
      </c>
      <c r="C139">
        <f t="shared" si="23"/>
        <v>0.4</v>
      </c>
      <c r="D139">
        <f t="shared" si="23"/>
        <v>0.25</v>
      </c>
      <c r="E139">
        <f t="shared" si="23"/>
        <v>7.0000000000000007E-2</v>
      </c>
      <c r="F139">
        <f t="shared" si="23"/>
        <v>0.25</v>
      </c>
      <c r="G139">
        <f t="shared" si="23"/>
        <v>0.25</v>
      </c>
      <c r="H139">
        <f t="shared" si="23"/>
        <v>0.28000000000000003</v>
      </c>
      <c r="I139">
        <f t="shared" si="23"/>
        <v>0.52</v>
      </c>
      <c r="J139">
        <f t="shared" si="23"/>
        <v>7.0000000000000007E-2</v>
      </c>
      <c r="K139">
        <f t="shared" si="23"/>
        <v>0.4</v>
      </c>
      <c r="L139">
        <f t="shared" si="23"/>
        <v>0.4</v>
      </c>
      <c r="M139">
        <f t="shared" si="23"/>
        <v>0.4</v>
      </c>
      <c r="N139">
        <f t="shared" si="23"/>
        <v>0.28000000000000003</v>
      </c>
      <c r="O139">
        <f t="shared" si="23"/>
        <v>0.28000000000000003</v>
      </c>
      <c r="P139">
        <f t="shared" si="23"/>
        <v>0.27</v>
      </c>
      <c r="Q139">
        <f t="shared" si="23"/>
        <v>0.60000000000000009</v>
      </c>
      <c r="R139">
        <f t="shared" si="23"/>
        <v>0.4</v>
      </c>
      <c r="S139">
        <f t="shared" si="23"/>
        <v>0.28000000000000003</v>
      </c>
      <c r="T139">
        <f t="shared" si="23"/>
        <v>0.31</v>
      </c>
      <c r="U139">
        <f t="shared" si="23"/>
        <v>0.34</v>
      </c>
      <c r="V139">
        <f t="shared" si="23"/>
        <v>0.28000000000000003</v>
      </c>
      <c r="W139">
        <f t="shared" si="23"/>
        <v>0.17</v>
      </c>
      <c r="X139">
        <f t="shared" si="23"/>
        <v>0.31</v>
      </c>
      <c r="Y139">
        <f t="shared" si="23"/>
        <v>0.19</v>
      </c>
      <c r="Z139">
        <f t="shared" si="23"/>
        <v>0.41000000000000003</v>
      </c>
      <c r="AA139">
        <f t="shared" si="23"/>
        <v>0.47000000000000003</v>
      </c>
      <c r="AB139">
        <f t="shared" si="23"/>
        <v>0.29000000000000004</v>
      </c>
    </row>
    <row r="140" spans="1:28" ht="8.1" customHeight="1">
      <c r="A140" t="s">
        <v>2692</v>
      </c>
      <c r="B140">
        <v>0.18</v>
      </c>
      <c r="C140">
        <v>0.18</v>
      </c>
      <c r="D140">
        <v>0.33</v>
      </c>
      <c r="F140">
        <v>0.24</v>
      </c>
      <c r="G140">
        <v>0.33</v>
      </c>
      <c r="H140">
        <v>0.39</v>
      </c>
      <c r="I140">
        <v>0.12</v>
      </c>
      <c r="K140">
        <v>0.33</v>
      </c>
      <c r="L140">
        <v>0.24</v>
      </c>
      <c r="M140">
        <v>0.24</v>
      </c>
      <c r="N140">
        <v>0.33</v>
      </c>
      <c r="O140">
        <v>0.33</v>
      </c>
      <c r="P140">
        <v>0.2</v>
      </c>
      <c r="Q140">
        <v>0.12</v>
      </c>
      <c r="R140">
        <v>0.36</v>
      </c>
      <c r="S140">
        <v>0.33</v>
      </c>
      <c r="T140">
        <v>0.24</v>
      </c>
      <c r="U140">
        <v>0.3</v>
      </c>
      <c r="V140">
        <v>0.27</v>
      </c>
      <c r="W140">
        <v>0.2</v>
      </c>
      <c r="X140">
        <v>0.18</v>
      </c>
      <c r="Y140">
        <v>0.18</v>
      </c>
      <c r="Z140">
        <f>INT(AVERAGE(27,30,30,30))/100</f>
        <v>0.28999999999999998</v>
      </c>
      <c r="AA140">
        <v>0.3</v>
      </c>
      <c r="AB140">
        <v>0.16</v>
      </c>
    </row>
    <row r="141" spans="1:28" ht="8.1" customHeight="1">
      <c r="A141" t="s">
        <v>2693</v>
      </c>
      <c r="B141">
        <f t="shared" ref="B141:AB141" si="24">B140+0.07</f>
        <v>0.25</v>
      </c>
      <c r="C141">
        <f t="shared" si="24"/>
        <v>0.25</v>
      </c>
      <c r="D141">
        <f t="shared" si="24"/>
        <v>0.4</v>
      </c>
      <c r="E141">
        <f t="shared" si="24"/>
        <v>7.0000000000000007E-2</v>
      </c>
      <c r="F141">
        <f t="shared" si="24"/>
        <v>0.31</v>
      </c>
      <c r="G141">
        <f t="shared" si="24"/>
        <v>0.4</v>
      </c>
      <c r="H141">
        <f t="shared" si="24"/>
        <v>0.46</v>
      </c>
      <c r="I141">
        <f t="shared" si="24"/>
        <v>0.19</v>
      </c>
      <c r="J141">
        <f t="shared" si="24"/>
        <v>7.0000000000000007E-2</v>
      </c>
      <c r="K141">
        <f t="shared" si="24"/>
        <v>0.4</v>
      </c>
      <c r="L141">
        <f t="shared" si="24"/>
        <v>0.31</v>
      </c>
      <c r="M141">
        <f t="shared" si="24"/>
        <v>0.31</v>
      </c>
      <c r="N141">
        <f t="shared" si="24"/>
        <v>0.4</v>
      </c>
      <c r="O141">
        <f t="shared" si="24"/>
        <v>0.4</v>
      </c>
      <c r="P141">
        <f t="shared" si="24"/>
        <v>0.27</v>
      </c>
      <c r="Q141">
        <f t="shared" si="24"/>
        <v>0.19</v>
      </c>
      <c r="R141">
        <f t="shared" si="24"/>
        <v>0.43</v>
      </c>
      <c r="S141">
        <f t="shared" si="24"/>
        <v>0.4</v>
      </c>
      <c r="T141">
        <f t="shared" si="24"/>
        <v>0.31</v>
      </c>
      <c r="U141">
        <f t="shared" si="24"/>
        <v>0.37</v>
      </c>
      <c r="V141">
        <f t="shared" si="24"/>
        <v>0.34</v>
      </c>
      <c r="W141">
        <f t="shared" si="24"/>
        <v>0.27</v>
      </c>
      <c r="X141">
        <f t="shared" si="24"/>
        <v>0.25</v>
      </c>
      <c r="Y141">
        <f t="shared" si="24"/>
        <v>0.25</v>
      </c>
      <c r="Z141">
        <f t="shared" si="24"/>
        <v>0.36</v>
      </c>
      <c r="AA141">
        <f t="shared" si="24"/>
        <v>0.37</v>
      </c>
      <c r="AB141">
        <f t="shared" si="24"/>
        <v>0.23</v>
      </c>
    </row>
    <row r="142" spans="1:28" ht="8.1" customHeight="1">
      <c r="A142" t="s">
        <v>2695</v>
      </c>
      <c r="B142">
        <v>0.12</v>
      </c>
      <c r="C142">
        <v>0.12</v>
      </c>
      <c r="D142">
        <v>0.27</v>
      </c>
      <c r="F142">
        <v>0.21</v>
      </c>
      <c r="G142">
        <v>0.36</v>
      </c>
      <c r="H142">
        <v>0.3</v>
      </c>
      <c r="I142">
        <v>0.1</v>
      </c>
      <c r="K142">
        <v>0.12</v>
      </c>
      <c r="L142">
        <v>0.24</v>
      </c>
      <c r="M142">
        <v>0.24</v>
      </c>
      <c r="N142">
        <v>0.3</v>
      </c>
      <c r="O142">
        <v>0.3</v>
      </c>
      <c r="P142">
        <v>0.1</v>
      </c>
      <c r="Q142">
        <v>0.1</v>
      </c>
      <c r="R142">
        <v>0.33</v>
      </c>
      <c r="S142">
        <v>0.3</v>
      </c>
      <c r="T142">
        <v>0.24</v>
      </c>
      <c r="U142">
        <v>0.36</v>
      </c>
      <c r="V142">
        <v>0.27</v>
      </c>
      <c r="W142">
        <v>0.18</v>
      </c>
      <c r="X142">
        <v>0.24</v>
      </c>
      <c r="Y142">
        <v>0.32</v>
      </c>
      <c r="Z142">
        <v>0.16</v>
      </c>
      <c r="AA142">
        <v>0.25</v>
      </c>
      <c r="AB142">
        <v>0.19</v>
      </c>
    </row>
    <row r="143" spans="1:28" ht="8.1" customHeight="1">
      <c r="A143" t="s">
        <v>2694</v>
      </c>
      <c r="B143">
        <f t="shared" ref="B143:AB143" si="25">B142+0.07</f>
        <v>0.19</v>
      </c>
      <c r="C143">
        <f t="shared" si="25"/>
        <v>0.19</v>
      </c>
      <c r="D143">
        <f t="shared" si="25"/>
        <v>0.34</v>
      </c>
      <c r="E143">
        <f t="shared" si="25"/>
        <v>7.0000000000000007E-2</v>
      </c>
      <c r="F143">
        <f t="shared" si="25"/>
        <v>0.28000000000000003</v>
      </c>
      <c r="G143">
        <f t="shared" si="25"/>
        <v>0.43</v>
      </c>
      <c r="H143">
        <f t="shared" si="25"/>
        <v>0.37</v>
      </c>
      <c r="I143">
        <f t="shared" si="25"/>
        <v>0.17</v>
      </c>
      <c r="J143">
        <f t="shared" si="25"/>
        <v>7.0000000000000007E-2</v>
      </c>
      <c r="K143">
        <f t="shared" si="25"/>
        <v>0.19</v>
      </c>
      <c r="L143">
        <f t="shared" si="25"/>
        <v>0.31</v>
      </c>
      <c r="M143">
        <f t="shared" si="25"/>
        <v>0.31</v>
      </c>
      <c r="N143">
        <f t="shared" si="25"/>
        <v>0.37</v>
      </c>
      <c r="O143">
        <f t="shared" si="25"/>
        <v>0.37</v>
      </c>
      <c r="P143">
        <f t="shared" si="25"/>
        <v>0.17</v>
      </c>
      <c r="Q143">
        <f t="shared" si="25"/>
        <v>0.17</v>
      </c>
      <c r="R143">
        <f t="shared" si="25"/>
        <v>0.4</v>
      </c>
      <c r="S143">
        <f t="shared" si="25"/>
        <v>0.37</v>
      </c>
      <c r="T143">
        <f t="shared" si="25"/>
        <v>0.31</v>
      </c>
      <c r="U143">
        <f t="shared" si="25"/>
        <v>0.43</v>
      </c>
      <c r="V143">
        <f t="shared" si="25"/>
        <v>0.34</v>
      </c>
      <c r="W143">
        <f t="shared" si="25"/>
        <v>0.25</v>
      </c>
      <c r="X143">
        <f t="shared" si="25"/>
        <v>0.31</v>
      </c>
      <c r="Y143">
        <f t="shared" si="25"/>
        <v>0.39</v>
      </c>
      <c r="Z143">
        <f t="shared" si="25"/>
        <v>0.23</v>
      </c>
      <c r="AA143">
        <f t="shared" si="25"/>
        <v>0.32</v>
      </c>
      <c r="AB143">
        <f t="shared" si="25"/>
        <v>0.26</v>
      </c>
    </row>
    <row r="144" spans="1:28" ht="8.1" customHeight="1" collapsed="1">
      <c r="A144" t="s">
        <v>2696</v>
      </c>
      <c r="B144">
        <v>0.09</v>
      </c>
      <c r="C144">
        <v>0.09</v>
      </c>
      <c r="D144">
        <v>0.18</v>
      </c>
      <c r="E144">
        <v>0</v>
      </c>
      <c r="F144">
        <v>0.27</v>
      </c>
      <c r="G144">
        <v>0.03</v>
      </c>
      <c r="H144">
        <v>0.09</v>
      </c>
      <c r="I144">
        <v>0.03</v>
      </c>
      <c r="J144">
        <v>0</v>
      </c>
      <c r="K144">
        <f>INT(AVERAGE(9,9,15))/100</f>
        <v>0.11</v>
      </c>
      <c r="L144">
        <v>0.18</v>
      </c>
      <c r="M144">
        <f>INT(AVERAGE(20,30))%</f>
        <v>0.25</v>
      </c>
      <c r="N144">
        <v>0.1</v>
      </c>
      <c r="O144">
        <v>0.15</v>
      </c>
      <c r="P144">
        <v>0</v>
      </c>
      <c r="Q144">
        <v>0.1</v>
      </c>
      <c r="R144">
        <v>0.15</v>
      </c>
      <c r="S144">
        <v>0.24</v>
      </c>
      <c r="T144">
        <f>INT(AVERAGE(18,24,24,30,33))%</f>
        <v>0.25</v>
      </c>
      <c r="U144">
        <v>0.33</v>
      </c>
      <c r="V144">
        <v>0.24</v>
      </c>
      <c r="W144">
        <v>0.06</v>
      </c>
      <c r="X144">
        <v>0.24</v>
      </c>
      <c r="Y144">
        <v>0.22</v>
      </c>
      <c r="Z144">
        <f>INT(AVERAGE(21,27,37,30,30))/100</f>
        <v>0.28999999999999998</v>
      </c>
      <c r="AA144">
        <v>0.1</v>
      </c>
      <c r="AB144">
        <v>0.19</v>
      </c>
    </row>
    <row r="145" spans="1:28" ht="8.1" customHeight="1">
      <c r="A145" t="s">
        <v>2697</v>
      </c>
      <c r="B145">
        <f t="shared" ref="B145:U145" si="26">B144+0.4</f>
        <v>0.49</v>
      </c>
      <c r="C145">
        <f t="shared" si="26"/>
        <v>0.49</v>
      </c>
      <c r="D145">
        <f t="shared" si="26"/>
        <v>0.58000000000000007</v>
      </c>
      <c r="E145">
        <f t="shared" si="26"/>
        <v>0.4</v>
      </c>
      <c r="F145">
        <f t="shared" si="26"/>
        <v>0.67</v>
      </c>
      <c r="G145">
        <f t="shared" si="26"/>
        <v>0.43000000000000005</v>
      </c>
      <c r="H145">
        <f t="shared" si="26"/>
        <v>0.49</v>
      </c>
      <c r="I145">
        <f t="shared" si="26"/>
        <v>0.43000000000000005</v>
      </c>
      <c r="J145">
        <f t="shared" si="26"/>
        <v>0.4</v>
      </c>
      <c r="K145">
        <f t="shared" si="26"/>
        <v>0.51</v>
      </c>
      <c r="L145">
        <f t="shared" si="26"/>
        <v>0.58000000000000007</v>
      </c>
      <c r="M145">
        <f t="shared" si="26"/>
        <v>0.65</v>
      </c>
      <c r="N145">
        <f t="shared" si="26"/>
        <v>0.5</v>
      </c>
      <c r="O145">
        <f t="shared" si="26"/>
        <v>0.55000000000000004</v>
      </c>
      <c r="P145">
        <f t="shared" si="26"/>
        <v>0.4</v>
      </c>
      <c r="Q145">
        <f t="shared" si="26"/>
        <v>0.5</v>
      </c>
      <c r="R145">
        <f t="shared" si="26"/>
        <v>0.55000000000000004</v>
      </c>
      <c r="S145">
        <f t="shared" si="26"/>
        <v>0.64</v>
      </c>
      <c r="T145">
        <f t="shared" si="26"/>
        <v>0.65</v>
      </c>
      <c r="U145">
        <f t="shared" si="26"/>
        <v>0.73</v>
      </c>
      <c r="V145">
        <f>V144+0.5</f>
        <v>0.74</v>
      </c>
      <c r="W145">
        <f t="shared" ref="W145:AB145" si="27">W144+0.4</f>
        <v>0.46</v>
      </c>
      <c r="X145">
        <f t="shared" si="27"/>
        <v>0.64</v>
      </c>
      <c r="Y145">
        <f t="shared" si="27"/>
        <v>0.62</v>
      </c>
      <c r="Z145">
        <f t="shared" si="27"/>
        <v>0.69</v>
      </c>
      <c r="AA145">
        <f t="shared" si="27"/>
        <v>0.5</v>
      </c>
      <c r="AB145">
        <f t="shared" si="27"/>
        <v>0.59000000000000008</v>
      </c>
    </row>
    <row r="146" spans="1:28" ht="8.1" customHeight="1">
      <c r="A146" t="s">
        <v>2698</v>
      </c>
      <c r="B146">
        <v>1</v>
      </c>
      <c r="C146">
        <v>1</v>
      </c>
      <c r="D146">
        <v>3</v>
      </c>
      <c r="E146">
        <v>0</v>
      </c>
      <c r="F146">
        <v>13</v>
      </c>
      <c r="G146">
        <v>1</v>
      </c>
      <c r="H146">
        <v>3</v>
      </c>
      <c r="I146">
        <v>1</v>
      </c>
      <c r="J146">
        <v>0</v>
      </c>
      <c r="K146">
        <v>1</v>
      </c>
      <c r="L146">
        <v>5</v>
      </c>
      <c r="M146">
        <f>INT(AVERAGE(1,6))</f>
        <v>3</v>
      </c>
      <c r="N146">
        <v>4</v>
      </c>
      <c r="O146">
        <v>7</v>
      </c>
      <c r="P146">
        <v>1</v>
      </c>
      <c r="Q146">
        <v>2</v>
      </c>
      <c r="R146">
        <v>12</v>
      </c>
      <c r="S146">
        <v>11</v>
      </c>
      <c r="T146">
        <v>0</v>
      </c>
      <c r="U146">
        <v>12</v>
      </c>
      <c r="V146">
        <v>10</v>
      </c>
      <c r="W146">
        <v>6</v>
      </c>
      <c r="X146">
        <v>18</v>
      </c>
      <c r="Y146">
        <v>12</v>
      </c>
      <c r="Z146">
        <f>INT(AVERAGE(11,12,14,15,17))</f>
        <v>13</v>
      </c>
      <c r="AA146">
        <v>4</v>
      </c>
      <c r="AB146">
        <v>4</v>
      </c>
    </row>
    <row r="147" spans="1:28" ht="8.1" customHeight="1">
      <c r="A147" t="s">
        <v>3753</v>
      </c>
      <c r="B147">
        <v>0</v>
      </c>
      <c r="C147">
        <v>0</v>
      </c>
      <c r="D147">
        <v>0</v>
      </c>
      <c r="E147">
        <v>0</v>
      </c>
      <c r="F147">
        <v>0</v>
      </c>
      <c r="G147">
        <v>0</v>
      </c>
      <c r="H147">
        <v>1</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28" ht="8.1" customHeight="1">
      <c r="A148" t="s">
        <v>4766</v>
      </c>
      <c r="B148" t="s">
        <v>5067</v>
      </c>
      <c r="C148" t="s">
        <v>5067</v>
      </c>
      <c r="D148" t="s">
        <v>5067</v>
      </c>
      <c r="E148" t="s">
        <v>5067</v>
      </c>
      <c r="F148" t="s">
        <v>1333</v>
      </c>
      <c r="G148" t="s">
        <v>5067</v>
      </c>
      <c r="H148" t="s">
        <v>5067</v>
      </c>
      <c r="I148" t="s">
        <v>5067</v>
      </c>
      <c r="J148" t="s">
        <v>5067</v>
      </c>
      <c r="K148" t="s">
        <v>5067</v>
      </c>
      <c r="L148" t="s">
        <v>5067</v>
      </c>
      <c r="M148" t="s">
        <v>5067</v>
      </c>
      <c r="N148" t="s">
        <v>5067</v>
      </c>
      <c r="O148" t="s">
        <v>5067</v>
      </c>
      <c r="P148" t="s">
        <v>5067</v>
      </c>
      <c r="Q148" t="s">
        <v>5067</v>
      </c>
      <c r="R148" t="s">
        <v>5067</v>
      </c>
      <c r="S148" t="s">
        <v>5067</v>
      </c>
      <c r="T148" t="s">
        <v>5067</v>
      </c>
      <c r="U148" t="s">
        <v>5067</v>
      </c>
      <c r="V148" t="s">
        <v>5067</v>
      </c>
      <c r="W148" t="s">
        <v>5067</v>
      </c>
      <c r="X148" t="s">
        <v>5067</v>
      </c>
      <c r="Y148" t="s">
        <v>5067</v>
      </c>
      <c r="Z148" t="s">
        <v>5067</v>
      </c>
      <c r="AA148" t="s">
        <v>5067</v>
      </c>
      <c r="AB148" t="s">
        <v>5067</v>
      </c>
    </row>
    <row r="149" spans="1:28" ht="8.1" customHeight="1">
      <c r="A149" t="s">
        <v>3446</v>
      </c>
      <c r="B149">
        <v>0</v>
      </c>
      <c r="C149">
        <v>0</v>
      </c>
      <c r="D149">
        <v>0.12</v>
      </c>
      <c r="E149">
        <v>0</v>
      </c>
      <c r="F149">
        <v>0</v>
      </c>
      <c r="G149">
        <v>0</v>
      </c>
      <c r="H149">
        <v>0</v>
      </c>
      <c r="I149">
        <v>0.03</v>
      </c>
      <c r="J149">
        <v>0</v>
      </c>
      <c r="K149">
        <f>INT(AVERAGE(12,12,18))/100</f>
        <v>0.14000000000000001</v>
      </c>
      <c r="L149">
        <v>0</v>
      </c>
      <c r="M149">
        <v>0</v>
      </c>
      <c r="N149">
        <v>0</v>
      </c>
      <c r="O149">
        <v>0</v>
      </c>
      <c r="P149">
        <v>0.03</v>
      </c>
      <c r="Q149">
        <v>0.3</v>
      </c>
      <c r="R149">
        <v>0</v>
      </c>
      <c r="S149">
        <v>0</v>
      </c>
      <c r="T149">
        <v>0</v>
      </c>
      <c r="U149">
        <v>0</v>
      </c>
      <c r="V149">
        <v>0.24</v>
      </c>
      <c r="W149">
        <v>0</v>
      </c>
      <c r="X149">
        <v>0</v>
      </c>
      <c r="Y149">
        <v>0.31</v>
      </c>
      <c r="Z149">
        <f>INT(AVERAGE(27,36,36,39,39))/100</f>
        <v>0.35</v>
      </c>
      <c r="AA149">
        <v>0.1</v>
      </c>
      <c r="AB149">
        <v>0.19</v>
      </c>
    </row>
    <row r="150" spans="1:28" ht="8.1" customHeight="1">
      <c r="A150" t="s">
        <v>3447</v>
      </c>
      <c r="B150">
        <f t="shared" ref="B150:X150" si="28">B149+0.5</f>
        <v>0.5</v>
      </c>
      <c r="C150">
        <f t="shared" si="28"/>
        <v>0.5</v>
      </c>
      <c r="D150">
        <f t="shared" si="28"/>
        <v>0.62</v>
      </c>
      <c r="E150">
        <f t="shared" si="28"/>
        <v>0.5</v>
      </c>
      <c r="F150">
        <f t="shared" si="28"/>
        <v>0.5</v>
      </c>
      <c r="G150">
        <f t="shared" si="28"/>
        <v>0.5</v>
      </c>
      <c r="H150">
        <f t="shared" si="28"/>
        <v>0.5</v>
      </c>
      <c r="I150">
        <f t="shared" si="28"/>
        <v>0.53</v>
      </c>
      <c r="J150">
        <f t="shared" si="28"/>
        <v>0.5</v>
      </c>
      <c r="K150">
        <f t="shared" si="28"/>
        <v>0.64</v>
      </c>
      <c r="L150">
        <f t="shared" si="28"/>
        <v>0.5</v>
      </c>
      <c r="M150">
        <f t="shared" si="28"/>
        <v>0.5</v>
      </c>
      <c r="N150">
        <f t="shared" si="28"/>
        <v>0.5</v>
      </c>
      <c r="O150">
        <f t="shared" si="28"/>
        <v>0.5</v>
      </c>
      <c r="P150">
        <f t="shared" si="28"/>
        <v>0.53</v>
      </c>
      <c r="Q150">
        <f t="shared" si="28"/>
        <v>0.8</v>
      </c>
      <c r="R150">
        <f t="shared" si="28"/>
        <v>0.5</v>
      </c>
      <c r="S150">
        <f t="shared" si="28"/>
        <v>0.5</v>
      </c>
      <c r="T150">
        <f t="shared" si="28"/>
        <v>0.5</v>
      </c>
      <c r="U150">
        <f t="shared" si="28"/>
        <v>0.5</v>
      </c>
      <c r="V150">
        <f t="shared" si="28"/>
        <v>0.74</v>
      </c>
      <c r="W150">
        <f t="shared" si="28"/>
        <v>0.5</v>
      </c>
      <c r="X150">
        <f t="shared" si="28"/>
        <v>0.5</v>
      </c>
      <c r="Y150">
        <f>Y149+0.4</f>
        <v>0.71</v>
      </c>
      <c r="Z150">
        <f>Z149+0.5</f>
        <v>0.85</v>
      </c>
      <c r="AA150">
        <f>AA149+0.5</f>
        <v>0.6</v>
      </c>
      <c r="AB150">
        <f>AB149+0.5</f>
        <v>0.69</v>
      </c>
    </row>
    <row r="151" spans="1:28" ht="8.1" customHeight="1">
      <c r="A151" t="s">
        <v>3448</v>
      </c>
      <c r="B151">
        <v>1</v>
      </c>
      <c r="C151">
        <v>1</v>
      </c>
      <c r="D151">
        <v>2</v>
      </c>
      <c r="E151">
        <v>0</v>
      </c>
      <c r="F151">
        <v>0</v>
      </c>
      <c r="G151">
        <v>0</v>
      </c>
      <c r="H151">
        <v>0</v>
      </c>
      <c r="I151">
        <v>1</v>
      </c>
      <c r="J151">
        <v>0</v>
      </c>
      <c r="K151">
        <v>1</v>
      </c>
      <c r="L151">
        <v>0</v>
      </c>
      <c r="M151">
        <v>0</v>
      </c>
      <c r="N151">
        <v>0</v>
      </c>
      <c r="O151">
        <v>0</v>
      </c>
      <c r="P151">
        <v>3</v>
      </c>
      <c r="Q151">
        <v>4</v>
      </c>
      <c r="R151">
        <v>0</v>
      </c>
      <c r="S151">
        <v>0</v>
      </c>
      <c r="T151">
        <v>0</v>
      </c>
      <c r="U151">
        <v>0</v>
      </c>
      <c r="V151">
        <v>14</v>
      </c>
      <c r="W151">
        <v>0</v>
      </c>
      <c r="X151">
        <v>0</v>
      </c>
      <c r="Y151">
        <v>15</v>
      </c>
      <c r="Z151">
        <f>INT(AVERAGE(19,14,14,15,16))</f>
        <v>15</v>
      </c>
      <c r="AA151">
        <v>4</v>
      </c>
      <c r="AB151">
        <v>4</v>
      </c>
    </row>
    <row r="152" spans="1:28" ht="8.1" customHeight="1">
      <c r="A152" t="s">
        <v>3450</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row>
    <row r="153" spans="1:28" ht="8.1" customHeight="1">
      <c r="A153" t="s">
        <v>3449</v>
      </c>
      <c r="B153" t="s">
        <v>5067</v>
      </c>
      <c r="C153" t="s">
        <v>5067</v>
      </c>
      <c r="D153" t="s">
        <v>5067</v>
      </c>
      <c r="E153" t="s">
        <v>5067</v>
      </c>
      <c r="F153" t="s">
        <v>5067</v>
      </c>
      <c r="G153" t="s">
        <v>5067</v>
      </c>
      <c r="H153" t="s">
        <v>5067</v>
      </c>
      <c r="I153" t="s">
        <v>5067</v>
      </c>
      <c r="J153" t="s">
        <v>5067</v>
      </c>
      <c r="K153" t="s">
        <v>5067</v>
      </c>
      <c r="L153" t="s">
        <v>5067</v>
      </c>
      <c r="M153" t="s">
        <v>5067</v>
      </c>
      <c r="N153" t="s">
        <v>5067</v>
      </c>
      <c r="O153" t="s">
        <v>5067</v>
      </c>
      <c r="P153" t="s">
        <v>3805</v>
      </c>
      <c r="Q153" t="s">
        <v>5067</v>
      </c>
      <c r="R153" t="s">
        <v>5067</v>
      </c>
      <c r="S153" t="s">
        <v>5067</v>
      </c>
      <c r="T153" t="s">
        <v>5067</v>
      </c>
      <c r="U153" t="s">
        <v>5067</v>
      </c>
      <c r="V153" t="s">
        <v>5067</v>
      </c>
      <c r="W153" t="s">
        <v>5067</v>
      </c>
      <c r="X153" t="s">
        <v>5067</v>
      </c>
      <c r="Y153" t="s">
        <v>5067</v>
      </c>
      <c r="Z153" t="s">
        <v>5067</v>
      </c>
      <c r="AA153" t="s">
        <v>5067</v>
      </c>
      <c r="AB153" t="s">
        <v>5067</v>
      </c>
    </row>
    <row r="154" spans="1:28" ht="8.1" customHeight="1">
      <c r="A154" t="s">
        <v>2625</v>
      </c>
      <c r="B154" t="s">
        <v>3951</v>
      </c>
      <c r="C154" t="s">
        <v>3951</v>
      </c>
      <c r="D154" t="s">
        <v>3951</v>
      </c>
      <c r="E154" t="s">
        <v>4781</v>
      </c>
      <c r="F154" t="s">
        <v>3444</v>
      </c>
      <c r="G154" t="s">
        <v>737</v>
      </c>
      <c r="H154" t="s">
        <v>737</v>
      </c>
      <c r="I154" t="s">
        <v>1006</v>
      </c>
      <c r="J154" t="s">
        <v>4781</v>
      </c>
      <c r="K154" t="s">
        <v>737</v>
      </c>
      <c r="L154" t="s">
        <v>737</v>
      </c>
      <c r="M154" t="s">
        <v>737</v>
      </c>
      <c r="N154" t="s">
        <v>737</v>
      </c>
      <c r="O154" t="s">
        <v>737</v>
      </c>
      <c r="P154" t="s">
        <v>4781</v>
      </c>
      <c r="Q154" t="s">
        <v>1006</v>
      </c>
      <c r="R154" t="s">
        <v>737</v>
      </c>
      <c r="S154" t="s">
        <v>737</v>
      </c>
      <c r="T154" t="s">
        <v>4781</v>
      </c>
      <c r="U154" t="s">
        <v>737</v>
      </c>
      <c r="V154" t="s">
        <v>737</v>
      </c>
      <c r="W154" t="s">
        <v>737</v>
      </c>
      <c r="X154" t="s">
        <v>737</v>
      </c>
      <c r="Y154" t="s">
        <v>737</v>
      </c>
      <c r="Z154" t="s">
        <v>737</v>
      </c>
      <c r="AA154" t="s">
        <v>4781</v>
      </c>
      <c r="AB154" t="s">
        <v>4781</v>
      </c>
    </row>
    <row r="155" spans="1:28" ht="8.1" customHeight="1">
      <c r="A155" t="s">
        <v>1825</v>
      </c>
      <c r="B155">
        <v>0</v>
      </c>
      <c r="C155">
        <v>0</v>
      </c>
      <c r="D155">
        <v>1</v>
      </c>
      <c r="E155">
        <v>0</v>
      </c>
      <c r="F155">
        <v>4</v>
      </c>
      <c r="G155">
        <v>1</v>
      </c>
      <c r="H155">
        <v>1</v>
      </c>
      <c r="I155">
        <v>0</v>
      </c>
      <c r="J155">
        <v>0</v>
      </c>
      <c r="K155">
        <v>1</v>
      </c>
      <c r="L155">
        <v>2</v>
      </c>
      <c r="M155">
        <v>1</v>
      </c>
      <c r="N155">
        <v>1</v>
      </c>
      <c r="O155">
        <v>1</v>
      </c>
      <c r="P155">
        <v>0</v>
      </c>
      <c r="Q155">
        <v>0</v>
      </c>
      <c r="R155">
        <v>2</v>
      </c>
      <c r="S155">
        <v>2</v>
      </c>
      <c r="T155">
        <v>0</v>
      </c>
      <c r="U155">
        <v>2</v>
      </c>
      <c r="V155">
        <v>7</v>
      </c>
      <c r="W155">
        <v>0</v>
      </c>
      <c r="X155">
        <v>4</v>
      </c>
      <c r="Y155">
        <v>8</v>
      </c>
      <c r="Z155">
        <v>7</v>
      </c>
      <c r="AA155">
        <v>0</v>
      </c>
      <c r="AB155">
        <v>0</v>
      </c>
    </row>
    <row r="156" spans="1:28" ht="8.1" customHeight="1">
      <c r="A156" t="s">
        <v>2003</v>
      </c>
      <c r="B156">
        <v>1</v>
      </c>
      <c r="C156">
        <v>1</v>
      </c>
      <c r="D156">
        <v>1</v>
      </c>
      <c r="E156">
        <v>0</v>
      </c>
      <c r="F156">
        <v>7</v>
      </c>
      <c r="G156">
        <v>0</v>
      </c>
      <c r="H156">
        <v>0</v>
      </c>
      <c r="I156">
        <v>0</v>
      </c>
      <c r="J156">
        <v>0</v>
      </c>
      <c r="K156">
        <v>1</v>
      </c>
      <c r="L156">
        <v>2</v>
      </c>
      <c r="M156">
        <v>0</v>
      </c>
      <c r="N156">
        <v>0</v>
      </c>
      <c r="O156">
        <v>0</v>
      </c>
      <c r="P156">
        <v>1</v>
      </c>
      <c r="Q156">
        <v>0</v>
      </c>
      <c r="R156">
        <v>3</v>
      </c>
      <c r="S156">
        <v>3</v>
      </c>
      <c r="T156">
        <v>0</v>
      </c>
      <c r="U156">
        <v>3</v>
      </c>
      <c r="V156">
        <v>9</v>
      </c>
      <c r="W156">
        <v>2</v>
      </c>
      <c r="X156">
        <v>3</v>
      </c>
      <c r="Y156">
        <v>11</v>
      </c>
      <c r="Z156">
        <v>9</v>
      </c>
      <c r="AA156">
        <v>0</v>
      </c>
      <c r="AB156">
        <v>0</v>
      </c>
    </row>
    <row r="157" spans="1:28" ht="8.1" customHeight="1">
      <c r="A157" t="s">
        <v>2004</v>
      </c>
      <c r="B157">
        <v>0</v>
      </c>
      <c r="C157">
        <v>0</v>
      </c>
      <c r="D157">
        <v>0</v>
      </c>
      <c r="E157">
        <v>0</v>
      </c>
      <c r="F157">
        <v>5</v>
      </c>
      <c r="G157">
        <v>0</v>
      </c>
      <c r="H157">
        <v>1</v>
      </c>
      <c r="I157">
        <v>0</v>
      </c>
      <c r="J157">
        <v>0</v>
      </c>
      <c r="K157">
        <v>1</v>
      </c>
      <c r="L157">
        <v>2</v>
      </c>
      <c r="M157">
        <v>1</v>
      </c>
      <c r="N157">
        <v>1</v>
      </c>
      <c r="O157">
        <v>1</v>
      </c>
      <c r="P157">
        <v>0</v>
      </c>
      <c r="Q157">
        <v>0</v>
      </c>
      <c r="R157">
        <v>2</v>
      </c>
      <c r="S157">
        <v>2</v>
      </c>
      <c r="T157">
        <v>0</v>
      </c>
      <c r="U157">
        <v>2</v>
      </c>
      <c r="V157">
        <v>7</v>
      </c>
      <c r="W157">
        <v>0</v>
      </c>
      <c r="X157">
        <v>4</v>
      </c>
      <c r="Y157">
        <v>7</v>
      </c>
      <c r="Z157">
        <v>7</v>
      </c>
      <c r="AA157">
        <v>0</v>
      </c>
      <c r="AB157">
        <v>0</v>
      </c>
    </row>
    <row r="158" spans="1:28" ht="8.1" customHeight="1">
      <c r="A158" t="s">
        <v>1826</v>
      </c>
      <c r="B158">
        <v>0</v>
      </c>
      <c r="C158">
        <v>0</v>
      </c>
      <c r="D158">
        <v>0</v>
      </c>
      <c r="E158">
        <v>0</v>
      </c>
      <c r="F158">
        <v>5</v>
      </c>
      <c r="G158">
        <v>0</v>
      </c>
      <c r="H158">
        <v>1</v>
      </c>
      <c r="I158">
        <v>0</v>
      </c>
      <c r="J158">
        <v>0</v>
      </c>
      <c r="K158">
        <v>1</v>
      </c>
      <c r="L158">
        <v>4</v>
      </c>
      <c r="M158">
        <v>1</v>
      </c>
      <c r="N158">
        <v>1</v>
      </c>
      <c r="O158">
        <v>1</v>
      </c>
      <c r="P158">
        <v>0</v>
      </c>
      <c r="Q158">
        <v>0</v>
      </c>
      <c r="R158">
        <v>2</v>
      </c>
      <c r="S158">
        <v>2</v>
      </c>
      <c r="T158">
        <v>0</v>
      </c>
      <c r="U158">
        <v>2</v>
      </c>
      <c r="V158">
        <v>8</v>
      </c>
      <c r="W158">
        <v>0</v>
      </c>
      <c r="X158">
        <v>4</v>
      </c>
      <c r="Y158">
        <v>7</v>
      </c>
      <c r="Z158">
        <v>9</v>
      </c>
      <c r="AA158">
        <v>0</v>
      </c>
      <c r="AB158">
        <v>0</v>
      </c>
    </row>
    <row r="159" spans="1:28" ht="8.1" customHeight="1">
      <c r="A159" t="s">
        <v>1827</v>
      </c>
      <c r="B159">
        <v>0</v>
      </c>
      <c r="C159">
        <v>1</v>
      </c>
      <c r="D159">
        <v>0</v>
      </c>
      <c r="E159">
        <v>0</v>
      </c>
      <c r="F159">
        <v>6</v>
      </c>
      <c r="G159">
        <v>0</v>
      </c>
      <c r="H159">
        <v>1</v>
      </c>
      <c r="I159">
        <v>0</v>
      </c>
      <c r="J159">
        <v>0</v>
      </c>
      <c r="K159">
        <v>1</v>
      </c>
      <c r="L159">
        <v>4</v>
      </c>
      <c r="M159">
        <v>1</v>
      </c>
      <c r="N159">
        <v>1</v>
      </c>
      <c r="O159">
        <v>1</v>
      </c>
      <c r="P159">
        <v>0</v>
      </c>
      <c r="Q159">
        <v>0</v>
      </c>
      <c r="R159">
        <v>3</v>
      </c>
      <c r="S159">
        <v>2</v>
      </c>
      <c r="T159">
        <v>1</v>
      </c>
      <c r="U159">
        <v>3</v>
      </c>
      <c r="V159">
        <v>3</v>
      </c>
      <c r="W159">
        <v>1</v>
      </c>
      <c r="X159">
        <v>4</v>
      </c>
      <c r="Y159">
        <v>6</v>
      </c>
      <c r="Z159">
        <v>6</v>
      </c>
      <c r="AA159">
        <v>0</v>
      </c>
      <c r="AB159">
        <v>0</v>
      </c>
    </row>
    <row r="160" spans="1:28" ht="8.1" customHeight="1">
      <c r="A160" t="s">
        <v>1828</v>
      </c>
      <c r="B160">
        <f t="shared" ref="B160:G160" si="29">B116/5</f>
        <v>0.1</v>
      </c>
      <c r="C160">
        <f t="shared" si="29"/>
        <v>0.1</v>
      </c>
      <c r="D160">
        <f t="shared" si="29"/>
        <v>0.6</v>
      </c>
      <c r="E160">
        <f t="shared" si="29"/>
        <v>0</v>
      </c>
      <c r="F160">
        <f t="shared" si="29"/>
        <v>1.4</v>
      </c>
      <c r="G160">
        <f t="shared" si="29"/>
        <v>0.05</v>
      </c>
      <c r="H160">
        <v>3</v>
      </c>
      <c r="I160">
        <v>4</v>
      </c>
      <c r="J160">
        <f>J116/5</f>
        <v>0</v>
      </c>
      <c r="K160">
        <v>4</v>
      </c>
      <c r="L160">
        <v>3</v>
      </c>
      <c r="M160">
        <v>3</v>
      </c>
      <c r="N160">
        <f>N116/5</f>
        <v>6</v>
      </c>
      <c r="O160">
        <f>O116/5</f>
        <v>10</v>
      </c>
      <c r="P160">
        <v>4</v>
      </c>
      <c r="Q160">
        <f>Q116/5</f>
        <v>0.5</v>
      </c>
      <c r="R160">
        <v>4</v>
      </c>
      <c r="S160">
        <f>S116/5</f>
        <v>25</v>
      </c>
      <c r="T160">
        <v>3</v>
      </c>
      <c r="U160">
        <v>4</v>
      </c>
      <c r="V160">
        <v>3</v>
      </c>
      <c r="W160">
        <v>4</v>
      </c>
      <c r="X160">
        <v>4</v>
      </c>
      <c r="Y160">
        <v>5</v>
      </c>
      <c r="Z160">
        <v>4</v>
      </c>
      <c r="AA160">
        <f>AA116/5</f>
        <v>0.05</v>
      </c>
      <c r="AB160">
        <f>AB116/5</f>
        <v>11</v>
      </c>
    </row>
    <row r="161" spans="1:28" ht="8.1" customHeight="1">
      <c r="A161" t="s">
        <v>1829</v>
      </c>
      <c r="B161">
        <v>0.6</v>
      </c>
      <c r="C161">
        <v>0.6</v>
      </c>
      <c r="D161">
        <v>0.6</v>
      </c>
      <c r="E161">
        <v>0.6</v>
      </c>
      <c r="F161">
        <v>0.6</v>
      </c>
      <c r="G161">
        <v>0.6</v>
      </c>
      <c r="H161">
        <v>0.5</v>
      </c>
      <c r="I161">
        <v>0.5</v>
      </c>
      <c r="J161">
        <v>0.6</v>
      </c>
      <c r="K161">
        <v>0.5</v>
      </c>
      <c r="L161">
        <v>0.4</v>
      </c>
      <c r="M161">
        <v>0.5</v>
      </c>
      <c r="N161">
        <v>0.6</v>
      </c>
      <c r="O161">
        <v>0.6</v>
      </c>
      <c r="P161">
        <v>0.6</v>
      </c>
      <c r="Q161">
        <v>0.5</v>
      </c>
      <c r="R161">
        <v>0.5</v>
      </c>
      <c r="S161">
        <v>0.6</v>
      </c>
      <c r="T161">
        <v>0.4</v>
      </c>
      <c r="U161">
        <v>0.5</v>
      </c>
      <c r="V161">
        <v>0.5</v>
      </c>
      <c r="W161">
        <v>0.6</v>
      </c>
      <c r="X161">
        <v>0.6</v>
      </c>
      <c r="Y161">
        <v>0.5</v>
      </c>
      <c r="Z161">
        <v>0.5</v>
      </c>
      <c r="AA161">
        <v>0.6</v>
      </c>
      <c r="AB161">
        <v>0.6</v>
      </c>
    </row>
    <row r="162" spans="1:28" ht="8.1" customHeight="1">
      <c r="A162" t="s">
        <v>5024</v>
      </c>
      <c r="B162">
        <v>1</v>
      </c>
      <c r="C162">
        <v>1</v>
      </c>
      <c r="D162">
        <v>1</v>
      </c>
      <c r="G162">
        <v>1</v>
      </c>
      <c r="H162">
        <v>2</v>
      </c>
      <c r="W162">
        <v>5</v>
      </c>
      <c r="X162">
        <v>4</v>
      </c>
    </row>
    <row r="163" spans="1:28" ht="8.1" customHeight="1">
      <c r="A163" t="s">
        <v>5025</v>
      </c>
      <c r="B163">
        <v>1</v>
      </c>
      <c r="C163">
        <v>1</v>
      </c>
      <c r="D163">
        <v>2</v>
      </c>
      <c r="G163">
        <v>1</v>
      </c>
      <c r="H163">
        <v>2</v>
      </c>
      <c r="W163">
        <v>7</v>
      </c>
      <c r="X163">
        <v>6</v>
      </c>
    </row>
    <row r="164" spans="1:28" ht="8.1" customHeight="1">
      <c r="A164" t="s">
        <v>4688</v>
      </c>
      <c r="B164">
        <v>2</v>
      </c>
      <c r="C164">
        <v>2</v>
      </c>
      <c r="D164">
        <v>3</v>
      </c>
      <c r="F164" t="s">
        <v>2225</v>
      </c>
      <c r="G164">
        <v>2</v>
      </c>
      <c r="H164">
        <v>3</v>
      </c>
      <c r="W164">
        <v>10</v>
      </c>
      <c r="X164">
        <v>9</v>
      </c>
    </row>
    <row r="165" spans="1:28" ht="8.1" customHeight="1" collapsed="1"/>
    <row r="166" spans="1:28" ht="8.1" customHeight="1">
      <c r="U166">
        <v>1</v>
      </c>
      <c r="V166" t="s">
        <v>2569</v>
      </c>
      <c r="X166" t="s">
        <v>5176</v>
      </c>
      <c r="Y166">
        <f ca="1">COLUMN(INDIRECT(X166))</f>
        <v>2</v>
      </c>
    </row>
    <row r="167" spans="1:28" ht="8.1" customHeight="1">
      <c r="U167">
        <v>2</v>
      </c>
      <c r="V167" t="s">
        <v>2570</v>
      </c>
      <c r="X167" t="s">
        <v>5177</v>
      </c>
      <c r="Y167">
        <f t="shared" ref="Y167:Y192" ca="1" si="30">COLUMN(INDIRECT(X167))</f>
        <v>3</v>
      </c>
    </row>
    <row r="168" spans="1:28" ht="8.1" customHeight="1">
      <c r="U168">
        <v>3</v>
      </c>
      <c r="V168" t="s">
        <v>2571</v>
      </c>
      <c r="X168" t="s">
        <v>5178</v>
      </c>
      <c r="Y168">
        <f t="shared" ca="1" si="30"/>
        <v>4</v>
      </c>
    </row>
    <row r="169" spans="1:28" ht="8.1" customHeight="1">
      <c r="U169">
        <v>4</v>
      </c>
      <c r="V169" t="s">
        <v>2572</v>
      </c>
      <c r="X169" t="s">
        <v>5179</v>
      </c>
      <c r="Y169">
        <f t="shared" ca="1" si="30"/>
        <v>5</v>
      </c>
    </row>
    <row r="170" spans="1:28" ht="8.1" customHeight="1">
      <c r="U170">
        <v>5</v>
      </c>
      <c r="V170" t="s">
        <v>2573</v>
      </c>
      <c r="X170" t="s">
        <v>5180</v>
      </c>
      <c r="Y170">
        <f t="shared" ca="1" si="30"/>
        <v>6</v>
      </c>
    </row>
    <row r="171" spans="1:28" ht="8.1" customHeight="1">
      <c r="U171">
        <v>6</v>
      </c>
      <c r="V171" t="s">
        <v>2574</v>
      </c>
      <c r="X171" t="s">
        <v>5181</v>
      </c>
      <c r="Y171">
        <f t="shared" ca="1" si="30"/>
        <v>7</v>
      </c>
    </row>
    <row r="172" spans="1:28" ht="8.1" customHeight="1">
      <c r="U172">
        <v>7</v>
      </c>
      <c r="V172" t="s">
        <v>2575</v>
      </c>
      <c r="X172" t="s">
        <v>5182</v>
      </c>
      <c r="Y172">
        <f t="shared" ca="1" si="30"/>
        <v>8</v>
      </c>
    </row>
    <row r="173" spans="1:28" ht="8.1" customHeight="1">
      <c r="U173">
        <v>8</v>
      </c>
      <c r="V173" t="s">
        <v>4826</v>
      </c>
      <c r="X173" t="s">
        <v>5183</v>
      </c>
      <c r="Y173">
        <f t="shared" ca="1" si="30"/>
        <v>9</v>
      </c>
    </row>
    <row r="174" spans="1:28" ht="8.1" customHeight="1">
      <c r="U174">
        <v>9</v>
      </c>
      <c r="V174" t="s">
        <v>3488</v>
      </c>
      <c r="X174" t="s">
        <v>5184</v>
      </c>
      <c r="Y174">
        <f t="shared" ca="1" si="30"/>
        <v>10</v>
      </c>
    </row>
    <row r="175" spans="1:28" ht="8.1" customHeight="1">
      <c r="U175">
        <v>10</v>
      </c>
      <c r="V175" t="s">
        <v>4827</v>
      </c>
      <c r="X175" t="s">
        <v>5185</v>
      </c>
      <c r="Y175">
        <f t="shared" ca="1" si="30"/>
        <v>11</v>
      </c>
    </row>
    <row r="176" spans="1:28" ht="8.1" customHeight="1">
      <c r="U176">
        <v>11</v>
      </c>
      <c r="V176" t="s">
        <v>3489</v>
      </c>
      <c r="X176" t="s">
        <v>5186</v>
      </c>
      <c r="Y176">
        <f t="shared" ca="1" si="30"/>
        <v>12</v>
      </c>
    </row>
    <row r="177" spans="21:25" ht="8.1" customHeight="1">
      <c r="U177">
        <v>12</v>
      </c>
      <c r="V177" t="s">
        <v>3490</v>
      </c>
      <c r="X177" t="s">
        <v>5187</v>
      </c>
      <c r="Y177">
        <f t="shared" ca="1" si="30"/>
        <v>13</v>
      </c>
    </row>
    <row r="178" spans="21:25" ht="8.1" customHeight="1">
      <c r="U178">
        <v>13</v>
      </c>
      <c r="V178" t="s">
        <v>4907</v>
      </c>
      <c r="X178" t="s">
        <v>5188</v>
      </c>
      <c r="Y178">
        <f t="shared" ca="1" si="30"/>
        <v>14</v>
      </c>
    </row>
    <row r="179" spans="21:25" ht="8.1" customHeight="1">
      <c r="U179">
        <v>14</v>
      </c>
      <c r="V179" t="s">
        <v>4908</v>
      </c>
      <c r="X179" t="s">
        <v>5189</v>
      </c>
      <c r="Y179">
        <f t="shared" ca="1" si="30"/>
        <v>15</v>
      </c>
    </row>
    <row r="180" spans="21:25" ht="8.1" customHeight="1">
      <c r="U180">
        <v>15</v>
      </c>
      <c r="V180" t="s">
        <v>3445</v>
      </c>
      <c r="X180" t="s">
        <v>5190</v>
      </c>
      <c r="Y180">
        <f t="shared" ca="1" si="30"/>
        <v>16</v>
      </c>
    </row>
    <row r="181" spans="21:25" ht="8.1" customHeight="1">
      <c r="U181">
        <v>16</v>
      </c>
      <c r="V181" t="s">
        <v>2897</v>
      </c>
      <c r="X181" t="s">
        <v>5191</v>
      </c>
      <c r="Y181">
        <f t="shared" ca="1" si="30"/>
        <v>17</v>
      </c>
    </row>
    <row r="182" spans="21:25" ht="8.1" customHeight="1">
      <c r="U182">
        <v>17</v>
      </c>
      <c r="V182" t="s">
        <v>4046</v>
      </c>
      <c r="X182" t="s">
        <v>5192</v>
      </c>
      <c r="Y182">
        <f t="shared" ca="1" si="30"/>
        <v>18</v>
      </c>
    </row>
    <row r="183" spans="21:25" ht="8.1" customHeight="1">
      <c r="U183">
        <v>18</v>
      </c>
      <c r="V183" t="s">
        <v>5175</v>
      </c>
      <c r="X183" t="s">
        <v>5193</v>
      </c>
      <c r="Y183">
        <f t="shared" ca="1" si="30"/>
        <v>19</v>
      </c>
    </row>
    <row r="184" spans="21:25" ht="8.1" customHeight="1">
      <c r="U184">
        <v>19</v>
      </c>
      <c r="V184" t="s">
        <v>2376</v>
      </c>
      <c r="X184" t="s">
        <v>5194</v>
      </c>
      <c r="Y184">
        <f t="shared" ca="1" si="30"/>
        <v>20</v>
      </c>
    </row>
    <row r="185" spans="21:25" ht="8.1" customHeight="1">
      <c r="U185">
        <v>20</v>
      </c>
      <c r="V185" t="s">
        <v>4047</v>
      </c>
      <c r="X185" t="s">
        <v>5195</v>
      </c>
      <c r="Y185">
        <f t="shared" ca="1" si="30"/>
        <v>21</v>
      </c>
    </row>
    <row r="186" spans="21:25" ht="8.1" customHeight="1">
      <c r="U186">
        <v>21</v>
      </c>
      <c r="V186" t="s">
        <v>4048</v>
      </c>
      <c r="X186" t="s">
        <v>5196</v>
      </c>
      <c r="Y186">
        <f t="shared" ca="1" si="30"/>
        <v>22</v>
      </c>
    </row>
    <row r="187" spans="21:25" ht="8.1" customHeight="1">
      <c r="U187">
        <v>22</v>
      </c>
      <c r="V187" t="s">
        <v>4049</v>
      </c>
      <c r="X187" t="s">
        <v>2903</v>
      </c>
      <c r="Y187">
        <f t="shared" ca="1" si="30"/>
        <v>23</v>
      </c>
    </row>
    <row r="188" spans="21:25" ht="8.1" customHeight="1">
      <c r="U188">
        <v>23</v>
      </c>
      <c r="V188" t="s">
        <v>4050</v>
      </c>
      <c r="X188" t="s">
        <v>2904</v>
      </c>
      <c r="Y188">
        <f t="shared" ca="1" si="30"/>
        <v>24</v>
      </c>
    </row>
    <row r="189" spans="21:25" ht="8.1" customHeight="1">
      <c r="U189">
        <v>24</v>
      </c>
      <c r="V189" t="s">
        <v>4051</v>
      </c>
      <c r="X189" t="s">
        <v>2905</v>
      </c>
      <c r="Y189">
        <f t="shared" ca="1" si="30"/>
        <v>25</v>
      </c>
    </row>
    <row r="190" spans="21:25" ht="8.1" customHeight="1">
      <c r="U190">
        <v>25</v>
      </c>
      <c r="V190" t="s">
        <v>2377</v>
      </c>
      <c r="X190" t="s">
        <v>2373</v>
      </c>
      <c r="Y190">
        <f t="shared" ca="1" si="30"/>
        <v>26</v>
      </c>
    </row>
    <row r="191" spans="21:25" ht="8.1" customHeight="1">
      <c r="U191">
        <v>26</v>
      </c>
      <c r="V191" t="s">
        <v>4053</v>
      </c>
      <c r="X191" t="s">
        <v>2374</v>
      </c>
      <c r="Y191">
        <f t="shared" ca="1" si="30"/>
        <v>27</v>
      </c>
    </row>
    <row r="192" spans="21:25" ht="8.1" customHeight="1">
      <c r="U192">
        <v>27</v>
      </c>
      <c r="V192" t="s">
        <v>4054</v>
      </c>
      <c r="X192" t="s">
        <v>2375</v>
      </c>
      <c r="Y192">
        <f t="shared" ca="1" si="30"/>
        <v>28</v>
      </c>
    </row>
    <row r="193" spans="21:22" ht="8.1" customHeight="1">
      <c r="U193">
        <v>28</v>
      </c>
      <c r="V193" t="s">
        <v>4781</v>
      </c>
    </row>
    <row r="194" spans="21:22" ht="8.1" customHeight="1"/>
    <row r="195" spans="21:22" ht="8.1" customHeight="1">
      <c r="V195">
        <f>'Character Sheet'!AE404</f>
        <v>4</v>
      </c>
    </row>
    <row r="196" spans="21:22" ht="8.1" customHeight="1">
      <c r="V196" t="str">
        <f>VLOOKUP('Character Sheet'!AE404,Mount!U166:Y179,4)</f>
        <v>E101</v>
      </c>
    </row>
    <row r="197" spans="21:22" ht="8.1" customHeight="1">
      <c r="V197">
        <f ca="1">INDIRECT(V196)</f>
        <v>0</v>
      </c>
    </row>
    <row r="198" spans="21:22" ht="8.1" customHeight="1"/>
    <row r="199" spans="21:22" ht="8.1" customHeight="1"/>
    <row r="200" spans="21:22" ht="8.1" customHeight="1"/>
    <row r="201" spans="21:22" ht="8.1" customHeight="1"/>
    <row r="202" spans="21:22" ht="8.1" customHeight="1"/>
    <row r="203" spans="21:22" ht="8.1" customHeight="1"/>
    <row r="204" spans="21:22" ht="8.1" customHeight="1"/>
    <row r="205" spans="21:22" ht="8.1" customHeight="1"/>
    <row r="206" spans="21:22" ht="8.1" customHeight="1"/>
    <row r="207" spans="21:22" ht="8.1" customHeight="1"/>
    <row r="208" spans="21:22" ht="8.1" customHeight="1"/>
    <row r="209" ht="8.1" customHeight="1"/>
    <row r="210" ht="8.1" customHeight="1"/>
    <row r="211" ht="8.1" customHeight="1"/>
    <row r="212" ht="8.1" customHeight="1"/>
    <row r="213" ht="8.1" customHeight="1"/>
    <row r="214" ht="8.1" customHeight="1"/>
    <row r="215" ht="8.1" customHeight="1"/>
    <row r="216" ht="8.1" customHeight="1"/>
    <row r="217" ht="8.1" customHeight="1"/>
    <row r="218" ht="8.1" customHeight="1"/>
    <row r="219" ht="8.1" customHeight="1"/>
    <row r="220" ht="8.1" customHeight="1"/>
    <row r="221" ht="9.9499999999999993" customHeight="1"/>
    <row r="222" ht="9.9499999999999993" customHeight="1"/>
    <row r="223" ht="9.9499999999999993" customHeight="1"/>
    <row r="224" ht="9.9499999999999993" customHeight="1"/>
    <row r="225" ht="9.9499999999999993" customHeight="1"/>
    <row r="226" ht="9.9499999999999993" customHeight="1"/>
    <row r="227" ht="9.9499999999999993" customHeight="1"/>
    <row r="228" ht="9.9499999999999993" customHeight="1"/>
    <row r="229" ht="9.9499999999999993" customHeight="1"/>
    <row r="230" ht="9.9499999999999993" customHeight="1"/>
    <row r="231" ht="9.9499999999999993" customHeight="1"/>
    <row r="232" ht="9.9499999999999993" customHeight="1"/>
    <row r="233" ht="9.9499999999999993" customHeight="1"/>
    <row r="234" ht="9.9499999999999993" customHeight="1"/>
    <row r="235" ht="9.9499999999999993" customHeight="1"/>
    <row r="236" ht="9.9499999999999993" customHeight="1"/>
  </sheetData>
  <phoneticPr fontId="17" type="noConversion"/>
  <printOptions horizontalCentered="1"/>
  <pageMargins left="0.25" right="0.25" top="0.1" bottom="0" header="0" footer="0"/>
  <pageSetup orientation="landscape" horizontalDpi="96" verticalDpi="96" r:id="rId1"/>
  <headerFooter alignWithMargins="0">
    <oddFooter>&amp;CChivalry &amp; Sorcery: The Rebirth Mount Sheet ã  2003 Mystic Station Designs, LLC Chivalry &amp; SorceryÔ of BGD LTD.</oddFooter>
  </headerFooter>
</worksheet>
</file>

<file path=xl/worksheets/sheet16.xml><?xml version="1.0" encoding="utf-8"?>
<worksheet xmlns="http://schemas.openxmlformats.org/spreadsheetml/2006/main" xmlns:r="http://schemas.openxmlformats.org/officeDocument/2006/relationships">
  <sheetPr codeName="Sheet14"/>
  <dimension ref="A1:BG316"/>
  <sheetViews>
    <sheetView topLeftCell="A10" workbookViewId="0">
      <selection activeCell="E40" sqref="E40"/>
    </sheetView>
  </sheetViews>
  <sheetFormatPr defaultColWidth="9.140625" defaultRowHeight="11.25"/>
  <cols>
    <col min="1" max="1" width="9.28515625" style="598" bestFit="1" customWidth="1"/>
    <col min="2" max="3" width="8.85546875" style="598" bestFit="1" customWidth="1"/>
    <col min="4" max="4" width="20.28515625" style="598" bestFit="1" customWidth="1"/>
    <col min="5" max="5" width="9.140625" style="598" bestFit="1" customWidth="1"/>
    <col min="6" max="6" width="5.28515625" style="598" bestFit="1" customWidth="1"/>
    <col min="7" max="7" width="7.7109375" style="598" bestFit="1" customWidth="1"/>
    <col min="8" max="8" width="9" style="598" bestFit="1" customWidth="1"/>
    <col min="9" max="9" width="14.140625" style="598" bestFit="1" customWidth="1"/>
    <col min="10" max="10" width="7.42578125" style="598" customWidth="1"/>
    <col min="11" max="11" width="9.140625" style="598" bestFit="1" customWidth="1"/>
    <col min="12" max="12" width="8.28515625" style="598" bestFit="1" customWidth="1"/>
    <col min="13" max="13" width="16.28515625" style="598" bestFit="1" customWidth="1"/>
    <col min="14" max="14" width="6.140625" style="598" bestFit="1" customWidth="1"/>
    <col min="15" max="15" width="5.28515625" style="598" bestFit="1" customWidth="1"/>
    <col min="16" max="16" width="4.42578125" style="598" bestFit="1" customWidth="1"/>
    <col min="17" max="17" width="14.7109375" style="598" bestFit="1" customWidth="1"/>
    <col min="18" max="18" width="7.140625" style="598" bestFit="1" customWidth="1"/>
    <col min="19" max="19" width="5" style="598" bestFit="1" customWidth="1"/>
    <col min="20" max="20" width="7.28515625" style="598" bestFit="1" customWidth="1"/>
    <col min="21" max="21" width="2.42578125" style="598" bestFit="1" customWidth="1"/>
    <col min="22" max="22" width="3.42578125" style="598" customWidth="1"/>
    <col min="23" max="23" width="4" style="598" customWidth="1"/>
    <col min="24" max="24" width="3.7109375" style="598" customWidth="1"/>
    <col min="25" max="54" width="9.140625" style="598"/>
    <col min="55" max="55" width="2.42578125" style="598" bestFit="1" customWidth="1"/>
    <col min="56" max="56" width="4.42578125" style="598" bestFit="1" customWidth="1"/>
    <col min="57" max="57" width="9.140625" style="598"/>
    <col min="58" max="58" width="3.140625" style="598" bestFit="1" customWidth="1"/>
    <col min="59" max="59" width="2.42578125" style="598" bestFit="1" customWidth="1"/>
    <col min="60" max="16384" width="9.140625" style="598"/>
  </cols>
  <sheetData>
    <row r="1" spans="2:19">
      <c r="G1" s="598">
        <v>0</v>
      </c>
      <c r="H1" s="598" t="s">
        <v>3063</v>
      </c>
      <c r="I1" s="598">
        <v>1</v>
      </c>
      <c r="J1" s="598">
        <v>-0.3</v>
      </c>
      <c r="K1" s="598">
        <v>1</v>
      </c>
      <c r="L1" s="598" t="s">
        <v>2168</v>
      </c>
      <c r="N1" s="598">
        <v>56</v>
      </c>
      <c r="O1" s="598">
        <v>53</v>
      </c>
      <c r="P1" s="598">
        <v>64</v>
      </c>
      <c r="Q1" s="598">
        <v>59</v>
      </c>
      <c r="R1" s="598">
        <v>71</v>
      </c>
      <c r="S1" s="598">
        <v>66</v>
      </c>
    </row>
    <row r="2" spans="2:19">
      <c r="G2" s="598">
        <v>1</v>
      </c>
      <c r="H2" s="598" t="s">
        <v>3063</v>
      </c>
      <c r="I2" s="598">
        <v>2</v>
      </c>
      <c r="J2" s="598">
        <v>-0.25</v>
      </c>
      <c r="K2" s="598">
        <v>2</v>
      </c>
      <c r="L2" s="598" t="s">
        <v>2169</v>
      </c>
      <c r="M2" s="598">
        <v>1</v>
      </c>
      <c r="N2" s="598">
        <f t="shared" ref="N2:N21" si="0">$N$1+M2</f>
        <v>57</v>
      </c>
      <c r="O2" s="598">
        <f t="shared" ref="O2:O21" si="1">$O$1+$M2</f>
        <v>54</v>
      </c>
      <c r="P2" s="598">
        <f t="shared" ref="P2:P21" si="2">$P$1+$M2</f>
        <v>65</v>
      </c>
      <c r="Q2" s="598">
        <f t="shared" ref="Q2:Q21" si="3">$Q$1+$M2</f>
        <v>60</v>
      </c>
      <c r="R2" s="598">
        <f t="shared" ref="R2:R21" si="4">$R$1+$M2</f>
        <v>72</v>
      </c>
      <c r="S2" s="598">
        <f t="shared" ref="S2:S21" si="5">$S$1+$M2</f>
        <v>67</v>
      </c>
    </row>
    <row r="3" spans="2:19">
      <c r="B3" s="598" t="s">
        <v>247</v>
      </c>
      <c r="C3" s="598" t="s">
        <v>3609</v>
      </c>
      <c r="G3" s="598">
        <v>2</v>
      </c>
      <c r="H3" s="598" t="s">
        <v>3064</v>
      </c>
      <c r="I3" s="598">
        <v>3</v>
      </c>
      <c r="J3" s="598">
        <v>-0.2</v>
      </c>
      <c r="K3" s="598">
        <v>3</v>
      </c>
      <c r="L3" s="598" t="s">
        <v>2170</v>
      </c>
      <c r="M3" s="598">
        <v>2</v>
      </c>
      <c r="N3" s="598">
        <f t="shared" si="0"/>
        <v>58</v>
      </c>
      <c r="O3" s="598">
        <f t="shared" si="1"/>
        <v>55</v>
      </c>
      <c r="P3" s="598">
        <f t="shared" si="2"/>
        <v>66</v>
      </c>
      <c r="Q3" s="598">
        <f t="shared" si="3"/>
        <v>61</v>
      </c>
      <c r="R3" s="598">
        <f t="shared" si="4"/>
        <v>73</v>
      </c>
      <c r="S3" s="598">
        <f t="shared" si="5"/>
        <v>68</v>
      </c>
    </row>
    <row r="4" spans="2:19">
      <c r="B4" s="598">
        <v>1</v>
      </c>
      <c r="C4" s="598">
        <v>15</v>
      </c>
      <c r="D4" s="598">
        <v>-2500</v>
      </c>
      <c r="E4" s="598">
        <v>-10</v>
      </c>
      <c r="F4" s="598">
        <v>1</v>
      </c>
      <c r="G4" s="598">
        <v>3</v>
      </c>
      <c r="H4" s="598" t="s">
        <v>3064</v>
      </c>
      <c r="I4" s="598">
        <v>4</v>
      </c>
      <c r="J4" s="598">
        <v>-0.15</v>
      </c>
      <c r="K4" s="598">
        <v>4</v>
      </c>
      <c r="L4" s="598" t="s">
        <v>2173</v>
      </c>
      <c r="M4" s="598">
        <v>3</v>
      </c>
      <c r="N4" s="598">
        <f t="shared" si="0"/>
        <v>59</v>
      </c>
      <c r="O4" s="598">
        <f t="shared" si="1"/>
        <v>56</v>
      </c>
      <c r="P4" s="598">
        <f t="shared" si="2"/>
        <v>67</v>
      </c>
      <c r="Q4" s="598">
        <f t="shared" si="3"/>
        <v>62</v>
      </c>
      <c r="R4" s="598">
        <f t="shared" si="4"/>
        <v>74</v>
      </c>
      <c r="S4" s="598">
        <f t="shared" si="5"/>
        <v>69</v>
      </c>
    </row>
    <row r="5" spans="2:19">
      <c r="B5" s="598">
        <v>6</v>
      </c>
      <c r="C5" s="598">
        <v>17</v>
      </c>
      <c r="D5" s="598">
        <v>-2000</v>
      </c>
      <c r="E5" s="598">
        <v>-8</v>
      </c>
      <c r="F5" s="598">
        <v>6</v>
      </c>
      <c r="G5" s="598">
        <v>4</v>
      </c>
      <c r="H5" s="598" t="s">
        <v>3622</v>
      </c>
      <c r="I5" s="598">
        <v>5</v>
      </c>
      <c r="J5" s="598">
        <v>-0.05</v>
      </c>
      <c r="K5" s="598">
        <v>5</v>
      </c>
      <c r="L5" s="598" t="s">
        <v>707</v>
      </c>
      <c r="M5" s="598">
        <v>4</v>
      </c>
      <c r="N5" s="598">
        <f t="shared" si="0"/>
        <v>60</v>
      </c>
      <c r="O5" s="598">
        <f t="shared" si="1"/>
        <v>57</v>
      </c>
      <c r="P5" s="598">
        <f t="shared" si="2"/>
        <v>68</v>
      </c>
      <c r="Q5" s="598">
        <f t="shared" si="3"/>
        <v>63</v>
      </c>
      <c r="R5" s="598">
        <f t="shared" si="4"/>
        <v>75</v>
      </c>
      <c r="S5" s="598">
        <f t="shared" si="5"/>
        <v>70</v>
      </c>
    </row>
    <row r="6" spans="2:19">
      <c r="B6" s="598">
        <v>11</v>
      </c>
      <c r="C6" s="598">
        <v>19</v>
      </c>
      <c r="D6" s="598">
        <v>-1500</v>
      </c>
      <c r="E6" s="598">
        <v>-6</v>
      </c>
      <c r="F6" s="598">
        <v>11</v>
      </c>
      <c r="G6" s="598">
        <v>5</v>
      </c>
      <c r="H6" s="598" t="s">
        <v>3622</v>
      </c>
      <c r="I6" s="598">
        <v>6</v>
      </c>
      <c r="J6" s="598">
        <v>0</v>
      </c>
      <c r="K6" s="598">
        <v>6</v>
      </c>
      <c r="L6" s="598" t="s">
        <v>708</v>
      </c>
      <c r="M6" s="598">
        <v>5</v>
      </c>
      <c r="N6" s="598">
        <f t="shared" si="0"/>
        <v>61</v>
      </c>
      <c r="O6" s="598">
        <f t="shared" si="1"/>
        <v>58</v>
      </c>
      <c r="P6" s="598">
        <f t="shared" si="2"/>
        <v>69</v>
      </c>
      <c r="Q6" s="598">
        <f t="shared" si="3"/>
        <v>64</v>
      </c>
      <c r="R6" s="598">
        <f t="shared" si="4"/>
        <v>76</v>
      </c>
      <c r="S6" s="598">
        <f t="shared" si="5"/>
        <v>71</v>
      </c>
    </row>
    <row r="7" spans="2:19">
      <c r="B7" s="598">
        <v>21</v>
      </c>
      <c r="C7" s="598">
        <v>25</v>
      </c>
      <c r="D7" s="598">
        <v>-1000</v>
      </c>
      <c r="E7" s="598">
        <v>-4</v>
      </c>
      <c r="F7" s="598">
        <v>21</v>
      </c>
      <c r="G7" s="598">
        <v>6</v>
      </c>
      <c r="H7" s="598" t="s">
        <v>3622</v>
      </c>
      <c r="I7" s="598">
        <v>7</v>
      </c>
      <c r="J7" s="598">
        <v>0.05</v>
      </c>
      <c r="K7" s="598">
        <v>7</v>
      </c>
      <c r="L7" s="598" t="s">
        <v>719</v>
      </c>
      <c r="M7" s="598">
        <v>6</v>
      </c>
      <c r="N7" s="598">
        <f t="shared" si="0"/>
        <v>62</v>
      </c>
      <c r="O7" s="598">
        <f t="shared" si="1"/>
        <v>59</v>
      </c>
      <c r="P7" s="598">
        <f t="shared" si="2"/>
        <v>70</v>
      </c>
      <c r="Q7" s="598">
        <f t="shared" si="3"/>
        <v>65</v>
      </c>
      <c r="R7" s="598">
        <f t="shared" si="4"/>
        <v>77</v>
      </c>
      <c r="S7" s="598">
        <f t="shared" si="5"/>
        <v>72</v>
      </c>
    </row>
    <row r="8" spans="2:19">
      <c r="B8" s="598">
        <v>31</v>
      </c>
      <c r="C8" s="598">
        <v>35</v>
      </c>
      <c r="D8" s="598">
        <v>-500</v>
      </c>
      <c r="E8" s="598">
        <v>-2</v>
      </c>
      <c r="F8" s="598">
        <v>31</v>
      </c>
      <c r="G8" s="598">
        <v>7</v>
      </c>
      <c r="H8" s="598" t="s">
        <v>3065</v>
      </c>
      <c r="I8" s="598">
        <v>8</v>
      </c>
      <c r="J8" s="598">
        <v>0.1</v>
      </c>
      <c r="K8" s="598">
        <v>8</v>
      </c>
      <c r="L8" s="598" t="s">
        <v>709</v>
      </c>
      <c r="M8" s="598">
        <v>7</v>
      </c>
      <c r="N8" s="598">
        <f t="shared" si="0"/>
        <v>63</v>
      </c>
      <c r="O8" s="598">
        <f t="shared" si="1"/>
        <v>60</v>
      </c>
      <c r="P8" s="598">
        <f t="shared" si="2"/>
        <v>71</v>
      </c>
      <c r="Q8" s="598">
        <f t="shared" si="3"/>
        <v>66</v>
      </c>
      <c r="R8" s="598">
        <f t="shared" si="4"/>
        <v>78</v>
      </c>
      <c r="S8" s="598">
        <f t="shared" si="5"/>
        <v>73</v>
      </c>
    </row>
    <row r="9" spans="2:19">
      <c r="B9" s="598">
        <v>41</v>
      </c>
      <c r="C9" s="598">
        <v>50</v>
      </c>
      <c r="D9" s="598">
        <v>0</v>
      </c>
      <c r="E9" s="598">
        <v>0</v>
      </c>
      <c r="F9" s="598">
        <v>41</v>
      </c>
      <c r="G9" s="598">
        <v>8</v>
      </c>
      <c r="H9" s="598" t="s">
        <v>3065</v>
      </c>
      <c r="I9" s="598">
        <v>9</v>
      </c>
      <c r="J9" s="598">
        <v>0.15</v>
      </c>
      <c r="K9" s="598">
        <v>9</v>
      </c>
      <c r="L9" s="598" t="s">
        <v>710</v>
      </c>
      <c r="M9" s="598">
        <v>8</v>
      </c>
      <c r="N9" s="598">
        <f t="shared" si="0"/>
        <v>64</v>
      </c>
      <c r="O9" s="598">
        <f t="shared" si="1"/>
        <v>61</v>
      </c>
      <c r="P9" s="598">
        <f t="shared" si="2"/>
        <v>72</v>
      </c>
      <c r="Q9" s="598">
        <f t="shared" si="3"/>
        <v>67</v>
      </c>
      <c r="R9" s="598">
        <f t="shared" si="4"/>
        <v>79</v>
      </c>
      <c r="S9" s="598">
        <f t="shared" si="5"/>
        <v>74</v>
      </c>
    </row>
    <row r="10" spans="2:19">
      <c r="B10" s="598">
        <v>61</v>
      </c>
      <c r="C10" s="598">
        <v>55</v>
      </c>
      <c r="D10" s="598">
        <v>500</v>
      </c>
      <c r="E10" s="598">
        <v>2</v>
      </c>
      <c r="F10" s="598">
        <v>61</v>
      </c>
      <c r="G10" s="598">
        <v>9</v>
      </c>
      <c r="H10" s="598" t="s">
        <v>3065</v>
      </c>
      <c r="I10" s="598">
        <v>10</v>
      </c>
      <c r="J10" s="598">
        <v>0.2</v>
      </c>
      <c r="K10" s="598">
        <v>10</v>
      </c>
      <c r="L10" s="598" t="s">
        <v>711</v>
      </c>
      <c r="M10" s="598">
        <v>9</v>
      </c>
      <c r="N10" s="598">
        <f t="shared" si="0"/>
        <v>65</v>
      </c>
      <c r="O10" s="598">
        <f t="shared" si="1"/>
        <v>62</v>
      </c>
      <c r="P10" s="598">
        <f t="shared" si="2"/>
        <v>73</v>
      </c>
      <c r="Q10" s="598">
        <f t="shared" si="3"/>
        <v>68</v>
      </c>
      <c r="R10" s="598">
        <f t="shared" si="4"/>
        <v>80</v>
      </c>
      <c r="S10" s="598">
        <f t="shared" si="5"/>
        <v>75</v>
      </c>
    </row>
    <row r="11" spans="2:19">
      <c r="B11" s="598">
        <v>71</v>
      </c>
      <c r="C11" s="598">
        <v>60</v>
      </c>
      <c r="D11" s="598">
        <v>1000</v>
      </c>
      <c r="E11" s="598">
        <v>4</v>
      </c>
      <c r="F11" s="598">
        <v>71</v>
      </c>
      <c r="G11" s="598">
        <v>10</v>
      </c>
      <c r="H11" s="598" t="s">
        <v>3066</v>
      </c>
      <c r="I11" s="598">
        <v>11</v>
      </c>
      <c r="J11" s="598">
        <v>0.25</v>
      </c>
      <c r="K11" s="598">
        <v>11</v>
      </c>
      <c r="L11" s="598" t="s">
        <v>3080</v>
      </c>
      <c r="M11" s="598">
        <v>10</v>
      </c>
      <c r="N11" s="598">
        <f t="shared" si="0"/>
        <v>66</v>
      </c>
      <c r="O11" s="598">
        <f t="shared" si="1"/>
        <v>63</v>
      </c>
      <c r="P11" s="598">
        <f t="shared" si="2"/>
        <v>74</v>
      </c>
      <c r="Q11" s="598">
        <f t="shared" si="3"/>
        <v>69</v>
      </c>
      <c r="R11" s="598">
        <f t="shared" si="4"/>
        <v>81</v>
      </c>
      <c r="S11" s="598">
        <f t="shared" si="5"/>
        <v>76</v>
      </c>
    </row>
    <row r="12" spans="2:19">
      <c r="B12" s="598">
        <v>81</v>
      </c>
      <c r="C12" s="598">
        <v>65</v>
      </c>
      <c r="D12" s="598">
        <v>1500</v>
      </c>
      <c r="E12" s="598">
        <v>6</v>
      </c>
      <c r="F12" s="598">
        <v>81</v>
      </c>
      <c r="G12" s="598">
        <v>11</v>
      </c>
      <c r="H12" s="598" t="s">
        <v>3066</v>
      </c>
      <c r="I12" s="598">
        <v>12</v>
      </c>
      <c r="J12" s="598">
        <v>0.3</v>
      </c>
      <c r="K12" s="598">
        <v>12</v>
      </c>
      <c r="L12" s="598" t="s">
        <v>712</v>
      </c>
      <c r="M12" s="598">
        <v>11</v>
      </c>
      <c r="N12" s="598">
        <f t="shared" si="0"/>
        <v>67</v>
      </c>
      <c r="O12" s="598">
        <f t="shared" si="1"/>
        <v>64</v>
      </c>
      <c r="P12" s="598">
        <f t="shared" si="2"/>
        <v>75</v>
      </c>
      <c r="Q12" s="598">
        <f t="shared" si="3"/>
        <v>70</v>
      </c>
      <c r="R12" s="598">
        <f t="shared" si="4"/>
        <v>82</v>
      </c>
      <c r="S12" s="598">
        <f t="shared" si="5"/>
        <v>77</v>
      </c>
    </row>
    <row r="13" spans="2:19">
      <c r="B13" s="598">
        <v>86</v>
      </c>
      <c r="C13" s="598">
        <v>70</v>
      </c>
      <c r="D13" s="598">
        <v>2000</v>
      </c>
      <c r="E13" s="598">
        <v>8</v>
      </c>
      <c r="F13" s="598">
        <v>86</v>
      </c>
      <c r="G13" s="598">
        <v>12</v>
      </c>
      <c r="H13" s="598" t="s">
        <v>3066</v>
      </c>
      <c r="I13" s="598">
        <v>13</v>
      </c>
      <c r="J13" s="598">
        <v>0.35</v>
      </c>
      <c r="K13" s="598">
        <v>13</v>
      </c>
      <c r="L13" s="598" t="s">
        <v>713</v>
      </c>
      <c r="M13" s="598">
        <v>12</v>
      </c>
      <c r="N13" s="598">
        <f t="shared" si="0"/>
        <v>68</v>
      </c>
      <c r="O13" s="598">
        <f t="shared" si="1"/>
        <v>65</v>
      </c>
      <c r="P13" s="598">
        <f t="shared" si="2"/>
        <v>76</v>
      </c>
      <c r="Q13" s="598">
        <f t="shared" si="3"/>
        <v>71</v>
      </c>
      <c r="R13" s="598">
        <f t="shared" si="4"/>
        <v>83</v>
      </c>
      <c r="S13" s="598">
        <f t="shared" si="5"/>
        <v>78</v>
      </c>
    </row>
    <row r="14" spans="2:19">
      <c r="B14" s="598">
        <v>91</v>
      </c>
      <c r="C14" s="598">
        <v>75</v>
      </c>
      <c r="D14" s="598">
        <v>2500</v>
      </c>
      <c r="E14" s="598">
        <v>10</v>
      </c>
      <c r="F14" s="598">
        <v>91</v>
      </c>
      <c r="G14" s="598">
        <v>13</v>
      </c>
      <c r="H14" s="598" t="s">
        <v>3066</v>
      </c>
      <c r="I14" s="598">
        <v>14</v>
      </c>
      <c r="J14" s="598">
        <v>0.4</v>
      </c>
      <c r="K14" s="598">
        <v>14</v>
      </c>
      <c r="L14" s="598" t="s">
        <v>714</v>
      </c>
      <c r="M14" s="598">
        <v>13</v>
      </c>
      <c r="N14" s="598">
        <f t="shared" si="0"/>
        <v>69</v>
      </c>
      <c r="O14" s="598">
        <f t="shared" si="1"/>
        <v>66</v>
      </c>
      <c r="P14" s="598">
        <f t="shared" si="2"/>
        <v>77</v>
      </c>
      <c r="Q14" s="598">
        <f t="shared" si="3"/>
        <v>72</v>
      </c>
      <c r="R14" s="598">
        <f t="shared" si="4"/>
        <v>84</v>
      </c>
      <c r="S14" s="598">
        <f t="shared" si="5"/>
        <v>79</v>
      </c>
    </row>
    <row r="15" spans="2:19">
      <c r="B15" s="598">
        <v>96</v>
      </c>
      <c r="C15" s="598">
        <v>80</v>
      </c>
      <c r="D15" s="598">
        <v>3000</v>
      </c>
      <c r="E15" s="598">
        <v>12</v>
      </c>
      <c r="F15" s="598">
        <v>96</v>
      </c>
      <c r="K15" s="598">
        <v>15</v>
      </c>
      <c r="L15" s="598" t="s">
        <v>715</v>
      </c>
      <c r="M15" s="598">
        <v>14</v>
      </c>
      <c r="N15" s="598">
        <f t="shared" si="0"/>
        <v>70</v>
      </c>
      <c r="O15" s="598">
        <f t="shared" si="1"/>
        <v>67</v>
      </c>
      <c r="P15" s="598">
        <f t="shared" si="2"/>
        <v>78</v>
      </c>
      <c r="Q15" s="598">
        <f t="shared" si="3"/>
        <v>73</v>
      </c>
      <c r="R15" s="598">
        <f t="shared" si="4"/>
        <v>85</v>
      </c>
      <c r="S15" s="598">
        <f t="shared" si="5"/>
        <v>80</v>
      </c>
    </row>
    <row r="16" spans="2:19">
      <c r="B16" s="598">
        <v>100</v>
      </c>
      <c r="C16" s="598">
        <v>85</v>
      </c>
      <c r="D16" s="598">
        <v>3500</v>
      </c>
      <c r="E16" s="598">
        <v>14</v>
      </c>
      <c r="F16" s="598">
        <v>100</v>
      </c>
      <c r="K16" s="598">
        <v>16</v>
      </c>
      <c r="L16" s="598" t="s">
        <v>716</v>
      </c>
      <c r="M16" s="598">
        <v>15</v>
      </c>
      <c r="N16" s="598">
        <f t="shared" si="0"/>
        <v>71</v>
      </c>
      <c r="O16" s="598">
        <f t="shared" si="1"/>
        <v>68</v>
      </c>
      <c r="P16" s="598">
        <f t="shared" si="2"/>
        <v>79</v>
      </c>
      <c r="Q16" s="598">
        <f t="shared" si="3"/>
        <v>74</v>
      </c>
      <c r="R16" s="598">
        <f t="shared" si="4"/>
        <v>86</v>
      </c>
      <c r="S16" s="598">
        <f t="shared" si="5"/>
        <v>81</v>
      </c>
    </row>
    <row r="17" spans="2:19">
      <c r="K17" s="598">
        <v>17</v>
      </c>
      <c r="L17" s="598" t="s">
        <v>717</v>
      </c>
      <c r="M17" s="598">
        <v>16</v>
      </c>
      <c r="N17" s="598">
        <f t="shared" si="0"/>
        <v>72</v>
      </c>
      <c r="O17" s="598">
        <f t="shared" si="1"/>
        <v>69</v>
      </c>
      <c r="P17" s="598">
        <f t="shared" si="2"/>
        <v>80</v>
      </c>
      <c r="Q17" s="598">
        <f t="shared" si="3"/>
        <v>75</v>
      </c>
      <c r="R17" s="598">
        <f t="shared" si="4"/>
        <v>87</v>
      </c>
      <c r="S17" s="598">
        <f t="shared" si="5"/>
        <v>82</v>
      </c>
    </row>
    <row r="18" spans="2:19">
      <c r="C18" s="598" t="s">
        <v>5024</v>
      </c>
      <c r="D18" s="598" t="s">
        <v>4411</v>
      </c>
      <c r="E18" s="598" t="s">
        <v>4412</v>
      </c>
      <c r="K18" s="598">
        <v>18</v>
      </c>
      <c r="L18" s="598" t="s">
        <v>718</v>
      </c>
      <c r="M18" s="598">
        <v>17</v>
      </c>
      <c r="N18" s="598">
        <f t="shared" si="0"/>
        <v>73</v>
      </c>
      <c r="O18" s="598">
        <f t="shared" si="1"/>
        <v>70</v>
      </c>
      <c r="P18" s="598">
        <f t="shared" si="2"/>
        <v>81</v>
      </c>
      <c r="Q18" s="598">
        <f t="shared" si="3"/>
        <v>76</v>
      </c>
      <c r="R18" s="598">
        <f t="shared" si="4"/>
        <v>88</v>
      </c>
      <c r="S18" s="598">
        <f t="shared" si="5"/>
        <v>83</v>
      </c>
    </row>
    <row r="19" spans="2:19">
      <c r="B19" s="598" t="s">
        <v>4413</v>
      </c>
      <c r="K19" s="598">
        <v>19</v>
      </c>
      <c r="L19" s="598" t="s">
        <v>720</v>
      </c>
      <c r="M19" s="598">
        <v>18</v>
      </c>
      <c r="N19" s="598">
        <f t="shared" si="0"/>
        <v>74</v>
      </c>
      <c r="O19" s="598">
        <f t="shared" si="1"/>
        <v>71</v>
      </c>
      <c r="P19" s="598">
        <f t="shared" si="2"/>
        <v>82</v>
      </c>
      <c r="Q19" s="598">
        <f t="shared" si="3"/>
        <v>77</v>
      </c>
      <c r="R19" s="598">
        <f t="shared" si="4"/>
        <v>89</v>
      </c>
      <c r="S19" s="598">
        <f t="shared" si="5"/>
        <v>84</v>
      </c>
    </row>
    <row r="20" spans="2:19">
      <c r="B20" s="598">
        <v>1</v>
      </c>
      <c r="C20" s="598">
        <f>IF('SA&amp;DD'!D38="Y",2.5,5)</f>
        <v>5</v>
      </c>
      <c r="D20" s="598">
        <f>IF('SA&amp;DD'!D38="Y",3.5,7)</f>
        <v>7</v>
      </c>
      <c r="E20" s="598">
        <f>IF('SA&amp;DD'!D38="Y",5,10)</f>
        <v>10</v>
      </c>
      <c r="K20" s="598">
        <v>20</v>
      </c>
      <c r="L20" s="598" t="s">
        <v>721</v>
      </c>
      <c r="M20" s="598">
        <v>19</v>
      </c>
      <c r="N20" s="598">
        <f t="shared" si="0"/>
        <v>75</v>
      </c>
      <c r="O20" s="598">
        <f t="shared" si="1"/>
        <v>72</v>
      </c>
      <c r="P20" s="598">
        <f t="shared" si="2"/>
        <v>83</v>
      </c>
      <c r="Q20" s="598">
        <f t="shared" si="3"/>
        <v>78</v>
      </c>
      <c r="R20" s="598">
        <f t="shared" si="4"/>
        <v>90</v>
      </c>
      <c r="S20" s="598">
        <f t="shared" si="5"/>
        <v>85</v>
      </c>
    </row>
    <row r="21" spans="2:19">
      <c r="B21" s="598">
        <v>151</v>
      </c>
      <c r="C21" s="598">
        <f>IF('SA&amp;DD'!D38="Y",3,6)</f>
        <v>6</v>
      </c>
      <c r="D21" s="598">
        <f>IF('SA&amp;DD'!D38="Y",4,8)</f>
        <v>8</v>
      </c>
      <c r="E21" s="598">
        <f>IF('SA&amp;DD'!D38="Y",5.5,11)</f>
        <v>11</v>
      </c>
      <c r="K21" s="598">
        <v>21</v>
      </c>
      <c r="L21" s="598" t="s">
        <v>1114</v>
      </c>
      <c r="M21" s="598">
        <v>20</v>
      </c>
      <c r="N21" s="598">
        <f t="shared" si="0"/>
        <v>76</v>
      </c>
      <c r="O21" s="598">
        <f t="shared" si="1"/>
        <v>73</v>
      </c>
      <c r="P21" s="598">
        <f t="shared" si="2"/>
        <v>84</v>
      </c>
      <c r="Q21" s="598">
        <f t="shared" si="3"/>
        <v>79</v>
      </c>
      <c r="R21" s="598">
        <f t="shared" si="4"/>
        <v>91</v>
      </c>
      <c r="S21" s="598">
        <f t="shared" si="5"/>
        <v>86</v>
      </c>
    </row>
    <row r="22" spans="2:19">
      <c r="K22" s="598">
        <v>22</v>
      </c>
      <c r="L22" s="598" t="s">
        <v>1115</v>
      </c>
    </row>
    <row r="23" spans="2:19">
      <c r="B23" s="598" t="s">
        <v>4690</v>
      </c>
      <c r="C23" s="598">
        <v>1</v>
      </c>
      <c r="D23" s="598">
        <v>150</v>
      </c>
      <c r="E23" s="598">
        <f>IF('SA&amp;DD'!$D$38="Y",2.5,5)</f>
        <v>5</v>
      </c>
      <c r="F23" s="598">
        <f>IF('SA&amp;DD'!$D$38="Y",3.5,7)</f>
        <v>7</v>
      </c>
      <c r="G23" s="598">
        <f>IF('SA&amp;DD'!$D$38="Y",5,10)</f>
        <v>10</v>
      </c>
      <c r="K23" s="598">
        <v>23</v>
      </c>
      <c r="L23" s="598" t="s">
        <v>1116</v>
      </c>
    </row>
    <row r="24" spans="2:19">
      <c r="B24" s="598" t="s">
        <v>4690</v>
      </c>
      <c r="C24" s="598">
        <v>151</v>
      </c>
      <c r="D24" s="598">
        <v>260</v>
      </c>
      <c r="E24" s="598">
        <f>IF('SA&amp;DD'!$D$38="Y",3,6)</f>
        <v>6</v>
      </c>
      <c r="F24" s="598">
        <f>IF('SA&amp;DD'!$D$38="Y",4,8)</f>
        <v>8</v>
      </c>
      <c r="G24" s="598">
        <f>IF('SA&amp;DD'!$D$38="Y",5.5,11)</f>
        <v>11</v>
      </c>
      <c r="K24" s="598">
        <v>24</v>
      </c>
      <c r="L24" s="598" t="s">
        <v>1117</v>
      </c>
      <c r="N24" s="598">
        <f>INT(+P25/12)</f>
        <v>5</v>
      </c>
      <c r="O24" s="598">
        <f>P25-(12*N24)</f>
        <v>7</v>
      </c>
      <c r="P24" s="598">
        <f>IF('Main Creation Page'!AF33="True Elf",5,IF('Main Creation Page'!AF33="Great Elf",3,1))+IF('Main Creation Page'!I31="M",1,2)</f>
        <v>2</v>
      </c>
    </row>
    <row r="25" spans="2:19">
      <c r="B25" s="598" t="s">
        <v>4691</v>
      </c>
      <c r="C25" s="598">
        <v>1</v>
      </c>
      <c r="D25" s="598">
        <v>150</v>
      </c>
      <c r="E25" s="598">
        <f>IF('SA&amp;DD'!$D$38="Y",2,4)</f>
        <v>4</v>
      </c>
      <c r="F25" s="598">
        <f>IF('SA&amp;DD'!$D$38="Y",3,6)</f>
        <v>6</v>
      </c>
      <c r="G25" s="598">
        <f>IF('SA&amp;DD'!$D$38="Y",4,8)</f>
        <v>8</v>
      </c>
      <c r="K25" s="598">
        <v>25</v>
      </c>
      <c r="L25" s="598" t="s">
        <v>1118</v>
      </c>
      <c r="N25" s="598" t="str">
        <f>CONCATENATE(N24,"ft. ",O24," in.")</f>
        <v>5ft. 7 in.</v>
      </c>
      <c r="P25" s="598">
        <f>VLOOKUP('Main Creation Page'!S33,M2:S22,P24)</f>
        <v>67</v>
      </c>
    </row>
    <row r="26" spans="2:19">
      <c r="B26" s="598" t="s">
        <v>4691</v>
      </c>
      <c r="C26" s="598">
        <v>151</v>
      </c>
      <c r="D26" s="598">
        <v>360</v>
      </c>
      <c r="E26" s="598">
        <f>IF('SA&amp;DD'!$D$38="Y",2.5,5)</f>
        <v>5</v>
      </c>
      <c r="F26" s="598">
        <f>IF('SA&amp;DD'!$D$38="Y",3.5,7)</f>
        <v>7</v>
      </c>
      <c r="G26" s="598">
        <f>IF('SA&amp;DD'!$D$38="Y",4.5,9)</f>
        <v>9</v>
      </c>
      <c r="K26" s="598">
        <v>26</v>
      </c>
      <c r="L26" s="598" t="s">
        <v>1119</v>
      </c>
    </row>
    <row r="27" spans="2:19">
      <c r="K27" s="598">
        <v>27</v>
      </c>
      <c r="L27" s="598" t="s">
        <v>1120</v>
      </c>
      <c r="N27" s="598">
        <f>10+5*(P25-40)</f>
        <v>145</v>
      </c>
      <c r="O27" s="598">
        <f>N27+(VLOOKUP('Main Creation Page'!S34,G1:J14,4)*N27)</f>
        <v>159.5</v>
      </c>
    </row>
    <row r="28" spans="2:19">
      <c r="K28" s="598">
        <v>28</v>
      </c>
      <c r="L28" s="598" t="s">
        <v>1121</v>
      </c>
    </row>
    <row r="29" spans="2:19">
      <c r="K29" s="598">
        <v>29</v>
      </c>
      <c r="L29" s="598" t="s">
        <v>1122</v>
      </c>
      <c r="N29" s="598">
        <v>44</v>
      </c>
      <c r="O29" s="598">
        <v>10</v>
      </c>
    </row>
    <row r="30" spans="2:19">
      <c r="B30" s="598">
        <v>1</v>
      </c>
      <c r="C30" s="598" t="s">
        <v>5412</v>
      </c>
      <c r="D30" s="598" t="s">
        <v>5140</v>
      </c>
      <c r="E30" s="598">
        <v>2</v>
      </c>
      <c r="K30" s="598">
        <v>30</v>
      </c>
      <c r="L30" s="598" t="s">
        <v>1123</v>
      </c>
      <c r="N30" s="598">
        <v>53</v>
      </c>
      <c r="O30" s="598">
        <v>11</v>
      </c>
    </row>
    <row r="31" spans="2:19">
      <c r="B31" s="598">
        <v>7</v>
      </c>
      <c r="C31" s="598" t="s">
        <v>5413</v>
      </c>
      <c r="D31" s="598" t="s">
        <v>5084</v>
      </c>
      <c r="E31" s="598">
        <v>2</v>
      </c>
      <c r="K31" s="598">
        <v>31</v>
      </c>
      <c r="L31" s="598" t="s">
        <v>1124</v>
      </c>
      <c r="N31" s="598">
        <v>64</v>
      </c>
      <c r="O31" s="598">
        <v>12</v>
      </c>
    </row>
    <row r="32" spans="2:19">
      <c r="B32" s="598">
        <v>15</v>
      </c>
      <c r="C32" s="598" t="s">
        <v>5414</v>
      </c>
      <c r="D32" s="598" t="s">
        <v>3963</v>
      </c>
      <c r="E32" s="598">
        <v>-4</v>
      </c>
      <c r="K32" s="598">
        <v>32</v>
      </c>
      <c r="L32" s="598" t="s">
        <v>1125</v>
      </c>
      <c r="N32" s="598">
        <v>75</v>
      </c>
      <c r="O32" s="598">
        <v>13</v>
      </c>
    </row>
    <row r="33" spans="2:15">
      <c r="B33" s="598">
        <v>23</v>
      </c>
      <c r="C33" s="598" t="s">
        <v>4793</v>
      </c>
      <c r="D33" s="598" t="s">
        <v>5536</v>
      </c>
      <c r="E33" s="598">
        <v>4</v>
      </c>
      <c r="K33" s="598">
        <v>33</v>
      </c>
      <c r="L33" s="598" t="s">
        <v>1126</v>
      </c>
      <c r="N33" s="598">
        <v>87</v>
      </c>
      <c r="O33" s="598">
        <v>14</v>
      </c>
    </row>
    <row r="34" spans="2:15">
      <c r="B34" s="598">
        <v>31</v>
      </c>
      <c r="C34" s="598" t="s">
        <v>4794</v>
      </c>
      <c r="D34" s="598" t="s">
        <v>5537</v>
      </c>
      <c r="E34" s="598">
        <v>2</v>
      </c>
      <c r="K34" s="598">
        <v>34</v>
      </c>
      <c r="L34" s="598" t="s">
        <v>1127</v>
      </c>
      <c r="N34" s="598">
        <v>100</v>
      </c>
      <c r="O34" s="598">
        <v>15</v>
      </c>
    </row>
    <row r="35" spans="2:15">
      <c r="B35" s="598">
        <v>39</v>
      </c>
      <c r="C35" s="598" t="s">
        <v>5528</v>
      </c>
      <c r="D35" s="598" t="s">
        <v>5084</v>
      </c>
      <c r="E35" s="598">
        <v>2</v>
      </c>
      <c r="K35" s="598">
        <v>35</v>
      </c>
      <c r="L35" s="598" t="s">
        <v>1128</v>
      </c>
      <c r="N35" s="598">
        <v>113</v>
      </c>
      <c r="O35" s="598">
        <v>16</v>
      </c>
    </row>
    <row r="36" spans="2:15">
      <c r="B36" s="598">
        <v>46</v>
      </c>
      <c r="C36" s="598" t="s">
        <v>5529</v>
      </c>
      <c r="D36" s="598" t="s">
        <v>5538</v>
      </c>
      <c r="E36" s="598">
        <v>1</v>
      </c>
      <c r="K36" s="598">
        <v>36</v>
      </c>
      <c r="L36" s="598" t="s">
        <v>1129</v>
      </c>
      <c r="N36" s="598">
        <v>128</v>
      </c>
      <c r="O36" s="598">
        <v>17</v>
      </c>
    </row>
    <row r="37" spans="2:15">
      <c r="B37" s="598">
        <v>54</v>
      </c>
      <c r="C37" s="598" t="s">
        <v>5530</v>
      </c>
      <c r="D37" s="598" t="s">
        <v>5539</v>
      </c>
      <c r="E37" s="598">
        <v>4</v>
      </c>
      <c r="K37" s="598">
        <v>37</v>
      </c>
      <c r="L37" s="598" t="s">
        <v>1130</v>
      </c>
      <c r="N37" s="598">
        <v>144</v>
      </c>
      <c r="O37" s="598">
        <v>18</v>
      </c>
    </row>
    <row r="38" spans="2:15">
      <c r="B38" s="598">
        <v>63</v>
      </c>
      <c r="C38" s="598" t="s">
        <v>5531</v>
      </c>
      <c r="D38" s="598" t="s">
        <v>5540</v>
      </c>
      <c r="E38" s="598">
        <v>3</v>
      </c>
      <c r="K38" s="598">
        <v>38</v>
      </c>
      <c r="L38" s="598" t="s">
        <v>1131</v>
      </c>
      <c r="N38" s="598">
        <v>160</v>
      </c>
      <c r="O38" s="598">
        <v>19</v>
      </c>
    </row>
    <row r="39" spans="2:15">
      <c r="B39" s="598">
        <v>70</v>
      </c>
      <c r="C39" s="598" t="s">
        <v>5532</v>
      </c>
      <c r="D39" s="598" t="s">
        <v>3963</v>
      </c>
      <c r="E39" s="598">
        <v>5</v>
      </c>
      <c r="K39" s="598">
        <v>39</v>
      </c>
      <c r="L39" s="598" t="s">
        <v>1132</v>
      </c>
      <c r="N39" s="598">
        <v>177</v>
      </c>
      <c r="O39" s="598">
        <v>20</v>
      </c>
    </row>
    <row r="40" spans="2:15">
      <c r="B40" s="598">
        <v>78</v>
      </c>
      <c r="C40" s="598" t="s">
        <v>5533</v>
      </c>
      <c r="D40" s="598" t="s">
        <v>3960</v>
      </c>
      <c r="E40" s="598">
        <v>7</v>
      </c>
      <c r="K40" s="598">
        <v>40</v>
      </c>
      <c r="L40" s="598" t="s">
        <v>1133</v>
      </c>
      <c r="N40" s="598">
        <v>196</v>
      </c>
      <c r="O40" s="598">
        <v>21</v>
      </c>
    </row>
    <row r="41" spans="2:15">
      <c r="B41" s="598">
        <v>86</v>
      </c>
      <c r="C41" s="598" t="s">
        <v>5534</v>
      </c>
      <c r="D41" s="598" t="s">
        <v>5084</v>
      </c>
      <c r="E41" s="598">
        <v>3</v>
      </c>
      <c r="K41" s="598">
        <v>41</v>
      </c>
      <c r="L41" s="598" t="s">
        <v>1134</v>
      </c>
      <c r="N41" s="598">
        <v>215</v>
      </c>
      <c r="O41" s="598">
        <v>22</v>
      </c>
    </row>
    <row r="42" spans="2:15">
      <c r="B42" s="598">
        <v>95</v>
      </c>
      <c r="C42" s="598" t="s">
        <v>5535</v>
      </c>
      <c r="D42" s="598" t="s">
        <v>641</v>
      </c>
      <c r="E42" s="598">
        <v>4</v>
      </c>
      <c r="K42" s="598">
        <v>42</v>
      </c>
      <c r="L42" s="598" t="s">
        <v>3428</v>
      </c>
      <c r="N42" s="598">
        <v>235</v>
      </c>
      <c r="O42" s="598">
        <v>23</v>
      </c>
    </row>
    <row r="43" spans="2:15">
      <c r="K43" s="598">
        <v>43</v>
      </c>
      <c r="L43" s="598" t="s">
        <v>3429</v>
      </c>
      <c r="N43" s="598">
        <v>256</v>
      </c>
      <c r="O43" s="598">
        <v>24</v>
      </c>
    </row>
    <row r="44" spans="2:15">
      <c r="K44" s="598">
        <v>44</v>
      </c>
      <c r="L44" s="598" t="s">
        <v>3430</v>
      </c>
      <c r="N44" s="598">
        <v>278</v>
      </c>
      <c r="O44" s="598">
        <v>25</v>
      </c>
    </row>
    <row r="45" spans="2:15">
      <c r="K45" s="598">
        <v>45</v>
      </c>
      <c r="L45" s="598" t="s">
        <v>3431</v>
      </c>
      <c r="N45" s="598">
        <v>300</v>
      </c>
      <c r="O45" s="598">
        <v>26</v>
      </c>
    </row>
    <row r="46" spans="2:15">
      <c r="K46" s="598">
        <v>46</v>
      </c>
      <c r="L46" s="598" t="s">
        <v>5287</v>
      </c>
      <c r="N46" s="598">
        <v>324</v>
      </c>
      <c r="O46" s="598">
        <v>27</v>
      </c>
    </row>
    <row r="47" spans="2:15">
      <c r="K47" s="598">
        <v>47</v>
      </c>
      <c r="L47" s="598" t="s">
        <v>5288</v>
      </c>
      <c r="N47" s="598">
        <v>348</v>
      </c>
      <c r="O47" s="598">
        <v>28</v>
      </c>
    </row>
    <row r="48" spans="2:15">
      <c r="K48" s="598">
        <v>48</v>
      </c>
      <c r="L48" s="598" t="s">
        <v>1775</v>
      </c>
      <c r="N48" s="598">
        <v>373</v>
      </c>
      <c r="O48" s="598">
        <v>29</v>
      </c>
    </row>
    <row r="49" spans="8:15">
      <c r="K49" s="598">
        <v>49</v>
      </c>
      <c r="L49" s="598" t="s">
        <v>1776</v>
      </c>
      <c r="N49" s="598">
        <v>400</v>
      </c>
      <c r="O49" s="598">
        <v>30</v>
      </c>
    </row>
    <row r="50" spans="8:15">
      <c r="N50" s="598">
        <v>427</v>
      </c>
      <c r="O50" s="598">
        <v>31</v>
      </c>
    </row>
    <row r="51" spans="8:15">
      <c r="N51" s="598">
        <v>455</v>
      </c>
      <c r="O51" s="598">
        <v>32</v>
      </c>
    </row>
    <row r="52" spans="8:15">
      <c r="N52" s="598">
        <v>484</v>
      </c>
      <c r="O52" s="598">
        <v>33</v>
      </c>
    </row>
    <row r="53" spans="8:15">
      <c r="H53" s="598" t="s">
        <v>4140</v>
      </c>
      <c r="K53" s="598">
        <v>1</v>
      </c>
      <c r="L53" s="598" t="s">
        <v>4691</v>
      </c>
      <c r="O53" s="598">
        <v>9</v>
      </c>
    </row>
    <row r="54" spans="8:15">
      <c r="H54" s="598">
        <v>1</v>
      </c>
      <c r="I54" s="598" t="s">
        <v>4576</v>
      </c>
      <c r="J54" s="598">
        <v>15</v>
      </c>
      <c r="K54" s="598">
        <v>3</v>
      </c>
      <c r="L54" s="598">
        <v>1</v>
      </c>
      <c r="M54" s="598" t="s">
        <v>935</v>
      </c>
      <c r="N54" s="598">
        <v>33</v>
      </c>
      <c r="O54" s="598">
        <v>5</v>
      </c>
    </row>
    <row r="55" spans="8:15">
      <c r="H55" s="598">
        <v>11</v>
      </c>
      <c r="I55" s="598" t="s">
        <v>4577</v>
      </c>
      <c r="J55" s="598">
        <v>3</v>
      </c>
      <c r="K55" s="598">
        <v>3</v>
      </c>
      <c r="L55" s="598">
        <v>9</v>
      </c>
      <c r="M55" s="598" t="s">
        <v>936</v>
      </c>
      <c r="N55" s="598">
        <v>30</v>
      </c>
      <c r="O55" s="598">
        <v>6</v>
      </c>
    </row>
    <row r="56" spans="8:15">
      <c r="H56" s="598">
        <v>14</v>
      </c>
      <c r="I56" s="598" t="s">
        <v>5076</v>
      </c>
      <c r="J56" s="598">
        <v>5</v>
      </c>
      <c r="K56" s="598">
        <v>2</v>
      </c>
      <c r="L56" s="598">
        <v>16</v>
      </c>
      <c r="M56" s="598" t="s">
        <v>2762</v>
      </c>
      <c r="N56" s="598">
        <v>32</v>
      </c>
      <c r="O56" s="598">
        <v>4</v>
      </c>
    </row>
    <row r="57" spans="8:15">
      <c r="H57" s="598">
        <v>40</v>
      </c>
      <c r="I57" s="598" t="s">
        <v>4578</v>
      </c>
      <c r="J57" s="598">
        <v>9</v>
      </c>
      <c r="K57" s="598">
        <v>3</v>
      </c>
      <c r="L57" s="598">
        <v>19</v>
      </c>
      <c r="M57" s="598" t="s">
        <v>937</v>
      </c>
      <c r="N57" s="598">
        <v>31</v>
      </c>
      <c r="O57" s="598">
        <v>5</v>
      </c>
    </row>
    <row r="58" spans="8:15">
      <c r="H58" s="598">
        <v>47</v>
      </c>
      <c r="I58" s="598" t="s">
        <v>3057</v>
      </c>
      <c r="J58" s="598">
        <v>13</v>
      </c>
      <c r="K58" s="598">
        <v>3</v>
      </c>
      <c r="L58" s="598">
        <v>23</v>
      </c>
      <c r="M58" s="598" t="s">
        <v>938</v>
      </c>
      <c r="N58" s="598">
        <v>32</v>
      </c>
      <c r="O58" s="598">
        <v>6</v>
      </c>
    </row>
    <row r="59" spans="8:15">
      <c r="H59" s="598">
        <v>68</v>
      </c>
      <c r="I59" s="598" t="s">
        <v>1501</v>
      </c>
      <c r="J59" s="598">
        <v>12</v>
      </c>
      <c r="K59" s="598">
        <v>3</v>
      </c>
      <c r="L59" s="598">
        <v>31</v>
      </c>
      <c r="M59" s="598" t="s">
        <v>939</v>
      </c>
      <c r="N59" s="598">
        <v>31</v>
      </c>
      <c r="O59" s="598">
        <v>4</v>
      </c>
    </row>
    <row r="60" spans="8:15">
      <c r="H60" s="598">
        <v>88</v>
      </c>
      <c r="I60" s="598" t="s">
        <v>4138</v>
      </c>
      <c r="J60" s="598">
        <v>9</v>
      </c>
      <c r="K60" s="598">
        <v>2</v>
      </c>
      <c r="L60" s="598">
        <v>35</v>
      </c>
      <c r="M60" s="598" t="s">
        <v>3287</v>
      </c>
      <c r="N60" s="598">
        <v>32</v>
      </c>
      <c r="O60" s="598">
        <v>4</v>
      </c>
    </row>
    <row r="61" spans="8:15">
      <c r="H61" s="598">
        <v>96</v>
      </c>
      <c r="I61" s="598" t="s">
        <v>4139</v>
      </c>
      <c r="J61" s="598">
        <v>10</v>
      </c>
      <c r="K61" s="598">
        <v>2</v>
      </c>
      <c r="L61" s="598">
        <v>39</v>
      </c>
      <c r="M61" s="598" t="s">
        <v>2027</v>
      </c>
      <c r="N61" s="598">
        <v>34</v>
      </c>
      <c r="O61" s="598">
        <v>5</v>
      </c>
    </row>
    <row r="63" spans="8:15">
      <c r="H63" s="598" t="s">
        <v>4567</v>
      </c>
      <c r="K63" s="598">
        <v>5</v>
      </c>
      <c r="L63" s="598" t="s">
        <v>2028</v>
      </c>
      <c r="O63" s="598">
        <v>10</v>
      </c>
    </row>
    <row r="64" spans="8:15">
      <c r="H64" s="598">
        <v>1</v>
      </c>
      <c r="I64" s="598" t="s">
        <v>4141</v>
      </c>
      <c r="J64" s="598">
        <v>14</v>
      </c>
      <c r="K64" s="598">
        <v>3</v>
      </c>
      <c r="L64" s="598">
        <v>1</v>
      </c>
      <c r="M64" s="598" t="s">
        <v>2029</v>
      </c>
      <c r="N64" s="598">
        <v>45</v>
      </c>
      <c r="O64" s="598">
        <v>6</v>
      </c>
    </row>
    <row r="65" spans="8:15">
      <c r="H65" s="598">
        <v>3</v>
      </c>
      <c r="I65" s="598" t="s">
        <v>4142</v>
      </c>
      <c r="J65" s="598">
        <v>12</v>
      </c>
      <c r="K65" s="598">
        <v>3</v>
      </c>
      <c r="L65" s="598">
        <v>61</v>
      </c>
      <c r="M65" s="598" t="s">
        <v>2030</v>
      </c>
      <c r="N65" s="598">
        <v>50</v>
      </c>
      <c r="O65" s="598">
        <v>7</v>
      </c>
    </row>
    <row r="66" spans="8:15">
      <c r="H66" s="598">
        <v>7</v>
      </c>
      <c r="I66" s="598" t="s">
        <v>5325</v>
      </c>
      <c r="J66" s="598">
        <v>6</v>
      </c>
      <c r="K66" s="598">
        <v>2</v>
      </c>
      <c r="L66" s="598">
        <v>96</v>
      </c>
      <c r="M66" s="598" t="s">
        <v>2031</v>
      </c>
      <c r="N66" s="598">
        <v>55</v>
      </c>
      <c r="O66" s="598">
        <v>7</v>
      </c>
    </row>
    <row r="67" spans="8:15">
      <c r="H67" s="598">
        <v>9</v>
      </c>
      <c r="I67" s="598" t="s">
        <v>4143</v>
      </c>
      <c r="J67" s="598">
        <v>10</v>
      </c>
      <c r="K67" s="598">
        <v>3</v>
      </c>
      <c r="L67" s="598">
        <v>100</v>
      </c>
      <c r="M67" s="598" t="s">
        <v>2032</v>
      </c>
      <c r="N67" s="598">
        <v>70</v>
      </c>
      <c r="O67" s="598">
        <v>9</v>
      </c>
    </row>
    <row r="68" spans="8:15">
      <c r="H68" s="598">
        <v>12</v>
      </c>
      <c r="I68" s="598" t="s">
        <v>4144</v>
      </c>
      <c r="J68" s="598">
        <v>12</v>
      </c>
      <c r="K68" s="598">
        <v>2</v>
      </c>
    </row>
    <row r="69" spans="8:15">
      <c r="H69" s="598">
        <v>15</v>
      </c>
      <c r="I69" s="598" t="s">
        <v>4145</v>
      </c>
      <c r="J69" s="598">
        <v>15</v>
      </c>
      <c r="K69" s="598">
        <v>2</v>
      </c>
    </row>
    <row r="70" spans="8:15">
      <c r="H70" s="598">
        <v>23</v>
      </c>
      <c r="I70" s="598" t="s">
        <v>233</v>
      </c>
      <c r="J70" s="598">
        <v>8</v>
      </c>
      <c r="K70" s="598">
        <v>2</v>
      </c>
    </row>
    <row r="71" spans="8:15">
      <c r="H71" s="598">
        <v>28</v>
      </c>
      <c r="I71" s="598" t="s">
        <v>4578</v>
      </c>
      <c r="J71" s="598">
        <v>9</v>
      </c>
      <c r="K71" s="598">
        <v>3</v>
      </c>
    </row>
    <row r="72" spans="8:15">
      <c r="H72" s="598">
        <v>32</v>
      </c>
      <c r="I72" s="598" t="s">
        <v>4146</v>
      </c>
      <c r="J72" s="598">
        <v>9</v>
      </c>
      <c r="K72" s="598">
        <v>2</v>
      </c>
    </row>
    <row r="73" spans="8:15">
      <c r="H73" s="598">
        <v>35</v>
      </c>
      <c r="I73" s="598" t="s">
        <v>4147</v>
      </c>
      <c r="J73" s="598">
        <v>7</v>
      </c>
      <c r="K73" s="598">
        <v>2</v>
      </c>
    </row>
    <row r="74" spans="8:15">
      <c r="H74" s="598">
        <v>60</v>
      </c>
      <c r="I74" s="598" t="s">
        <v>4148</v>
      </c>
      <c r="J74" s="598">
        <v>10</v>
      </c>
      <c r="K74" s="598">
        <v>2</v>
      </c>
    </row>
    <row r="75" spans="8:15">
      <c r="H75" s="598">
        <v>62</v>
      </c>
      <c r="I75" s="598" t="s">
        <v>4149</v>
      </c>
      <c r="J75" s="598">
        <v>12</v>
      </c>
      <c r="K75" s="598">
        <v>3</v>
      </c>
    </row>
    <row r="76" spans="8:15">
      <c r="H76" s="598">
        <v>64</v>
      </c>
      <c r="I76" s="598" t="s">
        <v>4150</v>
      </c>
      <c r="J76" s="598">
        <v>15</v>
      </c>
      <c r="K76" s="598">
        <v>3</v>
      </c>
    </row>
    <row r="77" spans="8:15">
      <c r="H77" s="598">
        <v>66</v>
      </c>
      <c r="I77" s="598" t="s">
        <v>4374</v>
      </c>
      <c r="J77" s="598">
        <v>18</v>
      </c>
      <c r="K77" s="598">
        <v>4</v>
      </c>
    </row>
    <row r="78" spans="8:15">
      <c r="H78" s="598">
        <v>68</v>
      </c>
      <c r="I78" s="598" t="s">
        <v>4375</v>
      </c>
      <c r="J78" s="598">
        <v>12</v>
      </c>
      <c r="K78" s="598">
        <v>1</v>
      </c>
    </row>
    <row r="79" spans="8:15">
      <c r="H79" s="598">
        <v>71</v>
      </c>
      <c r="I79" s="598" t="s">
        <v>4376</v>
      </c>
      <c r="J79" s="598">
        <v>10</v>
      </c>
      <c r="K79" s="598">
        <v>3</v>
      </c>
    </row>
    <row r="80" spans="8:15">
      <c r="H80" s="598">
        <v>73</v>
      </c>
      <c r="I80" s="598" t="s">
        <v>4377</v>
      </c>
      <c r="J80" s="598">
        <v>8</v>
      </c>
      <c r="K80" s="598">
        <v>2</v>
      </c>
    </row>
    <row r="81" spans="2:17">
      <c r="H81" s="598">
        <v>93</v>
      </c>
      <c r="I81" s="598" t="s">
        <v>4378</v>
      </c>
      <c r="J81" s="598">
        <v>10</v>
      </c>
      <c r="K81" s="598">
        <v>2</v>
      </c>
    </row>
    <row r="82" spans="2:17">
      <c r="H82" s="598">
        <v>98</v>
      </c>
      <c r="I82" s="598" t="s">
        <v>4379</v>
      </c>
      <c r="J82" s="598">
        <v>13</v>
      </c>
      <c r="K82" s="598">
        <v>3</v>
      </c>
    </row>
    <row r="83" spans="2:17">
      <c r="H83" s="598">
        <v>100</v>
      </c>
      <c r="I83" s="598" t="s">
        <v>4380</v>
      </c>
      <c r="J83" s="598">
        <v>18</v>
      </c>
      <c r="K83" s="598">
        <v>3</v>
      </c>
    </row>
    <row r="85" spans="2:17">
      <c r="G85" s="598">
        <v>0</v>
      </c>
      <c r="H85" s="598" t="s">
        <v>3063</v>
      </c>
      <c r="I85" s="598">
        <v>1</v>
      </c>
      <c r="J85" s="598">
        <v>-0.3</v>
      </c>
      <c r="K85" s="598">
        <v>1</v>
      </c>
      <c r="L85" s="598" t="s">
        <v>2168</v>
      </c>
      <c r="N85" s="598">
        <v>46</v>
      </c>
      <c r="O85" s="598">
        <v>41</v>
      </c>
      <c r="P85" s="598">
        <v>49</v>
      </c>
      <c r="Q85" s="598">
        <v>44</v>
      </c>
    </row>
    <row r="86" spans="2:17">
      <c r="B86" s="598" t="s">
        <v>247</v>
      </c>
      <c r="C86" s="598" t="s">
        <v>3610</v>
      </c>
      <c r="G86" s="598">
        <v>1</v>
      </c>
      <c r="H86" s="598" t="s">
        <v>3063</v>
      </c>
      <c r="I86" s="598">
        <v>2</v>
      </c>
      <c r="J86" s="598">
        <v>-0.25</v>
      </c>
      <c r="K86" s="598">
        <v>2</v>
      </c>
      <c r="L86" s="598" t="s">
        <v>2169</v>
      </c>
      <c r="M86" s="598">
        <v>1</v>
      </c>
      <c r="N86" s="598">
        <f t="shared" ref="N86:N105" si="6">$N$85+M86</f>
        <v>47</v>
      </c>
      <c r="O86" s="598">
        <f t="shared" ref="O86:O105" si="7">$O$85+$M86</f>
        <v>42</v>
      </c>
      <c r="P86" s="598">
        <f t="shared" ref="P86:P105" si="8">$P$85+$M86</f>
        <v>50</v>
      </c>
      <c r="Q86" s="598">
        <f t="shared" ref="Q86:Q105" si="9">$Q$85+$M86</f>
        <v>45</v>
      </c>
    </row>
    <row r="87" spans="2:17">
      <c r="B87" s="598">
        <v>1</v>
      </c>
      <c r="C87" s="598">
        <v>14</v>
      </c>
      <c r="D87" s="598">
        <v>-2500</v>
      </c>
      <c r="E87" s="598">
        <v>-10</v>
      </c>
      <c r="F87" s="598">
        <v>1</v>
      </c>
      <c r="G87" s="598">
        <v>2</v>
      </c>
      <c r="H87" s="598" t="s">
        <v>3064</v>
      </c>
      <c r="I87" s="598">
        <v>3</v>
      </c>
      <c r="J87" s="598">
        <v>-0.2</v>
      </c>
      <c r="K87" s="598">
        <v>3</v>
      </c>
      <c r="L87" s="598" t="s">
        <v>2170</v>
      </c>
      <c r="M87" s="598">
        <v>2</v>
      </c>
      <c r="N87" s="598">
        <f t="shared" si="6"/>
        <v>48</v>
      </c>
      <c r="O87" s="598">
        <f t="shared" si="7"/>
        <v>43</v>
      </c>
      <c r="P87" s="598">
        <f t="shared" si="8"/>
        <v>51</v>
      </c>
      <c r="Q87" s="598">
        <f t="shared" si="9"/>
        <v>46</v>
      </c>
    </row>
    <row r="88" spans="2:17">
      <c r="B88" s="598">
        <v>6</v>
      </c>
      <c r="C88" s="598">
        <v>16</v>
      </c>
      <c r="D88" s="598">
        <v>-2000</v>
      </c>
      <c r="E88" s="598">
        <v>-8</v>
      </c>
      <c r="F88" s="598">
        <v>6</v>
      </c>
      <c r="G88" s="598">
        <v>3</v>
      </c>
      <c r="H88" s="598" t="s">
        <v>3064</v>
      </c>
      <c r="I88" s="598">
        <v>4</v>
      </c>
      <c r="J88" s="598">
        <v>-0.15</v>
      </c>
      <c r="K88" s="598">
        <v>4</v>
      </c>
      <c r="L88" s="598" t="s">
        <v>2173</v>
      </c>
      <c r="M88" s="598">
        <v>3</v>
      </c>
      <c r="N88" s="598">
        <f t="shared" si="6"/>
        <v>49</v>
      </c>
      <c r="O88" s="598">
        <f t="shared" si="7"/>
        <v>44</v>
      </c>
      <c r="P88" s="598">
        <f t="shared" si="8"/>
        <v>52</v>
      </c>
      <c r="Q88" s="598">
        <f t="shared" si="9"/>
        <v>47</v>
      </c>
    </row>
    <row r="89" spans="2:17">
      <c r="B89" s="598">
        <v>11</v>
      </c>
      <c r="C89" s="598">
        <v>18</v>
      </c>
      <c r="D89" s="598">
        <v>-1500</v>
      </c>
      <c r="E89" s="598">
        <v>-6</v>
      </c>
      <c r="F89" s="598">
        <v>11</v>
      </c>
      <c r="G89" s="598">
        <v>4</v>
      </c>
      <c r="H89" s="598" t="s">
        <v>3622</v>
      </c>
      <c r="I89" s="598">
        <v>5</v>
      </c>
      <c r="J89" s="598">
        <v>-0.05</v>
      </c>
      <c r="K89" s="598">
        <v>5</v>
      </c>
      <c r="L89" s="598" t="s">
        <v>707</v>
      </c>
      <c r="M89" s="598">
        <v>4</v>
      </c>
      <c r="N89" s="598">
        <f t="shared" si="6"/>
        <v>50</v>
      </c>
      <c r="O89" s="598">
        <f t="shared" si="7"/>
        <v>45</v>
      </c>
      <c r="P89" s="598">
        <f t="shared" si="8"/>
        <v>53</v>
      </c>
      <c r="Q89" s="598">
        <f t="shared" si="9"/>
        <v>48</v>
      </c>
    </row>
    <row r="90" spans="2:17">
      <c r="B90" s="598">
        <v>21</v>
      </c>
      <c r="C90" s="598">
        <v>20</v>
      </c>
      <c r="D90" s="598">
        <v>-1000</v>
      </c>
      <c r="E90" s="598">
        <v>-4</v>
      </c>
      <c r="F90" s="598">
        <v>21</v>
      </c>
      <c r="G90" s="598">
        <v>5</v>
      </c>
      <c r="H90" s="598" t="s">
        <v>3622</v>
      </c>
      <c r="I90" s="598">
        <v>6</v>
      </c>
      <c r="J90" s="598">
        <v>0</v>
      </c>
      <c r="K90" s="598">
        <v>6</v>
      </c>
      <c r="L90" s="598" t="s">
        <v>708</v>
      </c>
      <c r="M90" s="598">
        <v>5</v>
      </c>
      <c r="N90" s="598">
        <f t="shared" si="6"/>
        <v>51</v>
      </c>
      <c r="O90" s="598">
        <f t="shared" si="7"/>
        <v>46</v>
      </c>
      <c r="P90" s="598">
        <f t="shared" si="8"/>
        <v>54</v>
      </c>
      <c r="Q90" s="598">
        <f t="shared" si="9"/>
        <v>49</v>
      </c>
    </row>
    <row r="91" spans="2:17">
      <c r="B91" s="598">
        <v>31</v>
      </c>
      <c r="C91" s="598">
        <v>25</v>
      </c>
      <c r="D91" s="598">
        <v>-500</v>
      </c>
      <c r="E91" s="598">
        <v>-2</v>
      </c>
      <c r="F91" s="598">
        <v>31</v>
      </c>
      <c r="G91" s="598">
        <v>6</v>
      </c>
      <c r="H91" s="598" t="s">
        <v>3622</v>
      </c>
      <c r="I91" s="598">
        <v>7</v>
      </c>
      <c r="J91" s="598">
        <v>0.05</v>
      </c>
      <c r="K91" s="598">
        <v>7</v>
      </c>
      <c r="L91" s="598" t="s">
        <v>719</v>
      </c>
      <c r="M91" s="598">
        <v>6</v>
      </c>
      <c r="N91" s="598">
        <f t="shared" si="6"/>
        <v>52</v>
      </c>
      <c r="O91" s="598">
        <f t="shared" si="7"/>
        <v>47</v>
      </c>
      <c r="P91" s="598">
        <f t="shared" si="8"/>
        <v>55</v>
      </c>
      <c r="Q91" s="598">
        <f t="shared" si="9"/>
        <v>50</v>
      </c>
    </row>
    <row r="92" spans="2:17">
      <c r="B92" s="598">
        <v>41</v>
      </c>
      <c r="C92" s="598">
        <v>30</v>
      </c>
      <c r="D92" s="598">
        <v>0</v>
      </c>
      <c r="E92" s="598">
        <v>0</v>
      </c>
      <c r="F92" s="598">
        <v>41</v>
      </c>
      <c r="G92" s="598">
        <v>7</v>
      </c>
      <c r="H92" s="598" t="s">
        <v>3065</v>
      </c>
      <c r="I92" s="598">
        <v>8</v>
      </c>
      <c r="J92" s="598">
        <v>0.1</v>
      </c>
      <c r="K92" s="598">
        <v>8</v>
      </c>
      <c r="L92" s="598" t="s">
        <v>709</v>
      </c>
      <c r="M92" s="598">
        <v>7</v>
      </c>
      <c r="N92" s="598">
        <f t="shared" si="6"/>
        <v>53</v>
      </c>
      <c r="O92" s="598">
        <f t="shared" si="7"/>
        <v>48</v>
      </c>
      <c r="P92" s="598">
        <f t="shared" si="8"/>
        <v>56</v>
      </c>
      <c r="Q92" s="598">
        <f t="shared" si="9"/>
        <v>51</v>
      </c>
    </row>
    <row r="93" spans="2:17">
      <c r="B93" s="598">
        <v>61</v>
      </c>
      <c r="C93" s="598">
        <v>33</v>
      </c>
      <c r="D93" s="598">
        <v>500</v>
      </c>
      <c r="E93" s="598">
        <v>2</v>
      </c>
      <c r="F93" s="598">
        <v>61</v>
      </c>
      <c r="G93" s="598">
        <v>8</v>
      </c>
      <c r="H93" s="598" t="s">
        <v>3065</v>
      </c>
      <c r="I93" s="598">
        <v>9</v>
      </c>
      <c r="J93" s="598">
        <v>0.15</v>
      </c>
      <c r="K93" s="598">
        <v>9</v>
      </c>
      <c r="L93" s="598" t="s">
        <v>710</v>
      </c>
      <c r="M93" s="598">
        <v>8</v>
      </c>
      <c r="N93" s="598">
        <f t="shared" si="6"/>
        <v>54</v>
      </c>
      <c r="O93" s="598">
        <f t="shared" si="7"/>
        <v>49</v>
      </c>
      <c r="P93" s="598">
        <f t="shared" si="8"/>
        <v>57</v>
      </c>
      <c r="Q93" s="598">
        <f t="shared" si="9"/>
        <v>52</v>
      </c>
    </row>
    <row r="94" spans="2:17">
      <c r="B94" s="598">
        <v>71</v>
      </c>
      <c r="C94" s="598">
        <v>36</v>
      </c>
      <c r="D94" s="598">
        <v>1000</v>
      </c>
      <c r="E94" s="598">
        <v>4</v>
      </c>
      <c r="F94" s="598">
        <v>71</v>
      </c>
      <c r="G94" s="598">
        <v>9</v>
      </c>
      <c r="H94" s="598" t="s">
        <v>3065</v>
      </c>
      <c r="I94" s="598">
        <v>10</v>
      </c>
      <c r="J94" s="598">
        <v>0.2</v>
      </c>
      <c r="K94" s="598">
        <v>10</v>
      </c>
      <c r="L94" s="598" t="s">
        <v>711</v>
      </c>
      <c r="M94" s="598">
        <v>9</v>
      </c>
      <c r="N94" s="598">
        <f t="shared" si="6"/>
        <v>55</v>
      </c>
      <c r="O94" s="598">
        <f t="shared" si="7"/>
        <v>50</v>
      </c>
      <c r="P94" s="598">
        <f t="shared" si="8"/>
        <v>58</v>
      </c>
      <c r="Q94" s="598">
        <f t="shared" si="9"/>
        <v>53</v>
      </c>
    </row>
    <row r="95" spans="2:17">
      <c r="B95" s="598">
        <v>81</v>
      </c>
      <c r="C95" s="598">
        <f>IF('Main Creation Page'!K5=3,39,37)</f>
        <v>39</v>
      </c>
      <c r="D95" s="598">
        <v>1500</v>
      </c>
      <c r="E95" s="598">
        <v>6</v>
      </c>
      <c r="F95" s="598">
        <v>81</v>
      </c>
      <c r="G95" s="598">
        <v>10</v>
      </c>
      <c r="H95" s="598" t="s">
        <v>3066</v>
      </c>
      <c r="I95" s="598">
        <v>11</v>
      </c>
      <c r="J95" s="598">
        <v>0.25</v>
      </c>
      <c r="K95" s="598">
        <v>11</v>
      </c>
      <c r="L95" s="598" t="s">
        <v>3080</v>
      </c>
      <c r="M95" s="598">
        <v>10</v>
      </c>
      <c r="N95" s="598">
        <f t="shared" si="6"/>
        <v>56</v>
      </c>
      <c r="O95" s="598">
        <f t="shared" si="7"/>
        <v>51</v>
      </c>
      <c r="P95" s="598">
        <f t="shared" si="8"/>
        <v>59</v>
      </c>
      <c r="Q95" s="598">
        <f t="shared" si="9"/>
        <v>54</v>
      </c>
    </row>
    <row r="96" spans="2:17">
      <c r="B96" s="598">
        <v>86</v>
      </c>
      <c r="C96" s="598">
        <f>IF('Main Creation Page'!K5=3,42,39)</f>
        <v>42</v>
      </c>
      <c r="D96" s="598">
        <v>2000</v>
      </c>
      <c r="E96" s="598">
        <v>8</v>
      </c>
      <c r="F96" s="598">
        <v>86</v>
      </c>
      <c r="G96" s="598">
        <v>11</v>
      </c>
      <c r="H96" s="598" t="s">
        <v>3066</v>
      </c>
      <c r="I96" s="598">
        <v>12</v>
      </c>
      <c r="J96" s="598">
        <v>0.3</v>
      </c>
      <c r="K96" s="598">
        <v>12</v>
      </c>
      <c r="L96" s="598" t="s">
        <v>712</v>
      </c>
      <c r="M96" s="598">
        <v>11</v>
      </c>
      <c r="N96" s="598">
        <f t="shared" si="6"/>
        <v>57</v>
      </c>
      <c r="O96" s="598">
        <f t="shared" si="7"/>
        <v>52</v>
      </c>
      <c r="P96" s="598">
        <f t="shared" si="8"/>
        <v>60</v>
      </c>
      <c r="Q96" s="598">
        <f t="shared" si="9"/>
        <v>55</v>
      </c>
    </row>
    <row r="97" spans="1:17">
      <c r="B97" s="598">
        <v>91</v>
      </c>
      <c r="C97" s="598">
        <f>IF('Main Creation Page'!K5=3,45,42)</f>
        <v>45</v>
      </c>
      <c r="D97" s="598">
        <v>2500</v>
      </c>
      <c r="E97" s="598">
        <v>10</v>
      </c>
      <c r="F97" s="598">
        <v>91</v>
      </c>
      <c r="G97" s="598">
        <v>12</v>
      </c>
      <c r="H97" s="598" t="s">
        <v>3066</v>
      </c>
      <c r="I97" s="598">
        <v>13</v>
      </c>
      <c r="J97" s="598">
        <v>0.35</v>
      </c>
      <c r="K97" s="598">
        <v>13</v>
      </c>
      <c r="L97" s="598" t="s">
        <v>713</v>
      </c>
      <c r="M97" s="598">
        <v>12</v>
      </c>
      <c r="N97" s="598">
        <f t="shared" si="6"/>
        <v>58</v>
      </c>
      <c r="O97" s="598">
        <f t="shared" si="7"/>
        <v>53</v>
      </c>
      <c r="P97" s="598">
        <f t="shared" si="8"/>
        <v>61</v>
      </c>
      <c r="Q97" s="598">
        <f t="shared" si="9"/>
        <v>56</v>
      </c>
    </row>
    <row r="98" spans="1:17">
      <c r="B98" s="598">
        <v>96</v>
      </c>
      <c r="C98" s="598">
        <f>IF('Main Creation Page'!K5=3,48,45)</f>
        <v>48</v>
      </c>
      <c r="D98" s="598">
        <v>3000</v>
      </c>
      <c r="E98" s="598">
        <v>12</v>
      </c>
      <c r="F98" s="598">
        <v>96</v>
      </c>
      <c r="G98" s="598">
        <v>13</v>
      </c>
      <c r="H98" s="598" t="s">
        <v>3066</v>
      </c>
      <c r="I98" s="598">
        <v>14</v>
      </c>
      <c r="J98" s="598">
        <v>0.4</v>
      </c>
      <c r="K98" s="598">
        <v>14</v>
      </c>
      <c r="L98" s="598" t="s">
        <v>714</v>
      </c>
      <c r="M98" s="598">
        <v>13</v>
      </c>
      <c r="N98" s="598">
        <f t="shared" si="6"/>
        <v>59</v>
      </c>
      <c r="O98" s="598">
        <f t="shared" si="7"/>
        <v>54</v>
      </c>
      <c r="P98" s="598">
        <f t="shared" si="8"/>
        <v>62</v>
      </c>
      <c r="Q98" s="598">
        <f t="shared" si="9"/>
        <v>57</v>
      </c>
    </row>
    <row r="99" spans="1:17">
      <c r="B99" s="598">
        <v>100</v>
      </c>
      <c r="C99" s="598">
        <f>IF('Main Creation Page'!K5=3,53,48)</f>
        <v>53</v>
      </c>
      <c r="D99" s="598">
        <v>3500</v>
      </c>
      <c r="E99" s="598">
        <v>14</v>
      </c>
      <c r="F99" s="598">
        <v>100</v>
      </c>
      <c r="G99" s="598">
        <v>14</v>
      </c>
      <c r="H99" s="1052" t="s">
        <v>6138</v>
      </c>
      <c r="I99" s="598">
        <v>15</v>
      </c>
      <c r="J99" s="1052">
        <v>0.47499999999999998</v>
      </c>
      <c r="K99" s="598">
        <v>15</v>
      </c>
      <c r="L99" s="598" t="s">
        <v>715</v>
      </c>
      <c r="M99" s="598">
        <v>14</v>
      </c>
      <c r="N99" s="598">
        <f t="shared" si="6"/>
        <v>60</v>
      </c>
      <c r="O99" s="598">
        <f t="shared" si="7"/>
        <v>55</v>
      </c>
      <c r="P99" s="598">
        <f t="shared" si="8"/>
        <v>63</v>
      </c>
      <c r="Q99" s="598">
        <f t="shared" si="9"/>
        <v>58</v>
      </c>
    </row>
    <row r="100" spans="1:17">
      <c r="G100" s="598">
        <v>15</v>
      </c>
      <c r="H100" s="1052" t="s">
        <v>6138</v>
      </c>
      <c r="I100" s="598">
        <v>16</v>
      </c>
      <c r="J100" s="1052">
        <v>0.55000000000000004</v>
      </c>
      <c r="K100" s="598">
        <v>16</v>
      </c>
      <c r="L100" s="598" t="s">
        <v>716</v>
      </c>
      <c r="M100" s="598">
        <v>15</v>
      </c>
      <c r="N100" s="598">
        <f t="shared" si="6"/>
        <v>61</v>
      </c>
      <c r="O100" s="598">
        <f t="shared" si="7"/>
        <v>56</v>
      </c>
      <c r="P100" s="598">
        <f t="shared" si="8"/>
        <v>64</v>
      </c>
      <c r="Q100" s="598">
        <f t="shared" si="9"/>
        <v>59</v>
      </c>
    </row>
    <row r="101" spans="1:17">
      <c r="G101" s="598">
        <v>16</v>
      </c>
      <c r="H101" s="1052" t="s">
        <v>6138</v>
      </c>
      <c r="I101" s="598">
        <v>17</v>
      </c>
      <c r="J101" s="1052">
        <v>0.625</v>
      </c>
      <c r="K101" s="598">
        <v>17</v>
      </c>
      <c r="L101" s="598" t="s">
        <v>717</v>
      </c>
      <c r="M101" s="598">
        <v>16</v>
      </c>
      <c r="N101" s="598">
        <f t="shared" si="6"/>
        <v>62</v>
      </c>
      <c r="O101" s="598">
        <f t="shared" si="7"/>
        <v>57</v>
      </c>
      <c r="P101" s="598">
        <f t="shared" si="8"/>
        <v>65</v>
      </c>
      <c r="Q101" s="598">
        <f t="shared" si="9"/>
        <v>60</v>
      </c>
    </row>
    <row r="102" spans="1:17">
      <c r="C102" s="598" t="s">
        <v>4692</v>
      </c>
      <c r="G102" s="598">
        <v>17</v>
      </c>
      <c r="H102" s="1052" t="s">
        <v>6138</v>
      </c>
      <c r="I102" s="598">
        <v>18</v>
      </c>
      <c r="J102" s="1052">
        <v>0.7</v>
      </c>
      <c r="K102" s="598">
        <v>18</v>
      </c>
      <c r="L102" s="598" t="s">
        <v>718</v>
      </c>
      <c r="M102" s="598">
        <v>17</v>
      </c>
      <c r="N102" s="598">
        <f t="shared" si="6"/>
        <v>63</v>
      </c>
      <c r="O102" s="598">
        <f t="shared" si="7"/>
        <v>58</v>
      </c>
      <c r="P102" s="598">
        <f t="shared" si="8"/>
        <v>66</v>
      </c>
      <c r="Q102" s="598">
        <f t="shared" si="9"/>
        <v>61</v>
      </c>
    </row>
    <row r="103" spans="1:17">
      <c r="C103" s="598">
        <v>1</v>
      </c>
      <c r="D103" s="598">
        <f>IF('SA&amp;DD'!D38="Y",3,6)</f>
        <v>6</v>
      </c>
      <c r="E103" s="598">
        <f>IF('SA&amp;DD'!D38="Y",4.5,9)</f>
        <v>9</v>
      </c>
      <c r="F103" s="598">
        <f>IF('SA&amp;DD'!D38="Y",6,12)</f>
        <v>12</v>
      </c>
      <c r="G103" s="598">
        <v>18</v>
      </c>
      <c r="H103" s="1052" t="s">
        <v>6139</v>
      </c>
      <c r="I103" s="598">
        <v>19</v>
      </c>
      <c r="J103" s="598">
        <v>0.77500000000000002</v>
      </c>
      <c r="K103" s="598">
        <v>19</v>
      </c>
      <c r="L103" s="598" t="s">
        <v>720</v>
      </c>
      <c r="M103" s="598">
        <v>18</v>
      </c>
      <c r="N103" s="598">
        <f t="shared" si="6"/>
        <v>64</v>
      </c>
      <c r="O103" s="598">
        <f t="shared" si="7"/>
        <v>59</v>
      </c>
      <c r="P103" s="598">
        <f t="shared" si="8"/>
        <v>67</v>
      </c>
      <c r="Q103" s="598">
        <f t="shared" si="9"/>
        <v>62</v>
      </c>
    </row>
    <row r="104" spans="1:17">
      <c r="C104" s="598">
        <v>100</v>
      </c>
      <c r="D104" s="598">
        <f>IF('SA&amp;DD'!D38="Y",3.5,7)</f>
        <v>7</v>
      </c>
      <c r="E104" s="598">
        <f>IF('SA&amp;DD'!D38="Y",4.5,9)</f>
        <v>9</v>
      </c>
      <c r="F104" s="598">
        <f>IF('SA&amp;DD'!D38="Y",6.5,13)</f>
        <v>13</v>
      </c>
      <c r="G104" s="598">
        <v>19</v>
      </c>
      <c r="H104" s="1052" t="s">
        <v>6139</v>
      </c>
      <c r="I104" s="598">
        <v>20</v>
      </c>
      <c r="J104" s="598">
        <v>0.85</v>
      </c>
      <c r="K104" s="598">
        <v>20</v>
      </c>
      <c r="L104" s="598" t="s">
        <v>721</v>
      </c>
      <c r="M104" s="598">
        <v>19</v>
      </c>
      <c r="N104" s="598">
        <f t="shared" si="6"/>
        <v>65</v>
      </c>
      <c r="O104" s="598">
        <f t="shared" si="7"/>
        <v>60</v>
      </c>
      <c r="P104" s="598">
        <f t="shared" si="8"/>
        <v>68</v>
      </c>
      <c r="Q104" s="598">
        <f t="shared" si="9"/>
        <v>63</v>
      </c>
    </row>
    <row r="105" spans="1:17">
      <c r="G105" s="598">
        <v>20</v>
      </c>
      <c r="H105" s="1052" t="s">
        <v>6139</v>
      </c>
      <c r="I105" s="598">
        <v>21</v>
      </c>
      <c r="J105" s="598">
        <v>0.92500000000000004</v>
      </c>
      <c r="K105" s="598">
        <v>21</v>
      </c>
      <c r="L105" s="598" t="s">
        <v>1114</v>
      </c>
      <c r="M105" s="598">
        <v>20</v>
      </c>
      <c r="N105" s="598">
        <f t="shared" si="6"/>
        <v>66</v>
      </c>
      <c r="O105" s="598">
        <f t="shared" si="7"/>
        <v>61</v>
      </c>
      <c r="P105" s="598">
        <f t="shared" si="8"/>
        <v>69</v>
      </c>
      <c r="Q105" s="598">
        <f t="shared" si="9"/>
        <v>64</v>
      </c>
    </row>
    <row r="106" spans="1:17">
      <c r="B106" s="598" t="s">
        <v>4692</v>
      </c>
      <c r="C106" s="598">
        <v>1</v>
      </c>
      <c r="D106" s="598">
        <v>100</v>
      </c>
      <c r="E106" s="598">
        <f>IF('SA&amp;DD'!$D$38="Y",3,6)</f>
        <v>6</v>
      </c>
      <c r="F106" s="598">
        <f>IF('SA&amp;DD'!$D$38="Y",4.5,9)</f>
        <v>9</v>
      </c>
      <c r="G106" s="598">
        <f>IF('SA&amp;DD'!$D$38="Y",6,12)</f>
        <v>12</v>
      </c>
      <c r="K106" s="598">
        <v>22</v>
      </c>
      <c r="L106" s="598" t="s">
        <v>1115</v>
      </c>
    </row>
    <row r="107" spans="1:17">
      <c r="B107" s="598" t="s">
        <v>4692</v>
      </c>
      <c r="C107" s="598">
        <v>101</v>
      </c>
      <c r="D107" s="598">
        <v>200</v>
      </c>
      <c r="E107" s="598">
        <f>IF('SA&amp;DD'!$D$38="Y",3.5,7)</f>
        <v>7</v>
      </c>
      <c r="F107" s="598">
        <f>IF('SA&amp;DD'!$D$38="Y",4.5,9)</f>
        <v>9</v>
      </c>
      <c r="G107" s="598">
        <f>IF('SA&amp;DD'!$D$38="Y",6.5,13)</f>
        <v>13</v>
      </c>
      <c r="K107" s="598">
        <v>23</v>
      </c>
      <c r="L107" s="598" t="s">
        <v>1116</v>
      </c>
    </row>
    <row r="108" spans="1:17">
      <c r="K108" s="598">
        <v>24</v>
      </c>
      <c r="L108" s="598" t="s">
        <v>1117</v>
      </c>
      <c r="N108" s="598">
        <f>INT(+P109/12)</f>
        <v>4</v>
      </c>
      <c r="O108" s="598">
        <f>P109-(12*N108)</f>
        <v>9</v>
      </c>
      <c r="P108" s="598">
        <f>IF('Main Creation Page'!AF35="Clan Dwarf",1,IF('Main Creation Page'!AF35="Outcast",1,2))+IF('Main Creation Page'!I31="M",1,2)</f>
        <v>2</v>
      </c>
    </row>
    <row r="109" spans="1:17">
      <c r="A109" s="598">
        <v>1</v>
      </c>
      <c r="B109" s="598" t="s">
        <v>642</v>
      </c>
      <c r="C109" s="598" t="s">
        <v>5002</v>
      </c>
      <c r="D109" s="598" t="s">
        <v>17</v>
      </c>
      <c r="E109" s="598">
        <v>3</v>
      </c>
      <c r="K109" s="598">
        <v>25</v>
      </c>
      <c r="L109" s="598" t="s">
        <v>1118</v>
      </c>
      <c r="N109" s="598" t="str">
        <f>CONCATENATE(N108,"ft. ",O108," in.")</f>
        <v>4ft. 9 in.</v>
      </c>
      <c r="P109" s="598">
        <f>VLOOKUP('Main Creation Page'!S33,M86:R106,P108)</f>
        <v>57</v>
      </c>
    </row>
    <row r="110" spans="1:17">
      <c r="A110" s="598">
        <v>5</v>
      </c>
      <c r="B110" s="598" t="s">
        <v>643</v>
      </c>
      <c r="C110" s="598" t="s">
        <v>5003</v>
      </c>
      <c r="D110" s="598" t="s">
        <v>3963</v>
      </c>
      <c r="E110" s="598">
        <v>7</v>
      </c>
      <c r="K110" s="598">
        <v>26</v>
      </c>
      <c r="L110" s="598" t="s">
        <v>1119</v>
      </c>
    </row>
    <row r="111" spans="1:17">
      <c r="A111" s="598">
        <v>7</v>
      </c>
      <c r="B111" s="598" t="s">
        <v>644</v>
      </c>
      <c r="C111" s="598" t="s">
        <v>5002</v>
      </c>
      <c r="D111" s="598" t="s">
        <v>5536</v>
      </c>
      <c r="E111" s="598">
        <v>-2</v>
      </c>
      <c r="K111" s="598">
        <v>27</v>
      </c>
      <c r="L111" s="598" t="s">
        <v>1120</v>
      </c>
      <c r="N111" s="598">
        <f>IF('Main Creation Page'!K5=3,(25+9.2*(P109-40)),(10+5*(P109-40)))</f>
        <v>181.39999999999998</v>
      </c>
      <c r="O111" s="598">
        <f>N111+(VLOOKUP('Main Creation Page'!S34,G85:G85:J105,4)*N111)</f>
        <v>199.53999999999996</v>
      </c>
    </row>
    <row r="112" spans="1:17">
      <c r="A112" s="598">
        <v>13</v>
      </c>
      <c r="B112" s="598" t="s">
        <v>645</v>
      </c>
      <c r="C112" s="598" t="s">
        <v>5002</v>
      </c>
      <c r="D112" s="598" t="s">
        <v>3962</v>
      </c>
      <c r="E112" s="598">
        <v>0</v>
      </c>
      <c r="K112" s="598">
        <v>28</v>
      </c>
      <c r="L112" s="598" t="s">
        <v>1121</v>
      </c>
    </row>
    <row r="113" spans="1:15">
      <c r="A113" s="598">
        <v>18</v>
      </c>
      <c r="B113" s="598" t="s">
        <v>4994</v>
      </c>
      <c r="C113" s="598" t="s">
        <v>5002</v>
      </c>
      <c r="D113" s="598" t="s">
        <v>3962</v>
      </c>
      <c r="E113" s="598">
        <v>4</v>
      </c>
      <c r="K113" s="598">
        <v>29</v>
      </c>
      <c r="L113" s="598" t="s">
        <v>1122</v>
      </c>
      <c r="N113" s="598">
        <v>44</v>
      </c>
      <c r="O113" s="598">
        <v>10</v>
      </c>
    </row>
    <row r="114" spans="1:15">
      <c r="A114" s="598">
        <v>22</v>
      </c>
      <c r="B114" s="598" t="s">
        <v>4995</v>
      </c>
      <c r="C114" s="598" t="s">
        <v>5003</v>
      </c>
      <c r="D114" s="598" t="s">
        <v>5004</v>
      </c>
      <c r="E114" s="598">
        <v>7</v>
      </c>
      <c r="K114" s="598">
        <v>30</v>
      </c>
      <c r="L114" s="598" t="s">
        <v>1123</v>
      </c>
      <c r="N114" s="598">
        <v>53</v>
      </c>
      <c r="O114" s="598">
        <v>11</v>
      </c>
    </row>
    <row r="115" spans="1:15">
      <c r="A115" s="598">
        <v>27</v>
      </c>
      <c r="B115" s="598" t="s">
        <v>4996</v>
      </c>
      <c r="C115" s="598" t="s">
        <v>5003</v>
      </c>
      <c r="D115" s="598" t="s">
        <v>1250</v>
      </c>
      <c r="E115" s="598">
        <v>4</v>
      </c>
      <c r="K115" s="598">
        <v>31</v>
      </c>
      <c r="L115" s="598" t="s">
        <v>1124</v>
      </c>
      <c r="N115" s="598">
        <v>64</v>
      </c>
      <c r="O115" s="598">
        <v>12</v>
      </c>
    </row>
    <row r="116" spans="1:15">
      <c r="A116" s="598">
        <v>29</v>
      </c>
      <c r="B116" s="598" t="s">
        <v>4997</v>
      </c>
      <c r="C116" s="598" t="s">
        <v>5002</v>
      </c>
      <c r="D116" s="598" t="s">
        <v>4987</v>
      </c>
      <c r="E116" s="598">
        <v>5</v>
      </c>
      <c r="K116" s="598">
        <v>32</v>
      </c>
      <c r="L116" s="598" t="s">
        <v>1125</v>
      </c>
      <c r="N116" s="598">
        <v>75</v>
      </c>
      <c r="O116" s="598">
        <v>13</v>
      </c>
    </row>
    <row r="117" spans="1:15">
      <c r="A117" s="598">
        <v>36</v>
      </c>
      <c r="B117" s="598" t="s">
        <v>4998</v>
      </c>
      <c r="C117" s="598" t="s">
        <v>5002</v>
      </c>
      <c r="D117" s="598" t="s">
        <v>395</v>
      </c>
      <c r="E117" s="598">
        <v>-1</v>
      </c>
      <c r="K117" s="598">
        <v>33</v>
      </c>
      <c r="L117" s="598" t="s">
        <v>1126</v>
      </c>
      <c r="N117" s="598">
        <v>87</v>
      </c>
      <c r="O117" s="598">
        <v>14</v>
      </c>
    </row>
    <row r="118" spans="1:15">
      <c r="A118" s="598">
        <v>40</v>
      </c>
      <c r="B118" s="598" t="s">
        <v>4999</v>
      </c>
      <c r="C118" s="598" t="s">
        <v>5003</v>
      </c>
      <c r="D118" s="598" t="s">
        <v>1156</v>
      </c>
      <c r="E118" s="598">
        <v>5</v>
      </c>
      <c r="K118" s="598">
        <v>34</v>
      </c>
      <c r="L118" s="598" t="s">
        <v>1127</v>
      </c>
      <c r="N118" s="598">
        <v>100</v>
      </c>
      <c r="O118" s="598">
        <v>15</v>
      </c>
    </row>
    <row r="119" spans="1:15">
      <c r="A119" s="598">
        <v>46</v>
      </c>
      <c r="B119" s="598" t="s">
        <v>5000</v>
      </c>
      <c r="C119" s="598" t="s">
        <v>5002</v>
      </c>
      <c r="D119" s="598" t="s">
        <v>5539</v>
      </c>
      <c r="E119" s="598">
        <v>2</v>
      </c>
      <c r="K119" s="598">
        <v>35</v>
      </c>
      <c r="L119" s="598" t="s">
        <v>1128</v>
      </c>
      <c r="N119" s="598">
        <v>113</v>
      </c>
      <c r="O119" s="598">
        <v>16</v>
      </c>
    </row>
    <row r="120" spans="1:15">
      <c r="A120" s="598">
        <v>51</v>
      </c>
      <c r="B120" s="598" t="s">
        <v>5001</v>
      </c>
      <c r="C120" s="598" t="s">
        <v>5001</v>
      </c>
      <c r="D120" s="598" t="s">
        <v>556</v>
      </c>
      <c r="E120" s="598">
        <v>0</v>
      </c>
      <c r="K120" s="598">
        <v>36</v>
      </c>
      <c r="L120" s="598" t="s">
        <v>1129</v>
      </c>
      <c r="N120" s="598">
        <v>128</v>
      </c>
      <c r="O120" s="598">
        <v>17</v>
      </c>
    </row>
    <row r="121" spans="1:15">
      <c r="K121" s="598">
        <v>37</v>
      </c>
      <c r="L121" s="598" t="s">
        <v>1130</v>
      </c>
      <c r="N121" s="598">
        <v>144</v>
      </c>
      <c r="O121" s="598">
        <v>18</v>
      </c>
    </row>
    <row r="122" spans="1:15">
      <c r="K122" s="598">
        <v>38</v>
      </c>
      <c r="L122" s="598" t="s">
        <v>1131</v>
      </c>
      <c r="N122" s="598">
        <v>160</v>
      </c>
      <c r="O122" s="598">
        <v>19</v>
      </c>
    </row>
    <row r="123" spans="1:15">
      <c r="K123" s="598">
        <v>39</v>
      </c>
      <c r="L123" s="598" t="s">
        <v>1132</v>
      </c>
      <c r="N123" s="598">
        <v>177</v>
      </c>
      <c r="O123" s="598">
        <v>20</v>
      </c>
    </row>
    <row r="124" spans="1:15">
      <c r="K124" s="598">
        <v>40</v>
      </c>
      <c r="L124" s="598" t="s">
        <v>1133</v>
      </c>
      <c r="N124" s="598">
        <v>196</v>
      </c>
      <c r="O124" s="598">
        <v>21</v>
      </c>
    </row>
    <row r="125" spans="1:15">
      <c r="K125" s="598">
        <v>41</v>
      </c>
      <c r="L125" s="598" t="s">
        <v>1134</v>
      </c>
      <c r="N125" s="598">
        <v>215</v>
      </c>
      <c r="O125" s="598">
        <v>22</v>
      </c>
    </row>
    <row r="126" spans="1:15">
      <c r="K126" s="598">
        <v>42</v>
      </c>
      <c r="L126" s="598" t="s">
        <v>3428</v>
      </c>
      <c r="N126" s="598">
        <v>235</v>
      </c>
      <c r="O126" s="598">
        <v>23</v>
      </c>
    </row>
    <row r="127" spans="1:15">
      <c r="K127" s="598">
        <v>43</v>
      </c>
      <c r="L127" s="598" t="s">
        <v>3429</v>
      </c>
      <c r="N127" s="598">
        <v>256</v>
      </c>
      <c r="O127" s="598">
        <v>24</v>
      </c>
    </row>
    <row r="128" spans="1:15">
      <c r="K128" s="598">
        <v>44</v>
      </c>
      <c r="L128" s="598" t="s">
        <v>3430</v>
      </c>
      <c r="N128" s="598">
        <v>278</v>
      </c>
      <c r="O128" s="598">
        <v>25</v>
      </c>
    </row>
    <row r="129" spans="8:18">
      <c r="K129" s="598">
        <v>45</v>
      </c>
      <c r="L129" s="598" t="s">
        <v>3431</v>
      </c>
      <c r="N129" s="598">
        <v>300</v>
      </c>
      <c r="O129" s="598">
        <v>26</v>
      </c>
    </row>
    <row r="130" spans="8:18">
      <c r="K130" s="598">
        <v>46</v>
      </c>
      <c r="L130" s="598" t="s">
        <v>5287</v>
      </c>
      <c r="N130" s="598">
        <v>324</v>
      </c>
      <c r="O130" s="598">
        <v>27</v>
      </c>
    </row>
    <row r="131" spans="8:18">
      <c r="K131" s="598">
        <v>47</v>
      </c>
      <c r="L131" s="598" t="s">
        <v>5288</v>
      </c>
      <c r="N131" s="598">
        <v>348</v>
      </c>
      <c r="O131" s="598">
        <v>28</v>
      </c>
    </row>
    <row r="132" spans="8:18">
      <c r="K132" s="598">
        <v>48</v>
      </c>
      <c r="L132" s="598" t="s">
        <v>1775</v>
      </c>
      <c r="N132" s="598">
        <v>373</v>
      </c>
      <c r="O132" s="598">
        <v>29</v>
      </c>
    </row>
    <row r="133" spans="8:18">
      <c r="K133" s="598">
        <v>49</v>
      </c>
      <c r="L133" s="598" t="s">
        <v>1776</v>
      </c>
      <c r="N133" s="598">
        <v>400</v>
      </c>
      <c r="O133" s="598">
        <v>30</v>
      </c>
    </row>
    <row r="134" spans="8:18">
      <c r="N134" s="598">
        <v>427</v>
      </c>
      <c r="O134" s="598">
        <v>31</v>
      </c>
    </row>
    <row r="135" spans="8:18">
      <c r="N135" s="598">
        <v>455</v>
      </c>
      <c r="O135" s="598">
        <v>32</v>
      </c>
    </row>
    <row r="136" spans="8:18">
      <c r="N136" s="598">
        <v>484</v>
      </c>
      <c r="O136" s="598">
        <v>33</v>
      </c>
    </row>
    <row r="138" spans="8:18">
      <c r="H138" s="598" t="s">
        <v>557</v>
      </c>
      <c r="K138" s="598">
        <v>5</v>
      </c>
      <c r="L138" s="598" t="s">
        <v>4563</v>
      </c>
      <c r="O138" s="598">
        <v>6</v>
      </c>
    </row>
    <row r="139" spans="8:18">
      <c r="H139" s="598">
        <v>1</v>
      </c>
      <c r="I139" s="598" t="s">
        <v>3969</v>
      </c>
      <c r="J139" s="598">
        <v>10</v>
      </c>
      <c r="K139" s="598">
        <v>2</v>
      </c>
      <c r="L139" s="598">
        <v>1</v>
      </c>
      <c r="M139" s="598" t="s">
        <v>3803</v>
      </c>
      <c r="N139" s="598">
        <v>25</v>
      </c>
      <c r="O139" s="598">
        <v>5</v>
      </c>
    </row>
    <row r="140" spans="8:18">
      <c r="H140" s="598">
        <v>20</v>
      </c>
      <c r="I140" s="598" t="s">
        <v>2033</v>
      </c>
      <c r="J140" s="598">
        <v>15</v>
      </c>
      <c r="K140" s="598">
        <v>3</v>
      </c>
      <c r="L140" s="598">
        <v>16</v>
      </c>
      <c r="M140" s="598" t="s">
        <v>4642</v>
      </c>
      <c r="N140" s="598">
        <v>28</v>
      </c>
      <c r="O140" s="598">
        <v>44</v>
      </c>
      <c r="P140" s="598">
        <v>2</v>
      </c>
      <c r="Q140" s="598" t="s">
        <v>4642</v>
      </c>
      <c r="R140" s="598">
        <v>2</v>
      </c>
    </row>
    <row r="141" spans="8:18">
      <c r="H141" s="598">
        <v>28</v>
      </c>
      <c r="I141" s="598" t="s">
        <v>362</v>
      </c>
      <c r="J141" s="598">
        <v>12</v>
      </c>
      <c r="K141" s="598">
        <v>2</v>
      </c>
      <c r="L141" s="598">
        <v>40</v>
      </c>
      <c r="M141" s="598" t="s">
        <v>4643</v>
      </c>
      <c r="N141" s="598">
        <v>29</v>
      </c>
      <c r="O141" s="598">
        <v>4</v>
      </c>
      <c r="P141" s="598">
        <v>6</v>
      </c>
      <c r="Q141" s="598" t="s">
        <v>4643</v>
      </c>
      <c r="R141" s="598">
        <v>3</v>
      </c>
    </row>
    <row r="142" spans="8:18">
      <c r="H142" s="598">
        <v>38</v>
      </c>
      <c r="I142" s="598" t="s">
        <v>1534</v>
      </c>
      <c r="J142" s="598">
        <v>10</v>
      </c>
      <c r="K142" s="598">
        <v>1</v>
      </c>
      <c r="L142" s="598">
        <v>66</v>
      </c>
      <c r="M142" s="598" t="s">
        <v>4644</v>
      </c>
      <c r="N142" s="598">
        <v>28</v>
      </c>
      <c r="O142" s="598">
        <v>4</v>
      </c>
      <c r="P142" s="598">
        <v>15</v>
      </c>
      <c r="Q142" s="598" t="s">
        <v>4644</v>
      </c>
      <c r="R142" s="598">
        <v>2</v>
      </c>
    </row>
    <row r="143" spans="8:18">
      <c r="H143" s="598">
        <v>47</v>
      </c>
      <c r="I143" s="598" t="s">
        <v>1550</v>
      </c>
      <c r="J143" s="598">
        <v>9</v>
      </c>
      <c r="K143" s="598">
        <v>2</v>
      </c>
      <c r="L143" s="598">
        <v>84</v>
      </c>
      <c r="M143" s="598" t="s">
        <v>4645</v>
      </c>
      <c r="N143" s="598">
        <v>27</v>
      </c>
      <c r="O143" s="598">
        <v>4</v>
      </c>
      <c r="P143" s="598">
        <v>17</v>
      </c>
      <c r="Q143" s="598" t="s">
        <v>4645</v>
      </c>
      <c r="R143" s="598">
        <v>1</v>
      </c>
    </row>
    <row r="144" spans="8:18">
      <c r="H144" s="598">
        <v>61</v>
      </c>
      <c r="I144" s="598" t="s">
        <v>2034</v>
      </c>
      <c r="J144" s="598">
        <v>10</v>
      </c>
      <c r="K144" s="598">
        <v>2</v>
      </c>
      <c r="L144" s="598">
        <v>96</v>
      </c>
      <c r="M144" s="598" t="s">
        <v>4646</v>
      </c>
      <c r="N144" s="598">
        <v>30</v>
      </c>
      <c r="O144" s="598">
        <v>5</v>
      </c>
      <c r="P144" s="598">
        <v>20</v>
      </c>
      <c r="Q144" s="598" t="s">
        <v>4646</v>
      </c>
      <c r="R144" s="598">
        <v>5</v>
      </c>
    </row>
    <row r="145" spans="8:18">
      <c r="H145" s="598">
        <v>97</v>
      </c>
      <c r="I145" s="598" t="s">
        <v>2035</v>
      </c>
      <c r="J145" s="598">
        <v>13</v>
      </c>
      <c r="K145" s="598">
        <v>3</v>
      </c>
    </row>
    <row r="147" spans="8:18">
      <c r="H147" s="598" t="s">
        <v>4562</v>
      </c>
      <c r="K147" s="598">
        <v>5</v>
      </c>
      <c r="L147" s="598" t="s">
        <v>4564</v>
      </c>
      <c r="O147" s="598">
        <v>6</v>
      </c>
    </row>
    <row r="148" spans="8:18">
      <c r="H148" s="598">
        <v>1</v>
      </c>
      <c r="I148" s="598" t="s">
        <v>2036</v>
      </c>
      <c r="J148" s="598">
        <v>5</v>
      </c>
      <c r="K148" s="598">
        <v>2</v>
      </c>
      <c r="L148" s="598">
        <v>1</v>
      </c>
      <c r="M148" s="598" t="s">
        <v>4642</v>
      </c>
      <c r="N148" s="598">
        <v>38</v>
      </c>
      <c r="O148" s="598">
        <v>5</v>
      </c>
      <c r="P148" s="598">
        <v>2</v>
      </c>
      <c r="Q148" s="598" t="s">
        <v>4642</v>
      </c>
      <c r="R148" s="598">
        <v>2</v>
      </c>
    </row>
    <row r="149" spans="8:18">
      <c r="H149" s="598">
        <v>2</v>
      </c>
      <c r="I149" s="598" t="s">
        <v>5082</v>
      </c>
      <c r="J149" s="598">
        <v>12</v>
      </c>
      <c r="K149" s="598">
        <v>3</v>
      </c>
      <c r="L149" s="598">
        <v>20</v>
      </c>
      <c r="M149" s="598" t="s">
        <v>4643</v>
      </c>
      <c r="N149" s="598">
        <v>39</v>
      </c>
      <c r="O149" s="598">
        <v>5</v>
      </c>
      <c r="P149" s="598">
        <v>5</v>
      </c>
      <c r="Q149" s="598" t="s">
        <v>4643</v>
      </c>
      <c r="R149" s="598">
        <v>3</v>
      </c>
    </row>
    <row r="150" spans="8:18">
      <c r="H150" s="598">
        <v>4</v>
      </c>
      <c r="I150" s="598" t="s">
        <v>2034</v>
      </c>
      <c r="J150" s="598">
        <v>8</v>
      </c>
      <c r="K150" s="598">
        <v>1</v>
      </c>
      <c r="L150" s="598">
        <v>46</v>
      </c>
      <c r="M150" s="598" t="s">
        <v>4644</v>
      </c>
      <c r="N150" s="598">
        <v>38</v>
      </c>
      <c r="O150" s="598">
        <v>5</v>
      </c>
      <c r="P150" s="598">
        <v>9</v>
      </c>
      <c r="Q150" s="598" t="s">
        <v>4644</v>
      </c>
      <c r="R150" s="598">
        <v>2</v>
      </c>
    </row>
    <row r="151" spans="8:18">
      <c r="H151" s="598">
        <v>14</v>
      </c>
      <c r="I151" s="598" t="s">
        <v>1534</v>
      </c>
      <c r="J151" s="598">
        <v>15</v>
      </c>
      <c r="K151" s="598">
        <v>1</v>
      </c>
      <c r="L151" s="598">
        <v>56</v>
      </c>
      <c r="M151" s="598" t="s">
        <v>4645</v>
      </c>
      <c r="N151" s="598">
        <v>37</v>
      </c>
      <c r="O151" s="598">
        <v>5</v>
      </c>
      <c r="P151" s="598">
        <v>12</v>
      </c>
      <c r="Q151" s="598" t="s">
        <v>4645</v>
      </c>
      <c r="R151" s="598">
        <v>1</v>
      </c>
    </row>
    <row r="152" spans="8:18">
      <c r="H152" s="598">
        <v>18</v>
      </c>
      <c r="I152" s="598" t="s">
        <v>2037</v>
      </c>
      <c r="J152" s="598">
        <v>20</v>
      </c>
      <c r="K152" s="598">
        <v>2</v>
      </c>
      <c r="L152" s="598">
        <v>66</v>
      </c>
      <c r="M152" s="598" t="s">
        <v>4646</v>
      </c>
      <c r="N152" s="598">
        <v>43</v>
      </c>
      <c r="O152" s="598">
        <v>5</v>
      </c>
      <c r="P152" s="598">
        <v>14</v>
      </c>
      <c r="Q152" s="598" t="s">
        <v>4646</v>
      </c>
      <c r="R152" s="598">
        <v>4</v>
      </c>
    </row>
    <row r="153" spans="8:18">
      <c r="H153" s="598">
        <v>21</v>
      </c>
      <c r="I153" s="598" t="s">
        <v>998</v>
      </c>
      <c r="J153" s="598">
        <v>12</v>
      </c>
      <c r="K153" s="598">
        <v>1</v>
      </c>
      <c r="L153" s="598">
        <v>76</v>
      </c>
      <c r="M153" s="598" t="s">
        <v>4647</v>
      </c>
      <c r="N153" s="598">
        <v>45</v>
      </c>
      <c r="O153" s="598">
        <v>5</v>
      </c>
      <c r="P153" s="598">
        <v>17</v>
      </c>
      <c r="Q153" s="598" t="s">
        <v>4647</v>
      </c>
      <c r="R153" s="598">
        <v>6</v>
      </c>
    </row>
    <row r="154" spans="8:18">
      <c r="H154" s="598">
        <v>23</v>
      </c>
      <c r="I154" s="598" t="s">
        <v>999</v>
      </c>
      <c r="J154" s="598">
        <v>14</v>
      </c>
      <c r="K154" s="598">
        <v>1</v>
      </c>
      <c r="L154" s="598">
        <v>90</v>
      </c>
      <c r="M154" s="598" t="s">
        <v>245</v>
      </c>
      <c r="N154" s="598">
        <v>48</v>
      </c>
      <c r="O154" s="598">
        <v>6</v>
      </c>
      <c r="P154" s="598">
        <v>19</v>
      </c>
      <c r="Q154" s="598" t="s">
        <v>245</v>
      </c>
      <c r="R154" s="598">
        <v>8</v>
      </c>
    </row>
    <row r="155" spans="8:18">
      <c r="H155" s="598">
        <v>26</v>
      </c>
      <c r="I155" s="598" t="s">
        <v>5324</v>
      </c>
      <c r="J155" s="598">
        <v>10</v>
      </c>
      <c r="K155" s="598">
        <v>3</v>
      </c>
      <c r="L155" s="598">
        <v>96</v>
      </c>
      <c r="M155" s="598" t="s">
        <v>246</v>
      </c>
      <c r="N155" s="598">
        <v>50</v>
      </c>
      <c r="O155" s="598">
        <v>6</v>
      </c>
      <c r="P155" s="598">
        <v>20</v>
      </c>
      <c r="Q155" s="598" t="s">
        <v>246</v>
      </c>
      <c r="R155" s="598">
        <v>10</v>
      </c>
    </row>
    <row r="156" spans="8:18">
      <c r="H156" s="598">
        <v>27</v>
      </c>
      <c r="I156" s="598" t="s">
        <v>2678</v>
      </c>
      <c r="J156" s="598">
        <v>10</v>
      </c>
      <c r="K156" s="598">
        <v>2</v>
      </c>
    </row>
    <row r="157" spans="8:18">
      <c r="H157" s="598">
        <v>31</v>
      </c>
      <c r="I157" s="598" t="s">
        <v>1550</v>
      </c>
      <c r="J157" s="598">
        <v>15</v>
      </c>
      <c r="K157" s="598">
        <v>2</v>
      </c>
      <c r="L157" s="598" t="s">
        <v>4565</v>
      </c>
      <c r="O157" s="598">
        <v>7</v>
      </c>
    </row>
    <row r="158" spans="8:18">
      <c r="H158" s="598">
        <v>41</v>
      </c>
      <c r="I158" s="598" t="s">
        <v>2038</v>
      </c>
      <c r="J158" s="598">
        <v>12</v>
      </c>
      <c r="K158" s="598">
        <v>1</v>
      </c>
      <c r="L158" s="598">
        <v>1</v>
      </c>
      <c r="M158" s="598" t="s">
        <v>4642</v>
      </c>
      <c r="N158" s="598">
        <v>48</v>
      </c>
      <c r="O158" s="598">
        <v>5</v>
      </c>
      <c r="P158" s="598">
        <v>2</v>
      </c>
      <c r="Q158" s="598" t="s">
        <v>4642</v>
      </c>
      <c r="R158" s="598">
        <v>2</v>
      </c>
    </row>
    <row r="159" spans="8:18">
      <c r="H159" s="598">
        <v>46</v>
      </c>
      <c r="I159" s="598" t="s">
        <v>5076</v>
      </c>
      <c r="J159" s="598">
        <v>4</v>
      </c>
      <c r="K159" s="598">
        <v>2</v>
      </c>
      <c r="L159" s="598">
        <v>11</v>
      </c>
      <c r="M159" s="598" t="s">
        <v>4643</v>
      </c>
      <c r="N159" s="598">
        <v>49</v>
      </c>
      <c r="O159" s="598">
        <v>5</v>
      </c>
      <c r="P159" s="598">
        <v>4</v>
      </c>
      <c r="Q159" s="598" t="s">
        <v>4643</v>
      </c>
      <c r="R159" s="598">
        <v>3</v>
      </c>
    </row>
    <row r="160" spans="8:18">
      <c r="H160" s="598">
        <v>51</v>
      </c>
      <c r="I160" s="598" t="s">
        <v>1552</v>
      </c>
      <c r="J160" s="598">
        <v>12</v>
      </c>
      <c r="K160" s="598">
        <v>2</v>
      </c>
      <c r="L160" s="598">
        <v>33</v>
      </c>
      <c r="M160" s="598" t="s">
        <v>4644</v>
      </c>
      <c r="N160" s="598">
        <v>48</v>
      </c>
      <c r="O160" s="598">
        <v>5</v>
      </c>
      <c r="P160" s="598">
        <v>7</v>
      </c>
      <c r="Q160" s="598" t="s">
        <v>4644</v>
      </c>
      <c r="R160" s="598">
        <v>2</v>
      </c>
    </row>
    <row r="161" spans="8:59">
      <c r="H161" s="598">
        <v>71</v>
      </c>
      <c r="I161" s="598" t="s">
        <v>4376</v>
      </c>
      <c r="J161" s="598">
        <v>14</v>
      </c>
      <c r="K161" s="598">
        <v>3</v>
      </c>
      <c r="L161" s="598">
        <v>41</v>
      </c>
      <c r="M161" s="598" t="s">
        <v>4645</v>
      </c>
      <c r="N161" s="598">
        <v>47</v>
      </c>
      <c r="O161" s="598">
        <v>5</v>
      </c>
      <c r="P161" s="598">
        <v>9</v>
      </c>
      <c r="Q161" s="598" t="s">
        <v>4645</v>
      </c>
      <c r="R161" s="598">
        <v>1</v>
      </c>
    </row>
    <row r="162" spans="8:59">
      <c r="H162" s="598">
        <v>75</v>
      </c>
      <c r="I162" s="598" t="s">
        <v>2039</v>
      </c>
      <c r="J162" s="598">
        <v>15</v>
      </c>
      <c r="K162" s="598">
        <v>3</v>
      </c>
      <c r="L162" s="598">
        <v>51</v>
      </c>
      <c r="M162" s="598" t="s">
        <v>4646</v>
      </c>
      <c r="N162" s="598">
        <v>53</v>
      </c>
      <c r="O162" s="598">
        <v>6</v>
      </c>
      <c r="P162" s="598">
        <v>11</v>
      </c>
      <c r="Q162" s="598" t="s">
        <v>4646</v>
      </c>
      <c r="R162" s="598">
        <v>4</v>
      </c>
    </row>
    <row r="163" spans="8:59">
      <c r="H163" s="598">
        <v>77</v>
      </c>
      <c r="I163" s="598" t="s">
        <v>3432</v>
      </c>
      <c r="J163" s="598">
        <v>10</v>
      </c>
      <c r="K163" s="598">
        <v>2</v>
      </c>
      <c r="L163" s="598">
        <v>63</v>
      </c>
      <c r="M163" s="598" t="s">
        <v>4647</v>
      </c>
      <c r="N163" s="598">
        <v>55</v>
      </c>
      <c r="O163" s="598">
        <v>6</v>
      </c>
      <c r="P163" s="598">
        <v>14</v>
      </c>
      <c r="Q163" s="598" t="s">
        <v>4647</v>
      </c>
      <c r="R163" s="598">
        <v>6</v>
      </c>
    </row>
    <row r="164" spans="8:59">
      <c r="H164" s="598">
        <v>79</v>
      </c>
      <c r="I164" s="598" t="s">
        <v>3433</v>
      </c>
      <c r="J164" s="598">
        <v>15</v>
      </c>
      <c r="K164" s="598">
        <v>2</v>
      </c>
      <c r="L164" s="598">
        <v>76</v>
      </c>
      <c r="M164" s="598" t="s">
        <v>245</v>
      </c>
      <c r="N164" s="598">
        <v>58</v>
      </c>
      <c r="O164" s="598">
        <v>7</v>
      </c>
      <c r="P164" s="598">
        <v>17</v>
      </c>
      <c r="Q164" s="598" t="s">
        <v>245</v>
      </c>
      <c r="R164" s="598">
        <v>8</v>
      </c>
    </row>
    <row r="165" spans="8:59">
      <c r="H165" s="598">
        <v>81</v>
      </c>
      <c r="I165" s="598" t="s">
        <v>3434</v>
      </c>
      <c r="J165" s="598">
        <v>18</v>
      </c>
      <c r="K165" s="598">
        <v>3</v>
      </c>
      <c r="L165" s="598">
        <v>96</v>
      </c>
      <c r="M165" s="598" t="s">
        <v>246</v>
      </c>
      <c r="N165" s="598">
        <v>60</v>
      </c>
      <c r="O165" s="598">
        <v>7</v>
      </c>
      <c r="P165" s="598">
        <v>18</v>
      </c>
      <c r="Q165" s="598" t="s">
        <v>246</v>
      </c>
      <c r="R165" s="598">
        <v>10</v>
      </c>
    </row>
    <row r="166" spans="8:59">
      <c r="H166" s="598">
        <v>88</v>
      </c>
      <c r="I166" s="598" t="s">
        <v>2762</v>
      </c>
      <c r="J166" s="598">
        <v>15</v>
      </c>
      <c r="K166" s="598">
        <v>3</v>
      </c>
    </row>
    <row r="167" spans="8:59">
      <c r="H167" s="598">
        <v>89</v>
      </c>
      <c r="I167" s="598" t="s">
        <v>3435</v>
      </c>
      <c r="J167" s="598">
        <v>18</v>
      </c>
      <c r="K167" s="598">
        <v>3</v>
      </c>
    </row>
    <row r="168" spans="8:59">
      <c r="H168" s="598">
        <v>94</v>
      </c>
      <c r="I168" s="598" t="s">
        <v>4127</v>
      </c>
      <c r="J168" s="598">
        <v>10</v>
      </c>
      <c r="K168" s="598">
        <v>2</v>
      </c>
    </row>
    <row r="169" spans="8:59">
      <c r="H169" s="598">
        <v>95</v>
      </c>
      <c r="I169" s="598" t="s">
        <v>3436</v>
      </c>
      <c r="J169" s="598">
        <v>18</v>
      </c>
      <c r="K169" s="598">
        <v>5</v>
      </c>
    </row>
    <row r="170" spans="8:59">
      <c r="H170" s="598">
        <v>98</v>
      </c>
      <c r="I170" s="598" t="s">
        <v>3801</v>
      </c>
      <c r="J170" s="598">
        <v>20</v>
      </c>
      <c r="K170" s="598">
        <v>7</v>
      </c>
    </row>
    <row r="171" spans="8:59">
      <c r="H171" s="598">
        <v>100</v>
      </c>
      <c r="I171" s="598" t="s">
        <v>3802</v>
      </c>
      <c r="J171" s="598">
        <v>22</v>
      </c>
      <c r="K171" s="598">
        <v>8</v>
      </c>
    </row>
    <row r="175" spans="8:59">
      <c r="H175" s="598" t="s">
        <v>1347</v>
      </c>
      <c r="J175" s="598" t="s">
        <v>3776</v>
      </c>
      <c r="K175" s="598" t="s">
        <v>3777</v>
      </c>
      <c r="L175" s="598" t="s">
        <v>3778</v>
      </c>
      <c r="M175" s="598" t="s">
        <v>3779</v>
      </c>
      <c r="BC175" s="598">
        <v>42</v>
      </c>
      <c r="BD175" s="598" t="s">
        <v>3428</v>
      </c>
      <c r="BF175" s="598">
        <v>235</v>
      </c>
      <c r="BG175" s="598">
        <v>23</v>
      </c>
    </row>
    <row r="176" spans="8:59">
      <c r="I176" s="598" t="s">
        <v>4004</v>
      </c>
      <c r="J176" s="598">
        <v>3</v>
      </c>
      <c r="K176" s="598">
        <v>14</v>
      </c>
      <c r="L176" s="598">
        <v>3</v>
      </c>
      <c r="M176" s="598">
        <v>14</v>
      </c>
      <c r="O176" s="598">
        <f>IF('Main Creation Page'!I31="F",'Racial Lookups'!K183,'Racial Lookups'!M183)</f>
        <v>87</v>
      </c>
      <c r="P176" s="598">
        <f>INT(O176/12)</f>
        <v>7</v>
      </c>
      <c r="Q176" s="598">
        <f>O176-(12*P176)</f>
        <v>3</v>
      </c>
    </row>
    <row r="177" spans="8:17">
      <c r="I177" s="598" t="s">
        <v>4007</v>
      </c>
      <c r="J177" s="598">
        <v>2</v>
      </c>
      <c r="K177" s="598">
        <v>8</v>
      </c>
      <c r="L177" s="598">
        <v>2</v>
      </c>
      <c r="M177" s="598">
        <v>8</v>
      </c>
      <c r="Q177" s="598" t="str">
        <f>CONCATENATE(P176,"ft. ",Q176," in.")</f>
        <v>7ft. 3 in.</v>
      </c>
    </row>
    <row r="178" spans="8:17">
      <c r="I178" s="598" t="s">
        <v>4006</v>
      </c>
      <c r="J178" s="598">
        <v>10</v>
      </c>
      <c r="K178" s="598">
        <v>18</v>
      </c>
      <c r="L178" s="598">
        <v>3</v>
      </c>
      <c r="M178" s="598">
        <v>13</v>
      </c>
      <c r="O178" s="598">
        <f>IF('Main Creation Page'!I31="F",'Racial Lookups'!K184,'Racial Lookups'!M184)</f>
        <v>10</v>
      </c>
    </row>
    <row r="179" spans="8:17">
      <c r="I179" s="598" t="s">
        <v>4005</v>
      </c>
      <c r="J179" s="598">
        <v>12</v>
      </c>
      <c r="K179" s="598">
        <v>22</v>
      </c>
      <c r="L179" s="598">
        <v>12</v>
      </c>
      <c r="M179" s="598">
        <v>20</v>
      </c>
    </row>
    <row r="180" spans="8:17">
      <c r="I180" s="598" t="s">
        <v>3773</v>
      </c>
      <c r="J180" s="598">
        <v>5</v>
      </c>
      <c r="K180" s="598">
        <v>15</v>
      </c>
      <c r="L180" s="598">
        <v>2</v>
      </c>
      <c r="M180" s="598">
        <v>12</v>
      </c>
    </row>
    <row r="181" spans="8:17">
      <c r="I181" s="598" t="s">
        <v>3774</v>
      </c>
      <c r="J181" s="598">
        <v>16</v>
      </c>
      <c r="K181" s="598">
        <v>50</v>
      </c>
      <c r="L181" s="598">
        <v>15</v>
      </c>
      <c r="M181" s="598">
        <v>44</v>
      </c>
    </row>
    <row r="182" spans="8:17">
      <c r="I182" s="598" t="s">
        <v>3775</v>
      </c>
      <c r="K182" s="598">
        <v>40</v>
      </c>
      <c r="M182" s="598">
        <v>30</v>
      </c>
    </row>
    <row r="183" spans="8:17">
      <c r="I183" s="598" t="s">
        <v>5226</v>
      </c>
      <c r="K183" s="598">
        <f>'Main Creation Page'!S33+80</f>
        <v>91</v>
      </c>
      <c r="M183" s="598">
        <f>'Main Creation Page'!S33+76</f>
        <v>87</v>
      </c>
    </row>
    <row r="184" spans="8:17">
      <c r="I184" s="598" t="s">
        <v>3780</v>
      </c>
      <c r="K184" s="598">
        <f>'Main Creation Page'!S34+3</f>
        <v>10</v>
      </c>
      <c r="M184" s="598">
        <f>'Main Creation Page'!S34+3</f>
        <v>10</v>
      </c>
    </row>
    <row r="185" spans="8:17">
      <c r="I185" s="598" t="s">
        <v>3977</v>
      </c>
      <c r="K185" s="598">
        <f>10+((K183-40)*30)</f>
        <v>1540</v>
      </c>
      <c r="M185" s="598">
        <f>10+((M183-40)*30)</f>
        <v>1420</v>
      </c>
    </row>
    <row r="186" spans="8:17">
      <c r="I186" s="598" t="s">
        <v>2851</v>
      </c>
      <c r="K186" s="598">
        <f>K185+(VLOOKUP($K$184,$G$85:$J$98,4)*K185)</f>
        <v>1925</v>
      </c>
      <c r="M186" s="598">
        <f>M185+(VLOOKUP($K$184,$G$85:$J$98,4)*M185)</f>
        <v>1775</v>
      </c>
    </row>
    <row r="187" spans="8:17">
      <c r="I187" s="598" t="s">
        <v>3781</v>
      </c>
      <c r="K187" s="598">
        <f>SQRT(K186)*3</f>
        <v>131.62446581088182</v>
      </c>
      <c r="M187" s="598">
        <f>SQRT(M186)*3</f>
        <v>126.39224659764537</v>
      </c>
    </row>
    <row r="188" spans="8:17">
      <c r="I188" s="598" t="s">
        <v>3782</v>
      </c>
      <c r="J188" s="598">
        <f>'Main Creation Page'!C26</f>
        <v>95</v>
      </c>
      <c r="K188" s="598" t="str">
        <f>IF(J188&lt;11,"No Territory",IF(J188&lt;76,"Troll Crafter",IF(J188&lt;96,"Troll Witch","Troll Shamaness")))</f>
        <v>Troll Witch</v>
      </c>
      <c r="L188" s="598">
        <f>'Main Creation Page'!C26</f>
        <v>95</v>
      </c>
      <c r="M188" s="598" t="str">
        <f>IF(L188&lt;11,"Loner",IF(L188&lt;76,"Member of Warband",IF(L188&lt;96,"Leader of Warband","Troll King")))</f>
        <v>Leader of Warband</v>
      </c>
    </row>
    <row r="189" spans="8:17">
      <c r="I189" s="598" t="s">
        <v>150</v>
      </c>
      <c r="J189" s="598">
        <f>'Main Creation Page'!E11*2</f>
        <v>20</v>
      </c>
    </row>
    <row r="191" spans="8:17">
      <c r="J191" s="598" t="s">
        <v>2847</v>
      </c>
      <c r="K191" s="598" t="s">
        <v>2848</v>
      </c>
      <c r="L191" s="598" t="s">
        <v>2849</v>
      </c>
      <c r="M191" s="598" t="s">
        <v>2850</v>
      </c>
    </row>
    <row r="192" spans="8:17">
      <c r="H192" s="598" t="s">
        <v>2846</v>
      </c>
      <c r="O192" s="598">
        <f ca="1">IF('Main Creation Page'!C3=6,IF('Main Creation Page'!AI44="F",K193,M193),IF('Main Creation Page'!AI44="F",J193,L193))</f>
        <v>59</v>
      </c>
      <c r="P192" s="598">
        <f ca="1">INT(O192/12)</f>
        <v>4</v>
      </c>
      <c r="Q192" s="598">
        <f ca="1">O192-(12*P192)</f>
        <v>11</v>
      </c>
    </row>
    <row r="193" spans="1:41">
      <c r="I193" s="598" t="s">
        <v>5226</v>
      </c>
      <c r="J193" s="598">
        <f>'Main Creation Page'!S33+46</f>
        <v>57</v>
      </c>
      <c r="K193" s="598">
        <f>'Main Creation Page'!S33+52</f>
        <v>63</v>
      </c>
      <c r="L193" s="598">
        <f>'Main Creation Page'!S33+48</f>
        <v>59</v>
      </c>
      <c r="M193" s="598">
        <f>'Main Creation Page'!S33+54</f>
        <v>65</v>
      </c>
      <c r="Q193" s="598" t="str">
        <f ca="1">CONCATENATE(P192,"ft. ",Q192," in.")</f>
        <v>4ft. 11 in.</v>
      </c>
    </row>
    <row r="194" spans="1:41">
      <c r="I194" s="598" t="s">
        <v>3780</v>
      </c>
      <c r="J194" s="598">
        <f>'Main Creation Page'!S34-1</f>
        <v>6</v>
      </c>
      <c r="K194" s="598">
        <f>'Main Creation Page'!S34</f>
        <v>7</v>
      </c>
      <c r="L194" s="598">
        <f>'Main Creation Page'!S34+1</f>
        <v>8</v>
      </c>
      <c r="M194" s="598">
        <f>'Main Creation Page'!S34+1</f>
        <v>8</v>
      </c>
      <c r="O194" s="598">
        <f>IF('Main Creation Page'!C3=6,IF('Main Creation Page'!I31="F",K196,M196),IF('Main Creation Page'!I31="F",J196,L196))</f>
        <v>164.45</v>
      </c>
    </row>
    <row r="195" spans="1:41">
      <c r="I195" s="598" t="s">
        <v>3977</v>
      </c>
      <c r="J195" s="598">
        <f>10+((J193-40)*7)</f>
        <v>129</v>
      </c>
      <c r="K195" s="598">
        <f>10+((K193-40)*8)</f>
        <v>194</v>
      </c>
      <c r="L195" s="598">
        <f>10+((L193-40)*7)</f>
        <v>143</v>
      </c>
      <c r="M195" s="598">
        <f>10+((M193-40)*8)</f>
        <v>210</v>
      </c>
      <c r="O195" s="598">
        <f>IF('Main Creation Page'!C3=6,IF('Main Creation Page'!I31="F",K194,M194),IF('Main Creation Page'!I31="F",J194,L194))</f>
        <v>8</v>
      </c>
    </row>
    <row r="196" spans="1:41">
      <c r="I196" s="598" t="s">
        <v>2852</v>
      </c>
      <c r="J196" s="598">
        <f>J195+(VLOOKUP(J194,$G$85:$J$98,4)*J195)</f>
        <v>135.44999999999999</v>
      </c>
      <c r="K196" s="598">
        <f>K195+(VLOOKUP(K194,$G$85:$J$98,4)*K195)</f>
        <v>213.4</v>
      </c>
      <c r="L196" s="598">
        <f>L195+(VLOOKUP(L194,$G$85:$J$98,4)*L195)</f>
        <v>164.45</v>
      </c>
      <c r="M196" s="598">
        <f>M195+(VLOOKUP(M194,$G$85:$J$98,4)*M195)</f>
        <v>241.5</v>
      </c>
      <c r="AH196" s="977"/>
    </row>
    <row r="200" spans="1:41">
      <c r="B200" s="598">
        <f>INT(+E201/12)</f>
        <v>3</v>
      </c>
      <c r="C200" s="598">
        <f>E201-(12*B200)</f>
        <v>11</v>
      </c>
      <c r="E200" s="598">
        <f>IF('Main Creation Page'!C5=4,2,1)+IF('Main Creation Page'!I31="M",1,2)</f>
        <v>2</v>
      </c>
      <c r="I200" s="598" t="s">
        <v>1346</v>
      </c>
      <c r="Z200" s="977" t="s">
        <v>5928</v>
      </c>
      <c r="AA200" s="977"/>
      <c r="AB200" s="977">
        <v>1</v>
      </c>
      <c r="AC200" s="977"/>
      <c r="AD200" s="977" t="s">
        <v>5880</v>
      </c>
      <c r="AE200" s="977"/>
      <c r="AF200" s="977">
        <v>3</v>
      </c>
      <c r="AG200" s="977"/>
      <c r="AH200" s="977" t="s">
        <v>5902</v>
      </c>
      <c r="AI200" s="977"/>
      <c r="AJ200" s="598">
        <v>5</v>
      </c>
      <c r="AL200" s="598" t="s">
        <v>4377</v>
      </c>
      <c r="AN200" s="598">
        <v>6</v>
      </c>
    </row>
    <row r="201" spans="1:41">
      <c r="B201" s="598" t="str">
        <f>CONCATENATE(B200,"ft. ",C200," in.")</f>
        <v>3ft. 11 in.</v>
      </c>
      <c r="E201" s="598">
        <f>VLOOKUP('Main Creation Page'!$S$33,I201:M221,$E$200)</f>
        <v>47</v>
      </c>
      <c r="J201" s="598">
        <v>36</v>
      </c>
      <c r="K201" s="598">
        <v>34</v>
      </c>
      <c r="L201" s="598">
        <v>38</v>
      </c>
      <c r="M201" s="598">
        <v>36</v>
      </c>
      <c r="Z201" s="977">
        <v>1</v>
      </c>
      <c r="AA201" s="977" t="s">
        <v>5854</v>
      </c>
      <c r="AB201" s="977">
        <v>5</v>
      </c>
      <c r="AC201" s="977"/>
      <c r="AD201" s="977">
        <v>1</v>
      </c>
      <c r="AE201" s="977" t="s">
        <v>5881</v>
      </c>
      <c r="AF201" s="977">
        <v>15</v>
      </c>
      <c r="AG201" s="977"/>
      <c r="AH201" s="977">
        <v>1</v>
      </c>
      <c r="AI201" s="977" t="s">
        <v>5903</v>
      </c>
      <c r="AJ201" s="977">
        <v>10</v>
      </c>
      <c r="AL201" s="977">
        <v>1</v>
      </c>
      <c r="AM201" s="598" t="s">
        <v>6003</v>
      </c>
      <c r="AN201" s="598">
        <v>15</v>
      </c>
      <c r="AO201" s="996"/>
    </row>
    <row r="202" spans="1:41">
      <c r="B202" s="598">
        <f>10+(2*E201)+(VLOOKUP('Main Creation Page'!S34,F202:H215,3))</f>
        <v>119</v>
      </c>
      <c r="F202" s="598">
        <v>0</v>
      </c>
      <c r="G202" s="598" t="s">
        <v>3063</v>
      </c>
      <c r="H202" s="598">
        <v>-10</v>
      </c>
      <c r="I202" s="598">
        <v>1</v>
      </c>
      <c r="J202" s="598">
        <f t="shared" ref="J202:J221" si="10">$J$201+I202</f>
        <v>37</v>
      </c>
      <c r="K202" s="598">
        <f t="shared" ref="K202:K221" si="11">$K$201+I202</f>
        <v>35</v>
      </c>
      <c r="L202" s="598">
        <f t="shared" ref="L202:L221" si="12">$L$201+I202</f>
        <v>39</v>
      </c>
      <c r="M202" s="598">
        <f t="shared" ref="M202:M221" si="13">$M$201+I202</f>
        <v>37</v>
      </c>
      <c r="Z202" s="977">
        <v>31</v>
      </c>
      <c r="AA202" s="977" t="s">
        <v>5855</v>
      </c>
      <c r="AB202" s="977">
        <v>5</v>
      </c>
      <c r="AC202" s="977"/>
      <c r="AD202" s="977">
        <v>6</v>
      </c>
      <c r="AE202" s="977" t="s">
        <v>5882</v>
      </c>
      <c r="AF202" s="977">
        <v>18</v>
      </c>
      <c r="AG202" s="977"/>
      <c r="AH202" s="977">
        <v>11</v>
      </c>
      <c r="AI202" s="977" t="s">
        <v>5904</v>
      </c>
      <c r="AJ202" s="977">
        <v>15</v>
      </c>
      <c r="AL202" s="977">
        <v>4</v>
      </c>
      <c r="AM202" s="598" t="s">
        <v>6004</v>
      </c>
      <c r="AN202" s="598">
        <v>15</v>
      </c>
      <c r="AO202" s="996"/>
    </row>
    <row r="203" spans="1:41">
      <c r="A203" s="598">
        <v>1</v>
      </c>
      <c r="B203" s="598">
        <v>13</v>
      </c>
      <c r="C203" s="598">
        <v>-2500</v>
      </c>
      <c r="D203" s="598">
        <v>-10</v>
      </c>
      <c r="E203" s="598">
        <v>1</v>
      </c>
      <c r="F203" s="598">
        <v>1</v>
      </c>
      <c r="G203" s="598" t="s">
        <v>3063</v>
      </c>
      <c r="H203" s="598">
        <v>-5</v>
      </c>
      <c r="I203" s="598">
        <v>2</v>
      </c>
      <c r="J203" s="598">
        <f t="shared" si="10"/>
        <v>38</v>
      </c>
      <c r="K203" s="598">
        <f t="shared" si="11"/>
        <v>36</v>
      </c>
      <c r="L203" s="598">
        <f t="shared" si="12"/>
        <v>40</v>
      </c>
      <c r="M203" s="598">
        <f t="shared" si="13"/>
        <v>38</v>
      </c>
      <c r="Z203" s="977">
        <v>61</v>
      </c>
      <c r="AA203" s="977" t="s">
        <v>5856</v>
      </c>
      <c r="AB203" s="977">
        <v>5</v>
      </c>
      <c r="AC203" s="977"/>
      <c r="AD203" s="977">
        <v>11</v>
      </c>
      <c r="AE203" s="977" t="s">
        <v>5883</v>
      </c>
      <c r="AF203" s="977">
        <v>25</v>
      </c>
      <c r="AG203" s="977"/>
      <c r="AH203" s="977">
        <v>21</v>
      </c>
      <c r="AI203" s="977" t="s">
        <v>5905</v>
      </c>
      <c r="AJ203" s="977">
        <v>15</v>
      </c>
      <c r="AL203" s="977">
        <v>8</v>
      </c>
      <c r="AM203" s="598" t="s">
        <v>233</v>
      </c>
      <c r="AN203" s="598">
        <v>9</v>
      </c>
      <c r="AO203" s="996"/>
    </row>
    <row r="204" spans="1:41">
      <c r="A204" s="598">
        <v>6</v>
      </c>
      <c r="B204" s="598">
        <v>15</v>
      </c>
      <c r="C204" s="598">
        <v>-2000</v>
      </c>
      <c r="D204" s="598">
        <v>-8</v>
      </c>
      <c r="E204" s="598">
        <v>6</v>
      </c>
      <c r="F204" s="598">
        <v>2</v>
      </c>
      <c r="G204" s="598" t="s">
        <v>5284</v>
      </c>
      <c r="H204" s="598">
        <v>-3</v>
      </c>
      <c r="I204" s="598">
        <v>3</v>
      </c>
      <c r="J204" s="598">
        <f t="shared" si="10"/>
        <v>39</v>
      </c>
      <c r="K204" s="598">
        <f t="shared" si="11"/>
        <v>37</v>
      </c>
      <c r="L204" s="598">
        <f t="shared" si="12"/>
        <v>41</v>
      </c>
      <c r="M204" s="598">
        <f t="shared" si="13"/>
        <v>39</v>
      </c>
      <c r="Z204" s="977">
        <v>69</v>
      </c>
      <c r="AA204" s="977" t="s">
        <v>5857</v>
      </c>
      <c r="AB204" s="977">
        <v>3</v>
      </c>
      <c r="AC204" s="977"/>
      <c r="AD204" s="977">
        <v>16</v>
      </c>
      <c r="AE204" s="977" t="s">
        <v>4376</v>
      </c>
      <c r="AF204" s="977">
        <v>15</v>
      </c>
      <c r="AG204" s="977"/>
      <c r="AH204" s="977">
        <v>31</v>
      </c>
      <c r="AI204" s="977" t="s">
        <v>5906</v>
      </c>
      <c r="AJ204" s="977">
        <v>17</v>
      </c>
      <c r="AL204" s="977">
        <v>11</v>
      </c>
      <c r="AM204" s="598" t="s">
        <v>6005</v>
      </c>
      <c r="AN204" s="598">
        <v>9</v>
      </c>
      <c r="AO204" s="996"/>
    </row>
    <row r="205" spans="1:41">
      <c r="A205" s="598">
        <v>11</v>
      </c>
      <c r="B205" s="598">
        <v>17</v>
      </c>
      <c r="C205" s="598">
        <v>-1500</v>
      </c>
      <c r="D205" s="598">
        <v>-6</v>
      </c>
      <c r="E205" s="598">
        <v>11</v>
      </c>
      <c r="F205" s="598">
        <v>3</v>
      </c>
      <c r="G205" s="598" t="s">
        <v>5284</v>
      </c>
      <c r="H205" s="598">
        <v>-2</v>
      </c>
      <c r="I205" s="598">
        <v>4</v>
      </c>
      <c r="J205" s="598">
        <f t="shared" si="10"/>
        <v>40</v>
      </c>
      <c r="K205" s="598">
        <f t="shared" si="11"/>
        <v>38</v>
      </c>
      <c r="L205" s="598">
        <f t="shared" si="12"/>
        <v>42</v>
      </c>
      <c r="M205" s="598">
        <f t="shared" si="13"/>
        <v>40</v>
      </c>
      <c r="Z205" s="977">
        <v>78</v>
      </c>
      <c r="AA205" s="977" t="s">
        <v>5858</v>
      </c>
      <c r="AB205" s="977">
        <v>3</v>
      </c>
      <c r="AC205" s="977"/>
      <c r="AD205" s="977">
        <v>21</v>
      </c>
      <c r="AE205" s="977" t="s">
        <v>1526</v>
      </c>
      <c r="AF205" s="977">
        <v>15</v>
      </c>
      <c r="AG205" s="977"/>
      <c r="AH205" s="977">
        <v>41</v>
      </c>
      <c r="AI205" s="977" t="s">
        <v>5848</v>
      </c>
      <c r="AJ205" s="977">
        <v>19</v>
      </c>
      <c r="AL205" s="977">
        <v>17</v>
      </c>
      <c r="AM205" s="598" t="s">
        <v>6006</v>
      </c>
      <c r="AN205" s="598">
        <v>9</v>
      </c>
      <c r="AO205" s="996"/>
    </row>
    <row r="206" spans="1:41">
      <c r="A206" s="598">
        <v>21</v>
      </c>
      <c r="B206" s="598">
        <v>20</v>
      </c>
      <c r="C206" s="598">
        <v>-1000</v>
      </c>
      <c r="D206" s="598">
        <v>-4</v>
      </c>
      <c r="E206" s="598">
        <v>21</v>
      </c>
      <c r="F206" s="598">
        <v>4</v>
      </c>
      <c r="G206" s="598" t="s">
        <v>3622</v>
      </c>
      <c r="H206" s="598">
        <v>0</v>
      </c>
      <c r="I206" s="598">
        <v>5</v>
      </c>
      <c r="J206" s="598">
        <f t="shared" si="10"/>
        <v>41</v>
      </c>
      <c r="K206" s="598">
        <f t="shared" si="11"/>
        <v>39</v>
      </c>
      <c r="L206" s="598">
        <f t="shared" si="12"/>
        <v>43</v>
      </c>
      <c r="M206" s="598">
        <f t="shared" si="13"/>
        <v>41</v>
      </c>
      <c r="Z206" s="977">
        <v>84</v>
      </c>
      <c r="AA206" s="977" t="s">
        <v>5859</v>
      </c>
      <c r="AB206" s="977">
        <v>6</v>
      </c>
      <c r="AC206" s="977"/>
      <c r="AD206" s="977">
        <v>26</v>
      </c>
      <c r="AE206" s="977" t="s">
        <v>5884</v>
      </c>
      <c r="AF206" s="977">
        <v>15</v>
      </c>
      <c r="AG206" s="977"/>
      <c r="AH206" s="977">
        <v>51</v>
      </c>
      <c r="AI206" s="977" t="s">
        <v>5907</v>
      </c>
      <c r="AJ206" s="977">
        <v>17</v>
      </c>
      <c r="AL206" s="977">
        <v>22</v>
      </c>
      <c r="AM206" s="598" t="s">
        <v>2037</v>
      </c>
      <c r="AN206" s="598">
        <v>9</v>
      </c>
      <c r="AO206" s="996"/>
    </row>
    <row r="207" spans="1:41">
      <c r="A207" s="598">
        <v>31</v>
      </c>
      <c r="B207" s="598">
        <v>23</v>
      </c>
      <c r="C207" s="598">
        <v>-500</v>
      </c>
      <c r="D207" s="598">
        <v>-2</v>
      </c>
      <c r="E207" s="598">
        <v>31</v>
      </c>
      <c r="F207" s="598">
        <v>5</v>
      </c>
      <c r="G207" s="598" t="s">
        <v>1779</v>
      </c>
      <c r="H207" s="598">
        <v>5</v>
      </c>
      <c r="I207" s="598">
        <v>6</v>
      </c>
      <c r="J207" s="598">
        <f t="shared" si="10"/>
        <v>42</v>
      </c>
      <c r="K207" s="598">
        <f t="shared" si="11"/>
        <v>40</v>
      </c>
      <c r="L207" s="598">
        <f t="shared" si="12"/>
        <v>44</v>
      </c>
      <c r="M207" s="598">
        <f t="shared" si="13"/>
        <v>42</v>
      </c>
      <c r="Z207" s="977">
        <v>89</v>
      </c>
      <c r="AA207" s="977" t="s">
        <v>5860</v>
      </c>
      <c r="AB207" s="977">
        <v>3</v>
      </c>
      <c r="AC207" s="977"/>
      <c r="AD207" s="977">
        <v>31</v>
      </c>
      <c r="AE207" s="977" t="s">
        <v>5885</v>
      </c>
      <c r="AF207" s="977">
        <v>15</v>
      </c>
      <c r="AG207" s="977"/>
      <c r="AH207" s="977">
        <v>61</v>
      </c>
      <c r="AI207" s="977" t="s">
        <v>5908</v>
      </c>
      <c r="AJ207" s="977">
        <v>15</v>
      </c>
      <c r="AL207" s="977">
        <v>27</v>
      </c>
      <c r="AM207" s="598" t="s">
        <v>996</v>
      </c>
      <c r="AN207" s="598">
        <v>15</v>
      </c>
      <c r="AO207" s="996"/>
    </row>
    <row r="208" spans="1:41">
      <c r="A208" s="598">
        <v>41</v>
      </c>
      <c r="B208" s="598">
        <v>25</v>
      </c>
      <c r="C208" s="598">
        <v>0</v>
      </c>
      <c r="D208" s="598">
        <v>0</v>
      </c>
      <c r="E208" s="598">
        <v>41</v>
      </c>
      <c r="F208" s="598">
        <v>6</v>
      </c>
      <c r="G208" s="598" t="s">
        <v>3622</v>
      </c>
      <c r="H208" s="598">
        <v>10</v>
      </c>
      <c r="I208" s="598">
        <v>7</v>
      </c>
      <c r="J208" s="598">
        <f t="shared" si="10"/>
        <v>43</v>
      </c>
      <c r="K208" s="598">
        <f t="shared" si="11"/>
        <v>41</v>
      </c>
      <c r="L208" s="598">
        <f t="shared" si="12"/>
        <v>45</v>
      </c>
      <c r="M208" s="598">
        <f t="shared" si="13"/>
        <v>43</v>
      </c>
      <c r="Z208" s="977">
        <v>94</v>
      </c>
      <c r="AA208" s="977" t="s">
        <v>5861</v>
      </c>
      <c r="AB208" s="977">
        <v>3</v>
      </c>
      <c r="AC208" s="977"/>
      <c r="AD208" s="977">
        <v>36</v>
      </c>
      <c r="AE208" s="977" t="s">
        <v>5886</v>
      </c>
      <c r="AF208" s="977">
        <v>15</v>
      </c>
      <c r="AG208" s="977"/>
      <c r="AH208" s="977">
        <v>71</v>
      </c>
      <c r="AI208" s="977" t="s">
        <v>5909</v>
      </c>
      <c r="AJ208" s="977">
        <v>15</v>
      </c>
      <c r="AL208" s="977">
        <v>30</v>
      </c>
      <c r="AM208" s="598" t="s">
        <v>4849</v>
      </c>
      <c r="AN208" s="598">
        <v>9</v>
      </c>
      <c r="AO208" s="996"/>
    </row>
    <row r="209" spans="1:41">
      <c r="A209" s="598">
        <v>61</v>
      </c>
      <c r="B209" s="598">
        <v>27</v>
      </c>
      <c r="C209" s="598">
        <v>500</v>
      </c>
      <c r="D209" s="598">
        <v>2</v>
      </c>
      <c r="E209" s="598">
        <v>61</v>
      </c>
      <c r="F209" s="598">
        <v>7</v>
      </c>
      <c r="G209" s="598" t="s">
        <v>5283</v>
      </c>
      <c r="H209" s="598">
        <v>15</v>
      </c>
      <c r="I209" s="598">
        <v>8</v>
      </c>
      <c r="J209" s="598">
        <f t="shared" si="10"/>
        <v>44</v>
      </c>
      <c r="K209" s="598">
        <f t="shared" si="11"/>
        <v>42</v>
      </c>
      <c r="L209" s="598">
        <f t="shared" si="12"/>
        <v>46</v>
      </c>
      <c r="M209" s="598">
        <f t="shared" si="13"/>
        <v>44</v>
      </c>
      <c r="Z209" s="598">
        <v>96</v>
      </c>
      <c r="AA209" s="977" t="s">
        <v>5862</v>
      </c>
      <c r="AB209" s="598">
        <v>8</v>
      </c>
      <c r="AD209" s="977">
        <v>41</v>
      </c>
      <c r="AE209" s="977" t="s">
        <v>5887</v>
      </c>
      <c r="AF209" s="977">
        <v>17</v>
      </c>
      <c r="AG209" s="977"/>
      <c r="AH209" s="977">
        <v>81</v>
      </c>
      <c r="AI209" s="977" t="s">
        <v>5910</v>
      </c>
      <c r="AJ209" s="977">
        <v>23</v>
      </c>
      <c r="AL209" s="977">
        <v>33</v>
      </c>
      <c r="AM209" s="598" t="s">
        <v>6007</v>
      </c>
      <c r="AN209" s="598">
        <v>17</v>
      </c>
      <c r="AO209" s="996"/>
    </row>
    <row r="210" spans="1:41">
      <c r="A210" s="598">
        <v>71</v>
      </c>
      <c r="B210" s="598">
        <v>29</v>
      </c>
      <c r="C210" s="598">
        <v>1000</v>
      </c>
      <c r="D210" s="598">
        <v>4</v>
      </c>
      <c r="E210" s="598">
        <v>71</v>
      </c>
      <c r="F210" s="598">
        <v>8</v>
      </c>
      <c r="G210" s="598" t="s">
        <v>5283</v>
      </c>
      <c r="H210" s="598">
        <v>20</v>
      </c>
      <c r="I210" s="598">
        <v>9</v>
      </c>
      <c r="J210" s="598">
        <f t="shared" si="10"/>
        <v>45</v>
      </c>
      <c r="K210" s="598">
        <f t="shared" si="11"/>
        <v>43</v>
      </c>
      <c r="L210" s="598">
        <f t="shared" si="12"/>
        <v>47</v>
      </c>
      <c r="M210" s="598">
        <f t="shared" si="13"/>
        <v>45</v>
      </c>
      <c r="Z210" s="598">
        <v>100</v>
      </c>
      <c r="AA210" s="977" t="s">
        <v>5863</v>
      </c>
      <c r="AB210" s="598">
        <v>9</v>
      </c>
      <c r="AD210" s="977">
        <v>46</v>
      </c>
      <c r="AE210" s="977" t="s">
        <v>2675</v>
      </c>
      <c r="AF210" s="977">
        <v>17</v>
      </c>
      <c r="AG210" s="977"/>
      <c r="AH210" s="977">
        <v>91</v>
      </c>
      <c r="AI210" s="977" t="s">
        <v>5911</v>
      </c>
      <c r="AJ210" s="977">
        <v>23</v>
      </c>
      <c r="AL210" s="977">
        <v>35</v>
      </c>
      <c r="AM210" s="598" t="s">
        <v>6008</v>
      </c>
      <c r="AN210" s="598">
        <v>15</v>
      </c>
      <c r="AO210" s="996"/>
    </row>
    <row r="211" spans="1:41">
      <c r="A211" s="598">
        <v>81</v>
      </c>
      <c r="B211" s="598">
        <v>33</v>
      </c>
      <c r="C211" s="598">
        <v>1500</v>
      </c>
      <c r="D211" s="598">
        <v>6</v>
      </c>
      <c r="E211" s="598">
        <v>81</v>
      </c>
      <c r="F211" s="598">
        <v>9</v>
      </c>
      <c r="G211" s="598" t="s">
        <v>3065</v>
      </c>
      <c r="H211" s="598">
        <v>30</v>
      </c>
      <c r="I211" s="598">
        <v>10</v>
      </c>
      <c r="J211" s="598">
        <f t="shared" si="10"/>
        <v>46</v>
      </c>
      <c r="K211" s="598">
        <f t="shared" si="11"/>
        <v>44</v>
      </c>
      <c r="L211" s="598">
        <f t="shared" si="12"/>
        <v>48</v>
      </c>
      <c r="M211" s="598">
        <f t="shared" si="13"/>
        <v>46</v>
      </c>
      <c r="AD211" s="977">
        <v>51</v>
      </c>
      <c r="AE211" s="977" t="s">
        <v>1551</v>
      </c>
      <c r="AF211" s="977">
        <v>15</v>
      </c>
      <c r="AG211" s="977"/>
      <c r="AH211" s="977">
        <v>97</v>
      </c>
      <c r="AI211" s="977" t="s">
        <v>5912</v>
      </c>
      <c r="AJ211" s="598">
        <v>30</v>
      </c>
      <c r="AL211" s="977">
        <v>37</v>
      </c>
      <c r="AM211" s="598" t="s">
        <v>3537</v>
      </c>
      <c r="AN211" s="598">
        <v>9</v>
      </c>
      <c r="AO211" s="996"/>
    </row>
    <row r="212" spans="1:41">
      <c r="A212" s="598">
        <v>86</v>
      </c>
      <c r="B212" s="598">
        <v>36</v>
      </c>
      <c r="C212" s="598">
        <v>2000</v>
      </c>
      <c r="D212" s="598">
        <v>8</v>
      </c>
      <c r="E212" s="598">
        <v>86</v>
      </c>
      <c r="F212" s="598">
        <v>10</v>
      </c>
      <c r="G212" s="598" t="s">
        <v>1780</v>
      </c>
      <c r="H212" s="598">
        <v>35</v>
      </c>
      <c r="I212" s="598">
        <v>11</v>
      </c>
      <c r="J212" s="598">
        <f t="shared" si="10"/>
        <v>47</v>
      </c>
      <c r="K212" s="598">
        <f t="shared" si="11"/>
        <v>45</v>
      </c>
      <c r="L212" s="598">
        <f t="shared" si="12"/>
        <v>49</v>
      </c>
      <c r="M212" s="598">
        <f t="shared" si="13"/>
        <v>47</v>
      </c>
      <c r="Z212" s="977" t="s">
        <v>5864</v>
      </c>
      <c r="AA212" s="977"/>
      <c r="AB212" s="977">
        <v>2</v>
      </c>
      <c r="AC212" s="977"/>
      <c r="AD212" s="977">
        <v>56</v>
      </c>
      <c r="AE212" s="977" t="s">
        <v>5888</v>
      </c>
      <c r="AF212" s="977">
        <v>18</v>
      </c>
      <c r="AG212" s="977"/>
      <c r="AH212" s="977">
        <v>99</v>
      </c>
      <c r="AI212" s="977" t="s">
        <v>5913</v>
      </c>
      <c r="AJ212" s="598">
        <v>35</v>
      </c>
      <c r="AL212" s="977">
        <v>40</v>
      </c>
      <c r="AM212" s="598" t="s">
        <v>6009</v>
      </c>
      <c r="AN212" s="598">
        <v>15</v>
      </c>
      <c r="AO212" s="996"/>
    </row>
    <row r="213" spans="1:41">
      <c r="A213" s="598">
        <v>91</v>
      </c>
      <c r="B213" s="598">
        <v>37</v>
      </c>
      <c r="C213" s="598">
        <v>2500</v>
      </c>
      <c r="D213" s="598">
        <v>10</v>
      </c>
      <c r="E213" s="598">
        <v>91</v>
      </c>
      <c r="F213" s="598">
        <v>11</v>
      </c>
      <c r="G213" s="598" t="s">
        <v>1780</v>
      </c>
      <c r="H213" s="598">
        <v>40</v>
      </c>
      <c r="I213" s="598">
        <v>12</v>
      </c>
      <c r="J213" s="598">
        <f t="shared" si="10"/>
        <v>48</v>
      </c>
      <c r="K213" s="598">
        <f t="shared" si="11"/>
        <v>46</v>
      </c>
      <c r="L213" s="598">
        <f t="shared" si="12"/>
        <v>50</v>
      </c>
      <c r="M213" s="598">
        <f t="shared" si="13"/>
        <v>48</v>
      </c>
      <c r="Z213" s="977">
        <v>1</v>
      </c>
      <c r="AA213" s="977" t="s">
        <v>5866</v>
      </c>
      <c r="AB213" s="977">
        <v>10</v>
      </c>
      <c r="AC213" s="977"/>
      <c r="AD213" s="977">
        <v>61</v>
      </c>
      <c r="AE213" s="977" t="s">
        <v>1663</v>
      </c>
      <c r="AF213" s="977">
        <v>15</v>
      </c>
      <c r="AG213" s="977"/>
      <c r="AH213" s="977">
        <v>100</v>
      </c>
      <c r="AI213" s="977" t="s">
        <v>5914</v>
      </c>
      <c r="AJ213" s="598">
        <v>37</v>
      </c>
      <c r="AL213" s="977">
        <v>43</v>
      </c>
      <c r="AM213" s="598" t="s">
        <v>5552</v>
      </c>
      <c r="AN213" s="598">
        <v>9</v>
      </c>
      <c r="AO213" s="996"/>
    </row>
    <row r="214" spans="1:41">
      <c r="A214" s="598">
        <v>96</v>
      </c>
      <c r="B214" s="598">
        <v>39</v>
      </c>
      <c r="C214" s="598">
        <v>3000</v>
      </c>
      <c r="D214" s="598">
        <v>12</v>
      </c>
      <c r="E214" s="598">
        <v>96</v>
      </c>
      <c r="F214" s="598">
        <v>12</v>
      </c>
      <c r="G214" s="598" t="s">
        <v>3066</v>
      </c>
      <c r="H214" s="598">
        <v>45</v>
      </c>
      <c r="I214" s="598">
        <v>13</v>
      </c>
      <c r="J214" s="598">
        <f t="shared" si="10"/>
        <v>49</v>
      </c>
      <c r="K214" s="598">
        <f t="shared" si="11"/>
        <v>47</v>
      </c>
      <c r="L214" s="598">
        <f t="shared" si="12"/>
        <v>51</v>
      </c>
      <c r="M214" s="598">
        <f t="shared" si="13"/>
        <v>49</v>
      </c>
      <c r="Z214" s="977">
        <v>6</v>
      </c>
      <c r="AA214" s="977" t="s">
        <v>5867</v>
      </c>
      <c r="AB214" s="977">
        <v>9</v>
      </c>
      <c r="AC214" s="977"/>
      <c r="AD214" s="977">
        <v>66</v>
      </c>
      <c r="AE214" s="977" t="s">
        <v>5889</v>
      </c>
      <c r="AF214" s="977">
        <v>15</v>
      </c>
      <c r="AG214" s="977"/>
      <c r="AH214" s="977"/>
      <c r="AI214" s="977"/>
      <c r="AL214" s="977">
        <v>47</v>
      </c>
      <c r="AM214" s="598" t="s">
        <v>6010</v>
      </c>
      <c r="AN214" s="598">
        <v>15</v>
      </c>
      <c r="AO214" s="996"/>
    </row>
    <row r="215" spans="1:41">
      <c r="A215" s="598">
        <v>100</v>
      </c>
      <c r="B215" s="598">
        <v>41</v>
      </c>
      <c r="C215" s="598">
        <v>3500</v>
      </c>
      <c r="D215" s="598">
        <v>14</v>
      </c>
      <c r="E215" s="598">
        <v>100</v>
      </c>
      <c r="F215" s="598">
        <v>13</v>
      </c>
      <c r="G215" s="598" t="s">
        <v>3066</v>
      </c>
      <c r="H215" s="598">
        <v>50</v>
      </c>
      <c r="I215" s="598">
        <v>14</v>
      </c>
      <c r="J215" s="598">
        <f t="shared" si="10"/>
        <v>50</v>
      </c>
      <c r="K215" s="598">
        <f t="shared" si="11"/>
        <v>48</v>
      </c>
      <c r="L215" s="598">
        <f t="shared" si="12"/>
        <v>52</v>
      </c>
      <c r="M215" s="598">
        <f t="shared" si="13"/>
        <v>50</v>
      </c>
      <c r="Z215" s="977">
        <v>11</v>
      </c>
      <c r="AA215" s="977" t="s">
        <v>5868</v>
      </c>
      <c r="AB215" s="977">
        <v>9</v>
      </c>
      <c r="AC215" s="977"/>
      <c r="AD215" s="977">
        <v>71</v>
      </c>
      <c r="AE215" s="977" t="s">
        <v>4143</v>
      </c>
      <c r="AF215" s="977">
        <v>16</v>
      </c>
      <c r="AG215" s="977"/>
      <c r="AH215" s="977" t="s">
        <v>5915</v>
      </c>
      <c r="AI215" s="977"/>
      <c r="AJ215" s="598">
        <v>7</v>
      </c>
      <c r="AL215" s="977">
        <v>49</v>
      </c>
      <c r="AM215" s="598" t="s">
        <v>4841</v>
      </c>
      <c r="AN215" s="598">
        <v>9</v>
      </c>
      <c r="AO215" s="996"/>
    </row>
    <row r="216" spans="1:41">
      <c r="B216" s="598" t="s">
        <v>2579</v>
      </c>
      <c r="C216" s="598" t="s">
        <v>1677</v>
      </c>
      <c r="D216" s="598" t="s">
        <v>1678</v>
      </c>
      <c r="E216" s="598" t="s">
        <v>3483</v>
      </c>
      <c r="I216" s="598">
        <v>15</v>
      </c>
      <c r="J216" s="598">
        <f t="shared" si="10"/>
        <v>51</v>
      </c>
      <c r="K216" s="598">
        <f t="shared" si="11"/>
        <v>49</v>
      </c>
      <c r="L216" s="598">
        <f t="shared" si="12"/>
        <v>53</v>
      </c>
      <c r="M216" s="598">
        <f t="shared" si="13"/>
        <v>51</v>
      </c>
      <c r="Z216" s="977">
        <v>14</v>
      </c>
      <c r="AA216" s="977" t="s">
        <v>5869</v>
      </c>
      <c r="AB216" s="977">
        <v>9</v>
      </c>
      <c r="AC216" s="977"/>
      <c r="AD216" s="977">
        <v>78</v>
      </c>
      <c r="AE216" s="977" t="s">
        <v>5890</v>
      </c>
      <c r="AF216" s="977">
        <v>17</v>
      </c>
      <c r="AG216" s="977"/>
      <c r="AH216" s="598">
        <v>1</v>
      </c>
      <c r="AI216" s="977" t="s">
        <v>5980</v>
      </c>
      <c r="AJ216" s="598">
        <v>37</v>
      </c>
      <c r="AL216" s="977">
        <v>54</v>
      </c>
      <c r="AM216" s="598" t="s">
        <v>6011</v>
      </c>
      <c r="AN216" s="598">
        <v>17</v>
      </c>
      <c r="AO216" s="996"/>
    </row>
    <row r="217" spans="1:41">
      <c r="A217" s="598" t="s">
        <v>2333</v>
      </c>
      <c r="B217" s="598">
        <v>14</v>
      </c>
      <c r="C217" s="598">
        <v>21</v>
      </c>
      <c r="D217" s="598">
        <v>23</v>
      </c>
      <c r="E217" s="598">
        <v>27</v>
      </c>
      <c r="I217" s="598">
        <v>16</v>
      </c>
      <c r="J217" s="598">
        <f t="shared" si="10"/>
        <v>52</v>
      </c>
      <c r="K217" s="598">
        <f t="shared" si="11"/>
        <v>50</v>
      </c>
      <c r="L217" s="598">
        <f t="shared" si="12"/>
        <v>54</v>
      </c>
      <c r="M217" s="598">
        <f t="shared" si="13"/>
        <v>52</v>
      </c>
      <c r="Z217" s="977">
        <v>17</v>
      </c>
      <c r="AA217" s="977" t="s">
        <v>5870</v>
      </c>
      <c r="AB217" s="977">
        <v>7</v>
      </c>
      <c r="AC217" s="977"/>
      <c r="AD217" s="977">
        <v>81</v>
      </c>
      <c r="AE217" s="977" t="s">
        <v>2037</v>
      </c>
      <c r="AF217" s="977">
        <v>14</v>
      </c>
      <c r="AG217" s="977"/>
      <c r="AH217" s="598">
        <v>26</v>
      </c>
      <c r="AI217" s="977" t="s">
        <v>5981</v>
      </c>
      <c r="AJ217" s="598">
        <v>35</v>
      </c>
      <c r="AL217" s="977">
        <v>55</v>
      </c>
      <c r="AM217" s="598" t="s">
        <v>748</v>
      </c>
      <c r="AN217" s="598">
        <v>9</v>
      </c>
      <c r="AO217" s="996"/>
    </row>
    <row r="218" spans="1:41">
      <c r="A218" s="598" t="s">
        <v>2334</v>
      </c>
      <c r="B218" s="598">
        <v>2</v>
      </c>
      <c r="C218" s="598">
        <v>15</v>
      </c>
      <c r="D218" s="598">
        <v>17</v>
      </c>
      <c r="E218" s="598">
        <v>20</v>
      </c>
      <c r="I218" s="598">
        <v>17</v>
      </c>
      <c r="J218" s="598">
        <f t="shared" si="10"/>
        <v>53</v>
      </c>
      <c r="K218" s="598">
        <f t="shared" si="11"/>
        <v>51</v>
      </c>
      <c r="L218" s="598">
        <f t="shared" si="12"/>
        <v>55</v>
      </c>
      <c r="M218" s="598">
        <f t="shared" si="13"/>
        <v>53</v>
      </c>
      <c r="Z218" s="977">
        <v>19</v>
      </c>
      <c r="AA218" s="977" t="s">
        <v>5871</v>
      </c>
      <c r="AB218" s="977">
        <v>15</v>
      </c>
      <c r="AC218" s="977"/>
      <c r="AD218" s="977">
        <v>86</v>
      </c>
      <c r="AE218" s="977" t="s">
        <v>5891</v>
      </c>
      <c r="AF218" s="977">
        <v>16</v>
      </c>
      <c r="AG218" s="977"/>
      <c r="AH218" s="598">
        <v>31</v>
      </c>
      <c r="AI218" s="977" t="s">
        <v>5982</v>
      </c>
      <c r="AJ218" s="598">
        <v>35</v>
      </c>
      <c r="AL218" s="977">
        <v>59</v>
      </c>
      <c r="AM218" s="598" t="s">
        <v>6012</v>
      </c>
      <c r="AN218" s="598">
        <v>9</v>
      </c>
      <c r="AO218" s="996"/>
    </row>
    <row r="219" spans="1:41">
      <c r="A219" s="598" t="s">
        <v>1057</v>
      </c>
      <c r="B219" s="598">
        <v>2</v>
      </c>
      <c r="C219" s="598">
        <v>15</v>
      </c>
      <c r="D219" s="598">
        <v>17</v>
      </c>
      <c r="E219" s="598">
        <v>19</v>
      </c>
      <c r="I219" s="598">
        <v>18</v>
      </c>
      <c r="J219" s="598">
        <f t="shared" si="10"/>
        <v>54</v>
      </c>
      <c r="K219" s="598">
        <f t="shared" si="11"/>
        <v>52</v>
      </c>
      <c r="L219" s="598">
        <f t="shared" si="12"/>
        <v>56</v>
      </c>
      <c r="M219" s="598">
        <f t="shared" si="13"/>
        <v>54</v>
      </c>
      <c r="Z219" s="977">
        <v>26</v>
      </c>
      <c r="AA219" s="977" t="s">
        <v>5872</v>
      </c>
      <c r="AB219" s="977">
        <v>15</v>
      </c>
      <c r="AC219" s="977"/>
      <c r="AD219" s="977">
        <v>91</v>
      </c>
      <c r="AE219" s="977" t="s">
        <v>5892</v>
      </c>
      <c r="AF219" s="977">
        <v>14</v>
      </c>
      <c r="AG219" s="977"/>
      <c r="AH219" s="598">
        <v>71</v>
      </c>
      <c r="AI219" s="977" t="s">
        <v>5983</v>
      </c>
      <c r="AJ219" s="598">
        <v>35</v>
      </c>
      <c r="AL219" s="977">
        <v>63</v>
      </c>
      <c r="AM219" s="598" t="s">
        <v>6013</v>
      </c>
      <c r="AN219" s="598">
        <v>15</v>
      </c>
      <c r="AO219" s="996"/>
    </row>
    <row r="220" spans="1:41">
      <c r="A220" s="598" t="s">
        <v>2335</v>
      </c>
      <c r="B220" s="598">
        <v>10</v>
      </c>
      <c r="C220" s="598">
        <v>18</v>
      </c>
      <c r="D220" s="598">
        <v>20</v>
      </c>
      <c r="E220" s="598">
        <v>25</v>
      </c>
      <c r="I220" s="598">
        <v>19</v>
      </c>
      <c r="J220" s="598">
        <f t="shared" si="10"/>
        <v>55</v>
      </c>
      <c r="K220" s="598">
        <f t="shared" si="11"/>
        <v>53</v>
      </c>
      <c r="L220" s="598">
        <f t="shared" si="12"/>
        <v>57</v>
      </c>
      <c r="M220" s="598">
        <f t="shared" si="13"/>
        <v>55</v>
      </c>
      <c r="Z220" s="977">
        <v>35</v>
      </c>
      <c r="AA220" s="977" t="s">
        <v>5873</v>
      </c>
      <c r="AB220" s="977">
        <v>15</v>
      </c>
      <c r="AC220" s="977"/>
      <c r="AD220" s="977">
        <v>95</v>
      </c>
      <c r="AE220" s="977" t="s">
        <v>5893</v>
      </c>
      <c r="AF220" s="977">
        <v>15</v>
      </c>
      <c r="AG220" s="977"/>
      <c r="AH220" s="598">
        <v>91</v>
      </c>
      <c r="AI220" s="977" t="s">
        <v>5984</v>
      </c>
      <c r="AJ220" s="598">
        <v>38</v>
      </c>
      <c r="AL220" s="977">
        <v>65</v>
      </c>
      <c r="AM220" s="598" t="s">
        <v>6014</v>
      </c>
      <c r="AN220" s="598">
        <v>9</v>
      </c>
      <c r="AO220" s="996"/>
    </row>
    <row r="221" spans="1:41">
      <c r="A221" s="598" t="s">
        <v>2336</v>
      </c>
      <c r="B221" s="598">
        <v>2</v>
      </c>
      <c r="C221" s="598">
        <v>18</v>
      </c>
      <c r="D221" s="598">
        <v>20</v>
      </c>
      <c r="E221" s="598">
        <v>25</v>
      </c>
      <c r="I221" s="598">
        <v>20</v>
      </c>
      <c r="J221" s="598">
        <f t="shared" si="10"/>
        <v>56</v>
      </c>
      <c r="K221" s="598">
        <f t="shared" si="11"/>
        <v>54</v>
      </c>
      <c r="L221" s="598">
        <f t="shared" si="12"/>
        <v>58</v>
      </c>
      <c r="M221" s="598">
        <f t="shared" si="13"/>
        <v>56</v>
      </c>
      <c r="Z221" s="977">
        <v>43</v>
      </c>
      <c r="AA221" s="977" t="s">
        <v>5874</v>
      </c>
      <c r="AB221" s="977">
        <v>15</v>
      </c>
      <c r="AC221" s="977"/>
      <c r="AD221" s="977">
        <v>100</v>
      </c>
      <c r="AE221" s="977" t="s">
        <v>5894</v>
      </c>
      <c r="AF221" s="977">
        <v>30</v>
      </c>
      <c r="AG221" s="977"/>
      <c r="AI221" s="977"/>
      <c r="AL221" s="977">
        <v>70</v>
      </c>
      <c r="AM221" s="598" t="s">
        <v>6015</v>
      </c>
      <c r="AN221" s="598">
        <v>15</v>
      </c>
      <c r="AO221" s="996"/>
    </row>
    <row r="222" spans="1:41">
      <c r="A222" s="598" t="s">
        <v>3773</v>
      </c>
      <c r="B222" s="598">
        <v>2</v>
      </c>
      <c r="C222" s="598">
        <v>15</v>
      </c>
      <c r="D222" s="598">
        <v>17</v>
      </c>
      <c r="E222" s="598">
        <v>19</v>
      </c>
      <c r="Z222" s="977">
        <v>52</v>
      </c>
      <c r="AA222" s="977" t="s">
        <v>5081</v>
      </c>
      <c r="AB222" s="977">
        <v>10</v>
      </c>
      <c r="AC222" s="977"/>
      <c r="AD222" s="977"/>
      <c r="AE222" s="977"/>
      <c r="AF222" s="977"/>
      <c r="AG222" s="977"/>
      <c r="AH222" s="977" t="s">
        <v>5916</v>
      </c>
      <c r="AI222" s="977"/>
      <c r="AJ222" s="598">
        <v>8</v>
      </c>
      <c r="AL222" s="977">
        <v>72</v>
      </c>
      <c r="AM222" s="598" t="s">
        <v>1550</v>
      </c>
      <c r="AN222" s="598">
        <v>9</v>
      </c>
      <c r="AO222" s="996"/>
    </row>
    <row r="223" spans="1:41">
      <c r="A223" s="598" t="s">
        <v>4006</v>
      </c>
      <c r="B223" s="598">
        <v>15</v>
      </c>
      <c r="C223" s="598">
        <v>20</v>
      </c>
      <c r="D223" s="598">
        <v>24</v>
      </c>
      <c r="E223" s="598">
        <v>30</v>
      </c>
      <c r="Z223" s="977">
        <v>57</v>
      </c>
      <c r="AA223" s="977" t="s">
        <v>5875</v>
      </c>
      <c r="AB223" s="977">
        <v>9</v>
      </c>
      <c r="AC223" s="977"/>
      <c r="AD223" s="977" t="s">
        <v>5847</v>
      </c>
      <c r="AE223" s="977"/>
      <c r="AF223" s="977">
        <v>4</v>
      </c>
      <c r="AG223" s="977"/>
      <c r="AH223" s="598">
        <v>1</v>
      </c>
      <c r="AI223" s="977" t="s">
        <v>5850</v>
      </c>
      <c r="AJ223" s="598">
        <v>25</v>
      </c>
      <c r="AL223" s="977">
        <v>76</v>
      </c>
      <c r="AM223" s="598" t="s">
        <v>1549</v>
      </c>
      <c r="AN223" s="598">
        <v>15</v>
      </c>
      <c r="AO223" s="996"/>
    </row>
    <row r="224" spans="1:41">
      <c r="A224" s="598" t="s">
        <v>4007</v>
      </c>
      <c r="B224" s="598">
        <v>2</v>
      </c>
      <c r="C224" s="598">
        <v>18</v>
      </c>
      <c r="D224" s="598">
        <v>20</v>
      </c>
      <c r="E224" s="598">
        <v>25</v>
      </c>
      <c r="Z224" s="977">
        <v>62</v>
      </c>
      <c r="AA224" s="977" t="s">
        <v>362</v>
      </c>
      <c r="AB224" s="977">
        <v>12</v>
      </c>
      <c r="AC224" s="977"/>
      <c r="AD224" s="977">
        <v>1</v>
      </c>
      <c r="AE224" s="977" t="s">
        <v>5895</v>
      </c>
      <c r="AF224" s="977">
        <v>15</v>
      </c>
      <c r="AG224" s="977"/>
      <c r="AH224" s="598">
        <v>61</v>
      </c>
      <c r="AI224" s="977" t="s">
        <v>5985</v>
      </c>
      <c r="AJ224" s="598">
        <v>30</v>
      </c>
      <c r="AL224" s="977">
        <v>78</v>
      </c>
      <c r="AM224" s="598" t="s">
        <v>1552</v>
      </c>
      <c r="AN224" s="598">
        <v>9</v>
      </c>
      <c r="AO224" s="996"/>
    </row>
    <row r="225" spans="1:41">
      <c r="A225" s="598" t="s">
        <v>377</v>
      </c>
      <c r="B225" s="598">
        <v>2</v>
      </c>
      <c r="C225" s="598">
        <v>18</v>
      </c>
      <c r="D225" s="598">
        <v>20</v>
      </c>
      <c r="E225" s="598">
        <v>25</v>
      </c>
      <c r="Z225" s="977">
        <v>65</v>
      </c>
      <c r="AA225" s="977" t="s">
        <v>5338</v>
      </c>
      <c r="AB225" s="977">
        <v>7</v>
      </c>
      <c r="AC225" s="977"/>
      <c r="AD225" s="977">
        <v>36</v>
      </c>
      <c r="AE225" s="977" t="s">
        <v>5847</v>
      </c>
      <c r="AF225" s="977">
        <v>23</v>
      </c>
      <c r="AG225" s="977"/>
      <c r="AH225" s="598">
        <v>85</v>
      </c>
      <c r="AI225" s="977" t="s">
        <v>5986</v>
      </c>
      <c r="AJ225" s="598">
        <v>50</v>
      </c>
      <c r="AL225" s="977">
        <v>82</v>
      </c>
      <c r="AM225" s="598" t="s">
        <v>6017</v>
      </c>
      <c r="AN225" s="598">
        <v>15</v>
      </c>
      <c r="AO225" s="996"/>
    </row>
    <row r="226" spans="1:41">
      <c r="Z226" s="977">
        <v>68</v>
      </c>
      <c r="AA226" s="977" t="s">
        <v>1525</v>
      </c>
      <c r="AB226" s="977">
        <v>10</v>
      </c>
      <c r="AC226" s="977"/>
      <c r="AD226" s="977">
        <v>59</v>
      </c>
      <c r="AE226" s="977" t="s">
        <v>5896</v>
      </c>
      <c r="AF226" s="977">
        <v>25</v>
      </c>
      <c r="AG226" s="977"/>
      <c r="AH226" s="598">
        <v>95</v>
      </c>
      <c r="AI226" s="977" t="s">
        <v>5987</v>
      </c>
      <c r="AJ226" s="598">
        <v>60</v>
      </c>
      <c r="AL226" s="977">
        <v>84</v>
      </c>
      <c r="AM226" s="1000" t="s">
        <v>6016</v>
      </c>
      <c r="AN226" s="598">
        <v>16</v>
      </c>
      <c r="AO226" s="996"/>
    </row>
    <row r="227" spans="1:41">
      <c r="C227" s="598" t="s">
        <v>247</v>
      </c>
      <c r="D227" s="598" t="s">
        <v>5074</v>
      </c>
      <c r="K227" s="598">
        <v>0</v>
      </c>
      <c r="L227" s="598" t="s">
        <v>3063</v>
      </c>
      <c r="M227" s="598">
        <v>1</v>
      </c>
      <c r="N227" s="598">
        <v>-0.3</v>
      </c>
      <c r="O227" s="598">
        <v>1</v>
      </c>
      <c r="P227" s="598" t="s">
        <v>2168</v>
      </c>
      <c r="R227" s="598">
        <v>57</v>
      </c>
      <c r="S227" s="598">
        <v>54</v>
      </c>
      <c r="T227" s="598">
        <v>62</v>
      </c>
      <c r="U227" s="598">
        <v>59</v>
      </c>
      <c r="V227" s="598">
        <v>67</v>
      </c>
      <c r="W227" s="598">
        <v>64</v>
      </c>
      <c r="Z227" s="977">
        <v>75</v>
      </c>
      <c r="AA227" s="977" t="s">
        <v>5876</v>
      </c>
      <c r="AB227" s="977">
        <v>7</v>
      </c>
      <c r="AC227" s="977"/>
      <c r="AD227" s="977">
        <v>71</v>
      </c>
      <c r="AE227" s="977" t="s">
        <v>5897</v>
      </c>
      <c r="AF227" s="977">
        <v>27</v>
      </c>
      <c r="AG227" s="977"/>
      <c r="AI227" s="977"/>
      <c r="AL227" s="977">
        <v>86</v>
      </c>
      <c r="AM227" s="598" t="s">
        <v>6018</v>
      </c>
      <c r="AN227" s="598">
        <v>17</v>
      </c>
      <c r="AO227" s="996"/>
    </row>
    <row r="228" spans="1:41">
      <c r="C228" s="598">
        <v>1</v>
      </c>
      <c r="D228" s="598">
        <v>13</v>
      </c>
      <c r="E228" s="598">
        <v>-2500</v>
      </c>
      <c r="F228" s="598">
        <v>-10</v>
      </c>
      <c r="G228" s="598">
        <v>1</v>
      </c>
      <c r="K228" s="598">
        <v>1</v>
      </c>
      <c r="L228" s="598" t="s">
        <v>3063</v>
      </c>
      <c r="M228" s="598">
        <v>2</v>
      </c>
      <c r="N228" s="598">
        <v>-0.25</v>
      </c>
      <c r="O228" s="598">
        <v>2</v>
      </c>
      <c r="P228" s="598" t="s">
        <v>2169</v>
      </c>
      <c r="Q228" s="598">
        <v>1</v>
      </c>
      <c r="R228" s="598">
        <f t="shared" ref="R228:R247" si="14">$R$227+Q228</f>
        <v>58</v>
      </c>
      <c r="S228" s="598">
        <f t="shared" ref="S228:S247" si="15">$S$227+$Q228</f>
        <v>55</v>
      </c>
      <c r="T228" s="598">
        <f t="shared" ref="T228:T247" si="16">$T$227+$Q228</f>
        <v>63</v>
      </c>
      <c r="U228" s="598">
        <f t="shared" ref="U228:U247" si="17">$U$227+$Q228</f>
        <v>60</v>
      </c>
      <c r="V228" s="598">
        <f t="shared" ref="V228:V247" si="18">$V$227+$Q228</f>
        <v>68</v>
      </c>
      <c r="W228" s="598">
        <f t="shared" ref="W228:W247" si="19">$W$227+$Q228</f>
        <v>65</v>
      </c>
      <c r="Z228" s="977">
        <v>63</v>
      </c>
      <c r="AA228" s="977" t="s">
        <v>5877</v>
      </c>
      <c r="AB228" s="977">
        <v>7</v>
      </c>
      <c r="AC228" s="977"/>
      <c r="AD228" s="977">
        <v>81</v>
      </c>
      <c r="AE228" s="977" t="s">
        <v>5898</v>
      </c>
      <c r="AF228" s="977">
        <v>30</v>
      </c>
      <c r="AG228" s="977"/>
      <c r="AI228" s="977"/>
      <c r="AL228" s="977">
        <v>90</v>
      </c>
      <c r="AM228" s="598" t="s">
        <v>6019</v>
      </c>
      <c r="AN228" s="598">
        <v>16</v>
      </c>
      <c r="AO228" s="996"/>
    </row>
    <row r="229" spans="1:41">
      <c r="C229" s="598">
        <v>6</v>
      </c>
      <c r="D229" s="598">
        <v>14</v>
      </c>
      <c r="E229" s="598">
        <v>-2000</v>
      </c>
      <c r="F229" s="598">
        <v>-8</v>
      </c>
      <c r="G229" s="598">
        <v>6</v>
      </c>
      <c r="K229" s="598">
        <v>2</v>
      </c>
      <c r="L229" s="598" t="s">
        <v>3064</v>
      </c>
      <c r="M229" s="598">
        <v>3</v>
      </c>
      <c r="N229" s="598">
        <v>-0.2</v>
      </c>
      <c r="O229" s="598">
        <v>3</v>
      </c>
      <c r="P229" s="598" t="s">
        <v>2170</v>
      </c>
      <c r="Q229" s="598">
        <v>2</v>
      </c>
      <c r="R229" s="598">
        <f t="shared" si="14"/>
        <v>59</v>
      </c>
      <c r="S229" s="598">
        <f t="shared" si="15"/>
        <v>56</v>
      </c>
      <c r="T229" s="598">
        <f t="shared" si="16"/>
        <v>64</v>
      </c>
      <c r="U229" s="598">
        <f t="shared" si="17"/>
        <v>61</v>
      </c>
      <c r="V229" s="598">
        <f t="shared" si="18"/>
        <v>69</v>
      </c>
      <c r="W229" s="598">
        <f t="shared" si="19"/>
        <v>66</v>
      </c>
      <c r="Z229" s="977">
        <v>90</v>
      </c>
      <c r="AA229" s="977" t="s">
        <v>5878</v>
      </c>
      <c r="AB229" s="977">
        <v>8</v>
      </c>
      <c r="AC229" s="977"/>
      <c r="AD229" s="977">
        <v>91</v>
      </c>
      <c r="AE229" s="977" t="s">
        <v>5899</v>
      </c>
      <c r="AF229" s="977">
        <v>37</v>
      </c>
      <c r="AG229" s="977"/>
      <c r="AI229" s="977"/>
      <c r="AL229" s="977">
        <v>94</v>
      </c>
      <c r="AM229" s="598" t="s">
        <v>6020</v>
      </c>
      <c r="AN229" s="598">
        <v>17</v>
      </c>
      <c r="AO229" s="996"/>
    </row>
    <row r="230" spans="1:41">
      <c r="C230" s="598">
        <v>11</v>
      </c>
      <c r="D230" s="598">
        <v>15</v>
      </c>
      <c r="E230" s="598">
        <v>-1500</v>
      </c>
      <c r="F230" s="598">
        <v>-6</v>
      </c>
      <c r="G230" s="598">
        <v>11</v>
      </c>
      <c r="K230" s="598">
        <v>3</v>
      </c>
      <c r="L230" s="598" t="s">
        <v>3064</v>
      </c>
      <c r="M230" s="598">
        <v>4</v>
      </c>
      <c r="N230" s="598">
        <v>-0.15</v>
      </c>
      <c r="O230" s="598">
        <v>4</v>
      </c>
      <c r="P230" s="598" t="s">
        <v>2173</v>
      </c>
      <c r="Q230" s="598">
        <v>3</v>
      </c>
      <c r="R230" s="598">
        <f t="shared" si="14"/>
        <v>60</v>
      </c>
      <c r="S230" s="598">
        <f t="shared" si="15"/>
        <v>57</v>
      </c>
      <c r="T230" s="598">
        <f t="shared" si="16"/>
        <v>65</v>
      </c>
      <c r="U230" s="598">
        <f t="shared" si="17"/>
        <v>62</v>
      </c>
      <c r="V230" s="598">
        <f t="shared" si="18"/>
        <v>70</v>
      </c>
      <c r="W230" s="598">
        <f t="shared" si="19"/>
        <v>67</v>
      </c>
      <c r="Z230" s="977">
        <v>98</v>
      </c>
      <c r="AA230" s="977" t="s">
        <v>5879</v>
      </c>
      <c r="AB230" s="977">
        <v>8</v>
      </c>
      <c r="AC230" s="977"/>
      <c r="AD230" s="977">
        <v>96</v>
      </c>
      <c r="AE230" s="977" t="s">
        <v>5900</v>
      </c>
      <c r="AF230" s="977">
        <v>45</v>
      </c>
      <c r="AH230" s="977"/>
      <c r="AI230" s="977"/>
      <c r="AL230" s="977">
        <v>97</v>
      </c>
      <c r="AM230" s="598" t="s">
        <v>5988</v>
      </c>
      <c r="AN230" s="598">
        <v>23</v>
      </c>
      <c r="AO230" s="996"/>
    </row>
    <row r="231" spans="1:41">
      <c r="C231" s="598">
        <v>21</v>
      </c>
      <c r="D231" s="598">
        <v>16</v>
      </c>
      <c r="E231" s="598">
        <v>-1000</v>
      </c>
      <c r="F231" s="598">
        <v>-4</v>
      </c>
      <c r="G231" s="598">
        <v>21</v>
      </c>
      <c r="K231" s="598">
        <v>4</v>
      </c>
      <c r="L231" s="598" t="s">
        <v>3622</v>
      </c>
      <c r="M231" s="598">
        <v>5</v>
      </c>
      <c r="N231" s="598">
        <v>-0.05</v>
      </c>
      <c r="O231" s="598">
        <v>5</v>
      </c>
      <c r="P231" s="598" t="s">
        <v>707</v>
      </c>
      <c r="Q231" s="598">
        <v>4</v>
      </c>
      <c r="R231" s="598">
        <f t="shared" si="14"/>
        <v>61</v>
      </c>
      <c r="S231" s="598">
        <f t="shared" si="15"/>
        <v>58</v>
      </c>
      <c r="T231" s="598">
        <f t="shared" si="16"/>
        <v>66</v>
      </c>
      <c r="U231" s="598">
        <f t="shared" si="17"/>
        <v>63</v>
      </c>
      <c r="V231" s="598">
        <f t="shared" si="18"/>
        <v>71</v>
      </c>
      <c r="W231" s="598">
        <f t="shared" si="19"/>
        <v>68</v>
      </c>
      <c r="Z231" s="977"/>
      <c r="AA231" s="977"/>
      <c r="AB231" s="977"/>
      <c r="AC231" s="977"/>
      <c r="AD231" s="977">
        <v>100</v>
      </c>
      <c r="AE231" s="977" t="s">
        <v>5901</v>
      </c>
      <c r="AF231" s="977">
        <v>50</v>
      </c>
      <c r="AH231" s="977"/>
      <c r="AI231" s="977"/>
      <c r="AL231" s="977">
        <v>98</v>
      </c>
      <c r="AM231" s="598" t="s">
        <v>5989</v>
      </c>
      <c r="AN231" s="598">
        <v>35</v>
      </c>
      <c r="AO231" s="996"/>
    </row>
    <row r="232" spans="1:41">
      <c r="C232" s="598">
        <v>31</v>
      </c>
      <c r="D232" s="598">
        <v>17</v>
      </c>
      <c r="E232" s="598">
        <v>-500</v>
      </c>
      <c r="F232" s="598">
        <v>-2</v>
      </c>
      <c r="G232" s="598">
        <v>31</v>
      </c>
      <c r="K232" s="598">
        <v>5</v>
      </c>
      <c r="L232" s="598" t="s">
        <v>3622</v>
      </c>
      <c r="M232" s="598">
        <v>6</v>
      </c>
      <c r="N232" s="598">
        <v>0</v>
      </c>
      <c r="O232" s="598">
        <v>6</v>
      </c>
      <c r="P232" s="598" t="s">
        <v>708</v>
      </c>
      <c r="Q232" s="598">
        <v>5</v>
      </c>
      <c r="R232" s="598">
        <f t="shared" si="14"/>
        <v>62</v>
      </c>
      <c r="S232" s="598">
        <f t="shared" si="15"/>
        <v>59</v>
      </c>
      <c r="T232" s="598">
        <f t="shared" si="16"/>
        <v>67</v>
      </c>
      <c r="U232" s="598">
        <f t="shared" si="17"/>
        <v>64</v>
      </c>
      <c r="V232" s="598">
        <f t="shared" si="18"/>
        <v>72</v>
      </c>
      <c r="W232" s="598">
        <f t="shared" si="19"/>
        <v>69</v>
      </c>
      <c r="Z232" s="977"/>
      <c r="AA232" s="977"/>
      <c r="AB232" s="977"/>
      <c r="AC232" s="977"/>
      <c r="AD232" s="977"/>
      <c r="AE232" s="977"/>
      <c r="AF232" s="977"/>
      <c r="AH232" s="977"/>
      <c r="AI232" s="977"/>
      <c r="AL232" s="977">
        <v>99</v>
      </c>
      <c r="AM232" s="598" t="s">
        <v>5990</v>
      </c>
      <c r="AN232" s="598">
        <v>37</v>
      </c>
      <c r="AO232" s="996"/>
    </row>
    <row r="233" spans="1:41">
      <c r="C233" s="598">
        <v>41</v>
      </c>
      <c r="D233" s="598">
        <v>18</v>
      </c>
      <c r="E233" s="598">
        <v>0</v>
      </c>
      <c r="F233" s="598">
        <v>0</v>
      </c>
      <c r="G233" s="598">
        <v>41</v>
      </c>
      <c r="K233" s="598">
        <v>6</v>
      </c>
      <c r="L233" s="598" t="s">
        <v>3622</v>
      </c>
      <c r="M233" s="598">
        <v>7</v>
      </c>
      <c r="N233" s="598">
        <v>0.05</v>
      </c>
      <c r="O233" s="598">
        <v>7</v>
      </c>
      <c r="P233" s="598" t="s">
        <v>719</v>
      </c>
      <c r="Q233" s="598">
        <v>6</v>
      </c>
      <c r="R233" s="598">
        <f t="shared" si="14"/>
        <v>63</v>
      </c>
      <c r="S233" s="598">
        <f t="shared" si="15"/>
        <v>60</v>
      </c>
      <c r="T233" s="598">
        <f t="shared" si="16"/>
        <v>68</v>
      </c>
      <c r="U233" s="598">
        <f t="shared" si="17"/>
        <v>65</v>
      </c>
      <c r="V233" s="598">
        <f t="shared" si="18"/>
        <v>73</v>
      </c>
      <c r="W233" s="598">
        <f t="shared" si="19"/>
        <v>70</v>
      </c>
      <c r="Z233" s="977"/>
      <c r="AA233" s="977"/>
      <c r="AB233" s="977"/>
      <c r="AC233" s="977"/>
      <c r="AD233" s="977"/>
      <c r="AE233" s="977"/>
      <c r="AF233" s="977"/>
      <c r="AH233" s="977"/>
      <c r="AI233" s="977"/>
      <c r="AL233" s="977">
        <v>100</v>
      </c>
      <c r="AM233" s="598" t="s">
        <v>5991</v>
      </c>
      <c r="AN233" s="598">
        <v>38</v>
      </c>
      <c r="AO233" s="996"/>
    </row>
    <row r="234" spans="1:41">
      <c r="C234" s="598">
        <v>61</v>
      </c>
      <c r="D234" s="598">
        <v>19</v>
      </c>
      <c r="E234" s="598">
        <v>500</v>
      </c>
      <c r="F234" s="598">
        <v>2</v>
      </c>
      <c r="G234" s="598">
        <v>61</v>
      </c>
      <c r="K234" s="598">
        <v>7</v>
      </c>
      <c r="L234" s="598" t="s">
        <v>3065</v>
      </c>
      <c r="M234" s="598">
        <v>8</v>
      </c>
      <c r="N234" s="598">
        <v>0.1</v>
      </c>
      <c r="O234" s="598">
        <v>8</v>
      </c>
      <c r="P234" s="598" t="s">
        <v>709</v>
      </c>
      <c r="Q234" s="598">
        <v>7</v>
      </c>
      <c r="R234" s="598">
        <f t="shared" si="14"/>
        <v>64</v>
      </c>
      <c r="S234" s="598">
        <f t="shared" si="15"/>
        <v>61</v>
      </c>
      <c r="T234" s="598">
        <f t="shared" si="16"/>
        <v>69</v>
      </c>
      <c r="U234" s="598">
        <f t="shared" si="17"/>
        <v>66</v>
      </c>
      <c r="V234" s="598">
        <f t="shared" si="18"/>
        <v>74</v>
      </c>
      <c r="W234" s="598">
        <f t="shared" si="19"/>
        <v>71</v>
      </c>
      <c r="Z234" s="977"/>
      <c r="AA234" s="977"/>
      <c r="AB234" s="977"/>
      <c r="AC234" s="977"/>
    </row>
    <row r="235" spans="1:41">
      <c r="C235" s="598">
        <v>66</v>
      </c>
      <c r="D235" s="598">
        <v>20</v>
      </c>
      <c r="E235" s="598">
        <v>1000</v>
      </c>
      <c r="F235" s="598">
        <v>4</v>
      </c>
      <c r="G235" s="598">
        <v>71</v>
      </c>
      <c r="K235" s="598">
        <v>8</v>
      </c>
      <c r="L235" s="598" t="s">
        <v>3065</v>
      </c>
      <c r="M235" s="598">
        <v>9</v>
      </c>
      <c r="N235" s="598">
        <v>0.15</v>
      </c>
      <c r="O235" s="598">
        <v>9</v>
      </c>
      <c r="P235" s="598" t="s">
        <v>710</v>
      </c>
      <c r="Q235" s="598">
        <v>8</v>
      </c>
      <c r="R235" s="598">
        <f t="shared" si="14"/>
        <v>65</v>
      </c>
      <c r="S235" s="598">
        <f t="shared" si="15"/>
        <v>62</v>
      </c>
      <c r="T235" s="598">
        <f t="shared" si="16"/>
        <v>70</v>
      </c>
      <c r="U235" s="598">
        <f t="shared" si="17"/>
        <v>67</v>
      </c>
      <c r="V235" s="598">
        <f t="shared" si="18"/>
        <v>75</v>
      </c>
      <c r="W235" s="598">
        <f t="shared" si="19"/>
        <v>72</v>
      </c>
      <c r="Z235" s="977"/>
      <c r="AA235" s="977"/>
      <c r="AB235" s="977"/>
      <c r="AC235" s="977"/>
      <c r="AH235" s="977"/>
    </row>
    <row r="236" spans="1:41">
      <c r="C236" s="598">
        <v>71</v>
      </c>
      <c r="D236" s="598">
        <v>21</v>
      </c>
      <c r="E236" s="598">
        <v>1500</v>
      </c>
      <c r="F236" s="598">
        <v>6</v>
      </c>
      <c r="G236" s="598">
        <v>81</v>
      </c>
      <c r="K236" s="598">
        <v>9</v>
      </c>
      <c r="L236" s="598" t="s">
        <v>3065</v>
      </c>
      <c r="M236" s="598">
        <v>10</v>
      </c>
      <c r="N236" s="598">
        <v>0.2</v>
      </c>
      <c r="O236" s="598">
        <v>10</v>
      </c>
      <c r="P236" s="598" t="s">
        <v>711</v>
      </c>
      <c r="Q236" s="598">
        <v>9</v>
      </c>
      <c r="R236" s="598">
        <f t="shared" si="14"/>
        <v>66</v>
      </c>
      <c r="S236" s="598">
        <f t="shared" si="15"/>
        <v>63</v>
      </c>
      <c r="T236" s="598">
        <f t="shared" si="16"/>
        <v>71</v>
      </c>
      <c r="U236" s="598">
        <f t="shared" si="17"/>
        <v>68</v>
      </c>
      <c r="V236" s="598">
        <f t="shared" si="18"/>
        <v>76</v>
      </c>
      <c r="W236" s="598">
        <f t="shared" si="19"/>
        <v>73</v>
      </c>
      <c r="Z236" s="977"/>
      <c r="AA236" s="977"/>
      <c r="AB236" s="977"/>
      <c r="AC236" s="977"/>
      <c r="AH236" s="977"/>
    </row>
    <row r="237" spans="1:41">
      <c r="C237" s="598">
        <v>76</v>
      </c>
      <c r="D237" s="598">
        <v>22</v>
      </c>
      <c r="E237" s="598">
        <v>2000</v>
      </c>
      <c r="F237" s="598">
        <v>8</v>
      </c>
      <c r="G237" s="598">
        <v>86</v>
      </c>
      <c r="K237" s="598">
        <v>10</v>
      </c>
      <c r="L237" s="598" t="s">
        <v>3066</v>
      </c>
      <c r="M237" s="598">
        <v>11</v>
      </c>
      <c r="N237" s="598">
        <v>0.25</v>
      </c>
      <c r="O237" s="598">
        <v>11</v>
      </c>
      <c r="P237" s="598" t="s">
        <v>3080</v>
      </c>
      <c r="Q237" s="598">
        <v>10</v>
      </c>
      <c r="R237" s="598">
        <f t="shared" si="14"/>
        <v>67</v>
      </c>
      <c r="S237" s="598">
        <f t="shared" si="15"/>
        <v>64</v>
      </c>
      <c r="T237" s="598">
        <f t="shared" si="16"/>
        <v>72</v>
      </c>
      <c r="U237" s="598">
        <f t="shared" si="17"/>
        <v>69</v>
      </c>
      <c r="V237" s="598">
        <f t="shared" si="18"/>
        <v>77</v>
      </c>
      <c r="W237" s="598">
        <f t="shared" si="19"/>
        <v>74</v>
      </c>
      <c r="AG237" s="977"/>
      <c r="AH237" s="977"/>
    </row>
    <row r="238" spans="1:41">
      <c r="C238" s="598">
        <v>81</v>
      </c>
      <c r="D238" s="598">
        <v>23</v>
      </c>
      <c r="E238" s="598">
        <v>2500</v>
      </c>
      <c r="F238" s="598">
        <v>10</v>
      </c>
      <c r="G238" s="598">
        <v>91</v>
      </c>
      <c r="K238" s="598">
        <v>11</v>
      </c>
      <c r="L238" s="598" t="s">
        <v>3066</v>
      </c>
      <c r="M238" s="598">
        <v>12</v>
      </c>
      <c r="N238" s="598">
        <v>0.3</v>
      </c>
      <c r="O238" s="598">
        <v>12</v>
      </c>
      <c r="P238" s="598" t="s">
        <v>712</v>
      </c>
      <c r="Q238" s="598">
        <v>11</v>
      </c>
      <c r="R238" s="598">
        <f t="shared" si="14"/>
        <v>68</v>
      </c>
      <c r="S238" s="598">
        <f t="shared" si="15"/>
        <v>65</v>
      </c>
      <c r="T238" s="598">
        <f t="shared" si="16"/>
        <v>73</v>
      </c>
      <c r="U238" s="598">
        <f t="shared" si="17"/>
        <v>70</v>
      </c>
      <c r="V238" s="598">
        <f t="shared" si="18"/>
        <v>78</v>
      </c>
      <c r="W238" s="598">
        <f t="shared" si="19"/>
        <v>75</v>
      </c>
      <c r="AG238" s="977"/>
      <c r="AH238" s="977"/>
    </row>
    <row r="239" spans="1:41">
      <c r="C239" s="598">
        <v>86</v>
      </c>
      <c r="D239" s="598">
        <v>24</v>
      </c>
      <c r="E239" s="598">
        <v>3000</v>
      </c>
      <c r="F239" s="598">
        <v>12</v>
      </c>
      <c r="G239" s="598">
        <v>96</v>
      </c>
      <c r="K239" s="598">
        <v>12</v>
      </c>
      <c r="L239" s="598" t="s">
        <v>3066</v>
      </c>
      <c r="M239" s="598">
        <v>13</v>
      </c>
      <c r="N239" s="598">
        <v>0.35</v>
      </c>
      <c r="O239" s="598">
        <v>13</v>
      </c>
      <c r="P239" s="598" t="s">
        <v>713</v>
      </c>
      <c r="Q239" s="598">
        <v>12</v>
      </c>
      <c r="R239" s="598">
        <f t="shared" si="14"/>
        <v>69</v>
      </c>
      <c r="S239" s="598">
        <f t="shared" si="15"/>
        <v>66</v>
      </c>
      <c r="T239" s="598">
        <f t="shared" si="16"/>
        <v>74</v>
      </c>
      <c r="U239" s="598">
        <f t="shared" si="17"/>
        <v>71</v>
      </c>
      <c r="V239" s="598">
        <f t="shared" si="18"/>
        <v>79</v>
      </c>
      <c r="W239" s="598">
        <f t="shared" si="19"/>
        <v>76</v>
      </c>
      <c r="AG239" s="977"/>
    </row>
    <row r="240" spans="1:41">
      <c r="C240" s="598">
        <v>91</v>
      </c>
      <c r="D240" s="598">
        <v>25</v>
      </c>
      <c r="E240" s="598">
        <v>3500</v>
      </c>
      <c r="F240" s="598">
        <v>14</v>
      </c>
      <c r="G240" s="598">
        <v>100</v>
      </c>
      <c r="K240" s="598">
        <v>13</v>
      </c>
      <c r="L240" s="598" t="s">
        <v>3066</v>
      </c>
      <c r="M240" s="598">
        <v>14</v>
      </c>
      <c r="N240" s="598">
        <v>0.4</v>
      </c>
      <c r="O240" s="598">
        <v>14</v>
      </c>
      <c r="P240" s="598" t="s">
        <v>714</v>
      </c>
      <c r="Q240" s="598">
        <v>13</v>
      </c>
      <c r="R240" s="598">
        <f t="shared" si="14"/>
        <v>70</v>
      </c>
      <c r="S240" s="598">
        <f t="shared" si="15"/>
        <v>67</v>
      </c>
      <c r="T240" s="598">
        <f t="shared" si="16"/>
        <v>75</v>
      </c>
      <c r="U240" s="598">
        <f t="shared" si="17"/>
        <v>72</v>
      </c>
      <c r="V240" s="598">
        <f t="shared" si="18"/>
        <v>80</v>
      </c>
      <c r="W240" s="598">
        <f t="shared" si="19"/>
        <v>77</v>
      </c>
      <c r="AG240" s="977"/>
    </row>
    <row r="241" spans="3:33">
      <c r="K241" s="1052"/>
      <c r="L241" s="1052"/>
      <c r="O241" s="598">
        <v>15</v>
      </c>
      <c r="P241" s="598" t="s">
        <v>715</v>
      </c>
      <c r="Q241" s="598">
        <v>14</v>
      </c>
      <c r="R241" s="598">
        <f t="shared" si="14"/>
        <v>71</v>
      </c>
      <c r="S241" s="598">
        <f t="shared" si="15"/>
        <v>68</v>
      </c>
      <c r="T241" s="598">
        <f t="shared" si="16"/>
        <v>76</v>
      </c>
      <c r="U241" s="598">
        <f t="shared" si="17"/>
        <v>73</v>
      </c>
      <c r="V241" s="598">
        <f t="shared" si="18"/>
        <v>81</v>
      </c>
      <c r="W241" s="598">
        <f t="shared" si="19"/>
        <v>78</v>
      </c>
      <c r="AG241" s="977"/>
    </row>
    <row r="242" spans="3:33">
      <c r="C242" s="598" t="s">
        <v>4417</v>
      </c>
      <c r="K242" s="1052"/>
      <c r="L242" s="1052"/>
      <c r="O242" s="598">
        <v>16</v>
      </c>
      <c r="P242" s="598" t="s">
        <v>716</v>
      </c>
      <c r="Q242" s="598">
        <v>15</v>
      </c>
      <c r="R242" s="598">
        <f t="shared" si="14"/>
        <v>72</v>
      </c>
      <c r="S242" s="598">
        <f t="shared" si="15"/>
        <v>69</v>
      </c>
      <c r="T242" s="598">
        <f t="shared" si="16"/>
        <v>77</v>
      </c>
      <c r="U242" s="598">
        <f t="shared" si="17"/>
        <v>74</v>
      </c>
      <c r="V242" s="598">
        <f t="shared" si="18"/>
        <v>82</v>
      </c>
      <c r="W242" s="598">
        <f t="shared" si="19"/>
        <v>79</v>
      </c>
    </row>
    <row r="243" spans="3:33">
      <c r="D243" s="598" t="s">
        <v>5024</v>
      </c>
      <c r="E243" s="598" t="s">
        <v>4411</v>
      </c>
      <c r="F243" s="598" t="s">
        <v>4412</v>
      </c>
      <c r="K243" s="1052"/>
      <c r="L243" s="1052"/>
      <c r="O243" s="598">
        <v>17</v>
      </c>
      <c r="P243" s="598" t="s">
        <v>717</v>
      </c>
      <c r="Q243" s="598">
        <v>16</v>
      </c>
      <c r="R243" s="598">
        <f t="shared" si="14"/>
        <v>73</v>
      </c>
      <c r="S243" s="598">
        <f t="shared" si="15"/>
        <v>70</v>
      </c>
      <c r="T243" s="598">
        <f t="shared" si="16"/>
        <v>78</v>
      </c>
      <c r="U243" s="598">
        <f t="shared" si="17"/>
        <v>75</v>
      </c>
      <c r="V243" s="598">
        <f t="shared" si="18"/>
        <v>83</v>
      </c>
      <c r="W243" s="598">
        <f t="shared" si="19"/>
        <v>80</v>
      </c>
    </row>
    <row r="244" spans="3:33">
      <c r="C244" s="598" t="s">
        <v>5074</v>
      </c>
      <c r="K244" s="1052"/>
      <c r="L244" s="1052"/>
      <c r="O244" s="598">
        <v>18</v>
      </c>
      <c r="P244" s="598" t="s">
        <v>718</v>
      </c>
      <c r="Q244" s="598">
        <v>17</v>
      </c>
      <c r="R244" s="598">
        <f t="shared" si="14"/>
        <v>74</v>
      </c>
      <c r="S244" s="598">
        <f t="shared" si="15"/>
        <v>71</v>
      </c>
      <c r="T244" s="598">
        <f t="shared" si="16"/>
        <v>79</v>
      </c>
      <c r="U244" s="598">
        <f t="shared" si="17"/>
        <v>76</v>
      </c>
      <c r="V244" s="598">
        <f t="shared" si="18"/>
        <v>84</v>
      </c>
      <c r="W244" s="598">
        <f t="shared" si="19"/>
        <v>81</v>
      </c>
    </row>
    <row r="245" spans="3:33">
      <c r="C245" s="598">
        <v>6</v>
      </c>
      <c r="D245" s="598">
        <f>IF('SA&amp;DD'!D38="Y",1,2)</f>
        <v>2</v>
      </c>
      <c r="E245" s="598">
        <f>IF('SA&amp;DD'!D38="Y",1.5,3)</f>
        <v>3</v>
      </c>
      <c r="F245" s="598">
        <f>IF('SA&amp;DD'!D38="Y",2,4)</f>
        <v>4</v>
      </c>
      <c r="K245" s="1052"/>
      <c r="L245" s="1052"/>
      <c r="O245" s="598">
        <v>19</v>
      </c>
      <c r="P245" s="598" t="s">
        <v>720</v>
      </c>
      <c r="Q245" s="598">
        <v>18</v>
      </c>
      <c r="R245" s="598">
        <f t="shared" si="14"/>
        <v>75</v>
      </c>
      <c r="S245" s="598">
        <f t="shared" si="15"/>
        <v>72</v>
      </c>
      <c r="T245" s="598">
        <f t="shared" si="16"/>
        <v>80</v>
      </c>
      <c r="U245" s="598">
        <f t="shared" si="17"/>
        <v>77</v>
      </c>
      <c r="V245" s="598">
        <f t="shared" si="18"/>
        <v>85</v>
      </c>
      <c r="W245" s="598">
        <f t="shared" si="19"/>
        <v>82</v>
      </c>
    </row>
    <row r="246" spans="3:33">
      <c r="C246" s="598">
        <v>26</v>
      </c>
      <c r="D246" s="598">
        <f>IF('SA&amp;DD'!D38="Y",1.5,3)</f>
        <v>3</v>
      </c>
      <c r="E246" s="598">
        <f>IF('SA&amp;DD'!D38="Y",2.5,5)</f>
        <v>5</v>
      </c>
      <c r="F246" s="598">
        <f>IF('SA&amp;DD'!D38="Y",3.5,7)</f>
        <v>7</v>
      </c>
      <c r="K246" s="1052"/>
      <c r="L246" s="1052"/>
      <c r="O246" s="598">
        <v>20</v>
      </c>
      <c r="P246" s="598" t="s">
        <v>721</v>
      </c>
      <c r="Q246" s="598">
        <v>19</v>
      </c>
      <c r="R246" s="598">
        <f t="shared" si="14"/>
        <v>76</v>
      </c>
      <c r="S246" s="598">
        <f t="shared" si="15"/>
        <v>73</v>
      </c>
      <c r="T246" s="598">
        <f t="shared" si="16"/>
        <v>81</v>
      </c>
      <c r="U246" s="598">
        <f t="shared" si="17"/>
        <v>78</v>
      </c>
      <c r="V246" s="598">
        <f t="shared" si="18"/>
        <v>86</v>
      </c>
      <c r="W246" s="598">
        <f t="shared" si="19"/>
        <v>83</v>
      </c>
    </row>
    <row r="247" spans="3:33">
      <c r="C247" s="598">
        <v>51</v>
      </c>
      <c r="D247" s="598">
        <f>IF('SA&amp;DD'!D38="Y",2,4)</f>
        <v>4</v>
      </c>
      <c r="E247" s="598">
        <f>IF('SA&amp;DD'!D38="Y",3,6)</f>
        <v>6</v>
      </c>
      <c r="F247" s="598">
        <f>IF('SA&amp;DD'!D38="Y",4.5,9)</f>
        <v>9</v>
      </c>
      <c r="K247" s="1052"/>
      <c r="L247" s="1052"/>
      <c r="O247" s="598">
        <v>21</v>
      </c>
      <c r="P247" s="598" t="s">
        <v>1114</v>
      </c>
      <c r="Q247" s="598">
        <v>20</v>
      </c>
      <c r="R247" s="598">
        <f t="shared" si="14"/>
        <v>77</v>
      </c>
      <c r="S247" s="598">
        <f t="shared" si="15"/>
        <v>74</v>
      </c>
      <c r="T247" s="598">
        <f t="shared" si="16"/>
        <v>82</v>
      </c>
      <c r="U247" s="598">
        <f t="shared" si="17"/>
        <v>79</v>
      </c>
      <c r="V247" s="598">
        <f t="shared" si="18"/>
        <v>87</v>
      </c>
      <c r="W247" s="598">
        <f t="shared" si="19"/>
        <v>84</v>
      </c>
    </row>
    <row r="248" spans="3:33">
      <c r="C248" s="598">
        <v>75</v>
      </c>
      <c r="D248" s="598">
        <f>IF('SA&amp;DD'!D38="Y",2,4)</f>
        <v>4</v>
      </c>
      <c r="E248" s="598">
        <f>IF('SA&amp;DD'!D38="Y",3.5,7)</f>
        <v>7</v>
      </c>
      <c r="F248" s="598">
        <f>IF('SA&amp;DD'!D38="Y",5,10)</f>
        <v>10</v>
      </c>
      <c r="O248" s="598">
        <v>22</v>
      </c>
      <c r="P248" s="598" t="s">
        <v>1115</v>
      </c>
    </row>
    <row r="249" spans="3:33">
      <c r="C249" s="598">
        <v>100</v>
      </c>
      <c r="D249" s="598">
        <f>IF('SA&amp;DD'!D38="Y",3,6)</f>
        <v>6</v>
      </c>
      <c r="E249" s="598">
        <f>IF('SA&amp;DD'!D38="Y",4,8)</f>
        <v>8</v>
      </c>
      <c r="F249" s="598">
        <f>IF('SA&amp;DD'!D38="Y",5.5,11)</f>
        <v>11</v>
      </c>
      <c r="O249" s="598">
        <v>23</v>
      </c>
      <c r="P249" s="598" t="s">
        <v>1116</v>
      </c>
    </row>
    <row r="250" spans="3:33">
      <c r="C250" s="598">
        <v>151</v>
      </c>
      <c r="D250" s="598">
        <f>IF('SA&amp;DD'!D38="Y",3.5,7)</f>
        <v>7</v>
      </c>
      <c r="E250" s="598">
        <f>IF('SA&amp;DD'!D38="Y",4.5,9)</f>
        <v>9</v>
      </c>
      <c r="F250" s="598">
        <f>IF('SA&amp;DD'!D38="Y",6,12)</f>
        <v>12</v>
      </c>
      <c r="O250" s="598">
        <v>24</v>
      </c>
      <c r="P250" s="598" t="s">
        <v>1117</v>
      </c>
      <c r="R250" s="598">
        <f>INT(+T251/12)</f>
        <v>6</v>
      </c>
      <c r="S250" s="598">
        <f>T251-(12*R250)</f>
        <v>1</v>
      </c>
      <c r="T250" s="598">
        <f>IF('Main Creation Page'!C5=2,1,IF('Main Creation Page'!C5=3,3,IF('Main Creation Page'!C5=4,5,3)))+IF('Main Creation Page'!I31="M",1,2)</f>
        <v>4</v>
      </c>
    </row>
    <row r="251" spans="3:33">
      <c r="C251" s="598">
        <v>251</v>
      </c>
      <c r="D251" s="598">
        <f>IF('SA&amp;DD'!D38="Y",4,8)</f>
        <v>8</v>
      </c>
      <c r="E251" s="598">
        <f>IF('SA&amp;DD'!D38="Y",5,10)</f>
        <v>10</v>
      </c>
      <c r="F251" s="598">
        <f>IF('SA&amp;DD'!D38="Y",6.5,13)</f>
        <v>13</v>
      </c>
      <c r="O251" s="598">
        <v>25</v>
      </c>
      <c r="P251" s="598" t="s">
        <v>1118</v>
      </c>
      <c r="R251" s="598" t="str">
        <f>CONCATENATE(R250,"ft. ",S250," in.")</f>
        <v>6ft. 1 in.</v>
      </c>
      <c r="T251" s="598">
        <f>VLOOKUP('Main Creation Page'!S33,Q228:W248,T250)</f>
        <v>73</v>
      </c>
    </row>
    <row r="252" spans="3:33">
      <c r="C252" s="598">
        <v>301</v>
      </c>
      <c r="D252" s="598">
        <f>IF('SA&amp;DD'!D38="Y",4.5,9)</f>
        <v>9</v>
      </c>
      <c r="E252" s="598">
        <f>IF('SA&amp;DD'!D38="Y",5.5,11)</f>
        <v>11</v>
      </c>
      <c r="F252" s="598">
        <f>IF('SA&amp;DD'!D38="Y",7,14)</f>
        <v>14</v>
      </c>
      <c r="O252" s="598">
        <v>26</v>
      </c>
      <c r="P252" s="598" t="s">
        <v>1119</v>
      </c>
    </row>
    <row r="253" spans="3:33">
      <c r="C253" s="598">
        <v>350</v>
      </c>
      <c r="D253" s="598">
        <f>IF('SA&amp;DD'!D38="Y",4.5,9)</f>
        <v>9</v>
      </c>
      <c r="E253" s="598">
        <f>IF('SA&amp;DD'!D38="Y",6,12)</f>
        <v>12</v>
      </c>
      <c r="F253" s="598">
        <f>IF('SA&amp;DD'!D38="Y",7.5,15)</f>
        <v>15</v>
      </c>
      <c r="O253" s="598">
        <v>27</v>
      </c>
      <c r="P253" s="598" t="s">
        <v>1120</v>
      </c>
      <c r="R253" s="598">
        <f>10+5*(T251-40)</f>
        <v>175</v>
      </c>
      <c r="S253" s="598">
        <f>ROUNDUP(+R253+(VLOOKUP('Main Creation Page'!S34,K227:N240,4)*R253),0)</f>
        <v>193</v>
      </c>
    </row>
    <row r="254" spans="3:33">
      <c r="O254" s="598">
        <v>28</v>
      </c>
      <c r="P254" s="598" t="s">
        <v>1121</v>
      </c>
    </row>
    <row r="255" spans="3:33">
      <c r="O255" s="598">
        <v>29</v>
      </c>
      <c r="P255" s="598" t="s">
        <v>1122</v>
      </c>
      <c r="R255" s="598">
        <v>44</v>
      </c>
      <c r="S255" s="598">
        <v>10</v>
      </c>
    </row>
    <row r="256" spans="3:33">
      <c r="D256" s="598" t="s">
        <v>5023</v>
      </c>
      <c r="F256" s="598" t="s">
        <v>5024</v>
      </c>
      <c r="G256" s="598" t="s">
        <v>5025</v>
      </c>
      <c r="H256" s="598" t="s">
        <v>4688</v>
      </c>
      <c r="O256" s="598">
        <v>30</v>
      </c>
      <c r="P256" s="598" t="s">
        <v>1123</v>
      </c>
      <c r="R256" s="598">
        <v>53</v>
      </c>
      <c r="S256" s="598">
        <v>11</v>
      </c>
    </row>
    <row r="257" spans="3:19">
      <c r="C257" s="598" t="s">
        <v>5022</v>
      </c>
      <c r="D257" s="598">
        <v>1</v>
      </c>
      <c r="E257" s="598">
        <v>50</v>
      </c>
      <c r="F257" s="598">
        <f>IF('SA&amp;DD'!$D$38="Y",1.5,3)</f>
        <v>3</v>
      </c>
      <c r="G257" s="598">
        <f>IF('SA&amp;DD'!$D$38="Y",2.5,5)</f>
        <v>5</v>
      </c>
      <c r="H257" s="598">
        <f>IF('SA&amp;DD'!$D$38="Y",3.5,7)</f>
        <v>7</v>
      </c>
      <c r="O257" s="598">
        <v>31</v>
      </c>
      <c r="P257" s="598" t="s">
        <v>1124</v>
      </c>
      <c r="R257" s="598">
        <v>64</v>
      </c>
      <c r="S257" s="598">
        <v>12</v>
      </c>
    </row>
    <row r="258" spans="3:19">
      <c r="C258" s="598" t="s">
        <v>5074</v>
      </c>
      <c r="D258" s="598">
        <v>50</v>
      </c>
      <c r="E258" s="598">
        <v>100</v>
      </c>
      <c r="F258" s="598">
        <f>IF('SA&amp;DD'!$D$38="Y",2.5,5)</f>
        <v>5</v>
      </c>
      <c r="G258" s="598">
        <f>IF('SA&amp;DD'!$D$38="Y",4,8)</f>
        <v>8</v>
      </c>
      <c r="H258" s="598">
        <f>IF('SA&amp;DD'!$D$38="Y",5.5,11)</f>
        <v>11</v>
      </c>
      <c r="O258" s="598">
        <v>32</v>
      </c>
      <c r="P258" s="598" t="s">
        <v>1125</v>
      </c>
      <c r="R258" s="598">
        <v>75</v>
      </c>
      <c r="S258" s="598">
        <v>13</v>
      </c>
    </row>
    <row r="259" spans="3:19">
      <c r="C259" s="598" t="s">
        <v>4689</v>
      </c>
      <c r="D259" s="598">
        <v>100</v>
      </c>
      <c r="E259" s="598">
        <v>150</v>
      </c>
      <c r="F259" s="598">
        <f>IF('SA&amp;DD'!$D$38="Y",3,6)</f>
        <v>6</v>
      </c>
      <c r="G259" s="598">
        <f>IF('SA&amp;DD'!$D$38="Y",4.5,9)</f>
        <v>9</v>
      </c>
      <c r="H259" s="598">
        <f>IF('SA&amp;DD'!$D$38="Y",6,12)</f>
        <v>12</v>
      </c>
      <c r="O259" s="598">
        <v>33</v>
      </c>
      <c r="P259" s="598" t="s">
        <v>1126</v>
      </c>
      <c r="R259" s="598">
        <v>87</v>
      </c>
      <c r="S259" s="598">
        <v>14</v>
      </c>
    </row>
    <row r="260" spans="3:19">
      <c r="C260" s="598" t="s">
        <v>4689</v>
      </c>
      <c r="D260" s="598">
        <v>151</v>
      </c>
      <c r="E260" s="598">
        <v>250</v>
      </c>
      <c r="F260" s="598">
        <f>IF('SA&amp;DD'!$D$38="Y",3.5,7)</f>
        <v>7</v>
      </c>
      <c r="G260" s="598">
        <f>IF('SA&amp;DD'!$D$38="Y",5,10)</f>
        <v>10</v>
      </c>
      <c r="H260" s="598">
        <f>IF('SA&amp;DD'!$D$38="Y",6.5,13)</f>
        <v>13</v>
      </c>
      <c r="O260" s="598">
        <v>34</v>
      </c>
      <c r="P260" s="598" t="s">
        <v>1127</v>
      </c>
      <c r="R260" s="598">
        <v>100</v>
      </c>
      <c r="S260" s="598">
        <v>15</v>
      </c>
    </row>
    <row r="261" spans="3:19">
      <c r="O261" s="598">
        <v>35</v>
      </c>
      <c r="P261" s="598" t="s">
        <v>1128</v>
      </c>
      <c r="R261" s="598">
        <v>113</v>
      </c>
      <c r="S261" s="598">
        <v>16</v>
      </c>
    </row>
    <row r="262" spans="3:19">
      <c r="O262" s="598">
        <v>36</v>
      </c>
      <c r="P262" s="598" t="s">
        <v>1129</v>
      </c>
      <c r="R262" s="598">
        <v>128</v>
      </c>
      <c r="S262" s="598">
        <v>17</v>
      </c>
    </row>
    <row r="263" spans="3:19">
      <c r="O263" s="598">
        <v>37</v>
      </c>
      <c r="P263" s="598" t="s">
        <v>1130</v>
      </c>
      <c r="R263" s="598">
        <v>144</v>
      </c>
      <c r="S263" s="598">
        <v>18</v>
      </c>
    </row>
    <row r="264" spans="3:19">
      <c r="O264" s="598">
        <v>38</v>
      </c>
      <c r="P264" s="598" t="s">
        <v>1131</v>
      </c>
      <c r="R264" s="598">
        <v>160</v>
      </c>
      <c r="S264" s="598">
        <v>19</v>
      </c>
    </row>
    <row r="265" spans="3:19">
      <c r="O265" s="598">
        <v>39</v>
      </c>
      <c r="P265" s="598" t="s">
        <v>1132</v>
      </c>
      <c r="R265" s="598">
        <v>177</v>
      </c>
      <c r="S265" s="598">
        <v>20</v>
      </c>
    </row>
    <row r="266" spans="3:19">
      <c r="O266" s="598">
        <v>40</v>
      </c>
      <c r="P266" s="598" t="s">
        <v>1133</v>
      </c>
      <c r="R266" s="598">
        <v>196</v>
      </c>
      <c r="S266" s="598">
        <v>21</v>
      </c>
    </row>
    <row r="267" spans="3:19">
      <c r="O267" s="598">
        <v>41</v>
      </c>
      <c r="P267" s="598" t="s">
        <v>1134</v>
      </c>
      <c r="R267" s="598">
        <v>215</v>
      </c>
      <c r="S267" s="598">
        <v>22</v>
      </c>
    </row>
    <row r="268" spans="3:19">
      <c r="O268" s="598">
        <v>42</v>
      </c>
      <c r="P268" s="598" t="s">
        <v>1713</v>
      </c>
      <c r="R268" s="598">
        <v>235</v>
      </c>
      <c r="S268" s="598">
        <v>23</v>
      </c>
    </row>
    <row r="269" spans="3:19">
      <c r="O269" s="598">
        <v>43</v>
      </c>
      <c r="P269" s="598" t="s">
        <v>3429</v>
      </c>
      <c r="R269" s="598">
        <v>256</v>
      </c>
      <c r="S269" s="598">
        <v>24</v>
      </c>
    </row>
    <row r="270" spans="3:19">
      <c r="O270" s="598">
        <v>44</v>
      </c>
      <c r="P270" s="598" t="s">
        <v>3430</v>
      </c>
      <c r="R270" s="598">
        <v>278</v>
      </c>
      <c r="S270" s="598">
        <v>25</v>
      </c>
    </row>
    <row r="271" spans="3:19">
      <c r="O271" s="598">
        <v>45</v>
      </c>
      <c r="P271" s="598" t="s">
        <v>3431</v>
      </c>
      <c r="R271" s="598">
        <v>300</v>
      </c>
      <c r="S271" s="598">
        <v>26</v>
      </c>
    </row>
    <row r="272" spans="3:19">
      <c r="O272" s="598">
        <v>46</v>
      </c>
      <c r="P272" s="598" t="s">
        <v>5287</v>
      </c>
      <c r="R272" s="598">
        <v>324</v>
      </c>
      <c r="S272" s="598">
        <v>27</v>
      </c>
    </row>
    <row r="273" spans="1:33">
      <c r="O273" s="598">
        <v>47</v>
      </c>
      <c r="P273" s="598" t="s">
        <v>5288</v>
      </c>
      <c r="R273" s="598">
        <v>348</v>
      </c>
      <c r="S273" s="598">
        <v>28</v>
      </c>
    </row>
    <row r="274" spans="1:33">
      <c r="O274" s="598">
        <v>48</v>
      </c>
      <c r="P274" s="598" t="s">
        <v>1775</v>
      </c>
      <c r="R274" s="598">
        <v>373</v>
      </c>
      <c r="S274" s="598">
        <v>29</v>
      </c>
    </row>
    <row r="275" spans="1:33">
      <c r="O275" s="598">
        <v>49</v>
      </c>
      <c r="P275" s="598" t="s">
        <v>1776</v>
      </c>
      <c r="R275" s="598">
        <v>400</v>
      </c>
      <c r="S275" s="598">
        <v>30</v>
      </c>
    </row>
    <row r="276" spans="1:33">
      <c r="R276" s="598">
        <v>427</v>
      </c>
      <c r="S276" s="598">
        <v>31</v>
      </c>
    </row>
    <row r="277" spans="1:33">
      <c r="R277" s="598">
        <v>455</v>
      </c>
      <c r="S277" s="598">
        <v>32</v>
      </c>
    </row>
    <row r="278" spans="1:33">
      <c r="R278" s="598">
        <v>484</v>
      </c>
      <c r="S278" s="598">
        <v>33</v>
      </c>
    </row>
    <row r="279" spans="1:33" ht="13.5" thickBot="1">
      <c r="A279" s="996"/>
      <c r="B279" s="973" t="s">
        <v>5787</v>
      </c>
      <c r="C279"/>
      <c r="D279"/>
      <c r="E279"/>
      <c r="F279"/>
      <c r="G279"/>
      <c r="H279"/>
      <c r="I279"/>
      <c r="J279"/>
      <c r="K279"/>
      <c r="L279"/>
      <c r="M279"/>
      <c r="N279"/>
      <c r="O279"/>
    </row>
    <row r="280" spans="1:33" ht="21.75" thickBot="1">
      <c r="A280" s="996"/>
      <c r="B280" s="2918" t="s">
        <v>5788</v>
      </c>
      <c r="C280" s="2919" t="s">
        <v>5975</v>
      </c>
      <c r="D280" s="2918" t="s">
        <v>5791</v>
      </c>
      <c r="E280" s="2919" t="s">
        <v>5976</v>
      </c>
      <c r="F280" s="2919" t="s">
        <v>5977</v>
      </c>
      <c r="G280" s="2919" t="s">
        <v>5978</v>
      </c>
      <c r="H280" s="2919" t="s">
        <v>5979</v>
      </c>
      <c r="I280" s="1010" t="s">
        <v>4691</v>
      </c>
      <c r="J280" s="1010" t="s">
        <v>5790</v>
      </c>
      <c r="K280" s="1010" t="s">
        <v>3261</v>
      </c>
      <c r="L280" s="2922" t="s">
        <v>5792</v>
      </c>
      <c r="M280" s="1010" t="s">
        <v>5793</v>
      </c>
      <c r="N280" s="1010" t="s">
        <v>5795</v>
      </c>
      <c r="O280" s="1010" t="s">
        <v>5793</v>
      </c>
      <c r="P280" s="1011" t="s">
        <v>5292</v>
      </c>
      <c r="Q280" s="2922" t="s">
        <v>5799</v>
      </c>
      <c r="R280" s="2922" t="s">
        <v>5800</v>
      </c>
      <c r="S280" s="1010"/>
      <c r="T280" s="1010"/>
      <c r="U280" s="1010"/>
      <c r="V280" s="1010"/>
      <c r="Y280" s="996"/>
      <c r="AB280" s="598">
        <f>VLOOKUP('Main Creation Page'!AD39,'Racial Lookups'!$C$228:$D$240,2)</f>
        <v>18</v>
      </c>
      <c r="AC280" s="967">
        <f>'Main Creation Page'!C3</f>
        <v>1</v>
      </c>
      <c r="AD280" s="966"/>
      <c r="AE280" s="966"/>
      <c r="AF280" s="966"/>
      <c r="AG280" s="966"/>
    </row>
    <row r="281" spans="1:33" ht="53.25" thickBot="1">
      <c r="A281" s="996"/>
      <c r="B281" s="2918"/>
      <c r="C281" s="2923"/>
      <c r="D281" s="2918"/>
      <c r="E281" s="2923"/>
      <c r="F281" s="2920"/>
      <c r="G281" s="2920"/>
      <c r="H281" s="2920"/>
      <c r="I281" s="1010" t="s">
        <v>5789</v>
      </c>
      <c r="J281" s="1010" t="s">
        <v>4413</v>
      </c>
      <c r="K281" s="1010" t="s">
        <v>5789</v>
      </c>
      <c r="L281" s="2922"/>
      <c r="M281" s="1010" t="s">
        <v>5794</v>
      </c>
      <c r="N281" s="1010" t="s">
        <v>5796</v>
      </c>
      <c r="O281" s="1010" t="s">
        <v>5798</v>
      </c>
      <c r="P281" s="1010" t="s">
        <v>5789</v>
      </c>
      <c r="Q281" s="2922"/>
      <c r="R281" s="2922"/>
      <c r="S281" s="1010" t="s">
        <v>3260</v>
      </c>
      <c r="T281" s="1010" t="s">
        <v>5967</v>
      </c>
      <c r="U281" s="1010" t="s">
        <v>5968</v>
      </c>
      <c r="V281" s="1010" t="s">
        <v>5969</v>
      </c>
      <c r="Y281" s="996"/>
      <c r="Z281" s="510" t="s">
        <v>1031</v>
      </c>
      <c r="AA281" s="989">
        <f>IF(ISNUMBER(AB281),IF('Main Creation Page'!$C$3=2,VLOOKUP(AB281,$B$283:$R$316,2),IF('Main Creation Page'!$C$3=3,VLOOKUP(AB281,$B$283:$R$316,3),IF('Main Creation Page'!$C$3=4,VLOOKUP(AB281,$B$283:$R$316,4),'Racial Lookups'!AB281))),"")</f>
        <v>48</v>
      </c>
      <c r="AB281" s="967">
        <f>IF(ISBLANK('Main Creation Page'!D30),+AB280+15+INT('Main Creation Page'!C27/10),AB282+15+INT('Main Creation Page'!C27/10))</f>
        <v>48</v>
      </c>
      <c r="AC281" s="967"/>
    </row>
    <row r="282" spans="1:33" ht="13.5" thickBot="1">
      <c r="A282" s="996"/>
      <c r="B282" s="2918"/>
      <c r="C282" s="2924"/>
      <c r="D282" s="2918"/>
      <c r="E282" s="2924"/>
      <c r="F282" s="2921"/>
      <c r="G282" s="2921"/>
      <c r="H282" s="2921"/>
      <c r="I282" s="1012"/>
      <c r="J282" s="1010" t="s">
        <v>5789</v>
      </c>
      <c r="K282" s="1012"/>
      <c r="L282" s="2922"/>
      <c r="M282" s="1012"/>
      <c r="N282" s="1010" t="s">
        <v>5797</v>
      </c>
      <c r="O282" s="1012"/>
      <c r="P282" s="1012"/>
      <c r="Q282" s="2922"/>
      <c r="R282" s="2922"/>
      <c r="S282" s="1010"/>
      <c r="T282" s="1010"/>
      <c r="U282" s="1010"/>
      <c r="V282" s="1010"/>
      <c r="Y282" s="996"/>
      <c r="Z282" s="511" t="str">
        <f>CONCATENATE(IF(ISBLANK('Main Creation Page'!D$30)," ","Elder sibling, "),+'Main Creation Page'!D$31)</f>
        <v>Elder sibling, M</v>
      </c>
      <c r="AA282" s="1017">
        <f>IF(ISNUMBER(AB282),IF('Main Creation Page'!$C$3=2,VLOOKUP(AB282,$B$283:$R$316,2),IF('Main Creation Page'!$C$3=3,VLOOKUP(AB282,$B$283:$R$316,3),IF('Main Creation Page'!$C$3=4,VLOOKUP(AB282,$B$283:$R$316,4),'Racial Lookups'!AB282))),"")</f>
        <v>28</v>
      </c>
      <c r="AB282" s="967">
        <f>IF(ISBLANK('Main Creation Page'!D$30)," ",IF(ISBLANK('Main Creation Page'!$E$30),+AB280+2,AB283+2))</f>
        <v>28</v>
      </c>
      <c r="AC282" s="967"/>
    </row>
    <row r="283" spans="1:33" ht="12" thickBot="1">
      <c r="A283" s="996"/>
      <c r="B283" s="971">
        <v>7</v>
      </c>
      <c r="C283" s="972">
        <v>9</v>
      </c>
      <c r="D283" s="972">
        <v>12</v>
      </c>
      <c r="E283" s="972">
        <v>10</v>
      </c>
      <c r="F283" s="971">
        <v>3</v>
      </c>
      <c r="G283" s="971">
        <v>3</v>
      </c>
      <c r="H283" s="971">
        <v>5</v>
      </c>
      <c r="I283" s="972">
        <v>9</v>
      </c>
      <c r="J283" s="972">
        <v>9</v>
      </c>
      <c r="K283" s="972">
        <v>2</v>
      </c>
      <c r="L283" s="972">
        <v>15</v>
      </c>
      <c r="M283" s="972">
        <v>1</v>
      </c>
      <c r="N283" s="972">
        <v>2</v>
      </c>
      <c r="O283" s="972">
        <v>1</v>
      </c>
      <c r="P283" s="972">
        <v>1</v>
      </c>
      <c r="Q283" s="972">
        <v>1</v>
      </c>
      <c r="R283" s="972">
        <v>1</v>
      </c>
      <c r="S283" s="971">
        <v>6</v>
      </c>
      <c r="T283" s="971">
        <v>5</v>
      </c>
      <c r="U283" s="971">
        <v>6</v>
      </c>
      <c r="V283" s="971">
        <v>6</v>
      </c>
      <c r="Y283" s="996"/>
      <c r="Z283" s="511" t="str">
        <f>CONCATENATE(IF(ISBLANK('Main Creation Page'!E$30)," ","Elder sibling, "),+'Main Creation Page'!E$31)</f>
        <v>Elder sibling, F</v>
      </c>
      <c r="AA283" s="1017">
        <f>IF(ISNUMBER(AB283),IF('Main Creation Page'!$C$3=2,VLOOKUP(AB283,$B$283:$R$316,2),IF('Main Creation Page'!$C$3=3,VLOOKUP(AB283,$B$283:$R$316,3),IF('Main Creation Page'!$C$3=4,VLOOKUP(AB283,$B$283:$R$316,4),'Racial Lookups'!AB283))),"")</f>
        <v>26</v>
      </c>
      <c r="AB283" s="598">
        <f>IF(ISBLANK('Main Creation Page'!E$30),"",IF(ISBLANK('Main Creation Page'!$F$30),+AB280+2,AB284+2))</f>
        <v>26</v>
      </c>
      <c r="AC283" s="967"/>
      <c r="AD283" s="967"/>
    </row>
    <row r="284" spans="1:33" ht="12" thickBot="1">
      <c r="A284" s="996"/>
      <c r="B284" s="971">
        <v>9</v>
      </c>
      <c r="C284" s="972">
        <v>10</v>
      </c>
      <c r="D284" s="972">
        <v>13</v>
      </c>
      <c r="E284" s="972">
        <v>11</v>
      </c>
      <c r="F284" s="971">
        <v>4</v>
      </c>
      <c r="G284" s="971">
        <v>4</v>
      </c>
      <c r="H284" s="971">
        <v>5</v>
      </c>
      <c r="I284" s="972">
        <v>10</v>
      </c>
      <c r="J284" s="972">
        <v>10</v>
      </c>
      <c r="K284" s="972">
        <v>3</v>
      </c>
      <c r="L284" s="972">
        <v>15</v>
      </c>
      <c r="M284" s="972">
        <v>1</v>
      </c>
      <c r="N284" s="972">
        <v>2</v>
      </c>
      <c r="O284" s="972">
        <v>1</v>
      </c>
      <c r="P284" s="972">
        <v>1</v>
      </c>
      <c r="Q284" s="972">
        <v>1</v>
      </c>
      <c r="R284" s="972">
        <v>1</v>
      </c>
      <c r="S284" s="971">
        <v>6</v>
      </c>
      <c r="T284" s="971">
        <v>5</v>
      </c>
      <c r="U284" s="971">
        <v>6</v>
      </c>
      <c r="V284" s="971">
        <v>6</v>
      </c>
      <c r="Y284" s="996"/>
      <c r="Z284" s="511" t="str">
        <f>CONCATENATE(IF(ISBLANK('Main Creation Page'!F$30)," ","Elder sibling, "),+'Main Creation Page'!F$31)</f>
        <v>Elder sibling, M</v>
      </c>
      <c r="AA284" s="1017">
        <f>IF(ISNUMBER(AB284),IF('Main Creation Page'!$C$3=2,VLOOKUP(AB284,$B$283:$R$316,2),IF('Main Creation Page'!$C$3=3,VLOOKUP(AB284,$B$283:$R$316,3),IF('Main Creation Page'!$C$3=4,VLOOKUP(AB284,$B$283:$R$316,4),'Racial Lookups'!AB284))),"")</f>
        <v>24</v>
      </c>
      <c r="AB284" s="967">
        <f>IF(ISBLANK('Main Creation Page'!F30),"",IF(ISBLANK('Main Creation Page'!$G$30),+AB280+2,AB285+2))</f>
        <v>24</v>
      </c>
      <c r="AC284" s="967"/>
      <c r="AD284" s="967"/>
    </row>
    <row r="285" spans="1:33" ht="12" thickBot="1">
      <c r="A285" s="996"/>
      <c r="B285" s="971">
        <v>11</v>
      </c>
      <c r="C285" s="972">
        <v>13</v>
      </c>
      <c r="D285" s="972">
        <v>14</v>
      </c>
      <c r="E285" s="972">
        <v>12</v>
      </c>
      <c r="F285" s="971">
        <v>5</v>
      </c>
      <c r="G285" s="971">
        <v>5</v>
      </c>
      <c r="H285" s="971">
        <v>6</v>
      </c>
      <c r="I285" s="972">
        <v>13</v>
      </c>
      <c r="J285" s="972">
        <v>13</v>
      </c>
      <c r="K285" s="972">
        <v>4</v>
      </c>
      <c r="L285" s="972">
        <v>17</v>
      </c>
      <c r="M285" s="972">
        <v>1</v>
      </c>
      <c r="N285" s="972">
        <v>3</v>
      </c>
      <c r="O285" s="972">
        <v>1</v>
      </c>
      <c r="P285" s="972">
        <v>1</v>
      </c>
      <c r="Q285" s="972">
        <v>1</v>
      </c>
      <c r="R285" s="972">
        <v>1</v>
      </c>
      <c r="S285" s="971">
        <v>7</v>
      </c>
      <c r="T285" s="971">
        <v>6</v>
      </c>
      <c r="U285" s="971">
        <v>6</v>
      </c>
      <c r="V285" s="971">
        <v>7</v>
      </c>
      <c r="Y285" s="996"/>
      <c r="Z285" s="511" t="str">
        <f>CONCATENATE(IF(ISBLANK('Main Creation Page'!G$30)," ","Elder sibling, "),+'Main Creation Page'!G$31)</f>
        <v>Elder sibling, F</v>
      </c>
      <c r="AA285" s="1017">
        <f>IF(ISNUMBER(AB285),IF('Main Creation Page'!$C$3=2,VLOOKUP(AB285,$B$283:$R$316,2),IF('Main Creation Page'!$C$3=3,VLOOKUP(AB285,$B$283:$R$316,3),IF('Main Creation Page'!$C$3=4,VLOOKUP(AB285,$B$283:$R$316,4),'Racial Lookups'!AB285))),"")</f>
        <v>22</v>
      </c>
      <c r="AB285" s="598">
        <f>IF(ISBLANK('Main Creation Page'!$G$30),"",IF(ISBLANK('Main Creation Page'!$H$30),+AB280+2,AB286+2))</f>
        <v>22</v>
      </c>
      <c r="AC285" s="967"/>
      <c r="AD285" s="967"/>
    </row>
    <row r="286" spans="1:33" ht="12" thickBot="1">
      <c r="A286" s="996">
        <v>1</v>
      </c>
      <c r="B286" s="1002">
        <v>13</v>
      </c>
      <c r="C286" s="1003">
        <v>15</v>
      </c>
      <c r="D286" s="1003">
        <v>15</v>
      </c>
      <c r="E286" s="1003">
        <v>13</v>
      </c>
      <c r="F286" s="1002">
        <v>6</v>
      </c>
      <c r="G286" s="1002">
        <v>5</v>
      </c>
      <c r="H286" s="1002">
        <v>6</v>
      </c>
      <c r="I286" s="1003">
        <v>15</v>
      </c>
      <c r="J286" s="1003">
        <v>15</v>
      </c>
      <c r="K286" s="1003">
        <v>5</v>
      </c>
      <c r="L286" s="1003">
        <v>18</v>
      </c>
      <c r="M286" s="1003">
        <v>1</v>
      </c>
      <c r="N286" s="1003">
        <v>4</v>
      </c>
      <c r="O286" s="1003">
        <v>1</v>
      </c>
      <c r="P286" s="1003">
        <v>1</v>
      </c>
      <c r="Q286" s="1003">
        <v>1</v>
      </c>
      <c r="R286" s="1003">
        <v>1</v>
      </c>
      <c r="S286" s="1002">
        <v>7</v>
      </c>
      <c r="T286" s="1002">
        <v>6</v>
      </c>
      <c r="U286" s="1002">
        <v>7</v>
      </c>
      <c r="V286" s="1002">
        <v>7</v>
      </c>
      <c r="W286" s="1004">
        <v>-2500</v>
      </c>
      <c r="X286" s="1004">
        <v>-10</v>
      </c>
      <c r="Y286" s="599"/>
      <c r="Z286" s="511" t="str">
        <f>CONCATENATE(IF(ISBLANK('Main Creation Page'!H$30)," ","Elder sibling, "),+'Main Creation Page'!H$31)</f>
        <v>Elder sibling, M</v>
      </c>
      <c r="AA286" s="1017">
        <f>IF(ISNUMBER(AB286),IF('Main Creation Page'!$C$3=2,VLOOKUP(AB286,$B$283:$R$316,2),IF('Main Creation Page'!$C$3=3,VLOOKUP(AB286,$B$283:$R$316,3),IF('Main Creation Page'!$C$3=4,VLOOKUP(AB286,$B$283:$R$316,4),'Racial Lookups'!AB286))),"")</f>
        <v>20</v>
      </c>
      <c r="AB286" s="967">
        <f>IF(ISBLANK('Main Creation Page'!$H$30),"",AB280+2)</f>
        <v>20</v>
      </c>
      <c r="AC286" s="967"/>
      <c r="AD286" s="967"/>
    </row>
    <row r="287" spans="1:33" ht="12" thickBot="1">
      <c r="A287" s="996">
        <v>6</v>
      </c>
      <c r="B287" s="1002">
        <v>14</v>
      </c>
      <c r="C287" s="1003">
        <v>17</v>
      </c>
      <c r="D287" s="1003">
        <v>16</v>
      </c>
      <c r="E287" s="1003">
        <v>15</v>
      </c>
      <c r="F287" s="1002">
        <v>7</v>
      </c>
      <c r="G287" s="1002">
        <v>6</v>
      </c>
      <c r="H287" s="1002">
        <v>7</v>
      </c>
      <c r="I287" s="1003">
        <v>17</v>
      </c>
      <c r="J287" s="1003">
        <v>17</v>
      </c>
      <c r="K287" s="1003">
        <v>8</v>
      </c>
      <c r="L287" s="1003">
        <v>19</v>
      </c>
      <c r="M287" s="1003">
        <v>2</v>
      </c>
      <c r="N287" s="1003">
        <v>5</v>
      </c>
      <c r="O287" s="1003">
        <v>2</v>
      </c>
      <c r="P287" s="1003">
        <v>1</v>
      </c>
      <c r="Q287" s="1003">
        <v>1</v>
      </c>
      <c r="R287" s="1003">
        <v>1</v>
      </c>
      <c r="S287" s="1002">
        <v>8</v>
      </c>
      <c r="T287" s="1002">
        <v>7</v>
      </c>
      <c r="U287" s="1002">
        <v>7</v>
      </c>
      <c r="V287" s="1002">
        <v>8</v>
      </c>
      <c r="W287" s="1004">
        <v>-2000</v>
      </c>
      <c r="X287" s="1004">
        <v>-8</v>
      </c>
      <c r="Y287" s="599"/>
      <c r="Z287" s="511" t="str">
        <f>CONCATENATE(IF(ISBLANK('Main Creation Page'!D$33)," ","Younger sibling, "),+'Main Creation Page'!D$34)</f>
        <v>Younger sibling, M</v>
      </c>
      <c r="AA287" s="1017">
        <f>IF(ISNUMBER(AB287),IF('Main Creation Page'!$C$3=2,VLOOKUP(AB287,$B$283:$R$316,2),IF('Main Creation Page'!$C$3=3,VLOOKUP(AB287,$B$283:$R$316,3),IF('Main Creation Page'!$C$3=4,VLOOKUP(AB287,$B$283:$R$316,4),'Racial Lookups'!AB287))),"")</f>
        <v>16</v>
      </c>
      <c r="AB287" s="598">
        <f>IF(ISBLANK('Main Creation Page'!D33),"",AB280-2)</f>
        <v>16</v>
      </c>
      <c r="AC287" s="967"/>
      <c r="AD287" s="967"/>
    </row>
    <row r="288" spans="1:33" ht="12" thickBot="1">
      <c r="A288" s="996">
        <v>11</v>
      </c>
      <c r="B288" s="1002">
        <v>15</v>
      </c>
      <c r="C288" s="1003">
        <v>19</v>
      </c>
      <c r="D288" s="1003">
        <v>18</v>
      </c>
      <c r="E288" s="1003">
        <v>17</v>
      </c>
      <c r="F288" s="1002">
        <v>8</v>
      </c>
      <c r="G288" s="1002">
        <v>6</v>
      </c>
      <c r="H288" s="1002">
        <v>7</v>
      </c>
      <c r="I288" s="1003">
        <v>19</v>
      </c>
      <c r="J288" s="1003">
        <v>19</v>
      </c>
      <c r="K288" s="1003">
        <v>9</v>
      </c>
      <c r="L288" s="1003">
        <v>21</v>
      </c>
      <c r="M288" s="1003">
        <v>3</v>
      </c>
      <c r="N288" s="1003">
        <v>6</v>
      </c>
      <c r="O288" s="1003">
        <v>3</v>
      </c>
      <c r="P288" s="1003">
        <v>2</v>
      </c>
      <c r="Q288" s="1003">
        <v>2</v>
      </c>
      <c r="R288" s="1003">
        <v>1</v>
      </c>
      <c r="S288" s="1002">
        <v>8</v>
      </c>
      <c r="T288" s="1002">
        <v>7</v>
      </c>
      <c r="U288" s="1002">
        <v>8</v>
      </c>
      <c r="V288" s="1002">
        <v>8</v>
      </c>
      <c r="W288" s="1004">
        <v>-1500</v>
      </c>
      <c r="X288" s="1004">
        <v>-6</v>
      </c>
      <c r="Y288" s="599"/>
      <c r="Z288" s="511" t="str">
        <f>CONCATENATE(IF(ISBLANK('Main Creation Page'!E$33)," ","Younger sibling, "),+'Main Creation Page'!E$34)</f>
        <v>Younger sibling, F</v>
      </c>
      <c r="AA288" s="1017">
        <f>IF(ISNUMBER(AB288),IF('Main Creation Page'!$C$3=2,VLOOKUP(AB288,$B$283:$R$316,2),IF('Main Creation Page'!$C$3=3,VLOOKUP(AB288,$B$283:$R$316,3),IF('Main Creation Page'!$C$3=4,VLOOKUP(AB288,$B$283:$R$316,4),'Racial Lookups'!AB288))),"")</f>
        <v>14</v>
      </c>
      <c r="AB288" s="598">
        <f>IF(ISBLANK('Main Creation Page'!E33),"",IF(ISBLANK('Main Creation Page'!D33),'Main Creation Page'!$AG$38-2,AB287-2))</f>
        <v>14</v>
      </c>
      <c r="AC288" s="967"/>
      <c r="AD288" s="967"/>
    </row>
    <row r="289" spans="1:33" ht="12" thickBot="1">
      <c r="A289" s="996">
        <v>21</v>
      </c>
      <c r="B289" s="1002">
        <v>16</v>
      </c>
      <c r="C289" s="1003">
        <v>25</v>
      </c>
      <c r="D289" s="1003">
        <v>20</v>
      </c>
      <c r="E289" s="1003">
        <v>20</v>
      </c>
      <c r="F289" s="1002">
        <v>9</v>
      </c>
      <c r="G289" s="1002">
        <v>7</v>
      </c>
      <c r="H289" s="1002">
        <v>8</v>
      </c>
      <c r="I289" s="1003">
        <v>25</v>
      </c>
      <c r="J289" s="1003">
        <v>25</v>
      </c>
      <c r="K289" s="1003">
        <v>10</v>
      </c>
      <c r="L289" s="1003">
        <v>23</v>
      </c>
      <c r="M289" s="1003">
        <v>4</v>
      </c>
      <c r="N289" s="1003">
        <v>7</v>
      </c>
      <c r="O289" s="1003">
        <v>4</v>
      </c>
      <c r="P289" s="1003">
        <v>3</v>
      </c>
      <c r="Q289" s="1003">
        <v>3</v>
      </c>
      <c r="R289" s="1003">
        <v>2</v>
      </c>
      <c r="S289" s="1002">
        <v>9</v>
      </c>
      <c r="T289" s="1002">
        <v>8</v>
      </c>
      <c r="U289" s="1002">
        <v>9</v>
      </c>
      <c r="V289" s="1002">
        <v>9</v>
      </c>
      <c r="W289" s="1004">
        <v>-1000</v>
      </c>
      <c r="X289" s="1004">
        <v>-4</v>
      </c>
      <c r="Y289" s="599"/>
      <c r="Z289" s="511" t="str">
        <f>CONCATENATE(IF(ISBLANK('Main Creation Page'!F$33)," ","Younger sibling, "),+'Main Creation Page'!F$34)</f>
        <v>Younger sibling, M</v>
      </c>
      <c r="AA289" s="1017">
        <f>IF(ISNUMBER(AB289),IF('Main Creation Page'!$C$3=2,VLOOKUP(AB289,$B$283:$R$316,2),IF('Main Creation Page'!$C$3=3,VLOOKUP(AB289,$B$283:$R$316,3),IF('Main Creation Page'!$C$3=4,VLOOKUP(AB289,$B$283:$R$316,4),'Racial Lookups'!AB289))),"")</f>
        <v>12</v>
      </c>
      <c r="AB289" s="598">
        <f>IF(ISBLANK('Main Creation Page'!F33),"",IF(ISBLANK('Main Creation Page'!E33),'Main Creation Page'!$AG$38-2,AB288-2))</f>
        <v>12</v>
      </c>
      <c r="AC289" s="967"/>
      <c r="AD289" s="967"/>
    </row>
    <row r="290" spans="1:33" ht="12" thickBot="1">
      <c r="A290" s="996">
        <v>31</v>
      </c>
      <c r="B290" s="1002">
        <v>17</v>
      </c>
      <c r="C290" s="1003">
        <v>35</v>
      </c>
      <c r="D290" s="1003">
        <v>25</v>
      </c>
      <c r="E290" s="1003">
        <v>23</v>
      </c>
      <c r="F290" s="1002">
        <v>10</v>
      </c>
      <c r="G290" s="1002">
        <v>8</v>
      </c>
      <c r="H290" s="1002">
        <v>8</v>
      </c>
      <c r="I290" s="1003">
        <v>35</v>
      </c>
      <c r="J290" s="1003">
        <v>35</v>
      </c>
      <c r="K290" s="1003">
        <v>11</v>
      </c>
      <c r="L290" s="1003">
        <v>26</v>
      </c>
      <c r="M290" s="1003">
        <v>5</v>
      </c>
      <c r="N290" s="1003">
        <v>8</v>
      </c>
      <c r="O290" s="1003">
        <v>5</v>
      </c>
      <c r="P290" s="1003">
        <v>4</v>
      </c>
      <c r="Q290" s="1003">
        <v>3</v>
      </c>
      <c r="R290" s="1003">
        <v>3</v>
      </c>
      <c r="S290" s="1002">
        <v>9</v>
      </c>
      <c r="T290" s="1002">
        <v>8</v>
      </c>
      <c r="U290" s="1002">
        <v>10</v>
      </c>
      <c r="V290" s="1002">
        <v>9</v>
      </c>
      <c r="W290" s="1004">
        <v>-500</v>
      </c>
      <c r="X290" s="1004">
        <v>-2</v>
      </c>
      <c r="Y290" s="599"/>
    </row>
    <row r="291" spans="1:33" ht="12" thickBot="1">
      <c r="A291" s="996">
        <v>41</v>
      </c>
      <c r="B291" s="1007">
        <v>18</v>
      </c>
      <c r="C291" s="1008">
        <v>50</v>
      </c>
      <c r="D291" s="1008">
        <v>30</v>
      </c>
      <c r="E291" s="1008">
        <v>25</v>
      </c>
      <c r="F291" s="1007">
        <v>11</v>
      </c>
      <c r="G291" s="1007">
        <v>9</v>
      </c>
      <c r="H291" s="1007">
        <v>9</v>
      </c>
      <c r="I291" s="1008">
        <v>50</v>
      </c>
      <c r="J291" s="1008">
        <v>50</v>
      </c>
      <c r="K291" s="1008">
        <v>12</v>
      </c>
      <c r="L291" s="1008">
        <v>29</v>
      </c>
      <c r="M291" s="1008">
        <v>6</v>
      </c>
      <c r="N291" s="1008">
        <v>9</v>
      </c>
      <c r="O291" s="1008">
        <v>6</v>
      </c>
      <c r="P291" s="1008">
        <v>4</v>
      </c>
      <c r="Q291" s="1008">
        <v>4</v>
      </c>
      <c r="R291" s="1008">
        <v>4</v>
      </c>
      <c r="S291" s="1007">
        <v>10</v>
      </c>
      <c r="T291" s="1007">
        <v>9</v>
      </c>
      <c r="U291" s="1007">
        <v>11</v>
      </c>
      <c r="V291" s="1007">
        <v>10</v>
      </c>
      <c r="W291" s="1009">
        <v>0</v>
      </c>
      <c r="X291" s="1009">
        <v>0</v>
      </c>
      <c r="Y291" s="599"/>
      <c r="AA291" s="598" t="b">
        <f>ISNUMBER(AB283)</f>
        <v>1</v>
      </c>
    </row>
    <row r="292" spans="1:33" ht="12" thickBot="1">
      <c r="A292" s="996">
        <v>61</v>
      </c>
      <c r="B292" s="1002">
        <v>19</v>
      </c>
      <c r="C292" s="1003">
        <v>55</v>
      </c>
      <c r="D292" s="1003">
        <v>33</v>
      </c>
      <c r="E292" s="1003">
        <v>27</v>
      </c>
      <c r="F292" s="1002">
        <v>12</v>
      </c>
      <c r="G292" s="1002">
        <v>10</v>
      </c>
      <c r="H292" s="1002">
        <v>10</v>
      </c>
      <c r="I292" s="1003">
        <v>55</v>
      </c>
      <c r="J292" s="1003">
        <v>55</v>
      </c>
      <c r="K292" s="1003">
        <v>13</v>
      </c>
      <c r="L292" s="1003">
        <v>32</v>
      </c>
      <c r="M292" s="1003">
        <v>7</v>
      </c>
      <c r="N292" s="1003">
        <v>10</v>
      </c>
      <c r="O292" s="1003">
        <v>7</v>
      </c>
      <c r="P292" s="1003">
        <v>4</v>
      </c>
      <c r="Q292" s="1003">
        <v>5</v>
      </c>
      <c r="R292" s="1003">
        <v>5</v>
      </c>
      <c r="S292" s="1002">
        <v>10</v>
      </c>
      <c r="T292" s="1002">
        <v>10</v>
      </c>
      <c r="U292" s="1002">
        <v>13</v>
      </c>
      <c r="V292" s="1002">
        <v>10</v>
      </c>
      <c r="W292" s="1004">
        <v>500</v>
      </c>
      <c r="X292" s="1004">
        <v>2</v>
      </c>
      <c r="Y292" s="599"/>
    </row>
    <row r="293" spans="1:33" ht="12" thickBot="1">
      <c r="A293" s="996">
        <v>66</v>
      </c>
      <c r="B293" s="1002">
        <v>20</v>
      </c>
      <c r="C293" s="1003">
        <v>60</v>
      </c>
      <c r="D293" s="1003">
        <v>36</v>
      </c>
      <c r="E293" s="1003">
        <v>29</v>
      </c>
      <c r="F293" s="1002">
        <v>13</v>
      </c>
      <c r="G293" s="1002">
        <v>11</v>
      </c>
      <c r="H293" s="1002">
        <v>11</v>
      </c>
      <c r="I293" s="1003">
        <v>60</v>
      </c>
      <c r="J293" s="1003">
        <v>60</v>
      </c>
      <c r="K293" s="1003">
        <v>14</v>
      </c>
      <c r="L293" s="1003">
        <v>36</v>
      </c>
      <c r="M293" s="1003">
        <v>8</v>
      </c>
      <c r="N293" s="1003">
        <v>11</v>
      </c>
      <c r="O293" s="1003">
        <v>8</v>
      </c>
      <c r="P293" s="1003">
        <v>5</v>
      </c>
      <c r="Q293" s="1003">
        <v>8</v>
      </c>
      <c r="R293" s="1003">
        <v>8</v>
      </c>
      <c r="S293" s="1002">
        <v>11</v>
      </c>
      <c r="T293" s="1002">
        <v>11</v>
      </c>
      <c r="U293" s="1002">
        <v>15</v>
      </c>
      <c r="V293" s="1002">
        <v>11</v>
      </c>
      <c r="W293" s="1004">
        <v>1000</v>
      </c>
      <c r="X293" s="1004">
        <v>4</v>
      </c>
    </row>
    <row r="294" spans="1:33" ht="12" thickBot="1">
      <c r="A294" s="996">
        <v>71</v>
      </c>
      <c r="B294" s="1002">
        <v>21</v>
      </c>
      <c r="C294" s="1003">
        <v>65</v>
      </c>
      <c r="D294" s="1003">
        <v>39</v>
      </c>
      <c r="E294" s="1003">
        <v>33</v>
      </c>
      <c r="F294" s="1002">
        <v>14</v>
      </c>
      <c r="G294" s="1002">
        <v>11</v>
      </c>
      <c r="H294" s="1002">
        <v>12</v>
      </c>
      <c r="I294" s="1003">
        <v>65</v>
      </c>
      <c r="J294" s="1003">
        <v>65</v>
      </c>
      <c r="K294" s="1003">
        <v>15</v>
      </c>
      <c r="L294" s="1003">
        <v>40</v>
      </c>
      <c r="M294" s="1003">
        <v>9</v>
      </c>
      <c r="N294" s="1003">
        <v>12</v>
      </c>
      <c r="O294" s="1003">
        <v>9</v>
      </c>
      <c r="P294" s="1003">
        <v>5</v>
      </c>
      <c r="Q294" s="1003">
        <v>9</v>
      </c>
      <c r="R294" s="1003">
        <v>9</v>
      </c>
      <c r="S294" s="1002">
        <v>11</v>
      </c>
      <c r="T294" s="1002">
        <v>12</v>
      </c>
      <c r="U294" s="1002">
        <v>17</v>
      </c>
      <c r="V294" s="1002">
        <v>11</v>
      </c>
      <c r="W294" s="1004">
        <v>1500</v>
      </c>
      <c r="X294" s="1004">
        <v>6</v>
      </c>
    </row>
    <row r="295" spans="1:33" ht="12" thickBot="1">
      <c r="A295" s="996">
        <v>76</v>
      </c>
      <c r="B295" s="1002">
        <v>22</v>
      </c>
      <c r="C295" s="1003">
        <v>70</v>
      </c>
      <c r="D295" s="1003">
        <v>42</v>
      </c>
      <c r="E295" s="1003">
        <v>36</v>
      </c>
      <c r="F295" s="1002">
        <v>15</v>
      </c>
      <c r="G295" s="1002">
        <v>12</v>
      </c>
      <c r="H295" s="1002">
        <v>14</v>
      </c>
      <c r="I295" s="1003">
        <v>70</v>
      </c>
      <c r="J295" s="1003">
        <v>70</v>
      </c>
      <c r="K295" s="1003">
        <v>16</v>
      </c>
      <c r="L295" s="1003">
        <v>45</v>
      </c>
      <c r="M295" s="1003">
        <v>10</v>
      </c>
      <c r="N295" s="1003">
        <v>13</v>
      </c>
      <c r="O295" s="1003">
        <v>10</v>
      </c>
      <c r="P295" s="1003">
        <v>6</v>
      </c>
      <c r="Q295" s="1003">
        <v>11</v>
      </c>
      <c r="R295" s="1003">
        <v>11</v>
      </c>
      <c r="S295" s="1002">
        <v>12</v>
      </c>
      <c r="T295" s="1002">
        <v>14</v>
      </c>
      <c r="U295" s="1002">
        <v>19</v>
      </c>
      <c r="V295" s="1002">
        <v>12</v>
      </c>
      <c r="W295" s="1004">
        <v>2000</v>
      </c>
      <c r="X295" s="1004">
        <v>8</v>
      </c>
    </row>
    <row r="296" spans="1:33" ht="12" thickBot="1">
      <c r="A296" s="996">
        <v>81</v>
      </c>
      <c r="B296" s="1002">
        <v>23</v>
      </c>
      <c r="C296" s="1003">
        <v>75</v>
      </c>
      <c r="D296" s="1003">
        <v>45</v>
      </c>
      <c r="E296" s="1003">
        <v>37</v>
      </c>
      <c r="F296" s="1002">
        <v>16</v>
      </c>
      <c r="G296" s="1002">
        <v>13</v>
      </c>
      <c r="H296" s="1002">
        <v>16</v>
      </c>
      <c r="I296" s="1003">
        <v>75</v>
      </c>
      <c r="J296" s="1003">
        <v>75</v>
      </c>
      <c r="K296" s="1003">
        <v>17</v>
      </c>
      <c r="L296" s="1003">
        <v>50</v>
      </c>
      <c r="M296" s="1003">
        <v>11</v>
      </c>
      <c r="N296" s="1003">
        <v>14</v>
      </c>
      <c r="O296" s="1003">
        <v>11</v>
      </c>
      <c r="P296" s="1003">
        <v>6</v>
      </c>
      <c r="Q296" s="1003">
        <v>12</v>
      </c>
      <c r="R296" s="1003">
        <v>12</v>
      </c>
      <c r="S296" s="1002">
        <v>12</v>
      </c>
      <c r="T296" s="1002">
        <v>16</v>
      </c>
      <c r="U296" s="1002">
        <v>20</v>
      </c>
      <c r="V296" s="1002">
        <v>12</v>
      </c>
      <c r="W296" s="1004">
        <v>2500</v>
      </c>
      <c r="X296" s="1004">
        <v>10</v>
      </c>
    </row>
    <row r="297" spans="1:33" ht="12" thickBot="1">
      <c r="A297" s="996">
        <v>86</v>
      </c>
      <c r="B297" s="1002">
        <v>24</v>
      </c>
      <c r="C297" s="1003">
        <v>80</v>
      </c>
      <c r="D297" s="1003">
        <v>48</v>
      </c>
      <c r="E297" s="1003">
        <v>39</v>
      </c>
      <c r="F297" s="1002">
        <v>17</v>
      </c>
      <c r="G297" s="1002">
        <v>14</v>
      </c>
      <c r="H297" s="1002">
        <v>18</v>
      </c>
      <c r="I297" s="1003">
        <v>80</v>
      </c>
      <c r="J297" s="1003">
        <v>80</v>
      </c>
      <c r="K297" s="1003">
        <v>18</v>
      </c>
      <c r="L297" s="1003">
        <v>56</v>
      </c>
      <c r="M297" s="1003">
        <v>12</v>
      </c>
      <c r="N297" s="1003">
        <v>15</v>
      </c>
      <c r="O297" s="1003">
        <v>12</v>
      </c>
      <c r="P297" s="1003">
        <v>6</v>
      </c>
      <c r="Q297" s="1003">
        <v>13</v>
      </c>
      <c r="R297" s="1003">
        <v>13</v>
      </c>
      <c r="S297" s="1002">
        <v>13</v>
      </c>
      <c r="T297" s="1002">
        <v>18</v>
      </c>
      <c r="U297" s="1002">
        <v>21</v>
      </c>
      <c r="V297" s="1002">
        <v>13</v>
      </c>
      <c r="W297" s="1004">
        <v>3000</v>
      </c>
      <c r="X297" s="1004">
        <v>12</v>
      </c>
    </row>
    <row r="298" spans="1:33" ht="12" thickBot="1">
      <c r="A298" s="996">
        <v>91</v>
      </c>
      <c r="B298" s="1002">
        <v>25</v>
      </c>
      <c r="C298" s="1003">
        <v>85</v>
      </c>
      <c r="D298" s="1003">
        <v>53</v>
      </c>
      <c r="E298" s="1003">
        <v>41</v>
      </c>
      <c r="F298" s="1002">
        <v>18</v>
      </c>
      <c r="G298" s="1002">
        <v>15</v>
      </c>
      <c r="H298" s="1002">
        <v>20</v>
      </c>
      <c r="I298" s="1003">
        <v>85</v>
      </c>
      <c r="J298" s="1003">
        <v>85</v>
      </c>
      <c r="K298" s="1003">
        <v>19</v>
      </c>
      <c r="L298" s="1003">
        <v>62</v>
      </c>
      <c r="M298" s="1003">
        <v>13</v>
      </c>
      <c r="N298" s="1003">
        <v>16</v>
      </c>
      <c r="O298" s="1003">
        <v>13</v>
      </c>
      <c r="P298" s="1003">
        <v>7</v>
      </c>
      <c r="Q298" s="1003">
        <v>14</v>
      </c>
      <c r="R298" s="1003">
        <v>14</v>
      </c>
      <c r="S298" s="1002">
        <v>14</v>
      </c>
      <c r="T298" s="1002">
        <v>20</v>
      </c>
      <c r="U298" s="1002">
        <v>23</v>
      </c>
      <c r="V298" s="1002">
        <v>14</v>
      </c>
      <c r="W298" s="1004">
        <v>3500</v>
      </c>
      <c r="X298" s="1004">
        <v>14</v>
      </c>
    </row>
    <row r="299" spans="1:33" ht="10.9" customHeight="1" thickBot="1">
      <c r="A299" s="996"/>
      <c r="B299" s="971">
        <v>28</v>
      </c>
      <c r="C299" s="972">
        <v>95</v>
      </c>
      <c r="D299" s="972">
        <v>67</v>
      </c>
      <c r="E299" s="972">
        <v>48</v>
      </c>
      <c r="F299" s="971">
        <v>20</v>
      </c>
      <c r="G299" s="971">
        <v>16</v>
      </c>
      <c r="H299" s="971">
        <v>22</v>
      </c>
      <c r="I299" s="972">
        <v>100</v>
      </c>
      <c r="J299" s="972">
        <v>250</v>
      </c>
      <c r="K299" s="972">
        <v>22</v>
      </c>
      <c r="L299" s="972">
        <v>80</v>
      </c>
      <c r="M299" s="972">
        <v>14</v>
      </c>
      <c r="N299" s="972">
        <v>18</v>
      </c>
      <c r="O299" s="972">
        <v>15</v>
      </c>
      <c r="P299" s="972">
        <v>7</v>
      </c>
      <c r="Q299" s="972">
        <v>15</v>
      </c>
      <c r="R299" s="972">
        <v>15</v>
      </c>
      <c r="S299" s="971">
        <v>16</v>
      </c>
      <c r="T299" s="971">
        <v>22</v>
      </c>
      <c r="U299" s="971">
        <v>25</v>
      </c>
      <c r="V299" s="971">
        <v>16</v>
      </c>
      <c r="Y299" s="996"/>
      <c r="Z299" s="996"/>
      <c r="AB299" s="996"/>
      <c r="AC299" s="996"/>
      <c r="AD299" s="996"/>
      <c r="AE299" s="996"/>
      <c r="AF299" s="996"/>
      <c r="AG299" s="996"/>
    </row>
    <row r="300" spans="1:33" ht="12" thickBot="1">
      <c r="A300" s="996"/>
      <c r="B300" s="971">
        <v>31</v>
      </c>
      <c r="C300" s="972">
        <v>100</v>
      </c>
      <c r="D300" s="972">
        <v>84</v>
      </c>
      <c r="E300" s="972">
        <v>54</v>
      </c>
      <c r="F300" s="971">
        <v>30</v>
      </c>
      <c r="G300" s="971">
        <v>17</v>
      </c>
      <c r="H300" s="971">
        <v>24</v>
      </c>
      <c r="I300" s="972">
        <v>250</v>
      </c>
      <c r="J300" s="972">
        <v>500</v>
      </c>
      <c r="K300" s="972">
        <v>24</v>
      </c>
      <c r="L300" s="972">
        <v>100</v>
      </c>
      <c r="M300" s="972">
        <v>15</v>
      </c>
      <c r="N300" s="972">
        <v>19</v>
      </c>
      <c r="O300" s="972">
        <v>20</v>
      </c>
      <c r="P300" s="972">
        <v>7</v>
      </c>
      <c r="Q300" s="972">
        <v>16</v>
      </c>
      <c r="R300" s="972">
        <v>16</v>
      </c>
      <c r="S300" s="971">
        <v>17</v>
      </c>
      <c r="T300" s="971">
        <v>24</v>
      </c>
      <c r="U300" s="971">
        <v>27</v>
      </c>
      <c r="V300" s="971">
        <v>17</v>
      </c>
      <c r="Y300" s="996"/>
      <c r="Z300" s="996"/>
      <c r="AB300" s="996"/>
      <c r="AC300" s="996"/>
      <c r="AD300" s="996"/>
      <c r="AE300" s="996"/>
      <c r="AF300" s="996"/>
      <c r="AG300" s="996"/>
    </row>
    <row r="301" spans="1:33" ht="12" thickBot="1">
      <c r="A301" s="996"/>
      <c r="B301" s="971">
        <v>33</v>
      </c>
      <c r="C301" s="972">
        <v>125</v>
      </c>
      <c r="D301" s="972">
        <v>88</v>
      </c>
      <c r="E301" s="972">
        <v>57</v>
      </c>
      <c r="F301" s="971">
        <v>40</v>
      </c>
      <c r="G301" s="971">
        <v>18</v>
      </c>
      <c r="H301" s="971">
        <v>25</v>
      </c>
      <c r="I301" s="972">
        <v>300</v>
      </c>
      <c r="J301" s="972">
        <v>600</v>
      </c>
      <c r="K301" s="972">
        <v>25</v>
      </c>
      <c r="L301" s="972">
        <v>121</v>
      </c>
      <c r="M301" s="972">
        <v>25</v>
      </c>
      <c r="N301" s="972">
        <v>29</v>
      </c>
      <c r="O301" s="972">
        <v>23</v>
      </c>
      <c r="P301" s="972">
        <v>9</v>
      </c>
      <c r="Q301" s="972">
        <v>17</v>
      </c>
      <c r="R301" s="972">
        <v>17</v>
      </c>
      <c r="S301" s="971">
        <v>18</v>
      </c>
      <c r="T301" s="971">
        <v>25</v>
      </c>
      <c r="U301" s="971">
        <v>29</v>
      </c>
      <c r="V301" s="971">
        <v>18</v>
      </c>
      <c r="Y301" s="996"/>
      <c r="Z301" s="996"/>
      <c r="AA301" s="996" t="s">
        <v>5936</v>
      </c>
      <c r="AB301" s="996"/>
      <c r="AC301" s="996"/>
      <c r="AD301" s="996"/>
      <c r="AE301" s="996"/>
      <c r="AF301" s="996"/>
      <c r="AG301" s="996"/>
    </row>
    <row r="302" spans="1:33" ht="12" thickBot="1">
      <c r="A302" s="996"/>
      <c r="B302" s="971">
        <v>35</v>
      </c>
      <c r="C302" s="972">
        <v>150</v>
      </c>
      <c r="D302" s="972">
        <v>93</v>
      </c>
      <c r="E302" s="972">
        <v>60</v>
      </c>
      <c r="F302" s="971">
        <v>50</v>
      </c>
      <c r="G302" s="971">
        <v>20</v>
      </c>
      <c r="H302" s="971">
        <v>26</v>
      </c>
      <c r="I302" s="972">
        <v>400</v>
      </c>
      <c r="J302" s="972">
        <v>750</v>
      </c>
      <c r="K302" s="972">
        <v>26</v>
      </c>
      <c r="L302" s="972">
        <v>145</v>
      </c>
      <c r="M302" s="972">
        <v>15</v>
      </c>
      <c r="N302" s="972">
        <v>20</v>
      </c>
      <c r="O302" s="972">
        <v>25</v>
      </c>
      <c r="P302" s="972">
        <v>11</v>
      </c>
      <c r="Q302" s="972">
        <v>18</v>
      </c>
      <c r="R302" s="972">
        <v>18</v>
      </c>
      <c r="S302" s="971">
        <v>19</v>
      </c>
      <c r="T302" s="971">
        <v>26</v>
      </c>
      <c r="U302" s="971">
        <v>31</v>
      </c>
      <c r="V302" s="971">
        <v>19</v>
      </c>
      <c r="Y302" s="996"/>
      <c r="Z302" s="996"/>
      <c r="AA302" s="996" t="s">
        <v>5937</v>
      </c>
      <c r="AB302" s="996" t="s">
        <v>5938</v>
      </c>
      <c r="AC302" s="996" t="s">
        <v>5939</v>
      </c>
      <c r="AD302" s="996" t="s">
        <v>5940</v>
      </c>
      <c r="AE302" s="996" t="s">
        <v>5941</v>
      </c>
      <c r="AF302" s="996" t="s">
        <v>5942</v>
      </c>
      <c r="AG302" s="996"/>
    </row>
    <row r="303" spans="1:33" ht="12" thickBot="1">
      <c r="A303" s="996"/>
      <c r="B303" s="971">
        <v>37</v>
      </c>
      <c r="C303" s="972">
        <v>200</v>
      </c>
      <c r="D303" s="972">
        <v>100</v>
      </c>
      <c r="E303" s="972">
        <v>65</v>
      </c>
      <c r="F303" s="971">
        <v>60</v>
      </c>
      <c r="G303" s="971">
        <v>22</v>
      </c>
      <c r="H303" s="971">
        <v>27</v>
      </c>
      <c r="I303" s="972">
        <v>500</v>
      </c>
      <c r="J303" s="972">
        <v>1000</v>
      </c>
      <c r="K303" s="972">
        <v>28</v>
      </c>
      <c r="L303" s="972">
        <v>200</v>
      </c>
      <c r="M303" s="972">
        <v>16</v>
      </c>
      <c r="N303" s="972">
        <v>25</v>
      </c>
      <c r="O303" s="972">
        <v>30</v>
      </c>
      <c r="P303" s="972">
        <v>13</v>
      </c>
      <c r="Q303" s="972">
        <v>19</v>
      </c>
      <c r="R303" s="972">
        <v>19</v>
      </c>
      <c r="S303" s="971">
        <v>20</v>
      </c>
      <c r="T303" s="971">
        <v>27</v>
      </c>
      <c r="U303" s="971">
        <v>33</v>
      </c>
      <c r="V303" s="971">
        <v>20</v>
      </c>
      <c r="Y303" s="996"/>
      <c r="Z303" s="996">
        <v>9</v>
      </c>
      <c r="AA303" s="996" t="s">
        <v>5943</v>
      </c>
      <c r="AB303" s="1005" t="s">
        <v>5944</v>
      </c>
      <c r="AC303" s="1006" t="s">
        <v>5409</v>
      </c>
      <c r="AD303" s="1006" t="s">
        <v>5963</v>
      </c>
      <c r="AE303" s="1005" t="s">
        <v>5945</v>
      </c>
      <c r="AF303" s="996" t="s">
        <v>5946</v>
      </c>
      <c r="AG303" s="996"/>
    </row>
    <row r="304" spans="1:33" ht="12" thickBot="1">
      <c r="A304" s="996"/>
      <c r="B304" s="971">
        <v>40</v>
      </c>
      <c r="C304" s="972">
        <v>250</v>
      </c>
      <c r="D304" s="972">
        <v>130</v>
      </c>
      <c r="E304" s="972">
        <v>70</v>
      </c>
      <c r="F304" s="971">
        <v>80</v>
      </c>
      <c r="G304" s="971">
        <v>24</v>
      </c>
      <c r="H304" s="971">
        <v>28</v>
      </c>
      <c r="I304" s="972">
        <v>600</v>
      </c>
      <c r="J304" s="972">
        <v>1250</v>
      </c>
      <c r="K304" s="972">
        <v>32</v>
      </c>
      <c r="L304" s="972">
        <v>250</v>
      </c>
      <c r="M304" s="972">
        <v>17</v>
      </c>
      <c r="N304" s="972">
        <v>27</v>
      </c>
      <c r="O304" s="972">
        <v>38</v>
      </c>
      <c r="P304" s="972">
        <v>16</v>
      </c>
      <c r="Q304" s="972">
        <v>20</v>
      </c>
      <c r="R304" s="972">
        <v>20</v>
      </c>
      <c r="S304" s="971">
        <v>22</v>
      </c>
      <c r="T304" s="971">
        <v>28</v>
      </c>
      <c r="U304" s="971">
        <v>35</v>
      </c>
      <c r="V304" s="971">
        <v>22</v>
      </c>
      <c r="Y304" s="996"/>
      <c r="Z304" s="996">
        <v>9</v>
      </c>
      <c r="AA304" s="996" t="s">
        <v>5947</v>
      </c>
      <c r="AB304" s="1005" t="s">
        <v>5948</v>
      </c>
      <c r="AC304" s="1006" t="s">
        <v>5960</v>
      </c>
      <c r="AD304" s="1006" t="s">
        <v>5964</v>
      </c>
      <c r="AE304" s="1005" t="s">
        <v>5949</v>
      </c>
      <c r="AF304" s="996" t="s">
        <v>5946</v>
      </c>
      <c r="AG304" s="996"/>
    </row>
    <row r="305" spans="1:34" ht="12" thickBot="1">
      <c r="A305" s="996"/>
      <c r="B305" s="971">
        <v>43</v>
      </c>
      <c r="C305" s="972">
        <v>290</v>
      </c>
      <c r="D305" s="972">
        <v>150</v>
      </c>
      <c r="E305" s="972">
        <v>75</v>
      </c>
      <c r="F305" s="971">
        <v>100</v>
      </c>
      <c r="G305" s="971">
        <v>26</v>
      </c>
      <c r="H305" s="971">
        <v>29</v>
      </c>
      <c r="I305" s="972">
        <v>750</v>
      </c>
      <c r="J305" s="972">
        <v>1500</v>
      </c>
      <c r="K305" s="972">
        <v>37</v>
      </c>
      <c r="L305" s="972">
        <v>300</v>
      </c>
      <c r="M305" s="972">
        <v>18</v>
      </c>
      <c r="N305" s="972">
        <v>30</v>
      </c>
      <c r="O305" s="972">
        <v>45</v>
      </c>
      <c r="P305" s="972">
        <v>20</v>
      </c>
      <c r="Q305" s="972">
        <v>23</v>
      </c>
      <c r="R305" s="972">
        <v>22</v>
      </c>
      <c r="S305" s="971">
        <v>24</v>
      </c>
      <c r="T305" s="971">
        <v>29</v>
      </c>
      <c r="U305" s="971">
        <v>36</v>
      </c>
      <c r="V305" s="971">
        <v>24</v>
      </c>
      <c r="Y305" s="996"/>
      <c r="Z305" s="996">
        <v>12</v>
      </c>
      <c r="AA305" s="996" t="s">
        <v>5950</v>
      </c>
      <c r="AB305" s="1005" t="s">
        <v>5951</v>
      </c>
      <c r="AC305" s="1006" t="s">
        <v>5961</v>
      </c>
      <c r="AD305" s="1006" t="s">
        <v>5966</v>
      </c>
      <c r="AE305" s="1005" t="s">
        <v>5952</v>
      </c>
      <c r="AF305" s="996" t="s">
        <v>5953</v>
      </c>
      <c r="AG305" s="996"/>
    </row>
    <row r="306" spans="1:34" ht="12" thickBot="1">
      <c r="A306" s="996"/>
      <c r="B306" s="971">
        <v>48</v>
      </c>
      <c r="C306" s="972">
        <v>310</v>
      </c>
      <c r="D306" s="972">
        <v>180</v>
      </c>
      <c r="E306" s="972">
        <v>85</v>
      </c>
      <c r="F306" s="971">
        <v>200</v>
      </c>
      <c r="G306" s="971">
        <v>28</v>
      </c>
      <c r="H306" s="971">
        <v>30</v>
      </c>
      <c r="I306" s="972">
        <v>850</v>
      </c>
      <c r="J306" s="972">
        <v>1750</v>
      </c>
      <c r="K306" s="972">
        <v>40</v>
      </c>
      <c r="L306" s="972">
        <v>350</v>
      </c>
      <c r="M306" s="972">
        <v>19</v>
      </c>
      <c r="N306" s="972">
        <v>32</v>
      </c>
      <c r="O306" s="972">
        <v>56</v>
      </c>
      <c r="P306" s="972">
        <v>27</v>
      </c>
      <c r="Q306" s="972">
        <v>28</v>
      </c>
      <c r="R306" s="972">
        <v>23</v>
      </c>
      <c r="S306" s="971">
        <v>26</v>
      </c>
      <c r="T306" s="971">
        <v>30</v>
      </c>
      <c r="U306" s="971">
        <v>37</v>
      </c>
      <c r="V306" s="971">
        <v>26</v>
      </c>
      <c r="Y306" s="996"/>
      <c r="Z306" s="996">
        <v>10</v>
      </c>
      <c r="AA306" s="996" t="s">
        <v>5954</v>
      </c>
      <c r="AB306" s="1005" t="s">
        <v>5951</v>
      </c>
      <c r="AC306" s="1006" t="s">
        <v>5961</v>
      </c>
      <c r="AD306" s="1006" t="s">
        <v>5966</v>
      </c>
      <c r="AE306" s="1005" t="s">
        <v>5952</v>
      </c>
      <c r="AF306" s="996" t="s">
        <v>5953</v>
      </c>
      <c r="AG306" s="996"/>
    </row>
    <row r="307" spans="1:34" ht="12" thickBot="1">
      <c r="A307" s="996"/>
      <c r="B307" s="1007">
        <v>50</v>
      </c>
      <c r="C307" s="1008">
        <v>400</v>
      </c>
      <c r="D307" s="1008">
        <v>200</v>
      </c>
      <c r="E307" s="1008">
        <v>90</v>
      </c>
      <c r="F307" s="1007">
        <v>300</v>
      </c>
      <c r="G307" s="1007">
        <v>29</v>
      </c>
      <c r="H307" s="1007">
        <v>31</v>
      </c>
      <c r="I307" s="1008">
        <v>1000</v>
      </c>
      <c r="J307" s="1008">
        <v>2000</v>
      </c>
      <c r="K307" s="1008">
        <v>45</v>
      </c>
      <c r="L307" s="1008">
        <v>400</v>
      </c>
      <c r="M307" s="1008">
        <v>20</v>
      </c>
      <c r="N307" s="1008">
        <v>35</v>
      </c>
      <c r="O307" s="1008">
        <v>60</v>
      </c>
      <c r="P307" s="1008">
        <v>35</v>
      </c>
      <c r="Q307" s="1008">
        <v>30</v>
      </c>
      <c r="R307" s="1008">
        <v>25</v>
      </c>
      <c r="S307" s="1007">
        <v>28</v>
      </c>
      <c r="T307" s="1007">
        <v>31</v>
      </c>
      <c r="U307" s="1007">
        <v>38</v>
      </c>
      <c r="V307" s="1007">
        <v>28</v>
      </c>
      <c r="Y307" s="996"/>
      <c r="Z307" s="996">
        <v>11</v>
      </c>
      <c r="AA307" s="996" t="s">
        <v>5955</v>
      </c>
      <c r="AB307" s="1005" t="s">
        <v>5951</v>
      </c>
      <c r="AC307" s="1006" t="s">
        <v>5962</v>
      </c>
      <c r="AD307" s="1006" t="s">
        <v>5965</v>
      </c>
      <c r="AE307" s="1005" t="s">
        <v>5956</v>
      </c>
      <c r="AF307" s="996" t="s">
        <v>5957</v>
      </c>
    </row>
    <row r="308" spans="1:34" ht="12" thickBot="1">
      <c r="A308" s="996"/>
      <c r="B308" s="971">
        <v>55</v>
      </c>
      <c r="C308" s="972">
        <v>430</v>
      </c>
      <c r="D308" s="972">
        <v>220</v>
      </c>
      <c r="E308" s="972">
        <v>95</v>
      </c>
      <c r="F308" s="971">
        <v>320</v>
      </c>
      <c r="G308" s="971">
        <v>30</v>
      </c>
      <c r="H308" s="971">
        <v>32</v>
      </c>
      <c r="I308" s="972">
        <v>1156</v>
      </c>
      <c r="J308" s="972">
        <v>2310</v>
      </c>
      <c r="K308" s="972" t="s">
        <v>5801</v>
      </c>
      <c r="L308" s="972">
        <v>450</v>
      </c>
      <c r="M308" s="972">
        <v>22</v>
      </c>
      <c r="N308" s="972">
        <v>39</v>
      </c>
      <c r="O308" s="972">
        <v>64</v>
      </c>
      <c r="P308" s="972">
        <v>37</v>
      </c>
      <c r="Q308" s="972">
        <v>31</v>
      </c>
      <c r="R308" s="972">
        <v>28</v>
      </c>
      <c r="S308" s="971">
        <v>30</v>
      </c>
      <c r="T308" s="971">
        <v>32</v>
      </c>
      <c r="U308" s="971">
        <v>55</v>
      </c>
      <c r="V308" s="971">
        <v>30</v>
      </c>
      <c r="Y308" s="996"/>
      <c r="Z308" s="996">
        <v>9</v>
      </c>
      <c r="AA308" s="996" t="s">
        <v>5958</v>
      </c>
      <c r="AB308" s="1005" t="s">
        <v>5948</v>
      </c>
      <c r="AC308" s="1006" t="s">
        <v>5960</v>
      </c>
      <c r="AD308" s="1006" t="s">
        <v>5964</v>
      </c>
      <c r="AE308" s="1005" t="s">
        <v>5959</v>
      </c>
      <c r="AF308" s="996" t="s">
        <v>5953</v>
      </c>
    </row>
    <row r="309" spans="1:34" ht="12" thickBot="1">
      <c r="A309" s="996"/>
      <c r="B309" s="971">
        <v>58</v>
      </c>
      <c r="C309" s="972">
        <v>490</v>
      </c>
      <c r="D309" s="972">
        <v>240</v>
      </c>
      <c r="E309" s="972">
        <v>100</v>
      </c>
      <c r="F309" s="971">
        <v>340</v>
      </c>
      <c r="G309" s="971">
        <v>35</v>
      </c>
      <c r="H309" s="971">
        <v>35</v>
      </c>
      <c r="I309" s="972">
        <v>1250</v>
      </c>
      <c r="J309" s="972">
        <v>2430</v>
      </c>
      <c r="K309" s="972">
        <v>50</v>
      </c>
      <c r="L309" s="972">
        <v>535</v>
      </c>
      <c r="M309" s="972">
        <v>25</v>
      </c>
      <c r="N309" s="972">
        <v>43</v>
      </c>
      <c r="O309" s="972">
        <v>69</v>
      </c>
      <c r="P309" s="972">
        <v>40</v>
      </c>
      <c r="Q309" s="972">
        <v>32</v>
      </c>
      <c r="R309" s="972">
        <v>30</v>
      </c>
      <c r="S309" s="971">
        <v>32</v>
      </c>
      <c r="T309" s="971">
        <v>35</v>
      </c>
      <c r="U309" s="971">
        <v>58</v>
      </c>
      <c r="V309" s="971">
        <v>32</v>
      </c>
      <c r="Y309" s="996"/>
      <c r="Z309" s="996"/>
      <c r="AD309" s="598" t="s">
        <v>5974</v>
      </c>
    </row>
    <row r="310" spans="1:34" ht="12" thickBot="1">
      <c r="A310" s="996"/>
      <c r="B310" s="971">
        <v>62</v>
      </c>
      <c r="C310" s="972">
        <v>510</v>
      </c>
      <c r="D310" s="972">
        <v>260</v>
      </c>
      <c r="E310" s="972">
        <v>105</v>
      </c>
      <c r="F310" s="971">
        <v>360</v>
      </c>
      <c r="G310" s="971">
        <v>40</v>
      </c>
      <c r="H310" s="971">
        <v>37</v>
      </c>
      <c r="I310" s="972">
        <v>1300</v>
      </c>
      <c r="J310" s="972">
        <v>2600</v>
      </c>
      <c r="K310" s="972">
        <v>54</v>
      </c>
      <c r="L310" s="972">
        <v>635</v>
      </c>
      <c r="M310" s="972">
        <v>27</v>
      </c>
      <c r="N310" s="972">
        <v>47</v>
      </c>
      <c r="O310" s="972">
        <v>73</v>
      </c>
      <c r="P310" s="972">
        <v>45</v>
      </c>
      <c r="Q310" s="972">
        <v>33</v>
      </c>
      <c r="R310" s="972">
        <v>33</v>
      </c>
      <c r="S310" s="971">
        <v>37</v>
      </c>
      <c r="T310" s="971">
        <v>37</v>
      </c>
      <c r="U310" s="971">
        <v>62</v>
      </c>
      <c r="V310" s="971">
        <v>37</v>
      </c>
      <c r="Y310" s="996"/>
      <c r="Z310" s="996"/>
      <c r="AA310" s="996" t="s">
        <v>1347</v>
      </c>
      <c r="AB310" s="1005" t="s">
        <v>5944</v>
      </c>
      <c r="AC310" s="1006" t="s">
        <v>5409</v>
      </c>
      <c r="AD310" s="1006" t="s">
        <v>5970</v>
      </c>
      <c r="AE310" s="1006" t="s">
        <v>5971</v>
      </c>
      <c r="AF310" s="1006" t="s">
        <v>5972</v>
      </c>
      <c r="AG310" s="1005" t="s">
        <v>5973</v>
      </c>
      <c r="AH310" s="996"/>
    </row>
    <row r="311" spans="1:34" ht="12" thickBot="1">
      <c r="A311" s="996"/>
      <c r="B311" s="971">
        <v>69</v>
      </c>
      <c r="C311" s="972">
        <v>550</v>
      </c>
      <c r="D311" s="972">
        <v>280</v>
      </c>
      <c r="E311" s="972">
        <v>110</v>
      </c>
      <c r="F311" s="971">
        <v>380</v>
      </c>
      <c r="G311" s="971">
        <v>45</v>
      </c>
      <c r="H311" s="971">
        <v>40</v>
      </c>
      <c r="I311" s="972">
        <v>1390</v>
      </c>
      <c r="J311" s="972">
        <v>2780</v>
      </c>
      <c r="K311" s="972">
        <v>61</v>
      </c>
      <c r="L311" s="972">
        <v>715</v>
      </c>
      <c r="M311" s="972">
        <v>30</v>
      </c>
      <c r="N311" s="972">
        <v>50</v>
      </c>
      <c r="O311" s="972">
        <v>76</v>
      </c>
      <c r="P311" s="972">
        <v>49</v>
      </c>
      <c r="Q311" s="972">
        <v>34</v>
      </c>
      <c r="R311" s="972">
        <v>35</v>
      </c>
      <c r="S311" s="971">
        <v>40</v>
      </c>
      <c r="T311" s="971">
        <v>40</v>
      </c>
      <c r="U311" s="971">
        <v>65</v>
      </c>
      <c r="V311" s="971">
        <v>40</v>
      </c>
      <c r="Y311" s="996"/>
      <c r="Z311" s="996"/>
    </row>
    <row r="312" spans="1:34" ht="12" thickBot="1">
      <c r="A312" s="996"/>
      <c r="B312" s="971">
        <v>75</v>
      </c>
      <c r="C312" s="972">
        <v>600</v>
      </c>
      <c r="D312" s="972">
        <v>300</v>
      </c>
      <c r="E312" s="972">
        <v>115</v>
      </c>
      <c r="F312" s="971">
        <v>400</v>
      </c>
      <c r="G312" s="971">
        <v>50</v>
      </c>
      <c r="H312" s="971">
        <v>43</v>
      </c>
      <c r="I312" s="972">
        <v>1500</v>
      </c>
      <c r="J312" s="972">
        <v>3000</v>
      </c>
      <c r="K312" s="972">
        <v>67</v>
      </c>
      <c r="L312" s="972">
        <v>800</v>
      </c>
      <c r="M312" s="972">
        <v>31</v>
      </c>
      <c r="N312" s="972">
        <v>55</v>
      </c>
      <c r="O312" s="972">
        <v>80</v>
      </c>
      <c r="P312" s="972">
        <v>55</v>
      </c>
      <c r="Q312" s="972">
        <v>35</v>
      </c>
      <c r="R312" s="972">
        <v>37</v>
      </c>
      <c r="S312" s="971">
        <v>42</v>
      </c>
      <c r="T312" s="971">
        <v>43</v>
      </c>
      <c r="U312" s="971">
        <v>75</v>
      </c>
      <c r="V312" s="971">
        <v>42</v>
      </c>
      <c r="Y312" s="996"/>
      <c r="Z312" s="996"/>
    </row>
    <row r="313" spans="1:34" ht="12" thickBot="1">
      <c r="A313" s="996"/>
      <c r="B313" s="971">
        <v>83</v>
      </c>
      <c r="C313" s="972">
        <v>650</v>
      </c>
      <c r="D313" s="972">
        <v>320</v>
      </c>
      <c r="E313" s="972">
        <v>120</v>
      </c>
      <c r="F313" s="971">
        <v>450</v>
      </c>
      <c r="G313" s="971">
        <v>54</v>
      </c>
      <c r="H313" s="971">
        <v>46</v>
      </c>
      <c r="I313" s="972">
        <v>1600</v>
      </c>
      <c r="J313" s="972">
        <v>3250</v>
      </c>
      <c r="K313" s="972">
        <v>71</v>
      </c>
      <c r="L313" s="972">
        <v>850</v>
      </c>
      <c r="M313" s="972">
        <v>33</v>
      </c>
      <c r="N313" s="972">
        <v>57</v>
      </c>
      <c r="O313" s="972">
        <v>85</v>
      </c>
      <c r="P313" s="972">
        <v>59</v>
      </c>
      <c r="Q313" s="972">
        <v>36</v>
      </c>
      <c r="R313" s="972">
        <v>40</v>
      </c>
      <c r="S313" s="971">
        <v>44</v>
      </c>
      <c r="T313" s="971">
        <v>46</v>
      </c>
      <c r="U313" s="971">
        <v>83</v>
      </c>
      <c r="V313" s="971">
        <v>44</v>
      </c>
    </row>
    <row r="314" spans="1:34" ht="12" thickBot="1">
      <c r="A314" s="996"/>
      <c r="B314" s="971">
        <v>88</v>
      </c>
      <c r="C314" s="972">
        <v>700</v>
      </c>
      <c r="D314" s="972">
        <v>340</v>
      </c>
      <c r="E314" s="972">
        <v>130</v>
      </c>
      <c r="F314" s="971">
        <v>500</v>
      </c>
      <c r="G314" s="971">
        <v>56</v>
      </c>
      <c r="H314" s="971">
        <v>50</v>
      </c>
      <c r="I314" s="972">
        <v>1780</v>
      </c>
      <c r="J314" s="972">
        <v>3500</v>
      </c>
      <c r="K314" s="972">
        <v>77</v>
      </c>
      <c r="L314" s="972">
        <v>900</v>
      </c>
      <c r="M314" s="972">
        <v>35</v>
      </c>
      <c r="N314" s="972">
        <v>62</v>
      </c>
      <c r="O314" s="972">
        <v>90</v>
      </c>
      <c r="P314" s="972">
        <v>63</v>
      </c>
      <c r="Q314" s="972">
        <v>38</v>
      </c>
      <c r="R314" s="972">
        <v>43</v>
      </c>
      <c r="S314" s="971">
        <v>46</v>
      </c>
      <c r="T314" s="971">
        <v>50</v>
      </c>
      <c r="U314" s="971">
        <v>88</v>
      </c>
      <c r="V314" s="971">
        <v>46</v>
      </c>
    </row>
    <row r="315" spans="1:34" ht="12" thickBot="1">
      <c r="A315" s="996"/>
      <c r="B315" s="971">
        <v>93</v>
      </c>
      <c r="C315" s="972">
        <v>750</v>
      </c>
      <c r="D315" s="972">
        <v>380</v>
      </c>
      <c r="E315" s="972">
        <v>145</v>
      </c>
      <c r="F315" s="971">
        <v>550</v>
      </c>
      <c r="G315" s="971">
        <v>58</v>
      </c>
      <c r="H315" s="971">
        <v>55</v>
      </c>
      <c r="I315" s="972">
        <v>1980</v>
      </c>
      <c r="J315" s="972">
        <v>3750</v>
      </c>
      <c r="K315" s="972">
        <v>83</v>
      </c>
      <c r="L315" s="972">
        <v>1000</v>
      </c>
      <c r="M315" s="972">
        <v>37</v>
      </c>
      <c r="N315" s="972">
        <v>67</v>
      </c>
      <c r="O315" s="972">
        <v>95</v>
      </c>
      <c r="P315" s="972">
        <v>67</v>
      </c>
      <c r="Q315" s="972">
        <v>39</v>
      </c>
      <c r="R315" s="972">
        <v>47</v>
      </c>
      <c r="S315" s="971">
        <v>48</v>
      </c>
      <c r="T315" s="971">
        <v>55</v>
      </c>
      <c r="U315" s="971">
        <v>93</v>
      </c>
      <c r="V315" s="971">
        <v>48</v>
      </c>
    </row>
    <row r="316" spans="1:34" ht="12" thickBot="1">
      <c r="A316" s="996"/>
      <c r="B316" s="1007">
        <v>100</v>
      </c>
      <c r="C316" s="1008">
        <v>800</v>
      </c>
      <c r="D316" s="1008">
        <v>400</v>
      </c>
      <c r="E316" s="1008">
        <v>160</v>
      </c>
      <c r="F316" s="1007">
        <v>600</v>
      </c>
      <c r="G316" s="1007">
        <v>60</v>
      </c>
      <c r="H316" s="1007">
        <v>60</v>
      </c>
      <c r="I316" s="1008">
        <v>2000</v>
      </c>
      <c r="J316" s="1008">
        <v>4000</v>
      </c>
      <c r="K316" s="1008">
        <v>90</v>
      </c>
      <c r="L316" s="1008" t="s">
        <v>5802</v>
      </c>
      <c r="M316" s="1008">
        <v>40</v>
      </c>
      <c r="N316" s="1008">
        <v>70</v>
      </c>
      <c r="O316" s="1008">
        <v>100</v>
      </c>
      <c r="P316" s="1008">
        <v>70</v>
      </c>
      <c r="Q316" s="1008">
        <v>40</v>
      </c>
      <c r="R316" s="1008">
        <v>50</v>
      </c>
      <c r="S316" s="1007">
        <v>50</v>
      </c>
      <c r="T316" s="1007">
        <v>60</v>
      </c>
      <c r="U316" s="1007">
        <v>80</v>
      </c>
      <c r="V316" s="1007">
        <v>50</v>
      </c>
    </row>
  </sheetData>
  <mergeCells count="10">
    <mergeCell ref="B280:B282"/>
    <mergeCell ref="F280:F282"/>
    <mergeCell ref="L280:L282"/>
    <mergeCell ref="Q280:Q282"/>
    <mergeCell ref="R280:R282"/>
    <mergeCell ref="D280:D282"/>
    <mergeCell ref="C280:C282"/>
    <mergeCell ref="E280:E282"/>
    <mergeCell ref="G280:G282"/>
    <mergeCell ref="H280:H282"/>
  </mergeCells>
  <phoneticPr fontId="17" type="noConversion"/>
  <conditionalFormatting sqref="Z282">
    <cfRule type="expression" dxfId="7" priority="1" stopIfTrue="1">
      <formula>RIGHT($A$36,1)="M"</formula>
    </cfRule>
  </conditionalFormatting>
  <conditionalFormatting sqref="Z283">
    <cfRule type="expression" dxfId="6" priority="2" stopIfTrue="1">
      <formula>RIGHT($A$37,1)="M"</formula>
    </cfRule>
  </conditionalFormatting>
  <conditionalFormatting sqref="Z284">
    <cfRule type="expression" dxfId="5" priority="3" stopIfTrue="1">
      <formula>RIGHT($A$38,1)="M"</formula>
    </cfRule>
  </conditionalFormatting>
  <conditionalFormatting sqref="Z285">
    <cfRule type="expression" dxfId="4" priority="4" stopIfTrue="1">
      <formula>RIGHT($A$39,1)="M"</formula>
    </cfRule>
  </conditionalFormatting>
  <conditionalFormatting sqref="Z286">
    <cfRule type="expression" dxfId="3" priority="5" stopIfTrue="1">
      <formula>RIGHT($A$40,1)="M"</formula>
    </cfRule>
  </conditionalFormatting>
  <conditionalFormatting sqref="Z287">
    <cfRule type="expression" dxfId="2" priority="6" stopIfTrue="1">
      <formula>RIGHT($A$41,1)="M"</formula>
    </cfRule>
  </conditionalFormatting>
  <conditionalFormatting sqref="Z288">
    <cfRule type="expression" dxfId="1" priority="7" stopIfTrue="1">
      <formula>RIGHT($A$42,1)="M"</formula>
    </cfRule>
  </conditionalFormatting>
  <conditionalFormatting sqref="Z289">
    <cfRule type="expression" dxfId="0" priority="8" stopIfTrue="1">
      <formula>RIGHT($A$43,1)="M"</formula>
    </cfRule>
  </conditionalFormatting>
  <pageMargins left="0.75" right="0.75" top="1" bottom="1" header="0.5" footer="0.5"/>
  <pageSetup orientation="portrait" horizontalDpi="4294967293" verticalDpi="1200" r:id="rId1"/>
  <headerFooter alignWithMargins="0"/>
  <legacyDrawing r:id="rId2"/>
</worksheet>
</file>

<file path=xl/worksheets/sheet17.xml><?xml version="1.0" encoding="utf-8"?>
<worksheet xmlns="http://schemas.openxmlformats.org/spreadsheetml/2006/main" xmlns:r="http://schemas.openxmlformats.org/officeDocument/2006/relationships">
  <sheetPr codeName="Sheet17"/>
  <dimension ref="A1:DC616"/>
  <sheetViews>
    <sheetView topLeftCell="A130" workbookViewId="0">
      <pane xSplit="1" topLeftCell="P1" activePane="topRight" state="frozen"/>
      <selection activeCell="A119" sqref="A119"/>
      <selection pane="topRight" activeCell="X167" sqref="X167"/>
    </sheetView>
  </sheetViews>
  <sheetFormatPr defaultColWidth="9.140625" defaultRowHeight="11.25"/>
  <cols>
    <col min="1" max="2" width="15.7109375" style="598" bestFit="1" customWidth="1"/>
    <col min="3" max="3" width="7.42578125" style="598" bestFit="1" customWidth="1"/>
    <col min="4" max="4" width="32.85546875" style="598" bestFit="1" customWidth="1"/>
    <col min="5" max="5" width="34.42578125" style="598" bestFit="1" customWidth="1"/>
    <col min="6" max="6" width="35.42578125" style="598" bestFit="1" customWidth="1"/>
    <col min="7" max="7" width="33.42578125" style="598" bestFit="1" customWidth="1"/>
    <col min="8" max="8" width="37.140625" style="598" bestFit="1" customWidth="1"/>
    <col min="9" max="9" width="23" style="598" bestFit="1" customWidth="1"/>
    <col min="10" max="10" width="21.42578125" style="598" bestFit="1" customWidth="1"/>
    <col min="11" max="11" width="31.7109375" style="598" bestFit="1" customWidth="1"/>
    <col min="12" max="12" width="27.42578125" style="598" bestFit="1" customWidth="1"/>
    <col min="13" max="13" width="35" style="598" bestFit="1" customWidth="1"/>
    <col min="14" max="14" width="23.85546875" style="598" bestFit="1" customWidth="1"/>
    <col min="15" max="15" width="29.140625" style="598" bestFit="1" customWidth="1"/>
    <col min="16" max="16" width="36.42578125" style="598" bestFit="1" customWidth="1"/>
    <col min="17" max="17" width="22.85546875" style="598" bestFit="1" customWidth="1"/>
    <col min="18" max="18" width="27.7109375" style="598" bestFit="1" customWidth="1"/>
    <col min="19" max="19" width="22" style="598" bestFit="1" customWidth="1"/>
    <col min="20" max="20" width="15.42578125" style="598" bestFit="1" customWidth="1"/>
    <col min="21" max="21" width="15.7109375" style="598" bestFit="1" customWidth="1"/>
    <col min="22" max="22" width="21" style="598" bestFit="1" customWidth="1"/>
    <col min="23" max="23" width="7.42578125" style="598" bestFit="1" customWidth="1"/>
    <col min="24" max="24" width="14.140625" style="598" bestFit="1" customWidth="1"/>
    <col min="25" max="25" width="15.7109375" style="598" bestFit="1" customWidth="1"/>
    <col min="26" max="27" width="9.7109375" style="598" bestFit="1" customWidth="1"/>
    <col min="28" max="28" width="14.140625" style="598" bestFit="1" customWidth="1"/>
    <col min="29" max="29" width="7.42578125" style="598" bestFit="1" customWidth="1"/>
    <col min="30" max="30" width="10" style="598" bestFit="1" customWidth="1"/>
    <col min="31" max="31" width="7.42578125" style="598" bestFit="1" customWidth="1"/>
    <col min="32" max="32" width="11.5703125" style="598" bestFit="1" customWidth="1"/>
    <col min="33" max="33" width="7.42578125" style="598" bestFit="1" customWidth="1"/>
    <col min="34" max="34" width="13.42578125" style="598" bestFit="1" customWidth="1"/>
    <col min="35" max="35" width="7.42578125" style="598" bestFit="1" customWidth="1"/>
    <col min="36" max="36" width="12.140625" style="598" bestFit="1" customWidth="1"/>
    <col min="37" max="37" width="15.7109375" style="598" bestFit="1" customWidth="1"/>
    <col min="38" max="38" width="13.85546875" style="598" bestFit="1" customWidth="1"/>
    <col min="39" max="39" width="7.42578125" style="598" bestFit="1" customWidth="1"/>
    <col min="40" max="40" width="11.140625" style="598" bestFit="1" customWidth="1"/>
    <col min="41" max="41" width="7.42578125" style="598" bestFit="1" customWidth="1"/>
    <col min="42" max="42" width="12.42578125" style="598" bestFit="1" customWidth="1"/>
    <col min="43" max="43" width="7.42578125" style="598" bestFit="1" customWidth="1"/>
    <col min="44" max="44" width="25.28515625" style="598" bestFit="1" customWidth="1"/>
    <col min="45" max="45" width="7.42578125" style="598" bestFit="1" customWidth="1"/>
    <col min="46" max="46" width="27.85546875" style="598" bestFit="1" customWidth="1"/>
    <col min="47" max="47" width="7.42578125" style="598" bestFit="1" customWidth="1"/>
    <col min="48" max="48" width="13.85546875" style="598" bestFit="1" customWidth="1"/>
    <col min="49" max="49" width="15.7109375" style="598" bestFit="1" customWidth="1"/>
    <col min="50" max="50" width="10.28515625" style="598" bestFit="1" customWidth="1"/>
    <col min="51" max="51" width="7.42578125" style="598" bestFit="1" customWidth="1"/>
    <col min="52" max="52" width="9.7109375" style="598" bestFit="1" customWidth="1"/>
    <col min="53" max="53" width="7.42578125" style="598" bestFit="1" customWidth="1"/>
    <col min="54" max="54" width="9.7109375" style="598" bestFit="1" customWidth="1"/>
    <col min="55" max="55" width="7.42578125" style="598" bestFit="1" customWidth="1"/>
    <col min="56" max="56" width="9.7109375" style="598" bestFit="1" customWidth="1"/>
    <col min="57" max="57" width="7.42578125" style="598" bestFit="1" customWidth="1"/>
    <col min="58" max="58" width="9.7109375" style="598" bestFit="1" customWidth="1"/>
    <col min="59" max="59" width="7.42578125" style="598" bestFit="1" customWidth="1"/>
    <col min="60" max="60" width="10" style="598" bestFit="1" customWidth="1"/>
    <col min="61" max="61" width="15.7109375" style="598" bestFit="1" customWidth="1"/>
    <col min="62" max="62" width="10" style="598" bestFit="1" customWidth="1"/>
    <col min="63" max="63" width="7.42578125" style="598" bestFit="1" customWidth="1"/>
    <col min="64" max="64" width="13.85546875" style="598" bestFit="1" customWidth="1"/>
    <col min="65" max="65" width="7.42578125" style="598" bestFit="1" customWidth="1"/>
    <col min="66" max="66" width="11.42578125" style="598" bestFit="1" customWidth="1"/>
    <col min="67" max="67" width="7.42578125" style="598" bestFit="1" customWidth="1"/>
    <col min="68" max="68" width="11.7109375" style="598" bestFit="1" customWidth="1"/>
    <col min="69" max="69" width="7.42578125" style="598" bestFit="1" customWidth="1"/>
    <col min="70" max="70" width="9.7109375" style="598" bestFit="1" customWidth="1"/>
    <col min="71" max="71" width="7.42578125" style="598" bestFit="1" customWidth="1"/>
    <col min="72" max="72" width="9.7109375" style="598" bestFit="1" customWidth="1"/>
    <col min="73" max="73" width="15.7109375" style="598" bestFit="1" customWidth="1"/>
    <col min="74" max="74" width="15.42578125" style="598" bestFit="1" customWidth="1"/>
    <col min="75" max="75" width="7.42578125" style="598" bestFit="1" customWidth="1"/>
    <col min="76" max="76" width="15.7109375" style="598" bestFit="1" customWidth="1"/>
    <col min="77" max="77" width="7.42578125" style="598" bestFit="1" customWidth="1"/>
    <col min="78" max="83" width="5" style="598" bestFit="1" customWidth="1"/>
    <col min="84" max="84" width="2.5703125" style="598" bestFit="1" customWidth="1"/>
    <col min="85" max="85" width="16.28515625" style="598" bestFit="1" customWidth="1"/>
    <col min="86" max="95" width="5" style="598" bestFit="1" customWidth="1"/>
    <col min="96" max="96" width="5.7109375" style="598" customWidth="1"/>
    <col min="97" max="97" width="15.7109375" style="598" bestFit="1" customWidth="1"/>
    <col min="98" max="107" width="5" style="598" bestFit="1" customWidth="1"/>
    <col min="108" max="116" width="5.7109375" style="598" customWidth="1"/>
    <col min="117" max="16384" width="9.140625" style="598"/>
  </cols>
  <sheetData>
    <row r="1" spans="1:95">
      <c r="A1" s="598" t="s">
        <v>4817</v>
      </c>
      <c r="B1" s="598" t="s">
        <v>81</v>
      </c>
      <c r="C1" s="598" t="s">
        <v>81</v>
      </c>
      <c r="D1" s="598" t="s">
        <v>81</v>
      </c>
      <c r="E1" s="598" t="s">
        <v>81</v>
      </c>
      <c r="F1" s="598" t="s">
        <v>81</v>
      </c>
      <c r="G1" s="598" t="s">
        <v>81</v>
      </c>
      <c r="H1" s="598" t="s">
        <v>81</v>
      </c>
      <c r="I1" s="598" t="s">
        <v>81</v>
      </c>
      <c r="J1" s="598" t="s">
        <v>81</v>
      </c>
      <c r="K1" s="598" t="s">
        <v>81</v>
      </c>
      <c r="M1" s="598" t="s">
        <v>76</v>
      </c>
      <c r="N1" s="598" t="s">
        <v>81</v>
      </c>
      <c r="O1" s="598" t="s">
        <v>81</v>
      </c>
      <c r="P1" s="598" t="s">
        <v>81</v>
      </c>
      <c r="Q1" s="598" t="s">
        <v>81</v>
      </c>
      <c r="R1" s="598" t="s">
        <v>81</v>
      </c>
      <c r="S1" s="598" t="s">
        <v>81</v>
      </c>
      <c r="T1" s="598" t="s">
        <v>81</v>
      </c>
      <c r="U1" s="598" t="s">
        <v>81</v>
      </c>
      <c r="V1" s="598" t="s">
        <v>81</v>
      </c>
      <c r="W1" s="598" t="s">
        <v>81</v>
      </c>
      <c r="Y1" s="598" t="s">
        <v>1626</v>
      </c>
      <c r="Z1" s="598" t="s">
        <v>81</v>
      </c>
      <c r="AA1" s="598" t="s">
        <v>81</v>
      </c>
      <c r="AB1" s="598" t="s">
        <v>81</v>
      </c>
      <c r="AC1" s="598" t="s">
        <v>81</v>
      </c>
      <c r="AD1" s="598" t="s">
        <v>81</v>
      </c>
      <c r="AE1" s="598" t="s">
        <v>81</v>
      </c>
      <c r="AF1" s="598" t="s">
        <v>81</v>
      </c>
      <c r="AG1" s="598" t="s">
        <v>81</v>
      </c>
      <c r="AH1" s="598" t="s">
        <v>81</v>
      </c>
      <c r="AI1" s="598" t="s">
        <v>81</v>
      </c>
      <c r="AK1" s="598" t="s">
        <v>4965</v>
      </c>
      <c r="AL1" s="598" t="s">
        <v>81</v>
      </c>
      <c r="AM1" s="598" t="s">
        <v>81</v>
      </c>
      <c r="AN1" s="598" t="s">
        <v>81</v>
      </c>
      <c r="AO1" s="598" t="s">
        <v>81</v>
      </c>
      <c r="AP1" s="598" t="s">
        <v>81</v>
      </c>
      <c r="AQ1" s="598" t="s">
        <v>81</v>
      </c>
      <c r="AR1" s="598" t="s">
        <v>81</v>
      </c>
      <c r="AS1" s="598" t="s">
        <v>81</v>
      </c>
      <c r="AT1" s="598" t="s">
        <v>81</v>
      </c>
      <c r="AU1" s="598" t="s">
        <v>81</v>
      </c>
      <c r="AW1" s="598" t="s">
        <v>1140</v>
      </c>
      <c r="AX1" s="598" t="s">
        <v>81</v>
      </c>
      <c r="AY1" s="598" t="s">
        <v>81</v>
      </c>
      <c r="AZ1" s="598" t="s">
        <v>81</v>
      </c>
      <c r="BA1" s="598" t="s">
        <v>81</v>
      </c>
      <c r="BB1" s="598" t="s">
        <v>81</v>
      </c>
      <c r="BC1" s="598" t="s">
        <v>81</v>
      </c>
      <c r="BD1" s="598" t="s">
        <v>81</v>
      </c>
      <c r="BE1" s="598" t="s">
        <v>81</v>
      </c>
      <c r="BF1" s="598" t="s">
        <v>81</v>
      </c>
      <c r="BG1" s="598" t="s">
        <v>81</v>
      </c>
      <c r="BI1" s="598" t="s">
        <v>1557</v>
      </c>
      <c r="BJ1" s="598" t="s">
        <v>81</v>
      </c>
      <c r="BK1" s="598" t="s">
        <v>81</v>
      </c>
      <c r="BL1" s="598" t="s">
        <v>81</v>
      </c>
      <c r="BM1" s="598" t="s">
        <v>81</v>
      </c>
      <c r="BN1" s="598" t="s">
        <v>81</v>
      </c>
      <c r="BO1" s="598" t="s">
        <v>81</v>
      </c>
      <c r="BP1" s="598" t="s">
        <v>81</v>
      </c>
      <c r="BQ1" s="598" t="s">
        <v>81</v>
      </c>
      <c r="BR1" s="598" t="s">
        <v>81</v>
      </c>
      <c r="BS1" s="598" t="s">
        <v>81</v>
      </c>
      <c r="BU1" s="598" t="s">
        <v>2480</v>
      </c>
      <c r="BV1" s="598" t="s">
        <v>81</v>
      </c>
      <c r="BW1" s="598" t="s">
        <v>81</v>
      </c>
      <c r="BX1" s="598" t="s">
        <v>81</v>
      </c>
      <c r="BY1" s="598" t="s">
        <v>81</v>
      </c>
      <c r="BZ1" s="598" t="s">
        <v>81</v>
      </c>
      <c r="CA1" s="598" t="s">
        <v>81</v>
      </c>
      <c r="CB1" s="598" t="s">
        <v>81</v>
      </c>
      <c r="CC1" s="598" t="s">
        <v>81</v>
      </c>
      <c r="CD1" s="598" t="s">
        <v>81</v>
      </c>
      <c r="CE1" s="598" t="s">
        <v>81</v>
      </c>
      <c r="CG1" s="598" t="s">
        <v>5131</v>
      </c>
      <c r="CH1" s="598" t="s">
        <v>81</v>
      </c>
      <c r="CI1" s="598" t="s">
        <v>81</v>
      </c>
      <c r="CJ1" s="598" t="s">
        <v>81</v>
      </c>
      <c r="CK1" s="598" t="s">
        <v>81</v>
      </c>
      <c r="CL1" s="598" t="s">
        <v>81</v>
      </c>
      <c r="CM1" s="598" t="s">
        <v>81</v>
      </c>
      <c r="CN1" s="598" t="s">
        <v>81</v>
      </c>
      <c r="CO1" s="598" t="s">
        <v>81</v>
      </c>
      <c r="CP1" s="598" t="s">
        <v>81</v>
      </c>
      <c r="CQ1" s="598" t="s">
        <v>81</v>
      </c>
    </row>
    <row r="2" spans="1:95">
      <c r="B2" s="598">
        <v>1</v>
      </c>
      <c r="C2" s="598">
        <v>2</v>
      </c>
      <c r="D2" s="598">
        <v>3</v>
      </c>
      <c r="E2" s="598">
        <v>4</v>
      </c>
      <c r="F2" s="598">
        <v>5</v>
      </c>
      <c r="G2" s="598">
        <v>6</v>
      </c>
      <c r="H2" s="598">
        <v>7</v>
      </c>
      <c r="I2" s="598">
        <v>8</v>
      </c>
      <c r="J2" s="598">
        <v>9</v>
      </c>
      <c r="K2" s="598">
        <v>10</v>
      </c>
      <c r="N2" s="598">
        <v>1</v>
      </c>
      <c r="O2" s="598">
        <v>2</v>
      </c>
      <c r="P2" s="598">
        <v>3</v>
      </c>
      <c r="Q2" s="598">
        <v>4</v>
      </c>
      <c r="R2" s="598">
        <v>5</v>
      </c>
      <c r="S2" s="598">
        <v>6</v>
      </c>
      <c r="T2" s="598">
        <v>7</v>
      </c>
      <c r="U2" s="598">
        <v>8</v>
      </c>
      <c r="V2" s="598">
        <v>9</v>
      </c>
      <c r="W2" s="598">
        <v>10</v>
      </c>
      <c r="Z2" s="598">
        <v>1</v>
      </c>
      <c r="AA2" s="598">
        <v>2</v>
      </c>
      <c r="AB2" s="598">
        <v>3</v>
      </c>
      <c r="AC2" s="598">
        <v>4</v>
      </c>
      <c r="AD2" s="598">
        <v>5</v>
      </c>
      <c r="AE2" s="598">
        <v>6</v>
      </c>
      <c r="AF2" s="598">
        <v>7</v>
      </c>
      <c r="AG2" s="598">
        <v>8</v>
      </c>
      <c r="AH2" s="598">
        <v>9</v>
      </c>
      <c r="AI2" s="598">
        <v>10</v>
      </c>
      <c r="AL2" s="598">
        <v>1</v>
      </c>
      <c r="AM2" s="598">
        <v>2</v>
      </c>
      <c r="AN2" s="598">
        <v>3</v>
      </c>
      <c r="AO2" s="598">
        <v>4</v>
      </c>
      <c r="AP2" s="598">
        <v>5</v>
      </c>
      <c r="AQ2" s="598">
        <v>6</v>
      </c>
      <c r="AR2" s="598">
        <v>7</v>
      </c>
      <c r="AS2" s="598">
        <v>8</v>
      </c>
      <c r="AT2" s="598">
        <v>9</v>
      </c>
      <c r="AU2" s="598">
        <v>10</v>
      </c>
      <c r="AX2" s="598">
        <v>1</v>
      </c>
      <c r="AY2" s="598">
        <v>2</v>
      </c>
      <c r="AZ2" s="598">
        <v>3</v>
      </c>
      <c r="BA2" s="598">
        <v>4</v>
      </c>
      <c r="BB2" s="598">
        <v>5</v>
      </c>
      <c r="BC2" s="598">
        <v>6</v>
      </c>
      <c r="BD2" s="598">
        <v>7</v>
      </c>
      <c r="BE2" s="598">
        <v>8</v>
      </c>
      <c r="BF2" s="598">
        <v>9</v>
      </c>
      <c r="BG2" s="598">
        <v>10</v>
      </c>
      <c r="BJ2" s="598">
        <v>1</v>
      </c>
      <c r="BK2" s="598">
        <v>2</v>
      </c>
      <c r="BL2" s="598">
        <v>3</v>
      </c>
      <c r="BM2" s="598">
        <v>4</v>
      </c>
      <c r="BN2" s="598">
        <v>5</v>
      </c>
      <c r="BO2" s="598">
        <v>6</v>
      </c>
      <c r="BP2" s="598">
        <v>7</v>
      </c>
      <c r="BQ2" s="598">
        <v>8</v>
      </c>
      <c r="BR2" s="598">
        <v>9</v>
      </c>
      <c r="BS2" s="598">
        <v>10</v>
      </c>
      <c r="BV2" s="598">
        <v>1</v>
      </c>
      <c r="BW2" s="598">
        <v>2</v>
      </c>
      <c r="BX2" s="598">
        <v>3</v>
      </c>
      <c r="BY2" s="598">
        <v>4</v>
      </c>
      <c r="BZ2" s="598">
        <v>5</v>
      </c>
      <c r="CA2" s="598">
        <v>6</v>
      </c>
      <c r="CB2" s="598">
        <v>7</v>
      </c>
      <c r="CC2" s="598">
        <v>8</v>
      </c>
      <c r="CD2" s="598">
        <v>9</v>
      </c>
      <c r="CE2" s="598">
        <v>10</v>
      </c>
      <c r="CH2" s="598">
        <v>1</v>
      </c>
      <c r="CI2" s="598">
        <v>2</v>
      </c>
      <c r="CJ2" s="598">
        <v>3</v>
      </c>
      <c r="CK2" s="598">
        <v>4</v>
      </c>
      <c r="CL2" s="598">
        <v>5</v>
      </c>
      <c r="CM2" s="598">
        <v>6</v>
      </c>
      <c r="CN2" s="598">
        <v>7</v>
      </c>
      <c r="CO2" s="598">
        <v>8</v>
      </c>
      <c r="CP2" s="598">
        <v>9</v>
      </c>
      <c r="CQ2" s="598">
        <v>10</v>
      </c>
    </row>
    <row r="3" spans="1:95">
      <c r="A3" s="598" t="s">
        <v>2341</v>
      </c>
      <c r="B3" s="598">
        <f t="shared" ref="B3:K3" si="0">B2+$C$149</f>
        <v>3</v>
      </c>
      <c r="C3" s="598">
        <f t="shared" si="0"/>
        <v>4</v>
      </c>
      <c r="D3" s="598">
        <f t="shared" si="0"/>
        <v>5</v>
      </c>
      <c r="E3" s="598">
        <f t="shared" si="0"/>
        <v>6</v>
      </c>
      <c r="F3" s="598">
        <f t="shared" si="0"/>
        <v>7</v>
      </c>
      <c r="G3" s="598">
        <f t="shared" si="0"/>
        <v>8</v>
      </c>
      <c r="H3" s="598">
        <f t="shared" si="0"/>
        <v>9</v>
      </c>
      <c r="I3" s="598">
        <f t="shared" si="0"/>
        <v>10</v>
      </c>
      <c r="J3" s="598">
        <f t="shared" si="0"/>
        <v>11</v>
      </c>
      <c r="K3" s="598">
        <f t="shared" si="0"/>
        <v>12</v>
      </c>
      <c r="M3" s="598" t="s">
        <v>2341</v>
      </c>
      <c r="N3" s="598">
        <f t="shared" ref="N3:W3" si="1">N2+$E$149</f>
        <v>3</v>
      </c>
      <c r="O3" s="598">
        <f t="shared" si="1"/>
        <v>4</v>
      </c>
      <c r="P3" s="598">
        <f t="shared" si="1"/>
        <v>5</v>
      </c>
      <c r="Q3" s="598">
        <f t="shared" si="1"/>
        <v>6</v>
      </c>
      <c r="R3" s="598">
        <f t="shared" si="1"/>
        <v>7</v>
      </c>
      <c r="S3" s="598">
        <f t="shared" si="1"/>
        <v>8</v>
      </c>
      <c r="T3" s="598">
        <f t="shared" si="1"/>
        <v>9</v>
      </c>
      <c r="U3" s="598">
        <f t="shared" si="1"/>
        <v>10</v>
      </c>
      <c r="V3" s="598">
        <f t="shared" si="1"/>
        <v>11</v>
      </c>
      <c r="W3" s="598">
        <f t="shared" si="1"/>
        <v>12</v>
      </c>
      <c r="Y3" s="598" t="s">
        <v>2341</v>
      </c>
      <c r="Z3" s="598">
        <f t="shared" ref="Z3:AI3" si="2">Z2+$G$149</f>
        <v>4</v>
      </c>
      <c r="AA3" s="598">
        <f t="shared" si="2"/>
        <v>5</v>
      </c>
      <c r="AB3" s="598">
        <f t="shared" si="2"/>
        <v>6</v>
      </c>
      <c r="AC3" s="598">
        <f t="shared" si="2"/>
        <v>7</v>
      </c>
      <c r="AD3" s="598">
        <f t="shared" si="2"/>
        <v>8</v>
      </c>
      <c r="AE3" s="598">
        <f t="shared" si="2"/>
        <v>9</v>
      </c>
      <c r="AF3" s="598">
        <f t="shared" si="2"/>
        <v>10</v>
      </c>
      <c r="AG3" s="598">
        <f t="shared" si="2"/>
        <v>11</v>
      </c>
      <c r="AH3" s="598">
        <f t="shared" si="2"/>
        <v>12</v>
      </c>
      <c r="AI3" s="598">
        <f t="shared" si="2"/>
        <v>13</v>
      </c>
      <c r="AK3" s="598" t="s">
        <v>2341</v>
      </c>
      <c r="AL3" s="598">
        <f t="shared" ref="AL3:AU3" si="3">AL2+$I$149</f>
        <v>0</v>
      </c>
      <c r="AM3" s="598">
        <f t="shared" si="3"/>
        <v>1</v>
      </c>
      <c r="AN3" s="598">
        <f t="shared" si="3"/>
        <v>2</v>
      </c>
      <c r="AO3" s="598">
        <f t="shared" si="3"/>
        <v>3</v>
      </c>
      <c r="AP3" s="598">
        <f t="shared" si="3"/>
        <v>4</v>
      </c>
      <c r="AQ3" s="598">
        <f t="shared" si="3"/>
        <v>5</v>
      </c>
      <c r="AR3" s="598">
        <f t="shared" si="3"/>
        <v>6</v>
      </c>
      <c r="AS3" s="598">
        <f t="shared" si="3"/>
        <v>7</v>
      </c>
      <c r="AT3" s="598">
        <f t="shared" si="3"/>
        <v>8</v>
      </c>
      <c r="AU3" s="598">
        <f t="shared" si="3"/>
        <v>9</v>
      </c>
      <c r="AW3" s="598" t="s">
        <v>2341</v>
      </c>
      <c r="AX3" s="598">
        <f t="shared" ref="AX3:BG3" si="4">AX2+$M$149</f>
        <v>1</v>
      </c>
      <c r="AY3" s="598">
        <f t="shared" si="4"/>
        <v>2</v>
      </c>
      <c r="AZ3" s="598">
        <f t="shared" si="4"/>
        <v>3</v>
      </c>
      <c r="BA3" s="598">
        <f t="shared" si="4"/>
        <v>4</v>
      </c>
      <c r="BB3" s="598">
        <f t="shared" si="4"/>
        <v>5</v>
      </c>
      <c r="BC3" s="598">
        <f t="shared" si="4"/>
        <v>6</v>
      </c>
      <c r="BD3" s="598">
        <f t="shared" si="4"/>
        <v>7</v>
      </c>
      <c r="BE3" s="598">
        <f t="shared" si="4"/>
        <v>8</v>
      </c>
      <c r="BF3" s="598">
        <f t="shared" si="4"/>
        <v>9</v>
      </c>
      <c r="BG3" s="598">
        <f t="shared" si="4"/>
        <v>10</v>
      </c>
      <c r="BI3" s="598" t="s">
        <v>2341</v>
      </c>
      <c r="BJ3" s="598">
        <f t="shared" ref="BJ3:BS3" si="5">BJ2+$K$149</f>
        <v>0</v>
      </c>
      <c r="BK3" s="598">
        <f t="shared" si="5"/>
        <v>1</v>
      </c>
      <c r="BL3" s="598">
        <f t="shared" si="5"/>
        <v>2</v>
      </c>
      <c r="BM3" s="598">
        <f t="shared" si="5"/>
        <v>3</v>
      </c>
      <c r="BN3" s="598">
        <f t="shared" si="5"/>
        <v>4</v>
      </c>
      <c r="BO3" s="598">
        <f t="shared" si="5"/>
        <v>5</v>
      </c>
      <c r="BP3" s="598">
        <f t="shared" si="5"/>
        <v>6</v>
      </c>
      <c r="BQ3" s="598">
        <f t="shared" si="5"/>
        <v>7</v>
      </c>
      <c r="BR3" s="598">
        <f t="shared" si="5"/>
        <v>8</v>
      </c>
      <c r="BS3" s="598">
        <f t="shared" si="5"/>
        <v>9</v>
      </c>
      <c r="BU3" s="598" t="s">
        <v>2341</v>
      </c>
      <c r="BV3" s="598">
        <f t="shared" ref="BV3:CE3" si="6">BV2+$W$149</f>
        <v>2</v>
      </c>
      <c r="BW3" s="598">
        <f t="shared" si="6"/>
        <v>3</v>
      </c>
      <c r="BX3" s="598">
        <f t="shared" si="6"/>
        <v>4</v>
      </c>
      <c r="BY3" s="598">
        <f t="shared" si="6"/>
        <v>5</v>
      </c>
      <c r="BZ3" s="598">
        <f t="shared" si="6"/>
        <v>6</v>
      </c>
      <c r="CA3" s="598">
        <f t="shared" si="6"/>
        <v>7</v>
      </c>
      <c r="CB3" s="598">
        <f t="shared" si="6"/>
        <v>8</v>
      </c>
      <c r="CC3" s="598">
        <f t="shared" si="6"/>
        <v>9</v>
      </c>
      <c r="CD3" s="598">
        <f t="shared" si="6"/>
        <v>10</v>
      </c>
      <c r="CE3" s="598">
        <f t="shared" si="6"/>
        <v>11</v>
      </c>
      <c r="CG3" s="598" t="s">
        <v>2341</v>
      </c>
      <c r="CH3" s="598">
        <f t="shared" ref="CH3:CQ3" si="7">CH2+$Y$149</f>
        <v>0</v>
      </c>
      <c r="CI3" s="598">
        <f t="shared" si="7"/>
        <v>1</v>
      </c>
      <c r="CJ3" s="598">
        <f t="shared" si="7"/>
        <v>2</v>
      </c>
      <c r="CK3" s="598">
        <f t="shared" si="7"/>
        <v>3</v>
      </c>
      <c r="CL3" s="598">
        <f t="shared" si="7"/>
        <v>4</v>
      </c>
      <c r="CM3" s="598">
        <f t="shared" si="7"/>
        <v>5</v>
      </c>
      <c r="CN3" s="598">
        <f t="shared" si="7"/>
        <v>6</v>
      </c>
      <c r="CO3" s="598">
        <f t="shared" si="7"/>
        <v>7</v>
      </c>
      <c r="CP3" s="598">
        <f t="shared" si="7"/>
        <v>8</v>
      </c>
      <c r="CQ3" s="598">
        <f t="shared" si="7"/>
        <v>9</v>
      </c>
    </row>
    <row r="4" spans="1:95">
      <c r="A4" s="598" t="s">
        <v>3268</v>
      </c>
      <c r="B4" s="598">
        <f t="shared" ref="B4:K4" si="8">B2+$C$150</f>
        <v>2</v>
      </c>
      <c r="C4" s="598">
        <f t="shared" si="8"/>
        <v>3</v>
      </c>
      <c r="D4" s="598">
        <f t="shared" si="8"/>
        <v>4</v>
      </c>
      <c r="E4" s="598">
        <f t="shared" si="8"/>
        <v>5</v>
      </c>
      <c r="F4" s="598">
        <f t="shared" si="8"/>
        <v>6</v>
      </c>
      <c r="G4" s="598">
        <f t="shared" si="8"/>
        <v>7</v>
      </c>
      <c r="H4" s="598">
        <f t="shared" si="8"/>
        <v>8</v>
      </c>
      <c r="I4" s="598">
        <f t="shared" si="8"/>
        <v>9</v>
      </c>
      <c r="J4" s="598">
        <f t="shared" si="8"/>
        <v>10</v>
      </c>
      <c r="K4" s="598">
        <f t="shared" si="8"/>
        <v>11</v>
      </c>
      <c r="M4" s="598" t="s">
        <v>3268</v>
      </c>
      <c r="N4" s="598">
        <f t="shared" ref="N4:W4" si="9">N2+$E$150</f>
        <v>4</v>
      </c>
      <c r="O4" s="598">
        <f t="shared" si="9"/>
        <v>5</v>
      </c>
      <c r="P4" s="598">
        <f t="shared" si="9"/>
        <v>6</v>
      </c>
      <c r="Q4" s="598">
        <f t="shared" si="9"/>
        <v>7</v>
      </c>
      <c r="R4" s="598">
        <f t="shared" si="9"/>
        <v>8</v>
      </c>
      <c r="S4" s="598">
        <f t="shared" si="9"/>
        <v>9</v>
      </c>
      <c r="T4" s="598">
        <f t="shared" si="9"/>
        <v>10</v>
      </c>
      <c r="U4" s="598">
        <f t="shared" si="9"/>
        <v>11</v>
      </c>
      <c r="V4" s="598">
        <f t="shared" si="9"/>
        <v>12</v>
      </c>
      <c r="W4" s="598">
        <f t="shared" si="9"/>
        <v>13</v>
      </c>
      <c r="Y4" s="598" t="s">
        <v>3268</v>
      </c>
      <c r="Z4" s="598">
        <f t="shared" ref="Z4:AI4" si="10">Z2+$G$150</f>
        <v>4</v>
      </c>
      <c r="AA4" s="598">
        <f t="shared" si="10"/>
        <v>5</v>
      </c>
      <c r="AB4" s="598">
        <f t="shared" si="10"/>
        <v>6</v>
      </c>
      <c r="AC4" s="598">
        <f t="shared" si="10"/>
        <v>7</v>
      </c>
      <c r="AD4" s="598">
        <f t="shared" si="10"/>
        <v>8</v>
      </c>
      <c r="AE4" s="598">
        <f t="shared" si="10"/>
        <v>9</v>
      </c>
      <c r="AF4" s="598">
        <f t="shared" si="10"/>
        <v>10</v>
      </c>
      <c r="AG4" s="598">
        <f t="shared" si="10"/>
        <v>11</v>
      </c>
      <c r="AH4" s="598">
        <f t="shared" si="10"/>
        <v>12</v>
      </c>
      <c r="AI4" s="598">
        <f t="shared" si="10"/>
        <v>13</v>
      </c>
      <c r="AK4" s="598" t="s">
        <v>3268</v>
      </c>
      <c r="AL4" s="598">
        <f t="shared" ref="AL4:AU4" si="11">AL2+$I$150</f>
        <v>3</v>
      </c>
      <c r="AM4" s="598">
        <f t="shared" si="11"/>
        <v>4</v>
      </c>
      <c r="AN4" s="598">
        <f t="shared" si="11"/>
        <v>5</v>
      </c>
      <c r="AO4" s="598">
        <f t="shared" si="11"/>
        <v>6</v>
      </c>
      <c r="AP4" s="598">
        <f t="shared" si="11"/>
        <v>7</v>
      </c>
      <c r="AQ4" s="598">
        <f t="shared" si="11"/>
        <v>8</v>
      </c>
      <c r="AR4" s="598">
        <f t="shared" si="11"/>
        <v>9</v>
      </c>
      <c r="AS4" s="598">
        <f t="shared" si="11"/>
        <v>10</v>
      </c>
      <c r="AT4" s="598">
        <f t="shared" si="11"/>
        <v>11</v>
      </c>
      <c r="AU4" s="598">
        <f t="shared" si="11"/>
        <v>12</v>
      </c>
      <c r="AW4" s="598" t="s">
        <v>3268</v>
      </c>
      <c r="AX4" s="598">
        <f t="shared" ref="AX4:BG4" si="12">AX2+$M$150</f>
        <v>1</v>
      </c>
      <c r="AY4" s="598">
        <f t="shared" si="12"/>
        <v>2</v>
      </c>
      <c r="AZ4" s="598">
        <f t="shared" si="12"/>
        <v>3</v>
      </c>
      <c r="BA4" s="598">
        <f t="shared" si="12"/>
        <v>4</v>
      </c>
      <c r="BB4" s="598">
        <f t="shared" si="12"/>
        <v>5</v>
      </c>
      <c r="BC4" s="598">
        <f t="shared" si="12"/>
        <v>6</v>
      </c>
      <c r="BD4" s="598">
        <f t="shared" si="12"/>
        <v>7</v>
      </c>
      <c r="BE4" s="598">
        <f t="shared" si="12"/>
        <v>8</v>
      </c>
      <c r="BF4" s="598">
        <f t="shared" si="12"/>
        <v>9</v>
      </c>
      <c r="BG4" s="598">
        <f t="shared" si="12"/>
        <v>10</v>
      </c>
      <c r="BI4" s="598" t="s">
        <v>3268</v>
      </c>
      <c r="BJ4" s="598">
        <f t="shared" ref="BJ4:BS4" si="13">BJ2+$K$150</f>
        <v>3</v>
      </c>
      <c r="BK4" s="598">
        <f t="shared" si="13"/>
        <v>4</v>
      </c>
      <c r="BL4" s="598">
        <f t="shared" si="13"/>
        <v>5</v>
      </c>
      <c r="BM4" s="598">
        <f t="shared" si="13"/>
        <v>6</v>
      </c>
      <c r="BN4" s="598">
        <f t="shared" si="13"/>
        <v>7</v>
      </c>
      <c r="BO4" s="598">
        <f t="shared" si="13"/>
        <v>8</v>
      </c>
      <c r="BP4" s="598">
        <f t="shared" si="13"/>
        <v>9</v>
      </c>
      <c r="BQ4" s="598">
        <f t="shared" si="13"/>
        <v>10</v>
      </c>
      <c r="BR4" s="598">
        <f t="shared" si="13"/>
        <v>11</v>
      </c>
      <c r="BS4" s="598">
        <f t="shared" si="13"/>
        <v>12</v>
      </c>
      <c r="BU4" s="598" t="s">
        <v>3268</v>
      </c>
      <c r="BV4" s="598">
        <f t="shared" ref="BV4:CE4" si="14">BV2+$W$150</f>
        <v>-2</v>
      </c>
      <c r="BW4" s="598">
        <f t="shared" si="14"/>
        <v>-1</v>
      </c>
      <c r="BX4" s="598">
        <f t="shared" si="14"/>
        <v>0</v>
      </c>
      <c r="BY4" s="598">
        <f t="shared" si="14"/>
        <v>1</v>
      </c>
      <c r="BZ4" s="598">
        <f t="shared" si="14"/>
        <v>2</v>
      </c>
      <c r="CA4" s="598">
        <f t="shared" si="14"/>
        <v>3</v>
      </c>
      <c r="CB4" s="598">
        <f t="shared" si="14"/>
        <v>4</v>
      </c>
      <c r="CC4" s="598">
        <f t="shared" si="14"/>
        <v>5</v>
      </c>
      <c r="CD4" s="598">
        <f t="shared" si="14"/>
        <v>6</v>
      </c>
      <c r="CE4" s="598">
        <f t="shared" si="14"/>
        <v>7</v>
      </c>
      <c r="CG4" s="598" t="s">
        <v>3268</v>
      </c>
      <c r="CH4" s="598">
        <f t="shared" ref="CH4:CQ4" si="15">CH2+$Y$150</f>
        <v>3</v>
      </c>
      <c r="CI4" s="598">
        <f t="shared" si="15"/>
        <v>4</v>
      </c>
      <c r="CJ4" s="598">
        <f t="shared" si="15"/>
        <v>5</v>
      </c>
      <c r="CK4" s="598">
        <f t="shared" si="15"/>
        <v>6</v>
      </c>
      <c r="CL4" s="598">
        <f t="shared" si="15"/>
        <v>7</v>
      </c>
      <c r="CM4" s="598">
        <f t="shared" si="15"/>
        <v>8</v>
      </c>
      <c r="CN4" s="598">
        <f t="shared" si="15"/>
        <v>9</v>
      </c>
      <c r="CO4" s="598">
        <f t="shared" si="15"/>
        <v>10</v>
      </c>
      <c r="CP4" s="598">
        <f t="shared" si="15"/>
        <v>11</v>
      </c>
      <c r="CQ4" s="598">
        <f t="shared" si="15"/>
        <v>12</v>
      </c>
    </row>
    <row r="5" spans="1:95">
      <c r="A5" s="598" t="s">
        <v>2342</v>
      </c>
      <c r="B5" s="598">
        <f t="shared" ref="B5:K5" si="16">B2+$C$151</f>
        <v>3</v>
      </c>
      <c r="C5" s="598">
        <f t="shared" si="16"/>
        <v>4</v>
      </c>
      <c r="D5" s="598">
        <f t="shared" si="16"/>
        <v>5</v>
      </c>
      <c r="E5" s="598">
        <f t="shared" si="16"/>
        <v>6</v>
      </c>
      <c r="F5" s="598">
        <f t="shared" si="16"/>
        <v>7</v>
      </c>
      <c r="G5" s="598">
        <f t="shared" si="16"/>
        <v>8</v>
      </c>
      <c r="H5" s="598">
        <f t="shared" si="16"/>
        <v>9</v>
      </c>
      <c r="I5" s="598">
        <f t="shared" si="16"/>
        <v>10</v>
      </c>
      <c r="J5" s="598">
        <f t="shared" si="16"/>
        <v>11</v>
      </c>
      <c r="K5" s="598">
        <f t="shared" si="16"/>
        <v>12</v>
      </c>
      <c r="M5" s="598" t="s">
        <v>2342</v>
      </c>
      <c r="N5" s="598">
        <f t="shared" ref="N5:W5" si="17">N2+$E$151</f>
        <v>4</v>
      </c>
      <c r="O5" s="598">
        <f t="shared" si="17"/>
        <v>5</v>
      </c>
      <c r="P5" s="598">
        <f t="shared" si="17"/>
        <v>6</v>
      </c>
      <c r="Q5" s="598">
        <f t="shared" si="17"/>
        <v>7</v>
      </c>
      <c r="R5" s="598">
        <f t="shared" si="17"/>
        <v>8</v>
      </c>
      <c r="S5" s="598">
        <f t="shared" si="17"/>
        <v>9</v>
      </c>
      <c r="T5" s="598">
        <f t="shared" si="17"/>
        <v>10</v>
      </c>
      <c r="U5" s="598">
        <f t="shared" si="17"/>
        <v>11</v>
      </c>
      <c r="V5" s="598">
        <f t="shared" si="17"/>
        <v>12</v>
      </c>
      <c r="W5" s="598">
        <f t="shared" si="17"/>
        <v>13</v>
      </c>
      <c r="Y5" s="598" t="s">
        <v>2342</v>
      </c>
      <c r="Z5" s="598">
        <f t="shared" ref="Z5:AI5" si="18">Z2+$G$151</f>
        <v>3</v>
      </c>
      <c r="AA5" s="598">
        <f t="shared" si="18"/>
        <v>4</v>
      </c>
      <c r="AB5" s="598">
        <f t="shared" si="18"/>
        <v>5</v>
      </c>
      <c r="AC5" s="598">
        <f t="shared" si="18"/>
        <v>6</v>
      </c>
      <c r="AD5" s="598">
        <f t="shared" si="18"/>
        <v>7</v>
      </c>
      <c r="AE5" s="598">
        <f t="shared" si="18"/>
        <v>8</v>
      </c>
      <c r="AF5" s="598">
        <f t="shared" si="18"/>
        <v>9</v>
      </c>
      <c r="AG5" s="598">
        <f t="shared" si="18"/>
        <v>10</v>
      </c>
      <c r="AH5" s="598">
        <f t="shared" si="18"/>
        <v>11</v>
      </c>
      <c r="AI5" s="598">
        <f t="shared" si="18"/>
        <v>12</v>
      </c>
      <c r="AK5" s="598" t="s">
        <v>2342</v>
      </c>
      <c r="AL5" s="598">
        <f t="shared" ref="AL5:AU5" si="19">AL2+$I$151</f>
        <v>4</v>
      </c>
      <c r="AM5" s="598">
        <f t="shared" si="19"/>
        <v>5</v>
      </c>
      <c r="AN5" s="598">
        <f t="shared" si="19"/>
        <v>6</v>
      </c>
      <c r="AO5" s="598">
        <f t="shared" si="19"/>
        <v>7</v>
      </c>
      <c r="AP5" s="598">
        <f t="shared" si="19"/>
        <v>8</v>
      </c>
      <c r="AQ5" s="598">
        <f t="shared" si="19"/>
        <v>9</v>
      </c>
      <c r="AR5" s="598">
        <f t="shared" si="19"/>
        <v>10</v>
      </c>
      <c r="AS5" s="598">
        <f t="shared" si="19"/>
        <v>11</v>
      </c>
      <c r="AT5" s="598">
        <f t="shared" si="19"/>
        <v>12</v>
      </c>
      <c r="AU5" s="598">
        <f t="shared" si="19"/>
        <v>13</v>
      </c>
      <c r="AW5" s="598" t="s">
        <v>2342</v>
      </c>
      <c r="AX5" s="598">
        <f t="shared" ref="AX5:BG5" si="20">AX2+$M$151</f>
        <v>1</v>
      </c>
      <c r="AY5" s="598">
        <f t="shared" si="20"/>
        <v>2</v>
      </c>
      <c r="AZ5" s="598">
        <f t="shared" si="20"/>
        <v>3</v>
      </c>
      <c r="BA5" s="598">
        <f t="shared" si="20"/>
        <v>4</v>
      </c>
      <c r="BB5" s="598">
        <f t="shared" si="20"/>
        <v>5</v>
      </c>
      <c r="BC5" s="598">
        <f t="shared" si="20"/>
        <v>6</v>
      </c>
      <c r="BD5" s="598">
        <f t="shared" si="20"/>
        <v>7</v>
      </c>
      <c r="BE5" s="598">
        <f t="shared" si="20"/>
        <v>8</v>
      </c>
      <c r="BF5" s="598">
        <f t="shared" si="20"/>
        <v>9</v>
      </c>
      <c r="BG5" s="598">
        <f t="shared" si="20"/>
        <v>10</v>
      </c>
      <c r="BI5" s="598" t="s">
        <v>2342</v>
      </c>
      <c r="BJ5" s="598">
        <f t="shared" ref="BJ5:BS5" si="21">BJ2+$K$151</f>
        <v>4</v>
      </c>
      <c r="BK5" s="598">
        <f t="shared" si="21"/>
        <v>5</v>
      </c>
      <c r="BL5" s="598">
        <f t="shared" si="21"/>
        <v>6</v>
      </c>
      <c r="BM5" s="598">
        <f t="shared" si="21"/>
        <v>7</v>
      </c>
      <c r="BN5" s="598">
        <f t="shared" si="21"/>
        <v>8</v>
      </c>
      <c r="BO5" s="598">
        <f t="shared" si="21"/>
        <v>9</v>
      </c>
      <c r="BP5" s="598">
        <f t="shared" si="21"/>
        <v>10</v>
      </c>
      <c r="BQ5" s="598">
        <f t="shared" si="21"/>
        <v>11</v>
      </c>
      <c r="BR5" s="598">
        <f t="shared" si="21"/>
        <v>12</v>
      </c>
      <c r="BS5" s="598">
        <f t="shared" si="21"/>
        <v>13</v>
      </c>
      <c r="BU5" s="598" t="s">
        <v>2342</v>
      </c>
      <c r="BV5" s="598">
        <f t="shared" ref="BV5:CE5" si="22">BV2+$W$151</f>
        <v>-1</v>
      </c>
      <c r="BW5" s="598">
        <f t="shared" si="22"/>
        <v>0</v>
      </c>
      <c r="BX5" s="598">
        <f t="shared" si="22"/>
        <v>1</v>
      </c>
      <c r="BY5" s="598">
        <f t="shared" si="22"/>
        <v>2</v>
      </c>
      <c r="BZ5" s="598">
        <f t="shared" si="22"/>
        <v>3</v>
      </c>
      <c r="CA5" s="598">
        <f t="shared" si="22"/>
        <v>4</v>
      </c>
      <c r="CB5" s="598">
        <f t="shared" si="22"/>
        <v>5</v>
      </c>
      <c r="CC5" s="598">
        <f t="shared" si="22"/>
        <v>6</v>
      </c>
      <c r="CD5" s="598">
        <f t="shared" si="22"/>
        <v>7</v>
      </c>
      <c r="CE5" s="598">
        <f t="shared" si="22"/>
        <v>8</v>
      </c>
      <c r="CG5" s="598" t="s">
        <v>2342</v>
      </c>
      <c r="CH5" s="598">
        <f t="shared" ref="CH5:CQ5" si="23">CH2+$Y$151</f>
        <v>4</v>
      </c>
      <c r="CI5" s="598">
        <f t="shared" si="23"/>
        <v>5</v>
      </c>
      <c r="CJ5" s="598">
        <f t="shared" si="23"/>
        <v>6</v>
      </c>
      <c r="CK5" s="598">
        <f t="shared" si="23"/>
        <v>7</v>
      </c>
      <c r="CL5" s="598">
        <f t="shared" si="23"/>
        <v>8</v>
      </c>
      <c r="CM5" s="598">
        <f t="shared" si="23"/>
        <v>9</v>
      </c>
      <c r="CN5" s="598">
        <f t="shared" si="23"/>
        <v>10</v>
      </c>
      <c r="CO5" s="598">
        <f t="shared" si="23"/>
        <v>11</v>
      </c>
      <c r="CP5" s="598">
        <f t="shared" si="23"/>
        <v>12</v>
      </c>
      <c r="CQ5" s="598">
        <f t="shared" si="23"/>
        <v>13</v>
      </c>
    </row>
    <row r="6" spans="1:95">
      <c r="A6" s="598" t="s">
        <v>2343</v>
      </c>
      <c r="B6" s="598">
        <f t="shared" ref="B6:K6" si="24">B2+$C$152</f>
        <v>2</v>
      </c>
      <c r="C6" s="598">
        <f t="shared" si="24"/>
        <v>3</v>
      </c>
      <c r="D6" s="598">
        <f t="shared" si="24"/>
        <v>4</v>
      </c>
      <c r="E6" s="598">
        <f t="shared" si="24"/>
        <v>5</v>
      </c>
      <c r="F6" s="598">
        <f t="shared" si="24"/>
        <v>6</v>
      </c>
      <c r="G6" s="598">
        <f t="shared" si="24"/>
        <v>7</v>
      </c>
      <c r="H6" s="598">
        <f t="shared" si="24"/>
        <v>8</v>
      </c>
      <c r="I6" s="598">
        <f t="shared" si="24"/>
        <v>9</v>
      </c>
      <c r="J6" s="598">
        <f t="shared" si="24"/>
        <v>10</v>
      </c>
      <c r="K6" s="598">
        <f t="shared" si="24"/>
        <v>11</v>
      </c>
      <c r="M6" s="598" t="s">
        <v>2343</v>
      </c>
      <c r="N6" s="598">
        <f t="shared" ref="N6:W6" si="25">N2+$E$152</f>
        <v>4</v>
      </c>
      <c r="O6" s="598">
        <f t="shared" si="25"/>
        <v>5</v>
      </c>
      <c r="P6" s="598">
        <f t="shared" si="25"/>
        <v>6</v>
      </c>
      <c r="Q6" s="598">
        <f t="shared" si="25"/>
        <v>7</v>
      </c>
      <c r="R6" s="598">
        <f t="shared" si="25"/>
        <v>8</v>
      </c>
      <c r="S6" s="598">
        <f t="shared" si="25"/>
        <v>9</v>
      </c>
      <c r="T6" s="598">
        <f t="shared" si="25"/>
        <v>10</v>
      </c>
      <c r="U6" s="598">
        <f t="shared" si="25"/>
        <v>11</v>
      </c>
      <c r="V6" s="598">
        <f t="shared" si="25"/>
        <v>12</v>
      </c>
      <c r="W6" s="598">
        <f t="shared" si="25"/>
        <v>13</v>
      </c>
      <c r="Y6" s="598" t="s">
        <v>2343</v>
      </c>
      <c r="Z6" s="598">
        <f t="shared" ref="Z6:AI6" si="26">Z2+$G$152</f>
        <v>4</v>
      </c>
      <c r="AA6" s="598">
        <f t="shared" si="26"/>
        <v>5</v>
      </c>
      <c r="AB6" s="598">
        <f t="shared" si="26"/>
        <v>6</v>
      </c>
      <c r="AC6" s="598">
        <f t="shared" si="26"/>
        <v>7</v>
      </c>
      <c r="AD6" s="598">
        <f t="shared" si="26"/>
        <v>8</v>
      </c>
      <c r="AE6" s="598">
        <f t="shared" si="26"/>
        <v>9</v>
      </c>
      <c r="AF6" s="598">
        <f t="shared" si="26"/>
        <v>10</v>
      </c>
      <c r="AG6" s="598">
        <f t="shared" si="26"/>
        <v>11</v>
      </c>
      <c r="AH6" s="598">
        <f t="shared" si="26"/>
        <v>12</v>
      </c>
      <c r="AI6" s="598">
        <f t="shared" si="26"/>
        <v>13</v>
      </c>
      <c r="AK6" s="598" t="s">
        <v>2343</v>
      </c>
      <c r="AL6" s="598">
        <f t="shared" ref="AL6:AU6" si="27">AL2+$I$152</f>
        <v>4</v>
      </c>
      <c r="AM6" s="598">
        <f t="shared" si="27"/>
        <v>5</v>
      </c>
      <c r="AN6" s="598">
        <f t="shared" si="27"/>
        <v>6</v>
      </c>
      <c r="AO6" s="598">
        <f t="shared" si="27"/>
        <v>7</v>
      </c>
      <c r="AP6" s="598">
        <f t="shared" si="27"/>
        <v>8</v>
      </c>
      <c r="AQ6" s="598">
        <f t="shared" si="27"/>
        <v>9</v>
      </c>
      <c r="AR6" s="598">
        <f t="shared" si="27"/>
        <v>10</v>
      </c>
      <c r="AS6" s="598">
        <f t="shared" si="27"/>
        <v>11</v>
      </c>
      <c r="AT6" s="598">
        <f t="shared" si="27"/>
        <v>12</v>
      </c>
      <c r="AU6" s="598">
        <f t="shared" si="27"/>
        <v>13</v>
      </c>
      <c r="AW6" s="598" t="s">
        <v>2343</v>
      </c>
      <c r="AX6" s="598">
        <f t="shared" ref="AX6:BG6" si="28">AX2+$M$152</f>
        <v>1</v>
      </c>
      <c r="AY6" s="598">
        <f t="shared" si="28"/>
        <v>2</v>
      </c>
      <c r="AZ6" s="598">
        <f t="shared" si="28"/>
        <v>3</v>
      </c>
      <c r="BA6" s="598">
        <f t="shared" si="28"/>
        <v>4</v>
      </c>
      <c r="BB6" s="598">
        <f t="shared" si="28"/>
        <v>5</v>
      </c>
      <c r="BC6" s="598">
        <f t="shared" si="28"/>
        <v>6</v>
      </c>
      <c r="BD6" s="598">
        <f t="shared" si="28"/>
        <v>7</v>
      </c>
      <c r="BE6" s="598">
        <f t="shared" si="28"/>
        <v>8</v>
      </c>
      <c r="BF6" s="598">
        <f t="shared" si="28"/>
        <v>9</v>
      </c>
      <c r="BG6" s="598">
        <f t="shared" si="28"/>
        <v>10</v>
      </c>
      <c r="BI6" s="598" t="s">
        <v>2343</v>
      </c>
      <c r="BJ6" s="598">
        <f t="shared" ref="BJ6:BS6" si="29">BJ2+$K$152</f>
        <v>4</v>
      </c>
      <c r="BK6" s="598">
        <f t="shared" si="29"/>
        <v>5</v>
      </c>
      <c r="BL6" s="598">
        <f t="shared" si="29"/>
        <v>6</v>
      </c>
      <c r="BM6" s="598">
        <f t="shared" si="29"/>
        <v>7</v>
      </c>
      <c r="BN6" s="598">
        <f t="shared" si="29"/>
        <v>8</v>
      </c>
      <c r="BO6" s="598">
        <f t="shared" si="29"/>
        <v>9</v>
      </c>
      <c r="BP6" s="598">
        <f t="shared" si="29"/>
        <v>10</v>
      </c>
      <c r="BQ6" s="598">
        <f t="shared" si="29"/>
        <v>11</v>
      </c>
      <c r="BR6" s="598">
        <f t="shared" si="29"/>
        <v>12</v>
      </c>
      <c r="BS6" s="598">
        <f t="shared" si="29"/>
        <v>13</v>
      </c>
      <c r="BU6" s="598" t="s">
        <v>2343</v>
      </c>
      <c r="BV6" s="598">
        <f t="shared" ref="BV6:CE6" si="30">BV2+$W$152</f>
        <v>-1</v>
      </c>
      <c r="BW6" s="598">
        <f t="shared" si="30"/>
        <v>0</v>
      </c>
      <c r="BX6" s="598">
        <f t="shared" si="30"/>
        <v>1</v>
      </c>
      <c r="BY6" s="598">
        <f t="shared" si="30"/>
        <v>2</v>
      </c>
      <c r="BZ6" s="598">
        <f t="shared" si="30"/>
        <v>3</v>
      </c>
      <c r="CA6" s="598">
        <f t="shared" si="30"/>
        <v>4</v>
      </c>
      <c r="CB6" s="598">
        <f t="shared" si="30"/>
        <v>5</v>
      </c>
      <c r="CC6" s="598">
        <f t="shared" si="30"/>
        <v>6</v>
      </c>
      <c r="CD6" s="598">
        <f t="shared" si="30"/>
        <v>7</v>
      </c>
      <c r="CE6" s="598">
        <f t="shared" si="30"/>
        <v>8</v>
      </c>
      <c r="CG6" s="598" t="s">
        <v>2343</v>
      </c>
      <c r="CH6" s="598">
        <f t="shared" ref="CH6:CQ6" si="31">CH2+$Y$152</f>
        <v>4</v>
      </c>
      <c r="CI6" s="598">
        <f t="shared" si="31"/>
        <v>5</v>
      </c>
      <c r="CJ6" s="598">
        <f t="shared" si="31"/>
        <v>6</v>
      </c>
      <c r="CK6" s="598">
        <f t="shared" si="31"/>
        <v>7</v>
      </c>
      <c r="CL6" s="598">
        <f t="shared" si="31"/>
        <v>8</v>
      </c>
      <c r="CM6" s="598">
        <f t="shared" si="31"/>
        <v>9</v>
      </c>
      <c r="CN6" s="598">
        <f t="shared" si="31"/>
        <v>10</v>
      </c>
      <c r="CO6" s="598">
        <f t="shared" si="31"/>
        <v>11</v>
      </c>
      <c r="CP6" s="598">
        <f t="shared" si="31"/>
        <v>12</v>
      </c>
      <c r="CQ6" s="598">
        <f t="shared" si="31"/>
        <v>13</v>
      </c>
    </row>
    <row r="7" spans="1:95">
      <c r="A7" s="598" t="s">
        <v>2344</v>
      </c>
      <c r="B7" s="598">
        <f t="shared" ref="B7:K7" si="32">B2+$C$153</f>
        <v>1</v>
      </c>
      <c r="C7" s="598">
        <f t="shared" si="32"/>
        <v>2</v>
      </c>
      <c r="D7" s="598">
        <f t="shared" si="32"/>
        <v>3</v>
      </c>
      <c r="E7" s="598">
        <f t="shared" si="32"/>
        <v>4</v>
      </c>
      <c r="F7" s="598">
        <f t="shared" si="32"/>
        <v>5</v>
      </c>
      <c r="G7" s="598">
        <f t="shared" si="32"/>
        <v>6</v>
      </c>
      <c r="H7" s="598">
        <f t="shared" si="32"/>
        <v>7</v>
      </c>
      <c r="I7" s="598">
        <f t="shared" si="32"/>
        <v>8</v>
      </c>
      <c r="J7" s="598">
        <f t="shared" si="32"/>
        <v>9</v>
      </c>
      <c r="K7" s="598">
        <f t="shared" si="32"/>
        <v>10</v>
      </c>
      <c r="M7" s="598" t="s">
        <v>2344</v>
      </c>
      <c r="N7" s="598">
        <f t="shared" ref="N7:W7" si="33">N2+$E$153</f>
        <v>0</v>
      </c>
      <c r="O7" s="598">
        <f t="shared" si="33"/>
        <v>1</v>
      </c>
      <c r="P7" s="598">
        <f t="shared" si="33"/>
        <v>2</v>
      </c>
      <c r="Q7" s="598">
        <f t="shared" si="33"/>
        <v>3</v>
      </c>
      <c r="R7" s="598">
        <f t="shared" si="33"/>
        <v>4</v>
      </c>
      <c r="S7" s="598">
        <f t="shared" si="33"/>
        <v>5</v>
      </c>
      <c r="T7" s="598">
        <f t="shared" si="33"/>
        <v>6</v>
      </c>
      <c r="U7" s="598">
        <f t="shared" si="33"/>
        <v>7</v>
      </c>
      <c r="V7" s="598">
        <f t="shared" si="33"/>
        <v>8</v>
      </c>
      <c r="W7" s="598">
        <f t="shared" si="33"/>
        <v>9</v>
      </c>
      <c r="Y7" s="598" t="s">
        <v>2344</v>
      </c>
      <c r="Z7" s="598">
        <f t="shared" ref="Z7:AI7" si="34">Z2+$G$153</f>
        <v>3</v>
      </c>
      <c r="AA7" s="598">
        <f t="shared" si="34"/>
        <v>4</v>
      </c>
      <c r="AB7" s="598">
        <f t="shared" si="34"/>
        <v>5</v>
      </c>
      <c r="AC7" s="598">
        <f t="shared" si="34"/>
        <v>6</v>
      </c>
      <c r="AD7" s="598">
        <f t="shared" si="34"/>
        <v>7</v>
      </c>
      <c r="AE7" s="598">
        <f t="shared" si="34"/>
        <v>8</v>
      </c>
      <c r="AF7" s="598">
        <f t="shared" si="34"/>
        <v>9</v>
      </c>
      <c r="AG7" s="598">
        <f t="shared" si="34"/>
        <v>10</v>
      </c>
      <c r="AH7" s="598">
        <f t="shared" si="34"/>
        <v>11</v>
      </c>
      <c r="AI7" s="598">
        <f t="shared" si="34"/>
        <v>12</v>
      </c>
      <c r="AK7" s="598" t="s">
        <v>2344</v>
      </c>
      <c r="AL7" s="598">
        <f t="shared" ref="AL7:AU7" si="35">AL2+$I$153</f>
        <v>-1</v>
      </c>
      <c r="AM7" s="598">
        <f t="shared" si="35"/>
        <v>0</v>
      </c>
      <c r="AN7" s="598">
        <f t="shared" si="35"/>
        <v>1</v>
      </c>
      <c r="AO7" s="598">
        <f t="shared" si="35"/>
        <v>2</v>
      </c>
      <c r="AP7" s="598">
        <f t="shared" si="35"/>
        <v>3</v>
      </c>
      <c r="AQ7" s="598">
        <f t="shared" si="35"/>
        <v>4</v>
      </c>
      <c r="AR7" s="598">
        <f t="shared" si="35"/>
        <v>5</v>
      </c>
      <c r="AS7" s="598">
        <f t="shared" si="35"/>
        <v>6</v>
      </c>
      <c r="AT7" s="598">
        <f t="shared" si="35"/>
        <v>7</v>
      </c>
      <c r="AU7" s="598">
        <f t="shared" si="35"/>
        <v>8</v>
      </c>
      <c r="AW7" s="598" t="s">
        <v>2344</v>
      </c>
      <c r="AX7" s="598">
        <f t="shared" ref="AX7:BG7" si="36">AX2+$M$153</f>
        <v>1</v>
      </c>
      <c r="AY7" s="598">
        <f t="shared" si="36"/>
        <v>2</v>
      </c>
      <c r="AZ7" s="598">
        <f t="shared" si="36"/>
        <v>3</v>
      </c>
      <c r="BA7" s="598">
        <f t="shared" si="36"/>
        <v>4</v>
      </c>
      <c r="BB7" s="598">
        <f t="shared" si="36"/>
        <v>5</v>
      </c>
      <c r="BC7" s="598">
        <f t="shared" si="36"/>
        <v>6</v>
      </c>
      <c r="BD7" s="598">
        <f t="shared" si="36"/>
        <v>7</v>
      </c>
      <c r="BE7" s="598">
        <f t="shared" si="36"/>
        <v>8</v>
      </c>
      <c r="BF7" s="598">
        <f t="shared" si="36"/>
        <v>9</v>
      </c>
      <c r="BG7" s="598">
        <f t="shared" si="36"/>
        <v>10</v>
      </c>
      <c r="BI7" s="598" t="s">
        <v>2344</v>
      </c>
      <c r="BJ7" s="598">
        <f t="shared" ref="BJ7:BS7" si="37">BJ2+$K$153</f>
        <v>-1</v>
      </c>
      <c r="BK7" s="598">
        <f t="shared" si="37"/>
        <v>0</v>
      </c>
      <c r="BL7" s="598">
        <f t="shared" si="37"/>
        <v>1</v>
      </c>
      <c r="BM7" s="598">
        <f t="shared" si="37"/>
        <v>2</v>
      </c>
      <c r="BN7" s="598">
        <f t="shared" si="37"/>
        <v>3</v>
      </c>
      <c r="BO7" s="598">
        <f t="shared" si="37"/>
        <v>4</v>
      </c>
      <c r="BP7" s="598">
        <f t="shared" si="37"/>
        <v>5</v>
      </c>
      <c r="BQ7" s="598">
        <f t="shared" si="37"/>
        <v>6</v>
      </c>
      <c r="BR7" s="598">
        <f t="shared" si="37"/>
        <v>7</v>
      </c>
      <c r="BS7" s="598">
        <f t="shared" si="37"/>
        <v>8</v>
      </c>
      <c r="BU7" s="598" t="s">
        <v>2344</v>
      </c>
      <c r="BV7" s="598">
        <f t="shared" ref="BV7:CE7" si="38">BV2+$W$153</f>
        <v>0</v>
      </c>
      <c r="BW7" s="598">
        <f t="shared" si="38"/>
        <v>1</v>
      </c>
      <c r="BX7" s="598">
        <f t="shared" si="38"/>
        <v>2</v>
      </c>
      <c r="BY7" s="598">
        <f t="shared" si="38"/>
        <v>3</v>
      </c>
      <c r="BZ7" s="598">
        <f t="shared" si="38"/>
        <v>4</v>
      </c>
      <c r="CA7" s="598">
        <f t="shared" si="38"/>
        <v>5</v>
      </c>
      <c r="CB7" s="598">
        <f t="shared" si="38"/>
        <v>6</v>
      </c>
      <c r="CC7" s="598">
        <f t="shared" si="38"/>
        <v>7</v>
      </c>
      <c r="CD7" s="598">
        <f t="shared" si="38"/>
        <v>8</v>
      </c>
      <c r="CE7" s="598">
        <f t="shared" si="38"/>
        <v>9</v>
      </c>
      <c r="CG7" s="598" t="s">
        <v>2344</v>
      </c>
      <c r="CH7" s="598">
        <f t="shared" ref="CH7:CQ7" si="39">CH2+$Y$153</f>
        <v>-1</v>
      </c>
      <c r="CI7" s="598">
        <f t="shared" si="39"/>
        <v>0</v>
      </c>
      <c r="CJ7" s="598">
        <f t="shared" si="39"/>
        <v>1</v>
      </c>
      <c r="CK7" s="598">
        <f t="shared" si="39"/>
        <v>2</v>
      </c>
      <c r="CL7" s="598">
        <f t="shared" si="39"/>
        <v>3</v>
      </c>
      <c r="CM7" s="598">
        <f t="shared" si="39"/>
        <v>4</v>
      </c>
      <c r="CN7" s="598">
        <f t="shared" si="39"/>
        <v>5</v>
      </c>
      <c r="CO7" s="598">
        <f t="shared" si="39"/>
        <v>6</v>
      </c>
      <c r="CP7" s="598">
        <f t="shared" si="39"/>
        <v>7</v>
      </c>
      <c r="CQ7" s="598">
        <f t="shared" si="39"/>
        <v>8</v>
      </c>
    </row>
    <row r="8" spans="1:95">
      <c r="A8" s="598" t="s">
        <v>2345</v>
      </c>
      <c r="B8" s="598" t="e">
        <f t="shared" ref="B8:K8" si="40">B2+$C$154</f>
        <v>#N/A</v>
      </c>
      <c r="C8" s="598" t="e">
        <f t="shared" si="40"/>
        <v>#N/A</v>
      </c>
      <c r="D8" s="598" t="e">
        <f t="shared" si="40"/>
        <v>#N/A</v>
      </c>
      <c r="E8" s="598" t="e">
        <f t="shared" si="40"/>
        <v>#N/A</v>
      </c>
      <c r="F8" s="598" t="e">
        <f t="shared" si="40"/>
        <v>#N/A</v>
      </c>
      <c r="G8" s="598" t="e">
        <f t="shared" si="40"/>
        <v>#N/A</v>
      </c>
      <c r="H8" s="598" t="e">
        <f t="shared" si="40"/>
        <v>#N/A</v>
      </c>
      <c r="I8" s="598" t="e">
        <f t="shared" si="40"/>
        <v>#N/A</v>
      </c>
      <c r="J8" s="598" t="e">
        <f t="shared" si="40"/>
        <v>#N/A</v>
      </c>
      <c r="K8" s="598" t="e">
        <f t="shared" si="40"/>
        <v>#N/A</v>
      </c>
      <c r="M8" s="598" t="s">
        <v>2345</v>
      </c>
      <c r="N8" s="598" t="e">
        <f t="shared" ref="N8:W8" si="41">N2+$E$154</f>
        <v>#N/A</v>
      </c>
      <c r="O8" s="598" t="e">
        <f t="shared" si="41"/>
        <v>#N/A</v>
      </c>
      <c r="P8" s="598" t="e">
        <f t="shared" si="41"/>
        <v>#N/A</v>
      </c>
      <c r="Q8" s="598" t="e">
        <f t="shared" si="41"/>
        <v>#N/A</v>
      </c>
      <c r="R8" s="598" t="e">
        <f t="shared" si="41"/>
        <v>#N/A</v>
      </c>
      <c r="S8" s="598" t="e">
        <f t="shared" si="41"/>
        <v>#N/A</v>
      </c>
      <c r="T8" s="598" t="e">
        <f t="shared" si="41"/>
        <v>#N/A</v>
      </c>
      <c r="U8" s="598" t="e">
        <f t="shared" si="41"/>
        <v>#N/A</v>
      </c>
      <c r="V8" s="598" t="e">
        <f t="shared" si="41"/>
        <v>#N/A</v>
      </c>
      <c r="W8" s="598" t="e">
        <f t="shared" si="41"/>
        <v>#N/A</v>
      </c>
      <c r="Y8" s="598" t="s">
        <v>2345</v>
      </c>
      <c r="Z8" s="598" t="e">
        <f t="shared" ref="Z8:AI8" si="42">Z2+$G$154</f>
        <v>#N/A</v>
      </c>
      <c r="AA8" s="598" t="e">
        <f t="shared" si="42"/>
        <v>#N/A</v>
      </c>
      <c r="AB8" s="598" t="e">
        <f t="shared" si="42"/>
        <v>#N/A</v>
      </c>
      <c r="AC8" s="598" t="e">
        <f t="shared" si="42"/>
        <v>#N/A</v>
      </c>
      <c r="AD8" s="598" t="e">
        <f t="shared" si="42"/>
        <v>#N/A</v>
      </c>
      <c r="AE8" s="598" t="e">
        <f t="shared" si="42"/>
        <v>#N/A</v>
      </c>
      <c r="AF8" s="598" t="e">
        <f t="shared" si="42"/>
        <v>#N/A</v>
      </c>
      <c r="AG8" s="598" t="e">
        <f t="shared" si="42"/>
        <v>#N/A</v>
      </c>
      <c r="AH8" s="598" t="e">
        <f t="shared" si="42"/>
        <v>#N/A</v>
      </c>
      <c r="AI8" s="598" t="e">
        <f t="shared" si="42"/>
        <v>#N/A</v>
      </c>
      <c r="AK8" s="598" t="s">
        <v>2345</v>
      </c>
      <c r="AL8" s="598" t="e">
        <f t="shared" ref="AL8:AU8" si="43">AL2+$I$154</f>
        <v>#N/A</v>
      </c>
      <c r="AM8" s="598" t="e">
        <f t="shared" si="43"/>
        <v>#N/A</v>
      </c>
      <c r="AN8" s="598" t="e">
        <f t="shared" si="43"/>
        <v>#N/A</v>
      </c>
      <c r="AO8" s="598" t="e">
        <f t="shared" si="43"/>
        <v>#N/A</v>
      </c>
      <c r="AP8" s="598" t="e">
        <f t="shared" si="43"/>
        <v>#N/A</v>
      </c>
      <c r="AQ8" s="598" t="e">
        <f t="shared" si="43"/>
        <v>#N/A</v>
      </c>
      <c r="AR8" s="598" t="e">
        <f t="shared" si="43"/>
        <v>#N/A</v>
      </c>
      <c r="AS8" s="598" t="e">
        <f t="shared" si="43"/>
        <v>#N/A</v>
      </c>
      <c r="AT8" s="598" t="e">
        <f t="shared" si="43"/>
        <v>#N/A</v>
      </c>
      <c r="AU8" s="598" t="e">
        <f t="shared" si="43"/>
        <v>#N/A</v>
      </c>
      <c r="AW8" s="598" t="s">
        <v>2345</v>
      </c>
      <c r="AX8" s="598" t="e">
        <f t="shared" ref="AX8:BG8" si="44">AX2+$M$154</f>
        <v>#N/A</v>
      </c>
      <c r="AY8" s="598" t="e">
        <f t="shared" si="44"/>
        <v>#N/A</v>
      </c>
      <c r="AZ8" s="598" t="e">
        <f t="shared" si="44"/>
        <v>#N/A</v>
      </c>
      <c r="BA8" s="598" t="e">
        <f t="shared" si="44"/>
        <v>#N/A</v>
      </c>
      <c r="BB8" s="598" t="e">
        <f t="shared" si="44"/>
        <v>#N/A</v>
      </c>
      <c r="BC8" s="598" t="e">
        <f t="shared" si="44"/>
        <v>#N/A</v>
      </c>
      <c r="BD8" s="598" t="e">
        <f t="shared" si="44"/>
        <v>#N/A</v>
      </c>
      <c r="BE8" s="598" t="e">
        <f t="shared" si="44"/>
        <v>#N/A</v>
      </c>
      <c r="BF8" s="598" t="e">
        <f t="shared" si="44"/>
        <v>#N/A</v>
      </c>
      <c r="BG8" s="598" t="e">
        <f t="shared" si="44"/>
        <v>#N/A</v>
      </c>
      <c r="BI8" s="598" t="s">
        <v>2345</v>
      </c>
      <c r="BJ8" s="598" t="e">
        <f t="shared" ref="BJ8:BS8" si="45">BJ2+$K$154</f>
        <v>#N/A</v>
      </c>
      <c r="BK8" s="598" t="e">
        <f t="shared" si="45"/>
        <v>#N/A</v>
      </c>
      <c r="BL8" s="598" t="e">
        <f t="shared" si="45"/>
        <v>#N/A</v>
      </c>
      <c r="BM8" s="598" t="e">
        <f t="shared" si="45"/>
        <v>#N/A</v>
      </c>
      <c r="BN8" s="598" t="e">
        <f t="shared" si="45"/>
        <v>#N/A</v>
      </c>
      <c r="BO8" s="598" t="e">
        <f t="shared" si="45"/>
        <v>#N/A</v>
      </c>
      <c r="BP8" s="598" t="e">
        <f t="shared" si="45"/>
        <v>#N/A</v>
      </c>
      <c r="BQ8" s="598" t="e">
        <f t="shared" si="45"/>
        <v>#N/A</v>
      </c>
      <c r="BR8" s="598" t="e">
        <f t="shared" si="45"/>
        <v>#N/A</v>
      </c>
      <c r="BS8" s="598" t="e">
        <f t="shared" si="45"/>
        <v>#N/A</v>
      </c>
      <c r="BU8" s="598" t="s">
        <v>2345</v>
      </c>
      <c r="BV8" s="598">
        <f t="shared" ref="BV8:CE8" si="46">BV2+$W$154</f>
        <v>1</v>
      </c>
      <c r="BW8" s="598">
        <f t="shared" si="46"/>
        <v>2</v>
      </c>
      <c r="BX8" s="598">
        <f t="shared" si="46"/>
        <v>3</v>
      </c>
      <c r="BY8" s="598">
        <f t="shared" si="46"/>
        <v>4</v>
      </c>
      <c r="BZ8" s="598">
        <f t="shared" si="46"/>
        <v>5</v>
      </c>
      <c r="CA8" s="598">
        <f t="shared" si="46"/>
        <v>6</v>
      </c>
      <c r="CB8" s="598">
        <f t="shared" si="46"/>
        <v>7</v>
      </c>
      <c r="CC8" s="598">
        <f t="shared" si="46"/>
        <v>8</v>
      </c>
      <c r="CD8" s="598">
        <f t="shared" si="46"/>
        <v>9</v>
      </c>
      <c r="CE8" s="598">
        <f t="shared" si="46"/>
        <v>10</v>
      </c>
      <c r="CG8" s="598" t="s">
        <v>2345</v>
      </c>
      <c r="CH8" s="598" t="e">
        <f t="shared" ref="CH8:CQ8" si="47">CH2+$Y$154</f>
        <v>#N/A</v>
      </c>
      <c r="CI8" s="598" t="e">
        <f t="shared" si="47"/>
        <v>#N/A</v>
      </c>
      <c r="CJ8" s="598" t="e">
        <f t="shared" si="47"/>
        <v>#N/A</v>
      </c>
      <c r="CK8" s="598" t="e">
        <f t="shared" si="47"/>
        <v>#N/A</v>
      </c>
      <c r="CL8" s="598" t="e">
        <f t="shared" si="47"/>
        <v>#N/A</v>
      </c>
      <c r="CM8" s="598" t="e">
        <f t="shared" si="47"/>
        <v>#N/A</v>
      </c>
      <c r="CN8" s="598" t="e">
        <f t="shared" si="47"/>
        <v>#N/A</v>
      </c>
      <c r="CO8" s="598" t="e">
        <f t="shared" si="47"/>
        <v>#N/A</v>
      </c>
      <c r="CP8" s="598" t="e">
        <f t="shared" si="47"/>
        <v>#N/A</v>
      </c>
      <c r="CQ8" s="598" t="e">
        <f t="shared" si="47"/>
        <v>#N/A</v>
      </c>
    </row>
    <row r="9" spans="1:95">
      <c r="A9" s="598" t="s">
        <v>1631</v>
      </c>
      <c r="B9" s="598">
        <f t="shared" ref="B9:K9" si="48">B2+$C$155</f>
        <v>1</v>
      </c>
      <c r="C9" s="598">
        <f t="shared" si="48"/>
        <v>2</v>
      </c>
      <c r="D9" s="598">
        <f t="shared" si="48"/>
        <v>3</v>
      </c>
      <c r="E9" s="598">
        <f t="shared" si="48"/>
        <v>4</v>
      </c>
      <c r="F9" s="598">
        <f t="shared" si="48"/>
        <v>5</v>
      </c>
      <c r="G9" s="598">
        <f t="shared" si="48"/>
        <v>6</v>
      </c>
      <c r="H9" s="598">
        <f t="shared" si="48"/>
        <v>7</v>
      </c>
      <c r="I9" s="598">
        <f t="shared" si="48"/>
        <v>8</v>
      </c>
      <c r="J9" s="598">
        <f t="shared" si="48"/>
        <v>9</v>
      </c>
      <c r="K9" s="598">
        <f t="shared" si="48"/>
        <v>10</v>
      </c>
      <c r="M9" s="598" t="s">
        <v>1631</v>
      </c>
      <c r="N9" s="598">
        <f t="shared" ref="N9:W9" si="49">N2+$E$155</f>
        <v>1</v>
      </c>
      <c r="O9" s="598">
        <f t="shared" si="49"/>
        <v>2</v>
      </c>
      <c r="P9" s="598">
        <f t="shared" si="49"/>
        <v>3</v>
      </c>
      <c r="Q9" s="598">
        <f t="shared" si="49"/>
        <v>4</v>
      </c>
      <c r="R9" s="598">
        <f t="shared" si="49"/>
        <v>5</v>
      </c>
      <c r="S9" s="598">
        <f t="shared" si="49"/>
        <v>6</v>
      </c>
      <c r="T9" s="598">
        <f t="shared" si="49"/>
        <v>7</v>
      </c>
      <c r="U9" s="598">
        <f t="shared" si="49"/>
        <v>8</v>
      </c>
      <c r="V9" s="598">
        <f t="shared" si="49"/>
        <v>9</v>
      </c>
      <c r="W9" s="598">
        <f t="shared" si="49"/>
        <v>10</v>
      </c>
      <c r="Y9" s="598" t="s">
        <v>1631</v>
      </c>
      <c r="Z9" s="598">
        <f t="shared" ref="Z9:AI9" si="50">Z2+$G$155</f>
        <v>-1</v>
      </c>
      <c r="AA9" s="598">
        <f t="shared" si="50"/>
        <v>0</v>
      </c>
      <c r="AB9" s="598">
        <f t="shared" si="50"/>
        <v>1</v>
      </c>
      <c r="AC9" s="598">
        <f t="shared" si="50"/>
        <v>2</v>
      </c>
      <c r="AD9" s="598">
        <f t="shared" si="50"/>
        <v>3</v>
      </c>
      <c r="AE9" s="598">
        <f t="shared" si="50"/>
        <v>4</v>
      </c>
      <c r="AF9" s="598">
        <f t="shared" si="50"/>
        <v>5</v>
      </c>
      <c r="AG9" s="598">
        <f t="shared" si="50"/>
        <v>6</v>
      </c>
      <c r="AH9" s="598">
        <f t="shared" si="50"/>
        <v>7</v>
      </c>
      <c r="AI9" s="598">
        <f t="shared" si="50"/>
        <v>8</v>
      </c>
      <c r="AK9" s="598" t="s">
        <v>1631</v>
      </c>
      <c r="AL9" s="598">
        <f t="shared" ref="AL9:AU9" si="51">AL2+$I$155</f>
        <v>0</v>
      </c>
      <c r="AM9" s="598">
        <f t="shared" si="51"/>
        <v>1</v>
      </c>
      <c r="AN9" s="598">
        <f t="shared" si="51"/>
        <v>2</v>
      </c>
      <c r="AO9" s="598">
        <f t="shared" si="51"/>
        <v>3</v>
      </c>
      <c r="AP9" s="598">
        <f t="shared" si="51"/>
        <v>4</v>
      </c>
      <c r="AQ9" s="598">
        <f t="shared" si="51"/>
        <v>5</v>
      </c>
      <c r="AR9" s="598">
        <f t="shared" si="51"/>
        <v>6</v>
      </c>
      <c r="AS9" s="598">
        <f t="shared" si="51"/>
        <v>7</v>
      </c>
      <c r="AT9" s="598">
        <f t="shared" si="51"/>
        <v>8</v>
      </c>
      <c r="AU9" s="598">
        <f t="shared" si="51"/>
        <v>9</v>
      </c>
      <c r="AW9" s="598" t="s">
        <v>1631</v>
      </c>
      <c r="AX9" s="598">
        <f t="shared" ref="AX9:BG9" si="52">AX2+$M$155</f>
        <v>1</v>
      </c>
      <c r="AY9" s="598">
        <f t="shared" si="52"/>
        <v>2</v>
      </c>
      <c r="AZ9" s="598">
        <f t="shared" si="52"/>
        <v>3</v>
      </c>
      <c r="BA9" s="598">
        <f t="shared" si="52"/>
        <v>4</v>
      </c>
      <c r="BB9" s="598">
        <f t="shared" si="52"/>
        <v>5</v>
      </c>
      <c r="BC9" s="598">
        <f t="shared" si="52"/>
        <v>6</v>
      </c>
      <c r="BD9" s="598">
        <f t="shared" si="52"/>
        <v>7</v>
      </c>
      <c r="BE9" s="598">
        <f t="shared" si="52"/>
        <v>8</v>
      </c>
      <c r="BF9" s="598">
        <f t="shared" si="52"/>
        <v>9</v>
      </c>
      <c r="BG9" s="598">
        <f t="shared" si="52"/>
        <v>10</v>
      </c>
      <c r="BI9" s="598" t="s">
        <v>1631</v>
      </c>
      <c r="BJ9" s="598">
        <f t="shared" ref="BJ9:BS9" si="53">BJ2+$K$155</f>
        <v>0</v>
      </c>
      <c r="BK9" s="598">
        <f t="shared" si="53"/>
        <v>1</v>
      </c>
      <c r="BL9" s="598">
        <f t="shared" si="53"/>
        <v>2</v>
      </c>
      <c r="BM9" s="598">
        <f t="shared" si="53"/>
        <v>3</v>
      </c>
      <c r="BN9" s="598">
        <f t="shared" si="53"/>
        <v>4</v>
      </c>
      <c r="BO9" s="598">
        <f t="shared" si="53"/>
        <v>5</v>
      </c>
      <c r="BP9" s="598">
        <f t="shared" si="53"/>
        <v>6</v>
      </c>
      <c r="BQ9" s="598">
        <f t="shared" si="53"/>
        <v>7</v>
      </c>
      <c r="BR9" s="598">
        <f t="shared" si="53"/>
        <v>8</v>
      </c>
      <c r="BS9" s="598">
        <f t="shared" si="53"/>
        <v>9</v>
      </c>
      <c r="BU9" s="598" t="s">
        <v>1631</v>
      </c>
      <c r="BV9" s="598">
        <f t="shared" ref="BV9:CE9" si="54">BV2+$W$155</f>
        <v>0</v>
      </c>
      <c r="BW9" s="598">
        <f t="shared" si="54"/>
        <v>1</v>
      </c>
      <c r="BX9" s="598">
        <f t="shared" si="54"/>
        <v>2</v>
      </c>
      <c r="BY9" s="598">
        <f t="shared" si="54"/>
        <v>3</v>
      </c>
      <c r="BZ9" s="598">
        <f t="shared" si="54"/>
        <v>4</v>
      </c>
      <c r="CA9" s="598">
        <f t="shared" si="54"/>
        <v>5</v>
      </c>
      <c r="CB9" s="598">
        <f t="shared" si="54"/>
        <v>6</v>
      </c>
      <c r="CC9" s="598">
        <f t="shared" si="54"/>
        <v>7</v>
      </c>
      <c r="CD9" s="598">
        <f t="shared" si="54"/>
        <v>8</v>
      </c>
      <c r="CE9" s="598">
        <f t="shared" si="54"/>
        <v>9</v>
      </c>
      <c r="CG9" s="598" t="s">
        <v>1631</v>
      </c>
      <c r="CH9" s="598">
        <f t="shared" ref="CH9:CQ9" si="55">CH2+$Y$155</f>
        <v>0</v>
      </c>
      <c r="CI9" s="598">
        <f t="shared" si="55"/>
        <v>1</v>
      </c>
      <c r="CJ9" s="598">
        <f t="shared" si="55"/>
        <v>2</v>
      </c>
      <c r="CK9" s="598">
        <f t="shared" si="55"/>
        <v>3</v>
      </c>
      <c r="CL9" s="598">
        <f t="shared" si="55"/>
        <v>4</v>
      </c>
      <c r="CM9" s="598">
        <f t="shared" si="55"/>
        <v>5</v>
      </c>
      <c r="CN9" s="598">
        <f t="shared" si="55"/>
        <v>6</v>
      </c>
      <c r="CO9" s="598">
        <f t="shared" si="55"/>
        <v>7</v>
      </c>
      <c r="CP9" s="598">
        <f t="shared" si="55"/>
        <v>8</v>
      </c>
      <c r="CQ9" s="598">
        <f t="shared" si="55"/>
        <v>9</v>
      </c>
    </row>
    <row r="10" spans="1:95">
      <c r="A10" s="598" t="s">
        <v>3657</v>
      </c>
      <c r="B10" s="598">
        <f t="shared" ref="B10:K10" si="56">B2+$C$156</f>
        <v>-2</v>
      </c>
      <c r="C10" s="598">
        <f t="shared" si="56"/>
        <v>-1</v>
      </c>
      <c r="D10" s="598">
        <f t="shared" si="56"/>
        <v>0</v>
      </c>
      <c r="E10" s="598">
        <f t="shared" si="56"/>
        <v>1</v>
      </c>
      <c r="F10" s="598">
        <f t="shared" si="56"/>
        <v>2</v>
      </c>
      <c r="G10" s="598">
        <f t="shared" si="56"/>
        <v>3</v>
      </c>
      <c r="H10" s="598">
        <f t="shared" si="56"/>
        <v>4</v>
      </c>
      <c r="I10" s="598">
        <f t="shared" si="56"/>
        <v>5</v>
      </c>
      <c r="J10" s="598">
        <f t="shared" si="56"/>
        <v>6</v>
      </c>
      <c r="K10" s="598">
        <f t="shared" si="56"/>
        <v>7</v>
      </c>
      <c r="M10" s="598" t="s">
        <v>3657</v>
      </c>
      <c r="N10" s="598">
        <f t="shared" ref="N10:W10" si="57">N2+$E$156</f>
        <v>-1</v>
      </c>
      <c r="O10" s="598">
        <f t="shared" si="57"/>
        <v>0</v>
      </c>
      <c r="P10" s="598">
        <f t="shared" si="57"/>
        <v>1</v>
      </c>
      <c r="Q10" s="598">
        <f t="shared" si="57"/>
        <v>2</v>
      </c>
      <c r="R10" s="598">
        <f t="shared" si="57"/>
        <v>3</v>
      </c>
      <c r="S10" s="598">
        <f t="shared" si="57"/>
        <v>4</v>
      </c>
      <c r="T10" s="598">
        <f t="shared" si="57"/>
        <v>5</v>
      </c>
      <c r="U10" s="598">
        <f t="shared" si="57"/>
        <v>6</v>
      </c>
      <c r="V10" s="598">
        <f t="shared" si="57"/>
        <v>7</v>
      </c>
      <c r="W10" s="598">
        <f t="shared" si="57"/>
        <v>8</v>
      </c>
      <c r="Y10" s="598" t="s">
        <v>3657</v>
      </c>
      <c r="Z10" s="598">
        <f t="shared" ref="Z10:AI10" si="58">Z2+$G$156</f>
        <v>-1</v>
      </c>
      <c r="AA10" s="598">
        <f t="shared" si="58"/>
        <v>0</v>
      </c>
      <c r="AB10" s="598">
        <f t="shared" si="58"/>
        <v>1</v>
      </c>
      <c r="AC10" s="598">
        <f t="shared" si="58"/>
        <v>2</v>
      </c>
      <c r="AD10" s="598">
        <f t="shared" si="58"/>
        <v>3</v>
      </c>
      <c r="AE10" s="598">
        <f t="shared" si="58"/>
        <v>4</v>
      </c>
      <c r="AF10" s="598">
        <f t="shared" si="58"/>
        <v>5</v>
      </c>
      <c r="AG10" s="598">
        <f t="shared" si="58"/>
        <v>6</v>
      </c>
      <c r="AH10" s="598">
        <f t="shared" si="58"/>
        <v>7</v>
      </c>
      <c r="AI10" s="598">
        <f t="shared" si="58"/>
        <v>8</v>
      </c>
      <c r="AK10" s="598" t="s">
        <v>3657</v>
      </c>
      <c r="AL10" s="598">
        <f t="shared" ref="AL10:AU10" si="59">AL2+$I$156</f>
        <v>-2</v>
      </c>
      <c r="AM10" s="598">
        <f t="shared" si="59"/>
        <v>-1</v>
      </c>
      <c r="AN10" s="598">
        <f t="shared" si="59"/>
        <v>0</v>
      </c>
      <c r="AO10" s="598">
        <f t="shared" si="59"/>
        <v>1</v>
      </c>
      <c r="AP10" s="598">
        <f t="shared" si="59"/>
        <v>2</v>
      </c>
      <c r="AQ10" s="598">
        <f t="shared" si="59"/>
        <v>3</v>
      </c>
      <c r="AR10" s="598">
        <f t="shared" si="59"/>
        <v>4</v>
      </c>
      <c r="AS10" s="598">
        <f t="shared" si="59"/>
        <v>5</v>
      </c>
      <c r="AT10" s="598">
        <f t="shared" si="59"/>
        <v>6</v>
      </c>
      <c r="AU10" s="598">
        <f t="shared" si="59"/>
        <v>7</v>
      </c>
      <c r="AW10" s="598" t="s">
        <v>3657</v>
      </c>
      <c r="AX10" s="598">
        <f t="shared" ref="AX10:BG10" si="60">AX2+$M$156</f>
        <v>1</v>
      </c>
      <c r="AY10" s="598">
        <f t="shared" si="60"/>
        <v>2</v>
      </c>
      <c r="AZ10" s="598">
        <f t="shared" si="60"/>
        <v>3</v>
      </c>
      <c r="BA10" s="598">
        <f t="shared" si="60"/>
        <v>4</v>
      </c>
      <c r="BB10" s="598">
        <f t="shared" si="60"/>
        <v>5</v>
      </c>
      <c r="BC10" s="598">
        <f t="shared" si="60"/>
        <v>6</v>
      </c>
      <c r="BD10" s="598">
        <f t="shared" si="60"/>
        <v>7</v>
      </c>
      <c r="BE10" s="598">
        <f t="shared" si="60"/>
        <v>8</v>
      </c>
      <c r="BF10" s="598">
        <f t="shared" si="60"/>
        <v>9</v>
      </c>
      <c r="BG10" s="598">
        <f t="shared" si="60"/>
        <v>10</v>
      </c>
      <c r="BI10" s="598" t="s">
        <v>3657</v>
      </c>
      <c r="BJ10" s="598">
        <f t="shared" ref="BJ10:BS10" si="61">BJ2+$K$156</f>
        <v>-2</v>
      </c>
      <c r="BK10" s="598">
        <f t="shared" si="61"/>
        <v>-1</v>
      </c>
      <c r="BL10" s="598">
        <f t="shared" si="61"/>
        <v>0</v>
      </c>
      <c r="BM10" s="598">
        <f t="shared" si="61"/>
        <v>1</v>
      </c>
      <c r="BN10" s="598">
        <f t="shared" si="61"/>
        <v>2</v>
      </c>
      <c r="BO10" s="598">
        <f t="shared" si="61"/>
        <v>3</v>
      </c>
      <c r="BP10" s="598">
        <f t="shared" si="61"/>
        <v>4</v>
      </c>
      <c r="BQ10" s="598">
        <f t="shared" si="61"/>
        <v>5</v>
      </c>
      <c r="BR10" s="598">
        <f t="shared" si="61"/>
        <v>6</v>
      </c>
      <c r="BS10" s="598">
        <f t="shared" si="61"/>
        <v>7</v>
      </c>
      <c r="BU10" s="598" t="s">
        <v>3657</v>
      </c>
      <c r="BV10" s="598">
        <f t="shared" ref="BV10:CE10" si="62">BV2+$W$156</f>
        <v>3</v>
      </c>
      <c r="BW10" s="598">
        <f t="shared" si="62"/>
        <v>4</v>
      </c>
      <c r="BX10" s="598">
        <f t="shared" si="62"/>
        <v>5</v>
      </c>
      <c r="BY10" s="598">
        <f t="shared" si="62"/>
        <v>6</v>
      </c>
      <c r="BZ10" s="598">
        <f t="shared" si="62"/>
        <v>7</v>
      </c>
      <c r="CA10" s="598">
        <f t="shared" si="62"/>
        <v>8</v>
      </c>
      <c r="CB10" s="598">
        <f t="shared" si="62"/>
        <v>9</v>
      </c>
      <c r="CC10" s="598">
        <f t="shared" si="62"/>
        <v>10</v>
      </c>
      <c r="CD10" s="598">
        <f t="shared" si="62"/>
        <v>11</v>
      </c>
      <c r="CE10" s="598">
        <f t="shared" si="62"/>
        <v>12</v>
      </c>
      <c r="CG10" s="598" t="s">
        <v>3657</v>
      </c>
      <c r="CH10" s="598">
        <f t="shared" ref="CH10:CQ10" si="63">CH2+$Y$156</f>
        <v>-2</v>
      </c>
      <c r="CI10" s="598">
        <f t="shared" si="63"/>
        <v>-1</v>
      </c>
      <c r="CJ10" s="598">
        <f t="shared" si="63"/>
        <v>0</v>
      </c>
      <c r="CK10" s="598">
        <f t="shared" si="63"/>
        <v>1</v>
      </c>
      <c r="CL10" s="598">
        <f t="shared" si="63"/>
        <v>2</v>
      </c>
      <c r="CM10" s="598">
        <f t="shared" si="63"/>
        <v>3</v>
      </c>
      <c r="CN10" s="598">
        <f t="shared" si="63"/>
        <v>4</v>
      </c>
      <c r="CO10" s="598">
        <f t="shared" si="63"/>
        <v>5</v>
      </c>
      <c r="CP10" s="598">
        <f t="shared" si="63"/>
        <v>6</v>
      </c>
      <c r="CQ10" s="598">
        <f t="shared" si="63"/>
        <v>7</v>
      </c>
    </row>
    <row r="11" spans="1:95">
      <c r="A11" s="598" t="s">
        <v>2346</v>
      </c>
      <c r="B11" s="598" t="e">
        <f t="shared" ref="B11:K11" si="64">B2+$C$157</f>
        <v>#N/A</v>
      </c>
      <c r="C11" s="598" t="e">
        <f t="shared" si="64"/>
        <v>#N/A</v>
      </c>
      <c r="D11" s="598" t="e">
        <f t="shared" si="64"/>
        <v>#N/A</v>
      </c>
      <c r="E11" s="598" t="e">
        <f t="shared" si="64"/>
        <v>#N/A</v>
      </c>
      <c r="F11" s="598" t="e">
        <f t="shared" si="64"/>
        <v>#N/A</v>
      </c>
      <c r="G11" s="598" t="e">
        <f t="shared" si="64"/>
        <v>#N/A</v>
      </c>
      <c r="H11" s="598" t="e">
        <f t="shared" si="64"/>
        <v>#N/A</v>
      </c>
      <c r="I11" s="598" t="e">
        <f t="shared" si="64"/>
        <v>#N/A</v>
      </c>
      <c r="J11" s="598" t="e">
        <f t="shared" si="64"/>
        <v>#N/A</v>
      </c>
      <c r="K11" s="598" t="e">
        <f t="shared" si="64"/>
        <v>#N/A</v>
      </c>
      <c r="M11" s="598" t="s">
        <v>2346</v>
      </c>
      <c r="N11" s="598" t="e">
        <f t="shared" ref="N11:W11" si="65">N2+$E$157</f>
        <v>#N/A</v>
      </c>
      <c r="O11" s="598" t="e">
        <f t="shared" si="65"/>
        <v>#N/A</v>
      </c>
      <c r="P11" s="598" t="e">
        <f t="shared" si="65"/>
        <v>#N/A</v>
      </c>
      <c r="Q11" s="598" t="e">
        <f t="shared" si="65"/>
        <v>#N/A</v>
      </c>
      <c r="R11" s="598" t="e">
        <f t="shared" si="65"/>
        <v>#N/A</v>
      </c>
      <c r="S11" s="598" t="e">
        <f t="shared" si="65"/>
        <v>#N/A</v>
      </c>
      <c r="T11" s="598" t="e">
        <f t="shared" si="65"/>
        <v>#N/A</v>
      </c>
      <c r="U11" s="598" t="e">
        <f t="shared" si="65"/>
        <v>#N/A</v>
      </c>
      <c r="V11" s="598" t="e">
        <f t="shared" si="65"/>
        <v>#N/A</v>
      </c>
      <c r="W11" s="598" t="e">
        <f t="shared" si="65"/>
        <v>#N/A</v>
      </c>
      <c r="Y11" s="598" t="s">
        <v>2346</v>
      </c>
      <c r="Z11" s="598" t="e">
        <f t="shared" ref="Z11:AI11" si="66">Z2+$G$157</f>
        <v>#N/A</v>
      </c>
      <c r="AA11" s="598" t="e">
        <f t="shared" si="66"/>
        <v>#N/A</v>
      </c>
      <c r="AB11" s="598" t="e">
        <f t="shared" si="66"/>
        <v>#N/A</v>
      </c>
      <c r="AC11" s="598" t="e">
        <f t="shared" si="66"/>
        <v>#N/A</v>
      </c>
      <c r="AD11" s="598" t="e">
        <f t="shared" si="66"/>
        <v>#N/A</v>
      </c>
      <c r="AE11" s="598" t="e">
        <f t="shared" si="66"/>
        <v>#N/A</v>
      </c>
      <c r="AF11" s="598" t="e">
        <f t="shared" si="66"/>
        <v>#N/A</v>
      </c>
      <c r="AG11" s="598" t="e">
        <f t="shared" si="66"/>
        <v>#N/A</v>
      </c>
      <c r="AH11" s="598" t="e">
        <f t="shared" si="66"/>
        <v>#N/A</v>
      </c>
      <c r="AI11" s="598" t="e">
        <f t="shared" si="66"/>
        <v>#N/A</v>
      </c>
      <c r="AK11" s="598" t="s">
        <v>2346</v>
      </c>
      <c r="AL11" s="598" t="e">
        <f t="shared" ref="AL11:AU11" si="67">AL2+$I$157</f>
        <v>#N/A</v>
      </c>
      <c r="AM11" s="598" t="e">
        <f t="shared" si="67"/>
        <v>#N/A</v>
      </c>
      <c r="AN11" s="598" t="e">
        <f t="shared" si="67"/>
        <v>#N/A</v>
      </c>
      <c r="AO11" s="598" t="e">
        <f t="shared" si="67"/>
        <v>#N/A</v>
      </c>
      <c r="AP11" s="598" t="e">
        <f t="shared" si="67"/>
        <v>#N/A</v>
      </c>
      <c r="AQ11" s="598" t="e">
        <f t="shared" si="67"/>
        <v>#N/A</v>
      </c>
      <c r="AR11" s="598" t="e">
        <f t="shared" si="67"/>
        <v>#N/A</v>
      </c>
      <c r="AS11" s="598" t="e">
        <f t="shared" si="67"/>
        <v>#N/A</v>
      </c>
      <c r="AT11" s="598" t="e">
        <f t="shared" si="67"/>
        <v>#N/A</v>
      </c>
      <c r="AU11" s="598" t="e">
        <f t="shared" si="67"/>
        <v>#N/A</v>
      </c>
      <c r="AW11" s="598" t="s">
        <v>2346</v>
      </c>
      <c r="AX11" s="598" t="e">
        <f t="shared" ref="AX11:BG11" si="68">AX2+$M$157</f>
        <v>#N/A</v>
      </c>
      <c r="AY11" s="598" t="e">
        <f t="shared" si="68"/>
        <v>#N/A</v>
      </c>
      <c r="AZ11" s="598" t="e">
        <f t="shared" si="68"/>
        <v>#N/A</v>
      </c>
      <c r="BA11" s="598" t="e">
        <f t="shared" si="68"/>
        <v>#N/A</v>
      </c>
      <c r="BB11" s="598" t="e">
        <f t="shared" si="68"/>
        <v>#N/A</v>
      </c>
      <c r="BC11" s="598" t="e">
        <f t="shared" si="68"/>
        <v>#N/A</v>
      </c>
      <c r="BD11" s="598" t="e">
        <f t="shared" si="68"/>
        <v>#N/A</v>
      </c>
      <c r="BE11" s="598" t="e">
        <f t="shared" si="68"/>
        <v>#N/A</v>
      </c>
      <c r="BF11" s="598" t="e">
        <f t="shared" si="68"/>
        <v>#N/A</v>
      </c>
      <c r="BG11" s="598" t="e">
        <f t="shared" si="68"/>
        <v>#N/A</v>
      </c>
      <c r="BI11" s="598" t="s">
        <v>2346</v>
      </c>
      <c r="BJ11" s="598" t="e">
        <f t="shared" ref="BJ11:BS11" si="69">BJ2+$K$157</f>
        <v>#N/A</v>
      </c>
      <c r="BK11" s="598" t="e">
        <f t="shared" si="69"/>
        <v>#N/A</v>
      </c>
      <c r="BL11" s="598" t="e">
        <f t="shared" si="69"/>
        <v>#N/A</v>
      </c>
      <c r="BM11" s="598" t="e">
        <f t="shared" si="69"/>
        <v>#N/A</v>
      </c>
      <c r="BN11" s="598" t="e">
        <f t="shared" si="69"/>
        <v>#N/A</v>
      </c>
      <c r="BO11" s="598" t="e">
        <f t="shared" si="69"/>
        <v>#N/A</v>
      </c>
      <c r="BP11" s="598" t="e">
        <f t="shared" si="69"/>
        <v>#N/A</v>
      </c>
      <c r="BQ11" s="598" t="e">
        <f t="shared" si="69"/>
        <v>#N/A</v>
      </c>
      <c r="BR11" s="598" t="e">
        <f t="shared" si="69"/>
        <v>#N/A</v>
      </c>
      <c r="BS11" s="598" t="e">
        <f t="shared" si="69"/>
        <v>#N/A</v>
      </c>
      <c r="BU11" s="598" t="s">
        <v>2346</v>
      </c>
      <c r="BV11" s="598">
        <f t="shared" ref="BV11:CE11" si="70">BV2+$W$157</f>
        <v>2</v>
      </c>
      <c r="BW11" s="598">
        <f t="shared" si="70"/>
        <v>3</v>
      </c>
      <c r="BX11" s="598">
        <f t="shared" si="70"/>
        <v>4</v>
      </c>
      <c r="BY11" s="598">
        <f t="shared" si="70"/>
        <v>5</v>
      </c>
      <c r="BZ11" s="598">
        <f t="shared" si="70"/>
        <v>6</v>
      </c>
      <c r="CA11" s="598">
        <f t="shared" si="70"/>
        <v>7</v>
      </c>
      <c r="CB11" s="598">
        <f t="shared" si="70"/>
        <v>8</v>
      </c>
      <c r="CC11" s="598">
        <f t="shared" si="70"/>
        <v>9</v>
      </c>
      <c r="CD11" s="598">
        <f t="shared" si="70"/>
        <v>10</v>
      </c>
      <c r="CE11" s="598">
        <f t="shared" si="70"/>
        <v>11</v>
      </c>
      <c r="CG11" s="598" t="s">
        <v>2346</v>
      </c>
      <c r="CH11" s="598" t="e">
        <f t="shared" ref="CH11:CQ11" si="71">CH2+$Y$157</f>
        <v>#N/A</v>
      </c>
      <c r="CI11" s="598" t="e">
        <f t="shared" si="71"/>
        <v>#N/A</v>
      </c>
      <c r="CJ11" s="598" t="e">
        <f t="shared" si="71"/>
        <v>#N/A</v>
      </c>
      <c r="CK11" s="598" t="e">
        <f t="shared" si="71"/>
        <v>#N/A</v>
      </c>
      <c r="CL11" s="598" t="e">
        <f t="shared" si="71"/>
        <v>#N/A</v>
      </c>
      <c r="CM11" s="598" t="e">
        <f t="shared" si="71"/>
        <v>#N/A</v>
      </c>
      <c r="CN11" s="598" t="e">
        <f t="shared" si="71"/>
        <v>#N/A</v>
      </c>
      <c r="CO11" s="598" t="e">
        <f t="shared" si="71"/>
        <v>#N/A</v>
      </c>
      <c r="CP11" s="598" t="e">
        <f t="shared" si="71"/>
        <v>#N/A</v>
      </c>
      <c r="CQ11" s="598" t="e">
        <f t="shared" si="71"/>
        <v>#N/A</v>
      </c>
    </row>
    <row r="12" spans="1:95">
      <c r="A12" s="598" t="s">
        <v>1632</v>
      </c>
      <c r="B12" s="598">
        <f t="shared" ref="B12:K12" si="72">B2+$C$158</f>
        <v>1</v>
      </c>
      <c r="C12" s="598">
        <f t="shared" si="72"/>
        <v>2</v>
      </c>
      <c r="D12" s="598">
        <f t="shared" si="72"/>
        <v>3</v>
      </c>
      <c r="E12" s="598">
        <f t="shared" si="72"/>
        <v>4</v>
      </c>
      <c r="F12" s="598">
        <f t="shared" si="72"/>
        <v>5</v>
      </c>
      <c r="G12" s="598">
        <f t="shared" si="72"/>
        <v>6</v>
      </c>
      <c r="H12" s="598">
        <f t="shared" si="72"/>
        <v>7</v>
      </c>
      <c r="I12" s="598">
        <f t="shared" si="72"/>
        <v>8</v>
      </c>
      <c r="J12" s="598">
        <f t="shared" si="72"/>
        <v>9</v>
      </c>
      <c r="K12" s="598">
        <f t="shared" si="72"/>
        <v>10</v>
      </c>
      <c r="M12" s="598" t="s">
        <v>1632</v>
      </c>
      <c r="N12" s="598">
        <f t="shared" ref="N12:W12" si="73">N2+$E$158</f>
        <v>2</v>
      </c>
      <c r="O12" s="598">
        <f t="shared" si="73"/>
        <v>3</v>
      </c>
      <c r="P12" s="598">
        <f t="shared" si="73"/>
        <v>4</v>
      </c>
      <c r="Q12" s="598">
        <f t="shared" si="73"/>
        <v>5</v>
      </c>
      <c r="R12" s="598">
        <f t="shared" si="73"/>
        <v>6</v>
      </c>
      <c r="S12" s="598">
        <f t="shared" si="73"/>
        <v>7</v>
      </c>
      <c r="T12" s="598">
        <f t="shared" si="73"/>
        <v>8</v>
      </c>
      <c r="U12" s="598">
        <f t="shared" si="73"/>
        <v>9</v>
      </c>
      <c r="V12" s="598">
        <f t="shared" si="73"/>
        <v>10</v>
      </c>
      <c r="W12" s="598">
        <f t="shared" si="73"/>
        <v>11</v>
      </c>
      <c r="Y12" s="598" t="s">
        <v>1632</v>
      </c>
      <c r="Z12" s="598">
        <f t="shared" ref="Z12:AI12" si="74">Z2+$G$158</f>
        <v>1</v>
      </c>
      <c r="AA12" s="598">
        <f t="shared" si="74"/>
        <v>2</v>
      </c>
      <c r="AB12" s="598">
        <f t="shared" si="74"/>
        <v>3</v>
      </c>
      <c r="AC12" s="598">
        <f t="shared" si="74"/>
        <v>4</v>
      </c>
      <c r="AD12" s="598">
        <f t="shared" si="74"/>
        <v>5</v>
      </c>
      <c r="AE12" s="598">
        <f t="shared" si="74"/>
        <v>6</v>
      </c>
      <c r="AF12" s="598">
        <f t="shared" si="74"/>
        <v>7</v>
      </c>
      <c r="AG12" s="598">
        <f t="shared" si="74"/>
        <v>8</v>
      </c>
      <c r="AH12" s="598">
        <f t="shared" si="74"/>
        <v>9</v>
      </c>
      <c r="AI12" s="598">
        <f t="shared" si="74"/>
        <v>10</v>
      </c>
      <c r="AK12" s="598" t="s">
        <v>1632</v>
      </c>
      <c r="AL12" s="598">
        <f t="shared" ref="AL12:AU12" si="75">AL2+$I$158</f>
        <v>-2</v>
      </c>
      <c r="AM12" s="598">
        <f t="shared" si="75"/>
        <v>-1</v>
      </c>
      <c r="AN12" s="598">
        <f t="shared" si="75"/>
        <v>0</v>
      </c>
      <c r="AO12" s="598">
        <f t="shared" si="75"/>
        <v>1</v>
      </c>
      <c r="AP12" s="598">
        <f t="shared" si="75"/>
        <v>2</v>
      </c>
      <c r="AQ12" s="598">
        <f t="shared" si="75"/>
        <v>3</v>
      </c>
      <c r="AR12" s="598">
        <f t="shared" si="75"/>
        <v>4</v>
      </c>
      <c r="AS12" s="598">
        <f t="shared" si="75"/>
        <v>5</v>
      </c>
      <c r="AT12" s="598">
        <f t="shared" si="75"/>
        <v>6</v>
      </c>
      <c r="AU12" s="598">
        <f t="shared" si="75"/>
        <v>7</v>
      </c>
      <c r="AW12" s="598" t="s">
        <v>1632</v>
      </c>
      <c r="AX12" s="598">
        <f t="shared" ref="AX12:BG12" si="76">AX2+$M$158</f>
        <v>1</v>
      </c>
      <c r="AY12" s="598">
        <f t="shared" si="76"/>
        <v>2</v>
      </c>
      <c r="AZ12" s="598">
        <f t="shared" si="76"/>
        <v>3</v>
      </c>
      <c r="BA12" s="598">
        <f t="shared" si="76"/>
        <v>4</v>
      </c>
      <c r="BB12" s="598">
        <f t="shared" si="76"/>
        <v>5</v>
      </c>
      <c r="BC12" s="598">
        <f t="shared" si="76"/>
        <v>6</v>
      </c>
      <c r="BD12" s="598">
        <f t="shared" si="76"/>
        <v>7</v>
      </c>
      <c r="BE12" s="598">
        <f t="shared" si="76"/>
        <v>8</v>
      </c>
      <c r="BF12" s="598">
        <f t="shared" si="76"/>
        <v>9</v>
      </c>
      <c r="BG12" s="598">
        <f t="shared" si="76"/>
        <v>10</v>
      </c>
      <c r="BI12" s="598" t="s">
        <v>1632</v>
      </c>
      <c r="BJ12" s="598">
        <f t="shared" ref="BJ12:BS12" si="77">BJ2+$K$158</f>
        <v>-2</v>
      </c>
      <c r="BK12" s="598">
        <f t="shared" si="77"/>
        <v>-1</v>
      </c>
      <c r="BL12" s="598">
        <f t="shared" si="77"/>
        <v>0</v>
      </c>
      <c r="BM12" s="598">
        <f t="shared" si="77"/>
        <v>1</v>
      </c>
      <c r="BN12" s="598">
        <f t="shared" si="77"/>
        <v>2</v>
      </c>
      <c r="BO12" s="598">
        <f t="shared" si="77"/>
        <v>3</v>
      </c>
      <c r="BP12" s="598">
        <f t="shared" si="77"/>
        <v>4</v>
      </c>
      <c r="BQ12" s="598">
        <f t="shared" si="77"/>
        <v>5</v>
      </c>
      <c r="BR12" s="598">
        <f t="shared" si="77"/>
        <v>6</v>
      </c>
      <c r="BS12" s="598">
        <f t="shared" si="77"/>
        <v>7</v>
      </c>
      <c r="BU12" s="598" t="s">
        <v>1632</v>
      </c>
      <c r="BV12" s="598">
        <f t="shared" ref="BV12:CE12" si="78">BV2+$W$158</f>
        <v>2</v>
      </c>
      <c r="BW12" s="598">
        <f t="shared" si="78"/>
        <v>3</v>
      </c>
      <c r="BX12" s="598">
        <f t="shared" si="78"/>
        <v>4</v>
      </c>
      <c r="BY12" s="598">
        <f t="shared" si="78"/>
        <v>5</v>
      </c>
      <c r="BZ12" s="598">
        <f t="shared" si="78"/>
        <v>6</v>
      </c>
      <c r="CA12" s="598">
        <f t="shared" si="78"/>
        <v>7</v>
      </c>
      <c r="CB12" s="598">
        <f t="shared" si="78"/>
        <v>8</v>
      </c>
      <c r="CC12" s="598">
        <f t="shared" si="78"/>
        <v>9</v>
      </c>
      <c r="CD12" s="598">
        <f t="shared" si="78"/>
        <v>10</v>
      </c>
      <c r="CE12" s="598">
        <f t="shared" si="78"/>
        <v>11</v>
      </c>
      <c r="CG12" s="598" t="s">
        <v>1632</v>
      </c>
      <c r="CH12" s="598">
        <f t="shared" ref="CH12:CQ12" si="79">CH2+$Y$158</f>
        <v>-2</v>
      </c>
      <c r="CI12" s="598">
        <f t="shared" si="79"/>
        <v>-1</v>
      </c>
      <c r="CJ12" s="598">
        <f t="shared" si="79"/>
        <v>0</v>
      </c>
      <c r="CK12" s="598">
        <f t="shared" si="79"/>
        <v>1</v>
      </c>
      <c r="CL12" s="598">
        <f t="shared" si="79"/>
        <v>2</v>
      </c>
      <c r="CM12" s="598">
        <f t="shared" si="79"/>
        <v>3</v>
      </c>
      <c r="CN12" s="598">
        <f t="shared" si="79"/>
        <v>4</v>
      </c>
      <c r="CO12" s="598">
        <f t="shared" si="79"/>
        <v>5</v>
      </c>
      <c r="CP12" s="598">
        <f t="shared" si="79"/>
        <v>6</v>
      </c>
      <c r="CQ12" s="598">
        <f t="shared" si="79"/>
        <v>7</v>
      </c>
    </row>
    <row r="13" spans="1:95">
      <c r="A13" s="598" t="s">
        <v>3466</v>
      </c>
      <c r="B13" s="598">
        <f t="shared" ref="B13:K13" si="80">B2+$C$159</f>
        <v>2</v>
      </c>
      <c r="C13" s="598">
        <f t="shared" si="80"/>
        <v>3</v>
      </c>
      <c r="D13" s="598">
        <f t="shared" si="80"/>
        <v>4</v>
      </c>
      <c r="E13" s="598">
        <f t="shared" si="80"/>
        <v>5</v>
      </c>
      <c r="F13" s="598">
        <f t="shared" si="80"/>
        <v>6</v>
      </c>
      <c r="G13" s="598">
        <f t="shared" si="80"/>
        <v>7</v>
      </c>
      <c r="H13" s="598">
        <f t="shared" si="80"/>
        <v>8</v>
      </c>
      <c r="I13" s="598">
        <f t="shared" si="80"/>
        <v>9</v>
      </c>
      <c r="J13" s="598">
        <f t="shared" si="80"/>
        <v>10</v>
      </c>
      <c r="K13" s="598">
        <f t="shared" si="80"/>
        <v>11</v>
      </c>
      <c r="M13" s="598" t="s">
        <v>3466</v>
      </c>
      <c r="N13" s="598">
        <f t="shared" ref="N13:W13" si="81">N2+$E$159</f>
        <v>-1</v>
      </c>
      <c r="O13" s="598">
        <f t="shared" si="81"/>
        <v>0</v>
      </c>
      <c r="P13" s="598">
        <f t="shared" si="81"/>
        <v>1</v>
      </c>
      <c r="Q13" s="598">
        <f t="shared" si="81"/>
        <v>2</v>
      </c>
      <c r="R13" s="598">
        <f t="shared" si="81"/>
        <v>3</v>
      </c>
      <c r="S13" s="598">
        <f t="shared" si="81"/>
        <v>4</v>
      </c>
      <c r="T13" s="598">
        <f t="shared" si="81"/>
        <v>5</v>
      </c>
      <c r="U13" s="598">
        <f t="shared" si="81"/>
        <v>6</v>
      </c>
      <c r="V13" s="598">
        <f t="shared" si="81"/>
        <v>7</v>
      </c>
      <c r="W13" s="598">
        <f t="shared" si="81"/>
        <v>8</v>
      </c>
      <c r="Y13" s="598" t="s">
        <v>3466</v>
      </c>
      <c r="Z13" s="598">
        <f t="shared" ref="Z13:AI13" si="82">Z2+$G$159</f>
        <v>-1</v>
      </c>
      <c r="AA13" s="598">
        <f t="shared" si="82"/>
        <v>0</v>
      </c>
      <c r="AB13" s="598">
        <f t="shared" si="82"/>
        <v>1</v>
      </c>
      <c r="AC13" s="598">
        <f t="shared" si="82"/>
        <v>2</v>
      </c>
      <c r="AD13" s="598">
        <f t="shared" si="82"/>
        <v>3</v>
      </c>
      <c r="AE13" s="598">
        <f t="shared" si="82"/>
        <v>4</v>
      </c>
      <c r="AF13" s="598">
        <f t="shared" si="82"/>
        <v>5</v>
      </c>
      <c r="AG13" s="598">
        <f t="shared" si="82"/>
        <v>6</v>
      </c>
      <c r="AH13" s="598">
        <f t="shared" si="82"/>
        <v>7</v>
      </c>
      <c r="AI13" s="598">
        <f t="shared" si="82"/>
        <v>8</v>
      </c>
      <c r="AK13" s="598" t="s">
        <v>3466</v>
      </c>
      <c r="AL13" s="598">
        <f t="shared" ref="AL13:AU13" si="83">AL2+$I$159</f>
        <v>2</v>
      </c>
      <c r="AM13" s="598">
        <f t="shared" si="83"/>
        <v>3</v>
      </c>
      <c r="AN13" s="598">
        <f t="shared" si="83"/>
        <v>4</v>
      </c>
      <c r="AO13" s="598">
        <f t="shared" si="83"/>
        <v>5</v>
      </c>
      <c r="AP13" s="598">
        <f t="shared" si="83"/>
        <v>6</v>
      </c>
      <c r="AQ13" s="598">
        <f t="shared" si="83"/>
        <v>7</v>
      </c>
      <c r="AR13" s="598">
        <f t="shared" si="83"/>
        <v>8</v>
      </c>
      <c r="AS13" s="598">
        <f t="shared" si="83"/>
        <v>9</v>
      </c>
      <c r="AT13" s="598">
        <f t="shared" si="83"/>
        <v>10</v>
      </c>
      <c r="AU13" s="598">
        <f t="shared" si="83"/>
        <v>11</v>
      </c>
      <c r="AW13" s="598" t="s">
        <v>3466</v>
      </c>
      <c r="AX13" s="598">
        <f t="shared" ref="AX13:BG13" si="84">AX2+$M$159</f>
        <v>1</v>
      </c>
      <c r="AY13" s="598">
        <f t="shared" si="84"/>
        <v>2</v>
      </c>
      <c r="AZ13" s="598">
        <f t="shared" si="84"/>
        <v>3</v>
      </c>
      <c r="BA13" s="598">
        <f t="shared" si="84"/>
        <v>4</v>
      </c>
      <c r="BB13" s="598">
        <f t="shared" si="84"/>
        <v>5</v>
      </c>
      <c r="BC13" s="598">
        <f t="shared" si="84"/>
        <v>6</v>
      </c>
      <c r="BD13" s="598">
        <f t="shared" si="84"/>
        <v>7</v>
      </c>
      <c r="BE13" s="598">
        <f t="shared" si="84"/>
        <v>8</v>
      </c>
      <c r="BF13" s="598">
        <f t="shared" si="84"/>
        <v>9</v>
      </c>
      <c r="BG13" s="598">
        <f t="shared" si="84"/>
        <v>10</v>
      </c>
      <c r="BI13" s="598" t="s">
        <v>3466</v>
      </c>
      <c r="BJ13" s="598">
        <f t="shared" ref="BJ13:BS13" si="85">BJ2+$K$159</f>
        <v>3</v>
      </c>
      <c r="BK13" s="598">
        <f t="shared" si="85"/>
        <v>4</v>
      </c>
      <c r="BL13" s="598">
        <f t="shared" si="85"/>
        <v>5</v>
      </c>
      <c r="BM13" s="598">
        <f t="shared" si="85"/>
        <v>6</v>
      </c>
      <c r="BN13" s="598">
        <f t="shared" si="85"/>
        <v>7</v>
      </c>
      <c r="BO13" s="598">
        <f t="shared" si="85"/>
        <v>8</v>
      </c>
      <c r="BP13" s="598">
        <f t="shared" si="85"/>
        <v>9</v>
      </c>
      <c r="BQ13" s="598">
        <f t="shared" si="85"/>
        <v>10</v>
      </c>
      <c r="BR13" s="598">
        <f t="shared" si="85"/>
        <v>11</v>
      </c>
      <c r="BS13" s="598">
        <f t="shared" si="85"/>
        <v>12</v>
      </c>
      <c r="BU13" s="598" t="s">
        <v>3466</v>
      </c>
      <c r="BV13" s="598">
        <f t="shared" ref="BV13:CE13" si="86">BV2+$W$159</f>
        <v>4</v>
      </c>
      <c r="BW13" s="598">
        <f t="shared" si="86"/>
        <v>5</v>
      </c>
      <c r="BX13" s="598">
        <f t="shared" si="86"/>
        <v>6</v>
      </c>
      <c r="BY13" s="598">
        <f t="shared" si="86"/>
        <v>7</v>
      </c>
      <c r="BZ13" s="598">
        <f t="shared" si="86"/>
        <v>8</v>
      </c>
      <c r="CA13" s="598">
        <f t="shared" si="86"/>
        <v>9</v>
      </c>
      <c r="CB13" s="598">
        <f t="shared" si="86"/>
        <v>10</v>
      </c>
      <c r="CC13" s="598">
        <f t="shared" si="86"/>
        <v>11</v>
      </c>
      <c r="CD13" s="598">
        <f t="shared" si="86"/>
        <v>12</v>
      </c>
      <c r="CE13" s="598">
        <f t="shared" si="86"/>
        <v>13</v>
      </c>
      <c r="CG13" s="598" t="s">
        <v>3466</v>
      </c>
      <c r="CH13" s="598">
        <f t="shared" ref="CH13:CQ13" si="87">CH2+$Y$159</f>
        <v>2</v>
      </c>
      <c r="CI13" s="598">
        <f t="shared" si="87"/>
        <v>3</v>
      </c>
      <c r="CJ13" s="598">
        <f t="shared" si="87"/>
        <v>4</v>
      </c>
      <c r="CK13" s="598">
        <f t="shared" si="87"/>
        <v>5</v>
      </c>
      <c r="CL13" s="598">
        <f t="shared" si="87"/>
        <v>6</v>
      </c>
      <c r="CM13" s="598">
        <f t="shared" si="87"/>
        <v>7</v>
      </c>
      <c r="CN13" s="598">
        <f t="shared" si="87"/>
        <v>8</v>
      </c>
      <c r="CO13" s="598">
        <f t="shared" si="87"/>
        <v>9</v>
      </c>
      <c r="CP13" s="598">
        <f t="shared" si="87"/>
        <v>10</v>
      </c>
      <c r="CQ13" s="598">
        <f t="shared" si="87"/>
        <v>11</v>
      </c>
    </row>
    <row r="14" spans="1:95">
      <c r="A14" s="598" t="s">
        <v>2347</v>
      </c>
      <c r="B14" s="598" t="e">
        <f t="shared" ref="B14:K14" si="88">B2+$C$160</f>
        <v>#N/A</v>
      </c>
      <c r="C14" s="598" t="e">
        <f t="shared" si="88"/>
        <v>#N/A</v>
      </c>
      <c r="D14" s="598" t="e">
        <f t="shared" si="88"/>
        <v>#N/A</v>
      </c>
      <c r="E14" s="598" t="e">
        <f t="shared" si="88"/>
        <v>#N/A</v>
      </c>
      <c r="F14" s="598" t="e">
        <f t="shared" si="88"/>
        <v>#N/A</v>
      </c>
      <c r="G14" s="598" t="e">
        <f t="shared" si="88"/>
        <v>#N/A</v>
      </c>
      <c r="H14" s="598" t="e">
        <f t="shared" si="88"/>
        <v>#N/A</v>
      </c>
      <c r="I14" s="598" t="e">
        <f t="shared" si="88"/>
        <v>#N/A</v>
      </c>
      <c r="J14" s="598" t="e">
        <f t="shared" si="88"/>
        <v>#N/A</v>
      </c>
      <c r="K14" s="598" t="e">
        <f t="shared" si="88"/>
        <v>#N/A</v>
      </c>
      <c r="M14" s="598" t="s">
        <v>2347</v>
      </c>
      <c r="N14" s="598" t="e">
        <f t="shared" ref="N14:W14" si="89">N2+$E$160</f>
        <v>#N/A</v>
      </c>
      <c r="O14" s="598" t="e">
        <f t="shared" si="89"/>
        <v>#N/A</v>
      </c>
      <c r="P14" s="598" t="e">
        <f t="shared" si="89"/>
        <v>#N/A</v>
      </c>
      <c r="Q14" s="598" t="e">
        <f t="shared" si="89"/>
        <v>#N/A</v>
      </c>
      <c r="R14" s="598" t="e">
        <f t="shared" si="89"/>
        <v>#N/A</v>
      </c>
      <c r="S14" s="598" t="e">
        <f t="shared" si="89"/>
        <v>#N/A</v>
      </c>
      <c r="T14" s="598" t="e">
        <f t="shared" si="89"/>
        <v>#N/A</v>
      </c>
      <c r="U14" s="598" t="e">
        <f t="shared" si="89"/>
        <v>#N/A</v>
      </c>
      <c r="V14" s="598" t="e">
        <f t="shared" si="89"/>
        <v>#N/A</v>
      </c>
      <c r="W14" s="598" t="e">
        <f t="shared" si="89"/>
        <v>#N/A</v>
      </c>
      <c r="Y14" s="598" t="s">
        <v>2347</v>
      </c>
      <c r="Z14" s="598" t="e">
        <f t="shared" ref="Z14:AI14" si="90">Z2+$G$160</f>
        <v>#N/A</v>
      </c>
      <c r="AA14" s="598" t="e">
        <f t="shared" si="90"/>
        <v>#N/A</v>
      </c>
      <c r="AB14" s="598" t="e">
        <f t="shared" si="90"/>
        <v>#N/A</v>
      </c>
      <c r="AC14" s="598" t="e">
        <f t="shared" si="90"/>
        <v>#N/A</v>
      </c>
      <c r="AD14" s="598" t="e">
        <f t="shared" si="90"/>
        <v>#N/A</v>
      </c>
      <c r="AE14" s="598" t="e">
        <f t="shared" si="90"/>
        <v>#N/A</v>
      </c>
      <c r="AF14" s="598" t="e">
        <f t="shared" si="90"/>
        <v>#N/A</v>
      </c>
      <c r="AG14" s="598" t="e">
        <f t="shared" si="90"/>
        <v>#N/A</v>
      </c>
      <c r="AH14" s="598" t="e">
        <f t="shared" si="90"/>
        <v>#N/A</v>
      </c>
      <c r="AI14" s="598" t="e">
        <f t="shared" si="90"/>
        <v>#N/A</v>
      </c>
      <c r="AK14" s="598" t="s">
        <v>2347</v>
      </c>
      <c r="AL14" s="598" t="e">
        <f t="shared" ref="AL14:AU14" si="91">AL2+$I$160</f>
        <v>#N/A</v>
      </c>
      <c r="AM14" s="598" t="e">
        <f t="shared" si="91"/>
        <v>#N/A</v>
      </c>
      <c r="AN14" s="598" t="e">
        <f t="shared" si="91"/>
        <v>#N/A</v>
      </c>
      <c r="AO14" s="598" t="e">
        <f t="shared" si="91"/>
        <v>#N/A</v>
      </c>
      <c r="AP14" s="598" t="e">
        <f t="shared" si="91"/>
        <v>#N/A</v>
      </c>
      <c r="AQ14" s="598" t="e">
        <f t="shared" si="91"/>
        <v>#N/A</v>
      </c>
      <c r="AR14" s="598" t="e">
        <f t="shared" si="91"/>
        <v>#N/A</v>
      </c>
      <c r="AS14" s="598" t="e">
        <f t="shared" si="91"/>
        <v>#N/A</v>
      </c>
      <c r="AT14" s="598" t="e">
        <f t="shared" si="91"/>
        <v>#N/A</v>
      </c>
      <c r="AU14" s="598" t="e">
        <f t="shared" si="91"/>
        <v>#N/A</v>
      </c>
      <c r="AW14" s="598" t="s">
        <v>2347</v>
      </c>
      <c r="AX14" s="598" t="e">
        <f t="shared" ref="AX14:BG14" si="92">AX2+$M$160</f>
        <v>#N/A</v>
      </c>
      <c r="AY14" s="598" t="e">
        <f t="shared" si="92"/>
        <v>#N/A</v>
      </c>
      <c r="AZ14" s="598" t="e">
        <f t="shared" si="92"/>
        <v>#N/A</v>
      </c>
      <c r="BA14" s="598" t="e">
        <f t="shared" si="92"/>
        <v>#N/A</v>
      </c>
      <c r="BB14" s="598" t="e">
        <f t="shared" si="92"/>
        <v>#N/A</v>
      </c>
      <c r="BC14" s="598" t="e">
        <f t="shared" si="92"/>
        <v>#N/A</v>
      </c>
      <c r="BD14" s="598" t="e">
        <f t="shared" si="92"/>
        <v>#N/A</v>
      </c>
      <c r="BE14" s="598" t="e">
        <f t="shared" si="92"/>
        <v>#N/A</v>
      </c>
      <c r="BF14" s="598" t="e">
        <f t="shared" si="92"/>
        <v>#N/A</v>
      </c>
      <c r="BG14" s="598" t="e">
        <f t="shared" si="92"/>
        <v>#N/A</v>
      </c>
      <c r="BI14" s="598" t="s">
        <v>2347</v>
      </c>
      <c r="BJ14" s="598" t="e">
        <f t="shared" ref="BJ14:BS14" si="93">BJ2+$K$160</f>
        <v>#N/A</v>
      </c>
      <c r="BK14" s="598" t="e">
        <f t="shared" si="93"/>
        <v>#N/A</v>
      </c>
      <c r="BL14" s="598" t="e">
        <f t="shared" si="93"/>
        <v>#N/A</v>
      </c>
      <c r="BM14" s="598" t="e">
        <f t="shared" si="93"/>
        <v>#N/A</v>
      </c>
      <c r="BN14" s="598" t="e">
        <f t="shared" si="93"/>
        <v>#N/A</v>
      </c>
      <c r="BO14" s="598" t="e">
        <f t="shared" si="93"/>
        <v>#N/A</v>
      </c>
      <c r="BP14" s="598" t="e">
        <f t="shared" si="93"/>
        <v>#N/A</v>
      </c>
      <c r="BQ14" s="598" t="e">
        <f t="shared" si="93"/>
        <v>#N/A</v>
      </c>
      <c r="BR14" s="598" t="e">
        <f t="shared" si="93"/>
        <v>#N/A</v>
      </c>
      <c r="BS14" s="598" t="e">
        <f t="shared" si="93"/>
        <v>#N/A</v>
      </c>
      <c r="BU14" s="598" t="s">
        <v>2347</v>
      </c>
      <c r="BV14" s="598" t="e">
        <f t="shared" ref="BV14:CE14" si="94">BV2+$W$160</f>
        <v>#N/A</v>
      </c>
      <c r="BW14" s="598" t="e">
        <f t="shared" si="94"/>
        <v>#N/A</v>
      </c>
      <c r="BX14" s="598" t="e">
        <f t="shared" si="94"/>
        <v>#N/A</v>
      </c>
      <c r="BY14" s="598" t="e">
        <f t="shared" si="94"/>
        <v>#N/A</v>
      </c>
      <c r="BZ14" s="598" t="e">
        <f t="shared" si="94"/>
        <v>#N/A</v>
      </c>
      <c r="CA14" s="598" t="e">
        <f t="shared" si="94"/>
        <v>#N/A</v>
      </c>
      <c r="CB14" s="598" t="e">
        <f t="shared" si="94"/>
        <v>#N/A</v>
      </c>
      <c r="CC14" s="598" t="e">
        <f t="shared" si="94"/>
        <v>#N/A</v>
      </c>
      <c r="CD14" s="598" t="e">
        <f t="shared" si="94"/>
        <v>#N/A</v>
      </c>
      <c r="CE14" s="598" t="e">
        <f t="shared" si="94"/>
        <v>#N/A</v>
      </c>
      <c r="CG14" s="598" t="s">
        <v>2347</v>
      </c>
      <c r="CH14" s="598" t="e">
        <f t="shared" ref="CH14:CQ14" si="95">CH2+$Y$160</f>
        <v>#N/A</v>
      </c>
      <c r="CI14" s="598" t="e">
        <f t="shared" si="95"/>
        <v>#N/A</v>
      </c>
      <c r="CJ14" s="598" t="e">
        <f t="shared" si="95"/>
        <v>#N/A</v>
      </c>
      <c r="CK14" s="598" t="e">
        <f t="shared" si="95"/>
        <v>#N/A</v>
      </c>
      <c r="CL14" s="598" t="e">
        <f t="shared" si="95"/>
        <v>#N/A</v>
      </c>
      <c r="CM14" s="598" t="e">
        <f t="shared" si="95"/>
        <v>#N/A</v>
      </c>
      <c r="CN14" s="598" t="e">
        <f t="shared" si="95"/>
        <v>#N/A</v>
      </c>
      <c r="CO14" s="598" t="e">
        <f t="shared" si="95"/>
        <v>#N/A</v>
      </c>
      <c r="CP14" s="598" t="e">
        <f t="shared" si="95"/>
        <v>#N/A</v>
      </c>
      <c r="CQ14" s="598" t="e">
        <f t="shared" si="95"/>
        <v>#N/A</v>
      </c>
    </row>
    <row r="15" spans="1:95">
      <c r="A15" s="598" t="s">
        <v>2348</v>
      </c>
      <c r="B15" s="598" t="e">
        <f t="shared" ref="B15:K15" si="96">B2+$C$161</f>
        <v>#N/A</v>
      </c>
      <c r="C15" s="598" t="e">
        <f t="shared" si="96"/>
        <v>#N/A</v>
      </c>
      <c r="D15" s="598" t="e">
        <f t="shared" si="96"/>
        <v>#N/A</v>
      </c>
      <c r="E15" s="598" t="e">
        <f t="shared" si="96"/>
        <v>#N/A</v>
      </c>
      <c r="F15" s="598" t="e">
        <f t="shared" si="96"/>
        <v>#N/A</v>
      </c>
      <c r="G15" s="598" t="e">
        <f t="shared" si="96"/>
        <v>#N/A</v>
      </c>
      <c r="H15" s="598" t="e">
        <f t="shared" si="96"/>
        <v>#N/A</v>
      </c>
      <c r="I15" s="598" t="e">
        <f t="shared" si="96"/>
        <v>#N/A</v>
      </c>
      <c r="J15" s="598" t="e">
        <f t="shared" si="96"/>
        <v>#N/A</v>
      </c>
      <c r="K15" s="598" t="e">
        <f t="shared" si="96"/>
        <v>#N/A</v>
      </c>
      <c r="M15" s="598" t="s">
        <v>2348</v>
      </c>
      <c r="N15" s="598" t="e">
        <f t="shared" ref="N15:W15" si="97">N2+$E$161</f>
        <v>#N/A</v>
      </c>
      <c r="O15" s="598" t="e">
        <f t="shared" si="97"/>
        <v>#N/A</v>
      </c>
      <c r="P15" s="598" t="e">
        <f t="shared" si="97"/>
        <v>#N/A</v>
      </c>
      <c r="Q15" s="598" t="e">
        <f t="shared" si="97"/>
        <v>#N/A</v>
      </c>
      <c r="R15" s="598" t="e">
        <f t="shared" si="97"/>
        <v>#N/A</v>
      </c>
      <c r="S15" s="598" t="e">
        <f t="shared" si="97"/>
        <v>#N/A</v>
      </c>
      <c r="T15" s="598" t="e">
        <f t="shared" si="97"/>
        <v>#N/A</v>
      </c>
      <c r="U15" s="598" t="e">
        <f t="shared" si="97"/>
        <v>#N/A</v>
      </c>
      <c r="V15" s="598" t="e">
        <f t="shared" si="97"/>
        <v>#N/A</v>
      </c>
      <c r="W15" s="598" t="e">
        <f t="shared" si="97"/>
        <v>#N/A</v>
      </c>
      <c r="Y15" s="598" t="s">
        <v>2348</v>
      </c>
      <c r="Z15" s="598" t="e">
        <f t="shared" ref="Z15:AI15" si="98">Z2+$G$161</f>
        <v>#N/A</v>
      </c>
      <c r="AA15" s="598" t="e">
        <f t="shared" si="98"/>
        <v>#N/A</v>
      </c>
      <c r="AB15" s="598" t="e">
        <f t="shared" si="98"/>
        <v>#N/A</v>
      </c>
      <c r="AC15" s="598" t="e">
        <f t="shared" si="98"/>
        <v>#N/A</v>
      </c>
      <c r="AD15" s="598" t="e">
        <f t="shared" si="98"/>
        <v>#N/A</v>
      </c>
      <c r="AE15" s="598" t="e">
        <f t="shared" si="98"/>
        <v>#N/A</v>
      </c>
      <c r="AF15" s="598" t="e">
        <f t="shared" si="98"/>
        <v>#N/A</v>
      </c>
      <c r="AG15" s="598" t="e">
        <f t="shared" si="98"/>
        <v>#N/A</v>
      </c>
      <c r="AH15" s="598" t="e">
        <f t="shared" si="98"/>
        <v>#N/A</v>
      </c>
      <c r="AI15" s="598" t="e">
        <f t="shared" si="98"/>
        <v>#N/A</v>
      </c>
      <c r="AK15" s="598" t="s">
        <v>2348</v>
      </c>
      <c r="AL15" s="598" t="e">
        <f t="shared" ref="AL15:AU15" si="99">AL2+$I$161</f>
        <v>#N/A</v>
      </c>
      <c r="AM15" s="598" t="e">
        <f t="shared" si="99"/>
        <v>#N/A</v>
      </c>
      <c r="AN15" s="598" t="e">
        <f t="shared" si="99"/>
        <v>#N/A</v>
      </c>
      <c r="AO15" s="598" t="e">
        <f t="shared" si="99"/>
        <v>#N/A</v>
      </c>
      <c r="AP15" s="598" t="e">
        <f t="shared" si="99"/>
        <v>#N/A</v>
      </c>
      <c r="AQ15" s="598" t="e">
        <f t="shared" si="99"/>
        <v>#N/A</v>
      </c>
      <c r="AR15" s="598" t="e">
        <f t="shared" si="99"/>
        <v>#N/A</v>
      </c>
      <c r="AS15" s="598" t="e">
        <f t="shared" si="99"/>
        <v>#N/A</v>
      </c>
      <c r="AT15" s="598" t="e">
        <f t="shared" si="99"/>
        <v>#N/A</v>
      </c>
      <c r="AU15" s="598" t="e">
        <f t="shared" si="99"/>
        <v>#N/A</v>
      </c>
      <c r="AW15" s="598" t="s">
        <v>2348</v>
      </c>
      <c r="AX15" s="598" t="e">
        <f t="shared" ref="AX15:BG15" si="100">AX2+$M$161</f>
        <v>#N/A</v>
      </c>
      <c r="AY15" s="598" t="e">
        <f t="shared" si="100"/>
        <v>#N/A</v>
      </c>
      <c r="AZ15" s="598" t="e">
        <f t="shared" si="100"/>
        <v>#N/A</v>
      </c>
      <c r="BA15" s="598" t="e">
        <f t="shared" si="100"/>
        <v>#N/A</v>
      </c>
      <c r="BB15" s="598" t="e">
        <f t="shared" si="100"/>
        <v>#N/A</v>
      </c>
      <c r="BC15" s="598" t="e">
        <f t="shared" si="100"/>
        <v>#N/A</v>
      </c>
      <c r="BD15" s="598" t="e">
        <f t="shared" si="100"/>
        <v>#N/A</v>
      </c>
      <c r="BE15" s="598" t="e">
        <f t="shared" si="100"/>
        <v>#N/A</v>
      </c>
      <c r="BF15" s="598" t="e">
        <f t="shared" si="100"/>
        <v>#N/A</v>
      </c>
      <c r="BG15" s="598" t="e">
        <f t="shared" si="100"/>
        <v>#N/A</v>
      </c>
      <c r="BI15" s="598" t="s">
        <v>2348</v>
      </c>
      <c r="BJ15" s="598" t="e">
        <f t="shared" ref="BJ15:BS15" si="101">BJ2+$K$161</f>
        <v>#N/A</v>
      </c>
      <c r="BK15" s="598" t="e">
        <f t="shared" si="101"/>
        <v>#N/A</v>
      </c>
      <c r="BL15" s="598" t="e">
        <f t="shared" si="101"/>
        <v>#N/A</v>
      </c>
      <c r="BM15" s="598" t="e">
        <f t="shared" si="101"/>
        <v>#N/A</v>
      </c>
      <c r="BN15" s="598" t="e">
        <f t="shared" si="101"/>
        <v>#N/A</v>
      </c>
      <c r="BO15" s="598" t="e">
        <f t="shared" si="101"/>
        <v>#N/A</v>
      </c>
      <c r="BP15" s="598" t="e">
        <f t="shared" si="101"/>
        <v>#N/A</v>
      </c>
      <c r="BQ15" s="598" t="e">
        <f t="shared" si="101"/>
        <v>#N/A</v>
      </c>
      <c r="BR15" s="598" t="e">
        <f t="shared" si="101"/>
        <v>#N/A</v>
      </c>
      <c r="BS15" s="598" t="e">
        <f t="shared" si="101"/>
        <v>#N/A</v>
      </c>
      <c r="BU15" s="598" t="s">
        <v>2348</v>
      </c>
      <c r="BV15" s="598" t="e">
        <f t="shared" ref="BV15:CE15" si="102">BV2+$W$161</f>
        <v>#N/A</v>
      </c>
      <c r="BW15" s="598" t="e">
        <f t="shared" si="102"/>
        <v>#N/A</v>
      </c>
      <c r="BX15" s="598" t="e">
        <f t="shared" si="102"/>
        <v>#N/A</v>
      </c>
      <c r="BY15" s="598" t="e">
        <f t="shared" si="102"/>
        <v>#N/A</v>
      </c>
      <c r="BZ15" s="598" t="e">
        <f t="shared" si="102"/>
        <v>#N/A</v>
      </c>
      <c r="CA15" s="598" t="e">
        <f t="shared" si="102"/>
        <v>#N/A</v>
      </c>
      <c r="CB15" s="598" t="e">
        <f t="shared" si="102"/>
        <v>#N/A</v>
      </c>
      <c r="CC15" s="598" t="e">
        <f t="shared" si="102"/>
        <v>#N/A</v>
      </c>
      <c r="CD15" s="598" t="e">
        <f t="shared" si="102"/>
        <v>#N/A</v>
      </c>
      <c r="CE15" s="598" t="e">
        <f t="shared" si="102"/>
        <v>#N/A</v>
      </c>
      <c r="CG15" s="598" t="s">
        <v>2348</v>
      </c>
      <c r="CH15" s="598" t="e">
        <f t="shared" ref="CH15:CQ15" si="103">CH2+$Y$161</f>
        <v>#N/A</v>
      </c>
      <c r="CI15" s="598" t="e">
        <f t="shared" si="103"/>
        <v>#N/A</v>
      </c>
      <c r="CJ15" s="598" t="e">
        <f t="shared" si="103"/>
        <v>#N/A</v>
      </c>
      <c r="CK15" s="598" t="e">
        <f t="shared" si="103"/>
        <v>#N/A</v>
      </c>
      <c r="CL15" s="598" t="e">
        <f t="shared" si="103"/>
        <v>#N/A</v>
      </c>
      <c r="CM15" s="598" t="e">
        <f t="shared" si="103"/>
        <v>#N/A</v>
      </c>
      <c r="CN15" s="598" t="e">
        <f t="shared" si="103"/>
        <v>#N/A</v>
      </c>
      <c r="CO15" s="598" t="e">
        <f t="shared" si="103"/>
        <v>#N/A</v>
      </c>
      <c r="CP15" s="598" t="e">
        <f t="shared" si="103"/>
        <v>#N/A</v>
      </c>
      <c r="CQ15" s="598" t="e">
        <f t="shared" si="103"/>
        <v>#N/A</v>
      </c>
    </row>
    <row r="16" spans="1:95">
      <c r="A16" s="598" t="s">
        <v>2340</v>
      </c>
      <c r="B16" s="598" t="e">
        <f t="shared" ref="B16:K16" si="104">B2+$C$162</f>
        <v>#N/A</v>
      </c>
      <c r="C16" s="598" t="e">
        <f t="shared" si="104"/>
        <v>#N/A</v>
      </c>
      <c r="D16" s="598" t="e">
        <f t="shared" si="104"/>
        <v>#N/A</v>
      </c>
      <c r="E16" s="598" t="e">
        <f t="shared" si="104"/>
        <v>#N/A</v>
      </c>
      <c r="F16" s="598" t="e">
        <f t="shared" si="104"/>
        <v>#N/A</v>
      </c>
      <c r="G16" s="598" t="e">
        <f t="shared" si="104"/>
        <v>#N/A</v>
      </c>
      <c r="H16" s="598" t="e">
        <f t="shared" si="104"/>
        <v>#N/A</v>
      </c>
      <c r="I16" s="598" t="e">
        <f t="shared" si="104"/>
        <v>#N/A</v>
      </c>
      <c r="J16" s="598" t="e">
        <f t="shared" si="104"/>
        <v>#N/A</v>
      </c>
      <c r="K16" s="598" t="e">
        <f t="shared" si="104"/>
        <v>#N/A</v>
      </c>
      <c r="M16" s="598" t="s">
        <v>2340</v>
      </c>
      <c r="N16" s="598" t="e">
        <f t="shared" ref="N16:W16" si="105">N2+$E$162</f>
        <v>#N/A</v>
      </c>
      <c r="O16" s="598" t="e">
        <f t="shared" si="105"/>
        <v>#N/A</v>
      </c>
      <c r="P16" s="598" t="e">
        <f t="shared" si="105"/>
        <v>#N/A</v>
      </c>
      <c r="Q16" s="598" t="e">
        <f t="shared" si="105"/>
        <v>#N/A</v>
      </c>
      <c r="R16" s="598" t="e">
        <f t="shared" si="105"/>
        <v>#N/A</v>
      </c>
      <c r="S16" s="598" t="e">
        <f t="shared" si="105"/>
        <v>#N/A</v>
      </c>
      <c r="T16" s="598" t="e">
        <f t="shared" si="105"/>
        <v>#N/A</v>
      </c>
      <c r="U16" s="598" t="e">
        <f t="shared" si="105"/>
        <v>#N/A</v>
      </c>
      <c r="V16" s="598" t="e">
        <f t="shared" si="105"/>
        <v>#N/A</v>
      </c>
      <c r="W16" s="598" t="e">
        <f t="shared" si="105"/>
        <v>#N/A</v>
      </c>
      <c r="Y16" s="598" t="s">
        <v>2340</v>
      </c>
      <c r="Z16" s="598" t="e">
        <f t="shared" ref="Z16:AI16" si="106">Z2+$G$162</f>
        <v>#N/A</v>
      </c>
      <c r="AA16" s="598" t="e">
        <f t="shared" si="106"/>
        <v>#N/A</v>
      </c>
      <c r="AB16" s="598" t="e">
        <f t="shared" si="106"/>
        <v>#N/A</v>
      </c>
      <c r="AC16" s="598" t="e">
        <f t="shared" si="106"/>
        <v>#N/A</v>
      </c>
      <c r="AD16" s="598" t="e">
        <f t="shared" si="106"/>
        <v>#N/A</v>
      </c>
      <c r="AE16" s="598" t="e">
        <f t="shared" si="106"/>
        <v>#N/A</v>
      </c>
      <c r="AF16" s="598" t="e">
        <f t="shared" si="106"/>
        <v>#N/A</v>
      </c>
      <c r="AG16" s="598" t="e">
        <f t="shared" si="106"/>
        <v>#N/A</v>
      </c>
      <c r="AH16" s="598" t="e">
        <f t="shared" si="106"/>
        <v>#N/A</v>
      </c>
      <c r="AI16" s="598" t="e">
        <f t="shared" si="106"/>
        <v>#N/A</v>
      </c>
      <c r="AK16" s="598" t="s">
        <v>2340</v>
      </c>
      <c r="AL16" s="598" t="e">
        <f t="shared" ref="AL16:AU16" si="107">AL2+$I$162</f>
        <v>#N/A</v>
      </c>
      <c r="AM16" s="598" t="e">
        <f t="shared" si="107"/>
        <v>#N/A</v>
      </c>
      <c r="AN16" s="598" t="e">
        <f t="shared" si="107"/>
        <v>#N/A</v>
      </c>
      <c r="AO16" s="598" t="e">
        <f t="shared" si="107"/>
        <v>#N/A</v>
      </c>
      <c r="AP16" s="598" t="e">
        <f t="shared" si="107"/>
        <v>#N/A</v>
      </c>
      <c r="AQ16" s="598" t="e">
        <f t="shared" si="107"/>
        <v>#N/A</v>
      </c>
      <c r="AR16" s="598" t="e">
        <f t="shared" si="107"/>
        <v>#N/A</v>
      </c>
      <c r="AS16" s="598" t="e">
        <f t="shared" si="107"/>
        <v>#N/A</v>
      </c>
      <c r="AT16" s="598" t="e">
        <f t="shared" si="107"/>
        <v>#N/A</v>
      </c>
      <c r="AU16" s="598" t="e">
        <f t="shared" si="107"/>
        <v>#N/A</v>
      </c>
      <c r="AW16" s="598" t="s">
        <v>2340</v>
      </c>
      <c r="AX16" s="598" t="e">
        <f t="shared" ref="AX16:BG16" si="108">AX2+$M$162</f>
        <v>#N/A</v>
      </c>
      <c r="AY16" s="598" t="e">
        <f t="shared" si="108"/>
        <v>#N/A</v>
      </c>
      <c r="AZ16" s="598" t="e">
        <f t="shared" si="108"/>
        <v>#N/A</v>
      </c>
      <c r="BA16" s="598" t="e">
        <f t="shared" si="108"/>
        <v>#N/A</v>
      </c>
      <c r="BB16" s="598" t="e">
        <f t="shared" si="108"/>
        <v>#N/A</v>
      </c>
      <c r="BC16" s="598" t="e">
        <f t="shared" si="108"/>
        <v>#N/A</v>
      </c>
      <c r="BD16" s="598" t="e">
        <f t="shared" si="108"/>
        <v>#N/A</v>
      </c>
      <c r="BE16" s="598" t="e">
        <f t="shared" si="108"/>
        <v>#N/A</v>
      </c>
      <c r="BF16" s="598" t="e">
        <f t="shared" si="108"/>
        <v>#N/A</v>
      </c>
      <c r="BG16" s="598" t="e">
        <f t="shared" si="108"/>
        <v>#N/A</v>
      </c>
      <c r="BI16" s="598" t="s">
        <v>2340</v>
      </c>
      <c r="BJ16" s="598" t="e">
        <f t="shared" ref="BJ16:BS16" si="109">BJ2+$K$162</f>
        <v>#N/A</v>
      </c>
      <c r="BK16" s="598" t="e">
        <f t="shared" si="109"/>
        <v>#N/A</v>
      </c>
      <c r="BL16" s="598" t="e">
        <f t="shared" si="109"/>
        <v>#N/A</v>
      </c>
      <c r="BM16" s="598" t="e">
        <f t="shared" si="109"/>
        <v>#N/A</v>
      </c>
      <c r="BN16" s="598" t="e">
        <f t="shared" si="109"/>
        <v>#N/A</v>
      </c>
      <c r="BO16" s="598" t="e">
        <f t="shared" si="109"/>
        <v>#N/A</v>
      </c>
      <c r="BP16" s="598" t="e">
        <f t="shared" si="109"/>
        <v>#N/A</v>
      </c>
      <c r="BQ16" s="598" t="e">
        <f t="shared" si="109"/>
        <v>#N/A</v>
      </c>
      <c r="BR16" s="598" t="e">
        <f t="shared" si="109"/>
        <v>#N/A</v>
      </c>
      <c r="BS16" s="598" t="e">
        <f t="shared" si="109"/>
        <v>#N/A</v>
      </c>
      <c r="BU16" s="598" t="s">
        <v>2340</v>
      </c>
      <c r="BV16" s="598" t="e">
        <f t="shared" ref="BV16:CE16" si="110">BV2+$W$162</f>
        <v>#N/A</v>
      </c>
      <c r="BW16" s="598" t="e">
        <f t="shared" si="110"/>
        <v>#N/A</v>
      </c>
      <c r="BX16" s="598" t="e">
        <f t="shared" si="110"/>
        <v>#N/A</v>
      </c>
      <c r="BY16" s="598" t="e">
        <f t="shared" si="110"/>
        <v>#N/A</v>
      </c>
      <c r="BZ16" s="598" t="e">
        <f t="shared" si="110"/>
        <v>#N/A</v>
      </c>
      <c r="CA16" s="598" t="e">
        <f t="shared" si="110"/>
        <v>#N/A</v>
      </c>
      <c r="CB16" s="598" t="e">
        <f t="shared" si="110"/>
        <v>#N/A</v>
      </c>
      <c r="CC16" s="598" t="e">
        <f t="shared" si="110"/>
        <v>#N/A</v>
      </c>
      <c r="CD16" s="598" t="e">
        <f t="shared" si="110"/>
        <v>#N/A</v>
      </c>
      <c r="CE16" s="598" t="e">
        <f t="shared" si="110"/>
        <v>#N/A</v>
      </c>
      <c r="CG16" s="598" t="s">
        <v>2340</v>
      </c>
      <c r="CH16" s="598" t="e">
        <f t="shared" ref="CH16:CQ16" si="111">CH2+$Y$162</f>
        <v>#N/A</v>
      </c>
      <c r="CI16" s="598" t="e">
        <f t="shared" si="111"/>
        <v>#N/A</v>
      </c>
      <c r="CJ16" s="598" t="e">
        <f t="shared" si="111"/>
        <v>#N/A</v>
      </c>
      <c r="CK16" s="598" t="e">
        <f t="shared" si="111"/>
        <v>#N/A</v>
      </c>
      <c r="CL16" s="598" t="e">
        <f t="shared" si="111"/>
        <v>#N/A</v>
      </c>
      <c r="CM16" s="598" t="e">
        <f t="shared" si="111"/>
        <v>#N/A</v>
      </c>
      <c r="CN16" s="598" t="e">
        <f t="shared" si="111"/>
        <v>#N/A</v>
      </c>
      <c r="CO16" s="598" t="e">
        <f t="shared" si="111"/>
        <v>#N/A</v>
      </c>
      <c r="CP16" s="598" t="e">
        <f t="shared" si="111"/>
        <v>#N/A</v>
      </c>
      <c r="CQ16" s="598" t="e">
        <f t="shared" si="111"/>
        <v>#N/A</v>
      </c>
    </row>
    <row r="17" spans="1:107">
      <c r="A17" s="598" t="s">
        <v>1633</v>
      </c>
      <c r="B17" s="598">
        <f t="shared" ref="B17:K17" si="112">B2+$C$163</f>
        <v>0</v>
      </c>
      <c r="C17" s="598">
        <f t="shared" si="112"/>
        <v>1</v>
      </c>
      <c r="D17" s="598">
        <f t="shared" si="112"/>
        <v>2</v>
      </c>
      <c r="E17" s="598">
        <f t="shared" si="112"/>
        <v>3</v>
      </c>
      <c r="F17" s="598">
        <f t="shared" si="112"/>
        <v>4</v>
      </c>
      <c r="G17" s="598">
        <f t="shared" si="112"/>
        <v>5</v>
      </c>
      <c r="H17" s="598">
        <f t="shared" si="112"/>
        <v>6</v>
      </c>
      <c r="I17" s="598">
        <f t="shared" si="112"/>
        <v>7</v>
      </c>
      <c r="J17" s="598">
        <f t="shared" si="112"/>
        <v>8</v>
      </c>
      <c r="K17" s="598">
        <f t="shared" si="112"/>
        <v>9</v>
      </c>
      <c r="M17" s="598" t="s">
        <v>1633</v>
      </c>
      <c r="N17" s="598">
        <f t="shared" ref="N17:W17" si="113">N2+$E$163</f>
        <v>-1</v>
      </c>
      <c r="O17" s="598">
        <f t="shared" si="113"/>
        <v>0</v>
      </c>
      <c r="P17" s="598">
        <f t="shared" si="113"/>
        <v>1</v>
      </c>
      <c r="Q17" s="598">
        <f t="shared" si="113"/>
        <v>2</v>
      </c>
      <c r="R17" s="598">
        <f t="shared" si="113"/>
        <v>3</v>
      </c>
      <c r="S17" s="598">
        <f t="shared" si="113"/>
        <v>4</v>
      </c>
      <c r="T17" s="598">
        <f t="shared" si="113"/>
        <v>5</v>
      </c>
      <c r="U17" s="598">
        <f t="shared" si="113"/>
        <v>6</v>
      </c>
      <c r="V17" s="598">
        <f t="shared" si="113"/>
        <v>7</v>
      </c>
      <c r="W17" s="598">
        <f t="shared" si="113"/>
        <v>8</v>
      </c>
      <c r="Y17" s="598" t="s">
        <v>1633</v>
      </c>
      <c r="Z17" s="598">
        <f t="shared" ref="Z17:AI17" si="114">Z2+$G$163</f>
        <v>-1</v>
      </c>
      <c r="AA17" s="598">
        <f t="shared" si="114"/>
        <v>0</v>
      </c>
      <c r="AB17" s="598">
        <f t="shared" si="114"/>
        <v>1</v>
      </c>
      <c r="AC17" s="598">
        <f t="shared" si="114"/>
        <v>2</v>
      </c>
      <c r="AD17" s="598">
        <f t="shared" si="114"/>
        <v>3</v>
      </c>
      <c r="AE17" s="598">
        <f t="shared" si="114"/>
        <v>4</v>
      </c>
      <c r="AF17" s="598">
        <f t="shared" si="114"/>
        <v>5</v>
      </c>
      <c r="AG17" s="598">
        <f t="shared" si="114"/>
        <v>6</v>
      </c>
      <c r="AH17" s="598">
        <f t="shared" si="114"/>
        <v>7</v>
      </c>
      <c r="AI17" s="598">
        <f t="shared" si="114"/>
        <v>8</v>
      </c>
      <c r="AK17" s="598" t="s">
        <v>1633</v>
      </c>
      <c r="AL17" s="598">
        <f t="shared" ref="AL17:AU17" si="115">AL2+$I$163</f>
        <v>3</v>
      </c>
      <c r="AM17" s="598">
        <f t="shared" si="115"/>
        <v>4</v>
      </c>
      <c r="AN17" s="598">
        <f t="shared" si="115"/>
        <v>5</v>
      </c>
      <c r="AO17" s="598">
        <f t="shared" si="115"/>
        <v>6</v>
      </c>
      <c r="AP17" s="598">
        <f t="shared" si="115"/>
        <v>7</v>
      </c>
      <c r="AQ17" s="598">
        <f t="shared" si="115"/>
        <v>8</v>
      </c>
      <c r="AR17" s="598">
        <f t="shared" si="115"/>
        <v>9</v>
      </c>
      <c r="AS17" s="598">
        <f t="shared" si="115"/>
        <v>10</v>
      </c>
      <c r="AT17" s="598">
        <f t="shared" si="115"/>
        <v>11</v>
      </c>
      <c r="AU17" s="598">
        <f t="shared" si="115"/>
        <v>12</v>
      </c>
      <c r="AW17" s="598" t="s">
        <v>1633</v>
      </c>
      <c r="AX17" s="598">
        <f t="shared" ref="AX17:BG17" si="116">AX2+$M$163</f>
        <v>1</v>
      </c>
      <c r="AY17" s="598">
        <f t="shared" si="116"/>
        <v>2</v>
      </c>
      <c r="AZ17" s="598">
        <f t="shared" si="116"/>
        <v>3</v>
      </c>
      <c r="BA17" s="598">
        <f t="shared" si="116"/>
        <v>4</v>
      </c>
      <c r="BB17" s="598">
        <f t="shared" si="116"/>
        <v>5</v>
      </c>
      <c r="BC17" s="598">
        <f t="shared" si="116"/>
        <v>6</v>
      </c>
      <c r="BD17" s="598">
        <f t="shared" si="116"/>
        <v>7</v>
      </c>
      <c r="BE17" s="598">
        <f t="shared" si="116"/>
        <v>8</v>
      </c>
      <c r="BF17" s="598">
        <f t="shared" si="116"/>
        <v>9</v>
      </c>
      <c r="BG17" s="598">
        <f t="shared" si="116"/>
        <v>10</v>
      </c>
      <c r="BI17" s="598" t="s">
        <v>1633</v>
      </c>
      <c r="BJ17" s="598">
        <f t="shared" ref="BJ17:BS17" si="117">BJ2+$K$163</f>
        <v>2</v>
      </c>
      <c r="BK17" s="598">
        <f t="shared" si="117"/>
        <v>3</v>
      </c>
      <c r="BL17" s="598">
        <f t="shared" si="117"/>
        <v>4</v>
      </c>
      <c r="BM17" s="598">
        <f t="shared" si="117"/>
        <v>5</v>
      </c>
      <c r="BN17" s="598">
        <f t="shared" si="117"/>
        <v>6</v>
      </c>
      <c r="BO17" s="598">
        <f t="shared" si="117"/>
        <v>7</v>
      </c>
      <c r="BP17" s="598">
        <f t="shared" si="117"/>
        <v>8</v>
      </c>
      <c r="BQ17" s="598">
        <f t="shared" si="117"/>
        <v>9</v>
      </c>
      <c r="BR17" s="598">
        <f t="shared" si="117"/>
        <v>10</v>
      </c>
      <c r="BS17" s="598">
        <f t="shared" si="117"/>
        <v>11</v>
      </c>
      <c r="BU17" s="598" t="s">
        <v>1633</v>
      </c>
      <c r="BV17" s="598">
        <f t="shared" ref="BV17:CE17" si="118">BV2+$W$163</f>
        <v>1</v>
      </c>
      <c r="BW17" s="598">
        <f t="shared" si="118"/>
        <v>2</v>
      </c>
      <c r="BX17" s="598">
        <f t="shared" si="118"/>
        <v>3</v>
      </c>
      <c r="BY17" s="598">
        <f t="shared" si="118"/>
        <v>4</v>
      </c>
      <c r="BZ17" s="598">
        <f t="shared" si="118"/>
        <v>5</v>
      </c>
      <c r="CA17" s="598">
        <f t="shared" si="118"/>
        <v>6</v>
      </c>
      <c r="CB17" s="598">
        <f t="shared" si="118"/>
        <v>7</v>
      </c>
      <c r="CC17" s="598">
        <f t="shared" si="118"/>
        <v>8</v>
      </c>
      <c r="CD17" s="598">
        <f t="shared" si="118"/>
        <v>9</v>
      </c>
      <c r="CE17" s="598">
        <f t="shared" si="118"/>
        <v>10</v>
      </c>
      <c r="CG17" s="598" t="s">
        <v>1633</v>
      </c>
      <c r="CH17" s="598">
        <f t="shared" ref="CH17:CQ17" si="119">CH2+$Y$163</f>
        <v>3</v>
      </c>
      <c r="CI17" s="598">
        <f t="shared" si="119"/>
        <v>4</v>
      </c>
      <c r="CJ17" s="598">
        <f t="shared" si="119"/>
        <v>5</v>
      </c>
      <c r="CK17" s="598">
        <f t="shared" si="119"/>
        <v>6</v>
      </c>
      <c r="CL17" s="598">
        <f t="shared" si="119"/>
        <v>7</v>
      </c>
      <c r="CM17" s="598">
        <f t="shared" si="119"/>
        <v>8</v>
      </c>
      <c r="CN17" s="598">
        <f t="shared" si="119"/>
        <v>9</v>
      </c>
      <c r="CO17" s="598">
        <f t="shared" si="119"/>
        <v>10</v>
      </c>
      <c r="CP17" s="598">
        <f t="shared" si="119"/>
        <v>11</v>
      </c>
      <c r="CQ17" s="598">
        <f t="shared" si="119"/>
        <v>12</v>
      </c>
    </row>
    <row r="18" spans="1:107">
      <c r="A18" s="598" t="s">
        <v>1634</v>
      </c>
      <c r="B18" s="598">
        <f t="shared" ref="B18:K18" si="120">B2+$C$164</f>
        <v>-1</v>
      </c>
      <c r="C18" s="598">
        <f t="shared" si="120"/>
        <v>0</v>
      </c>
      <c r="D18" s="598">
        <f t="shared" si="120"/>
        <v>1</v>
      </c>
      <c r="E18" s="598">
        <f t="shared" si="120"/>
        <v>2</v>
      </c>
      <c r="F18" s="598">
        <f t="shared" si="120"/>
        <v>3</v>
      </c>
      <c r="G18" s="598">
        <f t="shared" si="120"/>
        <v>4</v>
      </c>
      <c r="H18" s="598">
        <f t="shared" si="120"/>
        <v>5</v>
      </c>
      <c r="I18" s="598">
        <f t="shared" si="120"/>
        <v>6</v>
      </c>
      <c r="J18" s="598">
        <f t="shared" si="120"/>
        <v>7</v>
      </c>
      <c r="K18" s="598">
        <f t="shared" si="120"/>
        <v>8</v>
      </c>
      <c r="M18" s="598" t="s">
        <v>1634</v>
      </c>
      <c r="N18" s="598">
        <f t="shared" ref="N18:W18" si="121">N2+$E$164</f>
        <v>-2</v>
      </c>
      <c r="O18" s="598">
        <f t="shared" si="121"/>
        <v>-1</v>
      </c>
      <c r="P18" s="598">
        <f t="shared" si="121"/>
        <v>0</v>
      </c>
      <c r="Q18" s="598">
        <f t="shared" si="121"/>
        <v>1</v>
      </c>
      <c r="R18" s="598">
        <f t="shared" si="121"/>
        <v>2</v>
      </c>
      <c r="S18" s="598">
        <f t="shared" si="121"/>
        <v>3</v>
      </c>
      <c r="T18" s="598">
        <f t="shared" si="121"/>
        <v>4</v>
      </c>
      <c r="U18" s="598">
        <f t="shared" si="121"/>
        <v>5</v>
      </c>
      <c r="V18" s="598">
        <f t="shared" si="121"/>
        <v>6</v>
      </c>
      <c r="W18" s="598">
        <f t="shared" si="121"/>
        <v>7</v>
      </c>
      <c r="Y18" s="598" t="s">
        <v>1634</v>
      </c>
      <c r="Z18" s="598">
        <f t="shared" ref="Z18:AI18" si="122">Z2+$G$164</f>
        <v>1</v>
      </c>
      <c r="AA18" s="598">
        <f t="shared" si="122"/>
        <v>2</v>
      </c>
      <c r="AB18" s="598">
        <f t="shared" si="122"/>
        <v>3</v>
      </c>
      <c r="AC18" s="598">
        <f t="shared" si="122"/>
        <v>4</v>
      </c>
      <c r="AD18" s="598">
        <f t="shared" si="122"/>
        <v>5</v>
      </c>
      <c r="AE18" s="598">
        <f t="shared" si="122"/>
        <v>6</v>
      </c>
      <c r="AF18" s="598">
        <f t="shared" si="122"/>
        <v>7</v>
      </c>
      <c r="AG18" s="598">
        <f t="shared" si="122"/>
        <v>8</v>
      </c>
      <c r="AH18" s="598">
        <f t="shared" si="122"/>
        <v>9</v>
      </c>
      <c r="AI18" s="598">
        <f t="shared" si="122"/>
        <v>10</v>
      </c>
      <c r="AK18" s="598" t="s">
        <v>1634</v>
      </c>
      <c r="AL18" s="598">
        <f t="shared" ref="AL18:AU18" si="123">AL2+$I$164</f>
        <v>1</v>
      </c>
      <c r="AM18" s="598">
        <f t="shared" si="123"/>
        <v>2</v>
      </c>
      <c r="AN18" s="598">
        <f t="shared" si="123"/>
        <v>3</v>
      </c>
      <c r="AO18" s="598">
        <f t="shared" si="123"/>
        <v>4</v>
      </c>
      <c r="AP18" s="598">
        <f t="shared" si="123"/>
        <v>5</v>
      </c>
      <c r="AQ18" s="598">
        <f t="shared" si="123"/>
        <v>6</v>
      </c>
      <c r="AR18" s="598">
        <f t="shared" si="123"/>
        <v>7</v>
      </c>
      <c r="AS18" s="598">
        <f t="shared" si="123"/>
        <v>8</v>
      </c>
      <c r="AT18" s="598">
        <f t="shared" si="123"/>
        <v>9</v>
      </c>
      <c r="AU18" s="598">
        <f t="shared" si="123"/>
        <v>10</v>
      </c>
      <c r="AW18" s="598" t="s">
        <v>1634</v>
      </c>
      <c r="AX18" s="598">
        <f t="shared" ref="AX18:BG18" si="124">AX2+$M$164</f>
        <v>1</v>
      </c>
      <c r="AY18" s="598">
        <f t="shared" si="124"/>
        <v>2</v>
      </c>
      <c r="AZ18" s="598">
        <f t="shared" si="124"/>
        <v>3</v>
      </c>
      <c r="BA18" s="598">
        <f t="shared" si="124"/>
        <v>4</v>
      </c>
      <c r="BB18" s="598">
        <f t="shared" si="124"/>
        <v>5</v>
      </c>
      <c r="BC18" s="598">
        <f t="shared" si="124"/>
        <v>6</v>
      </c>
      <c r="BD18" s="598">
        <f t="shared" si="124"/>
        <v>7</v>
      </c>
      <c r="BE18" s="598">
        <f t="shared" si="124"/>
        <v>8</v>
      </c>
      <c r="BF18" s="598">
        <f t="shared" si="124"/>
        <v>9</v>
      </c>
      <c r="BG18" s="598">
        <f t="shared" si="124"/>
        <v>10</v>
      </c>
      <c r="BI18" s="598" t="s">
        <v>1634</v>
      </c>
      <c r="BJ18" s="598">
        <f t="shared" ref="BJ18:BS18" si="125">BJ2+$K$164</f>
        <v>1</v>
      </c>
      <c r="BK18" s="598">
        <f t="shared" si="125"/>
        <v>2</v>
      </c>
      <c r="BL18" s="598">
        <f t="shared" si="125"/>
        <v>3</v>
      </c>
      <c r="BM18" s="598">
        <f t="shared" si="125"/>
        <v>4</v>
      </c>
      <c r="BN18" s="598">
        <f t="shared" si="125"/>
        <v>5</v>
      </c>
      <c r="BO18" s="598">
        <f t="shared" si="125"/>
        <v>6</v>
      </c>
      <c r="BP18" s="598">
        <f t="shared" si="125"/>
        <v>7</v>
      </c>
      <c r="BQ18" s="598">
        <f t="shared" si="125"/>
        <v>8</v>
      </c>
      <c r="BR18" s="598">
        <f t="shared" si="125"/>
        <v>9</v>
      </c>
      <c r="BS18" s="598">
        <f t="shared" si="125"/>
        <v>10</v>
      </c>
      <c r="BU18" s="598" t="s">
        <v>1634</v>
      </c>
      <c r="BV18" s="598">
        <f t="shared" ref="BV18:CE18" si="126">BV2+$W$164</f>
        <v>4</v>
      </c>
      <c r="BW18" s="598">
        <f t="shared" si="126"/>
        <v>5</v>
      </c>
      <c r="BX18" s="598">
        <f t="shared" si="126"/>
        <v>6</v>
      </c>
      <c r="BY18" s="598">
        <f t="shared" si="126"/>
        <v>7</v>
      </c>
      <c r="BZ18" s="598">
        <f t="shared" si="126"/>
        <v>8</v>
      </c>
      <c r="CA18" s="598">
        <f t="shared" si="126"/>
        <v>9</v>
      </c>
      <c r="CB18" s="598">
        <f t="shared" si="126"/>
        <v>10</v>
      </c>
      <c r="CC18" s="598">
        <f t="shared" si="126"/>
        <v>11</v>
      </c>
      <c r="CD18" s="598">
        <f t="shared" si="126"/>
        <v>12</v>
      </c>
      <c r="CE18" s="598">
        <f t="shared" si="126"/>
        <v>13</v>
      </c>
      <c r="CG18" s="598" t="s">
        <v>1634</v>
      </c>
      <c r="CH18" s="598">
        <f t="shared" ref="CH18:CQ18" si="127">CH2+$Y$164</f>
        <v>1</v>
      </c>
      <c r="CI18" s="598">
        <f t="shared" si="127"/>
        <v>2</v>
      </c>
      <c r="CJ18" s="598">
        <f t="shared" si="127"/>
        <v>3</v>
      </c>
      <c r="CK18" s="598">
        <f t="shared" si="127"/>
        <v>4</v>
      </c>
      <c r="CL18" s="598">
        <f t="shared" si="127"/>
        <v>5</v>
      </c>
      <c r="CM18" s="598">
        <f t="shared" si="127"/>
        <v>6</v>
      </c>
      <c r="CN18" s="598">
        <f t="shared" si="127"/>
        <v>7</v>
      </c>
      <c r="CO18" s="598">
        <f t="shared" si="127"/>
        <v>8</v>
      </c>
      <c r="CP18" s="598">
        <f t="shared" si="127"/>
        <v>9</v>
      </c>
      <c r="CQ18" s="598">
        <f t="shared" si="127"/>
        <v>10</v>
      </c>
    </row>
    <row r="19" spans="1:107">
      <c r="A19" s="598" t="s">
        <v>1635</v>
      </c>
      <c r="B19" s="598">
        <f t="shared" ref="B19:K19" si="128">B2+$C$165</f>
        <v>0</v>
      </c>
      <c r="C19" s="598">
        <f t="shared" si="128"/>
        <v>1</v>
      </c>
      <c r="D19" s="598">
        <f t="shared" si="128"/>
        <v>2</v>
      </c>
      <c r="E19" s="598">
        <f t="shared" si="128"/>
        <v>3</v>
      </c>
      <c r="F19" s="598">
        <f t="shared" si="128"/>
        <v>4</v>
      </c>
      <c r="G19" s="598">
        <f t="shared" si="128"/>
        <v>5</v>
      </c>
      <c r="H19" s="598">
        <f t="shared" si="128"/>
        <v>6</v>
      </c>
      <c r="I19" s="598">
        <f t="shared" si="128"/>
        <v>7</v>
      </c>
      <c r="J19" s="598">
        <f t="shared" si="128"/>
        <v>8</v>
      </c>
      <c r="K19" s="598">
        <f t="shared" si="128"/>
        <v>9</v>
      </c>
      <c r="M19" s="598" t="s">
        <v>1635</v>
      </c>
      <c r="N19" s="598">
        <f t="shared" ref="N19:W19" si="129">N2+$E$165</f>
        <v>-1</v>
      </c>
      <c r="O19" s="598">
        <f t="shared" si="129"/>
        <v>0</v>
      </c>
      <c r="P19" s="598">
        <f t="shared" si="129"/>
        <v>1</v>
      </c>
      <c r="Q19" s="598">
        <f t="shared" si="129"/>
        <v>2</v>
      </c>
      <c r="R19" s="598">
        <f t="shared" si="129"/>
        <v>3</v>
      </c>
      <c r="S19" s="598">
        <f t="shared" si="129"/>
        <v>4</v>
      </c>
      <c r="T19" s="598">
        <f t="shared" si="129"/>
        <v>5</v>
      </c>
      <c r="U19" s="598">
        <f t="shared" si="129"/>
        <v>6</v>
      </c>
      <c r="V19" s="598">
        <f t="shared" si="129"/>
        <v>7</v>
      </c>
      <c r="W19" s="598">
        <f t="shared" si="129"/>
        <v>8</v>
      </c>
      <c r="Y19" s="598" t="s">
        <v>1635</v>
      </c>
      <c r="Z19" s="598">
        <f t="shared" ref="Z19:AI19" si="130">Z2+$G$165</f>
        <v>-2</v>
      </c>
      <c r="AA19" s="598">
        <f t="shared" si="130"/>
        <v>-1</v>
      </c>
      <c r="AB19" s="598">
        <f t="shared" si="130"/>
        <v>0</v>
      </c>
      <c r="AC19" s="598">
        <f t="shared" si="130"/>
        <v>1</v>
      </c>
      <c r="AD19" s="598">
        <f t="shared" si="130"/>
        <v>2</v>
      </c>
      <c r="AE19" s="598">
        <f t="shared" si="130"/>
        <v>3</v>
      </c>
      <c r="AF19" s="598">
        <f t="shared" si="130"/>
        <v>4</v>
      </c>
      <c r="AG19" s="598">
        <f t="shared" si="130"/>
        <v>5</v>
      </c>
      <c r="AH19" s="598">
        <f t="shared" si="130"/>
        <v>6</v>
      </c>
      <c r="AI19" s="598">
        <f t="shared" si="130"/>
        <v>7</v>
      </c>
      <c r="AK19" s="598" t="s">
        <v>1635</v>
      </c>
      <c r="AL19" s="598">
        <f t="shared" ref="AL19:AU19" si="131">AL2+$I$165</f>
        <v>1</v>
      </c>
      <c r="AM19" s="598">
        <f t="shared" si="131"/>
        <v>2</v>
      </c>
      <c r="AN19" s="598">
        <f t="shared" si="131"/>
        <v>3</v>
      </c>
      <c r="AO19" s="598">
        <f t="shared" si="131"/>
        <v>4</v>
      </c>
      <c r="AP19" s="598">
        <f t="shared" si="131"/>
        <v>5</v>
      </c>
      <c r="AQ19" s="598">
        <f t="shared" si="131"/>
        <v>6</v>
      </c>
      <c r="AR19" s="598">
        <f t="shared" si="131"/>
        <v>7</v>
      </c>
      <c r="AS19" s="598">
        <f t="shared" si="131"/>
        <v>8</v>
      </c>
      <c r="AT19" s="598">
        <f t="shared" si="131"/>
        <v>9</v>
      </c>
      <c r="AU19" s="598">
        <f t="shared" si="131"/>
        <v>10</v>
      </c>
      <c r="AW19" s="598" t="s">
        <v>1635</v>
      </c>
      <c r="AX19" s="598">
        <f t="shared" ref="AX19:BG19" si="132">AX2+$M$165</f>
        <v>1</v>
      </c>
      <c r="AY19" s="598">
        <f t="shared" si="132"/>
        <v>2</v>
      </c>
      <c r="AZ19" s="598">
        <f t="shared" si="132"/>
        <v>3</v>
      </c>
      <c r="BA19" s="598">
        <f t="shared" si="132"/>
        <v>4</v>
      </c>
      <c r="BB19" s="598">
        <f t="shared" si="132"/>
        <v>5</v>
      </c>
      <c r="BC19" s="598">
        <f t="shared" si="132"/>
        <v>6</v>
      </c>
      <c r="BD19" s="598">
        <f t="shared" si="132"/>
        <v>7</v>
      </c>
      <c r="BE19" s="598">
        <f t="shared" si="132"/>
        <v>8</v>
      </c>
      <c r="BF19" s="598">
        <f t="shared" si="132"/>
        <v>9</v>
      </c>
      <c r="BG19" s="598">
        <f t="shared" si="132"/>
        <v>10</v>
      </c>
      <c r="BI19" s="598" t="s">
        <v>1635</v>
      </c>
      <c r="BJ19" s="598">
        <f t="shared" ref="BJ19:BS19" si="133">BJ2+$K$165</f>
        <v>1</v>
      </c>
      <c r="BK19" s="598">
        <f t="shared" si="133"/>
        <v>2</v>
      </c>
      <c r="BL19" s="598">
        <f t="shared" si="133"/>
        <v>3</v>
      </c>
      <c r="BM19" s="598">
        <f t="shared" si="133"/>
        <v>4</v>
      </c>
      <c r="BN19" s="598">
        <f t="shared" si="133"/>
        <v>5</v>
      </c>
      <c r="BO19" s="598">
        <f t="shared" si="133"/>
        <v>6</v>
      </c>
      <c r="BP19" s="598">
        <f t="shared" si="133"/>
        <v>7</v>
      </c>
      <c r="BQ19" s="598">
        <f t="shared" si="133"/>
        <v>8</v>
      </c>
      <c r="BR19" s="598">
        <f t="shared" si="133"/>
        <v>9</v>
      </c>
      <c r="BS19" s="598">
        <f t="shared" si="133"/>
        <v>10</v>
      </c>
      <c r="BU19" s="598" t="s">
        <v>1635</v>
      </c>
      <c r="BV19" s="598">
        <f t="shared" ref="BV19:CE19" si="134">BV2+$W$165</f>
        <v>-2</v>
      </c>
      <c r="BW19" s="598">
        <f t="shared" si="134"/>
        <v>-1</v>
      </c>
      <c r="BX19" s="598">
        <f t="shared" si="134"/>
        <v>0</v>
      </c>
      <c r="BY19" s="598">
        <f t="shared" si="134"/>
        <v>1</v>
      </c>
      <c r="BZ19" s="598">
        <f t="shared" si="134"/>
        <v>2</v>
      </c>
      <c r="CA19" s="598">
        <f t="shared" si="134"/>
        <v>3</v>
      </c>
      <c r="CB19" s="598">
        <f t="shared" si="134"/>
        <v>4</v>
      </c>
      <c r="CC19" s="598">
        <f t="shared" si="134"/>
        <v>5</v>
      </c>
      <c r="CD19" s="598">
        <f t="shared" si="134"/>
        <v>6</v>
      </c>
      <c r="CE19" s="598">
        <f t="shared" si="134"/>
        <v>7</v>
      </c>
      <c r="CG19" s="598" t="s">
        <v>1635</v>
      </c>
      <c r="CH19" s="598">
        <f t="shared" ref="CH19:CQ19" si="135">CH2+$Y$165</f>
        <v>1</v>
      </c>
      <c r="CI19" s="598">
        <f t="shared" si="135"/>
        <v>2</v>
      </c>
      <c r="CJ19" s="598">
        <f t="shared" si="135"/>
        <v>3</v>
      </c>
      <c r="CK19" s="598">
        <f t="shared" si="135"/>
        <v>4</v>
      </c>
      <c r="CL19" s="598">
        <f t="shared" si="135"/>
        <v>5</v>
      </c>
      <c r="CM19" s="598">
        <f t="shared" si="135"/>
        <v>6</v>
      </c>
      <c r="CN19" s="598">
        <f t="shared" si="135"/>
        <v>7</v>
      </c>
      <c r="CO19" s="598">
        <f t="shared" si="135"/>
        <v>8</v>
      </c>
      <c r="CP19" s="598">
        <f t="shared" si="135"/>
        <v>9</v>
      </c>
      <c r="CQ19" s="598">
        <f t="shared" si="135"/>
        <v>10</v>
      </c>
    </row>
    <row r="20" spans="1:107">
      <c r="A20" s="598" t="s">
        <v>1347</v>
      </c>
      <c r="B20" s="598" t="e">
        <f t="shared" ref="B20:K20" si="136">B2+$C$166</f>
        <v>#N/A</v>
      </c>
      <c r="C20" s="598" t="e">
        <f t="shared" si="136"/>
        <v>#N/A</v>
      </c>
      <c r="D20" s="598" t="e">
        <f t="shared" si="136"/>
        <v>#N/A</v>
      </c>
      <c r="E20" s="598" t="e">
        <f t="shared" si="136"/>
        <v>#N/A</v>
      </c>
      <c r="F20" s="598" t="e">
        <f t="shared" si="136"/>
        <v>#N/A</v>
      </c>
      <c r="G20" s="598" t="e">
        <f t="shared" si="136"/>
        <v>#N/A</v>
      </c>
      <c r="H20" s="598" t="e">
        <f t="shared" si="136"/>
        <v>#N/A</v>
      </c>
      <c r="I20" s="598" t="e">
        <f t="shared" si="136"/>
        <v>#N/A</v>
      </c>
      <c r="J20" s="598" t="e">
        <f t="shared" si="136"/>
        <v>#N/A</v>
      </c>
      <c r="K20" s="598" t="e">
        <f t="shared" si="136"/>
        <v>#N/A</v>
      </c>
      <c r="M20" s="598" t="s">
        <v>1347</v>
      </c>
      <c r="N20" s="598" t="e">
        <f t="shared" ref="N20:W20" si="137">N2+$E$166</f>
        <v>#N/A</v>
      </c>
      <c r="O20" s="598" t="e">
        <f t="shared" si="137"/>
        <v>#N/A</v>
      </c>
      <c r="P20" s="598" t="e">
        <f t="shared" si="137"/>
        <v>#N/A</v>
      </c>
      <c r="Q20" s="598" t="e">
        <f t="shared" si="137"/>
        <v>#N/A</v>
      </c>
      <c r="R20" s="598" t="e">
        <f t="shared" si="137"/>
        <v>#N/A</v>
      </c>
      <c r="S20" s="598" t="e">
        <f t="shared" si="137"/>
        <v>#N/A</v>
      </c>
      <c r="T20" s="598" t="e">
        <f t="shared" si="137"/>
        <v>#N/A</v>
      </c>
      <c r="U20" s="598" t="e">
        <f t="shared" si="137"/>
        <v>#N/A</v>
      </c>
      <c r="V20" s="598" t="e">
        <f t="shared" si="137"/>
        <v>#N/A</v>
      </c>
      <c r="W20" s="598" t="e">
        <f t="shared" si="137"/>
        <v>#N/A</v>
      </c>
      <c r="Y20" s="598" t="s">
        <v>1347</v>
      </c>
      <c r="Z20" s="598" t="e">
        <f t="shared" ref="Z20:AI20" si="138">Z2+$G$166</f>
        <v>#N/A</v>
      </c>
      <c r="AA20" s="598" t="e">
        <f t="shared" si="138"/>
        <v>#N/A</v>
      </c>
      <c r="AB20" s="598" t="e">
        <f t="shared" si="138"/>
        <v>#N/A</v>
      </c>
      <c r="AC20" s="598" t="e">
        <f t="shared" si="138"/>
        <v>#N/A</v>
      </c>
      <c r="AD20" s="598" t="e">
        <f t="shared" si="138"/>
        <v>#N/A</v>
      </c>
      <c r="AE20" s="598" t="e">
        <f t="shared" si="138"/>
        <v>#N/A</v>
      </c>
      <c r="AF20" s="598" t="e">
        <f t="shared" si="138"/>
        <v>#N/A</v>
      </c>
      <c r="AG20" s="598" t="e">
        <f t="shared" si="138"/>
        <v>#N/A</v>
      </c>
      <c r="AH20" s="598" t="e">
        <f t="shared" si="138"/>
        <v>#N/A</v>
      </c>
      <c r="AI20" s="598" t="e">
        <f t="shared" si="138"/>
        <v>#N/A</v>
      </c>
      <c r="AK20" s="598" t="s">
        <v>1347</v>
      </c>
      <c r="AL20" s="598" t="e">
        <f t="shared" ref="AL20:AU20" si="139">AL2+$I$166</f>
        <v>#N/A</v>
      </c>
      <c r="AM20" s="598" t="e">
        <f t="shared" si="139"/>
        <v>#N/A</v>
      </c>
      <c r="AN20" s="598" t="e">
        <f t="shared" si="139"/>
        <v>#N/A</v>
      </c>
      <c r="AO20" s="598" t="e">
        <f t="shared" si="139"/>
        <v>#N/A</v>
      </c>
      <c r="AP20" s="598" t="e">
        <f t="shared" si="139"/>
        <v>#N/A</v>
      </c>
      <c r="AQ20" s="598" t="e">
        <f t="shared" si="139"/>
        <v>#N/A</v>
      </c>
      <c r="AR20" s="598" t="e">
        <f t="shared" si="139"/>
        <v>#N/A</v>
      </c>
      <c r="AS20" s="598" t="e">
        <f t="shared" si="139"/>
        <v>#N/A</v>
      </c>
      <c r="AT20" s="598" t="e">
        <f t="shared" si="139"/>
        <v>#N/A</v>
      </c>
      <c r="AU20" s="598" t="e">
        <f t="shared" si="139"/>
        <v>#N/A</v>
      </c>
      <c r="AW20" s="598" t="s">
        <v>1347</v>
      </c>
      <c r="AX20" s="598" t="e">
        <f t="shared" ref="AX20:BG20" si="140">AX2+$M$166</f>
        <v>#N/A</v>
      </c>
      <c r="AY20" s="598" t="e">
        <f t="shared" si="140"/>
        <v>#N/A</v>
      </c>
      <c r="AZ20" s="598" t="e">
        <f t="shared" si="140"/>
        <v>#N/A</v>
      </c>
      <c r="BA20" s="598" t="e">
        <f t="shared" si="140"/>
        <v>#N/A</v>
      </c>
      <c r="BB20" s="598" t="e">
        <f t="shared" si="140"/>
        <v>#N/A</v>
      </c>
      <c r="BC20" s="598" t="e">
        <f t="shared" si="140"/>
        <v>#N/A</v>
      </c>
      <c r="BD20" s="598" t="e">
        <f t="shared" si="140"/>
        <v>#N/A</v>
      </c>
      <c r="BE20" s="598" t="e">
        <f t="shared" si="140"/>
        <v>#N/A</v>
      </c>
      <c r="BF20" s="598" t="e">
        <f t="shared" si="140"/>
        <v>#N/A</v>
      </c>
      <c r="BG20" s="598" t="e">
        <f t="shared" si="140"/>
        <v>#N/A</v>
      </c>
      <c r="BI20" s="598" t="s">
        <v>1347</v>
      </c>
      <c r="BJ20" s="598" t="e">
        <f t="shared" ref="BJ20:BS20" si="141">BJ2+$K$166</f>
        <v>#N/A</v>
      </c>
      <c r="BK20" s="598" t="e">
        <f t="shared" si="141"/>
        <v>#N/A</v>
      </c>
      <c r="BL20" s="598" t="e">
        <f t="shared" si="141"/>
        <v>#N/A</v>
      </c>
      <c r="BM20" s="598" t="e">
        <f t="shared" si="141"/>
        <v>#N/A</v>
      </c>
      <c r="BN20" s="598" t="e">
        <f t="shared" si="141"/>
        <v>#N/A</v>
      </c>
      <c r="BO20" s="598" t="e">
        <f t="shared" si="141"/>
        <v>#N/A</v>
      </c>
      <c r="BP20" s="598" t="e">
        <f t="shared" si="141"/>
        <v>#N/A</v>
      </c>
      <c r="BQ20" s="598" t="e">
        <f t="shared" si="141"/>
        <v>#N/A</v>
      </c>
      <c r="BR20" s="598" t="e">
        <f t="shared" si="141"/>
        <v>#N/A</v>
      </c>
      <c r="BS20" s="598" t="e">
        <f t="shared" si="141"/>
        <v>#N/A</v>
      </c>
      <c r="BU20" s="598" t="s">
        <v>1347</v>
      </c>
      <c r="BV20" s="598" t="e">
        <f t="shared" ref="BV20:CE20" si="142">BV2+$W$166</f>
        <v>#N/A</v>
      </c>
      <c r="BW20" s="598" t="e">
        <f t="shared" si="142"/>
        <v>#N/A</v>
      </c>
      <c r="BX20" s="598" t="e">
        <f t="shared" si="142"/>
        <v>#N/A</v>
      </c>
      <c r="BY20" s="598" t="e">
        <f t="shared" si="142"/>
        <v>#N/A</v>
      </c>
      <c r="BZ20" s="598" t="e">
        <f t="shared" si="142"/>
        <v>#N/A</v>
      </c>
      <c r="CA20" s="598" t="e">
        <f t="shared" si="142"/>
        <v>#N/A</v>
      </c>
      <c r="CB20" s="598" t="e">
        <f t="shared" si="142"/>
        <v>#N/A</v>
      </c>
      <c r="CC20" s="598" t="e">
        <f t="shared" si="142"/>
        <v>#N/A</v>
      </c>
      <c r="CD20" s="598" t="e">
        <f t="shared" si="142"/>
        <v>#N/A</v>
      </c>
      <c r="CE20" s="598" t="e">
        <f t="shared" si="142"/>
        <v>#N/A</v>
      </c>
      <c r="CG20" s="598" t="s">
        <v>1347</v>
      </c>
      <c r="CH20" s="598" t="e">
        <f t="shared" ref="CH20:CQ20" si="143">CH2+$Y$166</f>
        <v>#N/A</v>
      </c>
      <c r="CI20" s="598" t="e">
        <f t="shared" si="143"/>
        <v>#N/A</v>
      </c>
      <c r="CJ20" s="598" t="e">
        <f t="shared" si="143"/>
        <v>#N/A</v>
      </c>
      <c r="CK20" s="598" t="e">
        <f t="shared" si="143"/>
        <v>#N/A</v>
      </c>
      <c r="CL20" s="598" t="e">
        <f t="shared" si="143"/>
        <v>#N/A</v>
      </c>
      <c r="CM20" s="598" t="e">
        <f t="shared" si="143"/>
        <v>#N/A</v>
      </c>
      <c r="CN20" s="598" t="e">
        <f t="shared" si="143"/>
        <v>#N/A</v>
      </c>
      <c r="CO20" s="598" t="e">
        <f t="shared" si="143"/>
        <v>#N/A</v>
      </c>
      <c r="CP20" s="598" t="e">
        <f t="shared" si="143"/>
        <v>#N/A</v>
      </c>
      <c r="CQ20" s="598" t="e">
        <f t="shared" si="143"/>
        <v>#N/A</v>
      </c>
    </row>
    <row r="21" spans="1:107">
      <c r="A21" s="598" t="s">
        <v>1636</v>
      </c>
      <c r="B21" s="598">
        <f t="shared" ref="B21:K21" si="144">B2+$C$167</f>
        <v>1</v>
      </c>
      <c r="C21" s="598">
        <f t="shared" si="144"/>
        <v>2</v>
      </c>
      <c r="D21" s="598">
        <f t="shared" si="144"/>
        <v>3</v>
      </c>
      <c r="E21" s="598">
        <f t="shared" si="144"/>
        <v>4</v>
      </c>
      <c r="F21" s="598">
        <f t="shared" si="144"/>
        <v>5</v>
      </c>
      <c r="G21" s="598">
        <f t="shared" si="144"/>
        <v>6</v>
      </c>
      <c r="H21" s="598">
        <f t="shared" si="144"/>
        <v>7</v>
      </c>
      <c r="I21" s="598">
        <f t="shared" si="144"/>
        <v>8</v>
      </c>
      <c r="J21" s="598">
        <f t="shared" si="144"/>
        <v>9</v>
      </c>
      <c r="K21" s="598">
        <f t="shared" si="144"/>
        <v>10</v>
      </c>
      <c r="M21" s="598" t="s">
        <v>1636</v>
      </c>
      <c r="N21" s="598">
        <f t="shared" ref="N21:W21" si="145">N2+$E$167</f>
        <v>1</v>
      </c>
      <c r="O21" s="598">
        <f t="shared" si="145"/>
        <v>2</v>
      </c>
      <c r="P21" s="598">
        <f t="shared" si="145"/>
        <v>3</v>
      </c>
      <c r="Q21" s="598">
        <f t="shared" si="145"/>
        <v>4</v>
      </c>
      <c r="R21" s="598">
        <f t="shared" si="145"/>
        <v>5</v>
      </c>
      <c r="S21" s="598">
        <f t="shared" si="145"/>
        <v>6</v>
      </c>
      <c r="T21" s="598">
        <f t="shared" si="145"/>
        <v>7</v>
      </c>
      <c r="U21" s="598">
        <f t="shared" si="145"/>
        <v>8</v>
      </c>
      <c r="V21" s="598">
        <f t="shared" si="145"/>
        <v>9</v>
      </c>
      <c r="W21" s="598">
        <f t="shared" si="145"/>
        <v>10</v>
      </c>
      <c r="Y21" s="598" t="s">
        <v>1636</v>
      </c>
      <c r="Z21" s="598">
        <f t="shared" ref="Z21:AI21" si="146">Z2+$G$167</f>
        <v>-1</v>
      </c>
      <c r="AA21" s="598">
        <f t="shared" si="146"/>
        <v>0</v>
      </c>
      <c r="AB21" s="598">
        <f t="shared" si="146"/>
        <v>1</v>
      </c>
      <c r="AC21" s="598">
        <f t="shared" si="146"/>
        <v>2</v>
      </c>
      <c r="AD21" s="598">
        <f t="shared" si="146"/>
        <v>3</v>
      </c>
      <c r="AE21" s="598">
        <f t="shared" si="146"/>
        <v>4</v>
      </c>
      <c r="AF21" s="598">
        <f t="shared" si="146"/>
        <v>5</v>
      </c>
      <c r="AG21" s="598">
        <f t="shared" si="146"/>
        <v>6</v>
      </c>
      <c r="AH21" s="598">
        <f t="shared" si="146"/>
        <v>7</v>
      </c>
      <c r="AI21" s="598">
        <f t="shared" si="146"/>
        <v>8</v>
      </c>
      <c r="AK21" s="598" t="s">
        <v>1636</v>
      </c>
      <c r="AL21" s="598">
        <f t="shared" ref="AL21:AU21" si="147">AL2+$I$167</f>
        <v>-1</v>
      </c>
      <c r="AM21" s="598">
        <f t="shared" si="147"/>
        <v>0</v>
      </c>
      <c r="AN21" s="598">
        <f t="shared" si="147"/>
        <v>1</v>
      </c>
      <c r="AO21" s="598">
        <f t="shared" si="147"/>
        <v>2</v>
      </c>
      <c r="AP21" s="598">
        <f t="shared" si="147"/>
        <v>3</v>
      </c>
      <c r="AQ21" s="598">
        <f t="shared" si="147"/>
        <v>4</v>
      </c>
      <c r="AR21" s="598">
        <f t="shared" si="147"/>
        <v>5</v>
      </c>
      <c r="AS21" s="598">
        <f t="shared" si="147"/>
        <v>6</v>
      </c>
      <c r="AT21" s="598">
        <f t="shared" si="147"/>
        <v>7</v>
      </c>
      <c r="AU21" s="598">
        <f t="shared" si="147"/>
        <v>8</v>
      </c>
      <c r="AW21" s="598" t="s">
        <v>1636</v>
      </c>
      <c r="AX21" s="598">
        <f t="shared" ref="AX21:BG21" si="148">AX2+$M$167</f>
        <v>1</v>
      </c>
      <c r="AY21" s="598">
        <f t="shared" si="148"/>
        <v>2</v>
      </c>
      <c r="AZ21" s="598">
        <f t="shared" si="148"/>
        <v>3</v>
      </c>
      <c r="BA21" s="598">
        <f t="shared" si="148"/>
        <v>4</v>
      </c>
      <c r="BB21" s="598">
        <f t="shared" si="148"/>
        <v>5</v>
      </c>
      <c r="BC21" s="598">
        <f t="shared" si="148"/>
        <v>6</v>
      </c>
      <c r="BD21" s="598">
        <f t="shared" si="148"/>
        <v>7</v>
      </c>
      <c r="BE21" s="598">
        <f t="shared" si="148"/>
        <v>8</v>
      </c>
      <c r="BF21" s="598">
        <f t="shared" si="148"/>
        <v>9</v>
      </c>
      <c r="BG21" s="598">
        <f t="shared" si="148"/>
        <v>10</v>
      </c>
      <c r="BI21" s="598" t="s">
        <v>1636</v>
      </c>
      <c r="BJ21" s="598">
        <f t="shared" ref="BJ21:BS21" si="149">BJ2+$K$167</f>
        <v>-1</v>
      </c>
      <c r="BK21" s="598">
        <f t="shared" si="149"/>
        <v>0</v>
      </c>
      <c r="BL21" s="598">
        <f t="shared" si="149"/>
        <v>1</v>
      </c>
      <c r="BM21" s="598">
        <f t="shared" si="149"/>
        <v>2</v>
      </c>
      <c r="BN21" s="598">
        <f t="shared" si="149"/>
        <v>3</v>
      </c>
      <c r="BO21" s="598">
        <f t="shared" si="149"/>
        <v>4</v>
      </c>
      <c r="BP21" s="598">
        <f t="shared" si="149"/>
        <v>5</v>
      </c>
      <c r="BQ21" s="598">
        <f t="shared" si="149"/>
        <v>6</v>
      </c>
      <c r="BR21" s="598">
        <f t="shared" si="149"/>
        <v>7</v>
      </c>
      <c r="BS21" s="598">
        <f t="shared" si="149"/>
        <v>8</v>
      </c>
      <c r="BU21" s="598" t="s">
        <v>1636</v>
      </c>
      <c r="BV21" s="598">
        <f t="shared" ref="BV21:CE21" si="150">BV2+$W$167</f>
        <v>1</v>
      </c>
      <c r="BW21" s="598">
        <f t="shared" si="150"/>
        <v>2</v>
      </c>
      <c r="BX21" s="598">
        <f t="shared" si="150"/>
        <v>3</v>
      </c>
      <c r="BY21" s="598">
        <f t="shared" si="150"/>
        <v>4</v>
      </c>
      <c r="BZ21" s="598">
        <f t="shared" si="150"/>
        <v>5</v>
      </c>
      <c r="CA21" s="598">
        <f t="shared" si="150"/>
        <v>6</v>
      </c>
      <c r="CB21" s="598">
        <f t="shared" si="150"/>
        <v>7</v>
      </c>
      <c r="CC21" s="598">
        <f t="shared" si="150"/>
        <v>8</v>
      </c>
      <c r="CD21" s="598">
        <f t="shared" si="150"/>
        <v>9</v>
      </c>
      <c r="CE21" s="598">
        <f t="shared" si="150"/>
        <v>10</v>
      </c>
      <c r="CG21" s="598" t="s">
        <v>1636</v>
      </c>
      <c r="CH21" s="598">
        <f t="shared" ref="CH21:CQ21" si="151">CH2+$Y$167</f>
        <v>-1</v>
      </c>
      <c r="CI21" s="598">
        <f t="shared" si="151"/>
        <v>0</v>
      </c>
      <c r="CJ21" s="598">
        <f t="shared" si="151"/>
        <v>1</v>
      </c>
      <c r="CK21" s="598">
        <f t="shared" si="151"/>
        <v>2</v>
      </c>
      <c r="CL21" s="598">
        <f t="shared" si="151"/>
        <v>3</v>
      </c>
      <c r="CM21" s="598">
        <f t="shared" si="151"/>
        <v>4</v>
      </c>
      <c r="CN21" s="598">
        <f t="shared" si="151"/>
        <v>5</v>
      </c>
      <c r="CO21" s="598">
        <f t="shared" si="151"/>
        <v>6</v>
      </c>
      <c r="CP21" s="598">
        <f t="shared" si="151"/>
        <v>7</v>
      </c>
      <c r="CQ21" s="598">
        <f t="shared" si="151"/>
        <v>8</v>
      </c>
    </row>
    <row r="23" spans="1:107">
      <c r="A23" s="598" t="s">
        <v>2434</v>
      </c>
      <c r="B23" s="598" t="s">
        <v>81</v>
      </c>
      <c r="C23" s="598" t="s">
        <v>81</v>
      </c>
      <c r="D23" s="598" t="s">
        <v>81</v>
      </c>
      <c r="E23" s="598" t="s">
        <v>81</v>
      </c>
      <c r="F23" s="598" t="s">
        <v>81</v>
      </c>
      <c r="G23" s="598" t="s">
        <v>81</v>
      </c>
      <c r="H23" s="598" t="s">
        <v>81</v>
      </c>
      <c r="I23" s="598" t="s">
        <v>81</v>
      </c>
      <c r="J23" s="598" t="s">
        <v>81</v>
      </c>
      <c r="K23" s="598" t="s">
        <v>81</v>
      </c>
      <c r="M23" s="598" t="s">
        <v>999</v>
      </c>
      <c r="N23" s="598" t="s">
        <v>81</v>
      </c>
      <c r="O23" s="598" t="s">
        <v>81</v>
      </c>
      <c r="P23" s="598" t="s">
        <v>81</v>
      </c>
      <c r="Q23" s="598" t="s">
        <v>81</v>
      </c>
      <c r="R23" s="598" t="s">
        <v>81</v>
      </c>
      <c r="S23" s="598" t="s">
        <v>81</v>
      </c>
      <c r="T23" s="598" t="s">
        <v>81</v>
      </c>
      <c r="U23" s="598" t="s">
        <v>81</v>
      </c>
      <c r="V23" s="598" t="s">
        <v>81</v>
      </c>
      <c r="W23" s="598" t="s">
        <v>81</v>
      </c>
      <c r="Y23" s="598" t="s">
        <v>609</v>
      </c>
      <c r="Z23" s="598" t="s">
        <v>81</v>
      </c>
      <c r="AA23" s="598" t="s">
        <v>81</v>
      </c>
      <c r="AB23" s="598" t="s">
        <v>81</v>
      </c>
      <c r="AC23" s="598" t="s">
        <v>81</v>
      </c>
      <c r="AD23" s="598" t="s">
        <v>81</v>
      </c>
      <c r="AE23" s="598" t="s">
        <v>81</v>
      </c>
      <c r="AF23" s="598" t="s">
        <v>81</v>
      </c>
      <c r="AG23" s="598" t="s">
        <v>81</v>
      </c>
      <c r="AH23" s="598" t="s">
        <v>81</v>
      </c>
      <c r="AI23" s="598" t="s">
        <v>81</v>
      </c>
      <c r="AK23" s="598" t="s">
        <v>610</v>
      </c>
      <c r="AL23" s="598" t="s">
        <v>81</v>
      </c>
      <c r="AM23" s="598" t="s">
        <v>81</v>
      </c>
      <c r="AN23" s="598" t="s">
        <v>81</v>
      </c>
      <c r="AO23" s="598" t="s">
        <v>81</v>
      </c>
      <c r="AP23" s="598" t="s">
        <v>81</v>
      </c>
      <c r="AQ23" s="598" t="s">
        <v>81</v>
      </c>
      <c r="AR23" s="598" t="s">
        <v>81</v>
      </c>
      <c r="AS23" s="598" t="s">
        <v>81</v>
      </c>
      <c r="AT23" s="598" t="s">
        <v>81</v>
      </c>
      <c r="AU23" s="598" t="s">
        <v>81</v>
      </c>
      <c r="AW23" s="598" t="s">
        <v>2703</v>
      </c>
      <c r="AX23" s="598" t="s">
        <v>81</v>
      </c>
      <c r="AY23" s="598" t="s">
        <v>81</v>
      </c>
      <c r="AZ23" s="598" t="s">
        <v>81</v>
      </c>
      <c r="BA23" s="598" t="s">
        <v>81</v>
      </c>
      <c r="BB23" s="598" t="s">
        <v>81</v>
      </c>
      <c r="BC23" s="598" t="s">
        <v>81</v>
      </c>
      <c r="BD23" s="598" t="s">
        <v>81</v>
      </c>
      <c r="BE23" s="598" t="s">
        <v>81</v>
      </c>
      <c r="BF23" s="598" t="s">
        <v>81</v>
      </c>
      <c r="BG23" s="598" t="s">
        <v>81</v>
      </c>
      <c r="BI23" s="598" t="s">
        <v>4791</v>
      </c>
      <c r="BJ23" s="598" t="s">
        <v>81</v>
      </c>
      <c r="BK23" s="598" t="s">
        <v>81</v>
      </c>
      <c r="BL23" s="598" t="s">
        <v>81</v>
      </c>
      <c r="BM23" s="598" t="s">
        <v>81</v>
      </c>
      <c r="BN23" s="598" t="s">
        <v>81</v>
      </c>
      <c r="BO23" s="598" t="s">
        <v>81</v>
      </c>
      <c r="BP23" s="598" t="s">
        <v>81</v>
      </c>
      <c r="BQ23" s="598" t="s">
        <v>81</v>
      </c>
      <c r="BR23" s="598" t="s">
        <v>81</v>
      </c>
      <c r="BS23" s="598" t="s">
        <v>81</v>
      </c>
      <c r="BU23" s="598" t="s">
        <v>2561</v>
      </c>
      <c r="BV23" s="598" t="s">
        <v>81</v>
      </c>
      <c r="BW23" s="598" t="s">
        <v>81</v>
      </c>
      <c r="BX23" s="598" t="s">
        <v>81</v>
      </c>
      <c r="BY23" s="598" t="s">
        <v>81</v>
      </c>
      <c r="BZ23" s="598" t="s">
        <v>81</v>
      </c>
      <c r="CA23" s="598" t="s">
        <v>81</v>
      </c>
      <c r="CB23" s="598" t="s">
        <v>81</v>
      </c>
      <c r="CC23" s="598" t="s">
        <v>81</v>
      </c>
      <c r="CD23" s="598" t="s">
        <v>81</v>
      </c>
      <c r="CE23" s="598" t="s">
        <v>81</v>
      </c>
      <c r="CG23" s="598" t="s">
        <v>2541</v>
      </c>
      <c r="CH23" s="598" t="s">
        <v>81</v>
      </c>
      <c r="CI23" s="598" t="s">
        <v>81</v>
      </c>
      <c r="CJ23" s="598" t="s">
        <v>81</v>
      </c>
      <c r="CK23" s="598" t="s">
        <v>81</v>
      </c>
      <c r="CL23" s="598" t="s">
        <v>81</v>
      </c>
      <c r="CM23" s="598" t="s">
        <v>81</v>
      </c>
      <c r="CN23" s="598" t="s">
        <v>81</v>
      </c>
      <c r="CO23" s="598" t="s">
        <v>81</v>
      </c>
      <c r="CP23" s="598" t="s">
        <v>81</v>
      </c>
      <c r="CQ23" s="598" t="s">
        <v>81</v>
      </c>
      <c r="CS23" s="598" t="s">
        <v>1068</v>
      </c>
      <c r="CT23" s="598" t="s">
        <v>81</v>
      </c>
      <c r="CU23" s="598" t="s">
        <v>81</v>
      </c>
      <c r="CV23" s="598" t="s">
        <v>81</v>
      </c>
      <c r="CW23" s="598" t="s">
        <v>81</v>
      </c>
      <c r="CX23" s="598" t="s">
        <v>81</v>
      </c>
      <c r="CY23" s="598" t="s">
        <v>81</v>
      </c>
      <c r="CZ23" s="598" t="s">
        <v>81</v>
      </c>
      <c r="DA23" s="598" t="s">
        <v>81</v>
      </c>
      <c r="DB23" s="598" t="s">
        <v>81</v>
      </c>
      <c r="DC23" s="598" t="s">
        <v>81</v>
      </c>
    </row>
    <row r="24" spans="1:107">
      <c r="B24" s="598">
        <v>1</v>
      </c>
      <c r="C24" s="598">
        <v>2</v>
      </c>
      <c r="D24" s="598">
        <v>3</v>
      </c>
      <c r="E24" s="598">
        <v>4</v>
      </c>
      <c r="F24" s="598">
        <v>5</v>
      </c>
      <c r="G24" s="598">
        <v>6</v>
      </c>
      <c r="H24" s="598">
        <v>7</v>
      </c>
      <c r="I24" s="598">
        <v>8</v>
      </c>
      <c r="J24" s="598">
        <v>9</v>
      </c>
      <c r="K24" s="598">
        <v>10</v>
      </c>
      <c r="N24" s="598">
        <v>1</v>
      </c>
      <c r="O24" s="598">
        <v>2</v>
      </c>
      <c r="P24" s="598">
        <v>3</v>
      </c>
      <c r="Q24" s="598">
        <v>4</v>
      </c>
      <c r="R24" s="598">
        <v>5</v>
      </c>
      <c r="S24" s="598">
        <v>6</v>
      </c>
      <c r="T24" s="598">
        <v>7</v>
      </c>
      <c r="U24" s="598">
        <v>8</v>
      </c>
      <c r="V24" s="598">
        <v>9</v>
      </c>
      <c r="W24" s="598">
        <v>10</v>
      </c>
      <c r="Z24" s="598">
        <v>1</v>
      </c>
      <c r="AA24" s="598">
        <v>2</v>
      </c>
      <c r="AB24" s="598">
        <v>3</v>
      </c>
      <c r="AC24" s="598">
        <v>4</v>
      </c>
      <c r="AD24" s="598">
        <v>5</v>
      </c>
      <c r="AE24" s="598">
        <v>6</v>
      </c>
      <c r="AF24" s="598">
        <v>7</v>
      </c>
      <c r="AG24" s="598">
        <v>8</v>
      </c>
      <c r="AH24" s="598">
        <v>9</v>
      </c>
      <c r="AI24" s="598">
        <v>10</v>
      </c>
      <c r="AL24" s="598">
        <v>1</v>
      </c>
      <c r="AM24" s="598">
        <v>2</v>
      </c>
      <c r="AN24" s="598">
        <v>3</v>
      </c>
      <c r="AO24" s="598">
        <v>4</v>
      </c>
      <c r="AP24" s="598">
        <v>5</v>
      </c>
      <c r="AQ24" s="598">
        <v>6</v>
      </c>
      <c r="AR24" s="598">
        <v>7</v>
      </c>
      <c r="AS24" s="598">
        <v>8</v>
      </c>
      <c r="AT24" s="598">
        <v>9</v>
      </c>
      <c r="AU24" s="598">
        <v>10</v>
      </c>
      <c r="AX24" s="598">
        <v>1</v>
      </c>
      <c r="AY24" s="598">
        <v>2</v>
      </c>
      <c r="AZ24" s="598">
        <v>3</v>
      </c>
      <c r="BA24" s="598">
        <v>4</v>
      </c>
      <c r="BB24" s="598">
        <v>5</v>
      </c>
      <c r="BC24" s="598">
        <v>6</v>
      </c>
      <c r="BD24" s="598">
        <v>7</v>
      </c>
      <c r="BE24" s="598">
        <v>8</v>
      </c>
      <c r="BF24" s="598">
        <v>9</v>
      </c>
      <c r="BG24" s="598">
        <v>10</v>
      </c>
      <c r="BJ24" s="598">
        <v>1</v>
      </c>
      <c r="BK24" s="598">
        <v>2</v>
      </c>
      <c r="BL24" s="598">
        <v>3</v>
      </c>
      <c r="BM24" s="598">
        <v>4</v>
      </c>
      <c r="BN24" s="598">
        <v>5</v>
      </c>
      <c r="BO24" s="598">
        <v>6</v>
      </c>
      <c r="BP24" s="598">
        <v>7</v>
      </c>
      <c r="BQ24" s="598">
        <v>8</v>
      </c>
      <c r="BR24" s="598">
        <v>9</v>
      </c>
      <c r="BS24" s="598">
        <v>10</v>
      </c>
      <c r="BV24" s="598">
        <v>1</v>
      </c>
      <c r="BW24" s="598">
        <v>2</v>
      </c>
      <c r="BX24" s="598">
        <v>3</v>
      </c>
      <c r="BY24" s="598">
        <v>4</v>
      </c>
      <c r="BZ24" s="598">
        <v>5</v>
      </c>
      <c r="CA24" s="598">
        <v>6</v>
      </c>
      <c r="CB24" s="598">
        <v>7</v>
      </c>
      <c r="CC24" s="598">
        <v>8</v>
      </c>
      <c r="CD24" s="598">
        <v>9</v>
      </c>
      <c r="CE24" s="598">
        <v>10</v>
      </c>
      <c r="CH24" s="598">
        <v>1</v>
      </c>
      <c r="CI24" s="598">
        <v>2</v>
      </c>
      <c r="CJ24" s="598">
        <v>3</v>
      </c>
      <c r="CK24" s="598">
        <v>4</v>
      </c>
      <c r="CL24" s="598">
        <v>5</v>
      </c>
      <c r="CM24" s="598">
        <v>6</v>
      </c>
      <c r="CN24" s="598">
        <v>7</v>
      </c>
      <c r="CO24" s="598">
        <v>8</v>
      </c>
      <c r="CP24" s="598">
        <v>9</v>
      </c>
      <c r="CQ24" s="598">
        <v>10</v>
      </c>
      <c r="CT24" s="598">
        <v>1</v>
      </c>
      <c r="CU24" s="598">
        <v>2</v>
      </c>
      <c r="CV24" s="598">
        <v>3</v>
      </c>
      <c r="CW24" s="598">
        <v>4</v>
      </c>
      <c r="CX24" s="598">
        <v>5</v>
      </c>
      <c r="CY24" s="598">
        <v>6</v>
      </c>
      <c r="CZ24" s="598">
        <v>7</v>
      </c>
      <c r="DA24" s="598">
        <v>8</v>
      </c>
      <c r="DB24" s="598">
        <v>9</v>
      </c>
      <c r="DC24" s="598">
        <v>10</v>
      </c>
    </row>
    <row r="25" spans="1:107">
      <c r="A25" s="598" t="s">
        <v>2341</v>
      </c>
      <c r="B25" s="598">
        <f t="shared" ref="B25:K25" si="152">B24+$C$171</f>
        <v>2</v>
      </c>
      <c r="C25" s="598">
        <f t="shared" si="152"/>
        <v>3</v>
      </c>
      <c r="D25" s="598">
        <f t="shared" si="152"/>
        <v>4</v>
      </c>
      <c r="E25" s="598">
        <f t="shared" si="152"/>
        <v>5</v>
      </c>
      <c r="F25" s="598">
        <f t="shared" si="152"/>
        <v>6</v>
      </c>
      <c r="G25" s="598">
        <f t="shared" si="152"/>
        <v>7</v>
      </c>
      <c r="H25" s="598">
        <f t="shared" si="152"/>
        <v>8</v>
      </c>
      <c r="I25" s="598">
        <f t="shared" si="152"/>
        <v>9</v>
      </c>
      <c r="J25" s="598">
        <f t="shared" si="152"/>
        <v>10</v>
      </c>
      <c r="K25" s="598">
        <f t="shared" si="152"/>
        <v>11</v>
      </c>
      <c r="M25" s="598" t="s">
        <v>2341</v>
      </c>
      <c r="N25" s="598">
        <f t="shared" ref="N25:W25" si="153">N$24+$E171</f>
        <v>4</v>
      </c>
      <c r="O25" s="598">
        <f t="shared" si="153"/>
        <v>5</v>
      </c>
      <c r="P25" s="598">
        <f t="shared" si="153"/>
        <v>6</v>
      </c>
      <c r="Q25" s="598">
        <f t="shared" si="153"/>
        <v>7</v>
      </c>
      <c r="R25" s="598">
        <f t="shared" si="153"/>
        <v>8</v>
      </c>
      <c r="S25" s="598">
        <f t="shared" si="153"/>
        <v>9</v>
      </c>
      <c r="T25" s="598">
        <f t="shared" si="153"/>
        <v>10</v>
      </c>
      <c r="U25" s="598">
        <f t="shared" si="153"/>
        <v>11</v>
      </c>
      <c r="V25" s="598">
        <f t="shared" si="153"/>
        <v>12</v>
      </c>
      <c r="W25" s="598">
        <f t="shared" si="153"/>
        <v>13</v>
      </c>
      <c r="Y25" s="598" t="s">
        <v>2341</v>
      </c>
      <c r="Z25" s="598">
        <f t="shared" ref="Z25:AI25" si="154">Z$24+$G171</f>
        <v>2</v>
      </c>
      <c r="AA25" s="598">
        <f t="shared" si="154"/>
        <v>3</v>
      </c>
      <c r="AB25" s="598">
        <f t="shared" si="154"/>
        <v>4</v>
      </c>
      <c r="AC25" s="598">
        <f t="shared" si="154"/>
        <v>5</v>
      </c>
      <c r="AD25" s="598">
        <f t="shared" si="154"/>
        <v>6</v>
      </c>
      <c r="AE25" s="598">
        <f t="shared" si="154"/>
        <v>7</v>
      </c>
      <c r="AF25" s="598">
        <f t="shared" si="154"/>
        <v>8</v>
      </c>
      <c r="AG25" s="598">
        <f t="shared" si="154"/>
        <v>9</v>
      </c>
      <c r="AH25" s="598">
        <f t="shared" si="154"/>
        <v>10</v>
      </c>
      <c r="AI25" s="598">
        <f t="shared" si="154"/>
        <v>11</v>
      </c>
      <c r="AK25" s="598" t="s">
        <v>2341</v>
      </c>
      <c r="AL25" s="598">
        <f t="shared" ref="AL25:AU25" si="155">AL$24+$I171</f>
        <v>4</v>
      </c>
      <c r="AM25" s="598">
        <f t="shared" si="155"/>
        <v>5</v>
      </c>
      <c r="AN25" s="598">
        <f t="shared" si="155"/>
        <v>6</v>
      </c>
      <c r="AO25" s="598">
        <f t="shared" si="155"/>
        <v>7</v>
      </c>
      <c r="AP25" s="598">
        <f t="shared" si="155"/>
        <v>8</v>
      </c>
      <c r="AQ25" s="598">
        <f t="shared" si="155"/>
        <v>9</v>
      </c>
      <c r="AR25" s="598">
        <f t="shared" si="155"/>
        <v>10</v>
      </c>
      <c r="AS25" s="598">
        <f t="shared" si="155"/>
        <v>11</v>
      </c>
      <c r="AT25" s="598">
        <f t="shared" si="155"/>
        <v>12</v>
      </c>
      <c r="AU25" s="598">
        <f t="shared" si="155"/>
        <v>13</v>
      </c>
      <c r="AW25" s="598" t="s">
        <v>2341</v>
      </c>
      <c r="AX25" s="598">
        <f t="shared" ref="AX25:BG25" si="156">AX$24+$K171</f>
        <v>1</v>
      </c>
      <c r="AY25" s="598">
        <f t="shared" si="156"/>
        <v>2</v>
      </c>
      <c r="AZ25" s="598">
        <f t="shared" si="156"/>
        <v>3</v>
      </c>
      <c r="BA25" s="598">
        <f t="shared" si="156"/>
        <v>4</v>
      </c>
      <c r="BB25" s="598">
        <f t="shared" si="156"/>
        <v>5</v>
      </c>
      <c r="BC25" s="598">
        <f t="shared" si="156"/>
        <v>6</v>
      </c>
      <c r="BD25" s="598">
        <f t="shared" si="156"/>
        <v>7</v>
      </c>
      <c r="BE25" s="598">
        <f t="shared" si="156"/>
        <v>8</v>
      </c>
      <c r="BF25" s="598">
        <f t="shared" si="156"/>
        <v>9</v>
      </c>
      <c r="BG25" s="598">
        <f t="shared" si="156"/>
        <v>10</v>
      </c>
      <c r="BI25" s="598" t="s">
        <v>2341</v>
      </c>
      <c r="BJ25" s="598">
        <f t="shared" ref="BJ25:BS25" si="157">BJ$24+$M171</f>
        <v>0</v>
      </c>
      <c r="BK25" s="598">
        <f t="shared" si="157"/>
        <v>1</v>
      </c>
      <c r="BL25" s="598">
        <f t="shared" si="157"/>
        <v>2</v>
      </c>
      <c r="BM25" s="598">
        <f t="shared" si="157"/>
        <v>3</v>
      </c>
      <c r="BN25" s="598">
        <f t="shared" si="157"/>
        <v>4</v>
      </c>
      <c r="BO25" s="598">
        <f t="shared" si="157"/>
        <v>5</v>
      </c>
      <c r="BP25" s="598">
        <f t="shared" si="157"/>
        <v>6</v>
      </c>
      <c r="BQ25" s="598">
        <f t="shared" si="157"/>
        <v>7</v>
      </c>
      <c r="BR25" s="598">
        <f t="shared" si="157"/>
        <v>8</v>
      </c>
      <c r="BS25" s="598">
        <f t="shared" si="157"/>
        <v>9</v>
      </c>
      <c r="BU25" s="598" t="s">
        <v>2341</v>
      </c>
      <c r="BV25" s="598">
        <f t="shared" ref="BV25:BV42" si="158">B$24+$Q171</f>
        <v>2</v>
      </c>
      <c r="BW25" s="598">
        <f t="shared" ref="BW25:BW42" si="159">C$24+$Q171</f>
        <v>3</v>
      </c>
      <c r="BX25" s="598">
        <f t="shared" ref="BX25:BX42" si="160">D$24+$Q171</f>
        <v>4</v>
      </c>
      <c r="BY25" s="598">
        <f t="shared" ref="BY25:BY42" si="161">E$24+$Q171</f>
        <v>5</v>
      </c>
      <c r="BZ25" s="598">
        <f t="shared" ref="BZ25:BZ42" si="162">F$24+$Q171</f>
        <v>6</v>
      </c>
      <c r="CA25" s="598">
        <f t="shared" ref="CA25:CA42" si="163">G$24+$Q171</f>
        <v>7</v>
      </c>
      <c r="CB25" s="598">
        <f t="shared" ref="CB25:CB42" si="164">H$24+$Q171</f>
        <v>8</v>
      </c>
      <c r="CC25" s="598">
        <f t="shared" ref="CC25:CC42" si="165">I$24+$Q171</f>
        <v>9</v>
      </c>
      <c r="CD25" s="598">
        <f t="shared" ref="CD25:CD42" si="166">J$24+$Q171</f>
        <v>10</v>
      </c>
      <c r="CE25" s="598">
        <f t="shared" ref="CE25:CE42" si="167">K$24+$Q171</f>
        <v>11</v>
      </c>
      <c r="CG25" s="598" t="s">
        <v>2341</v>
      </c>
      <c r="CH25" s="598">
        <f t="shared" ref="CH25:CQ25" si="168">CH$24+$BO171</f>
        <v>2</v>
      </c>
      <c r="CI25" s="598">
        <f t="shared" si="168"/>
        <v>3</v>
      </c>
      <c r="CJ25" s="598">
        <f t="shared" si="168"/>
        <v>4</v>
      </c>
      <c r="CK25" s="598">
        <f t="shared" si="168"/>
        <v>5</v>
      </c>
      <c r="CL25" s="598">
        <f t="shared" si="168"/>
        <v>6</v>
      </c>
      <c r="CM25" s="598">
        <f t="shared" si="168"/>
        <v>7</v>
      </c>
      <c r="CN25" s="598">
        <f t="shared" si="168"/>
        <v>8</v>
      </c>
      <c r="CO25" s="598">
        <f t="shared" si="168"/>
        <v>9</v>
      </c>
      <c r="CP25" s="598">
        <f t="shared" si="168"/>
        <v>10</v>
      </c>
      <c r="CQ25" s="598">
        <f t="shared" si="168"/>
        <v>11</v>
      </c>
      <c r="CS25" s="598" t="s">
        <v>2341</v>
      </c>
      <c r="CT25" s="598">
        <f t="shared" ref="CT25:DC25" si="169">CT$24+$BQ171</f>
        <v>2</v>
      </c>
      <c r="CU25" s="598">
        <f t="shared" si="169"/>
        <v>3</v>
      </c>
      <c r="CV25" s="598">
        <f t="shared" si="169"/>
        <v>4</v>
      </c>
      <c r="CW25" s="598">
        <f t="shared" si="169"/>
        <v>5</v>
      </c>
      <c r="CX25" s="598">
        <f t="shared" si="169"/>
        <v>6</v>
      </c>
      <c r="CY25" s="598">
        <f t="shared" si="169"/>
        <v>7</v>
      </c>
      <c r="CZ25" s="598">
        <f t="shared" si="169"/>
        <v>8</v>
      </c>
      <c r="DA25" s="598">
        <f t="shared" si="169"/>
        <v>9</v>
      </c>
      <c r="DB25" s="598">
        <f t="shared" si="169"/>
        <v>10</v>
      </c>
      <c r="DC25" s="598">
        <f t="shared" si="169"/>
        <v>11</v>
      </c>
    </row>
    <row r="26" spans="1:107">
      <c r="A26" s="598" t="s">
        <v>3268</v>
      </c>
      <c r="B26" s="598">
        <f t="shared" ref="B26:K26" si="170">B24+$C$172</f>
        <v>2</v>
      </c>
      <c r="C26" s="598">
        <f t="shared" si="170"/>
        <v>3</v>
      </c>
      <c r="D26" s="598">
        <f t="shared" si="170"/>
        <v>4</v>
      </c>
      <c r="E26" s="598">
        <f t="shared" si="170"/>
        <v>5</v>
      </c>
      <c r="F26" s="598">
        <f t="shared" si="170"/>
        <v>6</v>
      </c>
      <c r="G26" s="598">
        <f t="shared" si="170"/>
        <v>7</v>
      </c>
      <c r="H26" s="598">
        <f t="shared" si="170"/>
        <v>8</v>
      </c>
      <c r="I26" s="598">
        <f t="shared" si="170"/>
        <v>9</v>
      </c>
      <c r="J26" s="598">
        <f t="shared" si="170"/>
        <v>10</v>
      </c>
      <c r="K26" s="598">
        <f t="shared" si="170"/>
        <v>11</v>
      </c>
      <c r="M26" s="598" t="s">
        <v>3268</v>
      </c>
      <c r="N26" s="598">
        <f t="shared" ref="N26:W26" si="171">N$24+$E172</f>
        <v>-2</v>
      </c>
      <c r="O26" s="598">
        <f t="shared" si="171"/>
        <v>-1</v>
      </c>
      <c r="P26" s="598">
        <f t="shared" si="171"/>
        <v>0</v>
      </c>
      <c r="Q26" s="598">
        <f t="shared" si="171"/>
        <v>1</v>
      </c>
      <c r="R26" s="598">
        <f t="shared" si="171"/>
        <v>2</v>
      </c>
      <c r="S26" s="598">
        <f t="shared" si="171"/>
        <v>3</v>
      </c>
      <c r="T26" s="598">
        <f t="shared" si="171"/>
        <v>4</v>
      </c>
      <c r="U26" s="598">
        <f t="shared" si="171"/>
        <v>5</v>
      </c>
      <c r="V26" s="598">
        <f t="shared" si="171"/>
        <v>6</v>
      </c>
      <c r="W26" s="598">
        <f t="shared" si="171"/>
        <v>7</v>
      </c>
      <c r="Y26" s="598" t="s">
        <v>3268</v>
      </c>
      <c r="Z26" s="598">
        <f t="shared" ref="Z26:AI26" si="172">Z$24+$G172</f>
        <v>-2</v>
      </c>
      <c r="AA26" s="598">
        <f t="shared" si="172"/>
        <v>-1</v>
      </c>
      <c r="AB26" s="598">
        <f t="shared" si="172"/>
        <v>0</v>
      </c>
      <c r="AC26" s="598">
        <f t="shared" si="172"/>
        <v>1</v>
      </c>
      <c r="AD26" s="598">
        <f t="shared" si="172"/>
        <v>2</v>
      </c>
      <c r="AE26" s="598">
        <f t="shared" si="172"/>
        <v>3</v>
      </c>
      <c r="AF26" s="598">
        <f t="shared" si="172"/>
        <v>4</v>
      </c>
      <c r="AG26" s="598">
        <f t="shared" si="172"/>
        <v>5</v>
      </c>
      <c r="AH26" s="598">
        <f t="shared" si="172"/>
        <v>6</v>
      </c>
      <c r="AI26" s="598">
        <f t="shared" si="172"/>
        <v>7</v>
      </c>
      <c r="AK26" s="598" t="s">
        <v>3268</v>
      </c>
      <c r="AL26" s="598">
        <f t="shared" ref="AL26:AU26" si="173">AL$24+$I172</f>
        <v>-2</v>
      </c>
      <c r="AM26" s="598">
        <f t="shared" si="173"/>
        <v>-1</v>
      </c>
      <c r="AN26" s="598">
        <f t="shared" si="173"/>
        <v>0</v>
      </c>
      <c r="AO26" s="598">
        <f t="shared" si="173"/>
        <v>1</v>
      </c>
      <c r="AP26" s="598">
        <f t="shared" si="173"/>
        <v>2</v>
      </c>
      <c r="AQ26" s="598">
        <f t="shared" si="173"/>
        <v>3</v>
      </c>
      <c r="AR26" s="598">
        <f t="shared" si="173"/>
        <v>4</v>
      </c>
      <c r="AS26" s="598">
        <f t="shared" si="173"/>
        <v>5</v>
      </c>
      <c r="AT26" s="598">
        <f t="shared" si="173"/>
        <v>6</v>
      </c>
      <c r="AU26" s="598">
        <f t="shared" si="173"/>
        <v>7</v>
      </c>
      <c r="AW26" s="598" t="s">
        <v>3268</v>
      </c>
      <c r="AX26" s="598">
        <f t="shared" ref="AX26:BG26" si="174">AX$24+$K172</f>
        <v>4</v>
      </c>
      <c r="AY26" s="598">
        <f t="shared" si="174"/>
        <v>5</v>
      </c>
      <c r="AZ26" s="598">
        <f t="shared" si="174"/>
        <v>6</v>
      </c>
      <c r="BA26" s="598">
        <f t="shared" si="174"/>
        <v>7</v>
      </c>
      <c r="BB26" s="598">
        <f t="shared" si="174"/>
        <v>8</v>
      </c>
      <c r="BC26" s="598">
        <f t="shared" si="174"/>
        <v>9</v>
      </c>
      <c r="BD26" s="598">
        <f t="shared" si="174"/>
        <v>10</v>
      </c>
      <c r="BE26" s="598">
        <f t="shared" si="174"/>
        <v>11</v>
      </c>
      <c r="BF26" s="598">
        <f t="shared" si="174"/>
        <v>12</v>
      </c>
      <c r="BG26" s="598">
        <f t="shared" si="174"/>
        <v>13</v>
      </c>
      <c r="BI26" s="598" t="s">
        <v>3268</v>
      </c>
      <c r="BJ26" s="598">
        <f t="shared" ref="BJ26:BS26" si="175">BJ$24+$M172</f>
        <v>1</v>
      </c>
      <c r="BK26" s="598">
        <f t="shared" si="175"/>
        <v>2</v>
      </c>
      <c r="BL26" s="598">
        <f t="shared" si="175"/>
        <v>3</v>
      </c>
      <c r="BM26" s="598">
        <f t="shared" si="175"/>
        <v>4</v>
      </c>
      <c r="BN26" s="598">
        <f t="shared" si="175"/>
        <v>5</v>
      </c>
      <c r="BO26" s="598">
        <f t="shared" si="175"/>
        <v>6</v>
      </c>
      <c r="BP26" s="598">
        <f t="shared" si="175"/>
        <v>7</v>
      </c>
      <c r="BQ26" s="598">
        <f t="shared" si="175"/>
        <v>8</v>
      </c>
      <c r="BR26" s="598">
        <f t="shared" si="175"/>
        <v>9</v>
      </c>
      <c r="BS26" s="598">
        <f t="shared" si="175"/>
        <v>10</v>
      </c>
      <c r="BU26" s="598" t="s">
        <v>3268</v>
      </c>
      <c r="BV26" s="598">
        <f t="shared" si="158"/>
        <v>4</v>
      </c>
      <c r="BW26" s="598">
        <f t="shared" si="159"/>
        <v>5</v>
      </c>
      <c r="BX26" s="598">
        <f t="shared" si="160"/>
        <v>6</v>
      </c>
      <c r="BY26" s="598">
        <f t="shared" si="161"/>
        <v>7</v>
      </c>
      <c r="BZ26" s="598">
        <f t="shared" si="162"/>
        <v>8</v>
      </c>
      <c r="CA26" s="598">
        <f t="shared" si="163"/>
        <v>9</v>
      </c>
      <c r="CB26" s="598">
        <f t="shared" si="164"/>
        <v>10</v>
      </c>
      <c r="CC26" s="598">
        <f t="shared" si="165"/>
        <v>11</v>
      </c>
      <c r="CD26" s="598">
        <f t="shared" si="166"/>
        <v>12</v>
      </c>
      <c r="CE26" s="598">
        <f t="shared" si="167"/>
        <v>13</v>
      </c>
      <c r="CG26" s="598" t="s">
        <v>3268</v>
      </c>
      <c r="CH26" s="598">
        <f t="shared" ref="CH26:CQ26" si="176">CH$24+$BO172</f>
        <v>-2</v>
      </c>
      <c r="CI26" s="598">
        <f t="shared" si="176"/>
        <v>-1</v>
      </c>
      <c r="CJ26" s="598">
        <f t="shared" si="176"/>
        <v>0</v>
      </c>
      <c r="CK26" s="598">
        <f t="shared" si="176"/>
        <v>1</v>
      </c>
      <c r="CL26" s="598">
        <f t="shared" si="176"/>
        <v>2</v>
      </c>
      <c r="CM26" s="598">
        <f t="shared" si="176"/>
        <v>3</v>
      </c>
      <c r="CN26" s="598">
        <f t="shared" si="176"/>
        <v>4</v>
      </c>
      <c r="CO26" s="598">
        <f t="shared" si="176"/>
        <v>5</v>
      </c>
      <c r="CP26" s="598">
        <f t="shared" si="176"/>
        <v>6</v>
      </c>
      <c r="CQ26" s="598">
        <f t="shared" si="176"/>
        <v>7</v>
      </c>
      <c r="CS26" s="598" t="s">
        <v>3268</v>
      </c>
      <c r="CT26" s="598">
        <f t="shared" ref="CT26:DC26" si="177">CT$24+$BQ172</f>
        <v>-2</v>
      </c>
      <c r="CU26" s="598">
        <f t="shared" si="177"/>
        <v>-1</v>
      </c>
      <c r="CV26" s="598">
        <f t="shared" si="177"/>
        <v>0</v>
      </c>
      <c r="CW26" s="598">
        <f t="shared" si="177"/>
        <v>1</v>
      </c>
      <c r="CX26" s="598">
        <f t="shared" si="177"/>
        <v>2</v>
      </c>
      <c r="CY26" s="598">
        <f t="shared" si="177"/>
        <v>3</v>
      </c>
      <c r="CZ26" s="598">
        <f t="shared" si="177"/>
        <v>4</v>
      </c>
      <c r="DA26" s="598">
        <f t="shared" si="177"/>
        <v>5</v>
      </c>
      <c r="DB26" s="598">
        <f t="shared" si="177"/>
        <v>6</v>
      </c>
      <c r="DC26" s="598">
        <f t="shared" si="177"/>
        <v>7</v>
      </c>
    </row>
    <row r="27" spans="1:107">
      <c r="A27" s="598" t="s">
        <v>2342</v>
      </c>
      <c r="B27" s="598">
        <f t="shared" ref="B27:K27" si="178">B24+$C$173</f>
        <v>3</v>
      </c>
      <c r="C27" s="598">
        <f t="shared" si="178"/>
        <v>4</v>
      </c>
      <c r="D27" s="598">
        <f t="shared" si="178"/>
        <v>5</v>
      </c>
      <c r="E27" s="598">
        <f t="shared" si="178"/>
        <v>6</v>
      </c>
      <c r="F27" s="598">
        <f t="shared" si="178"/>
        <v>7</v>
      </c>
      <c r="G27" s="598">
        <f t="shared" si="178"/>
        <v>8</v>
      </c>
      <c r="H27" s="598">
        <f t="shared" si="178"/>
        <v>9</v>
      </c>
      <c r="I27" s="598">
        <f t="shared" si="178"/>
        <v>10</v>
      </c>
      <c r="J27" s="598">
        <f t="shared" si="178"/>
        <v>11</v>
      </c>
      <c r="K27" s="598">
        <f t="shared" si="178"/>
        <v>12</v>
      </c>
      <c r="M27" s="598" t="s">
        <v>2342</v>
      </c>
      <c r="N27" s="598">
        <f t="shared" ref="N27:W27" si="179">N$24+$E173</f>
        <v>-2</v>
      </c>
      <c r="O27" s="598">
        <f t="shared" si="179"/>
        <v>-1</v>
      </c>
      <c r="P27" s="598">
        <f t="shared" si="179"/>
        <v>0</v>
      </c>
      <c r="Q27" s="598">
        <f t="shared" si="179"/>
        <v>1</v>
      </c>
      <c r="R27" s="598">
        <f t="shared" si="179"/>
        <v>2</v>
      </c>
      <c r="S27" s="598">
        <f t="shared" si="179"/>
        <v>3</v>
      </c>
      <c r="T27" s="598">
        <f t="shared" si="179"/>
        <v>4</v>
      </c>
      <c r="U27" s="598">
        <f t="shared" si="179"/>
        <v>5</v>
      </c>
      <c r="V27" s="598">
        <f t="shared" si="179"/>
        <v>6</v>
      </c>
      <c r="W27" s="598">
        <f t="shared" si="179"/>
        <v>7</v>
      </c>
      <c r="Y27" s="598" t="s">
        <v>2342</v>
      </c>
      <c r="Z27" s="598">
        <f t="shared" ref="Z27:AI27" si="180">Z$24+$G173</f>
        <v>-1</v>
      </c>
      <c r="AA27" s="598">
        <f t="shared" si="180"/>
        <v>0</v>
      </c>
      <c r="AB27" s="598">
        <f t="shared" si="180"/>
        <v>1</v>
      </c>
      <c r="AC27" s="598">
        <f t="shared" si="180"/>
        <v>2</v>
      </c>
      <c r="AD27" s="598">
        <f t="shared" si="180"/>
        <v>3</v>
      </c>
      <c r="AE27" s="598">
        <f t="shared" si="180"/>
        <v>4</v>
      </c>
      <c r="AF27" s="598">
        <f t="shared" si="180"/>
        <v>5</v>
      </c>
      <c r="AG27" s="598">
        <f t="shared" si="180"/>
        <v>6</v>
      </c>
      <c r="AH27" s="598">
        <f t="shared" si="180"/>
        <v>7</v>
      </c>
      <c r="AI27" s="598">
        <f t="shared" si="180"/>
        <v>8</v>
      </c>
      <c r="AK27" s="598" t="s">
        <v>2342</v>
      </c>
      <c r="AL27" s="598">
        <f t="shared" ref="AL27:AU27" si="181">AL$24+$I173</f>
        <v>-2</v>
      </c>
      <c r="AM27" s="598">
        <f t="shared" si="181"/>
        <v>-1</v>
      </c>
      <c r="AN27" s="598">
        <f t="shared" si="181"/>
        <v>0</v>
      </c>
      <c r="AO27" s="598">
        <f t="shared" si="181"/>
        <v>1</v>
      </c>
      <c r="AP27" s="598">
        <f t="shared" si="181"/>
        <v>2</v>
      </c>
      <c r="AQ27" s="598">
        <f t="shared" si="181"/>
        <v>3</v>
      </c>
      <c r="AR27" s="598">
        <f t="shared" si="181"/>
        <v>4</v>
      </c>
      <c r="AS27" s="598">
        <f t="shared" si="181"/>
        <v>5</v>
      </c>
      <c r="AT27" s="598">
        <f t="shared" si="181"/>
        <v>6</v>
      </c>
      <c r="AU27" s="598">
        <f t="shared" si="181"/>
        <v>7</v>
      </c>
      <c r="AW27" s="598" t="s">
        <v>2342</v>
      </c>
      <c r="AX27" s="598">
        <f t="shared" ref="AX27:BG27" si="182">AX$24+$K173</f>
        <v>0</v>
      </c>
      <c r="AY27" s="598">
        <f t="shared" si="182"/>
        <v>1</v>
      </c>
      <c r="AZ27" s="598">
        <f t="shared" si="182"/>
        <v>2</v>
      </c>
      <c r="BA27" s="598">
        <f t="shared" si="182"/>
        <v>3</v>
      </c>
      <c r="BB27" s="598">
        <f t="shared" si="182"/>
        <v>4</v>
      </c>
      <c r="BC27" s="598">
        <f t="shared" si="182"/>
        <v>5</v>
      </c>
      <c r="BD27" s="598">
        <f t="shared" si="182"/>
        <v>6</v>
      </c>
      <c r="BE27" s="598">
        <f t="shared" si="182"/>
        <v>7</v>
      </c>
      <c r="BF27" s="598">
        <f t="shared" si="182"/>
        <v>8</v>
      </c>
      <c r="BG27" s="598">
        <f t="shared" si="182"/>
        <v>9</v>
      </c>
      <c r="BI27" s="598" t="s">
        <v>2342</v>
      </c>
      <c r="BJ27" s="598">
        <f t="shared" ref="BJ27:BS27" si="183">BJ$24+$M173</f>
        <v>1</v>
      </c>
      <c r="BK27" s="598">
        <f t="shared" si="183"/>
        <v>2</v>
      </c>
      <c r="BL27" s="598">
        <f t="shared" si="183"/>
        <v>3</v>
      </c>
      <c r="BM27" s="598">
        <f t="shared" si="183"/>
        <v>4</v>
      </c>
      <c r="BN27" s="598">
        <f t="shared" si="183"/>
        <v>5</v>
      </c>
      <c r="BO27" s="598">
        <f t="shared" si="183"/>
        <v>6</v>
      </c>
      <c r="BP27" s="598">
        <f t="shared" si="183"/>
        <v>7</v>
      </c>
      <c r="BQ27" s="598">
        <f t="shared" si="183"/>
        <v>8</v>
      </c>
      <c r="BR27" s="598">
        <f t="shared" si="183"/>
        <v>9</v>
      </c>
      <c r="BS27" s="598">
        <f t="shared" si="183"/>
        <v>10</v>
      </c>
      <c r="BU27" s="598" t="s">
        <v>2342</v>
      </c>
      <c r="BV27" s="598">
        <f t="shared" si="158"/>
        <v>2</v>
      </c>
      <c r="BW27" s="598">
        <f t="shared" si="159"/>
        <v>3</v>
      </c>
      <c r="BX27" s="598">
        <f t="shared" si="160"/>
        <v>4</v>
      </c>
      <c r="BY27" s="598">
        <f t="shared" si="161"/>
        <v>5</v>
      </c>
      <c r="BZ27" s="598">
        <f t="shared" si="162"/>
        <v>6</v>
      </c>
      <c r="CA27" s="598">
        <f t="shared" si="163"/>
        <v>7</v>
      </c>
      <c r="CB27" s="598">
        <f t="shared" si="164"/>
        <v>8</v>
      </c>
      <c r="CC27" s="598">
        <f t="shared" si="165"/>
        <v>9</v>
      </c>
      <c r="CD27" s="598">
        <f t="shared" si="166"/>
        <v>10</v>
      </c>
      <c r="CE27" s="598">
        <f t="shared" si="167"/>
        <v>11</v>
      </c>
      <c r="CG27" s="598" t="s">
        <v>2342</v>
      </c>
      <c r="CH27" s="598">
        <f t="shared" ref="CH27:CQ27" si="184">CH$24+$BO173</f>
        <v>1</v>
      </c>
      <c r="CI27" s="598">
        <f t="shared" si="184"/>
        <v>2</v>
      </c>
      <c r="CJ27" s="598">
        <f t="shared" si="184"/>
        <v>3</v>
      </c>
      <c r="CK27" s="598">
        <f t="shared" si="184"/>
        <v>4</v>
      </c>
      <c r="CL27" s="598">
        <f t="shared" si="184"/>
        <v>5</v>
      </c>
      <c r="CM27" s="598">
        <f t="shared" si="184"/>
        <v>6</v>
      </c>
      <c r="CN27" s="598">
        <f t="shared" si="184"/>
        <v>7</v>
      </c>
      <c r="CO27" s="598">
        <f t="shared" si="184"/>
        <v>8</v>
      </c>
      <c r="CP27" s="598">
        <f t="shared" si="184"/>
        <v>9</v>
      </c>
      <c r="CQ27" s="598">
        <f t="shared" si="184"/>
        <v>10</v>
      </c>
      <c r="CS27" s="598" t="s">
        <v>2342</v>
      </c>
      <c r="CT27" s="598">
        <f t="shared" ref="CT27:DC27" si="185">CT$24+$BQ173</f>
        <v>-2</v>
      </c>
      <c r="CU27" s="598">
        <f t="shared" si="185"/>
        <v>-1</v>
      </c>
      <c r="CV27" s="598">
        <f t="shared" si="185"/>
        <v>0</v>
      </c>
      <c r="CW27" s="598">
        <f t="shared" si="185"/>
        <v>1</v>
      </c>
      <c r="CX27" s="598">
        <f t="shared" si="185"/>
        <v>2</v>
      </c>
      <c r="CY27" s="598">
        <f t="shared" si="185"/>
        <v>3</v>
      </c>
      <c r="CZ27" s="598">
        <f t="shared" si="185"/>
        <v>4</v>
      </c>
      <c r="DA27" s="598">
        <f t="shared" si="185"/>
        <v>5</v>
      </c>
      <c r="DB27" s="598">
        <f t="shared" si="185"/>
        <v>6</v>
      </c>
      <c r="DC27" s="598">
        <f t="shared" si="185"/>
        <v>7</v>
      </c>
    </row>
    <row r="28" spans="1:107">
      <c r="A28" s="598" t="s">
        <v>2343</v>
      </c>
      <c r="B28" s="598">
        <f t="shared" ref="B28:K28" si="186">B24+$C$174</f>
        <v>3</v>
      </c>
      <c r="C28" s="598">
        <f t="shared" si="186"/>
        <v>4</v>
      </c>
      <c r="D28" s="598">
        <f t="shared" si="186"/>
        <v>5</v>
      </c>
      <c r="E28" s="598">
        <f t="shared" si="186"/>
        <v>6</v>
      </c>
      <c r="F28" s="598">
        <f t="shared" si="186"/>
        <v>7</v>
      </c>
      <c r="G28" s="598">
        <f t="shared" si="186"/>
        <v>8</v>
      </c>
      <c r="H28" s="598">
        <f t="shared" si="186"/>
        <v>9</v>
      </c>
      <c r="I28" s="598">
        <f t="shared" si="186"/>
        <v>10</v>
      </c>
      <c r="J28" s="598">
        <f t="shared" si="186"/>
        <v>11</v>
      </c>
      <c r="K28" s="598">
        <f t="shared" si="186"/>
        <v>12</v>
      </c>
      <c r="M28" s="598" t="s">
        <v>2343</v>
      </c>
      <c r="N28" s="598">
        <f t="shared" ref="N28:W28" si="187">N$24+$E174</f>
        <v>-1</v>
      </c>
      <c r="O28" s="598">
        <f t="shared" si="187"/>
        <v>0</v>
      </c>
      <c r="P28" s="598">
        <f t="shared" si="187"/>
        <v>1</v>
      </c>
      <c r="Q28" s="598">
        <f t="shared" si="187"/>
        <v>2</v>
      </c>
      <c r="R28" s="598">
        <f t="shared" si="187"/>
        <v>3</v>
      </c>
      <c r="S28" s="598">
        <f t="shared" si="187"/>
        <v>4</v>
      </c>
      <c r="T28" s="598">
        <f t="shared" si="187"/>
        <v>5</v>
      </c>
      <c r="U28" s="598">
        <f t="shared" si="187"/>
        <v>6</v>
      </c>
      <c r="V28" s="598">
        <f t="shared" si="187"/>
        <v>7</v>
      </c>
      <c r="W28" s="598">
        <f t="shared" si="187"/>
        <v>8</v>
      </c>
      <c r="Y28" s="598" t="s">
        <v>2343</v>
      </c>
      <c r="Z28" s="598">
        <f t="shared" ref="Z28:AI28" si="188">Z$24+$G174</f>
        <v>-1</v>
      </c>
      <c r="AA28" s="598">
        <f t="shared" si="188"/>
        <v>0</v>
      </c>
      <c r="AB28" s="598">
        <f t="shared" si="188"/>
        <v>1</v>
      </c>
      <c r="AC28" s="598">
        <f t="shared" si="188"/>
        <v>2</v>
      </c>
      <c r="AD28" s="598">
        <f t="shared" si="188"/>
        <v>3</v>
      </c>
      <c r="AE28" s="598">
        <f t="shared" si="188"/>
        <v>4</v>
      </c>
      <c r="AF28" s="598">
        <f t="shared" si="188"/>
        <v>5</v>
      </c>
      <c r="AG28" s="598">
        <f t="shared" si="188"/>
        <v>6</v>
      </c>
      <c r="AH28" s="598">
        <f t="shared" si="188"/>
        <v>7</v>
      </c>
      <c r="AI28" s="598">
        <f t="shared" si="188"/>
        <v>8</v>
      </c>
      <c r="AK28" s="598" t="s">
        <v>2343</v>
      </c>
      <c r="AL28" s="598">
        <f t="shared" ref="AL28:AU28" si="189">AL$24+$I174</f>
        <v>-1</v>
      </c>
      <c r="AM28" s="598">
        <f t="shared" si="189"/>
        <v>0</v>
      </c>
      <c r="AN28" s="598">
        <f t="shared" si="189"/>
        <v>1</v>
      </c>
      <c r="AO28" s="598">
        <f t="shared" si="189"/>
        <v>2</v>
      </c>
      <c r="AP28" s="598">
        <f t="shared" si="189"/>
        <v>3</v>
      </c>
      <c r="AQ28" s="598">
        <f t="shared" si="189"/>
        <v>4</v>
      </c>
      <c r="AR28" s="598">
        <f t="shared" si="189"/>
        <v>5</v>
      </c>
      <c r="AS28" s="598">
        <f t="shared" si="189"/>
        <v>6</v>
      </c>
      <c r="AT28" s="598">
        <f t="shared" si="189"/>
        <v>7</v>
      </c>
      <c r="AU28" s="598">
        <f t="shared" si="189"/>
        <v>8</v>
      </c>
      <c r="AW28" s="598" t="s">
        <v>2343</v>
      </c>
      <c r="AX28" s="598">
        <f t="shared" ref="AX28:BG28" si="190">AX$24+$K174</f>
        <v>4</v>
      </c>
      <c r="AY28" s="598">
        <f t="shared" si="190"/>
        <v>5</v>
      </c>
      <c r="AZ28" s="598">
        <f t="shared" si="190"/>
        <v>6</v>
      </c>
      <c r="BA28" s="598">
        <f t="shared" si="190"/>
        <v>7</v>
      </c>
      <c r="BB28" s="598">
        <f t="shared" si="190"/>
        <v>8</v>
      </c>
      <c r="BC28" s="598">
        <f t="shared" si="190"/>
        <v>9</v>
      </c>
      <c r="BD28" s="598">
        <f t="shared" si="190"/>
        <v>10</v>
      </c>
      <c r="BE28" s="598">
        <f t="shared" si="190"/>
        <v>11</v>
      </c>
      <c r="BF28" s="598">
        <f t="shared" si="190"/>
        <v>12</v>
      </c>
      <c r="BG28" s="598">
        <f t="shared" si="190"/>
        <v>13</v>
      </c>
      <c r="BI28" s="598" t="s">
        <v>2343</v>
      </c>
      <c r="BJ28" s="598">
        <f t="shared" ref="BJ28:BS28" si="191">BJ$24+$M174</f>
        <v>1</v>
      </c>
      <c r="BK28" s="598">
        <f t="shared" si="191"/>
        <v>2</v>
      </c>
      <c r="BL28" s="598">
        <f t="shared" si="191"/>
        <v>3</v>
      </c>
      <c r="BM28" s="598">
        <f t="shared" si="191"/>
        <v>4</v>
      </c>
      <c r="BN28" s="598">
        <f t="shared" si="191"/>
        <v>5</v>
      </c>
      <c r="BO28" s="598">
        <f t="shared" si="191"/>
        <v>6</v>
      </c>
      <c r="BP28" s="598">
        <f t="shared" si="191"/>
        <v>7</v>
      </c>
      <c r="BQ28" s="598">
        <f t="shared" si="191"/>
        <v>8</v>
      </c>
      <c r="BR28" s="598">
        <f t="shared" si="191"/>
        <v>9</v>
      </c>
      <c r="BS28" s="598">
        <f t="shared" si="191"/>
        <v>10</v>
      </c>
      <c r="BU28" s="598" t="s">
        <v>2343</v>
      </c>
      <c r="BV28" s="598">
        <f t="shared" si="158"/>
        <v>1</v>
      </c>
      <c r="BW28" s="598">
        <f t="shared" si="159"/>
        <v>2</v>
      </c>
      <c r="BX28" s="598">
        <f t="shared" si="160"/>
        <v>3</v>
      </c>
      <c r="BY28" s="598">
        <f t="shared" si="161"/>
        <v>4</v>
      </c>
      <c r="BZ28" s="598">
        <f t="shared" si="162"/>
        <v>5</v>
      </c>
      <c r="CA28" s="598">
        <f t="shared" si="163"/>
        <v>6</v>
      </c>
      <c r="CB28" s="598">
        <f t="shared" si="164"/>
        <v>7</v>
      </c>
      <c r="CC28" s="598">
        <f t="shared" si="165"/>
        <v>8</v>
      </c>
      <c r="CD28" s="598">
        <f t="shared" si="166"/>
        <v>9</v>
      </c>
      <c r="CE28" s="598">
        <f t="shared" si="167"/>
        <v>10</v>
      </c>
      <c r="CG28" s="598" t="s">
        <v>2343</v>
      </c>
      <c r="CH28" s="598">
        <f t="shared" ref="CH28:CQ28" si="192">CH$24+$BO174</f>
        <v>-1</v>
      </c>
      <c r="CI28" s="598">
        <f t="shared" si="192"/>
        <v>0</v>
      </c>
      <c r="CJ28" s="598">
        <f t="shared" si="192"/>
        <v>1</v>
      </c>
      <c r="CK28" s="598">
        <f t="shared" si="192"/>
        <v>2</v>
      </c>
      <c r="CL28" s="598">
        <f t="shared" si="192"/>
        <v>3</v>
      </c>
      <c r="CM28" s="598">
        <f t="shared" si="192"/>
        <v>4</v>
      </c>
      <c r="CN28" s="598">
        <f t="shared" si="192"/>
        <v>5</v>
      </c>
      <c r="CO28" s="598">
        <f t="shared" si="192"/>
        <v>6</v>
      </c>
      <c r="CP28" s="598">
        <f t="shared" si="192"/>
        <v>7</v>
      </c>
      <c r="CQ28" s="598">
        <f t="shared" si="192"/>
        <v>8</v>
      </c>
      <c r="CS28" s="598" t="s">
        <v>2343</v>
      </c>
      <c r="CT28" s="598">
        <f t="shared" ref="CT28:DC28" si="193">CT$24+$BQ174</f>
        <v>-1</v>
      </c>
      <c r="CU28" s="598">
        <f t="shared" si="193"/>
        <v>0</v>
      </c>
      <c r="CV28" s="598">
        <f t="shared" si="193"/>
        <v>1</v>
      </c>
      <c r="CW28" s="598">
        <f t="shared" si="193"/>
        <v>2</v>
      </c>
      <c r="CX28" s="598">
        <f t="shared" si="193"/>
        <v>3</v>
      </c>
      <c r="CY28" s="598">
        <f t="shared" si="193"/>
        <v>4</v>
      </c>
      <c r="CZ28" s="598">
        <f t="shared" si="193"/>
        <v>5</v>
      </c>
      <c r="DA28" s="598">
        <f t="shared" si="193"/>
        <v>6</v>
      </c>
      <c r="DB28" s="598">
        <f t="shared" si="193"/>
        <v>7</v>
      </c>
      <c r="DC28" s="598">
        <f t="shared" si="193"/>
        <v>8</v>
      </c>
    </row>
    <row r="29" spans="1:107">
      <c r="A29" s="598" t="s">
        <v>2344</v>
      </c>
      <c r="B29" s="598">
        <f t="shared" ref="B29:K29" si="194">B24+$C$175</f>
        <v>1</v>
      </c>
      <c r="C29" s="598">
        <f t="shared" si="194"/>
        <v>2</v>
      </c>
      <c r="D29" s="598">
        <f t="shared" si="194"/>
        <v>3</v>
      </c>
      <c r="E29" s="598">
        <f t="shared" si="194"/>
        <v>4</v>
      </c>
      <c r="F29" s="598">
        <f t="shared" si="194"/>
        <v>5</v>
      </c>
      <c r="G29" s="598">
        <f t="shared" si="194"/>
        <v>6</v>
      </c>
      <c r="H29" s="598">
        <f t="shared" si="194"/>
        <v>7</v>
      </c>
      <c r="I29" s="598">
        <f t="shared" si="194"/>
        <v>8</v>
      </c>
      <c r="J29" s="598">
        <f t="shared" si="194"/>
        <v>9</v>
      </c>
      <c r="K29" s="598">
        <f t="shared" si="194"/>
        <v>10</v>
      </c>
      <c r="M29" s="598" t="s">
        <v>2344</v>
      </c>
      <c r="N29" s="598">
        <f t="shared" ref="N29:W29" si="195">N$24+$E175</f>
        <v>2</v>
      </c>
      <c r="O29" s="598">
        <f t="shared" si="195"/>
        <v>3</v>
      </c>
      <c r="P29" s="598">
        <f t="shared" si="195"/>
        <v>4</v>
      </c>
      <c r="Q29" s="598">
        <f t="shared" si="195"/>
        <v>5</v>
      </c>
      <c r="R29" s="598">
        <f t="shared" si="195"/>
        <v>6</v>
      </c>
      <c r="S29" s="598">
        <f t="shared" si="195"/>
        <v>7</v>
      </c>
      <c r="T29" s="598">
        <f t="shared" si="195"/>
        <v>8</v>
      </c>
      <c r="U29" s="598">
        <f t="shared" si="195"/>
        <v>9</v>
      </c>
      <c r="V29" s="598">
        <f t="shared" si="195"/>
        <v>10</v>
      </c>
      <c r="W29" s="598">
        <f t="shared" si="195"/>
        <v>11</v>
      </c>
      <c r="Y29" s="598" t="s">
        <v>2344</v>
      </c>
      <c r="Z29" s="598">
        <f t="shared" ref="Z29:AI29" si="196">Z$24+$G175</f>
        <v>0</v>
      </c>
      <c r="AA29" s="598">
        <f t="shared" si="196"/>
        <v>1</v>
      </c>
      <c r="AB29" s="598">
        <f t="shared" si="196"/>
        <v>2</v>
      </c>
      <c r="AC29" s="598">
        <f t="shared" si="196"/>
        <v>3</v>
      </c>
      <c r="AD29" s="598">
        <f t="shared" si="196"/>
        <v>4</v>
      </c>
      <c r="AE29" s="598">
        <f t="shared" si="196"/>
        <v>5</v>
      </c>
      <c r="AF29" s="598">
        <f t="shared" si="196"/>
        <v>6</v>
      </c>
      <c r="AG29" s="598">
        <f t="shared" si="196"/>
        <v>7</v>
      </c>
      <c r="AH29" s="598">
        <f t="shared" si="196"/>
        <v>8</v>
      </c>
      <c r="AI29" s="598">
        <f t="shared" si="196"/>
        <v>9</v>
      </c>
      <c r="AK29" s="598" t="s">
        <v>2344</v>
      </c>
      <c r="AL29" s="598">
        <f t="shared" ref="AL29:AU29" si="197">AL$24+$I175</f>
        <v>0</v>
      </c>
      <c r="AM29" s="598">
        <f t="shared" si="197"/>
        <v>1</v>
      </c>
      <c r="AN29" s="598">
        <f t="shared" si="197"/>
        <v>2</v>
      </c>
      <c r="AO29" s="598">
        <f t="shared" si="197"/>
        <v>3</v>
      </c>
      <c r="AP29" s="598">
        <f t="shared" si="197"/>
        <v>4</v>
      </c>
      <c r="AQ29" s="598">
        <f t="shared" si="197"/>
        <v>5</v>
      </c>
      <c r="AR29" s="598">
        <f t="shared" si="197"/>
        <v>6</v>
      </c>
      <c r="AS29" s="598">
        <f t="shared" si="197"/>
        <v>7</v>
      </c>
      <c r="AT29" s="598">
        <f t="shared" si="197"/>
        <v>8</v>
      </c>
      <c r="AU29" s="598">
        <f t="shared" si="197"/>
        <v>9</v>
      </c>
      <c r="AW29" s="598" t="s">
        <v>2344</v>
      </c>
      <c r="AX29" s="598">
        <f t="shared" ref="AX29:BG29" si="198">AX$24+$K175</f>
        <v>2</v>
      </c>
      <c r="AY29" s="598">
        <f t="shared" si="198"/>
        <v>3</v>
      </c>
      <c r="AZ29" s="598">
        <f t="shared" si="198"/>
        <v>4</v>
      </c>
      <c r="BA29" s="598">
        <f t="shared" si="198"/>
        <v>5</v>
      </c>
      <c r="BB29" s="598">
        <f t="shared" si="198"/>
        <v>6</v>
      </c>
      <c r="BC29" s="598">
        <f t="shared" si="198"/>
        <v>7</v>
      </c>
      <c r="BD29" s="598">
        <f t="shared" si="198"/>
        <v>8</v>
      </c>
      <c r="BE29" s="598">
        <f t="shared" si="198"/>
        <v>9</v>
      </c>
      <c r="BF29" s="598">
        <f t="shared" si="198"/>
        <v>10</v>
      </c>
      <c r="BG29" s="598">
        <f t="shared" si="198"/>
        <v>11</v>
      </c>
      <c r="BI29" s="598" t="s">
        <v>2344</v>
      </c>
      <c r="BJ29" s="598">
        <f t="shared" ref="BJ29:BS29" si="199">BJ$24+$M175</f>
        <v>3</v>
      </c>
      <c r="BK29" s="598">
        <f t="shared" si="199"/>
        <v>4</v>
      </c>
      <c r="BL29" s="598">
        <f t="shared" si="199"/>
        <v>5</v>
      </c>
      <c r="BM29" s="598">
        <f t="shared" si="199"/>
        <v>6</v>
      </c>
      <c r="BN29" s="598">
        <f t="shared" si="199"/>
        <v>7</v>
      </c>
      <c r="BO29" s="598">
        <f t="shared" si="199"/>
        <v>8</v>
      </c>
      <c r="BP29" s="598">
        <f t="shared" si="199"/>
        <v>9</v>
      </c>
      <c r="BQ29" s="598">
        <f t="shared" si="199"/>
        <v>10</v>
      </c>
      <c r="BR29" s="598">
        <f t="shared" si="199"/>
        <v>11</v>
      </c>
      <c r="BS29" s="598">
        <f t="shared" si="199"/>
        <v>12</v>
      </c>
      <c r="BU29" s="598" t="s">
        <v>2344</v>
      </c>
      <c r="BV29" s="598">
        <f t="shared" si="158"/>
        <v>-1</v>
      </c>
      <c r="BW29" s="598">
        <f t="shared" si="159"/>
        <v>0</v>
      </c>
      <c r="BX29" s="598">
        <f t="shared" si="160"/>
        <v>1</v>
      </c>
      <c r="BY29" s="598">
        <f t="shared" si="161"/>
        <v>2</v>
      </c>
      <c r="BZ29" s="598">
        <f t="shared" si="162"/>
        <v>3</v>
      </c>
      <c r="CA29" s="598">
        <f t="shared" si="163"/>
        <v>4</v>
      </c>
      <c r="CB29" s="598">
        <f t="shared" si="164"/>
        <v>5</v>
      </c>
      <c r="CC29" s="598">
        <f t="shared" si="165"/>
        <v>6</v>
      </c>
      <c r="CD29" s="598">
        <f t="shared" si="166"/>
        <v>7</v>
      </c>
      <c r="CE29" s="598">
        <f t="shared" si="167"/>
        <v>8</v>
      </c>
      <c r="CG29" s="598" t="s">
        <v>2344</v>
      </c>
      <c r="CH29" s="598">
        <f t="shared" ref="CH29:CQ29" si="200">CH$24+$BO175</f>
        <v>2</v>
      </c>
      <c r="CI29" s="598">
        <f t="shared" si="200"/>
        <v>3</v>
      </c>
      <c r="CJ29" s="598">
        <f t="shared" si="200"/>
        <v>4</v>
      </c>
      <c r="CK29" s="598">
        <f t="shared" si="200"/>
        <v>5</v>
      </c>
      <c r="CL29" s="598">
        <f t="shared" si="200"/>
        <v>6</v>
      </c>
      <c r="CM29" s="598">
        <f t="shared" si="200"/>
        <v>7</v>
      </c>
      <c r="CN29" s="598">
        <f t="shared" si="200"/>
        <v>8</v>
      </c>
      <c r="CO29" s="598">
        <f t="shared" si="200"/>
        <v>9</v>
      </c>
      <c r="CP29" s="598">
        <f t="shared" si="200"/>
        <v>10</v>
      </c>
      <c r="CQ29" s="598">
        <f t="shared" si="200"/>
        <v>11</v>
      </c>
      <c r="CS29" s="598" t="s">
        <v>2344</v>
      </c>
      <c r="CT29" s="598">
        <f t="shared" ref="CT29:DC29" si="201">CT$24+$BQ175</f>
        <v>2</v>
      </c>
      <c r="CU29" s="598">
        <f t="shared" si="201"/>
        <v>3</v>
      </c>
      <c r="CV29" s="598">
        <f t="shared" si="201"/>
        <v>4</v>
      </c>
      <c r="CW29" s="598">
        <f t="shared" si="201"/>
        <v>5</v>
      </c>
      <c r="CX29" s="598">
        <f t="shared" si="201"/>
        <v>6</v>
      </c>
      <c r="CY29" s="598">
        <f t="shared" si="201"/>
        <v>7</v>
      </c>
      <c r="CZ29" s="598">
        <f t="shared" si="201"/>
        <v>8</v>
      </c>
      <c r="DA29" s="598">
        <f t="shared" si="201"/>
        <v>9</v>
      </c>
      <c r="DB29" s="598">
        <f t="shared" si="201"/>
        <v>10</v>
      </c>
      <c r="DC29" s="598">
        <f t="shared" si="201"/>
        <v>11</v>
      </c>
    </row>
    <row r="30" spans="1:107">
      <c r="A30" s="598" t="s">
        <v>2345</v>
      </c>
      <c r="B30" s="598" t="e">
        <f t="shared" ref="B30:K30" si="202">B24+$C$176</f>
        <v>#N/A</v>
      </c>
      <c r="C30" s="598" t="e">
        <f t="shared" si="202"/>
        <v>#N/A</v>
      </c>
      <c r="D30" s="598" t="e">
        <f t="shared" si="202"/>
        <v>#N/A</v>
      </c>
      <c r="E30" s="598" t="e">
        <f t="shared" si="202"/>
        <v>#N/A</v>
      </c>
      <c r="F30" s="598" t="e">
        <f t="shared" si="202"/>
        <v>#N/A</v>
      </c>
      <c r="G30" s="598" t="e">
        <f t="shared" si="202"/>
        <v>#N/A</v>
      </c>
      <c r="H30" s="598" t="e">
        <f t="shared" si="202"/>
        <v>#N/A</v>
      </c>
      <c r="I30" s="598" t="e">
        <f t="shared" si="202"/>
        <v>#N/A</v>
      </c>
      <c r="J30" s="598" t="e">
        <f t="shared" si="202"/>
        <v>#N/A</v>
      </c>
      <c r="K30" s="598" t="e">
        <f t="shared" si="202"/>
        <v>#N/A</v>
      </c>
      <c r="M30" s="598" t="s">
        <v>2345</v>
      </c>
      <c r="N30" s="598" t="e">
        <f t="shared" ref="N30:W30" si="203">N$24+$E176</f>
        <v>#N/A</v>
      </c>
      <c r="O30" s="598" t="e">
        <f t="shared" si="203"/>
        <v>#N/A</v>
      </c>
      <c r="P30" s="598" t="e">
        <f t="shared" si="203"/>
        <v>#N/A</v>
      </c>
      <c r="Q30" s="598" t="e">
        <f t="shared" si="203"/>
        <v>#N/A</v>
      </c>
      <c r="R30" s="598" t="e">
        <f t="shared" si="203"/>
        <v>#N/A</v>
      </c>
      <c r="S30" s="598" t="e">
        <f t="shared" si="203"/>
        <v>#N/A</v>
      </c>
      <c r="T30" s="598" t="e">
        <f t="shared" si="203"/>
        <v>#N/A</v>
      </c>
      <c r="U30" s="598" t="e">
        <f t="shared" si="203"/>
        <v>#N/A</v>
      </c>
      <c r="V30" s="598" t="e">
        <f t="shared" si="203"/>
        <v>#N/A</v>
      </c>
      <c r="W30" s="598" t="e">
        <f t="shared" si="203"/>
        <v>#N/A</v>
      </c>
      <c r="Y30" s="598" t="s">
        <v>2345</v>
      </c>
      <c r="Z30" s="598" t="e">
        <f t="shared" ref="Z30:AI30" si="204">Z$24+$G176</f>
        <v>#N/A</v>
      </c>
      <c r="AA30" s="598" t="e">
        <f t="shared" si="204"/>
        <v>#N/A</v>
      </c>
      <c r="AB30" s="598" t="e">
        <f t="shared" si="204"/>
        <v>#N/A</v>
      </c>
      <c r="AC30" s="598" t="e">
        <f t="shared" si="204"/>
        <v>#N/A</v>
      </c>
      <c r="AD30" s="598" t="e">
        <f t="shared" si="204"/>
        <v>#N/A</v>
      </c>
      <c r="AE30" s="598" t="e">
        <f t="shared" si="204"/>
        <v>#N/A</v>
      </c>
      <c r="AF30" s="598" t="e">
        <f t="shared" si="204"/>
        <v>#N/A</v>
      </c>
      <c r="AG30" s="598" t="e">
        <f t="shared" si="204"/>
        <v>#N/A</v>
      </c>
      <c r="AH30" s="598" t="e">
        <f t="shared" si="204"/>
        <v>#N/A</v>
      </c>
      <c r="AI30" s="598" t="e">
        <f t="shared" si="204"/>
        <v>#N/A</v>
      </c>
      <c r="AK30" s="598" t="s">
        <v>2345</v>
      </c>
      <c r="AL30" s="598" t="e">
        <f t="shared" ref="AL30:AU30" si="205">AL$24+$I176</f>
        <v>#N/A</v>
      </c>
      <c r="AM30" s="598" t="e">
        <f t="shared" si="205"/>
        <v>#N/A</v>
      </c>
      <c r="AN30" s="598" t="e">
        <f t="shared" si="205"/>
        <v>#N/A</v>
      </c>
      <c r="AO30" s="598" t="e">
        <f t="shared" si="205"/>
        <v>#N/A</v>
      </c>
      <c r="AP30" s="598" t="e">
        <f t="shared" si="205"/>
        <v>#N/A</v>
      </c>
      <c r="AQ30" s="598" t="e">
        <f t="shared" si="205"/>
        <v>#N/A</v>
      </c>
      <c r="AR30" s="598" t="e">
        <f t="shared" si="205"/>
        <v>#N/A</v>
      </c>
      <c r="AS30" s="598" t="e">
        <f t="shared" si="205"/>
        <v>#N/A</v>
      </c>
      <c r="AT30" s="598" t="e">
        <f t="shared" si="205"/>
        <v>#N/A</v>
      </c>
      <c r="AU30" s="598" t="e">
        <f t="shared" si="205"/>
        <v>#N/A</v>
      </c>
      <c r="AW30" s="598" t="s">
        <v>2345</v>
      </c>
      <c r="AX30" s="598" t="e">
        <f t="shared" ref="AX30:BG30" si="206">AX$24+$K176</f>
        <v>#N/A</v>
      </c>
      <c r="AY30" s="598" t="e">
        <f t="shared" si="206"/>
        <v>#N/A</v>
      </c>
      <c r="AZ30" s="598" t="e">
        <f t="shared" si="206"/>
        <v>#N/A</v>
      </c>
      <c r="BA30" s="598" t="e">
        <f t="shared" si="206"/>
        <v>#N/A</v>
      </c>
      <c r="BB30" s="598" t="e">
        <f t="shared" si="206"/>
        <v>#N/A</v>
      </c>
      <c r="BC30" s="598" t="e">
        <f t="shared" si="206"/>
        <v>#N/A</v>
      </c>
      <c r="BD30" s="598" t="e">
        <f t="shared" si="206"/>
        <v>#N/A</v>
      </c>
      <c r="BE30" s="598" t="e">
        <f t="shared" si="206"/>
        <v>#N/A</v>
      </c>
      <c r="BF30" s="598" t="e">
        <f t="shared" si="206"/>
        <v>#N/A</v>
      </c>
      <c r="BG30" s="598" t="e">
        <f t="shared" si="206"/>
        <v>#N/A</v>
      </c>
      <c r="BI30" s="598" t="s">
        <v>2345</v>
      </c>
      <c r="BJ30" s="598" t="e">
        <f t="shared" ref="BJ30:BS30" si="207">BJ$24+$M176</f>
        <v>#N/A</v>
      </c>
      <c r="BK30" s="598" t="e">
        <f t="shared" si="207"/>
        <v>#N/A</v>
      </c>
      <c r="BL30" s="598" t="e">
        <f t="shared" si="207"/>
        <v>#N/A</v>
      </c>
      <c r="BM30" s="598" t="e">
        <f t="shared" si="207"/>
        <v>#N/A</v>
      </c>
      <c r="BN30" s="598" t="e">
        <f t="shared" si="207"/>
        <v>#N/A</v>
      </c>
      <c r="BO30" s="598" t="e">
        <f t="shared" si="207"/>
        <v>#N/A</v>
      </c>
      <c r="BP30" s="598" t="e">
        <f t="shared" si="207"/>
        <v>#N/A</v>
      </c>
      <c r="BQ30" s="598" t="e">
        <f t="shared" si="207"/>
        <v>#N/A</v>
      </c>
      <c r="BR30" s="598" t="e">
        <f t="shared" si="207"/>
        <v>#N/A</v>
      </c>
      <c r="BS30" s="598" t="e">
        <f t="shared" si="207"/>
        <v>#N/A</v>
      </c>
      <c r="BU30" s="598" t="s">
        <v>2345</v>
      </c>
      <c r="BV30" s="598" t="e">
        <f t="shared" si="158"/>
        <v>#N/A</v>
      </c>
      <c r="BW30" s="598" t="e">
        <f t="shared" si="159"/>
        <v>#N/A</v>
      </c>
      <c r="BX30" s="598" t="e">
        <f t="shared" si="160"/>
        <v>#N/A</v>
      </c>
      <c r="BY30" s="598" t="e">
        <f t="shared" si="161"/>
        <v>#N/A</v>
      </c>
      <c r="BZ30" s="598" t="e">
        <f t="shared" si="162"/>
        <v>#N/A</v>
      </c>
      <c r="CA30" s="598" t="e">
        <f t="shared" si="163"/>
        <v>#N/A</v>
      </c>
      <c r="CB30" s="598" t="e">
        <f t="shared" si="164"/>
        <v>#N/A</v>
      </c>
      <c r="CC30" s="598" t="e">
        <f t="shared" si="165"/>
        <v>#N/A</v>
      </c>
      <c r="CD30" s="598" t="e">
        <f t="shared" si="166"/>
        <v>#N/A</v>
      </c>
      <c r="CE30" s="598" t="e">
        <f t="shared" si="167"/>
        <v>#N/A</v>
      </c>
      <c r="CG30" s="598" t="s">
        <v>2345</v>
      </c>
      <c r="CH30" s="598" t="e">
        <f t="shared" ref="CH30:CQ30" si="208">CH$24+$BO176</f>
        <v>#N/A</v>
      </c>
      <c r="CI30" s="598" t="e">
        <f t="shared" si="208"/>
        <v>#N/A</v>
      </c>
      <c r="CJ30" s="598" t="e">
        <f t="shared" si="208"/>
        <v>#N/A</v>
      </c>
      <c r="CK30" s="598" t="e">
        <f t="shared" si="208"/>
        <v>#N/A</v>
      </c>
      <c r="CL30" s="598" t="e">
        <f t="shared" si="208"/>
        <v>#N/A</v>
      </c>
      <c r="CM30" s="598" t="e">
        <f t="shared" si="208"/>
        <v>#N/A</v>
      </c>
      <c r="CN30" s="598" t="e">
        <f t="shared" si="208"/>
        <v>#N/A</v>
      </c>
      <c r="CO30" s="598" t="e">
        <f t="shared" si="208"/>
        <v>#N/A</v>
      </c>
      <c r="CP30" s="598" t="e">
        <f t="shared" si="208"/>
        <v>#N/A</v>
      </c>
      <c r="CQ30" s="598" t="e">
        <f t="shared" si="208"/>
        <v>#N/A</v>
      </c>
      <c r="CS30" s="598" t="s">
        <v>2345</v>
      </c>
      <c r="CT30" s="598" t="e">
        <f t="shared" ref="CT30:DC30" si="209">CT$24+$BQ176</f>
        <v>#N/A</v>
      </c>
      <c r="CU30" s="598" t="e">
        <f t="shared" si="209"/>
        <v>#N/A</v>
      </c>
      <c r="CV30" s="598" t="e">
        <f t="shared" si="209"/>
        <v>#N/A</v>
      </c>
      <c r="CW30" s="598" t="e">
        <f t="shared" si="209"/>
        <v>#N/A</v>
      </c>
      <c r="CX30" s="598" t="e">
        <f t="shared" si="209"/>
        <v>#N/A</v>
      </c>
      <c r="CY30" s="598" t="e">
        <f t="shared" si="209"/>
        <v>#N/A</v>
      </c>
      <c r="CZ30" s="598" t="e">
        <f t="shared" si="209"/>
        <v>#N/A</v>
      </c>
      <c r="DA30" s="598" t="e">
        <f t="shared" si="209"/>
        <v>#N/A</v>
      </c>
      <c r="DB30" s="598" t="e">
        <f t="shared" si="209"/>
        <v>#N/A</v>
      </c>
      <c r="DC30" s="598" t="e">
        <f t="shared" si="209"/>
        <v>#N/A</v>
      </c>
    </row>
    <row r="31" spans="1:107">
      <c r="A31" s="598" t="s">
        <v>1631</v>
      </c>
      <c r="B31" s="598">
        <f t="shared" ref="B31:K31" si="210">B24+$C$177</f>
        <v>0</v>
      </c>
      <c r="C31" s="598">
        <f t="shared" si="210"/>
        <v>1</v>
      </c>
      <c r="D31" s="598">
        <f t="shared" si="210"/>
        <v>2</v>
      </c>
      <c r="E31" s="598">
        <f t="shared" si="210"/>
        <v>3</v>
      </c>
      <c r="F31" s="598">
        <f t="shared" si="210"/>
        <v>4</v>
      </c>
      <c r="G31" s="598">
        <f t="shared" si="210"/>
        <v>5</v>
      </c>
      <c r="H31" s="598">
        <f t="shared" si="210"/>
        <v>6</v>
      </c>
      <c r="I31" s="598">
        <f t="shared" si="210"/>
        <v>7</v>
      </c>
      <c r="J31" s="598">
        <f t="shared" si="210"/>
        <v>8</v>
      </c>
      <c r="K31" s="598">
        <f t="shared" si="210"/>
        <v>9</v>
      </c>
      <c r="M31" s="598" t="s">
        <v>1631</v>
      </c>
      <c r="N31" s="598">
        <f t="shared" ref="N31:W31" si="211">N$24+$E177</f>
        <v>2</v>
      </c>
      <c r="O31" s="598">
        <f t="shared" si="211"/>
        <v>3</v>
      </c>
      <c r="P31" s="598">
        <f t="shared" si="211"/>
        <v>4</v>
      </c>
      <c r="Q31" s="598">
        <f t="shared" si="211"/>
        <v>5</v>
      </c>
      <c r="R31" s="598">
        <f t="shared" si="211"/>
        <v>6</v>
      </c>
      <c r="S31" s="598">
        <f t="shared" si="211"/>
        <v>7</v>
      </c>
      <c r="T31" s="598">
        <f t="shared" si="211"/>
        <v>8</v>
      </c>
      <c r="U31" s="598">
        <f t="shared" si="211"/>
        <v>9</v>
      </c>
      <c r="V31" s="598">
        <f t="shared" si="211"/>
        <v>10</v>
      </c>
      <c r="W31" s="598">
        <f t="shared" si="211"/>
        <v>11</v>
      </c>
      <c r="Y31" s="598" t="s">
        <v>1631</v>
      </c>
      <c r="Z31" s="598">
        <f t="shared" ref="Z31:AI31" si="212">Z$24+$G177</f>
        <v>0</v>
      </c>
      <c r="AA31" s="598">
        <f t="shared" si="212"/>
        <v>1</v>
      </c>
      <c r="AB31" s="598">
        <f t="shared" si="212"/>
        <v>2</v>
      </c>
      <c r="AC31" s="598">
        <f t="shared" si="212"/>
        <v>3</v>
      </c>
      <c r="AD31" s="598">
        <f t="shared" si="212"/>
        <v>4</v>
      </c>
      <c r="AE31" s="598">
        <f t="shared" si="212"/>
        <v>5</v>
      </c>
      <c r="AF31" s="598">
        <f t="shared" si="212"/>
        <v>6</v>
      </c>
      <c r="AG31" s="598">
        <f t="shared" si="212"/>
        <v>7</v>
      </c>
      <c r="AH31" s="598">
        <f t="shared" si="212"/>
        <v>8</v>
      </c>
      <c r="AI31" s="598">
        <f t="shared" si="212"/>
        <v>9</v>
      </c>
      <c r="AK31" s="598" t="s">
        <v>1631</v>
      </c>
      <c r="AL31" s="598">
        <f t="shared" ref="AL31:AU31" si="213">AL$24+$I177</f>
        <v>-1</v>
      </c>
      <c r="AM31" s="598">
        <f t="shared" si="213"/>
        <v>0</v>
      </c>
      <c r="AN31" s="598">
        <f t="shared" si="213"/>
        <v>1</v>
      </c>
      <c r="AO31" s="598">
        <f t="shared" si="213"/>
        <v>2</v>
      </c>
      <c r="AP31" s="598">
        <f t="shared" si="213"/>
        <v>3</v>
      </c>
      <c r="AQ31" s="598">
        <f t="shared" si="213"/>
        <v>4</v>
      </c>
      <c r="AR31" s="598">
        <f t="shared" si="213"/>
        <v>5</v>
      </c>
      <c r="AS31" s="598">
        <f t="shared" si="213"/>
        <v>6</v>
      </c>
      <c r="AT31" s="598">
        <f t="shared" si="213"/>
        <v>7</v>
      </c>
      <c r="AU31" s="598">
        <f t="shared" si="213"/>
        <v>8</v>
      </c>
      <c r="AW31" s="598" t="s">
        <v>1631</v>
      </c>
      <c r="AX31" s="598">
        <f t="shared" ref="AX31:BG31" si="214">AX$24+$K177</f>
        <v>-1</v>
      </c>
      <c r="AY31" s="598">
        <f t="shared" si="214"/>
        <v>0</v>
      </c>
      <c r="AZ31" s="598">
        <f t="shared" si="214"/>
        <v>1</v>
      </c>
      <c r="BA31" s="598">
        <f t="shared" si="214"/>
        <v>2</v>
      </c>
      <c r="BB31" s="598">
        <f t="shared" si="214"/>
        <v>3</v>
      </c>
      <c r="BC31" s="598">
        <f t="shared" si="214"/>
        <v>4</v>
      </c>
      <c r="BD31" s="598">
        <f t="shared" si="214"/>
        <v>5</v>
      </c>
      <c r="BE31" s="598">
        <f t="shared" si="214"/>
        <v>6</v>
      </c>
      <c r="BF31" s="598">
        <f t="shared" si="214"/>
        <v>7</v>
      </c>
      <c r="BG31" s="598">
        <f t="shared" si="214"/>
        <v>8</v>
      </c>
      <c r="BI31" s="598" t="s">
        <v>1631</v>
      </c>
      <c r="BJ31" s="598">
        <f t="shared" ref="BJ31:BS31" si="215">BJ$24+$M177</f>
        <v>4</v>
      </c>
      <c r="BK31" s="598">
        <f t="shared" si="215"/>
        <v>5</v>
      </c>
      <c r="BL31" s="598">
        <f t="shared" si="215"/>
        <v>6</v>
      </c>
      <c r="BM31" s="598">
        <f t="shared" si="215"/>
        <v>7</v>
      </c>
      <c r="BN31" s="598">
        <f t="shared" si="215"/>
        <v>8</v>
      </c>
      <c r="BO31" s="598">
        <f t="shared" si="215"/>
        <v>9</v>
      </c>
      <c r="BP31" s="598">
        <f t="shared" si="215"/>
        <v>10</v>
      </c>
      <c r="BQ31" s="598">
        <f t="shared" si="215"/>
        <v>11</v>
      </c>
      <c r="BR31" s="598">
        <f t="shared" si="215"/>
        <v>12</v>
      </c>
      <c r="BS31" s="598">
        <f t="shared" si="215"/>
        <v>13</v>
      </c>
      <c r="BU31" s="598" t="s">
        <v>1631</v>
      </c>
      <c r="BV31" s="598">
        <f t="shared" si="158"/>
        <v>1</v>
      </c>
      <c r="BW31" s="598">
        <f t="shared" si="159"/>
        <v>2</v>
      </c>
      <c r="BX31" s="598">
        <f t="shared" si="160"/>
        <v>3</v>
      </c>
      <c r="BY31" s="598">
        <f t="shared" si="161"/>
        <v>4</v>
      </c>
      <c r="BZ31" s="598">
        <f t="shared" si="162"/>
        <v>5</v>
      </c>
      <c r="CA31" s="598">
        <f t="shared" si="163"/>
        <v>6</v>
      </c>
      <c r="CB31" s="598">
        <f t="shared" si="164"/>
        <v>7</v>
      </c>
      <c r="CC31" s="598">
        <f t="shared" si="165"/>
        <v>8</v>
      </c>
      <c r="CD31" s="598">
        <f t="shared" si="166"/>
        <v>9</v>
      </c>
      <c r="CE31" s="598">
        <f t="shared" si="167"/>
        <v>10</v>
      </c>
      <c r="CG31" s="598" t="s">
        <v>1631</v>
      </c>
      <c r="CH31" s="598">
        <f t="shared" ref="CH31:CQ31" si="216">CH$24+$BO177</f>
        <v>2</v>
      </c>
      <c r="CI31" s="598">
        <f t="shared" si="216"/>
        <v>3</v>
      </c>
      <c r="CJ31" s="598">
        <f t="shared" si="216"/>
        <v>4</v>
      </c>
      <c r="CK31" s="598">
        <f t="shared" si="216"/>
        <v>5</v>
      </c>
      <c r="CL31" s="598">
        <f t="shared" si="216"/>
        <v>6</v>
      </c>
      <c r="CM31" s="598">
        <f t="shared" si="216"/>
        <v>7</v>
      </c>
      <c r="CN31" s="598">
        <f t="shared" si="216"/>
        <v>8</v>
      </c>
      <c r="CO31" s="598">
        <f t="shared" si="216"/>
        <v>9</v>
      </c>
      <c r="CP31" s="598">
        <f t="shared" si="216"/>
        <v>10</v>
      </c>
      <c r="CQ31" s="598">
        <f t="shared" si="216"/>
        <v>11</v>
      </c>
      <c r="CS31" s="598" t="s">
        <v>1631</v>
      </c>
      <c r="CT31" s="598">
        <f t="shared" ref="CT31:DC31" si="217">CT$24+$BQ177</f>
        <v>2</v>
      </c>
      <c r="CU31" s="598">
        <f t="shared" si="217"/>
        <v>3</v>
      </c>
      <c r="CV31" s="598">
        <f t="shared" si="217"/>
        <v>4</v>
      </c>
      <c r="CW31" s="598">
        <f t="shared" si="217"/>
        <v>5</v>
      </c>
      <c r="CX31" s="598">
        <f t="shared" si="217"/>
        <v>6</v>
      </c>
      <c r="CY31" s="598">
        <f t="shared" si="217"/>
        <v>7</v>
      </c>
      <c r="CZ31" s="598">
        <f t="shared" si="217"/>
        <v>8</v>
      </c>
      <c r="DA31" s="598">
        <f t="shared" si="217"/>
        <v>9</v>
      </c>
      <c r="DB31" s="598">
        <f t="shared" si="217"/>
        <v>10</v>
      </c>
      <c r="DC31" s="598">
        <f t="shared" si="217"/>
        <v>11</v>
      </c>
    </row>
    <row r="32" spans="1:107">
      <c r="A32" s="598" t="s">
        <v>3657</v>
      </c>
      <c r="B32" s="598">
        <f t="shared" ref="B32:K32" si="218">B24+$C$178</f>
        <v>-2</v>
      </c>
      <c r="C32" s="598">
        <f t="shared" si="218"/>
        <v>-1</v>
      </c>
      <c r="D32" s="598">
        <f t="shared" si="218"/>
        <v>0</v>
      </c>
      <c r="E32" s="598">
        <f t="shared" si="218"/>
        <v>1</v>
      </c>
      <c r="F32" s="598">
        <f t="shared" si="218"/>
        <v>2</v>
      </c>
      <c r="G32" s="598">
        <f t="shared" si="218"/>
        <v>3</v>
      </c>
      <c r="H32" s="598">
        <f t="shared" si="218"/>
        <v>4</v>
      </c>
      <c r="I32" s="598">
        <f t="shared" si="218"/>
        <v>5</v>
      </c>
      <c r="J32" s="598">
        <f t="shared" si="218"/>
        <v>6</v>
      </c>
      <c r="K32" s="598">
        <f t="shared" si="218"/>
        <v>7</v>
      </c>
      <c r="M32" s="598" t="s">
        <v>3657</v>
      </c>
      <c r="N32" s="598">
        <f t="shared" ref="N32:W32" si="219">N$24+$E178</f>
        <v>-1</v>
      </c>
      <c r="O32" s="598">
        <f t="shared" si="219"/>
        <v>0</v>
      </c>
      <c r="P32" s="598">
        <f t="shared" si="219"/>
        <v>1</v>
      </c>
      <c r="Q32" s="598">
        <f t="shared" si="219"/>
        <v>2</v>
      </c>
      <c r="R32" s="598">
        <f t="shared" si="219"/>
        <v>3</v>
      </c>
      <c r="S32" s="598">
        <f t="shared" si="219"/>
        <v>4</v>
      </c>
      <c r="T32" s="598">
        <f t="shared" si="219"/>
        <v>5</v>
      </c>
      <c r="U32" s="598">
        <f t="shared" si="219"/>
        <v>6</v>
      </c>
      <c r="V32" s="598">
        <f t="shared" si="219"/>
        <v>7</v>
      </c>
      <c r="W32" s="598">
        <f t="shared" si="219"/>
        <v>8</v>
      </c>
      <c r="Y32" s="598" t="s">
        <v>3657</v>
      </c>
      <c r="Z32" s="598">
        <f t="shared" ref="Z32:AI32" si="220">Z$24+$G178</f>
        <v>3</v>
      </c>
      <c r="AA32" s="598">
        <f t="shared" si="220"/>
        <v>4</v>
      </c>
      <c r="AB32" s="598">
        <f t="shared" si="220"/>
        <v>5</v>
      </c>
      <c r="AC32" s="598">
        <f t="shared" si="220"/>
        <v>6</v>
      </c>
      <c r="AD32" s="598">
        <f t="shared" si="220"/>
        <v>7</v>
      </c>
      <c r="AE32" s="598">
        <f t="shared" si="220"/>
        <v>8</v>
      </c>
      <c r="AF32" s="598">
        <f t="shared" si="220"/>
        <v>9</v>
      </c>
      <c r="AG32" s="598">
        <f t="shared" si="220"/>
        <v>10</v>
      </c>
      <c r="AH32" s="598">
        <f t="shared" si="220"/>
        <v>11</v>
      </c>
      <c r="AI32" s="598">
        <f t="shared" si="220"/>
        <v>12</v>
      </c>
      <c r="AK32" s="598" t="s">
        <v>3657</v>
      </c>
      <c r="AL32" s="598">
        <f t="shared" ref="AL32:AU32" si="221">AL$24+$I178</f>
        <v>0</v>
      </c>
      <c r="AM32" s="598">
        <f t="shared" si="221"/>
        <v>1</v>
      </c>
      <c r="AN32" s="598">
        <f t="shared" si="221"/>
        <v>2</v>
      </c>
      <c r="AO32" s="598">
        <f t="shared" si="221"/>
        <v>3</v>
      </c>
      <c r="AP32" s="598">
        <f t="shared" si="221"/>
        <v>4</v>
      </c>
      <c r="AQ32" s="598">
        <f t="shared" si="221"/>
        <v>5</v>
      </c>
      <c r="AR32" s="598">
        <f t="shared" si="221"/>
        <v>6</v>
      </c>
      <c r="AS32" s="598">
        <f t="shared" si="221"/>
        <v>7</v>
      </c>
      <c r="AT32" s="598">
        <f t="shared" si="221"/>
        <v>8</v>
      </c>
      <c r="AU32" s="598">
        <f t="shared" si="221"/>
        <v>9</v>
      </c>
      <c r="AW32" s="598" t="s">
        <v>3657</v>
      </c>
      <c r="AX32" s="598">
        <f t="shared" ref="AX32:BG32" si="222">AX$24+$K178</f>
        <v>3</v>
      </c>
      <c r="AY32" s="598">
        <f t="shared" si="222"/>
        <v>4</v>
      </c>
      <c r="AZ32" s="598">
        <f t="shared" si="222"/>
        <v>5</v>
      </c>
      <c r="BA32" s="598">
        <f t="shared" si="222"/>
        <v>6</v>
      </c>
      <c r="BB32" s="598">
        <f t="shared" si="222"/>
        <v>7</v>
      </c>
      <c r="BC32" s="598">
        <f t="shared" si="222"/>
        <v>8</v>
      </c>
      <c r="BD32" s="598">
        <f t="shared" si="222"/>
        <v>9</v>
      </c>
      <c r="BE32" s="598">
        <f t="shared" si="222"/>
        <v>10</v>
      </c>
      <c r="BF32" s="598">
        <f t="shared" si="222"/>
        <v>11</v>
      </c>
      <c r="BG32" s="598">
        <f t="shared" si="222"/>
        <v>12</v>
      </c>
      <c r="BI32" s="598" t="s">
        <v>3657</v>
      </c>
      <c r="BJ32" s="598">
        <f t="shared" ref="BJ32:BS32" si="223">BJ$24+$M178</f>
        <v>0</v>
      </c>
      <c r="BK32" s="598">
        <f t="shared" si="223"/>
        <v>1</v>
      </c>
      <c r="BL32" s="598">
        <f t="shared" si="223"/>
        <v>2</v>
      </c>
      <c r="BM32" s="598">
        <f t="shared" si="223"/>
        <v>3</v>
      </c>
      <c r="BN32" s="598">
        <f t="shared" si="223"/>
        <v>4</v>
      </c>
      <c r="BO32" s="598">
        <f t="shared" si="223"/>
        <v>5</v>
      </c>
      <c r="BP32" s="598">
        <f t="shared" si="223"/>
        <v>6</v>
      </c>
      <c r="BQ32" s="598">
        <f t="shared" si="223"/>
        <v>7</v>
      </c>
      <c r="BR32" s="598">
        <f t="shared" si="223"/>
        <v>8</v>
      </c>
      <c r="BS32" s="598">
        <f t="shared" si="223"/>
        <v>9</v>
      </c>
      <c r="BU32" s="598" t="s">
        <v>3657</v>
      </c>
      <c r="BV32" s="598">
        <f t="shared" si="158"/>
        <v>-2</v>
      </c>
      <c r="BW32" s="598">
        <f t="shared" si="159"/>
        <v>-1</v>
      </c>
      <c r="BX32" s="598">
        <f t="shared" si="160"/>
        <v>0</v>
      </c>
      <c r="BY32" s="598">
        <f t="shared" si="161"/>
        <v>1</v>
      </c>
      <c r="BZ32" s="598">
        <f t="shared" si="162"/>
        <v>2</v>
      </c>
      <c r="CA32" s="598">
        <f t="shared" si="163"/>
        <v>3</v>
      </c>
      <c r="CB32" s="598">
        <f t="shared" si="164"/>
        <v>4</v>
      </c>
      <c r="CC32" s="598">
        <f t="shared" si="165"/>
        <v>5</v>
      </c>
      <c r="CD32" s="598">
        <f t="shared" si="166"/>
        <v>6</v>
      </c>
      <c r="CE32" s="598">
        <f t="shared" si="167"/>
        <v>7</v>
      </c>
      <c r="CG32" s="598" t="s">
        <v>3657</v>
      </c>
      <c r="CH32" s="598">
        <f t="shared" ref="CH32:CQ32" si="224">CH$24+$BO178</f>
        <v>4</v>
      </c>
      <c r="CI32" s="598">
        <f t="shared" si="224"/>
        <v>5</v>
      </c>
      <c r="CJ32" s="598">
        <f t="shared" si="224"/>
        <v>6</v>
      </c>
      <c r="CK32" s="598">
        <f t="shared" si="224"/>
        <v>7</v>
      </c>
      <c r="CL32" s="598">
        <f t="shared" si="224"/>
        <v>8</v>
      </c>
      <c r="CM32" s="598">
        <f t="shared" si="224"/>
        <v>9</v>
      </c>
      <c r="CN32" s="598">
        <f t="shared" si="224"/>
        <v>10</v>
      </c>
      <c r="CO32" s="598">
        <f t="shared" si="224"/>
        <v>11</v>
      </c>
      <c r="CP32" s="598">
        <f t="shared" si="224"/>
        <v>12</v>
      </c>
      <c r="CQ32" s="598">
        <f t="shared" si="224"/>
        <v>13</v>
      </c>
      <c r="CS32" s="598" t="s">
        <v>3657</v>
      </c>
      <c r="CT32" s="598">
        <f t="shared" ref="CT32:DC32" si="225">CT$24+$BQ178</f>
        <v>4</v>
      </c>
      <c r="CU32" s="598">
        <f t="shared" si="225"/>
        <v>5</v>
      </c>
      <c r="CV32" s="598">
        <f t="shared" si="225"/>
        <v>6</v>
      </c>
      <c r="CW32" s="598">
        <f t="shared" si="225"/>
        <v>7</v>
      </c>
      <c r="CX32" s="598">
        <f t="shared" si="225"/>
        <v>8</v>
      </c>
      <c r="CY32" s="598">
        <f t="shared" si="225"/>
        <v>9</v>
      </c>
      <c r="CZ32" s="598">
        <f t="shared" si="225"/>
        <v>10</v>
      </c>
      <c r="DA32" s="598">
        <f t="shared" si="225"/>
        <v>11</v>
      </c>
      <c r="DB32" s="598">
        <f t="shared" si="225"/>
        <v>12</v>
      </c>
      <c r="DC32" s="598">
        <f t="shared" si="225"/>
        <v>13</v>
      </c>
    </row>
    <row r="33" spans="1:107">
      <c r="A33" s="598" t="s">
        <v>2346</v>
      </c>
      <c r="B33" s="598" t="e">
        <f t="shared" ref="B33:K33" si="226">B24+$C$179</f>
        <v>#N/A</v>
      </c>
      <c r="C33" s="598" t="e">
        <f t="shared" si="226"/>
        <v>#N/A</v>
      </c>
      <c r="D33" s="598" t="e">
        <f t="shared" si="226"/>
        <v>#N/A</v>
      </c>
      <c r="E33" s="598" t="e">
        <f t="shared" si="226"/>
        <v>#N/A</v>
      </c>
      <c r="F33" s="598" t="e">
        <f t="shared" si="226"/>
        <v>#N/A</v>
      </c>
      <c r="G33" s="598" t="e">
        <f t="shared" si="226"/>
        <v>#N/A</v>
      </c>
      <c r="H33" s="598" t="e">
        <f t="shared" si="226"/>
        <v>#N/A</v>
      </c>
      <c r="I33" s="598" t="e">
        <f t="shared" si="226"/>
        <v>#N/A</v>
      </c>
      <c r="J33" s="598" t="e">
        <f t="shared" si="226"/>
        <v>#N/A</v>
      </c>
      <c r="K33" s="598" t="e">
        <f t="shared" si="226"/>
        <v>#N/A</v>
      </c>
      <c r="M33" s="598" t="s">
        <v>2346</v>
      </c>
      <c r="N33" s="598" t="e">
        <f t="shared" ref="N33:W33" si="227">N$24+$E179</f>
        <v>#N/A</v>
      </c>
      <c r="O33" s="598" t="e">
        <f t="shared" si="227"/>
        <v>#N/A</v>
      </c>
      <c r="P33" s="598" t="e">
        <f t="shared" si="227"/>
        <v>#N/A</v>
      </c>
      <c r="Q33" s="598" t="e">
        <f t="shared" si="227"/>
        <v>#N/A</v>
      </c>
      <c r="R33" s="598" t="e">
        <f t="shared" si="227"/>
        <v>#N/A</v>
      </c>
      <c r="S33" s="598" t="e">
        <f t="shared" si="227"/>
        <v>#N/A</v>
      </c>
      <c r="T33" s="598" t="e">
        <f t="shared" si="227"/>
        <v>#N/A</v>
      </c>
      <c r="U33" s="598" t="e">
        <f t="shared" si="227"/>
        <v>#N/A</v>
      </c>
      <c r="V33" s="598" t="e">
        <f t="shared" si="227"/>
        <v>#N/A</v>
      </c>
      <c r="W33" s="598" t="e">
        <f t="shared" si="227"/>
        <v>#N/A</v>
      </c>
      <c r="Y33" s="598" t="s">
        <v>2346</v>
      </c>
      <c r="Z33" s="598">
        <f t="shared" ref="Z33:AI33" si="228">Z$24+$G179</f>
        <v>2</v>
      </c>
      <c r="AA33" s="598">
        <f t="shared" si="228"/>
        <v>3</v>
      </c>
      <c r="AB33" s="598">
        <f t="shared" si="228"/>
        <v>4</v>
      </c>
      <c r="AC33" s="598">
        <f t="shared" si="228"/>
        <v>5</v>
      </c>
      <c r="AD33" s="598">
        <f t="shared" si="228"/>
        <v>6</v>
      </c>
      <c r="AE33" s="598">
        <f t="shared" si="228"/>
        <v>7</v>
      </c>
      <c r="AF33" s="598">
        <f t="shared" si="228"/>
        <v>8</v>
      </c>
      <c r="AG33" s="598">
        <f t="shared" si="228"/>
        <v>9</v>
      </c>
      <c r="AH33" s="598">
        <f t="shared" si="228"/>
        <v>10</v>
      </c>
      <c r="AI33" s="598">
        <f t="shared" si="228"/>
        <v>11</v>
      </c>
      <c r="AK33" s="598" t="s">
        <v>2346</v>
      </c>
      <c r="AL33" s="598">
        <f t="shared" ref="AL33:AU33" si="229">AL$24+$I179</f>
        <v>2</v>
      </c>
      <c r="AM33" s="598">
        <f t="shared" si="229"/>
        <v>3</v>
      </c>
      <c r="AN33" s="598">
        <f t="shared" si="229"/>
        <v>4</v>
      </c>
      <c r="AO33" s="598">
        <f t="shared" si="229"/>
        <v>5</v>
      </c>
      <c r="AP33" s="598">
        <f t="shared" si="229"/>
        <v>6</v>
      </c>
      <c r="AQ33" s="598">
        <f t="shared" si="229"/>
        <v>7</v>
      </c>
      <c r="AR33" s="598">
        <f t="shared" si="229"/>
        <v>8</v>
      </c>
      <c r="AS33" s="598">
        <f t="shared" si="229"/>
        <v>9</v>
      </c>
      <c r="AT33" s="598">
        <f t="shared" si="229"/>
        <v>10</v>
      </c>
      <c r="AU33" s="598">
        <f t="shared" si="229"/>
        <v>11</v>
      </c>
      <c r="AW33" s="598" t="s">
        <v>2346</v>
      </c>
      <c r="AX33" s="598" t="e">
        <f t="shared" ref="AX33:BG33" si="230">AX$24+$K179</f>
        <v>#N/A</v>
      </c>
      <c r="AY33" s="598" t="e">
        <f t="shared" si="230"/>
        <v>#N/A</v>
      </c>
      <c r="AZ33" s="598" t="e">
        <f t="shared" si="230"/>
        <v>#N/A</v>
      </c>
      <c r="BA33" s="598" t="e">
        <f t="shared" si="230"/>
        <v>#N/A</v>
      </c>
      <c r="BB33" s="598" t="e">
        <f t="shared" si="230"/>
        <v>#N/A</v>
      </c>
      <c r="BC33" s="598" t="e">
        <f t="shared" si="230"/>
        <v>#N/A</v>
      </c>
      <c r="BD33" s="598" t="e">
        <f t="shared" si="230"/>
        <v>#N/A</v>
      </c>
      <c r="BE33" s="598" t="e">
        <f t="shared" si="230"/>
        <v>#N/A</v>
      </c>
      <c r="BF33" s="598" t="e">
        <f t="shared" si="230"/>
        <v>#N/A</v>
      </c>
      <c r="BG33" s="598" t="e">
        <f t="shared" si="230"/>
        <v>#N/A</v>
      </c>
      <c r="BI33" s="598" t="s">
        <v>2346</v>
      </c>
      <c r="BJ33" s="598" t="e">
        <f t="shared" ref="BJ33:BS33" si="231">BJ$24+$M179</f>
        <v>#N/A</v>
      </c>
      <c r="BK33" s="598" t="e">
        <f t="shared" si="231"/>
        <v>#N/A</v>
      </c>
      <c r="BL33" s="598" t="e">
        <f t="shared" si="231"/>
        <v>#N/A</v>
      </c>
      <c r="BM33" s="598" t="e">
        <f t="shared" si="231"/>
        <v>#N/A</v>
      </c>
      <c r="BN33" s="598" t="e">
        <f t="shared" si="231"/>
        <v>#N/A</v>
      </c>
      <c r="BO33" s="598" t="e">
        <f t="shared" si="231"/>
        <v>#N/A</v>
      </c>
      <c r="BP33" s="598" t="e">
        <f t="shared" si="231"/>
        <v>#N/A</v>
      </c>
      <c r="BQ33" s="598" t="e">
        <f t="shared" si="231"/>
        <v>#N/A</v>
      </c>
      <c r="BR33" s="598" t="e">
        <f t="shared" si="231"/>
        <v>#N/A</v>
      </c>
      <c r="BS33" s="598" t="e">
        <f t="shared" si="231"/>
        <v>#N/A</v>
      </c>
      <c r="BU33" s="598" t="s">
        <v>2346</v>
      </c>
      <c r="BV33" s="598" t="e">
        <f t="shared" si="158"/>
        <v>#N/A</v>
      </c>
      <c r="BW33" s="598" t="e">
        <f t="shared" si="159"/>
        <v>#N/A</v>
      </c>
      <c r="BX33" s="598" t="e">
        <f t="shared" si="160"/>
        <v>#N/A</v>
      </c>
      <c r="BY33" s="598" t="e">
        <f t="shared" si="161"/>
        <v>#N/A</v>
      </c>
      <c r="BZ33" s="598" t="e">
        <f t="shared" si="162"/>
        <v>#N/A</v>
      </c>
      <c r="CA33" s="598" t="e">
        <f t="shared" si="163"/>
        <v>#N/A</v>
      </c>
      <c r="CB33" s="598" t="e">
        <f t="shared" si="164"/>
        <v>#N/A</v>
      </c>
      <c r="CC33" s="598" t="e">
        <f t="shared" si="165"/>
        <v>#N/A</v>
      </c>
      <c r="CD33" s="598" t="e">
        <f t="shared" si="166"/>
        <v>#N/A</v>
      </c>
      <c r="CE33" s="598" t="e">
        <f t="shared" si="167"/>
        <v>#N/A</v>
      </c>
      <c r="CG33" s="598" t="s">
        <v>2346</v>
      </c>
      <c r="CH33" s="598" t="e">
        <f t="shared" ref="CH33:CQ33" si="232">CH$24+$BO179</f>
        <v>#N/A</v>
      </c>
      <c r="CI33" s="598" t="e">
        <f t="shared" si="232"/>
        <v>#N/A</v>
      </c>
      <c r="CJ33" s="598" t="e">
        <f t="shared" si="232"/>
        <v>#N/A</v>
      </c>
      <c r="CK33" s="598" t="e">
        <f t="shared" si="232"/>
        <v>#N/A</v>
      </c>
      <c r="CL33" s="598" t="e">
        <f t="shared" si="232"/>
        <v>#N/A</v>
      </c>
      <c r="CM33" s="598" t="e">
        <f t="shared" si="232"/>
        <v>#N/A</v>
      </c>
      <c r="CN33" s="598" t="e">
        <f t="shared" si="232"/>
        <v>#N/A</v>
      </c>
      <c r="CO33" s="598" t="e">
        <f t="shared" si="232"/>
        <v>#N/A</v>
      </c>
      <c r="CP33" s="598" t="e">
        <f t="shared" si="232"/>
        <v>#N/A</v>
      </c>
      <c r="CQ33" s="598" t="e">
        <f t="shared" si="232"/>
        <v>#N/A</v>
      </c>
      <c r="CS33" s="598" t="s">
        <v>2346</v>
      </c>
      <c r="CT33" s="598" t="e">
        <f t="shared" ref="CT33:DC33" si="233">CT$24+$BQ179</f>
        <v>#N/A</v>
      </c>
      <c r="CU33" s="598" t="e">
        <f t="shared" si="233"/>
        <v>#N/A</v>
      </c>
      <c r="CV33" s="598" t="e">
        <f t="shared" si="233"/>
        <v>#N/A</v>
      </c>
      <c r="CW33" s="598" t="e">
        <f t="shared" si="233"/>
        <v>#N/A</v>
      </c>
      <c r="CX33" s="598" t="e">
        <f t="shared" si="233"/>
        <v>#N/A</v>
      </c>
      <c r="CY33" s="598" t="e">
        <f t="shared" si="233"/>
        <v>#N/A</v>
      </c>
      <c r="CZ33" s="598" t="e">
        <f t="shared" si="233"/>
        <v>#N/A</v>
      </c>
      <c r="DA33" s="598" t="e">
        <f t="shared" si="233"/>
        <v>#N/A</v>
      </c>
      <c r="DB33" s="598" t="e">
        <f t="shared" si="233"/>
        <v>#N/A</v>
      </c>
      <c r="DC33" s="598" t="e">
        <f t="shared" si="233"/>
        <v>#N/A</v>
      </c>
    </row>
    <row r="34" spans="1:107">
      <c r="A34" s="598" t="s">
        <v>1632</v>
      </c>
      <c r="B34" s="598">
        <f t="shared" ref="B34:K34" si="234">B24+$C$180</f>
        <v>1</v>
      </c>
      <c r="C34" s="598">
        <f t="shared" si="234"/>
        <v>2</v>
      </c>
      <c r="D34" s="598">
        <f t="shared" si="234"/>
        <v>3</v>
      </c>
      <c r="E34" s="598">
        <f t="shared" si="234"/>
        <v>4</v>
      </c>
      <c r="F34" s="598">
        <f t="shared" si="234"/>
        <v>5</v>
      </c>
      <c r="G34" s="598">
        <f t="shared" si="234"/>
        <v>6</v>
      </c>
      <c r="H34" s="598">
        <f t="shared" si="234"/>
        <v>7</v>
      </c>
      <c r="I34" s="598">
        <f t="shared" si="234"/>
        <v>8</v>
      </c>
      <c r="J34" s="598">
        <f t="shared" si="234"/>
        <v>9</v>
      </c>
      <c r="K34" s="598">
        <f t="shared" si="234"/>
        <v>10</v>
      </c>
      <c r="M34" s="598" t="s">
        <v>1632</v>
      </c>
      <c r="N34" s="598">
        <f t="shared" ref="N34:W34" si="235">N$24+$E180</f>
        <v>1</v>
      </c>
      <c r="O34" s="598">
        <f t="shared" si="235"/>
        <v>2</v>
      </c>
      <c r="P34" s="598">
        <f t="shared" si="235"/>
        <v>3</v>
      </c>
      <c r="Q34" s="598">
        <f t="shared" si="235"/>
        <v>4</v>
      </c>
      <c r="R34" s="598">
        <f t="shared" si="235"/>
        <v>5</v>
      </c>
      <c r="S34" s="598">
        <f t="shared" si="235"/>
        <v>6</v>
      </c>
      <c r="T34" s="598">
        <f t="shared" si="235"/>
        <v>7</v>
      </c>
      <c r="U34" s="598">
        <f t="shared" si="235"/>
        <v>8</v>
      </c>
      <c r="V34" s="598">
        <f t="shared" si="235"/>
        <v>9</v>
      </c>
      <c r="W34" s="598">
        <f t="shared" si="235"/>
        <v>10</v>
      </c>
      <c r="Y34" s="598" t="s">
        <v>1632</v>
      </c>
      <c r="Z34" s="598">
        <f t="shared" ref="Z34:AI34" si="236">Z$24+$G180</f>
        <v>2</v>
      </c>
      <c r="AA34" s="598">
        <f t="shared" si="236"/>
        <v>3</v>
      </c>
      <c r="AB34" s="598">
        <f t="shared" si="236"/>
        <v>4</v>
      </c>
      <c r="AC34" s="598">
        <f t="shared" si="236"/>
        <v>5</v>
      </c>
      <c r="AD34" s="598">
        <f t="shared" si="236"/>
        <v>6</v>
      </c>
      <c r="AE34" s="598">
        <f t="shared" si="236"/>
        <v>7</v>
      </c>
      <c r="AF34" s="598">
        <f t="shared" si="236"/>
        <v>8</v>
      </c>
      <c r="AG34" s="598">
        <f t="shared" si="236"/>
        <v>9</v>
      </c>
      <c r="AH34" s="598">
        <f t="shared" si="236"/>
        <v>10</v>
      </c>
      <c r="AI34" s="598">
        <f t="shared" si="236"/>
        <v>11</v>
      </c>
      <c r="AK34" s="598" t="s">
        <v>1632</v>
      </c>
      <c r="AL34" s="598">
        <f t="shared" ref="AL34:AU34" si="237">AL$24+$I180</f>
        <v>2</v>
      </c>
      <c r="AM34" s="598">
        <f t="shared" si="237"/>
        <v>3</v>
      </c>
      <c r="AN34" s="598">
        <f t="shared" si="237"/>
        <v>4</v>
      </c>
      <c r="AO34" s="598">
        <f t="shared" si="237"/>
        <v>5</v>
      </c>
      <c r="AP34" s="598">
        <f t="shared" si="237"/>
        <v>6</v>
      </c>
      <c r="AQ34" s="598">
        <f t="shared" si="237"/>
        <v>7</v>
      </c>
      <c r="AR34" s="598">
        <f t="shared" si="237"/>
        <v>8</v>
      </c>
      <c r="AS34" s="598">
        <f t="shared" si="237"/>
        <v>9</v>
      </c>
      <c r="AT34" s="598">
        <f t="shared" si="237"/>
        <v>10</v>
      </c>
      <c r="AU34" s="598">
        <f t="shared" si="237"/>
        <v>11</v>
      </c>
      <c r="AW34" s="598" t="s">
        <v>1632</v>
      </c>
      <c r="AX34" s="598">
        <f t="shared" ref="AX34:BG34" si="238">AX$24+$K180</f>
        <v>-2</v>
      </c>
      <c r="AY34" s="598">
        <f t="shared" si="238"/>
        <v>-1</v>
      </c>
      <c r="AZ34" s="598">
        <f t="shared" si="238"/>
        <v>0</v>
      </c>
      <c r="BA34" s="598">
        <f t="shared" si="238"/>
        <v>1</v>
      </c>
      <c r="BB34" s="598">
        <f t="shared" si="238"/>
        <v>2</v>
      </c>
      <c r="BC34" s="598">
        <f t="shared" si="238"/>
        <v>3</v>
      </c>
      <c r="BD34" s="598">
        <f t="shared" si="238"/>
        <v>4</v>
      </c>
      <c r="BE34" s="598">
        <f t="shared" si="238"/>
        <v>5</v>
      </c>
      <c r="BF34" s="598">
        <f t="shared" si="238"/>
        <v>6</v>
      </c>
      <c r="BG34" s="598">
        <f t="shared" si="238"/>
        <v>7</v>
      </c>
      <c r="BI34" s="598" t="s">
        <v>1632</v>
      </c>
      <c r="BJ34" s="598">
        <f t="shared" ref="BJ34:BS34" si="239">BJ$24+$M180</f>
        <v>-1</v>
      </c>
      <c r="BK34" s="598">
        <f t="shared" si="239"/>
        <v>0</v>
      </c>
      <c r="BL34" s="598">
        <f t="shared" si="239"/>
        <v>1</v>
      </c>
      <c r="BM34" s="598">
        <f t="shared" si="239"/>
        <v>2</v>
      </c>
      <c r="BN34" s="598">
        <f t="shared" si="239"/>
        <v>3</v>
      </c>
      <c r="BO34" s="598">
        <f t="shared" si="239"/>
        <v>4</v>
      </c>
      <c r="BP34" s="598">
        <f t="shared" si="239"/>
        <v>5</v>
      </c>
      <c r="BQ34" s="598">
        <f t="shared" si="239"/>
        <v>6</v>
      </c>
      <c r="BR34" s="598">
        <f t="shared" si="239"/>
        <v>7</v>
      </c>
      <c r="BS34" s="598">
        <f t="shared" si="239"/>
        <v>8</v>
      </c>
      <c r="BU34" s="598" t="s">
        <v>1632</v>
      </c>
      <c r="BV34" s="598">
        <f t="shared" si="158"/>
        <v>4</v>
      </c>
      <c r="BW34" s="598">
        <f t="shared" si="159"/>
        <v>5</v>
      </c>
      <c r="BX34" s="598">
        <f t="shared" si="160"/>
        <v>6</v>
      </c>
      <c r="BY34" s="598">
        <f t="shared" si="161"/>
        <v>7</v>
      </c>
      <c r="BZ34" s="598">
        <f t="shared" si="162"/>
        <v>8</v>
      </c>
      <c r="CA34" s="598">
        <f t="shared" si="163"/>
        <v>9</v>
      </c>
      <c r="CB34" s="598">
        <f t="shared" si="164"/>
        <v>10</v>
      </c>
      <c r="CC34" s="598">
        <f t="shared" si="165"/>
        <v>11</v>
      </c>
      <c r="CD34" s="598">
        <f t="shared" si="166"/>
        <v>12</v>
      </c>
      <c r="CE34" s="598">
        <f t="shared" si="167"/>
        <v>13</v>
      </c>
      <c r="CG34" s="598" t="s">
        <v>1632</v>
      </c>
      <c r="CH34" s="598">
        <f t="shared" ref="CH34:CQ34" si="240">CH$24+$BO180</f>
        <v>1</v>
      </c>
      <c r="CI34" s="598">
        <f t="shared" si="240"/>
        <v>2</v>
      </c>
      <c r="CJ34" s="598">
        <f t="shared" si="240"/>
        <v>3</v>
      </c>
      <c r="CK34" s="598">
        <f t="shared" si="240"/>
        <v>4</v>
      </c>
      <c r="CL34" s="598">
        <f t="shared" si="240"/>
        <v>5</v>
      </c>
      <c r="CM34" s="598">
        <f t="shared" si="240"/>
        <v>6</v>
      </c>
      <c r="CN34" s="598">
        <f t="shared" si="240"/>
        <v>7</v>
      </c>
      <c r="CO34" s="598">
        <f t="shared" si="240"/>
        <v>8</v>
      </c>
      <c r="CP34" s="598">
        <f t="shared" si="240"/>
        <v>9</v>
      </c>
      <c r="CQ34" s="598">
        <f t="shared" si="240"/>
        <v>10</v>
      </c>
      <c r="CS34" s="598" t="s">
        <v>1632</v>
      </c>
      <c r="CT34" s="598">
        <f t="shared" ref="CT34:DC34" si="241">CT$24+$BQ180</f>
        <v>1</v>
      </c>
      <c r="CU34" s="598">
        <f t="shared" si="241"/>
        <v>2</v>
      </c>
      <c r="CV34" s="598">
        <f t="shared" si="241"/>
        <v>3</v>
      </c>
      <c r="CW34" s="598">
        <f t="shared" si="241"/>
        <v>4</v>
      </c>
      <c r="CX34" s="598">
        <f t="shared" si="241"/>
        <v>5</v>
      </c>
      <c r="CY34" s="598">
        <f t="shared" si="241"/>
        <v>6</v>
      </c>
      <c r="CZ34" s="598">
        <f t="shared" si="241"/>
        <v>7</v>
      </c>
      <c r="DA34" s="598">
        <f t="shared" si="241"/>
        <v>8</v>
      </c>
      <c r="DB34" s="598">
        <f t="shared" si="241"/>
        <v>9</v>
      </c>
      <c r="DC34" s="598">
        <f t="shared" si="241"/>
        <v>10</v>
      </c>
    </row>
    <row r="35" spans="1:107">
      <c r="A35" s="598" t="s">
        <v>3466</v>
      </c>
      <c r="B35" s="598">
        <f t="shared" ref="B35:K35" si="242">B24+$C$181</f>
        <v>4</v>
      </c>
      <c r="C35" s="598">
        <f t="shared" si="242"/>
        <v>5</v>
      </c>
      <c r="D35" s="598">
        <f t="shared" si="242"/>
        <v>6</v>
      </c>
      <c r="E35" s="598">
        <f t="shared" si="242"/>
        <v>7</v>
      </c>
      <c r="F35" s="598">
        <f t="shared" si="242"/>
        <v>8</v>
      </c>
      <c r="G35" s="598">
        <f t="shared" si="242"/>
        <v>9</v>
      </c>
      <c r="H35" s="598">
        <f t="shared" si="242"/>
        <v>10</v>
      </c>
      <c r="I35" s="598">
        <f t="shared" si="242"/>
        <v>11</v>
      </c>
      <c r="J35" s="598">
        <f t="shared" si="242"/>
        <v>12</v>
      </c>
      <c r="K35" s="598">
        <f t="shared" si="242"/>
        <v>13</v>
      </c>
      <c r="M35" s="598" t="s">
        <v>3466</v>
      </c>
      <c r="N35" s="598">
        <f t="shared" ref="N35:W35" si="243">N$24+$E181</f>
        <v>4</v>
      </c>
      <c r="O35" s="598">
        <f t="shared" si="243"/>
        <v>5</v>
      </c>
      <c r="P35" s="598">
        <f t="shared" si="243"/>
        <v>6</v>
      </c>
      <c r="Q35" s="598">
        <f t="shared" si="243"/>
        <v>7</v>
      </c>
      <c r="R35" s="598">
        <f t="shared" si="243"/>
        <v>8</v>
      </c>
      <c r="S35" s="598">
        <f t="shared" si="243"/>
        <v>9</v>
      </c>
      <c r="T35" s="598">
        <f t="shared" si="243"/>
        <v>10</v>
      </c>
      <c r="U35" s="598">
        <f t="shared" si="243"/>
        <v>11</v>
      </c>
      <c r="V35" s="598">
        <f t="shared" si="243"/>
        <v>12</v>
      </c>
      <c r="W35" s="598">
        <f t="shared" si="243"/>
        <v>13</v>
      </c>
      <c r="Y35" s="598" t="s">
        <v>3466</v>
      </c>
      <c r="Z35" s="598">
        <f t="shared" ref="Z35:AI35" si="244">Z$24+$G181</f>
        <v>4</v>
      </c>
      <c r="AA35" s="598">
        <f t="shared" si="244"/>
        <v>5</v>
      </c>
      <c r="AB35" s="598">
        <f t="shared" si="244"/>
        <v>6</v>
      </c>
      <c r="AC35" s="598">
        <f t="shared" si="244"/>
        <v>7</v>
      </c>
      <c r="AD35" s="598">
        <f t="shared" si="244"/>
        <v>8</v>
      </c>
      <c r="AE35" s="598">
        <f t="shared" si="244"/>
        <v>9</v>
      </c>
      <c r="AF35" s="598">
        <f t="shared" si="244"/>
        <v>10</v>
      </c>
      <c r="AG35" s="598">
        <f t="shared" si="244"/>
        <v>11</v>
      </c>
      <c r="AH35" s="598">
        <f t="shared" si="244"/>
        <v>12</v>
      </c>
      <c r="AI35" s="598">
        <f t="shared" si="244"/>
        <v>13</v>
      </c>
      <c r="AK35" s="598" t="s">
        <v>3466</v>
      </c>
      <c r="AL35" s="598">
        <f t="shared" ref="AL35:AU35" si="245">AL$24+$I181</f>
        <v>4</v>
      </c>
      <c r="AM35" s="598">
        <f t="shared" si="245"/>
        <v>5</v>
      </c>
      <c r="AN35" s="598">
        <f t="shared" si="245"/>
        <v>6</v>
      </c>
      <c r="AO35" s="598">
        <f t="shared" si="245"/>
        <v>7</v>
      </c>
      <c r="AP35" s="598">
        <f t="shared" si="245"/>
        <v>8</v>
      </c>
      <c r="AQ35" s="598">
        <f t="shared" si="245"/>
        <v>9</v>
      </c>
      <c r="AR35" s="598">
        <f t="shared" si="245"/>
        <v>10</v>
      </c>
      <c r="AS35" s="598">
        <f t="shared" si="245"/>
        <v>11</v>
      </c>
      <c r="AT35" s="598">
        <f t="shared" si="245"/>
        <v>12</v>
      </c>
      <c r="AU35" s="598">
        <f t="shared" si="245"/>
        <v>13</v>
      </c>
      <c r="AW35" s="598" t="s">
        <v>3466</v>
      </c>
      <c r="AX35" s="598">
        <f t="shared" ref="AX35:BG35" si="246">AX$24+$K181</f>
        <v>2</v>
      </c>
      <c r="AY35" s="598">
        <f t="shared" si="246"/>
        <v>3</v>
      </c>
      <c r="AZ35" s="598">
        <f t="shared" si="246"/>
        <v>4</v>
      </c>
      <c r="BA35" s="598">
        <f t="shared" si="246"/>
        <v>5</v>
      </c>
      <c r="BB35" s="598">
        <f t="shared" si="246"/>
        <v>6</v>
      </c>
      <c r="BC35" s="598">
        <f t="shared" si="246"/>
        <v>7</v>
      </c>
      <c r="BD35" s="598">
        <f t="shared" si="246"/>
        <v>8</v>
      </c>
      <c r="BE35" s="598">
        <f t="shared" si="246"/>
        <v>9</v>
      </c>
      <c r="BF35" s="598">
        <f t="shared" si="246"/>
        <v>10</v>
      </c>
      <c r="BG35" s="598">
        <f t="shared" si="246"/>
        <v>11</v>
      </c>
      <c r="BI35" s="598" t="s">
        <v>3466</v>
      </c>
      <c r="BJ35" s="598">
        <f t="shared" ref="BJ35:BS35" si="247">BJ$24+$M181</f>
        <v>0</v>
      </c>
      <c r="BK35" s="598">
        <f t="shared" si="247"/>
        <v>1</v>
      </c>
      <c r="BL35" s="598">
        <f t="shared" si="247"/>
        <v>2</v>
      </c>
      <c r="BM35" s="598">
        <f t="shared" si="247"/>
        <v>3</v>
      </c>
      <c r="BN35" s="598">
        <f t="shared" si="247"/>
        <v>4</v>
      </c>
      <c r="BO35" s="598">
        <f t="shared" si="247"/>
        <v>5</v>
      </c>
      <c r="BP35" s="598">
        <f t="shared" si="247"/>
        <v>6</v>
      </c>
      <c r="BQ35" s="598">
        <f t="shared" si="247"/>
        <v>7</v>
      </c>
      <c r="BR35" s="598">
        <f t="shared" si="247"/>
        <v>8</v>
      </c>
      <c r="BS35" s="598">
        <f t="shared" si="247"/>
        <v>9</v>
      </c>
      <c r="BU35" s="598" t="s">
        <v>3466</v>
      </c>
      <c r="BV35" s="598">
        <f t="shared" si="158"/>
        <v>1</v>
      </c>
      <c r="BW35" s="598">
        <f t="shared" si="159"/>
        <v>2</v>
      </c>
      <c r="BX35" s="598">
        <f t="shared" si="160"/>
        <v>3</v>
      </c>
      <c r="BY35" s="598">
        <f t="shared" si="161"/>
        <v>4</v>
      </c>
      <c r="BZ35" s="598">
        <f t="shared" si="162"/>
        <v>5</v>
      </c>
      <c r="CA35" s="598">
        <f t="shared" si="163"/>
        <v>6</v>
      </c>
      <c r="CB35" s="598">
        <f t="shared" si="164"/>
        <v>7</v>
      </c>
      <c r="CC35" s="598">
        <f t="shared" si="165"/>
        <v>8</v>
      </c>
      <c r="CD35" s="598">
        <f t="shared" si="166"/>
        <v>9</v>
      </c>
      <c r="CE35" s="598">
        <f t="shared" si="167"/>
        <v>10</v>
      </c>
      <c r="CG35" s="598" t="s">
        <v>3466</v>
      </c>
      <c r="CH35" s="598">
        <f t="shared" ref="CH35:CQ35" si="248">CH$24+$BO181</f>
        <v>4</v>
      </c>
      <c r="CI35" s="598">
        <f t="shared" si="248"/>
        <v>5</v>
      </c>
      <c r="CJ35" s="598">
        <f t="shared" si="248"/>
        <v>6</v>
      </c>
      <c r="CK35" s="598">
        <f t="shared" si="248"/>
        <v>7</v>
      </c>
      <c r="CL35" s="598">
        <f t="shared" si="248"/>
        <v>8</v>
      </c>
      <c r="CM35" s="598">
        <f t="shared" si="248"/>
        <v>9</v>
      </c>
      <c r="CN35" s="598">
        <f t="shared" si="248"/>
        <v>10</v>
      </c>
      <c r="CO35" s="598">
        <f t="shared" si="248"/>
        <v>11</v>
      </c>
      <c r="CP35" s="598">
        <f t="shared" si="248"/>
        <v>12</v>
      </c>
      <c r="CQ35" s="598">
        <f t="shared" si="248"/>
        <v>13</v>
      </c>
      <c r="CS35" s="598" t="s">
        <v>3466</v>
      </c>
      <c r="CT35" s="598">
        <f t="shared" ref="CT35:DC35" si="249">CT$24+$BQ181</f>
        <v>4</v>
      </c>
      <c r="CU35" s="598">
        <f t="shared" si="249"/>
        <v>5</v>
      </c>
      <c r="CV35" s="598">
        <f t="shared" si="249"/>
        <v>6</v>
      </c>
      <c r="CW35" s="598">
        <f t="shared" si="249"/>
        <v>7</v>
      </c>
      <c r="CX35" s="598">
        <f t="shared" si="249"/>
        <v>8</v>
      </c>
      <c r="CY35" s="598">
        <f t="shared" si="249"/>
        <v>9</v>
      </c>
      <c r="CZ35" s="598">
        <f t="shared" si="249"/>
        <v>10</v>
      </c>
      <c r="DA35" s="598">
        <f t="shared" si="249"/>
        <v>11</v>
      </c>
      <c r="DB35" s="598">
        <f t="shared" si="249"/>
        <v>12</v>
      </c>
      <c r="DC35" s="598">
        <f t="shared" si="249"/>
        <v>13</v>
      </c>
    </row>
    <row r="36" spans="1:107">
      <c r="A36" s="598" t="s">
        <v>2347</v>
      </c>
      <c r="B36" s="598" t="e">
        <f t="shared" ref="B36:K36" si="250">B24+$C$182</f>
        <v>#N/A</v>
      </c>
      <c r="C36" s="598" t="e">
        <f t="shared" si="250"/>
        <v>#N/A</v>
      </c>
      <c r="D36" s="598" t="e">
        <f t="shared" si="250"/>
        <v>#N/A</v>
      </c>
      <c r="E36" s="598" t="e">
        <f t="shared" si="250"/>
        <v>#N/A</v>
      </c>
      <c r="F36" s="598" t="e">
        <f t="shared" si="250"/>
        <v>#N/A</v>
      </c>
      <c r="G36" s="598" t="e">
        <f t="shared" si="250"/>
        <v>#N/A</v>
      </c>
      <c r="H36" s="598" t="e">
        <f t="shared" si="250"/>
        <v>#N/A</v>
      </c>
      <c r="I36" s="598" t="e">
        <f t="shared" si="250"/>
        <v>#N/A</v>
      </c>
      <c r="J36" s="598" t="e">
        <f t="shared" si="250"/>
        <v>#N/A</v>
      </c>
      <c r="K36" s="598" t="e">
        <f t="shared" si="250"/>
        <v>#N/A</v>
      </c>
      <c r="M36" s="598" t="s">
        <v>2347</v>
      </c>
      <c r="N36" s="598" t="e">
        <f t="shared" ref="N36:W36" si="251">N$24+$E182</f>
        <v>#N/A</v>
      </c>
      <c r="O36" s="598" t="e">
        <f t="shared" si="251"/>
        <v>#N/A</v>
      </c>
      <c r="P36" s="598" t="e">
        <f t="shared" si="251"/>
        <v>#N/A</v>
      </c>
      <c r="Q36" s="598" t="e">
        <f t="shared" si="251"/>
        <v>#N/A</v>
      </c>
      <c r="R36" s="598" t="e">
        <f t="shared" si="251"/>
        <v>#N/A</v>
      </c>
      <c r="S36" s="598" t="e">
        <f t="shared" si="251"/>
        <v>#N/A</v>
      </c>
      <c r="T36" s="598" t="e">
        <f t="shared" si="251"/>
        <v>#N/A</v>
      </c>
      <c r="U36" s="598" t="e">
        <f t="shared" si="251"/>
        <v>#N/A</v>
      </c>
      <c r="V36" s="598" t="e">
        <f t="shared" si="251"/>
        <v>#N/A</v>
      </c>
      <c r="W36" s="598" t="e">
        <f t="shared" si="251"/>
        <v>#N/A</v>
      </c>
      <c r="Y36" s="598" t="s">
        <v>2347</v>
      </c>
      <c r="Z36" s="598" t="e">
        <f t="shared" ref="Z36:AI36" si="252">Z$24+$G182</f>
        <v>#N/A</v>
      </c>
      <c r="AA36" s="598" t="e">
        <f t="shared" si="252"/>
        <v>#N/A</v>
      </c>
      <c r="AB36" s="598" t="e">
        <f t="shared" si="252"/>
        <v>#N/A</v>
      </c>
      <c r="AC36" s="598" t="e">
        <f t="shared" si="252"/>
        <v>#N/A</v>
      </c>
      <c r="AD36" s="598" t="e">
        <f t="shared" si="252"/>
        <v>#N/A</v>
      </c>
      <c r="AE36" s="598" t="e">
        <f t="shared" si="252"/>
        <v>#N/A</v>
      </c>
      <c r="AF36" s="598" t="e">
        <f t="shared" si="252"/>
        <v>#N/A</v>
      </c>
      <c r="AG36" s="598" t="e">
        <f t="shared" si="252"/>
        <v>#N/A</v>
      </c>
      <c r="AH36" s="598" t="e">
        <f t="shared" si="252"/>
        <v>#N/A</v>
      </c>
      <c r="AI36" s="598" t="e">
        <f t="shared" si="252"/>
        <v>#N/A</v>
      </c>
      <c r="AK36" s="598" t="s">
        <v>2347</v>
      </c>
      <c r="AL36" s="598" t="e">
        <f t="shared" ref="AL36:AU36" si="253">AL$24+$I182</f>
        <v>#N/A</v>
      </c>
      <c r="AM36" s="598" t="e">
        <f t="shared" si="253"/>
        <v>#N/A</v>
      </c>
      <c r="AN36" s="598" t="e">
        <f t="shared" si="253"/>
        <v>#N/A</v>
      </c>
      <c r="AO36" s="598" t="e">
        <f t="shared" si="253"/>
        <v>#N/A</v>
      </c>
      <c r="AP36" s="598" t="e">
        <f t="shared" si="253"/>
        <v>#N/A</v>
      </c>
      <c r="AQ36" s="598" t="e">
        <f t="shared" si="253"/>
        <v>#N/A</v>
      </c>
      <c r="AR36" s="598" t="e">
        <f t="shared" si="253"/>
        <v>#N/A</v>
      </c>
      <c r="AS36" s="598" t="e">
        <f t="shared" si="253"/>
        <v>#N/A</v>
      </c>
      <c r="AT36" s="598" t="e">
        <f t="shared" si="253"/>
        <v>#N/A</v>
      </c>
      <c r="AU36" s="598" t="e">
        <f t="shared" si="253"/>
        <v>#N/A</v>
      </c>
      <c r="AW36" s="598" t="s">
        <v>2347</v>
      </c>
      <c r="AX36" s="598" t="e">
        <f t="shared" ref="AX36:BG36" si="254">AX$24+$K182</f>
        <v>#N/A</v>
      </c>
      <c r="AY36" s="598" t="e">
        <f t="shared" si="254"/>
        <v>#N/A</v>
      </c>
      <c r="AZ36" s="598" t="e">
        <f t="shared" si="254"/>
        <v>#N/A</v>
      </c>
      <c r="BA36" s="598" t="e">
        <f t="shared" si="254"/>
        <v>#N/A</v>
      </c>
      <c r="BB36" s="598" t="e">
        <f t="shared" si="254"/>
        <v>#N/A</v>
      </c>
      <c r="BC36" s="598" t="e">
        <f t="shared" si="254"/>
        <v>#N/A</v>
      </c>
      <c r="BD36" s="598" t="e">
        <f t="shared" si="254"/>
        <v>#N/A</v>
      </c>
      <c r="BE36" s="598" t="e">
        <f t="shared" si="254"/>
        <v>#N/A</v>
      </c>
      <c r="BF36" s="598" t="e">
        <f t="shared" si="254"/>
        <v>#N/A</v>
      </c>
      <c r="BG36" s="598" t="e">
        <f t="shared" si="254"/>
        <v>#N/A</v>
      </c>
      <c r="BI36" s="598" t="s">
        <v>2347</v>
      </c>
      <c r="BJ36" s="598" t="e">
        <f t="shared" ref="BJ36:BS36" si="255">BJ$24+$M182</f>
        <v>#N/A</v>
      </c>
      <c r="BK36" s="598" t="e">
        <f t="shared" si="255"/>
        <v>#N/A</v>
      </c>
      <c r="BL36" s="598" t="e">
        <f t="shared" si="255"/>
        <v>#N/A</v>
      </c>
      <c r="BM36" s="598" t="e">
        <f t="shared" si="255"/>
        <v>#N/A</v>
      </c>
      <c r="BN36" s="598" t="e">
        <f t="shared" si="255"/>
        <v>#N/A</v>
      </c>
      <c r="BO36" s="598" t="e">
        <f t="shared" si="255"/>
        <v>#N/A</v>
      </c>
      <c r="BP36" s="598" t="e">
        <f t="shared" si="255"/>
        <v>#N/A</v>
      </c>
      <c r="BQ36" s="598" t="e">
        <f t="shared" si="255"/>
        <v>#N/A</v>
      </c>
      <c r="BR36" s="598" t="e">
        <f t="shared" si="255"/>
        <v>#N/A</v>
      </c>
      <c r="BS36" s="598" t="e">
        <f t="shared" si="255"/>
        <v>#N/A</v>
      </c>
      <c r="BU36" s="598" t="s">
        <v>2347</v>
      </c>
      <c r="BV36" s="598" t="e">
        <f t="shared" si="158"/>
        <v>#N/A</v>
      </c>
      <c r="BW36" s="598" t="e">
        <f t="shared" si="159"/>
        <v>#N/A</v>
      </c>
      <c r="BX36" s="598" t="e">
        <f t="shared" si="160"/>
        <v>#N/A</v>
      </c>
      <c r="BY36" s="598" t="e">
        <f t="shared" si="161"/>
        <v>#N/A</v>
      </c>
      <c r="BZ36" s="598" t="e">
        <f t="shared" si="162"/>
        <v>#N/A</v>
      </c>
      <c r="CA36" s="598" t="e">
        <f t="shared" si="163"/>
        <v>#N/A</v>
      </c>
      <c r="CB36" s="598" t="e">
        <f t="shared" si="164"/>
        <v>#N/A</v>
      </c>
      <c r="CC36" s="598" t="e">
        <f t="shared" si="165"/>
        <v>#N/A</v>
      </c>
      <c r="CD36" s="598" t="e">
        <f t="shared" si="166"/>
        <v>#N/A</v>
      </c>
      <c r="CE36" s="598" t="e">
        <f t="shared" si="167"/>
        <v>#N/A</v>
      </c>
      <c r="CG36" s="598" t="s">
        <v>2347</v>
      </c>
      <c r="CH36" s="598" t="e">
        <f t="shared" ref="CH36:CQ36" si="256">CH$24+$BO182</f>
        <v>#N/A</v>
      </c>
      <c r="CI36" s="598" t="e">
        <f t="shared" si="256"/>
        <v>#N/A</v>
      </c>
      <c r="CJ36" s="598" t="e">
        <f t="shared" si="256"/>
        <v>#N/A</v>
      </c>
      <c r="CK36" s="598" t="e">
        <f t="shared" si="256"/>
        <v>#N/A</v>
      </c>
      <c r="CL36" s="598" t="e">
        <f t="shared" si="256"/>
        <v>#N/A</v>
      </c>
      <c r="CM36" s="598" t="e">
        <f t="shared" si="256"/>
        <v>#N/A</v>
      </c>
      <c r="CN36" s="598" t="e">
        <f t="shared" si="256"/>
        <v>#N/A</v>
      </c>
      <c r="CO36" s="598" t="e">
        <f t="shared" si="256"/>
        <v>#N/A</v>
      </c>
      <c r="CP36" s="598" t="e">
        <f t="shared" si="256"/>
        <v>#N/A</v>
      </c>
      <c r="CQ36" s="598" t="e">
        <f t="shared" si="256"/>
        <v>#N/A</v>
      </c>
      <c r="CS36" s="598" t="s">
        <v>2347</v>
      </c>
      <c r="CT36" s="598" t="e">
        <f t="shared" ref="CT36:DC36" si="257">CT$24+$BQ182</f>
        <v>#N/A</v>
      </c>
      <c r="CU36" s="598" t="e">
        <f t="shared" si="257"/>
        <v>#N/A</v>
      </c>
      <c r="CV36" s="598" t="e">
        <f t="shared" si="257"/>
        <v>#N/A</v>
      </c>
      <c r="CW36" s="598" t="e">
        <f t="shared" si="257"/>
        <v>#N/A</v>
      </c>
      <c r="CX36" s="598" t="e">
        <f t="shared" si="257"/>
        <v>#N/A</v>
      </c>
      <c r="CY36" s="598" t="e">
        <f t="shared" si="257"/>
        <v>#N/A</v>
      </c>
      <c r="CZ36" s="598" t="e">
        <f t="shared" si="257"/>
        <v>#N/A</v>
      </c>
      <c r="DA36" s="598" t="e">
        <f t="shared" si="257"/>
        <v>#N/A</v>
      </c>
      <c r="DB36" s="598" t="e">
        <f t="shared" si="257"/>
        <v>#N/A</v>
      </c>
      <c r="DC36" s="598" t="e">
        <f t="shared" si="257"/>
        <v>#N/A</v>
      </c>
    </row>
    <row r="37" spans="1:107">
      <c r="A37" s="598" t="s">
        <v>2348</v>
      </c>
      <c r="B37" s="598" t="e">
        <f t="shared" ref="B37:K37" si="258">B24+$C$183</f>
        <v>#N/A</v>
      </c>
      <c r="C37" s="598" t="e">
        <f t="shared" si="258"/>
        <v>#N/A</v>
      </c>
      <c r="D37" s="598" t="e">
        <f t="shared" si="258"/>
        <v>#N/A</v>
      </c>
      <c r="E37" s="598" t="e">
        <f t="shared" si="258"/>
        <v>#N/A</v>
      </c>
      <c r="F37" s="598" t="e">
        <f t="shared" si="258"/>
        <v>#N/A</v>
      </c>
      <c r="G37" s="598" t="e">
        <f t="shared" si="258"/>
        <v>#N/A</v>
      </c>
      <c r="H37" s="598" t="e">
        <f t="shared" si="258"/>
        <v>#N/A</v>
      </c>
      <c r="I37" s="598" t="e">
        <f t="shared" si="258"/>
        <v>#N/A</v>
      </c>
      <c r="J37" s="598" t="e">
        <f t="shared" si="258"/>
        <v>#N/A</v>
      </c>
      <c r="K37" s="598" t="e">
        <f t="shared" si="258"/>
        <v>#N/A</v>
      </c>
      <c r="M37" s="598" t="s">
        <v>2348</v>
      </c>
      <c r="N37" s="598" t="e">
        <f t="shared" ref="N37:W37" si="259">N$24+$E183</f>
        <v>#N/A</v>
      </c>
      <c r="O37" s="598" t="e">
        <f t="shared" si="259"/>
        <v>#N/A</v>
      </c>
      <c r="P37" s="598" t="e">
        <f t="shared" si="259"/>
        <v>#N/A</v>
      </c>
      <c r="Q37" s="598" t="e">
        <f t="shared" si="259"/>
        <v>#N/A</v>
      </c>
      <c r="R37" s="598" t="e">
        <f t="shared" si="259"/>
        <v>#N/A</v>
      </c>
      <c r="S37" s="598" t="e">
        <f t="shared" si="259"/>
        <v>#N/A</v>
      </c>
      <c r="T37" s="598" t="e">
        <f t="shared" si="259"/>
        <v>#N/A</v>
      </c>
      <c r="U37" s="598" t="e">
        <f t="shared" si="259"/>
        <v>#N/A</v>
      </c>
      <c r="V37" s="598" t="e">
        <f t="shared" si="259"/>
        <v>#N/A</v>
      </c>
      <c r="W37" s="598" t="e">
        <f t="shared" si="259"/>
        <v>#N/A</v>
      </c>
      <c r="Y37" s="598" t="s">
        <v>2348</v>
      </c>
      <c r="Z37" s="598" t="e">
        <f t="shared" ref="Z37:AI37" si="260">Z$24+$G183</f>
        <v>#N/A</v>
      </c>
      <c r="AA37" s="598" t="e">
        <f t="shared" si="260"/>
        <v>#N/A</v>
      </c>
      <c r="AB37" s="598" t="e">
        <f t="shared" si="260"/>
        <v>#N/A</v>
      </c>
      <c r="AC37" s="598" t="e">
        <f t="shared" si="260"/>
        <v>#N/A</v>
      </c>
      <c r="AD37" s="598" t="e">
        <f t="shared" si="260"/>
        <v>#N/A</v>
      </c>
      <c r="AE37" s="598" t="e">
        <f t="shared" si="260"/>
        <v>#N/A</v>
      </c>
      <c r="AF37" s="598" t="e">
        <f t="shared" si="260"/>
        <v>#N/A</v>
      </c>
      <c r="AG37" s="598" t="e">
        <f t="shared" si="260"/>
        <v>#N/A</v>
      </c>
      <c r="AH37" s="598" t="e">
        <f t="shared" si="260"/>
        <v>#N/A</v>
      </c>
      <c r="AI37" s="598" t="e">
        <f t="shared" si="260"/>
        <v>#N/A</v>
      </c>
      <c r="AK37" s="598" t="s">
        <v>2348</v>
      </c>
      <c r="AL37" s="598" t="e">
        <f t="shared" ref="AL37:AU37" si="261">AL$24+$I183</f>
        <v>#N/A</v>
      </c>
      <c r="AM37" s="598" t="e">
        <f t="shared" si="261"/>
        <v>#N/A</v>
      </c>
      <c r="AN37" s="598" t="e">
        <f t="shared" si="261"/>
        <v>#N/A</v>
      </c>
      <c r="AO37" s="598" t="e">
        <f t="shared" si="261"/>
        <v>#N/A</v>
      </c>
      <c r="AP37" s="598" t="e">
        <f t="shared" si="261"/>
        <v>#N/A</v>
      </c>
      <c r="AQ37" s="598" t="e">
        <f t="shared" si="261"/>
        <v>#N/A</v>
      </c>
      <c r="AR37" s="598" t="e">
        <f t="shared" si="261"/>
        <v>#N/A</v>
      </c>
      <c r="AS37" s="598" t="e">
        <f t="shared" si="261"/>
        <v>#N/A</v>
      </c>
      <c r="AT37" s="598" t="e">
        <f t="shared" si="261"/>
        <v>#N/A</v>
      </c>
      <c r="AU37" s="598" t="e">
        <f t="shared" si="261"/>
        <v>#N/A</v>
      </c>
      <c r="AW37" s="598" t="s">
        <v>2348</v>
      </c>
      <c r="AX37" s="598" t="e">
        <f t="shared" ref="AX37:BG37" si="262">AX$24+$K183</f>
        <v>#N/A</v>
      </c>
      <c r="AY37" s="598" t="e">
        <f t="shared" si="262"/>
        <v>#N/A</v>
      </c>
      <c r="AZ37" s="598" t="e">
        <f t="shared" si="262"/>
        <v>#N/A</v>
      </c>
      <c r="BA37" s="598" t="e">
        <f t="shared" si="262"/>
        <v>#N/A</v>
      </c>
      <c r="BB37" s="598" t="e">
        <f t="shared" si="262"/>
        <v>#N/A</v>
      </c>
      <c r="BC37" s="598" t="e">
        <f t="shared" si="262"/>
        <v>#N/A</v>
      </c>
      <c r="BD37" s="598" t="e">
        <f t="shared" si="262"/>
        <v>#N/A</v>
      </c>
      <c r="BE37" s="598" t="e">
        <f t="shared" si="262"/>
        <v>#N/A</v>
      </c>
      <c r="BF37" s="598" t="e">
        <f t="shared" si="262"/>
        <v>#N/A</v>
      </c>
      <c r="BG37" s="598" t="e">
        <f t="shared" si="262"/>
        <v>#N/A</v>
      </c>
      <c r="BI37" s="598" t="s">
        <v>2348</v>
      </c>
      <c r="BJ37" s="598" t="e">
        <f t="shared" ref="BJ37:BS37" si="263">BJ$24+$M183</f>
        <v>#N/A</v>
      </c>
      <c r="BK37" s="598" t="e">
        <f t="shared" si="263"/>
        <v>#N/A</v>
      </c>
      <c r="BL37" s="598" t="e">
        <f t="shared" si="263"/>
        <v>#N/A</v>
      </c>
      <c r="BM37" s="598" t="e">
        <f t="shared" si="263"/>
        <v>#N/A</v>
      </c>
      <c r="BN37" s="598" t="e">
        <f t="shared" si="263"/>
        <v>#N/A</v>
      </c>
      <c r="BO37" s="598" t="e">
        <f t="shared" si="263"/>
        <v>#N/A</v>
      </c>
      <c r="BP37" s="598" t="e">
        <f t="shared" si="263"/>
        <v>#N/A</v>
      </c>
      <c r="BQ37" s="598" t="e">
        <f t="shared" si="263"/>
        <v>#N/A</v>
      </c>
      <c r="BR37" s="598" t="e">
        <f t="shared" si="263"/>
        <v>#N/A</v>
      </c>
      <c r="BS37" s="598" t="e">
        <f t="shared" si="263"/>
        <v>#N/A</v>
      </c>
      <c r="BU37" s="598" t="s">
        <v>2348</v>
      </c>
      <c r="BV37" s="598" t="e">
        <f t="shared" si="158"/>
        <v>#N/A</v>
      </c>
      <c r="BW37" s="598" t="e">
        <f t="shared" si="159"/>
        <v>#N/A</v>
      </c>
      <c r="BX37" s="598" t="e">
        <f t="shared" si="160"/>
        <v>#N/A</v>
      </c>
      <c r="BY37" s="598" t="e">
        <f t="shared" si="161"/>
        <v>#N/A</v>
      </c>
      <c r="BZ37" s="598" t="e">
        <f t="shared" si="162"/>
        <v>#N/A</v>
      </c>
      <c r="CA37" s="598" t="e">
        <f t="shared" si="163"/>
        <v>#N/A</v>
      </c>
      <c r="CB37" s="598" t="e">
        <f t="shared" si="164"/>
        <v>#N/A</v>
      </c>
      <c r="CC37" s="598" t="e">
        <f t="shared" si="165"/>
        <v>#N/A</v>
      </c>
      <c r="CD37" s="598" t="e">
        <f t="shared" si="166"/>
        <v>#N/A</v>
      </c>
      <c r="CE37" s="598" t="e">
        <f t="shared" si="167"/>
        <v>#N/A</v>
      </c>
      <c r="CG37" s="598" t="s">
        <v>2348</v>
      </c>
      <c r="CH37" s="598" t="e">
        <f t="shared" ref="CH37:CQ37" si="264">CH$24+$BO183</f>
        <v>#N/A</v>
      </c>
      <c r="CI37" s="598" t="e">
        <f t="shared" si="264"/>
        <v>#N/A</v>
      </c>
      <c r="CJ37" s="598" t="e">
        <f t="shared" si="264"/>
        <v>#N/A</v>
      </c>
      <c r="CK37" s="598" t="e">
        <f t="shared" si="264"/>
        <v>#N/A</v>
      </c>
      <c r="CL37" s="598" t="e">
        <f t="shared" si="264"/>
        <v>#N/A</v>
      </c>
      <c r="CM37" s="598" t="e">
        <f t="shared" si="264"/>
        <v>#N/A</v>
      </c>
      <c r="CN37" s="598" t="e">
        <f t="shared" si="264"/>
        <v>#N/A</v>
      </c>
      <c r="CO37" s="598" t="e">
        <f t="shared" si="264"/>
        <v>#N/A</v>
      </c>
      <c r="CP37" s="598" t="e">
        <f t="shared" si="264"/>
        <v>#N/A</v>
      </c>
      <c r="CQ37" s="598" t="e">
        <f t="shared" si="264"/>
        <v>#N/A</v>
      </c>
      <c r="CS37" s="598" t="s">
        <v>2348</v>
      </c>
      <c r="CT37" s="598" t="e">
        <f t="shared" ref="CT37:DC37" si="265">CT$24+$BQ183</f>
        <v>#N/A</v>
      </c>
      <c r="CU37" s="598" t="e">
        <f t="shared" si="265"/>
        <v>#N/A</v>
      </c>
      <c r="CV37" s="598" t="e">
        <f t="shared" si="265"/>
        <v>#N/A</v>
      </c>
      <c r="CW37" s="598" t="e">
        <f t="shared" si="265"/>
        <v>#N/A</v>
      </c>
      <c r="CX37" s="598" t="e">
        <f t="shared" si="265"/>
        <v>#N/A</v>
      </c>
      <c r="CY37" s="598" t="e">
        <f t="shared" si="265"/>
        <v>#N/A</v>
      </c>
      <c r="CZ37" s="598" t="e">
        <f t="shared" si="265"/>
        <v>#N/A</v>
      </c>
      <c r="DA37" s="598" t="e">
        <f t="shared" si="265"/>
        <v>#N/A</v>
      </c>
      <c r="DB37" s="598" t="e">
        <f t="shared" si="265"/>
        <v>#N/A</v>
      </c>
      <c r="DC37" s="598" t="e">
        <f t="shared" si="265"/>
        <v>#N/A</v>
      </c>
    </row>
    <row r="38" spans="1:107">
      <c r="A38" s="598" t="s">
        <v>2340</v>
      </c>
      <c r="B38" s="598" t="e">
        <f t="shared" ref="B38:K38" si="266">B24+$C$184</f>
        <v>#N/A</v>
      </c>
      <c r="C38" s="598" t="e">
        <f t="shared" si="266"/>
        <v>#N/A</v>
      </c>
      <c r="D38" s="598" t="e">
        <f t="shared" si="266"/>
        <v>#N/A</v>
      </c>
      <c r="E38" s="598" t="e">
        <f t="shared" si="266"/>
        <v>#N/A</v>
      </c>
      <c r="F38" s="598" t="e">
        <f t="shared" si="266"/>
        <v>#N/A</v>
      </c>
      <c r="G38" s="598" t="e">
        <f t="shared" si="266"/>
        <v>#N/A</v>
      </c>
      <c r="H38" s="598" t="e">
        <f t="shared" si="266"/>
        <v>#N/A</v>
      </c>
      <c r="I38" s="598" t="e">
        <f t="shared" si="266"/>
        <v>#N/A</v>
      </c>
      <c r="J38" s="598" t="e">
        <f t="shared" si="266"/>
        <v>#N/A</v>
      </c>
      <c r="K38" s="598" t="e">
        <f t="shared" si="266"/>
        <v>#N/A</v>
      </c>
      <c r="M38" s="598" t="s">
        <v>2340</v>
      </c>
      <c r="N38" s="598" t="e">
        <f t="shared" ref="N38:W38" si="267">N$24+$E184</f>
        <v>#N/A</v>
      </c>
      <c r="O38" s="598" t="e">
        <f t="shared" si="267"/>
        <v>#N/A</v>
      </c>
      <c r="P38" s="598" t="e">
        <f t="shared" si="267"/>
        <v>#N/A</v>
      </c>
      <c r="Q38" s="598" t="e">
        <f t="shared" si="267"/>
        <v>#N/A</v>
      </c>
      <c r="R38" s="598" t="e">
        <f t="shared" si="267"/>
        <v>#N/A</v>
      </c>
      <c r="S38" s="598" t="e">
        <f t="shared" si="267"/>
        <v>#N/A</v>
      </c>
      <c r="T38" s="598" t="e">
        <f t="shared" si="267"/>
        <v>#N/A</v>
      </c>
      <c r="U38" s="598" t="e">
        <f t="shared" si="267"/>
        <v>#N/A</v>
      </c>
      <c r="V38" s="598" t="e">
        <f t="shared" si="267"/>
        <v>#N/A</v>
      </c>
      <c r="W38" s="598" t="e">
        <f t="shared" si="267"/>
        <v>#N/A</v>
      </c>
      <c r="Y38" s="598" t="s">
        <v>2340</v>
      </c>
      <c r="Z38" s="598" t="e">
        <f t="shared" ref="Z38:AI38" si="268">Z$24+$G184</f>
        <v>#N/A</v>
      </c>
      <c r="AA38" s="598" t="e">
        <f t="shared" si="268"/>
        <v>#N/A</v>
      </c>
      <c r="AB38" s="598" t="e">
        <f t="shared" si="268"/>
        <v>#N/A</v>
      </c>
      <c r="AC38" s="598" t="e">
        <f t="shared" si="268"/>
        <v>#N/A</v>
      </c>
      <c r="AD38" s="598" t="e">
        <f t="shared" si="268"/>
        <v>#N/A</v>
      </c>
      <c r="AE38" s="598" t="e">
        <f t="shared" si="268"/>
        <v>#N/A</v>
      </c>
      <c r="AF38" s="598" t="e">
        <f t="shared" si="268"/>
        <v>#N/A</v>
      </c>
      <c r="AG38" s="598" t="e">
        <f t="shared" si="268"/>
        <v>#N/A</v>
      </c>
      <c r="AH38" s="598" t="e">
        <f t="shared" si="268"/>
        <v>#N/A</v>
      </c>
      <c r="AI38" s="598" t="e">
        <f t="shared" si="268"/>
        <v>#N/A</v>
      </c>
      <c r="AK38" s="598" t="s">
        <v>2340</v>
      </c>
      <c r="AL38" s="598" t="e">
        <f t="shared" ref="AL38:AU38" si="269">AL$24+$I184</f>
        <v>#N/A</v>
      </c>
      <c r="AM38" s="598" t="e">
        <f t="shared" si="269"/>
        <v>#N/A</v>
      </c>
      <c r="AN38" s="598" t="e">
        <f t="shared" si="269"/>
        <v>#N/A</v>
      </c>
      <c r="AO38" s="598" t="e">
        <f t="shared" si="269"/>
        <v>#N/A</v>
      </c>
      <c r="AP38" s="598" t="e">
        <f t="shared" si="269"/>
        <v>#N/A</v>
      </c>
      <c r="AQ38" s="598" t="e">
        <f t="shared" si="269"/>
        <v>#N/A</v>
      </c>
      <c r="AR38" s="598" t="e">
        <f t="shared" si="269"/>
        <v>#N/A</v>
      </c>
      <c r="AS38" s="598" t="e">
        <f t="shared" si="269"/>
        <v>#N/A</v>
      </c>
      <c r="AT38" s="598" t="e">
        <f t="shared" si="269"/>
        <v>#N/A</v>
      </c>
      <c r="AU38" s="598" t="e">
        <f t="shared" si="269"/>
        <v>#N/A</v>
      </c>
      <c r="AW38" s="598" t="s">
        <v>2340</v>
      </c>
      <c r="AX38" s="598" t="e">
        <f t="shared" ref="AX38:BG38" si="270">AX$24+$K184</f>
        <v>#N/A</v>
      </c>
      <c r="AY38" s="598" t="e">
        <f t="shared" si="270"/>
        <v>#N/A</v>
      </c>
      <c r="AZ38" s="598" t="e">
        <f t="shared" si="270"/>
        <v>#N/A</v>
      </c>
      <c r="BA38" s="598" t="e">
        <f t="shared" si="270"/>
        <v>#N/A</v>
      </c>
      <c r="BB38" s="598" t="e">
        <f t="shared" si="270"/>
        <v>#N/A</v>
      </c>
      <c r="BC38" s="598" t="e">
        <f t="shared" si="270"/>
        <v>#N/A</v>
      </c>
      <c r="BD38" s="598" t="e">
        <f t="shared" si="270"/>
        <v>#N/A</v>
      </c>
      <c r="BE38" s="598" t="e">
        <f t="shared" si="270"/>
        <v>#N/A</v>
      </c>
      <c r="BF38" s="598" t="e">
        <f t="shared" si="270"/>
        <v>#N/A</v>
      </c>
      <c r="BG38" s="598" t="e">
        <f t="shared" si="270"/>
        <v>#N/A</v>
      </c>
      <c r="BI38" s="598" t="s">
        <v>2340</v>
      </c>
      <c r="BJ38" s="598" t="e">
        <f t="shared" ref="BJ38:BS38" si="271">BJ$24+$M184</f>
        <v>#N/A</v>
      </c>
      <c r="BK38" s="598" t="e">
        <f t="shared" si="271"/>
        <v>#N/A</v>
      </c>
      <c r="BL38" s="598" t="e">
        <f t="shared" si="271"/>
        <v>#N/A</v>
      </c>
      <c r="BM38" s="598" t="e">
        <f t="shared" si="271"/>
        <v>#N/A</v>
      </c>
      <c r="BN38" s="598" t="e">
        <f t="shared" si="271"/>
        <v>#N/A</v>
      </c>
      <c r="BO38" s="598" t="e">
        <f t="shared" si="271"/>
        <v>#N/A</v>
      </c>
      <c r="BP38" s="598" t="e">
        <f t="shared" si="271"/>
        <v>#N/A</v>
      </c>
      <c r="BQ38" s="598" t="e">
        <f t="shared" si="271"/>
        <v>#N/A</v>
      </c>
      <c r="BR38" s="598" t="e">
        <f t="shared" si="271"/>
        <v>#N/A</v>
      </c>
      <c r="BS38" s="598" t="e">
        <f t="shared" si="271"/>
        <v>#N/A</v>
      </c>
      <c r="BU38" s="598" t="s">
        <v>2340</v>
      </c>
      <c r="BV38" s="598" t="e">
        <f t="shared" si="158"/>
        <v>#N/A</v>
      </c>
      <c r="BW38" s="598" t="e">
        <f t="shared" si="159"/>
        <v>#N/A</v>
      </c>
      <c r="BX38" s="598" t="e">
        <f t="shared" si="160"/>
        <v>#N/A</v>
      </c>
      <c r="BY38" s="598" t="e">
        <f t="shared" si="161"/>
        <v>#N/A</v>
      </c>
      <c r="BZ38" s="598" t="e">
        <f t="shared" si="162"/>
        <v>#N/A</v>
      </c>
      <c r="CA38" s="598" t="e">
        <f t="shared" si="163"/>
        <v>#N/A</v>
      </c>
      <c r="CB38" s="598" t="e">
        <f t="shared" si="164"/>
        <v>#N/A</v>
      </c>
      <c r="CC38" s="598" t="e">
        <f t="shared" si="165"/>
        <v>#N/A</v>
      </c>
      <c r="CD38" s="598" t="e">
        <f t="shared" si="166"/>
        <v>#N/A</v>
      </c>
      <c r="CE38" s="598" t="e">
        <f t="shared" si="167"/>
        <v>#N/A</v>
      </c>
      <c r="CG38" s="598" t="s">
        <v>2340</v>
      </c>
      <c r="CH38" s="598" t="e">
        <f t="shared" ref="CH38:CQ38" si="272">CH$24+$BO184</f>
        <v>#N/A</v>
      </c>
      <c r="CI38" s="598" t="e">
        <f t="shared" si="272"/>
        <v>#N/A</v>
      </c>
      <c r="CJ38" s="598" t="e">
        <f t="shared" si="272"/>
        <v>#N/A</v>
      </c>
      <c r="CK38" s="598" t="e">
        <f t="shared" si="272"/>
        <v>#N/A</v>
      </c>
      <c r="CL38" s="598" t="e">
        <f t="shared" si="272"/>
        <v>#N/A</v>
      </c>
      <c r="CM38" s="598" t="e">
        <f t="shared" si="272"/>
        <v>#N/A</v>
      </c>
      <c r="CN38" s="598" t="e">
        <f t="shared" si="272"/>
        <v>#N/A</v>
      </c>
      <c r="CO38" s="598" t="e">
        <f t="shared" si="272"/>
        <v>#N/A</v>
      </c>
      <c r="CP38" s="598" t="e">
        <f t="shared" si="272"/>
        <v>#N/A</v>
      </c>
      <c r="CQ38" s="598" t="e">
        <f t="shared" si="272"/>
        <v>#N/A</v>
      </c>
      <c r="CS38" s="598" t="s">
        <v>2340</v>
      </c>
      <c r="CT38" s="598" t="e">
        <f t="shared" ref="CT38:DC38" si="273">CT$24+$BQ184</f>
        <v>#N/A</v>
      </c>
      <c r="CU38" s="598" t="e">
        <f t="shared" si="273"/>
        <v>#N/A</v>
      </c>
      <c r="CV38" s="598" t="e">
        <f t="shared" si="273"/>
        <v>#N/A</v>
      </c>
      <c r="CW38" s="598" t="e">
        <f t="shared" si="273"/>
        <v>#N/A</v>
      </c>
      <c r="CX38" s="598" t="e">
        <f t="shared" si="273"/>
        <v>#N/A</v>
      </c>
      <c r="CY38" s="598" t="e">
        <f t="shared" si="273"/>
        <v>#N/A</v>
      </c>
      <c r="CZ38" s="598" t="e">
        <f t="shared" si="273"/>
        <v>#N/A</v>
      </c>
      <c r="DA38" s="598" t="e">
        <f t="shared" si="273"/>
        <v>#N/A</v>
      </c>
      <c r="DB38" s="598" t="e">
        <f t="shared" si="273"/>
        <v>#N/A</v>
      </c>
      <c r="DC38" s="598" t="e">
        <f t="shared" si="273"/>
        <v>#N/A</v>
      </c>
    </row>
    <row r="39" spans="1:107">
      <c r="A39" s="598" t="s">
        <v>1633</v>
      </c>
      <c r="B39" s="598">
        <f t="shared" ref="B39:K39" si="274">B24+$C$185</f>
        <v>-1</v>
      </c>
      <c r="C39" s="598">
        <f t="shared" si="274"/>
        <v>0</v>
      </c>
      <c r="D39" s="598">
        <f t="shared" si="274"/>
        <v>1</v>
      </c>
      <c r="E39" s="598">
        <f t="shared" si="274"/>
        <v>2</v>
      </c>
      <c r="F39" s="598">
        <f t="shared" si="274"/>
        <v>3</v>
      </c>
      <c r="G39" s="598">
        <f t="shared" si="274"/>
        <v>4</v>
      </c>
      <c r="H39" s="598">
        <f t="shared" si="274"/>
        <v>5</v>
      </c>
      <c r="I39" s="598">
        <f t="shared" si="274"/>
        <v>6</v>
      </c>
      <c r="J39" s="598">
        <f t="shared" si="274"/>
        <v>7</v>
      </c>
      <c r="K39" s="598">
        <f t="shared" si="274"/>
        <v>8</v>
      </c>
      <c r="M39" s="598" t="s">
        <v>1633</v>
      </c>
      <c r="N39" s="598">
        <f t="shared" ref="N39:W39" si="275">N$24+$E185</f>
        <v>1</v>
      </c>
      <c r="O39" s="598">
        <f t="shared" si="275"/>
        <v>2</v>
      </c>
      <c r="P39" s="598">
        <f t="shared" si="275"/>
        <v>3</v>
      </c>
      <c r="Q39" s="598">
        <f t="shared" si="275"/>
        <v>4</v>
      </c>
      <c r="R39" s="598">
        <f t="shared" si="275"/>
        <v>5</v>
      </c>
      <c r="S39" s="598">
        <f t="shared" si="275"/>
        <v>6</v>
      </c>
      <c r="T39" s="598">
        <f t="shared" si="275"/>
        <v>7</v>
      </c>
      <c r="U39" s="598">
        <f t="shared" si="275"/>
        <v>8</v>
      </c>
      <c r="V39" s="598">
        <f t="shared" si="275"/>
        <v>9</v>
      </c>
      <c r="W39" s="598">
        <f t="shared" si="275"/>
        <v>10</v>
      </c>
      <c r="Y39" s="598" t="s">
        <v>1633</v>
      </c>
      <c r="Z39" s="598">
        <f t="shared" ref="Z39:AI39" si="276">Z$24+$G185</f>
        <v>1</v>
      </c>
      <c r="AA39" s="598">
        <f t="shared" si="276"/>
        <v>2</v>
      </c>
      <c r="AB39" s="598">
        <f t="shared" si="276"/>
        <v>3</v>
      </c>
      <c r="AC39" s="598">
        <f t="shared" si="276"/>
        <v>4</v>
      </c>
      <c r="AD39" s="598">
        <f t="shared" si="276"/>
        <v>5</v>
      </c>
      <c r="AE39" s="598">
        <f t="shared" si="276"/>
        <v>6</v>
      </c>
      <c r="AF39" s="598">
        <f t="shared" si="276"/>
        <v>7</v>
      </c>
      <c r="AG39" s="598">
        <f t="shared" si="276"/>
        <v>8</v>
      </c>
      <c r="AH39" s="598">
        <f t="shared" si="276"/>
        <v>9</v>
      </c>
      <c r="AI39" s="598">
        <f t="shared" si="276"/>
        <v>10</v>
      </c>
      <c r="AK39" s="598" t="s">
        <v>1633</v>
      </c>
      <c r="AL39" s="598">
        <f t="shared" ref="AL39:AU39" si="277">AL$24+$I185</f>
        <v>1</v>
      </c>
      <c r="AM39" s="598">
        <f t="shared" si="277"/>
        <v>2</v>
      </c>
      <c r="AN39" s="598">
        <f t="shared" si="277"/>
        <v>3</v>
      </c>
      <c r="AO39" s="598">
        <f t="shared" si="277"/>
        <v>4</v>
      </c>
      <c r="AP39" s="598">
        <f t="shared" si="277"/>
        <v>5</v>
      </c>
      <c r="AQ39" s="598">
        <f t="shared" si="277"/>
        <v>6</v>
      </c>
      <c r="AR39" s="598">
        <f t="shared" si="277"/>
        <v>7</v>
      </c>
      <c r="AS39" s="598">
        <f t="shared" si="277"/>
        <v>8</v>
      </c>
      <c r="AT39" s="598">
        <f t="shared" si="277"/>
        <v>9</v>
      </c>
      <c r="AU39" s="598">
        <f t="shared" si="277"/>
        <v>10</v>
      </c>
      <c r="AW39" s="598" t="s">
        <v>1633</v>
      </c>
      <c r="AX39" s="598">
        <f t="shared" ref="AX39:BG39" si="278">AX$24+$K185</f>
        <v>-1</v>
      </c>
      <c r="AY39" s="598">
        <f t="shared" si="278"/>
        <v>0</v>
      </c>
      <c r="AZ39" s="598">
        <f t="shared" si="278"/>
        <v>1</v>
      </c>
      <c r="BA39" s="598">
        <f t="shared" si="278"/>
        <v>2</v>
      </c>
      <c r="BB39" s="598">
        <f t="shared" si="278"/>
        <v>3</v>
      </c>
      <c r="BC39" s="598">
        <f t="shared" si="278"/>
        <v>4</v>
      </c>
      <c r="BD39" s="598">
        <f t="shared" si="278"/>
        <v>5</v>
      </c>
      <c r="BE39" s="598">
        <f t="shared" si="278"/>
        <v>6</v>
      </c>
      <c r="BF39" s="598">
        <f t="shared" si="278"/>
        <v>7</v>
      </c>
      <c r="BG39" s="598">
        <f t="shared" si="278"/>
        <v>8</v>
      </c>
      <c r="BI39" s="598" t="s">
        <v>1633</v>
      </c>
      <c r="BJ39" s="598">
        <f t="shared" ref="BJ39:BS39" si="279">BJ$24+$M185</f>
        <v>0</v>
      </c>
      <c r="BK39" s="598">
        <f t="shared" si="279"/>
        <v>1</v>
      </c>
      <c r="BL39" s="598">
        <f t="shared" si="279"/>
        <v>2</v>
      </c>
      <c r="BM39" s="598">
        <f t="shared" si="279"/>
        <v>3</v>
      </c>
      <c r="BN39" s="598">
        <f t="shared" si="279"/>
        <v>4</v>
      </c>
      <c r="BO39" s="598">
        <f t="shared" si="279"/>
        <v>5</v>
      </c>
      <c r="BP39" s="598">
        <f t="shared" si="279"/>
        <v>6</v>
      </c>
      <c r="BQ39" s="598">
        <f t="shared" si="279"/>
        <v>7</v>
      </c>
      <c r="BR39" s="598">
        <f t="shared" si="279"/>
        <v>8</v>
      </c>
      <c r="BS39" s="598">
        <f t="shared" si="279"/>
        <v>9</v>
      </c>
      <c r="BU39" s="598" t="s">
        <v>1633</v>
      </c>
      <c r="BV39" s="598">
        <f t="shared" si="158"/>
        <v>-2</v>
      </c>
      <c r="BW39" s="598">
        <f t="shared" si="159"/>
        <v>-1</v>
      </c>
      <c r="BX39" s="598">
        <f t="shared" si="160"/>
        <v>0</v>
      </c>
      <c r="BY39" s="598">
        <f t="shared" si="161"/>
        <v>1</v>
      </c>
      <c r="BZ39" s="598">
        <f t="shared" si="162"/>
        <v>2</v>
      </c>
      <c r="CA39" s="598">
        <f t="shared" si="163"/>
        <v>3</v>
      </c>
      <c r="CB39" s="598">
        <f t="shared" si="164"/>
        <v>4</v>
      </c>
      <c r="CC39" s="598">
        <f t="shared" si="165"/>
        <v>5</v>
      </c>
      <c r="CD39" s="598">
        <f t="shared" si="166"/>
        <v>6</v>
      </c>
      <c r="CE39" s="598">
        <f t="shared" si="167"/>
        <v>7</v>
      </c>
      <c r="CG39" s="598" t="s">
        <v>1633</v>
      </c>
      <c r="CH39" s="598">
        <f t="shared" ref="CH39:CQ39" si="280">CH$24+$BO185</f>
        <v>1</v>
      </c>
      <c r="CI39" s="598">
        <f t="shared" si="280"/>
        <v>2</v>
      </c>
      <c r="CJ39" s="598">
        <f t="shared" si="280"/>
        <v>3</v>
      </c>
      <c r="CK39" s="598">
        <f t="shared" si="280"/>
        <v>4</v>
      </c>
      <c r="CL39" s="598">
        <f t="shared" si="280"/>
        <v>5</v>
      </c>
      <c r="CM39" s="598">
        <f t="shared" si="280"/>
        <v>6</v>
      </c>
      <c r="CN39" s="598">
        <f t="shared" si="280"/>
        <v>7</v>
      </c>
      <c r="CO39" s="598">
        <f t="shared" si="280"/>
        <v>8</v>
      </c>
      <c r="CP39" s="598">
        <f t="shared" si="280"/>
        <v>9</v>
      </c>
      <c r="CQ39" s="598">
        <f t="shared" si="280"/>
        <v>10</v>
      </c>
      <c r="CS39" s="598" t="s">
        <v>1633</v>
      </c>
      <c r="CT39" s="598">
        <f t="shared" ref="CT39:DC39" si="281">CT$24+$BQ185</f>
        <v>1</v>
      </c>
      <c r="CU39" s="598">
        <f t="shared" si="281"/>
        <v>2</v>
      </c>
      <c r="CV39" s="598">
        <f t="shared" si="281"/>
        <v>3</v>
      </c>
      <c r="CW39" s="598">
        <f t="shared" si="281"/>
        <v>4</v>
      </c>
      <c r="CX39" s="598">
        <f t="shared" si="281"/>
        <v>5</v>
      </c>
      <c r="CY39" s="598">
        <f t="shared" si="281"/>
        <v>6</v>
      </c>
      <c r="CZ39" s="598">
        <f t="shared" si="281"/>
        <v>7</v>
      </c>
      <c r="DA39" s="598">
        <f t="shared" si="281"/>
        <v>8</v>
      </c>
      <c r="DB39" s="598">
        <f t="shared" si="281"/>
        <v>9</v>
      </c>
      <c r="DC39" s="598">
        <f t="shared" si="281"/>
        <v>10</v>
      </c>
    </row>
    <row r="40" spans="1:107">
      <c r="A40" s="598" t="s">
        <v>1634</v>
      </c>
      <c r="B40" s="598">
        <f t="shared" ref="B40:K40" si="282">B24+$C$186</f>
        <v>-1</v>
      </c>
      <c r="C40" s="598">
        <f t="shared" si="282"/>
        <v>0</v>
      </c>
      <c r="D40" s="598">
        <f t="shared" si="282"/>
        <v>1</v>
      </c>
      <c r="E40" s="598">
        <f t="shared" si="282"/>
        <v>2</v>
      </c>
      <c r="F40" s="598">
        <f t="shared" si="282"/>
        <v>3</v>
      </c>
      <c r="G40" s="598">
        <f t="shared" si="282"/>
        <v>4</v>
      </c>
      <c r="H40" s="598">
        <f t="shared" si="282"/>
        <v>5</v>
      </c>
      <c r="I40" s="598">
        <f t="shared" si="282"/>
        <v>6</v>
      </c>
      <c r="J40" s="598">
        <f t="shared" si="282"/>
        <v>7</v>
      </c>
      <c r="K40" s="598">
        <f t="shared" si="282"/>
        <v>8</v>
      </c>
      <c r="M40" s="598" t="s">
        <v>1634</v>
      </c>
      <c r="N40" s="598">
        <f t="shared" ref="N40:W40" si="283">N$24+$E186</f>
        <v>3</v>
      </c>
      <c r="O40" s="598">
        <f t="shared" si="283"/>
        <v>4</v>
      </c>
      <c r="P40" s="598">
        <f t="shared" si="283"/>
        <v>5</v>
      </c>
      <c r="Q40" s="598">
        <f t="shared" si="283"/>
        <v>6</v>
      </c>
      <c r="R40" s="598">
        <f t="shared" si="283"/>
        <v>7</v>
      </c>
      <c r="S40" s="598">
        <f t="shared" si="283"/>
        <v>8</v>
      </c>
      <c r="T40" s="598">
        <f t="shared" si="283"/>
        <v>9</v>
      </c>
      <c r="U40" s="598">
        <f t="shared" si="283"/>
        <v>10</v>
      </c>
      <c r="V40" s="598">
        <f t="shared" si="283"/>
        <v>11</v>
      </c>
      <c r="W40" s="598">
        <f t="shared" si="283"/>
        <v>12</v>
      </c>
      <c r="Y40" s="598" t="s">
        <v>1634</v>
      </c>
      <c r="Z40" s="598">
        <f t="shared" ref="Z40:AI40" si="284">Z$24+$G186</f>
        <v>4</v>
      </c>
      <c r="AA40" s="598">
        <f t="shared" si="284"/>
        <v>5</v>
      </c>
      <c r="AB40" s="598">
        <f t="shared" si="284"/>
        <v>6</v>
      </c>
      <c r="AC40" s="598">
        <f t="shared" si="284"/>
        <v>7</v>
      </c>
      <c r="AD40" s="598">
        <f t="shared" si="284"/>
        <v>8</v>
      </c>
      <c r="AE40" s="598">
        <f t="shared" si="284"/>
        <v>9</v>
      </c>
      <c r="AF40" s="598">
        <f t="shared" si="284"/>
        <v>10</v>
      </c>
      <c r="AG40" s="598">
        <f t="shared" si="284"/>
        <v>11</v>
      </c>
      <c r="AH40" s="598">
        <f t="shared" si="284"/>
        <v>12</v>
      </c>
      <c r="AI40" s="598">
        <f t="shared" si="284"/>
        <v>13</v>
      </c>
      <c r="AK40" s="598" t="s">
        <v>1634</v>
      </c>
      <c r="AL40" s="598">
        <f t="shared" ref="AL40:AU40" si="285">AL$24+$I186</f>
        <v>3</v>
      </c>
      <c r="AM40" s="598">
        <f t="shared" si="285"/>
        <v>4</v>
      </c>
      <c r="AN40" s="598">
        <f t="shared" si="285"/>
        <v>5</v>
      </c>
      <c r="AO40" s="598">
        <f t="shared" si="285"/>
        <v>6</v>
      </c>
      <c r="AP40" s="598">
        <f t="shared" si="285"/>
        <v>7</v>
      </c>
      <c r="AQ40" s="598">
        <f t="shared" si="285"/>
        <v>8</v>
      </c>
      <c r="AR40" s="598">
        <f t="shared" si="285"/>
        <v>9</v>
      </c>
      <c r="AS40" s="598">
        <f t="shared" si="285"/>
        <v>10</v>
      </c>
      <c r="AT40" s="598">
        <f t="shared" si="285"/>
        <v>11</v>
      </c>
      <c r="AU40" s="598">
        <f t="shared" si="285"/>
        <v>12</v>
      </c>
      <c r="AW40" s="598" t="s">
        <v>1634</v>
      </c>
      <c r="AX40" s="598">
        <f t="shared" ref="AX40:BG40" si="286">AX$24+$K186</f>
        <v>1</v>
      </c>
      <c r="AY40" s="598">
        <f t="shared" si="286"/>
        <v>2</v>
      </c>
      <c r="AZ40" s="598">
        <f t="shared" si="286"/>
        <v>3</v>
      </c>
      <c r="BA40" s="598">
        <f t="shared" si="286"/>
        <v>4</v>
      </c>
      <c r="BB40" s="598">
        <f t="shared" si="286"/>
        <v>5</v>
      </c>
      <c r="BC40" s="598">
        <f t="shared" si="286"/>
        <v>6</v>
      </c>
      <c r="BD40" s="598">
        <f t="shared" si="286"/>
        <v>7</v>
      </c>
      <c r="BE40" s="598">
        <f t="shared" si="286"/>
        <v>8</v>
      </c>
      <c r="BF40" s="598">
        <f t="shared" si="286"/>
        <v>9</v>
      </c>
      <c r="BG40" s="598">
        <f t="shared" si="286"/>
        <v>10</v>
      </c>
      <c r="BI40" s="598" t="s">
        <v>1634</v>
      </c>
      <c r="BJ40" s="598">
        <f t="shared" ref="BJ40:BS40" si="287">BJ$24+$M186</f>
        <v>4</v>
      </c>
      <c r="BK40" s="598">
        <f t="shared" si="287"/>
        <v>5</v>
      </c>
      <c r="BL40" s="598">
        <f t="shared" si="287"/>
        <v>6</v>
      </c>
      <c r="BM40" s="598">
        <f t="shared" si="287"/>
        <v>7</v>
      </c>
      <c r="BN40" s="598">
        <f t="shared" si="287"/>
        <v>8</v>
      </c>
      <c r="BO40" s="598">
        <f t="shared" si="287"/>
        <v>9</v>
      </c>
      <c r="BP40" s="598">
        <f t="shared" si="287"/>
        <v>10</v>
      </c>
      <c r="BQ40" s="598">
        <f t="shared" si="287"/>
        <v>11</v>
      </c>
      <c r="BR40" s="598">
        <f t="shared" si="287"/>
        <v>12</v>
      </c>
      <c r="BS40" s="598">
        <f t="shared" si="287"/>
        <v>13</v>
      </c>
      <c r="BU40" s="598" t="s">
        <v>1634</v>
      </c>
      <c r="BV40" s="598">
        <f t="shared" si="158"/>
        <v>-2</v>
      </c>
      <c r="BW40" s="598">
        <f t="shared" si="159"/>
        <v>-1</v>
      </c>
      <c r="BX40" s="598">
        <f t="shared" si="160"/>
        <v>0</v>
      </c>
      <c r="BY40" s="598">
        <f t="shared" si="161"/>
        <v>1</v>
      </c>
      <c r="BZ40" s="598">
        <f t="shared" si="162"/>
        <v>2</v>
      </c>
      <c r="CA40" s="598">
        <f t="shared" si="163"/>
        <v>3</v>
      </c>
      <c r="CB40" s="598">
        <f t="shared" si="164"/>
        <v>4</v>
      </c>
      <c r="CC40" s="598">
        <f t="shared" si="165"/>
        <v>5</v>
      </c>
      <c r="CD40" s="598">
        <f t="shared" si="166"/>
        <v>6</v>
      </c>
      <c r="CE40" s="598">
        <f t="shared" si="167"/>
        <v>7</v>
      </c>
      <c r="CG40" s="598" t="s">
        <v>1634</v>
      </c>
      <c r="CH40" s="598">
        <f t="shared" ref="CH40:CQ40" si="288">CH$24+$BO186</f>
        <v>3</v>
      </c>
      <c r="CI40" s="598">
        <f t="shared" si="288"/>
        <v>4</v>
      </c>
      <c r="CJ40" s="598">
        <f t="shared" si="288"/>
        <v>5</v>
      </c>
      <c r="CK40" s="598">
        <f t="shared" si="288"/>
        <v>6</v>
      </c>
      <c r="CL40" s="598">
        <f t="shared" si="288"/>
        <v>7</v>
      </c>
      <c r="CM40" s="598">
        <f t="shared" si="288"/>
        <v>8</v>
      </c>
      <c r="CN40" s="598">
        <f t="shared" si="288"/>
        <v>9</v>
      </c>
      <c r="CO40" s="598">
        <f t="shared" si="288"/>
        <v>10</v>
      </c>
      <c r="CP40" s="598">
        <f t="shared" si="288"/>
        <v>11</v>
      </c>
      <c r="CQ40" s="598">
        <f t="shared" si="288"/>
        <v>12</v>
      </c>
      <c r="CS40" s="598" t="s">
        <v>1634</v>
      </c>
      <c r="CT40" s="598">
        <f t="shared" ref="CT40:DC40" si="289">CT$24+$BQ186</f>
        <v>3</v>
      </c>
      <c r="CU40" s="598">
        <f t="shared" si="289"/>
        <v>4</v>
      </c>
      <c r="CV40" s="598">
        <f t="shared" si="289"/>
        <v>5</v>
      </c>
      <c r="CW40" s="598">
        <f t="shared" si="289"/>
        <v>6</v>
      </c>
      <c r="CX40" s="598">
        <f t="shared" si="289"/>
        <v>7</v>
      </c>
      <c r="CY40" s="598">
        <f t="shared" si="289"/>
        <v>8</v>
      </c>
      <c r="CZ40" s="598">
        <f t="shared" si="289"/>
        <v>9</v>
      </c>
      <c r="DA40" s="598">
        <f t="shared" si="289"/>
        <v>10</v>
      </c>
      <c r="DB40" s="598">
        <f t="shared" si="289"/>
        <v>11</v>
      </c>
      <c r="DC40" s="598">
        <f t="shared" si="289"/>
        <v>12</v>
      </c>
    </row>
    <row r="41" spans="1:107">
      <c r="A41" s="598" t="s">
        <v>1635</v>
      </c>
      <c r="B41" s="598">
        <f t="shared" ref="B41:K41" si="290">B24+$C$187</f>
        <v>4</v>
      </c>
      <c r="C41" s="598">
        <f t="shared" si="290"/>
        <v>5</v>
      </c>
      <c r="D41" s="598">
        <f t="shared" si="290"/>
        <v>6</v>
      </c>
      <c r="E41" s="598">
        <f t="shared" si="290"/>
        <v>7</v>
      </c>
      <c r="F41" s="598">
        <f t="shared" si="290"/>
        <v>8</v>
      </c>
      <c r="G41" s="598">
        <f t="shared" si="290"/>
        <v>9</v>
      </c>
      <c r="H41" s="598">
        <f t="shared" si="290"/>
        <v>10</v>
      </c>
      <c r="I41" s="598">
        <f t="shared" si="290"/>
        <v>11</v>
      </c>
      <c r="J41" s="598">
        <f t="shared" si="290"/>
        <v>12</v>
      </c>
      <c r="K41" s="598">
        <f t="shared" si="290"/>
        <v>13</v>
      </c>
      <c r="M41" s="598" t="s">
        <v>1635</v>
      </c>
      <c r="N41" s="598">
        <f t="shared" ref="N41:W41" si="291">N$24+$E187</f>
        <v>0</v>
      </c>
      <c r="O41" s="598">
        <f t="shared" si="291"/>
        <v>1</v>
      </c>
      <c r="P41" s="598">
        <f t="shared" si="291"/>
        <v>2</v>
      </c>
      <c r="Q41" s="598">
        <f t="shared" si="291"/>
        <v>3</v>
      </c>
      <c r="R41" s="598">
        <f t="shared" si="291"/>
        <v>4</v>
      </c>
      <c r="S41" s="598">
        <f t="shared" si="291"/>
        <v>5</v>
      </c>
      <c r="T41" s="598">
        <f t="shared" si="291"/>
        <v>6</v>
      </c>
      <c r="U41" s="598">
        <f t="shared" si="291"/>
        <v>7</v>
      </c>
      <c r="V41" s="598">
        <f t="shared" si="291"/>
        <v>8</v>
      </c>
      <c r="W41" s="598">
        <f t="shared" si="291"/>
        <v>9</v>
      </c>
      <c r="Y41" s="598" t="s">
        <v>1635</v>
      </c>
      <c r="Z41" s="598">
        <f t="shared" ref="Z41:AI41" si="292">Z$24+$G187</f>
        <v>-2</v>
      </c>
      <c r="AA41" s="598">
        <f t="shared" si="292"/>
        <v>-1</v>
      </c>
      <c r="AB41" s="598">
        <f t="shared" si="292"/>
        <v>0</v>
      </c>
      <c r="AC41" s="598">
        <f t="shared" si="292"/>
        <v>1</v>
      </c>
      <c r="AD41" s="598">
        <f t="shared" si="292"/>
        <v>2</v>
      </c>
      <c r="AE41" s="598">
        <f t="shared" si="292"/>
        <v>3</v>
      </c>
      <c r="AF41" s="598">
        <f t="shared" si="292"/>
        <v>4</v>
      </c>
      <c r="AG41" s="598">
        <f t="shared" si="292"/>
        <v>5</v>
      </c>
      <c r="AH41" s="598">
        <f t="shared" si="292"/>
        <v>6</v>
      </c>
      <c r="AI41" s="598">
        <f t="shared" si="292"/>
        <v>7</v>
      </c>
      <c r="AK41" s="598" t="s">
        <v>1635</v>
      </c>
      <c r="AL41" s="598">
        <f t="shared" ref="AL41:AU41" si="293">AL$24+$I187</f>
        <v>1</v>
      </c>
      <c r="AM41" s="598">
        <f t="shared" si="293"/>
        <v>2</v>
      </c>
      <c r="AN41" s="598">
        <f t="shared" si="293"/>
        <v>3</v>
      </c>
      <c r="AO41" s="598">
        <f t="shared" si="293"/>
        <v>4</v>
      </c>
      <c r="AP41" s="598">
        <f t="shared" si="293"/>
        <v>5</v>
      </c>
      <c r="AQ41" s="598">
        <f t="shared" si="293"/>
        <v>6</v>
      </c>
      <c r="AR41" s="598">
        <f t="shared" si="293"/>
        <v>7</v>
      </c>
      <c r="AS41" s="598">
        <f t="shared" si="293"/>
        <v>8</v>
      </c>
      <c r="AT41" s="598">
        <f t="shared" si="293"/>
        <v>9</v>
      </c>
      <c r="AU41" s="598">
        <f t="shared" si="293"/>
        <v>10</v>
      </c>
      <c r="AW41" s="598" t="s">
        <v>1635</v>
      </c>
      <c r="AX41" s="598">
        <f t="shared" ref="AX41:BG41" si="294">AX$24+$K187</f>
        <v>2</v>
      </c>
      <c r="AY41" s="598">
        <f t="shared" si="294"/>
        <v>3</v>
      </c>
      <c r="AZ41" s="598">
        <f t="shared" si="294"/>
        <v>4</v>
      </c>
      <c r="BA41" s="598">
        <f t="shared" si="294"/>
        <v>5</v>
      </c>
      <c r="BB41" s="598">
        <f t="shared" si="294"/>
        <v>6</v>
      </c>
      <c r="BC41" s="598">
        <f t="shared" si="294"/>
        <v>7</v>
      </c>
      <c r="BD41" s="598">
        <f t="shared" si="294"/>
        <v>8</v>
      </c>
      <c r="BE41" s="598">
        <f t="shared" si="294"/>
        <v>9</v>
      </c>
      <c r="BF41" s="598">
        <f t="shared" si="294"/>
        <v>10</v>
      </c>
      <c r="BG41" s="598">
        <f t="shared" si="294"/>
        <v>11</v>
      </c>
      <c r="BI41" s="598" t="s">
        <v>1635</v>
      </c>
      <c r="BJ41" s="598">
        <f t="shared" ref="BJ41:BS41" si="295">BJ$24+$M187</f>
        <v>-2</v>
      </c>
      <c r="BK41" s="598">
        <f t="shared" si="295"/>
        <v>-1</v>
      </c>
      <c r="BL41" s="598">
        <f t="shared" si="295"/>
        <v>0</v>
      </c>
      <c r="BM41" s="598">
        <f t="shared" si="295"/>
        <v>1</v>
      </c>
      <c r="BN41" s="598">
        <f t="shared" si="295"/>
        <v>2</v>
      </c>
      <c r="BO41" s="598">
        <f t="shared" si="295"/>
        <v>3</v>
      </c>
      <c r="BP41" s="598">
        <f t="shared" si="295"/>
        <v>4</v>
      </c>
      <c r="BQ41" s="598">
        <f t="shared" si="295"/>
        <v>5</v>
      </c>
      <c r="BR41" s="598">
        <f t="shared" si="295"/>
        <v>6</v>
      </c>
      <c r="BS41" s="598">
        <f t="shared" si="295"/>
        <v>7</v>
      </c>
      <c r="BU41" s="598" t="s">
        <v>1635</v>
      </c>
      <c r="BV41" s="598">
        <f t="shared" si="158"/>
        <v>4</v>
      </c>
      <c r="BW41" s="598">
        <f t="shared" si="159"/>
        <v>5</v>
      </c>
      <c r="BX41" s="598">
        <f t="shared" si="160"/>
        <v>6</v>
      </c>
      <c r="BY41" s="598">
        <f t="shared" si="161"/>
        <v>7</v>
      </c>
      <c r="BZ41" s="598">
        <f t="shared" si="162"/>
        <v>8</v>
      </c>
      <c r="CA41" s="598">
        <f t="shared" si="163"/>
        <v>9</v>
      </c>
      <c r="CB41" s="598">
        <f t="shared" si="164"/>
        <v>10</v>
      </c>
      <c r="CC41" s="598">
        <f t="shared" si="165"/>
        <v>11</v>
      </c>
      <c r="CD41" s="598">
        <f t="shared" si="166"/>
        <v>12</v>
      </c>
      <c r="CE41" s="598">
        <f t="shared" si="167"/>
        <v>13</v>
      </c>
      <c r="CG41" s="598" t="s">
        <v>1635</v>
      </c>
      <c r="CH41" s="598">
        <f t="shared" ref="CH41:CQ41" si="296">CH$24+$BO187</f>
        <v>-1</v>
      </c>
      <c r="CI41" s="598">
        <f t="shared" si="296"/>
        <v>0</v>
      </c>
      <c r="CJ41" s="598">
        <f t="shared" si="296"/>
        <v>1</v>
      </c>
      <c r="CK41" s="598">
        <f t="shared" si="296"/>
        <v>2</v>
      </c>
      <c r="CL41" s="598">
        <f t="shared" si="296"/>
        <v>3</v>
      </c>
      <c r="CM41" s="598">
        <f t="shared" si="296"/>
        <v>4</v>
      </c>
      <c r="CN41" s="598">
        <f t="shared" si="296"/>
        <v>5</v>
      </c>
      <c r="CO41" s="598">
        <f t="shared" si="296"/>
        <v>6</v>
      </c>
      <c r="CP41" s="598">
        <f t="shared" si="296"/>
        <v>7</v>
      </c>
      <c r="CQ41" s="598">
        <f t="shared" si="296"/>
        <v>8</v>
      </c>
      <c r="CS41" s="598" t="s">
        <v>1635</v>
      </c>
      <c r="CT41" s="598">
        <f t="shared" ref="CT41:DC41" si="297">CT$24+$BQ187</f>
        <v>-1</v>
      </c>
      <c r="CU41" s="598">
        <f t="shared" si="297"/>
        <v>0</v>
      </c>
      <c r="CV41" s="598">
        <f t="shared" si="297"/>
        <v>1</v>
      </c>
      <c r="CW41" s="598">
        <f t="shared" si="297"/>
        <v>2</v>
      </c>
      <c r="CX41" s="598">
        <f t="shared" si="297"/>
        <v>3</v>
      </c>
      <c r="CY41" s="598">
        <f t="shared" si="297"/>
        <v>4</v>
      </c>
      <c r="CZ41" s="598">
        <f t="shared" si="297"/>
        <v>5</v>
      </c>
      <c r="DA41" s="598">
        <f t="shared" si="297"/>
        <v>6</v>
      </c>
      <c r="DB41" s="598">
        <f t="shared" si="297"/>
        <v>7</v>
      </c>
      <c r="DC41" s="598">
        <f t="shared" si="297"/>
        <v>8</v>
      </c>
    </row>
    <row r="42" spans="1:107">
      <c r="A42" s="598" t="s">
        <v>1347</v>
      </c>
      <c r="B42" s="598" t="e">
        <f t="shared" ref="B42:K42" si="298">B24+$C$188</f>
        <v>#N/A</v>
      </c>
      <c r="C42" s="598" t="e">
        <f t="shared" si="298"/>
        <v>#N/A</v>
      </c>
      <c r="D42" s="598" t="e">
        <f t="shared" si="298"/>
        <v>#N/A</v>
      </c>
      <c r="E42" s="598" t="e">
        <f t="shared" si="298"/>
        <v>#N/A</v>
      </c>
      <c r="F42" s="598" t="e">
        <f t="shared" si="298"/>
        <v>#N/A</v>
      </c>
      <c r="G42" s="598" t="e">
        <f t="shared" si="298"/>
        <v>#N/A</v>
      </c>
      <c r="H42" s="598" t="e">
        <f t="shared" si="298"/>
        <v>#N/A</v>
      </c>
      <c r="I42" s="598" t="e">
        <f t="shared" si="298"/>
        <v>#N/A</v>
      </c>
      <c r="J42" s="598" t="e">
        <f t="shared" si="298"/>
        <v>#N/A</v>
      </c>
      <c r="K42" s="598" t="e">
        <f t="shared" si="298"/>
        <v>#N/A</v>
      </c>
      <c r="M42" s="598" t="s">
        <v>1347</v>
      </c>
      <c r="N42" s="598" t="e">
        <f t="shared" ref="N42:W42" si="299">N$24+$E188</f>
        <v>#N/A</v>
      </c>
      <c r="O42" s="598" t="e">
        <f t="shared" si="299"/>
        <v>#N/A</v>
      </c>
      <c r="P42" s="598" t="e">
        <f t="shared" si="299"/>
        <v>#N/A</v>
      </c>
      <c r="Q42" s="598" t="e">
        <f t="shared" si="299"/>
        <v>#N/A</v>
      </c>
      <c r="R42" s="598" t="e">
        <f t="shared" si="299"/>
        <v>#N/A</v>
      </c>
      <c r="S42" s="598" t="e">
        <f t="shared" si="299"/>
        <v>#N/A</v>
      </c>
      <c r="T42" s="598" t="e">
        <f t="shared" si="299"/>
        <v>#N/A</v>
      </c>
      <c r="U42" s="598" t="e">
        <f t="shared" si="299"/>
        <v>#N/A</v>
      </c>
      <c r="V42" s="598" t="e">
        <f t="shared" si="299"/>
        <v>#N/A</v>
      </c>
      <c r="W42" s="598" t="e">
        <f t="shared" si="299"/>
        <v>#N/A</v>
      </c>
      <c r="Y42" s="598" t="s">
        <v>1347</v>
      </c>
      <c r="Z42" s="598" t="e">
        <f t="shared" ref="Z42:AI42" si="300">Z$24+$G188</f>
        <v>#N/A</v>
      </c>
      <c r="AA42" s="598" t="e">
        <f t="shared" si="300"/>
        <v>#N/A</v>
      </c>
      <c r="AB42" s="598" t="e">
        <f t="shared" si="300"/>
        <v>#N/A</v>
      </c>
      <c r="AC42" s="598" t="e">
        <f t="shared" si="300"/>
        <v>#N/A</v>
      </c>
      <c r="AD42" s="598" t="e">
        <f t="shared" si="300"/>
        <v>#N/A</v>
      </c>
      <c r="AE42" s="598" t="e">
        <f t="shared" si="300"/>
        <v>#N/A</v>
      </c>
      <c r="AF42" s="598" t="e">
        <f t="shared" si="300"/>
        <v>#N/A</v>
      </c>
      <c r="AG42" s="598" t="e">
        <f t="shared" si="300"/>
        <v>#N/A</v>
      </c>
      <c r="AH42" s="598" t="e">
        <f t="shared" si="300"/>
        <v>#N/A</v>
      </c>
      <c r="AI42" s="598" t="e">
        <f t="shared" si="300"/>
        <v>#N/A</v>
      </c>
      <c r="AK42" s="598" t="s">
        <v>1347</v>
      </c>
      <c r="AL42" s="598" t="e">
        <f t="shared" ref="AL42:AU42" si="301">AL$24+$I188</f>
        <v>#N/A</v>
      </c>
      <c r="AM42" s="598" t="e">
        <f t="shared" si="301"/>
        <v>#N/A</v>
      </c>
      <c r="AN42" s="598" t="e">
        <f t="shared" si="301"/>
        <v>#N/A</v>
      </c>
      <c r="AO42" s="598" t="e">
        <f t="shared" si="301"/>
        <v>#N/A</v>
      </c>
      <c r="AP42" s="598" t="e">
        <f t="shared" si="301"/>
        <v>#N/A</v>
      </c>
      <c r="AQ42" s="598" t="e">
        <f t="shared" si="301"/>
        <v>#N/A</v>
      </c>
      <c r="AR42" s="598" t="e">
        <f t="shared" si="301"/>
        <v>#N/A</v>
      </c>
      <c r="AS42" s="598" t="e">
        <f t="shared" si="301"/>
        <v>#N/A</v>
      </c>
      <c r="AT42" s="598" t="e">
        <f t="shared" si="301"/>
        <v>#N/A</v>
      </c>
      <c r="AU42" s="598" t="e">
        <f t="shared" si="301"/>
        <v>#N/A</v>
      </c>
      <c r="AW42" s="598" t="s">
        <v>1347</v>
      </c>
      <c r="AX42" s="598" t="e">
        <f t="shared" ref="AX42:BG42" si="302">AX$24+$K188</f>
        <v>#N/A</v>
      </c>
      <c r="AY42" s="598" t="e">
        <f t="shared" si="302"/>
        <v>#N/A</v>
      </c>
      <c r="AZ42" s="598" t="e">
        <f t="shared" si="302"/>
        <v>#N/A</v>
      </c>
      <c r="BA42" s="598" t="e">
        <f t="shared" si="302"/>
        <v>#N/A</v>
      </c>
      <c r="BB42" s="598" t="e">
        <f t="shared" si="302"/>
        <v>#N/A</v>
      </c>
      <c r="BC42" s="598" t="e">
        <f t="shared" si="302"/>
        <v>#N/A</v>
      </c>
      <c r="BD42" s="598" t="e">
        <f t="shared" si="302"/>
        <v>#N/A</v>
      </c>
      <c r="BE42" s="598" t="e">
        <f t="shared" si="302"/>
        <v>#N/A</v>
      </c>
      <c r="BF42" s="598" t="e">
        <f t="shared" si="302"/>
        <v>#N/A</v>
      </c>
      <c r="BG42" s="598" t="e">
        <f t="shared" si="302"/>
        <v>#N/A</v>
      </c>
      <c r="BI42" s="598" t="s">
        <v>1347</v>
      </c>
      <c r="BJ42" s="598" t="e">
        <f t="shared" ref="BJ42:BS42" si="303">BJ$24+$M188</f>
        <v>#N/A</v>
      </c>
      <c r="BK42" s="598" t="e">
        <f t="shared" si="303"/>
        <v>#N/A</v>
      </c>
      <c r="BL42" s="598" t="e">
        <f t="shared" si="303"/>
        <v>#N/A</v>
      </c>
      <c r="BM42" s="598" t="e">
        <f t="shared" si="303"/>
        <v>#N/A</v>
      </c>
      <c r="BN42" s="598" t="e">
        <f t="shared" si="303"/>
        <v>#N/A</v>
      </c>
      <c r="BO42" s="598" t="e">
        <f t="shared" si="303"/>
        <v>#N/A</v>
      </c>
      <c r="BP42" s="598" t="e">
        <f t="shared" si="303"/>
        <v>#N/A</v>
      </c>
      <c r="BQ42" s="598" t="e">
        <f t="shared" si="303"/>
        <v>#N/A</v>
      </c>
      <c r="BR42" s="598" t="e">
        <f t="shared" si="303"/>
        <v>#N/A</v>
      </c>
      <c r="BS42" s="598" t="e">
        <f t="shared" si="303"/>
        <v>#N/A</v>
      </c>
      <c r="BU42" s="598" t="s">
        <v>1347</v>
      </c>
      <c r="BV42" s="598" t="e">
        <f t="shared" si="158"/>
        <v>#N/A</v>
      </c>
      <c r="BW42" s="598" t="e">
        <f t="shared" si="159"/>
        <v>#N/A</v>
      </c>
      <c r="BX42" s="598" t="e">
        <f t="shared" si="160"/>
        <v>#N/A</v>
      </c>
      <c r="BY42" s="598" t="e">
        <f t="shared" si="161"/>
        <v>#N/A</v>
      </c>
      <c r="BZ42" s="598" t="e">
        <f t="shared" si="162"/>
        <v>#N/A</v>
      </c>
      <c r="CA42" s="598" t="e">
        <f t="shared" si="163"/>
        <v>#N/A</v>
      </c>
      <c r="CB42" s="598" t="e">
        <f t="shared" si="164"/>
        <v>#N/A</v>
      </c>
      <c r="CC42" s="598" t="e">
        <f t="shared" si="165"/>
        <v>#N/A</v>
      </c>
      <c r="CD42" s="598" t="e">
        <f t="shared" si="166"/>
        <v>#N/A</v>
      </c>
      <c r="CE42" s="598" t="e">
        <f t="shared" si="167"/>
        <v>#N/A</v>
      </c>
      <c r="CG42" s="598" t="s">
        <v>1347</v>
      </c>
      <c r="CH42" s="598" t="e">
        <f t="shared" ref="CH42:CQ42" si="304">CH$24+$BO188</f>
        <v>#N/A</v>
      </c>
      <c r="CI42" s="598" t="e">
        <f t="shared" si="304"/>
        <v>#N/A</v>
      </c>
      <c r="CJ42" s="598" t="e">
        <f t="shared" si="304"/>
        <v>#N/A</v>
      </c>
      <c r="CK42" s="598" t="e">
        <f t="shared" si="304"/>
        <v>#N/A</v>
      </c>
      <c r="CL42" s="598" t="e">
        <f t="shared" si="304"/>
        <v>#N/A</v>
      </c>
      <c r="CM42" s="598" t="e">
        <f t="shared" si="304"/>
        <v>#N/A</v>
      </c>
      <c r="CN42" s="598" t="e">
        <f t="shared" si="304"/>
        <v>#N/A</v>
      </c>
      <c r="CO42" s="598" t="e">
        <f t="shared" si="304"/>
        <v>#N/A</v>
      </c>
      <c r="CP42" s="598" t="e">
        <f t="shared" si="304"/>
        <v>#N/A</v>
      </c>
      <c r="CQ42" s="598" t="e">
        <f t="shared" si="304"/>
        <v>#N/A</v>
      </c>
      <c r="CS42" s="598" t="s">
        <v>1347</v>
      </c>
      <c r="CT42" s="598" t="e">
        <f t="shared" ref="CT42:DC42" si="305">CT$24+$BQ188</f>
        <v>#N/A</v>
      </c>
      <c r="CU42" s="598" t="e">
        <f t="shared" si="305"/>
        <v>#N/A</v>
      </c>
      <c r="CV42" s="598" t="e">
        <f t="shared" si="305"/>
        <v>#N/A</v>
      </c>
      <c r="CW42" s="598" t="e">
        <f t="shared" si="305"/>
        <v>#N/A</v>
      </c>
      <c r="CX42" s="598" t="e">
        <f t="shared" si="305"/>
        <v>#N/A</v>
      </c>
      <c r="CY42" s="598" t="e">
        <f t="shared" si="305"/>
        <v>#N/A</v>
      </c>
      <c r="CZ42" s="598" t="e">
        <f t="shared" si="305"/>
        <v>#N/A</v>
      </c>
      <c r="DA42" s="598" t="e">
        <f t="shared" si="305"/>
        <v>#N/A</v>
      </c>
      <c r="DB42" s="598" t="e">
        <f t="shared" si="305"/>
        <v>#N/A</v>
      </c>
      <c r="DC42" s="598" t="e">
        <f t="shared" si="305"/>
        <v>#N/A</v>
      </c>
    </row>
    <row r="43" spans="1:107">
      <c r="A43" s="598" t="s">
        <v>1636</v>
      </c>
      <c r="B43" s="598">
        <f t="shared" ref="B43:K43" si="306">B24+$C$189</f>
        <v>-2</v>
      </c>
      <c r="C43" s="598">
        <f t="shared" si="306"/>
        <v>-1</v>
      </c>
      <c r="D43" s="598">
        <f t="shared" si="306"/>
        <v>0</v>
      </c>
      <c r="E43" s="598">
        <f t="shared" si="306"/>
        <v>1</v>
      </c>
      <c r="F43" s="598">
        <f t="shared" si="306"/>
        <v>2</v>
      </c>
      <c r="G43" s="598">
        <f t="shared" si="306"/>
        <v>3</v>
      </c>
      <c r="H43" s="598">
        <f t="shared" si="306"/>
        <v>4</v>
      </c>
      <c r="I43" s="598">
        <f t="shared" si="306"/>
        <v>5</v>
      </c>
      <c r="J43" s="598">
        <f t="shared" si="306"/>
        <v>6</v>
      </c>
      <c r="K43" s="598">
        <f t="shared" si="306"/>
        <v>7</v>
      </c>
      <c r="M43" s="598" t="s">
        <v>1636</v>
      </c>
      <c r="N43" s="598">
        <f t="shared" ref="N43:W43" si="307">N$24+$E189</f>
        <v>0</v>
      </c>
      <c r="O43" s="598">
        <f t="shared" si="307"/>
        <v>1</v>
      </c>
      <c r="P43" s="598">
        <f t="shared" si="307"/>
        <v>2</v>
      </c>
      <c r="Q43" s="598">
        <f t="shared" si="307"/>
        <v>3</v>
      </c>
      <c r="R43" s="598">
        <f t="shared" si="307"/>
        <v>4</v>
      </c>
      <c r="S43" s="598">
        <f t="shared" si="307"/>
        <v>5</v>
      </c>
      <c r="T43" s="598">
        <f t="shared" si="307"/>
        <v>6</v>
      </c>
      <c r="U43" s="598">
        <f t="shared" si="307"/>
        <v>7</v>
      </c>
      <c r="V43" s="598">
        <f t="shared" si="307"/>
        <v>8</v>
      </c>
      <c r="W43" s="598">
        <f t="shared" si="307"/>
        <v>9</v>
      </c>
      <c r="Y43" s="598" t="s">
        <v>1636</v>
      </c>
      <c r="Z43" s="598">
        <f t="shared" ref="Z43:AI43" si="308">Z$24+$G189</f>
        <v>1</v>
      </c>
      <c r="AA43" s="598">
        <f t="shared" si="308"/>
        <v>2</v>
      </c>
      <c r="AB43" s="598">
        <f t="shared" si="308"/>
        <v>3</v>
      </c>
      <c r="AC43" s="598">
        <f t="shared" si="308"/>
        <v>4</v>
      </c>
      <c r="AD43" s="598">
        <f t="shared" si="308"/>
        <v>5</v>
      </c>
      <c r="AE43" s="598">
        <f t="shared" si="308"/>
        <v>6</v>
      </c>
      <c r="AF43" s="598">
        <f t="shared" si="308"/>
        <v>7</v>
      </c>
      <c r="AG43" s="598">
        <f t="shared" si="308"/>
        <v>8</v>
      </c>
      <c r="AH43" s="598">
        <f t="shared" si="308"/>
        <v>9</v>
      </c>
      <c r="AI43" s="598">
        <f t="shared" si="308"/>
        <v>10</v>
      </c>
      <c r="AK43" s="598" t="s">
        <v>1636</v>
      </c>
      <c r="AL43" s="598">
        <f t="shared" ref="AL43:AU43" si="309">AL$24+$I189</f>
        <v>2</v>
      </c>
      <c r="AM43" s="598">
        <f t="shared" si="309"/>
        <v>3</v>
      </c>
      <c r="AN43" s="598">
        <f t="shared" si="309"/>
        <v>4</v>
      </c>
      <c r="AO43" s="598">
        <f t="shared" si="309"/>
        <v>5</v>
      </c>
      <c r="AP43" s="598">
        <f t="shared" si="309"/>
        <v>6</v>
      </c>
      <c r="AQ43" s="598">
        <f t="shared" si="309"/>
        <v>7</v>
      </c>
      <c r="AR43" s="598">
        <f t="shared" si="309"/>
        <v>8</v>
      </c>
      <c r="AS43" s="598">
        <f t="shared" si="309"/>
        <v>9</v>
      </c>
      <c r="AT43" s="598">
        <f t="shared" si="309"/>
        <v>10</v>
      </c>
      <c r="AU43" s="598">
        <f t="shared" si="309"/>
        <v>11</v>
      </c>
      <c r="AW43" s="598" t="s">
        <v>1636</v>
      </c>
      <c r="AX43" s="598">
        <f t="shared" ref="AX43:BG43" si="310">AX$24+$K189</f>
        <v>1</v>
      </c>
      <c r="AY43" s="598">
        <f t="shared" si="310"/>
        <v>2</v>
      </c>
      <c r="AZ43" s="598">
        <f t="shared" si="310"/>
        <v>3</v>
      </c>
      <c r="BA43" s="598">
        <f t="shared" si="310"/>
        <v>4</v>
      </c>
      <c r="BB43" s="598">
        <f t="shared" si="310"/>
        <v>5</v>
      </c>
      <c r="BC43" s="598">
        <f t="shared" si="310"/>
        <v>6</v>
      </c>
      <c r="BD43" s="598">
        <f t="shared" si="310"/>
        <v>7</v>
      </c>
      <c r="BE43" s="598">
        <f t="shared" si="310"/>
        <v>8</v>
      </c>
      <c r="BF43" s="598">
        <f t="shared" si="310"/>
        <v>9</v>
      </c>
      <c r="BG43" s="598">
        <f t="shared" si="310"/>
        <v>10</v>
      </c>
      <c r="BI43" s="598" t="s">
        <v>1636</v>
      </c>
      <c r="BJ43" s="598">
        <f t="shared" ref="BJ43:BS43" si="311">BJ$24+$M189</f>
        <v>2</v>
      </c>
      <c r="BK43" s="598">
        <f t="shared" si="311"/>
        <v>3</v>
      </c>
      <c r="BL43" s="598">
        <f t="shared" si="311"/>
        <v>4</v>
      </c>
      <c r="BM43" s="598">
        <f t="shared" si="311"/>
        <v>5</v>
      </c>
      <c r="BN43" s="598">
        <f t="shared" si="311"/>
        <v>6</v>
      </c>
      <c r="BO43" s="598">
        <f t="shared" si="311"/>
        <v>7</v>
      </c>
      <c r="BP43" s="598">
        <f t="shared" si="311"/>
        <v>8</v>
      </c>
      <c r="BQ43" s="598">
        <f t="shared" si="311"/>
        <v>9</v>
      </c>
      <c r="BR43" s="598">
        <f t="shared" si="311"/>
        <v>10</v>
      </c>
      <c r="BS43" s="598">
        <f t="shared" si="311"/>
        <v>11</v>
      </c>
      <c r="BU43" s="598" t="s">
        <v>1636</v>
      </c>
      <c r="BV43" s="598">
        <f t="shared" ref="BV43:CE43" si="312">B$24+$O189</f>
        <v>-1</v>
      </c>
      <c r="BW43" s="598">
        <f t="shared" si="312"/>
        <v>0</v>
      </c>
      <c r="BX43" s="598">
        <f t="shared" si="312"/>
        <v>1</v>
      </c>
      <c r="BY43" s="598">
        <f t="shared" si="312"/>
        <v>2</v>
      </c>
      <c r="BZ43" s="598">
        <f t="shared" si="312"/>
        <v>3</v>
      </c>
      <c r="CA43" s="598">
        <f t="shared" si="312"/>
        <v>4</v>
      </c>
      <c r="CB43" s="598">
        <f t="shared" si="312"/>
        <v>5</v>
      </c>
      <c r="CC43" s="598">
        <f t="shared" si="312"/>
        <v>6</v>
      </c>
      <c r="CD43" s="598">
        <f t="shared" si="312"/>
        <v>7</v>
      </c>
      <c r="CE43" s="598">
        <f t="shared" si="312"/>
        <v>8</v>
      </c>
      <c r="CG43" s="598" t="s">
        <v>1636</v>
      </c>
      <c r="CH43" s="598">
        <f t="shared" ref="CH43:CQ43" si="313">CH$24+$BO189</f>
        <v>0</v>
      </c>
      <c r="CI43" s="598">
        <f t="shared" si="313"/>
        <v>1</v>
      </c>
      <c r="CJ43" s="598">
        <f t="shared" si="313"/>
        <v>2</v>
      </c>
      <c r="CK43" s="598">
        <f t="shared" si="313"/>
        <v>3</v>
      </c>
      <c r="CL43" s="598">
        <f t="shared" si="313"/>
        <v>4</v>
      </c>
      <c r="CM43" s="598">
        <f t="shared" si="313"/>
        <v>5</v>
      </c>
      <c r="CN43" s="598">
        <f t="shared" si="313"/>
        <v>6</v>
      </c>
      <c r="CO43" s="598">
        <f t="shared" si="313"/>
        <v>7</v>
      </c>
      <c r="CP43" s="598">
        <f t="shared" si="313"/>
        <v>8</v>
      </c>
      <c r="CQ43" s="598">
        <f t="shared" si="313"/>
        <v>9</v>
      </c>
      <c r="CS43" s="598" t="s">
        <v>1636</v>
      </c>
      <c r="CT43" s="598">
        <f t="shared" ref="CT43:DC43" si="314">CT$24+$BQ189</f>
        <v>0</v>
      </c>
      <c r="CU43" s="598">
        <f t="shared" si="314"/>
        <v>1</v>
      </c>
      <c r="CV43" s="598">
        <f t="shared" si="314"/>
        <v>2</v>
      </c>
      <c r="CW43" s="598">
        <f t="shared" si="314"/>
        <v>3</v>
      </c>
      <c r="CX43" s="598">
        <f t="shared" si="314"/>
        <v>4</v>
      </c>
      <c r="CY43" s="598">
        <f t="shared" si="314"/>
        <v>5</v>
      </c>
      <c r="CZ43" s="598">
        <f t="shared" si="314"/>
        <v>6</v>
      </c>
      <c r="DA43" s="598">
        <f t="shared" si="314"/>
        <v>7</v>
      </c>
      <c r="DB43" s="598">
        <f t="shared" si="314"/>
        <v>8</v>
      </c>
      <c r="DC43" s="598">
        <f t="shared" si="314"/>
        <v>9</v>
      </c>
    </row>
    <row r="45" spans="1:107">
      <c r="A45" s="598" t="s">
        <v>2451</v>
      </c>
      <c r="B45" s="598" t="s">
        <v>81</v>
      </c>
      <c r="C45" s="598" t="s">
        <v>81</v>
      </c>
      <c r="D45" s="598" t="s">
        <v>81</v>
      </c>
      <c r="E45" s="598" t="s">
        <v>81</v>
      </c>
      <c r="F45" s="598" t="s">
        <v>81</v>
      </c>
      <c r="G45" s="598" t="s">
        <v>81</v>
      </c>
      <c r="H45" s="598" t="s">
        <v>81</v>
      </c>
      <c r="I45" s="598" t="s">
        <v>81</v>
      </c>
      <c r="J45" s="598" t="s">
        <v>81</v>
      </c>
      <c r="K45" s="598" t="s">
        <v>81</v>
      </c>
      <c r="M45" s="598" t="s">
        <v>2452</v>
      </c>
      <c r="N45" s="598" t="s">
        <v>81</v>
      </c>
      <c r="O45" s="598" t="s">
        <v>81</v>
      </c>
      <c r="P45" s="598" t="s">
        <v>81</v>
      </c>
      <c r="Q45" s="598" t="s">
        <v>81</v>
      </c>
      <c r="R45" s="598" t="s">
        <v>81</v>
      </c>
      <c r="S45" s="598" t="s">
        <v>81</v>
      </c>
      <c r="T45" s="598" t="s">
        <v>81</v>
      </c>
      <c r="U45" s="598" t="s">
        <v>81</v>
      </c>
      <c r="V45" s="598" t="s">
        <v>81</v>
      </c>
      <c r="W45" s="598" t="s">
        <v>81</v>
      </c>
      <c r="Y45" s="598" t="s">
        <v>2453</v>
      </c>
      <c r="Z45" s="598" t="s">
        <v>81</v>
      </c>
      <c r="AA45" s="598" t="s">
        <v>81</v>
      </c>
      <c r="AB45" s="598" t="s">
        <v>81</v>
      </c>
      <c r="AC45" s="598" t="s">
        <v>81</v>
      </c>
      <c r="AD45" s="598" t="s">
        <v>81</v>
      </c>
      <c r="AE45" s="598" t="s">
        <v>81</v>
      </c>
      <c r="AF45" s="598" t="s">
        <v>81</v>
      </c>
      <c r="AG45" s="598" t="s">
        <v>81</v>
      </c>
      <c r="AH45" s="598" t="s">
        <v>81</v>
      </c>
      <c r="AI45" s="598" t="s">
        <v>81</v>
      </c>
      <c r="AK45" s="598" t="s">
        <v>2454</v>
      </c>
      <c r="AL45" s="598" t="s">
        <v>81</v>
      </c>
      <c r="AM45" s="598" t="s">
        <v>81</v>
      </c>
      <c r="AN45" s="598" t="s">
        <v>81</v>
      </c>
      <c r="AO45" s="598" t="s">
        <v>81</v>
      </c>
      <c r="AP45" s="598" t="s">
        <v>81</v>
      </c>
      <c r="AQ45" s="598" t="s">
        <v>81</v>
      </c>
      <c r="AR45" s="598" t="s">
        <v>81</v>
      </c>
      <c r="AS45" s="598" t="s">
        <v>81</v>
      </c>
      <c r="AT45" s="598" t="s">
        <v>81</v>
      </c>
      <c r="AU45" s="598" t="s">
        <v>81</v>
      </c>
      <c r="AW45" s="598" t="s">
        <v>1348</v>
      </c>
      <c r="AX45" s="598" t="s">
        <v>81</v>
      </c>
      <c r="AY45" s="598" t="s">
        <v>81</v>
      </c>
      <c r="AZ45" s="598" t="s">
        <v>81</v>
      </c>
      <c r="BA45" s="598" t="s">
        <v>81</v>
      </c>
      <c r="BB45" s="598" t="s">
        <v>81</v>
      </c>
      <c r="BC45" s="598" t="s">
        <v>81</v>
      </c>
      <c r="BD45" s="598" t="s">
        <v>81</v>
      </c>
      <c r="BE45" s="598" t="s">
        <v>81</v>
      </c>
      <c r="BF45" s="598" t="s">
        <v>81</v>
      </c>
      <c r="BG45" s="598" t="s">
        <v>81</v>
      </c>
      <c r="BI45" s="598" t="s">
        <v>2455</v>
      </c>
      <c r="BJ45" s="598" t="s">
        <v>81</v>
      </c>
      <c r="BK45" s="598" t="s">
        <v>81</v>
      </c>
      <c r="BL45" s="598" t="s">
        <v>81</v>
      </c>
      <c r="BM45" s="598" t="s">
        <v>81</v>
      </c>
      <c r="BN45" s="598" t="s">
        <v>81</v>
      </c>
      <c r="BO45" s="598" t="s">
        <v>81</v>
      </c>
      <c r="BP45" s="598" t="s">
        <v>81</v>
      </c>
      <c r="BQ45" s="598" t="s">
        <v>81</v>
      </c>
      <c r="BR45" s="598" t="s">
        <v>81</v>
      </c>
      <c r="BS45" s="598" t="s">
        <v>81</v>
      </c>
      <c r="BU45" s="598" t="s">
        <v>2456</v>
      </c>
      <c r="BV45" s="598" t="s">
        <v>81</v>
      </c>
      <c r="BW45" s="598" t="s">
        <v>81</v>
      </c>
      <c r="BX45" s="598" t="s">
        <v>81</v>
      </c>
      <c r="BY45" s="598" t="s">
        <v>81</v>
      </c>
      <c r="BZ45" s="598" t="s">
        <v>81</v>
      </c>
      <c r="CA45" s="598" t="s">
        <v>81</v>
      </c>
      <c r="CB45" s="598" t="s">
        <v>81</v>
      </c>
      <c r="CC45" s="598" t="s">
        <v>81</v>
      </c>
      <c r="CD45" s="598" t="s">
        <v>81</v>
      </c>
      <c r="CE45" s="598" t="s">
        <v>81</v>
      </c>
    </row>
    <row r="46" spans="1:107">
      <c r="B46" s="598">
        <v>1</v>
      </c>
      <c r="C46" s="598">
        <v>2</v>
      </c>
      <c r="D46" s="598">
        <v>3</v>
      </c>
      <c r="E46" s="598">
        <v>4</v>
      </c>
      <c r="F46" s="598">
        <v>5</v>
      </c>
      <c r="G46" s="598">
        <v>6</v>
      </c>
      <c r="H46" s="598">
        <v>7</v>
      </c>
      <c r="I46" s="598">
        <v>8</v>
      </c>
      <c r="J46" s="598">
        <v>9</v>
      </c>
      <c r="K46" s="598">
        <v>10</v>
      </c>
      <c r="N46" s="598">
        <v>1</v>
      </c>
      <c r="O46" s="598">
        <v>2</v>
      </c>
      <c r="P46" s="598">
        <v>3</v>
      </c>
      <c r="Q46" s="598">
        <v>4</v>
      </c>
      <c r="R46" s="598">
        <v>5</v>
      </c>
      <c r="S46" s="598">
        <v>6</v>
      </c>
      <c r="T46" s="598">
        <v>7</v>
      </c>
      <c r="U46" s="598">
        <v>8</v>
      </c>
      <c r="V46" s="598">
        <v>9</v>
      </c>
      <c r="W46" s="598">
        <v>10</v>
      </c>
      <c r="Z46" s="598">
        <v>1</v>
      </c>
      <c r="AA46" s="598">
        <v>2</v>
      </c>
      <c r="AB46" s="598">
        <v>3</v>
      </c>
      <c r="AC46" s="598">
        <v>4</v>
      </c>
      <c r="AD46" s="598">
        <v>5</v>
      </c>
      <c r="AE46" s="598">
        <v>6</v>
      </c>
      <c r="AF46" s="598">
        <v>7</v>
      </c>
      <c r="AG46" s="598">
        <v>8</v>
      </c>
      <c r="AH46" s="598">
        <v>9</v>
      </c>
      <c r="AI46" s="598">
        <v>10</v>
      </c>
      <c r="AL46" s="598">
        <v>1</v>
      </c>
      <c r="AM46" s="598">
        <v>2</v>
      </c>
      <c r="AN46" s="598">
        <v>3</v>
      </c>
      <c r="AO46" s="598">
        <v>4</v>
      </c>
      <c r="AP46" s="598">
        <v>5</v>
      </c>
      <c r="AQ46" s="598">
        <v>6</v>
      </c>
      <c r="AR46" s="598">
        <v>7</v>
      </c>
      <c r="AS46" s="598">
        <v>8</v>
      </c>
      <c r="AT46" s="598">
        <v>9</v>
      </c>
      <c r="AU46" s="598">
        <v>10</v>
      </c>
      <c r="AX46" s="598">
        <v>1</v>
      </c>
      <c r="AY46" s="598">
        <v>2</v>
      </c>
      <c r="AZ46" s="598">
        <v>3</v>
      </c>
      <c r="BA46" s="598">
        <v>4</v>
      </c>
      <c r="BB46" s="598">
        <v>5</v>
      </c>
      <c r="BC46" s="598">
        <v>6</v>
      </c>
      <c r="BD46" s="598">
        <v>7</v>
      </c>
      <c r="BE46" s="598">
        <v>8</v>
      </c>
      <c r="BF46" s="598">
        <v>9</v>
      </c>
      <c r="BG46" s="598">
        <v>10</v>
      </c>
      <c r="BJ46" s="598">
        <v>1</v>
      </c>
      <c r="BK46" s="598">
        <v>2</v>
      </c>
      <c r="BL46" s="598">
        <v>3</v>
      </c>
      <c r="BM46" s="598">
        <v>4</v>
      </c>
      <c r="BN46" s="598">
        <v>5</v>
      </c>
      <c r="BO46" s="598">
        <v>6</v>
      </c>
      <c r="BP46" s="598">
        <v>7</v>
      </c>
      <c r="BQ46" s="598">
        <v>8</v>
      </c>
      <c r="BR46" s="598">
        <v>9</v>
      </c>
      <c r="BS46" s="598">
        <v>10</v>
      </c>
      <c r="BV46" s="598">
        <v>1</v>
      </c>
      <c r="BW46" s="598">
        <v>2</v>
      </c>
      <c r="BX46" s="598">
        <v>3</v>
      </c>
      <c r="BY46" s="598">
        <v>4</v>
      </c>
      <c r="BZ46" s="598">
        <v>5</v>
      </c>
      <c r="CA46" s="598">
        <v>6</v>
      </c>
      <c r="CB46" s="598">
        <v>7</v>
      </c>
      <c r="CC46" s="598">
        <v>8</v>
      </c>
      <c r="CD46" s="598">
        <v>9</v>
      </c>
      <c r="CE46" s="598">
        <v>10</v>
      </c>
    </row>
    <row r="47" spans="1:107">
      <c r="A47" s="598" t="s">
        <v>2341</v>
      </c>
      <c r="B47" s="598">
        <f t="shared" ref="B47:K47" si="315">B$24+$S171</f>
        <v>3</v>
      </c>
      <c r="C47" s="598">
        <f t="shared" si="315"/>
        <v>4</v>
      </c>
      <c r="D47" s="598">
        <f t="shared" si="315"/>
        <v>5</v>
      </c>
      <c r="E47" s="598">
        <f t="shared" si="315"/>
        <v>6</v>
      </c>
      <c r="F47" s="598">
        <f t="shared" si="315"/>
        <v>7</v>
      </c>
      <c r="G47" s="598">
        <f t="shared" si="315"/>
        <v>8</v>
      </c>
      <c r="H47" s="598">
        <f t="shared" si="315"/>
        <v>9</v>
      </c>
      <c r="I47" s="598">
        <f t="shared" si="315"/>
        <v>10</v>
      </c>
      <c r="J47" s="598">
        <f t="shared" si="315"/>
        <v>11</v>
      </c>
      <c r="K47" s="598">
        <f t="shared" si="315"/>
        <v>12</v>
      </c>
      <c r="M47" s="598" t="s">
        <v>2341</v>
      </c>
      <c r="N47" s="598">
        <f t="shared" ref="N47:W47" si="316">N$24+$U171</f>
        <v>1</v>
      </c>
      <c r="O47" s="598">
        <f t="shared" si="316"/>
        <v>2</v>
      </c>
      <c r="P47" s="598">
        <f t="shared" si="316"/>
        <v>3</v>
      </c>
      <c r="Q47" s="598">
        <f t="shared" si="316"/>
        <v>4</v>
      </c>
      <c r="R47" s="598">
        <f t="shared" si="316"/>
        <v>5</v>
      </c>
      <c r="S47" s="598">
        <f t="shared" si="316"/>
        <v>6</v>
      </c>
      <c r="T47" s="598">
        <f t="shared" si="316"/>
        <v>7</v>
      </c>
      <c r="U47" s="598">
        <f t="shared" si="316"/>
        <v>8</v>
      </c>
      <c r="V47" s="598">
        <f t="shared" si="316"/>
        <v>9</v>
      </c>
      <c r="W47" s="598">
        <f t="shared" si="316"/>
        <v>10</v>
      </c>
      <c r="Y47" s="598" t="s">
        <v>2341</v>
      </c>
      <c r="Z47" s="598">
        <f t="shared" ref="Z47:AI47" si="317">Z$24+$W171</f>
        <v>3</v>
      </c>
      <c r="AA47" s="598">
        <f t="shared" si="317"/>
        <v>4</v>
      </c>
      <c r="AB47" s="598">
        <f t="shared" si="317"/>
        <v>5</v>
      </c>
      <c r="AC47" s="598">
        <f t="shared" si="317"/>
        <v>6</v>
      </c>
      <c r="AD47" s="598">
        <f t="shared" si="317"/>
        <v>7</v>
      </c>
      <c r="AE47" s="598">
        <f t="shared" si="317"/>
        <v>8</v>
      </c>
      <c r="AF47" s="598">
        <f t="shared" si="317"/>
        <v>9</v>
      </c>
      <c r="AG47" s="598">
        <f t="shared" si="317"/>
        <v>10</v>
      </c>
      <c r="AH47" s="598">
        <f t="shared" si="317"/>
        <v>11</v>
      </c>
      <c r="AI47" s="598">
        <f t="shared" si="317"/>
        <v>12</v>
      </c>
      <c r="AK47" s="598" t="s">
        <v>2341</v>
      </c>
      <c r="AL47" s="598">
        <f t="shared" ref="AL47:AU47" si="318">AL$24+$Y171</f>
        <v>4</v>
      </c>
      <c r="AM47" s="598">
        <f t="shared" si="318"/>
        <v>5</v>
      </c>
      <c r="AN47" s="598">
        <f t="shared" si="318"/>
        <v>6</v>
      </c>
      <c r="AO47" s="598">
        <f t="shared" si="318"/>
        <v>7</v>
      </c>
      <c r="AP47" s="598">
        <f t="shared" si="318"/>
        <v>8</v>
      </c>
      <c r="AQ47" s="598">
        <f t="shared" si="318"/>
        <v>9</v>
      </c>
      <c r="AR47" s="598">
        <f t="shared" si="318"/>
        <v>10</v>
      </c>
      <c r="AS47" s="598">
        <f t="shared" si="318"/>
        <v>11</v>
      </c>
      <c r="AT47" s="598">
        <f t="shared" si="318"/>
        <v>12</v>
      </c>
      <c r="AU47" s="598">
        <f t="shared" si="318"/>
        <v>13</v>
      </c>
      <c r="AW47" s="598" t="s">
        <v>2341</v>
      </c>
      <c r="AX47" s="598">
        <f t="shared" ref="AX47:BG47" si="319">AX$24+$AA171</f>
        <v>3</v>
      </c>
      <c r="AY47" s="598">
        <f t="shared" si="319"/>
        <v>4</v>
      </c>
      <c r="AZ47" s="598">
        <f t="shared" si="319"/>
        <v>5</v>
      </c>
      <c r="BA47" s="598">
        <f t="shared" si="319"/>
        <v>6</v>
      </c>
      <c r="BB47" s="598">
        <f t="shared" si="319"/>
        <v>7</v>
      </c>
      <c r="BC47" s="598">
        <f t="shared" si="319"/>
        <v>8</v>
      </c>
      <c r="BD47" s="598">
        <f t="shared" si="319"/>
        <v>9</v>
      </c>
      <c r="BE47" s="598">
        <f t="shared" si="319"/>
        <v>10</v>
      </c>
      <c r="BF47" s="598">
        <f t="shared" si="319"/>
        <v>11</v>
      </c>
      <c r="BG47" s="598">
        <f t="shared" si="319"/>
        <v>12</v>
      </c>
      <c r="BI47" s="598" t="s">
        <v>2341</v>
      </c>
      <c r="BJ47" s="598">
        <f t="shared" ref="BJ47:BJ64" si="320">B$24+$AE171</f>
        <v>1</v>
      </c>
      <c r="BK47" s="598">
        <f t="shared" ref="BK47:BK64" si="321">C$24+$AE171</f>
        <v>2</v>
      </c>
      <c r="BL47" s="598">
        <f t="shared" ref="BL47:BL64" si="322">D$24+$AE171</f>
        <v>3</v>
      </c>
      <c r="BM47" s="598">
        <f t="shared" ref="BM47:BM64" si="323">E$24+$AE171</f>
        <v>4</v>
      </c>
      <c r="BN47" s="598">
        <f t="shared" ref="BN47:BN64" si="324">F$24+$AE171</f>
        <v>5</v>
      </c>
      <c r="BO47" s="598">
        <f t="shared" ref="BO47:BO64" si="325">G$24+$AE171</f>
        <v>6</v>
      </c>
      <c r="BP47" s="598">
        <f t="shared" ref="BP47:BP64" si="326">H$24+$AE171</f>
        <v>7</v>
      </c>
      <c r="BQ47" s="598">
        <f t="shared" ref="BQ47:BQ64" si="327">I$24+$AE171</f>
        <v>8</v>
      </c>
      <c r="BR47" s="598">
        <f t="shared" ref="BR47:BR64" si="328">J$24+$AE171</f>
        <v>9</v>
      </c>
      <c r="BS47" s="598">
        <f t="shared" ref="BS47:BS64" si="329">K$24+$AE171</f>
        <v>10</v>
      </c>
      <c r="BU47" s="598" t="s">
        <v>2341</v>
      </c>
      <c r="BV47" s="598" t="e">
        <f t="shared" ref="BV47:BV64" si="330">N$24+$AC171</f>
        <v>#N/A</v>
      </c>
      <c r="BW47" s="598" t="e">
        <f t="shared" ref="BW47:BW64" si="331">O$24+$AC171</f>
        <v>#N/A</v>
      </c>
      <c r="BX47" s="598" t="e">
        <f t="shared" ref="BX47:BX64" si="332">P$24+$AC171</f>
        <v>#N/A</v>
      </c>
      <c r="BY47" s="598" t="e">
        <f t="shared" ref="BY47:BY64" si="333">Q$24+$AC171</f>
        <v>#N/A</v>
      </c>
      <c r="BZ47" s="598" t="e">
        <f t="shared" ref="BZ47:BZ64" si="334">R$24+$AC171</f>
        <v>#N/A</v>
      </c>
      <c r="CA47" s="598" t="e">
        <f t="shared" ref="CA47:CA64" si="335">S$24+$AC171</f>
        <v>#N/A</v>
      </c>
      <c r="CB47" s="598" t="e">
        <f t="shared" ref="CB47:CB64" si="336">T$24+$AC171</f>
        <v>#N/A</v>
      </c>
      <c r="CC47" s="598" t="e">
        <f t="shared" ref="CC47:CC64" si="337">U$24+$AC171</f>
        <v>#N/A</v>
      </c>
      <c r="CD47" s="598" t="e">
        <f t="shared" ref="CD47:CD64" si="338">V$24+$AC171</f>
        <v>#N/A</v>
      </c>
      <c r="CE47" s="598" t="e">
        <f t="shared" ref="CE47:CE64" si="339">W$24+$AC171</f>
        <v>#N/A</v>
      </c>
    </row>
    <row r="48" spans="1:107">
      <c r="A48" s="598" t="s">
        <v>3268</v>
      </c>
      <c r="B48" s="598">
        <f t="shared" ref="B48:K48" si="340">B$24+$S172</f>
        <v>-2</v>
      </c>
      <c r="C48" s="598">
        <f t="shared" si="340"/>
        <v>-1</v>
      </c>
      <c r="D48" s="598">
        <f t="shared" si="340"/>
        <v>0</v>
      </c>
      <c r="E48" s="598">
        <f t="shared" si="340"/>
        <v>1</v>
      </c>
      <c r="F48" s="598">
        <f t="shared" si="340"/>
        <v>2</v>
      </c>
      <c r="G48" s="598">
        <f t="shared" si="340"/>
        <v>3</v>
      </c>
      <c r="H48" s="598">
        <f t="shared" si="340"/>
        <v>4</v>
      </c>
      <c r="I48" s="598">
        <f t="shared" si="340"/>
        <v>5</v>
      </c>
      <c r="J48" s="598">
        <f t="shared" si="340"/>
        <v>6</v>
      </c>
      <c r="K48" s="598">
        <f t="shared" si="340"/>
        <v>7</v>
      </c>
      <c r="M48" s="598" t="s">
        <v>3268</v>
      </c>
      <c r="N48" s="598">
        <f t="shared" ref="N48:W48" si="341">N$24+$U172</f>
        <v>-2</v>
      </c>
      <c r="O48" s="598">
        <f t="shared" si="341"/>
        <v>-1</v>
      </c>
      <c r="P48" s="598">
        <f t="shared" si="341"/>
        <v>0</v>
      </c>
      <c r="Q48" s="598">
        <f t="shared" si="341"/>
        <v>1</v>
      </c>
      <c r="R48" s="598">
        <f t="shared" si="341"/>
        <v>2</v>
      </c>
      <c r="S48" s="598">
        <f t="shared" si="341"/>
        <v>3</v>
      </c>
      <c r="T48" s="598">
        <f t="shared" si="341"/>
        <v>4</v>
      </c>
      <c r="U48" s="598">
        <f t="shared" si="341"/>
        <v>5</v>
      </c>
      <c r="V48" s="598">
        <f t="shared" si="341"/>
        <v>6</v>
      </c>
      <c r="W48" s="598">
        <f t="shared" si="341"/>
        <v>7</v>
      </c>
      <c r="Y48" s="598" t="s">
        <v>3268</v>
      </c>
      <c r="Z48" s="598">
        <f t="shared" ref="Z48:AI48" si="342">Z$24+$W172</f>
        <v>-1</v>
      </c>
      <c r="AA48" s="598">
        <f t="shared" si="342"/>
        <v>0</v>
      </c>
      <c r="AB48" s="598">
        <f t="shared" si="342"/>
        <v>1</v>
      </c>
      <c r="AC48" s="598">
        <f t="shared" si="342"/>
        <v>2</v>
      </c>
      <c r="AD48" s="598">
        <f t="shared" si="342"/>
        <v>3</v>
      </c>
      <c r="AE48" s="598">
        <f t="shared" si="342"/>
        <v>4</v>
      </c>
      <c r="AF48" s="598">
        <f t="shared" si="342"/>
        <v>5</v>
      </c>
      <c r="AG48" s="598">
        <f t="shared" si="342"/>
        <v>6</v>
      </c>
      <c r="AH48" s="598">
        <f t="shared" si="342"/>
        <v>7</v>
      </c>
      <c r="AI48" s="598">
        <f t="shared" si="342"/>
        <v>8</v>
      </c>
      <c r="AK48" s="598" t="s">
        <v>3268</v>
      </c>
      <c r="AL48" s="598">
        <f t="shared" ref="AL48:AU48" si="343">AL$24+$Y172</f>
        <v>-1</v>
      </c>
      <c r="AM48" s="598">
        <f t="shared" si="343"/>
        <v>0</v>
      </c>
      <c r="AN48" s="598">
        <f t="shared" si="343"/>
        <v>1</v>
      </c>
      <c r="AO48" s="598">
        <f t="shared" si="343"/>
        <v>2</v>
      </c>
      <c r="AP48" s="598">
        <f t="shared" si="343"/>
        <v>3</v>
      </c>
      <c r="AQ48" s="598">
        <f t="shared" si="343"/>
        <v>4</v>
      </c>
      <c r="AR48" s="598">
        <f t="shared" si="343"/>
        <v>5</v>
      </c>
      <c r="AS48" s="598">
        <f t="shared" si="343"/>
        <v>6</v>
      </c>
      <c r="AT48" s="598">
        <f t="shared" si="343"/>
        <v>7</v>
      </c>
      <c r="AU48" s="598">
        <f t="shared" si="343"/>
        <v>8</v>
      </c>
      <c r="AW48" s="598" t="s">
        <v>3268</v>
      </c>
      <c r="AX48" s="598">
        <f t="shared" ref="AX48:BG48" si="344">AX$24+$AA172</f>
        <v>2</v>
      </c>
      <c r="AY48" s="598">
        <f t="shared" si="344"/>
        <v>3</v>
      </c>
      <c r="AZ48" s="598">
        <f t="shared" si="344"/>
        <v>4</v>
      </c>
      <c r="BA48" s="598">
        <f t="shared" si="344"/>
        <v>5</v>
      </c>
      <c r="BB48" s="598">
        <f t="shared" si="344"/>
        <v>6</v>
      </c>
      <c r="BC48" s="598">
        <f t="shared" si="344"/>
        <v>7</v>
      </c>
      <c r="BD48" s="598">
        <f t="shared" si="344"/>
        <v>8</v>
      </c>
      <c r="BE48" s="598">
        <f t="shared" si="344"/>
        <v>9</v>
      </c>
      <c r="BF48" s="598">
        <f t="shared" si="344"/>
        <v>10</v>
      </c>
      <c r="BG48" s="598">
        <f t="shared" si="344"/>
        <v>11</v>
      </c>
      <c r="BI48" s="598" t="s">
        <v>3268</v>
      </c>
      <c r="BJ48" s="598">
        <f t="shared" si="320"/>
        <v>3</v>
      </c>
      <c r="BK48" s="598">
        <f t="shared" si="321"/>
        <v>4</v>
      </c>
      <c r="BL48" s="598">
        <f t="shared" si="322"/>
        <v>5</v>
      </c>
      <c r="BM48" s="598">
        <f t="shared" si="323"/>
        <v>6</v>
      </c>
      <c r="BN48" s="598">
        <f t="shared" si="324"/>
        <v>7</v>
      </c>
      <c r="BO48" s="598">
        <f t="shared" si="325"/>
        <v>8</v>
      </c>
      <c r="BP48" s="598">
        <f t="shared" si="326"/>
        <v>9</v>
      </c>
      <c r="BQ48" s="598">
        <f t="shared" si="327"/>
        <v>10</v>
      </c>
      <c r="BR48" s="598">
        <f t="shared" si="328"/>
        <v>11</v>
      </c>
      <c r="BS48" s="598">
        <f t="shared" si="329"/>
        <v>12</v>
      </c>
      <c r="BU48" s="598" t="s">
        <v>3268</v>
      </c>
      <c r="BV48" s="598">
        <f t="shared" si="330"/>
        <v>4</v>
      </c>
      <c r="BW48" s="598">
        <f t="shared" si="331"/>
        <v>5</v>
      </c>
      <c r="BX48" s="598">
        <f t="shared" si="332"/>
        <v>6</v>
      </c>
      <c r="BY48" s="598">
        <f t="shared" si="333"/>
        <v>7</v>
      </c>
      <c r="BZ48" s="598">
        <f t="shared" si="334"/>
        <v>8</v>
      </c>
      <c r="CA48" s="598">
        <f t="shared" si="335"/>
        <v>9</v>
      </c>
      <c r="CB48" s="598">
        <f t="shared" si="336"/>
        <v>10</v>
      </c>
      <c r="CC48" s="598">
        <f t="shared" si="337"/>
        <v>11</v>
      </c>
      <c r="CD48" s="598">
        <f t="shared" si="338"/>
        <v>12</v>
      </c>
      <c r="CE48" s="598">
        <f t="shared" si="339"/>
        <v>13</v>
      </c>
    </row>
    <row r="49" spans="1:83">
      <c r="A49" s="598" t="s">
        <v>2342</v>
      </c>
      <c r="B49" s="598">
        <f t="shared" ref="B49:K49" si="345">B$24+$S173</f>
        <v>-2</v>
      </c>
      <c r="C49" s="598">
        <f t="shared" si="345"/>
        <v>-1</v>
      </c>
      <c r="D49" s="598">
        <f t="shared" si="345"/>
        <v>0</v>
      </c>
      <c r="E49" s="598">
        <f t="shared" si="345"/>
        <v>1</v>
      </c>
      <c r="F49" s="598">
        <f t="shared" si="345"/>
        <v>2</v>
      </c>
      <c r="G49" s="598">
        <f t="shared" si="345"/>
        <v>3</v>
      </c>
      <c r="H49" s="598">
        <f t="shared" si="345"/>
        <v>4</v>
      </c>
      <c r="I49" s="598">
        <f t="shared" si="345"/>
        <v>5</v>
      </c>
      <c r="J49" s="598">
        <f t="shared" si="345"/>
        <v>6</v>
      </c>
      <c r="K49" s="598">
        <f t="shared" si="345"/>
        <v>7</v>
      </c>
      <c r="M49" s="598" t="s">
        <v>2342</v>
      </c>
      <c r="N49" s="598">
        <f t="shared" ref="N49:W49" si="346">N$24+$U173</f>
        <v>-1</v>
      </c>
      <c r="O49" s="598">
        <f t="shared" si="346"/>
        <v>0</v>
      </c>
      <c r="P49" s="598">
        <f t="shared" si="346"/>
        <v>1</v>
      </c>
      <c r="Q49" s="598">
        <f t="shared" si="346"/>
        <v>2</v>
      </c>
      <c r="R49" s="598">
        <f t="shared" si="346"/>
        <v>3</v>
      </c>
      <c r="S49" s="598">
        <f t="shared" si="346"/>
        <v>4</v>
      </c>
      <c r="T49" s="598">
        <f t="shared" si="346"/>
        <v>5</v>
      </c>
      <c r="U49" s="598">
        <f t="shared" si="346"/>
        <v>6</v>
      </c>
      <c r="V49" s="598">
        <f t="shared" si="346"/>
        <v>7</v>
      </c>
      <c r="W49" s="598">
        <f t="shared" si="346"/>
        <v>8</v>
      </c>
      <c r="Y49" s="598" t="s">
        <v>2342</v>
      </c>
      <c r="Z49" s="598">
        <f t="shared" ref="Z49:AI49" si="347">Z$24+$W173</f>
        <v>-1</v>
      </c>
      <c r="AA49" s="598">
        <f t="shared" si="347"/>
        <v>0</v>
      </c>
      <c r="AB49" s="598">
        <f t="shared" si="347"/>
        <v>1</v>
      </c>
      <c r="AC49" s="598">
        <f t="shared" si="347"/>
        <v>2</v>
      </c>
      <c r="AD49" s="598">
        <f t="shared" si="347"/>
        <v>3</v>
      </c>
      <c r="AE49" s="598">
        <f t="shared" si="347"/>
        <v>4</v>
      </c>
      <c r="AF49" s="598">
        <f t="shared" si="347"/>
        <v>5</v>
      </c>
      <c r="AG49" s="598">
        <f t="shared" si="347"/>
        <v>6</v>
      </c>
      <c r="AH49" s="598">
        <f t="shared" si="347"/>
        <v>7</v>
      </c>
      <c r="AI49" s="598">
        <f t="shared" si="347"/>
        <v>8</v>
      </c>
      <c r="AK49" s="598" t="s">
        <v>2342</v>
      </c>
      <c r="AL49" s="598">
        <f t="shared" ref="AL49:AU49" si="348">AL$24+$Y173</f>
        <v>0</v>
      </c>
      <c r="AM49" s="598">
        <f t="shared" si="348"/>
        <v>1</v>
      </c>
      <c r="AN49" s="598">
        <f t="shared" si="348"/>
        <v>2</v>
      </c>
      <c r="AO49" s="598">
        <f t="shared" si="348"/>
        <v>3</v>
      </c>
      <c r="AP49" s="598">
        <f t="shared" si="348"/>
        <v>4</v>
      </c>
      <c r="AQ49" s="598">
        <f t="shared" si="348"/>
        <v>5</v>
      </c>
      <c r="AR49" s="598">
        <f t="shared" si="348"/>
        <v>6</v>
      </c>
      <c r="AS49" s="598">
        <f t="shared" si="348"/>
        <v>7</v>
      </c>
      <c r="AT49" s="598">
        <f t="shared" si="348"/>
        <v>8</v>
      </c>
      <c r="AU49" s="598">
        <f t="shared" si="348"/>
        <v>9</v>
      </c>
      <c r="AW49" s="598" t="s">
        <v>2342</v>
      </c>
      <c r="AX49" s="598">
        <f t="shared" ref="AX49:BG49" si="349">AX$24+$AA173</f>
        <v>3</v>
      </c>
      <c r="AY49" s="598">
        <f t="shared" si="349"/>
        <v>4</v>
      </c>
      <c r="AZ49" s="598">
        <f t="shared" si="349"/>
        <v>5</v>
      </c>
      <c r="BA49" s="598">
        <f t="shared" si="349"/>
        <v>6</v>
      </c>
      <c r="BB49" s="598">
        <f t="shared" si="349"/>
        <v>7</v>
      </c>
      <c r="BC49" s="598">
        <f t="shared" si="349"/>
        <v>8</v>
      </c>
      <c r="BD49" s="598">
        <f t="shared" si="349"/>
        <v>9</v>
      </c>
      <c r="BE49" s="598">
        <f t="shared" si="349"/>
        <v>10</v>
      </c>
      <c r="BF49" s="598">
        <f t="shared" si="349"/>
        <v>11</v>
      </c>
      <c r="BG49" s="598">
        <f t="shared" si="349"/>
        <v>12</v>
      </c>
      <c r="BI49" s="598" t="s">
        <v>2342</v>
      </c>
      <c r="BJ49" s="598">
        <f t="shared" si="320"/>
        <v>2</v>
      </c>
      <c r="BK49" s="598">
        <f t="shared" si="321"/>
        <v>3</v>
      </c>
      <c r="BL49" s="598">
        <f t="shared" si="322"/>
        <v>4</v>
      </c>
      <c r="BM49" s="598">
        <f t="shared" si="323"/>
        <v>5</v>
      </c>
      <c r="BN49" s="598">
        <f t="shared" si="324"/>
        <v>6</v>
      </c>
      <c r="BO49" s="598">
        <f t="shared" si="325"/>
        <v>7</v>
      </c>
      <c r="BP49" s="598">
        <f t="shared" si="326"/>
        <v>8</v>
      </c>
      <c r="BQ49" s="598">
        <f t="shared" si="327"/>
        <v>9</v>
      </c>
      <c r="BR49" s="598">
        <f t="shared" si="328"/>
        <v>10</v>
      </c>
      <c r="BS49" s="598">
        <f t="shared" si="329"/>
        <v>11</v>
      </c>
      <c r="BU49" s="598" t="s">
        <v>2342</v>
      </c>
      <c r="BV49" s="598" t="e">
        <f t="shared" si="330"/>
        <v>#N/A</v>
      </c>
      <c r="BW49" s="598" t="e">
        <f t="shared" si="331"/>
        <v>#N/A</v>
      </c>
      <c r="BX49" s="598" t="e">
        <f t="shared" si="332"/>
        <v>#N/A</v>
      </c>
      <c r="BY49" s="598" t="e">
        <f t="shared" si="333"/>
        <v>#N/A</v>
      </c>
      <c r="BZ49" s="598" t="e">
        <f t="shared" si="334"/>
        <v>#N/A</v>
      </c>
      <c r="CA49" s="598" t="e">
        <f t="shared" si="335"/>
        <v>#N/A</v>
      </c>
      <c r="CB49" s="598" t="e">
        <f t="shared" si="336"/>
        <v>#N/A</v>
      </c>
      <c r="CC49" s="598" t="e">
        <f t="shared" si="337"/>
        <v>#N/A</v>
      </c>
      <c r="CD49" s="598" t="e">
        <f t="shared" si="338"/>
        <v>#N/A</v>
      </c>
      <c r="CE49" s="598" t="e">
        <f t="shared" si="339"/>
        <v>#N/A</v>
      </c>
    </row>
    <row r="50" spans="1:83">
      <c r="A50" s="598" t="s">
        <v>2343</v>
      </c>
      <c r="B50" s="598">
        <f t="shared" ref="B50:K50" si="350">B$24+$S174</f>
        <v>4</v>
      </c>
      <c r="C50" s="598">
        <f t="shared" si="350"/>
        <v>5</v>
      </c>
      <c r="D50" s="598">
        <f t="shared" si="350"/>
        <v>6</v>
      </c>
      <c r="E50" s="598">
        <f t="shared" si="350"/>
        <v>7</v>
      </c>
      <c r="F50" s="598">
        <f t="shared" si="350"/>
        <v>8</v>
      </c>
      <c r="G50" s="598">
        <f t="shared" si="350"/>
        <v>9</v>
      </c>
      <c r="H50" s="598">
        <f t="shared" si="350"/>
        <v>10</v>
      </c>
      <c r="I50" s="598">
        <f t="shared" si="350"/>
        <v>11</v>
      </c>
      <c r="J50" s="598">
        <f t="shared" si="350"/>
        <v>12</v>
      </c>
      <c r="K50" s="598">
        <f t="shared" si="350"/>
        <v>13</v>
      </c>
      <c r="M50" s="598" t="s">
        <v>2343</v>
      </c>
      <c r="N50" s="598">
        <f t="shared" ref="N50:W50" si="351">N$24+$U174</f>
        <v>2</v>
      </c>
      <c r="O50" s="598">
        <f t="shared" si="351"/>
        <v>3</v>
      </c>
      <c r="P50" s="598">
        <f t="shared" si="351"/>
        <v>4</v>
      </c>
      <c r="Q50" s="598">
        <f t="shared" si="351"/>
        <v>5</v>
      </c>
      <c r="R50" s="598">
        <f t="shared" si="351"/>
        <v>6</v>
      </c>
      <c r="S50" s="598">
        <f t="shared" si="351"/>
        <v>7</v>
      </c>
      <c r="T50" s="598">
        <f t="shared" si="351"/>
        <v>8</v>
      </c>
      <c r="U50" s="598">
        <f t="shared" si="351"/>
        <v>9</v>
      </c>
      <c r="V50" s="598">
        <f t="shared" si="351"/>
        <v>10</v>
      </c>
      <c r="W50" s="598">
        <f t="shared" si="351"/>
        <v>11</v>
      </c>
      <c r="Y50" s="598" t="s">
        <v>2343</v>
      </c>
      <c r="Z50" s="598">
        <f t="shared" ref="Z50:AI50" si="352">Z$24+$W174</f>
        <v>4</v>
      </c>
      <c r="AA50" s="598">
        <f t="shared" si="352"/>
        <v>5</v>
      </c>
      <c r="AB50" s="598">
        <f t="shared" si="352"/>
        <v>6</v>
      </c>
      <c r="AC50" s="598">
        <f t="shared" si="352"/>
        <v>7</v>
      </c>
      <c r="AD50" s="598">
        <f t="shared" si="352"/>
        <v>8</v>
      </c>
      <c r="AE50" s="598">
        <f t="shared" si="352"/>
        <v>9</v>
      </c>
      <c r="AF50" s="598">
        <f t="shared" si="352"/>
        <v>10</v>
      </c>
      <c r="AG50" s="598">
        <f t="shared" si="352"/>
        <v>11</v>
      </c>
      <c r="AH50" s="598">
        <f t="shared" si="352"/>
        <v>12</v>
      </c>
      <c r="AI50" s="598">
        <f t="shared" si="352"/>
        <v>13</v>
      </c>
      <c r="AK50" s="598" t="s">
        <v>2343</v>
      </c>
      <c r="AL50" s="598">
        <f t="shared" ref="AL50:AU50" si="353">AL$24+$Y174</f>
        <v>3</v>
      </c>
      <c r="AM50" s="598">
        <f t="shared" si="353"/>
        <v>4</v>
      </c>
      <c r="AN50" s="598">
        <f t="shared" si="353"/>
        <v>5</v>
      </c>
      <c r="AO50" s="598">
        <f t="shared" si="353"/>
        <v>6</v>
      </c>
      <c r="AP50" s="598">
        <f t="shared" si="353"/>
        <v>7</v>
      </c>
      <c r="AQ50" s="598">
        <f t="shared" si="353"/>
        <v>8</v>
      </c>
      <c r="AR50" s="598">
        <f t="shared" si="353"/>
        <v>9</v>
      </c>
      <c r="AS50" s="598">
        <f t="shared" si="353"/>
        <v>10</v>
      </c>
      <c r="AT50" s="598">
        <f t="shared" si="353"/>
        <v>11</v>
      </c>
      <c r="AU50" s="598">
        <f t="shared" si="353"/>
        <v>12</v>
      </c>
      <c r="AW50" s="598" t="s">
        <v>2343</v>
      </c>
      <c r="AX50" s="598">
        <f t="shared" ref="AX50:BG50" si="354">AX$24+$AA174</f>
        <v>3</v>
      </c>
      <c r="AY50" s="598">
        <f t="shared" si="354"/>
        <v>4</v>
      </c>
      <c r="AZ50" s="598">
        <f t="shared" si="354"/>
        <v>5</v>
      </c>
      <c r="BA50" s="598">
        <f t="shared" si="354"/>
        <v>6</v>
      </c>
      <c r="BB50" s="598">
        <f t="shared" si="354"/>
        <v>7</v>
      </c>
      <c r="BC50" s="598">
        <f t="shared" si="354"/>
        <v>8</v>
      </c>
      <c r="BD50" s="598">
        <f t="shared" si="354"/>
        <v>9</v>
      </c>
      <c r="BE50" s="598">
        <f t="shared" si="354"/>
        <v>10</v>
      </c>
      <c r="BF50" s="598">
        <f t="shared" si="354"/>
        <v>11</v>
      </c>
      <c r="BG50" s="598">
        <f t="shared" si="354"/>
        <v>12</v>
      </c>
      <c r="BI50" s="598" t="s">
        <v>2343</v>
      </c>
      <c r="BJ50" s="598">
        <f t="shared" si="320"/>
        <v>2</v>
      </c>
      <c r="BK50" s="598">
        <f t="shared" si="321"/>
        <v>3</v>
      </c>
      <c r="BL50" s="598">
        <f t="shared" si="322"/>
        <v>4</v>
      </c>
      <c r="BM50" s="598">
        <f t="shared" si="323"/>
        <v>5</v>
      </c>
      <c r="BN50" s="598">
        <f t="shared" si="324"/>
        <v>6</v>
      </c>
      <c r="BO50" s="598">
        <f t="shared" si="325"/>
        <v>7</v>
      </c>
      <c r="BP50" s="598">
        <f t="shared" si="326"/>
        <v>8</v>
      </c>
      <c r="BQ50" s="598">
        <f t="shared" si="327"/>
        <v>9</v>
      </c>
      <c r="BR50" s="598">
        <f t="shared" si="328"/>
        <v>10</v>
      </c>
      <c r="BS50" s="598">
        <f t="shared" si="329"/>
        <v>11</v>
      </c>
      <c r="BU50" s="598" t="s">
        <v>2343</v>
      </c>
      <c r="BV50" s="598" t="e">
        <f t="shared" si="330"/>
        <v>#N/A</v>
      </c>
      <c r="BW50" s="598" t="e">
        <f t="shared" si="331"/>
        <v>#N/A</v>
      </c>
      <c r="BX50" s="598" t="e">
        <f t="shared" si="332"/>
        <v>#N/A</v>
      </c>
      <c r="BY50" s="598" t="e">
        <f t="shared" si="333"/>
        <v>#N/A</v>
      </c>
      <c r="BZ50" s="598" t="e">
        <f t="shared" si="334"/>
        <v>#N/A</v>
      </c>
      <c r="CA50" s="598" t="e">
        <f t="shared" si="335"/>
        <v>#N/A</v>
      </c>
      <c r="CB50" s="598" t="e">
        <f t="shared" si="336"/>
        <v>#N/A</v>
      </c>
      <c r="CC50" s="598" t="e">
        <f t="shared" si="337"/>
        <v>#N/A</v>
      </c>
      <c r="CD50" s="598" t="e">
        <f t="shared" si="338"/>
        <v>#N/A</v>
      </c>
      <c r="CE50" s="598" t="e">
        <f t="shared" si="339"/>
        <v>#N/A</v>
      </c>
    </row>
    <row r="51" spans="1:83">
      <c r="A51" s="598" t="s">
        <v>2344</v>
      </c>
      <c r="B51" s="598" t="e">
        <f t="shared" ref="B51:K51" si="355">B$24+$S175</f>
        <v>#N/A</v>
      </c>
      <c r="C51" s="598" t="e">
        <f t="shared" si="355"/>
        <v>#N/A</v>
      </c>
      <c r="D51" s="598" t="e">
        <f t="shared" si="355"/>
        <v>#N/A</v>
      </c>
      <c r="E51" s="598" t="e">
        <f t="shared" si="355"/>
        <v>#N/A</v>
      </c>
      <c r="F51" s="598" t="e">
        <f t="shared" si="355"/>
        <v>#N/A</v>
      </c>
      <c r="G51" s="598" t="e">
        <f t="shared" si="355"/>
        <v>#N/A</v>
      </c>
      <c r="H51" s="598" t="e">
        <f t="shared" si="355"/>
        <v>#N/A</v>
      </c>
      <c r="I51" s="598" t="e">
        <f t="shared" si="355"/>
        <v>#N/A</v>
      </c>
      <c r="J51" s="598" t="e">
        <f t="shared" si="355"/>
        <v>#N/A</v>
      </c>
      <c r="K51" s="598" t="e">
        <f t="shared" si="355"/>
        <v>#N/A</v>
      </c>
      <c r="M51" s="598" t="s">
        <v>2344</v>
      </c>
      <c r="N51" s="598">
        <f t="shared" ref="N51:W51" si="356">N$24+$U175</f>
        <v>2</v>
      </c>
      <c r="O51" s="598">
        <f t="shared" si="356"/>
        <v>3</v>
      </c>
      <c r="P51" s="598">
        <f t="shared" si="356"/>
        <v>4</v>
      </c>
      <c r="Q51" s="598">
        <f t="shared" si="356"/>
        <v>5</v>
      </c>
      <c r="R51" s="598">
        <f t="shared" si="356"/>
        <v>6</v>
      </c>
      <c r="S51" s="598">
        <f t="shared" si="356"/>
        <v>7</v>
      </c>
      <c r="T51" s="598">
        <f t="shared" si="356"/>
        <v>8</v>
      </c>
      <c r="U51" s="598">
        <f t="shared" si="356"/>
        <v>9</v>
      </c>
      <c r="V51" s="598">
        <f t="shared" si="356"/>
        <v>10</v>
      </c>
      <c r="W51" s="598">
        <f t="shared" si="356"/>
        <v>11</v>
      </c>
      <c r="Y51" s="598" t="s">
        <v>2344</v>
      </c>
      <c r="Z51" s="598" t="e">
        <f t="shared" ref="Z51:AI51" si="357">Z$24+$W175</f>
        <v>#N/A</v>
      </c>
      <c r="AA51" s="598" t="e">
        <f t="shared" si="357"/>
        <v>#N/A</v>
      </c>
      <c r="AB51" s="598" t="e">
        <f t="shared" si="357"/>
        <v>#N/A</v>
      </c>
      <c r="AC51" s="598" t="e">
        <f t="shared" si="357"/>
        <v>#N/A</v>
      </c>
      <c r="AD51" s="598" t="e">
        <f t="shared" si="357"/>
        <v>#N/A</v>
      </c>
      <c r="AE51" s="598" t="e">
        <f t="shared" si="357"/>
        <v>#N/A</v>
      </c>
      <c r="AF51" s="598" t="e">
        <f t="shared" si="357"/>
        <v>#N/A</v>
      </c>
      <c r="AG51" s="598" t="e">
        <f t="shared" si="357"/>
        <v>#N/A</v>
      </c>
      <c r="AH51" s="598" t="e">
        <f t="shared" si="357"/>
        <v>#N/A</v>
      </c>
      <c r="AI51" s="598" t="e">
        <f t="shared" si="357"/>
        <v>#N/A</v>
      </c>
      <c r="AK51" s="598" t="s">
        <v>2344</v>
      </c>
      <c r="AL51" s="598">
        <f t="shared" ref="AL51:AU51" si="358">AL$24+$Y175</f>
        <v>1</v>
      </c>
      <c r="AM51" s="598">
        <f t="shared" si="358"/>
        <v>2</v>
      </c>
      <c r="AN51" s="598">
        <f t="shared" si="358"/>
        <v>3</v>
      </c>
      <c r="AO51" s="598">
        <f t="shared" si="358"/>
        <v>4</v>
      </c>
      <c r="AP51" s="598">
        <f t="shared" si="358"/>
        <v>5</v>
      </c>
      <c r="AQ51" s="598">
        <f t="shared" si="358"/>
        <v>6</v>
      </c>
      <c r="AR51" s="598">
        <f t="shared" si="358"/>
        <v>7</v>
      </c>
      <c r="AS51" s="598">
        <f t="shared" si="358"/>
        <v>8</v>
      </c>
      <c r="AT51" s="598">
        <f t="shared" si="358"/>
        <v>9</v>
      </c>
      <c r="AU51" s="598">
        <f t="shared" si="358"/>
        <v>10</v>
      </c>
      <c r="AW51" s="598" t="s">
        <v>2344</v>
      </c>
      <c r="AX51" s="598">
        <f t="shared" ref="AX51:BG51" si="359">AX$24+$AA175</f>
        <v>1</v>
      </c>
      <c r="AY51" s="598">
        <f t="shared" si="359"/>
        <v>2</v>
      </c>
      <c r="AZ51" s="598">
        <f t="shared" si="359"/>
        <v>3</v>
      </c>
      <c r="BA51" s="598">
        <f t="shared" si="359"/>
        <v>4</v>
      </c>
      <c r="BB51" s="598">
        <f t="shared" si="359"/>
        <v>5</v>
      </c>
      <c r="BC51" s="598">
        <f t="shared" si="359"/>
        <v>6</v>
      </c>
      <c r="BD51" s="598">
        <f t="shared" si="359"/>
        <v>7</v>
      </c>
      <c r="BE51" s="598">
        <f t="shared" si="359"/>
        <v>8</v>
      </c>
      <c r="BF51" s="598">
        <f t="shared" si="359"/>
        <v>9</v>
      </c>
      <c r="BG51" s="598">
        <f t="shared" si="359"/>
        <v>10</v>
      </c>
      <c r="BI51" s="598" t="s">
        <v>2344</v>
      </c>
      <c r="BJ51" s="598">
        <f t="shared" si="320"/>
        <v>2</v>
      </c>
      <c r="BK51" s="598">
        <f t="shared" si="321"/>
        <v>3</v>
      </c>
      <c r="BL51" s="598">
        <f t="shared" si="322"/>
        <v>4</v>
      </c>
      <c r="BM51" s="598">
        <f t="shared" si="323"/>
        <v>5</v>
      </c>
      <c r="BN51" s="598">
        <f t="shared" si="324"/>
        <v>6</v>
      </c>
      <c r="BO51" s="598">
        <f t="shared" si="325"/>
        <v>7</v>
      </c>
      <c r="BP51" s="598">
        <f t="shared" si="326"/>
        <v>8</v>
      </c>
      <c r="BQ51" s="598">
        <f t="shared" si="327"/>
        <v>9</v>
      </c>
      <c r="BR51" s="598">
        <f t="shared" si="328"/>
        <v>10</v>
      </c>
      <c r="BS51" s="598">
        <f t="shared" si="329"/>
        <v>11</v>
      </c>
      <c r="BU51" s="598" t="s">
        <v>2344</v>
      </c>
      <c r="BV51" s="598" t="e">
        <f t="shared" si="330"/>
        <v>#N/A</v>
      </c>
      <c r="BW51" s="598" t="e">
        <f t="shared" si="331"/>
        <v>#N/A</v>
      </c>
      <c r="BX51" s="598" t="e">
        <f t="shared" si="332"/>
        <v>#N/A</v>
      </c>
      <c r="BY51" s="598" t="e">
        <f t="shared" si="333"/>
        <v>#N/A</v>
      </c>
      <c r="BZ51" s="598" t="e">
        <f t="shared" si="334"/>
        <v>#N/A</v>
      </c>
      <c r="CA51" s="598" t="e">
        <f t="shared" si="335"/>
        <v>#N/A</v>
      </c>
      <c r="CB51" s="598" t="e">
        <f t="shared" si="336"/>
        <v>#N/A</v>
      </c>
      <c r="CC51" s="598" t="e">
        <f t="shared" si="337"/>
        <v>#N/A</v>
      </c>
      <c r="CD51" s="598" t="e">
        <f t="shared" si="338"/>
        <v>#N/A</v>
      </c>
      <c r="CE51" s="598" t="e">
        <f t="shared" si="339"/>
        <v>#N/A</v>
      </c>
    </row>
    <row r="52" spans="1:83">
      <c r="A52" s="598" t="s">
        <v>2345</v>
      </c>
      <c r="B52" s="598">
        <f t="shared" ref="B52:K52" si="360">B$24+$S176</f>
        <v>0</v>
      </c>
      <c r="C52" s="598">
        <f t="shared" si="360"/>
        <v>1</v>
      </c>
      <c r="D52" s="598">
        <f t="shared" si="360"/>
        <v>2</v>
      </c>
      <c r="E52" s="598">
        <f t="shared" si="360"/>
        <v>3</v>
      </c>
      <c r="F52" s="598">
        <f t="shared" si="360"/>
        <v>4</v>
      </c>
      <c r="G52" s="598">
        <f t="shared" si="360"/>
        <v>5</v>
      </c>
      <c r="H52" s="598">
        <f t="shared" si="360"/>
        <v>6</v>
      </c>
      <c r="I52" s="598">
        <f t="shared" si="360"/>
        <v>7</v>
      </c>
      <c r="J52" s="598">
        <f t="shared" si="360"/>
        <v>8</v>
      </c>
      <c r="K52" s="598">
        <f t="shared" si="360"/>
        <v>9</v>
      </c>
      <c r="M52" s="598" t="s">
        <v>2345</v>
      </c>
      <c r="N52" s="598" t="e">
        <f t="shared" ref="N52:W52" si="361">N$24+$U176</f>
        <v>#N/A</v>
      </c>
      <c r="O52" s="598" t="e">
        <f t="shared" si="361"/>
        <v>#N/A</v>
      </c>
      <c r="P52" s="598" t="e">
        <f t="shared" si="361"/>
        <v>#N/A</v>
      </c>
      <c r="Q52" s="598" t="e">
        <f t="shared" si="361"/>
        <v>#N/A</v>
      </c>
      <c r="R52" s="598" t="e">
        <f t="shared" si="361"/>
        <v>#N/A</v>
      </c>
      <c r="S52" s="598" t="e">
        <f t="shared" si="361"/>
        <v>#N/A</v>
      </c>
      <c r="T52" s="598" t="e">
        <f t="shared" si="361"/>
        <v>#N/A</v>
      </c>
      <c r="U52" s="598" t="e">
        <f t="shared" si="361"/>
        <v>#N/A</v>
      </c>
      <c r="V52" s="598" t="e">
        <f t="shared" si="361"/>
        <v>#N/A</v>
      </c>
      <c r="W52" s="598" t="e">
        <f t="shared" si="361"/>
        <v>#N/A</v>
      </c>
      <c r="Y52" s="598" t="s">
        <v>2345</v>
      </c>
      <c r="Z52" s="598">
        <f t="shared" ref="Z52:AI52" si="362">Z$24+$W176</f>
        <v>-1</v>
      </c>
      <c r="AA52" s="598">
        <f t="shared" si="362"/>
        <v>0</v>
      </c>
      <c r="AB52" s="598">
        <f t="shared" si="362"/>
        <v>1</v>
      </c>
      <c r="AC52" s="598">
        <f t="shared" si="362"/>
        <v>2</v>
      </c>
      <c r="AD52" s="598">
        <f t="shared" si="362"/>
        <v>3</v>
      </c>
      <c r="AE52" s="598">
        <f t="shared" si="362"/>
        <v>4</v>
      </c>
      <c r="AF52" s="598">
        <f t="shared" si="362"/>
        <v>5</v>
      </c>
      <c r="AG52" s="598">
        <f t="shared" si="362"/>
        <v>6</v>
      </c>
      <c r="AH52" s="598">
        <f t="shared" si="362"/>
        <v>7</v>
      </c>
      <c r="AI52" s="598">
        <f t="shared" si="362"/>
        <v>8</v>
      </c>
      <c r="AK52" s="598" t="s">
        <v>2345</v>
      </c>
      <c r="AL52" s="598">
        <f t="shared" ref="AL52:AU52" si="363">AL$24+$Y176</f>
        <v>-2</v>
      </c>
      <c r="AM52" s="598">
        <f t="shared" si="363"/>
        <v>-1</v>
      </c>
      <c r="AN52" s="598">
        <f t="shared" si="363"/>
        <v>0</v>
      </c>
      <c r="AO52" s="598">
        <f t="shared" si="363"/>
        <v>1</v>
      </c>
      <c r="AP52" s="598">
        <f t="shared" si="363"/>
        <v>2</v>
      </c>
      <c r="AQ52" s="598">
        <f t="shared" si="363"/>
        <v>3</v>
      </c>
      <c r="AR52" s="598">
        <f t="shared" si="363"/>
        <v>4</v>
      </c>
      <c r="AS52" s="598">
        <f t="shared" si="363"/>
        <v>5</v>
      </c>
      <c r="AT52" s="598">
        <f t="shared" si="363"/>
        <v>6</v>
      </c>
      <c r="AU52" s="598">
        <f t="shared" si="363"/>
        <v>7</v>
      </c>
      <c r="AW52" s="598" t="s">
        <v>2345</v>
      </c>
      <c r="AX52" s="598" t="e">
        <f t="shared" ref="AX52:BG52" si="364">AX$24+$AA176</f>
        <v>#N/A</v>
      </c>
      <c r="AY52" s="598" t="e">
        <f t="shared" si="364"/>
        <v>#N/A</v>
      </c>
      <c r="AZ52" s="598" t="e">
        <f t="shared" si="364"/>
        <v>#N/A</v>
      </c>
      <c r="BA52" s="598" t="e">
        <f t="shared" si="364"/>
        <v>#N/A</v>
      </c>
      <c r="BB52" s="598" t="e">
        <f t="shared" si="364"/>
        <v>#N/A</v>
      </c>
      <c r="BC52" s="598" t="e">
        <f t="shared" si="364"/>
        <v>#N/A</v>
      </c>
      <c r="BD52" s="598" t="e">
        <f t="shared" si="364"/>
        <v>#N/A</v>
      </c>
      <c r="BE52" s="598" t="e">
        <f t="shared" si="364"/>
        <v>#N/A</v>
      </c>
      <c r="BF52" s="598" t="e">
        <f t="shared" si="364"/>
        <v>#N/A</v>
      </c>
      <c r="BG52" s="598" t="e">
        <f t="shared" si="364"/>
        <v>#N/A</v>
      </c>
      <c r="BI52" s="598" t="s">
        <v>2345</v>
      </c>
      <c r="BJ52" s="598" t="e">
        <f t="shared" si="320"/>
        <v>#N/A</v>
      </c>
      <c r="BK52" s="598" t="e">
        <f t="shared" si="321"/>
        <v>#N/A</v>
      </c>
      <c r="BL52" s="598" t="e">
        <f t="shared" si="322"/>
        <v>#N/A</v>
      </c>
      <c r="BM52" s="598" t="e">
        <f t="shared" si="323"/>
        <v>#N/A</v>
      </c>
      <c r="BN52" s="598" t="e">
        <f t="shared" si="324"/>
        <v>#N/A</v>
      </c>
      <c r="BO52" s="598" t="e">
        <f t="shared" si="325"/>
        <v>#N/A</v>
      </c>
      <c r="BP52" s="598" t="e">
        <f t="shared" si="326"/>
        <v>#N/A</v>
      </c>
      <c r="BQ52" s="598" t="e">
        <f t="shared" si="327"/>
        <v>#N/A</v>
      </c>
      <c r="BR52" s="598" t="e">
        <f t="shared" si="328"/>
        <v>#N/A</v>
      </c>
      <c r="BS52" s="598" t="e">
        <f t="shared" si="329"/>
        <v>#N/A</v>
      </c>
      <c r="BU52" s="598" t="s">
        <v>2345</v>
      </c>
      <c r="BV52" s="598" t="e">
        <f t="shared" si="330"/>
        <v>#N/A</v>
      </c>
      <c r="BW52" s="598" t="e">
        <f t="shared" si="331"/>
        <v>#N/A</v>
      </c>
      <c r="BX52" s="598" t="e">
        <f t="shared" si="332"/>
        <v>#N/A</v>
      </c>
      <c r="BY52" s="598" t="e">
        <f t="shared" si="333"/>
        <v>#N/A</v>
      </c>
      <c r="BZ52" s="598" t="e">
        <f t="shared" si="334"/>
        <v>#N/A</v>
      </c>
      <c r="CA52" s="598" t="e">
        <f t="shared" si="335"/>
        <v>#N/A</v>
      </c>
      <c r="CB52" s="598" t="e">
        <f t="shared" si="336"/>
        <v>#N/A</v>
      </c>
      <c r="CC52" s="598" t="e">
        <f t="shared" si="337"/>
        <v>#N/A</v>
      </c>
      <c r="CD52" s="598" t="e">
        <f t="shared" si="338"/>
        <v>#N/A</v>
      </c>
      <c r="CE52" s="598" t="e">
        <f t="shared" si="339"/>
        <v>#N/A</v>
      </c>
    </row>
    <row r="53" spans="1:83">
      <c r="A53" s="598" t="s">
        <v>1631</v>
      </c>
      <c r="B53" s="598" t="e">
        <f t="shared" ref="B53:K53" si="365">B$24+$S177</f>
        <v>#N/A</v>
      </c>
      <c r="C53" s="598" t="e">
        <f t="shared" si="365"/>
        <v>#N/A</v>
      </c>
      <c r="D53" s="598" t="e">
        <f t="shared" si="365"/>
        <v>#N/A</v>
      </c>
      <c r="E53" s="598" t="e">
        <f t="shared" si="365"/>
        <v>#N/A</v>
      </c>
      <c r="F53" s="598" t="e">
        <f t="shared" si="365"/>
        <v>#N/A</v>
      </c>
      <c r="G53" s="598" t="e">
        <f t="shared" si="365"/>
        <v>#N/A</v>
      </c>
      <c r="H53" s="598" t="e">
        <f t="shared" si="365"/>
        <v>#N/A</v>
      </c>
      <c r="I53" s="598" t="e">
        <f t="shared" si="365"/>
        <v>#N/A</v>
      </c>
      <c r="J53" s="598" t="e">
        <f t="shared" si="365"/>
        <v>#N/A</v>
      </c>
      <c r="K53" s="598" t="e">
        <f t="shared" si="365"/>
        <v>#N/A</v>
      </c>
      <c r="M53" s="598" t="s">
        <v>1631</v>
      </c>
      <c r="N53" s="598">
        <f t="shared" ref="N53:W53" si="366">N$24+$U177</f>
        <v>1</v>
      </c>
      <c r="O53" s="598">
        <f t="shared" si="366"/>
        <v>2</v>
      </c>
      <c r="P53" s="598">
        <f t="shared" si="366"/>
        <v>3</v>
      </c>
      <c r="Q53" s="598">
        <f t="shared" si="366"/>
        <v>4</v>
      </c>
      <c r="R53" s="598">
        <f t="shared" si="366"/>
        <v>5</v>
      </c>
      <c r="S53" s="598">
        <f t="shared" si="366"/>
        <v>6</v>
      </c>
      <c r="T53" s="598">
        <f t="shared" si="366"/>
        <v>7</v>
      </c>
      <c r="U53" s="598">
        <f t="shared" si="366"/>
        <v>8</v>
      </c>
      <c r="V53" s="598">
        <f t="shared" si="366"/>
        <v>9</v>
      </c>
      <c r="W53" s="598">
        <f t="shared" si="366"/>
        <v>10</v>
      </c>
      <c r="Y53" s="598" t="s">
        <v>1631</v>
      </c>
      <c r="Z53" s="598" t="e">
        <f t="shared" ref="Z53:AI53" si="367">Z$24+$W177</f>
        <v>#N/A</v>
      </c>
      <c r="AA53" s="598" t="e">
        <f t="shared" si="367"/>
        <v>#N/A</v>
      </c>
      <c r="AB53" s="598" t="e">
        <f t="shared" si="367"/>
        <v>#N/A</v>
      </c>
      <c r="AC53" s="598" t="e">
        <f t="shared" si="367"/>
        <v>#N/A</v>
      </c>
      <c r="AD53" s="598" t="e">
        <f t="shared" si="367"/>
        <v>#N/A</v>
      </c>
      <c r="AE53" s="598" t="e">
        <f t="shared" si="367"/>
        <v>#N/A</v>
      </c>
      <c r="AF53" s="598" t="e">
        <f t="shared" si="367"/>
        <v>#N/A</v>
      </c>
      <c r="AG53" s="598" t="e">
        <f t="shared" si="367"/>
        <v>#N/A</v>
      </c>
      <c r="AH53" s="598" t="e">
        <f t="shared" si="367"/>
        <v>#N/A</v>
      </c>
      <c r="AI53" s="598" t="e">
        <f t="shared" si="367"/>
        <v>#N/A</v>
      </c>
      <c r="AK53" s="598" t="s">
        <v>1631</v>
      </c>
      <c r="AL53" s="598" t="e">
        <f t="shared" ref="AL53:AU53" si="368">AL$24+$Y177</f>
        <v>#N/A</v>
      </c>
      <c r="AM53" s="598" t="e">
        <f t="shared" si="368"/>
        <v>#N/A</v>
      </c>
      <c r="AN53" s="598" t="e">
        <f t="shared" si="368"/>
        <v>#N/A</v>
      </c>
      <c r="AO53" s="598" t="e">
        <f t="shared" si="368"/>
        <v>#N/A</v>
      </c>
      <c r="AP53" s="598" t="e">
        <f t="shared" si="368"/>
        <v>#N/A</v>
      </c>
      <c r="AQ53" s="598" t="e">
        <f t="shared" si="368"/>
        <v>#N/A</v>
      </c>
      <c r="AR53" s="598" t="e">
        <f t="shared" si="368"/>
        <v>#N/A</v>
      </c>
      <c r="AS53" s="598" t="e">
        <f t="shared" si="368"/>
        <v>#N/A</v>
      </c>
      <c r="AT53" s="598" t="e">
        <f t="shared" si="368"/>
        <v>#N/A</v>
      </c>
      <c r="AU53" s="598" t="e">
        <f t="shared" si="368"/>
        <v>#N/A</v>
      </c>
      <c r="AW53" s="598" t="s">
        <v>1631</v>
      </c>
      <c r="AX53" s="598">
        <f t="shared" ref="AX53:BG53" si="369">AX$24+$AA177</f>
        <v>-1</v>
      </c>
      <c r="AY53" s="598">
        <f t="shared" si="369"/>
        <v>0</v>
      </c>
      <c r="AZ53" s="598">
        <f t="shared" si="369"/>
        <v>1</v>
      </c>
      <c r="BA53" s="598">
        <f t="shared" si="369"/>
        <v>2</v>
      </c>
      <c r="BB53" s="598">
        <f t="shared" si="369"/>
        <v>3</v>
      </c>
      <c r="BC53" s="598">
        <f t="shared" si="369"/>
        <v>4</v>
      </c>
      <c r="BD53" s="598">
        <f t="shared" si="369"/>
        <v>5</v>
      </c>
      <c r="BE53" s="598">
        <f t="shared" si="369"/>
        <v>6</v>
      </c>
      <c r="BF53" s="598">
        <f t="shared" si="369"/>
        <v>7</v>
      </c>
      <c r="BG53" s="598">
        <f t="shared" si="369"/>
        <v>8</v>
      </c>
      <c r="BI53" s="598" t="s">
        <v>1631</v>
      </c>
      <c r="BJ53" s="598">
        <f t="shared" si="320"/>
        <v>-2</v>
      </c>
      <c r="BK53" s="598">
        <f t="shared" si="321"/>
        <v>-1</v>
      </c>
      <c r="BL53" s="598">
        <f t="shared" si="322"/>
        <v>0</v>
      </c>
      <c r="BM53" s="598">
        <f t="shared" si="323"/>
        <v>1</v>
      </c>
      <c r="BN53" s="598">
        <f t="shared" si="324"/>
        <v>2</v>
      </c>
      <c r="BO53" s="598">
        <f t="shared" si="325"/>
        <v>3</v>
      </c>
      <c r="BP53" s="598">
        <f t="shared" si="326"/>
        <v>4</v>
      </c>
      <c r="BQ53" s="598">
        <f t="shared" si="327"/>
        <v>5</v>
      </c>
      <c r="BR53" s="598">
        <f t="shared" si="328"/>
        <v>6</v>
      </c>
      <c r="BS53" s="598">
        <f t="shared" si="329"/>
        <v>7</v>
      </c>
      <c r="BU53" s="598" t="s">
        <v>1631</v>
      </c>
      <c r="BV53" s="598" t="e">
        <f t="shared" si="330"/>
        <v>#N/A</v>
      </c>
      <c r="BW53" s="598" t="e">
        <f t="shared" si="331"/>
        <v>#N/A</v>
      </c>
      <c r="BX53" s="598" t="e">
        <f t="shared" si="332"/>
        <v>#N/A</v>
      </c>
      <c r="BY53" s="598" t="e">
        <f t="shared" si="333"/>
        <v>#N/A</v>
      </c>
      <c r="BZ53" s="598" t="e">
        <f t="shared" si="334"/>
        <v>#N/A</v>
      </c>
      <c r="CA53" s="598" t="e">
        <f t="shared" si="335"/>
        <v>#N/A</v>
      </c>
      <c r="CB53" s="598" t="e">
        <f t="shared" si="336"/>
        <v>#N/A</v>
      </c>
      <c r="CC53" s="598" t="e">
        <f t="shared" si="337"/>
        <v>#N/A</v>
      </c>
      <c r="CD53" s="598" t="e">
        <f t="shared" si="338"/>
        <v>#N/A</v>
      </c>
      <c r="CE53" s="598" t="e">
        <f t="shared" si="339"/>
        <v>#N/A</v>
      </c>
    </row>
    <row r="54" spans="1:83">
      <c r="A54" s="598" t="s">
        <v>3657</v>
      </c>
      <c r="B54" s="598">
        <f t="shared" ref="B54:K54" si="370">B$24+$S178</f>
        <v>4</v>
      </c>
      <c r="C54" s="598">
        <f t="shared" si="370"/>
        <v>5</v>
      </c>
      <c r="D54" s="598">
        <f t="shared" si="370"/>
        <v>6</v>
      </c>
      <c r="E54" s="598">
        <f t="shared" si="370"/>
        <v>7</v>
      </c>
      <c r="F54" s="598">
        <f t="shared" si="370"/>
        <v>8</v>
      </c>
      <c r="G54" s="598">
        <f t="shared" si="370"/>
        <v>9</v>
      </c>
      <c r="H54" s="598">
        <f t="shared" si="370"/>
        <v>10</v>
      </c>
      <c r="I54" s="598">
        <f t="shared" si="370"/>
        <v>11</v>
      </c>
      <c r="J54" s="598">
        <f t="shared" si="370"/>
        <v>12</v>
      </c>
      <c r="K54" s="598">
        <f t="shared" si="370"/>
        <v>13</v>
      </c>
      <c r="M54" s="598" t="s">
        <v>3657</v>
      </c>
      <c r="N54" s="598">
        <f t="shared" ref="N54:W54" si="371">N$24+$U178</f>
        <v>1</v>
      </c>
      <c r="O54" s="598">
        <f t="shared" si="371"/>
        <v>2</v>
      </c>
      <c r="P54" s="598">
        <f t="shared" si="371"/>
        <v>3</v>
      </c>
      <c r="Q54" s="598">
        <f t="shared" si="371"/>
        <v>4</v>
      </c>
      <c r="R54" s="598">
        <f t="shared" si="371"/>
        <v>5</v>
      </c>
      <c r="S54" s="598">
        <f t="shared" si="371"/>
        <v>6</v>
      </c>
      <c r="T54" s="598">
        <f t="shared" si="371"/>
        <v>7</v>
      </c>
      <c r="U54" s="598">
        <f t="shared" si="371"/>
        <v>8</v>
      </c>
      <c r="V54" s="598">
        <f t="shared" si="371"/>
        <v>9</v>
      </c>
      <c r="W54" s="598">
        <f t="shared" si="371"/>
        <v>10</v>
      </c>
      <c r="Y54" s="598" t="s">
        <v>3657</v>
      </c>
      <c r="Z54" s="598">
        <f t="shared" ref="Z54:AI54" si="372">Z$24+$W178</f>
        <v>1</v>
      </c>
      <c r="AA54" s="598">
        <f t="shared" si="372"/>
        <v>2</v>
      </c>
      <c r="AB54" s="598">
        <f t="shared" si="372"/>
        <v>3</v>
      </c>
      <c r="AC54" s="598">
        <f t="shared" si="372"/>
        <v>4</v>
      </c>
      <c r="AD54" s="598">
        <f t="shared" si="372"/>
        <v>5</v>
      </c>
      <c r="AE54" s="598">
        <f t="shared" si="372"/>
        <v>6</v>
      </c>
      <c r="AF54" s="598">
        <f t="shared" si="372"/>
        <v>7</v>
      </c>
      <c r="AG54" s="598">
        <f t="shared" si="372"/>
        <v>8</v>
      </c>
      <c r="AH54" s="598">
        <f t="shared" si="372"/>
        <v>9</v>
      </c>
      <c r="AI54" s="598">
        <f t="shared" si="372"/>
        <v>10</v>
      </c>
      <c r="AK54" s="598" t="s">
        <v>3657</v>
      </c>
      <c r="AL54" s="598">
        <f t="shared" ref="AL54:AU54" si="373">AL$24+$Y178</f>
        <v>2</v>
      </c>
      <c r="AM54" s="598">
        <f t="shared" si="373"/>
        <v>3</v>
      </c>
      <c r="AN54" s="598">
        <f t="shared" si="373"/>
        <v>4</v>
      </c>
      <c r="AO54" s="598">
        <f t="shared" si="373"/>
        <v>5</v>
      </c>
      <c r="AP54" s="598">
        <f t="shared" si="373"/>
        <v>6</v>
      </c>
      <c r="AQ54" s="598">
        <f t="shared" si="373"/>
        <v>7</v>
      </c>
      <c r="AR54" s="598">
        <f t="shared" si="373"/>
        <v>8</v>
      </c>
      <c r="AS54" s="598">
        <f t="shared" si="373"/>
        <v>9</v>
      </c>
      <c r="AT54" s="598">
        <f t="shared" si="373"/>
        <v>10</v>
      </c>
      <c r="AU54" s="598">
        <f t="shared" si="373"/>
        <v>11</v>
      </c>
      <c r="AW54" s="598" t="s">
        <v>3657</v>
      </c>
      <c r="AX54" s="598">
        <f t="shared" ref="AX54:BG54" si="374">AX$24+$AA178</f>
        <v>0</v>
      </c>
      <c r="AY54" s="598">
        <f t="shared" si="374"/>
        <v>1</v>
      </c>
      <c r="AZ54" s="598">
        <f t="shared" si="374"/>
        <v>2</v>
      </c>
      <c r="BA54" s="598">
        <f t="shared" si="374"/>
        <v>3</v>
      </c>
      <c r="BB54" s="598">
        <f t="shared" si="374"/>
        <v>4</v>
      </c>
      <c r="BC54" s="598">
        <f t="shared" si="374"/>
        <v>5</v>
      </c>
      <c r="BD54" s="598">
        <f t="shared" si="374"/>
        <v>6</v>
      </c>
      <c r="BE54" s="598">
        <f t="shared" si="374"/>
        <v>7</v>
      </c>
      <c r="BF54" s="598">
        <f t="shared" si="374"/>
        <v>8</v>
      </c>
      <c r="BG54" s="598">
        <f t="shared" si="374"/>
        <v>9</v>
      </c>
      <c r="BI54" s="598" t="s">
        <v>3657</v>
      </c>
      <c r="BJ54" s="598">
        <f t="shared" si="320"/>
        <v>3</v>
      </c>
      <c r="BK54" s="598">
        <f t="shared" si="321"/>
        <v>4</v>
      </c>
      <c r="BL54" s="598">
        <f t="shared" si="322"/>
        <v>5</v>
      </c>
      <c r="BM54" s="598">
        <f t="shared" si="323"/>
        <v>6</v>
      </c>
      <c r="BN54" s="598">
        <f t="shared" si="324"/>
        <v>7</v>
      </c>
      <c r="BO54" s="598">
        <f t="shared" si="325"/>
        <v>8</v>
      </c>
      <c r="BP54" s="598">
        <f t="shared" si="326"/>
        <v>9</v>
      </c>
      <c r="BQ54" s="598">
        <f t="shared" si="327"/>
        <v>10</v>
      </c>
      <c r="BR54" s="598">
        <f t="shared" si="328"/>
        <v>11</v>
      </c>
      <c r="BS54" s="598">
        <f t="shared" si="329"/>
        <v>12</v>
      </c>
      <c r="BU54" s="598" t="s">
        <v>3657</v>
      </c>
      <c r="BV54" s="598" t="e">
        <f t="shared" si="330"/>
        <v>#N/A</v>
      </c>
      <c r="BW54" s="598" t="e">
        <f t="shared" si="331"/>
        <v>#N/A</v>
      </c>
      <c r="BX54" s="598" t="e">
        <f t="shared" si="332"/>
        <v>#N/A</v>
      </c>
      <c r="BY54" s="598" t="e">
        <f t="shared" si="333"/>
        <v>#N/A</v>
      </c>
      <c r="BZ54" s="598" t="e">
        <f t="shared" si="334"/>
        <v>#N/A</v>
      </c>
      <c r="CA54" s="598" t="e">
        <f t="shared" si="335"/>
        <v>#N/A</v>
      </c>
      <c r="CB54" s="598" t="e">
        <f t="shared" si="336"/>
        <v>#N/A</v>
      </c>
      <c r="CC54" s="598" t="e">
        <f t="shared" si="337"/>
        <v>#N/A</v>
      </c>
      <c r="CD54" s="598" t="e">
        <f t="shared" si="338"/>
        <v>#N/A</v>
      </c>
      <c r="CE54" s="598" t="e">
        <f t="shared" si="339"/>
        <v>#N/A</v>
      </c>
    </row>
    <row r="55" spans="1:83">
      <c r="A55" s="598" t="s">
        <v>2346</v>
      </c>
      <c r="B55" s="598">
        <f t="shared" ref="B55:K55" si="375">B$24+$S179</f>
        <v>-2</v>
      </c>
      <c r="C55" s="598">
        <f t="shared" si="375"/>
        <v>-1</v>
      </c>
      <c r="D55" s="598">
        <f t="shared" si="375"/>
        <v>0</v>
      </c>
      <c r="E55" s="598">
        <f t="shared" si="375"/>
        <v>1</v>
      </c>
      <c r="F55" s="598">
        <f t="shared" si="375"/>
        <v>2</v>
      </c>
      <c r="G55" s="598">
        <f t="shared" si="375"/>
        <v>3</v>
      </c>
      <c r="H55" s="598">
        <f t="shared" si="375"/>
        <v>4</v>
      </c>
      <c r="I55" s="598">
        <f t="shared" si="375"/>
        <v>5</v>
      </c>
      <c r="J55" s="598">
        <f t="shared" si="375"/>
        <v>6</v>
      </c>
      <c r="K55" s="598">
        <f t="shared" si="375"/>
        <v>7</v>
      </c>
      <c r="M55" s="598" t="s">
        <v>2346</v>
      </c>
      <c r="N55" s="598" t="e">
        <f t="shared" ref="N55:W55" si="376">N$24+$U179</f>
        <v>#N/A</v>
      </c>
      <c r="O55" s="598" t="e">
        <f t="shared" si="376"/>
        <v>#N/A</v>
      </c>
      <c r="P55" s="598" t="e">
        <f t="shared" si="376"/>
        <v>#N/A</v>
      </c>
      <c r="Q55" s="598" t="e">
        <f t="shared" si="376"/>
        <v>#N/A</v>
      </c>
      <c r="R55" s="598" t="e">
        <f t="shared" si="376"/>
        <v>#N/A</v>
      </c>
      <c r="S55" s="598" t="e">
        <f t="shared" si="376"/>
        <v>#N/A</v>
      </c>
      <c r="T55" s="598" t="e">
        <f t="shared" si="376"/>
        <v>#N/A</v>
      </c>
      <c r="U55" s="598" t="e">
        <f t="shared" si="376"/>
        <v>#N/A</v>
      </c>
      <c r="V55" s="598" t="e">
        <f t="shared" si="376"/>
        <v>#N/A</v>
      </c>
      <c r="W55" s="598" t="e">
        <f t="shared" si="376"/>
        <v>#N/A</v>
      </c>
      <c r="Y55" s="598" t="s">
        <v>2346</v>
      </c>
      <c r="Z55" s="598">
        <f t="shared" ref="Z55:AI55" si="377">Z$24+$W179</f>
        <v>-1</v>
      </c>
      <c r="AA55" s="598">
        <f t="shared" si="377"/>
        <v>0</v>
      </c>
      <c r="AB55" s="598">
        <f t="shared" si="377"/>
        <v>1</v>
      </c>
      <c r="AC55" s="598">
        <f t="shared" si="377"/>
        <v>2</v>
      </c>
      <c r="AD55" s="598">
        <f t="shared" si="377"/>
        <v>3</v>
      </c>
      <c r="AE55" s="598">
        <f t="shared" si="377"/>
        <v>4</v>
      </c>
      <c r="AF55" s="598">
        <f t="shared" si="377"/>
        <v>5</v>
      </c>
      <c r="AG55" s="598">
        <f t="shared" si="377"/>
        <v>6</v>
      </c>
      <c r="AH55" s="598">
        <f t="shared" si="377"/>
        <v>7</v>
      </c>
      <c r="AI55" s="598">
        <f t="shared" si="377"/>
        <v>8</v>
      </c>
      <c r="AK55" s="598" t="s">
        <v>2346</v>
      </c>
      <c r="AL55" s="598">
        <f t="shared" ref="AL55:AU55" si="378">AL$24+$Y179</f>
        <v>-1</v>
      </c>
      <c r="AM55" s="598">
        <f t="shared" si="378"/>
        <v>0</v>
      </c>
      <c r="AN55" s="598">
        <f t="shared" si="378"/>
        <v>1</v>
      </c>
      <c r="AO55" s="598">
        <f t="shared" si="378"/>
        <v>2</v>
      </c>
      <c r="AP55" s="598">
        <f t="shared" si="378"/>
        <v>3</v>
      </c>
      <c r="AQ55" s="598">
        <f t="shared" si="378"/>
        <v>4</v>
      </c>
      <c r="AR55" s="598">
        <f t="shared" si="378"/>
        <v>5</v>
      </c>
      <c r="AS55" s="598">
        <f t="shared" si="378"/>
        <v>6</v>
      </c>
      <c r="AT55" s="598">
        <f t="shared" si="378"/>
        <v>7</v>
      </c>
      <c r="AU55" s="598">
        <f t="shared" si="378"/>
        <v>8</v>
      </c>
      <c r="AW55" s="598" t="s">
        <v>2346</v>
      </c>
      <c r="AX55" s="598" t="e">
        <f t="shared" ref="AX55:BG55" si="379">AX$24+$AA179</f>
        <v>#N/A</v>
      </c>
      <c r="AY55" s="598" t="e">
        <f t="shared" si="379"/>
        <v>#N/A</v>
      </c>
      <c r="AZ55" s="598" t="e">
        <f t="shared" si="379"/>
        <v>#N/A</v>
      </c>
      <c r="BA55" s="598" t="e">
        <f t="shared" si="379"/>
        <v>#N/A</v>
      </c>
      <c r="BB55" s="598" t="e">
        <f t="shared" si="379"/>
        <v>#N/A</v>
      </c>
      <c r="BC55" s="598" t="e">
        <f t="shared" si="379"/>
        <v>#N/A</v>
      </c>
      <c r="BD55" s="598" t="e">
        <f t="shared" si="379"/>
        <v>#N/A</v>
      </c>
      <c r="BE55" s="598" t="e">
        <f t="shared" si="379"/>
        <v>#N/A</v>
      </c>
      <c r="BF55" s="598" t="e">
        <f t="shared" si="379"/>
        <v>#N/A</v>
      </c>
      <c r="BG55" s="598" t="e">
        <f t="shared" si="379"/>
        <v>#N/A</v>
      </c>
      <c r="BI55" s="598" t="s">
        <v>2346</v>
      </c>
      <c r="BJ55" s="598" t="e">
        <f t="shared" si="320"/>
        <v>#N/A</v>
      </c>
      <c r="BK55" s="598" t="e">
        <f t="shared" si="321"/>
        <v>#N/A</v>
      </c>
      <c r="BL55" s="598" t="e">
        <f t="shared" si="322"/>
        <v>#N/A</v>
      </c>
      <c r="BM55" s="598" t="e">
        <f t="shared" si="323"/>
        <v>#N/A</v>
      </c>
      <c r="BN55" s="598" t="e">
        <f t="shared" si="324"/>
        <v>#N/A</v>
      </c>
      <c r="BO55" s="598" t="e">
        <f t="shared" si="325"/>
        <v>#N/A</v>
      </c>
      <c r="BP55" s="598" t="e">
        <f t="shared" si="326"/>
        <v>#N/A</v>
      </c>
      <c r="BQ55" s="598" t="e">
        <f t="shared" si="327"/>
        <v>#N/A</v>
      </c>
      <c r="BR55" s="598" t="e">
        <f t="shared" si="328"/>
        <v>#N/A</v>
      </c>
      <c r="BS55" s="598" t="e">
        <f t="shared" si="329"/>
        <v>#N/A</v>
      </c>
      <c r="BU55" s="598" t="s">
        <v>2346</v>
      </c>
      <c r="BV55" s="598" t="e">
        <f t="shared" si="330"/>
        <v>#N/A</v>
      </c>
      <c r="BW55" s="598" t="e">
        <f t="shared" si="331"/>
        <v>#N/A</v>
      </c>
      <c r="BX55" s="598" t="e">
        <f t="shared" si="332"/>
        <v>#N/A</v>
      </c>
      <c r="BY55" s="598" t="e">
        <f t="shared" si="333"/>
        <v>#N/A</v>
      </c>
      <c r="BZ55" s="598" t="e">
        <f t="shared" si="334"/>
        <v>#N/A</v>
      </c>
      <c r="CA55" s="598" t="e">
        <f t="shared" si="335"/>
        <v>#N/A</v>
      </c>
      <c r="CB55" s="598" t="e">
        <f t="shared" si="336"/>
        <v>#N/A</v>
      </c>
      <c r="CC55" s="598" t="e">
        <f t="shared" si="337"/>
        <v>#N/A</v>
      </c>
      <c r="CD55" s="598" t="e">
        <f t="shared" si="338"/>
        <v>#N/A</v>
      </c>
      <c r="CE55" s="598" t="e">
        <f t="shared" si="339"/>
        <v>#N/A</v>
      </c>
    </row>
    <row r="56" spans="1:83">
      <c r="A56" s="598" t="s">
        <v>1632</v>
      </c>
      <c r="B56" s="598" t="e">
        <f t="shared" ref="B56:K56" si="380">B$24+$S180</f>
        <v>#N/A</v>
      </c>
      <c r="C56" s="598" t="e">
        <f t="shared" si="380"/>
        <v>#N/A</v>
      </c>
      <c r="D56" s="598" t="e">
        <f t="shared" si="380"/>
        <v>#N/A</v>
      </c>
      <c r="E56" s="598" t="e">
        <f t="shared" si="380"/>
        <v>#N/A</v>
      </c>
      <c r="F56" s="598" t="e">
        <f t="shared" si="380"/>
        <v>#N/A</v>
      </c>
      <c r="G56" s="598" t="e">
        <f t="shared" si="380"/>
        <v>#N/A</v>
      </c>
      <c r="H56" s="598" t="e">
        <f t="shared" si="380"/>
        <v>#N/A</v>
      </c>
      <c r="I56" s="598" t="e">
        <f t="shared" si="380"/>
        <v>#N/A</v>
      </c>
      <c r="J56" s="598" t="e">
        <f t="shared" si="380"/>
        <v>#N/A</v>
      </c>
      <c r="K56" s="598" t="e">
        <f t="shared" si="380"/>
        <v>#N/A</v>
      </c>
      <c r="M56" s="598" t="s">
        <v>1632</v>
      </c>
      <c r="N56" s="598">
        <f t="shared" ref="N56:W56" si="381">N$24+$U180</f>
        <v>3</v>
      </c>
      <c r="O56" s="598">
        <f t="shared" si="381"/>
        <v>4</v>
      </c>
      <c r="P56" s="598">
        <f t="shared" si="381"/>
        <v>5</v>
      </c>
      <c r="Q56" s="598">
        <f t="shared" si="381"/>
        <v>6</v>
      </c>
      <c r="R56" s="598">
        <f t="shared" si="381"/>
        <v>7</v>
      </c>
      <c r="S56" s="598">
        <f t="shared" si="381"/>
        <v>8</v>
      </c>
      <c r="T56" s="598">
        <f t="shared" si="381"/>
        <v>9</v>
      </c>
      <c r="U56" s="598">
        <f t="shared" si="381"/>
        <v>10</v>
      </c>
      <c r="V56" s="598">
        <f t="shared" si="381"/>
        <v>11</v>
      </c>
      <c r="W56" s="598">
        <f t="shared" si="381"/>
        <v>12</v>
      </c>
      <c r="Y56" s="598" t="s">
        <v>1632</v>
      </c>
      <c r="Z56" s="598" t="e">
        <f t="shared" ref="Z56:AI56" si="382">Z$24+$W180</f>
        <v>#N/A</v>
      </c>
      <c r="AA56" s="598" t="e">
        <f t="shared" si="382"/>
        <v>#N/A</v>
      </c>
      <c r="AB56" s="598" t="e">
        <f t="shared" si="382"/>
        <v>#N/A</v>
      </c>
      <c r="AC56" s="598" t="e">
        <f t="shared" si="382"/>
        <v>#N/A</v>
      </c>
      <c r="AD56" s="598" t="e">
        <f t="shared" si="382"/>
        <v>#N/A</v>
      </c>
      <c r="AE56" s="598" t="e">
        <f t="shared" si="382"/>
        <v>#N/A</v>
      </c>
      <c r="AF56" s="598" t="e">
        <f t="shared" si="382"/>
        <v>#N/A</v>
      </c>
      <c r="AG56" s="598" t="e">
        <f t="shared" si="382"/>
        <v>#N/A</v>
      </c>
      <c r="AH56" s="598" t="e">
        <f t="shared" si="382"/>
        <v>#N/A</v>
      </c>
      <c r="AI56" s="598" t="e">
        <f t="shared" si="382"/>
        <v>#N/A</v>
      </c>
      <c r="AK56" s="598" t="s">
        <v>1632</v>
      </c>
      <c r="AL56" s="598" t="e">
        <f t="shared" ref="AL56:AU56" si="383">AL$24+$Y180</f>
        <v>#N/A</v>
      </c>
      <c r="AM56" s="598" t="e">
        <f t="shared" si="383"/>
        <v>#N/A</v>
      </c>
      <c r="AN56" s="598" t="e">
        <f t="shared" si="383"/>
        <v>#N/A</v>
      </c>
      <c r="AO56" s="598" t="e">
        <f t="shared" si="383"/>
        <v>#N/A</v>
      </c>
      <c r="AP56" s="598" t="e">
        <f t="shared" si="383"/>
        <v>#N/A</v>
      </c>
      <c r="AQ56" s="598" t="e">
        <f t="shared" si="383"/>
        <v>#N/A</v>
      </c>
      <c r="AR56" s="598" t="e">
        <f t="shared" si="383"/>
        <v>#N/A</v>
      </c>
      <c r="AS56" s="598" t="e">
        <f t="shared" si="383"/>
        <v>#N/A</v>
      </c>
      <c r="AT56" s="598" t="e">
        <f t="shared" si="383"/>
        <v>#N/A</v>
      </c>
      <c r="AU56" s="598" t="e">
        <f t="shared" si="383"/>
        <v>#N/A</v>
      </c>
      <c r="AW56" s="598" t="s">
        <v>1632</v>
      </c>
      <c r="AX56" s="598">
        <f t="shared" ref="AX56:BG56" si="384">AX$24+$AA180</f>
        <v>-2</v>
      </c>
      <c r="AY56" s="598">
        <f t="shared" si="384"/>
        <v>-1</v>
      </c>
      <c r="AZ56" s="598">
        <f t="shared" si="384"/>
        <v>0</v>
      </c>
      <c r="BA56" s="598">
        <f t="shared" si="384"/>
        <v>1</v>
      </c>
      <c r="BB56" s="598">
        <f t="shared" si="384"/>
        <v>2</v>
      </c>
      <c r="BC56" s="598">
        <f t="shared" si="384"/>
        <v>3</v>
      </c>
      <c r="BD56" s="598">
        <f t="shared" si="384"/>
        <v>4</v>
      </c>
      <c r="BE56" s="598">
        <f t="shared" si="384"/>
        <v>5</v>
      </c>
      <c r="BF56" s="598">
        <f t="shared" si="384"/>
        <v>6</v>
      </c>
      <c r="BG56" s="598">
        <f t="shared" si="384"/>
        <v>7</v>
      </c>
      <c r="BI56" s="598" t="s">
        <v>1632</v>
      </c>
      <c r="BJ56" s="598">
        <f t="shared" si="320"/>
        <v>-2</v>
      </c>
      <c r="BK56" s="598">
        <f t="shared" si="321"/>
        <v>-1</v>
      </c>
      <c r="BL56" s="598">
        <f t="shared" si="322"/>
        <v>0</v>
      </c>
      <c r="BM56" s="598">
        <f t="shared" si="323"/>
        <v>1</v>
      </c>
      <c r="BN56" s="598">
        <f t="shared" si="324"/>
        <v>2</v>
      </c>
      <c r="BO56" s="598">
        <f t="shared" si="325"/>
        <v>3</v>
      </c>
      <c r="BP56" s="598">
        <f t="shared" si="326"/>
        <v>4</v>
      </c>
      <c r="BQ56" s="598">
        <f t="shared" si="327"/>
        <v>5</v>
      </c>
      <c r="BR56" s="598">
        <f t="shared" si="328"/>
        <v>6</v>
      </c>
      <c r="BS56" s="598">
        <f t="shared" si="329"/>
        <v>7</v>
      </c>
      <c r="BU56" s="598" t="s">
        <v>1632</v>
      </c>
      <c r="BV56" s="598" t="e">
        <f t="shared" si="330"/>
        <v>#N/A</v>
      </c>
      <c r="BW56" s="598" t="e">
        <f t="shared" si="331"/>
        <v>#N/A</v>
      </c>
      <c r="BX56" s="598" t="e">
        <f t="shared" si="332"/>
        <v>#N/A</v>
      </c>
      <c r="BY56" s="598" t="e">
        <f t="shared" si="333"/>
        <v>#N/A</v>
      </c>
      <c r="BZ56" s="598" t="e">
        <f t="shared" si="334"/>
        <v>#N/A</v>
      </c>
      <c r="CA56" s="598" t="e">
        <f t="shared" si="335"/>
        <v>#N/A</v>
      </c>
      <c r="CB56" s="598" t="e">
        <f t="shared" si="336"/>
        <v>#N/A</v>
      </c>
      <c r="CC56" s="598" t="e">
        <f t="shared" si="337"/>
        <v>#N/A</v>
      </c>
      <c r="CD56" s="598" t="e">
        <f t="shared" si="338"/>
        <v>#N/A</v>
      </c>
      <c r="CE56" s="598" t="e">
        <f t="shared" si="339"/>
        <v>#N/A</v>
      </c>
    </row>
    <row r="57" spans="1:83">
      <c r="A57" s="598" t="s">
        <v>3466</v>
      </c>
      <c r="B57" s="598" t="e">
        <f t="shared" ref="B57:K57" si="385">B$24+$S181</f>
        <v>#N/A</v>
      </c>
      <c r="C57" s="598" t="e">
        <f t="shared" si="385"/>
        <v>#N/A</v>
      </c>
      <c r="D57" s="598" t="e">
        <f t="shared" si="385"/>
        <v>#N/A</v>
      </c>
      <c r="E57" s="598" t="e">
        <f t="shared" si="385"/>
        <v>#N/A</v>
      </c>
      <c r="F57" s="598" t="e">
        <f t="shared" si="385"/>
        <v>#N/A</v>
      </c>
      <c r="G57" s="598" t="e">
        <f t="shared" si="385"/>
        <v>#N/A</v>
      </c>
      <c r="H57" s="598" t="e">
        <f t="shared" si="385"/>
        <v>#N/A</v>
      </c>
      <c r="I57" s="598" t="e">
        <f t="shared" si="385"/>
        <v>#N/A</v>
      </c>
      <c r="J57" s="598" t="e">
        <f t="shared" si="385"/>
        <v>#N/A</v>
      </c>
      <c r="K57" s="598" t="e">
        <f t="shared" si="385"/>
        <v>#N/A</v>
      </c>
      <c r="M57" s="598" t="s">
        <v>3466</v>
      </c>
      <c r="N57" s="598">
        <f t="shared" ref="N57:W57" si="386">N$24+$U181</f>
        <v>2</v>
      </c>
      <c r="O57" s="598">
        <f t="shared" si="386"/>
        <v>3</v>
      </c>
      <c r="P57" s="598">
        <f t="shared" si="386"/>
        <v>4</v>
      </c>
      <c r="Q57" s="598">
        <f t="shared" si="386"/>
        <v>5</v>
      </c>
      <c r="R57" s="598">
        <f t="shared" si="386"/>
        <v>6</v>
      </c>
      <c r="S57" s="598">
        <f t="shared" si="386"/>
        <v>7</v>
      </c>
      <c r="T57" s="598">
        <f t="shared" si="386"/>
        <v>8</v>
      </c>
      <c r="U57" s="598">
        <f t="shared" si="386"/>
        <v>9</v>
      </c>
      <c r="V57" s="598">
        <f t="shared" si="386"/>
        <v>10</v>
      </c>
      <c r="W57" s="598">
        <f t="shared" si="386"/>
        <v>11</v>
      </c>
      <c r="Y57" s="598" t="s">
        <v>3466</v>
      </c>
      <c r="Z57" s="598" t="e">
        <f t="shared" ref="Z57:AI57" si="387">Z$24+$W181</f>
        <v>#N/A</v>
      </c>
      <c r="AA57" s="598" t="e">
        <f t="shared" si="387"/>
        <v>#N/A</v>
      </c>
      <c r="AB57" s="598" t="e">
        <f t="shared" si="387"/>
        <v>#N/A</v>
      </c>
      <c r="AC57" s="598" t="e">
        <f t="shared" si="387"/>
        <v>#N/A</v>
      </c>
      <c r="AD57" s="598" t="e">
        <f t="shared" si="387"/>
        <v>#N/A</v>
      </c>
      <c r="AE57" s="598" t="e">
        <f t="shared" si="387"/>
        <v>#N/A</v>
      </c>
      <c r="AF57" s="598" t="e">
        <f t="shared" si="387"/>
        <v>#N/A</v>
      </c>
      <c r="AG57" s="598" t="e">
        <f t="shared" si="387"/>
        <v>#N/A</v>
      </c>
      <c r="AH57" s="598" t="e">
        <f t="shared" si="387"/>
        <v>#N/A</v>
      </c>
      <c r="AI57" s="598" t="e">
        <f t="shared" si="387"/>
        <v>#N/A</v>
      </c>
      <c r="AK57" s="598" t="s">
        <v>3466</v>
      </c>
      <c r="AL57" s="598" t="e">
        <f t="shared" ref="AL57:AU57" si="388">AL$24+$Y181</f>
        <v>#N/A</v>
      </c>
      <c r="AM57" s="598" t="e">
        <f t="shared" si="388"/>
        <v>#N/A</v>
      </c>
      <c r="AN57" s="598" t="e">
        <f t="shared" si="388"/>
        <v>#N/A</v>
      </c>
      <c r="AO57" s="598" t="e">
        <f t="shared" si="388"/>
        <v>#N/A</v>
      </c>
      <c r="AP57" s="598" t="e">
        <f t="shared" si="388"/>
        <v>#N/A</v>
      </c>
      <c r="AQ57" s="598" t="e">
        <f t="shared" si="388"/>
        <v>#N/A</v>
      </c>
      <c r="AR57" s="598" t="e">
        <f t="shared" si="388"/>
        <v>#N/A</v>
      </c>
      <c r="AS57" s="598" t="e">
        <f t="shared" si="388"/>
        <v>#N/A</v>
      </c>
      <c r="AT57" s="598" t="e">
        <f t="shared" si="388"/>
        <v>#N/A</v>
      </c>
      <c r="AU57" s="598" t="e">
        <f t="shared" si="388"/>
        <v>#N/A</v>
      </c>
      <c r="AW57" s="598" t="s">
        <v>3466</v>
      </c>
      <c r="AX57" s="598">
        <f t="shared" ref="AX57:BG57" si="389">AX$24+$AA181</f>
        <v>-1</v>
      </c>
      <c r="AY57" s="598">
        <f t="shared" si="389"/>
        <v>0</v>
      </c>
      <c r="AZ57" s="598">
        <f t="shared" si="389"/>
        <v>1</v>
      </c>
      <c r="BA57" s="598">
        <f t="shared" si="389"/>
        <v>2</v>
      </c>
      <c r="BB57" s="598">
        <f t="shared" si="389"/>
        <v>3</v>
      </c>
      <c r="BC57" s="598">
        <f t="shared" si="389"/>
        <v>4</v>
      </c>
      <c r="BD57" s="598">
        <f t="shared" si="389"/>
        <v>5</v>
      </c>
      <c r="BE57" s="598">
        <f t="shared" si="389"/>
        <v>6</v>
      </c>
      <c r="BF57" s="598">
        <f t="shared" si="389"/>
        <v>7</v>
      </c>
      <c r="BG57" s="598">
        <f t="shared" si="389"/>
        <v>8</v>
      </c>
      <c r="BI57" s="598" t="s">
        <v>3466</v>
      </c>
      <c r="BJ57" s="598">
        <f t="shared" si="320"/>
        <v>4</v>
      </c>
      <c r="BK57" s="598">
        <f t="shared" si="321"/>
        <v>5</v>
      </c>
      <c r="BL57" s="598">
        <f t="shared" si="322"/>
        <v>6</v>
      </c>
      <c r="BM57" s="598">
        <f t="shared" si="323"/>
        <v>7</v>
      </c>
      <c r="BN57" s="598">
        <f t="shared" si="324"/>
        <v>8</v>
      </c>
      <c r="BO57" s="598">
        <f t="shared" si="325"/>
        <v>9</v>
      </c>
      <c r="BP57" s="598">
        <f t="shared" si="326"/>
        <v>10</v>
      </c>
      <c r="BQ57" s="598">
        <f t="shared" si="327"/>
        <v>11</v>
      </c>
      <c r="BR57" s="598">
        <f t="shared" si="328"/>
        <v>12</v>
      </c>
      <c r="BS57" s="598">
        <f t="shared" si="329"/>
        <v>13</v>
      </c>
      <c r="BU57" s="598" t="s">
        <v>3466</v>
      </c>
      <c r="BV57" s="598">
        <f t="shared" si="330"/>
        <v>-2</v>
      </c>
      <c r="BW57" s="598">
        <f t="shared" si="331"/>
        <v>-1</v>
      </c>
      <c r="BX57" s="598">
        <f t="shared" si="332"/>
        <v>0</v>
      </c>
      <c r="BY57" s="598">
        <f t="shared" si="333"/>
        <v>1</v>
      </c>
      <c r="BZ57" s="598">
        <f t="shared" si="334"/>
        <v>2</v>
      </c>
      <c r="CA57" s="598">
        <f t="shared" si="335"/>
        <v>3</v>
      </c>
      <c r="CB57" s="598">
        <f t="shared" si="336"/>
        <v>4</v>
      </c>
      <c r="CC57" s="598">
        <f t="shared" si="337"/>
        <v>5</v>
      </c>
      <c r="CD57" s="598">
        <f t="shared" si="338"/>
        <v>6</v>
      </c>
      <c r="CE57" s="598">
        <f t="shared" si="339"/>
        <v>7</v>
      </c>
    </row>
    <row r="58" spans="1:83">
      <c r="A58" s="598" t="s">
        <v>2347</v>
      </c>
      <c r="B58" s="598" t="e">
        <f t="shared" ref="B58:K58" si="390">B$24+$S182</f>
        <v>#N/A</v>
      </c>
      <c r="C58" s="598" t="e">
        <f t="shared" si="390"/>
        <v>#N/A</v>
      </c>
      <c r="D58" s="598" t="e">
        <f t="shared" si="390"/>
        <v>#N/A</v>
      </c>
      <c r="E58" s="598" t="e">
        <f t="shared" si="390"/>
        <v>#N/A</v>
      </c>
      <c r="F58" s="598" t="e">
        <f t="shared" si="390"/>
        <v>#N/A</v>
      </c>
      <c r="G58" s="598" t="e">
        <f t="shared" si="390"/>
        <v>#N/A</v>
      </c>
      <c r="H58" s="598" t="e">
        <f t="shared" si="390"/>
        <v>#N/A</v>
      </c>
      <c r="I58" s="598" t="e">
        <f t="shared" si="390"/>
        <v>#N/A</v>
      </c>
      <c r="J58" s="598" t="e">
        <f t="shared" si="390"/>
        <v>#N/A</v>
      </c>
      <c r="K58" s="598" t="e">
        <f t="shared" si="390"/>
        <v>#N/A</v>
      </c>
      <c r="M58" s="598" t="s">
        <v>2347</v>
      </c>
      <c r="N58" s="598" t="e">
        <f t="shared" ref="N58:W58" si="391">N$24+$U182</f>
        <v>#N/A</v>
      </c>
      <c r="O58" s="598" t="e">
        <f t="shared" si="391"/>
        <v>#N/A</v>
      </c>
      <c r="P58" s="598" t="e">
        <f t="shared" si="391"/>
        <v>#N/A</v>
      </c>
      <c r="Q58" s="598" t="e">
        <f t="shared" si="391"/>
        <v>#N/A</v>
      </c>
      <c r="R58" s="598" t="e">
        <f t="shared" si="391"/>
        <v>#N/A</v>
      </c>
      <c r="S58" s="598" t="e">
        <f t="shared" si="391"/>
        <v>#N/A</v>
      </c>
      <c r="T58" s="598" t="e">
        <f t="shared" si="391"/>
        <v>#N/A</v>
      </c>
      <c r="U58" s="598" t="e">
        <f t="shared" si="391"/>
        <v>#N/A</v>
      </c>
      <c r="V58" s="598" t="e">
        <f t="shared" si="391"/>
        <v>#N/A</v>
      </c>
      <c r="W58" s="598" t="e">
        <f t="shared" si="391"/>
        <v>#N/A</v>
      </c>
      <c r="Y58" s="598" t="s">
        <v>2347</v>
      </c>
      <c r="Z58" s="598" t="e">
        <f t="shared" ref="Z58:AI58" si="392">Z$24+$W182</f>
        <v>#N/A</v>
      </c>
      <c r="AA58" s="598" t="e">
        <f t="shared" si="392"/>
        <v>#N/A</v>
      </c>
      <c r="AB58" s="598" t="e">
        <f t="shared" si="392"/>
        <v>#N/A</v>
      </c>
      <c r="AC58" s="598" t="e">
        <f t="shared" si="392"/>
        <v>#N/A</v>
      </c>
      <c r="AD58" s="598" t="e">
        <f t="shared" si="392"/>
        <v>#N/A</v>
      </c>
      <c r="AE58" s="598" t="e">
        <f t="shared" si="392"/>
        <v>#N/A</v>
      </c>
      <c r="AF58" s="598" t="e">
        <f t="shared" si="392"/>
        <v>#N/A</v>
      </c>
      <c r="AG58" s="598" t="e">
        <f t="shared" si="392"/>
        <v>#N/A</v>
      </c>
      <c r="AH58" s="598" t="e">
        <f t="shared" si="392"/>
        <v>#N/A</v>
      </c>
      <c r="AI58" s="598" t="e">
        <f t="shared" si="392"/>
        <v>#N/A</v>
      </c>
      <c r="AK58" s="598" t="s">
        <v>2347</v>
      </c>
      <c r="AL58" s="598" t="e">
        <f t="shared" ref="AL58:AU58" si="393">AL$24+$Y182</f>
        <v>#N/A</v>
      </c>
      <c r="AM58" s="598" t="e">
        <f t="shared" si="393"/>
        <v>#N/A</v>
      </c>
      <c r="AN58" s="598" t="e">
        <f t="shared" si="393"/>
        <v>#N/A</v>
      </c>
      <c r="AO58" s="598" t="e">
        <f t="shared" si="393"/>
        <v>#N/A</v>
      </c>
      <c r="AP58" s="598" t="e">
        <f t="shared" si="393"/>
        <v>#N/A</v>
      </c>
      <c r="AQ58" s="598" t="e">
        <f t="shared" si="393"/>
        <v>#N/A</v>
      </c>
      <c r="AR58" s="598" t="e">
        <f t="shared" si="393"/>
        <v>#N/A</v>
      </c>
      <c r="AS58" s="598" t="e">
        <f t="shared" si="393"/>
        <v>#N/A</v>
      </c>
      <c r="AT58" s="598" t="e">
        <f t="shared" si="393"/>
        <v>#N/A</v>
      </c>
      <c r="AU58" s="598" t="e">
        <f t="shared" si="393"/>
        <v>#N/A</v>
      </c>
      <c r="AW58" s="598" t="s">
        <v>2347</v>
      </c>
      <c r="AX58" s="598" t="e">
        <f t="shared" ref="AX58:BG58" si="394">AX$24+$AA182</f>
        <v>#N/A</v>
      </c>
      <c r="AY58" s="598" t="e">
        <f t="shared" si="394"/>
        <v>#N/A</v>
      </c>
      <c r="AZ58" s="598" t="e">
        <f t="shared" si="394"/>
        <v>#N/A</v>
      </c>
      <c r="BA58" s="598" t="e">
        <f t="shared" si="394"/>
        <v>#N/A</v>
      </c>
      <c r="BB58" s="598" t="e">
        <f t="shared" si="394"/>
        <v>#N/A</v>
      </c>
      <c r="BC58" s="598" t="e">
        <f t="shared" si="394"/>
        <v>#N/A</v>
      </c>
      <c r="BD58" s="598" t="e">
        <f t="shared" si="394"/>
        <v>#N/A</v>
      </c>
      <c r="BE58" s="598" t="e">
        <f t="shared" si="394"/>
        <v>#N/A</v>
      </c>
      <c r="BF58" s="598" t="e">
        <f t="shared" si="394"/>
        <v>#N/A</v>
      </c>
      <c r="BG58" s="598" t="e">
        <f t="shared" si="394"/>
        <v>#N/A</v>
      </c>
      <c r="BI58" s="598" t="s">
        <v>2347</v>
      </c>
      <c r="BJ58" s="598" t="e">
        <f t="shared" si="320"/>
        <v>#N/A</v>
      </c>
      <c r="BK58" s="598" t="e">
        <f t="shared" si="321"/>
        <v>#N/A</v>
      </c>
      <c r="BL58" s="598" t="e">
        <f t="shared" si="322"/>
        <v>#N/A</v>
      </c>
      <c r="BM58" s="598" t="e">
        <f t="shared" si="323"/>
        <v>#N/A</v>
      </c>
      <c r="BN58" s="598" t="e">
        <f t="shared" si="324"/>
        <v>#N/A</v>
      </c>
      <c r="BO58" s="598" t="e">
        <f t="shared" si="325"/>
        <v>#N/A</v>
      </c>
      <c r="BP58" s="598" t="e">
        <f t="shared" si="326"/>
        <v>#N/A</v>
      </c>
      <c r="BQ58" s="598" t="e">
        <f t="shared" si="327"/>
        <v>#N/A</v>
      </c>
      <c r="BR58" s="598" t="e">
        <f t="shared" si="328"/>
        <v>#N/A</v>
      </c>
      <c r="BS58" s="598" t="e">
        <f t="shared" si="329"/>
        <v>#N/A</v>
      </c>
      <c r="BU58" s="598" t="s">
        <v>2347</v>
      </c>
      <c r="BV58" s="598" t="e">
        <f t="shared" si="330"/>
        <v>#N/A</v>
      </c>
      <c r="BW58" s="598" t="e">
        <f t="shared" si="331"/>
        <v>#N/A</v>
      </c>
      <c r="BX58" s="598" t="e">
        <f t="shared" si="332"/>
        <v>#N/A</v>
      </c>
      <c r="BY58" s="598" t="e">
        <f t="shared" si="333"/>
        <v>#N/A</v>
      </c>
      <c r="BZ58" s="598" t="e">
        <f t="shared" si="334"/>
        <v>#N/A</v>
      </c>
      <c r="CA58" s="598" t="e">
        <f t="shared" si="335"/>
        <v>#N/A</v>
      </c>
      <c r="CB58" s="598" t="e">
        <f t="shared" si="336"/>
        <v>#N/A</v>
      </c>
      <c r="CC58" s="598" t="e">
        <f t="shared" si="337"/>
        <v>#N/A</v>
      </c>
      <c r="CD58" s="598" t="e">
        <f t="shared" si="338"/>
        <v>#N/A</v>
      </c>
      <c r="CE58" s="598" t="e">
        <f t="shared" si="339"/>
        <v>#N/A</v>
      </c>
    </row>
    <row r="59" spans="1:83">
      <c r="A59" s="598" t="s">
        <v>2348</v>
      </c>
      <c r="B59" s="598" t="e">
        <f t="shared" ref="B59:K59" si="395">B$24+$S183</f>
        <v>#N/A</v>
      </c>
      <c r="C59" s="598" t="e">
        <f t="shared" si="395"/>
        <v>#N/A</v>
      </c>
      <c r="D59" s="598" t="e">
        <f t="shared" si="395"/>
        <v>#N/A</v>
      </c>
      <c r="E59" s="598" t="e">
        <f t="shared" si="395"/>
        <v>#N/A</v>
      </c>
      <c r="F59" s="598" t="e">
        <f t="shared" si="395"/>
        <v>#N/A</v>
      </c>
      <c r="G59" s="598" t="e">
        <f t="shared" si="395"/>
        <v>#N/A</v>
      </c>
      <c r="H59" s="598" t="e">
        <f t="shared" si="395"/>
        <v>#N/A</v>
      </c>
      <c r="I59" s="598" t="e">
        <f t="shared" si="395"/>
        <v>#N/A</v>
      </c>
      <c r="J59" s="598" t="e">
        <f t="shared" si="395"/>
        <v>#N/A</v>
      </c>
      <c r="K59" s="598" t="e">
        <f t="shared" si="395"/>
        <v>#N/A</v>
      </c>
      <c r="M59" s="598" t="s">
        <v>2348</v>
      </c>
      <c r="N59" s="598" t="e">
        <f t="shared" ref="N59:W59" si="396">N$24+$U183</f>
        <v>#N/A</v>
      </c>
      <c r="O59" s="598" t="e">
        <f t="shared" si="396"/>
        <v>#N/A</v>
      </c>
      <c r="P59" s="598" t="e">
        <f t="shared" si="396"/>
        <v>#N/A</v>
      </c>
      <c r="Q59" s="598" t="e">
        <f t="shared" si="396"/>
        <v>#N/A</v>
      </c>
      <c r="R59" s="598" t="e">
        <f t="shared" si="396"/>
        <v>#N/A</v>
      </c>
      <c r="S59" s="598" t="e">
        <f t="shared" si="396"/>
        <v>#N/A</v>
      </c>
      <c r="T59" s="598" t="e">
        <f t="shared" si="396"/>
        <v>#N/A</v>
      </c>
      <c r="U59" s="598" t="e">
        <f t="shared" si="396"/>
        <v>#N/A</v>
      </c>
      <c r="V59" s="598" t="e">
        <f t="shared" si="396"/>
        <v>#N/A</v>
      </c>
      <c r="W59" s="598" t="e">
        <f t="shared" si="396"/>
        <v>#N/A</v>
      </c>
      <c r="Y59" s="598" t="s">
        <v>2348</v>
      </c>
      <c r="Z59" s="598" t="e">
        <f t="shared" ref="Z59:AI59" si="397">Z$24+$W183</f>
        <v>#N/A</v>
      </c>
      <c r="AA59" s="598" t="e">
        <f t="shared" si="397"/>
        <v>#N/A</v>
      </c>
      <c r="AB59" s="598" t="e">
        <f t="shared" si="397"/>
        <v>#N/A</v>
      </c>
      <c r="AC59" s="598" t="e">
        <f t="shared" si="397"/>
        <v>#N/A</v>
      </c>
      <c r="AD59" s="598" t="e">
        <f t="shared" si="397"/>
        <v>#N/A</v>
      </c>
      <c r="AE59" s="598" t="e">
        <f t="shared" si="397"/>
        <v>#N/A</v>
      </c>
      <c r="AF59" s="598" t="e">
        <f t="shared" si="397"/>
        <v>#N/A</v>
      </c>
      <c r="AG59" s="598" t="e">
        <f t="shared" si="397"/>
        <v>#N/A</v>
      </c>
      <c r="AH59" s="598" t="e">
        <f t="shared" si="397"/>
        <v>#N/A</v>
      </c>
      <c r="AI59" s="598" t="e">
        <f t="shared" si="397"/>
        <v>#N/A</v>
      </c>
      <c r="AK59" s="598" t="s">
        <v>2348</v>
      </c>
      <c r="AL59" s="598" t="e">
        <f t="shared" ref="AL59:AU59" si="398">AL$24+$Y183</f>
        <v>#N/A</v>
      </c>
      <c r="AM59" s="598" t="e">
        <f t="shared" si="398"/>
        <v>#N/A</v>
      </c>
      <c r="AN59" s="598" t="e">
        <f t="shared" si="398"/>
        <v>#N/A</v>
      </c>
      <c r="AO59" s="598" t="e">
        <f t="shared" si="398"/>
        <v>#N/A</v>
      </c>
      <c r="AP59" s="598" t="e">
        <f t="shared" si="398"/>
        <v>#N/A</v>
      </c>
      <c r="AQ59" s="598" t="e">
        <f t="shared" si="398"/>
        <v>#N/A</v>
      </c>
      <c r="AR59" s="598" t="e">
        <f t="shared" si="398"/>
        <v>#N/A</v>
      </c>
      <c r="AS59" s="598" t="e">
        <f t="shared" si="398"/>
        <v>#N/A</v>
      </c>
      <c r="AT59" s="598" t="e">
        <f t="shared" si="398"/>
        <v>#N/A</v>
      </c>
      <c r="AU59" s="598" t="e">
        <f t="shared" si="398"/>
        <v>#N/A</v>
      </c>
      <c r="AW59" s="598" t="s">
        <v>2348</v>
      </c>
      <c r="AX59" s="598" t="e">
        <f t="shared" ref="AX59:BG59" si="399">AX$24+$AA183</f>
        <v>#N/A</v>
      </c>
      <c r="AY59" s="598" t="e">
        <f t="shared" si="399"/>
        <v>#N/A</v>
      </c>
      <c r="AZ59" s="598" t="e">
        <f t="shared" si="399"/>
        <v>#N/A</v>
      </c>
      <c r="BA59" s="598" t="e">
        <f t="shared" si="399"/>
        <v>#N/A</v>
      </c>
      <c r="BB59" s="598" t="e">
        <f t="shared" si="399"/>
        <v>#N/A</v>
      </c>
      <c r="BC59" s="598" t="e">
        <f t="shared" si="399"/>
        <v>#N/A</v>
      </c>
      <c r="BD59" s="598" t="e">
        <f t="shared" si="399"/>
        <v>#N/A</v>
      </c>
      <c r="BE59" s="598" t="e">
        <f t="shared" si="399"/>
        <v>#N/A</v>
      </c>
      <c r="BF59" s="598" t="e">
        <f t="shared" si="399"/>
        <v>#N/A</v>
      </c>
      <c r="BG59" s="598" t="e">
        <f t="shared" si="399"/>
        <v>#N/A</v>
      </c>
      <c r="BI59" s="598" t="s">
        <v>2348</v>
      </c>
      <c r="BJ59" s="598" t="e">
        <f t="shared" si="320"/>
        <v>#N/A</v>
      </c>
      <c r="BK59" s="598" t="e">
        <f t="shared" si="321"/>
        <v>#N/A</v>
      </c>
      <c r="BL59" s="598" t="e">
        <f t="shared" si="322"/>
        <v>#N/A</v>
      </c>
      <c r="BM59" s="598" t="e">
        <f t="shared" si="323"/>
        <v>#N/A</v>
      </c>
      <c r="BN59" s="598" t="e">
        <f t="shared" si="324"/>
        <v>#N/A</v>
      </c>
      <c r="BO59" s="598" t="e">
        <f t="shared" si="325"/>
        <v>#N/A</v>
      </c>
      <c r="BP59" s="598" t="e">
        <f t="shared" si="326"/>
        <v>#N/A</v>
      </c>
      <c r="BQ59" s="598" t="e">
        <f t="shared" si="327"/>
        <v>#N/A</v>
      </c>
      <c r="BR59" s="598" t="e">
        <f t="shared" si="328"/>
        <v>#N/A</v>
      </c>
      <c r="BS59" s="598" t="e">
        <f t="shared" si="329"/>
        <v>#N/A</v>
      </c>
      <c r="BU59" s="598" t="s">
        <v>2348</v>
      </c>
      <c r="BV59" s="598" t="e">
        <f t="shared" si="330"/>
        <v>#N/A</v>
      </c>
      <c r="BW59" s="598" t="e">
        <f t="shared" si="331"/>
        <v>#N/A</v>
      </c>
      <c r="BX59" s="598" t="e">
        <f t="shared" si="332"/>
        <v>#N/A</v>
      </c>
      <c r="BY59" s="598" t="e">
        <f t="shared" si="333"/>
        <v>#N/A</v>
      </c>
      <c r="BZ59" s="598" t="e">
        <f t="shared" si="334"/>
        <v>#N/A</v>
      </c>
      <c r="CA59" s="598" t="e">
        <f t="shared" si="335"/>
        <v>#N/A</v>
      </c>
      <c r="CB59" s="598" t="e">
        <f t="shared" si="336"/>
        <v>#N/A</v>
      </c>
      <c r="CC59" s="598" t="e">
        <f t="shared" si="337"/>
        <v>#N/A</v>
      </c>
      <c r="CD59" s="598" t="e">
        <f t="shared" si="338"/>
        <v>#N/A</v>
      </c>
      <c r="CE59" s="598" t="e">
        <f t="shared" si="339"/>
        <v>#N/A</v>
      </c>
    </row>
    <row r="60" spans="1:83">
      <c r="A60" s="598" t="s">
        <v>2340</v>
      </c>
      <c r="B60" s="598" t="e">
        <f t="shared" ref="B60:K60" si="400">B$24+$S184</f>
        <v>#N/A</v>
      </c>
      <c r="C60" s="598" t="e">
        <f t="shared" si="400"/>
        <v>#N/A</v>
      </c>
      <c r="D60" s="598" t="e">
        <f t="shared" si="400"/>
        <v>#N/A</v>
      </c>
      <c r="E60" s="598" t="e">
        <f t="shared" si="400"/>
        <v>#N/A</v>
      </c>
      <c r="F60" s="598" t="e">
        <f t="shared" si="400"/>
        <v>#N/A</v>
      </c>
      <c r="G60" s="598" t="e">
        <f t="shared" si="400"/>
        <v>#N/A</v>
      </c>
      <c r="H60" s="598" t="e">
        <f t="shared" si="400"/>
        <v>#N/A</v>
      </c>
      <c r="I60" s="598" t="e">
        <f t="shared" si="400"/>
        <v>#N/A</v>
      </c>
      <c r="J60" s="598" t="e">
        <f t="shared" si="400"/>
        <v>#N/A</v>
      </c>
      <c r="K60" s="598" t="e">
        <f t="shared" si="400"/>
        <v>#N/A</v>
      </c>
      <c r="M60" s="598" t="s">
        <v>2340</v>
      </c>
      <c r="N60" s="598" t="e">
        <f t="shared" ref="N60:W60" si="401">N$24+$U184</f>
        <v>#N/A</v>
      </c>
      <c r="O60" s="598" t="e">
        <f t="shared" si="401"/>
        <v>#N/A</v>
      </c>
      <c r="P60" s="598" t="e">
        <f t="shared" si="401"/>
        <v>#N/A</v>
      </c>
      <c r="Q60" s="598" t="e">
        <f t="shared" si="401"/>
        <v>#N/A</v>
      </c>
      <c r="R60" s="598" t="e">
        <f t="shared" si="401"/>
        <v>#N/A</v>
      </c>
      <c r="S60" s="598" t="e">
        <f t="shared" si="401"/>
        <v>#N/A</v>
      </c>
      <c r="T60" s="598" t="e">
        <f t="shared" si="401"/>
        <v>#N/A</v>
      </c>
      <c r="U60" s="598" t="e">
        <f t="shared" si="401"/>
        <v>#N/A</v>
      </c>
      <c r="V60" s="598" t="e">
        <f t="shared" si="401"/>
        <v>#N/A</v>
      </c>
      <c r="W60" s="598" t="e">
        <f t="shared" si="401"/>
        <v>#N/A</v>
      </c>
      <c r="Y60" s="598" t="s">
        <v>2340</v>
      </c>
      <c r="Z60" s="598" t="e">
        <f t="shared" ref="Z60:AI60" si="402">Z$24+$W184</f>
        <v>#N/A</v>
      </c>
      <c r="AA60" s="598" t="e">
        <f t="shared" si="402"/>
        <v>#N/A</v>
      </c>
      <c r="AB60" s="598" t="e">
        <f t="shared" si="402"/>
        <v>#N/A</v>
      </c>
      <c r="AC60" s="598" t="e">
        <f t="shared" si="402"/>
        <v>#N/A</v>
      </c>
      <c r="AD60" s="598" t="e">
        <f t="shared" si="402"/>
        <v>#N/A</v>
      </c>
      <c r="AE60" s="598" t="e">
        <f t="shared" si="402"/>
        <v>#N/A</v>
      </c>
      <c r="AF60" s="598" t="e">
        <f t="shared" si="402"/>
        <v>#N/A</v>
      </c>
      <c r="AG60" s="598" t="e">
        <f t="shared" si="402"/>
        <v>#N/A</v>
      </c>
      <c r="AH60" s="598" t="e">
        <f t="shared" si="402"/>
        <v>#N/A</v>
      </c>
      <c r="AI60" s="598" t="e">
        <f t="shared" si="402"/>
        <v>#N/A</v>
      </c>
      <c r="AK60" s="598" t="s">
        <v>2340</v>
      </c>
      <c r="AL60" s="598" t="e">
        <f t="shared" ref="AL60:AU60" si="403">AL$24+$Y184</f>
        <v>#N/A</v>
      </c>
      <c r="AM60" s="598" t="e">
        <f t="shared" si="403"/>
        <v>#N/A</v>
      </c>
      <c r="AN60" s="598" t="e">
        <f t="shared" si="403"/>
        <v>#N/A</v>
      </c>
      <c r="AO60" s="598" t="e">
        <f t="shared" si="403"/>
        <v>#N/A</v>
      </c>
      <c r="AP60" s="598" t="e">
        <f t="shared" si="403"/>
        <v>#N/A</v>
      </c>
      <c r="AQ60" s="598" t="e">
        <f t="shared" si="403"/>
        <v>#N/A</v>
      </c>
      <c r="AR60" s="598" t="e">
        <f t="shared" si="403"/>
        <v>#N/A</v>
      </c>
      <c r="AS60" s="598" t="e">
        <f t="shared" si="403"/>
        <v>#N/A</v>
      </c>
      <c r="AT60" s="598" t="e">
        <f t="shared" si="403"/>
        <v>#N/A</v>
      </c>
      <c r="AU60" s="598" t="e">
        <f t="shared" si="403"/>
        <v>#N/A</v>
      </c>
      <c r="AW60" s="598" t="s">
        <v>2340</v>
      </c>
      <c r="AX60" s="598" t="e">
        <f t="shared" ref="AX60:BG60" si="404">AX$24+$AA184</f>
        <v>#N/A</v>
      </c>
      <c r="AY60" s="598" t="e">
        <f t="shared" si="404"/>
        <v>#N/A</v>
      </c>
      <c r="AZ60" s="598" t="e">
        <f t="shared" si="404"/>
        <v>#N/A</v>
      </c>
      <c r="BA60" s="598" t="e">
        <f t="shared" si="404"/>
        <v>#N/A</v>
      </c>
      <c r="BB60" s="598" t="e">
        <f t="shared" si="404"/>
        <v>#N/A</v>
      </c>
      <c r="BC60" s="598" t="e">
        <f t="shared" si="404"/>
        <v>#N/A</v>
      </c>
      <c r="BD60" s="598" t="e">
        <f t="shared" si="404"/>
        <v>#N/A</v>
      </c>
      <c r="BE60" s="598" t="e">
        <f t="shared" si="404"/>
        <v>#N/A</v>
      </c>
      <c r="BF60" s="598" t="e">
        <f t="shared" si="404"/>
        <v>#N/A</v>
      </c>
      <c r="BG60" s="598" t="e">
        <f t="shared" si="404"/>
        <v>#N/A</v>
      </c>
      <c r="BI60" s="598" t="s">
        <v>2340</v>
      </c>
      <c r="BJ60" s="598" t="e">
        <f t="shared" si="320"/>
        <v>#N/A</v>
      </c>
      <c r="BK60" s="598" t="e">
        <f t="shared" si="321"/>
        <v>#N/A</v>
      </c>
      <c r="BL60" s="598" t="e">
        <f t="shared" si="322"/>
        <v>#N/A</v>
      </c>
      <c r="BM60" s="598" t="e">
        <f t="shared" si="323"/>
        <v>#N/A</v>
      </c>
      <c r="BN60" s="598" t="e">
        <f t="shared" si="324"/>
        <v>#N/A</v>
      </c>
      <c r="BO60" s="598" t="e">
        <f t="shared" si="325"/>
        <v>#N/A</v>
      </c>
      <c r="BP60" s="598" t="e">
        <f t="shared" si="326"/>
        <v>#N/A</v>
      </c>
      <c r="BQ60" s="598" t="e">
        <f t="shared" si="327"/>
        <v>#N/A</v>
      </c>
      <c r="BR60" s="598" t="e">
        <f t="shared" si="328"/>
        <v>#N/A</v>
      </c>
      <c r="BS60" s="598" t="e">
        <f t="shared" si="329"/>
        <v>#N/A</v>
      </c>
      <c r="BU60" s="598" t="s">
        <v>2340</v>
      </c>
      <c r="BV60" s="598" t="e">
        <f t="shared" si="330"/>
        <v>#N/A</v>
      </c>
      <c r="BW60" s="598" t="e">
        <f t="shared" si="331"/>
        <v>#N/A</v>
      </c>
      <c r="BX60" s="598" t="e">
        <f t="shared" si="332"/>
        <v>#N/A</v>
      </c>
      <c r="BY60" s="598" t="e">
        <f t="shared" si="333"/>
        <v>#N/A</v>
      </c>
      <c r="BZ60" s="598" t="e">
        <f t="shared" si="334"/>
        <v>#N/A</v>
      </c>
      <c r="CA60" s="598" t="e">
        <f t="shared" si="335"/>
        <v>#N/A</v>
      </c>
      <c r="CB60" s="598" t="e">
        <f t="shared" si="336"/>
        <v>#N/A</v>
      </c>
      <c r="CC60" s="598" t="e">
        <f t="shared" si="337"/>
        <v>#N/A</v>
      </c>
      <c r="CD60" s="598" t="e">
        <f t="shared" si="338"/>
        <v>#N/A</v>
      </c>
      <c r="CE60" s="598" t="e">
        <f t="shared" si="339"/>
        <v>#N/A</v>
      </c>
    </row>
    <row r="61" spans="1:83">
      <c r="A61" s="598" t="s">
        <v>1633</v>
      </c>
      <c r="B61" s="598" t="e">
        <f t="shared" ref="B61:K61" si="405">B$24+$S185</f>
        <v>#N/A</v>
      </c>
      <c r="C61" s="598" t="e">
        <f t="shared" si="405"/>
        <v>#N/A</v>
      </c>
      <c r="D61" s="598" t="e">
        <f t="shared" si="405"/>
        <v>#N/A</v>
      </c>
      <c r="E61" s="598" t="e">
        <f t="shared" si="405"/>
        <v>#N/A</v>
      </c>
      <c r="F61" s="598" t="e">
        <f t="shared" si="405"/>
        <v>#N/A</v>
      </c>
      <c r="G61" s="598" t="e">
        <f t="shared" si="405"/>
        <v>#N/A</v>
      </c>
      <c r="H61" s="598" t="e">
        <f t="shared" si="405"/>
        <v>#N/A</v>
      </c>
      <c r="I61" s="598" t="e">
        <f t="shared" si="405"/>
        <v>#N/A</v>
      </c>
      <c r="J61" s="598" t="e">
        <f t="shared" si="405"/>
        <v>#N/A</v>
      </c>
      <c r="K61" s="598" t="e">
        <f t="shared" si="405"/>
        <v>#N/A</v>
      </c>
      <c r="M61" s="598" t="s">
        <v>1633</v>
      </c>
      <c r="N61" s="598">
        <f t="shared" ref="N61:W61" si="406">N$24+$U185</f>
        <v>1</v>
      </c>
      <c r="O61" s="598">
        <f t="shared" si="406"/>
        <v>2</v>
      </c>
      <c r="P61" s="598">
        <f t="shared" si="406"/>
        <v>3</v>
      </c>
      <c r="Q61" s="598">
        <f t="shared" si="406"/>
        <v>4</v>
      </c>
      <c r="R61" s="598">
        <f t="shared" si="406"/>
        <v>5</v>
      </c>
      <c r="S61" s="598">
        <f t="shared" si="406"/>
        <v>6</v>
      </c>
      <c r="T61" s="598">
        <f t="shared" si="406"/>
        <v>7</v>
      </c>
      <c r="U61" s="598">
        <f t="shared" si="406"/>
        <v>8</v>
      </c>
      <c r="V61" s="598">
        <f t="shared" si="406"/>
        <v>9</v>
      </c>
      <c r="W61" s="598">
        <f t="shared" si="406"/>
        <v>10</v>
      </c>
      <c r="Y61" s="598" t="s">
        <v>1633</v>
      </c>
      <c r="Z61" s="598" t="e">
        <f t="shared" ref="Z61:AI61" si="407">Z$24+$W185</f>
        <v>#N/A</v>
      </c>
      <c r="AA61" s="598" t="e">
        <f t="shared" si="407"/>
        <v>#N/A</v>
      </c>
      <c r="AB61" s="598" t="e">
        <f t="shared" si="407"/>
        <v>#N/A</v>
      </c>
      <c r="AC61" s="598" t="e">
        <f t="shared" si="407"/>
        <v>#N/A</v>
      </c>
      <c r="AD61" s="598" t="e">
        <f t="shared" si="407"/>
        <v>#N/A</v>
      </c>
      <c r="AE61" s="598" t="e">
        <f t="shared" si="407"/>
        <v>#N/A</v>
      </c>
      <c r="AF61" s="598" t="e">
        <f t="shared" si="407"/>
        <v>#N/A</v>
      </c>
      <c r="AG61" s="598" t="e">
        <f t="shared" si="407"/>
        <v>#N/A</v>
      </c>
      <c r="AH61" s="598" t="e">
        <f t="shared" si="407"/>
        <v>#N/A</v>
      </c>
      <c r="AI61" s="598" t="e">
        <f t="shared" si="407"/>
        <v>#N/A</v>
      </c>
      <c r="AK61" s="598" t="s">
        <v>1633</v>
      </c>
      <c r="AL61" s="598" t="e">
        <f t="shared" ref="AL61:AU61" si="408">AL$24+$Y185</f>
        <v>#N/A</v>
      </c>
      <c r="AM61" s="598" t="e">
        <f t="shared" si="408"/>
        <v>#N/A</v>
      </c>
      <c r="AN61" s="598" t="e">
        <f t="shared" si="408"/>
        <v>#N/A</v>
      </c>
      <c r="AO61" s="598" t="e">
        <f t="shared" si="408"/>
        <v>#N/A</v>
      </c>
      <c r="AP61" s="598" t="e">
        <f t="shared" si="408"/>
        <v>#N/A</v>
      </c>
      <c r="AQ61" s="598" t="e">
        <f t="shared" si="408"/>
        <v>#N/A</v>
      </c>
      <c r="AR61" s="598" t="e">
        <f t="shared" si="408"/>
        <v>#N/A</v>
      </c>
      <c r="AS61" s="598" t="e">
        <f t="shared" si="408"/>
        <v>#N/A</v>
      </c>
      <c r="AT61" s="598" t="e">
        <f t="shared" si="408"/>
        <v>#N/A</v>
      </c>
      <c r="AU61" s="598" t="e">
        <f t="shared" si="408"/>
        <v>#N/A</v>
      </c>
      <c r="AW61" s="598" t="s">
        <v>1633</v>
      </c>
      <c r="AX61" s="598">
        <f t="shared" ref="AX61:BG61" si="409">AX$24+$AA185</f>
        <v>1</v>
      </c>
      <c r="AY61" s="598">
        <f t="shared" si="409"/>
        <v>2</v>
      </c>
      <c r="AZ61" s="598">
        <f t="shared" si="409"/>
        <v>3</v>
      </c>
      <c r="BA61" s="598">
        <f t="shared" si="409"/>
        <v>4</v>
      </c>
      <c r="BB61" s="598">
        <f t="shared" si="409"/>
        <v>5</v>
      </c>
      <c r="BC61" s="598">
        <f t="shared" si="409"/>
        <v>6</v>
      </c>
      <c r="BD61" s="598">
        <f t="shared" si="409"/>
        <v>7</v>
      </c>
      <c r="BE61" s="598">
        <f t="shared" si="409"/>
        <v>8</v>
      </c>
      <c r="BF61" s="598">
        <f t="shared" si="409"/>
        <v>9</v>
      </c>
      <c r="BG61" s="598">
        <f t="shared" si="409"/>
        <v>10</v>
      </c>
      <c r="BI61" s="598" t="s">
        <v>1633</v>
      </c>
      <c r="BJ61" s="598">
        <f t="shared" si="320"/>
        <v>-1</v>
      </c>
      <c r="BK61" s="598">
        <f t="shared" si="321"/>
        <v>0</v>
      </c>
      <c r="BL61" s="598">
        <f t="shared" si="322"/>
        <v>1</v>
      </c>
      <c r="BM61" s="598">
        <f t="shared" si="323"/>
        <v>2</v>
      </c>
      <c r="BN61" s="598">
        <f t="shared" si="324"/>
        <v>3</v>
      </c>
      <c r="BO61" s="598">
        <f t="shared" si="325"/>
        <v>4</v>
      </c>
      <c r="BP61" s="598">
        <f t="shared" si="326"/>
        <v>5</v>
      </c>
      <c r="BQ61" s="598">
        <f t="shared" si="327"/>
        <v>6</v>
      </c>
      <c r="BR61" s="598">
        <f t="shared" si="328"/>
        <v>7</v>
      </c>
      <c r="BS61" s="598">
        <f t="shared" si="329"/>
        <v>8</v>
      </c>
      <c r="BU61" s="598" t="s">
        <v>1633</v>
      </c>
      <c r="BV61" s="598" t="e">
        <f t="shared" si="330"/>
        <v>#N/A</v>
      </c>
      <c r="BW61" s="598" t="e">
        <f t="shared" si="331"/>
        <v>#N/A</v>
      </c>
      <c r="BX61" s="598" t="e">
        <f t="shared" si="332"/>
        <v>#N/A</v>
      </c>
      <c r="BY61" s="598" t="e">
        <f t="shared" si="333"/>
        <v>#N/A</v>
      </c>
      <c r="BZ61" s="598" t="e">
        <f t="shared" si="334"/>
        <v>#N/A</v>
      </c>
      <c r="CA61" s="598" t="e">
        <f t="shared" si="335"/>
        <v>#N/A</v>
      </c>
      <c r="CB61" s="598" t="e">
        <f t="shared" si="336"/>
        <v>#N/A</v>
      </c>
      <c r="CC61" s="598" t="e">
        <f t="shared" si="337"/>
        <v>#N/A</v>
      </c>
      <c r="CD61" s="598" t="e">
        <f t="shared" si="338"/>
        <v>#N/A</v>
      </c>
      <c r="CE61" s="598" t="e">
        <f t="shared" si="339"/>
        <v>#N/A</v>
      </c>
    </row>
    <row r="62" spans="1:83">
      <c r="A62" s="598" t="s">
        <v>1634</v>
      </c>
      <c r="B62" s="598" t="e">
        <f t="shared" ref="B62:K62" si="410">B$24+$S186</f>
        <v>#N/A</v>
      </c>
      <c r="C62" s="598" t="e">
        <f t="shared" si="410"/>
        <v>#N/A</v>
      </c>
      <c r="D62" s="598" t="e">
        <f t="shared" si="410"/>
        <v>#N/A</v>
      </c>
      <c r="E62" s="598" t="e">
        <f t="shared" si="410"/>
        <v>#N/A</v>
      </c>
      <c r="F62" s="598" t="e">
        <f t="shared" si="410"/>
        <v>#N/A</v>
      </c>
      <c r="G62" s="598" t="e">
        <f t="shared" si="410"/>
        <v>#N/A</v>
      </c>
      <c r="H62" s="598" t="e">
        <f t="shared" si="410"/>
        <v>#N/A</v>
      </c>
      <c r="I62" s="598" t="e">
        <f t="shared" si="410"/>
        <v>#N/A</v>
      </c>
      <c r="J62" s="598" t="e">
        <f t="shared" si="410"/>
        <v>#N/A</v>
      </c>
      <c r="K62" s="598" t="e">
        <f t="shared" si="410"/>
        <v>#N/A</v>
      </c>
      <c r="M62" s="598" t="s">
        <v>1634</v>
      </c>
      <c r="N62" s="598">
        <f t="shared" ref="N62:W62" si="411">N$24+$U186</f>
        <v>1</v>
      </c>
      <c r="O62" s="598">
        <f t="shared" si="411"/>
        <v>2</v>
      </c>
      <c r="P62" s="598">
        <f t="shared" si="411"/>
        <v>3</v>
      </c>
      <c r="Q62" s="598">
        <f t="shared" si="411"/>
        <v>4</v>
      </c>
      <c r="R62" s="598">
        <f t="shared" si="411"/>
        <v>5</v>
      </c>
      <c r="S62" s="598">
        <f t="shared" si="411"/>
        <v>6</v>
      </c>
      <c r="T62" s="598">
        <f t="shared" si="411"/>
        <v>7</v>
      </c>
      <c r="U62" s="598">
        <f t="shared" si="411"/>
        <v>8</v>
      </c>
      <c r="V62" s="598">
        <f t="shared" si="411"/>
        <v>9</v>
      </c>
      <c r="W62" s="598">
        <f t="shared" si="411"/>
        <v>10</v>
      </c>
      <c r="Y62" s="598" t="s">
        <v>1634</v>
      </c>
      <c r="Z62" s="598" t="e">
        <f t="shared" ref="Z62:AI62" si="412">Z$24+$W186</f>
        <v>#N/A</v>
      </c>
      <c r="AA62" s="598" t="e">
        <f t="shared" si="412"/>
        <v>#N/A</v>
      </c>
      <c r="AB62" s="598" t="e">
        <f t="shared" si="412"/>
        <v>#N/A</v>
      </c>
      <c r="AC62" s="598" t="e">
        <f t="shared" si="412"/>
        <v>#N/A</v>
      </c>
      <c r="AD62" s="598" t="e">
        <f t="shared" si="412"/>
        <v>#N/A</v>
      </c>
      <c r="AE62" s="598" t="e">
        <f t="shared" si="412"/>
        <v>#N/A</v>
      </c>
      <c r="AF62" s="598" t="e">
        <f t="shared" si="412"/>
        <v>#N/A</v>
      </c>
      <c r="AG62" s="598" t="e">
        <f t="shared" si="412"/>
        <v>#N/A</v>
      </c>
      <c r="AH62" s="598" t="e">
        <f t="shared" si="412"/>
        <v>#N/A</v>
      </c>
      <c r="AI62" s="598" t="e">
        <f t="shared" si="412"/>
        <v>#N/A</v>
      </c>
      <c r="AK62" s="598" t="s">
        <v>1634</v>
      </c>
      <c r="AL62" s="598" t="e">
        <f t="shared" ref="AL62:AU62" si="413">AL$24+$Y186</f>
        <v>#N/A</v>
      </c>
      <c r="AM62" s="598" t="e">
        <f t="shared" si="413"/>
        <v>#N/A</v>
      </c>
      <c r="AN62" s="598" t="e">
        <f t="shared" si="413"/>
        <v>#N/A</v>
      </c>
      <c r="AO62" s="598" t="e">
        <f t="shared" si="413"/>
        <v>#N/A</v>
      </c>
      <c r="AP62" s="598" t="e">
        <f t="shared" si="413"/>
        <v>#N/A</v>
      </c>
      <c r="AQ62" s="598" t="e">
        <f t="shared" si="413"/>
        <v>#N/A</v>
      </c>
      <c r="AR62" s="598" t="e">
        <f t="shared" si="413"/>
        <v>#N/A</v>
      </c>
      <c r="AS62" s="598" t="e">
        <f t="shared" si="413"/>
        <v>#N/A</v>
      </c>
      <c r="AT62" s="598" t="e">
        <f t="shared" si="413"/>
        <v>#N/A</v>
      </c>
      <c r="AU62" s="598" t="e">
        <f t="shared" si="413"/>
        <v>#N/A</v>
      </c>
      <c r="AW62" s="598" t="s">
        <v>1634</v>
      </c>
      <c r="AX62" s="598">
        <f t="shared" ref="AX62:BG62" si="414">AX$24+$AA186</f>
        <v>1</v>
      </c>
      <c r="AY62" s="598">
        <f t="shared" si="414"/>
        <v>2</v>
      </c>
      <c r="AZ62" s="598">
        <f t="shared" si="414"/>
        <v>3</v>
      </c>
      <c r="BA62" s="598">
        <f t="shared" si="414"/>
        <v>4</v>
      </c>
      <c r="BB62" s="598">
        <f t="shared" si="414"/>
        <v>5</v>
      </c>
      <c r="BC62" s="598">
        <f t="shared" si="414"/>
        <v>6</v>
      </c>
      <c r="BD62" s="598">
        <f t="shared" si="414"/>
        <v>7</v>
      </c>
      <c r="BE62" s="598">
        <f t="shared" si="414"/>
        <v>8</v>
      </c>
      <c r="BF62" s="598">
        <f t="shared" si="414"/>
        <v>9</v>
      </c>
      <c r="BG62" s="598">
        <f t="shared" si="414"/>
        <v>10</v>
      </c>
      <c r="BI62" s="598" t="s">
        <v>1634</v>
      </c>
      <c r="BJ62" s="598">
        <f t="shared" si="320"/>
        <v>2</v>
      </c>
      <c r="BK62" s="598">
        <f t="shared" si="321"/>
        <v>3</v>
      </c>
      <c r="BL62" s="598">
        <f t="shared" si="322"/>
        <v>4</v>
      </c>
      <c r="BM62" s="598">
        <f t="shared" si="323"/>
        <v>5</v>
      </c>
      <c r="BN62" s="598">
        <f t="shared" si="324"/>
        <v>6</v>
      </c>
      <c r="BO62" s="598">
        <f t="shared" si="325"/>
        <v>7</v>
      </c>
      <c r="BP62" s="598">
        <f t="shared" si="326"/>
        <v>8</v>
      </c>
      <c r="BQ62" s="598">
        <f t="shared" si="327"/>
        <v>9</v>
      </c>
      <c r="BR62" s="598">
        <f t="shared" si="328"/>
        <v>10</v>
      </c>
      <c r="BS62" s="598">
        <f t="shared" si="329"/>
        <v>11</v>
      </c>
      <c r="BU62" s="598" t="s">
        <v>1634</v>
      </c>
      <c r="BV62" s="598" t="e">
        <f t="shared" si="330"/>
        <v>#N/A</v>
      </c>
      <c r="BW62" s="598" t="e">
        <f t="shared" si="331"/>
        <v>#N/A</v>
      </c>
      <c r="BX62" s="598" t="e">
        <f t="shared" si="332"/>
        <v>#N/A</v>
      </c>
      <c r="BY62" s="598" t="e">
        <f t="shared" si="333"/>
        <v>#N/A</v>
      </c>
      <c r="BZ62" s="598" t="e">
        <f t="shared" si="334"/>
        <v>#N/A</v>
      </c>
      <c r="CA62" s="598" t="e">
        <f t="shared" si="335"/>
        <v>#N/A</v>
      </c>
      <c r="CB62" s="598" t="e">
        <f t="shared" si="336"/>
        <v>#N/A</v>
      </c>
      <c r="CC62" s="598" t="e">
        <f t="shared" si="337"/>
        <v>#N/A</v>
      </c>
      <c r="CD62" s="598" t="e">
        <f t="shared" si="338"/>
        <v>#N/A</v>
      </c>
      <c r="CE62" s="598" t="e">
        <f t="shared" si="339"/>
        <v>#N/A</v>
      </c>
    </row>
    <row r="63" spans="1:83">
      <c r="A63" s="598" t="s">
        <v>1635</v>
      </c>
      <c r="B63" s="598" t="e">
        <f t="shared" ref="B63:K63" si="415">B$24+$S187</f>
        <v>#N/A</v>
      </c>
      <c r="C63" s="598" t="e">
        <f t="shared" si="415"/>
        <v>#N/A</v>
      </c>
      <c r="D63" s="598" t="e">
        <f t="shared" si="415"/>
        <v>#N/A</v>
      </c>
      <c r="E63" s="598" t="e">
        <f t="shared" si="415"/>
        <v>#N/A</v>
      </c>
      <c r="F63" s="598" t="e">
        <f t="shared" si="415"/>
        <v>#N/A</v>
      </c>
      <c r="G63" s="598" t="e">
        <f t="shared" si="415"/>
        <v>#N/A</v>
      </c>
      <c r="H63" s="598" t="e">
        <f t="shared" si="415"/>
        <v>#N/A</v>
      </c>
      <c r="I63" s="598" t="e">
        <f t="shared" si="415"/>
        <v>#N/A</v>
      </c>
      <c r="J63" s="598" t="e">
        <f t="shared" si="415"/>
        <v>#N/A</v>
      </c>
      <c r="K63" s="598" t="e">
        <f t="shared" si="415"/>
        <v>#N/A</v>
      </c>
      <c r="M63" s="598" t="s">
        <v>1635</v>
      </c>
      <c r="N63" s="598">
        <f t="shared" ref="N63:W63" si="416">N$24+$U187</f>
        <v>1</v>
      </c>
      <c r="O63" s="598">
        <f t="shared" si="416"/>
        <v>2</v>
      </c>
      <c r="P63" s="598">
        <f t="shared" si="416"/>
        <v>3</v>
      </c>
      <c r="Q63" s="598">
        <f t="shared" si="416"/>
        <v>4</v>
      </c>
      <c r="R63" s="598">
        <f t="shared" si="416"/>
        <v>5</v>
      </c>
      <c r="S63" s="598">
        <f t="shared" si="416"/>
        <v>6</v>
      </c>
      <c r="T63" s="598">
        <f t="shared" si="416"/>
        <v>7</v>
      </c>
      <c r="U63" s="598">
        <f t="shared" si="416"/>
        <v>8</v>
      </c>
      <c r="V63" s="598">
        <f t="shared" si="416"/>
        <v>9</v>
      </c>
      <c r="W63" s="598">
        <f t="shared" si="416"/>
        <v>10</v>
      </c>
      <c r="Y63" s="598" t="s">
        <v>1635</v>
      </c>
      <c r="Z63" s="598" t="e">
        <f t="shared" ref="Z63:AI63" si="417">Z$24+$W187</f>
        <v>#N/A</v>
      </c>
      <c r="AA63" s="598" t="e">
        <f t="shared" si="417"/>
        <v>#N/A</v>
      </c>
      <c r="AB63" s="598" t="e">
        <f t="shared" si="417"/>
        <v>#N/A</v>
      </c>
      <c r="AC63" s="598" t="e">
        <f t="shared" si="417"/>
        <v>#N/A</v>
      </c>
      <c r="AD63" s="598" t="e">
        <f t="shared" si="417"/>
        <v>#N/A</v>
      </c>
      <c r="AE63" s="598" t="e">
        <f t="shared" si="417"/>
        <v>#N/A</v>
      </c>
      <c r="AF63" s="598" t="e">
        <f t="shared" si="417"/>
        <v>#N/A</v>
      </c>
      <c r="AG63" s="598" t="e">
        <f t="shared" si="417"/>
        <v>#N/A</v>
      </c>
      <c r="AH63" s="598" t="e">
        <f t="shared" si="417"/>
        <v>#N/A</v>
      </c>
      <c r="AI63" s="598" t="e">
        <f t="shared" si="417"/>
        <v>#N/A</v>
      </c>
      <c r="AK63" s="598" t="s">
        <v>1635</v>
      </c>
      <c r="AL63" s="598" t="e">
        <f t="shared" ref="AL63:AU63" si="418">AL$24+$Y187</f>
        <v>#N/A</v>
      </c>
      <c r="AM63" s="598" t="e">
        <f t="shared" si="418"/>
        <v>#N/A</v>
      </c>
      <c r="AN63" s="598" t="e">
        <f t="shared" si="418"/>
        <v>#N/A</v>
      </c>
      <c r="AO63" s="598" t="e">
        <f t="shared" si="418"/>
        <v>#N/A</v>
      </c>
      <c r="AP63" s="598" t="e">
        <f t="shared" si="418"/>
        <v>#N/A</v>
      </c>
      <c r="AQ63" s="598" t="e">
        <f t="shared" si="418"/>
        <v>#N/A</v>
      </c>
      <c r="AR63" s="598" t="e">
        <f t="shared" si="418"/>
        <v>#N/A</v>
      </c>
      <c r="AS63" s="598" t="e">
        <f t="shared" si="418"/>
        <v>#N/A</v>
      </c>
      <c r="AT63" s="598" t="e">
        <f t="shared" si="418"/>
        <v>#N/A</v>
      </c>
      <c r="AU63" s="598" t="e">
        <f t="shared" si="418"/>
        <v>#N/A</v>
      </c>
      <c r="AW63" s="598" t="s">
        <v>1635</v>
      </c>
      <c r="AX63" s="598">
        <f t="shared" ref="AX63:BG63" si="419">AX$24+$AA187</f>
        <v>2</v>
      </c>
      <c r="AY63" s="598">
        <f t="shared" si="419"/>
        <v>3</v>
      </c>
      <c r="AZ63" s="598">
        <f t="shared" si="419"/>
        <v>4</v>
      </c>
      <c r="BA63" s="598">
        <f t="shared" si="419"/>
        <v>5</v>
      </c>
      <c r="BB63" s="598">
        <f t="shared" si="419"/>
        <v>6</v>
      </c>
      <c r="BC63" s="598">
        <f t="shared" si="419"/>
        <v>7</v>
      </c>
      <c r="BD63" s="598">
        <f t="shared" si="419"/>
        <v>8</v>
      </c>
      <c r="BE63" s="598">
        <f t="shared" si="419"/>
        <v>9</v>
      </c>
      <c r="BF63" s="598">
        <f t="shared" si="419"/>
        <v>10</v>
      </c>
      <c r="BG63" s="598">
        <f t="shared" si="419"/>
        <v>11</v>
      </c>
      <c r="BI63" s="598" t="s">
        <v>1635</v>
      </c>
      <c r="BJ63" s="598">
        <f t="shared" si="320"/>
        <v>-1</v>
      </c>
      <c r="BK63" s="598">
        <f t="shared" si="321"/>
        <v>0</v>
      </c>
      <c r="BL63" s="598">
        <f t="shared" si="322"/>
        <v>1</v>
      </c>
      <c r="BM63" s="598">
        <f t="shared" si="323"/>
        <v>2</v>
      </c>
      <c r="BN63" s="598">
        <f t="shared" si="324"/>
        <v>3</v>
      </c>
      <c r="BO63" s="598">
        <f t="shared" si="325"/>
        <v>4</v>
      </c>
      <c r="BP63" s="598">
        <f t="shared" si="326"/>
        <v>5</v>
      </c>
      <c r="BQ63" s="598">
        <f t="shared" si="327"/>
        <v>6</v>
      </c>
      <c r="BR63" s="598">
        <f t="shared" si="328"/>
        <v>7</v>
      </c>
      <c r="BS63" s="598">
        <f t="shared" si="329"/>
        <v>8</v>
      </c>
      <c r="BU63" s="598" t="s">
        <v>1635</v>
      </c>
      <c r="BV63" s="598" t="e">
        <f t="shared" si="330"/>
        <v>#N/A</v>
      </c>
      <c r="BW63" s="598" t="e">
        <f t="shared" si="331"/>
        <v>#N/A</v>
      </c>
      <c r="BX63" s="598" t="e">
        <f t="shared" si="332"/>
        <v>#N/A</v>
      </c>
      <c r="BY63" s="598" t="e">
        <f t="shared" si="333"/>
        <v>#N/A</v>
      </c>
      <c r="BZ63" s="598" t="e">
        <f t="shared" si="334"/>
        <v>#N/A</v>
      </c>
      <c r="CA63" s="598" t="e">
        <f t="shared" si="335"/>
        <v>#N/A</v>
      </c>
      <c r="CB63" s="598" t="e">
        <f t="shared" si="336"/>
        <v>#N/A</v>
      </c>
      <c r="CC63" s="598" t="e">
        <f t="shared" si="337"/>
        <v>#N/A</v>
      </c>
      <c r="CD63" s="598" t="e">
        <f t="shared" si="338"/>
        <v>#N/A</v>
      </c>
      <c r="CE63" s="598" t="e">
        <f t="shared" si="339"/>
        <v>#N/A</v>
      </c>
    </row>
    <row r="64" spans="1:83">
      <c r="A64" s="598" t="s">
        <v>1347</v>
      </c>
      <c r="B64" s="598" t="e">
        <f t="shared" ref="B64:K64" si="420">B$24+$S188</f>
        <v>#N/A</v>
      </c>
      <c r="C64" s="598" t="e">
        <f t="shared" si="420"/>
        <v>#N/A</v>
      </c>
      <c r="D64" s="598" t="e">
        <f t="shared" si="420"/>
        <v>#N/A</v>
      </c>
      <c r="E64" s="598" t="e">
        <f t="shared" si="420"/>
        <v>#N/A</v>
      </c>
      <c r="F64" s="598" t="e">
        <f t="shared" si="420"/>
        <v>#N/A</v>
      </c>
      <c r="G64" s="598" t="e">
        <f t="shared" si="420"/>
        <v>#N/A</v>
      </c>
      <c r="H64" s="598" t="e">
        <f t="shared" si="420"/>
        <v>#N/A</v>
      </c>
      <c r="I64" s="598" t="e">
        <f t="shared" si="420"/>
        <v>#N/A</v>
      </c>
      <c r="J64" s="598" t="e">
        <f t="shared" si="420"/>
        <v>#N/A</v>
      </c>
      <c r="K64" s="598" t="e">
        <f t="shared" si="420"/>
        <v>#N/A</v>
      </c>
      <c r="M64" s="598" t="s">
        <v>1347</v>
      </c>
      <c r="N64" s="598" t="e">
        <f t="shared" ref="N64:W64" si="421">N$24+$U188</f>
        <v>#N/A</v>
      </c>
      <c r="O64" s="598" t="e">
        <f t="shared" si="421"/>
        <v>#N/A</v>
      </c>
      <c r="P64" s="598" t="e">
        <f t="shared" si="421"/>
        <v>#N/A</v>
      </c>
      <c r="Q64" s="598" t="e">
        <f t="shared" si="421"/>
        <v>#N/A</v>
      </c>
      <c r="R64" s="598" t="e">
        <f t="shared" si="421"/>
        <v>#N/A</v>
      </c>
      <c r="S64" s="598" t="e">
        <f t="shared" si="421"/>
        <v>#N/A</v>
      </c>
      <c r="T64" s="598" t="e">
        <f t="shared" si="421"/>
        <v>#N/A</v>
      </c>
      <c r="U64" s="598" t="e">
        <f t="shared" si="421"/>
        <v>#N/A</v>
      </c>
      <c r="V64" s="598" t="e">
        <f t="shared" si="421"/>
        <v>#N/A</v>
      </c>
      <c r="W64" s="598" t="e">
        <f t="shared" si="421"/>
        <v>#N/A</v>
      </c>
      <c r="Y64" s="598" t="s">
        <v>1347</v>
      </c>
      <c r="Z64" s="598" t="e">
        <f t="shared" ref="Z64:AI64" si="422">Z$24+$W188</f>
        <v>#N/A</v>
      </c>
      <c r="AA64" s="598" t="e">
        <f t="shared" si="422"/>
        <v>#N/A</v>
      </c>
      <c r="AB64" s="598" t="e">
        <f t="shared" si="422"/>
        <v>#N/A</v>
      </c>
      <c r="AC64" s="598" t="e">
        <f t="shared" si="422"/>
        <v>#N/A</v>
      </c>
      <c r="AD64" s="598" t="e">
        <f t="shared" si="422"/>
        <v>#N/A</v>
      </c>
      <c r="AE64" s="598" t="e">
        <f t="shared" si="422"/>
        <v>#N/A</v>
      </c>
      <c r="AF64" s="598" t="e">
        <f t="shared" si="422"/>
        <v>#N/A</v>
      </c>
      <c r="AG64" s="598" t="e">
        <f t="shared" si="422"/>
        <v>#N/A</v>
      </c>
      <c r="AH64" s="598" t="e">
        <f t="shared" si="422"/>
        <v>#N/A</v>
      </c>
      <c r="AI64" s="598" t="e">
        <f t="shared" si="422"/>
        <v>#N/A</v>
      </c>
      <c r="AK64" s="598" t="s">
        <v>1347</v>
      </c>
      <c r="AL64" s="598" t="e">
        <f t="shared" ref="AL64:AU64" si="423">AL$24+$Y188</f>
        <v>#N/A</v>
      </c>
      <c r="AM64" s="598" t="e">
        <f t="shared" si="423"/>
        <v>#N/A</v>
      </c>
      <c r="AN64" s="598" t="e">
        <f t="shared" si="423"/>
        <v>#N/A</v>
      </c>
      <c r="AO64" s="598" t="e">
        <f t="shared" si="423"/>
        <v>#N/A</v>
      </c>
      <c r="AP64" s="598" t="e">
        <f t="shared" si="423"/>
        <v>#N/A</v>
      </c>
      <c r="AQ64" s="598" t="e">
        <f t="shared" si="423"/>
        <v>#N/A</v>
      </c>
      <c r="AR64" s="598" t="e">
        <f t="shared" si="423"/>
        <v>#N/A</v>
      </c>
      <c r="AS64" s="598" t="e">
        <f t="shared" si="423"/>
        <v>#N/A</v>
      </c>
      <c r="AT64" s="598" t="e">
        <f t="shared" si="423"/>
        <v>#N/A</v>
      </c>
      <c r="AU64" s="598" t="e">
        <f t="shared" si="423"/>
        <v>#N/A</v>
      </c>
      <c r="AW64" s="598" t="s">
        <v>1347</v>
      </c>
      <c r="AX64" s="598" t="e">
        <f t="shared" ref="AX64:BG64" si="424">AX$24+$AA188</f>
        <v>#N/A</v>
      </c>
      <c r="AY64" s="598" t="e">
        <f t="shared" si="424"/>
        <v>#N/A</v>
      </c>
      <c r="AZ64" s="598" t="e">
        <f t="shared" si="424"/>
        <v>#N/A</v>
      </c>
      <c r="BA64" s="598" t="e">
        <f t="shared" si="424"/>
        <v>#N/A</v>
      </c>
      <c r="BB64" s="598" t="e">
        <f t="shared" si="424"/>
        <v>#N/A</v>
      </c>
      <c r="BC64" s="598" t="e">
        <f t="shared" si="424"/>
        <v>#N/A</v>
      </c>
      <c r="BD64" s="598" t="e">
        <f t="shared" si="424"/>
        <v>#N/A</v>
      </c>
      <c r="BE64" s="598" t="e">
        <f t="shared" si="424"/>
        <v>#N/A</v>
      </c>
      <c r="BF64" s="598" t="e">
        <f t="shared" si="424"/>
        <v>#N/A</v>
      </c>
      <c r="BG64" s="598" t="e">
        <f t="shared" si="424"/>
        <v>#N/A</v>
      </c>
      <c r="BI64" s="598" t="s">
        <v>1347</v>
      </c>
      <c r="BJ64" s="598" t="e">
        <f t="shared" si="320"/>
        <v>#N/A</v>
      </c>
      <c r="BK64" s="598" t="e">
        <f t="shared" si="321"/>
        <v>#N/A</v>
      </c>
      <c r="BL64" s="598" t="e">
        <f t="shared" si="322"/>
        <v>#N/A</v>
      </c>
      <c r="BM64" s="598" t="e">
        <f t="shared" si="323"/>
        <v>#N/A</v>
      </c>
      <c r="BN64" s="598" t="e">
        <f t="shared" si="324"/>
        <v>#N/A</v>
      </c>
      <c r="BO64" s="598" t="e">
        <f t="shared" si="325"/>
        <v>#N/A</v>
      </c>
      <c r="BP64" s="598" t="e">
        <f t="shared" si="326"/>
        <v>#N/A</v>
      </c>
      <c r="BQ64" s="598" t="e">
        <f t="shared" si="327"/>
        <v>#N/A</v>
      </c>
      <c r="BR64" s="598" t="e">
        <f t="shared" si="328"/>
        <v>#N/A</v>
      </c>
      <c r="BS64" s="598" t="e">
        <f t="shared" si="329"/>
        <v>#N/A</v>
      </c>
      <c r="BU64" s="598" t="s">
        <v>1347</v>
      </c>
      <c r="BV64" s="598" t="e">
        <f t="shared" si="330"/>
        <v>#N/A</v>
      </c>
      <c r="BW64" s="598" t="e">
        <f t="shared" si="331"/>
        <v>#N/A</v>
      </c>
      <c r="BX64" s="598" t="e">
        <f t="shared" si="332"/>
        <v>#N/A</v>
      </c>
      <c r="BY64" s="598" t="e">
        <f t="shared" si="333"/>
        <v>#N/A</v>
      </c>
      <c r="BZ64" s="598" t="e">
        <f t="shared" si="334"/>
        <v>#N/A</v>
      </c>
      <c r="CA64" s="598" t="e">
        <f t="shared" si="335"/>
        <v>#N/A</v>
      </c>
      <c r="CB64" s="598" t="e">
        <f t="shared" si="336"/>
        <v>#N/A</v>
      </c>
      <c r="CC64" s="598" t="e">
        <f t="shared" si="337"/>
        <v>#N/A</v>
      </c>
      <c r="CD64" s="598" t="e">
        <f t="shared" si="338"/>
        <v>#N/A</v>
      </c>
      <c r="CE64" s="598" t="e">
        <f t="shared" si="339"/>
        <v>#N/A</v>
      </c>
    </row>
    <row r="65" spans="1:83">
      <c r="A65" s="598" t="s">
        <v>1636</v>
      </c>
      <c r="B65" s="598">
        <f t="shared" ref="B65:K65" si="425">B$24+$Q189</f>
        <v>1</v>
      </c>
      <c r="C65" s="598">
        <f t="shared" si="425"/>
        <v>2</v>
      </c>
      <c r="D65" s="598">
        <f t="shared" si="425"/>
        <v>3</v>
      </c>
      <c r="E65" s="598">
        <f t="shared" si="425"/>
        <v>4</v>
      </c>
      <c r="F65" s="598">
        <f t="shared" si="425"/>
        <v>5</v>
      </c>
      <c r="G65" s="598">
        <f t="shared" si="425"/>
        <v>6</v>
      </c>
      <c r="H65" s="598">
        <f t="shared" si="425"/>
        <v>7</v>
      </c>
      <c r="I65" s="598">
        <f t="shared" si="425"/>
        <v>8</v>
      </c>
      <c r="J65" s="598">
        <f t="shared" si="425"/>
        <v>9</v>
      </c>
      <c r="K65" s="598">
        <f t="shared" si="425"/>
        <v>10</v>
      </c>
      <c r="M65" s="598" t="s">
        <v>1636</v>
      </c>
      <c r="N65" s="598">
        <f t="shared" ref="N65:W65" si="426">N$24+$S189</f>
        <v>3</v>
      </c>
      <c r="O65" s="598">
        <f t="shared" si="426"/>
        <v>4</v>
      </c>
      <c r="P65" s="598">
        <f t="shared" si="426"/>
        <v>5</v>
      </c>
      <c r="Q65" s="598">
        <f t="shared" si="426"/>
        <v>6</v>
      </c>
      <c r="R65" s="598">
        <f t="shared" si="426"/>
        <v>7</v>
      </c>
      <c r="S65" s="598">
        <f t="shared" si="426"/>
        <v>8</v>
      </c>
      <c r="T65" s="598">
        <f t="shared" si="426"/>
        <v>9</v>
      </c>
      <c r="U65" s="598">
        <f t="shared" si="426"/>
        <v>10</v>
      </c>
      <c r="V65" s="598">
        <f t="shared" si="426"/>
        <v>11</v>
      </c>
      <c r="W65" s="598">
        <f t="shared" si="426"/>
        <v>12</v>
      </c>
      <c r="Y65" s="598" t="s">
        <v>1636</v>
      </c>
      <c r="Z65" s="598">
        <f t="shared" ref="Z65:AI65" si="427">Z$24+$U189</f>
        <v>1</v>
      </c>
      <c r="AA65" s="598">
        <f t="shared" si="427"/>
        <v>2</v>
      </c>
      <c r="AB65" s="598">
        <f t="shared" si="427"/>
        <v>3</v>
      </c>
      <c r="AC65" s="598">
        <f t="shared" si="427"/>
        <v>4</v>
      </c>
      <c r="AD65" s="598">
        <f t="shared" si="427"/>
        <v>5</v>
      </c>
      <c r="AE65" s="598">
        <f t="shared" si="427"/>
        <v>6</v>
      </c>
      <c r="AF65" s="598">
        <f t="shared" si="427"/>
        <v>7</v>
      </c>
      <c r="AG65" s="598">
        <f t="shared" si="427"/>
        <v>8</v>
      </c>
      <c r="AH65" s="598">
        <f t="shared" si="427"/>
        <v>9</v>
      </c>
      <c r="AI65" s="598">
        <f t="shared" si="427"/>
        <v>10</v>
      </c>
      <c r="AK65" s="598" t="s">
        <v>1636</v>
      </c>
      <c r="AL65" s="598">
        <f t="shared" ref="AL65:AU65" si="428">AL$24+$W189</f>
        <v>4</v>
      </c>
      <c r="AM65" s="598">
        <f t="shared" si="428"/>
        <v>5</v>
      </c>
      <c r="AN65" s="598">
        <f t="shared" si="428"/>
        <v>6</v>
      </c>
      <c r="AO65" s="598">
        <f t="shared" si="428"/>
        <v>7</v>
      </c>
      <c r="AP65" s="598">
        <f t="shared" si="428"/>
        <v>8</v>
      </c>
      <c r="AQ65" s="598">
        <f t="shared" si="428"/>
        <v>9</v>
      </c>
      <c r="AR65" s="598">
        <f t="shared" si="428"/>
        <v>10</v>
      </c>
      <c r="AS65" s="598">
        <f t="shared" si="428"/>
        <v>11</v>
      </c>
      <c r="AT65" s="598">
        <f t="shared" si="428"/>
        <v>12</v>
      </c>
      <c r="AU65" s="598">
        <f t="shared" si="428"/>
        <v>13</v>
      </c>
      <c r="AW65" s="598" t="s">
        <v>1636</v>
      </c>
      <c r="AX65" s="598">
        <f t="shared" ref="AX65:BG65" si="429">AX$24+$Y189</f>
        <v>3</v>
      </c>
      <c r="AY65" s="598">
        <f t="shared" si="429"/>
        <v>4</v>
      </c>
      <c r="AZ65" s="598">
        <f t="shared" si="429"/>
        <v>5</v>
      </c>
      <c r="BA65" s="598">
        <f t="shared" si="429"/>
        <v>6</v>
      </c>
      <c r="BB65" s="598">
        <f t="shared" si="429"/>
        <v>7</v>
      </c>
      <c r="BC65" s="598">
        <f t="shared" si="429"/>
        <v>8</v>
      </c>
      <c r="BD65" s="598">
        <f t="shared" si="429"/>
        <v>9</v>
      </c>
      <c r="BE65" s="598">
        <f t="shared" si="429"/>
        <v>10</v>
      </c>
      <c r="BF65" s="598">
        <f t="shared" si="429"/>
        <v>11</v>
      </c>
      <c r="BG65" s="598">
        <f t="shared" si="429"/>
        <v>12</v>
      </c>
      <c r="BI65" s="598" t="s">
        <v>1636</v>
      </c>
      <c r="BJ65" s="598">
        <f t="shared" ref="BJ65:BS65" si="430">B$24+$AA189</f>
        <v>1</v>
      </c>
      <c r="BK65" s="598">
        <f t="shared" si="430"/>
        <v>2</v>
      </c>
      <c r="BL65" s="598">
        <f t="shared" si="430"/>
        <v>3</v>
      </c>
      <c r="BM65" s="598">
        <f t="shared" si="430"/>
        <v>4</v>
      </c>
      <c r="BN65" s="598">
        <f t="shared" si="430"/>
        <v>5</v>
      </c>
      <c r="BO65" s="598">
        <f t="shared" si="430"/>
        <v>6</v>
      </c>
      <c r="BP65" s="598">
        <f t="shared" si="430"/>
        <v>7</v>
      </c>
      <c r="BQ65" s="598">
        <f t="shared" si="430"/>
        <v>8</v>
      </c>
      <c r="BR65" s="598">
        <f t="shared" si="430"/>
        <v>9</v>
      </c>
      <c r="BS65" s="598">
        <f t="shared" si="430"/>
        <v>10</v>
      </c>
      <c r="BU65" s="598" t="s">
        <v>1636</v>
      </c>
      <c r="BV65" s="598">
        <f t="shared" ref="BV65:CE65" si="431">N$24+$AE189</f>
        <v>0</v>
      </c>
      <c r="BW65" s="598">
        <f t="shared" si="431"/>
        <v>1</v>
      </c>
      <c r="BX65" s="598">
        <f t="shared" si="431"/>
        <v>2</v>
      </c>
      <c r="BY65" s="598">
        <f t="shared" si="431"/>
        <v>3</v>
      </c>
      <c r="BZ65" s="598">
        <f t="shared" si="431"/>
        <v>4</v>
      </c>
      <c r="CA65" s="598">
        <f t="shared" si="431"/>
        <v>5</v>
      </c>
      <c r="CB65" s="598">
        <f t="shared" si="431"/>
        <v>6</v>
      </c>
      <c r="CC65" s="598">
        <f t="shared" si="431"/>
        <v>7</v>
      </c>
      <c r="CD65" s="598">
        <f t="shared" si="431"/>
        <v>8</v>
      </c>
      <c r="CE65" s="598">
        <f t="shared" si="431"/>
        <v>9</v>
      </c>
    </row>
    <row r="67" spans="1:83">
      <c r="A67" s="598" t="s">
        <v>2457</v>
      </c>
      <c r="B67" s="598" t="s">
        <v>81</v>
      </c>
      <c r="C67" s="598" t="s">
        <v>81</v>
      </c>
      <c r="D67" s="598" t="s">
        <v>81</v>
      </c>
      <c r="E67" s="598" t="s">
        <v>81</v>
      </c>
      <c r="F67" s="598" t="s">
        <v>81</v>
      </c>
      <c r="G67" s="598" t="s">
        <v>81</v>
      </c>
      <c r="H67" s="598" t="s">
        <v>81</v>
      </c>
      <c r="I67" s="598" t="s">
        <v>81</v>
      </c>
      <c r="J67" s="598" t="s">
        <v>81</v>
      </c>
      <c r="K67" s="598" t="s">
        <v>81</v>
      </c>
      <c r="M67" s="598" t="s">
        <v>2458</v>
      </c>
      <c r="N67" s="598" t="s">
        <v>81</v>
      </c>
      <c r="O67" s="598" t="s">
        <v>81</v>
      </c>
      <c r="P67" s="598" t="s">
        <v>81</v>
      </c>
      <c r="Q67" s="598" t="s">
        <v>81</v>
      </c>
      <c r="R67" s="598" t="s">
        <v>81</v>
      </c>
      <c r="S67" s="598" t="s">
        <v>81</v>
      </c>
      <c r="T67" s="598" t="s">
        <v>81</v>
      </c>
      <c r="U67" s="598" t="s">
        <v>81</v>
      </c>
      <c r="V67" s="598" t="s">
        <v>81</v>
      </c>
      <c r="W67" s="598" t="s">
        <v>81</v>
      </c>
      <c r="Y67" s="598" t="s">
        <v>4792</v>
      </c>
      <c r="Z67" s="598" t="s">
        <v>81</v>
      </c>
      <c r="AA67" s="598" t="s">
        <v>81</v>
      </c>
      <c r="AB67" s="598" t="s">
        <v>81</v>
      </c>
      <c r="AC67" s="598" t="s">
        <v>81</v>
      </c>
      <c r="AD67" s="598" t="s">
        <v>81</v>
      </c>
      <c r="AE67" s="598" t="s">
        <v>81</v>
      </c>
      <c r="AF67" s="598" t="s">
        <v>81</v>
      </c>
      <c r="AG67" s="598" t="s">
        <v>81</v>
      </c>
      <c r="AH67" s="598" t="s">
        <v>81</v>
      </c>
      <c r="AI67" s="598" t="s">
        <v>81</v>
      </c>
      <c r="AK67" s="598" t="s">
        <v>2459</v>
      </c>
      <c r="AL67" s="598" t="s">
        <v>81</v>
      </c>
      <c r="AM67" s="598" t="s">
        <v>81</v>
      </c>
      <c r="AN67" s="598" t="s">
        <v>81</v>
      </c>
      <c r="AO67" s="598" t="s">
        <v>81</v>
      </c>
      <c r="AP67" s="598" t="s">
        <v>81</v>
      </c>
      <c r="AQ67" s="598" t="s">
        <v>81</v>
      </c>
      <c r="AR67" s="598" t="s">
        <v>81</v>
      </c>
      <c r="AS67" s="598" t="s">
        <v>81</v>
      </c>
      <c r="AT67" s="598" t="s">
        <v>81</v>
      </c>
      <c r="AU67" s="598" t="s">
        <v>81</v>
      </c>
      <c r="AW67" s="598" t="s">
        <v>2460</v>
      </c>
      <c r="AX67" s="598" t="s">
        <v>81</v>
      </c>
      <c r="AY67" s="598" t="s">
        <v>81</v>
      </c>
      <c r="AZ67" s="598" t="s">
        <v>81</v>
      </c>
      <c r="BA67" s="598" t="s">
        <v>81</v>
      </c>
      <c r="BB67" s="598" t="s">
        <v>81</v>
      </c>
      <c r="BC67" s="598" t="s">
        <v>81</v>
      </c>
      <c r="BD67" s="598" t="s">
        <v>81</v>
      </c>
      <c r="BE67" s="598" t="s">
        <v>81</v>
      </c>
      <c r="BF67" s="598" t="s">
        <v>81</v>
      </c>
      <c r="BG67" s="598" t="s">
        <v>81</v>
      </c>
      <c r="BI67" s="598" t="s">
        <v>3476</v>
      </c>
      <c r="BJ67" s="598" t="s">
        <v>81</v>
      </c>
      <c r="BK67" s="598" t="s">
        <v>81</v>
      </c>
      <c r="BL67" s="598" t="s">
        <v>81</v>
      </c>
      <c r="BM67" s="598" t="s">
        <v>81</v>
      </c>
      <c r="BN67" s="598" t="s">
        <v>81</v>
      </c>
      <c r="BO67" s="598" t="s">
        <v>81</v>
      </c>
      <c r="BP67" s="598" t="s">
        <v>81</v>
      </c>
      <c r="BQ67" s="598" t="s">
        <v>81</v>
      </c>
      <c r="BR67" s="598" t="s">
        <v>81</v>
      </c>
      <c r="BS67" s="598" t="s">
        <v>81</v>
      </c>
      <c r="BU67" s="598" t="s">
        <v>4818</v>
      </c>
      <c r="BV67" s="598" t="s">
        <v>81</v>
      </c>
      <c r="BW67" s="598" t="s">
        <v>81</v>
      </c>
      <c r="BX67" s="598" t="s">
        <v>81</v>
      </c>
      <c r="BY67" s="598" t="s">
        <v>81</v>
      </c>
      <c r="BZ67" s="598" t="s">
        <v>81</v>
      </c>
      <c r="CA67" s="598" t="s">
        <v>81</v>
      </c>
      <c r="CB67" s="598" t="s">
        <v>81</v>
      </c>
      <c r="CC67" s="598" t="s">
        <v>81</v>
      </c>
      <c r="CD67" s="598" t="s">
        <v>81</v>
      </c>
      <c r="CE67" s="598" t="s">
        <v>81</v>
      </c>
    </row>
    <row r="68" spans="1:83">
      <c r="B68" s="598">
        <v>1</v>
      </c>
      <c r="C68" s="598">
        <v>2</v>
      </c>
      <c r="D68" s="598">
        <v>3</v>
      </c>
      <c r="E68" s="598">
        <v>4</v>
      </c>
      <c r="F68" s="598">
        <v>5</v>
      </c>
      <c r="G68" s="598">
        <v>6</v>
      </c>
      <c r="H68" s="598">
        <v>7</v>
      </c>
      <c r="I68" s="598">
        <v>8</v>
      </c>
      <c r="J68" s="598">
        <v>9</v>
      </c>
      <c r="K68" s="598">
        <v>10</v>
      </c>
      <c r="N68" s="598">
        <v>1</v>
      </c>
      <c r="O68" s="598">
        <v>2</v>
      </c>
      <c r="P68" s="598">
        <v>3</v>
      </c>
      <c r="Q68" s="598">
        <v>4</v>
      </c>
      <c r="R68" s="598">
        <v>5</v>
      </c>
      <c r="S68" s="598">
        <v>6</v>
      </c>
      <c r="T68" s="598">
        <v>7</v>
      </c>
      <c r="U68" s="598">
        <v>8</v>
      </c>
      <c r="V68" s="598">
        <v>9</v>
      </c>
      <c r="W68" s="598">
        <v>10</v>
      </c>
      <c r="Z68" s="598">
        <v>1</v>
      </c>
      <c r="AA68" s="598">
        <v>2</v>
      </c>
      <c r="AB68" s="598">
        <v>3</v>
      </c>
      <c r="AC68" s="598">
        <v>4</v>
      </c>
      <c r="AD68" s="598">
        <v>5</v>
      </c>
      <c r="AE68" s="598">
        <v>6</v>
      </c>
      <c r="AF68" s="598">
        <v>7</v>
      </c>
      <c r="AG68" s="598">
        <v>8</v>
      </c>
      <c r="AH68" s="598">
        <v>9</v>
      </c>
      <c r="AI68" s="598">
        <v>10</v>
      </c>
      <c r="AL68" s="598">
        <v>1</v>
      </c>
      <c r="AM68" s="598">
        <v>2</v>
      </c>
      <c r="AN68" s="598">
        <v>3</v>
      </c>
      <c r="AO68" s="598">
        <v>4</v>
      </c>
      <c r="AP68" s="598">
        <v>5</v>
      </c>
      <c r="AQ68" s="598">
        <v>6</v>
      </c>
      <c r="AR68" s="598">
        <v>7</v>
      </c>
      <c r="AS68" s="598">
        <v>8</v>
      </c>
      <c r="AT68" s="598">
        <v>9</v>
      </c>
      <c r="AU68" s="598">
        <v>10</v>
      </c>
      <c r="AX68" s="598">
        <v>1</v>
      </c>
      <c r="AY68" s="598">
        <v>2</v>
      </c>
      <c r="AZ68" s="598">
        <v>3</v>
      </c>
      <c r="BA68" s="598">
        <v>4</v>
      </c>
      <c r="BB68" s="598">
        <v>5</v>
      </c>
      <c r="BC68" s="598">
        <v>6</v>
      </c>
      <c r="BD68" s="598">
        <v>7</v>
      </c>
      <c r="BE68" s="598">
        <v>8</v>
      </c>
      <c r="BF68" s="598">
        <v>9</v>
      </c>
      <c r="BG68" s="598">
        <v>10</v>
      </c>
      <c r="BJ68" s="598">
        <v>1</v>
      </c>
      <c r="BK68" s="598">
        <v>2</v>
      </c>
      <c r="BL68" s="598">
        <v>3</v>
      </c>
      <c r="BM68" s="598">
        <v>4</v>
      </c>
      <c r="BN68" s="598">
        <v>5</v>
      </c>
      <c r="BO68" s="598">
        <v>6</v>
      </c>
      <c r="BP68" s="598">
        <v>7</v>
      </c>
      <c r="BQ68" s="598">
        <v>8</v>
      </c>
      <c r="BR68" s="598">
        <v>9</v>
      </c>
      <c r="BS68" s="598">
        <v>10</v>
      </c>
      <c r="BV68" s="598">
        <v>1</v>
      </c>
      <c r="BW68" s="598">
        <v>2</v>
      </c>
      <c r="BX68" s="598">
        <v>3</v>
      </c>
      <c r="BY68" s="598">
        <v>4</v>
      </c>
      <c r="BZ68" s="598">
        <v>5</v>
      </c>
      <c r="CA68" s="598">
        <v>6</v>
      </c>
      <c r="CB68" s="598">
        <v>7</v>
      </c>
      <c r="CC68" s="598">
        <v>8</v>
      </c>
      <c r="CD68" s="598">
        <v>9</v>
      </c>
      <c r="CE68" s="598">
        <v>10</v>
      </c>
    </row>
    <row r="69" spans="1:83">
      <c r="A69" s="598" t="s">
        <v>2341</v>
      </c>
      <c r="B69" s="598">
        <f t="shared" ref="B69:K69" si="432">B$68+$AO171</f>
        <v>-1</v>
      </c>
      <c r="C69" s="598">
        <f t="shared" si="432"/>
        <v>0</v>
      </c>
      <c r="D69" s="598">
        <f t="shared" si="432"/>
        <v>1</v>
      </c>
      <c r="E69" s="598">
        <f t="shared" si="432"/>
        <v>2</v>
      </c>
      <c r="F69" s="598">
        <f t="shared" si="432"/>
        <v>3</v>
      </c>
      <c r="G69" s="598">
        <f t="shared" si="432"/>
        <v>4</v>
      </c>
      <c r="H69" s="598">
        <f t="shared" si="432"/>
        <v>5</v>
      </c>
      <c r="I69" s="598">
        <f t="shared" si="432"/>
        <v>6</v>
      </c>
      <c r="J69" s="598">
        <f t="shared" si="432"/>
        <v>7</v>
      </c>
      <c r="K69" s="598">
        <f t="shared" si="432"/>
        <v>8</v>
      </c>
      <c r="M69" s="598" t="s">
        <v>2341</v>
      </c>
      <c r="N69" s="598">
        <f t="shared" ref="N69:W69" si="433">N$68+$AQ171</f>
        <v>1</v>
      </c>
      <c r="O69" s="598">
        <f t="shared" si="433"/>
        <v>2</v>
      </c>
      <c r="P69" s="598">
        <f t="shared" si="433"/>
        <v>3</v>
      </c>
      <c r="Q69" s="598">
        <f t="shared" si="433"/>
        <v>4</v>
      </c>
      <c r="R69" s="598">
        <f t="shared" si="433"/>
        <v>5</v>
      </c>
      <c r="S69" s="598">
        <f t="shared" si="433"/>
        <v>6</v>
      </c>
      <c r="T69" s="598">
        <f t="shared" si="433"/>
        <v>7</v>
      </c>
      <c r="U69" s="598">
        <f t="shared" si="433"/>
        <v>8</v>
      </c>
      <c r="V69" s="598">
        <f t="shared" si="433"/>
        <v>9</v>
      </c>
      <c r="W69" s="598">
        <f t="shared" si="433"/>
        <v>10</v>
      </c>
      <c r="Y69" s="598" t="s">
        <v>2341</v>
      </c>
      <c r="Z69" s="598">
        <f t="shared" ref="Z69:AI69" si="434">Z$68+$AS171</f>
        <v>1</v>
      </c>
      <c r="AA69" s="598">
        <f t="shared" si="434"/>
        <v>2</v>
      </c>
      <c r="AB69" s="598">
        <f t="shared" si="434"/>
        <v>3</v>
      </c>
      <c r="AC69" s="598">
        <f t="shared" si="434"/>
        <v>4</v>
      </c>
      <c r="AD69" s="598">
        <f t="shared" si="434"/>
        <v>5</v>
      </c>
      <c r="AE69" s="598">
        <f t="shared" si="434"/>
        <v>6</v>
      </c>
      <c r="AF69" s="598">
        <f t="shared" si="434"/>
        <v>7</v>
      </c>
      <c r="AG69" s="598">
        <f t="shared" si="434"/>
        <v>8</v>
      </c>
      <c r="AH69" s="598">
        <f t="shared" si="434"/>
        <v>9</v>
      </c>
      <c r="AI69" s="598">
        <f t="shared" si="434"/>
        <v>10</v>
      </c>
      <c r="AK69" s="598" t="s">
        <v>2341</v>
      </c>
      <c r="AL69" s="598">
        <f t="shared" ref="AL69:AU69" si="435">AL$68+$AU171</f>
        <v>2</v>
      </c>
      <c r="AM69" s="598">
        <f t="shared" si="435"/>
        <v>3</v>
      </c>
      <c r="AN69" s="598">
        <f t="shared" si="435"/>
        <v>4</v>
      </c>
      <c r="AO69" s="598">
        <f t="shared" si="435"/>
        <v>5</v>
      </c>
      <c r="AP69" s="598">
        <f t="shared" si="435"/>
        <v>6</v>
      </c>
      <c r="AQ69" s="598">
        <f t="shared" si="435"/>
        <v>7</v>
      </c>
      <c r="AR69" s="598">
        <f t="shared" si="435"/>
        <v>8</v>
      </c>
      <c r="AS69" s="598">
        <f t="shared" si="435"/>
        <v>9</v>
      </c>
      <c r="AT69" s="598">
        <f t="shared" si="435"/>
        <v>10</v>
      </c>
      <c r="AU69" s="598">
        <f t="shared" si="435"/>
        <v>11</v>
      </c>
      <c r="AW69" s="598" t="s">
        <v>2341</v>
      </c>
      <c r="AX69" s="598">
        <f t="shared" ref="AX69:BG69" si="436">AX$68+$AW171</f>
        <v>4</v>
      </c>
      <c r="AY69" s="598">
        <f t="shared" si="436"/>
        <v>5</v>
      </c>
      <c r="AZ69" s="598">
        <f t="shared" si="436"/>
        <v>6</v>
      </c>
      <c r="BA69" s="598">
        <f t="shared" si="436"/>
        <v>7</v>
      </c>
      <c r="BB69" s="598">
        <f t="shared" si="436"/>
        <v>8</v>
      </c>
      <c r="BC69" s="598">
        <f t="shared" si="436"/>
        <v>9</v>
      </c>
      <c r="BD69" s="598">
        <f t="shared" si="436"/>
        <v>10</v>
      </c>
      <c r="BE69" s="598">
        <f t="shared" si="436"/>
        <v>11</v>
      </c>
      <c r="BF69" s="598">
        <f t="shared" si="436"/>
        <v>12</v>
      </c>
      <c r="BG69" s="598">
        <f t="shared" si="436"/>
        <v>13</v>
      </c>
      <c r="BI69" s="598" t="s">
        <v>2341</v>
      </c>
      <c r="BJ69" s="598">
        <f t="shared" ref="BJ69:BS69" si="437">BJ$68+$AY171</f>
        <v>1</v>
      </c>
      <c r="BK69" s="598">
        <f t="shared" si="437"/>
        <v>2</v>
      </c>
      <c r="BL69" s="598">
        <f t="shared" si="437"/>
        <v>3</v>
      </c>
      <c r="BM69" s="598">
        <f t="shared" si="437"/>
        <v>4</v>
      </c>
      <c r="BN69" s="598">
        <f t="shared" si="437"/>
        <v>5</v>
      </c>
      <c r="BO69" s="598">
        <f t="shared" si="437"/>
        <v>6</v>
      </c>
      <c r="BP69" s="598">
        <f t="shared" si="437"/>
        <v>7</v>
      </c>
      <c r="BQ69" s="598">
        <f t="shared" si="437"/>
        <v>8</v>
      </c>
      <c r="BR69" s="598">
        <f t="shared" si="437"/>
        <v>9</v>
      </c>
      <c r="BS69" s="598">
        <f t="shared" si="437"/>
        <v>10</v>
      </c>
      <c r="BU69" s="598" t="s">
        <v>2341</v>
      </c>
      <c r="BV69" s="598">
        <f t="shared" ref="BV69:CE69" si="438">BV$68+$BA171</f>
        <v>4</v>
      </c>
      <c r="BW69" s="598">
        <f t="shared" si="438"/>
        <v>5</v>
      </c>
      <c r="BX69" s="598">
        <f t="shared" si="438"/>
        <v>6</v>
      </c>
      <c r="BY69" s="598">
        <f t="shared" si="438"/>
        <v>7</v>
      </c>
      <c r="BZ69" s="598">
        <f t="shared" si="438"/>
        <v>8</v>
      </c>
      <c r="CA69" s="598">
        <f t="shared" si="438"/>
        <v>9</v>
      </c>
      <c r="CB69" s="598">
        <f t="shared" si="438"/>
        <v>10</v>
      </c>
      <c r="CC69" s="598">
        <f t="shared" si="438"/>
        <v>11</v>
      </c>
      <c r="CD69" s="598">
        <f t="shared" si="438"/>
        <v>12</v>
      </c>
      <c r="CE69" s="598">
        <f t="shared" si="438"/>
        <v>13</v>
      </c>
    </row>
    <row r="70" spans="1:83">
      <c r="A70" s="598" t="s">
        <v>3268</v>
      </c>
      <c r="B70" s="598">
        <f t="shared" ref="B70:K70" si="439">B$68+$AO172</f>
        <v>-1</v>
      </c>
      <c r="C70" s="598">
        <f t="shared" si="439"/>
        <v>0</v>
      </c>
      <c r="D70" s="598">
        <f t="shared" si="439"/>
        <v>1</v>
      </c>
      <c r="E70" s="598">
        <f t="shared" si="439"/>
        <v>2</v>
      </c>
      <c r="F70" s="598">
        <f t="shared" si="439"/>
        <v>3</v>
      </c>
      <c r="G70" s="598">
        <f t="shared" si="439"/>
        <v>4</v>
      </c>
      <c r="H70" s="598">
        <f t="shared" si="439"/>
        <v>5</v>
      </c>
      <c r="I70" s="598">
        <f t="shared" si="439"/>
        <v>6</v>
      </c>
      <c r="J70" s="598">
        <f t="shared" si="439"/>
        <v>7</v>
      </c>
      <c r="K70" s="598">
        <f t="shared" si="439"/>
        <v>8</v>
      </c>
      <c r="M70" s="598" t="s">
        <v>3268</v>
      </c>
      <c r="N70" s="598">
        <f t="shared" ref="N70:W70" si="440">N$68+$AQ172</f>
        <v>1</v>
      </c>
      <c r="O70" s="598">
        <f t="shared" si="440"/>
        <v>2</v>
      </c>
      <c r="P70" s="598">
        <f t="shared" si="440"/>
        <v>3</v>
      </c>
      <c r="Q70" s="598">
        <f t="shared" si="440"/>
        <v>4</v>
      </c>
      <c r="R70" s="598">
        <f t="shared" si="440"/>
        <v>5</v>
      </c>
      <c r="S70" s="598">
        <f t="shared" si="440"/>
        <v>6</v>
      </c>
      <c r="T70" s="598">
        <f t="shared" si="440"/>
        <v>7</v>
      </c>
      <c r="U70" s="598">
        <f t="shared" si="440"/>
        <v>8</v>
      </c>
      <c r="V70" s="598">
        <f t="shared" si="440"/>
        <v>9</v>
      </c>
      <c r="W70" s="598">
        <f t="shared" si="440"/>
        <v>10</v>
      </c>
      <c r="Y70" s="598" t="s">
        <v>3268</v>
      </c>
      <c r="Z70" s="598">
        <f t="shared" ref="Z70:AI70" si="441">Z$68+$AS172</f>
        <v>1</v>
      </c>
      <c r="AA70" s="598">
        <f t="shared" si="441"/>
        <v>2</v>
      </c>
      <c r="AB70" s="598">
        <f t="shared" si="441"/>
        <v>3</v>
      </c>
      <c r="AC70" s="598">
        <f t="shared" si="441"/>
        <v>4</v>
      </c>
      <c r="AD70" s="598">
        <f t="shared" si="441"/>
        <v>5</v>
      </c>
      <c r="AE70" s="598">
        <f t="shared" si="441"/>
        <v>6</v>
      </c>
      <c r="AF70" s="598">
        <f t="shared" si="441"/>
        <v>7</v>
      </c>
      <c r="AG70" s="598">
        <f t="shared" si="441"/>
        <v>8</v>
      </c>
      <c r="AH70" s="598">
        <f t="shared" si="441"/>
        <v>9</v>
      </c>
      <c r="AI70" s="598">
        <f t="shared" si="441"/>
        <v>10</v>
      </c>
      <c r="AK70" s="598" t="s">
        <v>3268</v>
      </c>
      <c r="AL70" s="598">
        <f t="shared" ref="AL70:AU70" si="442">AL$68+$AU172</f>
        <v>1</v>
      </c>
      <c r="AM70" s="598">
        <f t="shared" si="442"/>
        <v>2</v>
      </c>
      <c r="AN70" s="598">
        <f t="shared" si="442"/>
        <v>3</v>
      </c>
      <c r="AO70" s="598">
        <f t="shared" si="442"/>
        <v>4</v>
      </c>
      <c r="AP70" s="598">
        <f t="shared" si="442"/>
        <v>5</v>
      </c>
      <c r="AQ70" s="598">
        <f t="shared" si="442"/>
        <v>6</v>
      </c>
      <c r="AR70" s="598">
        <f t="shared" si="442"/>
        <v>7</v>
      </c>
      <c r="AS70" s="598">
        <f t="shared" si="442"/>
        <v>8</v>
      </c>
      <c r="AT70" s="598">
        <f t="shared" si="442"/>
        <v>9</v>
      </c>
      <c r="AU70" s="598">
        <f t="shared" si="442"/>
        <v>10</v>
      </c>
      <c r="AW70" s="598" t="s">
        <v>3268</v>
      </c>
      <c r="AX70" s="598">
        <f t="shared" ref="AX70:BG70" si="443">AX$68+$AW172</f>
        <v>-1</v>
      </c>
      <c r="AY70" s="598">
        <f t="shared" si="443"/>
        <v>0</v>
      </c>
      <c r="AZ70" s="598">
        <f t="shared" si="443"/>
        <v>1</v>
      </c>
      <c r="BA70" s="598">
        <f t="shared" si="443"/>
        <v>2</v>
      </c>
      <c r="BB70" s="598">
        <f t="shared" si="443"/>
        <v>3</v>
      </c>
      <c r="BC70" s="598">
        <f t="shared" si="443"/>
        <v>4</v>
      </c>
      <c r="BD70" s="598">
        <f t="shared" si="443"/>
        <v>5</v>
      </c>
      <c r="BE70" s="598">
        <f t="shared" si="443"/>
        <v>6</v>
      </c>
      <c r="BF70" s="598">
        <f t="shared" si="443"/>
        <v>7</v>
      </c>
      <c r="BG70" s="598">
        <f t="shared" si="443"/>
        <v>8</v>
      </c>
      <c r="BI70" s="598" t="s">
        <v>3268</v>
      </c>
      <c r="BJ70" s="598">
        <f t="shared" ref="BJ70:BS70" si="444">BJ$68+$AY172</f>
        <v>1</v>
      </c>
      <c r="BK70" s="598">
        <f t="shared" si="444"/>
        <v>2</v>
      </c>
      <c r="BL70" s="598">
        <f t="shared" si="444"/>
        <v>3</v>
      </c>
      <c r="BM70" s="598">
        <f t="shared" si="444"/>
        <v>4</v>
      </c>
      <c r="BN70" s="598">
        <f t="shared" si="444"/>
        <v>5</v>
      </c>
      <c r="BO70" s="598">
        <f t="shared" si="444"/>
        <v>6</v>
      </c>
      <c r="BP70" s="598">
        <f t="shared" si="444"/>
        <v>7</v>
      </c>
      <c r="BQ70" s="598">
        <f t="shared" si="444"/>
        <v>8</v>
      </c>
      <c r="BR70" s="598">
        <f t="shared" si="444"/>
        <v>9</v>
      </c>
      <c r="BS70" s="598">
        <f t="shared" si="444"/>
        <v>10</v>
      </c>
      <c r="BU70" s="598" t="s">
        <v>3268</v>
      </c>
      <c r="BV70" s="598">
        <f t="shared" ref="BV70:CE70" si="445">BV$68+$BA172</f>
        <v>4</v>
      </c>
      <c r="BW70" s="598">
        <f t="shared" si="445"/>
        <v>5</v>
      </c>
      <c r="BX70" s="598">
        <f t="shared" si="445"/>
        <v>6</v>
      </c>
      <c r="BY70" s="598">
        <f t="shared" si="445"/>
        <v>7</v>
      </c>
      <c r="BZ70" s="598">
        <f t="shared" si="445"/>
        <v>8</v>
      </c>
      <c r="CA70" s="598">
        <f t="shared" si="445"/>
        <v>9</v>
      </c>
      <c r="CB70" s="598">
        <f t="shared" si="445"/>
        <v>10</v>
      </c>
      <c r="CC70" s="598">
        <f t="shared" si="445"/>
        <v>11</v>
      </c>
      <c r="CD70" s="598">
        <f t="shared" si="445"/>
        <v>12</v>
      </c>
      <c r="CE70" s="598">
        <f t="shared" si="445"/>
        <v>13</v>
      </c>
    </row>
    <row r="71" spans="1:83">
      <c r="A71" s="598" t="s">
        <v>2342</v>
      </c>
      <c r="B71" s="598">
        <f t="shared" ref="B71:K71" si="446">B$68+$AO173</f>
        <v>1</v>
      </c>
      <c r="C71" s="598">
        <f t="shared" si="446"/>
        <v>2</v>
      </c>
      <c r="D71" s="598">
        <f t="shared" si="446"/>
        <v>3</v>
      </c>
      <c r="E71" s="598">
        <f t="shared" si="446"/>
        <v>4</v>
      </c>
      <c r="F71" s="598">
        <f t="shared" si="446"/>
        <v>5</v>
      </c>
      <c r="G71" s="598">
        <f t="shared" si="446"/>
        <v>6</v>
      </c>
      <c r="H71" s="598">
        <f t="shared" si="446"/>
        <v>7</v>
      </c>
      <c r="I71" s="598">
        <f t="shared" si="446"/>
        <v>8</v>
      </c>
      <c r="J71" s="598">
        <f t="shared" si="446"/>
        <v>9</v>
      </c>
      <c r="K71" s="598">
        <f t="shared" si="446"/>
        <v>10</v>
      </c>
      <c r="M71" s="598" t="s">
        <v>2342</v>
      </c>
      <c r="N71" s="598">
        <f t="shared" ref="N71:W71" si="447">N$68+$AQ173</f>
        <v>1</v>
      </c>
      <c r="O71" s="598">
        <f t="shared" si="447"/>
        <v>2</v>
      </c>
      <c r="P71" s="598">
        <f t="shared" si="447"/>
        <v>3</v>
      </c>
      <c r="Q71" s="598">
        <f t="shared" si="447"/>
        <v>4</v>
      </c>
      <c r="R71" s="598">
        <f t="shared" si="447"/>
        <v>5</v>
      </c>
      <c r="S71" s="598">
        <f t="shared" si="447"/>
        <v>6</v>
      </c>
      <c r="T71" s="598">
        <f t="shared" si="447"/>
        <v>7</v>
      </c>
      <c r="U71" s="598">
        <f t="shared" si="447"/>
        <v>8</v>
      </c>
      <c r="V71" s="598">
        <f t="shared" si="447"/>
        <v>9</v>
      </c>
      <c r="W71" s="598">
        <f t="shared" si="447"/>
        <v>10</v>
      </c>
      <c r="Y71" s="598" t="s">
        <v>2342</v>
      </c>
      <c r="Z71" s="598">
        <f t="shared" ref="Z71:AI71" si="448">Z$68+$AS173</f>
        <v>1</v>
      </c>
      <c r="AA71" s="598">
        <f t="shared" si="448"/>
        <v>2</v>
      </c>
      <c r="AB71" s="598">
        <f t="shared" si="448"/>
        <v>3</v>
      </c>
      <c r="AC71" s="598">
        <f t="shared" si="448"/>
        <v>4</v>
      </c>
      <c r="AD71" s="598">
        <f t="shared" si="448"/>
        <v>5</v>
      </c>
      <c r="AE71" s="598">
        <f t="shared" si="448"/>
        <v>6</v>
      </c>
      <c r="AF71" s="598">
        <f t="shared" si="448"/>
        <v>7</v>
      </c>
      <c r="AG71" s="598">
        <f t="shared" si="448"/>
        <v>8</v>
      </c>
      <c r="AH71" s="598">
        <f t="shared" si="448"/>
        <v>9</v>
      </c>
      <c r="AI71" s="598">
        <f t="shared" si="448"/>
        <v>10</v>
      </c>
      <c r="AK71" s="598" t="s">
        <v>2342</v>
      </c>
      <c r="AL71" s="598">
        <f t="shared" ref="AL71:AU71" si="449">AL$68+$AU173</f>
        <v>0</v>
      </c>
      <c r="AM71" s="598">
        <f t="shared" si="449"/>
        <v>1</v>
      </c>
      <c r="AN71" s="598">
        <f t="shared" si="449"/>
        <v>2</v>
      </c>
      <c r="AO71" s="598">
        <f t="shared" si="449"/>
        <v>3</v>
      </c>
      <c r="AP71" s="598">
        <f t="shared" si="449"/>
        <v>4</v>
      </c>
      <c r="AQ71" s="598">
        <f t="shared" si="449"/>
        <v>5</v>
      </c>
      <c r="AR71" s="598">
        <f t="shared" si="449"/>
        <v>6</v>
      </c>
      <c r="AS71" s="598">
        <f t="shared" si="449"/>
        <v>7</v>
      </c>
      <c r="AT71" s="598">
        <f t="shared" si="449"/>
        <v>8</v>
      </c>
      <c r="AU71" s="598">
        <f t="shared" si="449"/>
        <v>9</v>
      </c>
      <c r="AW71" s="598" t="s">
        <v>2342</v>
      </c>
      <c r="AX71" s="598">
        <f t="shared" ref="AX71:BG71" si="450">AX$68+$AW173</f>
        <v>4</v>
      </c>
      <c r="AY71" s="598">
        <f t="shared" si="450"/>
        <v>5</v>
      </c>
      <c r="AZ71" s="598">
        <f t="shared" si="450"/>
        <v>6</v>
      </c>
      <c r="BA71" s="598">
        <f t="shared" si="450"/>
        <v>7</v>
      </c>
      <c r="BB71" s="598">
        <f t="shared" si="450"/>
        <v>8</v>
      </c>
      <c r="BC71" s="598">
        <f t="shared" si="450"/>
        <v>9</v>
      </c>
      <c r="BD71" s="598">
        <f t="shared" si="450"/>
        <v>10</v>
      </c>
      <c r="BE71" s="598">
        <f t="shared" si="450"/>
        <v>11</v>
      </c>
      <c r="BF71" s="598">
        <f t="shared" si="450"/>
        <v>12</v>
      </c>
      <c r="BG71" s="598">
        <f t="shared" si="450"/>
        <v>13</v>
      </c>
      <c r="BI71" s="598" t="s">
        <v>2342</v>
      </c>
      <c r="BJ71" s="598">
        <f t="shared" ref="BJ71:BS71" si="451">BJ$68+$AY173</f>
        <v>3</v>
      </c>
      <c r="BK71" s="598">
        <f t="shared" si="451"/>
        <v>4</v>
      </c>
      <c r="BL71" s="598">
        <f t="shared" si="451"/>
        <v>5</v>
      </c>
      <c r="BM71" s="598">
        <f t="shared" si="451"/>
        <v>6</v>
      </c>
      <c r="BN71" s="598">
        <f t="shared" si="451"/>
        <v>7</v>
      </c>
      <c r="BO71" s="598">
        <f t="shared" si="451"/>
        <v>8</v>
      </c>
      <c r="BP71" s="598">
        <f t="shared" si="451"/>
        <v>9</v>
      </c>
      <c r="BQ71" s="598">
        <f t="shared" si="451"/>
        <v>10</v>
      </c>
      <c r="BR71" s="598">
        <f t="shared" si="451"/>
        <v>11</v>
      </c>
      <c r="BS71" s="598">
        <f t="shared" si="451"/>
        <v>12</v>
      </c>
      <c r="BU71" s="598" t="s">
        <v>2342</v>
      </c>
      <c r="BV71" s="598">
        <f t="shared" ref="BV71:CE71" si="452">BV$68+$BA173</f>
        <v>4</v>
      </c>
      <c r="BW71" s="598">
        <f t="shared" si="452"/>
        <v>5</v>
      </c>
      <c r="BX71" s="598">
        <f t="shared" si="452"/>
        <v>6</v>
      </c>
      <c r="BY71" s="598">
        <f t="shared" si="452"/>
        <v>7</v>
      </c>
      <c r="BZ71" s="598">
        <f t="shared" si="452"/>
        <v>8</v>
      </c>
      <c r="CA71" s="598">
        <f t="shared" si="452"/>
        <v>9</v>
      </c>
      <c r="CB71" s="598">
        <f t="shared" si="452"/>
        <v>10</v>
      </c>
      <c r="CC71" s="598">
        <f t="shared" si="452"/>
        <v>11</v>
      </c>
      <c r="CD71" s="598">
        <f t="shared" si="452"/>
        <v>12</v>
      </c>
      <c r="CE71" s="598">
        <f t="shared" si="452"/>
        <v>13</v>
      </c>
    </row>
    <row r="72" spans="1:83">
      <c r="A72" s="598" t="s">
        <v>2343</v>
      </c>
      <c r="B72" s="598">
        <f t="shared" ref="B72:K72" si="453">B$68+$AO174</f>
        <v>-1</v>
      </c>
      <c r="C72" s="598">
        <f t="shared" si="453"/>
        <v>0</v>
      </c>
      <c r="D72" s="598">
        <f t="shared" si="453"/>
        <v>1</v>
      </c>
      <c r="E72" s="598">
        <f t="shared" si="453"/>
        <v>2</v>
      </c>
      <c r="F72" s="598">
        <f t="shared" si="453"/>
        <v>3</v>
      </c>
      <c r="G72" s="598">
        <f t="shared" si="453"/>
        <v>4</v>
      </c>
      <c r="H72" s="598">
        <f t="shared" si="453"/>
        <v>5</v>
      </c>
      <c r="I72" s="598">
        <f t="shared" si="453"/>
        <v>6</v>
      </c>
      <c r="J72" s="598">
        <f t="shared" si="453"/>
        <v>7</v>
      </c>
      <c r="K72" s="598">
        <f t="shared" si="453"/>
        <v>8</v>
      </c>
      <c r="M72" s="598" t="s">
        <v>2343</v>
      </c>
      <c r="N72" s="598">
        <f t="shared" ref="N72:W72" si="454">N$68+$AQ174</f>
        <v>1</v>
      </c>
      <c r="O72" s="598">
        <f t="shared" si="454"/>
        <v>2</v>
      </c>
      <c r="P72" s="598">
        <f t="shared" si="454"/>
        <v>3</v>
      </c>
      <c r="Q72" s="598">
        <f t="shared" si="454"/>
        <v>4</v>
      </c>
      <c r="R72" s="598">
        <f t="shared" si="454"/>
        <v>5</v>
      </c>
      <c r="S72" s="598">
        <f t="shared" si="454"/>
        <v>6</v>
      </c>
      <c r="T72" s="598">
        <f t="shared" si="454"/>
        <v>7</v>
      </c>
      <c r="U72" s="598">
        <f t="shared" si="454"/>
        <v>8</v>
      </c>
      <c r="V72" s="598">
        <f t="shared" si="454"/>
        <v>9</v>
      </c>
      <c r="W72" s="598">
        <f t="shared" si="454"/>
        <v>10</v>
      </c>
      <c r="Y72" s="598" t="s">
        <v>2343</v>
      </c>
      <c r="Z72" s="598">
        <f t="shared" ref="Z72:AI72" si="455">Z$68+$AS174</f>
        <v>1</v>
      </c>
      <c r="AA72" s="598">
        <f t="shared" si="455"/>
        <v>2</v>
      </c>
      <c r="AB72" s="598">
        <f t="shared" si="455"/>
        <v>3</v>
      </c>
      <c r="AC72" s="598">
        <f t="shared" si="455"/>
        <v>4</v>
      </c>
      <c r="AD72" s="598">
        <f t="shared" si="455"/>
        <v>5</v>
      </c>
      <c r="AE72" s="598">
        <f t="shared" si="455"/>
        <v>6</v>
      </c>
      <c r="AF72" s="598">
        <f t="shared" si="455"/>
        <v>7</v>
      </c>
      <c r="AG72" s="598">
        <f t="shared" si="455"/>
        <v>8</v>
      </c>
      <c r="AH72" s="598">
        <f t="shared" si="455"/>
        <v>9</v>
      </c>
      <c r="AI72" s="598">
        <f t="shared" si="455"/>
        <v>10</v>
      </c>
      <c r="AK72" s="598" t="s">
        <v>2343</v>
      </c>
      <c r="AL72" s="598">
        <f t="shared" ref="AL72:AU72" si="456">AL$68+$AU174</f>
        <v>2</v>
      </c>
      <c r="AM72" s="598">
        <f t="shared" si="456"/>
        <v>3</v>
      </c>
      <c r="AN72" s="598">
        <f t="shared" si="456"/>
        <v>4</v>
      </c>
      <c r="AO72" s="598">
        <f t="shared" si="456"/>
        <v>5</v>
      </c>
      <c r="AP72" s="598">
        <f t="shared" si="456"/>
        <v>6</v>
      </c>
      <c r="AQ72" s="598">
        <f t="shared" si="456"/>
        <v>7</v>
      </c>
      <c r="AR72" s="598">
        <f t="shared" si="456"/>
        <v>8</v>
      </c>
      <c r="AS72" s="598">
        <f t="shared" si="456"/>
        <v>9</v>
      </c>
      <c r="AT72" s="598">
        <f t="shared" si="456"/>
        <v>10</v>
      </c>
      <c r="AU72" s="598">
        <f t="shared" si="456"/>
        <v>11</v>
      </c>
      <c r="AW72" s="598" t="s">
        <v>2343</v>
      </c>
      <c r="AX72" s="598">
        <f t="shared" ref="AX72:BG72" si="457">AX$68+$AW174</f>
        <v>-1</v>
      </c>
      <c r="AY72" s="598">
        <f t="shared" si="457"/>
        <v>0</v>
      </c>
      <c r="AZ72" s="598">
        <f t="shared" si="457"/>
        <v>1</v>
      </c>
      <c r="BA72" s="598">
        <f t="shared" si="457"/>
        <v>2</v>
      </c>
      <c r="BB72" s="598">
        <f t="shared" si="457"/>
        <v>3</v>
      </c>
      <c r="BC72" s="598">
        <f t="shared" si="457"/>
        <v>4</v>
      </c>
      <c r="BD72" s="598">
        <f t="shared" si="457"/>
        <v>5</v>
      </c>
      <c r="BE72" s="598">
        <f t="shared" si="457"/>
        <v>6</v>
      </c>
      <c r="BF72" s="598">
        <f t="shared" si="457"/>
        <v>7</v>
      </c>
      <c r="BG72" s="598">
        <f t="shared" si="457"/>
        <v>8</v>
      </c>
      <c r="BI72" s="598" t="s">
        <v>2343</v>
      </c>
      <c r="BJ72" s="598">
        <f t="shared" ref="BJ72:BS72" si="458">BJ$68+$AY174</f>
        <v>3</v>
      </c>
      <c r="BK72" s="598">
        <f t="shared" si="458"/>
        <v>4</v>
      </c>
      <c r="BL72" s="598">
        <f t="shared" si="458"/>
        <v>5</v>
      </c>
      <c r="BM72" s="598">
        <f t="shared" si="458"/>
        <v>6</v>
      </c>
      <c r="BN72" s="598">
        <f t="shared" si="458"/>
        <v>7</v>
      </c>
      <c r="BO72" s="598">
        <f t="shared" si="458"/>
        <v>8</v>
      </c>
      <c r="BP72" s="598">
        <f t="shared" si="458"/>
        <v>9</v>
      </c>
      <c r="BQ72" s="598">
        <f t="shared" si="458"/>
        <v>10</v>
      </c>
      <c r="BR72" s="598">
        <f t="shared" si="458"/>
        <v>11</v>
      </c>
      <c r="BS72" s="598">
        <f t="shared" si="458"/>
        <v>12</v>
      </c>
      <c r="BU72" s="598" t="s">
        <v>2343</v>
      </c>
      <c r="BV72" s="598">
        <f t="shared" ref="BV72:CE72" si="459">BV$68+$BA174</f>
        <v>4</v>
      </c>
      <c r="BW72" s="598">
        <f t="shared" si="459"/>
        <v>5</v>
      </c>
      <c r="BX72" s="598">
        <f t="shared" si="459"/>
        <v>6</v>
      </c>
      <c r="BY72" s="598">
        <f t="shared" si="459"/>
        <v>7</v>
      </c>
      <c r="BZ72" s="598">
        <f t="shared" si="459"/>
        <v>8</v>
      </c>
      <c r="CA72" s="598">
        <f t="shared" si="459"/>
        <v>9</v>
      </c>
      <c r="CB72" s="598">
        <f t="shared" si="459"/>
        <v>10</v>
      </c>
      <c r="CC72" s="598">
        <f t="shared" si="459"/>
        <v>11</v>
      </c>
      <c r="CD72" s="598">
        <f t="shared" si="459"/>
        <v>12</v>
      </c>
      <c r="CE72" s="598">
        <f t="shared" si="459"/>
        <v>13</v>
      </c>
    </row>
    <row r="73" spans="1:83">
      <c r="A73" s="598" t="s">
        <v>2344</v>
      </c>
      <c r="B73" s="598">
        <f t="shared" ref="B73:K73" si="460">B$68+$AO175</f>
        <v>4</v>
      </c>
      <c r="C73" s="598">
        <f t="shared" si="460"/>
        <v>5</v>
      </c>
      <c r="D73" s="598">
        <f t="shared" si="460"/>
        <v>6</v>
      </c>
      <c r="E73" s="598">
        <f t="shared" si="460"/>
        <v>7</v>
      </c>
      <c r="F73" s="598">
        <f t="shared" si="460"/>
        <v>8</v>
      </c>
      <c r="G73" s="598">
        <f t="shared" si="460"/>
        <v>9</v>
      </c>
      <c r="H73" s="598">
        <f t="shared" si="460"/>
        <v>10</v>
      </c>
      <c r="I73" s="598">
        <f t="shared" si="460"/>
        <v>11</v>
      </c>
      <c r="J73" s="598">
        <f t="shared" si="460"/>
        <v>12</v>
      </c>
      <c r="K73" s="598">
        <f t="shared" si="460"/>
        <v>13</v>
      </c>
      <c r="M73" s="598" t="s">
        <v>2344</v>
      </c>
      <c r="N73" s="598">
        <f t="shared" ref="N73:W73" si="461">N$68+$AQ175</f>
        <v>1</v>
      </c>
      <c r="O73" s="598">
        <f t="shared" si="461"/>
        <v>2</v>
      </c>
      <c r="P73" s="598">
        <f t="shared" si="461"/>
        <v>3</v>
      </c>
      <c r="Q73" s="598">
        <f t="shared" si="461"/>
        <v>4</v>
      </c>
      <c r="R73" s="598">
        <f t="shared" si="461"/>
        <v>5</v>
      </c>
      <c r="S73" s="598">
        <f t="shared" si="461"/>
        <v>6</v>
      </c>
      <c r="T73" s="598">
        <f t="shared" si="461"/>
        <v>7</v>
      </c>
      <c r="U73" s="598">
        <f t="shared" si="461"/>
        <v>8</v>
      </c>
      <c r="V73" s="598">
        <f t="shared" si="461"/>
        <v>9</v>
      </c>
      <c r="W73" s="598">
        <f t="shared" si="461"/>
        <v>10</v>
      </c>
      <c r="Y73" s="598" t="s">
        <v>2344</v>
      </c>
      <c r="Z73" s="598">
        <f t="shared" ref="Z73:AI73" si="462">Z$68+$AS175</f>
        <v>1</v>
      </c>
      <c r="AA73" s="598">
        <f t="shared" si="462"/>
        <v>2</v>
      </c>
      <c r="AB73" s="598">
        <f t="shared" si="462"/>
        <v>3</v>
      </c>
      <c r="AC73" s="598">
        <f t="shared" si="462"/>
        <v>4</v>
      </c>
      <c r="AD73" s="598">
        <f t="shared" si="462"/>
        <v>5</v>
      </c>
      <c r="AE73" s="598">
        <f t="shared" si="462"/>
        <v>6</v>
      </c>
      <c r="AF73" s="598">
        <f t="shared" si="462"/>
        <v>7</v>
      </c>
      <c r="AG73" s="598">
        <f t="shared" si="462"/>
        <v>8</v>
      </c>
      <c r="AH73" s="598">
        <f t="shared" si="462"/>
        <v>9</v>
      </c>
      <c r="AI73" s="598">
        <f t="shared" si="462"/>
        <v>10</v>
      </c>
      <c r="AK73" s="598" t="s">
        <v>2344</v>
      </c>
      <c r="AL73" s="598" t="e">
        <f t="shared" ref="AL73:AU73" si="463">AL$68+$AU175</f>
        <v>#N/A</v>
      </c>
      <c r="AM73" s="598" t="e">
        <f t="shared" si="463"/>
        <v>#N/A</v>
      </c>
      <c r="AN73" s="598" t="e">
        <f t="shared" si="463"/>
        <v>#N/A</v>
      </c>
      <c r="AO73" s="598" t="e">
        <f t="shared" si="463"/>
        <v>#N/A</v>
      </c>
      <c r="AP73" s="598" t="e">
        <f t="shared" si="463"/>
        <v>#N/A</v>
      </c>
      <c r="AQ73" s="598" t="e">
        <f t="shared" si="463"/>
        <v>#N/A</v>
      </c>
      <c r="AR73" s="598" t="e">
        <f t="shared" si="463"/>
        <v>#N/A</v>
      </c>
      <c r="AS73" s="598" t="e">
        <f t="shared" si="463"/>
        <v>#N/A</v>
      </c>
      <c r="AT73" s="598" t="e">
        <f t="shared" si="463"/>
        <v>#N/A</v>
      </c>
      <c r="AU73" s="598" t="e">
        <f t="shared" si="463"/>
        <v>#N/A</v>
      </c>
      <c r="AW73" s="598" t="s">
        <v>2344</v>
      </c>
      <c r="AX73" s="598">
        <f t="shared" ref="AX73:BG73" si="464">AX$68+$AW175</f>
        <v>0</v>
      </c>
      <c r="AY73" s="598">
        <f t="shared" si="464"/>
        <v>1</v>
      </c>
      <c r="AZ73" s="598">
        <f t="shared" si="464"/>
        <v>2</v>
      </c>
      <c r="BA73" s="598">
        <f t="shared" si="464"/>
        <v>3</v>
      </c>
      <c r="BB73" s="598">
        <f t="shared" si="464"/>
        <v>4</v>
      </c>
      <c r="BC73" s="598">
        <f t="shared" si="464"/>
        <v>5</v>
      </c>
      <c r="BD73" s="598">
        <f t="shared" si="464"/>
        <v>6</v>
      </c>
      <c r="BE73" s="598">
        <f t="shared" si="464"/>
        <v>7</v>
      </c>
      <c r="BF73" s="598">
        <f t="shared" si="464"/>
        <v>8</v>
      </c>
      <c r="BG73" s="598">
        <f t="shared" si="464"/>
        <v>9</v>
      </c>
      <c r="BI73" s="598" t="s">
        <v>2344</v>
      </c>
      <c r="BJ73" s="598">
        <f t="shared" ref="BJ73:BS73" si="465">BJ$68+$AY175</f>
        <v>2</v>
      </c>
      <c r="BK73" s="598">
        <f t="shared" si="465"/>
        <v>3</v>
      </c>
      <c r="BL73" s="598">
        <f t="shared" si="465"/>
        <v>4</v>
      </c>
      <c r="BM73" s="598">
        <f t="shared" si="465"/>
        <v>5</v>
      </c>
      <c r="BN73" s="598">
        <f t="shared" si="465"/>
        <v>6</v>
      </c>
      <c r="BO73" s="598">
        <f t="shared" si="465"/>
        <v>7</v>
      </c>
      <c r="BP73" s="598">
        <f t="shared" si="465"/>
        <v>8</v>
      </c>
      <c r="BQ73" s="598">
        <f t="shared" si="465"/>
        <v>9</v>
      </c>
      <c r="BR73" s="598">
        <f t="shared" si="465"/>
        <v>10</v>
      </c>
      <c r="BS73" s="598">
        <f t="shared" si="465"/>
        <v>11</v>
      </c>
      <c r="BU73" s="598" t="s">
        <v>2344</v>
      </c>
      <c r="BV73" s="598">
        <f t="shared" ref="BV73:CE73" si="466">BV$68+$BA175</f>
        <v>-1</v>
      </c>
      <c r="BW73" s="598">
        <f t="shared" si="466"/>
        <v>0</v>
      </c>
      <c r="BX73" s="598">
        <f t="shared" si="466"/>
        <v>1</v>
      </c>
      <c r="BY73" s="598">
        <f t="shared" si="466"/>
        <v>2</v>
      </c>
      <c r="BZ73" s="598">
        <f t="shared" si="466"/>
        <v>3</v>
      </c>
      <c r="CA73" s="598">
        <f t="shared" si="466"/>
        <v>4</v>
      </c>
      <c r="CB73" s="598">
        <f t="shared" si="466"/>
        <v>5</v>
      </c>
      <c r="CC73" s="598">
        <f t="shared" si="466"/>
        <v>6</v>
      </c>
      <c r="CD73" s="598">
        <f t="shared" si="466"/>
        <v>7</v>
      </c>
      <c r="CE73" s="598">
        <f t="shared" si="466"/>
        <v>8</v>
      </c>
    </row>
    <row r="74" spans="1:83">
      <c r="A74" s="598" t="s">
        <v>2345</v>
      </c>
      <c r="B74" s="598" t="e">
        <f t="shared" ref="B74:K74" si="467">B$68+$AO176</f>
        <v>#N/A</v>
      </c>
      <c r="C74" s="598" t="e">
        <f t="shared" si="467"/>
        <v>#N/A</v>
      </c>
      <c r="D74" s="598" t="e">
        <f t="shared" si="467"/>
        <v>#N/A</v>
      </c>
      <c r="E74" s="598" t="e">
        <f t="shared" si="467"/>
        <v>#N/A</v>
      </c>
      <c r="F74" s="598" t="e">
        <f t="shared" si="467"/>
        <v>#N/A</v>
      </c>
      <c r="G74" s="598" t="e">
        <f t="shared" si="467"/>
        <v>#N/A</v>
      </c>
      <c r="H74" s="598" t="e">
        <f t="shared" si="467"/>
        <v>#N/A</v>
      </c>
      <c r="I74" s="598" t="e">
        <f t="shared" si="467"/>
        <v>#N/A</v>
      </c>
      <c r="J74" s="598" t="e">
        <f t="shared" si="467"/>
        <v>#N/A</v>
      </c>
      <c r="K74" s="598" t="e">
        <f t="shared" si="467"/>
        <v>#N/A</v>
      </c>
      <c r="M74" s="598" t="s">
        <v>2345</v>
      </c>
      <c r="N74" s="598" t="e">
        <f t="shared" ref="N74:W74" si="468">N$68+$AQ176</f>
        <v>#N/A</v>
      </c>
      <c r="O74" s="598" t="e">
        <f t="shared" si="468"/>
        <v>#N/A</v>
      </c>
      <c r="P74" s="598" t="e">
        <f t="shared" si="468"/>
        <v>#N/A</v>
      </c>
      <c r="Q74" s="598" t="e">
        <f t="shared" si="468"/>
        <v>#N/A</v>
      </c>
      <c r="R74" s="598" t="e">
        <f t="shared" si="468"/>
        <v>#N/A</v>
      </c>
      <c r="S74" s="598" t="e">
        <f t="shared" si="468"/>
        <v>#N/A</v>
      </c>
      <c r="T74" s="598" t="e">
        <f t="shared" si="468"/>
        <v>#N/A</v>
      </c>
      <c r="U74" s="598" t="e">
        <f t="shared" si="468"/>
        <v>#N/A</v>
      </c>
      <c r="V74" s="598" t="e">
        <f t="shared" si="468"/>
        <v>#N/A</v>
      </c>
      <c r="W74" s="598" t="e">
        <f t="shared" si="468"/>
        <v>#N/A</v>
      </c>
      <c r="Y74" s="598" t="s">
        <v>2345</v>
      </c>
      <c r="Z74" s="598" t="e">
        <f t="shared" ref="Z74:AI74" si="469">Z$68+$AS176</f>
        <v>#N/A</v>
      </c>
      <c r="AA74" s="598" t="e">
        <f t="shared" si="469"/>
        <v>#N/A</v>
      </c>
      <c r="AB74" s="598" t="e">
        <f t="shared" si="469"/>
        <v>#N/A</v>
      </c>
      <c r="AC74" s="598" t="e">
        <f t="shared" si="469"/>
        <v>#N/A</v>
      </c>
      <c r="AD74" s="598" t="e">
        <f t="shared" si="469"/>
        <v>#N/A</v>
      </c>
      <c r="AE74" s="598" t="e">
        <f t="shared" si="469"/>
        <v>#N/A</v>
      </c>
      <c r="AF74" s="598" t="e">
        <f t="shared" si="469"/>
        <v>#N/A</v>
      </c>
      <c r="AG74" s="598" t="e">
        <f t="shared" si="469"/>
        <v>#N/A</v>
      </c>
      <c r="AH74" s="598" t="e">
        <f t="shared" si="469"/>
        <v>#N/A</v>
      </c>
      <c r="AI74" s="598" t="e">
        <f t="shared" si="469"/>
        <v>#N/A</v>
      </c>
      <c r="AK74" s="598" t="s">
        <v>2345</v>
      </c>
      <c r="AL74" s="598">
        <f t="shared" ref="AL74:AU74" si="470">AL$68+$AU176</f>
        <v>-1</v>
      </c>
      <c r="AM74" s="598">
        <f t="shared" si="470"/>
        <v>0</v>
      </c>
      <c r="AN74" s="598">
        <f t="shared" si="470"/>
        <v>1</v>
      </c>
      <c r="AO74" s="598">
        <f t="shared" si="470"/>
        <v>2</v>
      </c>
      <c r="AP74" s="598">
        <f t="shared" si="470"/>
        <v>3</v>
      </c>
      <c r="AQ74" s="598">
        <f t="shared" si="470"/>
        <v>4</v>
      </c>
      <c r="AR74" s="598">
        <f t="shared" si="470"/>
        <v>5</v>
      </c>
      <c r="AS74" s="598">
        <f t="shared" si="470"/>
        <v>6</v>
      </c>
      <c r="AT74" s="598">
        <f t="shared" si="470"/>
        <v>7</v>
      </c>
      <c r="AU74" s="598">
        <f t="shared" si="470"/>
        <v>8</v>
      </c>
      <c r="AW74" s="598" t="s">
        <v>2345</v>
      </c>
      <c r="AX74" s="598" t="e">
        <f t="shared" ref="AX74:BG74" si="471">AX$68+$AW176</f>
        <v>#N/A</v>
      </c>
      <c r="AY74" s="598" t="e">
        <f t="shared" si="471"/>
        <v>#N/A</v>
      </c>
      <c r="AZ74" s="598" t="e">
        <f t="shared" si="471"/>
        <v>#N/A</v>
      </c>
      <c r="BA74" s="598" t="e">
        <f t="shared" si="471"/>
        <v>#N/A</v>
      </c>
      <c r="BB74" s="598" t="e">
        <f t="shared" si="471"/>
        <v>#N/A</v>
      </c>
      <c r="BC74" s="598" t="e">
        <f t="shared" si="471"/>
        <v>#N/A</v>
      </c>
      <c r="BD74" s="598" t="e">
        <f t="shared" si="471"/>
        <v>#N/A</v>
      </c>
      <c r="BE74" s="598" t="e">
        <f t="shared" si="471"/>
        <v>#N/A</v>
      </c>
      <c r="BF74" s="598" t="e">
        <f t="shared" si="471"/>
        <v>#N/A</v>
      </c>
      <c r="BG74" s="598" t="e">
        <f t="shared" si="471"/>
        <v>#N/A</v>
      </c>
      <c r="BI74" s="598" t="s">
        <v>2345</v>
      </c>
      <c r="BJ74" s="598" t="e">
        <f t="shared" ref="BJ74:BS74" si="472">BJ$68+$AY176</f>
        <v>#N/A</v>
      </c>
      <c r="BK74" s="598" t="e">
        <f t="shared" si="472"/>
        <v>#N/A</v>
      </c>
      <c r="BL74" s="598" t="e">
        <f t="shared" si="472"/>
        <v>#N/A</v>
      </c>
      <c r="BM74" s="598" t="e">
        <f t="shared" si="472"/>
        <v>#N/A</v>
      </c>
      <c r="BN74" s="598" t="e">
        <f t="shared" si="472"/>
        <v>#N/A</v>
      </c>
      <c r="BO74" s="598" t="e">
        <f t="shared" si="472"/>
        <v>#N/A</v>
      </c>
      <c r="BP74" s="598" t="e">
        <f t="shared" si="472"/>
        <v>#N/A</v>
      </c>
      <c r="BQ74" s="598" t="e">
        <f t="shared" si="472"/>
        <v>#N/A</v>
      </c>
      <c r="BR74" s="598" t="e">
        <f t="shared" si="472"/>
        <v>#N/A</v>
      </c>
      <c r="BS74" s="598" t="e">
        <f t="shared" si="472"/>
        <v>#N/A</v>
      </c>
      <c r="BU74" s="598" t="s">
        <v>2345</v>
      </c>
      <c r="BV74" s="598" t="e">
        <f t="shared" ref="BV74:CE74" si="473">BV$68+$BA176</f>
        <v>#N/A</v>
      </c>
      <c r="BW74" s="598" t="e">
        <f t="shared" si="473"/>
        <v>#N/A</v>
      </c>
      <c r="BX74" s="598" t="e">
        <f t="shared" si="473"/>
        <v>#N/A</v>
      </c>
      <c r="BY74" s="598" t="e">
        <f t="shared" si="473"/>
        <v>#N/A</v>
      </c>
      <c r="BZ74" s="598" t="e">
        <f t="shared" si="473"/>
        <v>#N/A</v>
      </c>
      <c r="CA74" s="598" t="e">
        <f t="shared" si="473"/>
        <v>#N/A</v>
      </c>
      <c r="CB74" s="598" t="e">
        <f t="shared" si="473"/>
        <v>#N/A</v>
      </c>
      <c r="CC74" s="598" t="e">
        <f t="shared" si="473"/>
        <v>#N/A</v>
      </c>
      <c r="CD74" s="598" t="e">
        <f t="shared" si="473"/>
        <v>#N/A</v>
      </c>
      <c r="CE74" s="598" t="e">
        <f t="shared" si="473"/>
        <v>#N/A</v>
      </c>
    </row>
    <row r="75" spans="1:83">
      <c r="A75" s="598" t="s">
        <v>1631</v>
      </c>
      <c r="B75" s="598">
        <f t="shared" ref="B75:K75" si="474">B$68+$AO177</f>
        <v>0</v>
      </c>
      <c r="C75" s="598">
        <f t="shared" si="474"/>
        <v>1</v>
      </c>
      <c r="D75" s="598">
        <f t="shared" si="474"/>
        <v>2</v>
      </c>
      <c r="E75" s="598">
        <f t="shared" si="474"/>
        <v>3</v>
      </c>
      <c r="F75" s="598">
        <f t="shared" si="474"/>
        <v>4</v>
      </c>
      <c r="G75" s="598">
        <f t="shared" si="474"/>
        <v>5</v>
      </c>
      <c r="H75" s="598">
        <f t="shared" si="474"/>
        <v>6</v>
      </c>
      <c r="I75" s="598">
        <f t="shared" si="474"/>
        <v>7</v>
      </c>
      <c r="J75" s="598">
        <f t="shared" si="474"/>
        <v>8</v>
      </c>
      <c r="K75" s="598">
        <f t="shared" si="474"/>
        <v>9</v>
      </c>
      <c r="M75" s="598" t="s">
        <v>1631</v>
      </c>
      <c r="N75" s="598">
        <f t="shared" ref="N75:W75" si="475">N$68+$AQ177</f>
        <v>1</v>
      </c>
      <c r="O75" s="598">
        <f t="shared" si="475"/>
        <v>2</v>
      </c>
      <c r="P75" s="598">
        <f t="shared" si="475"/>
        <v>3</v>
      </c>
      <c r="Q75" s="598">
        <f t="shared" si="475"/>
        <v>4</v>
      </c>
      <c r="R75" s="598">
        <f t="shared" si="475"/>
        <v>5</v>
      </c>
      <c r="S75" s="598">
        <f t="shared" si="475"/>
        <v>6</v>
      </c>
      <c r="T75" s="598">
        <f t="shared" si="475"/>
        <v>7</v>
      </c>
      <c r="U75" s="598">
        <f t="shared" si="475"/>
        <v>8</v>
      </c>
      <c r="V75" s="598">
        <f t="shared" si="475"/>
        <v>9</v>
      </c>
      <c r="W75" s="598">
        <f t="shared" si="475"/>
        <v>10</v>
      </c>
      <c r="Y75" s="598" t="s">
        <v>1631</v>
      </c>
      <c r="Z75" s="598">
        <f t="shared" ref="Z75:AI75" si="476">Z$68+$AS177</f>
        <v>1</v>
      </c>
      <c r="AA75" s="598">
        <f t="shared" si="476"/>
        <v>2</v>
      </c>
      <c r="AB75" s="598">
        <f t="shared" si="476"/>
        <v>3</v>
      </c>
      <c r="AC75" s="598">
        <f t="shared" si="476"/>
        <v>4</v>
      </c>
      <c r="AD75" s="598">
        <f t="shared" si="476"/>
        <v>5</v>
      </c>
      <c r="AE75" s="598">
        <f t="shared" si="476"/>
        <v>6</v>
      </c>
      <c r="AF75" s="598">
        <f t="shared" si="476"/>
        <v>7</v>
      </c>
      <c r="AG75" s="598">
        <f t="shared" si="476"/>
        <v>8</v>
      </c>
      <c r="AH75" s="598">
        <f t="shared" si="476"/>
        <v>9</v>
      </c>
      <c r="AI75" s="598">
        <f t="shared" si="476"/>
        <v>10</v>
      </c>
      <c r="AK75" s="598" t="s">
        <v>1631</v>
      </c>
      <c r="AL75" s="598" t="e">
        <f t="shared" ref="AL75:AU75" si="477">AL$68+$AU177</f>
        <v>#N/A</v>
      </c>
      <c r="AM75" s="598" t="e">
        <f t="shared" si="477"/>
        <v>#N/A</v>
      </c>
      <c r="AN75" s="598" t="e">
        <f t="shared" si="477"/>
        <v>#N/A</v>
      </c>
      <c r="AO75" s="598" t="e">
        <f t="shared" si="477"/>
        <v>#N/A</v>
      </c>
      <c r="AP75" s="598" t="e">
        <f t="shared" si="477"/>
        <v>#N/A</v>
      </c>
      <c r="AQ75" s="598" t="e">
        <f t="shared" si="477"/>
        <v>#N/A</v>
      </c>
      <c r="AR75" s="598" t="e">
        <f t="shared" si="477"/>
        <v>#N/A</v>
      </c>
      <c r="AS75" s="598" t="e">
        <f t="shared" si="477"/>
        <v>#N/A</v>
      </c>
      <c r="AT75" s="598" t="e">
        <f t="shared" si="477"/>
        <v>#N/A</v>
      </c>
      <c r="AU75" s="598" t="e">
        <f t="shared" si="477"/>
        <v>#N/A</v>
      </c>
      <c r="AW75" s="598" t="s">
        <v>1631</v>
      </c>
      <c r="AX75" s="598">
        <f t="shared" ref="AX75:BG75" si="478">AX$68+$AW177</f>
        <v>0</v>
      </c>
      <c r="AY75" s="598">
        <f t="shared" si="478"/>
        <v>1</v>
      </c>
      <c r="AZ75" s="598">
        <f t="shared" si="478"/>
        <v>2</v>
      </c>
      <c r="BA75" s="598">
        <f t="shared" si="478"/>
        <v>3</v>
      </c>
      <c r="BB75" s="598">
        <f t="shared" si="478"/>
        <v>4</v>
      </c>
      <c r="BC75" s="598">
        <f t="shared" si="478"/>
        <v>5</v>
      </c>
      <c r="BD75" s="598">
        <f t="shared" si="478"/>
        <v>6</v>
      </c>
      <c r="BE75" s="598">
        <f t="shared" si="478"/>
        <v>7</v>
      </c>
      <c r="BF75" s="598">
        <f t="shared" si="478"/>
        <v>8</v>
      </c>
      <c r="BG75" s="598">
        <f t="shared" si="478"/>
        <v>9</v>
      </c>
      <c r="BI75" s="598" t="s">
        <v>1631</v>
      </c>
      <c r="BJ75" s="598">
        <f t="shared" ref="BJ75:BS75" si="479">BJ$68+$AY177</f>
        <v>0</v>
      </c>
      <c r="BK75" s="598">
        <f t="shared" si="479"/>
        <v>1</v>
      </c>
      <c r="BL75" s="598">
        <f t="shared" si="479"/>
        <v>2</v>
      </c>
      <c r="BM75" s="598">
        <f t="shared" si="479"/>
        <v>3</v>
      </c>
      <c r="BN75" s="598">
        <f t="shared" si="479"/>
        <v>4</v>
      </c>
      <c r="BO75" s="598">
        <f t="shared" si="479"/>
        <v>5</v>
      </c>
      <c r="BP75" s="598">
        <f t="shared" si="479"/>
        <v>6</v>
      </c>
      <c r="BQ75" s="598">
        <f t="shared" si="479"/>
        <v>7</v>
      </c>
      <c r="BR75" s="598">
        <f t="shared" si="479"/>
        <v>8</v>
      </c>
      <c r="BS75" s="598">
        <f t="shared" si="479"/>
        <v>9</v>
      </c>
      <c r="BU75" s="598" t="s">
        <v>1631</v>
      </c>
      <c r="BV75" s="598">
        <f t="shared" ref="BV75:CE75" si="480">BV$68+$BA177</f>
        <v>-2</v>
      </c>
      <c r="BW75" s="598">
        <f t="shared" si="480"/>
        <v>-1</v>
      </c>
      <c r="BX75" s="598">
        <f t="shared" si="480"/>
        <v>0</v>
      </c>
      <c r="BY75" s="598">
        <f t="shared" si="480"/>
        <v>1</v>
      </c>
      <c r="BZ75" s="598">
        <f t="shared" si="480"/>
        <v>2</v>
      </c>
      <c r="CA75" s="598">
        <f t="shared" si="480"/>
        <v>3</v>
      </c>
      <c r="CB75" s="598">
        <f t="shared" si="480"/>
        <v>4</v>
      </c>
      <c r="CC75" s="598">
        <f t="shared" si="480"/>
        <v>5</v>
      </c>
      <c r="CD75" s="598">
        <f t="shared" si="480"/>
        <v>6</v>
      </c>
      <c r="CE75" s="598">
        <f t="shared" si="480"/>
        <v>7</v>
      </c>
    </row>
    <row r="76" spans="1:83">
      <c r="A76" s="598" t="s">
        <v>3657</v>
      </c>
      <c r="B76" s="598">
        <f t="shared" ref="B76:K76" si="481">B$68+$AO178</f>
        <v>1</v>
      </c>
      <c r="C76" s="598">
        <f t="shared" si="481"/>
        <v>2</v>
      </c>
      <c r="D76" s="598">
        <f t="shared" si="481"/>
        <v>3</v>
      </c>
      <c r="E76" s="598">
        <f t="shared" si="481"/>
        <v>4</v>
      </c>
      <c r="F76" s="598">
        <f t="shared" si="481"/>
        <v>5</v>
      </c>
      <c r="G76" s="598">
        <f t="shared" si="481"/>
        <v>6</v>
      </c>
      <c r="H76" s="598">
        <f t="shared" si="481"/>
        <v>7</v>
      </c>
      <c r="I76" s="598">
        <f t="shared" si="481"/>
        <v>8</v>
      </c>
      <c r="J76" s="598">
        <f t="shared" si="481"/>
        <v>9</v>
      </c>
      <c r="K76" s="598">
        <f t="shared" si="481"/>
        <v>10</v>
      </c>
      <c r="M76" s="598" t="s">
        <v>3657</v>
      </c>
      <c r="N76" s="598">
        <f t="shared" ref="N76:W76" si="482">N$68+$AQ178</f>
        <v>1</v>
      </c>
      <c r="O76" s="598">
        <f t="shared" si="482"/>
        <v>2</v>
      </c>
      <c r="P76" s="598">
        <f t="shared" si="482"/>
        <v>3</v>
      </c>
      <c r="Q76" s="598">
        <f t="shared" si="482"/>
        <v>4</v>
      </c>
      <c r="R76" s="598">
        <f t="shared" si="482"/>
        <v>5</v>
      </c>
      <c r="S76" s="598">
        <f t="shared" si="482"/>
        <v>6</v>
      </c>
      <c r="T76" s="598">
        <f t="shared" si="482"/>
        <v>7</v>
      </c>
      <c r="U76" s="598">
        <f t="shared" si="482"/>
        <v>8</v>
      </c>
      <c r="V76" s="598">
        <f t="shared" si="482"/>
        <v>9</v>
      </c>
      <c r="W76" s="598">
        <f t="shared" si="482"/>
        <v>10</v>
      </c>
      <c r="Y76" s="598" t="s">
        <v>3657</v>
      </c>
      <c r="Z76" s="598">
        <f t="shared" ref="Z76:AI76" si="483">Z$68+$AS178</f>
        <v>1</v>
      </c>
      <c r="AA76" s="598">
        <f t="shared" si="483"/>
        <v>2</v>
      </c>
      <c r="AB76" s="598">
        <f t="shared" si="483"/>
        <v>3</v>
      </c>
      <c r="AC76" s="598">
        <f t="shared" si="483"/>
        <v>4</v>
      </c>
      <c r="AD76" s="598">
        <f t="shared" si="483"/>
        <v>5</v>
      </c>
      <c r="AE76" s="598">
        <f t="shared" si="483"/>
        <v>6</v>
      </c>
      <c r="AF76" s="598">
        <f t="shared" si="483"/>
        <v>7</v>
      </c>
      <c r="AG76" s="598">
        <f t="shared" si="483"/>
        <v>8</v>
      </c>
      <c r="AH76" s="598">
        <f t="shared" si="483"/>
        <v>9</v>
      </c>
      <c r="AI76" s="598">
        <f t="shared" si="483"/>
        <v>10</v>
      </c>
      <c r="AK76" s="598" t="s">
        <v>3657</v>
      </c>
      <c r="AL76" s="598">
        <f t="shared" ref="AL76:AU76" si="484">AL$68+$AU178</f>
        <v>3</v>
      </c>
      <c r="AM76" s="598">
        <f t="shared" si="484"/>
        <v>4</v>
      </c>
      <c r="AN76" s="598">
        <f t="shared" si="484"/>
        <v>5</v>
      </c>
      <c r="AO76" s="598">
        <f t="shared" si="484"/>
        <v>6</v>
      </c>
      <c r="AP76" s="598">
        <f t="shared" si="484"/>
        <v>7</v>
      </c>
      <c r="AQ76" s="598">
        <f t="shared" si="484"/>
        <v>8</v>
      </c>
      <c r="AR76" s="598">
        <f t="shared" si="484"/>
        <v>9</v>
      </c>
      <c r="AS76" s="598">
        <f t="shared" si="484"/>
        <v>10</v>
      </c>
      <c r="AT76" s="598">
        <f t="shared" si="484"/>
        <v>11</v>
      </c>
      <c r="AU76" s="598">
        <f t="shared" si="484"/>
        <v>12</v>
      </c>
      <c r="AW76" s="598" t="s">
        <v>3657</v>
      </c>
      <c r="AX76" s="598">
        <f t="shared" ref="AX76:BG76" si="485">AX$68+$AW178</f>
        <v>-2</v>
      </c>
      <c r="AY76" s="598">
        <f t="shared" si="485"/>
        <v>-1</v>
      </c>
      <c r="AZ76" s="598">
        <f t="shared" si="485"/>
        <v>0</v>
      </c>
      <c r="BA76" s="598">
        <f t="shared" si="485"/>
        <v>1</v>
      </c>
      <c r="BB76" s="598">
        <f t="shared" si="485"/>
        <v>2</v>
      </c>
      <c r="BC76" s="598">
        <f t="shared" si="485"/>
        <v>3</v>
      </c>
      <c r="BD76" s="598">
        <f t="shared" si="485"/>
        <v>4</v>
      </c>
      <c r="BE76" s="598">
        <f t="shared" si="485"/>
        <v>5</v>
      </c>
      <c r="BF76" s="598">
        <f t="shared" si="485"/>
        <v>6</v>
      </c>
      <c r="BG76" s="598">
        <f t="shared" si="485"/>
        <v>7</v>
      </c>
      <c r="BI76" s="598" t="s">
        <v>3657</v>
      </c>
      <c r="BJ76" s="598">
        <f t="shared" ref="BJ76:BS76" si="486">BJ$68+$AY178</f>
        <v>-2</v>
      </c>
      <c r="BK76" s="598">
        <f t="shared" si="486"/>
        <v>-1</v>
      </c>
      <c r="BL76" s="598">
        <f t="shared" si="486"/>
        <v>0</v>
      </c>
      <c r="BM76" s="598">
        <f t="shared" si="486"/>
        <v>1</v>
      </c>
      <c r="BN76" s="598">
        <f t="shared" si="486"/>
        <v>2</v>
      </c>
      <c r="BO76" s="598">
        <f t="shared" si="486"/>
        <v>3</v>
      </c>
      <c r="BP76" s="598">
        <f t="shared" si="486"/>
        <v>4</v>
      </c>
      <c r="BQ76" s="598">
        <f t="shared" si="486"/>
        <v>5</v>
      </c>
      <c r="BR76" s="598">
        <f t="shared" si="486"/>
        <v>6</v>
      </c>
      <c r="BS76" s="598">
        <f t="shared" si="486"/>
        <v>7</v>
      </c>
      <c r="BU76" s="598" t="s">
        <v>3657</v>
      </c>
      <c r="BV76" s="598">
        <f t="shared" ref="BV76:CE76" si="487">BV$68+$BA178</f>
        <v>-2</v>
      </c>
      <c r="BW76" s="598">
        <f t="shared" si="487"/>
        <v>-1</v>
      </c>
      <c r="BX76" s="598">
        <f t="shared" si="487"/>
        <v>0</v>
      </c>
      <c r="BY76" s="598">
        <f t="shared" si="487"/>
        <v>1</v>
      </c>
      <c r="BZ76" s="598">
        <f t="shared" si="487"/>
        <v>2</v>
      </c>
      <c r="CA76" s="598">
        <f t="shared" si="487"/>
        <v>3</v>
      </c>
      <c r="CB76" s="598">
        <f t="shared" si="487"/>
        <v>4</v>
      </c>
      <c r="CC76" s="598">
        <f t="shared" si="487"/>
        <v>5</v>
      </c>
      <c r="CD76" s="598">
        <f t="shared" si="487"/>
        <v>6</v>
      </c>
      <c r="CE76" s="598">
        <f t="shared" si="487"/>
        <v>7</v>
      </c>
    </row>
    <row r="77" spans="1:83">
      <c r="A77" s="598" t="s">
        <v>2346</v>
      </c>
      <c r="B77" s="598" t="e">
        <f t="shared" ref="B77:K77" si="488">B$68+$AO179</f>
        <v>#N/A</v>
      </c>
      <c r="C77" s="598" t="e">
        <f t="shared" si="488"/>
        <v>#N/A</v>
      </c>
      <c r="D77" s="598" t="e">
        <f t="shared" si="488"/>
        <v>#N/A</v>
      </c>
      <c r="E77" s="598" t="e">
        <f t="shared" si="488"/>
        <v>#N/A</v>
      </c>
      <c r="F77" s="598" t="e">
        <f t="shared" si="488"/>
        <v>#N/A</v>
      </c>
      <c r="G77" s="598" t="e">
        <f t="shared" si="488"/>
        <v>#N/A</v>
      </c>
      <c r="H77" s="598" t="e">
        <f t="shared" si="488"/>
        <v>#N/A</v>
      </c>
      <c r="I77" s="598" t="e">
        <f t="shared" si="488"/>
        <v>#N/A</v>
      </c>
      <c r="J77" s="598" t="e">
        <f t="shared" si="488"/>
        <v>#N/A</v>
      </c>
      <c r="K77" s="598" t="e">
        <f t="shared" si="488"/>
        <v>#N/A</v>
      </c>
      <c r="M77" s="598" t="s">
        <v>2346</v>
      </c>
      <c r="N77" s="598" t="e">
        <f t="shared" ref="N77:W77" si="489">N$68+$AQ179</f>
        <v>#N/A</v>
      </c>
      <c r="O77" s="598" t="e">
        <f t="shared" si="489"/>
        <v>#N/A</v>
      </c>
      <c r="P77" s="598" t="e">
        <f t="shared" si="489"/>
        <v>#N/A</v>
      </c>
      <c r="Q77" s="598" t="e">
        <f t="shared" si="489"/>
        <v>#N/A</v>
      </c>
      <c r="R77" s="598" t="e">
        <f t="shared" si="489"/>
        <v>#N/A</v>
      </c>
      <c r="S77" s="598" t="e">
        <f t="shared" si="489"/>
        <v>#N/A</v>
      </c>
      <c r="T77" s="598" t="e">
        <f t="shared" si="489"/>
        <v>#N/A</v>
      </c>
      <c r="U77" s="598" t="e">
        <f t="shared" si="489"/>
        <v>#N/A</v>
      </c>
      <c r="V77" s="598" t="e">
        <f t="shared" si="489"/>
        <v>#N/A</v>
      </c>
      <c r="W77" s="598" t="e">
        <f t="shared" si="489"/>
        <v>#N/A</v>
      </c>
      <c r="Y77" s="598" t="s">
        <v>2346</v>
      </c>
      <c r="Z77" s="598" t="e">
        <f t="shared" ref="Z77:AI77" si="490">Z$68+$AS179</f>
        <v>#N/A</v>
      </c>
      <c r="AA77" s="598" t="e">
        <f t="shared" si="490"/>
        <v>#N/A</v>
      </c>
      <c r="AB77" s="598" t="e">
        <f t="shared" si="490"/>
        <v>#N/A</v>
      </c>
      <c r="AC77" s="598" t="e">
        <f t="shared" si="490"/>
        <v>#N/A</v>
      </c>
      <c r="AD77" s="598" t="e">
        <f t="shared" si="490"/>
        <v>#N/A</v>
      </c>
      <c r="AE77" s="598" t="e">
        <f t="shared" si="490"/>
        <v>#N/A</v>
      </c>
      <c r="AF77" s="598" t="e">
        <f t="shared" si="490"/>
        <v>#N/A</v>
      </c>
      <c r="AG77" s="598" t="e">
        <f t="shared" si="490"/>
        <v>#N/A</v>
      </c>
      <c r="AH77" s="598" t="e">
        <f t="shared" si="490"/>
        <v>#N/A</v>
      </c>
      <c r="AI77" s="598" t="e">
        <f t="shared" si="490"/>
        <v>#N/A</v>
      </c>
      <c r="AK77" s="598" t="s">
        <v>2346</v>
      </c>
      <c r="AL77" s="598">
        <f t="shared" ref="AL77:AU77" si="491">AL$68+$AU179</f>
        <v>-1</v>
      </c>
      <c r="AM77" s="598">
        <f t="shared" si="491"/>
        <v>0</v>
      </c>
      <c r="AN77" s="598">
        <f t="shared" si="491"/>
        <v>1</v>
      </c>
      <c r="AO77" s="598">
        <f t="shared" si="491"/>
        <v>2</v>
      </c>
      <c r="AP77" s="598">
        <f t="shared" si="491"/>
        <v>3</v>
      </c>
      <c r="AQ77" s="598">
        <f t="shared" si="491"/>
        <v>4</v>
      </c>
      <c r="AR77" s="598">
        <f t="shared" si="491"/>
        <v>5</v>
      </c>
      <c r="AS77" s="598">
        <f t="shared" si="491"/>
        <v>6</v>
      </c>
      <c r="AT77" s="598">
        <f t="shared" si="491"/>
        <v>7</v>
      </c>
      <c r="AU77" s="598">
        <f t="shared" si="491"/>
        <v>8</v>
      </c>
      <c r="AW77" s="598" t="s">
        <v>2346</v>
      </c>
      <c r="AX77" s="598" t="e">
        <f t="shared" ref="AX77:BG77" si="492">AX$68+$AW179</f>
        <v>#N/A</v>
      </c>
      <c r="AY77" s="598" t="e">
        <f t="shared" si="492"/>
        <v>#N/A</v>
      </c>
      <c r="AZ77" s="598" t="e">
        <f t="shared" si="492"/>
        <v>#N/A</v>
      </c>
      <c r="BA77" s="598" t="e">
        <f t="shared" si="492"/>
        <v>#N/A</v>
      </c>
      <c r="BB77" s="598" t="e">
        <f t="shared" si="492"/>
        <v>#N/A</v>
      </c>
      <c r="BC77" s="598" t="e">
        <f t="shared" si="492"/>
        <v>#N/A</v>
      </c>
      <c r="BD77" s="598" t="e">
        <f t="shared" si="492"/>
        <v>#N/A</v>
      </c>
      <c r="BE77" s="598" t="e">
        <f t="shared" si="492"/>
        <v>#N/A</v>
      </c>
      <c r="BF77" s="598" t="e">
        <f t="shared" si="492"/>
        <v>#N/A</v>
      </c>
      <c r="BG77" s="598" t="e">
        <f t="shared" si="492"/>
        <v>#N/A</v>
      </c>
      <c r="BI77" s="598" t="s">
        <v>2346</v>
      </c>
      <c r="BJ77" s="598" t="e">
        <f t="shared" ref="BJ77:BS77" si="493">BJ$68+$AY179</f>
        <v>#N/A</v>
      </c>
      <c r="BK77" s="598" t="e">
        <f t="shared" si="493"/>
        <v>#N/A</v>
      </c>
      <c r="BL77" s="598" t="e">
        <f t="shared" si="493"/>
        <v>#N/A</v>
      </c>
      <c r="BM77" s="598" t="e">
        <f t="shared" si="493"/>
        <v>#N/A</v>
      </c>
      <c r="BN77" s="598" t="e">
        <f t="shared" si="493"/>
        <v>#N/A</v>
      </c>
      <c r="BO77" s="598" t="e">
        <f t="shared" si="493"/>
        <v>#N/A</v>
      </c>
      <c r="BP77" s="598" t="e">
        <f t="shared" si="493"/>
        <v>#N/A</v>
      </c>
      <c r="BQ77" s="598" t="e">
        <f t="shared" si="493"/>
        <v>#N/A</v>
      </c>
      <c r="BR77" s="598" t="e">
        <f t="shared" si="493"/>
        <v>#N/A</v>
      </c>
      <c r="BS77" s="598" t="e">
        <f t="shared" si="493"/>
        <v>#N/A</v>
      </c>
      <c r="BU77" s="598" t="s">
        <v>2346</v>
      </c>
      <c r="BV77" s="598" t="e">
        <f t="shared" ref="BV77:CE77" si="494">BV$68+$BA179</f>
        <v>#N/A</v>
      </c>
      <c r="BW77" s="598" t="e">
        <f t="shared" si="494"/>
        <v>#N/A</v>
      </c>
      <c r="BX77" s="598" t="e">
        <f t="shared" si="494"/>
        <v>#N/A</v>
      </c>
      <c r="BY77" s="598" t="e">
        <f t="shared" si="494"/>
        <v>#N/A</v>
      </c>
      <c r="BZ77" s="598" t="e">
        <f t="shared" si="494"/>
        <v>#N/A</v>
      </c>
      <c r="CA77" s="598" t="e">
        <f t="shared" si="494"/>
        <v>#N/A</v>
      </c>
      <c r="CB77" s="598" t="e">
        <f t="shared" si="494"/>
        <v>#N/A</v>
      </c>
      <c r="CC77" s="598" t="e">
        <f t="shared" si="494"/>
        <v>#N/A</v>
      </c>
      <c r="CD77" s="598" t="e">
        <f t="shared" si="494"/>
        <v>#N/A</v>
      </c>
      <c r="CE77" s="598" t="e">
        <f t="shared" si="494"/>
        <v>#N/A</v>
      </c>
    </row>
    <row r="78" spans="1:83">
      <c r="A78" s="598" t="s">
        <v>1632</v>
      </c>
      <c r="B78" s="598">
        <f t="shared" ref="B78:K78" si="495">B$68+$AO180</f>
        <v>2</v>
      </c>
      <c r="C78" s="598">
        <f t="shared" si="495"/>
        <v>3</v>
      </c>
      <c r="D78" s="598">
        <f t="shared" si="495"/>
        <v>4</v>
      </c>
      <c r="E78" s="598">
        <f t="shared" si="495"/>
        <v>5</v>
      </c>
      <c r="F78" s="598">
        <f t="shared" si="495"/>
        <v>6</v>
      </c>
      <c r="G78" s="598">
        <f t="shared" si="495"/>
        <v>7</v>
      </c>
      <c r="H78" s="598">
        <f t="shared" si="495"/>
        <v>8</v>
      </c>
      <c r="I78" s="598">
        <f t="shared" si="495"/>
        <v>9</v>
      </c>
      <c r="J78" s="598">
        <f t="shared" si="495"/>
        <v>10</v>
      </c>
      <c r="K78" s="598">
        <f t="shared" si="495"/>
        <v>11</v>
      </c>
      <c r="M78" s="598" t="s">
        <v>1632</v>
      </c>
      <c r="N78" s="598">
        <f t="shared" ref="N78:W78" si="496">N$68+$AQ180</f>
        <v>1</v>
      </c>
      <c r="O78" s="598">
        <f t="shared" si="496"/>
        <v>2</v>
      </c>
      <c r="P78" s="598">
        <f t="shared" si="496"/>
        <v>3</v>
      </c>
      <c r="Q78" s="598">
        <f t="shared" si="496"/>
        <v>4</v>
      </c>
      <c r="R78" s="598">
        <f t="shared" si="496"/>
        <v>5</v>
      </c>
      <c r="S78" s="598">
        <f t="shared" si="496"/>
        <v>6</v>
      </c>
      <c r="T78" s="598">
        <f t="shared" si="496"/>
        <v>7</v>
      </c>
      <c r="U78" s="598">
        <f t="shared" si="496"/>
        <v>8</v>
      </c>
      <c r="V78" s="598">
        <f t="shared" si="496"/>
        <v>9</v>
      </c>
      <c r="W78" s="598">
        <f t="shared" si="496"/>
        <v>10</v>
      </c>
      <c r="Y78" s="598" t="s">
        <v>1632</v>
      </c>
      <c r="Z78" s="598">
        <f t="shared" ref="Z78:AI78" si="497">Z$68+$AS180</f>
        <v>1</v>
      </c>
      <c r="AA78" s="598">
        <f t="shared" si="497"/>
        <v>2</v>
      </c>
      <c r="AB78" s="598">
        <f t="shared" si="497"/>
        <v>3</v>
      </c>
      <c r="AC78" s="598">
        <f t="shared" si="497"/>
        <v>4</v>
      </c>
      <c r="AD78" s="598">
        <f t="shared" si="497"/>
        <v>5</v>
      </c>
      <c r="AE78" s="598">
        <f t="shared" si="497"/>
        <v>6</v>
      </c>
      <c r="AF78" s="598">
        <f t="shared" si="497"/>
        <v>7</v>
      </c>
      <c r="AG78" s="598">
        <f t="shared" si="497"/>
        <v>8</v>
      </c>
      <c r="AH78" s="598">
        <f t="shared" si="497"/>
        <v>9</v>
      </c>
      <c r="AI78" s="598">
        <f t="shared" si="497"/>
        <v>10</v>
      </c>
      <c r="AK78" s="598" t="s">
        <v>1632</v>
      </c>
      <c r="AL78" s="598" t="e">
        <f t="shared" ref="AL78:AU78" si="498">AL$68+$AU180</f>
        <v>#N/A</v>
      </c>
      <c r="AM78" s="598" t="e">
        <f t="shared" si="498"/>
        <v>#N/A</v>
      </c>
      <c r="AN78" s="598" t="e">
        <f t="shared" si="498"/>
        <v>#N/A</v>
      </c>
      <c r="AO78" s="598" t="e">
        <f t="shared" si="498"/>
        <v>#N/A</v>
      </c>
      <c r="AP78" s="598" t="e">
        <f t="shared" si="498"/>
        <v>#N/A</v>
      </c>
      <c r="AQ78" s="598" t="e">
        <f t="shared" si="498"/>
        <v>#N/A</v>
      </c>
      <c r="AR78" s="598" t="e">
        <f t="shared" si="498"/>
        <v>#N/A</v>
      </c>
      <c r="AS78" s="598" t="e">
        <f t="shared" si="498"/>
        <v>#N/A</v>
      </c>
      <c r="AT78" s="598" t="e">
        <f t="shared" si="498"/>
        <v>#N/A</v>
      </c>
      <c r="AU78" s="598" t="e">
        <f t="shared" si="498"/>
        <v>#N/A</v>
      </c>
      <c r="AW78" s="598" t="s">
        <v>1632</v>
      </c>
      <c r="AX78" s="598">
        <f t="shared" ref="AX78:BG78" si="499">AX$68+$AW180</f>
        <v>2</v>
      </c>
      <c r="AY78" s="598">
        <f t="shared" si="499"/>
        <v>3</v>
      </c>
      <c r="AZ78" s="598">
        <f t="shared" si="499"/>
        <v>4</v>
      </c>
      <c r="BA78" s="598">
        <f t="shared" si="499"/>
        <v>5</v>
      </c>
      <c r="BB78" s="598">
        <f t="shared" si="499"/>
        <v>6</v>
      </c>
      <c r="BC78" s="598">
        <f t="shared" si="499"/>
        <v>7</v>
      </c>
      <c r="BD78" s="598">
        <f t="shared" si="499"/>
        <v>8</v>
      </c>
      <c r="BE78" s="598">
        <f t="shared" si="499"/>
        <v>9</v>
      </c>
      <c r="BF78" s="598">
        <f t="shared" si="499"/>
        <v>10</v>
      </c>
      <c r="BG78" s="598">
        <f t="shared" si="499"/>
        <v>11</v>
      </c>
      <c r="BI78" s="598" t="s">
        <v>1632</v>
      </c>
      <c r="BJ78" s="598">
        <f t="shared" ref="BJ78:BS78" si="500">BJ$68+$AY180</f>
        <v>0</v>
      </c>
      <c r="BK78" s="598">
        <f t="shared" si="500"/>
        <v>1</v>
      </c>
      <c r="BL78" s="598">
        <f t="shared" si="500"/>
        <v>2</v>
      </c>
      <c r="BM78" s="598">
        <f t="shared" si="500"/>
        <v>3</v>
      </c>
      <c r="BN78" s="598">
        <f t="shared" si="500"/>
        <v>4</v>
      </c>
      <c r="BO78" s="598">
        <f t="shared" si="500"/>
        <v>5</v>
      </c>
      <c r="BP78" s="598">
        <f t="shared" si="500"/>
        <v>6</v>
      </c>
      <c r="BQ78" s="598">
        <f t="shared" si="500"/>
        <v>7</v>
      </c>
      <c r="BR78" s="598">
        <f t="shared" si="500"/>
        <v>8</v>
      </c>
      <c r="BS78" s="598">
        <f t="shared" si="500"/>
        <v>9</v>
      </c>
      <c r="BU78" s="598" t="s">
        <v>1632</v>
      </c>
      <c r="BV78" s="598">
        <f t="shared" ref="BV78:CE78" si="501">BV$68+$BA180</f>
        <v>0</v>
      </c>
      <c r="BW78" s="598">
        <f t="shared" si="501"/>
        <v>1</v>
      </c>
      <c r="BX78" s="598">
        <f t="shared" si="501"/>
        <v>2</v>
      </c>
      <c r="BY78" s="598">
        <f t="shared" si="501"/>
        <v>3</v>
      </c>
      <c r="BZ78" s="598">
        <f t="shared" si="501"/>
        <v>4</v>
      </c>
      <c r="CA78" s="598">
        <f t="shared" si="501"/>
        <v>5</v>
      </c>
      <c r="CB78" s="598">
        <f t="shared" si="501"/>
        <v>6</v>
      </c>
      <c r="CC78" s="598">
        <f t="shared" si="501"/>
        <v>7</v>
      </c>
      <c r="CD78" s="598">
        <f t="shared" si="501"/>
        <v>8</v>
      </c>
      <c r="CE78" s="598">
        <f t="shared" si="501"/>
        <v>9</v>
      </c>
    </row>
    <row r="79" spans="1:83">
      <c r="A79" s="598" t="s">
        <v>3466</v>
      </c>
      <c r="B79" s="598">
        <f t="shared" ref="B79:K79" si="502">B$68+$AO181</f>
        <v>-2</v>
      </c>
      <c r="C79" s="598">
        <f t="shared" si="502"/>
        <v>-1</v>
      </c>
      <c r="D79" s="598">
        <f t="shared" si="502"/>
        <v>0</v>
      </c>
      <c r="E79" s="598">
        <f t="shared" si="502"/>
        <v>1</v>
      </c>
      <c r="F79" s="598">
        <f t="shared" si="502"/>
        <v>2</v>
      </c>
      <c r="G79" s="598">
        <f t="shared" si="502"/>
        <v>3</v>
      </c>
      <c r="H79" s="598">
        <f t="shared" si="502"/>
        <v>4</v>
      </c>
      <c r="I79" s="598">
        <f t="shared" si="502"/>
        <v>5</v>
      </c>
      <c r="J79" s="598">
        <f t="shared" si="502"/>
        <v>6</v>
      </c>
      <c r="K79" s="598">
        <f t="shared" si="502"/>
        <v>7</v>
      </c>
      <c r="M79" s="598" t="s">
        <v>3466</v>
      </c>
      <c r="N79" s="598">
        <f t="shared" ref="N79:W79" si="503">N$68+$AQ181</f>
        <v>1</v>
      </c>
      <c r="O79" s="598">
        <f t="shared" si="503"/>
        <v>2</v>
      </c>
      <c r="P79" s="598">
        <f t="shared" si="503"/>
        <v>3</v>
      </c>
      <c r="Q79" s="598">
        <f t="shared" si="503"/>
        <v>4</v>
      </c>
      <c r="R79" s="598">
        <f t="shared" si="503"/>
        <v>5</v>
      </c>
      <c r="S79" s="598">
        <f t="shared" si="503"/>
        <v>6</v>
      </c>
      <c r="T79" s="598">
        <f t="shared" si="503"/>
        <v>7</v>
      </c>
      <c r="U79" s="598">
        <f t="shared" si="503"/>
        <v>8</v>
      </c>
      <c r="V79" s="598">
        <f t="shared" si="503"/>
        <v>9</v>
      </c>
      <c r="W79" s="598">
        <f t="shared" si="503"/>
        <v>10</v>
      </c>
      <c r="Y79" s="598" t="s">
        <v>3466</v>
      </c>
      <c r="Z79" s="598">
        <f t="shared" ref="Z79:AI79" si="504">Z$68+$AS181</f>
        <v>1</v>
      </c>
      <c r="AA79" s="598">
        <f t="shared" si="504"/>
        <v>2</v>
      </c>
      <c r="AB79" s="598">
        <f t="shared" si="504"/>
        <v>3</v>
      </c>
      <c r="AC79" s="598">
        <f t="shared" si="504"/>
        <v>4</v>
      </c>
      <c r="AD79" s="598">
        <f t="shared" si="504"/>
        <v>5</v>
      </c>
      <c r="AE79" s="598">
        <f t="shared" si="504"/>
        <v>6</v>
      </c>
      <c r="AF79" s="598">
        <f t="shared" si="504"/>
        <v>7</v>
      </c>
      <c r="AG79" s="598">
        <f t="shared" si="504"/>
        <v>8</v>
      </c>
      <c r="AH79" s="598">
        <f t="shared" si="504"/>
        <v>9</v>
      </c>
      <c r="AI79" s="598">
        <f t="shared" si="504"/>
        <v>10</v>
      </c>
      <c r="AK79" s="598" t="s">
        <v>3466</v>
      </c>
      <c r="AL79" s="598" t="e">
        <f t="shared" ref="AL79:AU79" si="505">AL$68+$AU181</f>
        <v>#N/A</v>
      </c>
      <c r="AM79" s="598" t="e">
        <f t="shared" si="505"/>
        <v>#N/A</v>
      </c>
      <c r="AN79" s="598" t="e">
        <f t="shared" si="505"/>
        <v>#N/A</v>
      </c>
      <c r="AO79" s="598" t="e">
        <f t="shared" si="505"/>
        <v>#N/A</v>
      </c>
      <c r="AP79" s="598" t="e">
        <f t="shared" si="505"/>
        <v>#N/A</v>
      </c>
      <c r="AQ79" s="598" t="e">
        <f t="shared" si="505"/>
        <v>#N/A</v>
      </c>
      <c r="AR79" s="598" t="e">
        <f t="shared" si="505"/>
        <v>#N/A</v>
      </c>
      <c r="AS79" s="598" t="e">
        <f t="shared" si="505"/>
        <v>#N/A</v>
      </c>
      <c r="AT79" s="598" t="e">
        <f t="shared" si="505"/>
        <v>#N/A</v>
      </c>
      <c r="AU79" s="598" t="e">
        <f t="shared" si="505"/>
        <v>#N/A</v>
      </c>
      <c r="AW79" s="598" t="s">
        <v>3466</v>
      </c>
      <c r="AX79" s="598">
        <f t="shared" ref="AX79:BG79" si="506">AX$68+$AW181</f>
        <v>4</v>
      </c>
      <c r="AY79" s="598">
        <f t="shared" si="506"/>
        <v>5</v>
      </c>
      <c r="AZ79" s="598">
        <f t="shared" si="506"/>
        <v>6</v>
      </c>
      <c r="BA79" s="598">
        <f t="shared" si="506"/>
        <v>7</v>
      </c>
      <c r="BB79" s="598">
        <f t="shared" si="506"/>
        <v>8</v>
      </c>
      <c r="BC79" s="598">
        <f t="shared" si="506"/>
        <v>9</v>
      </c>
      <c r="BD79" s="598">
        <f t="shared" si="506"/>
        <v>10</v>
      </c>
      <c r="BE79" s="598">
        <f t="shared" si="506"/>
        <v>11</v>
      </c>
      <c r="BF79" s="598">
        <f t="shared" si="506"/>
        <v>12</v>
      </c>
      <c r="BG79" s="598">
        <f t="shared" si="506"/>
        <v>13</v>
      </c>
      <c r="BI79" s="598" t="s">
        <v>3466</v>
      </c>
      <c r="BJ79" s="598">
        <f t="shared" ref="BJ79:BS79" si="507">BJ$68+$AY181</f>
        <v>4</v>
      </c>
      <c r="BK79" s="598">
        <f t="shared" si="507"/>
        <v>5</v>
      </c>
      <c r="BL79" s="598">
        <f t="shared" si="507"/>
        <v>6</v>
      </c>
      <c r="BM79" s="598">
        <f t="shared" si="507"/>
        <v>7</v>
      </c>
      <c r="BN79" s="598">
        <f t="shared" si="507"/>
        <v>8</v>
      </c>
      <c r="BO79" s="598">
        <f t="shared" si="507"/>
        <v>9</v>
      </c>
      <c r="BP79" s="598">
        <f t="shared" si="507"/>
        <v>10</v>
      </c>
      <c r="BQ79" s="598">
        <f t="shared" si="507"/>
        <v>11</v>
      </c>
      <c r="BR79" s="598">
        <f t="shared" si="507"/>
        <v>12</v>
      </c>
      <c r="BS79" s="598">
        <f t="shared" si="507"/>
        <v>13</v>
      </c>
      <c r="BU79" s="598" t="s">
        <v>3466</v>
      </c>
      <c r="BV79" s="598">
        <f t="shared" ref="BV79:CE79" si="508">BV$68+$BA181</f>
        <v>4</v>
      </c>
      <c r="BW79" s="598">
        <f t="shared" si="508"/>
        <v>5</v>
      </c>
      <c r="BX79" s="598">
        <f t="shared" si="508"/>
        <v>6</v>
      </c>
      <c r="BY79" s="598">
        <f t="shared" si="508"/>
        <v>7</v>
      </c>
      <c r="BZ79" s="598">
        <f t="shared" si="508"/>
        <v>8</v>
      </c>
      <c r="CA79" s="598">
        <f t="shared" si="508"/>
        <v>9</v>
      </c>
      <c r="CB79" s="598">
        <f t="shared" si="508"/>
        <v>10</v>
      </c>
      <c r="CC79" s="598">
        <f t="shared" si="508"/>
        <v>11</v>
      </c>
      <c r="CD79" s="598">
        <f t="shared" si="508"/>
        <v>12</v>
      </c>
      <c r="CE79" s="598">
        <f t="shared" si="508"/>
        <v>13</v>
      </c>
    </row>
    <row r="80" spans="1:83">
      <c r="A80" s="598" t="s">
        <v>2347</v>
      </c>
      <c r="B80" s="598" t="e">
        <f t="shared" ref="B80:K80" si="509">B$68+$AO182</f>
        <v>#N/A</v>
      </c>
      <c r="C80" s="598" t="e">
        <f t="shared" si="509"/>
        <v>#N/A</v>
      </c>
      <c r="D80" s="598" t="e">
        <f t="shared" si="509"/>
        <v>#N/A</v>
      </c>
      <c r="E80" s="598" t="e">
        <f t="shared" si="509"/>
        <v>#N/A</v>
      </c>
      <c r="F80" s="598" t="e">
        <f t="shared" si="509"/>
        <v>#N/A</v>
      </c>
      <c r="G80" s="598" t="e">
        <f t="shared" si="509"/>
        <v>#N/A</v>
      </c>
      <c r="H80" s="598" t="e">
        <f t="shared" si="509"/>
        <v>#N/A</v>
      </c>
      <c r="I80" s="598" t="e">
        <f t="shared" si="509"/>
        <v>#N/A</v>
      </c>
      <c r="J80" s="598" t="e">
        <f t="shared" si="509"/>
        <v>#N/A</v>
      </c>
      <c r="K80" s="598" t="e">
        <f t="shared" si="509"/>
        <v>#N/A</v>
      </c>
      <c r="M80" s="598" t="s">
        <v>2347</v>
      </c>
      <c r="N80" s="598" t="e">
        <f t="shared" ref="N80:W80" si="510">N$68+$AQ182</f>
        <v>#N/A</v>
      </c>
      <c r="O80" s="598" t="e">
        <f t="shared" si="510"/>
        <v>#N/A</v>
      </c>
      <c r="P80" s="598" t="e">
        <f t="shared" si="510"/>
        <v>#N/A</v>
      </c>
      <c r="Q80" s="598" t="e">
        <f t="shared" si="510"/>
        <v>#N/A</v>
      </c>
      <c r="R80" s="598" t="e">
        <f t="shared" si="510"/>
        <v>#N/A</v>
      </c>
      <c r="S80" s="598" t="e">
        <f t="shared" si="510"/>
        <v>#N/A</v>
      </c>
      <c r="T80" s="598" t="e">
        <f t="shared" si="510"/>
        <v>#N/A</v>
      </c>
      <c r="U80" s="598" t="e">
        <f t="shared" si="510"/>
        <v>#N/A</v>
      </c>
      <c r="V80" s="598" t="e">
        <f t="shared" si="510"/>
        <v>#N/A</v>
      </c>
      <c r="W80" s="598" t="e">
        <f t="shared" si="510"/>
        <v>#N/A</v>
      </c>
      <c r="Y80" s="598" t="s">
        <v>2347</v>
      </c>
      <c r="Z80" s="598" t="e">
        <f t="shared" ref="Z80:AI80" si="511">Z$68+$AS182</f>
        <v>#N/A</v>
      </c>
      <c r="AA80" s="598" t="e">
        <f t="shared" si="511"/>
        <v>#N/A</v>
      </c>
      <c r="AB80" s="598" t="e">
        <f t="shared" si="511"/>
        <v>#N/A</v>
      </c>
      <c r="AC80" s="598" t="e">
        <f t="shared" si="511"/>
        <v>#N/A</v>
      </c>
      <c r="AD80" s="598" t="e">
        <f t="shared" si="511"/>
        <v>#N/A</v>
      </c>
      <c r="AE80" s="598" t="e">
        <f t="shared" si="511"/>
        <v>#N/A</v>
      </c>
      <c r="AF80" s="598" t="e">
        <f t="shared" si="511"/>
        <v>#N/A</v>
      </c>
      <c r="AG80" s="598" t="e">
        <f t="shared" si="511"/>
        <v>#N/A</v>
      </c>
      <c r="AH80" s="598" t="e">
        <f t="shared" si="511"/>
        <v>#N/A</v>
      </c>
      <c r="AI80" s="598" t="e">
        <f t="shared" si="511"/>
        <v>#N/A</v>
      </c>
      <c r="AK80" s="598" t="s">
        <v>2347</v>
      </c>
      <c r="AL80" s="598" t="e">
        <f t="shared" ref="AL80:AU80" si="512">AL$68+$AU182</f>
        <v>#N/A</v>
      </c>
      <c r="AM80" s="598" t="e">
        <f t="shared" si="512"/>
        <v>#N/A</v>
      </c>
      <c r="AN80" s="598" t="e">
        <f t="shared" si="512"/>
        <v>#N/A</v>
      </c>
      <c r="AO80" s="598" t="e">
        <f t="shared" si="512"/>
        <v>#N/A</v>
      </c>
      <c r="AP80" s="598" t="e">
        <f t="shared" si="512"/>
        <v>#N/A</v>
      </c>
      <c r="AQ80" s="598" t="e">
        <f t="shared" si="512"/>
        <v>#N/A</v>
      </c>
      <c r="AR80" s="598" t="e">
        <f t="shared" si="512"/>
        <v>#N/A</v>
      </c>
      <c r="AS80" s="598" t="e">
        <f t="shared" si="512"/>
        <v>#N/A</v>
      </c>
      <c r="AT80" s="598" t="e">
        <f t="shared" si="512"/>
        <v>#N/A</v>
      </c>
      <c r="AU80" s="598" t="e">
        <f t="shared" si="512"/>
        <v>#N/A</v>
      </c>
      <c r="AW80" s="598" t="s">
        <v>2347</v>
      </c>
      <c r="AX80" s="598" t="e">
        <f t="shared" ref="AX80:BG80" si="513">AX$68+$AW182</f>
        <v>#N/A</v>
      </c>
      <c r="AY80" s="598" t="e">
        <f t="shared" si="513"/>
        <v>#N/A</v>
      </c>
      <c r="AZ80" s="598" t="e">
        <f t="shared" si="513"/>
        <v>#N/A</v>
      </c>
      <c r="BA80" s="598" t="e">
        <f t="shared" si="513"/>
        <v>#N/A</v>
      </c>
      <c r="BB80" s="598" t="e">
        <f t="shared" si="513"/>
        <v>#N/A</v>
      </c>
      <c r="BC80" s="598" t="e">
        <f t="shared" si="513"/>
        <v>#N/A</v>
      </c>
      <c r="BD80" s="598" t="e">
        <f t="shared" si="513"/>
        <v>#N/A</v>
      </c>
      <c r="BE80" s="598" t="e">
        <f t="shared" si="513"/>
        <v>#N/A</v>
      </c>
      <c r="BF80" s="598" t="e">
        <f t="shared" si="513"/>
        <v>#N/A</v>
      </c>
      <c r="BG80" s="598" t="e">
        <f t="shared" si="513"/>
        <v>#N/A</v>
      </c>
      <c r="BI80" s="598" t="s">
        <v>2347</v>
      </c>
      <c r="BJ80" s="598" t="e">
        <f t="shared" ref="BJ80:BS80" si="514">BJ$68+$AY182</f>
        <v>#N/A</v>
      </c>
      <c r="BK80" s="598" t="e">
        <f t="shared" si="514"/>
        <v>#N/A</v>
      </c>
      <c r="BL80" s="598" t="e">
        <f t="shared" si="514"/>
        <v>#N/A</v>
      </c>
      <c r="BM80" s="598" t="e">
        <f t="shared" si="514"/>
        <v>#N/A</v>
      </c>
      <c r="BN80" s="598" t="e">
        <f t="shared" si="514"/>
        <v>#N/A</v>
      </c>
      <c r="BO80" s="598" t="e">
        <f t="shared" si="514"/>
        <v>#N/A</v>
      </c>
      <c r="BP80" s="598" t="e">
        <f t="shared" si="514"/>
        <v>#N/A</v>
      </c>
      <c r="BQ80" s="598" t="e">
        <f t="shared" si="514"/>
        <v>#N/A</v>
      </c>
      <c r="BR80" s="598" t="e">
        <f t="shared" si="514"/>
        <v>#N/A</v>
      </c>
      <c r="BS80" s="598" t="e">
        <f t="shared" si="514"/>
        <v>#N/A</v>
      </c>
      <c r="BU80" s="598" t="s">
        <v>2347</v>
      </c>
      <c r="BV80" s="598" t="e">
        <f t="shared" ref="BV80:CE80" si="515">BV$68+$BA182</f>
        <v>#N/A</v>
      </c>
      <c r="BW80" s="598" t="e">
        <f t="shared" si="515"/>
        <v>#N/A</v>
      </c>
      <c r="BX80" s="598" t="e">
        <f t="shared" si="515"/>
        <v>#N/A</v>
      </c>
      <c r="BY80" s="598" t="e">
        <f t="shared" si="515"/>
        <v>#N/A</v>
      </c>
      <c r="BZ80" s="598" t="e">
        <f t="shared" si="515"/>
        <v>#N/A</v>
      </c>
      <c r="CA80" s="598" t="e">
        <f t="shared" si="515"/>
        <v>#N/A</v>
      </c>
      <c r="CB80" s="598" t="e">
        <f t="shared" si="515"/>
        <v>#N/A</v>
      </c>
      <c r="CC80" s="598" t="e">
        <f t="shared" si="515"/>
        <v>#N/A</v>
      </c>
      <c r="CD80" s="598" t="e">
        <f t="shared" si="515"/>
        <v>#N/A</v>
      </c>
      <c r="CE80" s="598" t="e">
        <f t="shared" si="515"/>
        <v>#N/A</v>
      </c>
    </row>
    <row r="81" spans="1:95">
      <c r="A81" s="598" t="s">
        <v>2348</v>
      </c>
      <c r="B81" s="598" t="e">
        <f t="shared" ref="B81:K81" si="516">B$68+$AO183</f>
        <v>#N/A</v>
      </c>
      <c r="C81" s="598" t="e">
        <f t="shared" si="516"/>
        <v>#N/A</v>
      </c>
      <c r="D81" s="598" t="e">
        <f t="shared" si="516"/>
        <v>#N/A</v>
      </c>
      <c r="E81" s="598" t="e">
        <f t="shared" si="516"/>
        <v>#N/A</v>
      </c>
      <c r="F81" s="598" t="e">
        <f t="shared" si="516"/>
        <v>#N/A</v>
      </c>
      <c r="G81" s="598" t="e">
        <f t="shared" si="516"/>
        <v>#N/A</v>
      </c>
      <c r="H81" s="598" t="e">
        <f t="shared" si="516"/>
        <v>#N/A</v>
      </c>
      <c r="I81" s="598" t="e">
        <f t="shared" si="516"/>
        <v>#N/A</v>
      </c>
      <c r="J81" s="598" t="e">
        <f t="shared" si="516"/>
        <v>#N/A</v>
      </c>
      <c r="K81" s="598" t="e">
        <f t="shared" si="516"/>
        <v>#N/A</v>
      </c>
      <c r="M81" s="598" t="s">
        <v>2348</v>
      </c>
      <c r="N81" s="598" t="e">
        <f t="shared" ref="N81:W81" si="517">N$68+$AQ183</f>
        <v>#N/A</v>
      </c>
      <c r="O81" s="598" t="e">
        <f t="shared" si="517"/>
        <v>#N/A</v>
      </c>
      <c r="P81" s="598" t="e">
        <f t="shared" si="517"/>
        <v>#N/A</v>
      </c>
      <c r="Q81" s="598" t="e">
        <f t="shared" si="517"/>
        <v>#N/A</v>
      </c>
      <c r="R81" s="598" t="e">
        <f t="shared" si="517"/>
        <v>#N/A</v>
      </c>
      <c r="S81" s="598" t="e">
        <f t="shared" si="517"/>
        <v>#N/A</v>
      </c>
      <c r="T81" s="598" t="e">
        <f t="shared" si="517"/>
        <v>#N/A</v>
      </c>
      <c r="U81" s="598" t="e">
        <f t="shared" si="517"/>
        <v>#N/A</v>
      </c>
      <c r="V81" s="598" t="e">
        <f t="shared" si="517"/>
        <v>#N/A</v>
      </c>
      <c r="W81" s="598" t="e">
        <f t="shared" si="517"/>
        <v>#N/A</v>
      </c>
      <c r="Y81" s="598" t="s">
        <v>2348</v>
      </c>
      <c r="Z81" s="598" t="e">
        <f t="shared" ref="Z81:AI81" si="518">Z$68+$AS183</f>
        <v>#N/A</v>
      </c>
      <c r="AA81" s="598" t="e">
        <f t="shared" si="518"/>
        <v>#N/A</v>
      </c>
      <c r="AB81" s="598" t="e">
        <f t="shared" si="518"/>
        <v>#N/A</v>
      </c>
      <c r="AC81" s="598" t="e">
        <f t="shared" si="518"/>
        <v>#N/A</v>
      </c>
      <c r="AD81" s="598" t="e">
        <f t="shared" si="518"/>
        <v>#N/A</v>
      </c>
      <c r="AE81" s="598" t="e">
        <f t="shared" si="518"/>
        <v>#N/A</v>
      </c>
      <c r="AF81" s="598" t="e">
        <f t="shared" si="518"/>
        <v>#N/A</v>
      </c>
      <c r="AG81" s="598" t="e">
        <f t="shared" si="518"/>
        <v>#N/A</v>
      </c>
      <c r="AH81" s="598" t="e">
        <f t="shared" si="518"/>
        <v>#N/A</v>
      </c>
      <c r="AI81" s="598" t="e">
        <f t="shared" si="518"/>
        <v>#N/A</v>
      </c>
      <c r="AK81" s="598" t="s">
        <v>2348</v>
      </c>
      <c r="AL81" s="598" t="e">
        <f t="shared" ref="AL81:AU81" si="519">AL$68+$AU183</f>
        <v>#N/A</v>
      </c>
      <c r="AM81" s="598" t="e">
        <f t="shared" si="519"/>
        <v>#N/A</v>
      </c>
      <c r="AN81" s="598" t="e">
        <f t="shared" si="519"/>
        <v>#N/A</v>
      </c>
      <c r="AO81" s="598" t="e">
        <f t="shared" si="519"/>
        <v>#N/A</v>
      </c>
      <c r="AP81" s="598" t="e">
        <f t="shared" si="519"/>
        <v>#N/A</v>
      </c>
      <c r="AQ81" s="598" t="e">
        <f t="shared" si="519"/>
        <v>#N/A</v>
      </c>
      <c r="AR81" s="598" t="e">
        <f t="shared" si="519"/>
        <v>#N/A</v>
      </c>
      <c r="AS81" s="598" t="e">
        <f t="shared" si="519"/>
        <v>#N/A</v>
      </c>
      <c r="AT81" s="598" t="e">
        <f t="shared" si="519"/>
        <v>#N/A</v>
      </c>
      <c r="AU81" s="598" t="e">
        <f t="shared" si="519"/>
        <v>#N/A</v>
      </c>
      <c r="AW81" s="598" t="s">
        <v>2348</v>
      </c>
      <c r="AX81" s="598" t="e">
        <f t="shared" ref="AX81:BG81" si="520">AX$68+$AW183</f>
        <v>#N/A</v>
      </c>
      <c r="AY81" s="598" t="e">
        <f t="shared" si="520"/>
        <v>#N/A</v>
      </c>
      <c r="AZ81" s="598" t="e">
        <f t="shared" si="520"/>
        <v>#N/A</v>
      </c>
      <c r="BA81" s="598" t="e">
        <f t="shared" si="520"/>
        <v>#N/A</v>
      </c>
      <c r="BB81" s="598" t="e">
        <f t="shared" si="520"/>
        <v>#N/A</v>
      </c>
      <c r="BC81" s="598" t="e">
        <f t="shared" si="520"/>
        <v>#N/A</v>
      </c>
      <c r="BD81" s="598" t="e">
        <f t="shared" si="520"/>
        <v>#N/A</v>
      </c>
      <c r="BE81" s="598" t="e">
        <f t="shared" si="520"/>
        <v>#N/A</v>
      </c>
      <c r="BF81" s="598" t="e">
        <f t="shared" si="520"/>
        <v>#N/A</v>
      </c>
      <c r="BG81" s="598" t="e">
        <f t="shared" si="520"/>
        <v>#N/A</v>
      </c>
      <c r="BI81" s="598" t="s">
        <v>2348</v>
      </c>
      <c r="BJ81" s="598" t="e">
        <f t="shared" ref="BJ81:BS81" si="521">BJ$68+$AY183</f>
        <v>#N/A</v>
      </c>
      <c r="BK81" s="598" t="e">
        <f t="shared" si="521"/>
        <v>#N/A</v>
      </c>
      <c r="BL81" s="598" t="e">
        <f t="shared" si="521"/>
        <v>#N/A</v>
      </c>
      <c r="BM81" s="598" t="e">
        <f t="shared" si="521"/>
        <v>#N/A</v>
      </c>
      <c r="BN81" s="598" t="e">
        <f t="shared" si="521"/>
        <v>#N/A</v>
      </c>
      <c r="BO81" s="598" t="e">
        <f t="shared" si="521"/>
        <v>#N/A</v>
      </c>
      <c r="BP81" s="598" t="e">
        <f t="shared" si="521"/>
        <v>#N/A</v>
      </c>
      <c r="BQ81" s="598" t="e">
        <f t="shared" si="521"/>
        <v>#N/A</v>
      </c>
      <c r="BR81" s="598" t="e">
        <f t="shared" si="521"/>
        <v>#N/A</v>
      </c>
      <c r="BS81" s="598" t="e">
        <f t="shared" si="521"/>
        <v>#N/A</v>
      </c>
      <c r="BU81" s="598" t="s">
        <v>2348</v>
      </c>
      <c r="BV81" s="598" t="e">
        <f t="shared" ref="BV81:CE81" si="522">BV$68+$BA183</f>
        <v>#N/A</v>
      </c>
      <c r="BW81" s="598" t="e">
        <f t="shared" si="522"/>
        <v>#N/A</v>
      </c>
      <c r="BX81" s="598" t="e">
        <f t="shared" si="522"/>
        <v>#N/A</v>
      </c>
      <c r="BY81" s="598" t="e">
        <f t="shared" si="522"/>
        <v>#N/A</v>
      </c>
      <c r="BZ81" s="598" t="e">
        <f t="shared" si="522"/>
        <v>#N/A</v>
      </c>
      <c r="CA81" s="598" t="e">
        <f t="shared" si="522"/>
        <v>#N/A</v>
      </c>
      <c r="CB81" s="598" t="e">
        <f t="shared" si="522"/>
        <v>#N/A</v>
      </c>
      <c r="CC81" s="598" t="e">
        <f t="shared" si="522"/>
        <v>#N/A</v>
      </c>
      <c r="CD81" s="598" t="e">
        <f t="shared" si="522"/>
        <v>#N/A</v>
      </c>
      <c r="CE81" s="598" t="e">
        <f t="shared" si="522"/>
        <v>#N/A</v>
      </c>
    </row>
    <row r="82" spans="1:95">
      <c r="A82" s="598" t="s">
        <v>2340</v>
      </c>
      <c r="B82" s="598" t="e">
        <f t="shared" ref="B82:K82" si="523">B$68+$AO184</f>
        <v>#N/A</v>
      </c>
      <c r="C82" s="598" t="e">
        <f t="shared" si="523"/>
        <v>#N/A</v>
      </c>
      <c r="D82" s="598" t="e">
        <f t="shared" si="523"/>
        <v>#N/A</v>
      </c>
      <c r="E82" s="598" t="e">
        <f t="shared" si="523"/>
        <v>#N/A</v>
      </c>
      <c r="F82" s="598" t="e">
        <f t="shared" si="523"/>
        <v>#N/A</v>
      </c>
      <c r="G82" s="598" t="e">
        <f t="shared" si="523"/>
        <v>#N/A</v>
      </c>
      <c r="H82" s="598" t="e">
        <f t="shared" si="523"/>
        <v>#N/A</v>
      </c>
      <c r="I82" s="598" t="e">
        <f t="shared" si="523"/>
        <v>#N/A</v>
      </c>
      <c r="J82" s="598" t="e">
        <f t="shared" si="523"/>
        <v>#N/A</v>
      </c>
      <c r="K82" s="598" t="e">
        <f t="shared" si="523"/>
        <v>#N/A</v>
      </c>
      <c r="M82" s="598" t="s">
        <v>2340</v>
      </c>
      <c r="N82" s="598" t="e">
        <f t="shared" ref="N82:W82" si="524">N$68+$AQ184</f>
        <v>#N/A</v>
      </c>
      <c r="O82" s="598" t="e">
        <f t="shared" si="524"/>
        <v>#N/A</v>
      </c>
      <c r="P82" s="598" t="e">
        <f t="shared" si="524"/>
        <v>#N/A</v>
      </c>
      <c r="Q82" s="598" t="e">
        <f t="shared" si="524"/>
        <v>#N/A</v>
      </c>
      <c r="R82" s="598" t="e">
        <f t="shared" si="524"/>
        <v>#N/A</v>
      </c>
      <c r="S82" s="598" t="e">
        <f t="shared" si="524"/>
        <v>#N/A</v>
      </c>
      <c r="T82" s="598" t="e">
        <f t="shared" si="524"/>
        <v>#N/A</v>
      </c>
      <c r="U82" s="598" t="e">
        <f t="shared" si="524"/>
        <v>#N/A</v>
      </c>
      <c r="V82" s="598" t="e">
        <f t="shared" si="524"/>
        <v>#N/A</v>
      </c>
      <c r="W82" s="598" t="e">
        <f t="shared" si="524"/>
        <v>#N/A</v>
      </c>
      <c r="Y82" s="598" t="s">
        <v>2340</v>
      </c>
      <c r="Z82" s="598" t="e">
        <f t="shared" ref="Z82:AI82" si="525">Z$68+$AS184</f>
        <v>#N/A</v>
      </c>
      <c r="AA82" s="598" t="e">
        <f t="shared" si="525"/>
        <v>#N/A</v>
      </c>
      <c r="AB82" s="598" t="e">
        <f t="shared" si="525"/>
        <v>#N/A</v>
      </c>
      <c r="AC82" s="598" t="e">
        <f t="shared" si="525"/>
        <v>#N/A</v>
      </c>
      <c r="AD82" s="598" t="e">
        <f t="shared" si="525"/>
        <v>#N/A</v>
      </c>
      <c r="AE82" s="598" t="e">
        <f t="shared" si="525"/>
        <v>#N/A</v>
      </c>
      <c r="AF82" s="598" t="e">
        <f t="shared" si="525"/>
        <v>#N/A</v>
      </c>
      <c r="AG82" s="598" t="e">
        <f t="shared" si="525"/>
        <v>#N/A</v>
      </c>
      <c r="AH82" s="598" t="e">
        <f t="shared" si="525"/>
        <v>#N/A</v>
      </c>
      <c r="AI82" s="598" t="e">
        <f t="shared" si="525"/>
        <v>#N/A</v>
      </c>
      <c r="AK82" s="598" t="s">
        <v>2340</v>
      </c>
      <c r="AL82" s="598" t="e">
        <f t="shared" ref="AL82:AU82" si="526">AL$68+$AU184</f>
        <v>#N/A</v>
      </c>
      <c r="AM82" s="598" t="e">
        <f t="shared" si="526"/>
        <v>#N/A</v>
      </c>
      <c r="AN82" s="598" t="e">
        <f t="shared" si="526"/>
        <v>#N/A</v>
      </c>
      <c r="AO82" s="598" t="e">
        <f t="shared" si="526"/>
        <v>#N/A</v>
      </c>
      <c r="AP82" s="598" t="e">
        <f t="shared" si="526"/>
        <v>#N/A</v>
      </c>
      <c r="AQ82" s="598" t="e">
        <f t="shared" si="526"/>
        <v>#N/A</v>
      </c>
      <c r="AR82" s="598" t="e">
        <f t="shared" si="526"/>
        <v>#N/A</v>
      </c>
      <c r="AS82" s="598" t="e">
        <f t="shared" si="526"/>
        <v>#N/A</v>
      </c>
      <c r="AT82" s="598" t="e">
        <f t="shared" si="526"/>
        <v>#N/A</v>
      </c>
      <c r="AU82" s="598" t="e">
        <f t="shared" si="526"/>
        <v>#N/A</v>
      </c>
      <c r="AW82" s="598" t="s">
        <v>2340</v>
      </c>
      <c r="AX82" s="598" t="e">
        <f t="shared" ref="AX82:BG82" si="527">AX$68+$AW184</f>
        <v>#N/A</v>
      </c>
      <c r="AY82" s="598" t="e">
        <f t="shared" si="527"/>
        <v>#N/A</v>
      </c>
      <c r="AZ82" s="598" t="e">
        <f t="shared" si="527"/>
        <v>#N/A</v>
      </c>
      <c r="BA82" s="598" t="e">
        <f t="shared" si="527"/>
        <v>#N/A</v>
      </c>
      <c r="BB82" s="598" t="e">
        <f t="shared" si="527"/>
        <v>#N/A</v>
      </c>
      <c r="BC82" s="598" t="e">
        <f t="shared" si="527"/>
        <v>#N/A</v>
      </c>
      <c r="BD82" s="598" t="e">
        <f t="shared" si="527"/>
        <v>#N/A</v>
      </c>
      <c r="BE82" s="598" t="e">
        <f t="shared" si="527"/>
        <v>#N/A</v>
      </c>
      <c r="BF82" s="598" t="e">
        <f t="shared" si="527"/>
        <v>#N/A</v>
      </c>
      <c r="BG82" s="598" t="e">
        <f t="shared" si="527"/>
        <v>#N/A</v>
      </c>
      <c r="BI82" s="598" t="s">
        <v>2340</v>
      </c>
      <c r="BJ82" s="598" t="e">
        <f t="shared" ref="BJ82:BS82" si="528">BJ$68+$AY184</f>
        <v>#N/A</v>
      </c>
      <c r="BK82" s="598" t="e">
        <f t="shared" si="528"/>
        <v>#N/A</v>
      </c>
      <c r="BL82" s="598" t="e">
        <f t="shared" si="528"/>
        <v>#N/A</v>
      </c>
      <c r="BM82" s="598" t="e">
        <f t="shared" si="528"/>
        <v>#N/A</v>
      </c>
      <c r="BN82" s="598" t="e">
        <f t="shared" si="528"/>
        <v>#N/A</v>
      </c>
      <c r="BO82" s="598" t="e">
        <f t="shared" si="528"/>
        <v>#N/A</v>
      </c>
      <c r="BP82" s="598" t="e">
        <f t="shared" si="528"/>
        <v>#N/A</v>
      </c>
      <c r="BQ82" s="598" t="e">
        <f t="shared" si="528"/>
        <v>#N/A</v>
      </c>
      <c r="BR82" s="598" t="e">
        <f t="shared" si="528"/>
        <v>#N/A</v>
      </c>
      <c r="BS82" s="598" t="e">
        <f t="shared" si="528"/>
        <v>#N/A</v>
      </c>
      <c r="BU82" s="598" t="s">
        <v>2340</v>
      </c>
      <c r="BV82" s="598" t="e">
        <f t="shared" ref="BV82:CE82" si="529">BV$68+$BA184</f>
        <v>#N/A</v>
      </c>
      <c r="BW82" s="598" t="e">
        <f t="shared" si="529"/>
        <v>#N/A</v>
      </c>
      <c r="BX82" s="598" t="e">
        <f t="shared" si="529"/>
        <v>#N/A</v>
      </c>
      <c r="BY82" s="598" t="e">
        <f t="shared" si="529"/>
        <v>#N/A</v>
      </c>
      <c r="BZ82" s="598" t="e">
        <f t="shared" si="529"/>
        <v>#N/A</v>
      </c>
      <c r="CA82" s="598" t="e">
        <f t="shared" si="529"/>
        <v>#N/A</v>
      </c>
      <c r="CB82" s="598" t="e">
        <f t="shared" si="529"/>
        <v>#N/A</v>
      </c>
      <c r="CC82" s="598" t="e">
        <f t="shared" si="529"/>
        <v>#N/A</v>
      </c>
      <c r="CD82" s="598" t="e">
        <f t="shared" si="529"/>
        <v>#N/A</v>
      </c>
      <c r="CE82" s="598" t="e">
        <f t="shared" si="529"/>
        <v>#N/A</v>
      </c>
    </row>
    <row r="83" spans="1:95">
      <c r="A83" s="598" t="s">
        <v>1633</v>
      </c>
      <c r="B83" s="598">
        <f t="shared" ref="B83:K83" si="530">B$68+$AO185</f>
        <v>4</v>
      </c>
      <c r="C83" s="598">
        <f t="shared" si="530"/>
        <v>5</v>
      </c>
      <c r="D83" s="598">
        <f t="shared" si="530"/>
        <v>6</v>
      </c>
      <c r="E83" s="598">
        <f t="shared" si="530"/>
        <v>7</v>
      </c>
      <c r="F83" s="598">
        <f t="shared" si="530"/>
        <v>8</v>
      </c>
      <c r="G83" s="598">
        <f t="shared" si="530"/>
        <v>9</v>
      </c>
      <c r="H83" s="598">
        <f t="shared" si="530"/>
        <v>10</v>
      </c>
      <c r="I83" s="598">
        <f t="shared" si="530"/>
        <v>11</v>
      </c>
      <c r="J83" s="598">
        <f t="shared" si="530"/>
        <v>12</v>
      </c>
      <c r="K83" s="598">
        <f t="shared" si="530"/>
        <v>13</v>
      </c>
      <c r="M83" s="598" t="s">
        <v>1633</v>
      </c>
      <c r="N83" s="598">
        <f t="shared" ref="N83:W83" si="531">N$68+$AQ185</f>
        <v>1</v>
      </c>
      <c r="O83" s="598">
        <f t="shared" si="531"/>
        <v>2</v>
      </c>
      <c r="P83" s="598">
        <f t="shared" si="531"/>
        <v>3</v>
      </c>
      <c r="Q83" s="598">
        <f t="shared" si="531"/>
        <v>4</v>
      </c>
      <c r="R83" s="598">
        <f t="shared" si="531"/>
        <v>5</v>
      </c>
      <c r="S83" s="598">
        <f t="shared" si="531"/>
        <v>6</v>
      </c>
      <c r="T83" s="598">
        <f t="shared" si="531"/>
        <v>7</v>
      </c>
      <c r="U83" s="598">
        <f t="shared" si="531"/>
        <v>8</v>
      </c>
      <c r="V83" s="598">
        <f t="shared" si="531"/>
        <v>9</v>
      </c>
      <c r="W83" s="598">
        <f t="shared" si="531"/>
        <v>10</v>
      </c>
      <c r="Y83" s="598" t="s">
        <v>1633</v>
      </c>
      <c r="Z83" s="598">
        <f t="shared" ref="Z83:AI83" si="532">Z$68+$AS185</f>
        <v>1</v>
      </c>
      <c r="AA83" s="598">
        <f t="shared" si="532"/>
        <v>2</v>
      </c>
      <c r="AB83" s="598">
        <f t="shared" si="532"/>
        <v>3</v>
      </c>
      <c r="AC83" s="598">
        <f t="shared" si="532"/>
        <v>4</v>
      </c>
      <c r="AD83" s="598">
        <f t="shared" si="532"/>
        <v>5</v>
      </c>
      <c r="AE83" s="598">
        <f t="shared" si="532"/>
        <v>6</v>
      </c>
      <c r="AF83" s="598">
        <f t="shared" si="532"/>
        <v>7</v>
      </c>
      <c r="AG83" s="598">
        <f t="shared" si="532"/>
        <v>8</v>
      </c>
      <c r="AH83" s="598">
        <f t="shared" si="532"/>
        <v>9</v>
      </c>
      <c r="AI83" s="598">
        <f t="shared" si="532"/>
        <v>10</v>
      </c>
      <c r="AK83" s="598" t="s">
        <v>1633</v>
      </c>
      <c r="AL83" s="598" t="e">
        <f t="shared" ref="AL83:AU83" si="533">AL$68+$AU185</f>
        <v>#N/A</v>
      </c>
      <c r="AM83" s="598" t="e">
        <f t="shared" si="533"/>
        <v>#N/A</v>
      </c>
      <c r="AN83" s="598" t="e">
        <f t="shared" si="533"/>
        <v>#N/A</v>
      </c>
      <c r="AO83" s="598" t="e">
        <f t="shared" si="533"/>
        <v>#N/A</v>
      </c>
      <c r="AP83" s="598" t="e">
        <f t="shared" si="533"/>
        <v>#N/A</v>
      </c>
      <c r="AQ83" s="598" t="e">
        <f t="shared" si="533"/>
        <v>#N/A</v>
      </c>
      <c r="AR83" s="598" t="e">
        <f t="shared" si="533"/>
        <v>#N/A</v>
      </c>
      <c r="AS83" s="598" t="e">
        <f t="shared" si="533"/>
        <v>#N/A</v>
      </c>
      <c r="AT83" s="598" t="e">
        <f t="shared" si="533"/>
        <v>#N/A</v>
      </c>
      <c r="AU83" s="598" t="e">
        <f t="shared" si="533"/>
        <v>#N/A</v>
      </c>
      <c r="AW83" s="598" t="s">
        <v>1633</v>
      </c>
      <c r="AX83" s="598">
        <f t="shared" ref="AX83:BG83" si="534">AX$68+$AW185</f>
        <v>1</v>
      </c>
      <c r="AY83" s="598">
        <f t="shared" si="534"/>
        <v>2</v>
      </c>
      <c r="AZ83" s="598">
        <f t="shared" si="534"/>
        <v>3</v>
      </c>
      <c r="BA83" s="598">
        <f t="shared" si="534"/>
        <v>4</v>
      </c>
      <c r="BB83" s="598">
        <f t="shared" si="534"/>
        <v>5</v>
      </c>
      <c r="BC83" s="598">
        <f t="shared" si="534"/>
        <v>6</v>
      </c>
      <c r="BD83" s="598">
        <f t="shared" si="534"/>
        <v>7</v>
      </c>
      <c r="BE83" s="598">
        <f t="shared" si="534"/>
        <v>8</v>
      </c>
      <c r="BF83" s="598">
        <f t="shared" si="534"/>
        <v>9</v>
      </c>
      <c r="BG83" s="598">
        <f t="shared" si="534"/>
        <v>10</v>
      </c>
      <c r="BI83" s="598" t="s">
        <v>1633</v>
      </c>
      <c r="BJ83" s="598">
        <f t="shared" ref="BJ83:BS83" si="535">BJ$68+$AY185</f>
        <v>-2</v>
      </c>
      <c r="BK83" s="598">
        <f t="shared" si="535"/>
        <v>-1</v>
      </c>
      <c r="BL83" s="598">
        <f t="shared" si="535"/>
        <v>0</v>
      </c>
      <c r="BM83" s="598">
        <f t="shared" si="535"/>
        <v>1</v>
      </c>
      <c r="BN83" s="598">
        <f t="shared" si="535"/>
        <v>2</v>
      </c>
      <c r="BO83" s="598">
        <f t="shared" si="535"/>
        <v>3</v>
      </c>
      <c r="BP83" s="598">
        <f t="shared" si="535"/>
        <v>4</v>
      </c>
      <c r="BQ83" s="598">
        <f t="shared" si="535"/>
        <v>5</v>
      </c>
      <c r="BR83" s="598">
        <f t="shared" si="535"/>
        <v>6</v>
      </c>
      <c r="BS83" s="598">
        <f t="shared" si="535"/>
        <v>7</v>
      </c>
      <c r="BU83" s="598" t="s">
        <v>1633</v>
      </c>
      <c r="BV83" s="598">
        <f t="shared" ref="BV83:CE83" si="536">BV$68+$BA185</f>
        <v>-2</v>
      </c>
      <c r="BW83" s="598">
        <f t="shared" si="536"/>
        <v>-1</v>
      </c>
      <c r="BX83" s="598">
        <f t="shared" si="536"/>
        <v>0</v>
      </c>
      <c r="BY83" s="598">
        <f t="shared" si="536"/>
        <v>1</v>
      </c>
      <c r="BZ83" s="598">
        <f t="shared" si="536"/>
        <v>2</v>
      </c>
      <c r="CA83" s="598">
        <f t="shared" si="536"/>
        <v>3</v>
      </c>
      <c r="CB83" s="598">
        <f t="shared" si="536"/>
        <v>4</v>
      </c>
      <c r="CC83" s="598">
        <f t="shared" si="536"/>
        <v>5</v>
      </c>
      <c r="CD83" s="598">
        <f t="shared" si="536"/>
        <v>6</v>
      </c>
      <c r="CE83" s="598">
        <f t="shared" si="536"/>
        <v>7</v>
      </c>
    </row>
    <row r="84" spans="1:95">
      <c r="A84" s="598" t="s">
        <v>1634</v>
      </c>
      <c r="B84" s="598">
        <f t="shared" ref="B84:K84" si="537">B$68+$AO186</f>
        <v>3</v>
      </c>
      <c r="C84" s="598">
        <f t="shared" si="537"/>
        <v>4</v>
      </c>
      <c r="D84" s="598">
        <f t="shared" si="537"/>
        <v>5</v>
      </c>
      <c r="E84" s="598">
        <f t="shared" si="537"/>
        <v>6</v>
      </c>
      <c r="F84" s="598">
        <f t="shared" si="537"/>
        <v>7</v>
      </c>
      <c r="G84" s="598">
        <f t="shared" si="537"/>
        <v>8</v>
      </c>
      <c r="H84" s="598">
        <f t="shared" si="537"/>
        <v>9</v>
      </c>
      <c r="I84" s="598">
        <f t="shared" si="537"/>
        <v>10</v>
      </c>
      <c r="J84" s="598">
        <f t="shared" si="537"/>
        <v>11</v>
      </c>
      <c r="K84" s="598">
        <f t="shared" si="537"/>
        <v>12</v>
      </c>
      <c r="M84" s="598" t="s">
        <v>1634</v>
      </c>
      <c r="N84" s="598">
        <f t="shared" ref="N84:W84" si="538">N$68+$AQ186</f>
        <v>1</v>
      </c>
      <c r="O84" s="598">
        <f t="shared" si="538"/>
        <v>2</v>
      </c>
      <c r="P84" s="598">
        <f t="shared" si="538"/>
        <v>3</v>
      </c>
      <c r="Q84" s="598">
        <f t="shared" si="538"/>
        <v>4</v>
      </c>
      <c r="R84" s="598">
        <f t="shared" si="538"/>
        <v>5</v>
      </c>
      <c r="S84" s="598">
        <f t="shared" si="538"/>
        <v>6</v>
      </c>
      <c r="T84" s="598">
        <f t="shared" si="538"/>
        <v>7</v>
      </c>
      <c r="U84" s="598">
        <f t="shared" si="538"/>
        <v>8</v>
      </c>
      <c r="V84" s="598">
        <f t="shared" si="538"/>
        <v>9</v>
      </c>
      <c r="W84" s="598">
        <f t="shared" si="538"/>
        <v>10</v>
      </c>
      <c r="Y84" s="598" t="s">
        <v>1634</v>
      </c>
      <c r="Z84" s="598">
        <f t="shared" ref="Z84:AI84" si="539">Z$68+$AS186</f>
        <v>1</v>
      </c>
      <c r="AA84" s="598">
        <f t="shared" si="539"/>
        <v>2</v>
      </c>
      <c r="AB84" s="598">
        <f t="shared" si="539"/>
        <v>3</v>
      </c>
      <c r="AC84" s="598">
        <f t="shared" si="539"/>
        <v>4</v>
      </c>
      <c r="AD84" s="598">
        <f t="shared" si="539"/>
        <v>5</v>
      </c>
      <c r="AE84" s="598">
        <f t="shared" si="539"/>
        <v>6</v>
      </c>
      <c r="AF84" s="598">
        <f t="shared" si="539"/>
        <v>7</v>
      </c>
      <c r="AG84" s="598">
        <f t="shared" si="539"/>
        <v>8</v>
      </c>
      <c r="AH84" s="598">
        <f t="shared" si="539"/>
        <v>9</v>
      </c>
      <c r="AI84" s="598">
        <f t="shared" si="539"/>
        <v>10</v>
      </c>
      <c r="AK84" s="598" t="s">
        <v>1634</v>
      </c>
      <c r="AL84" s="598" t="e">
        <f t="shared" ref="AL84:AU84" si="540">AL$68+$AU186</f>
        <v>#N/A</v>
      </c>
      <c r="AM84" s="598" t="e">
        <f t="shared" si="540"/>
        <v>#N/A</v>
      </c>
      <c r="AN84" s="598" t="e">
        <f t="shared" si="540"/>
        <v>#N/A</v>
      </c>
      <c r="AO84" s="598" t="e">
        <f t="shared" si="540"/>
        <v>#N/A</v>
      </c>
      <c r="AP84" s="598" t="e">
        <f t="shared" si="540"/>
        <v>#N/A</v>
      </c>
      <c r="AQ84" s="598" t="e">
        <f t="shared" si="540"/>
        <v>#N/A</v>
      </c>
      <c r="AR84" s="598" t="e">
        <f t="shared" si="540"/>
        <v>#N/A</v>
      </c>
      <c r="AS84" s="598" t="e">
        <f t="shared" si="540"/>
        <v>#N/A</v>
      </c>
      <c r="AT84" s="598" t="e">
        <f t="shared" si="540"/>
        <v>#N/A</v>
      </c>
      <c r="AU84" s="598" t="e">
        <f t="shared" si="540"/>
        <v>#N/A</v>
      </c>
      <c r="AW84" s="598" t="s">
        <v>1634</v>
      </c>
      <c r="AX84" s="598">
        <f t="shared" ref="AX84:BG84" si="541">AX$68+$AW186</f>
        <v>3</v>
      </c>
      <c r="AY84" s="598">
        <f t="shared" si="541"/>
        <v>4</v>
      </c>
      <c r="AZ84" s="598">
        <f t="shared" si="541"/>
        <v>5</v>
      </c>
      <c r="BA84" s="598">
        <f t="shared" si="541"/>
        <v>6</v>
      </c>
      <c r="BB84" s="598">
        <f t="shared" si="541"/>
        <v>7</v>
      </c>
      <c r="BC84" s="598">
        <f t="shared" si="541"/>
        <v>8</v>
      </c>
      <c r="BD84" s="598">
        <f t="shared" si="541"/>
        <v>9</v>
      </c>
      <c r="BE84" s="598">
        <f t="shared" si="541"/>
        <v>10</v>
      </c>
      <c r="BF84" s="598">
        <f t="shared" si="541"/>
        <v>11</v>
      </c>
      <c r="BG84" s="598">
        <f t="shared" si="541"/>
        <v>12</v>
      </c>
      <c r="BI84" s="598" t="s">
        <v>1634</v>
      </c>
      <c r="BJ84" s="598">
        <f t="shared" ref="BJ84:BS84" si="542">BJ$68+$AY186</f>
        <v>-1</v>
      </c>
      <c r="BK84" s="598">
        <f t="shared" si="542"/>
        <v>0</v>
      </c>
      <c r="BL84" s="598">
        <f t="shared" si="542"/>
        <v>1</v>
      </c>
      <c r="BM84" s="598">
        <f t="shared" si="542"/>
        <v>2</v>
      </c>
      <c r="BN84" s="598">
        <f t="shared" si="542"/>
        <v>3</v>
      </c>
      <c r="BO84" s="598">
        <f t="shared" si="542"/>
        <v>4</v>
      </c>
      <c r="BP84" s="598">
        <f t="shared" si="542"/>
        <v>5</v>
      </c>
      <c r="BQ84" s="598">
        <f t="shared" si="542"/>
        <v>6</v>
      </c>
      <c r="BR84" s="598">
        <f t="shared" si="542"/>
        <v>7</v>
      </c>
      <c r="BS84" s="598">
        <f t="shared" si="542"/>
        <v>8</v>
      </c>
      <c r="BU84" s="598" t="s">
        <v>1634</v>
      </c>
      <c r="BV84" s="598">
        <f t="shared" ref="BV84:CE84" si="543">BV$68+$BA186</f>
        <v>1</v>
      </c>
      <c r="BW84" s="598">
        <f t="shared" si="543"/>
        <v>2</v>
      </c>
      <c r="BX84" s="598">
        <f t="shared" si="543"/>
        <v>3</v>
      </c>
      <c r="BY84" s="598">
        <f t="shared" si="543"/>
        <v>4</v>
      </c>
      <c r="BZ84" s="598">
        <f t="shared" si="543"/>
        <v>5</v>
      </c>
      <c r="CA84" s="598">
        <f t="shared" si="543"/>
        <v>6</v>
      </c>
      <c r="CB84" s="598">
        <f t="shared" si="543"/>
        <v>7</v>
      </c>
      <c r="CC84" s="598">
        <f t="shared" si="543"/>
        <v>8</v>
      </c>
      <c r="CD84" s="598">
        <f t="shared" si="543"/>
        <v>9</v>
      </c>
      <c r="CE84" s="598">
        <f t="shared" si="543"/>
        <v>10</v>
      </c>
    </row>
    <row r="85" spans="1:95">
      <c r="A85" s="598" t="s">
        <v>1635</v>
      </c>
      <c r="B85" s="598">
        <f t="shared" ref="B85:K85" si="544">B$68+$AO187</f>
        <v>1</v>
      </c>
      <c r="C85" s="598">
        <f t="shared" si="544"/>
        <v>2</v>
      </c>
      <c r="D85" s="598">
        <f t="shared" si="544"/>
        <v>3</v>
      </c>
      <c r="E85" s="598">
        <f t="shared" si="544"/>
        <v>4</v>
      </c>
      <c r="F85" s="598">
        <f t="shared" si="544"/>
        <v>5</v>
      </c>
      <c r="G85" s="598">
        <f t="shared" si="544"/>
        <v>6</v>
      </c>
      <c r="H85" s="598">
        <f t="shared" si="544"/>
        <v>7</v>
      </c>
      <c r="I85" s="598">
        <f t="shared" si="544"/>
        <v>8</v>
      </c>
      <c r="J85" s="598">
        <f t="shared" si="544"/>
        <v>9</v>
      </c>
      <c r="K85" s="598">
        <f t="shared" si="544"/>
        <v>10</v>
      </c>
      <c r="M85" s="598" t="s">
        <v>1635</v>
      </c>
      <c r="N85" s="598">
        <f t="shared" ref="N85:W85" si="545">N$68+$AQ187</f>
        <v>1</v>
      </c>
      <c r="O85" s="598">
        <f t="shared" si="545"/>
        <v>2</v>
      </c>
      <c r="P85" s="598">
        <f t="shared" si="545"/>
        <v>3</v>
      </c>
      <c r="Q85" s="598">
        <f t="shared" si="545"/>
        <v>4</v>
      </c>
      <c r="R85" s="598">
        <f t="shared" si="545"/>
        <v>5</v>
      </c>
      <c r="S85" s="598">
        <f t="shared" si="545"/>
        <v>6</v>
      </c>
      <c r="T85" s="598">
        <f t="shared" si="545"/>
        <v>7</v>
      </c>
      <c r="U85" s="598">
        <f t="shared" si="545"/>
        <v>8</v>
      </c>
      <c r="V85" s="598">
        <f t="shared" si="545"/>
        <v>9</v>
      </c>
      <c r="W85" s="598">
        <f t="shared" si="545"/>
        <v>10</v>
      </c>
      <c r="Y85" s="598" t="s">
        <v>1635</v>
      </c>
      <c r="Z85" s="598">
        <f t="shared" ref="Z85:AI85" si="546">Z$68+$AS187</f>
        <v>1</v>
      </c>
      <c r="AA85" s="598">
        <f t="shared" si="546"/>
        <v>2</v>
      </c>
      <c r="AB85" s="598">
        <f t="shared" si="546"/>
        <v>3</v>
      </c>
      <c r="AC85" s="598">
        <f t="shared" si="546"/>
        <v>4</v>
      </c>
      <c r="AD85" s="598">
        <f t="shared" si="546"/>
        <v>5</v>
      </c>
      <c r="AE85" s="598">
        <f t="shared" si="546"/>
        <v>6</v>
      </c>
      <c r="AF85" s="598">
        <f t="shared" si="546"/>
        <v>7</v>
      </c>
      <c r="AG85" s="598">
        <f t="shared" si="546"/>
        <v>8</v>
      </c>
      <c r="AH85" s="598">
        <f t="shared" si="546"/>
        <v>9</v>
      </c>
      <c r="AI85" s="598">
        <f t="shared" si="546"/>
        <v>10</v>
      </c>
      <c r="AK85" s="598" t="s">
        <v>1635</v>
      </c>
      <c r="AL85" s="598" t="e">
        <f t="shared" ref="AL85:AU85" si="547">AL$68+$AU187</f>
        <v>#N/A</v>
      </c>
      <c r="AM85" s="598" t="e">
        <f t="shared" si="547"/>
        <v>#N/A</v>
      </c>
      <c r="AN85" s="598" t="e">
        <f t="shared" si="547"/>
        <v>#N/A</v>
      </c>
      <c r="AO85" s="598" t="e">
        <f t="shared" si="547"/>
        <v>#N/A</v>
      </c>
      <c r="AP85" s="598" t="e">
        <f t="shared" si="547"/>
        <v>#N/A</v>
      </c>
      <c r="AQ85" s="598" t="e">
        <f t="shared" si="547"/>
        <v>#N/A</v>
      </c>
      <c r="AR85" s="598" t="e">
        <f t="shared" si="547"/>
        <v>#N/A</v>
      </c>
      <c r="AS85" s="598" t="e">
        <f t="shared" si="547"/>
        <v>#N/A</v>
      </c>
      <c r="AT85" s="598" t="e">
        <f t="shared" si="547"/>
        <v>#N/A</v>
      </c>
      <c r="AU85" s="598" t="e">
        <f t="shared" si="547"/>
        <v>#N/A</v>
      </c>
      <c r="AW85" s="598" t="s">
        <v>1635</v>
      </c>
      <c r="AX85" s="598">
        <f t="shared" ref="AX85:BG85" si="548">AX$68+$AW187</f>
        <v>1</v>
      </c>
      <c r="AY85" s="598">
        <f t="shared" si="548"/>
        <v>2</v>
      </c>
      <c r="AZ85" s="598">
        <f t="shared" si="548"/>
        <v>3</v>
      </c>
      <c r="BA85" s="598">
        <f t="shared" si="548"/>
        <v>4</v>
      </c>
      <c r="BB85" s="598">
        <f t="shared" si="548"/>
        <v>5</v>
      </c>
      <c r="BC85" s="598">
        <f t="shared" si="548"/>
        <v>6</v>
      </c>
      <c r="BD85" s="598">
        <f t="shared" si="548"/>
        <v>7</v>
      </c>
      <c r="BE85" s="598">
        <f t="shared" si="548"/>
        <v>8</v>
      </c>
      <c r="BF85" s="598">
        <f t="shared" si="548"/>
        <v>9</v>
      </c>
      <c r="BG85" s="598">
        <f t="shared" si="548"/>
        <v>10</v>
      </c>
      <c r="BI85" s="598" t="s">
        <v>1635</v>
      </c>
      <c r="BJ85" s="598">
        <f t="shared" ref="BJ85:BS85" si="549">BJ$68+$AY187</f>
        <v>4</v>
      </c>
      <c r="BK85" s="598">
        <f t="shared" si="549"/>
        <v>5</v>
      </c>
      <c r="BL85" s="598">
        <f t="shared" si="549"/>
        <v>6</v>
      </c>
      <c r="BM85" s="598">
        <f t="shared" si="549"/>
        <v>7</v>
      </c>
      <c r="BN85" s="598">
        <f t="shared" si="549"/>
        <v>8</v>
      </c>
      <c r="BO85" s="598">
        <f t="shared" si="549"/>
        <v>9</v>
      </c>
      <c r="BP85" s="598">
        <f t="shared" si="549"/>
        <v>10</v>
      </c>
      <c r="BQ85" s="598">
        <f t="shared" si="549"/>
        <v>11</v>
      </c>
      <c r="BR85" s="598">
        <f t="shared" si="549"/>
        <v>12</v>
      </c>
      <c r="BS85" s="598">
        <f t="shared" si="549"/>
        <v>13</v>
      </c>
      <c r="BU85" s="598" t="s">
        <v>1635</v>
      </c>
      <c r="BV85" s="598">
        <f t="shared" ref="BV85:CE85" si="550">BV$68+$BA187</f>
        <v>1</v>
      </c>
      <c r="BW85" s="598">
        <f t="shared" si="550"/>
        <v>2</v>
      </c>
      <c r="BX85" s="598">
        <f t="shared" si="550"/>
        <v>3</v>
      </c>
      <c r="BY85" s="598">
        <f t="shared" si="550"/>
        <v>4</v>
      </c>
      <c r="BZ85" s="598">
        <f t="shared" si="550"/>
        <v>5</v>
      </c>
      <c r="CA85" s="598">
        <f t="shared" si="550"/>
        <v>6</v>
      </c>
      <c r="CB85" s="598">
        <f t="shared" si="550"/>
        <v>7</v>
      </c>
      <c r="CC85" s="598">
        <f t="shared" si="550"/>
        <v>8</v>
      </c>
      <c r="CD85" s="598">
        <f t="shared" si="550"/>
        <v>9</v>
      </c>
      <c r="CE85" s="598">
        <f t="shared" si="550"/>
        <v>10</v>
      </c>
    </row>
    <row r="86" spans="1:95">
      <c r="A86" s="598" t="s">
        <v>1347</v>
      </c>
      <c r="B86" s="598" t="e">
        <f t="shared" ref="B86:K86" si="551">B$68+$AO188</f>
        <v>#N/A</v>
      </c>
      <c r="C86" s="598" t="e">
        <f t="shared" si="551"/>
        <v>#N/A</v>
      </c>
      <c r="D86" s="598" t="e">
        <f t="shared" si="551"/>
        <v>#N/A</v>
      </c>
      <c r="E86" s="598" t="e">
        <f t="shared" si="551"/>
        <v>#N/A</v>
      </c>
      <c r="F86" s="598" t="e">
        <f t="shared" si="551"/>
        <v>#N/A</v>
      </c>
      <c r="G86" s="598" t="e">
        <f t="shared" si="551"/>
        <v>#N/A</v>
      </c>
      <c r="H86" s="598" t="e">
        <f t="shared" si="551"/>
        <v>#N/A</v>
      </c>
      <c r="I86" s="598" t="e">
        <f t="shared" si="551"/>
        <v>#N/A</v>
      </c>
      <c r="J86" s="598" t="e">
        <f t="shared" si="551"/>
        <v>#N/A</v>
      </c>
      <c r="K86" s="598" t="e">
        <f t="shared" si="551"/>
        <v>#N/A</v>
      </c>
      <c r="M86" s="598" t="s">
        <v>1347</v>
      </c>
      <c r="N86" s="598" t="e">
        <f t="shared" ref="N86:W86" si="552">N$68+$AQ188</f>
        <v>#N/A</v>
      </c>
      <c r="O86" s="598" t="e">
        <f t="shared" si="552"/>
        <v>#N/A</v>
      </c>
      <c r="P86" s="598" t="e">
        <f t="shared" si="552"/>
        <v>#N/A</v>
      </c>
      <c r="Q86" s="598" t="e">
        <f t="shared" si="552"/>
        <v>#N/A</v>
      </c>
      <c r="R86" s="598" t="e">
        <f t="shared" si="552"/>
        <v>#N/A</v>
      </c>
      <c r="S86" s="598" t="e">
        <f t="shared" si="552"/>
        <v>#N/A</v>
      </c>
      <c r="T86" s="598" t="e">
        <f t="shared" si="552"/>
        <v>#N/A</v>
      </c>
      <c r="U86" s="598" t="e">
        <f t="shared" si="552"/>
        <v>#N/A</v>
      </c>
      <c r="V86" s="598" t="e">
        <f t="shared" si="552"/>
        <v>#N/A</v>
      </c>
      <c r="W86" s="598" t="e">
        <f t="shared" si="552"/>
        <v>#N/A</v>
      </c>
      <c r="Y86" s="598" t="s">
        <v>1347</v>
      </c>
      <c r="Z86" s="598" t="e">
        <f t="shared" ref="Z86:AI86" si="553">Z$68+$AS188</f>
        <v>#N/A</v>
      </c>
      <c r="AA86" s="598" t="e">
        <f t="shared" si="553"/>
        <v>#N/A</v>
      </c>
      <c r="AB86" s="598" t="e">
        <f t="shared" si="553"/>
        <v>#N/A</v>
      </c>
      <c r="AC86" s="598" t="e">
        <f t="shared" si="553"/>
        <v>#N/A</v>
      </c>
      <c r="AD86" s="598" t="e">
        <f t="shared" si="553"/>
        <v>#N/A</v>
      </c>
      <c r="AE86" s="598" t="e">
        <f t="shared" si="553"/>
        <v>#N/A</v>
      </c>
      <c r="AF86" s="598" t="e">
        <f t="shared" si="553"/>
        <v>#N/A</v>
      </c>
      <c r="AG86" s="598" t="e">
        <f t="shared" si="553"/>
        <v>#N/A</v>
      </c>
      <c r="AH86" s="598" t="e">
        <f t="shared" si="553"/>
        <v>#N/A</v>
      </c>
      <c r="AI86" s="598" t="e">
        <f t="shared" si="553"/>
        <v>#N/A</v>
      </c>
      <c r="AK86" s="598" t="s">
        <v>1347</v>
      </c>
      <c r="AL86" s="598" t="e">
        <f t="shared" ref="AL86:AU86" si="554">AL$68+$AU188</f>
        <v>#N/A</v>
      </c>
      <c r="AM86" s="598" t="e">
        <f t="shared" si="554"/>
        <v>#N/A</v>
      </c>
      <c r="AN86" s="598" t="e">
        <f t="shared" si="554"/>
        <v>#N/A</v>
      </c>
      <c r="AO86" s="598" t="e">
        <f t="shared" si="554"/>
        <v>#N/A</v>
      </c>
      <c r="AP86" s="598" t="e">
        <f t="shared" si="554"/>
        <v>#N/A</v>
      </c>
      <c r="AQ86" s="598" t="e">
        <f t="shared" si="554"/>
        <v>#N/A</v>
      </c>
      <c r="AR86" s="598" t="e">
        <f t="shared" si="554"/>
        <v>#N/A</v>
      </c>
      <c r="AS86" s="598" t="e">
        <f t="shared" si="554"/>
        <v>#N/A</v>
      </c>
      <c r="AT86" s="598" t="e">
        <f t="shared" si="554"/>
        <v>#N/A</v>
      </c>
      <c r="AU86" s="598" t="e">
        <f t="shared" si="554"/>
        <v>#N/A</v>
      </c>
      <c r="AW86" s="598" t="s">
        <v>1347</v>
      </c>
      <c r="AX86" s="598" t="e">
        <f t="shared" ref="AX86:BG86" si="555">AX$68+$AW188</f>
        <v>#N/A</v>
      </c>
      <c r="AY86" s="598" t="e">
        <f t="shared" si="555"/>
        <v>#N/A</v>
      </c>
      <c r="AZ86" s="598" t="e">
        <f t="shared" si="555"/>
        <v>#N/A</v>
      </c>
      <c r="BA86" s="598" t="e">
        <f t="shared" si="555"/>
        <v>#N/A</v>
      </c>
      <c r="BB86" s="598" t="e">
        <f t="shared" si="555"/>
        <v>#N/A</v>
      </c>
      <c r="BC86" s="598" t="e">
        <f t="shared" si="555"/>
        <v>#N/A</v>
      </c>
      <c r="BD86" s="598" t="e">
        <f t="shared" si="555"/>
        <v>#N/A</v>
      </c>
      <c r="BE86" s="598" t="e">
        <f t="shared" si="555"/>
        <v>#N/A</v>
      </c>
      <c r="BF86" s="598" t="e">
        <f t="shared" si="555"/>
        <v>#N/A</v>
      </c>
      <c r="BG86" s="598" t="e">
        <f t="shared" si="555"/>
        <v>#N/A</v>
      </c>
      <c r="BI86" s="598" t="s">
        <v>1347</v>
      </c>
      <c r="BJ86" s="598" t="e">
        <f t="shared" ref="BJ86:BS86" si="556">BJ$68+$AY188</f>
        <v>#N/A</v>
      </c>
      <c r="BK86" s="598" t="e">
        <f t="shared" si="556"/>
        <v>#N/A</v>
      </c>
      <c r="BL86" s="598" t="e">
        <f t="shared" si="556"/>
        <v>#N/A</v>
      </c>
      <c r="BM86" s="598" t="e">
        <f t="shared" si="556"/>
        <v>#N/A</v>
      </c>
      <c r="BN86" s="598" t="e">
        <f t="shared" si="556"/>
        <v>#N/A</v>
      </c>
      <c r="BO86" s="598" t="e">
        <f t="shared" si="556"/>
        <v>#N/A</v>
      </c>
      <c r="BP86" s="598" t="e">
        <f t="shared" si="556"/>
        <v>#N/A</v>
      </c>
      <c r="BQ86" s="598" t="e">
        <f t="shared" si="556"/>
        <v>#N/A</v>
      </c>
      <c r="BR86" s="598" t="e">
        <f t="shared" si="556"/>
        <v>#N/A</v>
      </c>
      <c r="BS86" s="598" t="e">
        <f t="shared" si="556"/>
        <v>#N/A</v>
      </c>
      <c r="BU86" s="598" t="s">
        <v>1347</v>
      </c>
      <c r="BV86" s="598" t="e">
        <f t="shared" ref="BV86:CE86" si="557">BV$68+$BA188</f>
        <v>#N/A</v>
      </c>
      <c r="BW86" s="598" t="e">
        <f t="shared" si="557"/>
        <v>#N/A</v>
      </c>
      <c r="BX86" s="598" t="e">
        <f t="shared" si="557"/>
        <v>#N/A</v>
      </c>
      <c r="BY86" s="598" t="e">
        <f t="shared" si="557"/>
        <v>#N/A</v>
      </c>
      <c r="BZ86" s="598" t="e">
        <f t="shared" si="557"/>
        <v>#N/A</v>
      </c>
      <c r="CA86" s="598" t="e">
        <f t="shared" si="557"/>
        <v>#N/A</v>
      </c>
      <c r="CB86" s="598" t="e">
        <f t="shared" si="557"/>
        <v>#N/A</v>
      </c>
      <c r="CC86" s="598" t="e">
        <f t="shared" si="557"/>
        <v>#N/A</v>
      </c>
      <c r="CD86" s="598" t="e">
        <f t="shared" si="557"/>
        <v>#N/A</v>
      </c>
      <c r="CE86" s="598" t="e">
        <f t="shared" si="557"/>
        <v>#N/A</v>
      </c>
    </row>
    <row r="87" spans="1:95">
      <c r="A87" s="598" t="s">
        <v>1636</v>
      </c>
      <c r="B87" s="598">
        <f t="shared" ref="B87:K87" si="558">B$68+$AM189</f>
        <v>-2</v>
      </c>
      <c r="C87" s="598">
        <f t="shared" si="558"/>
        <v>-1</v>
      </c>
      <c r="D87" s="598">
        <f t="shared" si="558"/>
        <v>0</v>
      </c>
      <c r="E87" s="598">
        <f t="shared" si="558"/>
        <v>1</v>
      </c>
      <c r="F87" s="598">
        <f t="shared" si="558"/>
        <v>2</v>
      </c>
      <c r="G87" s="598">
        <f t="shared" si="558"/>
        <v>3</v>
      </c>
      <c r="H87" s="598">
        <f t="shared" si="558"/>
        <v>4</v>
      </c>
      <c r="I87" s="598">
        <f t="shared" si="558"/>
        <v>5</v>
      </c>
      <c r="J87" s="598">
        <f t="shared" si="558"/>
        <v>6</v>
      </c>
      <c r="K87" s="598">
        <f t="shared" si="558"/>
        <v>7</v>
      </c>
      <c r="M87" s="598" t="s">
        <v>1636</v>
      </c>
      <c r="N87" s="598">
        <f t="shared" ref="N87:W87" si="559">N$68+$AO189</f>
        <v>-2</v>
      </c>
      <c r="O87" s="598">
        <f t="shared" si="559"/>
        <v>-1</v>
      </c>
      <c r="P87" s="598">
        <f t="shared" si="559"/>
        <v>0</v>
      </c>
      <c r="Q87" s="598">
        <f t="shared" si="559"/>
        <v>1</v>
      </c>
      <c r="R87" s="598">
        <f t="shared" si="559"/>
        <v>2</v>
      </c>
      <c r="S87" s="598">
        <f t="shared" si="559"/>
        <v>3</v>
      </c>
      <c r="T87" s="598">
        <f t="shared" si="559"/>
        <v>4</v>
      </c>
      <c r="U87" s="598">
        <f t="shared" si="559"/>
        <v>5</v>
      </c>
      <c r="V87" s="598">
        <f t="shared" si="559"/>
        <v>6</v>
      </c>
      <c r="W87" s="598">
        <f t="shared" si="559"/>
        <v>7</v>
      </c>
      <c r="Y87" s="598" t="s">
        <v>1636</v>
      </c>
      <c r="Z87" s="598">
        <f t="shared" ref="Z87:AI87" si="560">Z$68+$AQ189</f>
        <v>1</v>
      </c>
      <c r="AA87" s="598">
        <f t="shared" si="560"/>
        <v>2</v>
      </c>
      <c r="AB87" s="598">
        <f t="shared" si="560"/>
        <v>3</v>
      </c>
      <c r="AC87" s="598">
        <f t="shared" si="560"/>
        <v>4</v>
      </c>
      <c r="AD87" s="598">
        <f t="shared" si="560"/>
        <v>5</v>
      </c>
      <c r="AE87" s="598">
        <f t="shared" si="560"/>
        <v>6</v>
      </c>
      <c r="AF87" s="598">
        <f t="shared" si="560"/>
        <v>7</v>
      </c>
      <c r="AG87" s="598">
        <f t="shared" si="560"/>
        <v>8</v>
      </c>
      <c r="AH87" s="598">
        <f t="shared" si="560"/>
        <v>9</v>
      </c>
      <c r="AI87" s="598">
        <f t="shared" si="560"/>
        <v>10</v>
      </c>
      <c r="AK87" s="598" t="s">
        <v>1636</v>
      </c>
      <c r="AL87" s="598">
        <f t="shared" ref="AL87:AU87" si="561">AL$68+$AS189</f>
        <v>1</v>
      </c>
      <c r="AM87" s="598">
        <f t="shared" si="561"/>
        <v>2</v>
      </c>
      <c r="AN87" s="598">
        <f t="shared" si="561"/>
        <v>3</v>
      </c>
      <c r="AO87" s="598">
        <f t="shared" si="561"/>
        <v>4</v>
      </c>
      <c r="AP87" s="598">
        <f t="shared" si="561"/>
        <v>5</v>
      </c>
      <c r="AQ87" s="598">
        <f t="shared" si="561"/>
        <v>6</v>
      </c>
      <c r="AR87" s="598">
        <f t="shared" si="561"/>
        <v>7</v>
      </c>
      <c r="AS87" s="598">
        <f t="shared" si="561"/>
        <v>8</v>
      </c>
      <c r="AT87" s="598">
        <f t="shared" si="561"/>
        <v>9</v>
      </c>
      <c r="AU87" s="598">
        <f t="shared" si="561"/>
        <v>10</v>
      </c>
      <c r="AW87" s="598" t="s">
        <v>1636</v>
      </c>
      <c r="AX87" s="598">
        <f t="shared" ref="AX87:BG87" si="562">AX$68+$AU189</f>
        <v>2</v>
      </c>
      <c r="AY87" s="598">
        <f t="shared" si="562"/>
        <v>3</v>
      </c>
      <c r="AZ87" s="598">
        <f t="shared" si="562"/>
        <v>4</v>
      </c>
      <c r="BA87" s="598">
        <f t="shared" si="562"/>
        <v>5</v>
      </c>
      <c r="BB87" s="598">
        <f t="shared" si="562"/>
        <v>6</v>
      </c>
      <c r="BC87" s="598">
        <f t="shared" si="562"/>
        <v>7</v>
      </c>
      <c r="BD87" s="598">
        <f t="shared" si="562"/>
        <v>8</v>
      </c>
      <c r="BE87" s="598">
        <f t="shared" si="562"/>
        <v>9</v>
      </c>
      <c r="BF87" s="598">
        <f t="shared" si="562"/>
        <v>10</v>
      </c>
      <c r="BG87" s="598">
        <f t="shared" si="562"/>
        <v>11</v>
      </c>
      <c r="BI87" s="598" t="s">
        <v>1636</v>
      </c>
      <c r="BJ87" s="598">
        <f t="shared" ref="BJ87:BS87" si="563">BJ$68+$AW189</f>
        <v>-2</v>
      </c>
      <c r="BK87" s="598">
        <f t="shared" si="563"/>
        <v>-1</v>
      </c>
      <c r="BL87" s="598">
        <f t="shared" si="563"/>
        <v>0</v>
      </c>
      <c r="BM87" s="598">
        <f t="shared" si="563"/>
        <v>1</v>
      </c>
      <c r="BN87" s="598">
        <f t="shared" si="563"/>
        <v>2</v>
      </c>
      <c r="BO87" s="598">
        <f t="shared" si="563"/>
        <v>3</v>
      </c>
      <c r="BP87" s="598">
        <f t="shared" si="563"/>
        <v>4</v>
      </c>
      <c r="BQ87" s="598">
        <f t="shared" si="563"/>
        <v>5</v>
      </c>
      <c r="BR87" s="598">
        <f t="shared" si="563"/>
        <v>6</v>
      </c>
      <c r="BS87" s="598">
        <f t="shared" si="563"/>
        <v>7</v>
      </c>
      <c r="BU87" s="598" t="s">
        <v>1636</v>
      </c>
      <c r="BV87" s="598">
        <f t="shared" ref="BV87:CE87" si="564">BV$68+$AY189</f>
        <v>2</v>
      </c>
      <c r="BW87" s="598">
        <f t="shared" si="564"/>
        <v>3</v>
      </c>
      <c r="BX87" s="598">
        <f t="shared" si="564"/>
        <v>4</v>
      </c>
      <c r="BY87" s="598">
        <f t="shared" si="564"/>
        <v>5</v>
      </c>
      <c r="BZ87" s="598">
        <f t="shared" si="564"/>
        <v>6</v>
      </c>
      <c r="CA87" s="598">
        <f t="shared" si="564"/>
        <v>7</v>
      </c>
      <c r="CB87" s="598">
        <f t="shared" si="564"/>
        <v>8</v>
      </c>
      <c r="CC87" s="598">
        <f t="shared" si="564"/>
        <v>9</v>
      </c>
      <c r="CD87" s="598">
        <f t="shared" si="564"/>
        <v>10</v>
      </c>
      <c r="CE87" s="598">
        <f t="shared" si="564"/>
        <v>11</v>
      </c>
    </row>
    <row r="89" spans="1:95">
      <c r="A89" s="598" t="s">
        <v>77</v>
      </c>
      <c r="B89" s="598" t="s">
        <v>81</v>
      </c>
      <c r="C89" s="598" t="s">
        <v>81</v>
      </c>
      <c r="D89" s="598" t="s">
        <v>81</v>
      </c>
      <c r="E89" s="598" t="s">
        <v>81</v>
      </c>
      <c r="F89" s="598" t="s">
        <v>81</v>
      </c>
      <c r="G89" s="598" t="s">
        <v>81</v>
      </c>
      <c r="H89" s="598" t="s">
        <v>81</v>
      </c>
      <c r="I89" s="598" t="s">
        <v>81</v>
      </c>
      <c r="J89" s="598" t="s">
        <v>81</v>
      </c>
      <c r="K89" s="598" t="s">
        <v>81</v>
      </c>
      <c r="M89" s="598" t="s">
        <v>78</v>
      </c>
      <c r="N89" s="598" t="s">
        <v>81</v>
      </c>
      <c r="O89" s="598" t="s">
        <v>81</v>
      </c>
      <c r="P89" s="598" t="s">
        <v>81</v>
      </c>
      <c r="Q89" s="598" t="s">
        <v>81</v>
      </c>
      <c r="R89" s="598" t="s">
        <v>81</v>
      </c>
      <c r="S89" s="598" t="s">
        <v>81</v>
      </c>
      <c r="T89" s="598" t="s">
        <v>81</v>
      </c>
      <c r="U89" s="598" t="s">
        <v>81</v>
      </c>
      <c r="V89" s="598" t="s">
        <v>81</v>
      </c>
      <c r="W89" s="598" t="s">
        <v>81</v>
      </c>
      <c r="Y89" s="598" t="s">
        <v>79</v>
      </c>
      <c r="Z89" s="598" t="s">
        <v>81</v>
      </c>
      <c r="AA89" s="598" t="s">
        <v>81</v>
      </c>
      <c r="AB89" s="598" t="s">
        <v>81</v>
      </c>
      <c r="AC89" s="598" t="s">
        <v>81</v>
      </c>
      <c r="AD89" s="598" t="s">
        <v>81</v>
      </c>
      <c r="AE89" s="598" t="s">
        <v>81</v>
      </c>
      <c r="AF89" s="598" t="s">
        <v>81</v>
      </c>
      <c r="AG89" s="598" t="s">
        <v>81</v>
      </c>
      <c r="AH89" s="598" t="s">
        <v>81</v>
      </c>
      <c r="AI89" s="598" t="s">
        <v>81</v>
      </c>
      <c r="AK89" s="598" t="s">
        <v>80</v>
      </c>
      <c r="AL89" s="598" t="s">
        <v>81</v>
      </c>
      <c r="AM89" s="598" t="s">
        <v>81</v>
      </c>
      <c r="AN89" s="598" t="s">
        <v>81</v>
      </c>
      <c r="AO89" s="598" t="s">
        <v>81</v>
      </c>
      <c r="AP89" s="598" t="s">
        <v>81</v>
      </c>
      <c r="AQ89" s="598" t="s">
        <v>81</v>
      </c>
      <c r="AR89" s="598" t="s">
        <v>81</v>
      </c>
      <c r="AS89" s="598" t="s">
        <v>81</v>
      </c>
      <c r="AT89" s="598" t="s">
        <v>81</v>
      </c>
      <c r="AU89" s="598" t="s">
        <v>81</v>
      </c>
      <c r="AW89" s="598" t="s">
        <v>2461</v>
      </c>
      <c r="AX89" s="598" t="s">
        <v>81</v>
      </c>
      <c r="AY89" s="598" t="s">
        <v>81</v>
      </c>
      <c r="AZ89" s="598" t="s">
        <v>81</v>
      </c>
      <c r="BA89" s="598" t="s">
        <v>81</v>
      </c>
      <c r="BB89" s="598" t="s">
        <v>81</v>
      </c>
      <c r="BC89" s="598" t="s">
        <v>81</v>
      </c>
      <c r="BD89" s="598" t="s">
        <v>81</v>
      </c>
      <c r="BE89" s="598" t="s">
        <v>81</v>
      </c>
      <c r="BF89" s="598" t="s">
        <v>81</v>
      </c>
      <c r="BG89" s="598" t="s">
        <v>81</v>
      </c>
      <c r="BI89" s="598" t="s">
        <v>4799</v>
      </c>
      <c r="BJ89" s="598" t="s">
        <v>81</v>
      </c>
      <c r="BK89" s="598" t="s">
        <v>81</v>
      </c>
      <c r="BL89" s="598" t="s">
        <v>81</v>
      </c>
      <c r="BM89" s="598" t="s">
        <v>81</v>
      </c>
      <c r="BN89" s="598" t="s">
        <v>81</v>
      </c>
      <c r="BO89" s="598" t="s">
        <v>81</v>
      </c>
      <c r="BP89" s="598" t="s">
        <v>81</v>
      </c>
      <c r="BQ89" s="598" t="s">
        <v>81</v>
      </c>
      <c r="BR89" s="598" t="s">
        <v>81</v>
      </c>
      <c r="BS89" s="598" t="s">
        <v>81</v>
      </c>
      <c r="BU89" s="598" t="s">
        <v>2025</v>
      </c>
      <c r="BV89" s="598" t="s">
        <v>81</v>
      </c>
      <c r="BW89" s="598" t="s">
        <v>81</v>
      </c>
      <c r="BX89" s="598" t="s">
        <v>81</v>
      </c>
      <c r="BY89" s="598" t="s">
        <v>81</v>
      </c>
      <c r="BZ89" s="598" t="s">
        <v>81</v>
      </c>
      <c r="CA89" s="598" t="s">
        <v>81</v>
      </c>
      <c r="CB89" s="598" t="s">
        <v>81</v>
      </c>
      <c r="CC89" s="598" t="s">
        <v>81</v>
      </c>
      <c r="CD89" s="598" t="s">
        <v>81</v>
      </c>
      <c r="CE89" s="598" t="s">
        <v>81</v>
      </c>
      <c r="CG89" s="598" t="s">
        <v>3569</v>
      </c>
      <c r="CH89" s="598" t="s">
        <v>81</v>
      </c>
      <c r="CI89" s="598" t="s">
        <v>81</v>
      </c>
      <c r="CJ89" s="598" t="s">
        <v>81</v>
      </c>
      <c r="CK89" s="598" t="s">
        <v>81</v>
      </c>
      <c r="CL89" s="598" t="s">
        <v>81</v>
      </c>
      <c r="CM89" s="598" t="s">
        <v>81</v>
      </c>
      <c r="CN89" s="598" t="s">
        <v>81</v>
      </c>
      <c r="CO89" s="598" t="s">
        <v>81</v>
      </c>
      <c r="CP89" s="598" t="s">
        <v>81</v>
      </c>
      <c r="CQ89" s="598" t="s">
        <v>81</v>
      </c>
    </row>
    <row r="90" spans="1:95">
      <c r="B90" s="598">
        <v>1</v>
      </c>
      <c r="C90" s="598">
        <v>2</v>
      </c>
      <c r="D90" s="598">
        <v>3</v>
      </c>
      <c r="F90" s="598">
        <v>5</v>
      </c>
      <c r="G90" s="598">
        <v>6</v>
      </c>
      <c r="H90" s="598">
        <v>7</v>
      </c>
      <c r="I90" s="598">
        <v>8</v>
      </c>
      <c r="J90" s="598">
        <v>9</v>
      </c>
      <c r="K90" s="598">
        <v>10</v>
      </c>
      <c r="N90" s="598">
        <v>1</v>
      </c>
      <c r="O90" s="598">
        <v>2</v>
      </c>
      <c r="P90" s="598">
        <v>3</v>
      </c>
      <c r="Q90" s="598">
        <v>4</v>
      </c>
      <c r="R90" s="598">
        <v>5</v>
      </c>
      <c r="S90" s="598">
        <v>6</v>
      </c>
      <c r="T90" s="598">
        <v>7</v>
      </c>
      <c r="U90" s="598">
        <v>8</v>
      </c>
      <c r="V90" s="598">
        <v>9</v>
      </c>
      <c r="W90" s="598">
        <v>10</v>
      </c>
      <c r="Z90" s="598">
        <v>1</v>
      </c>
      <c r="AA90" s="598">
        <v>2</v>
      </c>
      <c r="AB90" s="598">
        <v>3</v>
      </c>
      <c r="AC90" s="598">
        <v>4</v>
      </c>
      <c r="AD90" s="598">
        <v>5</v>
      </c>
      <c r="AE90" s="598">
        <v>6</v>
      </c>
      <c r="AF90" s="598">
        <v>7</v>
      </c>
      <c r="AG90" s="598">
        <v>8</v>
      </c>
      <c r="AH90" s="598">
        <v>9</v>
      </c>
      <c r="AI90" s="598">
        <v>10</v>
      </c>
      <c r="AL90" s="598">
        <v>1</v>
      </c>
      <c r="AM90" s="598">
        <v>2</v>
      </c>
      <c r="AN90" s="598">
        <v>3</v>
      </c>
      <c r="AO90" s="598">
        <v>4</v>
      </c>
      <c r="AP90" s="598">
        <v>5</v>
      </c>
      <c r="AQ90" s="598">
        <v>6</v>
      </c>
      <c r="AR90" s="598">
        <v>7</v>
      </c>
      <c r="AS90" s="598">
        <v>8</v>
      </c>
      <c r="AT90" s="598">
        <v>9</v>
      </c>
      <c r="AU90" s="598">
        <v>10</v>
      </c>
      <c r="AX90" s="598">
        <v>1</v>
      </c>
      <c r="AY90" s="598">
        <v>2</v>
      </c>
      <c r="AZ90" s="598">
        <v>3</v>
      </c>
      <c r="BA90" s="598">
        <v>4</v>
      </c>
      <c r="BB90" s="598">
        <v>5</v>
      </c>
      <c r="BC90" s="598">
        <v>6</v>
      </c>
      <c r="BD90" s="598">
        <v>7</v>
      </c>
      <c r="BE90" s="598">
        <v>8</v>
      </c>
      <c r="BF90" s="598">
        <v>9</v>
      </c>
      <c r="BG90" s="598">
        <v>10</v>
      </c>
      <c r="BJ90" s="598">
        <v>1</v>
      </c>
      <c r="BK90" s="598">
        <v>2</v>
      </c>
      <c r="BL90" s="598">
        <v>3</v>
      </c>
      <c r="BM90" s="598">
        <v>4</v>
      </c>
      <c r="BN90" s="598">
        <v>5</v>
      </c>
      <c r="BO90" s="598">
        <v>6</v>
      </c>
      <c r="BP90" s="598">
        <v>7</v>
      </c>
      <c r="BQ90" s="598">
        <v>8</v>
      </c>
      <c r="BR90" s="598">
        <v>9</v>
      </c>
      <c r="BS90" s="598">
        <v>10</v>
      </c>
      <c r="BV90" s="598">
        <v>1</v>
      </c>
      <c r="BW90" s="598">
        <v>2</v>
      </c>
      <c r="BX90" s="598">
        <v>3</v>
      </c>
      <c r="BY90" s="598">
        <v>4</v>
      </c>
      <c r="BZ90" s="598">
        <v>5</v>
      </c>
      <c r="CA90" s="598">
        <v>6</v>
      </c>
      <c r="CB90" s="598">
        <v>7</v>
      </c>
      <c r="CC90" s="598">
        <v>8</v>
      </c>
      <c r="CD90" s="598">
        <v>9</v>
      </c>
      <c r="CE90" s="598">
        <v>10</v>
      </c>
      <c r="CH90" s="598">
        <v>1</v>
      </c>
      <c r="CI90" s="598">
        <v>2</v>
      </c>
      <c r="CJ90" s="598">
        <v>3</v>
      </c>
      <c r="CK90" s="598">
        <v>4</v>
      </c>
      <c r="CL90" s="598">
        <v>5</v>
      </c>
      <c r="CM90" s="598">
        <v>6</v>
      </c>
      <c r="CN90" s="598">
        <v>7</v>
      </c>
      <c r="CO90" s="598">
        <v>8</v>
      </c>
      <c r="CP90" s="598">
        <v>9</v>
      </c>
      <c r="CQ90" s="598">
        <v>10</v>
      </c>
    </row>
    <row r="91" spans="1:95">
      <c r="A91" s="598" t="s">
        <v>2341</v>
      </c>
      <c r="B91" s="598">
        <f t="shared" ref="B91:K91" si="565">B$90+$AG171</f>
        <v>-2</v>
      </c>
      <c r="C91" s="598">
        <f t="shared" si="565"/>
        <v>-1</v>
      </c>
      <c r="D91" s="598">
        <f t="shared" si="565"/>
        <v>0</v>
      </c>
      <c r="E91" s="598">
        <f t="shared" si="565"/>
        <v>-3</v>
      </c>
      <c r="F91" s="598">
        <f t="shared" si="565"/>
        <v>2</v>
      </c>
      <c r="G91" s="598">
        <f t="shared" si="565"/>
        <v>3</v>
      </c>
      <c r="H91" s="598">
        <f t="shared" si="565"/>
        <v>4</v>
      </c>
      <c r="I91" s="598">
        <f t="shared" si="565"/>
        <v>5</v>
      </c>
      <c r="J91" s="598">
        <f t="shared" si="565"/>
        <v>6</v>
      </c>
      <c r="K91" s="598">
        <f t="shared" si="565"/>
        <v>7</v>
      </c>
      <c r="M91" s="598" t="s">
        <v>2341</v>
      </c>
      <c r="N91" s="598">
        <f t="shared" ref="N91:W91" si="566">N$90+$AI171</f>
        <v>1</v>
      </c>
      <c r="O91" s="598">
        <f t="shared" si="566"/>
        <v>2</v>
      </c>
      <c r="P91" s="598">
        <f t="shared" si="566"/>
        <v>3</v>
      </c>
      <c r="Q91" s="598">
        <f t="shared" si="566"/>
        <v>4</v>
      </c>
      <c r="R91" s="598">
        <f t="shared" si="566"/>
        <v>5</v>
      </c>
      <c r="S91" s="598">
        <f t="shared" si="566"/>
        <v>6</v>
      </c>
      <c r="T91" s="598">
        <f t="shared" si="566"/>
        <v>7</v>
      </c>
      <c r="U91" s="598">
        <f t="shared" si="566"/>
        <v>8</v>
      </c>
      <c r="V91" s="598">
        <f t="shared" si="566"/>
        <v>9</v>
      </c>
      <c r="W91" s="598">
        <f t="shared" si="566"/>
        <v>10</v>
      </c>
      <c r="Y91" s="598" t="s">
        <v>2341</v>
      </c>
      <c r="Z91" s="598">
        <f t="shared" ref="Z91:AI91" si="567">Z$90+$AK171</f>
        <v>-1</v>
      </c>
      <c r="AA91" s="598">
        <f t="shared" si="567"/>
        <v>0</v>
      </c>
      <c r="AB91" s="598">
        <f t="shared" si="567"/>
        <v>1</v>
      </c>
      <c r="AC91" s="598">
        <f t="shared" si="567"/>
        <v>2</v>
      </c>
      <c r="AD91" s="598">
        <f t="shared" si="567"/>
        <v>3</v>
      </c>
      <c r="AE91" s="598">
        <f t="shared" si="567"/>
        <v>4</v>
      </c>
      <c r="AF91" s="598">
        <f t="shared" si="567"/>
        <v>5</v>
      </c>
      <c r="AG91" s="598">
        <f t="shared" si="567"/>
        <v>6</v>
      </c>
      <c r="AH91" s="598">
        <f t="shared" si="567"/>
        <v>7</v>
      </c>
      <c r="AI91" s="598">
        <f t="shared" si="567"/>
        <v>8</v>
      </c>
      <c r="AK91" s="598" t="s">
        <v>2341</v>
      </c>
      <c r="AL91" s="598">
        <f t="shared" ref="AL91:AU91" si="568">AL$90+$AM171</f>
        <v>-1</v>
      </c>
      <c r="AM91" s="598">
        <f t="shared" si="568"/>
        <v>0</v>
      </c>
      <c r="AN91" s="598">
        <f t="shared" si="568"/>
        <v>1</v>
      </c>
      <c r="AO91" s="598">
        <f t="shared" si="568"/>
        <v>2</v>
      </c>
      <c r="AP91" s="598">
        <f t="shared" si="568"/>
        <v>3</v>
      </c>
      <c r="AQ91" s="598">
        <f t="shared" si="568"/>
        <v>4</v>
      </c>
      <c r="AR91" s="598">
        <f t="shared" si="568"/>
        <v>5</v>
      </c>
      <c r="AS91" s="598">
        <f t="shared" si="568"/>
        <v>6</v>
      </c>
      <c r="AT91" s="598">
        <f t="shared" si="568"/>
        <v>7</v>
      </c>
      <c r="AU91" s="598">
        <f t="shared" si="568"/>
        <v>8</v>
      </c>
      <c r="AW91" s="598" t="s">
        <v>2341</v>
      </c>
      <c r="AX91" s="598">
        <f t="shared" ref="AX91:BG91" si="569">AX$68+$BC171</f>
        <v>0</v>
      </c>
      <c r="AY91" s="598">
        <f t="shared" si="569"/>
        <v>1</v>
      </c>
      <c r="AZ91" s="598">
        <f t="shared" si="569"/>
        <v>2</v>
      </c>
      <c r="BA91" s="598">
        <f t="shared" si="569"/>
        <v>3</v>
      </c>
      <c r="BB91" s="598">
        <f t="shared" si="569"/>
        <v>4</v>
      </c>
      <c r="BC91" s="598">
        <f t="shared" si="569"/>
        <v>5</v>
      </c>
      <c r="BD91" s="598">
        <f t="shared" si="569"/>
        <v>6</v>
      </c>
      <c r="BE91" s="598">
        <f t="shared" si="569"/>
        <v>7</v>
      </c>
      <c r="BF91" s="598">
        <f t="shared" si="569"/>
        <v>8</v>
      </c>
      <c r="BG91" s="598">
        <f t="shared" si="569"/>
        <v>9</v>
      </c>
      <c r="BI91" s="598" t="s">
        <v>2341</v>
      </c>
      <c r="BJ91" s="598">
        <f t="shared" ref="BJ91:BS91" si="570">BJ$68+$BG171</f>
        <v>1</v>
      </c>
      <c r="BK91" s="598">
        <f t="shared" si="570"/>
        <v>2</v>
      </c>
      <c r="BL91" s="598">
        <f t="shared" si="570"/>
        <v>3</v>
      </c>
      <c r="BM91" s="598">
        <f t="shared" si="570"/>
        <v>4</v>
      </c>
      <c r="BN91" s="598">
        <f t="shared" si="570"/>
        <v>5</v>
      </c>
      <c r="BO91" s="598">
        <f t="shared" si="570"/>
        <v>6</v>
      </c>
      <c r="BP91" s="598">
        <f t="shared" si="570"/>
        <v>7</v>
      </c>
      <c r="BQ91" s="598">
        <f t="shared" si="570"/>
        <v>8</v>
      </c>
      <c r="BR91" s="598">
        <f t="shared" si="570"/>
        <v>9</v>
      </c>
      <c r="BS91" s="598">
        <f t="shared" si="570"/>
        <v>10</v>
      </c>
      <c r="BU91" s="598" t="s">
        <v>2341</v>
      </c>
      <c r="BV91" s="598">
        <f t="shared" ref="BV91:CE91" si="571">BV$68+$BI171</f>
        <v>1</v>
      </c>
      <c r="BW91" s="598">
        <f t="shared" si="571"/>
        <v>2</v>
      </c>
      <c r="BX91" s="598">
        <f t="shared" si="571"/>
        <v>3</v>
      </c>
      <c r="BY91" s="598">
        <f t="shared" si="571"/>
        <v>4</v>
      </c>
      <c r="BZ91" s="598">
        <f t="shared" si="571"/>
        <v>5</v>
      </c>
      <c r="CA91" s="598">
        <f t="shared" si="571"/>
        <v>6</v>
      </c>
      <c r="CB91" s="598">
        <f t="shared" si="571"/>
        <v>7</v>
      </c>
      <c r="CC91" s="598">
        <f t="shared" si="571"/>
        <v>8</v>
      </c>
      <c r="CD91" s="598">
        <f t="shared" si="571"/>
        <v>9</v>
      </c>
      <c r="CE91" s="598">
        <f t="shared" si="571"/>
        <v>10</v>
      </c>
      <c r="CG91" s="598" t="s">
        <v>2341</v>
      </c>
      <c r="CH91" s="598">
        <f t="shared" ref="CH91:CQ91" si="572">CH$90+$BM171</f>
        <v>-1</v>
      </c>
      <c r="CI91" s="598">
        <f t="shared" si="572"/>
        <v>0</v>
      </c>
      <c r="CJ91" s="598">
        <f t="shared" si="572"/>
        <v>1</v>
      </c>
      <c r="CK91" s="598">
        <f t="shared" si="572"/>
        <v>2</v>
      </c>
      <c r="CL91" s="598">
        <f t="shared" si="572"/>
        <v>3</v>
      </c>
      <c r="CM91" s="598">
        <f t="shared" si="572"/>
        <v>4</v>
      </c>
      <c r="CN91" s="598">
        <f t="shared" si="572"/>
        <v>5</v>
      </c>
      <c r="CO91" s="598">
        <f t="shared" si="572"/>
        <v>6</v>
      </c>
      <c r="CP91" s="598">
        <f t="shared" si="572"/>
        <v>7</v>
      </c>
      <c r="CQ91" s="598">
        <f t="shared" si="572"/>
        <v>8</v>
      </c>
    </row>
    <row r="92" spans="1:95">
      <c r="A92" s="598" t="s">
        <v>3268</v>
      </c>
      <c r="B92" s="598">
        <f t="shared" ref="B92:K92" si="573">B$90+$AG172</f>
        <v>1</v>
      </c>
      <c r="C92" s="598">
        <f t="shared" si="573"/>
        <v>2</v>
      </c>
      <c r="D92" s="598">
        <f t="shared" si="573"/>
        <v>3</v>
      </c>
      <c r="E92" s="598">
        <f t="shared" si="573"/>
        <v>0</v>
      </c>
      <c r="F92" s="598">
        <f t="shared" si="573"/>
        <v>5</v>
      </c>
      <c r="G92" s="598">
        <f t="shared" si="573"/>
        <v>6</v>
      </c>
      <c r="H92" s="598">
        <f t="shared" si="573"/>
        <v>7</v>
      </c>
      <c r="I92" s="598">
        <f t="shared" si="573"/>
        <v>8</v>
      </c>
      <c r="J92" s="598">
        <f t="shared" si="573"/>
        <v>9</v>
      </c>
      <c r="K92" s="598">
        <f t="shared" si="573"/>
        <v>10</v>
      </c>
      <c r="M92" s="598" t="s">
        <v>3268</v>
      </c>
      <c r="N92" s="598">
        <f t="shared" ref="N92:W92" si="574">N$90+$AI172</f>
        <v>-2</v>
      </c>
      <c r="O92" s="598">
        <f t="shared" si="574"/>
        <v>-1</v>
      </c>
      <c r="P92" s="598">
        <f t="shared" si="574"/>
        <v>0</v>
      </c>
      <c r="Q92" s="598">
        <f t="shared" si="574"/>
        <v>1</v>
      </c>
      <c r="R92" s="598">
        <f t="shared" si="574"/>
        <v>2</v>
      </c>
      <c r="S92" s="598">
        <f t="shared" si="574"/>
        <v>3</v>
      </c>
      <c r="T92" s="598">
        <f t="shared" si="574"/>
        <v>4</v>
      </c>
      <c r="U92" s="598">
        <f t="shared" si="574"/>
        <v>5</v>
      </c>
      <c r="V92" s="598">
        <f t="shared" si="574"/>
        <v>6</v>
      </c>
      <c r="W92" s="598">
        <f t="shared" si="574"/>
        <v>7</v>
      </c>
      <c r="Y92" s="598" t="s">
        <v>3268</v>
      </c>
      <c r="Z92" s="598">
        <f t="shared" ref="Z92:AI92" si="575">Z$90+$AK172</f>
        <v>-1</v>
      </c>
      <c r="AA92" s="598">
        <f t="shared" si="575"/>
        <v>0</v>
      </c>
      <c r="AB92" s="598">
        <f t="shared" si="575"/>
        <v>1</v>
      </c>
      <c r="AC92" s="598">
        <f t="shared" si="575"/>
        <v>2</v>
      </c>
      <c r="AD92" s="598">
        <f t="shared" si="575"/>
        <v>3</v>
      </c>
      <c r="AE92" s="598">
        <f t="shared" si="575"/>
        <v>4</v>
      </c>
      <c r="AF92" s="598">
        <f t="shared" si="575"/>
        <v>5</v>
      </c>
      <c r="AG92" s="598">
        <f t="shared" si="575"/>
        <v>6</v>
      </c>
      <c r="AH92" s="598">
        <f t="shared" si="575"/>
        <v>7</v>
      </c>
      <c r="AI92" s="598">
        <f t="shared" si="575"/>
        <v>8</v>
      </c>
      <c r="AK92" s="598" t="s">
        <v>3268</v>
      </c>
      <c r="AL92" s="598">
        <f t="shared" ref="AL92:AU92" si="576">AL$90+$AM172</f>
        <v>-1</v>
      </c>
      <c r="AM92" s="598">
        <f t="shared" si="576"/>
        <v>0</v>
      </c>
      <c r="AN92" s="598">
        <f t="shared" si="576"/>
        <v>1</v>
      </c>
      <c r="AO92" s="598">
        <f t="shared" si="576"/>
        <v>2</v>
      </c>
      <c r="AP92" s="598">
        <f t="shared" si="576"/>
        <v>3</v>
      </c>
      <c r="AQ92" s="598">
        <f t="shared" si="576"/>
        <v>4</v>
      </c>
      <c r="AR92" s="598">
        <f t="shared" si="576"/>
        <v>5</v>
      </c>
      <c r="AS92" s="598">
        <f t="shared" si="576"/>
        <v>6</v>
      </c>
      <c r="AT92" s="598">
        <f t="shared" si="576"/>
        <v>7</v>
      </c>
      <c r="AU92" s="598">
        <f t="shared" si="576"/>
        <v>8</v>
      </c>
      <c r="AW92" s="598" t="s">
        <v>3268</v>
      </c>
      <c r="AX92" s="598">
        <f t="shared" ref="AX92:BG92" si="577">AX$68+$BC172</f>
        <v>3</v>
      </c>
      <c r="AY92" s="598">
        <f t="shared" si="577"/>
        <v>4</v>
      </c>
      <c r="AZ92" s="598">
        <f t="shared" si="577"/>
        <v>5</v>
      </c>
      <c r="BA92" s="598">
        <f t="shared" si="577"/>
        <v>6</v>
      </c>
      <c r="BB92" s="598">
        <f t="shared" si="577"/>
        <v>7</v>
      </c>
      <c r="BC92" s="598">
        <f t="shared" si="577"/>
        <v>8</v>
      </c>
      <c r="BD92" s="598">
        <f t="shared" si="577"/>
        <v>9</v>
      </c>
      <c r="BE92" s="598">
        <f t="shared" si="577"/>
        <v>10</v>
      </c>
      <c r="BF92" s="598">
        <f t="shared" si="577"/>
        <v>11</v>
      </c>
      <c r="BG92" s="598">
        <f t="shared" si="577"/>
        <v>12</v>
      </c>
      <c r="BI92" s="598" t="s">
        <v>3268</v>
      </c>
      <c r="BJ92" s="598">
        <f t="shared" ref="BJ92:BS92" si="578">BJ$68+$BG172</f>
        <v>1</v>
      </c>
      <c r="BK92" s="598">
        <f t="shared" si="578"/>
        <v>2</v>
      </c>
      <c r="BL92" s="598">
        <f t="shared" si="578"/>
        <v>3</v>
      </c>
      <c r="BM92" s="598">
        <f t="shared" si="578"/>
        <v>4</v>
      </c>
      <c r="BN92" s="598">
        <f t="shared" si="578"/>
        <v>5</v>
      </c>
      <c r="BO92" s="598">
        <f t="shared" si="578"/>
        <v>6</v>
      </c>
      <c r="BP92" s="598">
        <f t="shared" si="578"/>
        <v>7</v>
      </c>
      <c r="BQ92" s="598">
        <f t="shared" si="578"/>
        <v>8</v>
      </c>
      <c r="BR92" s="598">
        <f t="shared" si="578"/>
        <v>9</v>
      </c>
      <c r="BS92" s="598">
        <f t="shared" si="578"/>
        <v>10</v>
      </c>
      <c r="BU92" s="598" t="s">
        <v>3268</v>
      </c>
      <c r="BV92" s="598">
        <f t="shared" ref="BV92:CE92" si="579">BV$68+$BI172</f>
        <v>4</v>
      </c>
      <c r="BW92" s="598">
        <f t="shared" si="579"/>
        <v>5</v>
      </c>
      <c r="BX92" s="598">
        <f t="shared" si="579"/>
        <v>6</v>
      </c>
      <c r="BY92" s="598">
        <f t="shared" si="579"/>
        <v>7</v>
      </c>
      <c r="BZ92" s="598">
        <f t="shared" si="579"/>
        <v>8</v>
      </c>
      <c r="CA92" s="598">
        <f t="shared" si="579"/>
        <v>9</v>
      </c>
      <c r="CB92" s="598">
        <f t="shared" si="579"/>
        <v>10</v>
      </c>
      <c r="CC92" s="598">
        <f t="shared" si="579"/>
        <v>11</v>
      </c>
      <c r="CD92" s="598">
        <f t="shared" si="579"/>
        <v>12</v>
      </c>
      <c r="CE92" s="598">
        <f t="shared" si="579"/>
        <v>13</v>
      </c>
      <c r="CG92" s="598" t="s">
        <v>3268</v>
      </c>
      <c r="CH92" s="598">
        <f t="shared" ref="CH92:CQ92" si="580">CH$90+$BM172</f>
        <v>-1</v>
      </c>
      <c r="CI92" s="598">
        <f t="shared" si="580"/>
        <v>0</v>
      </c>
      <c r="CJ92" s="598">
        <f t="shared" si="580"/>
        <v>1</v>
      </c>
      <c r="CK92" s="598">
        <f t="shared" si="580"/>
        <v>2</v>
      </c>
      <c r="CL92" s="598">
        <f t="shared" si="580"/>
        <v>3</v>
      </c>
      <c r="CM92" s="598">
        <f t="shared" si="580"/>
        <v>4</v>
      </c>
      <c r="CN92" s="598">
        <f t="shared" si="580"/>
        <v>5</v>
      </c>
      <c r="CO92" s="598">
        <f t="shared" si="580"/>
        <v>6</v>
      </c>
      <c r="CP92" s="598">
        <f t="shared" si="580"/>
        <v>7</v>
      </c>
      <c r="CQ92" s="598">
        <f t="shared" si="580"/>
        <v>8</v>
      </c>
    </row>
    <row r="93" spans="1:95">
      <c r="A93" s="598" t="s">
        <v>2342</v>
      </c>
      <c r="B93" s="598">
        <f t="shared" ref="B93:K93" si="581">B$90+$AG173</f>
        <v>-1</v>
      </c>
      <c r="C93" s="598">
        <f t="shared" si="581"/>
        <v>0</v>
      </c>
      <c r="D93" s="598">
        <f t="shared" si="581"/>
        <v>1</v>
      </c>
      <c r="E93" s="598">
        <f t="shared" si="581"/>
        <v>-2</v>
      </c>
      <c r="F93" s="598">
        <f t="shared" si="581"/>
        <v>3</v>
      </c>
      <c r="G93" s="598">
        <f t="shared" si="581"/>
        <v>4</v>
      </c>
      <c r="H93" s="598">
        <f t="shared" si="581"/>
        <v>5</v>
      </c>
      <c r="I93" s="598">
        <f t="shared" si="581"/>
        <v>6</v>
      </c>
      <c r="J93" s="598">
        <f t="shared" si="581"/>
        <v>7</v>
      </c>
      <c r="K93" s="598">
        <f t="shared" si="581"/>
        <v>8</v>
      </c>
      <c r="M93" s="598" t="s">
        <v>2342</v>
      </c>
      <c r="N93" s="598">
        <f t="shared" ref="N93:W93" si="582">N$90+$AI173</f>
        <v>-1</v>
      </c>
      <c r="O93" s="598">
        <f t="shared" si="582"/>
        <v>0</v>
      </c>
      <c r="P93" s="598">
        <f t="shared" si="582"/>
        <v>1</v>
      </c>
      <c r="Q93" s="598">
        <f t="shared" si="582"/>
        <v>2</v>
      </c>
      <c r="R93" s="598">
        <f t="shared" si="582"/>
        <v>3</v>
      </c>
      <c r="S93" s="598">
        <f t="shared" si="582"/>
        <v>4</v>
      </c>
      <c r="T93" s="598">
        <f t="shared" si="582"/>
        <v>5</v>
      </c>
      <c r="U93" s="598">
        <f t="shared" si="582"/>
        <v>6</v>
      </c>
      <c r="V93" s="598">
        <f t="shared" si="582"/>
        <v>7</v>
      </c>
      <c r="W93" s="598">
        <f t="shared" si="582"/>
        <v>8</v>
      </c>
      <c r="Y93" s="598" t="s">
        <v>2342</v>
      </c>
      <c r="Z93" s="598">
        <f t="shared" ref="Z93:AI93" si="583">Z$90+$AK173</f>
        <v>-2</v>
      </c>
      <c r="AA93" s="598">
        <f t="shared" si="583"/>
        <v>-1</v>
      </c>
      <c r="AB93" s="598">
        <f t="shared" si="583"/>
        <v>0</v>
      </c>
      <c r="AC93" s="598">
        <f t="shared" si="583"/>
        <v>1</v>
      </c>
      <c r="AD93" s="598">
        <f t="shared" si="583"/>
        <v>2</v>
      </c>
      <c r="AE93" s="598">
        <f t="shared" si="583"/>
        <v>3</v>
      </c>
      <c r="AF93" s="598">
        <f t="shared" si="583"/>
        <v>4</v>
      </c>
      <c r="AG93" s="598">
        <f t="shared" si="583"/>
        <v>5</v>
      </c>
      <c r="AH93" s="598">
        <f t="shared" si="583"/>
        <v>6</v>
      </c>
      <c r="AI93" s="598">
        <f t="shared" si="583"/>
        <v>7</v>
      </c>
      <c r="AK93" s="598" t="s">
        <v>2342</v>
      </c>
      <c r="AL93" s="598">
        <f t="shared" ref="AL93:AU93" si="584">AL$90+$AM173</f>
        <v>1</v>
      </c>
      <c r="AM93" s="598">
        <f t="shared" si="584"/>
        <v>2</v>
      </c>
      <c r="AN93" s="598">
        <f t="shared" si="584"/>
        <v>3</v>
      </c>
      <c r="AO93" s="598">
        <f t="shared" si="584"/>
        <v>4</v>
      </c>
      <c r="AP93" s="598">
        <f t="shared" si="584"/>
        <v>5</v>
      </c>
      <c r="AQ93" s="598">
        <f t="shared" si="584"/>
        <v>6</v>
      </c>
      <c r="AR93" s="598">
        <f t="shared" si="584"/>
        <v>7</v>
      </c>
      <c r="AS93" s="598">
        <f t="shared" si="584"/>
        <v>8</v>
      </c>
      <c r="AT93" s="598">
        <f t="shared" si="584"/>
        <v>9</v>
      </c>
      <c r="AU93" s="598">
        <f t="shared" si="584"/>
        <v>10</v>
      </c>
      <c r="AW93" s="598" t="s">
        <v>2342</v>
      </c>
      <c r="AX93" s="598">
        <f t="shared" ref="AX93:BG93" si="585">AX$68+$BC173</f>
        <v>1</v>
      </c>
      <c r="AY93" s="598">
        <f t="shared" si="585"/>
        <v>2</v>
      </c>
      <c r="AZ93" s="598">
        <f t="shared" si="585"/>
        <v>3</v>
      </c>
      <c r="BA93" s="598">
        <f t="shared" si="585"/>
        <v>4</v>
      </c>
      <c r="BB93" s="598">
        <f t="shared" si="585"/>
        <v>5</v>
      </c>
      <c r="BC93" s="598">
        <f t="shared" si="585"/>
        <v>6</v>
      </c>
      <c r="BD93" s="598">
        <f t="shared" si="585"/>
        <v>7</v>
      </c>
      <c r="BE93" s="598">
        <f t="shared" si="585"/>
        <v>8</v>
      </c>
      <c r="BF93" s="598">
        <f t="shared" si="585"/>
        <v>9</v>
      </c>
      <c r="BG93" s="598">
        <f t="shared" si="585"/>
        <v>10</v>
      </c>
      <c r="BI93" s="598" t="s">
        <v>2342</v>
      </c>
      <c r="BJ93" s="598">
        <f t="shared" ref="BJ93:BS93" si="586">BJ$68+$BG173</f>
        <v>1</v>
      </c>
      <c r="BK93" s="598">
        <f t="shared" si="586"/>
        <v>2</v>
      </c>
      <c r="BL93" s="598">
        <f t="shared" si="586"/>
        <v>3</v>
      </c>
      <c r="BM93" s="598">
        <f t="shared" si="586"/>
        <v>4</v>
      </c>
      <c r="BN93" s="598">
        <f t="shared" si="586"/>
        <v>5</v>
      </c>
      <c r="BO93" s="598">
        <f t="shared" si="586"/>
        <v>6</v>
      </c>
      <c r="BP93" s="598">
        <f t="shared" si="586"/>
        <v>7</v>
      </c>
      <c r="BQ93" s="598">
        <f t="shared" si="586"/>
        <v>8</v>
      </c>
      <c r="BR93" s="598">
        <f t="shared" si="586"/>
        <v>9</v>
      </c>
      <c r="BS93" s="598">
        <f t="shared" si="586"/>
        <v>10</v>
      </c>
      <c r="BU93" s="598" t="s">
        <v>2342</v>
      </c>
      <c r="BV93" s="598">
        <f t="shared" ref="BV93:CE93" si="587">BV$68+$BI173</f>
        <v>1</v>
      </c>
      <c r="BW93" s="598">
        <f t="shared" si="587"/>
        <v>2</v>
      </c>
      <c r="BX93" s="598">
        <f t="shared" si="587"/>
        <v>3</v>
      </c>
      <c r="BY93" s="598">
        <f t="shared" si="587"/>
        <v>4</v>
      </c>
      <c r="BZ93" s="598">
        <f t="shared" si="587"/>
        <v>5</v>
      </c>
      <c r="CA93" s="598">
        <f t="shared" si="587"/>
        <v>6</v>
      </c>
      <c r="CB93" s="598">
        <f t="shared" si="587"/>
        <v>7</v>
      </c>
      <c r="CC93" s="598">
        <f t="shared" si="587"/>
        <v>8</v>
      </c>
      <c r="CD93" s="598">
        <f t="shared" si="587"/>
        <v>9</v>
      </c>
      <c r="CE93" s="598">
        <f t="shared" si="587"/>
        <v>10</v>
      </c>
      <c r="CG93" s="598" t="s">
        <v>2342</v>
      </c>
      <c r="CH93" s="598">
        <f t="shared" ref="CH93:CQ93" si="588">CH$90+$BM173</f>
        <v>-1</v>
      </c>
      <c r="CI93" s="598">
        <f t="shared" si="588"/>
        <v>0</v>
      </c>
      <c r="CJ93" s="598">
        <f t="shared" si="588"/>
        <v>1</v>
      </c>
      <c r="CK93" s="598">
        <f t="shared" si="588"/>
        <v>2</v>
      </c>
      <c r="CL93" s="598">
        <f t="shared" si="588"/>
        <v>3</v>
      </c>
      <c r="CM93" s="598">
        <f t="shared" si="588"/>
        <v>4</v>
      </c>
      <c r="CN93" s="598">
        <f t="shared" si="588"/>
        <v>5</v>
      </c>
      <c r="CO93" s="598">
        <f t="shared" si="588"/>
        <v>6</v>
      </c>
      <c r="CP93" s="598">
        <f t="shared" si="588"/>
        <v>7</v>
      </c>
      <c r="CQ93" s="598">
        <f t="shared" si="588"/>
        <v>8</v>
      </c>
    </row>
    <row r="94" spans="1:95">
      <c r="A94" s="598" t="s">
        <v>2343</v>
      </c>
      <c r="B94" s="598">
        <f t="shared" ref="B94:K94" si="589">B$90+$AG174</f>
        <v>-1</v>
      </c>
      <c r="C94" s="598">
        <f t="shared" si="589"/>
        <v>0</v>
      </c>
      <c r="D94" s="598">
        <f t="shared" si="589"/>
        <v>1</v>
      </c>
      <c r="E94" s="598">
        <f t="shared" si="589"/>
        <v>-2</v>
      </c>
      <c r="F94" s="598">
        <f t="shared" si="589"/>
        <v>3</v>
      </c>
      <c r="G94" s="598">
        <f t="shared" si="589"/>
        <v>4</v>
      </c>
      <c r="H94" s="598">
        <f t="shared" si="589"/>
        <v>5</v>
      </c>
      <c r="I94" s="598">
        <f t="shared" si="589"/>
        <v>6</v>
      </c>
      <c r="J94" s="598">
        <f t="shared" si="589"/>
        <v>7</v>
      </c>
      <c r="K94" s="598">
        <f t="shared" si="589"/>
        <v>8</v>
      </c>
      <c r="M94" s="598" t="s">
        <v>2343</v>
      </c>
      <c r="N94" s="598">
        <f t="shared" ref="N94:W94" si="590">N$90+$AI174</f>
        <v>-1</v>
      </c>
      <c r="O94" s="598">
        <f t="shared" si="590"/>
        <v>0</v>
      </c>
      <c r="P94" s="598">
        <f t="shared" si="590"/>
        <v>1</v>
      </c>
      <c r="Q94" s="598">
        <f t="shared" si="590"/>
        <v>2</v>
      </c>
      <c r="R94" s="598">
        <f t="shared" si="590"/>
        <v>3</v>
      </c>
      <c r="S94" s="598">
        <f t="shared" si="590"/>
        <v>4</v>
      </c>
      <c r="T94" s="598">
        <f t="shared" si="590"/>
        <v>5</v>
      </c>
      <c r="U94" s="598">
        <f t="shared" si="590"/>
        <v>6</v>
      </c>
      <c r="V94" s="598">
        <f t="shared" si="590"/>
        <v>7</v>
      </c>
      <c r="W94" s="598">
        <f t="shared" si="590"/>
        <v>8</v>
      </c>
      <c r="Y94" s="598" t="s">
        <v>2343</v>
      </c>
      <c r="Z94" s="598">
        <f t="shared" ref="Z94:AI94" si="591">Z$90+$AK174</f>
        <v>1</v>
      </c>
      <c r="AA94" s="598">
        <f t="shared" si="591"/>
        <v>2</v>
      </c>
      <c r="AB94" s="598">
        <f t="shared" si="591"/>
        <v>3</v>
      </c>
      <c r="AC94" s="598">
        <f t="shared" si="591"/>
        <v>4</v>
      </c>
      <c r="AD94" s="598">
        <f t="shared" si="591"/>
        <v>5</v>
      </c>
      <c r="AE94" s="598">
        <f t="shared" si="591"/>
        <v>6</v>
      </c>
      <c r="AF94" s="598">
        <f t="shared" si="591"/>
        <v>7</v>
      </c>
      <c r="AG94" s="598">
        <f t="shared" si="591"/>
        <v>8</v>
      </c>
      <c r="AH94" s="598">
        <f t="shared" si="591"/>
        <v>9</v>
      </c>
      <c r="AI94" s="598">
        <f t="shared" si="591"/>
        <v>10</v>
      </c>
      <c r="AK94" s="598" t="s">
        <v>2343</v>
      </c>
      <c r="AL94" s="598">
        <f t="shared" ref="AL94:AU94" si="592">AL$90+$AM174</f>
        <v>-2</v>
      </c>
      <c r="AM94" s="598">
        <f t="shared" si="592"/>
        <v>-1</v>
      </c>
      <c r="AN94" s="598">
        <f t="shared" si="592"/>
        <v>0</v>
      </c>
      <c r="AO94" s="598">
        <f t="shared" si="592"/>
        <v>1</v>
      </c>
      <c r="AP94" s="598">
        <f t="shared" si="592"/>
        <v>2</v>
      </c>
      <c r="AQ94" s="598">
        <f t="shared" si="592"/>
        <v>3</v>
      </c>
      <c r="AR94" s="598">
        <f t="shared" si="592"/>
        <v>4</v>
      </c>
      <c r="AS94" s="598">
        <f t="shared" si="592"/>
        <v>5</v>
      </c>
      <c r="AT94" s="598">
        <f t="shared" si="592"/>
        <v>6</v>
      </c>
      <c r="AU94" s="598">
        <f t="shared" si="592"/>
        <v>7</v>
      </c>
      <c r="AW94" s="598" t="s">
        <v>2343</v>
      </c>
      <c r="AX94" s="598">
        <f t="shared" ref="AX94:BG94" si="593">AX$68+$BC174</f>
        <v>2</v>
      </c>
      <c r="AY94" s="598">
        <f t="shared" si="593"/>
        <v>3</v>
      </c>
      <c r="AZ94" s="598">
        <f t="shared" si="593"/>
        <v>4</v>
      </c>
      <c r="BA94" s="598">
        <f t="shared" si="593"/>
        <v>5</v>
      </c>
      <c r="BB94" s="598">
        <f t="shared" si="593"/>
        <v>6</v>
      </c>
      <c r="BC94" s="598">
        <f t="shared" si="593"/>
        <v>7</v>
      </c>
      <c r="BD94" s="598">
        <f t="shared" si="593"/>
        <v>8</v>
      </c>
      <c r="BE94" s="598">
        <f t="shared" si="593"/>
        <v>9</v>
      </c>
      <c r="BF94" s="598">
        <f t="shared" si="593"/>
        <v>10</v>
      </c>
      <c r="BG94" s="598">
        <f t="shared" si="593"/>
        <v>11</v>
      </c>
      <c r="BI94" s="598" t="s">
        <v>2343</v>
      </c>
      <c r="BJ94" s="598">
        <f t="shared" ref="BJ94:BS94" si="594">BJ$68+$BG174</f>
        <v>1</v>
      </c>
      <c r="BK94" s="598">
        <f t="shared" si="594"/>
        <v>2</v>
      </c>
      <c r="BL94" s="598">
        <f t="shared" si="594"/>
        <v>3</v>
      </c>
      <c r="BM94" s="598">
        <f t="shared" si="594"/>
        <v>4</v>
      </c>
      <c r="BN94" s="598">
        <f t="shared" si="594"/>
        <v>5</v>
      </c>
      <c r="BO94" s="598">
        <f t="shared" si="594"/>
        <v>6</v>
      </c>
      <c r="BP94" s="598">
        <f t="shared" si="594"/>
        <v>7</v>
      </c>
      <c r="BQ94" s="598">
        <f t="shared" si="594"/>
        <v>8</v>
      </c>
      <c r="BR94" s="598">
        <f t="shared" si="594"/>
        <v>9</v>
      </c>
      <c r="BS94" s="598">
        <f t="shared" si="594"/>
        <v>10</v>
      </c>
      <c r="BU94" s="598" t="s">
        <v>2343</v>
      </c>
      <c r="BV94" s="598">
        <f t="shared" ref="BV94:CE94" si="595">BV$68+$BI174</f>
        <v>3</v>
      </c>
      <c r="BW94" s="598">
        <f t="shared" si="595"/>
        <v>4</v>
      </c>
      <c r="BX94" s="598">
        <f t="shared" si="595"/>
        <v>5</v>
      </c>
      <c r="BY94" s="598">
        <f t="shared" si="595"/>
        <v>6</v>
      </c>
      <c r="BZ94" s="598">
        <f t="shared" si="595"/>
        <v>7</v>
      </c>
      <c r="CA94" s="598">
        <f t="shared" si="595"/>
        <v>8</v>
      </c>
      <c r="CB94" s="598">
        <f t="shared" si="595"/>
        <v>9</v>
      </c>
      <c r="CC94" s="598">
        <f t="shared" si="595"/>
        <v>10</v>
      </c>
      <c r="CD94" s="598">
        <f t="shared" si="595"/>
        <v>11</v>
      </c>
      <c r="CE94" s="598">
        <f t="shared" si="595"/>
        <v>12</v>
      </c>
      <c r="CG94" s="598" t="s">
        <v>2343</v>
      </c>
      <c r="CH94" s="598">
        <f t="shared" ref="CH94:CQ94" si="596">CH$90+$BM174</f>
        <v>-1</v>
      </c>
      <c r="CI94" s="598">
        <f t="shared" si="596"/>
        <v>0</v>
      </c>
      <c r="CJ94" s="598">
        <f t="shared" si="596"/>
        <v>1</v>
      </c>
      <c r="CK94" s="598">
        <f t="shared" si="596"/>
        <v>2</v>
      </c>
      <c r="CL94" s="598">
        <f t="shared" si="596"/>
        <v>3</v>
      </c>
      <c r="CM94" s="598">
        <f t="shared" si="596"/>
        <v>4</v>
      </c>
      <c r="CN94" s="598">
        <f t="shared" si="596"/>
        <v>5</v>
      </c>
      <c r="CO94" s="598">
        <f t="shared" si="596"/>
        <v>6</v>
      </c>
      <c r="CP94" s="598">
        <f t="shared" si="596"/>
        <v>7</v>
      </c>
      <c r="CQ94" s="598">
        <f t="shared" si="596"/>
        <v>8</v>
      </c>
    </row>
    <row r="95" spans="1:95">
      <c r="A95" s="598" t="s">
        <v>2344</v>
      </c>
      <c r="B95" s="598">
        <f t="shared" ref="B95:K95" si="597">B$90+$AG175</f>
        <v>2</v>
      </c>
      <c r="C95" s="598">
        <f t="shared" si="597"/>
        <v>3</v>
      </c>
      <c r="D95" s="598">
        <f t="shared" si="597"/>
        <v>4</v>
      </c>
      <c r="E95" s="598">
        <f t="shared" si="597"/>
        <v>1</v>
      </c>
      <c r="F95" s="598">
        <f t="shared" si="597"/>
        <v>6</v>
      </c>
      <c r="G95" s="598">
        <f t="shared" si="597"/>
        <v>7</v>
      </c>
      <c r="H95" s="598">
        <f t="shared" si="597"/>
        <v>8</v>
      </c>
      <c r="I95" s="598">
        <f t="shared" si="597"/>
        <v>9</v>
      </c>
      <c r="J95" s="598">
        <f t="shared" si="597"/>
        <v>10</v>
      </c>
      <c r="K95" s="598">
        <f t="shared" si="597"/>
        <v>11</v>
      </c>
      <c r="M95" s="598" t="s">
        <v>2344</v>
      </c>
      <c r="N95" s="598">
        <f t="shared" ref="N95:W95" si="598">N$90+$AI175</f>
        <v>2</v>
      </c>
      <c r="O95" s="598">
        <f t="shared" si="598"/>
        <v>3</v>
      </c>
      <c r="P95" s="598">
        <f t="shared" si="598"/>
        <v>4</v>
      </c>
      <c r="Q95" s="598">
        <f t="shared" si="598"/>
        <v>5</v>
      </c>
      <c r="R95" s="598">
        <f t="shared" si="598"/>
        <v>6</v>
      </c>
      <c r="S95" s="598">
        <f t="shared" si="598"/>
        <v>7</v>
      </c>
      <c r="T95" s="598">
        <f t="shared" si="598"/>
        <v>8</v>
      </c>
      <c r="U95" s="598">
        <f t="shared" si="598"/>
        <v>9</v>
      </c>
      <c r="V95" s="598">
        <f t="shared" si="598"/>
        <v>10</v>
      </c>
      <c r="W95" s="598">
        <f t="shared" si="598"/>
        <v>11</v>
      </c>
      <c r="Y95" s="598" t="s">
        <v>2344</v>
      </c>
      <c r="Z95" s="598">
        <f t="shared" ref="Z95:AI95" si="599">Z$90+$AK175</f>
        <v>2</v>
      </c>
      <c r="AA95" s="598">
        <f t="shared" si="599"/>
        <v>3</v>
      </c>
      <c r="AB95" s="598">
        <f t="shared" si="599"/>
        <v>4</v>
      </c>
      <c r="AC95" s="598">
        <f t="shared" si="599"/>
        <v>5</v>
      </c>
      <c r="AD95" s="598">
        <f t="shared" si="599"/>
        <v>6</v>
      </c>
      <c r="AE95" s="598">
        <f t="shared" si="599"/>
        <v>7</v>
      </c>
      <c r="AF95" s="598">
        <f t="shared" si="599"/>
        <v>8</v>
      </c>
      <c r="AG95" s="598">
        <f t="shared" si="599"/>
        <v>9</v>
      </c>
      <c r="AH95" s="598">
        <f t="shared" si="599"/>
        <v>10</v>
      </c>
      <c r="AI95" s="598">
        <f t="shared" si="599"/>
        <v>11</v>
      </c>
      <c r="AK95" s="598" t="s">
        <v>2344</v>
      </c>
      <c r="AL95" s="598">
        <f t="shared" ref="AL95:AU95" si="600">AL$90+$AM175</f>
        <v>4</v>
      </c>
      <c r="AM95" s="598">
        <f t="shared" si="600"/>
        <v>5</v>
      </c>
      <c r="AN95" s="598">
        <f t="shared" si="600"/>
        <v>6</v>
      </c>
      <c r="AO95" s="598">
        <f t="shared" si="600"/>
        <v>7</v>
      </c>
      <c r="AP95" s="598">
        <f t="shared" si="600"/>
        <v>8</v>
      </c>
      <c r="AQ95" s="598">
        <f t="shared" si="600"/>
        <v>9</v>
      </c>
      <c r="AR95" s="598">
        <f t="shared" si="600"/>
        <v>10</v>
      </c>
      <c r="AS95" s="598">
        <f t="shared" si="600"/>
        <v>11</v>
      </c>
      <c r="AT95" s="598">
        <f t="shared" si="600"/>
        <v>12</v>
      </c>
      <c r="AU95" s="598">
        <f t="shared" si="600"/>
        <v>13</v>
      </c>
      <c r="AW95" s="598" t="s">
        <v>2344</v>
      </c>
      <c r="AX95" s="598">
        <f t="shared" ref="AX95:BG95" si="601">AX$68+$BC175</f>
        <v>2</v>
      </c>
      <c r="AY95" s="598">
        <f t="shared" si="601"/>
        <v>3</v>
      </c>
      <c r="AZ95" s="598">
        <f t="shared" si="601"/>
        <v>4</v>
      </c>
      <c r="BA95" s="598">
        <f t="shared" si="601"/>
        <v>5</v>
      </c>
      <c r="BB95" s="598">
        <f t="shared" si="601"/>
        <v>6</v>
      </c>
      <c r="BC95" s="598">
        <f t="shared" si="601"/>
        <v>7</v>
      </c>
      <c r="BD95" s="598">
        <f t="shared" si="601"/>
        <v>8</v>
      </c>
      <c r="BE95" s="598">
        <f t="shared" si="601"/>
        <v>9</v>
      </c>
      <c r="BF95" s="598">
        <f t="shared" si="601"/>
        <v>10</v>
      </c>
      <c r="BG95" s="598">
        <f t="shared" si="601"/>
        <v>11</v>
      </c>
      <c r="BI95" s="598" t="s">
        <v>2344</v>
      </c>
      <c r="BJ95" s="598">
        <f t="shared" ref="BJ95:BS95" si="602">BJ$68+$BG175</f>
        <v>0</v>
      </c>
      <c r="BK95" s="598">
        <f t="shared" si="602"/>
        <v>1</v>
      </c>
      <c r="BL95" s="598">
        <f t="shared" si="602"/>
        <v>2</v>
      </c>
      <c r="BM95" s="598">
        <f t="shared" si="602"/>
        <v>3</v>
      </c>
      <c r="BN95" s="598">
        <f t="shared" si="602"/>
        <v>4</v>
      </c>
      <c r="BO95" s="598">
        <f t="shared" si="602"/>
        <v>5</v>
      </c>
      <c r="BP95" s="598">
        <f t="shared" si="602"/>
        <v>6</v>
      </c>
      <c r="BQ95" s="598">
        <f t="shared" si="602"/>
        <v>7</v>
      </c>
      <c r="BR95" s="598">
        <f t="shared" si="602"/>
        <v>8</v>
      </c>
      <c r="BS95" s="598">
        <f t="shared" si="602"/>
        <v>9</v>
      </c>
      <c r="BU95" s="598" t="s">
        <v>2344</v>
      </c>
      <c r="BV95" s="598">
        <f t="shared" ref="BV95:CE95" si="603">BV$68+$BI175</f>
        <v>1</v>
      </c>
      <c r="BW95" s="598">
        <f t="shared" si="603"/>
        <v>2</v>
      </c>
      <c r="BX95" s="598">
        <f t="shared" si="603"/>
        <v>3</v>
      </c>
      <c r="BY95" s="598">
        <f t="shared" si="603"/>
        <v>4</v>
      </c>
      <c r="BZ95" s="598">
        <f t="shared" si="603"/>
        <v>5</v>
      </c>
      <c r="CA95" s="598">
        <f t="shared" si="603"/>
        <v>6</v>
      </c>
      <c r="CB95" s="598">
        <f t="shared" si="603"/>
        <v>7</v>
      </c>
      <c r="CC95" s="598">
        <f t="shared" si="603"/>
        <v>8</v>
      </c>
      <c r="CD95" s="598">
        <f t="shared" si="603"/>
        <v>9</v>
      </c>
      <c r="CE95" s="598">
        <f t="shared" si="603"/>
        <v>10</v>
      </c>
      <c r="CG95" s="598" t="s">
        <v>2344</v>
      </c>
      <c r="CH95" s="598">
        <f t="shared" ref="CH95:CQ95" si="604">CH$90+$BM175</f>
        <v>3</v>
      </c>
      <c r="CI95" s="598">
        <f t="shared" si="604"/>
        <v>4</v>
      </c>
      <c r="CJ95" s="598">
        <f t="shared" si="604"/>
        <v>5</v>
      </c>
      <c r="CK95" s="598">
        <f t="shared" si="604"/>
        <v>6</v>
      </c>
      <c r="CL95" s="598">
        <f t="shared" si="604"/>
        <v>7</v>
      </c>
      <c r="CM95" s="598">
        <f t="shared" si="604"/>
        <v>8</v>
      </c>
      <c r="CN95" s="598">
        <f t="shared" si="604"/>
        <v>9</v>
      </c>
      <c r="CO95" s="598">
        <f t="shared" si="604"/>
        <v>10</v>
      </c>
      <c r="CP95" s="598">
        <f t="shared" si="604"/>
        <v>11</v>
      </c>
      <c r="CQ95" s="598">
        <f t="shared" si="604"/>
        <v>12</v>
      </c>
    </row>
    <row r="96" spans="1:95">
      <c r="A96" s="598" t="s">
        <v>2345</v>
      </c>
      <c r="B96" s="598" t="e">
        <f t="shared" ref="B96:K96" si="605">B$90+$AG176</f>
        <v>#N/A</v>
      </c>
      <c r="C96" s="598" t="e">
        <f t="shared" si="605"/>
        <v>#N/A</v>
      </c>
      <c r="D96" s="598" t="e">
        <f t="shared" si="605"/>
        <v>#N/A</v>
      </c>
      <c r="E96" s="598" t="e">
        <f t="shared" si="605"/>
        <v>#N/A</v>
      </c>
      <c r="F96" s="598" t="e">
        <f t="shared" si="605"/>
        <v>#N/A</v>
      </c>
      <c r="G96" s="598" t="e">
        <f t="shared" si="605"/>
        <v>#N/A</v>
      </c>
      <c r="H96" s="598" t="e">
        <f t="shared" si="605"/>
        <v>#N/A</v>
      </c>
      <c r="I96" s="598" t="e">
        <f t="shared" si="605"/>
        <v>#N/A</v>
      </c>
      <c r="J96" s="598" t="e">
        <f t="shared" si="605"/>
        <v>#N/A</v>
      </c>
      <c r="K96" s="598" t="e">
        <f t="shared" si="605"/>
        <v>#N/A</v>
      </c>
      <c r="M96" s="598" t="s">
        <v>2345</v>
      </c>
      <c r="N96" s="598" t="e">
        <f t="shared" ref="N96:W96" si="606">N$90+$AI176</f>
        <v>#N/A</v>
      </c>
      <c r="O96" s="598" t="e">
        <f t="shared" si="606"/>
        <v>#N/A</v>
      </c>
      <c r="P96" s="598" t="e">
        <f t="shared" si="606"/>
        <v>#N/A</v>
      </c>
      <c r="Q96" s="598" t="e">
        <f t="shared" si="606"/>
        <v>#N/A</v>
      </c>
      <c r="R96" s="598" t="e">
        <f t="shared" si="606"/>
        <v>#N/A</v>
      </c>
      <c r="S96" s="598" t="e">
        <f t="shared" si="606"/>
        <v>#N/A</v>
      </c>
      <c r="T96" s="598" t="e">
        <f t="shared" si="606"/>
        <v>#N/A</v>
      </c>
      <c r="U96" s="598" t="e">
        <f t="shared" si="606"/>
        <v>#N/A</v>
      </c>
      <c r="V96" s="598" t="e">
        <f t="shared" si="606"/>
        <v>#N/A</v>
      </c>
      <c r="W96" s="598" t="e">
        <f t="shared" si="606"/>
        <v>#N/A</v>
      </c>
      <c r="Y96" s="598" t="s">
        <v>2345</v>
      </c>
      <c r="Z96" s="598" t="e">
        <f t="shared" ref="Z96:AI96" si="607">Z$90+$AK176</f>
        <v>#N/A</v>
      </c>
      <c r="AA96" s="598" t="e">
        <f t="shared" si="607"/>
        <v>#N/A</v>
      </c>
      <c r="AB96" s="598" t="e">
        <f t="shared" si="607"/>
        <v>#N/A</v>
      </c>
      <c r="AC96" s="598" t="e">
        <f t="shared" si="607"/>
        <v>#N/A</v>
      </c>
      <c r="AD96" s="598" t="e">
        <f t="shared" si="607"/>
        <v>#N/A</v>
      </c>
      <c r="AE96" s="598" t="e">
        <f t="shared" si="607"/>
        <v>#N/A</v>
      </c>
      <c r="AF96" s="598" t="e">
        <f t="shared" si="607"/>
        <v>#N/A</v>
      </c>
      <c r="AG96" s="598" t="e">
        <f t="shared" si="607"/>
        <v>#N/A</v>
      </c>
      <c r="AH96" s="598" t="e">
        <f t="shared" si="607"/>
        <v>#N/A</v>
      </c>
      <c r="AI96" s="598" t="e">
        <f t="shared" si="607"/>
        <v>#N/A</v>
      </c>
      <c r="AK96" s="598" t="s">
        <v>2345</v>
      </c>
      <c r="AL96" s="598" t="e">
        <f t="shared" ref="AL96:AU96" si="608">AL$90+$AM176</f>
        <v>#N/A</v>
      </c>
      <c r="AM96" s="598" t="e">
        <f t="shared" si="608"/>
        <v>#N/A</v>
      </c>
      <c r="AN96" s="598" t="e">
        <f t="shared" si="608"/>
        <v>#N/A</v>
      </c>
      <c r="AO96" s="598" t="e">
        <f t="shared" si="608"/>
        <v>#N/A</v>
      </c>
      <c r="AP96" s="598" t="e">
        <f t="shared" si="608"/>
        <v>#N/A</v>
      </c>
      <c r="AQ96" s="598" t="e">
        <f t="shared" si="608"/>
        <v>#N/A</v>
      </c>
      <c r="AR96" s="598" t="e">
        <f t="shared" si="608"/>
        <v>#N/A</v>
      </c>
      <c r="AS96" s="598" t="e">
        <f t="shared" si="608"/>
        <v>#N/A</v>
      </c>
      <c r="AT96" s="598" t="e">
        <f t="shared" si="608"/>
        <v>#N/A</v>
      </c>
      <c r="AU96" s="598" t="e">
        <f t="shared" si="608"/>
        <v>#N/A</v>
      </c>
      <c r="AW96" s="598" t="s">
        <v>2345</v>
      </c>
      <c r="AX96" s="598" t="e">
        <f t="shared" ref="AX96:BG96" si="609">AX$68+$BC176</f>
        <v>#N/A</v>
      </c>
      <c r="AY96" s="598" t="e">
        <f t="shared" si="609"/>
        <v>#N/A</v>
      </c>
      <c r="AZ96" s="598" t="e">
        <f t="shared" si="609"/>
        <v>#N/A</v>
      </c>
      <c r="BA96" s="598" t="e">
        <f t="shared" si="609"/>
        <v>#N/A</v>
      </c>
      <c r="BB96" s="598" t="e">
        <f t="shared" si="609"/>
        <v>#N/A</v>
      </c>
      <c r="BC96" s="598" t="e">
        <f t="shared" si="609"/>
        <v>#N/A</v>
      </c>
      <c r="BD96" s="598" t="e">
        <f t="shared" si="609"/>
        <v>#N/A</v>
      </c>
      <c r="BE96" s="598" t="e">
        <f t="shared" si="609"/>
        <v>#N/A</v>
      </c>
      <c r="BF96" s="598" t="e">
        <f t="shared" si="609"/>
        <v>#N/A</v>
      </c>
      <c r="BG96" s="598" t="e">
        <f t="shared" si="609"/>
        <v>#N/A</v>
      </c>
      <c r="BI96" s="598" t="s">
        <v>2345</v>
      </c>
      <c r="BJ96" s="598" t="e">
        <f t="shared" ref="BJ96:BS96" si="610">BJ$68+$BG176</f>
        <v>#N/A</v>
      </c>
      <c r="BK96" s="598" t="e">
        <f t="shared" si="610"/>
        <v>#N/A</v>
      </c>
      <c r="BL96" s="598" t="e">
        <f t="shared" si="610"/>
        <v>#N/A</v>
      </c>
      <c r="BM96" s="598" t="e">
        <f t="shared" si="610"/>
        <v>#N/A</v>
      </c>
      <c r="BN96" s="598" t="e">
        <f t="shared" si="610"/>
        <v>#N/A</v>
      </c>
      <c r="BO96" s="598" t="e">
        <f t="shared" si="610"/>
        <v>#N/A</v>
      </c>
      <c r="BP96" s="598" t="e">
        <f t="shared" si="610"/>
        <v>#N/A</v>
      </c>
      <c r="BQ96" s="598" t="e">
        <f t="shared" si="610"/>
        <v>#N/A</v>
      </c>
      <c r="BR96" s="598" t="e">
        <f t="shared" si="610"/>
        <v>#N/A</v>
      </c>
      <c r="BS96" s="598" t="e">
        <f t="shared" si="610"/>
        <v>#N/A</v>
      </c>
      <c r="BU96" s="598" t="s">
        <v>2345</v>
      </c>
      <c r="BV96" s="598" t="e">
        <f t="shared" ref="BV96:CE96" si="611">BV$68+$BI176</f>
        <v>#N/A</v>
      </c>
      <c r="BW96" s="598" t="e">
        <f t="shared" si="611"/>
        <v>#N/A</v>
      </c>
      <c r="BX96" s="598" t="e">
        <f t="shared" si="611"/>
        <v>#N/A</v>
      </c>
      <c r="BY96" s="598" t="e">
        <f t="shared" si="611"/>
        <v>#N/A</v>
      </c>
      <c r="BZ96" s="598" t="e">
        <f t="shared" si="611"/>
        <v>#N/A</v>
      </c>
      <c r="CA96" s="598" t="e">
        <f t="shared" si="611"/>
        <v>#N/A</v>
      </c>
      <c r="CB96" s="598" t="e">
        <f t="shared" si="611"/>
        <v>#N/A</v>
      </c>
      <c r="CC96" s="598" t="e">
        <f t="shared" si="611"/>
        <v>#N/A</v>
      </c>
      <c r="CD96" s="598" t="e">
        <f t="shared" si="611"/>
        <v>#N/A</v>
      </c>
      <c r="CE96" s="598" t="e">
        <f t="shared" si="611"/>
        <v>#N/A</v>
      </c>
      <c r="CG96" s="598" t="s">
        <v>2345</v>
      </c>
      <c r="CH96" s="598" t="e">
        <f t="shared" ref="CH96:CQ96" si="612">CH$90+$BM176</f>
        <v>#N/A</v>
      </c>
      <c r="CI96" s="598" t="e">
        <f t="shared" si="612"/>
        <v>#N/A</v>
      </c>
      <c r="CJ96" s="598" t="e">
        <f t="shared" si="612"/>
        <v>#N/A</v>
      </c>
      <c r="CK96" s="598" t="e">
        <f t="shared" si="612"/>
        <v>#N/A</v>
      </c>
      <c r="CL96" s="598" t="e">
        <f t="shared" si="612"/>
        <v>#N/A</v>
      </c>
      <c r="CM96" s="598" t="e">
        <f t="shared" si="612"/>
        <v>#N/A</v>
      </c>
      <c r="CN96" s="598" t="e">
        <f t="shared" si="612"/>
        <v>#N/A</v>
      </c>
      <c r="CO96" s="598" t="e">
        <f t="shared" si="612"/>
        <v>#N/A</v>
      </c>
      <c r="CP96" s="598" t="e">
        <f t="shared" si="612"/>
        <v>#N/A</v>
      </c>
      <c r="CQ96" s="598" t="e">
        <f t="shared" si="612"/>
        <v>#N/A</v>
      </c>
    </row>
    <row r="97" spans="1:95">
      <c r="A97" s="598" t="s">
        <v>1631</v>
      </c>
      <c r="B97" s="598">
        <f t="shared" ref="B97:K97" si="613">B$90+$AG177</f>
        <v>0</v>
      </c>
      <c r="C97" s="598">
        <f t="shared" si="613"/>
        <v>1</v>
      </c>
      <c r="D97" s="598">
        <f t="shared" si="613"/>
        <v>2</v>
      </c>
      <c r="E97" s="598">
        <f t="shared" si="613"/>
        <v>-1</v>
      </c>
      <c r="F97" s="598">
        <f t="shared" si="613"/>
        <v>4</v>
      </c>
      <c r="G97" s="598">
        <f t="shared" si="613"/>
        <v>5</v>
      </c>
      <c r="H97" s="598">
        <f t="shared" si="613"/>
        <v>6</v>
      </c>
      <c r="I97" s="598">
        <f t="shared" si="613"/>
        <v>7</v>
      </c>
      <c r="J97" s="598">
        <f t="shared" si="613"/>
        <v>8</v>
      </c>
      <c r="K97" s="598">
        <f t="shared" si="613"/>
        <v>9</v>
      </c>
      <c r="M97" s="598" t="s">
        <v>1631</v>
      </c>
      <c r="N97" s="598">
        <f t="shared" ref="N97:W97" si="614">N$90+$AI177</f>
        <v>0</v>
      </c>
      <c r="O97" s="598">
        <f t="shared" si="614"/>
        <v>1</v>
      </c>
      <c r="P97" s="598">
        <f t="shared" si="614"/>
        <v>2</v>
      </c>
      <c r="Q97" s="598">
        <f t="shared" si="614"/>
        <v>3</v>
      </c>
      <c r="R97" s="598">
        <f t="shared" si="614"/>
        <v>4</v>
      </c>
      <c r="S97" s="598">
        <f t="shared" si="614"/>
        <v>5</v>
      </c>
      <c r="T97" s="598">
        <f t="shared" si="614"/>
        <v>6</v>
      </c>
      <c r="U97" s="598">
        <f t="shared" si="614"/>
        <v>7</v>
      </c>
      <c r="V97" s="598">
        <f t="shared" si="614"/>
        <v>8</v>
      </c>
      <c r="W97" s="598">
        <f t="shared" si="614"/>
        <v>9</v>
      </c>
      <c r="Y97" s="598" t="s">
        <v>1631</v>
      </c>
      <c r="Z97" s="598">
        <f t="shared" ref="Z97:AI97" si="615">Z$90+$AK177</f>
        <v>0</v>
      </c>
      <c r="AA97" s="598">
        <f t="shared" si="615"/>
        <v>1</v>
      </c>
      <c r="AB97" s="598">
        <f t="shared" si="615"/>
        <v>2</v>
      </c>
      <c r="AC97" s="598">
        <f t="shared" si="615"/>
        <v>3</v>
      </c>
      <c r="AD97" s="598">
        <f t="shared" si="615"/>
        <v>4</v>
      </c>
      <c r="AE97" s="598">
        <f t="shared" si="615"/>
        <v>5</v>
      </c>
      <c r="AF97" s="598">
        <f t="shared" si="615"/>
        <v>6</v>
      </c>
      <c r="AG97" s="598">
        <f t="shared" si="615"/>
        <v>7</v>
      </c>
      <c r="AH97" s="598">
        <f t="shared" si="615"/>
        <v>8</v>
      </c>
      <c r="AI97" s="598">
        <f t="shared" si="615"/>
        <v>9</v>
      </c>
      <c r="AK97" s="598" t="s">
        <v>1631</v>
      </c>
      <c r="AL97" s="598">
        <f t="shared" ref="AL97:AU97" si="616">AL$90+$AM177</f>
        <v>1</v>
      </c>
      <c r="AM97" s="598">
        <f t="shared" si="616"/>
        <v>2</v>
      </c>
      <c r="AN97" s="598">
        <f t="shared" si="616"/>
        <v>3</v>
      </c>
      <c r="AO97" s="598">
        <f t="shared" si="616"/>
        <v>4</v>
      </c>
      <c r="AP97" s="598">
        <f t="shared" si="616"/>
        <v>5</v>
      </c>
      <c r="AQ97" s="598">
        <f t="shared" si="616"/>
        <v>6</v>
      </c>
      <c r="AR97" s="598">
        <f t="shared" si="616"/>
        <v>7</v>
      </c>
      <c r="AS97" s="598">
        <f t="shared" si="616"/>
        <v>8</v>
      </c>
      <c r="AT97" s="598">
        <f t="shared" si="616"/>
        <v>9</v>
      </c>
      <c r="AU97" s="598">
        <f t="shared" si="616"/>
        <v>10</v>
      </c>
      <c r="AW97" s="598" t="s">
        <v>1631</v>
      </c>
      <c r="AX97" s="598">
        <f t="shared" ref="AX97:BG97" si="617">AX$68+$BC177</f>
        <v>-2</v>
      </c>
      <c r="AY97" s="598">
        <f t="shared" si="617"/>
        <v>-1</v>
      </c>
      <c r="AZ97" s="598">
        <f t="shared" si="617"/>
        <v>0</v>
      </c>
      <c r="BA97" s="598">
        <f t="shared" si="617"/>
        <v>1</v>
      </c>
      <c r="BB97" s="598">
        <f t="shared" si="617"/>
        <v>2</v>
      </c>
      <c r="BC97" s="598">
        <f t="shared" si="617"/>
        <v>3</v>
      </c>
      <c r="BD97" s="598">
        <f t="shared" si="617"/>
        <v>4</v>
      </c>
      <c r="BE97" s="598">
        <f t="shared" si="617"/>
        <v>5</v>
      </c>
      <c r="BF97" s="598">
        <f t="shared" si="617"/>
        <v>6</v>
      </c>
      <c r="BG97" s="598">
        <f t="shared" si="617"/>
        <v>7</v>
      </c>
      <c r="BI97" s="598" t="s">
        <v>1631</v>
      </c>
      <c r="BJ97" s="598">
        <f t="shared" ref="BJ97:BS97" si="618">BJ$68+$BG177</f>
        <v>-1</v>
      </c>
      <c r="BK97" s="598">
        <f t="shared" si="618"/>
        <v>0</v>
      </c>
      <c r="BL97" s="598">
        <f t="shared" si="618"/>
        <v>1</v>
      </c>
      <c r="BM97" s="598">
        <f t="shared" si="618"/>
        <v>2</v>
      </c>
      <c r="BN97" s="598">
        <f t="shared" si="618"/>
        <v>3</v>
      </c>
      <c r="BO97" s="598">
        <f t="shared" si="618"/>
        <v>4</v>
      </c>
      <c r="BP97" s="598">
        <f t="shared" si="618"/>
        <v>5</v>
      </c>
      <c r="BQ97" s="598">
        <f t="shared" si="618"/>
        <v>6</v>
      </c>
      <c r="BR97" s="598">
        <f t="shared" si="618"/>
        <v>7</v>
      </c>
      <c r="BS97" s="598">
        <f t="shared" si="618"/>
        <v>8</v>
      </c>
      <c r="BU97" s="598" t="s">
        <v>1631</v>
      </c>
      <c r="BV97" s="598">
        <f t="shared" ref="BV97:CE97" si="619">BV$68+$BI177</f>
        <v>-1</v>
      </c>
      <c r="BW97" s="598">
        <f t="shared" si="619"/>
        <v>0</v>
      </c>
      <c r="BX97" s="598">
        <f t="shared" si="619"/>
        <v>1</v>
      </c>
      <c r="BY97" s="598">
        <f t="shared" si="619"/>
        <v>2</v>
      </c>
      <c r="BZ97" s="598">
        <f t="shared" si="619"/>
        <v>3</v>
      </c>
      <c r="CA97" s="598">
        <f t="shared" si="619"/>
        <v>4</v>
      </c>
      <c r="CB97" s="598">
        <f t="shared" si="619"/>
        <v>5</v>
      </c>
      <c r="CC97" s="598">
        <f t="shared" si="619"/>
        <v>6</v>
      </c>
      <c r="CD97" s="598">
        <f t="shared" si="619"/>
        <v>7</v>
      </c>
      <c r="CE97" s="598">
        <f t="shared" si="619"/>
        <v>8</v>
      </c>
      <c r="CG97" s="598" t="s">
        <v>1631</v>
      </c>
      <c r="CH97" s="598">
        <f t="shared" ref="CH97:CQ97" si="620">CH$90+$BM177</f>
        <v>0</v>
      </c>
      <c r="CI97" s="598">
        <f t="shared" si="620"/>
        <v>1</v>
      </c>
      <c r="CJ97" s="598">
        <f t="shared" si="620"/>
        <v>2</v>
      </c>
      <c r="CK97" s="598">
        <f t="shared" si="620"/>
        <v>3</v>
      </c>
      <c r="CL97" s="598">
        <f t="shared" si="620"/>
        <v>4</v>
      </c>
      <c r="CM97" s="598">
        <f t="shared" si="620"/>
        <v>5</v>
      </c>
      <c r="CN97" s="598">
        <f t="shared" si="620"/>
        <v>6</v>
      </c>
      <c r="CO97" s="598">
        <f t="shared" si="620"/>
        <v>7</v>
      </c>
      <c r="CP97" s="598">
        <f t="shared" si="620"/>
        <v>8</v>
      </c>
      <c r="CQ97" s="598">
        <f t="shared" si="620"/>
        <v>9</v>
      </c>
    </row>
    <row r="98" spans="1:95">
      <c r="A98" s="598" t="s">
        <v>3657</v>
      </c>
      <c r="B98" s="598">
        <f t="shared" ref="B98:K98" si="621">B$90+$AG178</f>
        <v>0</v>
      </c>
      <c r="C98" s="598">
        <f t="shared" si="621"/>
        <v>1</v>
      </c>
      <c r="D98" s="598">
        <f t="shared" si="621"/>
        <v>2</v>
      </c>
      <c r="E98" s="598">
        <f t="shared" si="621"/>
        <v>-1</v>
      </c>
      <c r="F98" s="598">
        <f t="shared" si="621"/>
        <v>4</v>
      </c>
      <c r="G98" s="598">
        <f t="shared" si="621"/>
        <v>5</v>
      </c>
      <c r="H98" s="598">
        <f t="shared" si="621"/>
        <v>6</v>
      </c>
      <c r="I98" s="598">
        <f t="shared" si="621"/>
        <v>7</v>
      </c>
      <c r="J98" s="598">
        <f t="shared" si="621"/>
        <v>8</v>
      </c>
      <c r="K98" s="598">
        <f t="shared" si="621"/>
        <v>9</v>
      </c>
      <c r="M98" s="598" t="s">
        <v>3657</v>
      </c>
      <c r="N98" s="598">
        <f t="shared" ref="N98:W98" si="622">N$90+$AI178</f>
        <v>2</v>
      </c>
      <c r="O98" s="598">
        <f t="shared" si="622"/>
        <v>3</v>
      </c>
      <c r="P98" s="598">
        <f t="shared" si="622"/>
        <v>4</v>
      </c>
      <c r="Q98" s="598">
        <f t="shared" si="622"/>
        <v>5</v>
      </c>
      <c r="R98" s="598">
        <f t="shared" si="622"/>
        <v>6</v>
      </c>
      <c r="S98" s="598">
        <f t="shared" si="622"/>
        <v>7</v>
      </c>
      <c r="T98" s="598">
        <f t="shared" si="622"/>
        <v>8</v>
      </c>
      <c r="U98" s="598">
        <f t="shared" si="622"/>
        <v>9</v>
      </c>
      <c r="V98" s="598">
        <f t="shared" si="622"/>
        <v>10</v>
      </c>
      <c r="W98" s="598">
        <f t="shared" si="622"/>
        <v>11</v>
      </c>
      <c r="Y98" s="598" t="s">
        <v>3657</v>
      </c>
      <c r="Z98" s="598">
        <f t="shared" ref="Z98:AI98" si="623">Z$90+$AK178</f>
        <v>0</v>
      </c>
      <c r="AA98" s="598">
        <f t="shared" si="623"/>
        <v>1</v>
      </c>
      <c r="AB98" s="598">
        <f t="shared" si="623"/>
        <v>2</v>
      </c>
      <c r="AC98" s="598">
        <f t="shared" si="623"/>
        <v>3</v>
      </c>
      <c r="AD98" s="598">
        <f t="shared" si="623"/>
        <v>4</v>
      </c>
      <c r="AE98" s="598">
        <f t="shared" si="623"/>
        <v>5</v>
      </c>
      <c r="AF98" s="598">
        <f t="shared" si="623"/>
        <v>6</v>
      </c>
      <c r="AG98" s="598">
        <f t="shared" si="623"/>
        <v>7</v>
      </c>
      <c r="AH98" s="598">
        <f t="shared" si="623"/>
        <v>8</v>
      </c>
      <c r="AI98" s="598">
        <f t="shared" si="623"/>
        <v>9</v>
      </c>
      <c r="AK98" s="598" t="s">
        <v>3657</v>
      </c>
      <c r="AL98" s="598">
        <f t="shared" ref="AL98:AU98" si="624">AL$90+$AM178</f>
        <v>0</v>
      </c>
      <c r="AM98" s="598">
        <f t="shared" si="624"/>
        <v>1</v>
      </c>
      <c r="AN98" s="598">
        <f t="shared" si="624"/>
        <v>2</v>
      </c>
      <c r="AO98" s="598">
        <f t="shared" si="624"/>
        <v>3</v>
      </c>
      <c r="AP98" s="598">
        <f t="shared" si="624"/>
        <v>4</v>
      </c>
      <c r="AQ98" s="598">
        <f t="shared" si="624"/>
        <v>5</v>
      </c>
      <c r="AR98" s="598">
        <f t="shared" si="624"/>
        <v>6</v>
      </c>
      <c r="AS98" s="598">
        <f t="shared" si="624"/>
        <v>7</v>
      </c>
      <c r="AT98" s="598">
        <f t="shared" si="624"/>
        <v>8</v>
      </c>
      <c r="AU98" s="598">
        <f t="shared" si="624"/>
        <v>9</v>
      </c>
      <c r="AW98" s="598" t="s">
        <v>3657</v>
      </c>
      <c r="AX98" s="598">
        <f t="shared" ref="AX98:BG98" si="625">AX$68+$BC178</f>
        <v>3</v>
      </c>
      <c r="AY98" s="598">
        <f t="shared" si="625"/>
        <v>4</v>
      </c>
      <c r="AZ98" s="598">
        <f t="shared" si="625"/>
        <v>5</v>
      </c>
      <c r="BA98" s="598">
        <f t="shared" si="625"/>
        <v>6</v>
      </c>
      <c r="BB98" s="598">
        <f t="shared" si="625"/>
        <v>7</v>
      </c>
      <c r="BC98" s="598">
        <f t="shared" si="625"/>
        <v>8</v>
      </c>
      <c r="BD98" s="598">
        <f t="shared" si="625"/>
        <v>9</v>
      </c>
      <c r="BE98" s="598">
        <f t="shared" si="625"/>
        <v>10</v>
      </c>
      <c r="BF98" s="598">
        <f t="shared" si="625"/>
        <v>11</v>
      </c>
      <c r="BG98" s="598">
        <f t="shared" si="625"/>
        <v>12</v>
      </c>
      <c r="BI98" s="598" t="s">
        <v>3657</v>
      </c>
      <c r="BJ98" s="598">
        <f t="shared" ref="BJ98:BS98" si="626">BJ$68+$BG178</f>
        <v>0</v>
      </c>
      <c r="BK98" s="598">
        <f t="shared" si="626"/>
        <v>1</v>
      </c>
      <c r="BL98" s="598">
        <f t="shared" si="626"/>
        <v>2</v>
      </c>
      <c r="BM98" s="598">
        <f t="shared" si="626"/>
        <v>3</v>
      </c>
      <c r="BN98" s="598">
        <f t="shared" si="626"/>
        <v>4</v>
      </c>
      <c r="BO98" s="598">
        <f t="shared" si="626"/>
        <v>5</v>
      </c>
      <c r="BP98" s="598">
        <f t="shared" si="626"/>
        <v>6</v>
      </c>
      <c r="BQ98" s="598">
        <f t="shared" si="626"/>
        <v>7</v>
      </c>
      <c r="BR98" s="598">
        <f t="shared" si="626"/>
        <v>8</v>
      </c>
      <c r="BS98" s="598">
        <f t="shared" si="626"/>
        <v>9</v>
      </c>
      <c r="BU98" s="598" t="s">
        <v>3657</v>
      </c>
      <c r="BV98" s="598">
        <f t="shared" ref="BV98:CE98" si="627">BV$68+$BI178</f>
        <v>2</v>
      </c>
      <c r="BW98" s="598">
        <f t="shared" si="627"/>
        <v>3</v>
      </c>
      <c r="BX98" s="598">
        <f t="shared" si="627"/>
        <v>4</v>
      </c>
      <c r="BY98" s="598">
        <f t="shared" si="627"/>
        <v>5</v>
      </c>
      <c r="BZ98" s="598">
        <f t="shared" si="627"/>
        <v>6</v>
      </c>
      <c r="CA98" s="598">
        <f t="shared" si="627"/>
        <v>7</v>
      </c>
      <c r="CB98" s="598">
        <f t="shared" si="627"/>
        <v>8</v>
      </c>
      <c r="CC98" s="598">
        <f t="shared" si="627"/>
        <v>9</v>
      </c>
      <c r="CD98" s="598">
        <f t="shared" si="627"/>
        <v>10</v>
      </c>
      <c r="CE98" s="598">
        <f t="shared" si="627"/>
        <v>11</v>
      </c>
      <c r="CG98" s="598" t="s">
        <v>3657</v>
      </c>
      <c r="CH98" s="598">
        <f t="shared" ref="CH98:CQ98" si="628">CH$90+$BM178</f>
        <v>0</v>
      </c>
      <c r="CI98" s="598">
        <f t="shared" si="628"/>
        <v>1</v>
      </c>
      <c r="CJ98" s="598">
        <f t="shared" si="628"/>
        <v>2</v>
      </c>
      <c r="CK98" s="598">
        <f t="shared" si="628"/>
        <v>3</v>
      </c>
      <c r="CL98" s="598">
        <f t="shared" si="628"/>
        <v>4</v>
      </c>
      <c r="CM98" s="598">
        <f t="shared" si="628"/>
        <v>5</v>
      </c>
      <c r="CN98" s="598">
        <f t="shared" si="628"/>
        <v>6</v>
      </c>
      <c r="CO98" s="598">
        <f t="shared" si="628"/>
        <v>7</v>
      </c>
      <c r="CP98" s="598">
        <f t="shared" si="628"/>
        <v>8</v>
      </c>
      <c r="CQ98" s="598">
        <f t="shared" si="628"/>
        <v>9</v>
      </c>
    </row>
    <row r="99" spans="1:95">
      <c r="A99" s="598" t="s">
        <v>2346</v>
      </c>
      <c r="B99" s="598" t="e">
        <f t="shared" ref="B99:K99" si="629">B$90+$AG179</f>
        <v>#N/A</v>
      </c>
      <c r="C99" s="598" t="e">
        <f t="shared" si="629"/>
        <v>#N/A</v>
      </c>
      <c r="D99" s="598" t="e">
        <f t="shared" si="629"/>
        <v>#N/A</v>
      </c>
      <c r="E99" s="598" t="e">
        <f t="shared" si="629"/>
        <v>#N/A</v>
      </c>
      <c r="F99" s="598" t="e">
        <f t="shared" si="629"/>
        <v>#N/A</v>
      </c>
      <c r="G99" s="598" t="e">
        <f t="shared" si="629"/>
        <v>#N/A</v>
      </c>
      <c r="H99" s="598" t="e">
        <f t="shared" si="629"/>
        <v>#N/A</v>
      </c>
      <c r="I99" s="598" t="e">
        <f t="shared" si="629"/>
        <v>#N/A</v>
      </c>
      <c r="J99" s="598" t="e">
        <f t="shared" si="629"/>
        <v>#N/A</v>
      </c>
      <c r="K99" s="598" t="e">
        <f t="shared" si="629"/>
        <v>#N/A</v>
      </c>
      <c r="M99" s="598" t="s">
        <v>2346</v>
      </c>
      <c r="N99" s="598" t="e">
        <f t="shared" ref="N99:W99" si="630">N$90+$AI179</f>
        <v>#N/A</v>
      </c>
      <c r="O99" s="598" t="e">
        <f t="shared" si="630"/>
        <v>#N/A</v>
      </c>
      <c r="P99" s="598" t="e">
        <f t="shared" si="630"/>
        <v>#N/A</v>
      </c>
      <c r="Q99" s="598" t="e">
        <f t="shared" si="630"/>
        <v>#N/A</v>
      </c>
      <c r="R99" s="598" t="e">
        <f t="shared" si="630"/>
        <v>#N/A</v>
      </c>
      <c r="S99" s="598" t="e">
        <f t="shared" si="630"/>
        <v>#N/A</v>
      </c>
      <c r="T99" s="598" t="e">
        <f t="shared" si="630"/>
        <v>#N/A</v>
      </c>
      <c r="U99" s="598" t="e">
        <f t="shared" si="630"/>
        <v>#N/A</v>
      </c>
      <c r="V99" s="598" t="e">
        <f t="shared" si="630"/>
        <v>#N/A</v>
      </c>
      <c r="W99" s="598" t="e">
        <f t="shared" si="630"/>
        <v>#N/A</v>
      </c>
      <c r="Y99" s="598" t="s">
        <v>2346</v>
      </c>
      <c r="Z99" s="598" t="e">
        <f t="shared" ref="Z99:AI99" si="631">Z$90+$AK179</f>
        <v>#N/A</v>
      </c>
      <c r="AA99" s="598" t="e">
        <f t="shared" si="631"/>
        <v>#N/A</v>
      </c>
      <c r="AB99" s="598" t="e">
        <f t="shared" si="631"/>
        <v>#N/A</v>
      </c>
      <c r="AC99" s="598" t="e">
        <f t="shared" si="631"/>
        <v>#N/A</v>
      </c>
      <c r="AD99" s="598" t="e">
        <f t="shared" si="631"/>
        <v>#N/A</v>
      </c>
      <c r="AE99" s="598" t="e">
        <f t="shared" si="631"/>
        <v>#N/A</v>
      </c>
      <c r="AF99" s="598" t="e">
        <f t="shared" si="631"/>
        <v>#N/A</v>
      </c>
      <c r="AG99" s="598" t="e">
        <f t="shared" si="631"/>
        <v>#N/A</v>
      </c>
      <c r="AH99" s="598" t="e">
        <f t="shared" si="631"/>
        <v>#N/A</v>
      </c>
      <c r="AI99" s="598" t="e">
        <f t="shared" si="631"/>
        <v>#N/A</v>
      </c>
      <c r="AK99" s="598" t="s">
        <v>2346</v>
      </c>
      <c r="AL99" s="598" t="e">
        <f t="shared" ref="AL99:AU99" si="632">AL$90+$AM179</f>
        <v>#N/A</v>
      </c>
      <c r="AM99" s="598" t="e">
        <f t="shared" si="632"/>
        <v>#N/A</v>
      </c>
      <c r="AN99" s="598" t="e">
        <f t="shared" si="632"/>
        <v>#N/A</v>
      </c>
      <c r="AO99" s="598" t="e">
        <f t="shared" si="632"/>
        <v>#N/A</v>
      </c>
      <c r="AP99" s="598" t="e">
        <f t="shared" si="632"/>
        <v>#N/A</v>
      </c>
      <c r="AQ99" s="598" t="e">
        <f t="shared" si="632"/>
        <v>#N/A</v>
      </c>
      <c r="AR99" s="598" t="e">
        <f t="shared" si="632"/>
        <v>#N/A</v>
      </c>
      <c r="AS99" s="598" t="e">
        <f t="shared" si="632"/>
        <v>#N/A</v>
      </c>
      <c r="AT99" s="598" t="e">
        <f t="shared" si="632"/>
        <v>#N/A</v>
      </c>
      <c r="AU99" s="598" t="e">
        <f t="shared" si="632"/>
        <v>#N/A</v>
      </c>
      <c r="AW99" s="598" t="s">
        <v>2346</v>
      </c>
      <c r="AX99" s="598" t="e">
        <f t="shared" ref="AX99:BG99" si="633">AX$68+$BC179</f>
        <v>#N/A</v>
      </c>
      <c r="AY99" s="598" t="e">
        <f t="shared" si="633"/>
        <v>#N/A</v>
      </c>
      <c r="AZ99" s="598" t="e">
        <f t="shared" si="633"/>
        <v>#N/A</v>
      </c>
      <c r="BA99" s="598" t="e">
        <f t="shared" si="633"/>
        <v>#N/A</v>
      </c>
      <c r="BB99" s="598" t="e">
        <f t="shared" si="633"/>
        <v>#N/A</v>
      </c>
      <c r="BC99" s="598" t="e">
        <f t="shared" si="633"/>
        <v>#N/A</v>
      </c>
      <c r="BD99" s="598" t="e">
        <f t="shared" si="633"/>
        <v>#N/A</v>
      </c>
      <c r="BE99" s="598" t="e">
        <f t="shared" si="633"/>
        <v>#N/A</v>
      </c>
      <c r="BF99" s="598" t="e">
        <f t="shared" si="633"/>
        <v>#N/A</v>
      </c>
      <c r="BG99" s="598" t="e">
        <f t="shared" si="633"/>
        <v>#N/A</v>
      </c>
      <c r="BI99" s="598" t="s">
        <v>2346</v>
      </c>
      <c r="BJ99" s="598" t="e">
        <f t="shared" ref="BJ99:BS99" si="634">BJ$68+$BG179</f>
        <v>#N/A</v>
      </c>
      <c r="BK99" s="598" t="e">
        <f t="shared" si="634"/>
        <v>#N/A</v>
      </c>
      <c r="BL99" s="598" t="e">
        <f t="shared" si="634"/>
        <v>#N/A</v>
      </c>
      <c r="BM99" s="598" t="e">
        <f t="shared" si="634"/>
        <v>#N/A</v>
      </c>
      <c r="BN99" s="598" t="e">
        <f t="shared" si="634"/>
        <v>#N/A</v>
      </c>
      <c r="BO99" s="598" t="e">
        <f t="shared" si="634"/>
        <v>#N/A</v>
      </c>
      <c r="BP99" s="598" t="e">
        <f t="shared" si="634"/>
        <v>#N/A</v>
      </c>
      <c r="BQ99" s="598" t="e">
        <f t="shared" si="634"/>
        <v>#N/A</v>
      </c>
      <c r="BR99" s="598" t="e">
        <f t="shared" si="634"/>
        <v>#N/A</v>
      </c>
      <c r="BS99" s="598" t="e">
        <f t="shared" si="634"/>
        <v>#N/A</v>
      </c>
      <c r="BU99" s="598" t="s">
        <v>2346</v>
      </c>
      <c r="BV99" s="598" t="e">
        <f t="shared" ref="BV99:CE99" si="635">BV$68+$BI179</f>
        <v>#N/A</v>
      </c>
      <c r="BW99" s="598" t="e">
        <f t="shared" si="635"/>
        <v>#N/A</v>
      </c>
      <c r="BX99" s="598" t="e">
        <f t="shared" si="635"/>
        <v>#N/A</v>
      </c>
      <c r="BY99" s="598" t="e">
        <f t="shared" si="635"/>
        <v>#N/A</v>
      </c>
      <c r="BZ99" s="598" t="e">
        <f t="shared" si="635"/>
        <v>#N/A</v>
      </c>
      <c r="CA99" s="598" t="e">
        <f t="shared" si="635"/>
        <v>#N/A</v>
      </c>
      <c r="CB99" s="598" t="e">
        <f t="shared" si="635"/>
        <v>#N/A</v>
      </c>
      <c r="CC99" s="598" t="e">
        <f t="shared" si="635"/>
        <v>#N/A</v>
      </c>
      <c r="CD99" s="598" t="e">
        <f t="shared" si="635"/>
        <v>#N/A</v>
      </c>
      <c r="CE99" s="598" t="e">
        <f t="shared" si="635"/>
        <v>#N/A</v>
      </c>
      <c r="CG99" s="598" t="s">
        <v>2346</v>
      </c>
      <c r="CH99" s="598" t="e">
        <f t="shared" ref="CH99:CQ99" si="636">CH$90+$BM179</f>
        <v>#N/A</v>
      </c>
      <c r="CI99" s="598" t="e">
        <f t="shared" si="636"/>
        <v>#N/A</v>
      </c>
      <c r="CJ99" s="598" t="e">
        <f t="shared" si="636"/>
        <v>#N/A</v>
      </c>
      <c r="CK99" s="598" t="e">
        <f t="shared" si="636"/>
        <v>#N/A</v>
      </c>
      <c r="CL99" s="598" t="e">
        <f t="shared" si="636"/>
        <v>#N/A</v>
      </c>
      <c r="CM99" s="598" t="e">
        <f t="shared" si="636"/>
        <v>#N/A</v>
      </c>
      <c r="CN99" s="598" t="e">
        <f t="shared" si="636"/>
        <v>#N/A</v>
      </c>
      <c r="CO99" s="598" t="e">
        <f t="shared" si="636"/>
        <v>#N/A</v>
      </c>
      <c r="CP99" s="598" t="e">
        <f t="shared" si="636"/>
        <v>#N/A</v>
      </c>
      <c r="CQ99" s="598" t="e">
        <f t="shared" si="636"/>
        <v>#N/A</v>
      </c>
    </row>
    <row r="100" spans="1:95">
      <c r="A100" s="598" t="s">
        <v>1632</v>
      </c>
      <c r="B100" s="598">
        <f t="shared" ref="B100:K100" si="637">B$90+$AG180</f>
        <v>4</v>
      </c>
      <c r="C100" s="598">
        <f t="shared" si="637"/>
        <v>5</v>
      </c>
      <c r="D100" s="598">
        <f t="shared" si="637"/>
        <v>6</v>
      </c>
      <c r="E100" s="598">
        <f t="shared" si="637"/>
        <v>3</v>
      </c>
      <c r="F100" s="598">
        <f t="shared" si="637"/>
        <v>8</v>
      </c>
      <c r="G100" s="598">
        <f t="shared" si="637"/>
        <v>9</v>
      </c>
      <c r="H100" s="598">
        <f t="shared" si="637"/>
        <v>10</v>
      </c>
      <c r="I100" s="598">
        <f t="shared" si="637"/>
        <v>11</v>
      </c>
      <c r="J100" s="598">
        <f t="shared" si="637"/>
        <v>12</v>
      </c>
      <c r="K100" s="598">
        <f t="shared" si="637"/>
        <v>13</v>
      </c>
      <c r="M100" s="598" t="s">
        <v>1632</v>
      </c>
      <c r="N100" s="598">
        <f t="shared" ref="N100:W100" si="638">N$90+$AI180</f>
        <v>4</v>
      </c>
      <c r="O100" s="598">
        <f t="shared" si="638"/>
        <v>5</v>
      </c>
      <c r="P100" s="598">
        <f t="shared" si="638"/>
        <v>6</v>
      </c>
      <c r="Q100" s="598">
        <f t="shared" si="638"/>
        <v>7</v>
      </c>
      <c r="R100" s="598">
        <f t="shared" si="638"/>
        <v>8</v>
      </c>
      <c r="S100" s="598">
        <f t="shared" si="638"/>
        <v>9</v>
      </c>
      <c r="T100" s="598">
        <f t="shared" si="638"/>
        <v>10</v>
      </c>
      <c r="U100" s="598">
        <f t="shared" si="638"/>
        <v>11</v>
      </c>
      <c r="V100" s="598">
        <f t="shared" si="638"/>
        <v>12</v>
      </c>
      <c r="W100" s="598">
        <f t="shared" si="638"/>
        <v>13</v>
      </c>
      <c r="Y100" s="598" t="s">
        <v>1632</v>
      </c>
      <c r="Z100" s="598">
        <f t="shared" ref="Z100:AI100" si="639">Z$90+$AK180</f>
        <v>4</v>
      </c>
      <c r="AA100" s="598">
        <f t="shared" si="639"/>
        <v>5</v>
      </c>
      <c r="AB100" s="598">
        <f t="shared" si="639"/>
        <v>6</v>
      </c>
      <c r="AC100" s="598">
        <f t="shared" si="639"/>
        <v>7</v>
      </c>
      <c r="AD100" s="598">
        <f t="shared" si="639"/>
        <v>8</v>
      </c>
      <c r="AE100" s="598">
        <f t="shared" si="639"/>
        <v>9</v>
      </c>
      <c r="AF100" s="598">
        <f t="shared" si="639"/>
        <v>10</v>
      </c>
      <c r="AG100" s="598">
        <f t="shared" si="639"/>
        <v>11</v>
      </c>
      <c r="AH100" s="598">
        <f t="shared" si="639"/>
        <v>12</v>
      </c>
      <c r="AI100" s="598">
        <f t="shared" si="639"/>
        <v>13</v>
      </c>
      <c r="AK100" s="598" t="s">
        <v>1632</v>
      </c>
      <c r="AL100" s="598">
        <f t="shared" ref="AL100:AU100" si="640">AL$90+$AM180</f>
        <v>2</v>
      </c>
      <c r="AM100" s="598">
        <f t="shared" si="640"/>
        <v>3</v>
      </c>
      <c r="AN100" s="598">
        <f t="shared" si="640"/>
        <v>4</v>
      </c>
      <c r="AO100" s="598">
        <f t="shared" si="640"/>
        <v>5</v>
      </c>
      <c r="AP100" s="598">
        <f t="shared" si="640"/>
        <v>6</v>
      </c>
      <c r="AQ100" s="598">
        <f t="shared" si="640"/>
        <v>7</v>
      </c>
      <c r="AR100" s="598">
        <f t="shared" si="640"/>
        <v>8</v>
      </c>
      <c r="AS100" s="598">
        <f t="shared" si="640"/>
        <v>9</v>
      </c>
      <c r="AT100" s="598">
        <f t="shared" si="640"/>
        <v>10</v>
      </c>
      <c r="AU100" s="598">
        <f t="shared" si="640"/>
        <v>11</v>
      </c>
      <c r="AW100" s="598" t="s">
        <v>1632</v>
      </c>
      <c r="AX100" s="598">
        <f t="shared" ref="AX100:BG100" si="641">AX$68+$BC180</f>
        <v>0</v>
      </c>
      <c r="AY100" s="598">
        <f t="shared" si="641"/>
        <v>1</v>
      </c>
      <c r="AZ100" s="598">
        <f t="shared" si="641"/>
        <v>2</v>
      </c>
      <c r="BA100" s="598">
        <f t="shared" si="641"/>
        <v>3</v>
      </c>
      <c r="BB100" s="598">
        <f t="shared" si="641"/>
        <v>4</v>
      </c>
      <c r="BC100" s="598">
        <f t="shared" si="641"/>
        <v>5</v>
      </c>
      <c r="BD100" s="598">
        <f t="shared" si="641"/>
        <v>6</v>
      </c>
      <c r="BE100" s="598">
        <f t="shared" si="641"/>
        <v>7</v>
      </c>
      <c r="BF100" s="598">
        <f t="shared" si="641"/>
        <v>8</v>
      </c>
      <c r="BG100" s="598">
        <f t="shared" si="641"/>
        <v>9</v>
      </c>
      <c r="BI100" s="598" t="s">
        <v>1632</v>
      </c>
      <c r="BJ100" s="598">
        <f t="shared" ref="BJ100:BS100" si="642">BJ$68+$BG180</f>
        <v>3</v>
      </c>
      <c r="BK100" s="598">
        <f t="shared" si="642"/>
        <v>4</v>
      </c>
      <c r="BL100" s="598">
        <f t="shared" si="642"/>
        <v>5</v>
      </c>
      <c r="BM100" s="598">
        <f t="shared" si="642"/>
        <v>6</v>
      </c>
      <c r="BN100" s="598">
        <f t="shared" si="642"/>
        <v>7</v>
      </c>
      <c r="BO100" s="598">
        <f t="shared" si="642"/>
        <v>8</v>
      </c>
      <c r="BP100" s="598">
        <f t="shared" si="642"/>
        <v>9</v>
      </c>
      <c r="BQ100" s="598">
        <f t="shared" si="642"/>
        <v>10</v>
      </c>
      <c r="BR100" s="598">
        <f t="shared" si="642"/>
        <v>11</v>
      </c>
      <c r="BS100" s="598">
        <f t="shared" si="642"/>
        <v>12</v>
      </c>
      <c r="BU100" s="598" t="s">
        <v>1632</v>
      </c>
      <c r="BV100" s="598">
        <f t="shared" ref="BV100:CE100" si="643">BV$68+$BI180</f>
        <v>-2</v>
      </c>
      <c r="BW100" s="598">
        <f t="shared" si="643"/>
        <v>-1</v>
      </c>
      <c r="BX100" s="598">
        <f t="shared" si="643"/>
        <v>0</v>
      </c>
      <c r="BY100" s="598">
        <f t="shared" si="643"/>
        <v>1</v>
      </c>
      <c r="BZ100" s="598">
        <f t="shared" si="643"/>
        <v>2</v>
      </c>
      <c r="CA100" s="598">
        <f t="shared" si="643"/>
        <v>3</v>
      </c>
      <c r="CB100" s="598">
        <f t="shared" si="643"/>
        <v>4</v>
      </c>
      <c r="CC100" s="598">
        <f t="shared" si="643"/>
        <v>5</v>
      </c>
      <c r="CD100" s="598">
        <f t="shared" si="643"/>
        <v>6</v>
      </c>
      <c r="CE100" s="598">
        <f t="shared" si="643"/>
        <v>7</v>
      </c>
      <c r="CG100" s="598" t="s">
        <v>1632</v>
      </c>
      <c r="CH100" s="598">
        <f t="shared" ref="CH100:CQ100" si="644">CH$90+$BM180</f>
        <v>2</v>
      </c>
      <c r="CI100" s="598">
        <f t="shared" si="644"/>
        <v>3</v>
      </c>
      <c r="CJ100" s="598">
        <f t="shared" si="644"/>
        <v>4</v>
      </c>
      <c r="CK100" s="598">
        <f t="shared" si="644"/>
        <v>5</v>
      </c>
      <c r="CL100" s="598">
        <f t="shared" si="644"/>
        <v>6</v>
      </c>
      <c r="CM100" s="598">
        <f t="shared" si="644"/>
        <v>7</v>
      </c>
      <c r="CN100" s="598">
        <f t="shared" si="644"/>
        <v>8</v>
      </c>
      <c r="CO100" s="598">
        <f t="shared" si="644"/>
        <v>9</v>
      </c>
      <c r="CP100" s="598">
        <f t="shared" si="644"/>
        <v>10</v>
      </c>
      <c r="CQ100" s="598">
        <f t="shared" si="644"/>
        <v>11</v>
      </c>
    </row>
    <row r="101" spans="1:95">
      <c r="A101" s="598" t="s">
        <v>3466</v>
      </c>
      <c r="B101" s="598">
        <f t="shared" ref="B101:K101" si="645">B$90+$AG181</f>
        <v>4</v>
      </c>
      <c r="C101" s="598">
        <f t="shared" si="645"/>
        <v>5</v>
      </c>
      <c r="D101" s="598">
        <f t="shared" si="645"/>
        <v>6</v>
      </c>
      <c r="E101" s="598">
        <f t="shared" si="645"/>
        <v>3</v>
      </c>
      <c r="F101" s="598">
        <f t="shared" si="645"/>
        <v>8</v>
      </c>
      <c r="G101" s="598">
        <f t="shared" si="645"/>
        <v>9</v>
      </c>
      <c r="H101" s="598">
        <f t="shared" si="645"/>
        <v>10</v>
      </c>
      <c r="I101" s="598">
        <f t="shared" si="645"/>
        <v>11</v>
      </c>
      <c r="J101" s="598">
        <f t="shared" si="645"/>
        <v>12</v>
      </c>
      <c r="K101" s="598">
        <f t="shared" si="645"/>
        <v>13</v>
      </c>
      <c r="M101" s="598" t="s">
        <v>3466</v>
      </c>
      <c r="N101" s="598">
        <f t="shared" ref="N101:W101" si="646">N$90+$AI181</f>
        <v>2</v>
      </c>
      <c r="O101" s="598">
        <f t="shared" si="646"/>
        <v>3</v>
      </c>
      <c r="P101" s="598">
        <f t="shared" si="646"/>
        <v>4</v>
      </c>
      <c r="Q101" s="598">
        <f t="shared" si="646"/>
        <v>5</v>
      </c>
      <c r="R101" s="598">
        <f t="shared" si="646"/>
        <v>6</v>
      </c>
      <c r="S101" s="598">
        <f t="shared" si="646"/>
        <v>7</v>
      </c>
      <c r="T101" s="598">
        <f t="shared" si="646"/>
        <v>8</v>
      </c>
      <c r="U101" s="598">
        <f t="shared" si="646"/>
        <v>9</v>
      </c>
      <c r="V101" s="598">
        <f t="shared" si="646"/>
        <v>10</v>
      </c>
      <c r="W101" s="598">
        <f t="shared" si="646"/>
        <v>11</v>
      </c>
      <c r="Y101" s="598" t="s">
        <v>3466</v>
      </c>
      <c r="Z101" s="598">
        <f t="shared" ref="Z101:AI101" si="647">Z$90+$AK181</f>
        <v>4</v>
      </c>
      <c r="AA101" s="598">
        <f t="shared" si="647"/>
        <v>5</v>
      </c>
      <c r="AB101" s="598">
        <f t="shared" si="647"/>
        <v>6</v>
      </c>
      <c r="AC101" s="598">
        <f t="shared" si="647"/>
        <v>7</v>
      </c>
      <c r="AD101" s="598">
        <f t="shared" si="647"/>
        <v>8</v>
      </c>
      <c r="AE101" s="598">
        <f t="shared" si="647"/>
        <v>9</v>
      </c>
      <c r="AF101" s="598">
        <f t="shared" si="647"/>
        <v>10</v>
      </c>
      <c r="AG101" s="598">
        <f t="shared" si="647"/>
        <v>11</v>
      </c>
      <c r="AH101" s="598">
        <f t="shared" si="647"/>
        <v>12</v>
      </c>
      <c r="AI101" s="598">
        <f t="shared" si="647"/>
        <v>13</v>
      </c>
      <c r="AK101" s="598" t="s">
        <v>3466</v>
      </c>
      <c r="AL101" s="598">
        <f t="shared" ref="AL101:AU101" si="648">AL$90+$AM181</f>
        <v>2</v>
      </c>
      <c r="AM101" s="598">
        <f t="shared" si="648"/>
        <v>3</v>
      </c>
      <c r="AN101" s="598">
        <f t="shared" si="648"/>
        <v>4</v>
      </c>
      <c r="AO101" s="598">
        <f t="shared" si="648"/>
        <v>5</v>
      </c>
      <c r="AP101" s="598">
        <f t="shared" si="648"/>
        <v>6</v>
      </c>
      <c r="AQ101" s="598">
        <f t="shared" si="648"/>
        <v>7</v>
      </c>
      <c r="AR101" s="598">
        <f t="shared" si="648"/>
        <v>8</v>
      </c>
      <c r="AS101" s="598">
        <f t="shared" si="648"/>
        <v>9</v>
      </c>
      <c r="AT101" s="598">
        <f t="shared" si="648"/>
        <v>10</v>
      </c>
      <c r="AU101" s="598">
        <f t="shared" si="648"/>
        <v>11</v>
      </c>
      <c r="AW101" s="598" t="s">
        <v>3466</v>
      </c>
      <c r="AX101" s="598">
        <f t="shared" ref="AX101:BG101" si="649">AX$68+$BC181</f>
        <v>4</v>
      </c>
      <c r="AY101" s="598">
        <f t="shared" si="649"/>
        <v>5</v>
      </c>
      <c r="AZ101" s="598">
        <f t="shared" si="649"/>
        <v>6</v>
      </c>
      <c r="BA101" s="598">
        <f t="shared" si="649"/>
        <v>7</v>
      </c>
      <c r="BB101" s="598">
        <f t="shared" si="649"/>
        <v>8</v>
      </c>
      <c r="BC101" s="598">
        <f t="shared" si="649"/>
        <v>9</v>
      </c>
      <c r="BD101" s="598">
        <f t="shared" si="649"/>
        <v>10</v>
      </c>
      <c r="BE101" s="598">
        <f t="shared" si="649"/>
        <v>11</v>
      </c>
      <c r="BF101" s="598">
        <f t="shared" si="649"/>
        <v>12</v>
      </c>
      <c r="BG101" s="598">
        <f t="shared" si="649"/>
        <v>13</v>
      </c>
      <c r="BI101" s="598" t="s">
        <v>3466</v>
      </c>
      <c r="BJ101" s="598">
        <f t="shared" ref="BJ101:BS101" si="650">BJ$68+$BG181</f>
        <v>1</v>
      </c>
      <c r="BK101" s="598">
        <f t="shared" si="650"/>
        <v>2</v>
      </c>
      <c r="BL101" s="598">
        <f t="shared" si="650"/>
        <v>3</v>
      </c>
      <c r="BM101" s="598">
        <f t="shared" si="650"/>
        <v>4</v>
      </c>
      <c r="BN101" s="598">
        <f t="shared" si="650"/>
        <v>5</v>
      </c>
      <c r="BO101" s="598">
        <f t="shared" si="650"/>
        <v>6</v>
      </c>
      <c r="BP101" s="598">
        <f t="shared" si="650"/>
        <v>7</v>
      </c>
      <c r="BQ101" s="598">
        <f t="shared" si="650"/>
        <v>8</v>
      </c>
      <c r="BR101" s="598">
        <f t="shared" si="650"/>
        <v>9</v>
      </c>
      <c r="BS101" s="598">
        <f t="shared" si="650"/>
        <v>10</v>
      </c>
      <c r="BU101" s="598" t="s">
        <v>3466</v>
      </c>
      <c r="BV101" s="598">
        <f t="shared" ref="BV101:CE101" si="651">BV$68+$BI181</f>
        <v>2</v>
      </c>
      <c r="BW101" s="598">
        <f t="shared" si="651"/>
        <v>3</v>
      </c>
      <c r="BX101" s="598">
        <f t="shared" si="651"/>
        <v>4</v>
      </c>
      <c r="BY101" s="598">
        <f t="shared" si="651"/>
        <v>5</v>
      </c>
      <c r="BZ101" s="598">
        <f t="shared" si="651"/>
        <v>6</v>
      </c>
      <c r="CA101" s="598">
        <f t="shared" si="651"/>
        <v>7</v>
      </c>
      <c r="CB101" s="598">
        <f t="shared" si="651"/>
        <v>8</v>
      </c>
      <c r="CC101" s="598">
        <f t="shared" si="651"/>
        <v>9</v>
      </c>
      <c r="CD101" s="598">
        <f t="shared" si="651"/>
        <v>10</v>
      </c>
      <c r="CE101" s="598">
        <f t="shared" si="651"/>
        <v>11</v>
      </c>
      <c r="CG101" s="598" t="s">
        <v>3466</v>
      </c>
      <c r="CH101" s="598">
        <f t="shared" ref="CH101:CQ101" si="652">CH$90+$BM181</f>
        <v>0</v>
      </c>
      <c r="CI101" s="598">
        <f t="shared" si="652"/>
        <v>1</v>
      </c>
      <c r="CJ101" s="598">
        <f t="shared" si="652"/>
        <v>2</v>
      </c>
      <c r="CK101" s="598">
        <f t="shared" si="652"/>
        <v>3</v>
      </c>
      <c r="CL101" s="598">
        <f t="shared" si="652"/>
        <v>4</v>
      </c>
      <c r="CM101" s="598">
        <f t="shared" si="652"/>
        <v>5</v>
      </c>
      <c r="CN101" s="598">
        <f t="shared" si="652"/>
        <v>6</v>
      </c>
      <c r="CO101" s="598">
        <f t="shared" si="652"/>
        <v>7</v>
      </c>
      <c r="CP101" s="598">
        <f t="shared" si="652"/>
        <v>8</v>
      </c>
      <c r="CQ101" s="598">
        <f t="shared" si="652"/>
        <v>9</v>
      </c>
    </row>
    <row r="102" spans="1:95">
      <c r="A102" s="598" t="s">
        <v>2347</v>
      </c>
      <c r="B102" s="598" t="e">
        <f t="shared" ref="B102:K102" si="653">B$90+$AG182</f>
        <v>#N/A</v>
      </c>
      <c r="C102" s="598" t="e">
        <f t="shared" si="653"/>
        <v>#N/A</v>
      </c>
      <c r="D102" s="598" t="e">
        <f t="shared" si="653"/>
        <v>#N/A</v>
      </c>
      <c r="E102" s="598" t="e">
        <f t="shared" si="653"/>
        <v>#N/A</v>
      </c>
      <c r="F102" s="598" t="e">
        <f t="shared" si="653"/>
        <v>#N/A</v>
      </c>
      <c r="G102" s="598" t="e">
        <f t="shared" si="653"/>
        <v>#N/A</v>
      </c>
      <c r="H102" s="598" t="e">
        <f t="shared" si="653"/>
        <v>#N/A</v>
      </c>
      <c r="I102" s="598" t="e">
        <f t="shared" si="653"/>
        <v>#N/A</v>
      </c>
      <c r="J102" s="598" t="e">
        <f t="shared" si="653"/>
        <v>#N/A</v>
      </c>
      <c r="K102" s="598" t="e">
        <f t="shared" si="653"/>
        <v>#N/A</v>
      </c>
      <c r="M102" s="598" t="s">
        <v>2347</v>
      </c>
      <c r="N102" s="598" t="e">
        <f t="shared" ref="N102:W102" si="654">N$90+$AI182</f>
        <v>#N/A</v>
      </c>
      <c r="O102" s="598" t="e">
        <f t="shared" si="654"/>
        <v>#N/A</v>
      </c>
      <c r="P102" s="598" t="e">
        <f t="shared" si="654"/>
        <v>#N/A</v>
      </c>
      <c r="Q102" s="598" t="e">
        <f t="shared" si="654"/>
        <v>#N/A</v>
      </c>
      <c r="R102" s="598" t="e">
        <f t="shared" si="654"/>
        <v>#N/A</v>
      </c>
      <c r="S102" s="598" t="e">
        <f t="shared" si="654"/>
        <v>#N/A</v>
      </c>
      <c r="T102" s="598" t="e">
        <f t="shared" si="654"/>
        <v>#N/A</v>
      </c>
      <c r="U102" s="598" t="e">
        <f t="shared" si="654"/>
        <v>#N/A</v>
      </c>
      <c r="V102" s="598" t="e">
        <f t="shared" si="654"/>
        <v>#N/A</v>
      </c>
      <c r="W102" s="598" t="e">
        <f t="shared" si="654"/>
        <v>#N/A</v>
      </c>
      <c r="Y102" s="598" t="s">
        <v>2347</v>
      </c>
      <c r="Z102" s="598" t="e">
        <f t="shared" ref="Z102:AI102" si="655">Z$90+$AK182</f>
        <v>#N/A</v>
      </c>
      <c r="AA102" s="598" t="e">
        <f t="shared" si="655"/>
        <v>#N/A</v>
      </c>
      <c r="AB102" s="598" t="e">
        <f t="shared" si="655"/>
        <v>#N/A</v>
      </c>
      <c r="AC102" s="598" t="e">
        <f t="shared" si="655"/>
        <v>#N/A</v>
      </c>
      <c r="AD102" s="598" t="e">
        <f t="shared" si="655"/>
        <v>#N/A</v>
      </c>
      <c r="AE102" s="598" t="e">
        <f t="shared" si="655"/>
        <v>#N/A</v>
      </c>
      <c r="AF102" s="598" t="e">
        <f t="shared" si="655"/>
        <v>#N/A</v>
      </c>
      <c r="AG102" s="598" t="e">
        <f t="shared" si="655"/>
        <v>#N/A</v>
      </c>
      <c r="AH102" s="598" t="e">
        <f t="shared" si="655"/>
        <v>#N/A</v>
      </c>
      <c r="AI102" s="598" t="e">
        <f t="shared" si="655"/>
        <v>#N/A</v>
      </c>
      <c r="AK102" s="598" t="s">
        <v>2347</v>
      </c>
      <c r="AL102" s="598" t="e">
        <f t="shared" ref="AL102:AU102" si="656">AL$90+$AM182</f>
        <v>#N/A</v>
      </c>
      <c r="AM102" s="598" t="e">
        <f t="shared" si="656"/>
        <v>#N/A</v>
      </c>
      <c r="AN102" s="598" t="e">
        <f t="shared" si="656"/>
        <v>#N/A</v>
      </c>
      <c r="AO102" s="598" t="e">
        <f t="shared" si="656"/>
        <v>#N/A</v>
      </c>
      <c r="AP102" s="598" t="e">
        <f t="shared" si="656"/>
        <v>#N/A</v>
      </c>
      <c r="AQ102" s="598" t="e">
        <f t="shared" si="656"/>
        <v>#N/A</v>
      </c>
      <c r="AR102" s="598" t="e">
        <f t="shared" si="656"/>
        <v>#N/A</v>
      </c>
      <c r="AS102" s="598" t="e">
        <f t="shared" si="656"/>
        <v>#N/A</v>
      </c>
      <c r="AT102" s="598" t="e">
        <f t="shared" si="656"/>
        <v>#N/A</v>
      </c>
      <c r="AU102" s="598" t="e">
        <f t="shared" si="656"/>
        <v>#N/A</v>
      </c>
      <c r="AW102" s="598" t="s">
        <v>2347</v>
      </c>
      <c r="AX102" s="598" t="e">
        <f t="shared" ref="AX102:BG102" si="657">AX$68+$BC182</f>
        <v>#N/A</v>
      </c>
      <c r="AY102" s="598" t="e">
        <f t="shared" si="657"/>
        <v>#N/A</v>
      </c>
      <c r="AZ102" s="598" t="e">
        <f t="shared" si="657"/>
        <v>#N/A</v>
      </c>
      <c r="BA102" s="598" t="e">
        <f t="shared" si="657"/>
        <v>#N/A</v>
      </c>
      <c r="BB102" s="598" t="e">
        <f t="shared" si="657"/>
        <v>#N/A</v>
      </c>
      <c r="BC102" s="598" t="e">
        <f t="shared" si="657"/>
        <v>#N/A</v>
      </c>
      <c r="BD102" s="598" t="e">
        <f t="shared" si="657"/>
        <v>#N/A</v>
      </c>
      <c r="BE102" s="598" t="e">
        <f t="shared" si="657"/>
        <v>#N/A</v>
      </c>
      <c r="BF102" s="598" t="e">
        <f t="shared" si="657"/>
        <v>#N/A</v>
      </c>
      <c r="BG102" s="598" t="e">
        <f t="shared" si="657"/>
        <v>#N/A</v>
      </c>
      <c r="BI102" s="598" t="s">
        <v>2347</v>
      </c>
      <c r="BJ102" s="598" t="e">
        <f t="shared" ref="BJ102:BS102" si="658">BJ$68+$BG182</f>
        <v>#N/A</v>
      </c>
      <c r="BK102" s="598" t="e">
        <f t="shared" si="658"/>
        <v>#N/A</v>
      </c>
      <c r="BL102" s="598" t="e">
        <f t="shared" si="658"/>
        <v>#N/A</v>
      </c>
      <c r="BM102" s="598" t="e">
        <f t="shared" si="658"/>
        <v>#N/A</v>
      </c>
      <c r="BN102" s="598" t="e">
        <f t="shared" si="658"/>
        <v>#N/A</v>
      </c>
      <c r="BO102" s="598" t="e">
        <f t="shared" si="658"/>
        <v>#N/A</v>
      </c>
      <c r="BP102" s="598" t="e">
        <f t="shared" si="658"/>
        <v>#N/A</v>
      </c>
      <c r="BQ102" s="598" t="e">
        <f t="shared" si="658"/>
        <v>#N/A</v>
      </c>
      <c r="BR102" s="598" t="e">
        <f t="shared" si="658"/>
        <v>#N/A</v>
      </c>
      <c r="BS102" s="598" t="e">
        <f t="shared" si="658"/>
        <v>#N/A</v>
      </c>
      <c r="BU102" s="598" t="s">
        <v>2347</v>
      </c>
      <c r="BV102" s="598" t="e">
        <f t="shared" ref="BV102:CE102" si="659">BV$68+$BI182</f>
        <v>#N/A</v>
      </c>
      <c r="BW102" s="598" t="e">
        <f t="shared" si="659"/>
        <v>#N/A</v>
      </c>
      <c r="BX102" s="598" t="e">
        <f t="shared" si="659"/>
        <v>#N/A</v>
      </c>
      <c r="BY102" s="598" t="e">
        <f t="shared" si="659"/>
        <v>#N/A</v>
      </c>
      <c r="BZ102" s="598" t="e">
        <f t="shared" si="659"/>
        <v>#N/A</v>
      </c>
      <c r="CA102" s="598" t="e">
        <f t="shared" si="659"/>
        <v>#N/A</v>
      </c>
      <c r="CB102" s="598" t="e">
        <f t="shared" si="659"/>
        <v>#N/A</v>
      </c>
      <c r="CC102" s="598" t="e">
        <f t="shared" si="659"/>
        <v>#N/A</v>
      </c>
      <c r="CD102" s="598" t="e">
        <f t="shared" si="659"/>
        <v>#N/A</v>
      </c>
      <c r="CE102" s="598" t="e">
        <f t="shared" si="659"/>
        <v>#N/A</v>
      </c>
      <c r="CG102" s="598" t="s">
        <v>2347</v>
      </c>
      <c r="CH102" s="598" t="e">
        <f t="shared" ref="CH102:CQ102" si="660">CH$90+$BM182</f>
        <v>#N/A</v>
      </c>
      <c r="CI102" s="598" t="e">
        <f t="shared" si="660"/>
        <v>#N/A</v>
      </c>
      <c r="CJ102" s="598" t="e">
        <f t="shared" si="660"/>
        <v>#N/A</v>
      </c>
      <c r="CK102" s="598" t="e">
        <f t="shared" si="660"/>
        <v>#N/A</v>
      </c>
      <c r="CL102" s="598" t="e">
        <f t="shared" si="660"/>
        <v>#N/A</v>
      </c>
      <c r="CM102" s="598" t="e">
        <f t="shared" si="660"/>
        <v>#N/A</v>
      </c>
      <c r="CN102" s="598" t="e">
        <f t="shared" si="660"/>
        <v>#N/A</v>
      </c>
      <c r="CO102" s="598" t="e">
        <f t="shared" si="660"/>
        <v>#N/A</v>
      </c>
      <c r="CP102" s="598" t="e">
        <f t="shared" si="660"/>
        <v>#N/A</v>
      </c>
      <c r="CQ102" s="598" t="e">
        <f t="shared" si="660"/>
        <v>#N/A</v>
      </c>
    </row>
    <row r="103" spans="1:95">
      <c r="A103" s="598" t="s">
        <v>2348</v>
      </c>
      <c r="B103" s="598" t="e">
        <f t="shared" ref="B103:K103" si="661">B$90+$AG183</f>
        <v>#N/A</v>
      </c>
      <c r="C103" s="598" t="e">
        <f t="shared" si="661"/>
        <v>#N/A</v>
      </c>
      <c r="D103" s="598" t="e">
        <f t="shared" si="661"/>
        <v>#N/A</v>
      </c>
      <c r="E103" s="598" t="e">
        <f t="shared" si="661"/>
        <v>#N/A</v>
      </c>
      <c r="F103" s="598" t="e">
        <f t="shared" si="661"/>
        <v>#N/A</v>
      </c>
      <c r="G103" s="598" t="e">
        <f t="shared" si="661"/>
        <v>#N/A</v>
      </c>
      <c r="H103" s="598" t="e">
        <f t="shared" si="661"/>
        <v>#N/A</v>
      </c>
      <c r="I103" s="598" t="e">
        <f t="shared" si="661"/>
        <v>#N/A</v>
      </c>
      <c r="J103" s="598" t="e">
        <f t="shared" si="661"/>
        <v>#N/A</v>
      </c>
      <c r="K103" s="598" t="e">
        <f t="shared" si="661"/>
        <v>#N/A</v>
      </c>
      <c r="M103" s="598" t="s">
        <v>2348</v>
      </c>
      <c r="N103" s="598" t="e">
        <f t="shared" ref="N103:W103" si="662">N$90+$AI183</f>
        <v>#N/A</v>
      </c>
      <c r="O103" s="598" t="e">
        <f t="shared" si="662"/>
        <v>#N/A</v>
      </c>
      <c r="P103" s="598" t="e">
        <f t="shared" si="662"/>
        <v>#N/A</v>
      </c>
      <c r="Q103" s="598" t="e">
        <f t="shared" si="662"/>
        <v>#N/A</v>
      </c>
      <c r="R103" s="598" t="e">
        <f t="shared" si="662"/>
        <v>#N/A</v>
      </c>
      <c r="S103" s="598" t="e">
        <f t="shared" si="662"/>
        <v>#N/A</v>
      </c>
      <c r="T103" s="598" t="e">
        <f t="shared" si="662"/>
        <v>#N/A</v>
      </c>
      <c r="U103" s="598" t="e">
        <f t="shared" si="662"/>
        <v>#N/A</v>
      </c>
      <c r="V103" s="598" t="e">
        <f t="shared" si="662"/>
        <v>#N/A</v>
      </c>
      <c r="W103" s="598" t="e">
        <f t="shared" si="662"/>
        <v>#N/A</v>
      </c>
      <c r="Y103" s="598" t="s">
        <v>2348</v>
      </c>
      <c r="Z103" s="598" t="e">
        <f t="shared" ref="Z103:AI103" si="663">Z$90+$AK183</f>
        <v>#N/A</v>
      </c>
      <c r="AA103" s="598" t="e">
        <f t="shared" si="663"/>
        <v>#N/A</v>
      </c>
      <c r="AB103" s="598" t="e">
        <f t="shared" si="663"/>
        <v>#N/A</v>
      </c>
      <c r="AC103" s="598" t="e">
        <f t="shared" si="663"/>
        <v>#N/A</v>
      </c>
      <c r="AD103" s="598" t="e">
        <f t="shared" si="663"/>
        <v>#N/A</v>
      </c>
      <c r="AE103" s="598" t="e">
        <f t="shared" si="663"/>
        <v>#N/A</v>
      </c>
      <c r="AF103" s="598" t="e">
        <f t="shared" si="663"/>
        <v>#N/A</v>
      </c>
      <c r="AG103" s="598" t="e">
        <f t="shared" si="663"/>
        <v>#N/A</v>
      </c>
      <c r="AH103" s="598" t="e">
        <f t="shared" si="663"/>
        <v>#N/A</v>
      </c>
      <c r="AI103" s="598" t="e">
        <f t="shared" si="663"/>
        <v>#N/A</v>
      </c>
      <c r="AK103" s="598" t="s">
        <v>2348</v>
      </c>
      <c r="AL103" s="598" t="e">
        <f t="shared" ref="AL103:AU103" si="664">AL$90+$AM183</f>
        <v>#N/A</v>
      </c>
      <c r="AM103" s="598" t="e">
        <f t="shared" si="664"/>
        <v>#N/A</v>
      </c>
      <c r="AN103" s="598" t="e">
        <f t="shared" si="664"/>
        <v>#N/A</v>
      </c>
      <c r="AO103" s="598" t="e">
        <f t="shared" si="664"/>
        <v>#N/A</v>
      </c>
      <c r="AP103" s="598" t="e">
        <f t="shared" si="664"/>
        <v>#N/A</v>
      </c>
      <c r="AQ103" s="598" t="e">
        <f t="shared" si="664"/>
        <v>#N/A</v>
      </c>
      <c r="AR103" s="598" t="e">
        <f t="shared" si="664"/>
        <v>#N/A</v>
      </c>
      <c r="AS103" s="598" t="e">
        <f t="shared" si="664"/>
        <v>#N/A</v>
      </c>
      <c r="AT103" s="598" t="e">
        <f t="shared" si="664"/>
        <v>#N/A</v>
      </c>
      <c r="AU103" s="598" t="e">
        <f t="shared" si="664"/>
        <v>#N/A</v>
      </c>
      <c r="AW103" s="598" t="s">
        <v>2348</v>
      </c>
      <c r="AX103" s="598" t="e">
        <f t="shared" ref="AX103:BG103" si="665">AX$68+$BC183</f>
        <v>#N/A</v>
      </c>
      <c r="AY103" s="598" t="e">
        <f t="shared" si="665"/>
        <v>#N/A</v>
      </c>
      <c r="AZ103" s="598" t="e">
        <f t="shared" si="665"/>
        <v>#N/A</v>
      </c>
      <c r="BA103" s="598" t="e">
        <f t="shared" si="665"/>
        <v>#N/A</v>
      </c>
      <c r="BB103" s="598" t="e">
        <f t="shared" si="665"/>
        <v>#N/A</v>
      </c>
      <c r="BC103" s="598" t="e">
        <f t="shared" si="665"/>
        <v>#N/A</v>
      </c>
      <c r="BD103" s="598" t="e">
        <f t="shared" si="665"/>
        <v>#N/A</v>
      </c>
      <c r="BE103" s="598" t="e">
        <f t="shared" si="665"/>
        <v>#N/A</v>
      </c>
      <c r="BF103" s="598" t="e">
        <f t="shared" si="665"/>
        <v>#N/A</v>
      </c>
      <c r="BG103" s="598" t="e">
        <f t="shared" si="665"/>
        <v>#N/A</v>
      </c>
      <c r="BI103" s="598" t="s">
        <v>2348</v>
      </c>
      <c r="BJ103" s="598" t="e">
        <f t="shared" ref="BJ103:BS103" si="666">BJ$68+$BG183</f>
        <v>#N/A</v>
      </c>
      <c r="BK103" s="598" t="e">
        <f t="shared" si="666"/>
        <v>#N/A</v>
      </c>
      <c r="BL103" s="598" t="e">
        <f t="shared" si="666"/>
        <v>#N/A</v>
      </c>
      <c r="BM103" s="598" t="e">
        <f t="shared" si="666"/>
        <v>#N/A</v>
      </c>
      <c r="BN103" s="598" t="e">
        <f t="shared" si="666"/>
        <v>#N/A</v>
      </c>
      <c r="BO103" s="598" t="e">
        <f t="shared" si="666"/>
        <v>#N/A</v>
      </c>
      <c r="BP103" s="598" t="e">
        <f t="shared" si="666"/>
        <v>#N/A</v>
      </c>
      <c r="BQ103" s="598" t="e">
        <f t="shared" si="666"/>
        <v>#N/A</v>
      </c>
      <c r="BR103" s="598" t="e">
        <f t="shared" si="666"/>
        <v>#N/A</v>
      </c>
      <c r="BS103" s="598" t="e">
        <f t="shared" si="666"/>
        <v>#N/A</v>
      </c>
      <c r="BU103" s="598" t="s">
        <v>2348</v>
      </c>
      <c r="BV103" s="598" t="e">
        <f t="shared" ref="BV103:CE103" si="667">BV$68+$BI183</f>
        <v>#N/A</v>
      </c>
      <c r="BW103" s="598" t="e">
        <f t="shared" si="667"/>
        <v>#N/A</v>
      </c>
      <c r="BX103" s="598" t="e">
        <f t="shared" si="667"/>
        <v>#N/A</v>
      </c>
      <c r="BY103" s="598" t="e">
        <f t="shared" si="667"/>
        <v>#N/A</v>
      </c>
      <c r="BZ103" s="598" t="e">
        <f t="shared" si="667"/>
        <v>#N/A</v>
      </c>
      <c r="CA103" s="598" t="e">
        <f t="shared" si="667"/>
        <v>#N/A</v>
      </c>
      <c r="CB103" s="598" t="e">
        <f t="shared" si="667"/>
        <v>#N/A</v>
      </c>
      <c r="CC103" s="598" t="e">
        <f t="shared" si="667"/>
        <v>#N/A</v>
      </c>
      <c r="CD103" s="598" t="e">
        <f t="shared" si="667"/>
        <v>#N/A</v>
      </c>
      <c r="CE103" s="598" t="e">
        <f t="shared" si="667"/>
        <v>#N/A</v>
      </c>
      <c r="CG103" s="598" t="s">
        <v>2348</v>
      </c>
      <c r="CH103" s="598" t="e">
        <f t="shared" ref="CH103:CQ103" si="668">CH$90+$BM183</f>
        <v>#N/A</v>
      </c>
      <c r="CI103" s="598" t="e">
        <f t="shared" si="668"/>
        <v>#N/A</v>
      </c>
      <c r="CJ103" s="598" t="e">
        <f t="shared" si="668"/>
        <v>#N/A</v>
      </c>
      <c r="CK103" s="598" t="e">
        <f t="shared" si="668"/>
        <v>#N/A</v>
      </c>
      <c r="CL103" s="598" t="e">
        <f t="shared" si="668"/>
        <v>#N/A</v>
      </c>
      <c r="CM103" s="598" t="e">
        <f t="shared" si="668"/>
        <v>#N/A</v>
      </c>
      <c r="CN103" s="598" t="e">
        <f t="shared" si="668"/>
        <v>#N/A</v>
      </c>
      <c r="CO103" s="598" t="e">
        <f t="shared" si="668"/>
        <v>#N/A</v>
      </c>
      <c r="CP103" s="598" t="e">
        <f t="shared" si="668"/>
        <v>#N/A</v>
      </c>
      <c r="CQ103" s="598" t="e">
        <f t="shared" si="668"/>
        <v>#N/A</v>
      </c>
    </row>
    <row r="104" spans="1:95">
      <c r="A104" s="598" t="s">
        <v>2340</v>
      </c>
      <c r="B104" s="598" t="e">
        <f t="shared" ref="B104:K104" si="669">B$90+$AG184</f>
        <v>#N/A</v>
      </c>
      <c r="C104" s="598" t="e">
        <f t="shared" si="669"/>
        <v>#N/A</v>
      </c>
      <c r="D104" s="598" t="e">
        <f t="shared" si="669"/>
        <v>#N/A</v>
      </c>
      <c r="E104" s="598" t="e">
        <f t="shared" si="669"/>
        <v>#N/A</v>
      </c>
      <c r="F104" s="598" t="e">
        <f t="shared" si="669"/>
        <v>#N/A</v>
      </c>
      <c r="G104" s="598" t="e">
        <f t="shared" si="669"/>
        <v>#N/A</v>
      </c>
      <c r="H104" s="598" t="e">
        <f t="shared" si="669"/>
        <v>#N/A</v>
      </c>
      <c r="I104" s="598" t="e">
        <f t="shared" si="669"/>
        <v>#N/A</v>
      </c>
      <c r="J104" s="598" t="e">
        <f t="shared" si="669"/>
        <v>#N/A</v>
      </c>
      <c r="K104" s="598" t="e">
        <f t="shared" si="669"/>
        <v>#N/A</v>
      </c>
      <c r="M104" s="598" t="s">
        <v>2340</v>
      </c>
      <c r="N104" s="598" t="e">
        <f t="shared" ref="N104:W104" si="670">N$90+$AI184</f>
        <v>#N/A</v>
      </c>
      <c r="O104" s="598" t="e">
        <f t="shared" si="670"/>
        <v>#N/A</v>
      </c>
      <c r="P104" s="598" t="e">
        <f t="shared" si="670"/>
        <v>#N/A</v>
      </c>
      <c r="Q104" s="598" t="e">
        <f t="shared" si="670"/>
        <v>#N/A</v>
      </c>
      <c r="R104" s="598" t="e">
        <f t="shared" si="670"/>
        <v>#N/A</v>
      </c>
      <c r="S104" s="598" t="e">
        <f t="shared" si="670"/>
        <v>#N/A</v>
      </c>
      <c r="T104" s="598" t="e">
        <f t="shared" si="670"/>
        <v>#N/A</v>
      </c>
      <c r="U104" s="598" t="e">
        <f t="shared" si="670"/>
        <v>#N/A</v>
      </c>
      <c r="V104" s="598" t="e">
        <f t="shared" si="670"/>
        <v>#N/A</v>
      </c>
      <c r="W104" s="598" t="e">
        <f t="shared" si="670"/>
        <v>#N/A</v>
      </c>
      <c r="Y104" s="598" t="s">
        <v>2340</v>
      </c>
      <c r="Z104" s="598" t="e">
        <f t="shared" ref="Z104:AI104" si="671">Z$90+$AK184</f>
        <v>#N/A</v>
      </c>
      <c r="AA104" s="598" t="e">
        <f t="shared" si="671"/>
        <v>#N/A</v>
      </c>
      <c r="AB104" s="598" t="e">
        <f t="shared" si="671"/>
        <v>#N/A</v>
      </c>
      <c r="AC104" s="598" t="e">
        <f t="shared" si="671"/>
        <v>#N/A</v>
      </c>
      <c r="AD104" s="598" t="e">
        <f t="shared" si="671"/>
        <v>#N/A</v>
      </c>
      <c r="AE104" s="598" t="e">
        <f t="shared" si="671"/>
        <v>#N/A</v>
      </c>
      <c r="AF104" s="598" t="e">
        <f t="shared" si="671"/>
        <v>#N/A</v>
      </c>
      <c r="AG104" s="598" t="e">
        <f t="shared" si="671"/>
        <v>#N/A</v>
      </c>
      <c r="AH104" s="598" t="e">
        <f t="shared" si="671"/>
        <v>#N/A</v>
      </c>
      <c r="AI104" s="598" t="e">
        <f t="shared" si="671"/>
        <v>#N/A</v>
      </c>
      <c r="AK104" s="598" t="s">
        <v>2340</v>
      </c>
      <c r="AL104" s="598" t="e">
        <f t="shared" ref="AL104:AU104" si="672">AL$90+$AM184</f>
        <v>#N/A</v>
      </c>
      <c r="AM104" s="598" t="e">
        <f t="shared" si="672"/>
        <v>#N/A</v>
      </c>
      <c r="AN104" s="598" t="e">
        <f t="shared" si="672"/>
        <v>#N/A</v>
      </c>
      <c r="AO104" s="598" t="e">
        <f t="shared" si="672"/>
        <v>#N/A</v>
      </c>
      <c r="AP104" s="598" t="e">
        <f t="shared" si="672"/>
        <v>#N/A</v>
      </c>
      <c r="AQ104" s="598" t="e">
        <f t="shared" si="672"/>
        <v>#N/A</v>
      </c>
      <c r="AR104" s="598" t="e">
        <f t="shared" si="672"/>
        <v>#N/A</v>
      </c>
      <c r="AS104" s="598" t="e">
        <f t="shared" si="672"/>
        <v>#N/A</v>
      </c>
      <c r="AT104" s="598" t="e">
        <f t="shared" si="672"/>
        <v>#N/A</v>
      </c>
      <c r="AU104" s="598" t="e">
        <f t="shared" si="672"/>
        <v>#N/A</v>
      </c>
      <c r="AW104" s="598" t="s">
        <v>2340</v>
      </c>
      <c r="AX104" s="598" t="e">
        <f t="shared" ref="AX104:BG104" si="673">AX$68+$BC184</f>
        <v>#N/A</v>
      </c>
      <c r="AY104" s="598" t="e">
        <f t="shared" si="673"/>
        <v>#N/A</v>
      </c>
      <c r="AZ104" s="598" t="e">
        <f t="shared" si="673"/>
        <v>#N/A</v>
      </c>
      <c r="BA104" s="598" t="e">
        <f t="shared" si="673"/>
        <v>#N/A</v>
      </c>
      <c r="BB104" s="598" t="e">
        <f t="shared" si="673"/>
        <v>#N/A</v>
      </c>
      <c r="BC104" s="598" t="e">
        <f t="shared" si="673"/>
        <v>#N/A</v>
      </c>
      <c r="BD104" s="598" t="e">
        <f t="shared" si="673"/>
        <v>#N/A</v>
      </c>
      <c r="BE104" s="598" t="e">
        <f t="shared" si="673"/>
        <v>#N/A</v>
      </c>
      <c r="BF104" s="598" t="e">
        <f t="shared" si="673"/>
        <v>#N/A</v>
      </c>
      <c r="BG104" s="598" t="e">
        <f t="shared" si="673"/>
        <v>#N/A</v>
      </c>
      <c r="BI104" s="598" t="s">
        <v>2340</v>
      </c>
      <c r="BJ104" s="598" t="e">
        <f t="shared" ref="BJ104:BS104" si="674">BJ$68+$BG184</f>
        <v>#N/A</v>
      </c>
      <c r="BK104" s="598" t="e">
        <f t="shared" si="674"/>
        <v>#N/A</v>
      </c>
      <c r="BL104" s="598" t="e">
        <f t="shared" si="674"/>
        <v>#N/A</v>
      </c>
      <c r="BM104" s="598" t="e">
        <f t="shared" si="674"/>
        <v>#N/A</v>
      </c>
      <c r="BN104" s="598" t="e">
        <f t="shared" si="674"/>
        <v>#N/A</v>
      </c>
      <c r="BO104" s="598" t="e">
        <f t="shared" si="674"/>
        <v>#N/A</v>
      </c>
      <c r="BP104" s="598" t="e">
        <f t="shared" si="674"/>
        <v>#N/A</v>
      </c>
      <c r="BQ104" s="598" t="e">
        <f t="shared" si="674"/>
        <v>#N/A</v>
      </c>
      <c r="BR104" s="598" t="e">
        <f t="shared" si="674"/>
        <v>#N/A</v>
      </c>
      <c r="BS104" s="598" t="e">
        <f t="shared" si="674"/>
        <v>#N/A</v>
      </c>
      <c r="BU104" s="598" t="s">
        <v>2340</v>
      </c>
      <c r="BV104" s="598" t="e">
        <f t="shared" ref="BV104:CE104" si="675">BV$68+$BI184</f>
        <v>#N/A</v>
      </c>
      <c r="BW104" s="598" t="e">
        <f t="shared" si="675"/>
        <v>#N/A</v>
      </c>
      <c r="BX104" s="598" t="e">
        <f t="shared" si="675"/>
        <v>#N/A</v>
      </c>
      <c r="BY104" s="598" t="e">
        <f t="shared" si="675"/>
        <v>#N/A</v>
      </c>
      <c r="BZ104" s="598" t="e">
        <f t="shared" si="675"/>
        <v>#N/A</v>
      </c>
      <c r="CA104" s="598" t="e">
        <f t="shared" si="675"/>
        <v>#N/A</v>
      </c>
      <c r="CB104" s="598" t="e">
        <f t="shared" si="675"/>
        <v>#N/A</v>
      </c>
      <c r="CC104" s="598" t="e">
        <f t="shared" si="675"/>
        <v>#N/A</v>
      </c>
      <c r="CD104" s="598" t="e">
        <f t="shared" si="675"/>
        <v>#N/A</v>
      </c>
      <c r="CE104" s="598" t="e">
        <f t="shared" si="675"/>
        <v>#N/A</v>
      </c>
      <c r="CG104" s="598" t="s">
        <v>2340</v>
      </c>
      <c r="CH104" s="598" t="e">
        <f t="shared" ref="CH104:CQ104" si="676">CH$90+$BM184</f>
        <v>#N/A</v>
      </c>
      <c r="CI104" s="598" t="e">
        <f t="shared" si="676"/>
        <v>#N/A</v>
      </c>
      <c r="CJ104" s="598" t="e">
        <f t="shared" si="676"/>
        <v>#N/A</v>
      </c>
      <c r="CK104" s="598" t="e">
        <f t="shared" si="676"/>
        <v>#N/A</v>
      </c>
      <c r="CL104" s="598" t="e">
        <f t="shared" si="676"/>
        <v>#N/A</v>
      </c>
      <c r="CM104" s="598" t="e">
        <f t="shared" si="676"/>
        <v>#N/A</v>
      </c>
      <c r="CN104" s="598" t="e">
        <f t="shared" si="676"/>
        <v>#N/A</v>
      </c>
      <c r="CO104" s="598" t="e">
        <f t="shared" si="676"/>
        <v>#N/A</v>
      </c>
      <c r="CP104" s="598" t="e">
        <f t="shared" si="676"/>
        <v>#N/A</v>
      </c>
      <c r="CQ104" s="598" t="e">
        <f t="shared" si="676"/>
        <v>#N/A</v>
      </c>
    </row>
    <row r="105" spans="1:95">
      <c r="A105" s="598" t="s">
        <v>1633</v>
      </c>
      <c r="B105" s="598">
        <f t="shared" ref="B105:K105" si="677">B$90+$AG185</f>
        <v>1</v>
      </c>
      <c r="C105" s="598">
        <f t="shared" si="677"/>
        <v>2</v>
      </c>
      <c r="D105" s="598">
        <f t="shared" si="677"/>
        <v>3</v>
      </c>
      <c r="E105" s="598">
        <f t="shared" si="677"/>
        <v>0</v>
      </c>
      <c r="F105" s="598">
        <f t="shared" si="677"/>
        <v>5</v>
      </c>
      <c r="G105" s="598">
        <f t="shared" si="677"/>
        <v>6</v>
      </c>
      <c r="H105" s="598">
        <f t="shared" si="677"/>
        <v>7</v>
      </c>
      <c r="I105" s="598">
        <f t="shared" si="677"/>
        <v>8</v>
      </c>
      <c r="J105" s="598">
        <f t="shared" si="677"/>
        <v>9</v>
      </c>
      <c r="K105" s="598">
        <f t="shared" si="677"/>
        <v>10</v>
      </c>
      <c r="M105" s="598" t="s">
        <v>1633</v>
      </c>
      <c r="N105" s="598">
        <f t="shared" ref="N105:W105" si="678">N$90+$AI185</f>
        <v>1</v>
      </c>
      <c r="O105" s="598">
        <f t="shared" si="678"/>
        <v>2</v>
      </c>
      <c r="P105" s="598">
        <f t="shared" si="678"/>
        <v>3</v>
      </c>
      <c r="Q105" s="598">
        <f t="shared" si="678"/>
        <v>4</v>
      </c>
      <c r="R105" s="598">
        <f t="shared" si="678"/>
        <v>5</v>
      </c>
      <c r="S105" s="598">
        <f t="shared" si="678"/>
        <v>6</v>
      </c>
      <c r="T105" s="598">
        <f t="shared" si="678"/>
        <v>7</v>
      </c>
      <c r="U105" s="598">
        <f t="shared" si="678"/>
        <v>8</v>
      </c>
      <c r="V105" s="598">
        <f t="shared" si="678"/>
        <v>9</v>
      </c>
      <c r="W105" s="598">
        <f t="shared" si="678"/>
        <v>10</v>
      </c>
      <c r="Y105" s="598" t="s">
        <v>1633</v>
      </c>
      <c r="Z105" s="598">
        <f t="shared" ref="Z105:AI105" si="679">Z$90+$AK185</f>
        <v>1</v>
      </c>
      <c r="AA105" s="598">
        <f t="shared" si="679"/>
        <v>2</v>
      </c>
      <c r="AB105" s="598">
        <f t="shared" si="679"/>
        <v>3</v>
      </c>
      <c r="AC105" s="598">
        <f t="shared" si="679"/>
        <v>4</v>
      </c>
      <c r="AD105" s="598">
        <f t="shared" si="679"/>
        <v>5</v>
      </c>
      <c r="AE105" s="598">
        <f t="shared" si="679"/>
        <v>6</v>
      </c>
      <c r="AF105" s="598">
        <f t="shared" si="679"/>
        <v>7</v>
      </c>
      <c r="AG105" s="598">
        <f t="shared" si="679"/>
        <v>8</v>
      </c>
      <c r="AH105" s="598">
        <f t="shared" si="679"/>
        <v>9</v>
      </c>
      <c r="AI105" s="598">
        <f t="shared" si="679"/>
        <v>10</v>
      </c>
      <c r="AK105" s="598" t="s">
        <v>1633</v>
      </c>
      <c r="AL105" s="598">
        <f t="shared" ref="AL105:AU105" si="680">AL$90+$AM185</f>
        <v>1</v>
      </c>
      <c r="AM105" s="598">
        <f t="shared" si="680"/>
        <v>2</v>
      </c>
      <c r="AN105" s="598">
        <f t="shared" si="680"/>
        <v>3</v>
      </c>
      <c r="AO105" s="598">
        <f t="shared" si="680"/>
        <v>4</v>
      </c>
      <c r="AP105" s="598">
        <f t="shared" si="680"/>
        <v>5</v>
      </c>
      <c r="AQ105" s="598">
        <f t="shared" si="680"/>
        <v>6</v>
      </c>
      <c r="AR105" s="598">
        <f t="shared" si="680"/>
        <v>7</v>
      </c>
      <c r="AS105" s="598">
        <f t="shared" si="680"/>
        <v>8</v>
      </c>
      <c r="AT105" s="598">
        <f t="shared" si="680"/>
        <v>9</v>
      </c>
      <c r="AU105" s="598">
        <f t="shared" si="680"/>
        <v>10</v>
      </c>
      <c r="AW105" s="598" t="s">
        <v>1633</v>
      </c>
      <c r="AX105" s="598">
        <f t="shared" ref="AX105:BG105" si="681">AX$68+$BC185</f>
        <v>-1</v>
      </c>
      <c r="AY105" s="598">
        <f t="shared" si="681"/>
        <v>0</v>
      </c>
      <c r="AZ105" s="598">
        <f t="shared" si="681"/>
        <v>1</v>
      </c>
      <c r="BA105" s="598">
        <f t="shared" si="681"/>
        <v>2</v>
      </c>
      <c r="BB105" s="598">
        <f t="shared" si="681"/>
        <v>3</v>
      </c>
      <c r="BC105" s="598">
        <f t="shared" si="681"/>
        <v>4</v>
      </c>
      <c r="BD105" s="598">
        <f t="shared" si="681"/>
        <v>5</v>
      </c>
      <c r="BE105" s="598">
        <f t="shared" si="681"/>
        <v>6</v>
      </c>
      <c r="BF105" s="598">
        <f t="shared" si="681"/>
        <v>7</v>
      </c>
      <c r="BG105" s="598">
        <f t="shared" si="681"/>
        <v>8</v>
      </c>
      <c r="BI105" s="598" t="s">
        <v>1633</v>
      </c>
      <c r="BJ105" s="598">
        <f t="shared" ref="BJ105:BS105" si="682">BJ$68+$BG185</f>
        <v>-2</v>
      </c>
      <c r="BK105" s="598">
        <f t="shared" si="682"/>
        <v>-1</v>
      </c>
      <c r="BL105" s="598">
        <f t="shared" si="682"/>
        <v>0</v>
      </c>
      <c r="BM105" s="598">
        <f t="shared" si="682"/>
        <v>1</v>
      </c>
      <c r="BN105" s="598">
        <f t="shared" si="682"/>
        <v>2</v>
      </c>
      <c r="BO105" s="598">
        <f t="shared" si="682"/>
        <v>3</v>
      </c>
      <c r="BP105" s="598">
        <f t="shared" si="682"/>
        <v>4</v>
      </c>
      <c r="BQ105" s="598">
        <f t="shared" si="682"/>
        <v>5</v>
      </c>
      <c r="BR105" s="598">
        <f t="shared" si="682"/>
        <v>6</v>
      </c>
      <c r="BS105" s="598">
        <f t="shared" si="682"/>
        <v>7</v>
      </c>
      <c r="BU105" s="598" t="s">
        <v>1633</v>
      </c>
      <c r="BV105" s="598">
        <f t="shared" ref="BV105:CE105" si="683">BV$68+$BI185</f>
        <v>2</v>
      </c>
      <c r="BW105" s="598">
        <f t="shared" si="683"/>
        <v>3</v>
      </c>
      <c r="BX105" s="598">
        <f t="shared" si="683"/>
        <v>4</v>
      </c>
      <c r="BY105" s="598">
        <f t="shared" si="683"/>
        <v>5</v>
      </c>
      <c r="BZ105" s="598">
        <f t="shared" si="683"/>
        <v>6</v>
      </c>
      <c r="CA105" s="598">
        <f t="shared" si="683"/>
        <v>7</v>
      </c>
      <c r="CB105" s="598">
        <f t="shared" si="683"/>
        <v>8</v>
      </c>
      <c r="CC105" s="598">
        <f t="shared" si="683"/>
        <v>9</v>
      </c>
      <c r="CD105" s="598">
        <f t="shared" si="683"/>
        <v>10</v>
      </c>
      <c r="CE105" s="598">
        <f t="shared" si="683"/>
        <v>11</v>
      </c>
      <c r="CG105" s="598" t="s">
        <v>1633</v>
      </c>
      <c r="CH105" s="598">
        <f t="shared" ref="CH105:CQ105" si="684">CH$90+$BM185</f>
        <v>1</v>
      </c>
      <c r="CI105" s="598">
        <f t="shared" si="684"/>
        <v>2</v>
      </c>
      <c r="CJ105" s="598">
        <f t="shared" si="684"/>
        <v>3</v>
      </c>
      <c r="CK105" s="598">
        <f t="shared" si="684"/>
        <v>4</v>
      </c>
      <c r="CL105" s="598">
        <f t="shared" si="684"/>
        <v>5</v>
      </c>
      <c r="CM105" s="598">
        <f t="shared" si="684"/>
        <v>6</v>
      </c>
      <c r="CN105" s="598">
        <f t="shared" si="684"/>
        <v>7</v>
      </c>
      <c r="CO105" s="598">
        <f t="shared" si="684"/>
        <v>8</v>
      </c>
      <c r="CP105" s="598">
        <f t="shared" si="684"/>
        <v>9</v>
      </c>
      <c r="CQ105" s="598">
        <f t="shared" si="684"/>
        <v>10</v>
      </c>
    </row>
    <row r="106" spans="1:95">
      <c r="A106" s="598" t="s">
        <v>1634</v>
      </c>
      <c r="B106" s="598">
        <f t="shared" ref="B106:K106" si="685">B$90+$AG186</f>
        <v>3</v>
      </c>
      <c r="C106" s="598">
        <f t="shared" si="685"/>
        <v>4</v>
      </c>
      <c r="D106" s="598">
        <f t="shared" si="685"/>
        <v>5</v>
      </c>
      <c r="E106" s="598">
        <f t="shared" si="685"/>
        <v>2</v>
      </c>
      <c r="F106" s="598">
        <f t="shared" si="685"/>
        <v>7</v>
      </c>
      <c r="G106" s="598">
        <f t="shared" si="685"/>
        <v>8</v>
      </c>
      <c r="H106" s="598">
        <f t="shared" si="685"/>
        <v>9</v>
      </c>
      <c r="I106" s="598">
        <f t="shared" si="685"/>
        <v>10</v>
      </c>
      <c r="J106" s="598">
        <f t="shared" si="685"/>
        <v>11</v>
      </c>
      <c r="K106" s="598">
        <f t="shared" si="685"/>
        <v>12</v>
      </c>
      <c r="M106" s="598" t="s">
        <v>1634</v>
      </c>
      <c r="N106" s="598">
        <f t="shared" ref="N106:W106" si="686">N$90+$AI186</f>
        <v>3</v>
      </c>
      <c r="O106" s="598">
        <f t="shared" si="686"/>
        <v>4</v>
      </c>
      <c r="P106" s="598">
        <f t="shared" si="686"/>
        <v>5</v>
      </c>
      <c r="Q106" s="598">
        <f t="shared" si="686"/>
        <v>6</v>
      </c>
      <c r="R106" s="598">
        <f t="shared" si="686"/>
        <v>7</v>
      </c>
      <c r="S106" s="598">
        <f t="shared" si="686"/>
        <v>8</v>
      </c>
      <c r="T106" s="598">
        <f t="shared" si="686"/>
        <v>9</v>
      </c>
      <c r="U106" s="598">
        <f t="shared" si="686"/>
        <v>10</v>
      </c>
      <c r="V106" s="598">
        <f t="shared" si="686"/>
        <v>11</v>
      </c>
      <c r="W106" s="598">
        <f t="shared" si="686"/>
        <v>12</v>
      </c>
      <c r="Y106" s="598" t="s">
        <v>1634</v>
      </c>
      <c r="Z106" s="598">
        <f t="shared" ref="Z106:AI106" si="687">Z$90+$AK186</f>
        <v>3</v>
      </c>
      <c r="AA106" s="598">
        <f t="shared" si="687"/>
        <v>4</v>
      </c>
      <c r="AB106" s="598">
        <f t="shared" si="687"/>
        <v>5</v>
      </c>
      <c r="AC106" s="598">
        <f t="shared" si="687"/>
        <v>6</v>
      </c>
      <c r="AD106" s="598">
        <f t="shared" si="687"/>
        <v>7</v>
      </c>
      <c r="AE106" s="598">
        <f t="shared" si="687"/>
        <v>8</v>
      </c>
      <c r="AF106" s="598">
        <f t="shared" si="687"/>
        <v>9</v>
      </c>
      <c r="AG106" s="598">
        <f t="shared" si="687"/>
        <v>10</v>
      </c>
      <c r="AH106" s="598">
        <f t="shared" si="687"/>
        <v>11</v>
      </c>
      <c r="AI106" s="598">
        <f t="shared" si="687"/>
        <v>12</v>
      </c>
      <c r="AK106" s="598" t="s">
        <v>1634</v>
      </c>
      <c r="AL106" s="598">
        <f t="shared" ref="AL106:AU106" si="688">AL$90+$AM186</f>
        <v>4</v>
      </c>
      <c r="AM106" s="598">
        <f t="shared" si="688"/>
        <v>5</v>
      </c>
      <c r="AN106" s="598">
        <f t="shared" si="688"/>
        <v>6</v>
      </c>
      <c r="AO106" s="598">
        <f t="shared" si="688"/>
        <v>7</v>
      </c>
      <c r="AP106" s="598">
        <f t="shared" si="688"/>
        <v>8</v>
      </c>
      <c r="AQ106" s="598">
        <f t="shared" si="688"/>
        <v>9</v>
      </c>
      <c r="AR106" s="598">
        <f t="shared" si="688"/>
        <v>10</v>
      </c>
      <c r="AS106" s="598">
        <f t="shared" si="688"/>
        <v>11</v>
      </c>
      <c r="AT106" s="598">
        <f t="shared" si="688"/>
        <v>12</v>
      </c>
      <c r="AU106" s="598">
        <f t="shared" si="688"/>
        <v>13</v>
      </c>
      <c r="AW106" s="598" t="s">
        <v>1634</v>
      </c>
      <c r="AX106" s="598">
        <f t="shared" ref="AX106:BG106" si="689">AX$68+$BC186</f>
        <v>1</v>
      </c>
      <c r="AY106" s="598">
        <f t="shared" si="689"/>
        <v>2</v>
      </c>
      <c r="AZ106" s="598">
        <f t="shared" si="689"/>
        <v>3</v>
      </c>
      <c r="BA106" s="598">
        <f t="shared" si="689"/>
        <v>4</v>
      </c>
      <c r="BB106" s="598">
        <f t="shared" si="689"/>
        <v>5</v>
      </c>
      <c r="BC106" s="598">
        <f t="shared" si="689"/>
        <v>6</v>
      </c>
      <c r="BD106" s="598">
        <f t="shared" si="689"/>
        <v>7</v>
      </c>
      <c r="BE106" s="598">
        <f t="shared" si="689"/>
        <v>8</v>
      </c>
      <c r="BF106" s="598">
        <f t="shared" si="689"/>
        <v>9</v>
      </c>
      <c r="BG106" s="598">
        <f t="shared" si="689"/>
        <v>10</v>
      </c>
      <c r="BI106" s="598" t="s">
        <v>1634</v>
      </c>
      <c r="BJ106" s="598">
        <f t="shared" ref="BJ106:BS106" si="690">BJ$68+$BG186</f>
        <v>4</v>
      </c>
      <c r="BK106" s="598">
        <f t="shared" si="690"/>
        <v>5</v>
      </c>
      <c r="BL106" s="598">
        <f t="shared" si="690"/>
        <v>6</v>
      </c>
      <c r="BM106" s="598">
        <f t="shared" si="690"/>
        <v>7</v>
      </c>
      <c r="BN106" s="598">
        <f t="shared" si="690"/>
        <v>8</v>
      </c>
      <c r="BO106" s="598">
        <f t="shared" si="690"/>
        <v>9</v>
      </c>
      <c r="BP106" s="598">
        <f t="shared" si="690"/>
        <v>10</v>
      </c>
      <c r="BQ106" s="598">
        <f t="shared" si="690"/>
        <v>11</v>
      </c>
      <c r="BR106" s="598">
        <f t="shared" si="690"/>
        <v>12</v>
      </c>
      <c r="BS106" s="598">
        <f t="shared" si="690"/>
        <v>13</v>
      </c>
      <c r="BU106" s="598" t="s">
        <v>1634</v>
      </c>
      <c r="BV106" s="598">
        <f t="shared" ref="BV106:CE106" si="691">BV$68+$BI186</f>
        <v>2</v>
      </c>
      <c r="BW106" s="598">
        <f t="shared" si="691"/>
        <v>3</v>
      </c>
      <c r="BX106" s="598">
        <f t="shared" si="691"/>
        <v>4</v>
      </c>
      <c r="BY106" s="598">
        <f t="shared" si="691"/>
        <v>5</v>
      </c>
      <c r="BZ106" s="598">
        <f t="shared" si="691"/>
        <v>6</v>
      </c>
      <c r="CA106" s="598">
        <f t="shared" si="691"/>
        <v>7</v>
      </c>
      <c r="CB106" s="598">
        <f t="shared" si="691"/>
        <v>8</v>
      </c>
      <c r="CC106" s="598">
        <f t="shared" si="691"/>
        <v>9</v>
      </c>
      <c r="CD106" s="598">
        <f t="shared" si="691"/>
        <v>10</v>
      </c>
      <c r="CE106" s="598">
        <f t="shared" si="691"/>
        <v>11</v>
      </c>
      <c r="CG106" s="598" t="s">
        <v>1634</v>
      </c>
      <c r="CH106" s="598">
        <f t="shared" ref="CH106:CQ106" si="692">CH$90+$BM186</f>
        <v>4</v>
      </c>
      <c r="CI106" s="598">
        <f t="shared" si="692"/>
        <v>5</v>
      </c>
      <c r="CJ106" s="598">
        <f t="shared" si="692"/>
        <v>6</v>
      </c>
      <c r="CK106" s="598">
        <f t="shared" si="692"/>
        <v>7</v>
      </c>
      <c r="CL106" s="598">
        <f t="shared" si="692"/>
        <v>8</v>
      </c>
      <c r="CM106" s="598">
        <f t="shared" si="692"/>
        <v>9</v>
      </c>
      <c r="CN106" s="598">
        <f t="shared" si="692"/>
        <v>10</v>
      </c>
      <c r="CO106" s="598">
        <f t="shared" si="692"/>
        <v>11</v>
      </c>
      <c r="CP106" s="598">
        <f t="shared" si="692"/>
        <v>12</v>
      </c>
      <c r="CQ106" s="598">
        <f t="shared" si="692"/>
        <v>13</v>
      </c>
    </row>
    <row r="107" spans="1:95">
      <c r="A107" s="598" t="s">
        <v>1635</v>
      </c>
      <c r="B107" s="598">
        <f t="shared" ref="B107:K107" si="693">B$90+$AG187</f>
        <v>4</v>
      </c>
      <c r="C107" s="598">
        <f t="shared" si="693"/>
        <v>5</v>
      </c>
      <c r="D107" s="598">
        <f t="shared" si="693"/>
        <v>6</v>
      </c>
      <c r="E107" s="598">
        <f t="shared" si="693"/>
        <v>3</v>
      </c>
      <c r="F107" s="598">
        <f t="shared" si="693"/>
        <v>8</v>
      </c>
      <c r="G107" s="598">
        <f t="shared" si="693"/>
        <v>9</v>
      </c>
      <c r="H107" s="598">
        <f t="shared" si="693"/>
        <v>10</v>
      </c>
      <c r="I107" s="598">
        <f t="shared" si="693"/>
        <v>11</v>
      </c>
      <c r="J107" s="598">
        <f t="shared" si="693"/>
        <v>12</v>
      </c>
      <c r="K107" s="598">
        <f t="shared" si="693"/>
        <v>13</v>
      </c>
      <c r="M107" s="598" t="s">
        <v>1635</v>
      </c>
      <c r="N107" s="598">
        <f t="shared" ref="N107:W107" si="694">N$90+$AI187</f>
        <v>4</v>
      </c>
      <c r="O107" s="598">
        <f t="shared" si="694"/>
        <v>5</v>
      </c>
      <c r="P107" s="598">
        <f t="shared" si="694"/>
        <v>6</v>
      </c>
      <c r="Q107" s="598">
        <f t="shared" si="694"/>
        <v>7</v>
      </c>
      <c r="R107" s="598">
        <f t="shared" si="694"/>
        <v>8</v>
      </c>
      <c r="S107" s="598">
        <f t="shared" si="694"/>
        <v>9</v>
      </c>
      <c r="T107" s="598">
        <f t="shared" si="694"/>
        <v>10</v>
      </c>
      <c r="U107" s="598">
        <f t="shared" si="694"/>
        <v>11</v>
      </c>
      <c r="V107" s="598">
        <f t="shared" si="694"/>
        <v>12</v>
      </c>
      <c r="W107" s="598">
        <f t="shared" si="694"/>
        <v>13</v>
      </c>
      <c r="Y107" s="598" t="s">
        <v>1635</v>
      </c>
      <c r="Z107" s="598">
        <f t="shared" ref="Z107:AI107" si="695">Z$90+$AK187</f>
        <v>4</v>
      </c>
      <c r="AA107" s="598">
        <f t="shared" si="695"/>
        <v>5</v>
      </c>
      <c r="AB107" s="598">
        <f t="shared" si="695"/>
        <v>6</v>
      </c>
      <c r="AC107" s="598">
        <f t="shared" si="695"/>
        <v>7</v>
      </c>
      <c r="AD107" s="598">
        <f t="shared" si="695"/>
        <v>8</v>
      </c>
      <c r="AE107" s="598">
        <f t="shared" si="695"/>
        <v>9</v>
      </c>
      <c r="AF107" s="598">
        <f t="shared" si="695"/>
        <v>10</v>
      </c>
      <c r="AG107" s="598">
        <f t="shared" si="695"/>
        <v>11</v>
      </c>
      <c r="AH107" s="598">
        <f t="shared" si="695"/>
        <v>12</v>
      </c>
      <c r="AI107" s="598">
        <f t="shared" si="695"/>
        <v>13</v>
      </c>
      <c r="AK107" s="598" t="s">
        <v>1635</v>
      </c>
      <c r="AL107" s="598">
        <f t="shared" ref="AL107:AU107" si="696">AL$90+$AM187</f>
        <v>4</v>
      </c>
      <c r="AM107" s="598">
        <f t="shared" si="696"/>
        <v>5</v>
      </c>
      <c r="AN107" s="598">
        <f t="shared" si="696"/>
        <v>6</v>
      </c>
      <c r="AO107" s="598">
        <f t="shared" si="696"/>
        <v>7</v>
      </c>
      <c r="AP107" s="598">
        <f t="shared" si="696"/>
        <v>8</v>
      </c>
      <c r="AQ107" s="598">
        <f t="shared" si="696"/>
        <v>9</v>
      </c>
      <c r="AR107" s="598">
        <f t="shared" si="696"/>
        <v>10</v>
      </c>
      <c r="AS107" s="598">
        <f t="shared" si="696"/>
        <v>11</v>
      </c>
      <c r="AT107" s="598">
        <f t="shared" si="696"/>
        <v>12</v>
      </c>
      <c r="AU107" s="598">
        <f t="shared" si="696"/>
        <v>13</v>
      </c>
      <c r="AW107" s="598" t="s">
        <v>1635</v>
      </c>
      <c r="AX107" s="598">
        <f t="shared" ref="AX107:BG107" si="697">AX$68+$BC187</f>
        <v>1</v>
      </c>
      <c r="AY107" s="598">
        <f t="shared" si="697"/>
        <v>2</v>
      </c>
      <c r="AZ107" s="598">
        <f t="shared" si="697"/>
        <v>3</v>
      </c>
      <c r="BA107" s="598">
        <f t="shared" si="697"/>
        <v>4</v>
      </c>
      <c r="BB107" s="598">
        <f t="shared" si="697"/>
        <v>5</v>
      </c>
      <c r="BC107" s="598">
        <f t="shared" si="697"/>
        <v>6</v>
      </c>
      <c r="BD107" s="598">
        <f t="shared" si="697"/>
        <v>7</v>
      </c>
      <c r="BE107" s="598">
        <f t="shared" si="697"/>
        <v>8</v>
      </c>
      <c r="BF107" s="598">
        <f t="shared" si="697"/>
        <v>9</v>
      </c>
      <c r="BG107" s="598">
        <f t="shared" si="697"/>
        <v>10</v>
      </c>
      <c r="BI107" s="598" t="s">
        <v>1635</v>
      </c>
      <c r="BJ107" s="598">
        <f t="shared" ref="BJ107:BS107" si="698">BJ$68+$BG187</f>
        <v>3</v>
      </c>
      <c r="BK107" s="598">
        <f t="shared" si="698"/>
        <v>4</v>
      </c>
      <c r="BL107" s="598">
        <f t="shared" si="698"/>
        <v>5</v>
      </c>
      <c r="BM107" s="598">
        <f t="shared" si="698"/>
        <v>6</v>
      </c>
      <c r="BN107" s="598">
        <f t="shared" si="698"/>
        <v>7</v>
      </c>
      <c r="BO107" s="598">
        <f t="shared" si="698"/>
        <v>8</v>
      </c>
      <c r="BP107" s="598">
        <f t="shared" si="698"/>
        <v>9</v>
      </c>
      <c r="BQ107" s="598">
        <f t="shared" si="698"/>
        <v>10</v>
      </c>
      <c r="BR107" s="598">
        <f t="shared" si="698"/>
        <v>11</v>
      </c>
      <c r="BS107" s="598">
        <f t="shared" si="698"/>
        <v>12</v>
      </c>
      <c r="BU107" s="598" t="s">
        <v>1635</v>
      </c>
      <c r="BV107" s="598">
        <f t="shared" ref="BV107:CE107" si="699">BV$68+$BI187</f>
        <v>-1</v>
      </c>
      <c r="BW107" s="598">
        <f t="shared" si="699"/>
        <v>0</v>
      </c>
      <c r="BX107" s="598">
        <f t="shared" si="699"/>
        <v>1</v>
      </c>
      <c r="BY107" s="598">
        <f t="shared" si="699"/>
        <v>2</v>
      </c>
      <c r="BZ107" s="598">
        <f t="shared" si="699"/>
        <v>3</v>
      </c>
      <c r="CA107" s="598">
        <f t="shared" si="699"/>
        <v>4</v>
      </c>
      <c r="CB107" s="598">
        <f t="shared" si="699"/>
        <v>5</v>
      </c>
      <c r="CC107" s="598">
        <f t="shared" si="699"/>
        <v>6</v>
      </c>
      <c r="CD107" s="598">
        <f t="shared" si="699"/>
        <v>7</v>
      </c>
      <c r="CE107" s="598">
        <f t="shared" si="699"/>
        <v>8</v>
      </c>
      <c r="CG107" s="598" t="s">
        <v>1635</v>
      </c>
      <c r="CH107" s="598">
        <f t="shared" ref="CH107:CQ107" si="700">CH$90+$BM187</f>
        <v>4</v>
      </c>
      <c r="CI107" s="598">
        <f t="shared" si="700"/>
        <v>5</v>
      </c>
      <c r="CJ107" s="598">
        <f t="shared" si="700"/>
        <v>6</v>
      </c>
      <c r="CK107" s="598">
        <f t="shared" si="700"/>
        <v>7</v>
      </c>
      <c r="CL107" s="598">
        <f t="shared" si="700"/>
        <v>8</v>
      </c>
      <c r="CM107" s="598">
        <f t="shared" si="700"/>
        <v>9</v>
      </c>
      <c r="CN107" s="598">
        <f t="shared" si="700"/>
        <v>10</v>
      </c>
      <c r="CO107" s="598">
        <f t="shared" si="700"/>
        <v>11</v>
      </c>
      <c r="CP107" s="598">
        <f t="shared" si="700"/>
        <v>12</v>
      </c>
      <c r="CQ107" s="598">
        <f t="shared" si="700"/>
        <v>13</v>
      </c>
    </row>
    <row r="108" spans="1:95">
      <c r="A108" s="598" t="s">
        <v>1347</v>
      </c>
      <c r="B108" s="598" t="e">
        <f t="shared" ref="B108:K108" si="701">B$90+$AG188</f>
        <v>#N/A</v>
      </c>
      <c r="C108" s="598" t="e">
        <f t="shared" si="701"/>
        <v>#N/A</v>
      </c>
      <c r="D108" s="598" t="e">
        <f t="shared" si="701"/>
        <v>#N/A</v>
      </c>
      <c r="E108" s="598" t="e">
        <f t="shared" si="701"/>
        <v>#N/A</v>
      </c>
      <c r="F108" s="598" t="e">
        <f t="shared" si="701"/>
        <v>#N/A</v>
      </c>
      <c r="G108" s="598" t="e">
        <f t="shared" si="701"/>
        <v>#N/A</v>
      </c>
      <c r="H108" s="598" t="e">
        <f t="shared" si="701"/>
        <v>#N/A</v>
      </c>
      <c r="I108" s="598" t="e">
        <f t="shared" si="701"/>
        <v>#N/A</v>
      </c>
      <c r="J108" s="598" t="e">
        <f t="shared" si="701"/>
        <v>#N/A</v>
      </c>
      <c r="K108" s="598" t="e">
        <f t="shared" si="701"/>
        <v>#N/A</v>
      </c>
      <c r="M108" s="598" t="s">
        <v>1347</v>
      </c>
      <c r="N108" s="598" t="e">
        <f t="shared" ref="N108:W108" si="702">N$90+$AI188</f>
        <v>#N/A</v>
      </c>
      <c r="O108" s="598" t="e">
        <f t="shared" si="702"/>
        <v>#N/A</v>
      </c>
      <c r="P108" s="598" t="e">
        <f t="shared" si="702"/>
        <v>#N/A</v>
      </c>
      <c r="Q108" s="598" t="e">
        <f t="shared" si="702"/>
        <v>#N/A</v>
      </c>
      <c r="R108" s="598" t="e">
        <f t="shared" si="702"/>
        <v>#N/A</v>
      </c>
      <c r="S108" s="598" t="e">
        <f t="shared" si="702"/>
        <v>#N/A</v>
      </c>
      <c r="T108" s="598" t="e">
        <f t="shared" si="702"/>
        <v>#N/A</v>
      </c>
      <c r="U108" s="598" t="e">
        <f t="shared" si="702"/>
        <v>#N/A</v>
      </c>
      <c r="V108" s="598" t="e">
        <f t="shared" si="702"/>
        <v>#N/A</v>
      </c>
      <c r="W108" s="598" t="e">
        <f t="shared" si="702"/>
        <v>#N/A</v>
      </c>
      <c r="Y108" s="598" t="s">
        <v>1347</v>
      </c>
      <c r="Z108" s="598" t="e">
        <f t="shared" ref="Z108:AI108" si="703">Z$90+$AK188</f>
        <v>#N/A</v>
      </c>
      <c r="AA108" s="598" t="e">
        <f t="shared" si="703"/>
        <v>#N/A</v>
      </c>
      <c r="AB108" s="598" t="e">
        <f t="shared" si="703"/>
        <v>#N/A</v>
      </c>
      <c r="AC108" s="598" t="e">
        <f t="shared" si="703"/>
        <v>#N/A</v>
      </c>
      <c r="AD108" s="598" t="e">
        <f t="shared" si="703"/>
        <v>#N/A</v>
      </c>
      <c r="AE108" s="598" t="e">
        <f t="shared" si="703"/>
        <v>#N/A</v>
      </c>
      <c r="AF108" s="598" t="e">
        <f t="shared" si="703"/>
        <v>#N/A</v>
      </c>
      <c r="AG108" s="598" t="e">
        <f t="shared" si="703"/>
        <v>#N/A</v>
      </c>
      <c r="AH108" s="598" t="e">
        <f t="shared" si="703"/>
        <v>#N/A</v>
      </c>
      <c r="AI108" s="598" t="e">
        <f t="shared" si="703"/>
        <v>#N/A</v>
      </c>
      <c r="AK108" s="598" t="s">
        <v>1347</v>
      </c>
      <c r="AL108" s="598" t="e">
        <f t="shared" ref="AL108:AU108" si="704">AL$90+$AM188</f>
        <v>#N/A</v>
      </c>
      <c r="AM108" s="598" t="e">
        <f t="shared" si="704"/>
        <v>#N/A</v>
      </c>
      <c r="AN108" s="598" t="e">
        <f t="shared" si="704"/>
        <v>#N/A</v>
      </c>
      <c r="AO108" s="598" t="e">
        <f t="shared" si="704"/>
        <v>#N/A</v>
      </c>
      <c r="AP108" s="598" t="e">
        <f t="shared" si="704"/>
        <v>#N/A</v>
      </c>
      <c r="AQ108" s="598" t="e">
        <f t="shared" si="704"/>
        <v>#N/A</v>
      </c>
      <c r="AR108" s="598" t="e">
        <f t="shared" si="704"/>
        <v>#N/A</v>
      </c>
      <c r="AS108" s="598" t="e">
        <f t="shared" si="704"/>
        <v>#N/A</v>
      </c>
      <c r="AT108" s="598" t="e">
        <f t="shared" si="704"/>
        <v>#N/A</v>
      </c>
      <c r="AU108" s="598" t="e">
        <f t="shared" si="704"/>
        <v>#N/A</v>
      </c>
      <c r="AW108" s="598" t="s">
        <v>1347</v>
      </c>
      <c r="AX108" s="598" t="e">
        <f t="shared" ref="AX108:BG108" si="705">AX$68+$BC188</f>
        <v>#N/A</v>
      </c>
      <c r="AY108" s="598" t="e">
        <f t="shared" si="705"/>
        <v>#N/A</v>
      </c>
      <c r="AZ108" s="598" t="e">
        <f t="shared" si="705"/>
        <v>#N/A</v>
      </c>
      <c r="BA108" s="598" t="e">
        <f t="shared" si="705"/>
        <v>#N/A</v>
      </c>
      <c r="BB108" s="598" t="e">
        <f t="shared" si="705"/>
        <v>#N/A</v>
      </c>
      <c r="BC108" s="598" t="e">
        <f t="shared" si="705"/>
        <v>#N/A</v>
      </c>
      <c r="BD108" s="598" t="e">
        <f t="shared" si="705"/>
        <v>#N/A</v>
      </c>
      <c r="BE108" s="598" t="e">
        <f t="shared" si="705"/>
        <v>#N/A</v>
      </c>
      <c r="BF108" s="598" t="e">
        <f t="shared" si="705"/>
        <v>#N/A</v>
      </c>
      <c r="BG108" s="598" t="e">
        <f t="shared" si="705"/>
        <v>#N/A</v>
      </c>
      <c r="BI108" s="598" t="s">
        <v>1347</v>
      </c>
      <c r="BJ108" s="598" t="e">
        <f t="shared" ref="BJ108:BS108" si="706">BJ$68+$BG188</f>
        <v>#N/A</v>
      </c>
      <c r="BK108" s="598" t="e">
        <f t="shared" si="706"/>
        <v>#N/A</v>
      </c>
      <c r="BL108" s="598" t="e">
        <f t="shared" si="706"/>
        <v>#N/A</v>
      </c>
      <c r="BM108" s="598" t="e">
        <f t="shared" si="706"/>
        <v>#N/A</v>
      </c>
      <c r="BN108" s="598" t="e">
        <f t="shared" si="706"/>
        <v>#N/A</v>
      </c>
      <c r="BO108" s="598" t="e">
        <f t="shared" si="706"/>
        <v>#N/A</v>
      </c>
      <c r="BP108" s="598" t="e">
        <f t="shared" si="706"/>
        <v>#N/A</v>
      </c>
      <c r="BQ108" s="598" t="e">
        <f t="shared" si="706"/>
        <v>#N/A</v>
      </c>
      <c r="BR108" s="598" t="e">
        <f t="shared" si="706"/>
        <v>#N/A</v>
      </c>
      <c r="BS108" s="598" t="e">
        <f t="shared" si="706"/>
        <v>#N/A</v>
      </c>
      <c r="BU108" s="598" t="s">
        <v>1347</v>
      </c>
      <c r="BV108" s="598" t="e">
        <f t="shared" ref="BV108:CE108" si="707">BV$68+$BI188</f>
        <v>#N/A</v>
      </c>
      <c r="BW108" s="598" t="e">
        <f t="shared" si="707"/>
        <v>#N/A</v>
      </c>
      <c r="BX108" s="598" t="e">
        <f t="shared" si="707"/>
        <v>#N/A</v>
      </c>
      <c r="BY108" s="598" t="e">
        <f t="shared" si="707"/>
        <v>#N/A</v>
      </c>
      <c r="BZ108" s="598" t="e">
        <f t="shared" si="707"/>
        <v>#N/A</v>
      </c>
      <c r="CA108" s="598" t="e">
        <f t="shared" si="707"/>
        <v>#N/A</v>
      </c>
      <c r="CB108" s="598" t="e">
        <f t="shared" si="707"/>
        <v>#N/A</v>
      </c>
      <c r="CC108" s="598" t="e">
        <f t="shared" si="707"/>
        <v>#N/A</v>
      </c>
      <c r="CD108" s="598" t="e">
        <f t="shared" si="707"/>
        <v>#N/A</v>
      </c>
      <c r="CE108" s="598" t="e">
        <f t="shared" si="707"/>
        <v>#N/A</v>
      </c>
      <c r="CG108" s="598" t="s">
        <v>1347</v>
      </c>
      <c r="CH108" s="598" t="e">
        <f t="shared" ref="CH108:CQ108" si="708">CH$90+$BM188</f>
        <v>#N/A</v>
      </c>
      <c r="CI108" s="598" t="e">
        <f t="shared" si="708"/>
        <v>#N/A</v>
      </c>
      <c r="CJ108" s="598" t="e">
        <f t="shared" si="708"/>
        <v>#N/A</v>
      </c>
      <c r="CK108" s="598" t="e">
        <f t="shared" si="708"/>
        <v>#N/A</v>
      </c>
      <c r="CL108" s="598" t="e">
        <f t="shared" si="708"/>
        <v>#N/A</v>
      </c>
      <c r="CM108" s="598" t="e">
        <f t="shared" si="708"/>
        <v>#N/A</v>
      </c>
      <c r="CN108" s="598" t="e">
        <f t="shared" si="708"/>
        <v>#N/A</v>
      </c>
      <c r="CO108" s="598" t="e">
        <f t="shared" si="708"/>
        <v>#N/A</v>
      </c>
      <c r="CP108" s="598" t="e">
        <f t="shared" si="708"/>
        <v>#N/A</v>
      </c>
      <c r="CQ108" s="598" t="e">
        <f t="shared" si="708"/>
        <v>#N/A</v>
      </c>
    </row>
    <row r="109" spans="1:95">
      <c r="A109" s="598" t="s">
        <v>1636</v>
      </c>
      <c r="B109" s="598" t="e">
        <f t="shared" ref="B109:K109" si="709">B$90+$AC189</f>
        <v>#N/A</v>
      </c>
      <c r="C109" s="598" t="e">
        <f t="shared" si="709"/>
        <v>#N/A</v>
      </c>
      <c r="D109" s="598" t="e">
        <f t="shared" si="709"/>
        <v>#N/A</v>
      </c>
      <c r="E109" s="598" t="e">
        <f t="shared" si="709"/>
        <v>#N/A</v>
      </c>
      <c r="F109" s="598" t="e">
        <f t="shared" si="709"/>
        <v>#N/A</v>
      </c>
      <c r="G109" s="598" t="e">
        <f t="shared" si="709"/>
        <v>#N/A</v>
      </c>
      <c r="H109" s="598" t="e">
        <f t="shared" si="709"/>
        <v>#N/A</v>
      </c>
      <c r="I109" s="598" t="e">
        <f t="shared" si="709"/>
        <v>#N/A</v>
      </c>
      <c r="J109" s="598" t="e">
        <f t="shared" si="709"/>
        <v>#N/A</v>
      </c>
      <c r="K109" s="598" t="e">
        <f t="shared" si="709"/>
        <v>#N/A</v>
      </c>
      <c r="M109" s="598" t="s">
        <v>1636</v>
      </c>
      <c r="N109" s="598">
        <f t="shared" ref="N109:W109" si="710">N$90+$AG189</f>
        <v>-2</v>
      </c>
      <c r="O109" s="598">
        <f t="shared" si="710"/>
        <v>-1</v>
      </c>
      <c r="P109" s="598">
        <f t="shared" si="710"/>
        <v>0</v>
      </c>
      <c r="Q109" s="598">
        <f t="shared" si="710"/>
        <v>1</v>
      </c>
      <c r="R109" s="598">
        <f t="shared" si="710"/>
        <v>2</v>
      </c>
      <c r="S109" s="598">
        <f t="shared" si="710"/>
        <v>3</v>
      </c>
      <c r="T109" s="598">
        <f t="shared" si="710"/>
        <v>4</v>
      </c>
      <c r="U109" s="598">
        <f t="shared" si="710"/>
        <v>5</v>
      </c>
      <c r="V109" s="598">
        <f t="shared" si="710"/>
        <v>6</v>
      </c>
      <c r="W109" s="598">
        <f t="shared" si="710"/>
        <v>7</v>
      </c>
      <c r="Y109" s="598" t="s">
        <v>1636</v>
      </c>
      <c r="Z109" s="598">
        <f t="shared" ref="Z109:AI109" si="711">Z$90+$AI189</f>
        <v>-2</v>
      </c>
      <c r="AA109" s="598">
        <f t="shared" si="711"/>
        <v>-1</v>
      </c>
      <c r="AB109" s="598">
        <f t="shared" si="711"/>
        <v>0</v>
      </c>
      <c r="AC109" s="598">
        <f t="shared" si="711"/>
        <v>1</v>
      </c>
      <c r="AD109" s="598">
        <f t="shared" si="711"/>
        <v>2</v>
      </c>
      <c r="AE109" s="598">
        <f t="shared" si="711"/>
        <v>3</v>
      </c>
      <c r="AF109" s="598">
        <f t="shared" si="711"/>
        <v>4</v>
      </c>
      <c r="AG109" s="598">
        <f t="shared" si="711"/>
        <v>5</v>
      </c>
      <c r="AH109" s="598">
        <f t="shared" si="711"/>
        <v>6</v>
      </c>
      <c r="AI109" s="598">
        <f t="shared" si="711"/>
        <v>7</v>
      </c>
      <c r="AK109" s="598" t="s">
        <v>1636</v>
      </c>
      <c r="AL109" s="598">
        <f t="shared" ref="AL109:AU109" si="712">AL$90+$AK189</f>
        <v>-2</v>
      </c>
      <c r="AM109" s="598">
        <f t="shared" si="712"/>
        <v>-1</v>
      </c>
      <c r="AN109" s="598">
        <f t="shared" si="712"/>
        <v>0</v>
      </c>
      <c r="AO109" s="598">
        <f t="shared" si="712"/>
        <v>1</v>
      </c>
      <c r="AP109" s="598">
        <f t="shared" si="712"/>
        <v>2</v>
      </c>
      <c r="AQ109" s="598">
        <f t="shared" si="712"/>
        <v>3</v>
      </c>
      <c r="AR109" s="598">
        <f t="shared" si="712"/>
        <v>4</v>
      </c>
      <c r="AS109" s="598">
        <f t="shared" si="712"/>
        <v>5</v>
      </c>
      <c r="AT109" s="598">
        <f t="shared" si="712"/>
        <v>6</v>
      </c>
      <c r="AU109" s="598">
        <f t="shared" si="712"/>
        <v>7</v>
      </c>
      <c r="AW109" s="598" t="s">
        <v>1636</v>
      </c>
      <c r="AX109" s="598">
        <f t="shared" ref="AX109:BG109" si="713">AX$68+$BA189</f>
        <v>-2</v>
      </c>
      <c r="AY109" s="598">
        <f t="shared" si="713"/>
        <v>-1</v>
      </c>
      <c r="AZ109" s="598">
        <f t="shared" si="713"/>
        <v>0</v>
      </c>
      <c r="BA109" s="598">
        <f t="shared" si="713"/>
        <v>1</v>
      </c>
      <c r="BB109" s="598">
        <f t="shared" si="713"/>
        <v>2</v>
      </c>
      <c r="BC109" s="598">
        <f t="shared" si="713"/>
        <v>3</v>
      </c>
      <c r="BD109" s="598">
        <f t="shared" si="713"/>
        <v>4</v>
      </c>
      <c r="BE109" s="598">
        <f t="shared" si="713"/>
        <v>5</v>
      </c>
      <c r="BF109" s="598">
        <f t="shared" si="713"/>
        <v>6</v>
      </c>
      <c r="BG109" s="598">
        <f t="shared" si="713"/>
        <v>7</v>
      </c>
      <c r="BI109" s="598" t="s">
        <v>1636</v>
      </c>
      <c r="BJ109" s="598">
        <f t="shared" ref="BJ109:BS109" si="714">BJ$68+$BC189</f>
        <v>-1</v>
      </c>
      <c r="BK109" s="598">
        <f t="shared" si="714"/>
        <v>0</v>
      </c>
      <c r="BL109" s="598">
        <f t="shared" si="714"/>
        <v>1</v>
      </c>
      <c r="BM109" s="598">
        <f t="shared" si="714"/>
        <v>2</v>
      </c>
      <c r="BN109" s="598">
        <f t="shared" si="714"/>
        <v>3</v>
      </c>
      <c r="BO109" s="598">
        <f t="shared" si="714"/>
        <v>4</v>
      </c>
      <c r="BP109" s="598">
        <f t="shared" si="714"/>
        <v>5</v>
      </c>
      <c r="BQ109" s="598">
        <f t="shared" si="714"/>
        <v>6</v>
      </c>
      <c r="BR109" s="598">
        <f t="shared" si="714"/>
        <v>7</v>
      </c>
      <c r="BS109" s="598">
        <f t="shared" si="714"/>
        <v>8</v>
      </c>
      <c r="BU109" s="598" t="s">
        <v>1636</v>
      </c>
      <c r="BV109" s="598">
        <f t="shared" ref="BV109:CE109" si="715">BV$68+$BG189</f>
        <v>-2</v>
      </c>
      <c r="BW109" s="598">
        <f t="shared" si="715"/>
        <v>-1</v>
      </c>
      <c r="BX109" s="598">
        <f t="shared" si="715"/>
        <v>0</v>
      </c>
      <c r="BY109" s="598">
        <f t="shared" si="715"/>
        <v>1</v>
      </c>
      <c r="BZ109" s="598">
        <f t="shared" si="715"/>
        <v>2</v>
      </c>
      <c r="CA109" s="598">
        <f t="shared" si="715"/>
        <v>3</v>
      </c>
      <c r="CB109" s="598">
        <f t="shared" si="715"/>
        <v>4</v>
      </c>
      <c r="CC109" s="598">
        <f t="shared" si="715"/>
        <v>5</v>
      </c>
      <c r="CD109" s="598">
        <f t="shared" si="715"/>
        <v>6</v>
      </c>
      <c r="CE109" s="598">
        <f t="shared" si="715"/>
        <v>7</v>
      </c>
      <c r="CG109" s="598" t="s">
        <v>1636</v>
      </c>
      <c r="CH109" s="598">
        <f t="shared" ref="CH109:CQ109" si="716">CH$90+$BM189</f>
        <v>-2</v>
      </c>
      <c r="CI109" s="598">
        <f t="shared" si="716"/>
        <v>-1</v>
      </c>
      <c r="CJ109" s="598">
        <f t="shared" si="716"/>
        <v>0</v>
      </c>
      <c r="CK109" s="598">
        <f t="shared" si="716"/>
        <v>1</v>
      </c>
      <c r="CL109" s="598">
        <f t="shared" si="716"/>
        <v>2</v>
      </c>
      <c r="CM109" s="598">
        <f t="shared" si="716"/>
        <v>3</v>
      </c>
      <c r="CN109" s="598">
        <f t="shared" si="716"/>
        <v>4</v>
      </c>
      <c r="CO109" s="598">
        <f t="shared" si="716"/>
        <v>5</v>
      </c>
      <c r="CP109" s="598">
        <f t="shared" si="716"/>
        <v>6</v>
      </c>
      <c r="CQ109" s="598">
        <f t="shared" si="716"/>
        <v>7</v>
      </c>
    </row>
    <row r="111" spans="1:95">
      <c r="A111" s="598" t="s">
        <v>1531</v>
      </c>
      <c r="B111" s="598" t="s">
        <v>81</v>
      </c>
      <c r="C111" s="598" t="s">
        <v>81</v>
      </c>
      <c r="D111" s="598" t="s">
        <v>81</v>
      </c>
      <c r="E111" s="598" t="s">
        <v>81</v>
      </c>
      <c r="F111" s="598" t="s">
        <v>81</v>
      </c>
      <c r="G111" s="598" t="s">
        <v>81</v>
      </c>
      <c r="H111" s="598" t="s">
        <v>81</v>
      </c>
      <c r="I111" s="598" t="s">
        <v>81</v>
      </c>
      <c r="J111" s="598" t="s">
        <v>81</v>
      </c>
      <c r="K111" s="598" t="s">
        <v>81</v>
      </c>
      <c r="M111" s="598" t="s">
        <v>449</v>
      </c>
      <c r="N111" s="598" t="s">
        <v>81</v>
      </c>
      <c r="O111" s="598" t="s">
        <v>81</v>
      </c>
      <c r="P111" s="598" t="s">
        <v>81</v>
      </c>
      <c r="Q111" s="598" t="s">
        <v>81</v>
      </c>
      <c r="R111" s="598" t="s">
        <v>81</v>
      </c>
      <c r="S111" s="598" t="s">
        <v>81</v>
      </c>
      <c r="T111" s="598" t="s">
        <v>81</v>
      </c>
      <c r="U111" s="598" t="s">
        <v>81</v>
      </c>
      <c r="V111" s="598" t="s">
        <v>81</v>
      </c>
      <c r="W111" s="598" t="s">
        <v>81</v>
      </c>
      <c r="Y111" s="598" t="s">
        <v>2549</v>
      </c>
      <c r="Z111" s="598" t="s">
        <v>81</v>
      </c>
      <c r="AA111" s="598" t="s">
        <v>81</v>
      </c>
      <c r="AB111" s="598" t="s">
        <v>81</v>
      </c>
      <c r="AC111" s="598" t="s">
        <v>81</v>
      </c>
      <c r="AD111" s="598" t="s">
        <v>81</v>
      </c>
      <c r="AE111" s="598" t="s">
        <v>81</v>
      </c>
      <c r="AF111" s="598" t="s">
        <v>81</v>
      </c>
      <c r="AG111" s="598" t="s">
        <v>81</v>
      </c>
      <c r="AH111" s="598" t="s">
        <v>81</v>
      </c>
      <c r="AI111" s="598" t="s">
        <v>81</v>
      </c>
      <c r="AK111" s="598" t="s">
        <v>2550</v>
      </c>
      <c r="AL111" s="598" t="s">
        <v>81</v>
      </c>
      <c r="AM111" s="598" t="s">
        <v>81</v>
      </c>
      <c r="AN111" s="598" t="s">
        <v>81</v>
      </c>
      <c r="AO111" s="598" t="s">
        <v>81</v>
      </c>
      <c r="AP111" s="598" t="s">
        <v>81</v>
      </c>
      <c r="AQ111" s="598" t="s">
        <v>81</v>
      </c>
      <c r="AR111" s="598" t="s">
        <v>81</v>
      </c>
      <c r="AS111" s="598" t="s">
        <v>81</v>
      </c>
      <c r="AT111" s="598" t="s">
        <v>81</v>
      </c>
      <c r="AU111" s="598" t="s">
        <v>81</v>
      </c>
      <c r="AW111" s="598" t="s">
        <v>3570</v>
      </c>
      <c r="AX111" s="598" t="s">
        <v>81</v>
      </c>
      <c r="AY111" s="598" t="s">
        <v>81</v>
      </c>
      <c r="AZ111" s="598" t="s">
        <v>81</v>
      </c>
      <c r="BA111" s="598" t="s">
        <v>81</v>
      </c>
      <c r="BB111" s="598" t="s">
        <v>81</v>
      </c>
      <c r="BC111" s="598" t="s">
        <v>81</v>
      </c>
      <c r="BD111" s="598" t="s">
        <v>81</v>
      </c>
      <c r="BE111" s="598" t="s">
        <v>81</v>
      </c>
      <c r="BF111" s="598" t="s">
        <v>81</v>
      </c>
      <c r="BG111" s="598" t="s">
        <v>81</v>
      </c>
    </row>
    <row r="112" spans="1:95">
      <c r="B112" s="598">
        <v>1</v>
      </c>
      <c r="C112" s="598">
        <v>2</v>
      </c>
      <c r="D112" s="598">
        <v>3</v>
      </c>
      <c r="E112" s="598">
        <v>4</v>
      </c>
      <c r="F112" s="598">
        <v>5</v>
      </c>
      <c r="G112" s="598">
        <v>6</v>
      </c>
      <c r="H112" s="598">
        <v>7</v>
      </c>
      <c r="I112" s="598">
        <v>8</v>
      </c>
      <c r="J112" s="598">
        <v>9</v>
      </c>
      <c r="K112" s="598">
        <v>10</v>
      </c>
      <c r="N112" s="598">
        <v>1</v>
      </c>
      <c r="O112" s="598">
        <v>2</v>
      </c>
      <c r="P112" s="598">
        <v>3</v>
      </c>
      <c r="Q112" s="598">
        <v>4</v>
      </c>
      <c r="R112" s="598">
        <v>5</v>
      </c>
      <c r="S112" s="598">
        <v>6</v>
      </c>
      <c r="T112" s="598">
        <v>7</v>
      </c>
      <c r="U112" s="598">
        <v>8</v>
      </c>
      <c r="V112" s="598">
        <v>9</v>
      </c>
      <c r="W112" s="598">
        <v>10</v>
      </c>
      <c r="Z112" s="598">
        <v>1</v>
      </c>
      <c r="AA112" s="598">
        <v>2</v>
      </c>
      <c r="AB112" s="598">
        <v>3</v>
      </c>
      <c r="AC112" s="598">
        <v>4</v>
      </c>
      <c r="AD112" s="598">
        <v>5</v>
      </c>
      <c r="AE112" s="598">
        <v>6</v>
      </c>
      <c r="AF112" s="598">
        <v>7</v>
      </c>
      <c r="AG112" s="598">
        <v>8</v>
      </c>
      <c r="AH112" s="598">
        <v>9</v>
      </c>
      <c r="AI112" s="598">
        <v>10</v>
      </c>
      <c r="AL112" s="598">
        <v>1</v>
      </c>
      <c r="AM112" s="598">
        <v>2</v>
      </c>
      <c r="AN112" s="598">
        <v>3</v>
      </c>
      <c r="AO112" s="598">
        <v>4</v>
      </c>
      <c r="AP112" s="598">
        <v>5</v>
      </c>
      <c r="AQ112" s="598">
        <v>6</v>
      </c>
      <c r="AR112" s="598">
        <v>7</v>
      </c>
      <c r="AS112" s="598">
        <v>8</v>
      </c>
      <c r="AT112" s="598">
        <v>9</v>
      </c>
      <c r="AU112" s="598">
        <v>10</v>
      </c>
      <c r="AX112" s="598">
        <v>1</v>
      </c>
      <c r="AY112" s="598">
        <v>2</v>
      </c>
      <c r="AZ112" s="598">
        <v>3</v>
      </c>
      <c r="BA112" s="598">
        <v>4</v>
      </c>
      <c r="BB112" s="598">
        <v>5</v>
      </c>
      <c r="BC112" s="598">
        <v>6</v>
      </c>
      <c r="BD112" s="598">
        <v>7</v>
      </c>
      <c r="BE112" s="598">
        <v>8</v>
      </c>
      <c r="BF112" s="598">
        <v>9</v>
      </c>
      <c r="BG112" s="598">
        <v>10</v>
      </c>
    </row>
    <row r="113" spans="1:59">
      <c r="A113" s="598" t="s">
        <v>2341</v>
      </c>
      <c r="B113" s="598">
        <f t="shared" ref="B113:K113" si="717">B$112+$BK171</f>
        <v>1</v>
      </c>
      <c r="C113" s="598">
        <f t="shared" si="717"/>
        <v>2</v>
      </c>
      <c r="D113" s="598">
        <f t="shared" si="717"/>
        <v>3</v>
      </c>
      <c r="E113" s="598">
        <f t="shared" si="717"/>
        <v>4</v>
      </c>
      <c r="F113" s="598">
        <f t="shared" si="717"/>
        <v>5</v>
      </c>
      <c r="G113" s="598">
        <f t="shared" si="717"/>
        <v>6</v>
      </c>
      <c r="H113" s="598">
        <f t="shared" si="717"/>
        <v>7</v>
      </c>
      <c r="I113" s="598">
        <f t="shared" si="717"/>
        <v>8</v>
      </c>
      <c r="J113" s="598">
        <f t="shared" si="717"/>
        <v>9</v>
      </c>
      <c r="K113" s="598">
        <f t="shared" si="717"/>
        <v>10</v>
      </c>
      <c r="M113" s="598" t="s">
        <v>2341</v>
      </c>
      <c r="N113" s="598">
        <f t="shared" ref="N113:W113" si="718">N$112+$BY171</f>
        <v>0</v>
      </c>
      <c r="O113" s="598">
        <f t="shared" si="718"/>
        <v>1</v>
      </c>
      <c r="P113" s="598">
        <f t="shared" si="718"/>
        <v>2</v>
      </c>
      <c r="Q113" s="598">
        <f t="shared" si="718"/>
        <v>3</v>
      </c>
      <c r="R113" s="598">
        <f t="shared" si="718"/>
        <v>4</v>
      </c>
      <c r="S113" s="598">
        <f t="shared" si="718"/>
        <v>5</v>
      </c>
      <c r="T113" s="598">
        <f t="shared" si="718"/>
        <v>6</v>
      </c>
      <c r="U113" s="598">
        <f t="shared" si="718"/>
        <v>7</v>
      </c>
      <c r="V113" s="598">
        <f t="shared" si="718"/>
        <v>8</v>
      </c>
      <c r="W113" s="598">
        <f t="shared" si="718"/>
        <v>9</v>
      </c>
      <c r="Y113" s="598" t="s">
        <v>2341</v>
      </c>
      <c r="Z113" s="598">
        <f t="shared" ref="Z113:AI113" si="719">Z$112+$BU171</f>
        <v>2</v>
      </c>
      <c r="AA113" s="598">
        <f t="shared" si="719"/>
        <v>3</v>
      </c>
      <c r="AB113" s="598">
        <f t="shared" si="719"/>
        <v>4</v>
      </c>
      <c r="AC113" s="598">
        <f t="shared" si="719"/>
        <v>5</v>
      </c>
      <c r="AD113" s="598">
        <f t="shared" si="719"/>
        <v>6</v>
      </c>
      <c r="AE113" s="598">
        <f t="shared" si="719"/>
        <v>7</v>
      </c>
      <c r="AF113" s="598">
        <f t="shared" si="719"/>
        <v>8</v>
      </c>
      <c r="AG113" s="598">
        <f t="shared" si="719"/>
        <v>9</v>
      </c>
      <c r="AH113" s="598">
        <f t="shared" si="719"/>
        <v>10</v>
      </c>
      <c r="AI113" s="598">
        <f t="shared" si="719"/>
        <v>11</v>
      </c>
      <c r="AK113" s="598" t="s">
        <v>2341</v>
      </c>
      <c r="AL113" s="598">
        <f t="shared" ref="AL113:AU113" si="720">AL$112+$BS171</f>
        <v>1</v>
      </c>
      <c r="AM113" s="598">
        <f t="shared" si="720"/>
        <v>2</v>
      </c>
      <c r="AN113" s="598">
        <f t="shared" si="720"/>
        <v>3</v>
      </c>
      <c r="AO113" s="598">
        <f t="shared" si="720"/>
        <v>4</v>
      </c>
      <c r="AP113" s="598">
        <f t="shared" si="720"/>
        <v>5</v>
      </c>
      <c r="AQ113" s="598">
        <f t="shared" si="720"/>
        <v>6</v>
      </c>
      <c r="AR113" s="598">
        <f t="shared" si="720"/>
        <v>7</v>
      </c>
      <c r="AS113" s="598">
        <f t="shared" si="720"/>
        <v>8</v>
      </c>
      <c r="AT113" s="598">
        <f t="shared" si="720"/>
        <v>9</v>
      </c>
      <c r="AU113" s="598">
        <f t="shared" si="720"/>
        <v>10</v>
      </c>
      <c r="AW113" s="598" t="s">
        <v>2341</v>
      </c>
      <c r="AX113" s="598">
        <f t="shared" ref="AX113:BG113" si="721">AX$112+$BW171</f>
        <v>1</v>
      </c>
      <c r="AY113" s="598">
        <f t="shared" si="721"/>
        <v>2</v>
      </c>
      <c r="AZ113" s="598">
        <f t="shared" si="721"/>
        <v>3</v>
      </c>
      <c r="BA113" s="598">
        <f t="shared" si="721"/>
        <v>4</v>
      </c>
      <c r="BB113" s="598">
        <f t="shared" si="721"/>
        <v>5</v>
      </c>
      <c r="BC113" s="598">
        <f t="shared" si="721"/>
        <v>6</v>
      </c>
      <c r="BD113" s="598">
        <f t="shared" si="721"/>
        <v>7</v>
      </c>
      <c r="BE113" s="598">
        <f t="shared" si="721"/>
        <v>8</v>
      </c>
      <c r="BF113" s="598">
        <f t="shared" si="721"/>
        <v>9</v>
      </c>
      <c r="BG113" s="598">
        <f t="shared" si="721"/>
        <v>10</v>
      </c>
    </row>
    <row r="114" spans="1:59">
      <c r="A114" s="598" t="s">
        <v>3268</v>
      </c>
      <c r="B114" s="598">
        <f t="shared" ref="B114:K114" si="722">B$112+$BK172</f>
        <v>2</v>
      </c>
      <c r="C114" s="598">
        <f t="shared" si="722"/>
        <v>3</v>
      </c>
      <c r="D114" s="598">
        <f t="shared" si="722"/>
        <v>4</v>
      </c>
      <c r="E114" s="598">
        <f t="shared" si="722"/>
        <v>5</v>
      </c>
      <c r="F114" s="598">
        <f t="shared" si="722"/>
        <v>6</v>
      </c>
      <c r="G114" s="598">
        <f t="shared" si="722"/>
        <v>7</v>
      </c>
      <c r="H114" s="598">
        <f t="shared" si="722"/>
        <v>8</v>
      </c>
      <c r="I114" s="598">
        <f t="shared" si="722"/>
        <v>9</v>
      </c>
      <c r="J114" s="598">
        <f t="shared" si="722"/>
        <v>10</v>
      </c>
      <c r="K114" s="598">
        <f t="shared" si="722"/>
        <v>11</v>
      </c>
      <c r="M114" s="598" t="s">
        <v>3268</v>
      </c>
      <c r="N114" s="598">
        <f t="shared" ref="N114:W114" si="723">N$112+$BY172</f>
        <v>0</v>
      </c>
      <c r="O114" s="598">
        <f t="shared" si="723"/>
        <v>1</v>
      </c>
      <c r="P114" s="598">
        <f t="shared" si="723"/>
        <v>2</v>
      </c>
      <c r="Q114" s="598">
        <f t="shared" si="723"/>
        <v>3</v>
      </c>
      <c r="R114" s="598">
        <f t="shared" si="723"/>
        <v>4</v>
      </c>
      <c r="S114" s="598">
        <f t="shared" si="723"/>
        <v>5</v>
      </c>
      <c r="T114" s="598">
        <f t="shared" si="723"/>
        <v>6</v>
      </c>
      <c r="U114" s="598">
        <f t="shared" si="723"/>
        <v>7</v>
      </c>
      <c r="V114" s="598">
        <f t="shared" si="723"/>
        <v>8</v>
      </c>
      <c r="W114" s="598">
        <f t="shared" si="723"/>
        <v>9</v>
      </c>
      <c r="Y114" s="598" t="s">
        <v>3268</v>
      </c>
      <c r="Z114" s="598">
        <f t="shared" ref="Z114:AI114" si="724">Z$112+$BU172</f>
        <v>2</v>
      </c>
      <c r="AA114" s="598">
        <f t="shared" si="724"/>
        <v>3</v>
      </c>
      <c r="AB114" s="598">
        <f t="shared" si="724"/>
        <v>4</v>
      </c>
      <c r="AC114" s="598">
        <f t="shared" si="724"/>
        <v>5</v>
      </c>
      <c r="AD114" s="598">
        <f t="shared" si="724"/>
        <v>6</v>
      </c>
      <c r="AE114" s="598">
        <f t="shared" si="724"/>
        <v>7</v>
      </c>
      <c r="AF114" s="598">
        <f t="shared" si="724"/>
        <v>8</v>
      </c>
      <c r="AG114" s="598">
        <f t="shared" si="724"/>
        <v>9</v>
      </c>
      <c r="AH114" s="598">
        <f t="shared" si="724"/>
        <v>10</v>
      </c>
      <c r="AI114" s="598">
        <f t="shared" si="724"/>
        <v>11</v>
      </c>
      <c r="AK114" s="598" t="s">
        <v>3268</v>
      </c>
      <c r="AL114" s="598">
        <f t="shared" ref="AL114:AU114" si="725">AL$112+$BS172</f>
        <v>3</v>
      </c>
      <c r="AM114" s="598">
        <f t="shared" si="725"/>
        <v>4</v>
      </c>
      <c r="AN114" s="598">
        <f t="shared" si="725"/>
        <v>5</v>
      </c>
      <c r="AO114" s="598">
        <f t="shared" si="725"/>
        <v>6</v>
      </c>
      <c r="AP114" s="598">
        <f t="shared" si="725"/>
        <v>7</v>
      </c>
      <c r="AQ114" s="598">
        <f t="shared" si="725"/>
        <v>8</v>
      </c>
      <c r="AR114" s="598">
        <f t="shared" si="725"/>
        <v>9</v>
      </c>
      <c r="AS114" s="598">
        <f t="shared" si="725"/>
        <v>10</v>
      </c>
      <c r="AT114" s="598">
        <f t="shared" si="725"/>
        <v>11</v>
      </c>
      <c r="AU114" s="598">
        <f t="shared" si="725"/>
        <v>12</v>
      </c>
      <c r="AW114" s="598" t="s">
        <v>3268</v>
      </c>
      <c r="AX114" s="598">
        <f t="shared" ref="AX114:BG114" si="726">AX$112+$BW172</f>
        <v>1</v>
      </c>
      <c r="AY114" s="598">
        <f t="shared" si="726"/>
        <v>2</v>
      </c>
      <c r="AZ114" s="598">
        <f t="shared" si="726"/>
        <v>3</v>
      </c>
      <c r="BA114" s="598">
        <f t="shared" si="726"/>
        <v>4</v>
      </c>
      <c r="BB114" s="598">
        <f t="shared" si="726"/>
        <v>5</v>
      </c>
      <c r="BC114" s="598">
        <f t="shared" si="726"/>
        <v>6</v>
      </c>
      <c r="BD114" s="598">
        <f t="shared" si="726"/>
        <v>7</v>
      </c>
      <c r="BE114" s="598">
        <f t="shared" si="726"/>
        <v>8</v>
      </c>
      <c r="BF114" s="598">
        <f t="shared" si="726"/>
        <v>9</v>
      </c>
      <c r="BG114" s="598">
        <f t="shared" si="726"/>
        <v>10</v>
      </c>
    </row>
    <row r="115" spans="1:59">
      <c r="A115" s="598" t="s">
        <v>2342</v>
      </c>
      <c r="B115" s="598">
        <f t="shared" ref="B115:K115" si="727">B$112+$BK173</f>
        <v>1</v>
      </c>
      <c r="C115" s="598">
        <f t="shared" si="727"/>
        <v>2</v>
      </c>
      <c r="D115" s="598">
        <f t="shared" si="727"/>
        <v>3</v>
      </c>
      <c r="E115" s="598">
        <f t="shared" si="727"/>
        <v>4</v>
      </c>
      <c r="F115" s="598">
        <f t="shared" si="727"/>
        <v>5</v>
      </c>
      <c r="G115" s="598">
        <f t="shared" si="727"/>
        <v>6</v>
      </c>
      <c r="H115" s="598">
        <f t="shared" si="727"/>
        <v>7</v>
      </c>
      <c r="I115" s="598">
        <f t="shared" si="727"/>
        <v>8</v>
      </c>
      <c r="J115" s="598">
        <f t="shared" si="727"/>
        <v>9</v>
      </c>
      <c r="K115" s="598">
        <f t="shared" si="727"/>
        <v>10</v>
      </c>
      <c r="M115" s="598" t="s">
        <v>2342</v>
      </c>
      <c r="N115" s="598">
        <f t="shared" ref="N115:W115" si="728">N$112+$BY173</f>
        <v>0</v>
      </c>
      <c r="O115" s="598">
        <f t="shared" si="728"/>
        <v>1</v>
      </c>
      <c r="P115" s="598">
        <f t="shared" si="728"/>
        <v>2</v>
      </c>
      <c r="Q115" s="598">
        <f t="shared" si="728"/>
        <v>3</v>
      </c>
      <c r="R115" s="598">
        <f t="shared" si="728"/>
        <v>4</v>
      </c>
      <c r="S115" s="598">
        <f t="shared" si="728"/>
        <v>5</v>
      </c>
      <c r="T115" s="598">
        <f t="shared" si="728"/>
        <v>6</v>
      </c>
      <c r="U115" s="598">
        <f t="shared" si="728"/>
        <v>7</v>
      </c>
      <c r="V115" s="598">
        <f t="shared" si="728"/>
        <v>8</v>
      </c>
      <c r="W115" s="598">
        <f t="shared" si="728"/>
        <v>9</v>
      </c>
      <c r="Y115" s="598" t="s">
        <v>2342</v>
      </c>
      <c r="Z115" s="598">
        <f t="shared" ref="Z115:AI115" si="729">Z$112+$BU173</f>
        <v>4</v>
      </c>
      <c r="AA115" s="598">
        <f t="shared" si="729"/>
        <v>5</v>
      </c>
      <c r="AB115" s="598">
        <f t="shared" si="729"/>
        <v>6</v>
      </c>
      <c r="AC115" s="598">
        <f t="shared" si="729"/>
        <v>7</v>
      </c>
      <c r="AD115" s="598">
        <f t="shared" si="729"/>
        <v>8</v>
      </c>
      <c r="AE115" s="598">
        <f t="shared" si="729"/>
        <v>9</v>
      </c>
      <c r="AF115" s="598">
        <f t="shared" si="729"/>
        <v>10</v>
      </c>
      <c r="AG115" s="598">
        <f t="shared" si="729"/>
        <v>11</v>
      </c>
      <c r="AH115" s="598">
        <f t="shared" si="729"/>
        <v>12</v>
      </c>
      <c r="AI115" s="598">
        <f t="shared" si="729"/>
        <v>13</v>
      </c>
      <c r="AK115" s="598" t="s">
        <v>2342</v>
      </c>
      <c r="AL115" s="598">
        <f t="shared" ref="AL115:AU115" si="730">AL$112+$BS173</f>
        <v>0</v>
      </c>
      <c r="AM115" s="598">
        <f t="shared" si="730"/>
        <v>1</v>
      </c>
      <c r="AN115" s="598">
        <f t="shared" si="730"/>
        <v>2</v>
      </c>
      <c r="AO115" s="598">
        <f t="shared" si="730"/>
        <v>3</v>
      </c>
      <c r="AP115" s="598">
        <f t="shared" si="730"/>
        <v>4</v>
      </c>
      <c r="AQ115" s="598">
        <f t="shared" si="730"/>
        <v>5</v>
      </c>
      <c r="AR115" s="598">
        <f t="shared" si="730"/>
        <v>6</v>
      </c>
      <c r="AS115" s="598">
        <f t="shared" si="730"/>
        <v>7</v>
      </c>
      <c r="AT115" s="598">
        <f t="shared" si="730"/>
        <v>8</v>
      </c>
      <c r="AU115" s="598">
        <f t="shared" si="730"/>
        <v>9</v>
      </c>
      <c r="AW115" s="598" t="s">
        <v>2342</v>
      </c>
      <c r="AX115" s="598">
        <f t="shared" ref="AX115:BG115" si="731">AX$112+$BW173</f>
        <v>1</v>
      </c>
      <c r="AY115" s="598">
        <f t="shared" si="731"/>
        <v>2</v>
      </c>
      <c r="AZ115" s="598">
        <f t="shared" si="731"/>
        <v>3</v>
      </c>
      <c r="BA115" s="598">
        <f t="shared" si="731"/>
        <v>4</v>
      </c>
      <c r="BB115" s="598">
        <f t="shared" si="731"/>
        <v>5</v>
      </c>
      <c r="BC115" s="598">
        <f t="shared" si="731"/>
        <v>6</v>
      </c>
      <c r="BD115" s="598">
        <f t="shared" si="731"/>
        <v>7</v>
      </c>
      <c r="BE115" s="598">
        <f t="shared" si="731"/>
        <v>8</v>
      </c>
      <c r="BF115" s="598">
        <f t="shared" si="731"/>
        <v>9</v>
      </c>
      <c r="BG115" s="598">
        <f t="shared" si="731"/>
        <v>10</v>
      </c>
    </row>
    <row r="116" spans="1:59">
      <c r="A116" s="598" t="s">
        <v>2343</v>
      </c>
      <c r="B116" s="598">
        <f t="shared" ref="B116:K116" si="732">B$112+$BK174</f>
        <v>1</v>
      </c>
      <c r="C116" s="598">
        <f t="shared" si="732"/>
        <v>2</v>
      </c>
      <c r="D116" s="598">
        <f t="shared" si="732"/>
        <v>3</v>
      </c>
      <c r="E116" s="598">
        <f t="shared" si="732"/>
        <v>4</v>
      </c>
      <c r="F116" s="598">
        <f t="shared" si="732"/>
        <v>5</v>
      </c>
      <c r="G116" s="598">
        <f t="shared" si="732"/>
        <v>6</v>
      </c>
      <c r="H116" s="598">
        <f t="shared" si="732"/>
        <v>7</v>
      </c>
      <c r="I116" s="598">
        <f t="shared" si="732"/>
        <v>8</v>
      </c>
      <c r="J116" s="598">
        <f t="shared" si="732"/>
        <v>9</v>
      </c>
      <c r="K116" s="598">
        <f t="shared" si="732"/>
        <v>10</v>
      </c>
      <c r="M116" s="598" t="s">
        <v>2343</v>
      </c>
      <c r="N116" s="598">
        <f t="shared" ref="N116:W116" si="733">N$112+$BY174</f>
        <v>0</v>
      </c>
      <c r="O116" s="598">
        <f t="shared" si="733"/>
        <v>1</v>
      </c>
      <c r="P116" s="598">
        <f t="shared" si="733"/>
        <v>2</v>
      </c>
      <c r="Q116" s="598">
        <f t="shared" si="733"/>
        <v>3</v>
      </c>
      <c r="R116" s="598">
        <f t="shared" si="733"/>
        <v>4</v>
      </c>
      <c r="S116" s="598">
        <f t="shared" si="733"/>
        <v>5</v>
      </c>
      <c r="T116" s="598">
        <f t="shared" si="733"/>
        <v>6</v>
      </c>
      <c r="U116" s="598">
        <f t="shared" si="733"/>
        <v>7</v>
      </c>
      <c r="V116" s="598">
        <f t="shared" si="733"/>
        <v>8</v>
      </c>
      <c r="W116" s="598">
        <f t="shared" si="733"/>
        <v>9</v>
      </c>
      <c r="Y116" s="598" t="s">
        <v>2343</v>
      </c>
      <c r="Z116" s="598">
        <f t="shared" ref="Z116:AI116" si="734">Z$112+$BU174</f>
        <v>-1</v>
      </c>
      <c r="AA116" s="598">
        <f t="shared" si="734"/>
        <v>0</v>
      </c>
      <c r="AB116" s="598">
        <f t="shared" si="734"/>
        <v>1</v>
      </c>
      <c r="AC116" s="598">
        <f t="shared" si="734"/>
        <v>2</v>
      </c>
      <c r="AD116" s="598">
        <f t="shared" si="734"/>
        <v>3</v>
      </c>
      <c r="AE116" s="598">
        <f t="shared" si="734"/>
        <v>4</v>
      </c>
      <c r="AF116" s="598">
        <f t="shared" si="734"/>
        <v>5</v>
      </c>
      <c r="AG116" s="598">
        <f t="shared" si="734"/>
        <v>6</v>
      </c>
      <c r="AH116" s="598">
        <f t="shared" si="734"/>
        <v>7</v>
      </c>
      <c r="AI116" s="598">
        <f t="shared" si="734"/>
        <v>8</v>
      </c>
      <c r="AK116" s="598" t="s">
        <v>2343</v>
      </c>
      <c r="AL116" s="598">
        <f t="shared" ref="AL116:AU116" si="735">AL$112+$BS174</f>
        <v>4</v>
      </c>
      <c r="AM116" s="598">
        <f t="shared" si="735"/>
        <v>5</v>
      </c>
      <c r="AN116" s="598">
        <f t="shared" si="735"/>
        <v>6</v>
      </c>
      <c r="AO116" s="598">
        <f t="shared" si="735"/>
        <v>7</v>
      </c>
      <c r="AP116" s="598">
        <f t="shared" si="735"/>
        <v>8</v>
      </c>
      <c r="AQ116" s="598">
        <f t="shared" si="735"/>
        <v>9</v>
      </c>
      <c r="AR116" s="598">
        <f t="shared" si="735"/>
        <v>10</v>
      </c>
      <c r="AS116" s="598">
        <f t="shared" si="735"/>
        <v>11</v>
      </c>
      <c r="AT116" s="598">
        <f t="shared" si="735"/>
        <v>12</v>
      </c>
      <c r="AU116" s="598">
        <f t="shared" si="735"/>
        <v>13</v>
      </c>
      <c r="AW116" s="598" t="s">
        <v>2343</v>
      </c>
      <c r="AX116" s="598">
        <f t="shared" ref="AX116:BG116" si="736">AX$112+$BW174</f>
        <v>1</v>
      </c>
      <c r="AY116" s="598">
        <f t="shared" si="736"/>
        <v>2</v>
      </c>
      <c r="AZ116" s="598">
        <f t="shared" si="736"/>
        <v>3</v>
      </c>
      <c r="BA116" s="598">
        <f t="shared" si="736"/>
        <v>4</v>
      </c>
      <c r="BB116" s="598">
        <f t="shared" si="736"/>
        <v>5</v>
      </c>
      <c r="BC116" s="598">
        <f t="shared" si="736"/>
        <v>6</v>
      </c>
      <c r="BD116" s="598">
        <f t="shared" si="736"/>
        <v>7</v>
      </c>
      <c r="BE116" s="598">
        <f t="shared" si="736"/>
        <v>8</v>
      </c>
      <c r="BF116" s="598">
        <f t="shared" si="736"/>
        <v>9</v>
      </c>
      <c r="BG116" s="598">
        <f t="shared" si="736"/>
        <v>10</v>
      </c>
    </row>
    <row r="117" spans="1:59">
      <c r="A117" s="598" t="s">
        <v>2344</v>
      </c>
      <c r="B117" s="598">
        <f t="shared" ref="B117:K117" si="737">B$112+$BK175</f>
        <v>-2</v>
      </c>
      <c r="C117" s="598">
        <f t="shared" si="737"/>
        <v>-1</v>
      </c>
      <c r="D117" s="598">
        <f t="shared" si="737"/>
        <v>0</v>
      </c>
      <c r="E117" s="598">
        <f t="shared" si="737"/>
        <v>1</v>
      </c>
      <c r="F117" s="598">
        <f t="shared" si="737"/>
        <v>2</v>
      </c>
      <c r="G117" s="598">
        <f t="shared" si="737"/>
        <v>3</v>
      </c>
      <c r="H117" s="598">
        <f t="shared" si="737"/>
        <v>4</v>
      </c>
      <c r="I117" s="598">
        <f t="shared" si="737"/>
        <v>5</v>
      </c>
      <c r="J117" s="598">
        <f t="shared" si="737"/>
        <v>6</v>
      </c>
      <c r="K117" s="598">
        <f t="shared" si="737"/>
        <v>7</v>
      </c>
      <c r="M117" s="598" t="s">
        <v>2344</v>
      </c>
      <c r="N117" s="598">
        <f t="shared" ref="N117:W117" si="738">N$112+$BY175</f>
        <v>-2</v>
      </c>
      <c r="O117" s="598">
        <f t="shared" si="738"/>
        <v>-1</v>
      </c>
      <c r="P117" s="598">
        <f t="shared" si="738"/>
        <v>0</v>
      </c>
      <c r="Q117" s="598">
        <f t="shared" si="738"/>
        <v>1</v>
      </c>
      <c r="R117" s="598">
        <f t="shared" si="738"/>
        <v>2</v>
      </c>
      <c r="S117" s="598">
        <f t="shared" si="738"/>
        <v>3</v>
      </c>
      <c r="T117" s="598">
        <f t="shared" si="738"/>
        <v>4</v>
      </c>
      <c r="U117" s="598">
        <f t="shared" si="738"/>
        <v>5</v>
      </c>
      <c r="V117" s="598">
        <f t="shared" si="738"/>
        <v>6</v>
      </c>
      <c r="W117" s="598">
        <f t="shared" si="738"/>
        <v>7</v>
      </c>
      <c r="Y117" s="598" t="s">
        <v>2344</v>
      </c>
      <c r="Z117" s="598">
        <f t="shared" ref="Z117:AI117" si="739">Z$112+$BU175</f>
        <v>-2</v>
      </c>
      <c r="AA117" s="598">
        <f t="shared" si="739"/>
        <v>-1</v>
      </c>
      <c r="AB117" s="598">
        <f t="shared" si="739"/>
        <v>0</v>
      </c>
      <c r="AC117" s="598">
        <f t="shared" si="739"/>
        <v>1</v>
      </c>
      <c r="AD117" s="598">
        <f t="shared" si="739"/>
        <v>2</v>
      </c>
      <c r="AE117" s="598">
        <f t="shared" si="739"/>
        <v>3</v>
      </c>
      <c r="AF117" s="598">
        <f t="shared" si="739"/>
        <v>4</v>
      </c>
      <c r="AG117" s="598">
        <f t="shared" si="739"/>
        <v>5</v>
      </c>
      <c r="AH117" s="598">
        <f t="shared" si="739"/>
        <v>6</v>
      </c>
      <c r="AI117" s="598">
        <f t="shared" si="739"/>
        <v>7</v>
      </c>
      <c r="AK117" s="598" t="s">
        <v>2344</v>
      </c>
      <c r="AL117" s="598">
        <f t="shared" ref="AL117:AU117" si="740">AL$112+$BS175</f>
        <v>-2</v>
      </c>
      <c r="AM117" s="598">
        <f t="shared" si="740"/>
        <v>-1</v>
      </c>
      <c r="AN117" s="598">
        <f t="shared" si="740"/>
        <v>0</v>
      </c>
      <c r="AO117" s="598">
        <f t="shared" si="740"/>
        <v>1</v>
      </c>
      <c r="AP117" s="598">
        <f t="shared" si="740"/>
        <v>2</v>
      </c>
      <c r="AQ117" s="598">
        <f t="shared" si="740"/>
        <v>3</v>
      </c>
      <c r="AR117" s="598">
        <f t="shared" si="740"/>
        <v>4</v>
      </c>
      <c r="AS117" s="598">
        <f t="shared" si="740"/>
        <v>5</v>
      </c>
      <c r="AT117" s="598">
        <f t="shared" si="740"/>
        <v>6</v>
      </c>
      <c r="AU117" s="598">
        <f t="shared" si="740"/>
        <v>7</v>
      </c>
      <c r="AW117" s="598" t="s">
        <v>2344</v>
      </c>
      <c r="AX117" s="598">
        <f t="shared" ref="AX117:BG117" si="741">AX$112+$BW175</f>
        <v>0</v>
      </c>
      <c r="AY117" s="598">
        <f t="shared" si="741"/>
        <v>1</v>
      </c>
      <c r="AZ117" s="598">
        <f t="shared" si="741"/>
        <v>2</v>
      </c>
      <c r="BA117" s="598">
        <f t="shared" si="741"/>
        <v>3</v>
      </c>
      <c r="BB117" s="598">
        <f t="shared" si="741"/>
        <v>4</v>
      </c>
      <c r="BC117" s="598">
        <f t="shared" si="741"/>
        <v>5</v>
      </c>
      <c r="BD117" s="598">
        <f t="shared" si="741"/>
        <v>6</v>
      </c>
      <c r="BE117" s="598">
        <f t="shared" si="741"/>
        <v>7</v>
      </c>
      <c r="BF117" s="598">
        <f t="shared" si="741"/>
        <v>8</v>
      </c>
      <c r="BG117" s="598">
        <f t="shared" si="741"/>
        <v>9</v>
      </c>
    </row>
    <row r="118" spans="1:59">
      <c r="A118" s="598" t="s">
        <v>2345</v>
      </c>
      <c r="B118" s="598" t="e">
        <f t="shared" ref="B118:K118" si="742">B$112+$BK176</f>
        <v>#N/A</v>
      </c>
      <c r="C118" s="598" t="e">
        <f t="shared" si="742"/>
        <v>#N/A</v>
      </c>
      <c r="D118" s="598" t="e">
        <f t="shared" si="742"/>
        <v>#N/A</v>
      </c>
      <c r="E118" s="598" t="e">
        <f t="shared" si="742"/>
        <v>#N/A</v>
      </c>
      <c r="F118" s="598" t="e">
        <f t="shared" si="742"/>
        <v>#N/A</v>
      </c>
      <c r="G118" s="598" t="e">
        <f t="shared" si="742"/>
        <v>#N/A</v>
      </c>
      <c r="H118" s="598" t="e">
        <f t="shared" si="742"/>
        <v>#N/A</v>
      </c>
      <c r="I118" s="598" t="e">
        <f t="shared" si="742"/>
        <v>#N/A</v>
      </c>
      <c r="J118" s="598" t="e">
        <f t="shared" si="742"/>
        <v>#N/A</v>
      </c>
      <c r="K118" s="598" t="e">
        <f t="shared" si="742"/>
        <v>#N/A</v>
      </c>
      <c r="M118" s="598" t="s">
        <v>2345</v>
      </c>
      <c r="N118" s="598">
        <f t="shared" ref="N118:W118" si="743">N$112+$BY176</f>
        <v>1</v>
      </c>
      <c r="O118" s="598">
        <f t="shared" si="743"/>
        <v>2</v>
      </c>
      <c r="P118" s="598">
        <f t="shared" si="743"/>
        <v>3</v>
      </c>
      <c r="Q118" s="598">
        <f t="shared" si="743"/>
        <v>4</v>
      </c>
      <c r="R118" s="598">
        <f t="shared" si="743"/>
        <v>5</v>
      </c>
      <c r="S118" s="598">
        <f t="shared" si="743"/>
        <v>6</v>
      </c>
      <c r="T118" s="598">
        <f t="shared" si="743"/>
        <v>7</v>
      </c>
      <c r="U118" s="598">
        <f t="shared" si="743"/>
        <v>8</v>
      </c>
      <c r="V118" s="598">
        <f t="shared" si="743"/>
        <v>9</v>
      </c>
      <c r="W118" s="598">
        <f t="shared" si="743"/>
        <v>10</v>
      </c>
      <c r="Y118" s="598" t="s">
        <v>2345</v>
      </c>
      <c r="Z118" s="598" t="e">
        <f t="shared" ref="Z118:AI118" si="744">Z$112+$BU176</f>
        <v>#N/A</v>
      </c>
      <c r="AA118" s="598" t="e">
        <f t="shared" si="744"/>
        <v>#N/A</v>
      </c>
      <c r="AB118" s="598" t="e">
        <f t="shared" si="744"/>
        <v>#N/A</v>
      </c>
      <c r="AC118" s="598" t="e">
        <f t="shared" si="744"/>
        <v>#N/A</v>
      </c>
      <c r="AD118" s="598" t="e">
        <f t="shared" si="744"/>
        <v>#N/A</v>
      </c>
      <c r="AE118" s="598" t="e">
        <f t="shared" si="744"/>
        <v>#N/A</v>
      </c>
      <c r="AF118" s="598" t="e">
        <f t="shared" si="744"/>
        <v>#N/A</v>
      </c>
      <c r="AG118" s="598" t="e">
        <f t="shared" si="744"/>
        <v>#N/A</v>
      </c>
      <c r="AH118" s="598" t="e">
        <f t="shared" si="744"/>
        <v>#N/A</v>
      </c>
      <c r="AI118" s="598" t="e">
        <f t="shared" si="744"/>
        <v>#N/A</v>
      </c>
      <c r="AK118" s="598" t="s">
        <v>2345</v>
      </c>
      <c r="AL118" s="598" t="e">
        <f t="shared" ref="AL118:AU118" si="745">AL$112+$BS176</f>
        <v>#N/A</v>
      </c>
      <c r="AM118" s="598" t="e">
        <f t="shared" si="745"/>
        <v>#N/A</v>
      </c>
      <c r="AN118" s="598" t="e">
        <f t="shared" si="745"/>
        <v>#N/A</v>
      </c>
      <c r="AO118" s="598" t="e">
        <f t="shared" si="745"/>
        <v>#N/A</v>
      </c>
      <c r="AP118" s="598" t="e">
        <f t="shared" si="745"/>
        <v>#N/A</v>
      </c>
      <c r="AQ118" s="598" t="e">
        <f t="shared" si="745"/>
        <v>#N/A</v>
      </c>
      <c r="AR118" s="598" t="e">
        <f t="shared" si="745"/>
        <v>#N/A</v>
      </c>
      <c r="AS118" s="598" t="e">
        <f t="shared" si="745"/>
        <v>#N/A</v>
      </c>
      <c r="AT118" s="598" t="e">
        <f t="shared" si="745"/>
        <v>#N/A</v>
      </c>
      <c r="AU118" s="598" t="e">
        <f t="shared" si="745"/>
        <v>#N/A</v>
      </c>
      <c r="AW118" s="598" t="s">
        <v>2345</v>
      </c>
      <c r="AX118" s="598" t="e">
        <f t="shared" ref="AX118:BG118" si="746">AX$112+$BW176</f>
        <v>#VALUE!</v>
      </c>
      <c r="AY118" s="598" t="e">
        <f t="shared" si="746"/>
        <v>#VALUE!</v>
      </c>
      <c r="AZ118" s="598" t="e">
        <f t="shared" si="746"/>
        <v>#VALUE!</v>
      </c>
      <c r="BA118" s="598" t="e">
        <f t="shared" si="746"/>
        <v>#VALUE!</v>
      </c>
      <c r="BB118" s="598" t="e">
        <f t="shared" si="746"/>
        <v>#VALUE!</v>
      </c>
      <c r="BC118" s="598" t="e">
        <f t="shared" si="746"/>
        <v>#VALUE!</v>
      </c>
      <c r="BD118" s="598" t="e">
        <f t="shared" si="746"/>
        <v>#VALUE!</v>
      </c>
      <c r="BE118" s="598" t="e">
        <f t="shared" si="746"/>
        <v>#VALUE!</v>
      </c>
      <c r="BF118" s="598" t="e">
        <f t="shared" si="746"/>
        <v>#VALUE!</v>
      </c>
      <c r="BG118" s="598" t="e">
        <f t="shared" si="746"/>
        <v>#VALUE!</v>
      </c>
    </row>
    <row r="119" spans="1:59">
      <c r="A119" s="598" t="s">
        <v>1631</v>
      </c>
      <c r="B119" s="598">
        <f t="shared" ref="B119:K119" si="747">B$112+$BK177</f>
        <v>0</v>
      </c>
      <c r="C119" s="598">
        <f t="shared" si="747"/>
        <v>1</v>
      </c>
      <c r="D119" s="598">
        <f t="shared" si="747"/>
        <v>2</v>
      </c>
      <c r="E119" s="598">
        <f t="shared" si="747"/>
        <v>3</v>
      </c>
      <c r="F119" s="598">
        <f t="shared" si="747"/>
        <v>4</v>
      </c>
      <c r="G119" s="598">
        <f t="shared" si="747"/>
        <v>5</v>
      </c>
      <c r="H119" s="598">
        <f t="shared" si="747"/>
        <v>6</v>
      </c>
      <c r="I119" s="598">
        <f t="shared" si="747"/>
        <v>7</v>
      </c>
      <c r="J119" s="598">
        <f t="shared" si="747"/>
        <v>8</v>
      </c>
      <c r="K119" s="598">
        <f t="shared" si="747"/>
        <v>9</v>
      </c>
      <c r="M119" s="598" t="s">
        <v>1631</v>
      </c>
      <c r="N119" s="598">
        <f t="shared" ref="N119:W119" si="748">N$112+$BY177</f>
        <v>0</v>
      </c>
      <c r="O119" s="598">
        <f t="shared" si="748"/>
        <v>1</v>
      </c>
      <c r="P119" s="598">
        <f t="shared" si="748"/>
        <v>2</v>
      </c>
      <c r="Q119" s="598">
        <f t="shared" si="748"/>
        <v>3</v>
      </c>
      <c r="R119" s="598">
        <f t="shared" si="748"/>
        <v>4</v>
      </c>
      <c r="S119" s="598">
        <f t="shared" si="748"/>
        <v>5</v>
      </c>
      <c r="T119" s="598">
        <f t="shared" si="748"/>
        <v>6</v>
      </c>
      <c r="U119" s="598">
        <f t="shared" si="748"/>
        <v>7</v>
      </c>
      <c r="V119" s="598">
        <f t="shared" si="748"/>
        <v>8</v>
      </c>
      <c r="W119" s="598">
        <f t="shared" si="748"/>
        <v>9</v>
      </c>
      <c r="Y119" s="598" t="s">
        <v>1631</v>
      </c>
      <c r="Z119" s="598">
        <f t="shared" ref="Z119:AI119" si="749">Z$112+$BU177</f>
        <v>0</v>
      </c>
      <c r="AA119" s="598">
        <f t="shared" si="749"/>
        <v>1</v>
      </c>
      <c r="AB119" s="598">
        <f t="shared" si="749"/>
        <v>2</v>
      </c>
      <c r="AC119" s="598">
        <f t="shared" si="749"/>
        <v>3</v>
      </c>
      <c r="AD119" s="598">
        <f t="shared" si="749"/>
        <v>4</v>
      </c>
      <c r="AE119" s="598">
        <f t="shared" si="749"/>
        <v>5</v>
      </c>
      <c r="AF119" s="598">
        <f t="shared" si="749"/>
        <v>6</v>
      </c>
      <c r="AG119" s="598">
        <f t="shared" si="749"/>
        <v>7</v>
      </c>
      <c r="AH119" s="598">
        <f t="shared" si="749"/>
        <v>8</v>
      </c>
      <c r="AI119" s="598">
        <f t="shared" si="749"/>
        <v>9</v>
      </c>
      <c r="AK119" s="598" t="s">
        <v>1631</v>
      </c>
      <c r="AL119" s="598">
        <f t="shared" ref="AL119:AU119" si="750">AL$112+$BS177</f>
        <v>0</v>
      </c>
      <c r="AM119" s="598">
        <f t="shared" si="750"/>
        <v>1</v>
      </c>
      <c r="AN119" s="598">
        <f t="shared" si="750"/>
        <v>2</v>
      </c>
      <c r="AO119" s="598">
        <f t="shared" si="750"/>
        <v>3</v>
      </c>
      <c r="AP119" s="598">
        <f t="shared" si="750"/>
        <v>4</v>
      </c>
      <c r="AQ119" s="598">
        <f t="shared" si="750"/>
        <v>5</v>
      </c>
      <c r="AR119" s="598">
        <f t="shared" si="750"/>
        <v>6</v>
      </c>
      <c r="AS119" s="598">
        <f t="shared" si="750"/>
        <v>7</v>
      </c>
      <c r="AT119" s="598">
        <f t="shared" si="750"/>
        <v>8</v>
      </c>
      <c r="AU119" s="598">
        <f t="shared" si="750"/>
        <v>9</v>
      </c>
      <c r="AW119" s="598" t="s">
        <v>1631</v>
      </c>
      <c r="AX119" s="598">
        <f t="shared" ref="AX119:BG119" si="751">AX$112+$BW177</f>
        <v>-1</v>
      </c>
      <c r="AY119" s="598">
        <f t="shared" si="751"/>
        <v>0</v>
      </c>
      <c r="AZ119" s="598">
        <f t="shared" si="751"/>
        <v>1</v>
      </c>
      <c r="BA119" s="598">
        <f t="shared" si="751"/>
        <v>2</v>
      </c>
      <c r="BB119" s="598">
        <f t="shared" si="751"/>
        <v>3</v>
      </c>
      <c r="BC119" s="598">
        <f t="shared" si="751"/>
        <v>4</v>
      </c>
      <c r="BD119" s="598">
        <f t="shared" si="751"/>
        <v>5</v>
      </c>
      <c r="BE119" s="598">
        <f t="shared" si="751"/>
        <v>6</v>
      </c>
      <c r="BF119" s="598">
        <f t="shared" si="751"/>
        <v>7</v>
      </c>
      <c r="BG119" s="598">
        <f t="shared" si="751"/>
        <v>8</v>
      </c>
    </row>
    <row r="120" spans="1:59">
      <c r="A120" s="598" t="s">
        <v>3657</v>
      </c>
      <c r="B120" s="598">
        <f t="shared" ref="B120:K120" si="752">B$112+$BK178</f>
        <v>-1</v>
      </c>
      <c r="C120" s="598">
        <f t="shared" si="752"/>
        <v>0</v>
      </c>
      <c r="D120" s="598">
        <f t="shared" si="752"/>
        <v>1</v>
      </c>
      <c r="E120" s="598">
        <f t="shared" si="752"/>
        <v>2</v>
      </c>
      <c r="F120" s="598">
        <f t="shared" si="752"/>
        <v>3</v>
      </c>
      <c r="G120" s="598">
        <f t="shared" si="752"/>
        <v>4</v>
      </c>
      <c r="H120" s="598">
        <f t="shared" si="752"/>
        <v>5</v>
      </c>
      <c r="I120" s="598">
        <f t="shared" si="752"/>
        <v>6</v>
      </c>
      <c r="J120" s="598">
        <f t="shared" si="752"/>
        <v>7</v>
      </c>
      <c r="K120" s="598">
        <f t="shared" si="752"/>
        <v>8</v>
      </c>
      <c r="M120" s="598" t="s">
        <v>3657</v>
      </c>
      <c r="N120" s="598">
        <f t="shared" ref="N120:W120" si="753">N$112+$BY178</f>
        <v>2</v>
      </c>
      <c r="O120" s="598">
        <f t="shared" si="753"/>
        <v>3</v>
      </c>
      <c r="P120" s="598">
        <f t="shared" si="753"/>
        <v>4</v>
      </c>
      <c r="Q120" s="598">
        <f t="shared" si="753"/>
        <v>5</v>
      </c>
      <c r="R120" s="598">
        <f t="shared" si="753"/>
        <v>6</v>
      </c>
      <c r="S120" s="598">
        <f t="shared" si="753"/>
        <v>7</v>
      </c>
      <c r="T120" s="598">
        <f t="shared" si="753"/>
        <v>8</v>
      </c>
      <c r="U120" s="598">
        <f t="shared" si="753"/>
        <v>9</v>
      </c>
      <c r="V120" s="598">
        <f t="shared" si="753"/>
        <v>10</v>
      </c>
      <c r="W120" s="598">
        <f t="shared" si="753"/>
        <v>11</v>
      </c>
      <c r="Y120" s="598" t="s">
        <v>3657</v>
      </c>
      <c r="Z120" s="598">
        <f t="shared" ref="Z120:AI120" si="754">Z$112+$BU178</f>
        <v>4</v>
      </c>
      <c r="AA120" s="598">
        <f t="shared" si="754"/>
        <v>5</v>
      </c>
      <c r="AB120" s="598">
        <f t="shared" si="754"/>
        <v>6</v>
      </c>
      <c r="AC120" s="598">
        <f t="shared" si="754"/>
        <v>7</v>
      </c>
      <c r="AD120" s="598">
        <f t="shared" si="754"/>
        <v>8</v>
      </c>
      <c r="AE120" s="598">
        <f t="shared" si="754"/>
        <v>9</v>
      </c>
      <c r="AF120" s="598">
        <f t="shared" si="754"/>
        <v>10</v>
      </c>
      <c r="AG120" s="598">
        <f t="shared" si="754"/>
        <v>11</v>
      </c>
      <c r="AH120" s="598">
        <f t="shared" si="754"/>
        <v>12</v>
      </c>
      <c r="AI120" s="598">
        <f t="shared" si="754"/>
        <v>13</v>
      </c>
      <c r="AK120" s="598" t="s">
        <v>3657</v>
      </c>
      <c r="AL120" s="598">
        <f t="shared" ref="AL120:AU120" si="755">AL$112+$BS178</f>
        <v>-2</v>
      </c>
      <c r="AM120" s="598">
        <f t="shared" si="755"/>
        <v>-1</v>
      </c>
      <c r="AN120" s="598">
        <f t="shared" si="755"/>
        <v>0</v>
      </c>
      <c r="AO120" s="598">
        <f t="shared" si="755"/>
        <v>1</v>
      </c>
      <c r="AP120" s="598">
        <f t="shared" si="755"/>
        <v>2</v>
      </c>
      <c r="AQ120" s="598">
        <f t="shared" si="755"/>
        <v>3</v>
      </c>
      <c r="AR120" s="598">
        <f t="shared" si="755"/>
        <v>4</v>
      </c>
      <c r="AS120" s="598">
        <f t="shared" si="755"/>
        <v>5</v>
      </c>
      <c r="AT120" s="598">
        <f t="shared" si="755"/>
        <v>6</v>
      </c>
      <c r="AU120" s="598">
        <f t="shared" si="755"/>
        <v>7</v>
      </c>
      <c r="AW120" s="598" t="s">
        <v>3657</v>
      </c>
      <c r="AX120" s="598">
        <f t="shared" ref="AX120:BG120" si="756">AX$112+$BW178</f>
        <v>0</v>
      </c>
      <c r="AY120" s="598">
        <f t="shared" si="756"/>
        <v>1</v>
      </c>
      <c r="AZ120" s="598">
        <f t="shared" si="756"/>
        <v>2</v>
      </c>
      <c r="BA120" s="598">
        <f t="shared" si="756"/>
        <v>3</v>
      </c>
      <c r="BB120" s="598">
        <f t="shared" si="756"/>
        <v>4</v>
      </c>
      <c r="BC120" s="598">
        <f t="shared" si="756"/>
        <v>5</v>
      </c>
      <c r="BD120" s="598">
        <f t="shared" si="756"/>
        <v>6</v>
      </c>
      <c r="BE120" s="598">
        <f t="shared" si="756"/>
        <v>7</v>
      </c>
      <c r="BF120" s="598">
        <f t="shared" si="756"/>
        <v>8</v>
      </c>
      <c r="BG120" s="598">
        <f t="shared" si="756"/>
        <v>9</v>
      </c>
    </row>
    <row r="121" spans="1:59">
      <c r="A121" s="598" t="s">
        <v>2346</v>
      </c>
      <c r="B121" s="598" t="e">
        <f t="shared" ref="B121:K121" si="757">B$112+$BK179</f>
        <v>#N/A</v>
      </c>
      <c r="C121" s="598" t="e">
        <f t="shared" si="757"/>
        <v>#N/A</v>
      </c>
      <c r="D121" s="598" t="e">
        <f t="shared" si="757"/>
        <v>#N/A</v>
      </c>
      <c r="E121" s="598" t="e">
        <f t="shared" si="757"/>
        <v>#N/A</v>
      </c>
      <c r="F121" s="598" t="e">
        <f t="shared" si="757"/>
        <v>#N/A</v>
      </c>
      <c r="G121" s="598" t="e">
        <f t="shared" si="757"/>
        <v>#N/A</v>
      </c>
      <c r="H121" s="598" t="e">
        <f t="shared" si="757"/>
        <v>#N/A</v>
      </c>
      <c r="I121" s="598" t="e">
        <f t="shared" si="757"/>
        <v>#N/A</v>
      </c>
      <c r="J121" s="598" t="e">
        <f t="shared" si="757"/>
        <v>#N/A</v>
      </c>
      <c r="K121" s="598" t="e">
        <f t="shared" si="757"/>
        <v>#N/A</v>
      </c>
      <c r="M121" s="598" t="s">
        <v>2346</v>
      </c>
      <c r="N121" s="598">
        <f t="shared" ref="N121:W121" si="758">N$112+$BY179</f>
        <v>4</v>
      </c>
      <c r="O121" s="598">
        <f t="shared" si="758"/>
        <v>5</v>
      </c>
      <c r="P121" s="598">
        <f t="shared" si="758"/>
        <v>6</v>
      </c>
      <c r="Q121" s="598">
        <f t="shared" si="758"/>
        <v>7</v>
      </c>
      <c r="R121" s="598">
        <f t="shared" si="758"/>
        <v>8</v>
      </c>
      <c r="S121" s="598">
        <f t="shared" si="758"/>
        <v>9</v>
      </c>
      <c r="T121" s="598">
        <f t="shared" si="758"/>
        <v>10</v>
      </c>
      <c r="U121" s="598">
        <f t="shared" si="758"/>
        <v>11</v>
      </c>
      <c r="V121" s="598">
        <f t="shared" si="758"/>
        <v>12</v>
      </c>
      <c r="W121" s="598">
        <f t="shared" si="758"/>
        <v>13</v>
      </c>
      <c r="Y121" s="598" t="s">
        <v>2346</v>
      </c>
      <c r="Z121" s="598" t="e">
        <f t="shared" ref="Z121:AI121" si="759">Z$112+$BU179</f>
        <v>#N/A</v>
      </c>
      <c r="AA121" s="598" t="e">
        <f t="shared" si="759"/>
        <v>#N/A</v>
      </c>
      <c r="AB121" s="598" t="e">
        <f t="shared" si="759"/>
        <v>#N/A</v>
      </c>
      <c r="AC121" s="598" t="e">
        <f t="shared" si="759"/>
        <v>#N/A</v>
      </c>
      <c r="AD121" s="598" t="e">
        <f t="shared" si="759"/>
        <v>#N/A</v>
      </c>
      <c r="AE121" s="598" t="e">
        <f t="shared" si="759"/>
        <v>#N/A</v>
      </c>
      <c r="AF121" s="598" t="e">
        <f t="shared" si="759"/>
        <v>#N/A</v>
      </c>
      <c r="AG121" s="598" t="e">
        <f t="shared" si="759"/>
        <v>#N/A</v>
      </c>
      <c r="AH121" s="598" t="e">
        <f t="shared" si="759"/>
        <v>#N/A</v>
      </c>
      <c r="AI121" s="598" t="e">
        <f t="shared" si="759"/>
        <v>#N/A</v>
      </c>
      <c r="AK121" s="598" t="s">
        <v>2346</v>
      </c>
      <c r="AL121" s="598" t="e">
        <f t="shared" ref="AL121:AU121" si="760">AL$112+$BS179</f>
        <v>#N/A</v>
      </c>
      <c r="AM121" s="598" t="e">
        <f t="shared" si="760"/>
        <v>#N/A</v>
      </c>
      <c r="AN121" s="598" t="e">
        <f t="shared" si="760"/>
        <v>#N/A</v>
      </c>
      <c r="AO121" s="598" t="e">
        <f t="shared" si="760"/>
        <v>#N/A</v>
      </c>
      <c r="AP121" s="598" t="e">
        <f t="shared" si="760"/>
        <v>#N/A</v>
      </c>
      <c r="AQ121" s="598" t="e">
        <f t="shared" si="760"/>
        <v>#N/A</v>
      </c>
      <c r="AR121" s="598" t="e">
        <f t="shared" si="760"/>
        <v>#N/A</v>
      </c>
      <c r="AS121" s="598" t="e">
        <f t="shared" si="760"/>
        <v>#N/A</v>
      </c>
      <c r="AT121" s="598" t="e">
        <f t="shared" si="760"/>
        <v>#N/A</v>
      </c>
      <c r="AU121" s="598" t="e">
        <f t="shared" si="760"/>
        <v>#N/A</v>
      </c>
      <c r="AW121" s="598" t="s">
        <v>2346</v>
      </c>
      <c r="AX121" s="598" t="e">
        <f t="shared" ref="AX121:BG121" si="761">AX$112+$BW179</f>
        <v>#VALUE!</v>
      </c>
      <c r="AY121" s="598" t="e">
        <f t="shared" si="761"/>
        <v>#VALUE!</v>
      </c>
      <c r="AZ121" s="598" t="e">
        <f t="shared" si="761"/>
        <v>#VALUE!</v>
      </c>
      <c r="BA121" s="598" t="e">
        <f t="shared" si="761"/>
        <v>#VALUE!</v>
      </c>
      <c r="BB121" s="598" t="e">
        <f t="shared" si="761"/>
        <v>#VALUE!</v>
      </c>
      <c r="BC121" s="598" t="e">
        <f t="shared" si="761"/>
        <v>#VALUE!</v>
      </c>
      <c r="BD121" s="598" t="e">
        <f t="shared" si="761"/>
        <v>#VALUE!</v>
      </c>
      <c r="BE121" s="598" t="e">
        <f t="shared" si="761"/>
        <v>#VALUE!</v>
      </c>
      <c r="BF121" s="598" t="e">
        <f t="shared" si="761"/>
        <v>#VALUE!</v>
      </c>
      <c r="BG121" s="598" t="e">
        <f t="shared" si="761"/>
        <v>#VALUE!</v>
      </c>
    </row>
    <row r="122" spans="1:59">
      <c r="A122" s="598" t="s">
        <v>1632</v>
      </c>
      <c r="B122" s="598">
        <f t="shared" ref="B122:K122" si="762">B$112+$BK180</f>
        <v>0</v>
      </c>
      <c r="C122" s="598">
        <f t="shared" si="762"/>
        <v>1</v>
      </c>
      <c r="D122" s="598">
        <f t="shared" si="762"/>
        <v>2</v>
      </c>
      <c r="E122" s="598">
        <f t="shared" si="762"/>
        <v>3</v>
      </c>
      <c r="F122" s="598">
        <f t="shared" si="762"/>
        <v>4</v>
      </c>
      <c r="G122" s="598">
        <f t="shared" si="762"/>
        <v>5</v>
      </c>
      <c r="H122" s="598">
        <f t="shared" si="762"/>
        <v>6</v>
      </c>
      <c r="I122" s="598">
        <f t="shared" si="762"/>
        <v>7</v>
      </c>
      <c r="J122" s="598">
        <f t="shared" si="762"/>
        <v>8</v>
      </c>
      <c r="K122" s="598">
        <f t="shared" si="762"/>
        <v>9</v>
      </c>
      <c r="M122" s="598" t="s">
        <v>1632</v>
      </c>
      <c r="N122" s="598">
        <f t="shared" ref="N122:W122" si="763">N$112+$BY180</f>
        <v>1</v>
      </c>
      <c r="O122" s="598">
        <f t="shared" si="763"/>
        <v>2</v>
      </c>
      <c r="P122" s="598">
        <f t="shared" si="763"/>
        <v>3</v>
      </c>
      <c r="Q122" s="598">
        <f t="shared" si="763"/>
        <v>4</v>
      </c>
      <c r="R122" s="598">
        <f t="shared" si="763"/>
        <v>5</v>
      </c>
      <c r="S122" s="598">
        <f t="shared" si="763"/>
        <v>6</v>
      </c>
      <c r="T122" s="598">
        <f t="shared" si="763"/>
        <v>7</v>
      </c>
      <c r="U122" s="598">
        <f t="shared" si="763"/>
        <v>8</v>
      </c>
      <c r="V122" s="598">
        <f t="shared" si="763"/>
        <v>9</v>
      </c>
      <c r="W122" s="598">
        <f t="shared" si="763"/>
        <v>10</v>
      </c>
      <c r="Y122" s="598" t="s">
        <v>1632</v>
      </c>
      <c r="Z122" s="598">
        <f t="shared" ref="Z122:AI122" si="764">Z$112+$BU180</f>
        <v>1</v>
      </c>
      <c r="AA122" s="598">
        <f t="shared" si="764"/>
        <v>2</v>
      </c>
      <c r="AB122" s="598">
        <f t="shared" si="764"/>
        <v>3</v>
      </c>
      <c r="AC122" s="598">
        <f t="shared" si="764"/>
        <v>4</v>
      </c>
      <c r="AD122" s="598">
        <f t="shared" si="764"/>
        <v>5</v>
      </c>
      <c r="AE122" s="598">
        <f t="shared" si="764"/>
        <v>6</v>
      </c>
      <c r="AF122" s="598">
        <f t="shared" si="764"/>
        <v>7</v>
      </c>
      <c r="AG122" s="598">
        <f t="shared" si="764"/>
        <v>8</v>
      </c>
      <c r="AH122" s="598">
        <f t="shared" si="764"/>
        <v>9</v>
      </c>
      <c r="AI122" s="598">
        <f t="shared" si="764"/>
        <v>10</v>
      </c>
      <c r="AK122" s="598" t="s">
        <v>1632</v>
      </c>
      <c r="AL122" s="598">
        <f t="shared" ref="AL122:AU122" si="765">AL$112+$BS180</f>
        <v>-2</v>
      </c>
      <c r="AM122" s="598">
        <f t="shared" si="765"/>
        <v>-1</v>
      </c>
      <c r="AN122" s="598">
        <f t="shared" si="765"/>
        <v>0</v>
      </c>
      <c r="AO122" s="598">
        <f t="shared" si="765"/>
        <v>1</v>
      </c>
      <c r="AP122" s="598">
        <f t="shared" si="765"/>
        <v>2</v>
      </c>
      <c r="AQ122" s="598">
        <f t="shared" si="765"/>
        <v>3</v>
      </c>
      <c r="AR122" s="598">
        <f t="shared" si="765"/>
        <v>4</v>
      </c>
      <c r="AS122" s="598">
        <f t="shared" si="765"/>
        <v>5</v>
      </c>
      <c r="AT122" s="598">
        <f t="shared" si="765"/>
        <v>6</v>
      </c>
      <c r="AU122" s="598">
        <f t="shared" si="765"/>
        <v>7</v>
      </c>
      <c r="AW122" s="598" t="s">
        <v>1632</v>
      </c>
      <c r="AX122" s="598">
        <f t="shared" ref="AX122:BG122" si="766">AX$112+$BW180</f>
        <v>3</v>
      </c>
      <c r="AY122" s="598">
        <f t="shared" si="766"/>
        <v>4</v>
      </c>
      <c r="AZ122" s="598">
        <f t="shared" si="766"/>
        <v>5</v>
      </c>
      <c r="BA122" s="598">
        <f t="shared" si="766"/>
        <v>6</v>
      </c>
      <c r="BB122" s="598">
        <f t="shared" si="766"/>
        <v>7</v>
      </c>
      <c r="BC122" s="598">
        <f t="shared" si="766"/>
        <v>8</v>
      </c>
      <c r="BD122" s="598">
        <f t="shared" si="766"/>
        <v>9</v>
      </c>
      <c r="BE122" s="598">
        <f t="shared" si="766"/>
        <v>10</v>
      </c>
      <c r="BF122" s="598">
        <f t="shared" si="766"/>
        <v>11</v>
      </c>
      <c r="BG122" s="598">
        <f t="shared" si="766"/>
        <v>12</v>
      </c>
    </row>
    <row r="123" spans="1:59">
      <c r="A123" s="598" t="s">
        <v>3466</v>
      </c>
      <c r="B123" s="598">
        <f t="shared" ref="B123:K123" si="767">B$112+$BK181</f>
        <v>-2</v>
      </c>
      <c r="C123" s="598">
        <f t="shared" si="767"/>
        <v>-1</v>
      </c>
      <c r="D123" s="598">
        <f t="shared" si="767"/>
        <v>0</v>
      </c>
      <c r="E123" s="598">
        <f t="shared" si="767"/>
        <v>1</v>
      </c>
      <c r="F123" s="598">
        <f t="shared" si="767"/>
        <v>2</v>
      </c>
      <c r="G123" s="598">
        <f t="shared" si="767"/>
        <v>3</v>
      </c>
      <c r="H123" s="598">
        <f t="shared" si="767"/>
        <v>4</v>
      </c>
      <c r="I123" s="598">
        <f t="shared" si="767"/>
        <v>5</v>
      </c>
      <c r="J123" s="598">
        <f t="shared" si="767"/>
        <v>6</v>
      </c>
      <c r="K123" s="598">
        <f t="shared" si="767"/>
        <v>7</v>
      </c>
      <c r="M123" s="598" t="s">
        <v>3466</v>
      </c>
      <c r="N123" s="598">
        <f t="shared" ref="N123:W123" si="768">N$112+$BY181</f>
        <v>1</v>
      </c>
      <c r="O123" s="598">
        <f t="shared" si="768"/>
        <v>2</v>
      </c>
      <c r="P123" s="598">
        <f t="shared" si="768"/>
        <v>3</v>
      </c>
      <c r="Q123" s="598">
        <f t="shared" si="768"/>
        <v>4</v>
      </c>
      <c r="R123" s="598">
        <f t="shared" si="768"/>
        <v>5</v>
      </c>
      <c r="S123" s="598">
        <f t="shared" si="768"/>
        <v>6</v>
      </c>
      <c r="T123" s="598">
        <f t="shared" si="768"/>
        <v>7</v>
      </c>
      <c r="U123" s="598">
        <f t="shared" si="768"/>
        <v>8</v>
      </c>
      <c r="V123" s="598">
        <f t="shared" si="768"/>
        <v>9</v>
      </c>
      <c r="W123" s="598">
        <f t="shared" si="768"/>
        <v>10</v>
      </c>
      <c r="Y123" s="598" t="s">
        <v>3466</v>
      </c>
      <c r="Z123" s="598">
        <f t="shared" ref="Z123:AI123" si="769">Z$112+$BU181</f>
        <v>-2</v>
      </c>
      <c r="AA123" s="598">
        <f t="shared" si="769"/>
        <v>-1</v>
      </c>
      <c r="AB123" s="598">
        <f t="shared" si="769"/>
        <v>0</v>
      </c>
      <c r="AC123" s="598">
        <f t="shared" si="769"/>
        <v>1</v>
      </c>
      <c r="AD123" s="598">
        <f t="shared" si="769"/>
        <v>2</v>
      </c>
      <c r="AE123" s="598">
        <f t="shared" si="769"/>
        <v>3</v>
      </c>
      <c r="AF123" s="598">
        <f t="shared" si="769"/>
        <v>4</v>
      </c>
      <c r="AG123" s="598">
        <f t="shared" si="769"/>
        <v>5</v>
      </c>
      <c r="AH123" s="598">
        <f t="shared" si="769"/>
        <v>6</v>
      </c>
      <c r="AI123" s="598">
        <f t="shared" si="769"/>
        <v>7</v>
      </c>
      <c r="AK123" s="598" t="s">
        <v>3466</v>
      </c>
      <c r="AL123" s="598">
        <f t="shared" ref="AL123:AU123" si="770">AL$112+$BS181</f>
        <v>4</v>
      </c>
      <c r="AM123" s="598">
        <f t="shared" si="770"/>
        <v>5</v>
      </c>
      <c r="AN123" s="598">
        <f t="shared" si="770"/>
        <v>6</v>
      </c>
      <c r="AO123" s="598">
        <f t="shared" si="770"/>
        <v>7</v>
      </c>
      <c r="AP123" s="598">
        <f t="shared" si="770"/>
        <v>8</v>
      </c>
      <c r="AQ123" s="598">
        <f t="shared" si="770"/>
        <v>9</v>
      </c>
      <c r="AR123" s="598">
        <f t="shared" si="770"/>
        <v>10</v>
      </c>
      <c r="AS123" s="598">
        <f t="shared" si="770"/>
        <v>11</v>
      </c>
      <c r="AT123" s="598">
        <f t="shared" si="770"/>
        <v>12</v>
      </c>
      <c r="AU123" s="598">
        <f t="shared" si="770"/>
        <v>13</v>
      </c>
      <c r="AW123" s="598" t="s">
        <v>3466</v>
      </c>
      <c r="AX123" s="598">
        <f t="shared" ref="AX123:BG123" si="771">AX$112+$BW181</f>
        <v>-2</v>
      </c>
      <c r="AY123" s="598">
        <f t="shared" si="771"/>
        <v>-1</v>
      </c>
      <c r="AZ123" s="598">
        <f t="shared" si="771"/>
        <v>0</v>
      </c>
      <c r="BA123" s="598">
        <f t="shared" si="771"/>
        <v>1</v>
      </c>
      <c r="BB123" s="598">
        <f t="shared" si="771"/>
        <v>2</v>
      </c>
      <c r="BC123" s="598">
        <f t="shared" si="771"/>
        <v>3</v>
      </c>
      <c r="BD123" s="598">
        <f t="shared" si="771"/>
        <v>4</v>
      </c>
      <c r="BE123" s="598">
        <f t="shared" si="771"/>
        <v>5</v>
      </c>
      <c r="BF123" s="598">
        <f t="shared" si="771"/>
        <v>6</v>
      </c>
      <c r="BG123" s="598">
        <f t="shared" si="771"/>
        <v>7</v>
      </c>
    </row>
    <row r="124" spans="1:59">
      <c r="A124" s="598" t="s">
        <v>2347</v>
      </c>
      <c r="B124" s="598" t="e">
        <f t="shared" ref="B124:K124" si="772">B$112+$BK182</f>
        <v>#N/A</v>
      </c>
      <c r="C124" s="598" t="e">
        <f t="shared" si="772"/>
        <v>#N/A</v>
      </c>
      <c r="D124" s="598" t="e">
        <f t="shared" si="772"/>
        <v>#N/A</v>
      </c>
      <c r="E124" s="598" t="e">
        <f t="shared" si="772"/>
        <v>#N/A</v>
      </c>
      <c r="F124" s="598" t="e">
        <f t="shared" si="772"/>
        <v>#N/A</v>
      </c>
      <c r="G124" s="598" t="e">
        <f t="shared" si="772"/>
        <v>#N/A</v>
      </c>
      <c r="H124" s="598" t="e">
        <f t="shared" si="772"/>
        <v>#N/A</v>
      </c>
      <c r="I124" s="598" t="e">
        <f t="shared" si="772"/>
        <v>#N/A</v>
      </c>
      <c r="J124" s="598" t="e">
        <f t="shared" si="772"/>
        <v>#N/A</v>
      </c>
      <c r="K124" s="598" t="e">
        <f t="shared" si="772"/>
        <v>#N/A</v>
      </c>
      <c r="M124" s="598" t="s">
        <v>2347</v>
      </c>
      <c r="N124" s="598">
        <f t="shared" ref="N124:W124" si="773">N$112+$BY182</f>
        <v>4</v>
      </c>
      <c r="O124" s="598">
        <f t="shared" si="773"/>
        <v>5</v>
      </c>
      <c r="P124" s="598">
        <f t="shared" si="773"/>
        <v>6</v>
      </c>
      <c r="Q124" s="598">
        <f t="shared" si="773"/>
        <v>7</v>
      </c>
      <c r="R124" s="598">
        <f t="shared" si="773"/>
        <v>8</v>
      </c>
      <c r="S124" s="598">
        <f t="shared" si="773"/>
        <v>9</v>
      </c>
      <c r="T124" s="598">
        <f t="shared" si="773"/>
        <v>10</v>
      </c>
      <c r="U124" s="598">
        <f t="shared" si="773"/>
        <v>11</v>
      </c>
      <c r="V124" s="598">
        <f t="shared" si="773"/>
        <v>12</v>
      </c>
      <c r="W124" s="598">
        <f t="shared" si="773"/>
        <v>13</v>
      </c>
      <c r="Y124" s="598" t="s">
        <v>2347</v>
      </c>
      <c r="Z124" s="598" t="e">
        <f t="shared" ref="Z124:AI124" si="774">Z$112+$BU182</f>
        <v>#N/A</v>
      </c>
      <c r="AA124" s="598" t="e">
        <f t="shared" si="774"/>
        <v>#N/A</v>
      </c>
      <c r="AB124" s="598" t="e">
        <f t="shared" si="774"/>
        <v>#N/A</v>
      </c>
      <c r="AC124" s="598" t="e">
        <f t="shared" si="774"/>
        <v>#N/A</v>
      </c>
      <c r="AD124" s="598" t="e">
        <f t="shared" si="774"/>
        <v>#N/A</v>
      </c>
      <c r="AE124" s="598" t="e">
        <f t="shared" si="774"/>
        <v>#N/A</v>
      </c>
      <c r="AF124" s="598" t="e">
        <f t="shared" si="774"/>
        <v>#N/A</v>
      </c>
      <c r="AG124" s="598" t="e">
        <f t="shared" si="774"/>
        <v>#N/A</v>
      </c>
      <c r="AH124" s="598" t="e">
        <f t="shared" si="774"/>
        <v>#N/A</v>
      </c>
      <c r="AI124" s="598" t="e">
        <f t="shared" si="774"/>
        <v>#N/A</v>
      </c>
      <c r="AK124" s="598" t="s">
        <v>2347</v>
      </c>
      <c r="AL124" s="598" t="e">
        <f t="shared" ref="AL124:AU124" si="775">AL$112+$BS182</f>
        <v>#N/A</v>
      </c>
      <c r="AM124" s="598" t="e">
        <f t="shared" si="775"/>
        <v>#N/A</v>
      </c>
      <c r="AN124" s="598" t="e">
        <f t="shared" si="775"/>
        <v>#N/A</v>
      </c>
      <c r="AO124" s="598" t="e">
        <f t="shared" si="775"/>
        <v>#N/A</v>
      </c>
      <c r="AP124" s="598" t="e">
        <f t="shared" si="775"/>
        <v>#N/A</v>
      </c>
      <c r="AQ124" s="598" t="e">
        <f t="shared" si="775"/>
        <v>#N/A</v>
      </c>
      <c r="AR124" s="598" t="e">
        <f t="shared" si="775"/>
        <v>#N/A</v>
      </c>
      <c r="AS124" s="598" t="e">
        <f t="shared" si="775"/>
        <v>#N/A</v>
      </c>
      <c r="AT124" s="598" t="e">
        <f t="shared" si="775"/>
        <v>#N/A</v>
      </c>
      <c r="AU124" s="598" t="e">
        <f t="shared" si="775"/>
        <v>#N/A</v>
      </c>
      <c r="AW124" s="598" t="s">
        <v>2347</v>
      </c>
      <c r="AX124" s="598" t="e">
        <f t="shared" ref="AX124:BG124" si="776">AX$112+$BW182</f>
        <v>#VALUE!</v>
      </c>
      <c r="AY124" s="598" t="e">
        <f t="shared" si="776"/>
        <v>#VALUE!</v>
      </c>
      <c r="AZ124" s="598" t="e">
        <f t="shared" si="776"/>
        <v>#VALUE!</v>
      </c>
      <c r="BA124" s="598" t="e">
        <f t="shared" si="776"/>
        <v>#VALUE!</v>
      </c>
      <c r="BB124" s="598" t="e">
        <f t="shared" si="776"/>
        <v>#VALUE!</v>
      </c>
      <c r="BC124" s="598" t="e">
        <f t="shared" si="776"/>
        <v>#VALUE!</v>
      </c>
      <c r="BD124" s="598" t="e">
        <f t="shared" si="776"/>
        <v>#VALUE!</v>
      </c>
      <c r="BE124" s="598" t="e">
        <f t="shared" si="776"/>
        <v>#VALUE!</v>
      </c>
      <c r="BF124" s="598" t="e">
        <f t="shared" si="776"/>
        <v>#VALUE!</v>
      </c>
      <c r="BG124" s="598" t="e">
        <f t="shared" si="776"/>
        <v>#VALUE!</v>
      </c>
    </row>
    <row r="125" spans="1:59">
      <c r="A125" s="598" t="s">
        <v>2348</v>
      </c>
      <c r="B125" s="598" t="e">
        <f t="shared" ref="B125:K125" si="777">B$112+$BK183</f>
        <v>#N/A</v>
      </c>
      <c r="C125" s="598" t="e">
        <f t="shared" si="777"/>
        <v>#N/A</v>
      </c>
      <c r="D125" s="598" t="e">
        <f t="shared" si="777"/>
        <v>#N/A</v>
      </c>
      <c r="E125" s="598" t="e">
        <f t="shared" si="777"/>
        <v>#N/A</v>
      </c>
      <c r="F125" s="598" t="e">
        <f t="shared" si="777"/>
        <v>#N/A</v>
      </c>
      <c r="G125" s="598" t="e">
        <f t="shared" si="777"/>
        <v>#N/A</v>
      </c>
      <c r="H125" s="598" t="e">
        <f t="shared" si="777"/>
        <v>#N/A</v>
      </c>
      <c r="I125" s="598" t="e">
        <f t="shared" si="777"/>
        <v>#N/A</v>
      </c>
      <c r="J125" s="598" t="e">
        <f t="shared" si="777"/>
        <v>#N/A</v>
      </c>
      <c r="K125" s="598" t="e">
        <f t="shared" si="777"/>
        <v>#N/A</v>
      </c>
      <c r="M125" s="598" t="s">
        <v>2348</v>
      </c>
      <c r="N125" s="598">
        <f t="shared" ref="N125:W125" si="778">N$112+$BY183</f>
        <v>4</v>
      </c>
      <c r="O125" s="598">
        <f t="shared" si="778"/>
        <v>5</v>
      </c>
      <c r="P125" s="598">
        <f t="shared" si="778"/>
        <v>6</v>
      </c>
      <c r="Q125" s="598">
        <f t="shared" si="778"/>
        <v>7</v>
      </c>
      <c r="R125" s="598">
        <f t="shared" si="778"/>
        <v>8</v>
      </c>
      <c r="S125" s="598">
        <f t="shared" si="778"/>
        <v>9</v>
      </c>
      <c r="T125" s="598">
        <f t="shared" si="778"/>
        <v>10</v>
      </c>
      <c r="U125" s="598">
        <f t="shared" si="778"/>
        <v>11</v>
      </c>
      <c r="V125" s="598">
        <f t="shared" si="778"/>
        <v>12</v>
      </c>
      <c r="W125" s="598">
        <f t="shared" si="778"/>
        <v>13</v>
      </c>
      <c r="Y125" s="598" t="s">
        <v>2348</v>
      </c>
      <c r="Z125" s="598" t="e">
        <f t="shared" ref="Z125:AI125" si="779">Z$112+$BU183</f>
        <v>#N/A</v>
      </c>
      <c r="AA125" s="598" t="e">
        <f t="shared" si="779"/>
        <v>#N/A</v>
      </c>
      <c r="AB125" s="598" t="e">
        <f t="shared" si="779"/>
        <v>#N/A</v>
      </c>
      <c r="AC125" s="598" t="e">
        <f t="shared" si="779"/>
        <v>#N/A</v>
      </c>
      <c r="AD125" s="598" t="e">
        <f t="shared" si="779"/>
        <v>#N/A</v>
      </c>
      <c r="AE125" s="598" t="e">
        <f t="shared" si="779"/>
        <v>#N/A</v>
      </c>
      <c r="AF125" s="598" t="e">
        <f t="shared" si="779"/>
        <v>#N/A</v>
      </c>
      <c r="AG125" s="598" t="e">
        <f t="shared" si="779"/>
        <v>#N/A</v>
      </c>
      <c r="AH125" s="598" t="e">
        <f t="shared" si="779"/>
        <v>#N/A</v>
      </c>
      <c r="AI125" s="598" t="e">
        <f t="shared" si="779"/>
        <v>#N/A</v>
      </c>
      <c r="AK125" s="598" t="s">
        <v>2348</v>
      </c>
      <c r="AL125" s="598" t="e">
        <f t="shared" ref="AL125:AU125" si="780">AL$112+$BS183</f>
        <v>#N/A</v>
      </c>
      <c r="AM125" s="598" t="e">
        <f t="shared" si="780"/>
        <v>#N/A</v>
      </c>
      <c r="AN125" s="598" t="e">
        <f t="shared" si="780"/>
        <v>#N/A</v>
      </c>
      <c r="AO125" s="598" t="e">
        <f t="shared" si="780"/>
        <v>#N/A</v>
      </c>
      <c r="AP125" s="598" t="e">
        <f t="shared" si="780"/>
        <v>#N/A</v>
      </c>
      <c r="AQ125" s="598" t="e">
        <f t="shared" si="780"/>
        <v>#N/A</v>
      </c>
      <c r="AR125" s="598" t="e">
        <f t="shared" si="780"/>
        <v>#N/A</v>
      </c>
      <c r="AS125" s="598" t="e">
        <f t="shared" si="780"/>
        <v>#N/A</v>
      </c>
      <c r="AT125" s="598" t="e">
        <f t="shared" si="780"/>
        <v>#N/A</v>
      </c>
      <c r="AU125" s="598" t="e">
        <f t="shared" si="780"/>
        <v>#N/A</v>
      </c>
      <c r="AW125" s="598" t="s">
        <v>2348</v>
      </c>
      <c r="AX125" s="598" t="e">
        <f t="shared" ref="AX125:BG125" si="781">AX$112+$BW183</f>
        <v>#VALUE!</v>
      </c>
      <c r="AY125" s="598" t="e">
        <f t="shared" si="781"/>
        <v>#VALUE!</v>
      </c>
      <c r="AZ125" s="598" t="e">
        <f t="shared" si="781"/>
        <v>#VALUE!</v>
      </c>
      <c r="BA125" s="598" t="e">
        <f t="shared" si="781"/>
        <v>#VALUE!</v>
      </c>
      <c r="BB125" s="598" t="e">
        <f t="shared" si="781"/>
        <v>#VALUE!</v>
      </c>
      <c r="BC125" s="598" t="e">
        <f t="shared" si="781"/>
        <v>#VALUE!</v>
      </c>
      <c r="BD125" s="598" t="e">
        <f t="shared" si="781"/>
        <v>#VALUE!</v>
      </c>
      <c r="BE125" s="598" t="e">
        <f t="shared" si="781"/>
        <v>#VALUE!</v>
      </c>
      <c r="BF125" s="598" t="e">
        <f t="shared" si="781"/>
        <v>#VALUE!</v>
      </c>
      <c r="BG125" s="598" t="e">
        <f t="shared" si="781"/>
        <v>#VALUE!</v>
      </c>
    </row>
    <row r="126" spans="1:59">
      <c r="A126" s="598" t="s">
        <v>2340</v>
      </c>
      <c r="B126" s="598" t="e">
        <f t="shared" ref="B126:K126" si="782">B$112+$BK184</f>
        <v>#N/A</v>
      </c>
      <c r="C126" s="598" t="e">
        <f t="shared" si="782"/>
        <v>#N/A</v>
      </c>
      <c r="D126" s="598" t="e">
        <f t="shared" si="782"/>
        <v>#N/A</v>
      </c>
      <c r="E126" s="598" t="e">
        <f t="shared" si="782"/>
        <v>#N/A</v>
      </c>
      <c r="F126" s="598" t="e">
        <f t="shared" si="782"/>
        <v>#N/A</v>
      </c>
      <c r="G126" s="598" t="e">
        <f t="shared" si="782"/>
        <v>#N/A</v>
      </c>
      <c r="H126" s="598" t="e">
        <f t="shared" si="782"/>
        <v>#N/A</v>
      </c>
      <c r="I126" s="598" t="e">
        <f t="shared" si="782"/>
        <v>#N/A</v>
      </c>
      <c r="J126" s="598" t="e">
        <f t="shared" si="782"/>
        <v>#N/A</v>
      </c>
      <c r="K126" s="598" t="e">
        <f t="shared" si="782"/>
        <v>#N/A</v>
      </c>
      <c r="M126" s="598" t="s">
        <v>2340</v>
      </c>
      <c r="N126" s="598">
        <f t="shared" ref="N126:W126" si="783">N$112+$BY184</f>
        <v>4</v>
      </c>
      <c r="O126" s="598">
        <f t="shared" si="783"/>
        <v>5</v>
      </c>
      <c r="P126" s="598">
        <f t="shared" si="783"/>
        <v>6</v>
      </c>
      <c r="Q126" s="598">
        <f t="shared" si="783"/>
        <v>7</v>
      </c>
      <c r="R126" s="598">
        <f t="shared" si="783"/>
        <v>8</v>
      </c>
      <c r="S126" s="598">
        <f t="shared" si="783"/>
        <v>9</v>
      </c>
      <c r="T126" s="598">
        <f t="shared" si="783"/>
        <v>10</v>
      </c>
      <c r="U126" s="598">
        <f t="shared" si="783"/>
        <v>11</v>
      </c>
      <c r="V126" s="598">
        <f t="shared" si="783"/>
        <v>12</v>
      </c>
      <c r="W126" s="598">
        <f t="shared" si="783"/>
        <v>13</v>
      </c>
      <c r="Y126" s="598" t="s">
        <v>2340</v>
      </c>
      <c r="Z126" s="598" t="e">
        <f t="shared" ref="Z126:AI126" si="784">Z$112+$BU184</f>
        <v>#N/A</v>
      </c>
      <c r="AA126" s="598" t="e">
        <f t="shared" si="784"/>
        <v>#N/A</v>
      </c>
      <c r="AB126" s="598" t="e">
        <f t="shared" si="784"/>
        <v>#N/A</v>
      </c>
      <c r="AC126" s="598" t="e">
        <f t="shared" si="784"/>
        <v>#N/A</v>
      </c>
      <c r="AD126" s="598" t="e">
        <f t="shared" si="784"/>
        <v>#N/A</v>
      </c>
      <c r="AE126" s="598" t="e">
        <f t="shared" si="784"/>
        <v>#N/A</v>
      </c>
      <c r="AF126" s="598" t="e">
        <f t="shared" si="784"/>
        <v>#N/A</v>
      </c>
      <c r="AG126" s="598" t="e">
        <f t="shared" si="784"/>
        <v>#N/A</v>
      </c>
      <c r="AH126" s="598" t="e">
        <f t="shared" si="784"/>
        <v>#N/A</v>
      </c>
      <c r="AI126" s="598" t="e">
        <f t="shared" si="784"/>
        <v>#N/A</v>
      </c>
      <c r="AK126" s="598" t="s">
        <v>2340</v>
      </c>
      <c r="AL126" s="598" t="e">
        <f t="shared" ref="AL126:AU126" si="785">AL$112+$BS184</f>
        <v>#N/A</v>
      </c>
      <c r="AM126" s="598" t="e">
        <f t="shared" si="785"/>
        <v>#N/A</v>
      </c>
      <c r="AN126" s="598" t="e">
        <f t="shared" si="785"/>
        <v>#N/A</v>
      </c>
      <c r="AO126" s="598" t="e">
        <f t="shared" si="785"/>
        <v>#N/A</v>
      </c>
      <c r="AP126" s="598" t="e">
        <f t="shared" si="785"/>
        <v>#N/A</v>
      </c>
      <c r="AQ126" s="598" t="e">
        <f t="shared" si="785"/>
        <v>#N/A</v>
      </c>
      <c r="AR126" s="598" t="e">
        <f t="shared" si="785"/>
        <v>#N/A</v>
      </c>
      <c r="AS126" s="598" t="e">
        <f t="shared" si="785"/>
        <v>#N/A</v>
      </c>
      <c r="AT126" s="598" t="e">
        <f t="shared" si="785"/>
        <v>#N/A</v>
      </c>
      <c r="AU126" s="598" t="e">
        <f t="shared" si="785"/>
        <v>#N/A</v>
      </c>
      <c r="AW126" s="598" t="s">
        <v>2340</v>
      </c>
      <c r="AX126" s="598" t="e">
        <f t="shared" ref="AX126:BG126" si="786">AX$112+$BW184</f>
        <v>#VALUE!</v>
      </c>
      <c r="AY126" s="598" t="e">
        <f t="shared" si="786"/>
        <v>#VALUE!</v>
      </c>
      <c r="AZ126" s="598" t="e">
        <f t="shared" si="786"/>
        <v>#VALUE!</v>
      </c>
      <c r="BA126" s="598" t="e">
        <f t="shared" si="786"/>
        <v>#VALUE!</v>
      </c>
      <c r="BB126" s="598" t="e">
        <f t="shared" si="786"/>
        <v>#VALUE!</v>
      </c>
      <c r="BC126" s="598" t="e">
        <f t="shared" si="786"/>
        <v>#VALUE!</v>
      </c>
      <c r="BD126" s="598" t="e">
        <f t="shared" si="786"/>
        <v>#VALUE!</v>
      </c>
      <c r="BE126" s="598" t="e">
        <f t="shared" si="786"/>
        <v>#VALUE!</v>
      </c>
      <c r="BF126" s="598" t="e">
        <f t="shared" si="786"/>
        <v>#VALUE!</v>
      </c>
      <c r="BG126" s="598" t="e">
        <f t="shared" si="786"/>
        <v>#VALUE!</v>
      </c>
    </row>
    <row r="127" spans="1:59">
      <c r="A127" s="598" t="s">
        <v>1633</v>
      </c>
      <c r="B127" s="598">
        <f t="shared" ref="B127:K127" si="787">B$112+$BK185</f>
        <v>2</v>
      </c>
      <c r="C127" s="598">
        <f t="shared" si="787"/>
        <v>3</v>
      </c>
      <c r="D127" s="598">
        <f t="shared" si="787"/>
        <v>4</v>
      </c>
      <c r="E127" s="598">
        <f t="shared" si="787"/>
        <v>5</v>
      </c>
      <c r="F127" s="598">
        <f t="shared" si="787"/>
        <v>6</v>
      </c>
      <c r="G127" s="598">
        <f t="shared" si="787"/>
        <v>7</v>
      </c>
      <c r="H127" s="598">
        <f t="shared" si="787"/>
        <v>8</v>
      </c>
      <c r="I127" s="598">
        <f t="shared" si="787"/>
        <v>9</v>
      </c>
      <c r="J127" s="598">
        <f t="shared" si="787"/>
        <v>10</v>
      </c>
      <c r="K127" s="598">
        <f t="shared" si="787"/>
        <v>11</v>
      </c>
      <c r="M127" s="598" t="s">
        <v>1633</v>
      </c>
      <c r="N127" s="598">
        <f t="shared" ref="N127:W127" si="788">N$112+$BY185</f>
        <v>1</v>
      </c>
      <c r="O127" s="598">
        <f t="shared" si="788"/>
        <v>2</v>
      </c>
      <c r="P127" s="598">
        <f t="shared" si="788"/>
        <v>3</v>
      </c>
      <c r="Q127" s="598">
        <f t="shared" si="788"/>
        <v>4</v>
      </c>
      <c r="R127" s="598">
        <f t="shared" si="788"/>
        <v>5</v>
      </c>
      <c r="S127" s="598">
        <f t="shared" si="788"/>
        <v>6</v>
      </c>
      <c r="T127" s="598">
        <f t="shared" si="788"/>
        <v>7</v>
      </c>
      <c r="U127" s="598">
        <f t="shared" si="788"/>
        <v>8</v>
      </c>
      <c r="V127" s="598">
        <f t="shared" si="788"/>
        <v>9</v>
      </c>
      <c r="W127" s="598">
        <f t="shared" si="788"/>
        <v>10</v>
      </c>
      <c r="Y127" s="598" t="s">
        <v>1633</v>
      </c>
      <c r="Z127" s="598">
        <f t="shared" ref="Z127:AI127" si="789">Z$112+$BU185</f>
        <v>1</v>
      </c>
      <c r="AA127" s="598">
        <f t="shared" si="789"/>
        <v>2</v>
      </c>
      <c r="AB127" s="598">
        <f t="shared" si="789"/>
        <v>3</v>
      </c>
      <c r="AC127" s="598">
        <f t="shared" si="789"/>
        <v>4</v>
      </c>
      <c r="AD127" s="598">
        <f t="shared" si="789"/>
        <v>5</v>
      </c>
      <c r="AE127" s="598">
        <f t="shared" si="789"/>
        <v>6</v>
      </c>
      <c r="AF127" s="598">
        <f t="shared" si="789"/>
        <v>7</v>
      </c>
      <c r="AG127" s="598">
        <f t="shared" si="789"/>
        <v>8</v>
      </c>
      <c r="AH127" s="598">
        <f t="shared" si="789"/>
        <v>9</v>
      </c>
      <c r="AI127" s="598">
        <f t="shared" si="789"/>
        <v>10</v>
      </c>
      <c r="AK127" s="598" t="s">
        <v>1633</v>
      </c>
      <c r="AL127" s="598">
        <f t="shared" ref="AL127:AU127" si="790">AL$112+$BS185</f>
        <v>3</v>
      </c>
      <c r="AM127" s="598">
        <f t="shared" si="790"/>
        <v>4</v>
      </c>
      <c r="AN127" s="598">
        <f t="shared" si="790"/>
        <v>5</v>
      </c>
      <c r="AO127" s="598">
        <f t="shared" si="790"/>
        <v>6</v>
      </c>
      <c r="AP127" s="598">
        <f t="shared" si="790"/>
        <v>7</v>
      </c>
      <c r="AQ127" s="598">
        <f t="shared" si="790"/>
        <v>8</v>
      </c>
      <c r="AR127" s="598">
        <f t="shared" si="790"/>
        <v>9</v>
      </c>
      <c r="AS127" s="598">
        <f t="shared" si="790"/>
        <v>10</v>
      </c>
      <c r="AT127" s="598">
        <f t="shared" si="790"/>
        <v>11</v>
      </c>
      <c r="AU127" s="598">
        <f t="shared" si="790"/>
        <v>12</v>
      </c>
      <c r="AW127" s="598" t="s">
        <v>1633</v>
      </c>
      <c r="AX127" s="598">
        <f t="shared" ref="AX127:BG127" si="791">AX$112+$BW185</f>
        <v>-2</v>
      </c>
      <c r="AY127" s="598">
        <f t="shared" si="791"/>
        <v>-1</v>
      </c>
      <c r="AZ127" s="598">
        <f t="shared" si="791"/>
        <v>0</v>
      </c>
      <c r="BA127" s="598">
        <f t="shared" si="791"/>
        <v>1</v>
      </c>
      <c r="BB127" s="598">
        <f t="shared" si="791"/>
        <v>2</v>
      </c>
      <c r="BC127" s="598">
        <f t="shared" si="791"/>
        <v>3</v>
      </c>
      <c r="BD127" s="598">
        <f t="shared" si="791"/>
        <v>4</v>
      </c>
      <c r="BE127" s="598">
        <f t="shared" si="791"/>
        <v>5</v>
      </c>
      <c r="BF127" s="598">
        <f t="shared" si="791"/>
        <v>6</v>
      </c>
      <c r="BG127" s="598">
        <f t="shared" si="791"/>
        <v>7</v>
      </c>
    </row>
    <row r="128" spans="1:59">
      <c r="A128" s="598" t="s">
        <v>1634</v>
      </c>
      <c r="B128" s="598">
        <f t="shared" ref="B128:K128" si="792">B$112+$BK186</f>
        <v>3</v>
      </c>
      <c r="C128" s="598">
        <f t="shared" si="792"/>
        <v>4</v>
      </c>
      <c r="D128" s="598">
        <f t="shared" si="792"/>
        <v>5</v>
      </c>
      <c r="E128" s="598">
        <f t="shared" si="792"/>
        <v>6</v>
      </c>
      <c r="F128" s="598">
        <f t="shared" si="792"/>
        <v>7</v>
      </c>
      <c r="G128" s="598">
        <f t="shared" si="792"/>
        <v>8</v>
      </c>
      <c r="H128" s="598">
        <f t="shared" si="792"/>
        <v>9</v>
      </c>
      <c r="I128" s="598">
        <f t="shared" si="792"/>
        <v>10</v>
      </c>
      <c r="J128" s="598">
        <f t="shared" si="792"/>
        <v>11</v>
      </c>
      <c r="K128" s="598">
        <f t="shared" si="792"/>
        <v>12</v>
      </c>
      <c r="M128" s="598" t="s">
        <v>1634</v>
      </c>
      <c r="N128" s="598">
        <f t="shared" ref="N128:W128" si="793">N$112+$BY186</f>
        <v>1</v>
      </c>
      <c r="O128" s="598">
        <f t="shared" si="793"/>
        <v>2</v>
      </c>
      <c r="P128" s="598">
        <f t="shared" si="793"/>
        <v>3</v>
      </c>
      <c r="Q128" s="598">
        <f t="shared" si="793"/>
        <v>4</v>
      </c>
      <c r="R128" s="598">
        <f t="shared" si="793"/>
        <v>5</v>
      </c>
      <c r="S128" s="598">
        <f t="shared" si="793"/>
        <v>6</v>
      </c>
      <c r="T128" s="598">
        <f t="shared" si="793"/>
        <v>7</v>
      </c>
      <c r="U128" s="598">
        <f t="shared" si="793"/>
        <v>8</v>
      </c>
      <c r="V128" s="598">
        <f t="shared" si="793"/>
        <v>9</v>
      </c>
      <c r="W128" s="598">
        <f t="shared" si="793"/>
        <v>10</v>
      </c>
      <c r="Y128" s="598" t="s">
        <v>1634</v>
      </c>
      <c r="Z128" s="598">
        <f t="shared" ref="Z128:AI128" si="794">Z$112+$BU186</f>
        <v>3</v>
      </c>
      <c r="AA128" s="598">
        <f t="shared" si="794"/>
        <v>4</v>
      </c>
      <c r="AB128" s="598">
        <f t="shared" si="794"/>
        <v>5</v>
      </c>
      <c r="AC128" s="598">
        <f t="shared" si="794"/>
        <v>6</v>
      </c>
      <c r="AD128" s="598">
        <f t="shared" si="794"/>
        <v>7</v>
      </c>
      <c r="AE128" s="598">
        <f t="shared" si="794"/>
        <v>8</v>
      </c>
      <c r="AF128" s="598">
        <f t="shared" si="794"/>
        <v>9</v>
      </c>
      <c r="AG128" s="598">
        <f t="shared" si="794"/>
        <v>10</v>
      </c>
      <c r="AH128" s="598">
        <f t="shared" si="794"/>
        <v>11</v>
      </c>
      <c r="AI128" s="598">
        <f t="shared" si="794"/>
        <v>12</v>
      </c>
      <c r="AK128" s="598" t="s">
        <v>1634</v>
      </c>
      <c r="AL128" s="598">
        <f t="shared" ref="AL128:AU128" si="795">AL$112+$BS186</f>
        <v>1</v>
      </c>
      <c r="AM128" s="598">
        <f t="shared" si="795"/>
        <v>2</v>
      </c>
      <c r="AN128" s="598">
        <f t="shared" si="795"/>
        <v>3</v>
      </c>
      <c r="AO128" s="598">
        <f t="shared" si="795"/>
        <v>4</v>
      </c>
      <c r="AP128" s="598">
        <f t="shared" si="795"/>
        <v>5</v>
      </c>
      <c r="AQ128" s="598">
        <f t="shared" si="795"/>
        <v>6</v>
      </c>
      <c r="AR128" s="598">
        <f t="shared" si="795"/>
        <v>7</v>
      </c>
      <c r="AS128" s="598">
        <f t="shared" si="795"/>
        <v>8</v>
      </c>
      <c r="AT128" s="598">
        <f t="shared" si="795"/>
        <v>9</v>
      </c>
      <c r="AU128" s="598">
        <f t="shared" si="795"/>
        <v>10</v>
      </c>
      <c r="AW128" s="598" t="s">
        <v>1634</v>
      </c>
      <c r="AX128" s="598">
        <f t="shared" ref="AX128:BG128" si="796">AX$112+$BW186</f>
        <v>4</v>
      </c>
      <c r="AY128" s="598">
        <f t="shared" si="796"/>
        <v>5</v>
      </c>
      <c r="AZ128" s="598">
        <f t="shared" si="796"/>
        <v>6</v>
      </c>
      <c r="BA128" s="598">
        <f t="shared" si="796"/>
        <v>7</v>
      </c>
      <c r="BB128" s="598">
        <f t="shared" si="796"/>
        <v>8</v>
      </c>
      <c r="BC128" s="598">
        <f t="shared" si="796"/>
        <v>9</v>
      </c>
      <c r="BD128" s="598">
        <f t="shared" si="796"/>
        <v>10</v>
      </c>
      <c r="BE128" s="598">
        <f t="shared" si="796"/>
        <v>11</v>
      </c>
      <c r="BF128" s="598">
        <f t="shared" si="796"/>
        <v>12</v>
      </c>
      <c r="BG128" s="598">
        <f t="shared" si="796"/>
        <v>13</v>
      </c>
    </row>
    <row r="129" spans="1:59">
      <c r="A129" s="598" t="s">
        <v>1635</v>
      </c>
      <c r="B129" s="598">
        <f t="shared" ref="B129:K129" si="797">B$112+$BK187</f>
        <v>4</v>
      </c>
      <c r="C129" s="598">
        <f t="shared" si="797"/>
        <v>5</v>
      </c>
      <c r="D129" s="598">
        <f t="shared" si="797"/>
        <v>6</v>
      </c>
      <c r="E129" s="598">
        <f t="shared" si="797"/>
        <v>7</v>
      </c>
      <c r="F129" s="598">
        <f t="shared" si="797"/>
        <v>8</v>
      </c>
      <c r="G129" s="598">
        <f t="shared" si="797"/>
        <v>9</v>
      </c>
      <c r="H129" s="598">
        <f t="shared" si="797"/>
        <v>10</v>
      </c>
      <c r="I129" s="598">
        <f t="shared" si="797"/>
        <v>11</v>
      </c>
      <c r="J129" s="598">
        <f t="shared" si="797"/>
        <v>12</v>
      </c>
      <c r="K129" s="598">
        <f t="shared" si="797"/>
        <v>13</v>
      </c>
      <c r="M129" s="598" t="s">
        <v>1635</v>
      </c>
      <c r="N129" s="598">
        <f t="shared" ref="N129:W129" si="798">N$112+$BY187</f>
        <v>1</v>
      </c>
      <c r="O129" s="598">
        <f t="shared" si="798"/>
        <v>2</v>
      </c>
      <c r="P129" s="598">
        <f t="shared" si="798"/>
        <v>3</v>
      </c>
      <c r="Q129" s="598">
        <f t="shared" si="798"/>
        <v>4</v>
      </c>
      <c r="R129" s="598">
        <f t="shared" si="798"/>
        <v>5</v>
      </c>
      <c r="S129" s="598">
        <f t="shared" si="798"/>
        <v>6</v>
      </c>
      <c r="T129" s="598">
        <f t="shared" si="798"/>
        <v>7</v>
      </c>
      <c r="U129" s="598">
        <f t="shared" si="798"/>
        <v>8</v>
      </c>
      <c r="V129" s="598">
        <f t="shared" si="798"/>
        <v>9</v>
      </c>
      <c r="W129" s="598">
        <f t="shared" si="798"/>
        <v>10</v>
      </c>
      <c r="Y129" s="598" t="s">
        <v>1635</v>
      </c>
      <c r="Z129" s="598">
        <f t="shared" ref="Z129:AI129" si="799">Z$112+$BU187</f>
        <v>-1</v>
      </c>
      <c r="AA129" s="598">
        <f t="shared" si="799"/>
        <v>0</v>
      </c>
      <c r="AB129" s="598">
        <f t="shared" si="799"/>
        <v>1</v>
      </c>
      <c r="AC129" s="598">
        <f t="shared" si="799"/>
        <v>2</v>
      </c>
      <c r="AD129" s="598">
        <f t="shared" si="799"/>
        <v>3</v>
      </c>
      <c r="AE129" s="598">
        <f t="shared" si="799"/>
        <v>4</v>
      </c>
      <c r="AF129" s="598">
        <f t="shared" si="799"/>
        <v>5</v>
      </c>
      <c r="AG129" s="598">
        <f t="shared" si="799"/>
        <v>6</v>
      </c>
      <c r="AH129" s="598">
        <f t="shared" si="799"/>
        <v>7</v>
      </c>
      <c r="AI129" s="598">
        <f t="shared" si="799"/>
        <v>8</v>
      </c>
      <c r="AK129" s="598" t="s">
        <v>1635</v>
      </c>
      <c r="AL129" s="598">
        <f t="shared" ref="AL129:AU129" si="800">AL$112+$BS187</f>
        <v>2</v>
      </c>
      <c r="AM129" s="598">
        <f t="shared" si="800"/>
        <v>3</v>
      </c>
      <c r="AN129" s="598">
        <f t="shared" si="800"/>
        <v>4</v>
      </c>
      <c r="AO129" s="598">
        <f t="shared" si="800"/>
        <v>5</v>
      </c>
      <c r="AP129" s="598">
        <f t="shared" si="800"/>
        <v>6</v>
      </c>
      <c r="AQ129" s="598">
        <f t="shared" si="800"/>
        <v>7</v>
      </c>
      <c r="AR129" s="598">
        <f t="shared" si="800"/>
        <v>8</v>
      </c>
      <c r="AS129" s="598">
        <f t="shared" si="800"/>
        <v>9</v>
      </c>
      <c r="AT129" s="598">
        <f t="shared" si="800"/>
        <v>10</v>
      </c>
      <c r="AU129" s="598">
        <f t="shared" si="800"/>
        <v>11</v>
      </c>
      <c r="AW129" s="598" t="s">
        <v>1635</v>
      </c>
      <c r="AX129" s="598">
        <f t="shared" ref="AX129:BG129" si="801">AX$112+$BW187</f>
        <v>3</v>
      </c>
      <c r="AY129" s="598">
        <f t="shared" si="801"/>
        <v>4</v>
      </c>
      <c r="AZ129" s="598">
        <f t="shared" si="801"/>
        <v>5</v>
      </c>
      <c r="BA129" s="598">
        <f t="shared" si="801"/>
        <v>6</v>
      </c>
      <c r="BB129" s="598">
        <f t="shared" si="801"/>
        <v>7</v>
      </c>
      <c r="BC129" s="598">
        <f t="shared" si="801"/>
        <v>8</v>
      </c>
      <c r="BD129" s="598">
        <f t="shared" si="801"/>
        <v>9</v>
      </c>
      <c r="BE129" s="598">
        <f t="shared" si="801"/>
        <v>10</v>
      </c>
      <c r="BF129" s="598">
        <f t="shared" si="801"/>
        <v>11</v>
      </c>
      <c r="BG129" s="598">
        <f t="shared" si="801"/>
        <v>12</v>
      </c>
    </row>
    <row r="130" spans="1:59">
      <c r="A130" s="598" t="s">
        <v>1347</v>
      </c>
      <c r="B130" s="598" t="e">
        <f t="shared" ref="B130:K130" si="802">B$112+$BK188</f>
        <v>#N/A</v>
      </c>
      <c r="C130" s="598" t="e">
        <f t="shared" si="802"/>
        <v>#N/A</v>
      </c>
      <c r="D130" s="598" t="e">
        <f t="shared" si="802"/>
        <v>#N/A</v>
      </c>
      <c r="E130" s="598" t="e">
        <f t="shared" si="802"/>
        <v>#N/A</v>
      </c>
      <c r="F130" s="598" t="e">
        <f t="shared" si="802"/>
        <v>#N/A</v>
      </c>
      <c r="G130" s="598" t="e">
        <f t="shared" si="802"/>
        <v>#N/A</v>
      </c>
      <c r="H130" s="598" t="e">
        <f t="shared" si="802"/>
        <v>#N/A</v>
      </c>
      <c r="I130" s="598" t="e">
        <f t="shared" si="802"/>
        <v>#N/A</v>
      </c>
      <c r="J130" s="598" t="e">
        <f t="shared" si="802"/>
        <v>#N/A</v>
      </c>
      <c r="K130" s="598" t="e">
        <f t="shared" si="802"/>
        <v>#N/A</v>
      </c>
      <c r="M130" s="598" t="s">
        <v>1347</v>
      </c>
      <c r="N130" s="598">
        <f t="shared" ref="N130:W130" si="803">N$112+$BY188</f>
        <v>5</v>
      </c>
      <c r="O130" s="598">
        <f t="shared" si="803"/>
        <v>6</v>
      </c>
      <c r="P130" s="598">
        <f t="shared" si="803"/>
        <v>7</v>
      </c>
      <c r="Q130" s="598">
        <f t="shared" si="803"/>
        <v>8</v>
      </c>
      <c r="R130" s="598">
        <f t="shared" si="803"/>
        <v>9</v>
      </c>
      <c r="S130" s="598">
        <f t="shared" si="803"/>
        <v>10</v>
      </c>
      <c r="T130" s="598">
        <f t="shared" si="803"/>
        <v>11</v>
      </c>
      <c r="U130" s="598">
        <f t="shared" si="803"/>
        <v>12</v>
      </c>
      <c r="V130" s="598">
        <f t="shared" si="803"/>
        <v>13</v>
      </c>
      <c r="W130" s="598">
        <f t="shared" si="803"/>
        <v>14</v>
      </c>
      <c r="Y130" s="598" t="s">
        <v>1347</v>
      </c>
      <c r="Z130" s="598" t="e">
        <f t="shared" ref="Z130:AI130" si="804">Z$112+$BU188</f>
        <v>#N/A</v>
      </c>
      <c r="AA130" s="598" t="e">
        <f t="shared" si="804"/>
        <v>#N/A</v>
      </c>
      <c r="AB130" s="598" t="e">
        <f t="shared" si="804"/>
        <v>#N/A</v>
      </c>
      <c r="AC130" s="598" t="e">
        <f t="shared" si="804"/>
        <v>#N/A</v>
      </c>
      <c r="AD130" s="598" t="e">
        <f t="shared" si="804"/>
        <v>#N/A</v>
      </c>
      <c r="AE130" s="598" t="e">
        <f t="shared" si="804"/>
        <v>#N/A</v>
      </c>
      <c r="AF130" s="598" t="e">
        <f t="shared" si="804"/>
        <v>#N/A</v>
      </c>
      <c r="AG130" s="598" t="e">
        <f t="shared" si="804"/>
        <v>#N/A</v>
      </c>
      <c r="AH130" s="598" t="e">
        <f t="shared" si="804"/>
        <v>#N/A</v>
      </c>
      <c r="AI130" s="598" t="e">
        <f t="shared" si="804"/>
        <v>#N/A</v>
      </c>
      <c r="AK130" s="598" t="s">
        <v>1347</v>
      </c>
      <c r="AL130" s="598" t="e">
        <f t="shared" ref="AL130:AU130" si="805">AL$112+$BS188</f>
        <v>#N/A</v>
      </c>
      <c r="AM130" s="598" t="e">
        <f t="shared" si="805"/>
        <v>#N/A</v>
      </c>
      <c r="AN130" s="598" t="e">
        <f t="shared" si="805"/>
        <v>#N/A</v>
      </c>
      <c r="AO130" s="598" t="e">
        <f t="shared" si="805"/>
        <v>#N/A</v>
      </c>
      <c r="AP130" s="598" t="e">
        <f t="shared" si="805"/>
        <v>#N/A</v>
      </c>
      <c r="AQ130" s="598" t="e">
        <f t="shared" si="805"/>
        <v>#N/A</v>
      </c>
      <c r="AR130" s="598" t="e">
        <f t="shared" si="805"/>
        <v>#N/A</v>
      </c>
      <c r="AS130" s="598" t="e">
        <f t="shared" si="805"/>
        <v>#N/A</v>
      </c>
      <c r="AT130" s="598" t="e">
        <f t="shared" si="805"/>
        <v>#N/A</v>
      </c>
      <c r="AU130" s="598" t="e">
        <f t="shared" si="805"/>
        <v>#N/A</v>
      </c>
      <c r="AW130" s="598" t="s">
        <v>1347</v>
      </c>
      <c r="AX130" s="598" t="e">
        <f t="shared" ref="AX130:BG130" si="806">AX$112+$BW188</f>
        <v>#VALUE!</v>
      </c>
      <c r="AY130" s="598" t="e">
        <f t="shared" si="806"/>
        <v>#VALUE!</v>
      </c>
      <c r="AZ130" s="598" t="e">
        <f t="shared" si="806"/>
        <v>#VALUE!</v>
      </c>
      <c r="BA130" s="598" t="e">
        <f t="shared" si="806"/>
        <v>#VALUE!</v>
      </c>
      <c r="BB130" s="598" t="e">
        <f t="shared" si="806"/>
        <v>#VALUE!</v>
      </c>
      <c r="BC130" s="598" t="e">
        <f t="shared" si="806"/>
        <v>#VALUE!</v>
      </c>
      <c r="BD130" s="598" t="e">
        <f t="shared" si="806"/>
        <v>#VALUE!</v>
      </c>
      <c r="BE130" s="598" t="e">
        <f t="shared" si="806"/>
        <v>#VALUE!</v>
      </c>
      <c r="BF130" s="598" t="e">
        <f t="shared" si="806"/>
        <v>#VALUE!</v>
      </c>
      <c r="BG130" s="598" t="e">
        <f t="shared" si="806"/>
        <v>#VALUE!</v>
      </c>
    </row>
    <row r="131" spans="1:59">
      <c r="A131" s="598" t="s">
        <v>1636</v>
      </c>
      <c r="B131" s="598">
        <f t="shared" ref="B131:K131" si="807">B$112+$BI189</f>
        <v>-1</v>
      </c>
      <c r="C131" s="598">
        <f t="shared" si="807"/>
        <v>0</v>
      </c>
      <c r="D131" s="598">
        <f t="shared" si="807"/>
        <v>1</v>
      </c>
      <c r="E131" s="598">
        <f t="shared" si="807"/>
        <v>2</v>
      </c>
      <c r="F131" s="598">
        <f t="shared" si="807"/>
        <v>3</v>
      </c>
      <c r="G131" s="598">
        <f t="shared" si="807"/>
        <v>4</v>
      </c>
      <c r="H131" s="598">
        <f t="shared" si="807"/>
        <v>5</v>
      </c>
      <c r="I131" s="598">
        <f t="shared" si="807"/>
        <v>6</v>
      </c>
      <c r="J131" s="598">
        <f t="shared" si="807"/>
        <v>7</v>
      </c>
      <c r="K131" s="598">
        <f t="shared" si="807"/>
        <v>8</v>
      </c>
      <c r="M131" s="598" t="s">
        <v>1636</v>
      </c>
      <c r="N131" s="598">
        <f t="shared" ref="N131:W131" si="808">N$112+$BY189</f>
        <v>-2</v>
      </c>
      <c r="O131" s="598">
        <f t="shared" si="808"/>
        <v>-1</v>
      </c>
      <c r="P131" s="598">
        <f t="shared" si="808"/>
        <v>0</v>
      </c>
      <c r="Q131" s="598">
        <f t="shared" si="808"/>
        <v>1</v>
      </c>
      <c r="R131" s="598">
        <f t="shared" si="808"/>
        <v>2</v>
      </c>
      <c r="S131" s="598">
        <f t="shared" si="808"/>
        <v>3</v>
      </c>
      <c r="T131" s="598">
        <f t="shared" si="808"/>
        <v>4</v>
      </c>
      <c r="U131" s="598">
        <f t="shared" si="808"/>
        <v>5</v>
      </c>
      <c r="V131" s="598">
        <f t="shared" si="808"/>
        <v>6</v>
      </c>
      <c r="W131" s="598">
        <f t="shared" si="808"/>
        <v>7</v>
      </c>
      <c r="Y131" s="598" t="s">
        <v>1636</v>
      </c>
      <c r="Z131" s="598">
        <f t="shared" ref="Z131:AI131" si="809">Z$112+$BU189</f>
        <v>0</v>
      </c>
      <c r="AA131" s="598">
        <f t="shared" si="809"/>
        <v>1</v>
      </c>
      <c r="AB131" s="598">
        <f t="shared" si="809"/>
        <v>2</v>
      </c>
      <c r="AC131" s="598">
        <f t="shared" si="809"/>
        <v>3</v>
      </c>
      <c r="AD131" s="598">
        <f t="shared" si="809"/>
        <v>4</v>
      </c>
      <c r="AE131" s="598">
        <f t="shared" si="809"/>
        <v>5</v>
      </c>
      <c r="AF131" s="598">
        <f t="shared" si="809"/>
        <v>6</v>
      </c>
      <c r="AG131" s="598">
        <f t="shared" si="809"/>
        <v>7</v>
      </c>
      <c r="AH131" s="598">
        <f t="shared" si="809"/>
        <v>8</v>
      </c>
      <c r="AI131" s="598">
        <f t="shared" si="809"/>
        <v>9</v>
      </c>
      <c r="AK131" s="598" t="s">
        <v>1636</v>
      </c>
      <c r="AL131" s="598">
        <f t="shared" ref="AL131:AU131" si="810">AL$112+$BS189</f>
        <v>-1</v>
      </c>
      <c r="AM131" s="598">
        <f t="shared" si="810"/>
        <v>0</v>
      </c>
      <c r="AN131" s="598">
        <f t="shared" si="810"/>
        <v>1</v>
      </c>
      <c r="AO131" s="598">
        <f t="shared" si="810"/>
        <v>2</v>
      </c>
      <c r="AP131" s="598">
        <f t="shared" si="810"/>
        <v>3</v>
      </c>
      <c r="AQ131" s="598">
        <f t="shared" si="810"/>
        <v>4</v>
      </c>
      <c r="AR131" s="598">
        <f t="shared" si="810"/>
        <v>5</v>
      </c>
      <c r="AS131" s="598">
        <f t="shared" si="810"/>
        <v>6</v>
      </c>
      <c r="AT131" s="598">
        <f t="shared" si="810"/>
        <v>7</v>
      </c>
      <c r="AU131" s="598">
        <f t="shared" si="810"/>
        <v>8</v>
      </c>
      <c r="AW131" s="598" t="s">
        <v>1636</v>
      </c>
      <c r="AX131" s="598">
        <f t="shared" ref="AX131:BG131" si="811">AX$112+$BW189</f>
        <v>-2</v>
      </c>
      <c r="AY131" s="598">
        <f t="shared" si="811"/>
        <v>-1</v>
      </c>
      <c r="AZ131" s="598">
        <f t="shared" si="811"/>
        <v>0</v>
      </c>
      <c r="BA131" s="598">
        <f t="shared" si="811"/>
        <v>1</v>
      </c>
      <c r="BB131" s="598">
        <f t="shared" si="811"/>
        <v>2</v>
      </c>
      <c r="BC131" s="598">
        <f t="shared" si="811"/>
        <v>3</v>
      </c>
      <c r="BD131" s="598">
        <f t="shared" si="811"/>
        <v>4</v>
      </c>
      <c r="BE131" s="598">
        <f t="shared" si="811"/>
        <v>5</v>
      </c>
      <c r="BF131" s="598">
        <f t="shared" si="811"/>
        <v>6</v>
      </c>
      <c r="BG131" s="598">
        <f t="shared" si="811"/>
        <v>7</v>
      </c>
    </row>
    <row r="133" spans="1:59">
      <c r="C133" s="598" t="s">
        <v>3724</v>
      </c>
      <c r="D133" s="598" t="s">
        <v>4603</v>
      </c>
      <c r="E133" s="598" t="s">
        <v>4602</v>
      </c>
      <c r="F133" s="598" t="s">
        <v>3723</v>
      </c>
      <c r="H133" s="598" t="s">
        <v>3794</v>
      </c>
    </row>
    <row r="134" spans="1:59">
      <c r="B134" s="598">
        <v>1</v>
      </c>
      <c r="C134" s="598">
        <v>3</v>
      </c>
      <c r="D134" s="598">
        <v>9</v>
      </c>
      <c r="E134" s="598">
        <v>19</v>
      </c>
      <c r="F134" s="598">
        <v>29</v>
      </c>
      <c r="H134" s="598">
        <v>0</v>
      </c>
      <c r="I134" s="598" t="s">
        <v>2649</v>
      </c>
      <c r="J134" s="598">
        <v>0</v>
      </c>
      <c r="K134" s="598">
        <v>3</v>
      </c>
      <c r="L134" s="598" t="s">
        <v>1082</v>
      </c>
    </row>
    <row r="135" spans="1:59">
      <c r="B135" s="598">
        <v>26</v>
      </c>
      <c r="C135" s="598">
        <v>3</v>
      </c>
      <c r="D135" s="598">
        <v>8</v>
      </c>
      <c r="E135" s="598">
        <v>17</v>
      </c>
      <c r="F135" s="598">
        <v>26</v>
      </c>
      <c r="H135" s="598">
        <v>3</v>
      </c>
      <c r="I135" s="598" t="s">
        <v>2648</v>
      </c>
      <c r="J135" s="598">
        <v>-1</v>
      </c>
      <c r="K135" s="598">
        <v>3</v>
      </c>
      <c r="L135" s="598" t="s">
        <v>1082</v>
      </c>
    </row>
    <row r="136" spans="1:59">
      <c r="B136" s="598">
        <v>46</v>
      </c>
      <c r="C136" s="598">
        <v>2</v>
      </c>
      <c r="D136" s="598">
        <v>7</v>
      </c>
      <c r="E136" s="598">
        <v>15</v>
      </c>
      <c r="F136" s="598">
        <v>23</v>
      </c>
      <c r="H136" s="598">
        <v>6</v>
      </c>
      <c r="I136" s="598" t="s">
        <v>1847</v>
      </c>
      <c r="J136" s="598">
        <v>-1</v>
      </c>
      <c r="K136" s="598">
        <v>3</v>
      </c>
      <c r="L136" s="598" t="s">
        <v>1082</v>
      </c>
    </row>
    <row r="137" spans="1:59">
      <c r="B137" s="598">
        <v>61</v>
      </c>
      <c r="C137" s="598">
        <v>2</v>
      </c>
      <c r="D137" s="598">
        <v>6</v>
      </c>
      <c r="E137" s="598">
        <v>13</v>
      </c>
      <c r="F137" s="598">
        <v>20</v>
      </c>
      <c r="H137" s="598">
        <v>10</v>
      </c>
      <c r="I137" s="598" t="s">
        <v>1848</v>
      </c>
      <c r="J137" s="598">
        <v>-1</v>
      </c>
      <c r="K137" s="598">
        <v>4</v>
      </c>
      <c r="L137" s="598" t="s">
        <v>1082</v>
      </c>
    </row>
    <row r="138" spans="1:59">
      <c r="B138" s="598">
        <v>75</v>
      </c>
      <c r="C138" s="598">
        <v>2</v>
      </c>
      <c r="D138" s="598">
        <v>5</v>
      </c>
      <c r="E138" s="598">
        <v>11</v>
      </c>
      <c r="F138" s="598">
        <v>17</v>
      </c>
      <c r="H138" s="598">
        <v>20</v>
      </c>
      <c r="I138" s="598" t="s">
        <v>1849</v>
      </c>
      <c r="J138" s="598">
        <v>-1</v>
      </c>
      <c r="K138" s="598">
        <v>5</v>
      </c>
      <c r="L138" s="598" t="s">
        <v>1083</v>
      </c>
    </row>
    <row r="139" spans="1:59">
      <c r="H139" s="598">
        <v>35</v>
      </c>
      <c r="I139" s="598" t="s">
        <v>1850</v>
      </c>
      <c r="J139" s="598">
        <v>-2</v>
      </c>
      <c r="K139" s="598">
        <v>6</v>
      </c>
      <c r="L139" s="598" t="s">
        <v>1084</v>
      </c>
    </row>
    <row r="140" spans="1:59">
      <c r="H140" s="598">
        <v>49</v>
      </c>
      <c r="I140" s="598" t="s">
        <v>380</v>
      </c>
      <c r="J140" s="598">
        <v>-3</v>
      </c>
      <c r="K140" s="598">
        <v>6</v>
      </c>
      <c r="L140" s="598" t="s">
        <v>1085</v>
      </c>
    </row>
    <row r="141" spans="1:59">
      <c r="H141" s="598">
        <v>50</v>
      </c>
      <c r="I141" s="598" t="s">
        <v>1081</v>
      </c>
      <c r="J141" s="598">
        <v>-4</v>
      </c>
      <c r="K141" s="598">
        <v>7</v>
      </c>
    </row>
    <row r="147" spans="1:25">
      <c r="A147" s="598" t="s">
        <v>2349</v>
      </c>
      <c r="B147" s="598" t="s">
        <v>2734</v>
      </c>
      <c r="D147" s="598" t="s">
        <v>76</v>
      </c>
      <c r="F147" s="598" t="s">
        <v>1626</v>
      </c>
      <c r="H147" s="598" t="s">
        <v>2735</v>
      </c>
      <c r="J147" s="598" t="s">
        <v>4910</v>
      </c>
      <c r="L147" s="598" t="s">
        <v>2736</v>
      </c>
      <c r="N147" s="598" t="s">
        <v>2432</v>
      </c>
      <c r="P147" s="598" t="s">
        <v>2433</v>
      </c>
      <c r="R147" s="598" t="s">
        <v>3270</v>
      </c>
      <c r="T147" s="598" t="s">
        <v>3269</v>
      </c>
      <c r="V147" s="598" t="s">
        <v>2480</v>
      </c>
      <c r="X147" s="598" t="s">
        <v>5131</v>
      </c>
      <c r="Y147" s="598">
        <f>IF(Skills!$AD$310&gt;0.65,0.1,0)+IF(BV&gt;14,0.03,IF(BV&lt;11,-0.03,0))+IF(PTY&gt;14,0.03,IF(PTY&lt;11,-0.03,0))</f>
        <v>0</v>
      </c>
    </row>
    <row r="148" spans="1:25">
      <c r="A148" s="598" t="s">
        <v>3177</v>
      </c>
      <c r="B148" s="598" t="s">
        <v>3178</v>
      </c>
      <c r="C148" s="598" t="s">
        <v>3179</v>
      </c>
      <c r="D148" s="598" t="s">
        <v>3178</v>
      </c>
      <c r="E148" s="598" t="s">
        <v>3179</v>
      </c>
      <c r="F148" s="598" t="s">
        <v>3178</v>
      </c>
      <c r="G148" s="598" t="s">
        <v>3179</v>
      </c>
      <c r="H148" s="598" t="s">
        <v>3178</v>
      </c>
      <c r="I148" s="598" t="s">
        <v>3179</v>
      </c>
      <c r="J148" s="598" t="s">
        <v>3178</v>
      </c>
      <c r="K148" s="598" t="s">
        <v>3179</v>
      </c>
      <c r="L148" s="598" t="s">
        <v>3178</v>
      </c>
      <c r="M148" s="598" t="s">
        <v>3179</v>
      </c>
      <c r="N148" s="598" t="s">
        <v>3178</v>
      </c>
      <c r="O148" s="598" t="s">
        <v>3179</v>
      </c>
      <c r="P148" s="598" t="s">
        <v>3178</v>
      </c>
      <c r="Q148" s="598" t="s">
        <v>3179</v>
      </c>
      <c r="R148" s="598" t="s">
        <v>3178</v>
      </c>
      <c r="S148" s="598" t="s">
        <v>3179</v>
      </c>
      <c r="T148" s="598" t="s">
        <v>3178</v>
      </c>
      <c r="U148" s="598" t="s">
        <v>3179</v>
      </c>
      <c r="V148" s="598" t="s">
        <v>3178</v>
      </c>
      <c r="W148" s="598" t="s">
        <v>3179</v>
      </c>
      <c r="X148" s="598" t="s">
        <v>3178</v>
      </c>
      <c r="Y148" s="598" t="s">
        <v>3179</v>
      </c>
    </row>
    <row r="149" spans="1:25">
      <c r="A149" s="598" t="s">
        <v>2341</v>
      </c>
      <c r="B149" s="598">
        <v>-0.1</v>
      </c>
      <c r="C149" s="598">
        <v>2</v>
      </c>
      <c r="D149" s="598">
        <v>-0.1</v>
      </c>
      <c r="E149" s="598">
        <v>2</v>
      </c>
      <c r="F149" s="598">
        <v>-0.15</v>
      </c>
      <c r="G149" s="598">
        <v>3</v>
      </c>
      <c r="H149" s="598">
        <v>0.05</v>
      </c>
      <c r="I149" s="598">
        <v>-1</v>
      </c>
      <c r="J149" s="598">
        <v>0.05</v>
      </c>
      <c r="K149" s="598">
        <v>-1</v>
      </c>
      <c r="L149" s="598">
        <v>-0.2</v>
      </c>
      <c r="M149" s="598">
        <v>0</v>
      </c>
      <c r="N149" s="598">
        <v>-0.1</v>
      </c>
      <c r="O149" s="598">
        <v>0</v>
      </c>
      <c r="P149" s="598">
        <v>0</v>
      </c>
      <c r="Q149" s="598">
        <v>0</v>
      </c>
      <c r="R149" s="598">
        <v>0</v>
      </c>
      <c r="S149" s="598">
        <v>0</v>
      </c>
      <c r="T149" s="598">
        <v>-0.1</v>
      </c>
      <c r="U149" s="598">
        <v>2</v>
      </c>
      <c r="V149" s="598">
        <v>-0.05</v>
      </c>
      <c r="W149" s="598">
        <v>1</v>
      </c>
      <c r="X149" s="598">
        <f>0.05+$Y$147</f>
        <v>0.05</v>
      </c>
      <c r="Y149" s="598">
        <v>-1</v>
      </c>
    </row>
    <row r="150" spans="1:25">
      <c r="A150" s="598" t="s">
        <v>3268</v>
      </c>
      <c r="B150" s="598">
        <v>-0.05</v>
      </c>
      <c r="C150" s="598">
        <v>1</v>
      </c>
      <c r="D150" s="598">
        <v>-0.15</v>
      </c>
      <c r="E150" s="598">
        <v>3</v>
      </c>
      <c r="F150" s="598">
        <v>-0.15</v>
      </c>
      <c r="G150" s="598">
        <v>3</v>
      </c>
      <c r="H150" s="598">
        <v>-0.1</v>
      </c>
      <c r="I150" s="598">
        <v>2</v>
      </c>
      <c r="J150" s="598">
        <v>-0.1</v>
      </c>
      <c r="K150" s="598">
        <v>2</v>
      </c>
      <c r="L150" s="598">
        <v>-0.2</v>
      </c>
      <c r="M150" s="598">
        <v>0</v>
      </c>
      <c r="N150" s="598">
        <v>-0.1</v>
      </c>
      <c r="O150" s="598">
        <v>0</v>
      </c>
      <c r="P150" s="598">
        <v>0</v>
      </c>
      <c r="Q150" s="598">
        <v>0</v>
      </c>
      <c r="R150" s="598">
        <v>0.1</v>
      </c>
      <c r="S150" s="598">
        <v>-2</v>
      </c>
      <c r="T150" s="598">
        <v>-0.1</v>
      </c>
      <c r="U150" s="598">
        <v>2</v>
      </c>
      <c r="V150" s="598">
        <v>0.15</v>
      </c>
      <c r="W150" s="598">
        <v>-3</v>
      </c>
      <c r="X150" s="598">
        <f>-0.1+$Y$147</f>
        <v>-0.1</v>
      </c>
      <c r="Y150" s="598">
        <v>2</v>
      </c>
    </row>
    <row r="151" spans="1:25">
      <c r="A151" s="598" t="s">
        <v>2342</v>
      </c>
      <c r="B151" s="598">
        <v>-0.1</v>
      </c>
      <c r="C151" s="598">
        <v>2</v>
      </c>
      <c r="D151" s="598">
        <v>-0.15</v>
      </c>
      <c r="E151" s="598">
        <v>3</v>
      </c>
      <c r="F151" s="598">
        <v>-0.1</v>
      </c>
      <c r="G151" s="598">
        <v>2</v>
      </c>
      <c r="H151" s="598">
        <v>-0.15</v>
      </c>
      <c r="I151" s="598">
        <v>3</v>
      </c>
      <c r="J151" s="598">
        <v>-0.15</v>
      </c>
      <c r="K151" s="598">
        <v>3</v>
      </c>
      <c r="L151" s="598">
        <v>-0.2</v>
      </c>
      <c r="M151" s="598">
        <v>0</v>
      </c>
      <c r="N151" s="598">
        <v>-0.1</v>
      </c>
      <c r="O151" s="598">
        <v>0</v>
      </c>
      <c r="P151" s="598">
        <v>0</v>
      </c>
      <c r="Q151" s="598">
        <v>0</v>
      </c>
      <c r="R151" s="598">
        <v>-0.15</v>
      </c>
      <c r="S151" s="598">
        <v>3</v>
      </c>
      <c r="T151" s="598">
        <v>-0.15</v>
      </c>
      <c r="U151" s="598">
        <v>3</v>
      </c>
      <c r="V151" s="598">
        <v>0.1</v>
      </c>
      <c r="W151" s="598">
        <v>-2</v>
      </c>
      <c r="X151" s="598">
        <f>-0.15+$Y$147</f>
        <v>-0.15</v>
      </c>
      <c r="Y151" s="598">
        <v>3</v>
      </c>
    </row>
    <row r="152" spans="1:25">
      <c r="A152" s="598" t="s">
        <v>2343</v>
      </c>
      <c r="B152" s="598">
        <v>-0.05</v>
      </c>
      <c r="C152" s="598">
        <v>1</v>
      </c>
      <c r="D152" s="598">
        <v>-0.15</v>
      </c>
      <c r="E152" s="598">
        <v>3</v>
      </c>
      <c r="F152" s="598">
        <v>-0.15</v>
      </c>
      <c r="G152" s="598">
        <v>3</v>
      </c>
      <c r="H152" s="598">
        <v>-0.15</v>
      </c>
      <c r="I152" s="598">
        <v>3</v>
      </c>
      <c r="J152" s="598">
        <v>-0.15</v>
      </c>
      <c r="K152" s="598">
        <v>3</v>
      </c>
      <c r="L152" s="598">
        <v>-0.2</v>
      </c>
      <c r="M152" s="598">
        <v>0</v>
      </c>
      <c r="N152" s="598">
        <v>-0.1</v>
      </c>
      <c r="O152" s="598">
        <v>0</v>
      </c>
      <c r="P152" s="598">
        <v>0</v>
      </c>
      <c r="Q152" s="598">
        <v>0</v>
      </c>
      <c r="R152" s="598">
        <v>0.15</v>
      </c>
      <c r="S152" s="598">
        <v>-3</v>
      </c>
      <c r="T152" s="598">
        <v>0.1</v>
      </c>
      <c r="U152" s="598">
        <v>-2</v>
      </c>
      <c r="V152" s="598">
        <v>0.1</v>
      </c>
      <c r="W152" s="598">
        <v>-2</v>
      </c>
      <c r="X152" s="598">
        <f>-0.15+$Y$147</f>
        <v>-0.15</v>
      </c>
      <c r="Y152" s="598">
        <v>3</v>
      </c>
    </row>
    <row r="153" spans="1:25">
      <c r="A153" s="598" t="s">
        <v>2344</v>
      </c>
      <c r="B153" s="598">
        <v>0</v>
      </c>
      <c r="C153" s="598">
        <v>0</v>
      </c>
      <c r="D153" s="598">
        <v>0.05</v>
      </c>
      <c r="E153" s="598">
        <v>-1</v>
      </c>
      <c r="F153" s="598">
        <v>-0.1</v>
      </c>
      <c r="G153" s="598">
        <v>2</v>
      </c>
      <c r="H153" s="598">
        <v>0.1</v>
      </c>
      <c r="I153" s="598">
        <v>-2</v>
      </c>
      <c r="J153" s="598">
        <v>0.1</v>
      </c>
      <c r="K153" s="598">
        <v>-2</v>
      </c>
      <c r="L153" s="598">
        <v>-0.2</v>
      </c>
      <c r="M153" s="598">
        <v>0</v>
      </c>
      <c r="N153" s="598">
        <v>-0.1</v>
      </c>
      <c r="O153" s="598">
        <v>0</v>
      </c>
      <c r="P153" s="598">
        <v>0</v>
      </c>
      <c r="Q153" s="598">
        <v>0</v>
      </c>
      <c r="R153" s="598">
        <v>0.05</v>
      </c>
      <c r="S153" s="598">
        <v>-1</v>
      </c>
      <c r="T153" s="598">
        <v>0</v>
      </c>
      <c r="U153" s="598">
        <v>0</v>
      </c>
      <c r="V153" s="598">
        <v>0.05</v>
      </c>
      <c r="W153" s="598">
        <v>-1</v>
      </c>
      <c r="X153" s="1069">
        <f>0.1+$Y$147</f>
        <v>0.1</v>
      </c>
      <c r="Y153" s="598">
        <v>-2</v>
      </c>
    </row>
    <row r="154" spans="1:25">
      <c r="A154" s="598" t="s">
        <v>2345</v>
      </c>
      <c r="B154" s="598" t="e">
        <f>NA()</f>
        <v>#N/A</v>
      </c>
      <c r="C154" s="598" t="e">
        <f>NA()</f>
        <v>#N/A</v>
      </c>
      <c r="D154" s="598" t="e">
        <f>NA()</f>
        <v>#N/A</v>
      </c>
      <c r="E154" s="598" t="e">
        <f>NA()</f>
        <v>#N/A</v>
      </c>
      <c r="F154" s="598" t="e">
        <f>NA()</f>
        <v>#N/A</v>
      </c>
      <c r="G154" s="598" t="e">
        <f>NA()</f>
        <v>#N/A</v>
      </c>
      <c r="H154" s="598" t="e">
        <f>NA()</f>
        <v>#N/A</v>
      </c>
      <c r="I154" s="598" t="e">
        <f>NA()</f>
        <v>#N/A</v>
      </c>
      <c r="J154" s="598" t="e">
        <f>NA()</f>
        <v>#N/A</v>
      </c>
      <c r="K154" s="598" t="e">
        <f>NA()</f>
        <v>#N/A</v>
      </c>
      <c r="L154" s="598" t="e">
        <f>NA()</f>
        <v>#N/A</v>
      </c>
      <c r="M154" s="598" t="e">
        <f>NA()</f>
        <v>#N/A</v>
      </c>
      <c r="N154" s="598" t="e">
        <f>NA()</f>
        <v>#N/A</v>
      </c>
      <c r="O154" s="598" t="e">
        <f>NA()</f>
        <v>#N/A</v>
      </c>
      <c r="P154" s="598" t="e">
        <f>NA()</f>
        <v>#N/A</v>
      </c>
      <c r="Q154" s="598" t="e">
        <f>NA()</f>
        <v>#N/A</v>
      </c>
      <c r="R154" s="598" t="e">
        <f>NA()</f>
        <v>#N/A</v>
      </c>
      <c r="S154" s="598" t="e">
        <f>NA()</f>
        <v>#N/A</v>
      </c>
      <c r="T154" s="598" t="e">
        <f>NA()</f>
        <v>#N/A</v>
      </c>
      <c r="U154" s="598" t="e">
        <f>NA()</f>
        <v>#N/A</v>
      </c>
      <c r="V154" s="598">
        <v>0</v>
      </c>
      <c r="W154" s="598">
        <v>0</v>
      </c>
      <c r="X154" s="598" t="e">
        <f>NA()</f>
        <v>#N/A</v>
      </c>
      <c r="Y154" s="598" t="e">
        <f>NA()</f>
        <v>#N/A</v>
      </c>
    </row>
    <row r="155" spans="1:25">
      <c r="A155" s="598" t="s">
        <v>1631</v>
      </c>
      <c r="B155" s="598">
        <v>0</v>
      </c>
      <c r="C155" s="598">
        <v>0</v>
      </c>
      <c r="D155" s="598">
        <v>0</v>
      </c>
      <c r="E155" s="598">
        <v>0</v>
      </c>
      <c r="F155" s="598">
        <v>0.1</v>
      </c>
      <c r="G155" s="598">
        <v>-2</v>
      </c>
      <c r="H155" s="598">
        <v>0.05</v>
      </c>
      <c r="I155" s="598">
        <v>-1</v>
      </c>
      <c r="J155" s="598">
        <v>0.05</v>
      </c>
      <c r="K155" s="598">
        <v>-1</v>
      </c>
      <c r="L155" s="598">
        <v>-0.2</v>
      </c>
      <c r="M155" s="598">
        <v>0</v>
      </c>
      <c r="N155" s="598">
        <v>-0.1</v>
      </c>
      <c r="O155" s="598">
        <v>0</v>
      </c>
      <c r="P155" s="598">
        <v>0</v>
      </c>
      <c r="Q155" s="598">
        <v>0</v>
      </c>
      <c r="R155" s="598">
        <v>0.1</v>
      </c>
      <c r="S155" s="598">
        <v>-2</v>
      </c>
      <c r="T155" s="598">
        <v>0.1</v>
      </c>
      <c r="U155" s="598">
        <v>-2</v>
      </c>
      <c r="V155" s="598">
        <v>0.05</v>
      </c>
      <c r="W155" s="598">
        <v>-1</v>
      </c>
      <c r="X155" s="1069">
        <f>0.05+$Y$147</f>
        <v>0.05</v>
      </c>
      <c r="Y155" s="598">
        <v>-1</v>
      </c>
    </row>
    <row r="156" spans="1:25">
      <c r="A156" s="598" t="s">
        <v>3657</v>
      </c>
      <c r="B156" s="598">
        <v>0.15</v>
      </c>
      <c r="C156" s="598">
        <v>-3</v>
      </c>
      <c r="D156" s="598">
        <v>0.1</v>
      </c>
      <c r="E156" s="598">
        <v>-2</v>
      </c>
      <c r="F156" s="598">
        <v>0.1</v>
      </c>
      <c r="G156" s="598">
        <v>-2</v>
      </c>
      <c r="H156" s="598">
        <v>0.15</v>
      </c>
      <c r="I156" s="598">
        <v>-3</v>
      </c>
      <c r="J156" s="598">
        <v>0.15</v>
      </c>
      <c r="K156" s="598">
        <v>-3</v>
      </c>
      <c r="L156" s="598">
        <v>-0.2</v>
      </c>
      <c r="M156" s="598">
        <v>0</v>
      </c>
      <c r="N156" s="598">
        <v>-0.1</v>
      </c>
      <c r="O156" s="598">
        <v>0</v>
      </c>
      <c r="P156" s="598">
        <v>0</v>
      </c>
      <c r="Q156" s="598">
        <v>0</v>
      </c>
      <c r="R156" s="598">
        <v>0.1</v>
      </c>
      <c r="S156" s="598">
        <v>-2</v>
      </c>
      <c r="T156" s="598">
        <v>0.15</v>
      </c>
      <c r="U156" s="598">
        <v>-3</v>
      </c>
      <c r="V156" s="598">
        <v>-0.1</v>
      </c>
      <c r="W156" s="598">
        <v>2</v>
      </c>
      <c r="X156" s="1069">
        <f>0.15+$Y$147</f>
        <v>0.15</v>
      </c>
      <c r="Y156" s="598">
        <v>-3</v>
      </c>
    </row>
    <row r="157" spans="1:25">
      <c r="A157" s="598" t="s">
        <v>2346</v>
      </c>
      <c r="B157" s="598" t="e">
        <f>NA()</f>
        <v>#N/A</v>
      </c>
      <c r="C157" s="598" t="e">
        <f>NA()</f>
        <v>#N/A</v>
      </c>
      <c r="D157" s="598" t="e">
        <f>NA()</f>
        <v>#N/A</v>
      </c>
      <c r="E157" s="598" t="e">
        <f>NA()</f>
        <v>#N/A</v>
      </c>
      <c r="F157" s="598" t="e">
        <f>NA()</f>
        <v>#N/A</v>
      </c>
      <c r="G157" s="598" t="e">
        <f>NA()</f>
        <v>#N/A</v>
      </c>
      <c r="H157" s="598" t="e">
        <f>NA()</f>
        <v>#N/A</v>
      </c>
      <c r="I157" s="598" t="e">
        <f>NA()</f>
        <v>#N/A</v>
      </c>
      <c r="J157" s="598" t="e">
        <f>NA()</f>
        <v>#N/A</v>
      </c>
      <c r="K157" s="598" t="e">
        <f>NA()</f>
        <v>#N/A</v>
      </c>
      <c r="L157" s="598" t="e">
        <f>NA()</f>
        <v>#N/A</v>
      </c>
      <c r="M157" s="598" t="e">
        <f>NA()</f>
        <v>#N/A</v>
      </c>
      <c r="N157" s="598" t="e">
        <f>NA()</f>
        <v>#N/A</v>
      </c>
      <c r="O157" s="598" t="e">
        <f>NA()</f>
        <v>#N/A</v>
      </c>
      <c r="P157" s="598" t="e">
        <f>NA()</f>
        <v>#N/A</v>
      </c>
      <c r="Q157" s="598" t="e">
        <f>NA()</f>
        <v>#N/A</v>
      </c>
      <c r="R157" s="598" t="e">
        <f>NA()</f>
        <v>#N/A</v>
      </c>
      <c r="S157" s="598" t="e">
        <f>NA()</f>
        <v>#N/A</v>
      </c>
      <c r="T157" s="598" t="e">
        <f>NA()</f>
        <v>#N/A</v>
      </c>
      <c r="U157" s="598" t="e">
        <f>NA()</f>
        <v>#N/A</v>
      </c>
      <c r="V157" s="598">
        <v>-0.05</v>
      </c>
      <c r="W157" s="598">
        <v>1</v>
      </c>
      <c r="X157" s="598" t="e">
        <f>NA()</f>
        <v>#N/A</v>
      </c>
      <c r="Y157" s="598" t="e">
        <f>NA()</f>
        <v>#N/A</v>
      </c>
    </row>
    <row r="158" spans="1:25">
      <c r="A158" s="598" t="s">
        <v>1632</v>
      </c>
      <c r="B158" s="598">
        <v>0</v>
      </c>
      <c r="C158" s="598">
        <v>0</v>
      </c>
      <c r="D158" s="598">
        <v>-0.05</v>
      </c>
      <c r="E158" s="598">
        <v>1</v>
      </c>
      <c r="F158" s="598">
        <v>0</v>
      </c>
      <c r="G158" s="598">
        <v>0</v>
      </c>
      <c r="H158" s="598">
        <v>0.15</v>
      </c>
      <c r="I158" s="598">
        <v>-3</v>
      </c>
      <c r="J158" s="598">
        <v>0.15</v>
      </c>
      <c r="K158" s="598">
        <v>-3</v>
      </c>
      <c r="L158" s="598">
        <v>-0.2</v>
      </c>
      <c r="M158" s="598">
        <v>0</v>
      </c>
      <c r="N158" s="598">
        <v>-0.1</v>
      </c>
      <c r="O158" s="598">
        <v>0</v>
      </c>
      <c r="P158" s="598">
        <v>0</v>
      </c>
      <c r="Q158" s="598">
        <v>0</v>
      </c>
      <c r="R158" s="598">
        <v>0</v>
      </c>
      <c r="S158" s="598">
        <v>0</v>
      </c>
      <c r="T158" s="598">
        <v>0.05</v>
      </c>
      <c r="U158" s="598">
        <v>-1</v>
      </c>
      <c r="V158" s="598">
        <v>-0.05</v>
      </c>
      <c r="W158" s="598">
        <v>1</v>
      </c>
      <c r="X158" s="1069">
        <f>0.15+$Y$147</f>
        <v>0.15</v>
      </c>
      <c r="Y158" s="598">
        <v>-3</v>
      </c>
    </row>
    <row r="159" spans="1:25">
      <c r="A159" s="598" t="s">
        <v>3466</v>
      </c>
      <c r="B159" s="598">
        <v>-0.05</v>
      </c>
      <c r="C159" s="598">
        <v>1</v>
      </c>
      <c r="D159" s="598">
        <v>0.1</v>
      </c>
      <c r="E159" s="598">
        <v>-2</v>
      </c>
      <c r="F159" s="598">
        <v>0.1</v>
      </c>
      <c r="G159" s="598">
        <v>-2</v>
      </c>
      <c r="H159" s="598">
        <v>-0.05</v>
      </c>
      <c r="I159" s="598">
        <v>1</v>
      </c>
      <c r="J159" s="598">
        <v>-0.1</v>
      </c>
      <c r="K159" s="598">
        <v>2</v>
      </c>
      <c r="L159" s="598">
        <v>-0.2</v>
      </c>
      <c r="M159" s="598">
        <v>0</v>
      </c>
      <c r="N159" s="598">
        <v>-0.1</v>
      </c>
      <c r="O159" s="598">
        <v>0</v>
      </c>
      <c r="P159" s="598">
        <v>0</v>
      </c>
      <c r="Q159" s="598">
        <v>0</v>
      </c>
      <c r="R159" s="598">
        <v>-0.05</v>
      </c>
      <c r="S159" s="598">
        <v>1</v>
      </c>
      <c r="T159" s="598">
        <v>-0.05</v>
      </c>
      <c r="U159" s="598">
        <v>1</v>
      </c>
      <c r="V159" s="598">
        <v>-0.15</v>
      </c>
      <c r="W159" s="598">
        <v>3</v>
      </c>
      <c r="X159" s="598">
        <f>-0.05+$Y$147</f>
        <v>-0.05</v>
      </c>
      <c r="Y159" s="598">
        <v>1</v>
      </c>
    </row>
    <row r="160" spans="1:25">
      <c r="A160" s="598" t="s">
        <v>2347</v>
      </c>
      <c r="B160" s="598" t="e">
        <f>NA()</f>
        <v>#N/A</v>
      </c>
      <c r="C160" s="598" t="e">
        <f>NA()</f>
        <v>#N/A</v>
      </c>
      <c r="D160" s="598" t="e">
        <f>NA()</f>
        <v>#N/A</v>
      </c>
      <c r="E160" s="598" t="e">
        <f>NA()</f>
        <v>#N/A</v>
      </c>
      <c r="F160" s="598" t="e">
        <f>NA()</f>
        <v>#N/A</v>
      </c>
      <c r="G160" s="598" t="e">
        <f>NA()</f>
        <v>#N/A</v>
      </c>
      <c r="H160" s="598" t="e">
        <f>NA()</f>
        <v>#N/A</v>
      </c>
      <c r="I160" s="598" t="e">
        <f>NA()</f>
        <v>#N/A</v>
      </c>
      <c r="J160" s="598" t="e">
        <f>NA()</f>
        <v>#N/A</v>
      </c>
      <c r="K160" s="598" t="e">
        <f>NA()</f>
        <v>#N/A</v>
      </c>
      <c r="L160" s="598" t="e">
        <f>NA()</f>
        <v>#N/A</v>
      </c>
      <c r="M160" s="598" t="e">
        <f>NA()</f>
        <v>#N/A</v>
      </c>
      <c r="N160" s="598" t="e">
        <f>NA()</f>
        <v>#N/A</v>
      </c>
      <c r="O160" s="598" t="e">
        <f>NA()</f>
        <v>#N/A</v>
      </c>
      <c r="P160" s="598" t="e">
        <f>NA()</f>
        <v>#N/A</v>
      </c>
      <c r="Q160" s="598" t="e">
        <f>NA()</f>
        <v>#N/A</v>
      </c>
      <c r="R160" s="598" t="e">
        <f>NA()</f>
        <v>#N/A</v>
      </c>
      <c r="S160" s="598" t="e">
        <f>NA()</f>
        <v>#N/A</v>
      </c>
      <c r="T160" s="598" t="e">
        <f>NA()</f>
        <v>#N/A</v>
      </c>
      <c r="U160" s="598" t="e">
        <f>NA()</f>
        <v>#N/A</v>
      </c>
      <c r="V160" s="598" t="e">
        <f>NA()</f>
        <v>#N/A</v>
      </c>
      <c r="W160" s="598" t="e">
        <f>NA()</f>
        <v>#N/A</v>
      </c>
      <c r="X160" s="598" t="e">
        <f>NA()</f>
        <v>#N/A</v>
      </c>
      <c r="Y160" s="598" t="e">
        <f>NA()</f>
        <v>#N/A</v>
      </c>
    </row>
    <row r="161" spans="1:77">
      <c r="A161" s="598" t="s">
        <v>2348</v>
      </c>
      <c r="B161" s="598" t="e">
        <f>NA()</f>
        <v>#N/A</v>
      </c>
      <c r="C161" s="598" t="e">
        <f>NA()</f>
        <v>#N/A</v>
      </c>
      <c r="D161" s="598" t="e">
        <f>NA()</f>
        <v>#N/A</v>
      </c>
      <c r="E161" s="598" t="e">
        <f>NA()</f>
        <v>#N/A</v>
      </c>
      <c r="F161" s="598" t="e">
        <f>NA()</f>
        <v>#N/A</v>
      </c>
      <c r="G161" s="598" t="e">
        <f>NA()</f>
        <v>#N/A</v>
      </c>
      <c r="H161" s="598" t="e">
        <f>NA()</f>
        <v>#N/A</v>
      </c>
      <c r="I161" s="598" t="e">
        <f>NA()</f>
        <v>#N/A</v>
      </c>
      <c r="J161" s="598" t="e">
        <f>NA()</f>
        <v>#N/A</v>
      </c>
      <c r="K161" s="598" t="e">
        <f>NA()</f>
        <v>#N/A</v>
      </c>
      <c r="L161" s="598" t="e">
        <f>NA()</f>
        <v>#N/A</v>
      </c>
      <c r="M161" s="598" t="e">
        <f>NA()</f>
        <v>#N/A</v>
      </c>
      <c r="N161" s="598" t="e">
        <f>NA()</f>
        <v>#N/A</v>
      </c>
      <c r="O161" s="598" t="e">
        <f>NA()</f>
        <v>#N/A</v>
      </c>
      <c r="P161" s="598" t="e">
        <f>NA()</f>
        <v>#N/A</v>
      </c>
      <c r="Q161" s="598" t="e">
        <f>NA()</f>
        <v>#N/A</v>
      </c>
      <c r="R161" s="598" t="e">
        <f>NA()</f>
        <v>#N/A</v>
      </c>
      <c r="S161" s="598" t="e">
        <f>NA()</f>
        <v>#N/A</v>
      </c>
      <c r="T161" s="598" t="e">
        <f>NA()</f>
        <v>#N/A</v>
      </c>
      <c r="U161" s="598" t="e">
        <f>NA()</f>
        <v>#N/A</v>
      </c>
      <c r="V161" s="598" t="e">
        <f>NA()</f>
        <v>#N/A</v>
      </c>
      <c r="W161" s="598" t="e">
        <f>NA()</f>
        <v>#N/A</v>
      </c>
      <c r="X161" s="598" t="e">
        <f>NA()</f>
        <v>#N/A</v>
      </c>
      <c r="Y161" s="598" t="e">
        <f>NA()</f>
        <v>#N/A</v>
      </c>
    </row>
    <row r="162" spans="1:77">
      <c r="A162" s="598" t="s">
        <v>2340</v>
      </c>
      <c r="B162" s="598" t="e">
        <f>NA()</f>
        <v>#N/A</v>
      </c>
      <c r="C162" s="598" t="e">
        <f>NA()</f>
        <v>#N/A</v>
      </c>
      <c r="D162" s="598" t="e">
        <f>NA()</f>
        <v>#N/A</v>
      </c>
      <c r="E162" s="598" t="e">
        <f>NA()</f>
        <v>#N/A</v>
      </c>
      <c r="F162" s="598" t="e">
        <f>NA()</f>
        <v>#N/A</v>
      </c>
      <c r="G162" s="598" t="e">
        <f>NA()</f>
        <v>#N/A</v>
      </c>
      <c r="H162" s="598" t="e">
        <f>NA()</f>
        <v>#N/A</v>
      </c>
      <c r="I162" s="598" t="e">
        <f>NA()</f>
        <v>#N/A</v>
      </c>
      <c r="J162" s="598" t="e">
        <f>NA()</f>
        <v>#N/A</v>
      </c>
      <c r="K162" s="598" t="e">
        <f>NA()</f>
        <v>#N/A</v>
      </c>
      <c r="L162" s="598" t="e">
        <f>NA()</f>
        <v>#N/A</v>
      </c>
      <c r="M162" s="598" t="e">
        <f>NA()</f>
        <v>#N/A</v>
      </c>
      <c r="N162" s="598" t="e">
        <f>NA()</f>
        <v>#N/A</v>
      </c>
      <c r="O162" s="598" t="e">
        <f>NA()</f>
        <v>#N/A</v>
      </c>
      <c r="P162" s="598" t="e">
        <f>NA()</f>
        <v>#N/A</v>
      </c>
      <c r="Q162" s="598" t="e">
        <f>NA()</f>
        <v>#N/A</v>
      </c>
      <c r="R162" s="598" t="e">
        <f>NA()</f>
        <v>#N/A</v>
      </c>
      <c r="S162" s="598" t="e">
        <f>NA()</f>
        <v>#N/A</v>
      </c>
      <c r="T162" s="598" t="e">
        <f>NA()</f>
        <v>#N/A</v>
      </c>
      <c r="U162" s="598" t="e">
        <f>NA()</f>
        <v>#N/A</v>
      </c>
      <c r="V162" s="598" t="e">
        <f>NA()</f>
        <v>#N/A</v>
      </c>
      <c r="W162" s="598" t="e">
        <f>NA()</f>
        <v>#N/A</v>
      </c>
      <c r="X162" s="598" t="e">
        <f>NA()</f>
        <v>#N/A</v>
      </c>
      <c r="Y162" s="598" t="e">
        <f>NA()</f>
        <v>#N/A</v>
      </c>
    </row>
    <row r="163" spans="1:77">
      <c r="A163" s="598" t="s">
        <v>1633</v>
      </c>
      <c r="B163" s="598">
        <v>0.05</v>
      </c>
      <c r="C163" s="598">
        <v>-1</v>
      </c>
      <c r="D163" s="598">
        <v>0.1</v>
      </c>
      <c r="E163" s="598">
        <v>-2</v>
      </c>
      <c r="F163" s="598">
        <v>0.1</v>
      </c>
      <c r="G163" s="598">
        <v>-2</v>
      </c>
      <c r="H163" s="598">
        <v>-0.1</v>
      </c>
      <c r="I163" s="598">
        <v>2</v>
      </c>
      <c r="J163" s="598">
        <v>-0.05</v>
      </c>
      <c r="K163" s="598">
        <v>1</v>
      </c>
      <c r="L163" s="598">
        <v>-0.2</v>
      </c>
      <c r="M163" s="598">
        <v>0</v>
      </c>
      <c r="N163" s="598">
        <v>-0.1</v>
      </c>
      <c r="O163" s="598">
        <v>0</v>
      </c>
      <c r="P163" s="598">
        <v>0</v>
      </c>
      <c r="Q163" s="598">
        <v>0</v>
      </c>
      <c r="R163" s="598">
        <v>0.05</v>
      </c>
      <c r="S163" s="598">
        <v>-1</v>
      </c>
      <c r="T163" s="598">
        <v>0.15</v>
      </c>
      <c r="U163" s="598">
        <v>-3</v>
      </c>
      <c r="V163" s="598">
        <v>0</v>
      </c>
      <c r="W163" s="598">
        <v>0</v>
      </c>
      <c r="X163" s="598">
        <f>-0.1+$Y$147</f>
        <v>-0.1</v>
      </c>
      <c r="Y163" s="598">
        <v>2</v>
      </c>
    </row>
    <row r="164" spans="1:77">
      <c r="A164" s="598" t="s">
        <v>1634</v>
      </c>
      <c r="B164" s="598">
        <v>0.1</v>
      </c>
      <c r="C164" s="598">
        <v>-2</v>
      </c>
      <c r="D164" s="598">
        <v>0.15</v>
      </c>
      <c r="E164" s="598">
        <v>-3</v>
      </c>
      <c r="F164" s="598">
        <v>0</v>
      </c>
      <c r="G164" s="598">
        <v>0</v>
      </c>
      <c r="H164" s="598">
        <v>0</v>
      </c>
      <c r="I164" s="598">
        <v>0</v>
      </c>
      <c r="J164" s="598">
        <v>0</v>
      </c>
      <c r="K164" s="598">
        <v>0</v>
      </c>
      <c r="L164" s="598">
        <v>-0.2</v>
      </c>
      <c r="M164" s="598">
        <v>0</v>
      </c>
      <c r="N164" s="598">
        <v>-0.1</v>
      </c>
      <c r="O164" s="598">
        <v>0</v>
      </c>
      <c r="P164" s="598">
        <v>0</v>
      </c>
      <c r="Q164" s="598">
        <v>0</v>
      </c>
      <c r="R164" s="598">
        <v>0.15</v>
      </c>
      <c r="S164" s="598">
        <v>-3</v>
      </c>
      <c r="T164" s="598">
        <v>0.1</v>
      </c>
      <c r="U164" s="598">
        <v>-2</v>
      </c>
      <c r="V164" s="598">
        <v>-0.15</v>
      </c>
      <c r="W164" s="598">
        <v>3</v>
      </c>
      <c r="X164" s="1069">
        <f>0+$Y$147</f>
        <v>0</v>
      </c>
      <c r="Y164" s="598">
        <v>0</v>
      </c>
    </row>
    <row r="165" spans="1:77">
      <c r="A165" s="598" t="s">
        <v>1635</v>
      </c>
      <c r="B165" s="598">
        <v>0.05</v>
      </c>
      <c r="C165" s="598">
        <v>-1</v>
      </c>
      <c r="D165" s="598">
        <v>0.1</v>
      </c>
      <c r="E165" s="598">
        <v>-2</v>
      </c>
      <c r="F165" s="598">
        <v>0.15</v>
      </c>
      <c r="G165" s="598">
        <v>-3</v>
      </c>
      <c r="H165" s="598">
        <v>0</v>
      </c>
      <c r="I165" s="598">
        <v>0</v>
      </c>
      <c r="J165" s="598">
        <v>0</v>
      </c>
      <c r="K165" s="598">
        <v>0</v>
      </c>
      <c r="L165" s="598">
        <v>-0.2</v>
      </c>
      <c r="M165" s="598">
        <v>0</v>
      </c>
      <c r="N165" s="598">
        <v>-0.1</v>
      </c>
      <c r="O165" s="598">
        <v>0</v>
      </c>
      <c r="P165" s="598">
        <v>0</v>
      </c>
      <c r="Q165" s="598">
        <v>0</v>
      </c>
      <c r="R165" s="598">
        <v>0.1</v>
      </c>
      <c r="S165" s="598">
        <v>-2</v>
      </c>
      <c r="T165" s="598">
        <v>0.1</v>
      </c>
      <c r="U165" s="598">
        <v>-2</v>
      </c>
      <c r="V165" s="598">
        <v>0.15</v>
      </c>
      <c r="W165" s="598">
        <v>-3</v>
      </c>
      <c r="X165" s="1069">
        <f>0+$Y$147</f>
        <v>0</v>
      </c>
      <c r="Y165" s="598">
        <v>0</v>
      </c>
    </row>
    <row r="166" spans="1:77">
      <c r="A166" s="598" t="s">
        <v>1347</v>
      </c>
      <c r="B166" s="598" t="e">
        <f>NA()</f>
        <v>#N/A</v>
      </c>
      <c r="C166" s="598" t="e">
        <f>NA()</f>
        <v>#N/A</v>
      </c>
      <c r="D166" s="598" t="e">
        <f>NA()</f>
        <v>#N/A</v>
      </c>
      <c r="E166" s="598" t="e">
        <f>NA()</f>
        <v>#N/A</v>
      </c>
      <c r="F166" s="598" t="e">
        <f>NA()</f>
        <v>#N/A</v>
      </c>
      <c r="G166" s="598" t="e">
        <f>NA()</f>
        <v>#N/A</v>
      </c>
      <c r="H166" s="598" t="e">
        <f>NA()</f>
        <v>#N/A</v>
      </c>
      <c r="I166" s="598" t="e">
        <f>NA()</f>
        <v>#N/A</v>
      </c>
      <c r="J166" s="598" t="e">
        <f>NA()</f>
        <v>#N/A</v>
      </c>
      <c r="K166" s="598" t="e">
        <f>NA()</f>
        <v>#N/A</v>
      </c>
      <c r="L166" s="598" t="e">
        <f>NA()</f>
        <v>#N/A</v>
      </c>
      <c r="M166" s="598" t="e">
        <f>NA()</f>
        <v>#N/A</v>
      </c>
      <c r="N166" s="598" t="e">
        <f>NA()</f>
        <v>#N/A</v>
      </c>
      <c r="O166" s="598" t="e">
        <f>NA()</f>
        <v>#N/A</v>
      </c>
      <c r="P166" s="598" t="e">
        <f>NA()</f>
        <v>#N/A</v>
      </c>
      <c r="Q166" s="598" t="e">
        <f>NA()</f>
        <v>#N/A</v>
      </c>
      <c r="R166" s="598">
        <v>0.15</v>
      </c>
      <c r="S166" s="598">
        <v>-3</v>
      </c>
      <c r="T166" s="598">
        <v>0.15</v>
      </c>
      <c r="U166" s="598">
        <v>-3</v>
      </c>
      <c r="V166" s="598" t="e">
        <f>NA()</f>
        <v>#N/A</v>
      </c>
      <c r="W166" s="598" t="e">
        <f>NA()</f>
        <v>#N/A</v>
      </c>
      <c r="X166" s="598" t="e">
        <f>NA()</f>
        <v>#N/A</v>
      </c>
      <c r="Y166" s="598" t="e">
        <f>NA()</f>
        <v>#N/A</v>
      </c>
    </row>
    <row r="167" spans="1:77">
      <c r="A167" s="598" t="s">
        <v>1636</v>
      </c>
      <c r="B167" s="598">
        <v>0</v>
      </c>
      <c r="C167" s="598">
        <v>0</v>
      </c>
      <c r="D167" s="598">
        <v>0</v>
      </c>
      <c r="E167" s="598">
        <v>0</v>
      </c>
      <c r="F167" s="598">
        <v>0.1</v>
      </c>
      <c r="G167" s="598">
        <v>-2</v>
      </c>
      <c r="H167" s="598">
        <v>0.1</v>
      </c>
      <c r="I167" s="598">
        <v>-2</v>
      </c>
      <c r="J167" s="598">
        <v>0.1</v>
      </c>
      <c r="K167" s="598">
        <v>-2</v>
      </c>
      <c r="L167" s="598">
        <v>-0.2</v>
      </c>
      <c r="M167" s="598">
        <v>0</v>
      </c>
      <c r="N167" s="598">
        <v>-0.1</v>
      </c>
      <c r="O167" s="598">
        <v>0</v>
      </c>
      <c r="P167" s="598">
        <v>0</v>
      </c>
      <c r="Q167" s="598">
        <v>0</v>
      </c>
      <c r="R167" s="598">
        <v>0.05</v>
      </c>
      <c r="S167" s="598">
        <v>-1</v>
      </c>
      <c r="T167" s="598">
        <v>0.05</v>
      </c>
      <c r="U167" s="598">
        <v>-1</v>
      </c>
      <c r="V167" s="598">
        <v>0</v>
      </c>
      <c r="W167" s="598">
        <v>0</v>
      </c>
      <c r="X167" s="1069">
        <f>0.1+$Y$147</f>
        <v>0.1</v>
      </c>
      <c r="Y167" s="598">
        <v>-2</v>
      </c>
    </row>
    <row r="169" spans="1:77">
      <c r="A169" s="598" t="s">
        <v>2349</v>
      </c>
      <c r="B169" s="598" t="s">
        <v>2350</v>
      </c>
      <c r="D169" s="598" t="s">
        <v>2351</v>
      </c>
      <c r="F169" s="598" t="s">
        <v>3175</v>
      </c>
      <c r="H169" s="598" t="s">
        <v>3176</v>
      </c>
      <c r="J169" s="598" t="s">
        <v>2703</v>
      </c>
      <c r="L169" s="598" t="s">
        <v>4791</v>
      </c>
      <c r="N169" s="598" t="s">
        <v>4909</v>
      </c>
      <c r="P169" s="598" t="s">
        <v>3657</v>
      </c>
      <c r="R169" s="598" t="s">
        <v>3351</v>
      </c>
      <c r="T169" s="598" t="s">
        <v>2894</v>
      </c>
      <c r="V169" s="598" t="s">
        <v>3352</v>
      </c>
      <c r="X169" s="598" t="s">
        <v>3180</v>
      </c>
      <c r="Z169" s="598" t="s">
        <v>1348</v>
      </c>
      <c r="AB169" s="598" t="s">
        <v>4936</v>
      </c>
      <c r="AD169" s="598" t="s">
        <v>1627</v>
      </c>
      <c r="AF169" s="598" t="s">
        <v>3181</v>
      </c>
      <c r="AH169" s="598" t="s">
        <v>3182</v>
      </c>
      <c r="AJ169" s="598" t="s">
        <v>3183</v>
      </c>
      <c r="AL169" s="598" t="s">
        <v>3184</v>
      </c>
      <c r="AN169" s="598" t="s">
        <v>1139</v>
      </c>
      <c r="AP169" s="598" t="s">
        <v>1362</v>
      </c>
      <c r="AR169" s="598" t="s">
        <v>4796</v>
      </c>
      <c r="AT169" s="598" t="s">
        <v>1556</v>
      </c>
      <c r="AV169" s="598" t="s">
        <v>4797</v>
      </c>
      <c r="AX169" s="598" t="s">
        <v>4798</v>
      </c>
      <c r="AZ169" s="598" t="s">
        <v>4818</v>
      </c>
      <c r="BB169" s="598" t="s">
        <v>3041</v>
      </c>
      <c r="BD169" s="598" t="s">
        <v>2900</v>
      </c>
      <c r="BF169" s="598" t="s">
        <v>4799</v>
      </c>
      <c r="BH169" s="598" t="s">
        <v>1629</v>
      </c>
      <c r="BJ169" s="598" t="s">
        <v>2733</v>
      </c>
      <c r="BL169" s="598" t="s">
        <v>5308</v>
      </c>
      <c r="BN169" s="598" t="s">
        <v>5135</v>
      </c>
      <c r="BP169" s="598" t="s">
        <v>5136</v>
      </c>
      <c r="BR169" s="598" t="s">
        <v>2550</v>
      </c>
      <c r="BT169" s="598" t="s">
        <v>2549</v>
      </c>
      <c r="BV169" s="598" t="s">
        <v>448</v>
      </c>
      <c r="BX169" s="598" t="s">
        <v>447</v>
      </c>
    </row>
    <row r="170" spans="1:77">
      <c r="A170" s="598" t="s">
        <v>3177</v>
      </c>
      <c r="B170" s="598" t="s">
        <v>3178</v>
      </c>
      <c r="C170" s="598" t="s">
        <v>3179</v>
      </c>
      <c r="D170" s="598" t="s">
        <v>3178</v>
      </c>
      <c r="E170" s="598" t="s">
        <v>3179</v>
      </c>
      <c r="F170" s="598" t="s">
        <v>3178</v>
      </c>
      <c r="G170" s="598" t="s">
        <v>3179</v>
      </c>
      <c r="H170" s="598" t="s">
        <v>3178</v>
      </c>
      <c r="I170" s="598" t="s">
        <v>3179</v>
      </c>
      <c r="J170" s="598" t="s">
        <v>3178</v>
      </c>
      <c r="K170" s="598" t="s">
        <v>3179</v>
      </c>
      <c r="L170" s="598" t="s">
        <v>3178</v>
      </c>
      <c r="M170" s="598" t="s">
        <v>3179</v>
      </c>
      <c r="N170" s="598" t="s">
        <v>3178</v>
      </c>
      <c r="O170" s="598" t="s">
        <v>3179</v>
      </c>
      <c r="P170" s="598" t="s">
        <v>3178</v>
      </c>
      <c r="Q170" s="598" t="s">
        <v>3179</v>
      </c>
      <c r="R170" s="598" t="s">
        <v>3178</v>
      </c>
      <c r="S170" s="598" t="s">
        <v>3179</v>
      </c>
      <c r="T170" s="598" t="s">
        <v>3178</v>
      </c>
      <c r="U170" s="598" t="s">
        <v>3179</v>
      </c>
      <c r="V170" s="598" t="s">
        <v>3178</v>
      </c>
      <c r="W170" s="598" t="s">
        <v>3179</v>
      </c>
      <c r="X170" s="598" t="s">
        <v>3178</v>
      </c>
      <c r="Y170" s="598" t="s">
        <v>3179</v>
      </c>
      <c r="Z170" s="598" t="s">
        <v>3178</v>
      </c>
      <c r="AA170" s="598" t="s">
        <v>3179</v>
      </c>
      <c r="AB170" s="598" t="s">
        <v>3178</v>
      </c>
      <c r="AC170" s="598" t="s">
        <v>3179</v>
      </c>
      <c r="AD170" s="598" t="s">
        <v>3178</v>
      </c>
      <c r="AE170" s="598" t="s">
        <v>3179</v>
      </c>
      <c r="AF170" s="598" t="s">
        <v>3178</v>
      </c>
      <c r="AG170" s="598" t="s">
        <v>3179</v>
      </c>
      <c r="AH170" s="598" t="s">
        <v>3178</v>
      </c>
      <c r="AI170" s="598" t="s">
        <v>3179</v>
      </c>
      <c r="AJ170" s="598" t="s">
        <v>3178</v>
      </c>
      <c r="AK170" s="598" t="s">
        <v>3179</v>
      </c>
      <c r="AL170" s="598" t="s">
        <v>3178</v>
      </c>
      <c r="AM170" s="598" t="s">
        <v>3179</v>
      </c>
      <c r="AN170" s="598" t="s">
        <v>3178</v>
      </c>
      <c r="AO170" s="598" t="s">
        <v>3179</v>
      </c>
      <c r="AP170" s="598" t="s">
        <v>3178</v>
      </c>
      <c r="AQ170" s="598" t="s">
        <v>3179</v>
      </c>
      <c r="AR170" s="598" t="s">
        <v>3178</v>
      </c>
      <c r="AS170" s="598" t="s">
        <v>3179</v>
      </c>
      <c r="AT170" s="598" t="s">
        <v>3178</v>
      </c>
      <c r="AU170" s="598" t="s">
        <v>3179</v>
      </c>
      <c r="AV170" s="598" t="s">
        <v>3178</v>
      </c>
      <c r="AW170" s="598" t="s">
        <v>3179</v>
      </c>
      <c r="AX170" s="598" t="s">
        <v>3178</v>
      </c>
      <c r="AY170" s="598" t="s">
        <v>3179</v>
      </c>
      <c r="AZ170" s="598" t="s">
        <v>3178</v>
      </c>
      <c r="BA170" s="598" t="s">
        <v>3179</v>
      </c>
      <c r="BB170" s="598" t="s">
        <v>3178</v>
      </c>
      <c r="BC170" s="598" t="s">
        <v>3179</v>
      </c>
      <c r="BD170" s="598" t="s">
        <v>3178</v>
      </c>
      <c r="BE170" s="598" t="s">
        <v>3179</v>
      </c>
      <c r="BF170" s="598" t="s">
        <v>3178</v>
      </c>
      <c r="BG170" s="598" t="s">
        <v>3179</v>
      </c>
      <c r="BH170" s="598" t="s">
        <v>3178</v>
      </c>
      <c r="BI170" s="598" t="s">
        <v>3179</v>
      </c>
      <c r="BJ170" s="598" t="s">
        <v>3178</v>
      </c>
      <c r="BK170" s="598" t="s">
        <v>3179</v>
      </c>
      <c r="BL170" s="598" t="s">
        <v>3178</v>
      </c>
      <c r="BM170" s="598" t="s">
        <v>3179</v>
      </c>
      <c r="BN170" s="598" t="s">
        <v>3178</v>
      </c>
      <c r="BO170" s="598" t="s">
        <v>3179</v>
      </c>
      <c r="BP170" s="598" t="s">
        <v>3178</v>
      </c>
      <c r="BQ170" s="598" t="s">
        <v>3179</v>
      </c>
      <c r="BR170" s="598" t="s">
        <v>3178</v>
      </c>
      <c r="BS170" s="598" t="s">
        <v>3179</v>
      </c>
      <c r="BT170" s="598" t="s">
        <v>3178</v>
      </c>
      <c r="BU170" s="598" t="s">
        <v>3179</v>
      </c>
      <c r="BV170" s="598" t="s">
        <v>3178</v>
      </c>
      <c r="BW170" s="598" t="s">
        <v>3179</v>
      </c>
      <c r="BX170" s="598" t="s">
        <v>3178</v>
      </c>
      <c r="BY170" s="598" t="s">
        <v>3179</v>
      </c>
    </row>
    <row r="171" spans="1:77">
      <c r="A171" s="598" t="s">
        <v>2341</v>
      </c>
      <c r="B171" s="598">
        <v>-0.05</v>
      </c>
      <c r="C171" s="598">
        <v>1</v>
      </c>
      <c r="D171" s="598">
        <v>-0.15</v>
      </c>
      <c r="E171" s="598">
        <v>3</v>
      </c>
      <c r="F171" s="598">
        <v>-0.05</v>
      </c>
      <c r="G171" s="598">
        <v>1</v>
      </c>
      <c r="H171" s="598">
        <v>-0.15</v>
      </c>
      <c r="I171" s="598">
        <v>3</v>
      </c>
      <c r="J171" s="598">
        <v>0</v>
      </c>
      <c r="K171" s="598">
        <v>0</v>
      </c>
      <c r="L171" s="598">
        <v>0.05</v>
      </c>
      <c r="M171" s="598">
        <v>-1</v>
      </c>
      <c r="N171" s="598">
        <v>0.05</v>
      </c>
      <c r="O171" s="598">
        <v>-1</v>
      </c>
      <c r="P171" s="598">
        <v>-0.05</v>
      </c>
      <c r="Q171" s="598">
        <v>1</v>
      </c>
      <c r="R171" s="598">
        <v>-0.1</v>
      </c>
      <c r="S171" s="598">
        <v>2</v>
      </c>
      <c r="T171" s="598">
        <v>0</v>
      </c>
      <c r="U171" s="598">
        <v>0</v>
      </c>
      <c r="V171" s="598">
        <v>-0.1</v>
      </c>
      <c r="W171" s="598">
        <v>2</v>
      </c>
      <c r="X171" s="598">
        <v>-0.15</v>
      </c>
      <c r="Y171" s="598">
        <v>3</v>
      </c>
      <c r="Z171" s="598">
        <v>-0.1</v>
      </c>
      <c r="AA171" s="598">
        <v>2</v>
      </c>
      <c r="AB171" s="598" t="e">
        <f>NA()</f>
        <v>#N/A</v>
      </c>
      <c r="AC171" s="598" t="e">
        <f>NA()</f>
        <v>#N/A</v>
      </c>
      <c r="AD171" s="598">
        <v>0</v>
      </c>
      <c r="AE171" s="598">
        <v>0</v>
      </c>
      <c r="AF171" s="598">
        <v>0.15</v>
      </c>
      <c r="AG171" s="598">
        <v>-3</v>
      </c>
      <c r="AH171" s="598">
        <v>0</v>
      </c>
      <c r="AI171" s="598">
        <v>0</v>
      </c>
      <c r="AJ171" s="598">
        <v>0.1</v>
      </c>
      <c r="AK171" s="598">
        <v>-2</v>
      </c>
      <c r="AL171" s="598">
        <v>0.1</v>
      </c>
      <c r="AM171" s="598">
        <v>-2</v>
      </c>
      <c r="AN171" s="598">
        <v>0.1</v>
      </c>
      <c r="AO171" s="598">
        <v>-2</v>
      </c>
      <c r="AP171" s="598">
        <v>-0.1</v>
      </c>
      <c r="AQ171" s="598">
        <v>0</v>
      </c>
      <c r="AR171" s="598">
        <v>0</v>
      </c>
      <c r="AS171" s="598">
        <v>0</v>
      </c>
      <c r="AT171" s="598">
        <v>-0.05</v>
      </c>
      <c r="AU171" s="598">
        <v>1</v>
      </c>
      <c r="AV171" s="598">
        <v>-0.15</v>
      </c>
      <c r="AW171" s="598">
        <v>3</v>
      </c>
      <c r="AX171" s="598">
        <v>0</v>
      </c>
      <c r="AY171" s="598">
        <v>0</v>
      </c>
      <c r="AZ171" s="598">
        <v>-0.15</v>
      </c>
      <c r="BA171" s="598">
        <v>3</v>
      </c>
      <c r="BB171" s="598">
        <v>0.05</v>
      </c>
      <c r="BC171" s="598">
        <v>-1</v>
      </c>
      <c r="BD171" s="598">
        <v>0.1</v>
      </c>
      <c r="BE171" s="598">
        <v>-2</v>
      </c>
      <c r="BF171" s="598">
        <v>0</v>
      </c>
      <c r="BG171" s="598">
        <v>0</v>
      </c>
      <c r="BH171" s="598">
        <v>0</v>
      </c>
      <c r="BI171" s="598">
        <v>0</v>
      </c>
      <c r="BJ171" s="598">
        <v>0</v>
      </c>
      <c r="BK171" s="598">
        <v>0</v>
      </c>
      <c r="BL171" s="598">
        <v>0.1</v>
      </c>
      <c r="BM171" s="598">
        <v>-2</v>
      </c>
      <c r="BN171" s="598">
        <v>-0.05</v>
      </c>
      <c r="BO171" s="598">
        <v>1</v>
      </c>
      <c r="BP171" s="598">
        <v>0.05</v>
      </c>
      <c r="BQ171" s="598">
        <v>1</v>
      </c>
      <c r="BR171" s="598">
        <v>0</v>
      </c>
      <c r="BS171" s="598">
        <v>0</v>
      </c>
      <c r="BT171" s="598">
        <v>-0.05</v>
      </c>
      <c r="BU171" s="598">
        <v>1</v>
      </c>
      <c r="BV171" s="598">
        <v>0</v>
      </c>
      <c r="BW171" s="598">
        <v>0</v>
      </c>
      <c r="BX171" s="598">
        <v>0.05</v>
      </c>
      <c r="BY171" s="598">
        <v>-1</v>
      </c>
    </row>
    <row r="172" spans="1:77">
      <c r="A172" s="598" t="s">
        <v>3268</v>
      </c>
      <c r="B172" s="598">
        <v>-0.05</v>
      </c>
      <c r="C172" s="598">
        <v>1</v>
      </c>
      <c r="D172" s="598">
        <v>0.15</v>
      </c>
      <c r="E172" s="598">
        <v>-3</v>
      </c>
      <c r="F172" s="598">
        <v>0.15</v>
      </c>
      <c r="G172" s="598">
        <v>-3</v>
      </c>
      <c r="H172" s="598">
        <v>0.15</v>
      </c>
      <c r="I172" s="598">
        <v>-3</v>
      </c>
      <c r="J172" s="598">
        <v>-0.15</v>
      </c>
      <c r="K172" s="598">
        <v>3</v>
      </c>
      <c r="L172" s="598">
        <v>0</v>
      </c>
      <c r="M172" s="598">
        <v>0</v>
      </c>
      <c r="N172" s="598">
        <v>-0.1</v>
      </c>
      <c r="O172" s="598">
        <v>2</v>
      </c>
      <c r="P172" s="598">
        <v>-0.15</v>
      </c>
      <c r="Q172" s="598">
        <v>3</v>
      </c>
      <c r="R172" s="598">
        <v>0.15</v>
      </c>
      <c r="S172" s="598">
        <v>-3</v>
      </c>
      <c r="T172" s="598">
        <v>0.15</v>
      </c>
      <c r="U172" s="598">
        <v>-3</v>
      </c>
      <c r="V172" s="598">
        <v>0.1</v>
      </c>
      <c r="W172" s="598">
        <v>-2</v>
      </c>
      <c r="X172" s="598">
        <v>0.1</v>
      </c>
      <c r="Y172" s="598">
        <v>-2</v>
      </c>
      <c r="Z172" s="598">
        <v>-0.05</v>
      </c>
      <c r="AA172" s="598">
        <v>1</v>
      </c>
      <c r="AB172" s="598">
        <v>-0.15</v>
      </c>
      <c r="AC172" s="598">
        <v>3</v>
      </c>
      <c r="AD172" s="598">
        <v>-0.1</v>
      </c>
      <c r="AE172" s="598">
        <v>2</v>
      </c>
      <c r="AF172" s="598">
        <v>0</v>
      </c>
      <c r="AG172" s="598">
        <v>0</v>
      </c>
      <c r="AH172" s="598">
        <v>0.15</v>
      </c>
      <c r="AI172" s="598">
        <v>-3</v>
      </c>
      <c r="AJ172" s="598">
        <v>0.1</v>
      </c>
      <c r="AK172" s="598">
        <v>-2</v>
      </c>
      <c r="AL172" s="598">
        <v>0.1</v>
      </c>
      <c r="AM172" s="598">
        <v>-2</v>
      </c>
      <c r="AN172" s="598">
        <v>0.1</v>
      </c>
      <c r="AO172" s="598">
        <v>-2</v>
      </c>
      <c r="AP172" s="598">
        <v>-0.1</v>
      </c>
      <c r="AQ172" s="598">
        <v>0</v>
      </c>
      <c r="AR172" s="598">
        <v>0</v>
      </c>
      <c r="AS172" s="598">
        <v>0</v>
      </c>
      <c r="AT172" s="598">
        <v>0</v>
      </c>
      <c r="AU172" s="598">
        <v>0</v>
      </c>
      <c r="AV172" s="598">
        <v>0.1</v>
      </c>
      <c r="AW172" s="598">
        <v>-2</v>
      </c>
      <c r="AX172" s="598">
        <v>0</v>
      </c>
      <c r="AY172" s="598">
        <v>0</v>
      </c>
      <c r="AZ172" s="598">
        <v>-0.15</v>
      </c>
      <c r="BA172" s="598">
        <v>3</v>
      </c>
      <c r="BB172" s="598">
        <v>-0.1</v>
      </c>
      <c r="BC172" s="598">
        <v>2</v>
      </c>
      <c r="BD172" s="598">
        <v>0.1</v>
      </c>
      <c r="BE172" s="598">
        <v>-2</v>
      </c>
      <c r="BF172" s="598">
        <v>0</v>
      </c>
      <c r="BG172" s="598">
        <v>0</v>
      </c>
      <c r="BH172" s="598">
        <v>-0.05</v>
      </c>
      <c r="BI172" s="598">
        <v>3</v>
      </c>
      <c r="BJ172" s="598">
        <v>-0.05</v>
      </c>
      <c r="BK172" s="598">
        <v>1</v>
      </c>
      <c r="BL172" s="598">
        <v>0.1</v>
      </c>
      <c r="BM172" s="598">
        <v>-2</v>
      </c>
      <c r="BN172" s="598">
        <v>0.15</v>
      </c>
      <c r="BO172" s="598">
        <v>-3</v>
      </c>
      <c r="BP172" s="598">
        <v>0.15</v>
      </c>
      <c r="BQ172" s="598">
        <v>-3</v>
      </c>
      <c r="BR172" s="598">
        <v>-0.15</v>
      </c>
      <c r="BS172" s="598">
        <v>2</v>
      </c>
      <c r="BT172" s="598">
        <v>-0.05</v>
      </c>
      <c r="BU172" s="598">
        <v>1</v>
      </c>
      <c r="BV172" s="598">
        <v>0</v>
      </c>
      <c r="BW172" s="598">
        <v>0</v>
      </c>
      <c r="BX172" s="598">
        <v>0.05</v>
      </c>
      <c r="BY172" s="598">
        <v>-1</v>
      </c>
    </row>
    <row r="173" spans="1:77">
      <c r="A173" s="598" t="s">
        <v>2342</v>
      </c>
      <c r="B173" s="598">
        <v>-0.1</v>
      </c>
      <c r="C173" s="598">
        <v>2</v>
      </c>
      <c r="D173" s="598">
        <v>0.15</v>
      </c>
      <c r="E173" s="598">
        <v>-3</v>
      </c>
      <c r="F173" s="598">
        <v>0.1</v>
      </c>
      <c r="G173" s="598">
        <v>-2</v>
      </c>
      <c r="H173" s="598">
        <v>0.15</v>
      </c>
      <c r="I173" s="598">
        <v>-3</v>
      </c>
      <c r="J173" s="598">
        <v>0.05</v>
      </c>
      <c r="K173" s="598">
        <v>-1</v>
      </c>
      <c r="L173" s="598">
        <v>0</v>
      </c>
      <c r="M173" s="598">
        <v>0</v>
      </c>
      <c r="N173" s="598">
        <v>-0.15</v>
      </c>
      <c r="O173" s="598">
        <v>3</v>
      </c>
      <c r="P173" s="598">
        <v>-0.05</v>
      </c>
      <c r="Q173" s="598">
        <v>1</v>
      </c>
      <c r="R173" s="598">
        <v>0.15</v>
      </c>
      <c r="S173" s="598">
        <v>-3</v>
      </c>
      <c r="T173" s="598">
        <v>0.1</v>
      </c>
      <c r="U173" s="598">
        <v>-2</v>
      </c>
      <c r="V173" s="598">
        <v>0.1</v>
      </c>
      <c r="W173" s="598">
        <v>-2</v>
      </c>
      <c r="X173" s="598">
        <v>0.05</v>
      </c>
      <c r="Y173" s="598">
        <v>-1</v>
      </c>
      <c r="Z173" s="598">
        <v>-0.1</v>
      </c>
      <c r="AA173" s="598">
        <v>2</v>
      </c>
      <c r="AB173" s="598" t="e">
        <f>NA()</f>
        <v>#N/A</v>
      </c>
      <c r="AC173" s="598" t="e">
        <f>NA()</f>
        <v>#N/A</v>
      </c>
      <c r="AD173" s="598">
        <v>-0.05</v>
      </c>
      <c r="AE173" s="598">
        <v>1</v>
      </c>
      <c r="AF173" s="598">
        <v>0.1</v>
      </c>
      <c r="AG173" s="598">
        <v>-2</v>
      </c>
      <c r="AH173" s="598">
        <v>0.1</v>
      </c>
      <c r="AI173" s="598">
        <v>-2</v>
      </c>
      <c r="AJ173" s="598">
        <v>0.15</v>
      </c>
      <c r="AK173" s="598">
        <v>-3</v>
      </c>
      <c r="AL173" s="598">
        <v>0</v>
      </c>
      <c r="AM173" s="598">
        <v>0</v>
      </c>
      <c r="AN173" s="598">
        <v>0</v>
      </c>
      <c r="AO173" s="598">
        <v>0</v>
      </c>
      <c r="AP173" s="598">
        <v>-0.1</v>
      </c>
      <c r="AQ173" s="598">
        <v>0</v>
      </c>
      <c r="AR173" s="598">
        <v>0</v>
      </c>
      <c r="AS173" s="598">
        <v>0</v>
      </c>
      <c r="AT173" s="598">
        <v>0.05</v>
      </c>
      <c r="AU173" s="598">
        <v>-1</v>
      </c>
      <c r="AV173" s="598">
        <v>-0.15</v>
      </c>
      <c r="AW173" s="598">
        <v>3</v>
      </c>
      <c r="AX173" s="598">
        <v>-0.1</v>
      </c>
      <c r="AY173" s="598">
        <v>2</v>
      </c>
      <c r="AZ173" s="598">
        <v>-0.15</v>
      </c>
      <c r="BA173" s="598">
        <v>3</v>
      </c>
      <c r="BB173" s="598">
        <v>0</v>
      </c>
      <c r="BC173" s="598">
        <v>0</v>
      </c>
      <c r="BD173" s="598">
        <v>0</v>
      </c>
      <c r="BE173" s="598">
        <v>0</v>
      </c>
      <c r="BF173" s="598">
        <v>0</v>
      </c>
      <c r="BG173" s="598">
        <v>0</v>
      </c>
      <c r="BH173" s="598">
        <v>0</v>
      </c>
      <c r="BI173" s="598">
        <v>0</v>
      </c>
      <c r="BJ173" s="598">
        <v>0</v>
      </c>
      <c r="BK173" s="598">
        <v>0</v>
      </c>
      <c r="BL173" s="598">
        <v>0.1</v>
      </c>
      <c r="BM173" s="598">
        <v>-2</v>
      </c>
      <c r="BN173" s="598">
        <v>0</v>
      </c>
      <c r="BO173" s="598">
        <v>0</v>
      </c>
      <c r="BP173" s="598">
        <v>0.15</v>
      </c>
      <c r="BQ173" s="598">
        <v>-3</v>
      </c>
      <c r="BR173" s="598">
        <v>0.05</v>
      </c>
      <c r="BS173" s="598">
        <v>-1</v>
      </c>
      <c r="BT173" s="598">
        <v>-0.15</v>
      </c>
      <c r="BU173" s="598">
        <v>3</v>
      </c>
      <c r="BV173" s="598">
        <v>0</v>
      </c>
      <c r="BW173" s="598">
        <v>0</v>
      </c>
      <c r="BX173" s="598">
        <v>0.05</v>
      </c>
      <c r="BY173" s="598">
        <v>-1</v>
      </c>
    </row>
    <row r="174" spans="1:77">
      <c r="A174" s="598" t="s">
        <v>2343</v>
      </c>
      <c r="B174" s="598">
        <v>-0.1</v>
      </c>
      <c r="C174" s="598">
        <v>2</v>
      </c>
      <c r="D174" s="598">
        <v>0.1</v>
      </c>
      <c r="E174" s="598">
        <v>-2</v>
      </c>
      <c r="F174" s="598">
        <v>0.1</v>
      </c>
      <c r="G174" s="598">
        <v>-2</v>
      </c>
      <c r="H174" s="598">
        <v>0.1</v>
      </c>
      <c r="I174" s="598">
        <v>-2</v>
      </c>
      <c r="J174" s="598">
        <v>-0.15</v>
      </c>
      <c r="K174" s="598">
        <v>3</v>
      </c>
      <c r="L174" s="598">
        <v>0</v>
      </c>
      <c r="M174" s="598">
        <v>0</v>
      </c>
      <c r="N174" s="598">
        <v>-0.15</v>
      </c>
      <c r="O174" s="598">
        <v>3</v>
      </c>
      <c r="P174" s="598">
        <v>0</v>
      </c>
      <c r="Q174" s="598">
        <v>0</v>
      </c>
      <c r="R174" s="598">
        <v>-0.15</v>
      </c>
      <c r="S174" s="598">
        <v>3</v>
      </c>
      <c r="T174" s="598">
        <v>-0.05</v>
      </c>
      <c r="U174" s="598">
        <v>1</v>
      </c>
      <c r="V174" s="598">
        <v>-0.15</v>
      </c>
      <c r="W174" s="598">
        <v>3</v>
      </c>
      <c r="X174" s="598">
        <v>-0.1</v>
      </c>
      <c r="Y174" s="598">
        <v>2</v>
      </c>
      <c r="Z174" s="598">
        <v>-0.1</v>
      </c>
      <c r="AA174" s="598">
        <v>2</v>
      </c>
      <c r="AB174" s="598" t="e">
        <f>NA()</f>
        <v>#N/A</v>
      </c>
      <c r="AC174" s="598" t="e">
        <f>NA()</f>
        <v>#N/A</v>
      </c>
      <c r="AD174" s="598">
        <v>-0.05</v>
      </c>
      <c r="AE174" s="598">
        <v>1</v>
      </c>
      <c r="AF174" s="598">
        <v>0.1</v>
      </c>
      <c r="AG174" s="598">
        <v>-2</v>
      </c>
      <c r="AH174" s="598">
        <v>0.1</v>
      </c>
      <c r="AI174" s="598">
        <v>-2</v>
      </c>
      <c r="AJ174" s="598">
        <v>0</v>
      </c>
      <c r="AK174" s="598">
        <v>0</v>
      </c>
      <c r="AL174" s="598">
        <v>0.15</v>
      </c>
      <c r="AM174" s="598">
        <v>-3</v>
      </c>
      <c r="AN174" s="598">
        <v>0.1</v>
      </c>
      <c r="AO174" s="598">
        <v>-2</v>
      </c>
      <c r="AP174" s="598">
        <v>-0.1</v>
      </c>
      <c r="AQ174" s="598">
        <v>0</v>
      </c>
      <c r="AR174" s="598">
        <v>0</v>
      </c>
      <c r="AS174" s="598">
        <v>0</v>
      </c>
      <c r="AT174" s="598">
        <v>-0.05</v>
      </c>
      <c r="AU174" s="598">
        <v>1</v>
      </c>
      <c r="AV174" s="598">
        <v>0.1</v>
      </c>
      <c r="AW174" s="598">
        <v>-2</v>
      </c>
      <c r="AX174" s="598">
        <v>-0.1</v>
      </c>
      <c r="AY174" s="598">
        <v>2</v>
      </c>
      <c r="AZ174" s="598">
        <v>-0.15</v>
      </c>
      <c r="BA174" s="598">
        <v>3</v>
      </c>
      <c r="BB174" s="598">
        <v>-0.05</v>
      </c>
      <c r="BC174" s="598">
        <v>1</v>
      </c>
      <c r="BD174" s="598">
        <v>0.1</v>
      </c>
      <c r="BE174" s="598">
        <v>-2</v>
      </c>
      <c r="BF174" s="598">
        <v>0</v>
      </c>
      <c r="BG174" s="598">
        <v>0</v>
      </c>
      <c r="BH174" s="598">
        <v>0</v>
      </c>
      <c r="BI174" s="598">
        <v>2</v>
      </c>
      <c r="BJ174" s="598">
        <v>0</v>
      </c>
      <c r="BK174" s="598">
        <v>0</v>
      </c>
      <c r="BL174" s="598">
        <v>0.1</v>
      </c>
      <c r="BM174" s="598">
        <v>-2</v>
      </c>
      <c r="BN174" s="598">
        <v>0.1</v>
      </c>
      <c r="BO174" s="598">
        <v>-2</v>
      </c>
      <c r="BP174" s="598">
        <v>0.1</v>
      </c>
      <c r="BQ174" s="598">
        <v>-2</v>
      </c>
      <c r="BR174" s="598">
        <v>-0.15</v>
      </c>
      <c r="BS174" s="598">
        <v>3</v>
      </c>
      <c r="BT174" s="598">
        <v>0.1</v>
      </c>
      <c r="BU174" s="598">
        <v>-2</v>
      </c>
      <c r="BV174" s="598">
        <v>0</v>
      </c>
      <c r="BW174" s="598">
        <v>0</v>
      </c>
      <c r="BX174" s="598">
        <v>0.05</v>
      </c>
      <c r="BY174" s="598">
        <v>-1</v>
      </c>
    </row>
    <row r="175" spans="1:77">
      <c r="A175" s="598" t="s">
        <v>2344</v>
      </c>
      <c r="B175" s="598">
        <v>0</v>
      </c>
      <c r="C175" s="598">
        <v>0</v>
      </c>
      <c r="D175" s="598">
        <v>-0.05</v>
      </c>
      <c r="E175" s="598">
        <v>1</v>
      </c>
      <c r="F175" s="598">
        <v>0.05</v>
      </c>
      <c r="G175" s="598">
        <v>-1</v>
      </c>
      <c r="H175" s="598">
        <v>0.05</v>
      </c>
      <c r="I175" s="598">
        <v>-1</v>
      </c>
      <c r="J175" s="598">
        <v>-0.05</v>
      </c>
      <c r="K175" s="598">
        <v>1</v>
      </c>
      <c r="L175" s="598">
        <v>-0.1</v>
      </c>
      <c r="M175" s="598">
        <v>2</v>
      </c>
      <c r="N175" s="598">
        <v>0.1</v>
      </c>
      <c r="O175" s="598">
        <v>-2</v>
      </c>
      <c r="P175" s="598">
        <v>0.1</v>
      </c>
      <c r="Q175" s="598">
        <v>-2</v>
      </c>
      <c r="R175" s="598" t="e">
        <f>NA()</f>
        <v>#N/A</v>
      </c>
      <c r="S175" s="598" t="e">
        <f>NA()</f>
        <v>#N/A</v>
      </c>
      <c r="T175" s="598">
        <v>-0.05</v>
      </c>
      <c r="U175" s="598">
        <v>1</v>
      </c>
      <c r="V175" s="598" t="e">
        <f>NA()</f>
        <v>#N/A</v>
      </c>
      <c r="W175" s="598" t="e">
        <f>NA()</f>
        <v>#N/A</v>
      </c>
      <c r="X175" s="598">
        <v>0</v>
      </c>
      <c r="Y175" s="598">
        <v>0</v>
      </c>
      <c r="Z175" s="598">
        <v>0</v>
      </c>
      <c r="AA175" s="598">
        <v>0</v>
      </c>
      <c r="AB175" s="598" t="e">
        <f>NA()</f>
        <v>#N/A</v>
      </c>
      <c r="AC175" s="598" t="e">
        <f>NA()</f>
        <v>#N/A</v>
      </c>
      <c r="AD175" s="598">
        <v>-0.05</v>
      </c>
      <c r="AE175" s="598">
        <v>1</v>
      </c>
      <c r="AF175" s="598">
        <v>-0.05</v>
      </c>
      <c r="AG175" s="598">
        <v>1</v>
      </c>
      <c r="AH175" s="598">
        <v>-0.05</v>
      </c>
      <c r="AI175" s="598">
        <v>1</v>
      </c>
      <c r="AJ175" s="598">
        <v>-0.05</v>
      </c>
      <c r="AK175" s="598">
        <v>1</v>
      </c>
      <c r="AL175" s="598">
        <v>-0.15</v>
      </c>
      <c r="AM175" s="598">
        <v>3</v>
      </c>
      <c r="AN175" s="598">
        <v>-0.15</v>
      </c>
      <c r="AO175" s="598">
        <v>3</v>
      </c>
      <c r="AP175" s="598">
        <v>-0.1</v>
      </c>
      <c r="AQ175" s="598">
        <v>0</v>
      </c>
      <c r="AR175" s="598">
        <v>0</v>
      </c>
      <c r="AS175" s="598">
        <v>0</v>
      </c>
      <c r="AT175" s="598" t="e">
        <f>NA()</f>
        <v>#N/A</v>
      </c>
      <c r="AU175" s="598" t="e">
        <f>NA()</f>
        <v>#N/A</v>
      </c>
      <c r="AV175" s="598">
        <v>0.05</v>
      </c>
      <c r="AW175" s="598">
        <v>-1</v>
      </c>
      <c r="AX175" s="598">
        <v>-0.05</v>
      </c>
      <c r="AY175" s="598">
        <v>1</v>
      </c>
      <c r="AZ175" s="598">
        <v>0.1</v>
      </c>
      <c r="BA175" s="598">
        <v>-2</v>
      </c>
      <c r="BB175" s="598">
        <v>-0.05</v>
      </c>
      <c r="BC175" s="598">
        <v>1</v>
      </c>
      <c r="BD175" s="598">
        <v>-0.15</v>
      </c>
      <c r="BE175" s="598">
        <v>3</v>
      </c>
      <c r="BF175" s="598">
        <v>-0.05</v>
      </c>
      <c r="BG175" s="598">
        <v>-1</v>
      </c>
      <c r="BH175" s="598">
        <v>0.15</v>
      </c>
      <c r="BI175" s="598">
        <v>0</v>
      </c>
      <c r="BJ175" s="598">
        <v>0.15</v>
      </c>
      <c r="BK175" s="598">
        <v>-3</v>
      </c>
      <c r="BL175" s="598">
        <v>-0.1</v>
      </c>
      <c r="BM175" s="598">
        <v>2</v>
      </c>
      <c r="BN175" s="598">
        <v>-0.05</v>
      </c>
      <c r="BO175" s="598">
        <v>1</v>
      </c>
      <c r="BP175" s="598">
        <v>-0.05</v>
      </c>
      <c r="BQ175" s="598">
        <v>1</v>
      </c>
      <c r="BR175" s="598">
        <v>0.15</v>
      </c>
      <c r="BS175" s="598">
        <v>-3</v>
      </c>
      <c r="BT175" s="598">
        <v>0.15</v>
      </c>
      <c r="BU175" s="598">
        <v>-3</v>
      </c>
      <c r="BV175" s="598">
        <v>0.05</v>
      </c>
      <c r="BW175" s="598">
        <v>-1</v>
      </c>
      <c r="BX175" s="598">
        <v>0.15</v>
      </c>
      <c r="BY175" s="598">
        <v>-3</v>
      </c>
    </row>
    <row r="176" spans="1:77">
      <c r="A176" s="598" t="s">
        <v>2345</v>
      </c>
      <c r="B176" s="598" t="e">
        <f>NA()</f>
        <v>#N/A</v>
      </c>
      <c r="C176" s="598" t="e">
        <f>NA()</f>
        <v>#N/A</v>
      </c>
      <c r="D176" s="598" t="e">
        <f>NA()</f>
        <v>#N/A</v>
      </c>
      <c r="E176" s="598" t="e">
        <f>NA()</f>
        <v>#N/A</v>
      </c>
      <c r="F176" s="598" t="e">
        <f>NA()</f>
        <v>#N/A</v>
      </c>
      <c r="G176" s="598" t="e">
        <f>NA()</f>
        <v>#N/A</v>
      </c>
      <c r="H176" s="598" t="e">
        <f>NA()</f>
        <v>#N/A</v>
      </c>
      <c r="I176" s="598" t="e">
        <f>NA()</f>
        <v>#N/A</v>
      </c>
      <c r="J176" s="598" t="e">
        <f>NA()</f>
        <v>#N/A</v>
      </c>
      <c r="K176" s="598" t="e">
        <f>NA()</f>
        <v>#N/A</v>
      </c>
      <c r="L176" s="598" t="e">
        <f>NA()</f>
        <v>#N/A</v>
      </c>
      <c r="M176" s="598" t="e">
        <f>NA()</f>
        <v>#N/A</v>
      </c>
      <c r="N176" s="598" t="e">
        <f>NA()</f>
        <v>#N/A</v>
      </c>
      <c r="O176" s="598" t="e">
        <f>NA()</f>
        <v>#N/A</v>
      </c>
      <c r="P176" s="598" t="e">
        <f>NA()</f>
        <v>#N/A</v>
      </c>
      <c r="Q176" s="598" t="e">
        <f>NA()</f>
        <v>#N/A</v>
      </c>
      <c r="R176" s="598">
        <v>0.05</v>
      </c>
      <c r="S176" s="598">
        <v>-1</v>
      </c>
      <c r="T176" s="598" t="e">
        <f>NA()</f>
        <v>#N/A</v>
      </c>
      <c r="U176" s="598" t="e">
        <f>NA()</f>
        <v>#N/A</v>
      </c>
      <c r="V176" s="598">
        <v>0.1</v>
      </c>
      <c r="W176" s="598">
        <v>-2</v>
      </c>
      <c r="X176" s="598">
        <v>0.15</v>
      </c>
      <c r="Y176" s="598">
        <v>-3</v>
      </c>
      <c r="Z176" s="598" t="e">
        <f>NA()</f>
        <v>#N/A</v>
      </c>
      <c r="AA176" s="598" t="e">
        <f>NA()</f>
        <v>#N/A</v>
      </c>
      <c r="AB176" s="598" t="e">
        <f>NA()</f>
        <v>#N/A</v>
      </c>
      <c r="AC176" s="598" t="e">
        <f>NA()</f>
        <v>#N/A</v>
      </c>
      <c r="AD176" s="598" t="e">
        <f>NA()</f>
        <v>#N/A</v>
      </c>
      <c r="AE176" s="598" t="e">
        <f>NA()</f>
        <v>#N/A</v>
      </c>
      <c r="AF176" s="598" t="e">
        <f>NA()</f>
        <v>#N/A</v>
      </c>
      <c r="AG176" s="598" t="e">
        <f>NA()</f>
        <v>#N/A</v>
      </c>
      <c r="AH176" s="598" t="e">
        <f>NA()</f>
        <v>#N/A</v>
      </c>
      <c r="AI176" s="598" t="e">
        <f>NA()</f>
        <v>#N/A</v>
      </c>
      <c r="AJ176" s="598" t="e">
        <f>NA()</f>
        <v>#N/A</v>
      </c>
      <c r="AK176" s="598" t="e">
        <f>NA()</f>
        <v>#N/A</v>
      </c>
      <c r="AL176" s="598" t="e">
        <f>NA()</f>
        <v>#N/A</v>
      </c>
      <c r="AM176" s="598" t="e">
        <f>NA()</f>
        <v>#N/A</v>
      </c>
      <c r="AN176" s="598" t="e">
        <f>NA()</f>
        <v>#N/A</v>
      </c>
      <c r="AO176" s="598" t="e">
        <f>NA()</f>
        <v>#N/A</v>
      </c>
      <c r="AP176" s="598" t="e">
        <f>NA()</f>
        <v>#N/A</v>
      </c>
      <c r="AQ176" s="598" t="e">
        <f>NA()</f>
        <v>#N/A</v>
      </c>
      <c r="AR176" s="598" t="e">
        <f>NA()</f>
        <v>#N/A</v>
      </c>
      <c r="AS176" s="598" t="e">
        <f>NA()</f>
        <v>#N/A</v>
      </c>
      <c r="AT176" s="598">
        <v>0.1</v>
      </c>
      <c r="AU176" s="598">
        <v>-2</v>
      </c>
      <c r="AV176" s="598" t="e">
        <f>NA()</f>
        <v>#N/A</v>
      </c>
      <c r="AW176" s="598" t="e">
        <f>NA()</f>
        <v>#N/A</v>
      </c>
      <c r="AX176" s="598" t="e">
        <f>NA()</f>
        <v>#N/A</v>
      </c>
      <c r="AY176" s="598" t="e">
        <f>NA()</f>
        <v>#N/A</v>
      </c>
      <c r="AZ176" s="598" t="e">
        <f>NA()</f>
        <v>#N/A</v>
      </c>
      <c r="BA176" s="598" t="e">
        <f>NA()</f>
        <v>#N/A</v>
      </c>
      <c r="BB176" s="598" t="e">
        <f>NA()</f>
        <v>#N/A</v>
      </c>
      <c r="BC176" s="598" t="e">
        <f>NA()</f>
        <v>#N/A</v>
      </c>
      <c r="BD176" s="598" t="e">
        <f>NA()</f>
        <v>#N/A</v>
      </c>
      <c r="BE176" s="598" t="e">
        <f>NA()</f>
        <v>#N/A</v>
      </c>
      <c r="BF176" s="598" t="e">
        <f>NA()</f>
        <v>#N/A</v>
      </c>
      <c r="BG176" s="598" t="e">
        <f>NA()</f>
        <v>#N/A</v>
      </c>
      <c r="BH176" s="598" t="e">
        <f>NA()</f>
        <v>#N/A</v>
      </c>
      <c r="BI176" s="598" t="e">
        <f>NA()</f>
        <v>#N/A</v>
      </c>
      <c r="BJ176" s="598" t="e">
        <f>NA()</f>
        <v>#N/A</v>
      </c>
      <c r="BK176" s="598" t="e">
        <f>NA()</f>
        <v>#N/A</v>
      </c>
      <c r="BL176" s="598" t="e">
        <f>NA()</f>
        <v>#N/A</v>
      </c>
      <c r="BM176" s="598" t="e">
        <f>NA()</f>
        <v>#N/A</v>
      </c>
      <c r="BN176" s="598" t="e">
        <f>NA()</f>
        <v>#N/A</v>
      </c>
      <c r="BO176" s="598" t="e">
        <f>NA()</f>
        <v>#N/A</v>
      </c>
      <c r="BP176" s="598" t="e">
        <f>NA()</f>
        <v>#N/A</v>
      </c>
      <c r="BQ176" s="598" t="e">
        <f>NA()</f>
        <v>#N/A</v>
      </c>
      <c r="BR176" s="598" t="e">
        <f>NA()</f>
        <v>#N/A</v>
      </c>
      <c r="BS176" s="598" t="e">
        <f>NA()</f>
        <v>#N/A</v>
      </c>
      <c r="BT176" s="598" t="e">
        <f>NA()</f>
        <v>#N/A</v>
      </c>
      <c r="BU176" s="598" t="e">
        <f>NA()</f>
        <v>#N/A</v>
      </c>
      <c r="BV176" s="598" t="s">
        <v>151</v>
      </c>
      <c r="BW176" s="598" t="s">
        <v>151</v>
      </c>
      <c r="BX176" s="598">
        <v>0</v>
      </c>
      <c r="BY176" s="598">
        <v>0</v>
      </c>
    </row>
    <row r="177" spans="1:77">
      <c r="A177" s="598" t="s">
        <v>1631</v>
      </c>
      <c r="B177" s="598">
        <v>0.05</v>
      </c>
      <c r="C177" s="598">
        <v>-1</v>
      </c>
      <c r="D177" s="598">
        <v>-0.05</v>
      </c>
      <c r="E177" s="598">
        <v>1</v>
      </c>
      <c r="F177" s="598">
        <v>0.05</v>
      </c>
      <c r="G177" s="598">
        <v>-1</v>
      </c>
      <c r="H177" s="598">
        <v>0.1</v>
      </c>
      <c r="I177" s="598">
        <v>-2</v>
      </c>
      <c r="J177" s="598">
        <v>0.1</v>
      </c>
      <c r="K177" s="598">
        <v>-2</v>
      </c>
      <c r="L177" s="598">
        <v>-0.15</v>
      </c>
      <c r="M177" s="598">
        <v>3</v>
      </c>
      <c r="N177" s="598">
        <v>0.05</v>
      </c>
      <c r="O177" s="598">
        <v>-1</v>
      </c>
      <c r="P177" s="598">
        <v>0</v>
      </c>
      <c r="Q177" s="598">
        <v>0</v>
      </c>
      <c r="R177" s="598" t="e">
        <f>NA()</f>
        <v>#N/A</v>
      </c>
      <c r="S177" s="598" t="e">
        <f>NA()</f>
        <v>#N/A</v>
      </c>
      <c r="T177" s="598">
        <v>0</v>
      </c>
      <c r="U177" s="598">
        <v>0</v>
      </c>
      <c r="V177" s="598" t="e">
        <f>NA()</f>
        <v>#N/A</v>
      </c>
      <c r="W177" s="598" t="e">
        <f>NA()</f>
        <v>#N/A</v>
      </c>
      <c r="X177" s="598" t="e">
        <f>NA()</f>
        <v>#N/A</v>
      </c>
      <c r="Y177" s="598" t="e">
        <f>NA()</f>
        <v>#N/A</v>
      </c>
      <c r="Z177" s="598">
        <v>0.1</v>
      </c>
      <c r="AA177" s="598">
        <v>-2</v>
      </c>
      <c r="AB177" s="598" t="e">
        <f>NA()</f>
        <v>#N/A</v>
      </c>
      <c r="AC177" s="598" t="e">
        <f>NA()</f>
        <v>#N/A</v>
      </c>
      <c r="AD177" s="598">
        <v>0.15</v>
      </c>
      <c r="AE177" s="598">
        <v>-3</v>
      </c>
      <c r="AF177" s="598">
        <v>0.05</v>
      </c>
      <c r="AG177" s="598">
        <v>-1</v>
      </c>
      <c r="AH177" s="598">
        <v>0.05</v>
      </c>
      <c r="AI177" s="598">
        <v>-1</v>
      </c>
      <c r="AJ177" s="598">
        <v>0.05</v>
      </c>
      <c r="AK177" s="598">
        <v>-1</v>
      </c>
      <c r="AL177" s="598">
        <v>0</v>
      </c>
      <c r="AM177" s="598">
        <v>0</v>
      </c>
      <c r="AN177" s="598">
        <v>0.05</v>
      </c>
      <c r="AO177" s="598">
        <v>-1</v>
      </c>
      <c r="AP177" s="598">
        <v>-0.1</v>
      </c>
      <c r="AQ177" s="598">
        <v>0</v>
      </c>
      <c r="AR177" s="598">
        <v>0</v>
      </c>
      <c r="AS177" s="598">
        <v>0</v>
      </c>
      <c r="AT177" s="598" t="e">
        <f>NA()</f>
        <v>#N/A</v>
      </c>
      <c r="AU177" s="598" t="e">
        <f>NA()</f>
        <v>#N/A</v>
      </c>
      <c r="AV177" s="598">
        <v>0.05</v>
      </c>
      <c r="AW177" s="598">
        <v>-1</v>
      </c>
      <c r="AX177" s="598">
        <v>0.05</v>
      </c>
      <c r="AY177" s="598">
        <v>-1</v>
      </c>
      <c r="AZ177" s="598">
        <v>0.15</v>
      </c>
      <c r="BA177" s="598">
        <v>-3</v>
      </c>
      <c r="BB177" s="598">
        <v>0.15</v>
      </c>
      <c r="BC177" s="598">
        <v>-3</v>
      </c>
      <c r="BD177" s="598">
        <v>0.05</v>
      </c>
      <c r="BE177" s="598">
        <v>-1</v>
      </c>
      <c r="BF177" s="598">
        <v>0.1</v>
      </c>
      <c r="BG177" s="598">
        <v>-2</v>
      </c>
      <c r="BH177" s="598">
        <v>0.05</v>
      </c>
      <c r="BI177" s="598">
        <v>-2</v>
      </c>
      <c r="BJ177" s="598">
        <v>0.05</v>
      </c>
      <c r="BK177" s="598">
        <v>-1</v>
      </c>
      <c r="BL177" s="598">
        <v>0.05</v>
      </c>
      <c r="BM177" s="598">
        <v>-1</v>
      </c>
      <c r="BN177" s="598">
        <v>-0.05</v>
      </c>
      <c r="BO177" s="598">
        <v>1</v>
      </c>
      <c r="BP177" s="598">
        <v>-0.05</v>
      </c>
      <c r="BQ177" s="598">
        <v>1</v>
      </c>
      <c r="BR177" s="598">
        <v>0.05</v>
      </c>
      <c r="BS177" s="598">
        <v>-1</v>
      </c>
      <c r="BT177" s="598">
        <v>0.05</v>
      </c>
      <c r="BU177" s="598">
        <v>-1</v>
      </c>
      <c r="BV177" s="598">
        <v>0.1</v>
      </c>
      <c r="BW177" s="598">
        <v>-2</v>
      </c>
      <c r="BX177" s="598">
        <v>0.05</v>
      </c>
      <c r="BY177" s="598">
        <v>-1</v>
      </c>
    </row>
    <row r="178" spans="1:77">
      <c r="A178" s="598" t="s">
        <v>3657</v>
      </c>
      <c r="B178" s="598">
        <v>0.15</v>
      </c>
      <c r="C178" s="598">
        <v>-3</v>
      </c>
      <c r="D178" s="598">
        <v>0.1</v>
      </c>
      <c r="E178" s="598">
        <v>-2</v>
      </c>
      <c r="F178" s="598">
        <v>-0.1</v>
      </c>
      <c r="G178" s="598">
        <v>2</v>
      </c>
      <c r="H178" s="598">
        <v>0.05</v>
      </c>
      <c r="I178" s="598">
        <v>-1</v>
      </c>
      <c r="J178" s="598">
        <v>-0.1</v>
      </c>
      <c r="K178" s="598">
        <v>2</v>
      </c>
      <c r="L178" s="598">
        <v>0.05</v>
      </c>
      <c r="M178" s="598">
        <v>-1</v>
      </c>
      <c r="N178" s="598">
        <v>0.15</v>
      </c>
      <c r="O178" s="598">
        <v>-3</v>
      </c>
      <c r="P178" s="598">
        <v>0.15</v>
      </c>
      <c r="Q178" s="598">
        <v>-3</v>
      </c>
      <c r="R178" s="598">
        <v>-0.15</v>
      </c>
      <c r="S178" s="598">
        <v>3</v>
      </c>
      <c r="T178" s="598">
        <v>0</v>
      </c>
      <c r="U178" s="598">
        <v>0</v>
      </c>
      <c r="V178" s="598">
        <v>0</v>
      </c>
      <c r="W178" s="598">
        <v>0</v>
      </c>
      <c r="X178" s="598">
        <v>-0.05</v>
      </c>
      <c r="Y178" s="598">
        <v>1</v>
      </c>
      <c r="Z178" s="598">
        <v>0.05</v>
      </c>
      <c r="AA178" s="598">
        <v>-1</v>
      </c>
      <c r="AB178" s="598" t="e">
        <f>NA()</f>
        <v>#N/A</v>
      </c>
      <c r="AC178" s="598" t="e">
        <f>NA()</f>
        <v>#N/A</v>
      </c>
      <c r="AD178" s="598">
        <v>-0.1</v>
      </c>
      <c r="AE178" s="598">
        <v>2</v>
      </c>
      <c r="AF178" s="598">
        <v>0.05</v>
      </c>
      <c r="AG178" s="598">
        <v>-1</v>
      </c>
      <c r="AH178" s="598">
        <v>-0.05</v>
      </c>
      <c r="AI178" s="598">
        <v>1</v>
      </c>
      <c r="AJ178" s="598">
        <v>0.05</v>
      </c>
      <c r="AK178" s="598">
        <v>-1</v>
      </c>
      <c r="AL178" s="598">
        <v>0.05</v>
      </c>
      <c r="AM178" s="598">
        <v>-1</v>
      </c>
      <c r="AN178" s="598">
        <v>0</v>
      </c>
      <c r="AO178" s="598">
        <v>0</v>
      </c>
      <c r="AP178" s="598">
        <v>-0.1</v>
      </c>
      <c r="AQ178" s="598">
        <v>0</v>
      </c>
      <c r="AR178" s="598">
        <v>0</v>
      </c>
      <c r="AS178" s="598">
        <v>0</v>
      </c>
      <c r="AT178" s="598">
        <v>-0.1</v>
      </c>
      <c r="AU178" s="598">
        <v>2</v>
      </c>
      <c r="AV178" s="598">
        <v>0.15</v>
      </c>
      <c r="AW178" s="598">
        <v>-3</v>
      </c>
      <c r="AX178" s="598">
        <v>0.15</v>
      </c>
      <c r="AY178" s="598">
        <v>-3</v>
      </c>
      <c r="AZ178" s="598">
        <v>0.15</v>
      </c>
      <c r="BA178" s="598">
        <v>-3</v>
      </c>
      <c r="BB178" s="598">
        <v>-0.1</v>
      </c>
      <c r="BC178" s="598">
        <v>2</v>
      </c>
      <c r="BD178" s="598">
        <v>0</v>
      </c>
      <c r="BE178" s="598">
        <v>0</v>
      </c>
      <c r="BF178" s="598">
        <v>-0.05</v>
      </c>
      <c r="BG178" s="598">
        <v>-1</v>
      </c>
      <c r="BH178" s="598">
        <v>0.1</v>
      </c>
      <c r="BI178" s="598">
        <v>1</v>
      </c>
      <c r="BJ178" s="598">
        <v>0.1</v>
      </c>
      <c r="BK178" s="598">
        <v>-2</v>
      </c>
      <c r="BL178" s="598">
        <v>0.05</v>
      </c>
      <c r="BM178" s="598">
        <v>-1</v>
      </c>
      <c r="BN178" s="598">
        <v>-0.15</v>
      </c>
      <c r="BO178" s="598">
        <v>3</v>
      </c>
      <c r="BP178" s="598">
        <v>-0.15</v>
      </c>
      <c r="BQ178" s="598">
        <v>3</v>
      </c>
      <c r="BR178" s="598">
        <v>0.15</v>
      </c>
      <c r="BS178" s="598">
        <v>-3</v>
      </c>
      <c r="BT178" s="598">
        <v>-0.15</v>
      </c>
      <c r="BU178" s="598">
        <v>3</v>
      </c>
      <c r="BV178" s="598">
        <v>0.05</v>
      </c>
      <c r="BW178" s="598">
        <v>-1</v>
      </c>
      <c r="BX178" s="598">
        <v>0.05</v>
      </c>
      <c r="BY178" s="598">
        <v>1</v>
      </c>
    </row>
    <row r="179" spans="1:77">
      <c r="A179" s="598" t="s">
        <v>2346</v>
      </c>
      <c r="B179" s="598" t="e">
        <f>NA()</f>
        <v>#N/A</v>
      </c>
      <c r="C179" s="598" t="e">
        <f>NA()</f>
        <v>#N/A</v>
      </c>
      <c r="D179" s="598" t="e">
        <f>NA()</f>
        <v>#N/A</v>
      </c>
      <c r="E179" s="598" t="e">
        <f>NA()</f>
        <v>#N/A</v>
      </c>
      <c r="F179" s="598">
        <v>-0.05</v>
      </c>
      <c r="G179" s="598">
        <v>1</v>
      </c>
      <c r="H179" s="598">
        <v>-0.05</v>
      </c>
      <c r="I179" s="598">
        <v>1</v>
      </c>
      <c r="J179" s="598" t="s">
        <v>151</v>
      </c>
      <c r="K179" s="598" t="e">
        <f>NA()</f>
        <v>#N/A</v>
      </c>
      <c r="L179" s="598" t="e">
        <f>NA()</f>
        <v>#N/A</v>
      </c>
      <c r="M179" s="598" t="e">
        <f>NA()</f>
        <v>#N/A</v>
      </c>
      <c r="N179" s="598" t="e">
        <f>NA()</f>
        <v>#N/A</v>
      </c>
      <c r="O179" s="598" t="e">
        <f>NA()</f>
        <v>#N/A</v>
      </c>
      <c r="P179" s="598" t="e">
        <f>NA()</f>
        <v>#N/A</v>
      </c>
      <c r="Q179" s="598" t="e">
        <f>NA()</f>
        <v>#N/A</v>
      </c>
      <c r="R179" s="598">
        <v>0.15</v>
      </c>
      <c r="S179" s="598">
        <v>-3</v>
      </c>
      <c r="T179" s="598" t="e">
        <f>NA()</f>
        <v>#N/A</v>
      </c>
      <c r="U179" s="598" t="e">
        <f>NA()</f>
        <v>#N/A</v>
      </c>
      <c r="V179" s="598">
        <v>0.1</v>
      </c>
      <c r="W179" s="598">
        <v>-2</v>
      </c>
      <c r="X179" s="598">
        <v>0.1</v>
      </c>
      <c r="Y179" s="598">
        <v>-2</v>
      </c>
      <c r="Z179" s="598" t="e">
        <f>NA()</f>
        <v>#N/A</v>
      </c>
      <c r="AA179" s="598" t="e">
        <f>NA()</f>
        <v>#N/A</v>
      </c>
      <c r="AB179" s="598" t="e">
        <f>NA()</f>
        <v>#N/A</v>
      </c>
      <c r="AC179" s="598" t="e">
        <f>NA()</f>
        <v>#N/A</v>
      </c>
      <c r="AD179" s="598" t="e">
        <f>NA()</f>
        <v>#N/A</v>
      </c>
      <c r="AE179" s="598" t="e">
        <f>NA()</f>
        <v>#N/A</v>
      </c>
      <c r="AF179" s="598" t="e">
        <f>NA()</f>
        <v>#N/A</v>
      </c>
      <c r="AG179" s="598" t="e">
        <f>NA()</f>
        <v>#N/A</v>
      </c>
      <c r="AH179" s="598" t="e">
        <f>NA()</f>
        <v>#N/A</v>
      </c>
      <c r="AI179" s="598" t="e">
        <f>NA()</f>
        <v>#N/A</v>
      </c>
      <c r="AJ179" s="598" t="e">
        <f>NA()</f>
        <v>#N/A</v>
      </c>
      <c r="AK179" s="598" t="e">
        <f>NA()</f>
        <v>#N/A</v>
      </c>
      <c r="AL179" s="598" t="e">
        <f>NA()</f>
        <v>#N/A</v>
      </c>
      <c r="AM179" s="598" t="e">
        <f>NA()</f>
        <v>#N/A</v>
      </c>
      <c r="AN179" s="598" t="e">
        <f>NA()</f>
        <v>#N/A</v>
      </c>
      <c r="AO179" s="598" t="e">
        <f>NA()</f>
        <v>#N/A</v>
      </c>
      <c r="AP179" s="598" t="e">
        <f>NA()</f>
        <v>#N/A</v>
      </c>
      <c r="AQ179" s="598" t="e">
        <f>NA()</f>
        <v>#N/A</v>
      </c>
      <c r="AR179" s="598" t="e">
        <f>NA()</f>
        <v>#N/A</v>
      </c>
      <c r="AS179" s="598" t="e">
        <f>NA()</f>
        <v>#N/A</v>
      </c>
      <c r="AT179" s="598">
        <v>0.1</v>
      </c>
      <c r="AU179" s="598">
        <v>-2</v>
      </c>
      <c r="AV179" s="598" t="e">
        <f>NA()</f>
        <v>#N/A</v>
      </c>
      <c r="AW179" s="598" t="e">
        <f>NA()</f>
        <v>#N/A</v>
      </c>
      <c r="AX179" s="598" t="e">
        <f>NA()</f>
        <v>#N/A</v>
      </c>
      <c r="AY179" s="598" t="e">
        <f>NA()</f>
        <v>#N/A</v>
      </c>
      <c r="AZ179" s="598" t="e">
        <f>NA()</f>
        <v>#N/A</v>
      </c>
      <c r="BA179" s="598" t="e">
        <f>NA()</f>
        <v>#N/A</v>
      </c>
      <c r="BB179" s="598" t="e">
        <f>NA()</f>
        <v>#N/A</v>
      </c>
      <c r="BC179" s="598" t="e">
        <f>NA()</f>
        <v>#N/A</v>
      </c>
      <c r="BD179" s="598" t="e">
        <f>NA()</f>
        <v>#N/A</v>
      </c>
      <c r="BE179" s="598" t="e">
        <f>NA()</f>
        <v>#N/A</v>
      </c>
      <c r="BF179" s="598" t="e">
        <f>NA()</f>
        <v>#N/A</v>
      </c>
      <c r="BG179" s="598" t="e">
        <f>NA()</f>
        <v>#N/A</v>
      </c>
      <c r="BH179" s="598" t="e">
        <f>NA()</f>
        <v>#N/A</v>
      </c>
      <c r="BI179" s="598" t="e">
        <f>NA()</f>
        <v>#N/A</v>
      </c>
      <c r="BJ179" s="598" t="e">
        <f>NA()</f>
        <v>#N/A</v>
      </c>
      <c r="BK179" s="598" t="e">
        <f>NA()</f>
        <v>#N/A</v>
      </c>
      <c r="BL179" s="598" t="e">
        <f>NA()</f>
        <v>#N/A</v>
      </c>
      <c r="BM179" s="598" t="e">
        <f>NA()</f>
        <v>#N/A</v>
      </c>
      <c r="BN179" s="598" t="e">
        <f>NA()</f>
        <v>#N/A</v>
      </c>
      <c r="BO179" s="598" t="e">
        <f>NA()</f>
        <v>#N/A</v>
      </c>
      <c r="BP179" s="598" t="e">
        <f>NA()</f>
        <v>#N/A</v>
      </c>
      <c r="BQ179" s="598" t="e">
        <f>NA()</f>
        <v>#N/A</v>
      </c>
      <c r="BR179" s="598" t="e">
        <f>NA()</f>
        <v>#N/A</v>
      </c>
      <c r="BS179" s="598" t="e">
        <f>NA()</f>
        <v>#N/A</v>
      </c>
      <c r="BT179" s="598" t="e">
        <f>NA()</f>
        <v>#N/A</v>
      </c>
      <c r="BU179" s="598" t="e">
        <f>NA()</f>
        <v>#N/A</v>
      </c>
      <c r="BV179" s="598" t="s">
        <v>151</v>
      </c>
      <c r="BW179" s="598" t="s">
        <v>151</v>
      </c>
      <c r="BX179" s="598">
        <v>-0.15</v>
      </c>
      <c r="BY179" s="598">
        <v>3</v>
      </c>
    </row>
    <row r="180" spans="1:77">
      <c r="A180" s="598" t="s">
        <v>1632</v>
      </c>
      <c r="B180" s="598">
        <v>0</v>
      </c>
      <c r="C180" s="598">
        <v>0</v>
      </c>
      <c r="D180" s="598">
        <v>0</v>
      </c>
      <c r="E180" s="598">
        <v>0</v>
      </c>
      <c r="F180" s="598">
        <v>-0.05</v>
      </c>
      <c r="G180" s="598">
        <v>1</v>
      </c>
      <c r="H180" s="598">
        <v>-0.05</v>
      </c>
      <c r="I180" s="598">
        <v>1</v>
      </c>
      <c r="J180" s="598">
        <v>0.15</v>
      </c>
      <c r="K180" s="598">
        <v>-3</v>
      </c>
      <c r="L180" s="598">
        <v>0.1</v>
      </c>
      <c r="M180" s="598">
        <v>-2</v>
      </c>
      <c r="N180" s="598">
        <v>0.15</v>
      </c>
      <c r="O180" s="598">
        <v>-3</v>
      </c>
      <c r="P180" s="598">
        <v>-0.15</v>
      </c>
      <c r="Q180" s="598">
        <v>3</v>
      </c>
      <c r="R180" s="598" t="e">
        <f>NA()</f>
        <v>#N/A</v>
      </c>
      <c r="S180" s="598" t="e">
        <f>NA()</f>
        <v>#N/A</v>
      </c>
      <c r="T180" s="598">
        <v>-0.1</v>
      </c>
      <c r="U180" s="598">
        <v>2</v>
      </c>
      <c r="V180" s="598" t="e">
        <f>NA()</f>
        <v>#N/A</v>
      </c>
      <c r="W180" s="598" t="e">
        <f>NA()</f>
        <v>#N/A</v>
      </c>
      <c r="X180" s="598" t="e">
        <f>NA()</f>
        <v>#N/A</v>
      </c>
      <c r="Y180" s="598" t="e">
        <f>NA()</f>
        <v>#N/A</v>
      </c>
      <c r="Z180" s="598">
        <v>0.15</v>
      </c>
      <c r="AA180" s="598">
        <v>-3</v>
      </c>
      <c r="AB180" s="598" t="e">
        <f>NA()</f>
        <v>#N/A</v>
      </c>
      <c r="AC180" s="598" t="e">
        <f>NA()</f>
        <v>#N/A</v>
      </c>
      <c r="AD180" s="598">
        <v>0.15</v>
      </c>
      <c r="AE180" s="598">
        <v>-3</v>
      </c>
      <c r="AF180" s="598">
        <v>-0.15</v>
      </c>
      <c r="AG180" s="598">
        <v>3</v>
      </c>
      <c r="AH180" s="598">
        <v>-0.15</v>
      </c>
      <c r="AI180" s="598">
        <v>3</v>
      </c>
      <c r="AJ180" s="598">
        <v>-0.15</v>
      </c>
      <c r="AK180" s="598">
        <v>3</v>
      </c>
      <c r="AL180" s="598">
        <v>-0.05</v>
      </c>
      <c r="AM180" s="598">
        <v>1</v>
      </c>
      <c r="AN180" s="598">
        <v>-0.05</v>
      </c>
      <c r="AO180" s="598">
        <v>1</v>
      </c>
      <c r="AP180" s="598">
        <v>-0.1</v>
      </c>
      <c r="AQ180" s="598">
        <v>0</v>
      </c>
      <c r="AR180" s="598">
        <v>0</v>
      </c>
      <c r="AS180" s="598">
        <v>0</v>
      </c>
      <c r="AT180" s="598" t="e">
        <f>NA()</f>
        <v>#N/A</v>
      </c>
      <c r="AU180" s="598" t="e">
        <f>NA()</f>
        <v>#N/A</v>
      </c>
      <c r="AV180" s="598">
        <v>-0.05</v>
      </c>
      <c r="AW180" s="598">
        <v>1</v>
      </c>
      <c r="AX180" s="598">
        <v>0.05</v>
      </c>
      <c r="AY180" s="598">
        <v>-1</v>
      </c>
      <c r="AZ180" s="598">
        <v>0.05</v>
      </c>
      <c r="BA180" s="598">
        <v>-1</v>
      </c>
      <c r="BB180" s="598">
        <v>-0.05</v>
      </c>
      <c r="BC180" s="598">
        <v>-1</v>
      </c>
      <c r="BD180" s="598">
        <v>-0.05</v>
      </c>
      <c r="BE180" s="598">
        <v>1</v>
      </c>
      <c r="BF180" s="598">
        <v>-0.1</v>
      </c>
      <c r="BG180" s="598">
        <v>2</v>
      </c>
      <c r="BH180" s="598">
        <v>0.05</v>
      </c>
      <c r="BI180" s="598">
        <v>-3</v>
      </c>
      <c r="BJ180" s="598">
        <v>0.05</v>
      </c>
      <c r="BK180" s="598">
        <v>-1</v>
      </c>
      <c r="BL180" s="598">
        <v>-0.05</v>
      </c>
      <c r="BM180" s="598">
        <v>1</v>
      </c>
      <c r="BN180" s="598">
        <v>0</v>
      </c>
      <c r="BO180" s="598">
        <v>0</v>
      </c>
      <c r="BP180" s="598">
        <v>0</v>
      </c>
      <c r="BQ180" s="598">
        <v>0</v>
      </c>
      <c r="BR180" s="598">
        <v>0.15</v>
      </c>
      <c r="BS180" s="598">
        <v>-3</v>
      </c>
      <c r="BT180" s="598">
        <v>0</v>
      </c>
      <c r="BU180" s="598">
        <v>0</v>
      </c>
      <c r="BV180" s="598">
        <v>-0.1</v>
      </c>
      <c r="BW180" s="598">
        <v>2</v>
      </c>
      <c r="BX180" s="598">
        <v>0</v>
      </c>
      <c r="BY180" s="598">
        <v>0</v>
      </c>
    </row>
    <row r="181" spans="1:77">
      <c r="A181" s="598" t="s">
        <v>3466</v>
      </c>
      <c r="B181" s="598">
        <v>-0.15</v>
      </c>
      <c r="C181" s="598">
        <v>3</v>
      </c>
      <c r="D181" s="598">
        <v>-0.15</v>
      </c>
      <c r="E181" s="598">
        <v>3</v>
      </c>
      <c r="F181" s="598">
        <v>-0.15</v>
      </c>
      <c r="G181" s="598">
        <v>3</v>
      </c>
      <c r="H181" s="598">
        <v>-0.15</v>
      </c>
      <c r="I181" s="598">
        <v>3</v>
      </c>
      <c r="J181" s="598">
        <v>-0.05</v>
      </c>
      <c r="K181" s="598">
        <v>1</v>
      </c>
      <c r="L181" s="598">
        <v>0.05</v>
      </c>
      <c r="M181" s="598">
        <v>-1</v>
      </c>
      <c r="N181" s="598">
        <v>-0.1</v>
      </c>
      <c r="O181" s="598">
        <v>2</v>
      </c>
      <c r="P181" s="598">
        <v>0</v>
      </c>
      <c r="Q181" s="598">
        <v>0</v>
      </c>
      <c r="R181" s="598" t="e">
        <f>NA()</f>
        <v>#N/A</v>
      </c>
      <c r="S181" s="598" t="e">
        <f>NA()</f>
        <v>#N/A</v>
      </c>
      <c r="T181" s="598">
        <v>-0.05</v>
      </c>
      <c r="U181" s="598">
        <v>1</v>
      </c>
      <c r="V181" s="598" t="e">
        <f>NA()</f>
        <v>#N/A</v>
      </c>
      <c r="W181" s="598" t="e">
        <f>NA()</f>
        <v>#N/A</v>
      </c>
      <c r="X181" s="598" t="e">
        <f>NA()</f>
        <v>#N/A</v>
      </c>
      <c r="Y181" s="598" t="e">
        <f>NA()</f>
        <v>#N/A</v>
      </c>
      <c r="Z181" s="598">
        <v>0.1</v>
      </c>
      <c r="AA181" s="598">
        <v>-2</v>
      </c>
      <c r="AB181" s="598">
        <v>0.15</v>
      </c>
      <c r="AC181" s="598">
        <v>-3</v>
      </c>
      <c r="AD181" s="598">
        <v>-0.15</v>
      </c>
      <c r="AE181" s="598">
        <v>3</v>
      </c>
      <c r="AF181" s="598">
        <v>-0.15</v>
      </c>
      <c r="AG181" s="598">
        <v>3</v>
      </c>
      <c r="AH181" s="598">
        <v>-0.05</v>
      </c>
      <c r="AI181" s="598">
        <v>1</v>
      </c>
      <c r="AJ181" s="598">
        <v>-0.15</v>
      </c>
      <c r="AK181" s="598">
        <v>3</v>
      </c>
      <c r="AL181" s="598">
        <v>-0.05</v>
      </c>
      <c r="AM181" s="598">
        <v>1</v>
      </c>
      <c r="AN181" s="598">
        <v>0.15</v>
      </c>
      <c r="AO181" s="598">
        <v>-3</v>
      </c>
      <c r="AP181" s="598">
        <v>-0.1</v>
      </c>
      <c r="AQ181" s="598">
        <v>0</v>
      </c>
      <c r="AR181" s="598">
        <v>0</v>
      </c>
      <c r="AS181" s="598">
        <v>0</v>
      </c>
      <c r="AT181" s="598" t="e">
        <f>NA()</f>
        <v>#N/A</v>
      </c>
      <c r="AU181" s="598" t="e">
        <f>NA()</f>
        <v>#N/A</v>
      </c>
      <c r="AV181" s="598">
        <v>-0.15</v>
      </c>
      <c r="AW181" s="598">
        <v>3</v>
      </c>
      <c r="AX181" s="598">
        <v>-0.15</v>
      </c>
      <c r="AY181" s="598">
        <v>3</v>
      </c>
      <c r="AZ181" s="598">
        <v>-0.15</v>
      </c>
      <c r="BA181" s="598">
        <v>3</v>
      </c>
      <c r="BB181" s="598">
        <v>-0.15</v>
      </c>
      <c r="BC181" s="598">
        <v>3</v>
      </c>
      <c r="BD181" s="598">
        <v>0.15</v>
      </c>
      <c r="BE181" s="598">
        <v>-3</v>
      </c>
      <c r="BF181" s="598">
        <v>0</v>
      </c>
      <c r="BG181" s="598">
        <v>0</v>
      </c>
      <c r="BH181" s="598">
        <v>0.15</v>
      </c>
      <c r="BI181" s="598">
        <v>1</v>
      </c>
      <c r="BJ181" s="598">
        <v>0.15</v>
      </c>
      <c r="BK181" s="598">
        <v>-3</v>
      </c>
      <c r="BL181" s="598">
        <v>0.05</v>
      </c>
      <c r="BM181" s="598">
        <v>-1</v>
      </c>
      <c r="BN181" s="598">
        <v>-0.15</v>
      </c>
      <c r="BO181" s="598">
        <v>3</v>
      </c>
      <c r="BP181" s="598">
        <v>-0.15</v>
      </c>
      <c r="BQ181" s="598">
        <v>3</v>
      </c>
      <c r="BR181" s="598">
        <v>-0.15</v>
      </c>
      <c r="BS181" s="598">
        <v>3</v>
      </c>
      <c r="BT181" s="598">
        <v>0.15</v>
      </c>
      <c r="BU181" s="598">
        <v>-3</v>
      </c>
      <c r="BV181" s="598">
        <v>0.15</v>
      </c>
      <c r="BW181" s="598">
        <v>-3</v>
      </c>
      <c r="BX181" s="598">
        <v>0</v>
      </c>
      <c r="BY181" s="598">
        <v>0</v>
      </c>
    </row>
    <row r="182" spans="1:77">
      <c r="A182" s="598" t="s">
        <v>2347</v>
      </c>
      <c r="B182" s="598" t="e">
        <f>NA()</f>
        <v>#N/A</v>
      </c>
      <c r="C182" s="598" t="e">
        <f>NA()</f>
        <v>#N/A</v>
      </c>
      <c r="D182" s="598" t="e">
        <f>NA()</f>
        <v>#N/A</v>
      </c>
      <c r="E182" s="598" t="e">
        <f>NA()</f>
        <v>#N/A</v>
      </c>
      <c r="F182" s="598" t="e">
        <f>NA()</f>
        <v>#N/A</v>
      </c>
      <c r="G182" s="598" t="e">
        <f>NA()</f>
        <v>#N/A</v>
      </c>
      <c r="H182" s="598" t="e">
        <f>NA()</f>
        <v>#N/A</v>
      </c>
      <c r="I182" s="598" t="e">
        <f>NA()</f>
        <v>#N/A</v>
      </c>
      <c r="J182" s="598" t="e">
        <f>NA()</f>
        <v>#N/A</v>
      </c>
      <c r="K182" s="598" t="e">
        <f>NA()</f>
        <v>#N/A</v>
      </c>
      <c r="L182" s="598" t="e">
        <f>NA()</f>
        <v>#N/A</v>
      </c>
      <c r="M182" s="598" t="e">
        <f>NA()</f>
        <v>#N/A</v>
      </c>
      <c r="N182" s="598" t="e">
        <f>NA()</f>
        <v>#N/A</v>
      </c>
      <c r="O182" s="598" t="e">
        <f>NA()</f>
        <v>#N/A</v>
      </c>
      <c r="P182" s="598" t="e">
        <f>NA()</f>
        <v>#N/A</v>
      </c>
      <c r="Q182" s="598" t="e">
        <f>NA()</f>
        <v>#N/A</v>
      </c>
      <c r="R182" s="598" t="e">
        <f>NA()</f>
        <v>#N/A</v>
      </c>
      <c r="S182" s="598" t="e">
        <f>NA()</f>
        <v>#N/A</v>
      </c>
      <c r="T182" s="598" t="e">
        <f>NA()</f>
        <v>#N/A</v>
      </c>
      <c r="U182" s="598" t="e">
        <f>NA()</f>
        <v>#N/A</v>
      </c>
      <c r="V182" s="598" t="e">
        <f>NA()</f>
        <v>#N/A</v>
      </c>
      <c r="W182" s="598" t="e">
        <f>NA()</f>
        <v>#N/A</v>
      </c>
      <c r="X182" s="598" t="e">
        <f>NA()</f>
        <v>#N/A</v>
      </c>
      <c r="Y182" s="598" t="e">
        <f>NA()</f>
        <v>#N/A</v>
      </c>
      <c r="Z182" s="598" t="e">
        <f>NA()</f>
        <v>#N/A</v>
      </c>
      <c r="AA182" s="598" t="e">
        <f>NA()</f>
        <v>#N/A</v>
      </c>
      <c r="AB182" s="598" t="e">
        <f>NA()</f>
        <v>#N/A</v>
      </c>
      <c r="AC182" s="598" t="e">
        <f>NA()</f>
        <v>#N/A</v>
      </c>
      <c r="AD182" s="598" t="e">
        <f>NA()</f>
        <v>#N/A</v>
      </c>
      <c r="AE182" s="598" t="e">
        <f>NA()</f>
        <v>#N/A</v>
      </c>
      <c r="AF182" s="598" t="e">
        <f>NA()</f>
        <v>#N/A</v>
      </c>
      <c r="AG182" s="598" t="e">
        <f>NA()</f>
        <v>#N/A</v>
      </c>
      <c r="AH182" s="598" t="e">
        <f>NA()</f>
        <v>#N/A</v>
      </c>
      <c r="AI182" s="598" t="e">
        <f>NA()</f>
        <v>#N/A</v>
      </c>
      <c r="AJ182" s="598" t="e">
        <f>NA()</f>
        <v>#N/A</v>
      </c>
      <c r="AK182" s="598" t="e">
        <f>NA()</f>
        <v>#N/A</v>
      </c>
      <c r="AL182" s="598" t="e">
        <f>NA()</f>
        <v>#N/A</v>
      </c>
      <c r="AM182" s="598" t="e">
        <f>NA()</f>
        <v>#N/A</v>
      </c>
      <c r="AN182" s="598" t="e">
        <f>NA()</f>
        <v>#N/A</v>
      </c>
      <c r="AO182" s="598" t="e">
        <f>NA()</f>
        <v>#N/A</v>
      </c>
      <c r="AP182" s="598" t="e">
        <f>NA()</f>
        <v>#N/A</v>
      </c>
      <c r="AQ182" s="598" t="e">
        <f>NA()</f>
        <v>#N/A</v>
      </c>
      <c r="AR182" s="598" t="e">
        <f>NA()</f>
        <v>#N/A</v>
      </c>
      <c r="AS182" s="598" t="e">
        <f>NA()</f>
        <v>#N/A</v>
      </c>
      <c r="AT182" s="598" t="e">
        <f>NA()</f>
        <v>#N/A</v>
      </c>
      <c r="AU182" s="598" t="e">
        <f>NA()</f>
        <v>#N/A</v>
      </c>
      <c r="AV182" s="598" t="e">
        <f>NA()</f>
        <v>#N/A</v>
      </c>
      <c r="AW182" s="598" t="e">
        <f>NA()</f>
        <v>#N/A</v>
      </c>
      <c r="AX182" s="598" t="e">
        <f>NA()</f>
        <v>#N/A</v>
      </c>
      <c r="AY182" s="598" t="e">
        <f>NA()</f>
        <v>#N/A</v>
      </c>
      <c r="AZ182" s="598" t="e">
        <f>NA()</f>
        <v>#N/A</v>
      </c>
      <c r="BA182" s="598" t="e">
        <f>NA()</f>
        <v>#N/A</v>
      </c>
      <c r="BB182" s="598" t="e">
        <f>NA()</f>
        <v>#N/A</v>
      </c>
      <c r="BC182" s="598" t="e">
        <f>NA()</f>
        <v>#N/A</v>
      </c>
      <c r="BD182" s="598" t="e">
        <f>NA()</f>
        <v>#N/A</v>
      </c>
      <c r="BE182" s="598" t="e">
        <f>NA()</f>
        <v>#N/A</v>
      </c>
      <c r="BF182" s="598" t="e">
        <f>NA()</f>
        <v>#N/A</v>
      </c>
      <c r="BG182" s="598" t="e">
        <f>NA()</f>
        <v>#N/A</v>
      </c>
      <c r="BH182" s="598" t="e">
        <f>NA()</f>
        <v>#N/A</v>
      </c>
      <c r="BI182" s="598" t="e">
        <f>NA()</f>
        <v>#N/A</v>
      </c>
      <c r="BJ182" s="598" t="e">
        <f>NA()</f>
        <v>#N/A</v>
      </c>
      <c r="BK182" s="598" t="e">
        <f>NA()</f>
        <v>#N/A</v>
      </c>
      <c r="BL182" s="598" t="e">
        <f>NA()</f>
        <v>#N/A</v>
      </c>
      <c r="BM182" s="598" t="e">
        <f>NA()</f>
        <v>#N/A</v>
      </c>
      <c r="BN182" s="598" t="e">
        <f>NA()</f>
        <v>#N/A</v>
      </c>
      <c r="BO182" s="598" t="e">
        <f>NA()</f>
        <v>#N/A</v>
      </c>
      <c r="BP182" s="598" t="e">
        <f>NA()</f>
        <v>#N/A</v>
      </c>
      <c r="BQ182" s="598" t="e">
        <f>NA()</f>
        <v>#N/A</v>
      </c>
      <c r="BR182" s="598" t="e">
        <f>NA()</f>
        <v>#N/A</v>
      </c>
      <c r="BS182" s="598" t="e">
        <f>NA()</f>
        <v>#N/A</v>
      </c>
      <c r="BT182" s="598" t="e">
        <f>NA()</f>
        <v>#N/A</v>
      </c>
      <c r="BU182" s="598" t="e">
        <f>NA()</f>
        <v>#N/A</v>
      </c>
      <c r="BV182" s="598" t="s">
        <v>151</v>
      </c>
      <c r="BW182" s="598" t="s">
        <v>151</v>
      </c>
      <c r="BX182" s="598">
        <v>-0.15</v>
      </c>
      <c r="BY182" s="598">
        <v>3</v>
      </c>
    </row>
    <row r="183" spans="1:77">
      <c r="A183" s="598" t="s">
        <v>2348</v>
      </c>
      <c r="B183" s="598" t="e">
        <f>NA()</f>
        <v>#N/A</v>
      </c>
      <c r="C183" s="598" t="e">
        <f>NA()</f>
        <v>#N/A</v>
      </c>
      <c r="D183" s="598" t="e">
        <f>NA()</f>
        <v>#N/A</v>
      </c>
      <c r="E183" s="598" t="e">
        <f>NA()</f>
        <v>#N/A</v>
      </c>
      <c r="F183" s="598" t="e">
        <f>NA()</f>
        <v>#N/A</v>
      </c>
      <c r="G183" s="598" t="e">
        <f>NA()</f>
        <v>#N/A</v>
      </c>
      <c r="H183" s="598" t="e">
        <f>NA()</f>
        <v>#N/A</v>
      </c>
      <c r="I183" s="598" t="e">
        <f>NA()</f>
        <v>#N/A</v>
      </c>
      <c r="J183" s="598" t="e">
        <f>NA()</f>
        <v>#N/A</v>
      </c>
      <c r="K183" s="598" t="e">
        <f>NA()</f>
        <v>#N/A</v>
      </c>
      <c r="L183" s="598" t="e">
        <f>NA()</f>
        <v>#N/A</v>
      </c>
      <c r="M183" s="598" t="e">
        <f>NA()</f>
        <v>#N/A</v>
      </c>
      <c r="N183" s="598" t="e">
        <f>NA()</f>
        <v>#N/A</v>
      </c>
      <c r="O183" s="598" t="e">
        <f>NA()</f>
        <v>#N/A</v>
      </c>
      <c r="P183" s="598" t="e">
        <f>NA()</f>
        <v>#N/A</v>
      </c>
      <c r="Q183" s="598" t="e">
        <f>NA()</f>
        <v>#N/A</v>
      </c>
      <c r="R183" s="598" t="e">
        <f>NA()</f>
        <v>#N/A</v>
      </c>
      <c r="S183" s="598" t="e">
        <f>NA()</f>
        <v>#N/A</v>
      </c>
      <c r="T183" s="598" t="e">
        <f>NA()</f>
        <v>#N/A</v>
      </c>
      <c r="U183" s="598" t="e">
        <f>NA()</f>
        <v>#N/A</v>
      </c>
      <c r="V183" s="598" t="e">
        <f>NA()</f>
        <v>#N/A</v>
      </c>
      <c r="W183" s="598" t="e">
        <f>NA()</f>
        <v>#N/A</v>
      </c>
      <c r="X183" s="598" t="e">
        <f>NA()</f>
        <v>#N/A</v>
      </c>
      <c r="Y183" s="598" t="e">
        <f>NA()</f>
        <v>#N/A</v>
      </c>
      <c r="Z183" s="598" t="e">
        <f>NA()</f>
        <v>#N/A</v>
      </c>
      <c r="AA183" s="598" t="e">
        <f>NA()</f>
        <v>#N/A</v>
      </c>
      <c r="AB183" s="598" t="e">
        <f>NA()</f>
        <v>#N/A</v>
      </c>
      <c r="AC183" s="598" t="e">
        <f>NA()</f>
        <v>#N/A</v>
      </c>
      <c r="AD183" s="598" t="e">
        <f>NA()</f>
        <v>#N/A</v>
      </c>
      <c r="AE183" s="598" t="e">
        <f>NA()</f>
        <v>#N/A</v>
      </c>
      <c r="AF183" s="598" t="e">
        <f>NA()</f>
        <v>#N/A</v>
      </c>
      <c r="AG183" s="598" t="e">
        <f>NA()</f>
        <v>#N/A</v>
      </c>
      <c r="AH183" s="598" t="e">
        <f>NA()</f>
        <v>#N/A</v>
      </c>
      <c r="AI183" s="598" t="e">
        <f>NA()</f>
        <v>#N/A</v>
      </c>
      <c r="AJ183" s="598" t="e">
        <f>NA()</f>
        <v>#N/A</v>
      </c>
      <c r="AK183" s="598" t="e">
        <f>NA()</f>
        <v>#N/A</v>
      </c>
      <c r="AL183" s="598" t="e">
        <f>NA()</f>
        <v>#N/A</v>
      </c>
      <c r="AM183" s="598" t="e">
        <f>NA()</f>
        <v>#N/A</v>
      </c>
      <c r="AN183" s="598" t="e">
        <f>NA()</f>
        <v>#N/A</v>
      </c>
      <c r="AO183" s="598" t="e">
        <f>NA()</f>
        <v>#N/A</v>
      </c>
      <c r="AP183" s="598" t="e">
        <f>NA()</f>
        <v>#N/A</v>
      </c>
      <c r="AQ183" s="598" t="e">
        <f>NA()</f>
        <v>#N/A</v>
      </c>
      <c r="AR183" s="598" t="e">
        <f>NA()</f>
        <v>#N/A</v>
      </c>
      <c r="AS183" s="598" t="e">
        <f>NA()</f>
        <v>#N/A</v>
      </c>
      <c r="AT183" s="598" t="e">
        <f>NA()</f>
        <v>#N/A</v>
      </c>
      <c r="AU183" s="598" t="e">
        <f>NA()</f>
        <v>#N/A</v>
      </c>
      <c r="AV183" s="598" t="e">
        <f>NA()</f>
        <v>#N/A</v>
      </c>
      <c r="AW183" s="598" t="e">
        <f>NA()</f>
        <v>#N/A</v>
      </c>
      <c r="AX183" s="598" t="e">
        <f>NA()</f>
        <v>#N/A</v>
      </c>
      <c r="AY183" s="598" t="e">
        <f>NA()</f>
        <v>#N/A</v>
      </c>
      <c r="AZ183" s="598" t="e">
        <f>NA()</f>
        <v>#N/A</v>
      </c>
      <c r="BA183" s="598" t="e">
        <f>NA()</f>
        <v>#N/A</v>
      </c>
      <c r="BB183" s="598" t="e">
        <f>NA()</f>
        <v>#N/A</v>
      </c>
      <c r="BC183" s="598" t="e">
        <f>NA()</f>
        <v>#N/A</v>
      </c>
      <c r="BD183" s="598" t="e">
        <f>NA()</f>
        <v>#N/A</v>
      </c>
      <c r="BE183" s="598" t="e">
        <f>NA()</f>
        <v>#N/A</v>
      </c>
      <c r="BF183" s="598" t="e">
        <f>NA()</f>
        <v>#N/A</v>
      </c>
      <c r="BG183" s="598" t="e">
        <f>NA()</f>
        <v>#N/A</v>
      </c>
      <c r="BH183" s="598" t="e">
        <f>NA()</f>
        <v>#N/A</v>
      </c>
      <c r="BI183" s="598" t="e">
        <f>NA()</f>
        <v>#N/A</v>
      </c>
      <c r="BJ183" s="598" t="e">
        <f>NA()</f>
        <v>#N/A</v>
      </c>
      <c r="BK183" s="598" t="e">
        <f>NA()</f>
        <v>#N/A</v>
      </c>
      <c r="BL183" s="598" t="e">
        <f>NA()</f>
        <v>#N/A</v>
      </c>
      <c r="BM183" s="598" t="e">
        <f>NA()</f>
        <v>#N/A</v>
      </c>
      <c r="BN183" s="598" t="e">
        <f>NA()</f>
        <v>#N/A</v>
      </c>
      <c r="BO183" s="598" t="e">
        <f>NA()</f>
        <v>#N/A</v>
      </c>
      <c r="BP183" s="598" t="e">
        <f>NA()</f>
        <v>#N/A</v>
      </c>
      <c r="BQ183" s="598" t="e">
        <f>NA()</f>
        <v>#N/A</v>
      </c>
      <c r="BR183" s="598" t="e">
        <f>NA()</f>
        <v>#N/A</v>
      </c>
      <c r="BS183" s="598" t="e">
        <f>NA()</f>
        <v>#N/A</v>
      </c>
      <c r="BT183" s="598" t="e">
        <f>NA()</f>
        <v>#N/A</v>
      </c>
      <c r="BU183" s="598" t="e">
        <f>NA()</f>
        <v>#N/A</v>
      </c>
      <c r="BV183" s="598" t="s">
        <v>151</v>
      </c>
      <c r="BW183" s="598" t="s">
        <v>151</v>
      </c>
      <c r="BX183" s="598">
        <v>-0.15</v>
      </c>
      <c r="BY183" s="598">
        <v>3</v>
      </c>
    </row>
    <row r="184" spans="1:77">
      <c r="A184" s="598" t="s">
        <v>2340</v>
      </c>
      <c r="B184" s="598" t="e">
        <f>NA()</f>
        <v>#N/A</v>
      </c>
      <c r="C184" s="598" t="e">
        <f>NA()</f>
        <v>#N/A</v>
      </c>
      <c r="D184" s="598" t="e">
        <f>NA()</f>
        <v>#N/A</v>
      </c>
      <c r="E184" s="598" t="e">
        <f>NA()</f>
        <v>#N/A</v>
      </c>
      <c r="F184" s="598" t="e">
        <f>NA()</f>
        <v>#N/A</v>
      </c>
      <c r="G184" s="598" t="e">
        <f>NA()</f>
        <v>#N/A</v>
      </c>
      <c r="H184" s="598" t="e">
        <f>NA()</f>
        <v>#N/A</v>
      </c>
      <c r="I184" s="598" t="e">
        <f>NA()</f>
        <v>#N/A</v>
      </c>
      <c r="J184" s="598" t="e">
        <f>NA()</f>
        <v>#N/A</v>
      </c>
      <c r="K184" s="598" t="e">
        <f>NA()</f>
        <v>#N/A</v>
      </c>
      <c r="L184" s="598" t="e">
        <f>NA()</f>
        <v>#N/A</v>
      </c>
      <c r="M184" s="598" t="e">
        <f>NA()</f>
        <v>#N/A</v>
      </c>
      <c r="N184" s="598" t="e">
        <f>NA()</f>
        <v>#N/A</v>
      </c>
      <c r="O184" s="598" t="e">
        <f>NA()</f>
        <v>#N/A</v>
      </c>
      <c r="P184" s="598" t="e">
        <f>NA()</f>
        <v>#N/A</v>
      </c>
      <c r="Q184" s="598" t="e">
        <f>NA()</f>
        <v>#N/A</v>
      </c>
      <c r="R184" s="598" t="e">
        <f>NA()</f>
        <v>#N/A</v>
      </c>
      <c r="S184" s="598" t="e">
        <f>NA()</f>
        <v>#N/A</v>
      </c>
      <c r="T184" s="598" t="e">
        <f>NA()</f>
        <v>#N/A</v>
      </c>
      <c r="U184" s="598" t="e">
        <f>NA()</f>
        <v>#N/A</v>
      </c>
      <c r="V184" s="598" t="e">
        <f>NA()</f>
        <v>#N/A</v>
      </c>
      <c r="W184" s="598" t="e">
        <f>NA()</f>
        <v>#N/A</v>
      </c>
      <c r="X184" s="598" t="e">
        <f>NA()</f>
        <v>#N/A</v>
      </c>
      <c r="Y184" s="598" t="e">
        <f>NA()</f>
        <v>#N/A</v>
      </c>
      <c r="Z184" s="598" t="e">
        <f>NA()</f>
        <v>#N/A</v>
      </c>
      <c r="AA184" s="598" t="e">
        <f>NA()</f>
        <v>#N/A</v>
      </c>
      <c r="AB184" s="598" t="e">
        <f>NA()</f>
        <v>#N/A</v>
      </c>
      <c r="AC184" s="598" t="e">
        <f>NA()</f>
        <v>#N/A</v>
      </c>
      <c r="AD184" s="598" t="e">
        <f>NA()</f>
        <v>#N/A</v>
      </c>
      <c r="AE184" s="598" t="e">
        <f>NA()</f>
        <v>#N/A</v>
      </c>
      <c r="AF184" s="598" t="e">
        <f>NA()</f>
        <v>#N/A</v>
      </c>
      <c r="AG184" s="598" t="e">
        <f>NA()</f>
        <v>#N/A</v>
      </c>
      <c r="AH184" s="598" t="e">
        <f>NA()</f>
        <v>#N/A</v>
      </c>
      <c r="AI184" s="598" t="e">
        <f>NA()</f>
        <v>#N/A</v>
      </c>
      <c r="AJ184" s="598" t="e">
        <f>NA()</f>
        <v>#N/A</v>
      </c>
      <c r="AK184" s="598" t="e">
        <f>NA()</f>
        <v>#N/A</v>
      </c>
      <c r="AL184" s="598" t="e">
        <f>NA()</f>
        <v>#N/A</v>
      </c>
      <c r="AM184" s="598" t="e">
        <f>NA()</f>
        <v>#N/A</v>
      </c>
      <c r="AN184" s="598" t="e">
        <f>NA()</f>
        <v>#N/A</v>
      </c>
      <c r="AO184" s="598" t="e">
        <f>NA()</f>
        <v>#N/A</v>
      </c>
      <c r="AP184" s="598" t="e">
        <f>NA()</f>
        <v>#N/A</v>
      </c>
      <c r="AQ184" s="598" t="e">
        <f>NA()</f>
        <v>#N/A</v>
      </c>
      <c r="AR184" s="598" t="e">
        <f>NA()</f>
        <v>#N/A</v>
      </c>
      <c r="AS184" s="598" t="e">
        <f>NA()</f>
        <v>#N/A</v>
      </c>
      <c r="AT184" s="598" t="e">
        <f>NA()</f>
        <v>#N/A</v>
      </c>
      <c r="AU184" s="598" t="e">
        <f>NA()</f>
        <v>#N/A</v>
      </c>
      <c r="AV184" s="598" t="e">
        <f>NA()</f>
        <v>#N/A</v>
      </c>
      <c r="AW184" s="598" t="e">
        <f>NA()</f>
        <v>#N/A</v>
      </c>
      <c r="AX184" s="598" t="e">
        <f>NA()</f>
        <v>#N/A</v>
      </c>
      <c r="AY184" s="598" t="e">
        <f>NA()</f>
        <v>#N/A</v>
      </c>
      <c r="AZ184" s="598" t="e">
        <f>NA()</f>
        <v>#N/A</v>
      </c>
      <c r="BA184" s="598" t="e">
        <f>NA()</f>
        <v>#N/A</v>
      </c>
      <c r="BB184" s="598" t="e">
        <f>NA()</f>
        <v>#N/A</v>
      </c>
      <c r="BC184" s="598" t="e">
        <f>NA()</f>
        <v>#N/A</v>
      </c>
      <c r="BD184" s="598" t="e">
        <f>NA()</f>
        <v>#N/A</v>
      </c>
      <c r="BE184" s="598" t="e">
        <f>NA()</f>
        <v>#N/A</v>
      </c>
      <c r="BF184" s="598" t="e">
        <f>NA()</f>
        <v>#N/A</v>
      </c>
      <c r="BG184" s="598" t="e">
        <f>NA()</f>
        <v>#N/A</v>
      </c>
      <c r="BH184" s="598" t="e">
        <f>NA()</f>
        <v>#N/A</v>
      </c>
      <c r="BI184" s="598" t="e">
        <f>NA()</f>
        <v>#N/A</v>
      </c>
      <c r="BJ184" s="598" t="e">
        <f>NA()</f>
        <v>#N/A</v>
      </c>
      <c r="BK184" s="598" t="e">
        <f>NA()</f>
        <v>#N/A</v>
      </c>
      <c r="BL184" s="598" t="e">
        <f>NA()</f>
        <v>#N/A</v>
      </c>
      <c r="BM184" s="598" t="e">
        <f>NA()</f>
        <v>#N/A</v>
      </c>
      <c r="BN184" s="598" t="e">
        <f>NA()</f>
        <v>#N/A</v>
      </c>
      <c r="BO184" s="598" t="e">
        <f>NA()</f>
        <v>#N/A</v>
      </c>
      <c r="BP184" s="598" t="e">
        <f>NA()</f>
        <v>#N/A</v>
      </c>
      <c r="BQ184" s="598" t="e">
        <f>NA()</f>
        <v>#N/A</v>
      </c>
      <c r="BR184" s="598" t="e">
        <f>NA()</f>
        <v>#N/A</v>
      </c>
      <c r="BS184" s="598" t="e">
        <f>NA()</f>
        <v>#N/A</v>
      </c>
      <c r="BT184" s="598" t="e">
        <f>NA()</f>
        <v>#N/A</v>
      </c>
      <c r="BU184" s="598" t="e">
        <f>NA()</f>
        <v>#N/A</v>
      </c>
      <c r="BV184" s="598" t="s">
        <v>151</v>
      </c>
      <c r="BW184" s="598" t="s">
        <v>151</v>
      </c>
      <c r="BX184" s="598">
        <v>-0.15</v>
      </c>
      <c r="BY184" s="598">
        <v>3</v>
      </c>
    </row>
    <row r="185" spans="1:77">
      <c r="A185" s="598" t="s">
        <v>1633</v>
      </c>
      <c r="B185" s="598">
        <v>0.1</v>
      </c>
      <c r="C185" s="598">
        <v>-2</v>
      </c>
      <c r="D185" s="598">
        <v>0</v>
      </c>
      <c r="E185" s="598">
        <v>0</v>
      </c>
      <c r="F185" s="598">
        <v>0</v>
      </c>
      <c r="G185" s="598">
        <v>0</v>
      </c>
      <c r="H185" s="598">
        <v>0</v>
      </c>
      <c r="I185" s="598">
        <v>0</v>
      </c>
      <c r="J185" s="598">
        <v>0.1</v>
      </c>
      <c r="K185" s="598">
        <v>-2</v>
      </c>
      <c r="L185" s="598">
        <v>0.05</v>
      </c>
      <c r="M185" s="598">
        <v>-1</v>
      </c>
      <c r="N185" s="598">
        <v>-0.05</v>
      </c>
      <c r="O185" s="598">
        <v>1</v>
      </c>
      <c r="P185" s="598">
        <v>0.15</v>
      </c>
      <c r="Q185" s="598">
        <v>-3</v>
      </c>
      <c r="R185" s="598" t="e">
        <f>NA()</f>
        <v>#N/A</v>
      </c>
      <c r="S185" s="598" t="e">
        <f>NA()</f>
        <v>#N/A</v>
      </c>
      <c r="T185" s="598">
        <v>0</v>
      </c>
      <c r="U185" s="598">
        <v>0</v>
      </c>
      <c r="V185" s="598" t="e">
        <f>NA()</f>
        <v>#N/A</v>
      </c>
      <c r="W185" s="598" t="e">
        <f>NA()</f>
        <v>#N/A</v>
      </c>
      <c r="X185" s="598" t="e">
        <f>NA()</f>
        <v>#N/A</v>
      </c>
      <c r="Y185" s="598" t="e">
        <f>NA()</f>
        <v>#N/A</v>
      </c>
      <c r="Z185" s="598">
        <v>0</v>
      </c>
      <c r="AA185" s="598">
        <v>0</v>
      </c>
      <c r="AB185" s="598" t="e">
        <f>NA()</f>
        <v>#N/A</v>
      </c>
      <c r="AC185" s="598" t="e">
        <f>NA()</f>
        <v>#N/A</v>
      </c>
      <c r="AD185" s="598">
        <v>0.1</v>
      </c>
      <c r="AE185" s="598">
        <v>-2</v>
      </c>
      <c r="AF185" s="598">
        <v>0</v>
      </c>
      <c r="AG185" s="598">
        <v>0</v>
      </c>
      <c r="AH185" s="598">
        <v>0</v>
      </c>
      <c r="AI185" s="598">
        <v>0</v>
      </c>
      <c r="AJ185" s="598">
        <v>0</v>
      </c>
      <c r="AK185" s="598">
        <v>0</v>
      </c>
      <c r="AL185" s="598">
        <v>0</v>
      </c>
      <c r="AM185" s="598">
        <v>0</v>
      </c>
      <c r="AN185" s="598">
        <v>-0.15</v>
      </c>
      <c r="AO185" s="598">
        <v>3</v>
      </c>
      <c r="AP185" s="598">
        <v>-0.1</v>
      </c>
      <c r="AQ185" s="598">
        <v>0</v>
      </c>
      <c r="AR185" s="598">
        <v>0</v>
      </c>
      <c r="AS185" s="598">
        <v>0</v>
      </c>
      <c r="AT185" s="598" t="e">
        <f>NA()</f>
        <v>#N/A</v>
      </c>
      <c r="AU185" s="598" t="e">
        <f>NA()</f>
        <v>#N/A</v>
      </c>
      <c r="AV185" s="598">
        <v>0</v>
      </c>
      <c r="AW185" s="598">
        <v>0</v>
      </c>
      <c r="AX185" s="598">
        <v>0.15</v>
      </c>
      <c r="AY185" s="598">
        <v>-3</v>
      </c>
      <c r="AZ185" s="598">
        <v>0.15</v>
      </c>
      <c r="BA185" s="598">
        <v>-3</v>
      </c>
      <c r="BB185" s="598">
        <v>0.1</v>
      </c>
      <c r="BC185" s="598">
        <v>-2</v>
      </c>
      <c r="BD185" s="598">
        <v>-0.15</v>
      </c>
      <c r="BE185" s="598">
        <v>3</v>
      </c>
      <c r="BF185" s="598">
        <v>0.15</v>
      </c>
      <c r="BG185" s="598">
        <v>-3</v>
      </c>
      <c r="BH185" s="598">
        <v>-0.05</v>
      </c>
      <c r="BI185" s="598">
        <v>1</v>
      </c>
      <c r="BJ185" s="598">
        <v>-0.05</v>
      </c>
      <c r="BK185" s="598">
        <v>1</v>
      </c>
      <c r="BL185" s="598">
        <v>0</v>
      </c>
      <c r="BM185" s="598">
        <v>0</v>
      </c>
      <c r="BN185" s="598">
        <v>0</v>
      </c>
      <c r="BO185" s="598">
        <v>0</v>
      </c>
      <c r="BP185" s="598">
        <v>0</v>
      </c>
      <c r="BQ185" s="598">
        <v>0</v>
      </c>
      <c r="BR185" s="598">
        <v>-0.1</v>
      </c>
      <c r="BS185" s="598">
        <v>2</v>
      </c>
      <c r="BT185" s="598">
        <v>0</v>
      </c>
      <c r="BU185" s="598">
        <v>0</v>
      </c>
      <c r="BV185" s="598">
        <v>0.15</v>
      </c>
      <c r="BW185" s="598">
        <v>-3</v>
      </c>
      <c r="BX185" s="598">
        <v>0</v>
      </c>
      <c r="BY185" s="598">
        <v>0</v>
      </c>
    </row>
    <row r="186" spans="1:77">
      <c r="A186" s="598" t="s">
        <v>1634</v>
      </c>
      <c r="B186" s="598">
        <v>0.1</v>
      </c>
      <c r="C186" s="598">
        <v>-2</v>
      </c>
      <c r="D186" s="598">
        <v>-0.1</v>
      </c>
      <c r="E186" s="598">
        <v>2</v>
      </c>
      <c r="F186" s="598">
        <v>-0.15</v>
      </c>
      <c r="G186" s="598">
        <v>3</v>
      </c>
      <c r="H186" s="598">
        <v>-0.1</v>
      </c>
      <c r="I186" s="598">
        <v>2</v>
      </c>
      <c r="J186" s="598">
        <v>0</v>
      </c>
      <c r="K186" s="598">
        <v>0</v>
      </c>
      <c r="L186" s="598">
        <v>-0.15</v>
      </c>
      <c r="M186" s="598">
        <v>3</v>
      </c>
      <c r="N186" s="598">
        <v>0</v>
      </c>
      <c r="O186" s="598">
        <v>0</v>
      </c>
      <c r="P186" s="598">
        <v>0.15</v>
      </c>
      <c r="Q186" s="598">
        <v>-3</v>
      </c>
      <c r="R186" s="598" t="e">
        <f>NA()</f>
        <v>#N/A</v>
      </c>
      <c r="S186" s="598" t="e">
        <f>NA()</f>
        <v>#N/A</v>
      </c>
      <c r="T186" s="598">
        <v>0</v>
      </c>
      <c r="U186" s="598">
        <v>0</v>
      </c>
      <c r="V186" s="598" t="e">
        <f>NA()</f>
        <v>#N/A</v>
      </c>
      <c r="W186" s="598" t="e">
        <f>NA()</f>
        <v>#N/A</v>
      </c>
      <c r="X186" s="598" t="e">
        <f>NA()</f>
        <v>#N/A</v>
      </c>
      <c r="Y186" s="598" t="e">
        <f>NA()</f>
        <v>#N/A</v>
      </c>
      <c r="Z186" s="598">
        <v>0</v>
      </c>
      <c r="AA186" s="598">
        <v>0</v>
      </c>
      <c r="AB186" s="598" t="e">
        <f>NA()</f>
        <v>#N/A</v>
      </c>
      <c r="AC186" s="598" t="e">
        <f>NA()</f>
        <v>#N/A</v>
      </c>
      <c r="AD186" s="598">
        <v>-0.05</v>
      </c>
      <c r="AE186" s="598">
        <v>1</v>
      </c>
      <c r="AF186" s="598">
        <v>-0.1</v>
      </c>
      <c r="AG186" s="598">
        <v>2</v>
      </c>
      <c r="AH186" s="598">
        <v>-0.1</v>
      </c>
      <c r="AI186" s="598">
        <v>2</v>
      </c>
      <c r="AJ186" s="598">
        <v>-0.1</v>
      </c>
      <c r="AK186" s="598">
        <v>2</v>
      </c>
      <c r="AL186" s="598">
        <v>-0.15</v>
      </c>
      <c r="AM186" s="598">
        <v>3</v>
      </c>
      <c r="AN186" s="598">
        <v>-0.1</v>
      </c>
      <c r="AO186" s="598">
        <v>2</v>
      </c>
      <c r="AP186" s="598">
        <v>-0.1</v>
      </c>
      <c r="AQ186" s="598">
        <v>0</v>
      </c>
      <c r="AR186" s="598">
        <v>0</v>
      </c>
      <c r="AS186" s="598">
        <v>0</v>
      </c>
      <c r="AT186" s="598" t="e">
        <f>NA()</f>
        <v>#N/A</v>
      </c>
      <c r="AU186" s="598" t="e">
        <f>NA()</f>
        <v>#N/A</v>
      </c>
      <c r="AV186" s="598">
        <v>-0.1</v>
      </c>
      <c r="AW186" s="598">
        <v>2</v>
      </c>
      <c r="AX186" s="598">
        <v>0.1</v>
      </c>
      <c r="AY186" s="598">
        <v>-2</v>
      </c>
      <c r="AZ186" s="598">
        <v>0</v>
      </c>
      <c r="BA186" s="598">
        <v>0</v>
      </c>
      <c r="BB186" s="598">
        <v>0</v>
      </c>
      <c r="BC186" s="598">
        <v>0</v>
      </c>
      <c r="BD186" s="598">
        <v>-0.1</v>
      </c>
      <c r="BE186" s="598">
        <v>2</v>
      </c>
      <c r="BF186" s="598">
        <v>-0.15</v>
      </c>
      <c r="BG186" s="598">
        <v>3</v>
      </c>
      <c r="BH186" s="598">
        <v>-0.05</v>
      </c>
      <c r="BI186" s="598">
        <v>1</v>
      </c>
      <c r="BJ186" s="598">
        <v>-0.1</v>
      </c>
      <c r="BK186" s="598">
        <v>2</v>
      </c>
      <c r="BL186" s="598">
        <v>-0.15</v>
      </c>
      <c r="BM186" s="598">
        <v>3</v>
      </c>
      <c r="BN186" s="598">
        <v>-0.1</v>
      </c>
      <c r="BO186" s="598">
        <v>2</v>
      </c>
      <c r="BP186" s="598">
        <v>-0.1</v>
      </c>
      <c r="BQ186" s="598">
        <v>2</v>
      </c>
      <c r="BR186" s="598">
        <v>0</v>
      </c>
      <c r="BS186" s="598">
        <v>0</v>
      </c>
      <c r="BT186" s="598">
        <v>-0.1</v>
      </c>
      <c r="BU186" s="598">
        <v>2</v>
      </c>
      <c r="BV186" s="598">
        <v>-0.15</v>
      </c>
      <c r="BW186" s="598">
        <v>3</v>
      </c>
      <c r="BX186" s="598">
        <v>0</v>
      </c>
      <c r="BY186" s="598">
        <v>0</v>
      </c>
    </row>
    <row r="187" spans="1:77">
      <c r="A187" s="598" t="s">
        <v>1635</v>
      </c>
      <c r="B187" s="598">
        <v>-0.15</v>
      </c>
      <c r="C187" s="598">
        <v>3</v>
      </c>
      <c r="D187" s="598">
        <v>0.05</v>
      </c>
      <c r="E187" s="598">
        <v>-1</v>
      </c>
      <c r="F187" s="598">
        <v>0.15</v>
      </c>
      <c r="G187" s="598">
        <v>-3</v>
      </c>
      <c r="H187" s="598">
        <v>0</v>
      </c>
      <c r="I187" s="598">
        <v>0</v>
      </c>
      <c r="J187" s="598">
        <v>-0.05</v>
      </c>
      <c r="K187" s="598">
        <v>1</v>
      </c>
      <c r="L187" s="598">
        <v>0.15</v>
      </c>
      <c r="M187" s="598">
        <v>-3</v>
      </c>
      <c r="N187" s="598">
        <v>0</v>
      </c>
      <c r="O187" s="598">
        <v>0</v>
      </c>
      <c r="P187" s="598">
        <v>-0.15</v>
      </c>
      <c r="Q187" s="598">
        <v>3</v>
      </c>
      <c r="R187" s="598" t="e">
        <f>NA()</f>
        <v>#N/A</v>
      </c>
      <c r="S187" s="598" t="e">
        <f>NA()</f>
        <v>#N/A</v>
      </c>
      <c r="T187" s="598">
        <v>0</v>
      </c>
      <c r="U187" s="598">
        <v>0</v>
      </c>
      <c r="V187" s="598" t="e">
        <f>NA()</f>
        <v>#N/A</v>
      </c>
      <c r="W187" s="598" t="e">
        <f>NA()</f>
        <v>#N/A</v>
      </c>
      <c r="X187" s="598" t="e">
        <f>NA()</f>
        <v>#N/A</v>
      </c>
      <c r="Y187" s="598" t="e">
        <f>NA()</f>
        <v>#N/A</v>
      </c>
      <c r="Z187" s="598">
        <v>-0.05</v>
      </c>
      <c r="AA187" s="598">
        <v>1</v>
      </c>
      <c r="AB187" s="598" t="e">
        <f>NA()</f>
        <v>#N/A</v>
      </c>
      <c r="AC187" s="598" t="e">
        <f>NA()</f>
        <v>#N/A</v>
      </c>
      <c r="AD187" s="598">
        <v>0.1</v>
      </c>
      <c r="AE187" s="598">
        <v>-2</v>
      </c>
      <c r="AF187" s="598">
        <v>-0.15</v>
      </c>
      <c r="AG187" s="598">
        <v>3</v>
      </c>
      <c r="AH187" s="598">
        <v>-0.15</v>
      </c>
      <c r="AI187" s="598">
        <v>3</v>
      </c>
      <c r="AJ187" s="598">
        <v>-0.15</v>
      </c>
      <c r="AK187" s="598">
        <v>3</v>
      </c>
      <c r="AL187" s="598">
        <v>-0.15</v>
      </c>
      <c r="AM187" s="598">
        <v>3</v>
      </c>
      <c r="AN187" s="598">
        <v>0</v>
      </c>
      <c r="AO187" s="598">
        <v>0</v>
      </c>
      <c r="AP187" s="598">
        <v>-0.1</v>
      </c>
      <c r="AQ187" s="598">
        <v>0</v>
      </c>
      <c r="AR187" s="598">
        <v>0</v>
      </c>
      <c r="AS187" s="598">
        <v>0</v>
      </c>
      <c r="AT187" s="598" t="e">
        <f>NA()</f>
        <v>#N/A</v>
      </c>
      <c r="AU187" s="598" t="e">
        <f>NA()</f>
        <v>#N/A</v>
      </c>
      <c r="AV187" s="598">
        <v>0</v>
      </c>
      <c r="AW187" s="598">
        <v>0</v>
      </c>
      <c r="AX187" s="598">
        <v>-0.15</v>
      </c>
      <c r="AY187" s="598">
        <v>3</v>
      </c>
      <c r="AZ187" s="598">
        <v>0</v>
      </c>
      <c r="BA187" s="598">
        <v>0</v>
      </c>
      <c r="BB187" s="598">
        <v>0</v>
      </c>
      <c r="BC187" s="598">
        <v>0</v>
      </c>
      <c r="BD187" s="598">
        <v>0</v>
      </c>
      <c r="BE187" s="598">
        <v>0</v>
      </c>
      <c r="BF187" s="598">
        <v>-0.1</v>
      </c>
      <c r="BG187" s="598">
        <v>2</v>
      </c>
      <c r="BH187" s="598">
        <v>0.1</v>
      </c>
      <c r="BI187" s="598">
        <v>-2</v>
      </c>
      <c r="BJ187" s="598">
        <v>-0.15</v>
      </c>
      <c r="BK187" s="598">
        <v>3</v>
      </c>
      <c r="BL187" s="598">
        <v>-0.15</v>
      </c>
      <c r="BM187" s="598">
        <v>3</v>
      </c>
      <c r="BN187" s="598">
        <v>0.1</v>
      </c>
      <c r="BO187" s="598">
        <v>-2</v>
      </c>
      <c r="BP187" s="598">
        <v>0.1</v>
      </c>
      <c r="BQ187" s="598">
        <v>-2</v>
      </c>
      <c r="BR187" s="598">
        <v>-0.05</v>
      </c>
      <c r="BS187" s="598">
        <v>1</v>
      </c>
      <c r="BT187" s="598">
        <v>0.1</v>
      </c>
      <c r="BU187" s="598">
        <v>-2</v>
      </c>
      <c r="BV187" s="598">
        <v>-0.1</v>
      </c>
      <c r="BW187" s="598">
        <v>2</v>
      </c>
      <c r="BX187" s="598">
        <v>0</v>
      </c>
      <c r="BY187" s="598">
        <v>0</v>
      </c>
    </row>
    <row r="188" spans="1:77">
      <c r="A188" s="598" t="s">
        <v>1347</v>
      </c>
      <c r="B188" s="598" t="e">
        <f>NA()</f>
        <v>#N/A</v>
      </c>
      <c r="C188" s="598" t="e">
        <f>NA()</f>
        <v>#N/A</v>
      </c>
      <c r="D188" s="598" t="e">
        <f>NA()</f>
        <v>#N/A</v>
      </c>
      <c r="E188" s="598" t="e">
        <f>NA()</f>
        <v>#N/A</v>
      </c>
      <c r="F188" s="598" t="e">
        <f>NA()</f>
        <v>#N/A</v>
      </c>
      <c r="G188" s="598" t="e">
        <f>NA()</f>
        <v>#N/A</v>
      </c>
      <c r="H188" s="598" t="e">
        <f>NA()</f>
        <v>#N/A</v>
      </c>
      <c r="I188" s="598" t="e">
        <f>NA()</f>
        <v>#N/A</v>
      </c>
      <c r="J188" s="598" t="e">
        <f>NA()</f>
        <v>#N/A</v>
      </c>
      <c r="K188" s="598" t="e">
        <f>NA()</f>
        <v>#N/A</v>
      </c>
      <c r="L188" s="598" t="e">
        <f>NA()</f>
        <v>#N/A</v>
      </c>
      <c r="M188" s="598" t="e">
        <f>NA()</f>
        <v>#N/A</v>
      </c>
      <c r="N188" s="598" t="e">
        <f>NA()</f>
        <v>#N/A</v>
      </c>
      <c r="O188" s="598" t="e">
        <f>NA()</f>
        <v>#N/A</v>
      </c>
      <c r="P188" s="598" t="e">
        <f>NA()</f>
        <v>#N/A</v>
      </c>
      <c r="Q188" s="598" t="e">
        <f>NA()</f>
        <v>#N/A</v>
      </c>
      <c r="R188" s="598" t="e">
        <f>NA()</f>
        <v>#N/A</v>
      </c>
      <c r="S188" s="598" t="e">
        <f>NA()</f>
        <v>#N/A</v>
      </c>
      <c r="T188" s="598" t="e">
        <f>NA()</f>
        <v>#N/A</v>
      </c>
      <c r="U188" s="598" t="e">
        <f>NA()</f>
        <v>#N/A</v>
      </c>
      <c r="V188" s="598" t="e">
        <f>NA()</f>
        <v>#N/A</v>
      </c>
      <c r="W188" s="598" t="e">
        <f>NA()</f>
        <v>#N/A</v>
      </c>
      <c r="X188" s="598" t="e">
        <f>NA()</f>
        <v>#N/A</v>
      </c>
      <c r="Y188" s="598" t="e">
        <f>NA()</f>
        <v>#N/A</v>
      </c>
      <c r="Z188" s="598" t="e">
        <f>NA()</f>
        <v>#N/A</v>
      </c>
      <c r="AA188" s="598" t="e">
        <f>NA()</f>
        <v>#N/A</v>
      </c>
      <c r="AB188" s="598" t="e">
        <f>NA()</f>
        <v>#N/A</v>
      </c>
      <c r="AC188" s="598" t="e">
        <f>NA()</f>
        <v>#N/A</v>
      </c>
      <c r="AD188" s="598" t="e">
        <f>NA()</f>
        <v>#N/A</v>
      </c>
      <c r="AE188" s="598" t="e">
        <f>NA()</f>
        <v>#N/A</v>
      </c>
      <c r="AF188" s="598" t="e">
        <f>NA()</f>
        <v>#N/A</v>
      </c>
      <c r="AG188" s="598" t="e">
        <f>NA()</f>
        <v>#N/A</v>
      </c>
      <c r="AH188" s="598" t="e">
        <f>NA()</f>
        <v>#N/A</v>
      </c>
      <c r="AI188" s="598" t="e">
        <f>NA()</f>
        <v>#N/A</v>
      </c>
      <c r="AJ188" s="598" t="e">
        <f>NA()</f>
        <v>#N/A</v>
      </c>
      <c r="AK188" s="598" t="e">
        <f>NA()</f>
        <v>#N/A</v>
      </c>
      <c r="AL188" s="598" t="e">
        <f>NA()</f>
        <v>#N/A</v>
      </c>
      <c r="AM188" s="598" t="e">
        <f>NA()</f>
        <v>#N/A</v>
      </c>
      <c r="AN188" s="598" t="e">
        <f>NA()</f>
        <v>#N/A</v>
      </c>
      <c r="AO188" s="598" t="e">
        <f>NA()</f>
        <v>#N/A</v>
      </c>
      <c r="AP188" s="598" t="e">
        <f>NA()</f>
        <v>#N/A</v>
      </c>
      <c r="AQ188" s="598" t="e">
        <f>NA()</f>
        <v>#N/A</v>
      </c>
      <c r="AR188" s="598" t="e">
        <f>NA()</f>
        <v>#N/A</v>
      </c>
      <c r="AS188" s="598" t="e">
        <f>NA()</f>
        <v>#N/A</v>
      </c>
      <c r="AT188" s="598" t="e">
        <f>NA()</f>
        <v>#N/A</v>
      </c>
      <c r="AU188" s="598" t="e">
        <f>NA()</f>
        <v>#N/A</v>
      </c>
      <c r="AV188" s="598" t="e">
        <f>NA()</f>
        <v>#N/A</v>
      </c>
      <c r="AW188" s="598" t="e">
        <f>NA()</f>
        <v>#N/A</v>
      </c>
      <c r="AX188" s="598" t="e">
        <f>NA()</f>
        <v>#N/A</v>
      </c>
      <c r="AY188" s="598" t="e">
        <f>NA()</f>
        <v>#N/A</v>
      </c>
      <c r="AZ188" s="598" t="e">
        <f>NA()</f>
        <v>#N/A</v>
      </c>
      <c r="BA188" s="598" t="e">
        <f>NA()</f>
        <v>#N/A</v>
      </c>
      <c r="BB188" s="598" t="e">
        <f>NA()</f>
        <v>#N/A</v>
      </c>
      <c r="BC188" s="598" t="e">
        <f>NA()</f>
        <v>#N/A</v>
      </c>
      <c r="BD188" s="598" t="e">
        <f>NA()</f>
        <v>#N/A</v>
      </c>
      <c r="BE188" s="598" t="e">
        <f>NA()</f>
        <v>#N/A</v>
      </c>
      <c r="BF188" s="598" t="e">
        <f>NA()</f>
        <v>#N/A</v>
      </c>
      <c r="BG188" s="598" t="e">
        <f>NA()</f>
        <v>#N/A</v>
      </c>
      <c r="BH188" s="598" t="e">
        <f>NA()</f>
        <v>#N/A</v>
      </c>
      <c r="BI188" s="598" t="e">
        <f>NA()</f>
        <v>#N/A</v>
      </c>
      <c r="BJ188" s="598" t="e">
        <f>NA()</f>
        <v>#N/A</v>
      </c>
      <c r="BK188" s="598" t="e">
        <f>NA()</f>
        <v>#N/A</v>
      </c>
      <c r="BL188" s="598" t="e">
        <f>NA()</f>
        <v>#N/A</v>
      </c>
      <c r="BM188" s="598" t="e">
        <f>NA()</f>
        <v>#N/A</v>
      </c>
      <c r="BN188" s="598" t="e">
        <f>NA()</f>
        <v>#N/A</v>
      </c>
      <c r="BO188" s="598" t="e">
        <f>NA()</f>
        <v>#N/A</v>
      </c>
      <c r="BP188" s="598" t="e">
        <f>NA()</f>
        <v>#N/A</v>
      </c>
      <c r="BQ188" s="598" t="e">
        <f>NA()</f>
        <v>#N/A</v>
      </c>
      <c r="BR188" s="598" t="e">
        <f>NA()</f>
        <v>#N/A</v>
      </c>
      <c r="BS188" s="598" t="e">
        <f>NA()</f>
        <v>#N/A</v>
      </c>
      <c r="BT188" s="598" t="e">
        <f>NA()</f>
        <v>#N/A</v>
      </c>
      <c r="BU188" s="598" t="e">
        <f>NA()</f>
        <v>#N/A</v>
      </c>
      <c r="BV188" s="598" t="s">
        <v>151</v>
      </c>
      <c r="BW188" s="598" t="s">
        <v>151</v>
      </c>
      <c r="BX188" s="598">
        <v>-0.2</v>
      </c>
      <c r="BY188" s="598">
        <v>4</v>
      </c>
    </row>
    <row r="189" spans="1:77">
      <c r="A189" s="598" t="s">
        <v>1636</v>
      </c>
      <c r="B189" s="598">
        <v>0.15</v>
      </c>
      <c r="C189" s="598">
        <v>-3</v>
      </c>
      <c r="D189" s="598">
        <v>0.05</v>
      </c>
      <c r="E189" s="598">
        <v>-1</v>
      </c>
      <c r="F189" s="598">
        <v>0</v>
      </c>
      <c r="G189" s="598">
        <v>0</v>
      </c>
      <c r="H189" s="598">
        <v>-0.05</v>
      </c>
      <c r="I189" s="598">
        <v>1</v>
      </c>
      <c r="J189" s="598">
        <v>0</v>
      </c>
      <c r="K189" s="598">
        <v>0</v>
      </c>
      <c r="L189" s="598">
        <v>-0.05</v>
      </c>
      <c r="M189" s="598">
        <v>1</v>
      </c>
      <c r="N189" s="598">
        <v>0.1</v>
      </c>
      <c r="O189" s="598">
        <v>-2</v>
      </c>
      <c r="P189" s="598">
        <v>0</v>
      </c>
      <c r="Q189" s="598">
        <v>0</v>
      </c>
      <c r="R189" s="598">
        <v>-0.1</v>
      </c>
      <c r="S189" s="598">
        <v>2</v>
      </c>
      <c r="T189" s="598">
        <v>0</v>
      </c>
      <c r="U189" s="598">
        <v>0</v>
      </c>
      <c r="V189" s="598">
        <v>-0.15</v>
      </c>
      <c r="W189" s="598">
        <v>3</v>
      </c>
      <c r="X189" s="598">
        <v>-0.1</v>
      </c>
      <c r="Y189" s="598">
        <v>2</v>
      </c>
      <c r="Z189" s="598">
        <v>0</v>
      </c>
      <c r="AA189" s="598">
        <v>0</v>
      </c>
      <c r="AB189" s="598" t="e">
        <f>NA()</f>
        <v>#N/A</v>
      </c>
      <c r="AC189" s="598" t="e">
        <f>NA()</f>
        <v>#N/A</v>
      </c>
      <c r="AD189" s="598">
        <v>0.05</v>
      </c>
      <c r="AE189" s="598">
        <v>-1</v>
      </c>
      <c r="AF189" s="598">
        <v>0.15</v>
      </c>
      <c r="AG189" s="598">
        <v>-3</v>
      </c>
      <c r="AH189" s="598">
        <v>0.15</v>
      </c>
      <c r="AI189" s="598">
        <v>-3</v>
      </c>
      <c r="AJ189" s="598">
        <v>0.15</v>
      </c>
      <c r="AK189" s="598">
        <v>-3</v>
      </c>
      <c r="AL189" s="598">
        <v>0.15</v>
      </c>
      <c r="AM189" s="598">
        <v>-3</v>
      </c>
      <c r="AN189" s="598">
        <v>0.15</v>
      </c>
      <c r="AO189" s="598">
        <v>-3</v>
      </c>
      <c r="AP189" s="598">
        <v>-0.1</v>
      </c>
      <c r="AQ189" s="598">
        <v>0</v>
      </c>
      <c r="AR189" s="598">
        <v>0</v>
      </c>
      <c r="AS189" s="598">
        <v>0</v>
      </c>
      <c r="AT189" s="598">
        <v>-0.05</v>
      </c>
      <c r="AU189" s="598">
        <v>1</v>
      </c>
      <c r="AV189" s="598">
        <v>0.15</v>
      </c>
      <c r="AW189" s="598">
        <v>-3</v>
      </c>
      <c r="AX189" s="598">
        <v>-0.05</v>
      </c>
      <c r="AY189" s="598">
        <v>1</v>
      </c>
      <c r="AZ189" s="598">
        <v>0.15</v>
      </c>
      <c r="BA189" s="598">
        <v>-3</v>
      </c>
      <c r="BB189" s="598">
        <v>0.1</v>
      </c>
      <c r="BC189" s="598">
        <v>-2</v>
      </c>
      <c r="BD189" s="598">
        <v>0.15</v>
      </c>
      <c r="BE189" s="598">
        <v>-3</v>
      </c>
      <c r="BF189" s="598">
        <v>0.15</v>
      </c>
      <c r="BG189" s="598">
        <v>-3</v>
      </c>
      <c r="BH189" s="598">
        <v>0.1</v>
      </c>
      <c r="BI189" s="598">
        <v>-2</v>
      </c>
      <c r="BJ189" s="598">
        <v>0.1</v>
      </c>
      <c r="BK189" s="598">
        <v>-2</v>
      </c>
      <c r="BL189" s="598">
        <v>0.15</v>
      </c>
      <c r="BM189" s="598">
        <v>-3</v>
      </c>
      <c r="BN189" s="598">
        <v>0.05</v>
      </c>
      <c r="BO189" s="598">
        <v>-1</v>
      </c>
      <c r="BP189" s="598">
        <v>0.05</v>
      </c>
      <c r="BQ189" s="598">
        <v>-1</v>
      </c>
      <c r="BR189" s="598">
        <v>0.1</v>
      </c>
      <c r="BS189" s="598">
        <v>-2</v>
      </c>
      <c r="BT189" s="598">
        <v>0.05</v>
      </c>
      <c r="BU189" s="598">
        <v>-1</v>
      </c>
      <c r="BV189" s="598">
        <v>0.15</v>
      </c>
      <c r="BW189" s="598">
        <v>-3</v>
      </c>
      <c r="BX189" s="598">
        <v>0.15</v>
      </c>
      <c r="BY189" s="598">
        <v>-3</v>
      </c>
    </row>
    <row r="191" spans="1:77">
      <c r="A191" s="598" t="s">
        <v>1361</v>
      </c>
      <c r="B191" s="598">
        <f>Magick!A$3</f>
        <v>47</v>
      </c>
      <c r="C191" s="598" t="str">
        <f>VLOOKUP(B191,Magick!AD5:AS51,2)</f>
        <v>None</v>
      </c>
      <c r="D191" s="598" t="str">
        <f ca="1">VLOOKUP(B191,Magick!AD5:AR51,15)</f>
        <v>'[CNS-TR-Master-charsht-September-2015.xlsx]magestuff'!$Z$69</v>
      </c>
      <c r="E191" s="598" t="str">
        <f ca="1">VLOOKUP(B191,Magick!AD5:AS51,16)</f>
        <v>'[CNS-TR-Master-charsht-September-2015.xlsx]magestuff'!$AR$171</v>
      </c>
    </row>
    <row r="192" spans="1:77">
      <c r="A192" s="598" t="s">
        <v>2014</v>
      </c>
      <c r="C192" s="598">
        <v>1</v>
      </c>
      <c r="F192" s="598">
        <v>2</v>
      </c>
      <c r="I192" s="598">
        <v>3</v>
      </c>
      <c r="L192" s="598" t="str">
        <f>IF(4&lt;=Magick!$D$3,4,"Not available")</f>
        <v>Not available</v>
      </c>
      <c r="O192" s="598" t="str">
        <f>IF(5&lt;=Magick!$D$3,5,"Not available")</f>
        <v>Not available</v>
      </c>
      <c r="R192" s="598" t="str">
        <f>IF(6&lt;=Magick!$D$3,6,"Not available")</f>
        <v>Not available</v>
      </c>
      <c r="U192" s="598" t="str">
        <f>IF(7&lt;=Magick!$D$3,7,"Not available")</f>
        <v>Not available</v>
      </c>
      <c r="X192" s="598" t="str">
        <f>IF(8&lt;=Magick!$D$3,8,"Not available")</f>
        <v>Not available</v>
      </c>
      <c r="AA192" s="598" t="str">
        <f>IF(9&lt;=Magick!$D$3,9,"Not available")</f>
        <v>Not available</v>
      </c>
      <c r="AD192" s="598" t="str">
        <f>IF(10&lt;=Magick!$D$3,10,"Not available")</f>
        <v>Not available</v>
      </c>
    </row>
    <row r="193" spans="1:32">
      <c r="A193" s="598">
        <f ca="1">INDIRECT(E191)</f>
        <v>0</v>
      </c>
      <c r="B193" s="598" t="s">
        <v>2341</v>
      </c>
      <c r="C193" s="598">
        <f ca="1">INDIRECT(D191)</f>
        <v>1</v>
      </c>
      <c r="D193" s="598">
        <f ca="1">IF(C193&lt;=Magick!$D$3,ROUND((21*(C193/(Magick!$D$3))),0),"N/A")</f>
        <v>11</v>
      </c>
      <c r="E193" s="598">
        <f ca="1">IF(C193&lt;=Magick!$D$3,+C193*3,"N/A")</f>
        <v>3</v>
      </c>
      <c r="F193" s="598">
        <f ca="1">INDIRECT(ADDRESS(ROW(INDIRECT($D$191)),(COLUMN(INDIRECT($D$191))+1),3))</f>
        <v>2</v>
      </c>
      <c r="G193" s="598">
        <f ca="1">IF(F193&lt;=Magick!$D$3,ROUND((21*(F193/(Magick!$D$3))),0),"N/A")</f>
        <v>21</v>
      </c>
      <c r="H193" s="598">
        <f ca="1">IF(F193&lt;=Magick!$D$3,+F193*3,"N/A")</f>
        <v>6</v>
      </c>
      <c r="I193" s="598">
        <f ca="1">INDIRECT(ADDRESS(ROW(INDIRECT($D$191)),(COLUMN(INDIRECT($D$191))+2),3))</f>
        <v>3</v>
      </c>
      <c r="J193" s="598" t="str">
        <f ca="1">IF(I193&lt;=Magick!$D$3,ROUND((21*(I193/(Magick!$D$3))),0),"N/A")</f>
        <v>N/A</v>
      </c>
      <c r="K193" s="598" t="str">
        <f ca="1">IF(I193&lt;=Magick!$D$3,+I193*3,"N/A")</f>
        <v>N/A</v>
      </c>
      <c r="L193" s="598">
        <f ca="1">INDIRECT(ADDRESS(ROW(INDIRECT($D$191)),(COLUMN(INDIRECT($D$191))+3),3))</f>
        <v>4</v>
      </c>
      <c r="M193" s="598" t="str">
        <f ca="1">IF(L193&lt;=Magick!$D$3,ROUND((21*(L193/(Magick!$D$3))),0),"N/A")</f>
        <v>N/A</v>
      </c>
      <c r="N193" s="598" t="str">
        <f ca="1">IF(L193&lt;=Magick!$D$3,+L193*3,"N/A")</f>
        <v>N/A</v>
      </c>
      <c r="O193" s="598">
        <f ca="1">INDIRECT(ADDRESS(ROW(INDIRECT($D$191)),(COLUMN(INDIRECT($D$191))+4),3))</f>
        <v>5</v>
      </c>
      <c r="P193" s="598" t="str">
        <f ca="1">IF(O193&lt;=Magick!$D$3,ROUND((21*(O193/(Magick!$D$3))),0),"N/A")</f>
        <v>N/A</v>
      </c>
      <c r="Q193" s="598" t="str">
        <f ca="1">IF(O193&lt;=Magick!$D$3,+O193*3,"N/A")</f>
        <v>N/A</v>
      </c>
      <c r="R193" s="598">
        <f ca="1">INDIRECT(ADDRESS(ROW(INDIRECT($D$191)),(COLUMN(INDIRECT($D$191))+5),3))</f>
        <v>6</v>
      </c>
      <c r="S193" s="598" t="str">
        <f ca="1">IF(R193&lt;=Magick!$D$3,ROUND((21*(R193/(Magick!$D$3))),0),"N/A")</f>
        <v>N/A</v>
      </c>
      <c r="T193" s="598" t="str">
        <f ca="1">IF(R193&lt;=Magick!$D$3,+R193*3,"N/A")</f>
        <v>N/A</v>
      </c>
      <c r="U193" s="598">
        <f ca="1">INDIRECT(ADDRESS(ROW(INDIRECT($D$191)),(COLUMN(INDIRECT($D$191))+6),3))</f>
        <v>7</v>
      </c>
      <c r="V193" s="598" t="str">
        <f ca="1">IF(U193&lt;=Magick!$D$3,ROUND((21*(U193/(Magick!$D$3))),0),"N/A")</f>
        <v>N/A</v>
      </c>
      <c r="W193" s="598" t="str">
        <f ca="1">IF(U193&lt;=Magick!$D$3,+U193*3,"N/A")</f>
        <v>N/A</v>
      </c>
      <c r="X193" s="598">
        <f ca="1">INDIRECT(ADDRESS(ROW(INDIRECT($D$191)),(COLUMN(INDIRECT($D$191))+7),3))</f>
        <v>8</v>
      </c>
      <c r="Y193" s="598" t="str">
        <f ca="1">IF(X193&lt;=Magick!$D$3,ROUND((21*(X193/(Magick!$D$3))),0),"N/A")</f>
        <v>N/A</v>
      </c>
      <c r="Z193" s="598" t="str">
        <f ca="1">IF(X193&lt;=Magick!$D$3,+X193*3,"N/A")</f>
        <v>N/A</v>
      </c>
      <c r="AA193" s="598">
        <f ca="1">INDIRECT(ADDRESS(ROW(INDIRECT($D$191)),(COLUMN(INDIRECT($D$191))+8),3))</f>
        <v>9</v>
      </c>
      <c r="AB193" s="598" t="str">
        <f ca="1">IF(AA193&lt;=Magick!$D$3,ROUND((21*(AA193/(Magick!$D$3))),0),"N/A")</f>
        <v>N/A</v>
      </c>
      <c r="AC193" s="598" t="str">
        <f ca="1">IF(AA193&lt;=Magick!$D$3,+AA193*3,"N/A")</f>
        <v>N/A</v>
      </c>
      <c r="AD193" s="598">
        <f ca="1">INDIRECT(ADDRESS(ROW(INDIRECT($D$191)),(COLUMN(INDIRECT($D$191))+9),3))</f>
        <v>10</v>
      </c>
      <c r="AE193" s="598" t="str">
        <f ca="1">IF(AD193&lt;=Magick!$D$3,ROUND((21*(AD193/(Magick!$D$3))),0),"N/A")</f>
        <v>N/A</v>
      </c>
      <c r="AF193" s="598" t="str">
        <f ca="1">IF(AD193&lt;=Magick!$D$3,+AD193*3,"N/A")</f>
        <v>N/A</v>
      </c>
    </row>
    <row r="194" spans="1:32">
      <c r="A194" s="598">
        <f ca="1">INDIRECT(ADDRESS((ROW(INDIRECT($E$191))+1),(COLUMN(INDIRECT($E$191))),3))</f>
        <v>0</v>
      </c>
      <c r="B194" s="598" t="s">
        <v>3268</v>
      </c>
      <c r="C194" s="598">
        <f ca="1">INDIRECT(ADDRESS((ROW(INDIRECT($D$191))+1),(COLUMN(INDIRECT($D$191))),3))</f>
        <v>1</v>
      </c>
      <c r="D194" s="598">
        <f ca="1">IF(C194&lt;=Magick!$D$3,ROUND((21*(C194/(Magick!$D$3))),0),"N/A")</f>
        <v>11</v>
      </c>
      <c r="E194" s="598">
        <f ca="1">IF(C194&lt;=Magick!$D$3,+C194*3,"N/A")</f>
        <v>3</v>
      </c>
      <c r="F194" s="598">
        <f ca="1">INDIRECT(ADDRESS((ROW(INDIRECT($D$191))+1),(COLUMN(INDIRECT($D$191))+1),3))</f>
        <v>2</v>
      </c>
      <c r="G194" s="598">
        <f ca="1">IF(F194&lt;=Magick!$D$3,ROUND((21*(F194/(Magick!$D$3))),0),"N/A")</f>
        <v>21</v>
      </c>
      <c r="H194" s="598">
        <f ca="1">IF(F194&lt;=Magick!$D$3,+F194*3,"N/A")</f>
        <v>6</v>
      </c>
      <c r="I194" s="598">
        <f ca="1">INDIRECT(ADDRESS((ROW(INDIRECT($D$191))+1),(COLUMN(INDIRECT($D$191))+2),3))</f>
        <v>3</v>
      </c>
      <c r="J194" s="598" t="str">
        <f ca="1">IF(I194&lt;=Magick!$D$3,ROUND((21*(I194/(Magick!$D$3))),0),"N/A")</f>
        <v>N/A</v>
      </c>
      <c r="K194" s="598" t="str">
        <f ca="1">IF(I194&lt;=Magick!$D$3,+I194*3,"N/A")</f>
        <v>N/A</v>
      </c>
      <c r="L194" s="598">
        <f ca="1">INDIRECT(ADDRESS((ROW(INDIRECT($D$191))+1),(COLUMN(INDIRECT($D$191))+3),3))</f>
        <v>4</v>
      </c>
      <c r="M194" s="598" t="str">
        <f ca="1">IF(L194&lt;=Magick!$D$3,ROUND((21*(L194/(Magick!$D$3))),0),"N/A")</f>
        <v>N/A</v>
      </c>
      <c r="N194" s="598" t="str">
        <f ca="1">IF(L194&lt;=Magick!$D$3,+L194*3,"N/A")</f>
        <v>N/A</v>
      </c>
      <c r="O194" s="598">
        <f ca="1">INDIRECT(ADDRESS((ROW(INDIRECT($D$191))+1),(COLUMN(INDIRECT($D$191))+4),3))</f>
        <v>5</v>
      </c>
      <c r="P194" s="598" t="str">
        <f ca="1">IF(O194&lt;=Magick!$D$3,ROUND((21*(O194/(Magick!$D$3))),0),"N/A")</f>
        <v>N/A</v>
      </c>
      <c r="Q194" s="598" t="str">
        <f ca="1">IF(O194&lt;=Magick!$D$3,+O194*3,"N/A")</f>
        <v>N/A</v>
      </c>
      <c r="R194" s="598">
        <f ca="1">INDIRECT(ADDRESS((ROW(INDIRECT($D$191))+1),(COLUMN(INDIRECT($D$191))+5),3))</f>
        <v>6</v>
      </c>
      <c r="S194" s="598" t="str">
        <f ca="1">IF(R194&lt;=Magick!$D$3,ROUND((21*(R194/(Magick!$D$3))),0),"N/A")</f>
        <v>N/A</v>
      </c>
      <c r="T194" s="598" t="str">
        <f ca="1">IF(R194&lt;=Magick!$D$3,+R194*3,"N/A")</f>
        <v>N/A</v>
      </c>
      <c r="U194" s="598">
        <f ca="1">INDIRECT(ADDRESS((ROW(INDIRECT($D$191))+1),(COLUMN(INDIRECT($D$191))+6),3))</f>
        <v>7</v>
      </c>
      <c r="V194" s="598" t="str">
        <f ca="1">IF(U194&lt;=Magick!$D$3,ROUND((21*(U194/(Magick!$D$3))),0),"N/A")</f>
        <v>N/A</v>
      </c>
      <c r="W194" s="598" t="str">
        <f ca="1">IF(U194&lt;=Magick!$D$3,+U194*3,"N/A")</f>
        <v>N/A</v>
      </c>
      <c r="X194" s="598">
        <f ca="1">INDIRECT(ADDRESS((ROW(INDIRECT($D$191))+1),(COLUMN(INDIRECT($D$191))+7),3))</f>
        <v>8</v>
      </c>
      <c r="Y194" s="598" t="str">
        <f ca="1">IF(X194&lt;=Magick!$D$3,ROUND((21*(X194/(Magick!$D$3))),0),"N/A")</f>
        <v>N/A</v>
      </c>
      <c r="Z194" s="598" t="str">
        <f ca="1">IF(X194&lt;=Magick!$D$3,+X194*3,"N/A")</f>
        <v>N/A</v>
      </c>
      <c r="AA194" s="598">
        <f ca="1">INDIRECT(ADDRESS((ROW(INDIRECT($D$191))+1),(COLUMN(INDIRECT($D$191))+8),3))</f>
        <v>9</v>
      </c>
      <c r="AB194" s="598" t="str">
        <f ca="1">IF(AA194&lt;=Magick!$D$3,ROUND((21*(AA194/(Magick!$D$3))),0),"N/A")</f>
        <v>N/A</v>
      </c>
      <c r="AC194" s="598" t="str">
        <f ca="1">IF(AA194&lt;=Magick!$D$3,+AA194*3,"N/A")</f>
        <v>N/A</v>
      </c>
      <c r="AD194" s="598">
        <f ca="1">INDIRECT(ADDRESS((ROW(INDIRECT($D$191))+1),(COLUMN(INDIRECT($D$191))+9),3))</f>
        <v>10</v>
      </c>
      <c r="AE194" s="598" t="str">
        <f ca="1">IF(AD194&lt;=Magick!$D$3,ROUND((21*(AD194/(Magick!$D$3))),0),"N/A")</f>
        <v>N/A</v>
      </c>
      <c r="AF194" s="598" t="str">
        <f ca="1">IF(AD194&lt;=Magick!$D$3,+AD194*3,"N/A")</f>
        <v>N/A</v>
      </c>
    </row>
    <row r="195" spans="1:32">
      <c r="A195" s="598">
        <f ca="1">INDIRECT(ADDRESS((ROW(INDIRECT($E$191))+2),(COLUMN(INDIRECT($E$191))),3))</f>
        <v>0</v>
      </c>
      <c r="B195" s="598" t="s">
        <v>2342</v>
      </c>
      <c r="C195" s="598">
        <f ca="1">INDIRECT(ADDRESS((ROW(INDIRECT($D$191))+2),(COLUMN(INDIRECT($D$191))),3))</f>
        <v>1</v>
      </c>
      <c r="D195" s="598">
        <f ca="1">IF(C195&lt;=Magick!$D$3,ROUND((21*(C195/(Magick!$D$3))),0),"N/A")</f>
        <v>11</v>
      </c>
      <c r="E195" s="598">
        <f ca="1">IF(C195&lt;=Magick!$D$3,+C195*3,"N/A")</f>
        <v>3</v>
      </c>
      <c r="F195" s="598">
        <f ca="1">INDIRECT(ADDRESS((ROW(INDIRECT($D$191))+2),(COLUMN(INDIRECT($D$191))+1),3))</f>
        <v>2</v>
      </c>
      <c r="G195" s="598">
        <f ca="1">IF(F195&lt;=Magick!$D$3,ROUND((21*(F195/(Magick!$D$3))),0),"N/A")</f>
        <v>21</v>
      </c>
      <c r="H195" s="598">
        <f ca="1">IF(F195&lt;=Magick!$D$3,+F195*3,"N/A")</f>
        <v>6</v>
      </c>
      <c r="I195" s="598">
        <f ca="1">INDIRECT(ADDRESS((ROW(INDIRECT($D$191))+2),(COLUMN(INDIRECT($D$191))+2),3))</f>
        <v>3</v>
      </c>
      <c r="J195" s="598" t="str">
        <f ca="1">IF(I195&lt;=Magick!$D$3,ROUND((21*(I195/(Magick!$D$3))),0),"N/A")</f>
        <v>N/A</v>
      </c>
      <c r="K195" s="598" t="str">
        <f ca="1">IF(I195&lt;=Magick!$D$3,+I195*3,"N/A")</f>
        <v>N/A</v>
      </c>
      <c r="L195" s="598">
        <f ca="1">INDIRECT(ADDRESS((ROW(INDIRECT($D$191))+2),(COLUMN(INDIRECT($D$191))+3),3))</f>
        <v>4</v>
      </c>
      <c r="M195" s="598" t="str">
        <f ca="1">IF(L195&lt;=Magick!$D$3,ROUND((21*(L195/(Magick!$D$3))),0),"N/A")</f>
        <v>N/A</v>
      </c>
      <c r="N195" s="598" t="str">
        <f ca="1">IF(L195&lt;=Magick!$D$3,+L195*3,"N/A")</f>
        <v>N/A</v>
      </c>
      <c r="O195" s="598">
        <f ca="1">INDIRECT(ADDRESS((ROW(INDIRECT($D$191))+2),(COLUMN(INDIRECT($D$191))+4),3))</f>
        <v>5</v>
      </c>
      <c r="P195" s="598" t="str">
        <f ca="1">IF(O195&lt;=Magick!$D$3,ROUND((21*(O195/(Magick!$D$3))),0),"N/A")</f>
        <v>N/A</v>
      </c>
      <c r="Q195" s="598" t="str">
        <f ca="1">IF(O195&lt;=Magick!$D$3,+O195*3,"N/A")</f>
        <v>N/A</v>
      </c>
      <c r="R195" s="598">
        <f ca="1">INDIRECT(ADDRESS((ROW(INDIRECT($D$191))+2),(COLUMN(INDIRECT($D$191))+5),3))</f>
        <v>6</v>
      </c>
      <c r="S195" s="598" t="str">
        <f ca="1">IF(R195&lt;=Magick!$D$3,ROUND((21*(R195/(Magick!$D$3))),0),"N/A")</f>
        <v>N/A</v>
      </c>
      <c r="T195" s="598" t="str">
        <f ca="1">IF(R195&lt;=Magick!$D$3,+R195*3,"N/A")</f>
        <v>N/A</v>
      </c>
      <c r="U195" s="598">
        <f ca="1">INDIRECT(ADDRESS((ROW(INDIRECT($D$191))+2),(COLUMN(INDIRECT($D$191))+6),3))</f>
        <v>7</v>
      </c>
      <c r="V195" s="598" t="str">
        <f ca="1">IF(U195&lt;=Magick!$D$3,ROUND((21*(U195/(Magick!$D$3))),0),"N/A")</f>
        <v>N/A</v>
      </c>
      <c r="W195" s="598" t="str">
        <f ca="1">IF(U195&lt;=Magick!$D$3,+U195*3,"N/A")</f>
        <v>N/A</v>
      </c>
      <c r="X195" s="598">
        <f ca="1">INDIRECT(ADDRESS((ROW(INDIRECT($D$191))+2),(COLUMN(INDIRECT($D$191))+7),3))</f>
        <v>8</v>
      </c>
      <c r="Y195" s="598" t="str">
        <f ca="1">IF(X195&lt;=Magick!$D$3,ROUND((21*(X195/(Magick!$D$3))),0),"N/A")</f>
        <v>N/A</v>
      </c>
      <c r="Z195" s="598" t="str">
        <f ca="1">IF(X195&lt;=Magick!$D$3,+X195*3,"N/A")</f>
        <v>N/A</v>
      </c>
      <c r="AA195" s="598">
        <f ca="1">INDIRECT(ADDRESS((ROW(INDIRECT($D$191))+2),(COLUMN(INDIRECT($D$191))+8),3))</f>
        <v>9</v>
      </c>
      <c r="AB195" s="598" t="str">
        <f ca="1">IF(AA195&lt;=Magick!$D$3,ROUND((21*(AA195/(Magick!$D$3))),0),"N/A")</f>
        <v>N/A</v>
      </c>
      <c r="AC195" s="598" t="str">
        <f ca="1">IF(AA195&lt;=Magick!$D$3,+AA195*3,"N/A")</f>
        <v>N/A</v>
      </c>
      <c r="AD195" s="598">
        <f ca="1">INDIRECT(ADDRESS((ROW(INDIRECT($D$191))+2),(COLUMN(INDIRECT($D$191))+9),3))</f>
        <v>10</v>
      </c>
      <c r="AE195" s="598" t="str">
        <f ca="1">IF(AD195&lt;=Magick!$D$3,ROUND((21*(AD195/(Magick!$D$3))),0),"N/A")</f>
        <v>N/A</v>
      </c>
      <c r="AF195" s="598" t="str">
        <f ca="1">IF(AD195&lt;=Magick!$D$3,+AD195*3,"N/A")</f>
        <v>N/A</v>
      </c>
    </row>
    <row r="196" spans="1:32">
      <c r="A196" s="598">
        <f ca="1">INDIRECT(ADDRESS((ROW(INDIRECT($E$191))+3),(COLUMN(INDIRECT($E$191))),3))</f>
        <v>0</v>
      </c>
      <c r="B196" s="598" t="s">
        <v>2343</v>
      </c>
      <c r="C196" s="598">
        <f ca="1">INDIRECT(ADDRESS((ROW(INDIRECT($D$191))+3),(COLUMN(INDIRECT($D$191))),3))</f>
        <v>1</v>
      </c>
      <c r="D196" s="598">
        <f ca="1">IF(C196&lt;=Magick!$D$3,ROUND((21*(C196/(Magick!$D$3))),0),"N/A")</f>
        <v>11</v>
      </c>
      <c r="E196" s="598">
        <f ca="1">IF(C196&lt;=Magick!$D$3,+C196*3,"N/A")</f>
        <v>3</v>
      </c>
      <c r="F196" s="598">
        <f ca="1">INDIRECT(ADDRESS((ROW(INDIRECT($D$191))+3),(COLUMN(INDIRECT($D$191))+1),3))</f>
        <v>2</v>
      </c>
      <c r="G196" s="598">
        <f ca="1">IF(F196&lt;=Magick!$D$3,ROUND((21*(F196/(Magick!$D$3))),0),"N/A")</f>
        <v>21</v>
      </c>
      <c r="H196" s="598">
        <f ca="1">IF(F196&lt;=Magick!$D$3,+F196*3,"N/A")</f>
        <v>6</v>
      </c>
      <c r="I196" s="598">
        <f ca="1">INDIRECT(ADDRESS((ROW(INDIRECT($D$191))+3),(COLUMN(INDIRECT($D$191))+2),3))</f>
        <v>3</v>
      </c>
      <c r="J196" s="598" t="str">
        <f ca="1">IF(I196&lt;=Magick!$D$3,ROUND((21*(I196/(Magick!$D$3))),0),"N/A")</f>
        <v>N/A</v>
      </c>
      <c r="K196" s="598" t="str">
        <f ca="1">IF(I196&lt;=Magick!$D$3,+I196*3,"N/A")</f>
        <v>N/A</v>
      </c>
      <c r="L196" s="598">
        <f ca="1">INDIRECT(ADDRESS((ROW(INDIRECT($D$191))+3),(COLUMN(INDIRECT($D$191))+3),3))</f>
        <v>4</v>
      </c>
      <c r="M196" s="598" t="str">
        <f ca="1">IF(L196&lt;=Magick!$D$3,ROUND((21*(L196/(Magick!$D$3))),0),"N/A")</f>
        <v>N/A</v>
      </c>
      <c r="N196" s="598" t="str">
        <f ca="1">IF(L196&lt;=Magick!$D$3,+L196*3,"N/A")</f>
        <v>N/A</v>
      </c>
      <c r="O196" s="598">
        <f ca="1">INDIRECT(ADDRESS((ROW(INDIRECT($D$191))+3),(COLUMN(INDIRECT($D$191))+4),3))</f>
        <v>5</v>
      </c>
      <c r="P196" s="598" t="str">
        <f ca="1">IF(O196&lt;=Magick!$D$3,ROUND((21*(O196/(Magick!$D$3))),0),"N/A")</f>
        <v>N/A</v>
      </c>
      <c r="Q196" s="598" t="str">
        <f ca="1">IF(O196&lt;=Magick!$D$3,+O196*3,"N/A")</f>
        <v>N/A</v>
      </c>
      <c r="R196" s="598">
        <f ca="1">INDIRECT(ADDRESS((ROW(INDIRECT($D$191))+3),(COLUMN(INDIRECT($D$191))+5),3))</f>
        <v>6</v>
      </c>
      <c r="S196" s="598" t="str">
        <f ca="1">IF(R196&lt;=Magick!$D$3,ROUND((21*(R196/(Magick!$D$3))),0),"N/A")</f>
        <v>N/A</v>
      </c>
      <c r="T196" s="598" t="str">
        <f ca="1">IF(R196&lt;=Magick!$D$3,+R196*3,"N/A")</f>
        <v>N/A</v>
      </c>
      <c r="U196" s="598">
        <f ca="1">INDIRECT(ADDRESS((ROW(INDIRECT($D$191))+3),(COLUMN(INDIRECT($D$191))+6),3))</f>
        <v>7</v>
      </c>
      <c r="V196" s="598" t="str">
        <f ca="1">IF(U196&lt;=Magick!$D$3,ROUND((21*(U196/(Magick!$D$3))),0),"N/A")</f>
        <v>N/A</v>
      </c>
      <c r="W196" s="598" t="str">
        <f ca="1">IF(U196&lt;=Magick!$D$3,+U196*3,"N/A")</f>
        <v>N/A</v>
      </c>
      <c r="X196" s="598">
        <f ca="1">INDIRECT(ADDRESS((ROW(INDIRECT($D$191))+3),(COLUMN(INDIRECT($D$191))+7),3))</f>
        <v>8</v>
      </c>
      <c r="Y196" s="598" t="str">
        <f ca="1">IF(X196&lt;=Magick!$D$3,ROUND((21*(X196/(Magick!$D$3))),0),"N/A")</f>
        <v>N/A</v>
      </c>
      <c r="Z196" s="598" t="str">
        <f ca="1">IF(X196&lt;=Magick!$D$3,+X196*3,"N/A")</f>
        <v>N/A</v>
      </c>
      <c r="AA196" s="598">
        <f ca="1">INDIRECT(ADDRESS((ROW(INDIRECT($D$191))+3),(COLUMN(INDIRECT($D$191))+8),3))</f>
        <v>9</v>
      </c>
      <c r="AB196" s="598" t="str">
        <f ca="1">IF(AA196&lt;=Magick!$D$3,ROUND((21*(AA196/(Magick!$D$3))),0),"N/A")</f>
        <v>N/A</v>
      </c>
      <c r="AC196" s="598" t="str">
        <f ca="1">IF(AA196&lt;=Magick!$D$3,+AA196*3,"N/A")</f>
        <v>N/A</v>
      </c>
      <c r="AD196" s="598">
        <f ca="1">INDIRECT(ADDRESS((ROW(INDIRECT($D$191))+3),(COLUMN(INDIRECT($D$191))+9),3))</f>
        <v>10</v>
      </c>
      <c r="AE196" s="598" t="str">
        <f ca="1">IF(AD196&lt;=Magick!$D$3,ROUND((21*(AD196/(Magick!$D$3))),0),"N/A")</f>
        <v>N/A</v>
      </c>
      <c r="AF196" s="598" t="str">
        <f ca="1">IF(AD196&lt;=Magick!$D$3,+AD196*3,"N/A")</f>
        <v>N/A</v>
      </c>
    </row>
    <row r="197" spans="1:32">
      <c r="A197" s="598">
        <f ca="1">INDIRECT(ADDRESS((ROW(INDIRECT($E$191))+4),(COLUMN(INDIRECT($E$191))),3))</f>
        <v>0</v>
      </c>
      <c r="B197" s="598" t="s">
        <v>2344</v>
      </c>
      <c r="C197" s="598">
        <f ca="1">INDIRECT(ADDRESS((ROW(INDIRECT($D$191))+4),(COLUMN(INDIRECT($D$191))),3))</f>
        <v>1</v>
      </c>
      <c r="D197" s="598">
        <f ca="1">IF(C197&lt;=Magick!$D$3,ROUND((21*(C197/(Magick!$D$3))),0),"N/A")</f>
        <v>11</v>
      </c>
      <c r="E197" s="598">
        <f ca="1">IF(C197&lt;=Magick!$D$3,+C197*3,"N/A")</f>
        <v>3</v>
      </c>
      <c r="F197" s="598">
        <f ca="1">INDIRECT(ADDRESS((ROW(INDIRECT($D$191))+4),(COLUMN(INDIRECT($D$191))+1),3))</f>
        <v>2</v>
      </c>
      <c r="G197" s="598">
        <f ca="1">IF(F197&lt;=Magick!$D$3,ROUND((21*(F197/(Magick!$D$3))),0),"N/A")</f>
        <v>21</v>
      </c>
      <c r="H197" s="598">
        <f ca="1">IF(F197&lt;=Magick!$D$3,+F197*3,"N/A")</f>
        <v>6</v>
      </c>
      <c r="I197" s="598">
        <f ca="1">INDIRECT(ADDRESS((ROW(INDIRECT($D$191))+4),(COLUMN(INDIRECT($D$191))+2),3))</f>
        <v>3</v>
      </c>
      <c r="J197" s="598" t="str">
        <f ca="1">IF(I197&lt;=Magick!$D$3,ROUND((21*(I197/(Magick!$D$3))),0),"N/A")</f>
        <v>N/A</v>
      </c>
      <c r="K197" s="598" t="str">
        <f ca="1">IF(I197&lt;=Magick!$D$3,+I197*3,"N/A")</f>
        <v>N/A</v>
      </c>
      <c r="L197" s="598">
        <f ca="1">INDIRECT(ADDRESS((ROW(INDIRECT($D$191))+4),(COLUMN(INDIRECT($D$191))+3),3))</f>
        <v>4</v>
      </c>
      <c r="M197" s="598" t="str">
        <f ca="1">IF(L197&lt;=Magick!$D$3,ROUND((21*(L197/(Magick!$D$3))),0),"N/A")</f>
        <v>N/A</v>
      </c>
      <c r="N197" s="598" t="str">
        <f ca="1">IF(L197&lt;=Magick!$D$3,+L197*3,"N/A")</f>
        <v>N/A</v>
      </c>
      <c r="O197" s="598">
        <f ca="1">INDIRECT(ADDRESS((ROW(INDIRECT($D$191))+4),(COLUMN(INDIRECT($D$191))+4),3))</f>
        <v>5</v>
      </c>
      <c r="P197" s="598" t="str">
        <f ca="1">IF(O197&lt;=Magick!$D$3,ROUND((21*(O197/(Magick!$D$3))),0),"N/A")</f>
        <v>N/A</v>
      </c>
      <c r="Q197" s="598" t="str">
        <f ca="1">IF(O197&lt;=Magick!$D$3,+O197*3,"N/A")</f>
        <v>N/A</v>
      </c>
      <c r="R197" s="598">
        <f ca="1">INDIRECT(ADDRESS((ROW(INDIRECT($D$191))+4),(COLUMN(INDIRECT($D$191))+5),3))</f>
        <v>6</v>
      </c>
      <c r="S197" s="598" t="str">
        <f ca="1">IF(R197&lt;=Magick!$D$3,ROUND((21*(R197/(Magick!$D$3))),0),"N/A")</f>
        <v>N/A</v>
      </c>
      <c r="T197" s="598" t="str">
        <f ca="1">IF(R197&lt;=Magick!$D$3,+R197*3,"N/A")</f>
        <v>N/A</v>
      </c>
      <c r="U197" s="598">
        <f ca="1">INDIRECT(ADDRESS((ROW(INDIRECT($D$191))+4),(COLUMN(INDIRECT($D$191))+6),3))</f>
        <v>7</v>
      </c>
      <c r="V197" s="598" t="str">
        <f ca="1">IF(U197&lt;=Magick!$D$3,ROUND((21*(U197/(Magick!$D$3))),0),"N/A")</f>
        <v>N/A</v>
      </c>
      <c r="W197" s="598" t="str">
        <f ca="1">IF(U197&lt;=Magick!$D$3,+U197*3,"N/A")</f>
        <v>N/A</v>
      </c>
      <c r="X197" s="598">
        <f ca="1">INDIRECT(ADDRESS((ROW(INDIRECT($D$191))+4),(COLUMN(INDIRECT($D$191))+7),3))</f>
        <v>8</v>
      </c>
      <c r="Y197" s="598" t="str">
        <f ca="1">IF(X197&lt;=Magick!$D$3,ROUND((21*(X197/(Magick!$D$3))),0),"N/A")</f>
        <v>N/A</v>
      </c>
      <c r="Z197" s="598" t="str">
        <f ca="1">IF(X197&lt;=Magick!$D$3,+X197*3,"N/A")</f>
        <v>N/A</v>
      </c>
      <c r="AA197" s="598">
        <f ca="1">INDIRECT(ADDRESS((ROW(INDIRECT($D$191))+4),(COLUMN(INDIRECT($D$191))+8),3))</f>
        <v>9</v>
      </c>
      <c r="AB197" s="598" t="str">
        <f ca="1">IF(AA197&lt;=Magick!$D$3,ROUND((21*(AA197/(Magick!$D$3))),0),"N/A")</f>
        <v>N/A</v>
      </c>
      <c r="AC197" s="598" t="str">
        <f ca="1">IF(AA197&lt;=Magick!$D$3,+AA197*3,"N/A")</f>
        <v>N/A</v>
      </c>
      <c r="AD197" s="598">
        <f ca="1">INDIRECT(ADDRESS((ROW(INDIRECT($D$191))+4),(COLUMN(INDIRECT($D$191))+9),3))</f>
        <v>10</v>
      </c>
      <c r="AE197" s="598" t="str">
        <f ca="1">IF(AD197&lt;=Magick!$D$3,ROUND((21*(AD197/(Magick!$D$3))),0),"N/A")</f>
        <v>N/A</v>
      </c>
      <c r="AF197" s="598" t="str">
        <f ca="1">IF(AD197&lt;=Magick!$D$3,+AD197*3,"N/A")</f>
        <v>N/A</v>
      </c>
    </row>
    <row r="198" spans="1:32">
      <c r="A198" s="598" t="e">
        <f ca="1">INDIRECT(ADDRESS((ROW(INDIRECT($E$191))+5),(COLUMN(INDIRECT($E$191))),3))</f>
        <v>#N/A</v>
      </c>
      <c r="B198" s="598" t="s">
        <v>2345</v>
      </c>
      <c r="C198" s="598" t="e">
        <f ca="1">INDIRECT(ADDRESS((ROW(INDIRECT($D$191))+5),(COLUMN(INDIRECT($D$191))),3))</f>
        <v>#N/A</v>
      </c>
      <c r="D198" s="598" t="e">
        <f ca="1">IF(C198&lt;=Magick!$D$3,ROUND((21*(C198/(Magick!$D$3))),0),"N/A")</f>
        <v>#N/A</v>
      </c>
      <c r="E198" s="598" t="e">
        <f ca="1">IF(C198&lt;=Magick!$D$3,+C198*3,"N/A")</f>
        <v>#N/A</v>
      </c>
      <c r="F198" s="598" t="e">
        <f ca="1">INDIRECT(ADDRESS((ROW(INDIRECT($D$191))+5),(COLUMN(INDIRECT($D$191))+1),3))</f>
        <v>#N/A</v>
      </c>
      <c r="G198" s="598" t="e">
        <f ca="1">IF(F198&lt;=Magick!$D$3,ROUND((21*(F198/(Magick!$D$3))),0),"N/A")</f>
        <v>#N/A</v>
      </c>
      <c r="H198" s="598" t="e">
        <f ca="1">IF(F198&lt;=Magick!$D$3,+F198*3,"N/A")</f>
        <v>#N/A</v>
      </c>
      <c r="I198" s="598" t="e">
        <f ca="1">INDIRECT(ADDRESS((ROW(INDIRECT($D$191))+5),(COLUMN(INDIRECT($D$191))+2),3))</f>
        <v>#N/A</v>
      </c>
      <c r="J198" s="598" t="e">
        <f ca="1">IF(I198&lt;=Magick!$D$3,ROUND((21*(I198/(Magick!$D$3))),0),"N/A")</f>
        <v>#N/A</v>
      </c>
      <c r="K198" s="598" t="e">
        <f ca="1">IF(I198&lt;=Magick!$D$3,+I198*3,"N/A")</f>
        <v>#N/A</v>
      </c>
      <c r="L198" s="598" t="e">
        <f ca="1">INDIRECT(ADDRESS((ROW(INDIRECT($D$191))+5),(COLUMN(INDIRECT($D$191))+3),3))</f>
        <v>#N/A</v>
      </c>
      <c r="M198" s="598" t="e">
        <f ca="1">IF(L198&lt;=Magick!$D$3,ROUND((21*(L198/(Magick!$D$3))),0),"N/A")</f>
        <v>#N/A</v>
      </c>
      <c r="N198" s="598" t="e">
        <f ca="1">IF(L198&lt;=Magick!$D$3,+L198*3,"N/A")</f>
        <v>#N/A</v>
      </c>
      <c r="O198" s="598" t="e">
        <f ca="1">INDIRECT(ADDRESS((ROW(INDIRECT($D$191))+5),(COLUMN(INDIRECT($D$191))+4),3))</f>
        <v>#N/A</v>
      </c>
      <c r="P198" s="598" t="e">
        <f ca="1">IF(O198&lt;=Magick!$D$3,ROUND((21*(O198/(Magick!$D$3))),0),"N/A")</f>
        <v>#N/A</v>
      </c>
      <c r="Q198" s="598" t="e">
        <f ca="1">IF(O198&lt;=Magick!$D$3,+O198*3,"N/A")</f>
        <v>#N/A</v>
      </c>
      <c r="R198" s="598" t="e">
        <f ca="1">INDIRECT(ADDRESS((ROW(INDIRECT($D$191))+5),(COLUMN(INDIRECT($D$191))+5),3))</f>
        <v>#N/A</v>
      </c>
      <c r="S198" s="598" t="e">
        <f ca="1">IF(R198&lt;=Magick!$D$3,ROUND((21*(R198/(Magick!$D$3))),0),"N/A")</f>
        <v>#N/A</v>
      </c>
      <c r="T198" s="598" t="e">
        <f ca="1">IF(R198&lt;=Magick!$D$3,+R198*3,"N/A")</f>
        <v>#N/A</v>
      </c>
      <c r="U198" s="598" t="e">
        <f ca="1">INDIRECT(ADDRESS((ROW(INDIRECT($D$191))+5),(COLUMN(INDIRECT($D$191))+6),3))</f>
        <v>#N/A</v>
      </c>
      <c r="V198" s="598" t="e">
        <f ca="1">IF(U198&lt;=Magick!$D$3,ROUND((21*(U198/(Magick!$D$3))),0),"N/A")</f>
        <v>#N/A</v>
      </c>
      <c r="W198" s="598" t="e">
        <f ca="1">IF(U198&lt;=Magick!$D$3,+U198*3,"N/A")</f>
        <v>#N/A</v>
      </c>
      <c r="X198" s="598" t="e">
        <f ca="1">INDIRECT(ADDRESS((ROW(INDIRECT($D$191))+5),(COLUMN(INDIRECT($D$191))+7),3))</f>
        <v>#N/A</v>
      </c>
      <c r="Y198" s="598" t="e">
        <f ca="1">IF(X198&lt;=Magick!$D$3,ROUND((21*(X198/(Magick!$D$3))),0),"N/A")</f>
        <v>#N/A</v>
      </c>
      <c r="Z198" s="598" t="e">
        <f ca="1">IF(X198&lt;=Magick!$D$3,+X198*3,"N/A")</f>
        <v>#N/A</v>
      </c>
      <c r="AA198" s="598" t="e">
        <f ca="1">INDIRECT(ADDRESS((ROW(INDIRECT($D$191))+5),(COLUMN(INDIRECT($D$191))+8),3))</f>
        <v>#N/A</v>
      </c>
      <c r="AB198" s="598" t="e">
        <f ca="1">IF(AA198&lt;=Magick!$D$3,ROUND((21*(AA198/(Magick!$D$3))),0),"N/A")</f>
        <v>#N/A</v>
      </c>
      <c r="AC198" s="598" t="e">
        <f ca="1">IF(AA198&lt;=Magick!$D$3,+AA198*3,"N/A")</f>
        <v>#N/A</v>
      </c>
      <c r="AD198" s="598" t="e">
        <f ca="1">INDIRECT(ADDRESS((ROW(INDIRECT($D$191))+5),(COLUMN(INDIRECT($D$191))+9),3))</f>
        <v>#N/A</v>
      </c>
      <c r="AE198" s="598" t="e">
        <f ca="1">IF(AD198&lt;=Magick!$D$3,ROUND((21*(AD198/(Magick!$D$3))),0),"N/A")</f>
        <v>#N/A</v>
      </c>
      <c r="AF198" s="598" t="e">
        <f ca="1">IF(AD198&lt;=Magick!$D$3,+AD198*3,"N/A")</f>
        <v>#N/A</v>
      </c>
    </row>
    <row r="199" spans="1:32">
      <c r="A199" s="598">
        <f ca="1">INDIRECT(ADDRESS((ROW(INDIRECT($E$191))+6),(COLUMN(INDIRECT($E$191))),3))</f>
        <v>0</v>
      </c>
      <c r="B199" s="598" t="s">
        <v>1631</v>
      </c>
      <c r="C199" s="598">
        <f ca="1">INDIRECT(ADDRESS((ROW(INDIRECT($D$191))+6),(COLUMN(INDIRECT($D$191))),3))</f>
        <v>1</v>
      </c>
      <c r="D199" s="598">
        <f ca="1">IF(C199&lt;=Magick!$D$3,ROUND((21*(C199/(Magick!$D$3))),0),"N/A")</f>
        <v>11</v>
      </c>
      <c r="E199" s="598">
        <f ca="1">IF(C199&lt;=Magick!$D$3,+C199*3,"N/A")</f>
        <v>3</v>
      </c>
      <c r="F199" s="598">
        <f ca="1">INDIRECT(ADDRESS((ROW(INDIRECT($D$191))+6),(COLUMN(INDIRECT($D$191))+1),3))</f>
        <v>2</v>
      </c>
      <c r="G199" s="598">
        <f ca="1">IF(F199&lt;=Magick!$D$3,ROUND((21*(F199/(Magick!$D$3))),0),"N/A")</f>
        <v>21</v>
      </c>
      <c r="H199" s="598">
        <f ca="1">IF(F199&lt;=Magick!$D$3,+F199*3,"N/A")</f>
        <v>6</v>
      </c>
      <c r="I199" s="598">
        <f ca="1">INDIRECT(ADDRESS((ROW(INDIRECT($D$191))+6),(COLUMN(INDIRECT($D$191))+2),3))</f>
        <v>3</v>
      </c>
      <c r="J199" s="598" t="str">
        <f ca="1">IF(I199&lt;=Magick!$D$3,ROUND((21*(I199/(Magick!$D$3))),0),"N/A")</f>
        <v>N/A</v>
      </c>
      <c r="K199" s="598" t="str">
        <f ca="1">IF(I199&lt;=Magick!$D$3,+I199*3,"N/A")</f>
        <v>N/A</v>
      </c>
      <c r="L199" s="598">
        <f ca="1">INDIRECT(ADDRESS((ROW(INDIRECT($D$191))+6),(COLUMN(INDIRECT($D$191))+3),3))</f>
        <v>4</v>
      </c>
      <c r="M199" s="598" t="str">
        <f ca="1">IF(L199&lt;=Magick!$D$3,ROUND((21*(L199/(Magick!$D$3))),0),"N/A")</f>
        <v>N/A</v>
      </c>
      <c r="N199" s="598" t="str">
        <f ca="1">IF(L199&lt;=Magick!$D$3,+L199*3,"N/A")</f>
        <v>N/A</v>
      </c>
      <c r="O199" s="598">
        <f ca="1">INDIRECT(ADDRESS((ROW(INDIRECT($D$191))+6),(COLUMN(INDIRECT($D$191))+4),3))</f>
        <v>5</v>
      </c>
      <c r="P199" s="598" t="str">
        <f ca="1">IF(O199&lt;=Magick!$D$3,ROUND((21*(O199/(Magick!$D$3))),0),"N/A")</f>
        <v>N/A</v>
      </c>
      <c r="Q199" s="598" t="str">
        <f ca="1">IF(O199&lt;=Magick!$D$3,+O199*3,"N/A")</f>
        <v>N/A</v>
      </c>
      <c r="R199" s="598">
        <f ca="1">INDIRECT(ADDRESS((ROW(INDIRECT($D$191))+6),(COLUMN(INDIRECT($D$191))+5),3))</f>
        <v>6</v>
      </c>
      <c r="S199" s="598" t="str">
        <f ca="1">IF(R199&lt;=Magick!$D$3,ROUND((21*(R199/(Magick!$D$3))),0),"N/A")</f>
        <v>N/A</v>
      </c>
      <c r="T199" s="598" t="str">
        <f ca="1">IF(R199&lt;=Magick!$D$3,+R199*3,"N/A")</f>
        <v>N/A</v>
      </c>
      <c r="U199" s="598">
        <f ca="1">INDIRECT(ADDRESS((ROW(INDIRECT($D$191))+6),(COLUMN(INDIRECT($D$191))+6),3))</f>
        <v>7</v>
      </c>
      <c r="V199" s="598" t="str">
        <f ca="1">IF(U199&lt;=Magick!$D$3,ROUND((21*(U199/(Magick!$D$3))),0),"N/A")</f>
        <v>N/A</v>
      </c>
      <c r="W199" s="598" t="str">
        <f ca="1">IF(U199&lt;=Magick!$D$3,+U199*3,"N/A")</f>
        <v>N/A</v>
      </c>
      <c r="X199" s="598">
        <f ca="1">INDIRECT(ADDRESS((ROW(INDIRECT($D$191))+6),(COLUMN(INDIRECT($D$191))+7),3))</f>
        <v>8</v>
      </c>
      <c r="Y199" s="598" t="str">
        <f ca="1">IF(X199&lt;=Magick!$D$3,ROUND((21*(X199/(Magick!$D$3))),0),"N/A")</f>
        <v>N/A</v>
      </c>
      <c r="Z199" s="598" t="str">
        <f ca="1">IF(X199&lt;=Magick!$D$3,+X199*3,"N/A")</f>
        <v>N/A</v>
      </c>
      <c r="AA199" s="598">
        <f ca="1">INDIRECT(ADDRESS((ROW(INDIRECT($D$191))+6),(COLUMN(INDIRECT($D$191))+8),3))</f>
        <v>9</v>
      </c>
      <c r="AB199" s="598" t="str">
        <f ca="1">IF(AA199&lt;=Magick!$D$3,ROUND((21*(AA199/(Magick!$D$3))),0),"N/A")</f>
        <v>N/A</v>
      </c>
      <c r="AC199" s="598" t="str">
        <f ca="1">IF(AA199&lt;=Magick!$D$3,+AA199*3,"N/A")</f>
        <v>N/A</v>
      </c>
      <c r="AD199" s="598">
        <f ca="1">INDIRECT(ADDRESS((ROW(INDIRECT($D$191))+6),(COLUMN(INDIRECT($D$191))+9),3))</f>
        <v>10</v>
      </c>
      <c r="AE199" s="598" t="str">
        <f ca="1">IF(AD199&lt;=Magick!$D$3,ROUND((21*(AD199/(Magick!$D$3))),0),"N/A")</f>
        <v>N/A</v>
      </c>
      <c r="AF199" s="598" t="str">
        <f ca="1">IF(AD199&lt;=Magick!$D$3,+AD199*3,"N/A")</f>
        <v>N/A</v>
      </c>
    </row>
    <row r="200" spans="1:32">
      <c r="A200" s="598">
        <f ca="1">INDIRECT(ADDRESS((ROW(INDIRECT($E$191))+7),(COLUMN(INDIRECT($E$191))),3))</f>
        <v>0</v>
      </c>
      <c r="B200" s="598" t="s">
        <v>3657</v>
      </c>
      <c r="C200" s="598">
        <f ca="1">INDIRECT(ADDRESS((ROW(INDIRECT($D$191))+7),(COLUMN(INDIRECT($D$191))),3))</f>
        <v>1</v>
      </c>
      <c r="D200" s="598">
        <f ca="1">IF(C200&lt;=Magick!$D$3,ROUND((21*(C200/(Magick!$D$3))),0),"N/A")</f>
        <v>11</v>
      </c>
      <c r="E200" s="598">
        <f ca="1">IF(C200&lt;=Magick!$D$3,+C200*3,"N/A")</f>
        <v>3</v>
      </c>
      <c r="F200" s="598">
        <f ca="1">INDIRECT(ADDRESS((ROW(INDIRECT($D$191))+7),(COLUMN(INDIRECT($D$191))+1),3))</f>
        <v>2</v>
      </c>
      <c r="G200" s="598">
        <f ca="1">IF(F200&lt;=Magick!$D$3,ROUND((21*(F200/(Magick!$D$3))),0),"N/A")</f>
        <v>21</v>
      </c>
      <c r="H200" s="598">
        <f ca="1">IF(F200&lt;=Magick!$D$3,+F200*3,"N/A")</f>
        <v>6</v>
      </c>
      <c r="I200" s="598">
        <f ca="1">INDIRECT(ADDRESS((ROW(INDIRECT($D$191))+7),(COLUMN(INDIRECT($D$191))+2),3))</f>
        <v>3</v>
      </c>
      <c r="J200" s="598" t="str">
        <f ca="1">IF(I200&lt;=Magick!$D$3,ROUND((21*(I200/(Magick!$D$3))),0),"N/A")</f>
        <v>N/A</v>
      </c>
      <c r="K200" s="598" t="str">
        <f ca="1">IF(I200&lt;=Magick!$D$3,+I200*3,"N/A")</f>
        <v>N/A</v>
      </c>
      <c r="L200" s="598">
        <f ca="1">INDIRECT(ADDRESS((ROW(INDIRECT($D$191))+7),(COLUMN(INDIRECT($D$191))+3),3))</f>
        <v>4</v>
      </c>
      <c r="M200" s="598" t="str">
        <f ca="1">IF(L200&lt;=Magick!$D$3,ROUND((21*(L200/(Magick!$D$3))),0),"N/A")</f>
        <v>N/A</v>
      </c>
      <c r="N200" s="598" t="str">
        <f ca="1">IF(L200&lt;=Magick!$D$3,+L200*3,"N/A")</f>
        <v>N/A</v>
      </c>
      <c r="O200" s="598">
        <f ca="1">INDIRECT(ADDRESS((ROW(INDIRECT($D$191))+7),(COLUMN(INDIRECT($D$191))+4),3))</f>
        <v>5</v>
      </c>
      <c r="P200" s="598" t="str">
        <f ca="1">IF(O200&lt;=Magick!$D$3,ROUND((21*(O200/(Magick!$D$3))),0),"N/A")</f>
        <v>N/A</v>
      </c>
      <c r="Q200" s="598" t="str">
        <f ca="1">IF(O200&lt;=Magick!$D$3,+O200*3,"N/A")</f>
        <v>N/A</v>
      </c>
      <c r="R200" s="598">
        <f ca="1">INDIRECT(ADDRESS((ROW(INDIRECT($D$191))+7),(COLUMN(INDIRECT($D$191))+5),3))</f>
        <v>6</v>
      </c>
      <c r="S200" s="598" t="str">
        <f ca="1">IF(R200&lt;=Magick!$D$3,ROUND((21*(R200/(Magick!$D$3))),0),"N/A")</f>
        <v>N/A</v>
      </c>
      <c r="T200" s="598" t="str">
        <f ca="1">IF(R200&lt;=Magick!$D$3,+R200*3,"N/A")</f>
        <v>N/A</v>
      </c>
      <c r="U200" s="598">
        <f ca="1">INDIRECT(ADDRESS((ROW(INDIRECT($D$191))+7),(COLUMN(INDIRECT($D$191))+6),3))</f>
        <v>7</v>
      </c>
      <c r="V200" s="598" t="str">
        <f ca="1">IF(U200&lt;=Magick!$D$3,ROUND((21*(U200/(Magick!$D$3))),0),"N/A")</f>
        <v>N/A</v>
      </c>
      <c r="W200" s="598" t="str">
        <f ca="1">IF(U200&lt;=Magick!$D$3,+U200*3,"N/A")</f>
        <v>N/A</v>
      </c>
      <c r="X200" s="598">
        <f ca="1">INDIRECT(ADDRESS((ROW(INDIRECT($D$191))+7),(COLUMN(INDIRECT($D$191))+7),3))</f>
        <v>8</v>
      </c>
      <c r="Y200" s="598" t="str">
        <f ca="1">IF(X200&lt;=Magick!$D$3,ROUND((21*(X200/(Magick!$D$3))),0),"N/A")</f>
        <v>N/A</v>
      </c>
      <c r="Z200" s="598" t="str">
        <f ca="1">IF(X200&lt;=Magick!$D$3,+X200*3,"N/A")</f>
        <v>N/A</v>
      </c>
      <c r="AA200" s="598">
        <f ca="1">INDIRECT(ADDRESS((ROW(INDIRECT($D$191))+7),(COLUMN(INDIRECT($D$191))+8),3))</f>
        <v>9</v>
      </c>
      <c r="AB200" s="598" t="str">
        <f ca="1">IF(AA200&lt;=Magick!$D$3,ROUND((21*(AA200/(Magick!$D$3))),0),"N/A")</f>
        <v>N/A</v>
      </c>
      <c r="AC200" s="598" t="str">
        <f ca="1">IF(AA200&lt;=Magick!$D$3,+AA200*3,"N/A")</f>
        <v>N/A</v>
      </c>
      <c r="AD200" s="598">
        <f ca="1">INDIRECT(ADDRESS((ROW(INDIRECT($D$191))+7),(COLUMN(INDIRECT($D$191))+9),3))</f>
        <v>10</v>
      </c>
      <c r="AE200" s="598" t="str">
        <f ca="1">IF(AD200&lt;=Magick!$D$3,ROUND((21*(AD200/(Magick!$D$3))),0),"N/A")</f>
        <v>N/A</v>
      </c>
      <c r="AF200" s="598" t="str">
        <f ca="1">IF(AD200&lt;=Magick!$D$3,+AD200*3,"N/A")</f>
        <v>N/A</v>
      </c>
    </row>
    <row r="201" spans="1:32">
      <c r="A201" s="598" t="e">
        <f ca="1">INDIRECT(ADDRESS((ROW(INDIRECT($E$191))+8),(COLUMN(INDIRECT($E$191))),3))</f>
        <v>#N/A</v>
      </c>
      <c r="B201" s="598" t="s">
        <v>2346</v>
      </c>
      <c r="C201" s="598" t="e">
        <f ca="1">INDIRECT(ADDRESS((ROW(INDIRECT($D$191))+8),(COLUMN(INDIRECT($D$191))),3))</f>
        <v>#N/A</v>
      </c>
      <c r="D201" s="598" t="e">
        <f ca="1">IF(C201&lt;=Magick!$D$3,ROUND((21*(C201/(Magick!$D$3))),0),"N/A")</f>
        <v>#N/A</v>
      </c>
      <c r="E201" s="598" t="e">
        <f ca="1">IF(C201&lt;=Magick!$D$3,+C201*3,"N/A")</f>
        <v>#N/A</v>
      </c>
      <c r="F201" s="598" t="e">
        <f ca="1">INDIRECT(ADDRESS((ROW(INDIRECT($D$191))+8),(COLUMN(INDIRECT($D$191))+1),3))</f>
        <v>#N/A</v>
      </c>
      <c r="G201" s="598" t="e">
        <f ca="1">IF(F201&lt;=Magick!$D$3,ROUND((21*(F201/(Magick!$D$3))),0),"N/A")</f>
        <v>#N/A</v>
      </c>
      <c r="H201" s="598" t="e">
        <f ca="1">IF(F201&lt;=Magick!$D$3,+F201*3,"N/A")</f>
        <v>#N/A</v>
      </c>
      <c r="I201" s="598" t="e">
        <f ca="1">INDIRECT(ADDRESS((ROW(INDIRECT($D$191))+8),(COLUMN(INDIRECT($D$191))+2),3))</f>
        <v>#N/A</v>
      </c>
      <c r="J201" s="598" t="e">
        <f ca="1">IF(I201&lt;=Magick!$D$3,ROUND((21*(I201/(Magick!$D$3))),0),"N/A")</f>
        <v>#N/A</v>
      </c>
      <c r="K201" s="598" t="e">
        <f ca="1">IF(I201&lt;=Magick!$D$3,+I201*3,"N/A")</f>
        <v>#N/A</v>
      </c>
      <c r="L201" s="598" t="e">
        <f ca="1">INDIRECT(ADDRESS((ROW(INDIRECT($D$191))+8),(COLUMN(INDIRECT($D$191))+3),3))</f>
        <v>#N/A</v>
      </c>
      <c r="M201" s="598" t="e">
        <f ca="1">IF(L201&lt;=Magick!$D$3,ROUND((21*(L201/(Magick!$D$3))),0),"N/A")</f>
        <v>#N/A</v>
      </c>
      <c r="N201" s="598" t="e">
        <f ca="1">IF(L201&lt;=Magick!$D$3,+L201*3,"N/A")</f>
        <v>#N/A</v>
      </c>
      <c r="O201" s="598" t="e">
        <f ca="1">INDIRECT(ADDRESS((ROW(INDIRECT($D$191))+8),(COLUMN(INDIRECT($D$191))+4),3))</f>
        <v>#N/A</v>
      </c>
      <c r="P201" s="598" t="e">
        <f ca="1">IF(O201&lt;=Magick!$D$3,ROUND((21*(O201/(Magick!$D$3))),0),"N/A")</f>
        <v>#N/A</v>
      </c>
      <c r="Q201" s="598" t="e">
        <f ca="1">IF(O201&lt;=Magick!$D$3,+O201*3,"N/A")</f>
        <v>#N/A</v>
      </c>
      <c r="R201" s="598" t="e">
        <f ca="1">INDIRECT(ADDRESS((ROW(INDIRECT($D$191))+8),(COLUMN(INDIRECT($D$191))+5),3))</f>
        <v>#N/A</v>
      </c>
      <c r="S201" s="598" t="e">
        <f ca="1">IF(R201&lt;=Magick!$D$3,ROUND((21*(R201/(Magick!$D$3))),0),"N/A")</f>
        <v>#N/A</v>
      </c>
      <c r="T201" s="598" t="e">
        <f ca="1">IF(R201&lt;=Magick!$D$3,+R201*3,"N/A")</f>
        <v>#N/A</v>
      </c>
      <c r="U201" s="598" t="e">
        <f ca="1">INDIRECT(ADDRESS((ROW(INDIRECT($D$191))+8),(COLUMN(INDIRECT($D$191))+6),3))</f>
        <v>#N/A</v>
      </c>
      <c r="V201" s="598" t="e">
        <f ca="1">IF(U201&lt;=Magick!$D$3,ROUND((21*(U201/(Magick!$D$3))),0),"N/A")</f>
        <v>#N/A</v>
      </c>
      <c r="W201" s="598" t="e">
        <f ca="1">IF(U201&lt;=Magick!$D$3,+U201*3,"N/A")</f>
        <v>#N/A</v>
      </c>
      <c r="X201" s="598" t="e">
        <f ca="1">INDIRECT(ADDRESS((ROW(INDIRECT($D$191))+8),(COLUMN(INDIRECT($D$191))+7),3))</f>
        <v>#N/A</v>
      </c>
      <c r="Y201" s="598" t="e">
        <f ca="1">IF(X201&lt;=Magick!$D$3,ROUND((21*(X201/(Magick!$D$3))),0),"N/A")</f>
        <v>#N/A</v>
      </c>
      <c r="Z201" s="598" t="e">
        <f ca="1">IF(X201&lt;=Magick!$D$3,+X201*3,"N/A")</f>
        <v>#N/A</v>
      </c>
      <c r="AA201" s="598" t="e">
        <f ca="1">INDIRECT(ADDRESS((ROW(INDIRECT($D$191))+8),(COLUMN(INDIRECT($D$191))+8),3))</f>
        <v>#N/A</v>
      </c>
      <c r="AB201" s="598" t="e">
        <f ca="1">IF(AA201&lt;=Magick!$D$3,ROUND((21*(AA201/(Magick!$D$3))),0),"N/A")</f>
        <v>#N/A</v>
      </c>
      <c r="AC201" s="598" t="e">
        <f ca="1">IF(AA201&lt;=Magick!$D$3,+AA201*3,"N/A")</f>
        <v>#N/A</v>
      </c>
      <c r="AD201" s="598" t="e">
        <f ca="1">INDIRECT(ADDRESS((ROW(INDIRECT($D$191))+8),(COLUMN(INDIRECT($D$191))+9),3))</f>
        <v>#N/A</v>
      </c>
      <c r="AE201" s="598" t="e">
        <f ca="1">IF(AD201&lt;=Magick!$D$3,ROUND((21*(AD201/(Magick!$D$3))),0),"N/A")</f>
        <v>#N/A</v>
      </c>
      <c r="AF201" s="598" t="e">
        <f ca="1">IF(AD201&lt;=Magick!$D$3,+AD201*3,"N/A")</f>
        <v>#N/A</v>
      </c>
    </row>
    <row r="202" spans="1:32">
      <c r="A202" s="598">
        <f ca="1">INDIRECT(ADDRESS((ROW(INDIRECT($E$191))+9),(COLUMN(INDIRECT($E$191))),3))</f>
        <v>0</v>
      </c>
      <c r="B202" s="598" t="s">
        <v>1632</v>
      </c>
      <c r="C202" s="598">
        <f ca="1">INDIRECT(ADDRESS((ROW(INDIRECT($D$191))+9),(COLUMN(INDIRECT($D$191))),3))</f>
        <v>1</v>
      </c>
      <c r="D202" s="598">
        <f ca="1">IF(C202&lt;=Magick!$D$3,ROUND((21*(C202/(Magick!$D$3))),0),"N/A")</f>
        <v>11</v>
      </c>
      <c r="E202" s="598">
        <f ca="1">IF(C202&lt;=Magick!$D$3,+C202*3,"N/A")</f>
        <v>3</v>
      </c>
      <c r="F202" s="598">
        <f ca="1">INDIRECT(ADDRESS((ROW(INDIRECT($D$191))+9),(COLUMN(INDIRECT($D$191))+1),3))</f>
        <v>2</v>
      </c>
      <c r="G202" s="598">
        <f ca="1">IF(F202&lt;=Magick!$D$3,ROUND((21*(F202/(Magick!$D$3))),0),"N/A")</f>
        <v>21</v>
      </c>
      <c r="H202" s="598">
        <f ca="1">IF(F202&lt;=Magick!$D$3,+F202*3,"N/A")</f>
        <v>6</v>
      </c>
      <c r="I202" s="598">
        <f ca="1">INDIRECT(ADDRESS((ROW(INDIRECT($D$191))+9),(COLUMN(INDIRECT($D$191))+2),3))</f>
        <v>3</v>
      </c>
      <c r="J202" s="598" t="str">
        <f ca="1">IF(I202&lt;=Magick!$D$3,ROUND((21*(I202/(Magick!$D$3))),0),"N/A")</f>
        <v>N/A</v>
      </c>
      <c r="K202" s="598" t="str">
        <f ca="1">IF(I202&lt;=Magick!$D$3,+I202*3,"N/A")</f>
        <v>N/A</v>
      </c>
      <c r="L202" s="598">
        <f ca="1">INDIRECT(ADDRESS((ROW(INDIRECT($D$191))+9),(COLUMN(INDIRECT($D$191))+3),3))</f>
        <v>4</v>
      </c>
      <c r="M202" s="598" t="str">
        <f ca="1">IF(L202&lt;=Magick!$D$3,ROUND((21*(L202/(Magick!$D$3))),0),"N/A")</f>
        <v>N/A</v>
      </c>
      <c r="N202" s="598" t="str">
        <f ca="1">IF(L202&lt;=Magick!$D$3,+L202*3,"N/A")</f>
        <v>N/A</v>
      </c>
      <c r="O202" s="598">
        <f ca="1">INDIRECT(ADDRESS((ROW(INDIRECT($D$191))+9),(COLUMN(INDIRECT($D$191))+4),3))</f>
        <v>5</v>
      </c>
      <c r="P202" s="598" t="str">
        <f ca="1">IF(O202&lt;=Magick!$D$3,ROUND((21*(O202/(Magick!$D$3))),0),"N/A")</f>
        <v>N/A</v>
      </c>
      <c r="Q202" s="598" t="str">
        <f ca="1">IF(O202&lt;=Magick!$D$3,+O202*3,"N/A")</f>
        <v>N/A</v>
      </c>
      <c r="R202" s="598">
        <f ca="1">INDIRECT(ADDRESS((ROW(INDIRECT($D$191))+9),(COLUMN(INDIRECT($D$191))+5),3))</f>
        <v>6</v>
      </c>
      <c r="S202" s="598" t="str">
        <f ca="1">IF(R202&lt;=Magick!$D$3,ROUND((21*(R202/(Magick!$D$3))),0),"N/A")</f>
        <v>N/A</v>
      </c>
      <c r="T202" s="598" t="str">
        <f ca="1">IF(R202&lt;=Magick!$D$3,+R202*3,"N/A")</f>
        <v>N/A</v>
      </c>
      <c r="U202" s="598">
        <f ca="1">INDIRECT(ADDRESS((ROW(INDIRECT($D$191))+9),(COLUMN(INDIRECT($D$191))+6),3))</f>
        <v>7</v>
      </c>
      <c r="V202" s="598" t="str">
        <f ca="1">IF(U202&lt;=Magick!$D$3,ROUND((21*(U202/(Magick!$D$3))),0),"N/A")</f>
        <v>N/A</v>
      </c>
      <c r="W202" s="598" t="str">
        <f ca="1">IF(U202&lt;=Magick!$D$3,+U202*3,"N/A")</f>
        <v>N/A</v>
      </c>
      <c r="X202" s="598">
        <f ca="1">INDIRECT(ADDRESS((ROW(INDIRECT($D$191))+9),(COLUMN(INDIRECT($D$191))+7),3))</f>
        <v>8</v>
      </c>
      <c r="Y202" s="598" t="str">
        <f ca="1">IF(X202&lt;=Magick!$D$3,ROUND((21*(X202/(Magick!$D$3))),0),"N/A")</f>
        <v>N/A</v>
      </c>
      <c r="Z202" s="598" t="str">
        <f ca="1">IF(X202&lt;=Magick!$D$3,+X202*3,"N/A")</f>
        <v>N/A</v>
      </c>
      <c r="AA202" s="598">
        <f ca="1">INDIRECT(ADDRESS((ROW(INDIRECT($D$191))+9),(COLUMN(INDIRECT($D$191))+8),3))</f>
        <v>9</v>
      </c>
      <c r="AB202" s="598" t="str">
        <f ca="1">IF(AA202&lt;=Magick!$D$3,ROUND((21*(AA202/(Magick!$D$3))),0),"N/A")</f>
        <v>N/A</v>
      </c>
      <c r="AC202" s="598" t="str">
        <f ca="1">IF(AA202&lt;=Magick!$D$3,+AA202*3,"N/A")</f>
        <v>N/A</v>
      </c>
      <c r="AD202" s="598">
        <f ca="1">INDIRECT(ADDRESS((ROW(INDIRECT($D$191))+9),(COLUMN(INDIRECT($D$191))+9),3))</f>
        <v>10</v>
      </c>
      <c r="AE202" s="598" t="str">
        <f ca="1">IF(AD202&lt;=Magick!$D$3,ROUND((21*(AD202/(Magick!$D$3))),0),"N/A")</f>
        <v>N/A</v>
      </c>
      <c r="AF202" s="598" t="str">
        <f ca="1">IF(AD202&lt;=Magick!$D$3,+AD202*3,"N/A")</f>
        <v>N/A</v>
      </c>
    </row>
    <row r="203" spans="1:32">
      <c r="A203" s="598">
        <f ca="1">INDIRECT(ADDRESS((ROW(INDIRECT($E$191))+10),(COLUMN(INDIRECT($E$191))),3))</f>
        <v>0</v>
      </c>
      <c r="B203" s="598" t="s">
        <v>3466</v>
      </c>
      <c r="C203" s="598">
        <f ca="1">INDIRECT(ADDRESS((ROW(INDIRECT($D$191))+10),(COLUMN(INDIRECT($D$191))),3))</f>
        <v>1</v>
      </c>
      <c r="D203" s="598">
        <f ca="1">IF(C203&lt;=Magick!$D$3,ROUND((21*(C203/(Magick!$D$3))),0),"N/A")</f>
        <v>11</v>
      </c>
      <c r="E203" s="598">
        <f ca="1">IF(C203&lt;=Magick!$D$3,+C203*3,"N/A")</f>
        <v>3</v>
      </c>
      <c r="F203" s="598">
        <f ca="1">INDIRECT(ADDRESS((ROW(INDIRECT($D$191))+10),(COLUMN(INDIRECT($D$191))+1),3))</f>
        <v>2</v>
      </c>
      <c r="G203" s="598">
        <f ca="1">IF(F203&lt;=Magick!$D$3,ROUND((21*(F203/(Magick!$D$3))),0),"N/A")</f>
        <v>21</v>
      </c>
      <c r="H203" s="598">
        <f ca="1">IF(F203&lt;=Magick!$D$3,+F203*3,"N/A")</f>
        <v>6</v>
      </c>
      <c r="I203" s="598">
        <f ca="1">INDIRECT(ADDRESS((ROW(INDIRECT($D$191))+10),(COLUMN(INDIRECT($D$191))+2),3))</f>
        <v>3</v>
      </c>
      <c r="J203" s="598" t="str">
        <f ca="1">IF(I203&lt;=Magick!$D$3,ROUND((21*(I203/(Magick!$D$3))),0),"N/A")</f>
        <v>N/A</v>
      </c>
      <c r="K203" s="598" t="str">
        <f ca="1">IF(I203&lt;=Magick!$D$3,+I203*3,"N/A")</f>
        <v>N/A</v>
      </c>
      <c r="L203" s="598">
        <f ca="1">INDIRECT(ADDRESS((ROW(INDIRECT($D$191))+10),(COLUMN(INDIRECT($D$191))+3),3))</f>
        <v>4</v>
      </c>
      <c r="M203" s="598" t="str">
        <f ca="1">IF(L203&lt;=Magick!$D$3,ROUND((21*(L203/(Magick!$D$3))),0),"N/A")</f>
        <v>N/A</v>
      </c>
      <c r="N203" s="598" t="str">
        <f ca="1">IF(L203&lt;=Magick!$D$3,+L203*3,"N/A")</f>
        <v>N/A</v>
      </c>
      <c r="O203" s="598">
        <f ca="1">INDIRECT(ADDRESS((ROW(INDIRECT($D$191))+10),(COLUMN(INDIRECT($D$191))+4),3))</f>
        <v>5</v>
      </c>
      <c r="P203" s="598" t="str">
        <f ca="1">IF(O203&lt;=Magick!$D$3,ROUND((21*(O203/(Magick!$D$3))),0),"N/A")</f>
        <v>N/A</v>
      </c>
      <c r="Q203" s="598" t="str">
        <f ca="1">IF(O203&lt;=Magick!$D$3,+O203*3,"N/A")</f>
        <v>N/A</v>
      </c>
      <c r="R203" s="598">
        <f ca="1">INDIRECT(ADDRESS((ROW(INDIRECT($D$191))+10),(COLUMN(INDIRECT($D$191))+5),3))</f>
        <v>6</v>
      </c>
      <c r="S203" s="598" t="str">
        <f ca="1">IF(R203&lt;=Magick!$D$3,ROUND((21*(R203/(Magick!$D$3))),0),"N/A")</f>
        <v>N/A</v>
      </c>
      <c r="T203" s="598" t="str">
        <f ca="1">IF(R203&lt;=Magick!$D$3,+R203*3,"N/A")</f>
        <v>N/A</v>
      </c>
      <c r="U203" s="598">
        <f ca="1">INDIRECT(ADDRESS((ROW(INDIRECT($D$191))+10),(COLUMN(INDIRECT($D$191))+6),3))</f>
        <v>7</v>
      </c>
      <c r="V203" s="598" t="str">
        <f ca="1">IF(U203&lt;=Magick!$D$3,ROUND((21*(U203/(Magick!$D$3))),0),"N/A")</f>
        <v>N/A</v>
      </c>
      <c r="W203" s="598" t="str">
        <f ca="1">IF(U203&lt;=Magick!$D$3,+U203*3,"N/A")</f>
        <v>N/A</v>
      </c>
      <c r="X203" s="598">
        <f ca="1">INDIRECT(ADDRESS((ROW(INDIRECT($D$191))+10),(COLUMN(INDIRECT($D$191))+7),3))</f>
        <v>8</v>
      </c>
      <c r="Y203" s="598" t="str">
        <f ca="1">IF(X203&lt;=Magick!$D$3,ROUND((21*(X203/(Magick!$D$3))),0),"N/A")</f>
        <v>N/A</v>
      </c>
      <c r="Z203" s="598" t="str">
        <f ca="1">IF(X203&lt;=Magick!$D$3,+X203*3,"N/A")</f>
        <v>N/A</v>
      </c>
      <c r="AA203" s="598">
        <f ca="1">INDIRECT(ADDRESS((ROW(INDIRECT($D$191))+10),(COLUMN(INDIRECT($D$191))+8),3))</f>
        <v>9</v>
      </c>
      <c r="AB203" s="598" t="str">
        <f ca="1">IF(AA203&lt;=Magick!$D$3,ROUND((21*(AA203/(Magick!$D$3))),0),"N/A")</f>
        <v>N/A</v>
      </c>
      <c r="AC203" s="598" t="str">
        <f ca="1">IF(AA203&lt;=Magick!$D$3,+AA203*3,"N/A")</f>
        <v>N/A</v>
      </c>
      <c r="AD203" s="598">
        <f ca="1">INDIRECT(ADDRESS((ROW(INDIRECT($D$191))+10),(COLUMN(INDIRECT($D$191))+9),3))</f>
        <v>10</v>
      </c>
      <c r="AE203" s="598" t="str">
        <f ca="1">IF(AD203&lt;=Magick!$D$3,ROUND((21*(AD203/(Magick!$D$3))),0),"N/A")</f>
        <v>N/A</v>
      </c>
      <c r="AF203" s="598" t="str">
        <f ca="1">IF(AD203&lt;=Magick!$D$3,+AD203*3,"N/A")</f>
        <v>N/A</v>
      </c>
    </row>
    <row r="204" spans="1:32">
      <c r="A204" s="598" t="e">
        <f ca="1">INDIRECT(ADDRESS((ROW(INDIRECT($E$191))+11),(COLUMN(INDIRECT($E$191))),3))</f>
        <v>#N/A</v>
      </c>
      <c r="B204" s="598" t="s">
        <v>2347</v>
      </c>
      <c r="C204" s="598" t="e">
        <f ca="1">INDIRECT(ADDRESS((ROW(INDIRECT($D$191))+11),(COLUMN(INDIRECT($D$191))),3))</f>
        <v>#N/A</v>
      </c>
      <c r="D204" s="598" t="e">
        <f ca="1">IF(C204&lt;=Magick!$D$3,ROUND((21*(C204/(Magick!$D$3))),0),"N/A")</f>
        <v>#N/A</v>
      </c>
      <c r="E204" s="598" t="e">
        <f ca="1">IF(C204&lt;=Magick!$D$3,+C204*3,"N/A")</f>
        <v>#N/A</v>
      </c>
      <c r="F204" s="598" t="e">
        <f ca="1">INDIRECT(ADDRESS((ROW(INDIRECT($D$191))+11),(COLUMN(INDIRECT($D$191))+1),3))</f>
        <v>#N/A</v>
      </c>
      <c r="G204" s="598" t="e">
        <f ca="1">IF(F204&lt;=Magick!$D$3,ROUND((21*(F204/(Magick!$D$3))),0),"N/A")</f>
        <v>#N/A</v>
      </c>
      <c r="H204" s="598" t="e">
        <f ca="1">IF(F204&lt;=Magick!$D$3,+F204*3,"N/A")</f>
        <v>#N/A</v>
      </c>
      <c r="I204" s="598" t="e">
        <f ca="1">INDIRECT(ADDRESS((ROW(INDIRECT($D$191))+11),(COLUMN(INDIRECT($D$191))+2),3))</f>
        <v>#N/A</v>
      </c>
      <c r="J204" s="598" t="e">
        <f ca="1">IF(I204&lt;=Magick!$D$3,ROUND((21*(I204/(Magick!$D$3))),0),"N/A")</f>
        <v>#N/A</v>
      </c>
      <c r="K204" s="598" t="e">
        <f ca="1">IF(I204&lt;=Magick!$D$3,+I204*3,"N/A")</f>
        <v>#N/A</v>
      </c>
      <c r="L204" s="598" t="e">
        <f ca="1">INDIRECT(ADDRESS((ROW(INDIRECT($D$191))+11),(COLUMN(INDIRECT($D$191))+3),3))</f>
        <v>#N/A</v>
      </c>
      <c r="M204" s="598" t="e">
        <f ca="1">IF(L204&lt;=Magick!$D$3,ROUND((21*(L204/(Magick!$D$3))),0),"N/A")</f>
        <v>#N/A</v>
      </c>
      <c r="N204" s="598" t="e">
        <f ca="1">IF(L204&lt;=Magick!$D$3,+L204*3,"N/A")</f>
        <v>#N/A</v>
      </c>
      <c r="O204" s="598" t="e">
        <f ca="1">INDIRECT(ADDRESS((ROW(INDIRECT($D$191))+11),(COLUMN(INDIRECT($D$191))+4),3))</f>
        <v>#N/A</v>
      </c>
      <c r="P204" s="598" t="e">
        <f ca="1">IF(O204&lt;=Magick!$D$3,ROUND((21*(O204/(Magick!$D$3))),0),"N/A")</f>
        <v>#N/A</v>
      </c>
      <c r="Q204" s="598" t="e">
        <f ca="1">IF(O204&lt;=Magick!$D$3,+O204*3,"N/A")</f>
        <v>#N/A</v>
      </c>
      <c r="R204" s="598" t="e">
        <f ca="1">INDIRECT(ADDRESS((ROW(INDIRECT($D$191))+11),(COLUMN(INDIRECT($D$191))+5),3))</f>
        <v>#N/A</v>
      </c>
      <c r="S204" s="598" t="e">
        <f ca="1">IF(R204&lt;=Magick!$D$3,ROUND((21*(R204/(Magick!$D$3))),0),"N/A")</f>
        <v>#N/A</v>
      </c>
      <c r="T204" s="598" t="e">
        <f ca="1">IF(R204&lt;=Magick!$D$3,+R204*3,"N/A")</f>
        <v>#N/A</v>
      </c>
      <c r="U204" s="598" t="e">
        <f ca="1">INDIRECT(ADDRESS((ROW(INDIRECT($D$191))+11),(COLUMN(INDIRECT($D$191))+6),3))</f>
        <v>#N/A</v>
      </c>
      <c r="V204" s="598" t="e">
        <f ca="1">IF(U204&lt;=Magick!$D$3,ROUND((21*(U204/(Magick!$D$3))),0),"N/A")</f>
        <v>#N/A</v>
      </c>
      <c r="W204" s="598" t="e">
        <f ca="1">IF(U204&lt;=Magick!$D$3,+U204*3,"N/A")</f>
        <v>#N/A</v>
      </c>
      <c r="X204" s="598" t="e">
        <f ca="1">INDIRECT(ADDRESS((ROW(INDIRECT($D$191))+11),(COLUMN(INDIRECT($D$191))+7),3))</f>
        <v>#N/A</v>
      </c>
      <c r="Y204" s="598" t="e">
        <f ca="1">IF(X204&lt;=Magick!$D$3,ROUND((21*(X204/(Magick!$D$3))),0),"N/A")</f>
        <v>#N/A</v>
      </c>
      <c r="Z204" s="598" t="e">
        <f ca="1">IF(X204&lt;=Magick!$D$3,+X204*3,"N/A")</f>
        <v>#N/A</v>
      </c>
      <c r="AA204" s="598" t="e">
        <f ca="1">INDIRECT(ADDRESS((ROW(INDIRECT($D$191))+11),(COLUMN(INDIRECT($D$191))+8),3))</f>
        <v>#N/A</v>
      </c>
      <c r="AB204" s="598" t="e">
        <f ca="1">IF(AA204&lt;=Magick!$D$3,ROUND((21*(AA204/(Magick!$D$3))),0),"N/A")</f>
        <v>#N/A</v>
      </c>
      <c r="AC204" s="598" t="e">
        <f ca="1">IF(AA204&lt;=Magick!$D$3,+AA204*3,"N/A")</f>
        <v>#N/A</v>
      </c>
      <c r="AD204" s="598" t="e">
        <f ca="1">INDIRECT(ADDRESS((ROW(INDIRECT($D$191))+11),(COLUMN(INDIRECT($D$191))+9),3))</f>
        <v>#N/A</v>
      </c>
      <c r="AE204" s="598" t="e">
        <f ca="1">IF(AD204&lt;=Magick!$D$3,ROUND((21*(AD204/(Magick!$D$3))),0),"N/A")</f>
        <v>#N/A</v>
      </c>
      <c r="AF204" s="598" t="e">
        <f ca="1">IF(AD204&lt;=Magick!$D$3,+AD204*3,"N/A")</f>
        <v>#N/A</v>
      </c>
    </row>
    <row r="205" spans="1:32">
      <c r="A205" s="598" t="e">
        <f ca="1">INDIRECT(ADDRESS((ROW(INDIRECT($E$191))+12),(COLUMN(INDIRECT($E$191))),3))</f>
        <v>#N/A</v>
      </c>
      <c r="B205" s="598" t="s">
        <v>2348</v>
      </c>
      <c r="C205" s="598" t="e">
        <f ca="1">INDIRECT(ADDRESS((ROW(INDIRECT($D$191))+12),(COLUMN(INDIRECT($D$191))),3))</f>
        <v>#N/A</v>
      </c>
      <c r="D205" s="598" t="e">
        <f ca="1">IF(C205&lt;=Magick!$D$3,ROUND((21*(C205/(Magick!$D$3))),0),"N/A")</f>
        <v>#N/A</v>
      </c>
      <c r="E205" s="598" t="e">
        <f ca="1">IF(C205&lt;=Magick!$D$3,+C205*3,"N/A")</f>
        <v>#N/A</v>
      </c>
      <c r="F205" s="598" t="e">
        <f ca="1">INDIRECT(ADDRESS((ROW(INDIRECT($D$191))+12),(COLUMN(INDIRECT($D$191))+1),3))</f>
        <v>#N/A</v>
      </c>
      <c r="G205" s="598" t="e">
        <f ca="1">IF(F205&lt;=Magick!$D$3,ROUND((21*(F205/(Magick!$D$3))),0),"N/A")</f>
        <v>#N/A</v>
      </c>
      <c r="H205" s="598" t="e">
        <f ca="1">IF(F205&lt;=Magick!$D$3,+F205*3,"N/A")</f>
        <v>#N/A</v>
      </c>
      <c r="I205" s="598" t="e">
        <f ca="1">INDIRECT(ADDRESS((ROW(INDIRECT($D$191))+12),(COLUMN(INDIRECT($D$191))+2),3))</f>
        <v>#N/A</v>
      </c>
      <c r="J205" s="598" t="e">
        <f ca="1">IF(I205&lt;=Magick!$D$3,ROUND((21*(I205/(Magick!$D$3))),0),"N/A")</f>
        <v>#N/A</v>
      </c>
      <c r="K205" s="598" t="e">
        <f ca="1">IF(I205&lt;=Magick!$D$3,+I205*3,"N/A")</f>
        <v>#N/A</v>
      </c>
      <c r="L205" s="598" t="e">
        <f ca="1">INDIRECT(ADDRESS((ROW(INDIRECT($D$191))+12),(COLUMN(INDIRECT($D$191))+3),3))</f>
        <v>#N/A</v>
      </c>
      <c r="M205" s="598" t="e">
        <f ca="1">IF(L205&lt;=Magick!$D$3,ROUND((21*(L205/(Magick!$D$3))),0),"N/A")</f>
        <v>#N/A</v>
      </c>
      <c r="N205" s="598" t="e">
        <f ca="1">IF(L205&lt;=Magick!$D$3,+L205*3,"N/A")</f>
        <v>#N/A</v>
      </c>
      <c r="O205" s="598" t="e">
        <f ca="1">INDIRECT(ADDRESS((ROW(INDIRECT($D$191))+12),(COLUMN(INDIRECT($D$191))+4),3))</f>
        <v>#N/A</v>
      </c>
      <c r="P205" s="598" t="e">
        <f ca="1">IF(O205&lt;=Magick!$D$3,ROUND((21*(O205/(Magick!$D$3))),0),"N/A")</f>
        <v>#N/A</v>
      </c>
      <c r="Q205" s="598" t="e">
        <f ca="1">IF(O205&lt;=Magick!$D$3,+O205*3,"N/A")</f>
        <v>#N/A</v>
      </c>
      <c r="R205" s="598" t="e">
        <f ca="1">INDIRECT(ADDRESS((ROW(INDIRECT($D$191))+12),(COLUMN(INDIRECT($D$191))+5),3))</f>
        <v>#N/A</v>
      </c>
      <c r="S205" s="598" t="e">
        <f ca="1">IF(R205&lt;=Magick!$D$3,ROUND((21*(R205/(Magick!$D$3))),0),"N/A")</f>
        <v>#N/A</v>
      </c>
      <c r="T205" s="598" t="e">
        <f ca="1">IF(R205&lt;=Magick!$D$3,+R205*3,"N/A")</f>
        <v>#N/A</v>
      </c>
      <c r="U205" s="598" t="e">
        <f ca="1">INDIRECT(ADDRESS((ROW(INDIRECT($D$191))+12),(COLUMN(INDIRECT($D$191))+6),3))</f>
        <v>#N/A</v>
      </c>
      <c r="V205" s="598" t="e">
        <f ca="1">IF(U205&lt;=Magick!$D$3,ROUND((21*(U205/(Magick!$D$3))),0),"N/A")</f>
        <v>#N/A</v>
      </c>
      <c r="W205" s="598" t="e">
        <f ca="1">IF(U205&lt;=Magick!$D$3,+U205*3,"N/A")</f>
        <v>#N/A</v>
      </c>
      <c r="X205" s="598" t="e">
        <f ca="1">INDIRECT(ADDRESS((ROW(INDIRECT($D$191))+12),(COLUMN(INDIRECT($D$191))+7),3))</f>
        <v>#N/A</v>
      </c>
      <c r="Y205" s="598" t="e">
        <f ca="1">IF(X205&lt;=Magick!$D$3,ROUND((21*(X205/(Magick!$D$3))),0),"N/A")</f>
        <v>#N/A</v>
      </c>
      <c r="Z205" s="598" t="e">
        <f ca="1">IF(X205&lt;=Magick!$D$3,+X205*3,"N/A")</f>
        <v>#N/A</v>
      </c>
      <c r="AA205" s="598" t="e">
        <f ca="1">INDIRECT(ADDRESS((ROW(INDIRECT($D$191))+12),(COLUMN(INDIRECT($D$191))+8),3))</f>
        <v>#N/A</v>
      </c>
      <c r="AB205" s="598" t="e">
        <f ca="1">IF(AA205&lt;=Magick!$D$3,ROUND((21*(AA205/(Magick!$D$3))),0),"N/A")</f>
        <v>#N/A</v>
      </c>
      <c r="AC205" s="598" t="e">
        <f ca="1">IF(AA205&lt;=Magick!$D$3,+AA205*3,"N/A")</f>
        <v>#N/A</v>
      </c>
      <c r="AD205" s="598" t="e">
        <f ca="1">INDIRECT(ADDRESS((ROW(INDIRECT($D$191))+12),(COLUMN(INDIRECT($D$191))+9),3))</f>
        <v>#N/A</v>
      </c>
      <c r="AE205" s="598" t="e">
        <f ca="1">IF(AD205&lt;=Magick!$D$3,ROUND((21*(AD205/(Magick!$D$3))),0),"N/A")</f>
        <v>#N/A</v>
      </c>
      <c r="AF205" s="598" t="e">
        <f ca="1">IF(AD205&lt;=Magick!$D$3,+AD205*3,"N/A")</f>
        <v>#N/A</v>
      </c>
    </row>
    <row r="206" spans="1:32">
      <c r="A206" s="598" t="e">
        <f ca="1">INDIRECT(ADDRESS((ROW(INDIRECT($E$191))+13),(COLUMN(INDIRECT($E$191))),3))</f>
        <v>#N/A</v>
      </c>
      <c r="B206" s="598" t="s">
        <v>2340</v>
      </c>
      <c r="C206" s="598" t="e">
        <f ca="1">INDIRECT(ADDRESS((ROW(INDIRECT($D$191))+13),(COLUMN(INDIRECT($D$191))),3))</f>
        <v>#N/A</v>
      </c>
      <c r="D206" s="598" t="e">
        <f ca="1">IF(C206&lt;=Magick!$D$3,ROUND((21*(C206/(Magick!$D$3))),0),"N/A")</f>
        <v>#N/A</v>
      </c>
      <c r="E206" s="598" t="e">
        <f ca="1">IF(C206&lt;=Magick!$D$3,+C206*3,"N/A")</f>
        <v>#N/A</v>
      </c>
      <c r="F206" s="598" t="e">
        <f ca="1">INDIRECT(ADDRESS((ROW(INDIRECT($D$191))+13),(COLUMN(INDIRECT($D$191))+1),3))</f>
        <v>#N/A</v>
      </c>
      <c r="G206" s="598" t="e">
        <f ca="1">IF(F206&lt;=Magick!$D$3,ROUND((21*(F206/(Magick!$D$3))),0),"N/A")</f>
        <v>#N/A</v>
      </c>
      <c r="H206" s="598" t="e">
        <f ca="1">IF(F206&lt;=Magick!$D$3,+F206*3,"N/A")</f>
        <v>#N/A</v>
      </c>
      <c r="I206" s="598" t="e">
        <f ca="1">INDIRECT(ADDRESS((ROW(INDIRECT($D$191))+13),(COLUMN(INDIRECT($D$191))+2),3))</f>
        <v>#N/A</v>
      </c>
      <c r="J206" s="598" t="e">
        <f ca="1">IF(I206&lt;=Magick!$D$3,ROUND((21*(I206/(Magick!$D$3))),0),"N/A")</f>
        <v>#N/A</v>
      </c>
      <c r="K206" s="598" t="e">
        <f ca="1">IF(I206&lt;=Magick!$D$3,+I206*3,"N/A")</f>
        <v>#N/A</v>
      </c>
      <c r="L206" s="598" t="e">
        <f ca="1">INDIRECT(ADDRESS((ROW(INDIRECT($D$191))+13),(COLUMN(INDIRECT($D$191))+3),3))</f>
        <v>#N/A</v>
      </c>
      <c r="M206" s="598" t="e">
        <f ca="1">IF(L206&lt;=Magick!$D$3,ROUND((21*(L206/(Magick!$D$3))),0),"N/A")</f>
        <v>#N/A</v>
      </c>
      <c r="N206" s="598" t="e">
        <f ca="1">IF(L206&lt;=Magick!$D$3,+L206*3,"N/A")</f>
        <v>#N/A</v>
      </c>
      <c r="O206" s="598" t="e">
        <f ca="1">INDIRECT(ADDRESS((ROW(INDIRECT($D$191))+13),(COLUMN(INDIRECT($D$191))+4),3))</f>
        <v>#N/A</v>
      </c>
      <c r="P206" s="598" t="e">
        <f ca="1">IF(O206&lt;=Magick!$D$3,ROUND((21*(O206/(Magick!$D$3))),0),"N/A")</f>
        <v>#N/A</v>
      </c>
      <c r="Q206" s="598" t="e">
        <f ca="1">IF(O206&lt;=Magick!$D$3,+O206*3,"N/A")</f>
        <v>#N/A</v>
      </c>
      <c r="R206" s="598" t="e">
        <f ca="1">INDIRECT(ADDRESS((ROW(INDIRECT($D$191))+13),(COLUMN(INDIRECT($D$191))+5),3))</f>
        <v>#N/A</v>
      </c>
      <c r="S206" s="598" t="e">
        <f ca="1">IF(R206&lt;=Magick!$D$3,ROUND((21*(R206/(Magick!$D$3))),0),"N/A")</f>
        <v>#N/A</v>
      </c>
      <c r="T206" s="598" t="e">
        <f ca="1">IF(R206&lt;=Magick!$D$3,+R206*3,"N/A")</f>
        <v>#N/A</v>
      </c>
      <c r="U206" s="598" t="e">
        <f ca="1">INDIRECT(ADDRESS((ROW(INDIRECT($D$191))+13),(COLUMN(INDIRECT($D$191))+6),3))</f>
        <v>#N/A</v>
      </c>
      <c r="V206" s="598" t="e">
        <f ca="1">IF(U206&lt;=Magick!$D$3,ROUND((21*(U206/(Magick!$D$3))),0),"N/A")</f>
        <v>#N/A</v>
      </c>
      <c r="W206" s="598" t="e">
        <f ca="1">IF(U206&lt;=Magick!$D$3,+U206*3,"N/A")</f>
        <v>#N/A</v>
      </c>
      <c r="X206" s="598" t="e">
        <f ca="1">INDIRECT(ADDRESS((ROW(INDIRECT($D$191))+13),(COLUMN(INDIRECT($D$191))+7),3))</f>
        <v>#N/A</v>
      </c>
      <c r="Y206" s="598" t="e">
        <f ca="1">IF(X206&lt;=Magick!$D$3,ROUND((21*(X206/(Magick!$D$3))),0),"N/A")</f>
        <v>#N/A</v>
      </c>
      <c r="Z206" s="598" t="e">
        <f ca="1">IF(X206&lt;=Magick!$D$3,+X206*3,"N/A")</f>
        <v>#N/A</v>
      </c>
      <c r="AA206" s="598" t="e">
        <f ca="1">INDIRECT(ADDRESS((ROW(INDIRECT($D$191))+13),(COLUMN(INDIRECT($D$191))+8),3))</f>
        <v>#N/A</v>
      </c>
      <c r="AB206" s="598" t="e">
        <f ca="1">IF(AA206&lt;=Magick!$D$3,ROUND((21*(AA206/(Magick!$D$3))),0),"N/A")</f>
        <v>#N/A</v>
      </c>
      <c r="AC206" s="598" t="e">
        <f ca="1">IF(AA206&lt;=Magick!$D$3,+AA206*3,"N/A")</f>
        <v>#N/A</v>
      </c>
      <c r="AD206" s="598" t="e">
        <f ca="1">INDIRECT(ADDRESS((ROW(INDIRECT($D$191))+13),(COLUMN(INDIRECT($D$191))+9),3))</f>
        <v>#N/A</v>
      </c>
      <c r="AE206" s="598" t="e">
        <f ca="1">IF(AD206&lt;=Magick!$D$3,ROUND((21*(AD206/(Magick!$D$3))),0),"N/A")</f>
        <v>#N/A</v>
      </c>
      <c r="AF206" s="598" t="e">
        <f ca="1">IF(AD206&lt;=Magick!$D$3,+AD206*3,"N/A")</f>
        <v>#N/A</v>
      </c>
    </row>
    <row r="207" spans="1:32">
      <c r="A207" s="598">
        <f ca="1">INDIRECT(ADDRESS((ROW(INDIRECT($E$191))+14),(COLUMN(INDIRECT($E$191))),3))</f>
        <v>0</v>
      </c>
      <c r="B207" s="598" t="s">
        <v>1633</v>
      </c>
      <c r="C207" s="598">
        <f ca="1">INDIRECT(ADDRESS((ROW(INDIRECT($D$191))+14),(COLUMN(INDIRECT($D$191))),3))</f>
        <v>1</v>
      </c>
      <c r="D207" s="598">
        <f ca="1">IF(C207&lt;=Magick!$D$3,ROUND((21*(C207/(Magick!$D$3))),0),"N/A")</f>
        <v>11</v>
      </c>
      <c r="E207" s="598">
        <f ca="1">IF(C207&lt;=Magick!$D$3,+C207*3,"N/A")</f>
        <v>3</v>
      </c>
      <c r="F207" s="598">
        <f ca="1">INDIRECT(ADDRESS((ROW(INDIRECT($D$191))+14),(COLUMN(INDIRECT($D$191))+1),3))</f>
        <v>2</v>
      </c>
      <c r="G207" s="598">
        <f ca="1">IF(F207&lt;=Magick!$D$3,ROUND((21*(F207/(Magick!$D$3))),0),"N/A")</f>
        <v>21</v>
      </c>
      <c r="H207" s="598">
        <f ca="1">IF(F207&lt;=Magick!$D$3,+F207*3,"N/A")</f>
        <v>6</v>
      </c>
      <c r="I207" s="598">
        <f ca="1">INDIRECT(ADDRESS((ROW(INDIRECT($D$191))+14),(COLUMN(INDIRECT($D$191))+2),3))</f>
        <v>3</v>
      </c>
      <c r="J207" s="598" t="str">
        <f ca="1">IF(I207&lt;=Magick!$D$3,ROUND((21*(I207/(Magick!$D$3))),0),"N/A")</f>
        <v>N/A</v>
      </c>
      <c r="K207" s="598" t="str">
        <f ca="1">IF(I207&lt;=Magick!$D$3,+I207*3,"N/A")</f>
        <v>N/A</v>
      </c>
      <c r="L207" s="598">
        <f ca="1">INDIRECT(ADDRESS((ROW(INDIRECT($D$191))+14),(COLUMN(INDIRECT($D$191))+3),3))</f>
        <v>4</v>
      </c>
      <c r="M207" s="598" t="str">
        <f ca="1">IF(L207&lt;=Magick!$D$3,ROUND((21*(L207/(Magick!$D$3))),0),"N/A")</f>
        <v>N/A</v>
      </c>
      <c r="N207" s="598" t="str">
        <f ca="1">IF(L207&lt;=Magick!$D$3,+L207*3,"N/A")</f>
        <v>N/A</v>
      </c>
      <c r="O207" s="598">
        <f ca="1">INDIRECT(ADDRESS((ROW(INDIRECT($D$191))+14),(COLUMN(INDIRECT($D$191))+4),3))</f>
        <v>5</v>
      </c>
      <c r="P207" s="598" t="str">
        <f ca="1">IF(O207&lt;=Magick!$D$3,ROUND((21*(O207/(Magick!$D$3))),0),"N/A")</f>
        <v>N/A</v>
      </c>
      <c r="Q207" s="598" t="str">
        <f ca="1">IF(O207&lt;=Magick!$D$3,+O207*3,"N/A")</f>
        <v>N/A</v>
      </c>
      <c r="R207" s="598">
        <f ca="1">INDIRECT(ADDRESS((ROW(INDIRECT($D$191))+14),(COLUMN(INDIRECT($D$191))+5),3))</f>
        <v>6</v>
      </c>
      <c r="S207" s="598" t="str">
        <f ca="1">IF(R207&lt;=Magick!$D$3,ROUND((21*(R207/(Magick!$D$3))),0),"N/A")</f>
        <v>N/A</v>
      </c>
      <c r="T207" s="598" t="str">
        <f ca="1">IF(R207&lt;=Magick!$D$3,+R207*3,"N/A")</f>
        <v>N/A</v>
      </c>
      <c r="U207" s="598">
        <f ca="1">INDIRECT(ADDRESS((ROW(INDIRECT($D$191))+14),(COLUMN(INDIRECT($D$191))+6),3))</f>
        <v>7</v>
      </c>
      <c r="V207" s="598" t="str">
        <f ca="1">IF(U207&lt;=Magick!$D$3,ROUND((21*(U207/(Magick!$D$3))),0),"N/A")</f>
        <v>N/A</v>
      </c>
      <c r="W207" s="598" t="str">
        <f ca="1">IF(U207&lt;=Magick!$D$3,+U207*3,"N/A")</f>
        <v>N/A</v>
      </c>
      <c r="X207" s="598">
        <f ca="1">INDIRECT(ADDRESS((ROW(INDIRECT($D$191))+14),(COLUMN(INDIRECT($D$191))+7),3))</f>
        <v>8</v>
      </c>
      <c r="Y207" s="598" t="str">
        <f ca="1">IF(X207&lt;=Magick!$D$3,ROUND((21*(X207/(Magick!$D$3))),0),"N/A")</f>
        <v>N/A</v>
      </c>
      <c r="Z207" s="598" t="str">
        <f ca="1">IF(X207&lt;=Magick!$D$3,+X207*3,"N/A")</f>
        <v>N/A</v>
      </c>
      <c r="AA207" s="598">
        <f ca="1">INDIRECT(ADDRESS((ROW(INDIRECT($D$191))+14),(COLUMN(INDIRECT($D$191))+8),3))</f>
        <v>9</v>
      </c>
      <c r="AB207" s="598" t="str">
        <f ca="1">IF(AA207&lt;=Magick!$D$3,ROUND((21*(AA207/(Magick!$D$3))),0),"N/A")</f>
        <v>N/A</v>
      </c>
      <c r="AC207" s="598" t="str">
        <f ca="1">IF(AA207&lt;=Magick!$D$3,+AA207*3,"N/A")</f>
        <v>N/A</v>
      </c>
      <c r="AD207" s="598">
        <f ca="1">INDIRECT(ADDRESS((ROW(INDIRECT($D$191))+14),(COLUMN(INDIRECT($D$191))+9),3))</f>
        <v>10</v>
      </c>
      <c r="AE207" s="598" t="str">
        <f ca="1">IF(AD207&lt;=Magick!$D$3,ROUND((21*(AD207/(Magick!$D$3))),0),"N/A")</f>
        <v>N/A</v>
      </c>
      <c r="AF207" s="598" t="str">
        <f ca="1">IF(AD207&lt;=Magick!$D$3,+AD207*3,"N/A")</f>
        <v>N/A</v>
      </c>
    </row>
    <row r="208" spans="1:32">
      <c r="A208" s="598">
        <f ca="1">INDIRECT(ADDRESS((ROW(INDIRECT($E$191))+15),(COLUMN(INDIRECT($E$191))),3))</f>
        <v>0</v>
      </c>
      <c r="B208" s="598" t="s">
        <v>1634</v>
      </c>
      <c r="C208" s="598">
        <f ca="1">INDIRECT(ADDRESS((ROW(INDIRECT($D$191))+15),(COLUMN(INDIRECT($D$191))),3))</f>
        <v>1</v>
      </c>
      <c r="D208" s="598">
        <f ca="1">IF(C208&lt;=Magick!$D$3,ROUND((21*(C208/(Magick!$D$3))),0),"N/A")</f>
        <v>11</v>
      </c>
      <c r="E208" s="598">
        <f ca="1">IF(C208&lt;=Magick!$D$3,+C208*3,"N/A")</f>
        <v>3</v>
      </c>
      <c r="F208" s="598">
        <f ca="1">INDIRECT(ADDRESS((ROW(INDIRECT($D$191))+15),(COLUMN(INDIRECT($D$191))+1),3))</f>
        <v>2</v>
      </c>
      <c r="G208" s="598">
        <f ca="1">IF(F208&lt;=Magick!$D$3,ROUND((21*(F208/(Magick!$D$3))),0),"N/A")</f>
        <v>21</v>
      </c>
      <c r="H208" s="598">
        <f ca="1">IF(F208&lt;=Magick!$D$3,+F208*3,"N/A")</f>
        <v>6</v>
      </c>
      <c r="I208" s="598">
        <f ca="1">INDIRECT(ADDRESS((ROW(INDIRECT($D$191))+15),(COLUMN(INDIRECT($D$191))+2),3))</f>
        <v>3</v>
      </c>
      <c r="J208" s="598" t="str">
        <f ca="1">IF(I208&lt;=Magick!$D$3,ROUND((21*(I208/(Magick!$D$3))),0),"N/A")</f>
        <v>N/A</v>
      </c>
      <c r="K208" s="598" t="str">
        <f ca="1">IF(I208&lt;=Magick!$D$3,+I208*3,"N/A")</f>
        <v>N/A</v>
      </c>
      <c r="L208" s="598">
        <f ca="1">INDIRECT(ADDRESS((ROW(INDIRECT($D$191))+15),(COLUMN(INDIRECT($D$191))+3),3))</f>
        <v>4</v>
      </c>
      <c r="M208" s="598" t="str">
        <f ca="1">IF(L208&lt;=Magick!$D$3,ROUND((21*(L208/(Magick!$D$3))),0),"N/A")</f>
        <v>N/A</v>
      </c>
      <c r="N208" s="598" t="str">
        <f ca="1">IF(L208&lt;=Magick!$D$3,+L208*3,"N/A")</f>
        <v>N/A</v>
      </c>
      <c r="O208" s="598">
        <f ca="1">INDIRECT(ADDRESS((ROW(INDIRECT($D$191))+15),(COLUMN(INDIRECT($D$191))+4),3))</f>
        <v>5</v>
      </c>
      <c r="P208" s="598" t="str">
        <f ca="1">IF(O208&lt;=Magick!$D$3,ROUND((21*(O208/(Magick!$D$3))),0),"N/A")</f>
        <v>N/A</v>
      </c>
      <c r="Q208" s="598" t="str">
        <f ca="1">IF(O208&lt;=Magick!$D$3,+O208*3,"N/A")</f>
        <v>N/A</v>
      </c>
      <c r="R208" s="598">
        <f ca="1">INDIRECT(ADDRESS((ROW(INDIRECT($D$191))+15),(COLUMN(INDIRECT($D$191))+5),3))</f>
        <v>6</v>
      </c>
      <c r="S208" s="598" t="str">
        <f ca="1">IF(R208&lt;=Magick!$D$3,ROUND((21*(R208/(Magick!$D$3))),0),"N/A")</f>
        <v>N/A</v>
      </c>
      <c r="T208" s="598" t="str">
        <f ca="1">IF(R208&lt;=Magick!$D$3,+R208*3,"N/A")</f>
        <v>N/A</v>
      </c>
      <c r="U208" s="598">
        <f ca="1">INDIRECT(ADDRESS((ROW(INDIRECT($D$191))+15),(COLUMN(INDIRECT($D$191))+6),3))</f>
        <v>7</v>
      </c>
      <c r="V208" s="598" t="str">
        <f ca="1">IF(U208&lt;=Magick!$D$3,ROUND((21*(U208/(Magick!$D$3))),0),"N/A")</f>
        <v>N/A</v>
      </c>
      <c r="W208" s="598" t="str">
        <f ca="1">IF(U208&lt;=Magick!$D$3,+U208*3,"N/A")</f>
        <v>N/A</v>
      </c>
      <c r="X208" s="598">
        <f ca="1">INDIRECT(ADDRESS((ROW(INDIRECT($D$191))+15),(COLUMN(INDIRECT($D$191))+7),3))</f>
        <v>8</v>
      </c>
      <c r="Y208" s="598" t="str">
        <f ca="1">IF(X208&lt;=Magick!$D$3,ROUND((21*(X208/(Magick!$D$3))),0),"N/A")</f>
        <v>N/A</v>
      </c>
      <c r="Z208" s="598" t="str">
        <f ca="1">IF(X208&lt;=Magick!$D$3,+X208*3,"N/A")</f>
        <v>N/A</v>
      </c>
      <c r="AA208" s="598">
        <f ca="1">INDIRECT(ADDRESS((ROW(INDIRECT($D$191))+15),(COLUMN(INDIRECT($D$191))+8),3))</f>
        <v>9</v>
      </c>
      <c r="AB208" s="598" t="str">
        <f ca="1">IF(AA208&lt;=Magick!$D$3,ROUND((21*(AA208/(Magick!$D$3))),0),"N/A")</f>
        <v>N/A</v>
      </c>
      <c r="AC208" s="598" t="str">
        <f ca="1">IF(AA208&lt;=Magick!$D$3,+AA208*3,"N/A")</f>
        <v>N/A</v>
      </c>
      <c r="AD208" s="598">
        <f ca="1">INDIRECT(ADDRESS((ROW(INDIRECT($D$191))+15),(COLUMN(INDIRECT($D$191))+9),3))</f>
        <v>10</v>
      </c>
      <c r="AE208" s="598" t="str">
        <f ca="1">IF(AD208&lt;=Magick!$D$3,ROUND((21*(AD208/(Magick!$D$3))),0),"N/A")</f>
        <v>N/A</v>
      </c>
      <c r="AF208" s="598" t="str">
        <f ca="1">IF(AD208&lt;=Magick!$D$3,+AD208*3,"N/A")</f>
        <v>N/A</v>
      </c>
    </row>
    <row r="209" spans="1:35">
      <c r="A209" s="598">
        <f ca="1">INDIRECT(ADDRESS((ROW(INDIRECT($E$191))+16),(COLUMN(INDIRECT($E$191))),3))</f>
        <v>0</v>
      </c>
      <c r="B209" s="598" t="s">
        <v>1635</v>
      </c>
      <c r="C209" s="598">
        <f ca="1">INDIRECT(ADDRESS((ROW(INDIRECT($D$191))+16),(COLUMN(INDIRECT($D$191))),3))</f>
        <v>1</v>
      </c>
      <c r="D209" s="598">
        <f ca="1">IF(C209&lt;=Magick!$D$3,ROUND((21*(C209/(Magick!$D$3))),0),"N/A")</f>
        <v>11</v>
      </c>
      <c r="E209" s="598">
        <f ca="1">IF(C209&lt;=Magick!$D$3,+C209*3,"N/A")</f>
        <v>3</v>
      </c>
      <c r="F209" s="598">
        <f ca="1">INDIRECT(ADDRESS((ROW(INDIRECT($D$191))+16),(COLUMN(INDIRECT($D$191))+1),3))</f>
        <v>2</v>
      </c>
      <c r="G209" s="598">
        <f ca="1">IF(F209&lt;=Magick!$D$3,ROUND((21*(F209/(Magick!$D$3))),0),"N/A")</f>
        <v>21</v>
      </c>
      <c r="H209" s="598">
        <f ca="1">IF(F209&lt;=Magick!$D$3,+F209*3,"N/A")</f>
        <v>6</v>
      </c>
      <c r="I209" s="598">
        <f ca="1">INDIRECT(ADDRESS((ROW(INDIRECT($D$191))+16),(COLUMN(INDIRECT($D$191))+2),3))</f>
        <v>3</v>
      </c>
      <c r="J209" s="598" t="str">
        <f ca="1">IF(I209&lt;=Magick!$D$3,ROUND((21*(I209/(Magick!$D$3))),0),"N/A")</f>
        <v>N/A</v>
      </c>
      <c r="K209" s="598" t="str">
        <f ca="1">IF(I209&lt;=Magick!$D$3,+I209*3,"N/A")</f>
        <v>N/A</v>
      </c>
      <c r="L209" s="598">
        <f ca="1">INDIRECT(ADDRESS((ROW(INDIRECT($D$191))+16),(COLUMN(INDIRECT($D$191))+3),3))</f>
        <v>4</v>
      </c>
      <c r="M209" s="598" t="str">
        <f ca="1">IF(L209&lt;=Magick!$D$3,ROUND((21*(L209/(Magick!$D$3))),0),"N/A")</f>
        <v>N/A</v>
      </c>
      <c r="N209" s="598" t="str">
        <f ca="1">IF(L209&lt;=Magick!$D$3,+L209*3,"N/A")</f>
        <v>N/A</v>
      </c>
      <c r="O209" s="598">
        <f ca="1">INDIRECT(ADDRESS((ROW(INDIRECT($D$191))+16),(COLUMN(INDIRECT($D$191))+4),3))</f>
        <v>5</v>
      </c>
      <c r="P209" s="598" t="str">
        <f ca="1">IF(O209&lt;=Magick!$D$3,ROUND((21*(O209/(Magick!$D$3))),0),"N/A")</f>
        <v>N/A</v>
      </c>
      <c r="Q209" s="598" t="str">
        <f ca="1">IF(O209&lt;=Magick!$D$3,+O209*3,"N/A")</f>
        <v>N/A</v>
      </c>
      <c r="R209" s="598">
        <f ca="1">INDIRECT(ADDRESS((ROW(INDIRECT($D$191))+16),(COLUMN(INDIRECT($D$191))+5),3))</f>
        <v>6</v>
      </c>
      <c r="S209" s="598" t="str">
        <f ca="1">IF(R209&lt;=Magick!$D$3,ROUND((21*(R209/(Magick!$D$3))),0),"N/A")</f>
        <v>N/A</v>
      </c>
      <c r="T209" s="598" t="str">
        <f ca="1">IF(R209&lt;=Magick!$D$3,+R209*3,"N/A")</f>
        <v>N/A</v>
      </c>
      <c r="U209" s="598">
        <f ca="1">INDIRECT(ADDRESS((ROW(INDIRECT($D$191))+16),(COLUMN(INDIRECT($D$191))+6),3))</f>
        <v>7</v>
      </c>
      <c r="V209" s="598" t="str">
        <f ca="1">IF(U209&lt;=Magick!$D$3,ROUND((21*(U209/(Magick!$D$3))),0),"N/A")</f>
        <v>N/A</v>
      </c>
      <c r="W209" s="598" t="str">
        <f ca="1">IF(U209&lt;=Magick!$D$3,+U209*3,"N/A")</f>
        <v>N/A</v>
      </c>
      <c r="X209" s="598">
        <f ca="1">INDIRECT(ADDRESS((ROW(INDIRECT($D$191))+16),(COLUMN(INDIRECT($D$191))+7),3))</f>
        <v>8</v>
      </c>
      <c r="Y209" s="598" t="str">
        <f ca="1">IF(X209&lt;=Magick!$D$3,ROUND((21*(X209/(Magick!$D$3))),0),"N/A")</f>
        <v>N/A</v>
      </c>
      <c r="Z209" s="598" t="str">
        <f ca="1">IF(X209&lt;=Magick!$D$3,+X209*3,"N/A")</f>
        <v>N/A</v>
      </c>
      <c r="AA209" s="598">
        <f ca="1">INDIRECT(ADDRESS((ROW(INDIRECT($D$191))+16),(COLUMN(INDIRECT($D$191))+8),3))</f>
        <v>9</v>
      </c>
      <c r="AB209" s="598" t="str">
        <f ca="1">IF(AA209&lt;=Magick!$D$3,ROUND((21*(AA209/(Magick!$D$3))),0),"N/A")</f>
        <v>N/A</v>
      </c>
      <c r="AC209" s="598" t="str">
        <f ca="1">IF(AA209&lt;=Magick!$D$3,+AA209*3,"N/A")</f>
        <v>N/A</v>
      </c>
      <c r="AD209" s="598">
        <f ca="1">INDIRECT(ADDRESS((ROW(INDIRECT($D$191))+16),(COLUMN(INDIRECT($D$191))+9),3))</f>
        <v>10</v>
      </c>
      <c r="AE209" s="598" t="str">
        <f ca="1">IF(AD209&lt;=Magick!$D$3,ROUND((21*(AD209/(Magick!$D$3))),0),"N/A")</f>
        <v>N/A</v>
      </c>
      <c r="AF209" s="598" t="str">
        <f ca="1">IF(AD209&lt;=Magick!$D$3,+AD209*3,"N/A")</f>
        <v>N/A</v>
      </c>
    </row>
    <row r="210" spans="1:35">
      <c r="A210" s="598" t="e">
        <f ca="1">INDIRECT(ADDRESS((ROW(INDIRECT($E$191))+17),(COLUMN(INDIRECT($E$191))),3))</f>
        <v>#N/A</v>
      </c>
      <c r="B210" s="598" t="s">
        <v>1347</v>
      </c>
      <c r="C210" s="598" t="e">
        <f ca="1">INDIRECT(ADDRESS((ROW(INDIRECT($D$191))+17),(COLUMN(INDIRECT($D$191))),3))</f>
        <v>#N/A</v>
      </c>
      <c r="D210" s="598" t="e">
        <f ca="1">IF(C210&lt;=Magick!$D$3,ROUND((21*(C210/(Magick!$D$3))),0),"N/A")</f>
        <v>#N/A</v>
      </c>
      <c r="E210" s="598" t="e">
        <f ca="1">IF(C210&lt;=Magick!$D$3,+C210*3,"N/A")</f>
        <v>#N/A</v>
      </c>
      <c r="F210" s="598" t="e">
        <f ca="1">INDIRECT(ADDRESS((ROW(INDIRECT($D$191))+17),(COLUMN(INDIRECT($D$191))+1),3))</f>
        <v>#N/A</v>
      </c>
      <c r="G210" s="598" t="e">
        <f ca="1">IF(F210&lt;=Magick!$D$3,ROUND((21*(F210/(Magick!$D$3))),0),"N/A")</f>
        <v>#N/A</v>
      </c>
      <c r="H210" s="598" t="e">
        <f ca="1">IF(F210&lt;=Magick!$D$3,+F210*3,"N/A")</f>
        <v>#N/A</v>
      </c>
      <c r="I210" s="598" t="e">
        <f ca="1">INDIRECT(ADDRESS((ROW(INDIRECT($D$191))+17),(COLUMN(INDIRECT($D$191))+2),3))</f>
        <v>#N/A</v>
      </c>
      <c r="J210" s="598" t="e">
        <f ca="1">IF(I210&lt;=Magick!$D$3,ROUND((21*(I210/(Magick!$D$3))),0),"N/A")</f>
        <v>#N/A</v>
      </c>
      <c r="K210" s="598" t="e">
        <f ca="1">IF(I210&lt;=Magick!$D$3,+I210*3,"N/A")</f>
        <v>#N/A</v>
      </c>
      <c r="L210" s="598" t="e">
        <f ca="1">INDIRECT(ADDRESS((ROW(INDIRECT($D$191))+17),(COLUMN(INDIRECT($D$191))+3),3))</f>
        <v>#N/A</v>
      </c>
      <c r="M210" s="598" t="e">
        <f ca="1">IF(L210&lt;=Magick!$D$3,ROUND((21*(L210/(Magick!$D$3))),0),"N/A")</f>
        <v>#N/A</v>
      </c>
      <c r="N210" s="598" t="e">
        <f ca="1">IF(L210&lt;=Magick!$D$3,+L210*3,"N/A")</f>
        <v>#N/A</v>
      </c>
      <c r="O210" s="598" t="e">
        <f ca="1">INDIRECT(ADDRESS((ROW(INDIRECT($D$191))+17),(COLUMN(INDIRECT($D$191))+4),3))</f>
        <v>#N/A</v>
      </c>
      <c r="P210" s="598" t="e">
        <f ca="1">IF(O210&lt;=Magick!$D$3,ROUND((21*(O210/(Magick!$D$3))),0),"N/A")</f>
        <v>#N/A</v>
      </c>
      <c r="Q210" s="598" t="e">
        <f ca="1">IF(O210&lt;=Magick!$D$3,+O210*3,"N/A")</f>
        <v>#N/A</v>
      </c>
      <c r="R210" s="598" t="e">
        <f ca="1">INDIRECT(ADDRESS((ROW(INDIRECT($D$191))+17),(COLUMN(INDIRECT($D$191))+5),3))</f>
        <v>#N/A</v>
      </c>
      <c r="S210" s="598" t="e">
        <f ca="1">IF(R210&lt;=Magick!$D$3,ROUND((21*(R210/(Magick!$D$3))),0),"N/A")</f>
        <v>#N/A</v>
      </c>
      <c r="T210" s="598" t="e">
        <f ca="1">IF(R210&lt;=Magick!$D$3,+R210*3,"N/A")</f>
        <v>#N/A</v>
      </c>
      <c r="U210" s="598" t="e">
        <f ca="1">INDIRECT(ADDRESS((ROW(INDIRECT($D$191))+17),(COLUMN(INDIRECT($D$191))+6),3))</f>
        <v>#N/A</v>
      </c>
      <c r="V210" s="598" t="e">
        <f ca="1">IF(U210&lt;=Magick!$D$3,ROUND((21*(U210/(Magick!$D$3))),0),"N/A")</f>
        <v>#N/A</v>
      </c>
      <c r="W210" s="598" t="e">
        <f ca="1">IF(U210&lt;=Magick!$D$3,+U210*3,"N/A")</f>
        <v>#N/A</v>
      </c>
      <c r="X210" s="598" t="e">
        <f ca="1">INDIRECT(ADDRESS((ROW(INDIRECT($D$191))+17),(COLUMN(INDIRECT($D$191))+7),3))</f>
        <v>#N/A</v>
      </c>
      <c r="Y210" s="598" t="e">
        <f ca="1">IF(X210&lt;=Magick!$D$3,ROUND((21*(X210/(Magick!$D$3))),0),"N/A")</f>
        <v>#N/A</v>
      </c>
      <c r="Z210" s="598" t="e">
        <f ca="1">IF(X210&lt;=Magick!$D$3,+X210*3,"N/A")</f>
        <v>#N/A</v>
      </c>
      <c r="AA210" s="598" t="e">
        <f ca="1">INDIRECT(ADDRESS((ROW(INDIRECT($D$191))+17),(COLUMN(INDIRECT($D$191))+8),3))</f>
        <v>#N/A</v>
      </c>
      <c r="AB210" s="598" t="e">
        <f ca="1">IF(AA210&lt;=Magick!$D$3,ROUND((21*(AA210/(Magick!$D$3))),0),"N/A")</f>
        <v>#N/A</v>
      </c>
      <c r="AC210" s="598" t="e">
        <f ca="1">IF(AA210&lt;=Magick!$D$3,+AA210*3,"N/A")</f>
        <v>#N/A</v>
      </c>
      <c r="AD210" s="598" t="e">
        <f ca="1">INDIRECT(ADDRESS((ROW(INDIRECT($D$191))+17),(COLUMN(INDIRECT($D$191))+9),3))</f>
        <v>#N/A</v>
      </c>
      <c r="AE210" s="598" t="e">
        <f ca="1">IF(AD210&lt;=Magick!$D$3,ROUND((21*(AD210/(Magick!$D$3))),0),"N/A")</f>
        <v>#N/A</v>
      </c>
      <c r="AF210" s="598" t="e">
        <f ca="1">IF(AD210&lt;=Magick!$D$3,+AD210*3,"N/A")</f>
        <v>#N/A</v>
      </c>
    </row>
    <row r="211" spans="1:35">
      <c r="A211" s="598">
        <f ca="1">INDIRECT(ADDRESS((ROW(INDIRECT($E$191))+18),(COLUMN(INDIRECT($E$191))),3))</f>
        <v>0</v>
      </c>
      <c r="B211" s="598" t="s">
        <v>1636</v>
      </c>
      <c r="C211" s="598">
        <f ca="1">INDIRECT(ADDRESS((ROW(INDIRECT($D$191))+18),(COLUMN(INDIRECT($D$191))),3))</f>
        <v>1</v>
      </c>
      <c r="D211" s="598">
        <f ca="1">IF(C211&lt;=Magick!$D$3,ROUND((21*(C211/(Magick!$D$3))),0),"N/A")</f>
        <v>11</v>
      </c>
      <c r="E211" s="598">
        <f ca="1">IF(C211&lt;=Magick!$D$3,+C211*3,"N/A")</f>
        <v>3</v>
      </c>
      <c r="F211" s="598">
        <f ca="1">INDIRECT(ADDRESS((ROW(INDIRECT($D$191))+18),(COLUMN(INDIRECT($D$191))+1),3))</f>
        <v>2</v>
      </c>
      <c r="G211" s="598">
        <f ca="1">IF(F211&lt;=Magick!$D$3,ROUND((21*(F211/(Magick!$D$3))),0),"N/A")</f>
        <v>21</v>
      </c>
      <c r="H211" s="598">
        <f ca="1">IF(F211&lt;=Magick!$D$3,+F211*3,"N/A")</f>
        <v>6</v>
      </c>
      <c r="I211" s="598">
        <f ca="1">INDIRECT(ADDRESS((ROW(INDIRECT($D$191))+18),(COLUMN(INDIRECT($D$191))+2),3))</f>
        <v>3</v>
      </c>
      <c r="J211" s="598" t="str">
        <f ca="1">IF(I211&lt;=Magick!$D$3,ROUND((21*(I211/(Magick!$D$3))),0),"N/A")</f>
        <v>N/A</v>
      </c>
      <c r="K211" s="598" t="str">
        <f ca="1">IF(I211&lt;=Magick!$D$3,+I211*3,"N/A")</f>
        <v>N/A</v>
      </c>
      <c r="L211" s="598">
        <f ca="1">INDIRECT(ADDRESS((ROW(INDIRECT($D$191))+18),(COLUMN(INDIRECT($D$191))+3),3))</f>
        <v>4</v>
      </c>
      <c r="M211" s="598" t="str">
        <f ca="1">IF(L211&lt;=Magick!$D$3,ROUND((21*(L211/(Magick!$D$3))),0),"N/A")</f>
        <v>N/A</v>
      </c>
      <c r="N211" s="598" t="str">
        <f ca="1">IF(L211&lt;=Magick!$D$3,+L211*3,"N/A")</f>
        <v>N/A</v>
      </c>
      <c r="O211" s="598">
        <f ca="1">INDIRECT(ADDRESS((ROW(INDIRECT($D$191))+18),(COLUMN(INDIRECT($D$191))+4),3))</f>
        <v>5</v>
      </c>
      <c r="P211" s="598" t="str">
        <f ca="1">IF(O211&lt;=Magick!$D$3,ROUND((21*(O211/(Magick!$D$3))),0),"N/A")</f>
        <v>N/A</v>
      </c>
      <c r="Q211" s="598" t="str">
        <f ca="1">IF(O211&lt;=Magick!$D$3,+O211*3,"N/A")</f>
        <v>N/A</v>
      </c>
      <c r="R211" s="598">
        <f ca="1">INDIRECT(ADDRESS((ROW(INDIRECT($D$191))+18),(COLUMN(INDIRECT($D$191))+5),3))</f>
        <v>6</v>
      </c>
      <c r="S211" s="598" t="str">
        <f ca="1">IF(R211&lt;=Magick!$D$3,ROUND((21*(R211/(Magick!$D$3))),0),"N/A")</f>
        <v>N/A</v>
      </c>
      <c r="T211" s="598" t="str">
        <f ca="1">IF(R211&lt;=Magick!$D$3,+R211*3,"N/A")</f>
        <v>N/A</v>
      </c>
      <c r="U211" s="598">
        <f ca="1">INDIRECT(ADDRESS((ROW(INDIRECT($D$191))+18),(COLUMN(INDIRECT($D$191))+6),3))</f>
        <v>7</v>
      </c>
      <c r="V211" s="598" t="str">
        <f ca="1">IF(U211&lt;=Magick!$D$3,ROUND((21*(U211/(Magick!$D$3))),0),"N/A")</f>
        <v>N/A</v>
      </c>
      <c r="W211" s="598" t="str">
        <f ca="1">IF(U211&lt;=Magick!$D$3,+U211*3,"N/A")</f>
        <v>N/A</v>
      </c>
      <c r="X211" s="598">
        <f ca="1">INDIRECT(ADDRESS((ROW(INDIRECT($D$191))+18),(COLUMN(INDIRECT($D$191))+7),3))</f>
        <v>8</v>
      </c>
      <c r="Y211" s="598" t="str">
        <f ca="1">IF(X211&lt;=Magick!$D$3,ROUND((21*(X211/(Magick!$D$3))),0),"N/A")</f>
        <v>N/A</v>
      </c>
      <c r="Z211" s="598" t="str">
        <f ca="1">IF(X211&lt;=Magick!$D$3,+X211*3,"N/A")</f>
        <v>N/A</v>
      </c>
      <c r="AA211" s="598">
        <f ca="1">INDIRECT(ADDRESS((ROW(INDIRECT($D$191))+18),(COLUMN(INDIRECT($D$191))+8),3))</f>
        <v>9</v>
      </c>
      <c r="AB211" s="598" t="str">
        <f ca="1">IF(AA211&lt;=Magick!$D$3,ROUND((21*(AA211/(Magick!$D$3))),0),"N/A")</f>
        <v>N/A</v>
      </c>
      <c r="AC211" s="598" t="str">
        <f ca="1">IF(AA211&lt;=Magick!$D$3,+AA211*3,"N/A")</f>
        <v>N/A</v>
      </c>
      <c r="AD211" s="598">
        <f ca="1">INDIRECT(ADDRESS((ROW(INDIRECT($D$191))+18),(COLUMN(INDIRECT($D$191))+9),3))</f>
        <v>10</v>
      </c>
      <c r="AE211" s="598" t="str">
        <f ca="1">IF(AD211&lt;=Magick!$D$3,ROUND((21*(AD211/(Magick!$D$3))),0),"N/A")</f>
        <v>N/A</v>
      </c>
      <c r="AF211" s="598" t="str">
        <f ca="1">IF(AD211&lt;=Magick!$D$3,+AD211*3,"N/A")</f>
        <v>N/A</v>
      </c>
    </row>
    <row r="213" spans="1:35">
      <c r="A213" s="598">
        <f ca="1">INDIRECT(D191)-1</f>
        <v>0</v>
      </c>
      <c r="B213" s="598">
        <v>1</v>
      </c>
      <c r="C213" s="598">
        <v>1</v>
      </c>
      <c r="AH213" s="126" t="s">
        <v>1576</v>
      </c>
      <c r="AI213" s="598" t="s">
        <v>2434</v>
      </c>
    </row>
    <row r="214" spans="1:35">
      <c r="A214" s="598">
        <f ca="1">INDIRECT(ADDRESS((ROW(INDIRECT($D$191))+1),(COLUMN(INDIRECT($D$191))),3))-1</f>
        <v>0</v>
      </c>
      <c r="B214" s="598">
        <v>22</v>
      </c>
      <c r="C214" s="598">
        <v>2</v>
      </c>
      <c r="AH214" s="126" t="s">
        <v>844</v>
      </c>
      <c r="AI214" s="598" t="s">
        <v>999</v>
      </c>
    </row>
    <row r="215" spans="1:35">
      <c r="A215" s="598">
        <f ca="1">INDIRECT(ADDRESS((ROW(INDIRECT($D$191))+2),(COLUMN(INDIRECT($D$191))),3))-1</f>
        <v>0</v>
      </c>
      <c r="B215" s="598">
        <v>29</v>
      </c>
      <c r="C215" s="598">
        <v>3</v>
      </c>
      <c r="AH215" s="126" t="s">
        <v>847</v>
      </c>
      <c r="AI215" s="598" t="s">
        <v>2541</v>
      </c>
    </row>
    <row r="216" spans="1:35">
      <c r="A216" s="598">
        <f ca="1">INDIRECT(ADDRESS((ROW(INDIRECT($D$191))+3),(COLUMN(INDIRECT($D$191))),3))-1</f>
        <v>0</v>
      </c>
      <c r="B216" s="598">
        <v>36</v>
      </c>
      <c r="C216" s="598">
        <v>4</v>
      </c>
      <c r="AH216" s="126" t="s">
        <v>848</v>
      </c>
      <c r="AI216" s="598" t="s">
        <v>1068</v>
      </c>
    </row>
    <row r="217" spans="1:35">
      <c r="A217" s="598">
        <f ca="1">INDIRECT(ADDRESS((ROW(INDIRECT($D$191))+4),(COLUMN(INDIRECT($D$191))),3))-1</f>
        <v>0</v>
      </c>
      <c r="B217" s="598">
        <v>43</v>
      </c>
      <c r="C217" s="598">
        <v>5</v>
      </c>
      <c r="AH217" s="126" t="s">
        <v>845</v>
      </c>
      <c r="AI217" s="598" t="s">
        <v>610</v>
      </c>
    </row>
    <row r="218" spans="1:35">
      <c r="A218" s="598" t="e">
        <f ca="1">INDIRECT(ADDRESS((ROW(INDIRECT($D$191))+5),(COLUMN(INDIRECT($D$191))),3))-1</f>
        <v>#N/A</v>
      </c>
      <c r="B218" s="598">
        <v>50</v>
      </c>
      <c r="C218" s="598">
        <v>6</v>
      </c>
      <c r="AH218" s="126" t="s">
        <v>846</v>
      </c>
      <c r="AI218" s="598" t="s">
        <v>609</v>
      </c>
    </row>
    <row r="219" spans="1:35">
      <c r="A219" s="598">
        <f ca="1">INDIRECT(ADDRESS((ROW(INDIRECT($D$191))+6),(COLUMN(INDIRECT($D$191))),3))-1</f>
        <v>0</v>
      </c>
      <c r="B219" s="598">
        <v>57</v>
      </c>
      <c r="C219" s="598">
        <v>7</v>
      </c>
      <c r="AH219" s="126" t="s">
        <v>1577</v>
      </c>
      <c r="AI219" s="598" t="s">
        <v>2703</v>
      </c>
    </row>
    <row r="220" spans="1:35">
      <c r="A220" s="598">
        <f ca="1">INDIRECT(ADDRESS((ROW(INDIRECT($D$191))+7),(COLUMN(INDIRECT($D$191))),3))-1</f>
        <v>0</v>
      </c>
      <c r="B220" s="598">
        <v>64</v>
      </c>
      <c r="C220" s="598">
        <v>8</v>
      </c>
      <c r="AH220" s="126" t="s">
        <v>1579</v>
      </c>
      <c r="AI220" s="598" t="s">
        <v>75</v>
      </c>
    </row>
    <row r="221" spans="1:35">
      <c r="A221" s="598" t="e">
        <f ca="1">INDIRECT(ADDRESS((ROW(INDIRECT($D$191))+8),(COLUMN(INDIRECT($D$191))),3))-1</f>
        <v>#N/A</v>
      </c>
      <c r="B221" s="598">
        <v>71</v>
      </c>
      <c r="C221" s="598">
        <v>9</v>
      </c>
      <c r="AH221" s="126" t="s">
        <v>849</v>
      </c>
      <c r="AI221" s="598" t="s">
        <v>1557</v>
      </c>
    </row>
    <row r="222" spans="1:35">
      <c r="A222" s="598">
        <f ca="1">INDIRECT(ADDRESS((ROW(INDIRECT($D$191))+9),(COLUMN(INDIRECT($D$191))),3))-1</f>
        <v>0</v>
      </c>
      <c r="B222" s="598">
        <v>78</v>
      </c>
      <c r="C222" s="598">
        <v>10</v>
      </c>
      <c r="AH222" s="126" t="s">
        <v>1580</v>
      </c>
      <c r="AI222" s="598" t="s">
        <v>3657</v>
      </c>
    </row>
    <row r="223" spans="1:35">
      <c r="A223" s="598">
        <f ca="1">INDIRECT(ADDRESS((ROW(INDIRECT($D$191))+10),(COLUMN(INDIRECT($D$191))),3))-1</f>
        <v>0</v>
      </c>
      <c r="B223" s="598">
        <v>85</v>
      </c>
      <c r="C223" s="598">
        <v>11</v>
      </c>
      <c r="AH223" s="126" t="s">
        <v>1581</v>
      </c>
      <c r="AI223" s="598" t="s">
        <v>4792</v>
      </c>
    </row>
    <row r="224" spans="1:35">
      <c r="A224" s="598" t="e">
        <f ca="1">INDIRECT(ADDRESS((ROW(INDIRECT($D$191))+11),(COLUMN(INDIRECT($D$191))),3))-1</f>
        <v>#N/A</v>
      </c>
      <c r="B224" s="598">
        <v>92</v>
      </c>
      <c r="C224" s="598">
        <v>12</v>
      </c>
      <c r="AH224" s="126" t="s">
        <v>2899</v>
      </c>
      <c r="AI224" s="598" t="s">
        <v>2545</v>
      </c>
    </row>
    <row r="225" spans="1:35">
      <c r="A225" s="598" t="e">
        <f ca="1">INDIRECT(ADDRESS((ROW(INDIRECT($D$191))+12),(COLUMN(INDIRECT($D$191))),3))-1</f>
        <v>#N/A</v>
      </c>
      <c r="B225" s="598">
        <v>99</v>
      </c>
      <c r="C225" s="598">
        <v>13</v>
      </c>
      <c r="AH225" s="126" t="s">
        <v>1583</v>
      </c>
      <c r="AI225" s="598" t="s">
        <v>4281</v>
      </c>
    </row>
    <row r="226" spans="1:35">
      <c r="A226" s="598" t="e">
        <f ca="1">INDIRECT(ADDRESS((ROW(INDIRECT($D$191))+13),(COLUMN(INDIRECT($D$191))),3))-1</f>
        <v>#N/A</v>
      </c>
      <c r="B226" s="598">
        <v>106</v>
      </c>
      <c r="C226" s="598">
        <v>14</v>
      </c>
      <c r="AH226" s="126" t="s">
        <v>1831</v>
      </c>
      <c r="AI226" s="598" t="s">
        <v>1627</v>
      </c>
    </row>
    <row r="227" spans="1:35">
      <c r="A227" s="598">
        <f ca="1">INDIRECT(ADDRESS((ROW(INDIRECT($D$191))+14),(COLUMN(INDIRECT($D$191))),3))-1</f>
        <v>0</v>
      </c>
      <c r="B227" s="598">
        <v>113</v>
      </c>
      <c r="C227" s="598">
        <v>15</v>
      </c>
      <c r="AH227" s="519" t="s">
        <v>5416</v>
      </c>
      <c r="AI227" s="598" t="s">
        <v>1159</v>
      </c>
    </row>
    <row r="228" spans="1:35">
      <c r="A228" s="598">
        <f ca="1">INDIRECT(ADDRESS((ROW(INDIRECT($D$191))+15),(COLUMN(INDIRECT($D$191))),3))-1</f>
        <v>0</v>
      </c>
      <c r="B228" s="598">
        <v>120</v>
      </c>
      <c r="C228" s="598">
        <v>16</v>
      </c>
      <c r="AH228" s="519" t="s">
        <v>5417</v>
      </c>
      <c r="AI228" s="598" t="s">
        <v>3268</v>
      </c>
    </row>
    <row r="229" spans="1:35">
      <c r="A229" s="598">
        <f ca="1">INDIRECT(ADDRESS((ROW(INDIRECT($D$191))+16),(COLUMN(INDIRECT($D$191))),3))-1</f>
        <v>0</v>
      </c>
      <c r="B229" s="598">
        <f t="shared" ref="B229:B252" si="812">B228+7</f>
        <v>127</v>
      </c>
      <c r="C229" s="598">
        <v>17</v>
      </c>
      <c r="AH229" s="519" t="s">
        <v>5418</v>
      </c>
      <c r="AI229" s="598" t="s">
        <v>4814</v>
      </c>
    </row>
    <row r="230" spans="1:35">
      <c r="A230" s="598" t="e">
        <f ca="1">INDIRECT(ADDRESS((ROW(INDIRECT($D$191))+17),(COLUMN(INDIRECT($D$191))),3))-1</f>
        <v>#N/A</v>
      </c>
      <c r="B230" s="598">
        <f t="shared" si="812"/>
        <v>134</v>
      </c>
      <c r="C230" s="598">
        <v>18</v>
      </c>
      <c r="AH230" s="519" t="s">
        <v>5419</v>
      </c>
      <c r="AI230" s="598" t="s">
        <v>4816</v>
      </c>
    </row>
    <row r="231" spans="1:35">
      <c r="A231" s="598">
        <f ca="1">INDIRECT(ADDRESS((ROW(INDIRECT($D$191))+18),(COLUMN(INDIRECT($D$191))),3))-1</f>
        <v>0</v>
      </c>
      <c r="B231" s="598">
        <f t="shared" si="812"/>
        <v>141</v>
      </c>
      <c r="C231" s="598">
        <v>19</v>
      </c>
      <c r="AH231" s="519" t="s">
        <v>5420</v>
      </c>
      <c r="AI231" s="598" t="s">
        <v>2543</v>
      </c>
    </row>
    <row r="232" spans="1:35">
      <c r="B232" s="598">
        <f t="shared" si="812"/>
        <v>148</v>
      </c>
      <c r="C232" s="598">
        <v>20</v>
      </c>
      <c r="AH232" s="126" t="s">
        <v>755</v>
      </c>
      <c r="AI232" s="598" t="s">
        <v>5585</v>
      </c>
    </row>
    <row r="233" spans="1:35">
      <c r="B233" s="598">
        <f t="shared" si="812"/>
        <v>155</v>
      </c>
      <c r="C233" s="598">
        <v>21</v>
      </c>
      <c r="AH233" s="519" t="s">
        <v>756</v>
      </c>
      <c r="AI233" s="598" t="s">
        <v>5585</v>
      </c>
    </row>
    <row r="234" spans="1:35">
      <c r="B234" s="598">
        <f t="shared" si="812"/>
        <v>162</v>
      </c>
      <c r="C234" s="598">
        <v>22</v>
      </c>
      <c r="AH234" s="519" t="s">
        <v>757</v>
      </c>
      <c r="AI234" s="598" t="s">
        <v>5585</v>
      </c>
    </row>
    <row r="235" spans="1:35">
      <c r="B235" s="598">
        <f t="shared" si="812"/>
        <v>169</v>
      </c>
      <c r="C235" s="598">
        <v>23</v>
      </c>
      <c r="AH235" s="519" t="s">
        <v>1578</v>
      </c>
      <c r="AI235" s="598" t="s">
        <v>2547</v>
      </c>
    </row>
    <row r="236" spans="1:35">
      <c r="B236" s="598">
        <f t="shared" si="812"/>
        <v>176</v>
      </c>
      <c r="C236" s="598">
        <v>24</v>
      </c>
      <c r="AH236" s="126" t="s">
        <v>318</v>
      </c>
      <c r="AI236" s="598" t="s">
        <v>2547</v>
      </c>
    </row>
    <row r="237" spans="1:35">
      <c r="B237" s="598">
        <f t="shared" si="812"/>
        <v>183</v>
      </c>
      <c r="C237" s="598">
        <v>25</v>
      </c>
      <c r="AH237" s="126" t="s">
        <v>876</v>
      </c>
      <c r="AI237" s="598" t="s">
        <v>2548</v>
      </c>
    </row>
    <row r="238" spans="1:35">
      <c r="B238" s="598">
        <f t="shared" si="812"/>
        <v>190</v>
      </c>
      <c r="C238" s="598">
        <v>26</v>
      </c>
      <c r="AH238" s="126" t="s">
        <v>4761</v>
      </c>
      <c r="AI238" s="598" t="s">
        <v>1139</v>
      </c>
    </row>
    <row r="239" spans="1:35">
      <c r="B239" s="598">
        <f t="shared" si="812"/>
        <v>197</v>
      </c>
      <c r="C239" s="598">
        <v>27</v>
      </c>
      <c r="AH239" s="126" t="s">
        <v>4340</v>
      </c>
      <c r="AI239" s="598" t="s">
        <v>1139</v>
      </c>
    </row>
    <row r="240" spans="1:35">
      <c r="B240" s="598">
        <f t="shared" si="812"/>
        <v>204</v>
      </c>
      <c r="C240" s="598">
        <v>28</v>
      </c>
      <c r="AH240" s="126" t="s">
        <v>452</v>
      </c>
    </row>
    <row r="241" spans="1:35">
      <c r="B241" s="598">
        <f t="shared" si="812"/>
        <v>211</v>
      </c>
      <c r="C241" s="598">
        <v>29</v>
      </c>
      <c r="AH241" s="126" t="s">
        <v>4762</v>
      </c>
    </row>
    <row r="242" spans="1:35">
      <c r="B242" s="598">
        <f t="shared" si="812"/>
        <v>218</v>
      </c>
      <c r="C242" s="598">
        <v>30</v>
      </c>
      <c r="AH242" s="519" t="s">
        <v>1972</v>
      </c>
    </row>
    <row r="243" spans="1:35">
      <c r="B243" s="598">
        <f t="shared" si="812"/>
        <v>225</v>
      </c>
      <c r="C243" s="598">
        <v>31</v>
      </c>
      <c r="AH243" s="519" t="s">
        <v>1973</v>
      </c>
    </row>
    <row r="244" spans="1:35">
      <c r="B244" s="598">
        <f t="shared" si="812"/>
        <v>232</v>
      </c>
      <c r="C244" s="598">
        <v>32</v>
      </c>
      <c r="AH244" s="519" t="s">
        <v>2898</v>
      </c>
    </row>
    <row r="245" spans="1:35">
      <c r="B245" s="598">
        <f t="shared" si="812"/>
        <v>239</v>
      </c>
      <c r="C245" s="598">
        <v>33</v>
      </c>
      <c r="AH245" s="519" t="s">
        <v>1575</v>
      </c>
      <c r="AI245" s="598" t="s">
        <v>4937</v>
      </c>
    </row>
    <row r="246" spans="1:35">
      <c r="B246" s="598">
        <f t="shared" si="812"/>
        <v>246</v>
      </c>
      <c r="C246" s="598">
        <v>34</v>
      </c>
      <c r="AH246" s="519" t="s">
        <v>4345</v>
      </c>
      <c r="AI246" s="598" t="s">
        <v>4281</v>
      </c>
    </row>
    <row r="247" spans="1:35">
      <c r="B247" s="598">
        <f t="shared" si="812"/>
        <v>253</v>
      </c>
      <c r="C247" s="598">
        <v>35</v>
      </c>
      <c r="AH247" s="126" t="s">
        <v>5424</v>
      </c>
      <c r="AI247" s="598" t="s">
        <v>2026</v>
      </c>
    </row>
    <row r="248" spans="1:35">
      <c r="B248" s="598">
        <f t="shared" si="812"/>
        <v>260</v>
      </c>
      <c r="C248" s="598">
        <v>36</v>
      </c>
      <c r="AH248" s="126" t="s">
        <v>4344</v>
      </c>
      <c r="AI248" s="598" t="s">
        <v>3476</v>
      </c>
    </row>
    <row r="249" spans="1:35">
      <c r="B249" s="598">
        <f t="shared" si="812"/>
        <v>267</v>
      </c>
      <c r="C249" s="598">
        <v>37</v>
      </c>
      <c r="AH249" s="126" t="s">
        <v>4338</v>
      </c>
      <c r="AI249" s="598" t="s">
        <v>1628</v>
      </c>
    </row>
    <row r="250" spans="1:35">
      <c r="B250" s="598">
        <f t="shared" si="812"/>
        <v>274</v>
      </c>
      <c r="C250" s="598">
        <v>38</v>
      </c>
      <c r="AH250" s="126" t="s">
        <v>4339</v>
      </c>
      <c r="AI250" s="598" t="s">
        <v>3041</v>
      </c>
    </row>
    <row r="251" spans="1:35">
      <c r="B251" s="598">
        <f t="shared" si="812"/>
        <v>281</v>
      </c>
      <c r="C251" s="598">
        <v>39</v>
      </c>
      <c r="AH251" s="126" t="s">
        <v>1582</v>
      </c>
      <c r="AI251" s="598" t="s">
        <v>354</v>
      </c>
    </row>
    <row r="252" spans="1:35">
      <c r="B252" s="598">
        <f t="shared" si="812"/>
        <v>288</v>
      </c>
      <c r="C252" s="598">
        <v>40</v>
      </c>
      <c r="AH252" s="126" t="s">
        <v>4341</v>
      </c>
      <c r="AI252" s="598" t="s">
        <v>354</v>
      </c>
    </row>
    <row r="253" spans="1:35">
      <c r="AH253" s="126" t="s">
        <v>5421</v>
      </c>
      <c r="AI253" s="598" t="s">
        <v>2549</v>
      </c>
    </row>
    <row r="254" spans="1:35">
      <c r="D254" s="1055" t="s">
        <v>4819</v>
      </c>
      <c r="E254" s="1055" t="s">
        <v>1099</v>
      </c>
      <c r="F254" s="1055" t="s">
        <v>1100</v>
      </c>
      <c r="G254" s="1055" t="s">
        <v>1101</v>
      </c>
      <c r="H254" s="1055" t="s">
        <v>1102</v>
      </c>
      <c r="I254" s="598" t="s">
        <v>2344</v>
      </c>
      <c r="J254" s="598" t="s">
        <v>1631</v>
      </c>
      <c r="K254" s="598" t="s">
        <v>3657</v>
      </c>
      <c r="L254" s="598" t="s">
        <v>1632</v>
      </c>
      <c r="M254" s="598" t="s">
        <v>3466</v>
      </c>
      <c r="N254" s="598" t="s">
        <v>1633</v>
      </c>
      <c r="O254" s="598" t="s">
        <v>1634</v>
      </c>
      <c r="P254" s="598" t="s">
        <v>1635</v>
      </c>
      <c r="Q254" s="598" t="s">
        <v>1636</v>
      </c>
      <c r="R254" s="598" t="s">
        <v>2345</v>
      </c>
      <c r="S254" s="598" t="s">
        <v>2346</v>
      </c>
      <c r="T254" s="598" t="s">
        <v>1347</v>
      </c>
      <c r="U254" s="598" t="s">
        <v>2347</v>
      </c>
      <c r="V254" s="598" t="s">
        <v>2348</v>
      </c>
      <c r="W254" s="598" t="s">
        <v>2340</v>
      </c>
      <c r="AH254" s="126" t="s">
        <v>4342</v>
      </c>
      <c r="AI254" s="598" t="s">
        <v>4799</v>
      </c>
    </row>
    <row r="255" spans="1:35">
      <c r="C255" s="598">
        <v>1</v>
      </c>
      <c r="D255" s="598">
        <v>2</v>
      </c>
      <c r="E255" s="598">
        <v>3</v>
      </c>
      <c r="F255" s="598">
        <v>4</v>
      </c>
      <c r="G255" s="598">
        <v>5</v>
      </c>
      <c r="H255" s="598">
        <v>6</v>
      </c>
      <c r="I255" s="598">
        <v>7</v>
      </c>
      <c r="J255" s="598">
        <v>8</v>
      </c>
      <c r="K255" s="598">
        <v>9</v>
      </c>
      <c r="L255" s="598">
        <v>10</v>
      </c>
      <c r="M255" s="598">
        <v>11</v>
      </c>
      <c r="N255" s="598">
        <v>12</v>
      </c>
      <c r="O255" s="598">
        <v>13</v>
      </c>
      <c r="P255" s="598">
        <v>14</v>
      </c>
      <c r="Q255" s="598">
        <v>15</v>
      </c>
      <c r="R255" s="598">
        <v>16</v>
      </c>
      <c r="S255" s="598">
        <v>17</v>
      </c>
      <c r="T255" s="598">
        <v>18</v>
      </c>
      <c r="U255" s="598">
        <v>19</v>
      </c>
      <c r="V255" s="598">
        <v>20</v>
      </c>
      <c r="W255" s="598">
        <v>21</v>
      </c>
      <c r="Y255" s="1069" t="s">
        <v>4819</v>
      </c>
      <c r="AH255" s="126" t="s">
        <v>5425</v>
      </c>
      <c r="AI255" s="598" t="s">
        <v>5132</v>
      </c>
    </row>
    <row r="256" spans="1:35">
      <c r="A256" s="598">
        <v>1</v>
      </c>
      <c r="B256" s="598" t="s">
        <v>1099</v>
      </c>
      <c r="C256" s="598" t="s">
        <v>2225</v>
      </c>
      <c r="U256" s="598" t="s">
        <v>2225</v>
      </c>
      <c r="V256" s="598" t="s">
        <v>2225</v>
      </c>
      <c r="Y256" s="1069" t="s">
        <v>1099</v>
      </c>
      <c r="AH256" s="126" t="s">
        <v>451</v>
      </c>
      <c r="AI256" s="598" t="s">
        <v>450</v>
      </c>
    </row>
    <row r="257" spans="1:35">
      <c r="A257" s="598">
        <v>2</v>
      </c>
      <c r="B257" s="598" t="s">
        <v>1100</v>
      </c>
      <c r="C257" s="598" t="s">
        <v>2225</v>
      </c>
      <c r="D257" s="598" t="str">
        <f ca="1">IF(ISNUMBER(INDEX(magestuff!$D$499:$Y$615,ROW()-ROW($D$256),COLUMN()-COLUMN($C$257))),INDIRECT("'Master Spell List'!$Z$"&amp;INDEX(magestuff!$D$499:$Y$615,ROW()-ROW($D$256),COLUMN()-COLUMN($C$257))),"")</f>
        <v>Affix</v>
      </c>
      <c r="E257" s="1055" t="str">
        <f ca="1">IF(ISNUMBER(INDEX(magestuff!$D$499:$Y$615,ROW()-ROW($D$256),COLUMN()-COLUMN($C$257))),INDIRECT("'Master Spell List'!$Z$"&amp;INDEX(magestuff!$D$499:$Y$615,ROW()-ROW($D$256),COLUMN()-COLUMN($C$257))),"")</f>
        <v>Warm/Cool</v>
      </c>
      <c r="F257" s="1055" t="str">
        <f ca="1">IF(ISNUMBER(INDEX(magestuff!$D$499:$Y$615,ROW()-ROW($D$256),COLUMN()-COLUMN($C$257))),INDIRECT("'Master Spell List'!$Z$"&amp;INDEX(magestuff!$D$499:$Y$615,ROW()-ROW($D$256),COLUMN()-COLUMN($C$257))),"")</f>
        <v>Command Earth</v>
      </c>
      <c r="G257" s="1055" t="str">
        <f ca="1">IF(ISNUMBER(INDEX(magestuff!$D$499:$Y$615,ROW()-ROW($D$256),COLUMN()-COLUMN($C$257))),INDIRECT("'Master Spell List'!$Z$"&amp;INDEX(magestuff!$D$499:$Y$615,ROW()-ROW($D$256),COLUMN()-COLUMN($C$257))),"")</f>
        <v>Command Natural Fire</v>
      </c>
      <c r="H257" s="1055" t="str">
        <f ca="1">IF(ISNUMBER(INDEX(magestuff!$D$499:$Y$615,ROW()-ROW($D$256),COLUMN()-COLUMN($C$257))),INDIRECT("'Master Spell List'!$Z$"&amp;INDEX(magestuff!$D$499:$Y$615,ROW()-ROW($D$256),COLUMN()-COLUMN($C$257))),"")</f>
        <v>Clouds &amp; Rain</v>
      </c>
      <c r="I257" s="1055" t="str">
        <f ca="1">IF(ISNUMBER(INDEX(magestuff!$D$499:$Y$615,ROW()-ROW($D$256),COLUMN()-COLUMN($C$257))),INDIRECT("'Master Spell List'!$Z$"&amp;INDEX(magestuff!$D$499:$Y$615,ROW()-ROW($D$256),COLUMN()-COLUMN($C$257))),"")</f>
        <v>Dazzle (Faerie Dance, Fireflies)</v>
      </c>
      <c r="J257" s="1055" t="str">
        <f ca="1">IF(ISNUMBER(INDEX(magestuff!$D$499:$Y$615,ROW()-ROW($D$256),COLUMN()-COLUMN($C$257))),INDIRECT("'Master Spell List'!$Z$"&amp;INDEX(magestuff!$D$499:$Y$615,ROW()-ROW($D$256),COLUMN()-COLUMN($C$257))),"")</f>
        <v>Attract</v>
      </c>
      <c r="K257" s="1055" t="str">
        <f ca="1">IF(ISNUMBER(INDEX(magestuff!$D$499:$Y$615,ROW()-ROW($D$256),COLUMN()-COLUMN($C$257))),INDIRECT("'Master Spell List'!$Z$"&amp;INDEX(magestuff!$D$499:$Y$615,ROW()-ROW($D$256),COLUMN()-COLUMN($C$257))),"")</f>
        <v>Detect Hidden Object</v>
      </c>
      <c r="L257" s="1055" t="str">
        <f ca="1">IF(ISNUMBER(INDEX(magestuff!$D$499:$Y$615,ROW()-ROW($D$256),COLUMN()-COLUMN($C$257))),INDIRECT("'Master Spell List'!$Z$"&amp;INDEX(magestuff!$D$499:$Y$615,ROW()-ROW($D$256),COLUMN()-COLUMN($C$257))),"")</f>
        <v>Accelerate Illusionary Contact</v>
      </c>
      <c r="M257" s="1055" t="str">
        <f ca="1">IF(ISNUMBER(INDEX(magestuff!$D$499:$Y$615,ROW()-ROW($D$256),COLUMN()-COLUMN($C$257))),INDIRECT("'Master Spell List'!$Z$"&amp;INDEX(magestuff!$D$499:$Y$615,ROW()-ROW($D$256),COLUMN()-COLUMN($C$257))),"")</f>
        <v>Demeter's Touch</v>
      </c>
      <c r="N257" s="1055" t="str">
        <f ca="1">IF(ISNUMBER(INDEX(magestuff!$D$499:$Y$615,ROW()-ROW($D$256),COLUMN()-COLUMN($C$257))),INDIRECT("'Master Spell List'!$Z$"&amp;INDEX(magestuff!$D$499:$Y$615,ROW()-ROW($D$256),COLUMN()-COLUMN($C$257))),"")</f>
        <v>Call Familiar</v>
      </c>
      <c r="O257" s="1055" t="str">
        <f ca="1">IF(ISNUMBER(INDEX(magestuff!$D$499:$Y$615,ROW()-ROW($D$256),COLUMN()-COLUMN($C$257))),INDIRECT("'Master Spell List'!$Z$"&amp;INDEX(magestuff!$D$499:$Y$615,ROW()-ROW($D$256),COLUMN()-COLUMN($C$257))),"")</f>
        <v>Clairaudience</v>
      </c>
      <c r="P257" s="1055" t="str">
        <f ca="1">IF(ISNUMBER(INDEX(magestuff!$D$499:$Y$615,ROW()-ROW($D$256),COLUMN()-COLUMN($C$257))),INDIRECT("'Master Spell List'!$Z$"&amp;INDEX(magestuff!$D$499:$Y$615,ROW()-ROW($D$256),COLUMN()-COLUMN($C$257))),"")</f>
        <v>Armoured Skin - Armour of Stout Leather</v>
      </c>
      <c r="Q257" s="1055" t="str">
        <f ca="1">IF(ISNUMBER(INDEX(magestuff!$D$499:$Y$615,ROW()-ROW($D$256),COLUMN()-COLUMN($C$257))),INDIRECT("'Master Spell List'!$Z$"&amp;INDEX(magestuff!$D$499:$Y$615,ROW()-ROW($D$256),COLUMN()-COLUMN($C$257))),"")</f>
        <v>Lesser Circle of Alarm</v>
      </c>
      <c r="R257" s="1055" t="str">
        <f ca="1">IF(ISNUMBER(INDEX(magestuff!$D$499:$Y$615,ROW()-ROW($D$256),COLUMN()-COLUMN($C$257))),INDIRECT("'Master Spell List'!$Z$"&amp;INDEX(magestuff!$D$499:$Y$615,ROW()-ROW($D$256),COLUMN()-COLUMN($C$257))),"")</f>
        <v>Shape Wood</v>
      </c>
      <c r="S257" s="1055" t="str">
        <f ca="1">IF(ISNUMBER(INDEX(magestuff!$D$499:$Y$615,ROW()-ROW($D$256),COLUMN()-COLUMN($C$257))),INDIRECT("'Master Spell List'!$Z$"&amp;INDEX(magestuff!$D$499:$Y$615,ROW()-ROW($D$256),COLUMN()-COLUMN($C$257))),"")</f>
        <v>Firing &amp; Tending the Forge</v>
      </c>
      <c r="T257" s="1055" t="str">
        <f ca="1">IF(ISNUMBER(INDEX(magestuff!$D$499:$Y$615,ROW()-ROW($D$256),COLUMN()-COLUMN($C$257))),INDIRECT("'Master Spell List'!$Z$"&amp;INDEX(magestuff!$D$499:$Y$615,ROW()-ROW($D$256),COLUMN()-COLUMN($C$257))),"")</f>
        <v>Concealment</v>
      </c>
      <c r="U257" s="1055" t="str">
        <f ca="1">IF(ISNUMBER(INDEX(magestuff!$D$499:$Y$615,ROW()-ROW($D$256),COLUMN()-COLUMN($C$257))),INDIRECT("'Master Spell List'!$Z$"&amp;INDEX(magestuff!$D$499:$Y$615,ROW()-ROW($D$256),COLUMN()-COLUMN($C$257))),"")</f>
        <v/>
      </c>
      <c r="V257" s="1055" t="str">
        <f ca="1">IF(ISNUMBER(INDEX(magestuff!$D$499:$Y$615,ROW()-ROW($D$256),COLUMN()-COLUMN($C$257))),INDIRECT("'Master Spell List'!$Z$"&amp;INDEX(magestuff!$D$499:$Y$615,ROW()-ROW($D$256),COLUMN()-COLUMN($C$257))),"")</f>
        <v/>
      </c>
      <c r="W257" s="1055" t="str">
        <f ca="1">IF(ISNUMBER(INDEX(magestuff!$D$499:$Y$615,ROW()-ROW($D$256),COLUMN()-COLUMN($C$257))),INDIRECT("'Master Spell List'!$Z$"&amp;INDEX(magestuff!$D$499:$Y$615,ROW()-ROW($D$256),COLUMN()-COLUMN($C$257))),"")</f>
        <v/>
      </c>
      <c r="Y257" s="1069" t="s">
        <v>1100</v>
      </c>
      <c r="AH257" s="126" t="s">
        <v>4343</v>
      </c>
      <c r="AI257" s="598" t="s">
        <v>1629</v>
      </c>
    </row>
    <row r="258" spans="1:35">
      <c r="A258" s="598">
        <v>3</v>
      </c>
      <c r="B258" s="598" t="s">
        <v>1101</v>
      </c>
      <c r="C258" s="598" t="s">
        <v>2225</v>
      </c>
      <c r="D258" s="1055" t="str">
        <f ca="1">IF(ISNUMBER(INDEX(magestuff!$D$499:$Y$615,ROW()-ROW($D$256),COLUMN()-COLUMN($C$257))),INDIRECT("'Master Spell List'!$Z$"&amp;INDEX(magestuff!$D$499:$Y$615,ROW()-ROW($D$256),COLUMN()-COLUMN($C$257))),"")</f>
        <v>Detach</v>
      </c>
      <c r="E258" s="1055" t="str">
        <f ca="1">IF(ISNUMBER(INDEX(magestuff!$D$499:$Y$615,ROW()-ROW($D$256),COLUMN()-COLUMN($C$257))),INDIRECT("'Master Spell List'!$Z$"&amp;INDEX(magestuff!$D$499:$Y$615,ROW()-ROW($D$256),COLUMN()-COLUMN($C$257))),"")</f>
        <v>Clouds &amp; Rain</v>
      </c>
      <c r="F258" s="1055" t="str">
        <f ca="1">IF(ISNUMBER(INDEX(magestuff!$D$499:$Y$615,ROW()-ROW($D$256),COLUMN()-COLUMN($C$257))),INDIRECT("'Master Spell List'!$Z$"&amp;INDEX(magestuff!$D$499:$Y$615,ROW()-ROW($D$256),COLUMN()-COLUMN($C$257))),"")</f>
        <v>Concentrate</v>
      </c>
      <c r="G258" s="1055" t="str">
        <f ca="1">IF(ISNUMBER(INDEX(magestuff!$D$499:$Y$615,ROW()-ROW($D$256),COLUMN()-COLUMN($C$257))),INDIRECT("'Master Spell List'!$Z$"&amp;INDEX(magestuff!$D$499:$Y$615,ROW()-ROW($D$256),COLUMN()-COLUMN($C$257))),"")</f>
        <v>Create Natural Fire</v>
      </c>
      <c r="H258" s="1055" t="str">
        <f ca="1">IF(ISNUMBER(INDEX(magestuff!$D$499:$Y$615,ROW()-ROW($D$256),COLUMN()-COLUMN($C$257))),INDIRECT("'Master Spell List'!$Z$"&amp;INDEX(magestuff!$D$499:$Y$615,ROW()-ROW($D$256),COLUMN()-COLUMN($C$257))),"")</f>
        <v>Command Water</v>
      </c>
      <c r="I258" s="1055" t="str">
        <f ca="1">IF(ISNUMBER(INDEX(magestuff!$D$499:$Y$615,ROW()-ROW($D$256),COLUMN()-COLUMN($C$257))),INDIRECT("'Master Spell List'!$Z$"&amp;INDEX(magestuff!$D$499:$Y$615,ROW()-ROW($D$256),COLUMN()-COLUMN($C$257))),"")</f>
        <v>Eldritch Light</v>
      </c>
      <c r="J258" s="1055" t="str">
        <f ca="1">IF(ISNUMBER(INDEX(magestuff!$D$499:$Y$615,ROW()-ROW($D$256),COLUMN()-COLUMN($C$257))),INDIRECT("'Master Spell List'!$Z$"&amp;INDEX(magestuff!$D$499:$Y$615,ROW()-ROW($D$256),COLUMN()-COLUMN($C$257))),"")</f>
        <v>Awaken</v>
      </c>
      <c r="K258" s="1055" t="str">
        <f ca="1">IF(ISNUMBER(INDEX(magestuff!$D$499:$Y$615,ROW()-ROW($D$256),COLUMN()-COLUMN($C$257))),INDIRECT("'Master Spell List'!$Z$"&amp;INDEX(magestuff!$D$499:$Y$615,ROW()-ROW($D$256),COLUMN()-COLUMN($C$257))),"")</f>
        <v>Detect Magick</v>
      </c>
      <c r="L258" s="1055" t="str">
        <f ca="1">IF(ISNUMBER(INDEX(magestuff!$D$499:$Y$615,ROW()-ROW($D$256),COLUMN()-COLUMN($C$257))),INDIRECT("'Master Spell List'!$Z$"&amp;INDEX(magestuff!$D$499:$Y$615,ROW()-ROW($D$256),COLUMN()-COLUMN($C$257))),"")</f>
        <v>Accelerate Light</v>
      </c>
      <c r="M258" s="1055" t="str">
        <f ca="1">IF(ISNUMBER(INDEX(magestuff!$D$499:$Y$615,ROW()-ROW($D$256),COLUMN()-COLUMN($C$257))),INDIRECT("'Master Spell List'!$Z$"&amp;INDEX(magestuff!$D$499:$Y$615,ROW()-ROW($D$256),COLUMN()-COLUMN($C$257))),"")</f>
        <v>Least Dry</v>
      </c>
      <c r="N258" s="1055" t="str">
        <f ca="1">IF(ISNUMBER(INDEX(magestuff!$D$499:$Y$615,ROW()-ROW($D$256),COLUMN()-COLUMN($C$257))),INDIRECT("'Master Spell List'!$Z$"&amp;INDEX(magestuff!$D$499:$Y$615,ROW()-ROW($D$256),COLUMN()-COLUMN($C$257))),"")</f>
        <v>Summon Small Animals</v>
      </c>
      <c r="O258" s="1055" t="str">
        <f ca="1">IF(ISNUMBER(INDEX(magestuff!$D$499:$Y$615,ROW()-ROW($D$256),COLUMN()-COLUMN($C$257))),INDIRECT("'Master Spell List'!$Z$"&amp;INDEX(magestuff!$D$499:$Y$615,ROW()-ROW($D$256),COLUMN()-COLUMN($C$257))),"")</f>
        <v>Clairvoyance</v>
      </c>
      <c r="P258" s="1055" t="str">
        <f ca="1">IF(ISNUMBER(INDEX(magestuff!$D$499:$Y$615,ROW()-ROW($D$256),COLUMN()-COLUMN($C$257))),INDIRECT("'Master Spell List'!$Z$"&amp;INDEX(magestuff!$D$499:$Y$615,ROW()-ROW($D$256),COLUMN()-COLUMN($C$257))),"")</f>
        <v>Keen Hearing</v>
      </c>
      <c r="Q258" s="1055" t="str">
        <f ca="1">IF(ISNUMBER(INDEX(magestuff!$D$499:$Y$615,ROW()-ROW($D$256),COLUMN()-COLUMN($C$257))),INDIRECT("'Master Spell List'!$Z$"&amp;INDEX(magestuff!$D$499:$Y$615,ROW()-ROW($D$256),COLUMN()-COLUMN($C$257))),"")</f>
        <v>Lesser Circle of Alertness</v>
      </c>
      <c r="R258" s="1055" t="str">
        <f ca="1">IF(ISNUMBER(INDEX(magestuff!$D$499:$Y$615,ROW()-ROW($D$256),COLUMN()-COLUMN($C$257))),INDIRECT("'Master Spell List'!$Z$"&amp;INDEX(magestuff!$D$499:$Y$615,ROW()-ROW($D$256),COLUMN()-COLUMN($C$257))),"")</f>
        <v>Wings of Flight</v>
      </c>
      <c r="S258" s="1055" t="str">
        <f ca="1">IF(ISNUMBER(INDEX(magestuff!$D$499:$Y$615,ROW()-ROW($D$256),COLUMN()-COLUMN($C$257))),INDIRECT("'Master Spell List'!$Z$"&amp;INDEX(magestuff!$D$499:$Y$615,ROW()-ROW($D$256),COLUMN()-COLUMN($C$257))),"")</f>
        <v>Rejoin Metal</v>
      </c>
      <c r="T258" s="1055" t="str">
        <f ca="1">IF(ISNUMBER(INDEX(magestuff!$D$499:$Y$615,ROW()-ROW($D$256),COLUMN()-COLUMN($C$257))),INDIRECT("'Master Spell List'!$Z$"&amp;INDEX(magestuff!$D$499:$Y$615,ROW()-ROW($D$256),COLUMN()-COLUMN($C$257))),"")</f>
        <v>Prolong Breathing Underwater</v>
      </c>
      <c r="U258" s="1055" t="str">
        <f ca="1">IF(ISNUMBER(INDEX(magestuff!$D$499:$Y$615,ROW()-ROW($D$256),COLUMN()-COLUMN($C$257))),INDIRECT("'Master Spell List'!$Z$"&amp;INDEX(magestuff!$D$499:$Y$615,ROW()-ROW($D$256),COLUMN()-COLUMN($C$257))),"")</f>
        <v/>
      </c>
      <c r="V258" s="1055" t="str">
        <f ca="1">IF(ISNUMBER(INDEX(magestuff!$D$499:$Y$615,ROW()-ROW($D$256),COLUMN()-COLUMN($C$257))),INDIRECT("'Master Spell List'!$Z$"&amp;INDEX(magestuff!$D$499:$Y$615,ROW()-ROW($D$256),COLUMN()-COLUMN($C$257))),"")</f>
        <v/>
      </c>
      <c r="W258" s="1055" t="str">
        <f ca="1">IF(ISNUMBER(INDEX(magestuff!$D$499:$Y$615,ROW()-ROW($D$256),COLUMN()-COLUMN($C$257))),INDIRECT("'Master Spell List'!$Z$"&amp;INDEX(magestuff!$D$499:$Y$615,ROW()-ROW($D$256),COLUMN()-COLUMN($C$257))),"")</f>
        <v/>
      </c>
      <c r="Y258" s="1069" t="s">
        <v>1101</v>
      </c>
      <c r="AH258" s="126" t="s">
        <v>4346</v>
      </c>
      <c r="AI258" s="598" t="s">
        <v>1531</v>
      </c>
    </row>
    <row r="259" spans="1:35">
      <c r="A259" s="598">
        <v>4</v>
      </c>
      <c r="B259" s="598" t="s">
        <v>1102</v>
      </c>
      <c r="C259" s="598" t="s">
        <v>2225</v>
      </c>
      <c r="D259" s="1055" t="str">
        <f ca="1">IF(ISNUMBER(INDEX(magestuff!$D$499:$Y$615,ROW()-ROW($D$256),COLUMN()-COLUMN($C$257))),INDIRECT("'Master Spell List'!$Z$"&amp;INDEX(magestuff!$D$499:$Y$615,ROW()-ROW($D$256),COLUMN()-COLUMN($C$257))),"")</f>
        <v>Link</v>
      </c>
      <c r="E259" s="1055" t="str">
        <f ca="1">IF(ISNUMBER(INDEX(magestuff!$D$499:$Y$615,ROW()-ROW($D$256),COLUMN()-COLUMN($C$257))),INDIRECT("'Master Spell List'!$Z$"&amp;INDEX(magestuff!$D$499:$Y$615,ROW()-ROW($D$256),COLUMN()-COLUMN($C$257))),"")</f>
        <v>Command Air</v>
      </c>
      <c r="F259" s="1055" t="str">
        <f ca="1">IF(ISNUMBER(INDEX(magestuff!$D$499:$Y$615,ROW()-ROW($D$256),COLUMN()-COLUMN($C$257))),INDIRECT("'Master Spell List'!$Z$"&amp;INDEX(magestuff!$D$499:$Y$615,ROW()-ROW($D$256),COLUMN()-COLUMN($C$257))),"")</f>
        <v>Create Earth</v>
      </c>
      <c r="G259" s="1055" t="str">
        <f ca="1">IF(ISNUMBER(INDEX(magestuff!$D$499:$Y$615,ROW()-ROW($D$256),COLUMN()-COLUMN($C$257))),INDIRECT("'Master Spell List'!$Z$"&amp;INDEX(magestuff!$D$499:$Y$615,ROW()-ROW($D$256),COLUMN()-COLUMN($C$257))),"")</f>
        <v>Fiery Arrows - Natural Flame</v>
      </c>
      <c r="H259" s="1055" t="str">
        <f ca="1">IF(ISNUMBER(INDEX(magestuff!$D$499:$Y$615,ROW()-ROW($D$256),COLUMN()-COLUMN($C$257))),INDIRECT("'Master Spell List'!$Z$"&amp;INDEX(magestuff!$D$499:$Y$615,ROW()-ROW($D$256),COLUMN()-COLUMN($C$257))),"")</f>
        <v>Create Water</v>
      </c>
      <c r="I259" s="1055" t="str">
        <f ca="1">IF(ISNUMBER(INDEX(magestuff!$D$499:$Y$615,ROW()-ROW($D$256),COLUMN()-COLUMN($C$257))),INDIRECT("'Master Spell List'!$Z$"&amp;INDEX(magestuff!$D$499:$Y$615,ROW()-ROW($D$256),COLUMN()-COLUMN($C$257))),"")</f>
        <v>Gather Least Amount of Arcane Energy</v>
      </c>
      <c r="J259" s="1055" t="str">
        <f ca="1">IF(ISNUMBER(INDEX(magestuff!$D$499:$Y$615,ROW()-ROW($D$256),COLUMN()-COLUMN($C$257))),INDIRECT("'Master Spell List'!$Z$"&amp;INDEX(magestuff!$D$499:$Y$615,ROW()-ROW($D$256),COLUMN()-COLUMN($C$257))),"")</f>
        <v>Charm Small Animals</v>
      </c>
      <c r="K259" s="1055" t="str">
        <f ca="1">IF(ISNUMBER(INDEX(magestuff!$D$499:$Y$615,ROW()-ROW($D$256),COLUMN()-COLUMN($C$257))),INDIRECT("'Master Spell List'!$Z$"&amp;INDEX(magestuff!$D$499:$Y$615,ROW()-ROW($D$256),COLUMN()-COLUMN($C$257))),"")</f>
        <v>Detect Temporal</v>
      </c>
      <c r="L259" s="1055" t="str">
        <f ca="1">IF(ISNUMBER(INDEX(magestuff!$D$499:$Y$615,ROW()-ROW($D$256),COLUMN()-COLUMN($C$257))),INDIRECT("'Master Spell List'!$Z$"&amp;INDEX(magestuff!$D$499:$Y$615,ROW()-ROW($D$256),COLUMN()-COLUMN($C$257))),"")</f>
        <v>Accelerate Scent</v>
      </c>
      <c r="M259" s="1055" t="str">
        <f ca="1">IF(ISNUMBER(INDEX(magestuff!$D$499:$Y$615,ROW()-ROW($D$256),COLUMN()-COLUMN($C$257))),INDIRECT("'Master Spell List'!$Z$"&amp;INDEX(magestuff!$D$499:$Y$615,ROW()-ROW($D$256),COLUMN()-COLUMN($C$257))),"")</f>
        <v>Rowan Grove</v>
      </c>
      <c r="N259" s="1055" t="str">
        <f ca="1">IF(ISNUMBER(INDEX(magestuff!$D$499:$Y$615,ROW()-ROW($D$256),COLUMN()-COLUMN($C$257))),INDIRECT("'Master Spell List'!$Z$"&amp;INDEX(magestuff!$D$499:$Y$615,ROW()-ROW($D$256),COLUMN()-COLUMN($C$257))),"")</f>
        <v>Summon Small Birds</v>
      </c>
      <c r="O259" s="1055" t="str">
        <f ca="1">IF(ISNUMBER(INDEX(magestuff!$D$499:$Y$615,ROW()-ROW($D$256),COLUMN()-COLUMN($C$257))),INDIRECT("'Master Spell List'!$Z$"&amp;INDEX(magestuff!$D$499:$Y$615,ROW()-ROW($D$256),COLUMN()-COLUMN($C$257))),"")</f>
        <v>Lesser Mind Speak</v>
      </c>
      <c r="P259" s="1055" t="str">
        <f ca="1">IF(ISNUMBER(INDEX(magestuff!$D$499:$Y$615,ROW()-ROW($D$256),COLUMN()-COLUMN($C$257))),INDIRECT("'Master Spell List'!$Z$"&amp;INDEX(magestuff!$D$499:$Y$615,ROW()-ROW($D$256),COLUMN()-COLUMN($C$257))),"")</f>
        <v>Keen Sight</v>
      </c>
      <c r="Q259" s="1055" t="str">
        <f ca="1">IF(ISNUMBER(INDEX(magestuff!$D$499:$Y$615,ROW()-ROW($D$256),COLUMN()-COLUMN($C$257))),INDIRECT("'Master Spell List'!$Z$"&amp;INDEX(magestuff!$D$499:$Y$615,ROW()-ROW($D$256),COLUMN()-COLUMN($C$257))),"")</f>
        <v>Lesser Circle of Protection vs Beasts</v>
      </c>
      <c r="R259" s="1055" t="str">
        <f ca="1">IF(ISNUMBER(INDEX(magestuff!$D$499:$Y$615,ROW()-ROW($D$256),COLUMN()-COLUMN($C$257))),INDIRECT("'Master Spell List'!$Z$"&amp;INDEX(magestuff!$D$499:$Y$615,ROW()-ROW($D$256),COLUMN()-COLUMN($C$257))),"")</f>
        <v>Magical Bowery +4</v>
      </c>
      <c r="S259" s="1055" t="str">
        <f ca="1">IF(ISNUMBER(INDEX(magestuff!$D$499:$Y$615,ROW()-ROW($D$256),COLUMN()-COLUMN($C$257))),INDIRECT("'Master Spell List'!$Z$"&amp;INDEX(magestuff!$D$499:$Y$615,ROW()-ROW($D$256),COLUMN()-COLUMN($C$257))),"")</f>
        <v>Call the Salamander</v>
      </c>
      <c r="T259" s="1055" t="str">
        <f ca="1">IF(ISNUMBER(INDEX(magestuff!$D$499:$Y$615,ROW()-ROW($D$256),COLUMN()-COLUMN($C$257))),INDIRECT("'Master Spell List'!$Z$"&amp;INDEX(magestuff!$D$499:$Y$615,ROW()-ROW($D$256),COLUMN()-COLUMN($C$257))),"")</f>
        <v>Bind Fear</v>
      </c>
      <c r="U259" s="1055" t="str">
        <f ca="1">IF(ISNUMBER(INDEX(magestuff!$D$499:$Y$615,ROW()-ROW($D$256),COLUMN()-COLUMN($C$257))),INDIRECT("'Master Spell List'!$Z$"&amp;INDEX(magestuff!$D$499:$Y$615,ROW()-ROW($D$256),COLUMN()-COLUMN($C$257))),"")</f>
        <v/>
      </c>
      <c r="V259" s="1055" t="str">
        <f ca="1">IF(ISNUMBER(INDEX(magestuff!$D$499:$Y$615,ROW()-ROW($D$256),COLUMN()-COLUMN($C$257))),INDIRECT("'Master Spell List'!$Z$"&amp;INDEX(magestuff!$D$499:$Y$615,ROW()-ROW($D$256),COLUMN()-COLUMN($C$257))),"")</f>
        <v/>
      </c>
      <c r="W259" s="1055" t="str">
        <f ca="1">IF(ISNUMBER(INDEX(magestuff!$D$499:$Y$615,ROW()-ROW($D$256),COLUMN()-COLUMN($C$257))),INDIRECT("'Master Spell List'!$Z$"&amp;INDEX(magestuff!$D$499:$Y$615,ROW()-ROW($D$256),COLUMN()-COLUMN($C$257))),"")</f>
        <v/>
      </c>
      <c r="Y259" s="1069" t="s">
        <v>1102</v>
      </c>
      <c r="AH259" s="126" t="s">
        <v>5422</v>
      </c>
      <c r="AI259" s="598" t="s">
        <v>2480</v>
      </c>
    </row>
    <row r="260" spans="1:35">
      <c r="A260" s="598">
        <v>5</v>
      </c>
      <c r="B260" s="598" t="s">
        <v>2344</v>
      </c>
      <c r="C260" s="598" t="s">
        <v>2225</v>
      </c>
      <c r="D260" s="1055" t="str">
        <f ca="1">IF(ISNUMBER(INDEX(magestuff!$D$499:$Y$615,ROW()-ROW($D$256),COLUMN()-COLUMN($C$257))),INDIRECT("'Master Spell List'!$Z$"&amp;INDEX(magestuff!$D$499:$Y$615,ROW()-ROW($D$256),COLUMN()-COLUMN($C$257))),"")</f>
        <v>Prepare Combination</v>
      </c>
      <c r="E260" s="1055" t="str">
        <f ca="1">IF(ISNUMBER(INDEX(magestuff!$D$499:$Y$615,ROW()-ROW($D$256),COLUMN()-COLUMN($C$257))),INDIRECT("'Master Spell List'!$Z$"&amp;INDEX(magestuff!$D$499:$Y$615,ROW()-ROW($D$256),COLUMN()-COLUMN($C$257))),"")</f>
        <v>Create Air</v>
      </c>
      <c r="F260" s="1055" t="str">
        <f ca="1">IF(ISNUMBER(INDEX(magestuff!$D$499:$Y$615,ROW()-ROW($D$256),COLUMN()-COLUMN($C$257))),INDIRECT("'Master Spell List'!$Z$"&amp;INDEX(magestuff!$D$499:$Y$615,ROW()-ROW($D$256),COLUMN()-COLUMN($C$257))),"")</f>
        <v>Harrow</v>
      </c>
      <c r="G260" s="1055" t="str">
        <f ca="1">IF(ISNUMBER(INDEX(magestuff!$D$499:$Y$615,ROW()-ROW($D$256),COLUMN()-COLUMN($C$257))),INDIRECT("'Master Spell List'!$Z$"&amp;INDEX(magestuff!$D$499:$Y$615,ROW()-ROW($D$256),COLUMN()-COLUMN($C$257))),"")</f>
        <v>Warm/Cool</v>
      </c>
      <c r="H260" s="1055" t="str">
        <f ca="1">IF(ISNUMBER(INDEX(magestuff!$D$499:$Y$615,ROW()-ROW($D$256),COLUMN()-COLUMN($C$257))),INDIRECT("'Master Spell List'!$Z$"&amp;INDEX(magestuff!$D$499:$Y$615,ROW()-ROW($D$256),COLUMN()-COLUMN($C$257))),"")</f>
        <v>Mist &amp; Fog</v>
      </c>
      <c r="I260" s="1055" t="str">
        <f ca="1">IF(ISNUMBER(INDEX(magestuff!$D$499:$Y$615,ROW()-ROW($D$256),COLUMN()-COLUMN($C$257))),INDIRECT("'Master Spell List'!$Z$"&amp;INDEX(magestuff!$D$499:$Y$615,ROW()-ROW($D$256),COLUMN()-COLUMN($C$257))),"")</f>
        <v xml:space="preserve">Least Healing Touch of Apollo   </v>
      </c>
      <c r="J260" s="1055" t="str">
        <f ca="1">IF(ISNUMBER(INDEX(magestuff!$D$499:$Y$615,ROW()-ROW($D$256),COLUMN()-COLUMN($C$257))),INDIRECT("'Master Spell List'!$Z$"&amp;INDEX(magestuff!$D$499:$Y$615,ROW()-ROW($D$256),COLUMN()-COLUMN($C$257))),"")</f>
        <v>Dispel Charmed Small Animals</v>
      </c>
      <c r="K260" s="1055" t="str">
        <f ca="1">IF(ISNUMBER(INDEX(magestuff!$D$499:$Y$615,ROW()-ROW($D$256),COLUMN()-COLUMN($C$257))),INDIRECT("'Master Spell List'!$Z$"&amp;INDEX(magestuff!$D$499:$Y$615,ROW()-ROW($D$256),COLUMN()-COLUMN($C$257))),"")</f>
        <v>Meditation</v>
      </c>
      <c r="L260" s="1055" t="str">
        <f ca="1">IF(ISNUMBER(INDEX(magestuff!$D$499:$Y$615,ROW()-ROW($D$256),COLUMN()-COLUMN($C$257))),INDIRECT("'Master Spell List'!$Z$"&amp;INDEX(magestuff!$D$499:$Y$615,ROW()-ROW($D$256),COLUMN()-COLUMN($C$257))),"")</f>
        <v>Affix Illusionary Contact</v>
      </c>
      <c r="M260" s="1055" t="str">
        <f ca="1">IF(ISNUMBER(INDEX(magestuff!$D$499:$Y$615,ROW()-ROW($D$256),COLUMN()-COLUMN($C$257))),INDIRECT("'Master Spell List'!$Z$"&amp;INDEX(magestuff!$D$499:$Y$615,ROW()-ROW($D$256),COLUMN()-COLUMN($C$257))),"")</f>
        <v>Thorn Darts</v>
      </c>
      <c r="N260" s="1055" t="str">
        <f ca="1">IF(ISNUMBER(INDEX(magestuff!$D$499:$Y$615,ROW()-ROW($D$256),COLUMN()-COLUMN($C$257))),INDIRECT("'Master Spell List'!$Z$"&amp;INDEX(magestuff!$D$499:$Y$615,ROW()-ROW($D$256),COLUMN()-COLUMN($C$257))),"")</f>
        <v>Circles of Binding</v>
      </c>
      <c r="O260" s="1055" t="str">
        <f ca="1">IF(ISNUMBER(INDEX(magestuff!$D$499:$Y$615,ROW()-ROW($D$256),COLUMN()-COLUMN($C$257))),INDIRECT("'Master Spell List'!$Z$"&amp;INDEX(magestuff!$D$499:$Y$615,ROW()-ROW($D$256),COLUMN()-COLUMN($C$257))),"")</f>
        <v>Levitation</v>
      </c>
      <c r="P260" s="1055" t="str">
        <f ca="1">IF(ISNUMBER(INDEX(magestuff!$D$499:$Y$615,ROW()-ROW($D$256),COLUMN()-COLUMN($C$257))),INDIRECT("'Master Spell List'!$Z$"&amp;INDEX(magestuff!$D$499:$Y$615,ROW()-ROW($D$256),COLUMN()-COLUMN($C$257))),"")</f>
        <v>Keen Smell</v>
      </c>
      <c r="Q260" s="1055" t="str">
        <f ca="1">IF(ISNUMBER(INDEX(magestuff!$D$499:$Y$615,ROW()-ROW($D$256),COLUMN()-COLUMN($C$257))),INDIRECT("'Master Spell List'!$Z$"&amp;INDEX(magestuff!$D$499:$Y$615,ROW()-ROW($D$256),COLUMN()-COLUMN($C$257))),"")</f>
        <v>Lesser Circle of Protection vs Evil</v>
      </c>
      <c r="R260" s="1055" t="str">
        <f ca="1">IF(ISNUMBER(INDEX(magestuff!$D$499:$Y$615,ROW()-ROW($D$256),COLUMN()-COLUMN($C$257))),INDIRECT("'Master Spell List'!$Z$"&amp;INDEX(magestuff!$D$499:$Y$615,ROW()-ROW($D$256),COLUMN()-COLUMN($C$257))),"")</f>
        <v>Magical Fletching +4</v>
      </c>
      <c r="S260" s="1055" t="str">
        <f ca="1">IF(ISNUMBER(INDEX(magestuff!$D$499:$Y$615,ROW()-ROW($D$256),COLUMN()-COLUMN($C$257))),INDIRECT("'Master Spell List'!$Z$"&amp;INDEX(magestuff!$D$499:$Y$615,ROW()-ROW($D$256),COLUMN()-COLUMN($C$257))),"")</f>
        <v>Dull Blade</v>
      </c>
      <c r="T260" s="1055" t="str">
        <f ca="1">IF(ISNUMBER(INDEX(magestuff!$D$499:$Y$615,ROW()-ROW($D$256),COLUMN()-COLUMN($C$257))),INDIRECT("'Master Spell List'!$Z$"&amp;INDEX(magestuff!$D$499:$Y$615,ROW()-ROW($D$256),COLUMN()-COLUMN($C$257))),"")</f>
        <v>Walk Unhindered</v>
      </c>
      <c r="U260" s="1055" t="str">
        <f ca="1">IF(ISNUMBER(INDEX(magestuff!$D$499:$Y$615,ROW()-ROW($D$256),COLUMN()-COLUMN($C$257))),INDIRECT("'Master Spell List'!$Z$"&amp;INDEX(magestuff!$D$499:$Y$615,ROW()-ROW($D$256),COLUMN()-COLUMN($C$257))),"")</f>
        <v/>
      </c>
      <c r="V260" s="1055" t="str">
        <f ca="1">IF(ISNUMBER(INDEX(magestuff!$D$499:$Y$615,ROW()-ROW($D$256),COLUMN()-COLUMN($C$257))),INDIRECT("'Master Spell List'!$Z$"&amp;INDEX(magestuff!$D$499:$Y$615,ROW()-ROW($D$256),COLUMN()-COLUMN($C$257))),"")</f>
        <v/>
      </c>
      <c r="W260" s="1055" t="str">
        <f ca="1">IF(ISNUMBER(INDEX(magestuff!$D$499:$Y$615,ROW()-ROW($D$256),COLUMN()-COLUMN($C$257))),INDIRECT("'Master Spell List'!$Z$"&amp;INDEX(magestuff!$D$499:$Y$615,ROW()-ROW($D$256),COLUMN()-COLUMN($C$257))),"")</f>
        <v/>
      </c>
      <c r="Y260" s="1069" t="s">
        <v>2344</v>
      </c>
      <c r="AH260" s="126" t="s">
        <v>5423</v>
      </c>
      <c r="AI260" s="598" t="s">
        <v>5131</v>
      </c>
    </row>
    <row r="261" spans="1:35">
      <c r="A261" s="598">
        <v>6</v>
      </c>
      <c r="B261" s="598" t="s">
        <v>1631</v>
      </c>
      <c r="C261" s="598" t="s">
        <v>2225</v>
      </c>
      <c r="D261" s="1055" t="str">
        <f ca="1">IF(ISNUMBER(INDEX(magestuff!$D$499:$Y$615,ROW()-ROW($D$256),COLUMN()-COLUMN($C$257))),INDIRECT("'Master Spell List'!$Z$"&amp;INDEX(magestuff!$D$499:$Y$615,ROW()-ROW($D$256),COLUMN()-COLUMN($C$257))),"")</f>
        <v>Accelerate</v>
      </c>
      <c r="E261" s="1055" t="str">
        <f ca="1">IF(ISNUMBER(INDEX(magestuff!$D$499:$Y$615,ROW()-ROW($D$256),COLUMN()-COLUMN($C$257))),INDIRECT("'Master Spell List'!$Z$"&amp;INDEX(magestuff!$D$499:$Y$615,ROW()-ROW($D$256),COLUMN()-COLUMN($C$257))),"")</f>
        <v>Diffuse</v>
      </c>
      <c r="F261" s="1055" t="str">
        <f ca="1">IF(ISNUMBER(INDEX(magestuff!$D$499:$Y$615,ROW()-ROW($D$256),COLUMN()-COLUMN($C$257))),INDIRECT("'Master Spell List'!$Z$"&amp;INDEX(magestuff!$D$499:$Y$615,ROW()-ROW($D$256),COLUMN()-COLUMN($C$257))),"")</f>
        <v>Remove Earth</v>
      </c>
      <c r="G261" s="1055" t="str">
        <f ca="1">IF(ISNUMBER(INDEX(magestuff!$D$499:$Y$615,ROW()-ROW($D$256),COLUMN()-COLUMN($C$257))),INDIRECT("'Master Spell List'!$Z$"&amp;INDEX(magestuff!$D$499:$Y$615,ROW()-ROW($D$256),COLUMN()-COLUMN($C$257))),"")</f>
        <v>Burning Touch - Normal Fire</v>
      </c>
      <c r="H261" s="1055" t="str">
        <f ca="1">IF(ISNUMBER(INDEX(magestuff!$D$499:$Y$615,ROW()-ROW($D$256),COLUMN()-COLUMN($C$257))),INDIRECT("'Master Spell List'!$Z$"&amp;INDEX(magestuff!$D$499:$Y$615,ROW()-ROW($D$256),COLUMN()-COLUMN($C$257))),"")</f>
        <v>Remove Magick Water</v>
      </c>
      <c r="I261" s="1055" t="str">
        <f ca="1">IF(ISNUMBER(INDEX(magestuff!$D$499:$Y$615,ROW()-ROW($D$256),COLUMN()-COLUMN($C$257))),INDIRECT("'Master Spell List'!$Z$"&amp;INDEX(magestuff!$D$499:$Y$615,ROW()-ROW($D$256),COLUMN()-COLUMN($C$257))),"")</f>
        <v xml:space="preserve">Seal </v>
      </c>
      <c r="J261" s="1055" t="str">
        <f ca="1">IF(ISNUMBER(INDEX(magestuff!$D$499:$Y$615,ROW()-ROW($D$256),COLUMN()-COLUMN($C$257))),INDIRECT("'Master Spell List'!$Z$"&amp;INDEX(magestuff!$D$499:$Y$615,ROW()-ROW($D$256),COLUMN()-COLUMN($C$257))),"")</f>
        <v>Itch</v>
      </c>
      <c r="K261" s="1055" t="str">
        <f ca="1">IF(ISNUMBER(INDEX(magestuff!$D$499:$Y$615,ROW()-ROW($D$256),COLUMN()-COLUMN($C$257))),INDIRECT("'Master Spell List'!$Z$"&amp;INDEX(magestuff!$D$499:$Y$615,ROW()-ROW($D$256),COLUMN()-COLUMN($C$257))),"")</f>
        <v>Prophecy</v>
      </c>
      <c r="L261" s="1055" t="str">
        <f ca="1">IF(ISNUMBER(INDEX(magestuff!$D$499:$Y$615,ROW()-ROW($D$256),COLUMN()-COLUMN($C$257))),INDIRECT("'Master Spell List'!$Z$"&amp;INDEX(magestuff!$D$499:$Y$615,ROW()-ROW($D$256),COLUMN()-COLUMN($C$257))),"")</f>
        <v>Affix Light</v>
      </c>
      <c r="M261" s="1055" t="str">
        <f ca="1">IF(ISNUMBER(INDEX(magestuff!$D$499:$Y$615,ROW()-ROW($D$256),COLUMN()-COLUMN($C$257))),INDIRECT("'Master Spell List'!$Z$"&amp;INDEX(magestuff!$D$499:$Y$615,ROW()-ROW($D$256),COLUMN()-COLUMN($C$257))),"")</f>
        <v>Accelerate (Grow)</v>
      </c>
      <c r="N261" s="1055" t="str">
        <f ca="1">IF(ISNUMBER(INDEX(magestuff!$D$499:$Y$615,ROW()-ROW($D$256),COLUMN()-COLUMN($C$257))),INDIRECT("'Master Spell List'!$Z$"&amp;INDEX(magestuff!$D$499:$Y$615,ROW()-ROW($D$256),COLUMN()-COLUMN($C$257))),"")</f>
        <v>Summon Birds of Prey</v>
      </c>
      <c r="O261" s="1055" t="str">
        <f ca="1">IF(ISNUMBER(INDEX(magestuff!$D$499:$Y$615,ROW()-ROW($D$256),COLUMN()-COLUMN($C$257))),INDIRECT("'Master Spell List'!$Z$"&amp;INDEX(magestuff!$D$499:$Y$615,ROW()-ROW($D$256),COLUMN()-COLUMN($C$257))),"")</f>
        <v>Move with the Mind</v>
      </c>
      <c r="P261" s="1055" t="str">
        <f ca="1">IF(ISNUMBER(INDEX(magestuff!$D$499:$Y$615,ROW()-ROW($D$256),COLUMN()-COLUMN($C$257))),INDIRECT("'Master Spell List'!$Z$"&amp;INDEX(magestuff!$D$499:$Y$615,ROW()-ROW($D$256),COLUMN()-COLUMN($C$257))),"")</f>
        <v>Keen Taste</v>
      </c>
      <c r="Q261" s="1055" t="str">
        <f ca="1">IF(ISNUMBER(INDEX(magestuff!$D$499:$Y$615,ROW()-ROW($D$256),COLUMN()-COLUMN($C$257))),INDIRECT("'Master Spell List'!$Z$"&amp;INDEX(magestuff!$D$499:$Y$615,ROW()-ROW($D$256),COLUMN()-COLUMN($C$257))),"")</f>
        <v>Lesser Circle of Protection vs Good</v>
      </c>
      <c r="R261" s="1055" t="str">
        <f ca="1">IF(ISNUMBER(INDEX(magestuff!$D$499:$Y$615,ROW()-ROW($D$256),COLUMN()-COLUMN($C$257))),INDIRECT("'Master Spell List'!$Z$"&amp;INDEX(magestuff!$D$499:$Y$615,ROW()-ROW($D$256),COLUMN()-COLUMN($C$257))),"")</f>
        <v>Strike with Power +4</v>
      </c>
      <c r="S261" s="1055" t="str">
        <f ca="1">IF(ISNUMBER(INDEX(magestuff!$D$499:$Y$615,ROW()-ROW($D$256),COLUMN()-COLUMN($C$257))),INDIRECT("'Master Spell List'!$Z$"&amp;INDEX(magestuff!$D$499:$Y$615,ROW()-ROW($D$256),COLUMN()-COLUMN($C$257))),"")</f>
        <v>Evaluate Steel Weapons &amp; Armour</v>
      </c>
      <c r="T261" s="1055" t="str">
        <f ca="1">IF(ISNUMBER(INDEX(magestuff!$D$499:$Y$615,ROW()-ROW($D$256),COLUMN()-COLUMN($C$257))),INDIRECT("'Master Spell List'!$Z$"&amp;INDEX(magestuff!$D$499:$Y$615,ROW()-ROW($D$256),COLUMN()-COLUMN($C$257))),"")</f>
        <v>Enhance Fear</v>
      </c>
      <c r="U261" s="1055" t="str">
        <f ca="1">IF(ISNUMBER(INDEX(magestuff!$D$499:$Y$615,ROW()-ROW($D$256),COLUMN()-COLUMN($C$257))),INDIRECT("'Master Spell List'!$Z$"&amp;INDEX(magestuff!$D$499:$Y$615,ROW()-ROW($D$256),COLUMN()-COLUMN($C$257))),"")</f>
        <v/>
      </c>
      <c r="V261" s="1055" t="str">
        <f ca="1">IF(ISNUMBER(INDEX(magestuff!$D$499:$Y$615,ROW()-ROW($D$256),COLUMN()-COLUMN($C$257))),INDIRECT("'Master Spell List'!$Z$"&amp;INDEX(magestuff!$D$499:$Y$615,ROW()-ROW($D$256),COLUMN()-COLUMN($C$257))),"")</f>
        <v/>
      </c>
      <c r="W261" s="1055" t="str">
        <f ca="1">IF(ISNUMBER(INDEX(magestuff!$D$499:$Y$615,ROW()-ROW($D$256),COLUMN()-COLUMN($C$257))),INDIRECT("'Master Spell List'!$Z$"&amp;INDEX(magestuff!$D$499:$Y$615,ROW()-ROW($D$256),COLUMN()-COLUMN($C$257))),"")</f>
        <v/>
      </c>
      <c r="Y261" s="1069" t="s">
        <v>1631</v>
      </c>
      <c r="AH261" s="126" t="s">
        <v>3843</v>
      </c>
      <c r="AI261" s="598" t="s">
        <v>1557</v>
      </c>
    </row>
    <row r="262" spans="1:35">
      <c r="A262" s="598">
        <v>7</v>
      </c>
      <c r="B262" s="598" t="s">
        <v>3657</v>
      </c>
      <c r="C262" s="598" t="s">
        <v>2225</v>
      </c>
      <c r="D262" s="1055" t="str">
        <f ca="1">IF(ISNUMBER(INDEX(magestuff!$D$499:$Y$615,ROW()-ROW($D$256),COLUMN()-COLUMN($C$257))),INDIRECT("'Master Spell List'!$Z$"&amp;INDEX(magestuff!$D$499:$Y$615,ROW()-ROW($D$256),COLUMN()-COLUMN($C$257))),"")</f>
        <v>Enchant Materials</v>
      </c>
      <c r="E262" s="1055" t="str">
        <f ca="1">IF(ISNUMBER(INDEX(magestuff!$D$499:$Y$615,ROW()-ROW($D$256),COLUMN()-COLUMN($C$257))),INDIRECT("'Master Spell List'!$Z$"&amp;INDEX(magestuff!$D$499:$Y$615,ROW()-ROW($D$256),COLUMN()-COLUMN($C$257))),"")</f>
        <v>Mist &amp; Fog</v>
      </c>
      <c r="F262" s="1055" t="str">
        <f ca="1">IF(ISNUMBER(INDEX(magestuff!$D$499:$Y$615,ROW()-ROW($D$256),COLUMN()-COLUMN($C$257))),INDIRECT("'Master Spell List'!$Z$"&amp;INDEX(magestuff!$D$499:$Y$615,ROW()-ROW($D$256),COLUMN()-COLUMN($C$257))),"")</f>
        <v>Sheet</v>
      </c>
      <c r="G262" s="1055" t="str">
        <f ca="1">IF(ISNUMBER(INDEX(magestuff!$D$499:$Y$615,ROW()-ROW($D$256),COLUMN()-COLUMN($C$257))),INDIRECT("'Master Spell List'!$Z$"&amp;INDEX(magestuff!$D$499:$Y$615,ROW()-ROW($D$256),COLUMN()-COLUMN($C$257))),"")</f>
        <v>Create Smoke</v>
      </c>
      <c r="H262" s="1055" t="str">
        <f ca="1">IF(ISNUMBER(INDEX(magestuff!$D$499:$Y$615,ROW()-ROW($D$256),COLUMN()-COLUMN($C$257))),INDIRECT("'Master Spell List'!$Z$"&amp;INDEX(magestuff!$D$499:$Y$615,ROW()-ROW($D$256),COLUMN()-COLUMN($C$257))),"")</f>
        <v>Remove Water</v>
      </c>
      <c r="I262" s="1055" t="str">
        <f ca="1">IF(ISNUMBER(INDEX(magestuff!$D$499:$Y$615,ROW()-ROW($D$256),COLUMN()-COLUMN($C$257))),INDIRECT("'Master Spell List'!$Z$"&amp;INDEX(magestuff!$D$499:$Y$615,ROW()-ROW($D$256),COLUMN()-COLUMN($C$257))),"")</f>
        <v>Walk in Shadows</v>
      </c>
      <c r="J262" s="1055" t="str">
        <f ca="1">IF(ISNUMBER(INDEX(magestuff!$D$499:$Y$615,ROW()-ROW($D$256),COLUMN()-COLUMN($C$257))),INDIRECT("'Master Spell List'!$Z$"&amp;INDEX(magestuff!$D$499:$Y$615,ROW()-ROW($D$256),COLUMN()-COLUMN($C$257))),"")</f>
        <v>Lesser Fright</v>
      </c>
      <c r="K262" s="1055" t="str">
        <f ca="1">IF(ISNUMBER(INDEX(magestuff!$D$499:$Y$615,ROW()-ROW($D$256),COLUMN()-COLUMN($C$257))),INDIRECT("'Master Spell List'!$Z$"&amp;INDEX(magestuff!$D$499:$Y$615,ROW()-ROW($D$256),COLUMN()-COLUMN($C$257))),"")</f>
        <v>Time Sense</v>
      </c>
      <c r="L262" s="1055" t="str">
        <f ca="1">IF(ISNUMBER(INDEX(magestuff!$D$499:$Y$615,ROW()-ROW($D$256),COLUMN()-COLUMN($C$257))),INDIRECT("'Master Spell List'!$Z$"&amp;INDEX(magestuff!$D$499:$Y$615,ROW()-ROW($D$256),COLUMN()-COLUMN($C$257))),"")</f>
        <v>Affix Scent</v>
      </c>
      <c r="M262" s="1055" t="str">
        <f ca="1">IF(ISNUMBER(INDEX(magestuff!$D$499:$Y$615,ROW()-ROW($D$256),COLUMN()-COLUMN($C$257))),INDIRECT("'Master Spell List'!$Z$"&amp;INDEX(magestuff!$D$499:$Y$615,ROW()-ROW($D$256),COLUMN()-COLUMN($C$257))),"")</f>
        <v>Affix (Root)</v>
      </c>
      <c r="N262" s="1055" t="str">
        <f ca="1">IF(ISNUMBER(INDEX(magestuff!$D$499:$Y$615,ROW()-ROW($D$256),COLUMN()-COLUMN($C$257))),INDIRECT("'Master Spell List'!$Z$"&amp;INDEX(magestuff!$D$499:$Y$615,ROW()-ROW($D$256),COLUMN()-COLUMN($C$257))),"")</f>
        <v>Summon Large Animals</v>
      </c>
      <c r="O262" s="1055" t="str">
        <f ca="1">IF(ISNUMBER(INDEX(magestuff!$D$499:$Y$615,ROW()-ROW($D$256),COLUMN()-COLUMN($C$257))),INDIRECT("'Master Spell List'!$Z$"&amp;INDEX(magestuff!$D$499:$Y$615,ROW()-ROW($D$256),COLUMN()-COLUMN($C$257))),"")</f>
        <v>Absolute Direction</v>
      </c>
      <c r="P262" s="1055" t="str">
        <f ca="1">IF(ISNUMBER(INDEX(magestuff!$D$499:$Y$615,ROW()-ROW($D$256),COLUMN()-COLUMN($C$257))),INDIRECT("'Master Spell List'!$Z$"&amp;INDEX(magestuff!$D$499:$Y$615,ROW()-ROW($D$256),COLUMN()-COLUMN($C$257))),"")</f>
        <v>Keen Touch</v>
      </c>
      <c r="Q262" s="1055" t="str">
        <f ca="1">IF(ISNUMBER(INDEX(magestuff!$D$499:$Y$615,ROW()-ROW($D$256),COLUMN()-COLUMN($C$257))),INDIRECT("'Master Spell List'!$Z$"&amp;INDEX(magestuff!$D$499:$Y$615,ROW()-ROW($D$256),COLUMN()-COLUMN($C$257))),"")</f>
        <v>Lesser Ward of Alarm</v>
      </c>
      <c r="R262" s="1055" t="str">
        <f ca="1">IF(ISNUMBER(INDEX(magestuff!$D$499:$Y$615,ROW()-ROW($D$256),COLUMN()-COLUMN($C$257))),INDIRECT("'Master Spell List'!$Z$"&amp;INDEX(magestuff!$D$499:$Y$615,ROW()-ROW($D$256),COLUMN()-COLUMN($C$257))),"")</f>
        <v>Magical Bowery +5</v>
      </c>
      <c r="S262" s="1055" t="str">
        <f ca="1">IF(ISNUMBER(INDEX(magestuff!$D$499:$Y$615,ROW()-ROW($D$256),COLUMN()-COLUMN($C$257))),INDIRECT("'Master Spell List'!$Z$"&amp;INDEX(magestuff!$D$499:$Y$615,ROW()-ROW($D$256),COLUMN()-COLUMN($C$257))),"")</f>
        <v>Sharpen Blade</v>
      </c>
      <c r="T262" s="1055" t="str">
        <f ca="1">IF(ISNUMBER(INDEX(magestuff!$D$499:$Y$615,ROW()-ROW($D$256),COLUMN()-COLUMN($C$257))),INDIRECT("'Master Spell List'!$Z$"&amp;INDEX(magestuff!$D$499:$Y$615,ROW()-ROW($D$256),COLUMN()-COLUMN($C$257))),"")</f>
        <v>Venom of Hel</v>
      </c>
      <c r="U262" s="1055" t="str">
        <f ca="1">IF(ISNUMBER(INDEX(magestuff!$D$499:$Y$615,ROW()-ROW($D$256),COLUMN()-COLUMN($C$257))),INDIRECT("'Master Spell List'!$Z$"&amp;INDEX(magestuff!$D$499:$Y$615,ROW()-ROW($D$256),COLUMN()-COLUMN($C$257))),"")</f>
        <v/>
      </c>
      <c r="V262" s="1055" t="str">
        <f ca="1">IF(ISNUMBER(INDEX(magestuff!$D$499:$Y$615,ROW()-ROW($D$256),COLUMN()-COLUMN($C$257))),INDIRECT("'Master Spell List'!$Z$"&amp;INDEX(magestuff!$D$499:$Y$615,ROW()-ROW($D$256),COLUMN()-COLUMN($C$257))),"")</f>
        <v/>
      </c>
      <c r="W262" s="1055" t="str">
        <f ca="1">IF(ISNUMBER(INDEX(magestuff!$D$499:$Y$615,ROW()-ROW($D$256),COLUMN()-COLUMN($C$257))),INDIRECT("'Master Spell List'!$Z$"&amp;INDEX(magestuff!$D$499:$Y$615,ROW()-ROW($D$256),COLUMN()-COLUMN($C$257))),"")</f>
        <v/>
      </c>
      <c r="Y262" s="1069" t="s">
        <v>3657</v>
      </c>
      <c r="AH262" s="126" t="s">
        <v>3173</v>
      </c>
      <c r="AI262" s="598" t="s">
        <v>1499</v>
      </c>
    </row>
    <row r="263" spans="1:35">
      <c r="A263" s="598">
        <v>8</v>
      </c>
      <c r="B263" s="598" t="s">
        <v>1632</v>
      </c>
      <c r="C263" s="598" t="s">
        <v>2225</v>
      </c>
      <c r="D263" s="1055" t="str">
        <f ca="1">IF(ISNUMBER(INDEX(magestuff!$D$499:$Y$615,ROW()-ROW($D$256),COLUMN()-COLUMN($C$257))),INDIRECT("'Master Spell List'!$Z$"&amp;INDEX(magestuff!$D$499:$Y$615,ROW()-ROW($D$256),COLUMN()-COLUMN($C$257))),"")</f>
        <v>Slow</v>
      </c>
      <c r="E263" s="1055" t="str">
        <f ca="1">IF(ISNUMBER(INDEX(magestuff!$D$499:$Y$615,ROW()-ROW($D$256),COLUMN()-COLUMN($C$257))),INDIRECT("'Master Spell List'!$Z$"&amp;INDEX(magestuff!$D$499:$Y$615,ROW()-ROW($D$256),COLUMN()-COLUMN($C$257))),"")</f>
        <v>Puff</v>
      </c>
      <c r="F263" s="1055" t="str">
        <f ca="1">IF(ISNUMBER(INDEX(magestuff!$D$499:$Y$615,ROW()-ROW($D$256),COLUMN()-COLUMN($C$257))),INDIRECT("'Master Spell List'!$Z$"&amp;INDEX(magestuff!$D$499:$Y$615,ROW()-ROW($D$256),COLUMN()-COLUMN($C$257))),"")</f>
        <v>Wall</v>
      </c>
      <c r="G263" s="1055" t="str">
        <f ca="1">IF(ISNUMBER(INDEX(magestuff!$D$499:$Y$615,ROW()-ROW($D$256),COLUMN()-COLUMN($C$257))),INDIRECT("'Master Spell List'!$Z$"&amp;INDEX(magestuff!$D$499:$Y$615,ROW()-ROW($D$256),COLUMN()-COLUMN($C$257))),"")</f>
        <v>Fiery Arrows - Magick Fire</v>
      </c>
      <c r="H263" s="1055" t="str">
        <f ca="1">IF(ISNUMBER(INDEX(magestuff!$D$499:$Y$615,ROW()-ROW($D$256),COLUMN()-COLUMN($C$257))),INDIRECT("'Master Spell List'!$Z$"&amp;INDEX(magestuff!$D$499:$Y$615,ROW()-ROW($D$256),COLUMN()-COLUMN($C$257))),"")</f>
        <v>Warm/Cool</v>
      </c>
      <c r="I263" s="1055" t="str">
        <f ca="1">IF(ISNUMBER(INDEX(magestuff!$D$499:$Y$615,ROW()-ROW($D$256),COLUMN()-COLUMN($C$257))),INDIRECT("'Master Spell List'!$Z$"&amp;INDEX(magestuff!$D$499:$Y$615,ROW()-ROW($D$256),COLUMN()-COLUMN($C$257))),"")</f>
        <v xml:space="preserve">Accelerate </v>
      </c>
      <c r="J263" s="1055" t="str">
        <f ca="1">IF(ISNUMBER(INDEX(magestuff!$D$499:$Y$615,ROW()-ROW($D$256),COLUMN()-COLUMN($C$257))),INDIRECT("'Master Spell List'!$Z$"&amp;INDEX(magestuff!$D$499:$Y$615,ROW()-ROW($D$256),COLUMN()-COLUMN($C$257))),"")</f>
        <v>Sleep</v>
      </c>
      <c r="K263" s="1055" t="str">
        <f ca="1">IF(ISNUMBER(INDEX(magestuff!$D$499:$Y$615,ROW()-ROW($D$256),COLUMN()-COLUMN($C$257))),INDIRECT("'Master Spell List'!$Z$"&amp;INDEX(magestuff!$D$499:$Y$615,ROW()-ROW($D$256),COLUMN()-COLUMN($C$257))),"")</f>
        <v>Calibrate (Direction)</v>
      </c>
      <c r="L263" s="1055" t="str">
        <f ca="1">IF(ISNUMBER(INDEX(magestuff!$D$499:$Y$615,ROW()-ROW($D$256),COLUMN()-COLUMN($C$257))),INDIRECT("'Master Spell List'!$Z$"&amp;INDEX(magestuff!$D$499:$Y$615,ROW()-ROW($D$256),COLUMN()-COLUMN($C$257))),"")</f>
        <v>Blurred Image</v>
      </c>
      <c r="M263" s="1055" t="str">
        <f ca="1">IF(ISNUMBER(INDEX(magestuff!$D$499:$Y$615,ROW()-ROW($D$256),COLUMN()-COLUMN($C$257))),INDIRECT("'Master Spell List'!$Z$"&amp;INDEX(magestuff!$D$499:$Y$615,ROW()-ROW($D$256),COLUMN()-COLUMN($C$257))),"")</f>
        <v>Berries of the Sprites</v>
      </c>
      <c r="N263" s="1055" t="str">
        <f ca="1">IF(ISNUMBER(INDEX(magestuff!$D$499:$Y$615,ROW()-ROW($D$256),COLUMN()-COLUMN($C$257))),INDIRECT("'Master Spell List'!$Z$"&amp;INDEX(magestuff!$D$499:$Y$615,ROW()-ROW($D$256),COLUMN()-COLUMN($C$257))),"")</f>
        <v>Least Summon Object</v>
      </c>
      <c r="O263" s="1055" t="str">
        <f ca="1">IF(ISNUMBER(INDEX(magestuff!$D$499:$Y$615,ROW()-ROW($D$256),COLUMN()-COLUMN($C$257))),INDIRECT("'Master Spell List'!$Z$"&amp;INDEX(magestuff!$D$499:$Y$615,ROW()-ROW($D$256),COLUMN()-COLUMN($C$257))),"")</f>
        <v>Least Push</v>
      </c>
      <c r="P263" s="1055" t="str">
        <f ca="1">IF(ISNUMBER(INDEX(magestuff!$D$499:$Y$615,ROW()-ROW($D$256),COLUMN()-COLUMN($C$257))),INDIRECT("'Master Spell List'!$Z$"&amp;INDEX(magestuff!$D$499:$Y$615,ROW()-ROW($D$256),COLUMN()-COLUMN($C$257))),"")</f>
        <v>Cool Cloak (Mantle of Borealis)</v>
      </c>
      <c r="Q263" s="1055" t="str">
        <f ca="1">IF(ISNUMBER(INDEX(magestuff!$D$499:$Y$615,ROW()-ROW($D$256),COLUMN()-COLUMN($C$257))),INDIRECT("'Master Spell List'!$Z$"&amp;INDEX(magestuff!$D$499:$Y$615,ROW()-ROW($D$256),COLUMN()-COLUMN($C$257))),"")</f>
        <v>Lesser Ward of Alertness</v>
      </c>
      <c r="R263" s="1055" t="str">
        <f ca="1">IF(ISNUMBER(INDEX(magestuff!$D$499:$Y$615,ROW()-ROW($D$256),COLUMN()-COLUMN($C$257))),INDIRECT("'Master Spell List'!$Z$"&amp;INDEX(magestuff!$D$499:$Y$615,ROW()-ROW($D$256),COLUMN()-COLUMN($C$257))),"")</f>
        <v>Magical Fletching +5</v>
      </c>
      <c r="S263" s="1055" t="str">
        <f ca="1">IF(ISNUMBER(INDEX(magestuff!$D$499:$Y$615,ROW()-ROW($D$256),COLUMN()-COLUMN($C$257))),INDIRECT("'Master Spell List'!$Z$"&amp;INDEX(magestuff!$D$499:$Y$615,ROW()-ROW($D$256),COLUMN()-COLUMN($C$257))),"")</f>
        <v>Heal Rust</v>
      </c>
      <c r="T263" s="1055" t="str">
        <f ca="1">IF(ISNUMBER(INDEX(magestuff!$D$499:$Y$615,ROW()-ROW($D$256),COLUMN()-COLUMN($C$257))),INDIRECT("'Master Spell List'!$Z$"&amp;INDEX(magestuff!$D$499:$Y$615,ROW()-ROW($D$256),COLUMN()-COLUMN($C$257))),"")</f>
        <v>Stormblast</v>
      </c>
      <c r="U263" s="1055" t="str">
        <f ca="1">IF(ISNUMBER(INDEX(magestuff!$D$499:$Y$615,ROW()-ROW($D$256),COLUMN()-COLUMN($C$257))),INDIRECT("'Master Spell List'!$Z$"&amp;INDEX(magestuff!$D$499:$Y$615,ROW()-ROW($D$256),COLUMN()-COLUMN($C$257))),"")</f>
        <v/>
      </c>
      <c r="V263" s="1055" t="str">
        <f ca="1">IF(ISNUMBER(INDEX(magestuff!$D$499:$Y$615,ROW()-ROW($D$256),COLUMN()-COLUMN($C$257))),INDIRECT("'Master Spell List'!$Z$"&amp;INDEX(magestuff!$D$499:$Y$615,ROW()-ROW($D$256),COLUMN()-COLUMN($C$257))),"")</f>
        <v/>
      </c>
      <c r="W263" s="1055" t="str">
        <f ca="1">IF(ISNUMBER(INDEX(magestuff!$D$499:$Y$615,ROW()-ROW($D$256),COLUMN()-COLUMN($C$257))),INDIRECT("'Master Spell List'!$Z$"&amp;INDEX(magestuff!$D$499:$Y$615,ROW()-ROW($D$256),COLUMN()-COLUMN($C$257))),"")</f>
        <v/>
      </c>
      <c r="Y263" s="1069" t="s">
        <v>1632</v>
      </c>
      <c r="AH263" s="519" t="s">
        <v>3174</v>
      </c>
      <c r="AI263" s="598" t="s">
        <v>1499</v>
      </c>
    </row>
    <row r="264" spans="1:35">
      <c r="A264" s="598">
        <v>9</v>
      </c>
      <c r="B264" s="598" t="s">
        <v>3466</v>
      </c>
      <c r="C264" s="598" t="s">
        <v>2225</v>
      </c>
      <c r="D264" s="1055" t="str">
        <f ca="1">IF(ISNUMBER(INDEX(magestuff!$D$499:$Y$615,ROW()-ROW($D$256),COLUMN()-COLUMN($C$257))),INDIRECT("'Master Spell List'!$Z$"&amp;INDEX(magestuff!$D$499:$Y$615,ROW()-ROW($D$256),COLUMN()-COLUMN($C$257))),"")</f>
        <v>Arm Trigger</v>
      </c>
      <c r="E264" s="1055" t="str">
        <f ca="1">IF(ISNUMBER(INDEX(magestuff!$D$499:$Y$615,ROW()-ROW($D$256),COLUMN()-COLUMN($C$257))),INDIRECT("'Master Spell List'!$Z$"&amp;INDEX(magestuff!$D$499:$Y$615,ROW()-ROW($D$256),COLUMN()-COLUMN($C$257))),"")</f>
        <v>Remove Air</v>
      </c>
      <c r="F264" s="1055" t="str">
        <f ca="1">IF(ISNUMBER(INDEX(magestuff!$D$499:$Y$615,ROW()-ROW($D$256),COLUMN()-COLUMN($C$257))),INDIRECT("'Master Spell List'!$Z$"&amp;INDEX(magestuff!$D$499:$Y$615,ROW()-ROW($D$256),COLUMN()-COLUMN($C$257))),"")</f>
        <v>Warm/Cool</v>
      </c>
      <c r="G264" s="1055" t="str">
        <f ca="1">IF(ISNUMBER(INDEX(magestuff!$D$499:$Y$615,ROW()-ROW($D$256),COLUMN()-COLUMN($C$257))),INDIRECT("'Master Spell List'!$Z$"&amp;INDEX(magestuff!$D$499:$Y$615,ROW()-ROW($D$256),COLUMN()-COLUMN($C$257))),"")</f>
        <v>Flame Wall</v>
      </c>
      <c r="H264" s="1055" t="str">
        <f ca="1">IF(ISNUMBER(INDEX(magestuff!$D$499:$Y$615,ROW()-ROW($D$256),COLUMN()-COLUMN($C$257))),INDIRECT("'Master Spell List'!$Z$"&amp;INDEX(magestuff!$D$499:$Y$615,ROW()-ROW($D$256),COLUMN()-COLUMN($C$257))),"")</f>
        <v>Sheet</v>
      </c>
      <c r="I264" s="1055" t="str">
        <f ca="1">IF(ISNUMBER(INDEX(magestuff!$D$499:$Y$615,ROW()-ROW($D$256),COLUMN()-COLUMN($C$257))),INDIRECT("'Master Spell List'!$Z$"&amp;INDEX(magestuff!$D$499:$Y$615,ROW()-ROW($D$256),COLUMN()-COLUMN($C$257))),"")</f>
        <v>Affix</v>
      </c>
      <c r="J264" s="1055" t="str">
        <f ca="1">IF(ISNUMBER(INDEX(magestuff!$D$499:$Y$615,ROW()-ROW($D$256),COLUMN()-COLUMN($C$257))),INDIRECT("'Master Spell List'!$Z$"&amp;INDEX(magestuff!$D$499:$Y$615,ROW()-ROW($D$256),COLUMN()-COLUMN($C$257))),"")</f>
        <v>Charm Large Animals</v>
      </c>
      <c r="K264" s="1055" t="str">
        <f ca="1">IF(ISNUMBER(INDEX(magestuff!$D$499:$Y$615,ROW()-ROW($D$256),COLUMN()-COLUMN($C$257))),INDIRECT("'Master Spell List'!$Z$"&amp;INDEX(magestuff!$D$499:$Y$615,ROW()-ROW($D$256),COLUMN()-COLUMN($C$257))),"")</f>
        <v>Calibrate (Distance)</v>
      </c>
      <c r="L264" s="1055" t="str">
        <f ca="1">IF(ISNUMBER(INDEX(magestuff!$D$499:$Y$615,ROW()-ROW($D$256),COLUMN()-COLUMN($C$257))),INDIRECT("'Master Spell List'!$Z$"&amp;INDEX(magestuff!$D$499:$Y$615,ROW()-ROW($D$256),COLUMN()-COLUMN($C$257))),"")</f>
        <v>Concentrate Light</v>
      </c>
      <c r="M264" s="1055" t="str">
        <f ca="1">IF(ISNUMBER(INDEX(magestuff!$D$499:$Y$615,ROW()-ROW($D$256),COLUMN()-COLUMN($C$257))),INDIRECT("'Master Spell List'!$Z$"&amp;INDEX(magestuff!$D$499:$Y$615,ROW()-ROW($D$256),COLUMN()-COLUMN($C$257))),"")</f>
        <v>Blight/Wither</v>
      </c>
      <c r="N264" s="1055" t="str">
        <f ca="1">IF(ISNUMBER(INDEX(magestuff!$D$499:$Y$615,ROW()-ROW($D$256),COLUMN()-COLUMN($C$257))),INDIRECT("'Master Spell List'!$Z$"&amp;INDEX(magestuff!$D$499:$Y$615,ROW()-ROW($D$256),COLUMN()-COLUMN($C$257))),"")</f>
        <v>Speak with the Dead</v>
      </c>
      <c r="O264" s="1055" t="str">
        <f ca="1">IF(ISNUMBER(INDEX(magestuff!$D$499:$Y$615,ROW()-ROW($D$256),COLUMN()-COLUMN($C$257))),INDIRECT("'Master Spell List'!$Z$"&amp;INDEX(magestuff!$D$499:$Y$615,ROW()-ROW($D$256),COLUMN()-COLUMN($C$257))),"")</f>
        <v>Lesser Conceal Body Scent</v>
      </c>
      <c r="P264" s="1055" t="str">
        <f ca="1">IF(ISNUMBER(INDEX(magestuff!$D$499:$Y$615,ROW()-ROW($D$256),COLUMN()-COLUMN($C$257))),INDIRECT("'Master Spell List'!$Z$"&amp;INDEX(magestuff!$D$499:$Y$615,ROW()-ROW($D$256),COLUMN()-COLUMN($C$257))),"")</f>
        <v>Far Sight</v>
      </c>
      <c r="Q264" s="1055" t="str">
        <f ca="1">IF(ISNUMBER(INDEX(magestuff!$D$499:$Y$615,ROW()-ROW($D$256),COLUMN()-COLUMN($C$257))),INDIRECT("'Master Spell List'!$Z$"&amp;INDEX(magestuff!$D$499:$Y$615,ROW()-ROW($D$256),COLUMN()-COLUMN($C$257))),"")</f>
        <v>Lesser Ward of Protection vs Beasts</v>
      </c>
      <c r="R264" s="1055" t="str">
        <f ca="1">IF(ISNUMBER(INDEX(magestuff!$D$499:$Y$615,ROW()-ROW($D$256),COLUMN()-COLUMN($C$257))),INDIRECT("'Master Spell List'!$Z$"&amp;INDEX(magestuff!$D$499:$Y$615,ROW()-ROW($D$256),COLUMN()-COLUMN($C$257))),"")</f>
        <v>Strike with Power +5</v>
      </c>
      <c r="S264" s="1055" t="str">
        <f ca="1">IF(ISNUMBER(INDEX(magestuff!$D$499:$Y$615,ROW()-ROW($D$256),COLUMN()-COLUMN($C$257))),INDIRECT("'Master Spell List'!$Z$"&amp;INDEX(magestuff!$D$499:$Y$615,ROW()-ROW($D$256),COLUMN()-COLUMN($C$257))),"")</f>
        <v>Join Items</v>
      </c>
      <c r="T264" s="1055" t="str">
        <f ca="1">IF(ISNUMBER(INDEX(magestuff!$D$499:$Y$615,ROW()-ROW($D$256),COLUMN()-COLUMN($C$257))),INDIRECT("'Master Spell List'!$Z$"&amp;INDEX(magestuff!$D$499:$Y$615,ROW()-ROW($D$256),COLUMN()-COLUMN($C$257))),"")</f>
        <v>Summon Totem</v>
      </c>
      <c r="U264" s="1055" t="str">
        <f ca="1">IF(ISNUMBER(INDEX(magestuff!$D$499:$Y$615,ROW()-ROW($D$256),COLUMN()-COLUMN($C$257))),INDIRECT("'Master Spell List'!$Z$"&amp;INDEX(magestuff!$D$499:$Y$615,ROW()-ROW($D$256),COLUMN()-COLUMN($C$257))),"")</f>
        <v/>
      </c>
      <c r="V264" s="1055" t="str">
        <f ca="1">IF(ISNUMBER(INDEX(magestuff!$D$499:$Y$615,ROW()-ROW($D$256),COLUMN()-COLUMN($C$257))),INDIRECT("'Master Spell List'!$Z$"&amp;INDEX(magestuff!$D$499:$Y$615,ROW()-ROW($D$256),COLUMN()-COLUMN($C$257))),"")</f>
        <v/>
      </c>
      <c r="W264" s="1055" t="str">
        <f ca="1">IF(ISNUMBER(INDEX(magestuff!$D$499:$Y$615,ROW()-ROW($D$256),COLUMN()-COLUMN($C$257))),INDIRECT("'Master Spell List'!$Z$"&amp;INDEX(magestuff!$D$499:$Y$615,ROW()-ROW($D$256),COLUMN()-COLUMN($C$257))),"")</f>
        <v/>
      </c>
      <c r="Y264" s="1069" t="s">
        <v>3466</v>
      </c>
      <c r="AH264" s="519" t="s">
        <v>259</v>
      </c>
      <c r="AI264" s="598" t="s">
        <v>1499</v>
      </c>
    </row>
    <row r="265" spans="1:35">
      <c r="A265" s="598">
        <v>10</v>
      </c>
      <c r="B265" s="598" t="s">
        <v>1633</v>
      </c>
      <c r="C265" s="598" t="s">
        <v>2225</v>
      </c>
      <c r="D265" s="1055" t="str">
        <f ca="1">IF(ISNUMBER(INDEX(magestuff!$D$499:$Y$615,ROW()-ROW($D$256),COLUMN()-COLUMN($C$257))),INDIRECT("'Master Spell List'!$Z$"&amp;INDEX(magestuff!$D$499:$Y$615,ROW()-ROW($D$256),COLUMN()-COLUMN($C$257))),"")</f>
        <v>Channelling</v>
      </c>
      <c r="E265" s="1055" t="str">
        <f ca="1">IF(ISNUMBER(INDEX(magestuff!$D$499:$Y$615,ROW()-ROW($D$256),COLUMN()-COLUMN($C$257))),INDIRECT("'Master Spell List'!$Z$"&amp;INDEX(magestuff!$D$499:$Y$615,ROW()-ROW($D$256),COLUMN()-COLUMN($C$257))),"")</f>
        <v>Area of Silence</v>
      </c>
      <c r="F265" s="1055" t="str">
        <f ca="1">IF(ISNUMBER(INDEX(magestuff!$D$499:$Y$615,ROW()-ROW($D$256),COLUMN()-COLUMN($C$257))),INDIRECT("'Master Spell List'!$Z$"&amp;INDEX(magestuff!$D$499:$Y$615,ROW()-ROW($D$256),COLUMN()-COLUMN($C$257))),"")</f>
        <v>Landslide</v>
      </c>
      <c r="G265" s="1055" t="str">
        <f ca="1">IF(ISNUMBER(INDEX(magestuff!$D$499:$Y$615,ROW()-ROW($D$256),COLUMN()-COLUMN($C$257))),INDIRECT("'Master Spell List'!$Z$"&amp;INDEX(magestuff!$D$499:$Y$615,ROW()-ROW($D$256),COLUMN()-COLUMN($C$257))),"")</f>
        <v>Flaming Weapon  - Normal Fire</v>
      </c>
      <c r="H265" s="1055" t="str">
        <f ca="1">IF(ISNUMBER(INDEX(magestuff!$D$499:$Y$615,ROW()-ROW($D$256),COLUMN()-COLUMN($C$257))),INDIRECT("'Master Spell List'!$Z$"&amp;INDEX(magestuff!$D$499:$Y$615,ROW()-ROW($D$256),COLUMN()-COLUMN($C$257))),"")</f>
        <v>Spray</v>
      </c>
      <c r="I265" s="1055" t="str">
        <f ca="1">IF(ISNUMBER(INDEX(magestuff!$D$499:$Y$615,ROW()-ROW($D$256),COLUMN()-COLUMN($C$257))),INDIRECT("'Master Spell List'!$Z$"&amp;INDEX(magestuff!$D$499:$Y$615,ROW()-ROW($D$256),COLUMN()-COLUMN($C$257))),"")</f>
        <v>Arcane Arrowhead</v>
      </c>
      <c r="J265" s="1055" t="str">
        <f ca="1">IF(ISNUMBER(INDEX(magestuff!$D$499:$Y$615,ROW()-ROW($D$256),COLUMN()-COLUMN($C$257))),INDIRECT("'Master Spell List'!$Z$"&amp;INDEX(magestuff!$D$499:$Y$615,ROW()-ROW($D$256),COLUMN()-COLUMN($C$257))),"")</f>
        <v>Charm Small Predator</v>
      </c>
      <c r="K265" s="1055" t="str">
        <f ca="1">IF(ISNUMBER(INDEX(magestuff!$D$499:$Y$615,ROW()-ROW($D$256),COLUMN()-COLUMN($C$257))),INDIRECT("'Master Spell List'!$Z$"&amp;INDEX(magestuff!$D$499:$Y$615,ROW()-ROW($D$256),COLUMN()-COLUMN($C$257))),"")</f>
        <v>Calibrate (Time)</v>
      </c>
      <c r="L265" s="1055" t="str">
        <f ca="1">IF(ISNUMBER(INDEX(magestuff!$D$499:$Y$615,ROW()-ROW($D$256),COLUMN()-COLUMN($C$257))),INDIRECT("'Master Spell List'!$Z$"&amp;INDEX(magestuff!$D$499:$Y$615,ROW()-ROW($D$256),COLUMN()-COLUMN($C$257))),"")</f>
        <v>Concentrate Scent</v>
      </c>
      <c r="M265" s="1055" t="str">
        <f ca="1">IF(ISNUMBER(INDEX(magestuff!$D$499:$Y$615,ROW()-ROW($D$256),COLUMN()-COLUMN($C$257))),INDIRECT("'Master Spell List'!$Z$"&amp;INDEX(magestuff!$D$499:$Y$615,ROW()-ROW($D$256),COLUMN()-COLUMN($C$257))),"")</f>
        <v>Detach (Prune)</v>
      </c>
      <c r="N265" s="1055" t="str">
        <f ca="1">IF(ISNUMBER(INDEX(magestuff!$D$499:$Y$615,ROW()-ROW($D$256),COLUMN()-COLUMN($C$257))),INDIRECT("'Master Spell List'!$Z$"&amp;INDEX(magestuff!$D$499:$Y$615,ROW()-ROW($D$256),COLUMN()-COLUMN($C$257))),"")</f>
        <v>Animate Wood Simulacrum</v>
      </c>
      <c r="O265" s="1055" t="str">
        <f ca="1">IF(ISNUMBER(INDEX(magestuff!$D$499:$Y$615,ROW()-ROW($D$256),COLUMN()-COLUMN($C$257))),INDIRECT("'Master Spell List'!$Z$"&amp;INDEX(magestuff!$D$499:$Y$615,ROW()-ROW($D$256),COLUMN()-COLUMN($C$257))),"")</f>
        <v>Sleep of the Dead</v>
      </c>
      <c r="P265" s="1055" t="str">
        <f ca="1">IF(ISNUMBER(INDEX(magestuff!$D$499:$Y$615,ROW()-ROW($D$256),COLUMN()-COLUMN($C$257))),INDIRECT("'Master Spell List'!$Z$"&amp;INDEX(magestuff!$D$499:$Y$615,ROW()-ROW($D$256),COLUMN()-COLUMN($C$257))),"")</f>
        <v>Nightvision - Cat's Eyes</v>
      </c>
      <c r="Q265" s="1055" t="str">
        <f ca="1">IF(ISNUMBER(INDEX(magestuff!$D$499:$Y$615,ROW()-ROW($D$256),COLUMN()-COLUMN($C$257))),INDIRECT("'Master Spell List'!$Z$"&amp;INDEX(magestuff!$D$499:$Y$615,ROW()-ROW($D$256),COLUMN()-COLUMN($C$257))),"")</f>
        <v>Lesser Ward of Protection vs Evil</v>
      </c>
      <c r="R265" s="1055" t="str">
        <f ca="1">IF(ISNUMBER(INDEX(magestuff!$D$499:$Y$615,ROW()-ROW($D$256),COLUMN()-COLUMN($C$257))),INDIRECT("'Master Spell List'!$Z$"&amp;INDEX(magestuff!$D$499:$Y$615,ROW()-ROW($D$256),COLUMN()-COLUMN($C$257))),"")</f>
        <v>Magical Bowery +6</v>
      </c>
      <c r="S265" s="1055" t="str">
        <f ca="1">IF(ISNUMBER(INDEX(magestuff!$D$499:$Y$615,ROW()-ROW($D$256),COLUMN()-COLUMN($C$257))),INDIRECT("'Master Spell List'!$Z$"&amp;INDEX(magestuff!$D$499:$Y$615,ROW()-ROW($D$256),COLUMN()-COLUMN($C$257))),"")</f>
        <v>Magically Fashion Armour</v>
      </c>
      <c r="T265" s="1055" t="str">
        <f ca="1">IF(ISNUMBER(INDEX(magestuff!$D$499:$Y$615,ROW()-ROW($D$256),COLUMN()-COLUMN($C$257))),INDIRECT("'Master Spell List'!$Z$"&amp;INDEX(magestuff!$D$499:$Y$615,ROW()-ROW($D$256),COLUMN()-COLUMN($C$257))),"")</f>
        <v>Enchantment of Skin</v>
      </c>
      <c r="U265" s="1055" t="str">
        <f ca="1">IF(ISNUMBER(INDEX(magestuff!$D$499:$Y$615,ROW()-ROW($D$256),COLUMN()-COLUMN($C$257))),INDIRECT("'Master Spell List'!$Z$"&amp;INDEX(magestuff!$D$499:$Y$615,ROW()-ROW($D$256),COLUMN()-COLUMN($C$257))),"")</f>
        <v/>
      </c>
      <c r="V265" s="1055" t="str">
        <f ca="1">IF(ISNUMBER(INDEX(magestuff!$D$499:$Y$615,ROW()-ROW($D$256),COLUMN()-COLUMN($C$257))),INDIRECT("'Master Spell List'!$Z$"&amp;INDEX(magestuff!$D$499:$Y$615,ROW()-ROW($D$256),COLUMN()-COLUMN($C$257))),"")</f>
        <v/>
      </c>
      <c r="W265" s="1055" t="str">
        <f ca="1">IF(ISNUMBER(INDEX(magestuff!$D$499:$Y$615,ROW()-ROW($D$256),COLUMN()-COLUMN($C$257))),INDIRECT("'Master Spell List'!$Z$"&amp;INDEX(magestuff!$D$499:$Y$615,ROW()-ROW($D$256),COLUMN()-COLUMN($C$257))),"")</f>
        <v/>
      </c>
      <c r="Y265" s="1069" t="s">
        <v>1633</v>
      </c>
      <c r="AH265" s="519" t="s">
        <v>260</v>
      </c>
      <c r="AI265" s="598" t="s">
        <v>1499</v>
      </c>
    </row>
    <row r="266" spans="1:35">
      <c r="A266" s="598">
        <v>11</v>
      </c>
      <c r="B266" s="598" t="s">
        <v>1634</v>
      </c>
      <c r="C266" s="598" t="s">
        <v>2225</v>
      </c>
      <c r="D266" s="1055" t="str">
        <f ca="1">IF(ISNUMBER(INDEX(magestuff!$D$499:$Y$615,ROW()-ROW($D$256),COLUMN()-COLUMN($C$257))),INDIRECT("'Master Spell List'!$Z$"&amp;INDEX(magestuff!$D$499:$Y$615,ROW()-ROW($D$256),COLUMN()-COLUMN($C$257))),"")</f>
        <v xml:space="preserve">Disarm Trigger </v>
      </c>
      <c r="E266" s="1055" t="str">
        <f ca="1">IF(ISNUMBER(INDEX(magestuff!$D$499:$Y$615,ROW()-ROW($D$256),COLUMN()-COLUMN($C$257))),INDIRECT("'Master Spell List'!$Z$"&amp;INDEX(magestuff!$D$499:$Y$615,ROW()-ROW($D$256),COLUMN()-COLUMN($C$257))),"")</f>
        <v>Concentrate</v>
      </c>
      <c r="F266" s="1055" t="str">
        <f ca="1">IF(ISNUMBER(INDEX(magestuff!$D$499:$Y$615,ROW()-ROW($D$256),COLUMN()-COLUMN($C$257))),INDIRECT("'Master Spell List'!$Z$"&amp;INDEX(magestuff!$D$499:$Y$615,ROW()-ROW($D$256),COLUMN()-COLUMN($C$257))),"")</f>
        <v>Least Earth's Cell</v>
      </c>
      <c r="G266" s="1055" t="str">
        <f ca="1">IF(ISNUMBER(INDEX(magestuff!$D$499:$Y$615,ROW()-ROW($D$256),COLUMN()-COLUMN($C$257))),INDIRECT("'Master Spell List'!$Z$"&amp;INDEX(magestuff!$D$499:$Y$615,ROW()-ROW($D$256),COLUMN()-COLUMN($C$257))),"")</f>
        <v>Intensify Fire</v>
      </c>
      <c r="H266" s="1055" t="str">
        <f ca="1">IF(ISNUMBER(INDEX(magestuff!$D$499:$Y$615,ROW()-ROW($D$256),COLUMN()-COLUMN($C$257))),INDIRECT("'Master Spell List'!$Z$"&amp;INDEX(magestuff!$D$499:$Y$615,ROW()-ROW($D$256),COLUMN()-COLUMN($C$257))),"")</f>
        <v>Wall of Water</v>
      </c>
      <c r="I266" s="1055" t="str">
        <f ca="1">IF(ISNUMBER(INDEX(magestuff!$D$499:$Y$615,ROW()-ROW($D$256),COLUMN()-COLUMN($C$257))),INDIRECT("'Master Spell List'!$Z$"&amp;INDEX(magestuff!$D$499:$Y$615,ROW()-ROW($D$256),COLUMN()-COLUMN($C$257))),"")</f>
        <v>Arcane Thread</v>
      </c>
      <c r="J266" s="1055" t="str">
        <f ca="1">IF(ISNUMBER(INDEX(magestuff!$D$499:$Y$615,ROW()-ROW($D$256),COLUMN()-COLUMN($C$257))),INDIRECT("'Master Spell List'!$Z$"&amp;INDEX(magestuff!$D$499:$Y$615,ROW()-ROW($D$256),COLUMN()-COLUMN($C$257))),"")</f>
        <v>Dispel Charmed Large Animals</v>
      </c>
      <c r="K266" s="1055" t="str">
        <f ca="1">IF(ISNUMBER(INDEX(magestuff!$D$499:$Y$615,ROW()-ROW($D$256),COLUMN()-COLUMN($C$257))),INDIRECT("'Master Spell List'!$Z$"&amp;INDEX(magestuff!$D$499:$Y$615,ROW()-ROW($D$256),COLUMN()-COLUMN($C$257))),"")</f>
        <v>Detect Hidden Door</v>
      </c>
      <c r="L266" s="1055" t="str">
        <f ca="1">IF(ISNUMBER(INDEX(magestuff!$D$499:$Y$615,ROW()-ROW($D$256),COLUMN()-COLUMN($C$257))),INDIRECT("'Master Spell List'!$Z$"&amp;INDEX(magestuff!$D$499:$Y$615,ROW()-ROW($D$256),COLUMN()-COLUMN($C$257))),"")</f>
        <v>Create Least Illusionary Contact</v>
      </c>
      <c r="M266" s="1055" t="str">
        <f ca="1">IF(ISNUMBER(INDEX(magestuff!$D$499:$Y$615,ROW()-ROW($D$256),COLUMN()-COLUMN($C$257))),INDIRECT("'Master Spell List'!$Z$"&amp;INDEX(magestuff!$D$499:$Y$615,ROW()-ROW($D$256),COLUMN()-COLUMN($C$257))),"")</f>
        <v>Draw Shafts</v>
      </c>
      <c r="N266" s="1055" t="str">
        <f ca="1">IF(ISNUMBER(INDEX(magestuff!$D$499:$Y$615,ROW()-ROW($D$256),COLUMN()-COLUMN($C$257))),INDIRECT("'Master Spell List'!$Z$"&amp;INDEX(magestuff!$D$499:$Y$615,ROW()-ROW($D$256),COLUMN()-COLUMN($C$257))),"")</f>
        <v>Summon Imp</v>
      </c>
      <c r="O266" s="1055" t="str">
        <f ca="1">IF(ISNUMBER(INDEX(magestuff!$D$499:$Y$615,ROW()-ROW($D$256),COLUMN()-COLUMN($C$257))),INDIRECT("'Master Spell List'!$Z$"&amp;INDEX(magestuff!$D$499:$Y$615,ROW()-ROW($D$256),COLUMN()-COLUMN($C$257))),"")</f>
        <v>Trance</v>
      </c>
      <c r="P266" s="1055" t="str">
        <f ca="1">IF(ISNUMBER(INDEX(magestuff!$D$499:$Y$615,ROW()-ROW($D$256),COLUMN()-COLUMN($C$257))),INDIRECT("'Master Spell List'!$Z$"&amp;INDEX(magestuff!$D$499:$Y$615,ROW()-ROW($D$256),COLUMN()-COLUMN($C$257))),"")</f>
        <v>Warm Cloak (Mantle of Helios)</v>
      </c>
      <c r="Q266" s="1055" t="str">
        <f ca="1">IF(ISNUMBER(INDEX(magestuff!$D$499:$Y$615,ROW()-ROW($D$256),COLUMN()-COLUMN($C$257))),INDIRECT("'Master Spell List'!$Z$"&amp;INDEX(magestuff!$D$499:$Y$615,ROW()-ROW($D$256),COLUMN()-COLUMN($C$257))),"")</f>
        <v>Lesser Ward of Protection vs Good</v>
      </c>
      <c r="R266" s="1055" t="str">
        <f ca="1">IF(ISNUMBER(INDEX(magestuff!$D$499:$Y$615,ROW()-ROW($D$256),COLUMN()-COLUMN($C$257))),INDIRECT("'Master Spell List'!$Z$"&amp;INDEX(magestuff!$D$499:$Y$615,ROW()-ROW($D$256),COLUMN()-COLUMN($C$257))),"")</f>
        <v>Magical Fletching +6</v>
      </c>
      <c r="S266" s="1055" t="str">
        <f ca="1">IF(ISNUMBER(INDEX(magestuff!$D$499:$Y$615,ROW()-ROW($D$256),COLUMN()-COLUMN($C$257))),INDIRECT("'Master Spell List'!$Z$"&amp;INDEX(magestuff!$D$499:$Y$615,ROW()-ROW($D$256),COLUMN()-COLUMN($C$257))),"")</f>
        <v>Magically Forge Armaments</v>
      </c>
      <c r="T266" s="1055" t="str">
        <f ca="1">IF(ISNUMBER(INDEX(magestuff!$D$499:$Y$615,ROW()-ROW($D$256),COLUMN()-COLUMN($C$257))),INDIRECT("'Master Spell List'!$Z$"&amp;INDEX(magestuff!$D$499:$Y$615,ROW()-ROW($D$256),COLUMN()-COLUMN($C$257))),"")</f>
        <v>Combination/Designed Spells</v>
      </c>
      <c r="U266" s="1055" t="str">
        <f ca="1">IF(ISNUMBER(INDEX(magestuff!$D$499:$Y$615,ROW()-ROW($D$256),COLUMN()-COLUMN($C$257))),INDIRECT("'Master Spell List'!$Z$"&amp;INDEX(magestuff!$D$499:$Y$615,ROW()-ROW($D$256),COLUMN()-COLUMN($C$257))),"")</f>
        <v/>
      </c>
      <c r="V266" s="1055" t="str">
        <f ca="1">IF(ISNUMBER(INDEX(magestuff!$D$499:$Y$615,ROW()-ROW($D$256),COLUMN()-COLUMN($C$257))),INDIRECT("'Master Spell List'!$Z$"&amp;INDEX(magestuff!$D$499:$Y$615,ROW()-ROW($D$256),COLUMN()-COLUMN($C$257))),"")</f>
        <v/>
      </c>
      <c r="W266" s="1055" t="str">
        <f ca="1">IF(ISNUMBER(INDEX(magestuff!$D$499:$Y$615,ROW()-ROW($D$256),COLUMN()-COLUMN($C$257))),INDIRECT("'Master Spell List'!$Z$"&amp;INDEX(magestuff!$D$499:$Y$615,ROW()-ROW($D$256),COLUMN()-COLUMN($C$257))),"")</f>
        <v/>
      </c>
      <c r="Y266" s="1069" t="s">
        <v>1634</v>
      </c>
      <c r="AH266" s="519" t="s">
        <v>261</v>
      </c>
      <c r="AI266" s="598" t="s">
        <v>1499</v>
      </c>
    </row>
    <row r="267" spans="1:35">
      <c r="A267" s="598">
        <v>12</v>
      </c>
      <c r="B267" s="598" t="s">
        <v>1635</v>
      </c>
      <c r="C267" s="598" t="s">
        <v>2225</v>
      </c>
      <c r="D267" s="1055" t="str">
        <f ca="1">IF(ISNUMBER(INDEX(magestuff!$D$499:$Y$615,ROW()-ROW($D$256),COLUMN()-COLUMN($C$257))),INDIRECT("'Master Spell List'!$Z$"&amp;INDEX(magestuff!$D$499:$Y$615,ROW()-ROW($D$256),COLUMN()-COLUMN($C$257))),"")</f>
        <v>Extend</v>
      </c>
      <c r="E267" s="1055" t="str">
        <f ca="1">IF(ISNUMBER(INDEX(magestuff!$D$499:$Y$615,ROW()-ROW($D$256),COLUMN()-COLUMN($C$257))),INDIRECT("'Master Spell List'!$Z$"&amp;INDEX(magestuff!$D$499:$Y$615,ROW()-ROW($D$256),COLUMN()-COLUMN($C$257))),"")</f>
        <v>Air Beam</v>
      </c>
      <c r="F267" s="1055" t="str">
        <f ca="1">IF(ISNUMBER(INDEX(magestuff!$D$499:$Y$615,ROW()-ROW($D$256),COLUMN()-COLUMN($C$257))),INDIRECT("'Master Spell List'!$Z$"&amp;INDEX(magestuff!$D$499:$Y$615,ROW()-ROW($D$256),COLUMN()-COLUMN($C$257))),"")</f>
        <v>Plow</v>
      </c>
      <c r="G267" s="1055" t="str">
        <f ca="1">IF(ISNUMBER(INDEX(magestuff!$D$499:$Y$615,ROW()-ROW($D$256),COLUMN()-COLUMN($C$257))),INDIRECT("'Master Spell List'!$Z$"&amp;INDEX(magestuff!$D$499:$Y$615,ROW()-ROW($D$256),COLUMN()-COLUMN($C$257))),"")</f>
        <v>Remove Fire</v>
      </c>
      <c r="H267" s="1055" t="str">
        <f ca="1">IF(ISNUMBER(INDEX(magestuff!$D$499:$Y$615,ROW()-ROW($D$256),COLUMN()-COLUMN($C$257))),INDIRECT("'Master Spell List'!$Z$"&amp;INDEX(magestuff!$D$499:$Y$615,ROW()-ROW($D$256),COLUMN()-COLUMN($C$257))),"")</f>
        <v>Armor of Ice</v>
      </c>
      <c r="I267" s="1055" t="str">
        <f ca="1">IF(ISNUMBER(INDEX(magestuff!$D$499:$Y$615,ROW()-ROW($D$256),COLUMN()-COLUMN($C$257))),INDIRECT("'Master Spell List'!$Z$"&amp;INDEX(magestuff!$D$499:$Y$615,ROW()-ROW($D$256),COLUMN()-COLUMN($C$257))),"")</f>
        <v xml:space="preserve">Color </v>
      </c>
      <c r="J267" s="1055" t="str">
        <f ca="1">IF(ISNUMBER(INDEX(magestuff!$D$499:$Y$615,ROW()-ROW($D$256),COLUMN()-COLUMN($C$257))),INDIRECT("'Master Spell List'!$Z$"&amp;INDEX(magestuff!$D$499:$Y$615,ROW()-ROW($D$256),COLUMN()-COLUMN($C$257))),"")</f>
        <v>Dispel Charmed Small Predators</v>
      </c>
      <c r="K267" s="1055" t="str">
        <f ca="1">IF(ISNUMBER(INDEX(magestuff!$D$499:$Y$615,ROW()-ROW($D$256),COLUMN()-COLUMN($C$257))),INDIRECT("'Master Spell List'!$Z$"&amp;INDEX(magestuff!$D$499:$Y$615,ROW()-ROW($D$256),COLUMN()-COLUMN($C$257))),"")</f>
        <v>Detect Illusion</v>
      </c>
      <c r="L267" s="1055" t="str">
        <f ca="1">IF(ISNUMBER(INDEX(magestuff!$D$499:$Y$615,ROW()-ROW($D$256),COLUMN()-COLUMN($C$257))),INDIRECT("'Master Spell List'!$Z$"&amp;INDEX(magestuff!$D$499:$Y$615,ROW()-ROW($D$256),COLUMN()-COLUMN($C$257))),"")</f>
        <v>Create Light</v>
      </c>
      <c r="M267" s="1055" t="str">
        <f ca="1">IF(ISNUMBER(INDEX(magestuff!$D$499:$Y$615,ROW()-ROW($D$256),COLUMN()-COLUMN($C$257))),INDIRECT("'Master Spell List'!$Z$"&amp;INDEX(magestuff!$D$499:$Y$615,ROW()-ROW($D$256),COLUMN()-COLUMN($C$257))),"")</f>
        <v>Faerie Bread</v>
      </c>
      <c r="N267" s="1055" t="str">
        <f ca="1">IF(ISNUMBER(INDEX(magestuff!$D$499:$Y$615,ROW()-ROW($D$256),COLUMN()-COLUMN($C$257))),INDIRECT("'Master Spell List'!$Z$"&amp;INDEX(magestuff!$D$499:$Y$615,ROW()-ROW($D$256),COLUMN()-COLUMN($C$257))),"")</f>
        <v xml:space="preserve">Animate  Water / Ice Simulacrum </v>
      </c>
      <c r="O267" s="1055" t="str">
        <f ca="1">IF(ISNUMBER(INDEX(magestuff!$D$499:$Y$615,ROW()-ROW($D$256),COLUMN()-COLUMN($C$257))),INDIRECT("'Master Spell List'!$Z$"&amp;INDEX(magestuff!$D$499:$Y$615,ROW()-ROW($D$256),COLUMN()-COLUMN($C$257))),"")</f>
        <v>Deflect Missile</v>
      </c>
      <c r="P267" s="1055" t="str">
        <f ca="1">IF(ISNUMBER(INDEX(magestuff!$D$499:$Y$615,ROW()-ROW($D$256),COLUMN()-COLUMN($C$257))),INDIRECT("'Master Spell List'!$Z$"&amp;INDEX(magestuff!$D$499:$Y$615,ROW()-ROW($D$256),COLUMN()-COLUMN($C$257))),"")</f>
        <v>Breathe Water</v>
      </c>
      <c r="Q267" s="1055" t="str">
        <f ca="1">IF(ISNUMBER(INDEX(magestuff!$D$499:$Y$615,ROW()-ROW($D$256),COLUMN()-COLUMN($C$257))),INDIRECT("'Master Spell List'!$Z$"&amp;INDEX(magestuff!$D$499:$Y$615,ROW()-ROW($D$256),COLUMN()-COLUMN($C$257))),"")</f>
        <v>Lesser Circle of Protection vs Arcane</v>
      </c>
      <c r="R267" s="1055" t="str">
        <f ca="1">IF(ISNUMBER(INDEX(magestuff!$D$499:$Y$615,ROW()-ROW($D$256),COLUMN()-COLUMN($C$257))),INDIRECT("'Master Spell List'!$Z$"&amp;INDEX(magestuff!$D$499:$Y$615,ROW()-ROW($D$256),COLUMN()-COLUMN($C$257))),"")</f>
        <v>Strike with Power +6</v>
      </c>
      <c r="S267" s="1055" t="str">
        <f ca="1">IF(ISNUMBER(INDEX(magestuff!$D$499:$Y$615,ROW()-ROW($D$256),COLUMN()-COLUMN($C$257))),INDIRECT("'Master Spell List'!$Z$"&amp;INDEX(magestuff!$D$499:$Y$615,ROW()-ROW($D$256),COLUMN()-COLUMN($C$257))),"")</f>
        <v>Magically Forge Swords</v>
      </c>
      <c r="T267" s="1055" t="str">
        <f ca="1">IF(ISNUMBER(INDEX(magestuff!$D$499:$Y$615,ROW()-ROW($D$256),COLUMN()-COLUMN($C$257))),INDIRECT("'Master Spell List'!$Z$"&amp;INDEX(magestuff!$D$499:$Y$615,ROW()-ROW($D$256),COLUMN()-COLUMN($C$257))),"")</f>
        <v>EOL</v>
      </c>
      <c r="U267" s="1055" t="str">
        <f ca="1">IF(ISNUMBER(INDEX(magestuff!$D$499:$Y$615,ROW()-ROW($D$256),COLUMN()-COLUMN($C$257))),INDIRECT("'Master Spell List'!$Z$"&amp;INDEX(magestuff!$D$499:$Y$615,ROW()-ROW($D$256),COLUMN()-COLUMN($C$257))),"")</f>
        <v/>
      </c>
      <c r="V267" s="1055" t="str">
        <f ca="1">IF(ISNUMBER(INDEX(magestuff!$D$499:$Y$615,ROW()-ROW($D$256),COLUMN()-COLUMN($C$257))),INDIRECT("'Master Spell List'!$Z$"&amp;INDEX(magestuff!$D$499:$Y$615,ROW()-ROW($D$256),COLUMN()-COLUMN($C$257))),"")</f>
        <v/>
      </c>
      <c r="W267" s="1055" t="str">
        <f ca="1">IF(ISNUMBER(INDEX(magestuff!$D$499:$Y$615,ROW()-ROW($D$256),COLUMN()-COLUMN($C$257))),INDIRECT("'Master Spell List'!$Z$"&amp;INDEX(magestuff!$D$499:$Y$615,ROW()-ROW($D$256),COLUMN()-COLUMN($C$257))),"")</f>
        <v/>
      </c>
      <c r="Y267" s="1069" t="s">
        <v>1635</v>
      </c>
      <c r="AH267" s="126" t="s">
        <v>262</v>
      </c>
    </row>
    <row r="268" spans="1:35">
      <c r="A268" s="598">
        <v>13</v>
      </c>
      <c r="B268" s="598" t="s">
        <v>1636</v>
      </c>
      <c r="C268" s="598" t="s">
        <v>2225</v>
      </c>
      <c r="D268" s="1055" t="str">
        <f ca="1">IF(ISNUMBER(INDEX(magestuff!$D$499:$Y$615,ROW()-ROW($D$256),COLUMN()-COLUMN($C$257))),INDIRECT("'Master Spell List'!$Z$"&amp;INDEX(magestuff!$D$499:$Y$615,ROW()-ROW($D$256),COLUMN()-COLUMN($C$257))),"")</f>
        <v>Hold Trigger</v>
      </c>
      <c r="E268" s="1055" t="str">
        <f ca="1">IF(ISNUMBER(INDEX(magestuff!$D$499:$Y$615,ROW()-ROW($D$256),COLUMN()-COLUMN($C$257))),INDIRECT("'Master Spell List'!$Z$"&amp;INDEX(magestuff!$D$499:$Y$615,ROW()-ROW($D$256),COLUMN()-COLUMN($C$257))),"")</f>
        <v>Airbolt</v>
      </c>
      <c r="F268" s="1055" t="str">
        <f ca="1">IF(ISNUMBER(INDEX(magestuff!$D$499:$Y$615,ROW()-ROW($D$256),COLUMN()-COLUMN($C$257))),INDIRECT("'Master Spell List'!$Z$"&amp;INDEX(magestuff!$D$499:$Y$615,ROW()-ROW($D$256),COLUMN()-COLUMN($C$257))),"")</f>
        <v>Solidify Mud</v>
      </c>
      <c r="G268" s="1055" t="str">
        <f ca="1">IF(ISNUMBER(INDEX(magestuff!$D$499:$Y$615,ROW()-ROW($D$256),COLUMN()-COLUMN($C$257))),INDIRECT("'Master Spell List'!$Z$"&amp;INDEX(magestuff!$D$499:$Y$615,ROW()-ROW($D$256),COLUMN()-COLUMN($C$257))),"")</f>
        <v>Command Magick Fire</v>
      </c>
      <c r="H268" s="1055" t="str">
        <f ca="1">IF(ISNUMBER(INDEX(magestuff!$D$499:$Y$615,ROW()-ROW($D$256),COLUMN()-COLUMN($C$257))),INDIRECT("'Master Spell List'!$Z$"&amp;INDEX(magestuff!$D$499:$Y$615,ROW()-ROW($D$256),COLUMN()-COLUMN($C$257))),"")</f>
        <v>Cell of Ice</v>
      </c>
      <c r="I268" s="1055" t="str">
        <f ca="1">IF(ISNUMBER(INDEX(magestuff!$D$499:$Y$615,ROW()-ROW($D$256),COLUMN()-COLUMN($C$257))),INDIRECT("'Master Spell List'!$Z$"&amp;INDEX(magestuff!$D$499:$Y$615,ROW()-ROW($D$256),COLUMN()-COLUMN($C$257))),"")</f>
        <v>Darkness</v>
      </c>
      <c r="J268" s="1055" t="str">
        <f ca="1">IF(ISNUMBER(INDEX(magestuff!$D$499:$Y$615,ROW()-ROW($D$256),COLUMN()-COLUMN($C$257))),INDIRECT("'Master Spell List'!$Z$"&amp;INDEX(magestuff!$D$499:$Y$615,ROW()-ROW($D$256),COLUMN()-COLUMN($C$257))),"")</f>
        <v>Greater Fright</v>
      </c>
      <c r="K268" s="1055" t="str">
        <f ca="1">IF(ISNUMBER(INDEX(magestuff!$D$499:$Y$615,ROW()-ROW($D$256),COLUMN()-COLUMN($C$257))),INDIRECT("'Master Spell List'!$Z$"&amp;INDEX(magestuff!$D$499:$Y$615,ROW()-ROW($D$256),COLUMN()-COLUMN($C$257))),"")</f>
        <v>Detect Life</v>
      </c>
      <c r="L268" s="1055" t="str">
        <f ca="1">IF(ISNUMBER(INDEX(magestuff!$D$499:$Y$615,ROW()-ROW($D$256),COLUMN()-COLUMN($C$257))),INDIRECT("'Master Spell List'!$Z$"&amp;INDEX(magestuff!$D$499:$Y$615,ROW()-ROW($D$256),COLUMN()-COLUMN($C$257))),"")</f>
        <v>Create Scent</v>
      </c>
      <c r="M268" s="1055" t="str">
        <f ca="1">IF(ISNUMBER(INDEX(magestuff!$D$499:$Y$615,ROW()-ROW($D$256),COLUMN()-COLUMN($C$257))),INDIRECT("'Master Spell List'!$Z$"&amp;INDEX(magestuff!$D$499:$Y$615,ROW()-ROW($D$256),COLUMN()-COLUMN($C$257))),"")</f>
        <v>Least Grind Coarse</v>
      </c>
      <c r="N268" s="1055" t="str">
        <f ca="1">IF(ISNUMBER(INDEX(magestuff!$D$499:$Y$615,ROW()-ROW($D$256),COLUMN()-COLUMN($C$257))),INDIRECT("'Master Spell List'!$Z$"&amp;INDEX(magestuff!$D$499:$Y$615,ROW()-ROW($D$256),COLUMN()-COLUMN($C$257))),"")</f>
        <v>Banish Imp</v>
      </c>
      <c r="O268" s="1055" t="str">
        <f ca="1">IF(ISNUMBER(INDEX(magestuff!$D$499:$Y$615,ROW()-ROW($D$256),COLUMN()-COLUMN($C$257))),INDIRECT("'Master Spell List'!$Z$"&amp;INDEX(magestuff!$D$499:$Y$615,ROW()-ROW($D$256),COLUMN()-COLUMN($C$257))),"")</f>
        <v>Dream Awareness (Participation)</v>
      </c>
      <c r="P268" s="1055" t="str">
        <f ca="1">IF(ISNUMBER(INDEX(magestuff!$D$499:$Y$615,ROW()-ROW($D$256),COLUMN()-COLUMN($C$257))),INDIRECT("'Master Spell List'!$Z$"&amp;INDEX(magestuff!$D$499:$Y$615,ROW()-ROW($D$256),COLUMN()-COLUMN($C$257))),"")</f>
        <v>Calm Pain</v>
      </c>
      <c r="Q268" s="1055" t="str">
        <f ca="1">IF(ISNUMBER(INDEX(magestuff!$D$499:$Y$615,ROW()-ROW($D$256),COLUMN()-COLUMN($C$257))),INDIRECT("'Master Spell List'!$Z$"&amp;INDEX(magestuff!$D$499:$Y$615,ROW()-ROW($D$256),COLUMN()-COLUMN($C$257))),"")</f>
        <v>Lesser Circle of Protection vs Basick Magick - Air</v>
      </c>
      <c r="R268" s="1055" t="str">
        <f ca="1">IF(ISNUMBER(INDEX(magestuff!$D$499:$Y$615,ROW()-ROW($D$256),COLUMN()-COLUMN($C$257))),INDIRECT("'Master Spell List'!$Z$"&amp;INDEX(magestuff!$D$499:$Y$615,ROW()-ROW($D$256),COLUMN()-COLUMN($C$257))),"")</f>
        <v>Fey Magical Bowery +7</v>
      </c>
      <c r="S268" s="1055" t="str">
        <f ca="1">IF(ISNUMBER(INDEX(magestuff!$D$499:$Y$615,ROW()-ROW($D$256),COLUMN()-COLUMN($C$257))),INDIRECT("'Master Spell List'!$Z$"&amp;INDEX(magestuff!$D$499:$Y$615,ROW()-ROW($D$256),COLUMN()-COLUMN($C$257))),"")</f>
        <v>Rust Metal</v>
      </c>
      <c r="T268" s="1055">
        <f ca="1">IF(ISNUMBER(INDEX(magestuff!$D$499:$Y$615,ROW()-ROW($D$256),COLUMN()-COLUMN($C$257))),INDIRECT("'Master Spell List'!$Z$"&amp;INDEX(magestuff!$D$499:$Y$615,ROW()-ROW($D$256),COLUMN()-COLUMN($C$257))),"")</f>
        <v>0</v>
      </c>
      <c r="U268" s="1055" t="str">
        <f ca="1">IF(ISNUMBER(INDEX(magestuff!$D$499:$Y$615,ROW()-ROW($D$256),COLUMN()-COLUMN($C$257))),INDIRECT("'Master Spell List'!$Z$"&amp;INDEX(magestuff!$D$499:$Y$615,ROW()-ROW($D$256),COLUMN()-COLUMN($C$257))),"")</f>
        <v/>
      </c>
      <c r="V268" s="1055" t="str">
        <f ca="1">IF(ISNUMBER(INDEX(magestuff!$D$499:$Y$615,ROW()-ROW($D$256),COLUMN()-COLUMN($C$257))),INDIRECT("'Master Spell List'!$Z$"&amp;INDEX(magestuff!$D$499:$Y$615,ROW()-ROW($D$256),COLUMN()-COLUMN($C$257))),"")</f>
        <v/>
      </c>
      <c r="W268" s="1055" t="str">
        <f ca="1">IF(ISNUMBER(INDEX(magestuff!$D$499:$Y$615,ROW()-ROW($D$256),COLUMN()-COLUMN($C$257))),INDIRECT("'Master Spell List'!$Z$"&amp;INDEX(magestuff!$D$499:$Y$615,ROW()-ROW($D$256),COLUMN()-COLUMN($C$257))),"")</f>
        <v/>
      </c>
      <c r="Y268" s="1069" t="s">
        <v>1636</v>
      </c>
      <c r="AH268" s="519" t="s">
        <v>263</v>
      </c>
    </row>
    <row r="269" spans="1:35">
      <c r="A269" s="598">
        <v>14</v>
      </c>
      <c r="B269" s="598" t="s">
        <v>2345</v>
      </c>
      <c r="C269" s="598" t="s">
        <v>2225</v>
      </c>
      <c r="D269" s="1055" t="str">
        <f ca="1">IF(ISNUMBER(INDEX(magestuff!$D$499:$Y$615,ROW()-ROW($D$256),COLUMN()-COLUMN($C$257))),INDIRECT("'Master Spell List'!$Z$"&amp;INDEX(magestuff!$D$499:$Y$615,ROW()-ROW($D$256),COLUMN()-COLUMN($C$257))),"")</f>
        <v>Transfer</v>
      </c>
      <c r="E269" s="1055" t="str">
        <f ca="1">IF(ISNUMBER(INDEX(magestuff!$D$499:$Y$615,ROW()-ROW($D$256),COLUMN()-COLUMN($C$257))),INDIRECT("'Master Spell List'!$Z$"&amp;INDEX(magestuff!$D$499:$Y$615,ROW()-ROW($D$256),COLUMN()-COLUMN($C$257))),"")</f>
        <v>Airwall</v>
      </c>
      <c r="F269" s="1055" t="str">
        <f ca="1">IF(ISNUMBER(INDEX(magestuff!$D$499:$Y$615,ROW()-ROW($D$256),COLUMN()-COLUMN($C$257))),INDIRECT("'Master Spell List'!$Z$"&amp;INDEX(magestuff!$D$499:$Y$615,ROW()-ROW($D$256),COLUMN()-COLUMN($C$257))),"")</f>
        <v>Create Clay</v>
      </c>
      <c r="G269" s="1055" t="str">
        <f ca="1">IF(ISNUMBER(INDEX(magestuff!$D$499:$Y$615,ROW()-ROW($D$256),COLUMN()-COLUMN($C$257))),INDIRECT("'Master Spell List'!$Z$"&amp;INDEX(magestuff!$D$499:$Y$615,ROW()-ROW($D$256),COLUMN()-COLUMN($C$257))),"")</f>
        <v>Command Salamander Fire</v>
      </c>
      <c r="H269" s="1055" t="str">
        <f ca="1">IF(ISNUMBER(INDEX(magestuff!$D$499:$Y$615,ROW()-ROW($D$256),COLUMN()-COLUMN($C$257))),INDIRECT("'Master Spell List'!$Z$"&amp;INDEX(magestuff!$D$499:$Y$615,ROW()-ROW($D$256),COLUMN()-COLUMN($C$257))),"")</f>
        <v>Cloud of Steam</v>
      </c>
      <c r="I269" s="1055" t="str">
        <f ca="1">IF(ISNUMBER(INDEX(magestuff!$D$499:$Y$615,ROW()-ROW($D$256),COLUMN()-COLUMN($C$257))),INDIRECT("'Master Spell List'!$Z$"&amp;INDEX(magestuff!$D$499:$Y$615,ROW()-ROW($D$256),COLUMN()-COLUMN($C$257))),"")</f>
        <v xml:space="preserve">Detach </v>
      </c>
      <c r="J269" s="1055" t="str">
        <f ca="1">IF(ISNUMBER(INDEX(magestuff!$D$499:$Y$615,ROW()-ROW($D$256),COLUMN()-COLUMN($C$257))),INDIRECT("'Master Spell List'!$Z$"&amp;INDEX(magestuff!$D$499:$Y$615,ROW()-ROW($D$256),COLUMN()-COLUMN($C$257))),"")</f>
        <v>Hold Small Animal</v>
      </c>
      <c r="K269" s="1055" t="str">
        <f ca="1">IF(ISNUMBER(INDEX(magestuff!$D$499:$Y$615,ROW()-ROW($D$256),COLUMN()-COLUMN($C$257))),INDIRECT("'Master Spell List'!$Z$"&amp;INDEX(magestuff!$D$499:$Y$615,ROW()-ROW($D$256),COLUMN()-COLUMN($C$257))),"")</f>
        <v>Detect Observation</v>
      </c>
      <c r="L269" s="1055" t="str">
        <f ca="1">IF(ISNUMBER(INDEX(magestuff!$D$499:$Y$615,ROW()-ROW($D$256),COLUMN()-COLUMN($C$257))),INDIRECT("'Master Spell List'!$Z$"&amp;INDEX(magestuff!$D$499:$Y$615,ROW()-ROW($D$256),COLUMN()-COLUMN($C$257))),"")</f>
        <v>Create Sound</v>
      </c>
      <c r="M269" s="1055" t="str">
        <f ca="1">IF(ISNUMBER(INDEX(magestuff!$D$499:$Y$615,ROW()-ROW($D$256),COLUMN()-COLUMN($C$257))),INDIRECT("'Master Spell List'!$Z$"&amp;INDEX(magestuff!$D$499:$Y$615,ROW()-ROW($D$256),COLUMN()-COLUMN($C$257))),"")</f>
        <v>Least Revitalize (Hydrate)</v>
      </c>
      <c r="N269" s="1055" t="str">
        <f ca="1">IF(ISNUMBER(INDEX(magestuff!$D$499:$Y$615,ROW()-ROW($D$256),COLUMN()-COLUMN($C$257))),INDIRECT("'Master Spell List'!$Z$"&amp;INDEX(magestuff!$D$499:$Y$615,ROW()-ROW($D$256),COLUMN()-COLUMN($C$257))),"")</f>
        <v>Banish Undead</v>
      </c>
      <c r="O269" s="1055" t="str">
        <f ca="1">IF(ISNUMBER(INDEX(magestuff!$D$499:$Y$615,ROW()-ROW($D$256),COLUMN()-COLUMN($C$257))),INDIRECT("'Master Spell List'!$Z$"&amp;INDEX(magestuff!$D$499:$Y$615,ROW()-ROW($D$256),COLUMN()-COLUMN($C$257))),"")</f>
        <v>Greater Mind Speak</v>
      </c>
      <c r="P269" s="1055" t="str">
        <f ca="1">IF(ISNUMBER(INDEX(magestuff!$D$499:$Y$615,ROW()-ROW($D$256),COLUMN()-COLUMN($C$257))),INDIRECT("'Master Spell List'!$Z$"&amp;INDEX(magestuff!$D$499:$Y$615,ROW()-ROW($D$256),COLUMN()-COLUMN($C$257))),"")</f>
        <v>Keen Situational Awareness</v>
      </c>
      <c r="Q269" s="1055" t="str">
        <f ca="1">IF(ISNUMBER(INDEX(magestuff!$D$499:$Y$615,ROW()-ROW($D$256),COLUMN()-COLUMN($C$257))),INDIRECT("'Master Spell List'!$Z$"&amp;INDEX(magestuff!$D$499:$Y$615,ROW()-ROW($D$256),COLUMN()-COLUMN($C$257))),"")</f>
        <v>Lesser Circle of Protection vs Basick Magick - Earth</v>
      </c>
      <c r="R269" s="1055" t="str">
        <f ca="1">IF(ISNUMBER(INDEX(magestuff!$D$499:$Y$615,ROW()-ROW($D$256),COLUMN()-COLUMN($C$257))),INDIRECT("'Master Spell List'!$Z$"&amp;INDEX(magestuff!$D$499:$Y$615,ROW()-ROW($D$256),COLUMN()-COLUMN($C$257))),"")</f>
        <v>Fey Magical Fletching +7</v>
      </c>
      <c r="S269" s="1055" t="str">
        <f ca="1">IF(ISNUMBER(INDEX(magestuff!$D$499:$Y$615,ROW()-ROW($D$256),COLUMN()-COLUMN($C$257))),INDIRECT("'Master Spell List'!$Z$"&amp;INDEX(magestuff!$D$499:$Y$615,ROW()-ROW($D$256),COLUMN()-COLUMN($C$257))),"")</f>
        <v>Discern Metal Object's History</v>
      </c>
      <c r="T269" s="1055" t="str">
        <f ca="1">IF(ISNUMBER(INDEX(magestuff!$D$499:$Y$615,ROW()-ROW($D$256),COLUMN()-COLUMN($C$257))),INDIRECT("'Master Spell List'!$Z$"&amp;INDEX(magestuff!$D$499:$Y$615,ROW()-ROW($D$256),COLUMN()-COLUMN($C$257))),"")</f>
        <v/>
      </c>
      <c r="U269" s="1055" t="str">
        <f ca="1">IF(ISNUMBER(INDEX(magestuff!$D$499:$Y$615,ROW()-ROW($D$256),COLUMN()-COLUMN($C$257))),INDIRECT("'Master Spell List'!$Z$"&amp;INDEX(magestuff!$D$499:$Y$615,ROW()-ROW($D$256),COLUMN()-COLUMN($C$257))),"")</f>
        <v/>
      </c>
      <c r="V269" s="1055" t="str">
        <f ca="1">IF(ISNUMBER(INDEX(magestuff!$D$499:$Y$615,ROW()-ROW($D$256),COLUMN()-COLUMN($C$257))),INDIRECT("'Master Spell List'!$Z$"&amp;INDEX(magestuff!$D$499:$Y$615,ROW()-ROW($D$256),COLUMN()-COLUMN($C$257))),"")</f>
        <v/>
      </c>
      <c r="W269" s="1055" t="str">
        <f ca="1">IF(ISNUMBER(INDEX(magestuff!$D$499:$Y$615,ROW()-ROW($D$256),COLUMN()-COLUMN($C$257))),INDIRECT("'Master Spell List'!$Z$"&amp;INDEX(magestuff!$D$499:$Y$615,ROW()-ROW($D$256),COLUMN()-COLUMN($C$257))),"")</f>
        <v/>
      </c>
      <c r="Y269" s="1069" t="s">
        <v>2345</v>
      </c>
      <c r="AH269" s="519" t="s">
        <v>264</v>
      </c>
    </row>
    <row r="270" spans="1:35">
      <c r="A270" s="598">
        <v>15</v>
      </c>
      <c r="B270" s="598" t="s">
        <v>2346</v>
      </c>
      <c r="C270" s="598" t="s">
        <v>2225</v>
      </c>
      <c r="D270" s="1055" t="str">
        <f ca="1">IF(ISNUMBER(INDEX(magestuff!$D$499:$Y$615,ROW()-ROW($D$256),COLUMN()-COLUMN($C$257))),INDIRECT("'Master Spell List'!$Z$"&amp;INDEX(magestuff!$D$499:$Y$615,ROW()-ROW($D$256),COLUMN()-COLUMN($C$257))),"")</f>
        <v>Trigger Effect</v>
      </c>
      <c r="E270" s="1055" t="str">
        <f ca="1">IF(ISNUMBER(INDEX(magestuff!$D$499:$Y$615,ROW()-ROW($D$256),COLUMN()-COLUMN($C$257))),INDIRECT("'Master Spell List'!$Z$"&amp;INDEX(magestuff!$D$499:$Y$615,ROW()-ROW($D$256),COLUMN()-COLUMN($C$257))),"")</f>
        <v>Dust Devils</v>
      </c>
      <c r="F270" s="1055" t="str">
        <f ca="1">IF(ISNUMBER(INDEX(magestuff!$D$499:$Y$615,ROW()-ROW($D$256),COLUMN()-COLUMN($C$257))),INDIRECT("'Master Spell List'!$Z$"&amp;INDEX(magestuff!$D$499:$Y$615,ROW()-ROW($D$256),COLUMN()-COLUMN($C$257))),"")</f>
        <v>Command Clay</v>
      </c>
      <c r="G270" s="1055" t="str">
        <f ca="1">IF(ISNUMBER(INDEX(magestuff!$D$499:$Y$615,ROW()-ROW($D$256),COLUMN()-COLUMN($C$257))),INDIRECT("'Master Spell List'!$Z$"&amp;INDEX(magestuff!$D$499:$Y$615,ROW()-ROW($D$256),COLUMN()-COLUMN($C$257))),"")</f>
        <v>Create Magick Fire</v>
      </c>
      <c r="H270" s="1055" t="str">
        <f ca="1">IF(ISNUMBER(INDEX(magestuff!$D$499:$Y$615,ROW()-ROW($D$256),COLUMN()-COLUMN($C$257))),INDIRECT("'Master Spell List'!$Z$"&amp;INDEX(magestuff!$D$499:$Y$615,ROW()-ROW($D$256),COLUMN()-COLUMN($C$257))),"")</f>
        <v>Command Magick Water</v>
      </c>
      <c r="I270" s="1055" t="str">
        <f ca="1">IF(ISNUMBER(INDEX(magestuff!$D$499:$Y$615,ROW()-ROW($D$256),COLUMN()-COLUMN($C$257))),INDIRECT("'Master Spell List'!$Z$"&amp;INDEX(magestuff!$D$499:$Y$615,ROW()-ROW($D$256),COLUMN()-COLUMN($C$257))),"")</f>
        <v>Discharge (Release)</v>
      </c>
      <c r="J270" s="1055" t="str">
        <f ca="1">IF(ISNUMBER(INDEX(magestuff!$D$499:$Y$615,ROW()-ROW($D$256),COLUMN()-COLUMN($C$257))),INDIRECT("'Master Spell List'!$Z$"&amp;INDEX(magestuff!$D$499:$Y$615,ROW()-ROW($D$256),COLUMN()-COLUMN($C$257))),"")</f>
        <v>Repel</v>
      </c>
      <c r="K270" s="1055" t="str">
        <f ca="1">IF(ISNUMBER(INDEX(magestuff!$D$499:$Y$615,ROW()-ROW($D$256),COLUMN()-COLUMN($C$257))),INDIRECT("'Master Spell List'!$Z$"&amp;INDEX(magestuff!$D$499:$Y$615,ROW()-ROW($D$256),COLUMN()-COLUMN($C$257))),"")</f>
        <v>Detect Temperature</v>
      </c>
      <c r="L270" s="1055" t="str">
        <f ca="1">IF(ISNUMBER(INDEX(magestuff!$D$499:$Y$615,ROW()-ROW($D$256),COLUMN()-COLUMN($C$257))),INDIRECT("'Master Spell List'!$Z$"&amp;INDEX(magestuff!$D$499:$Y$615,ROW()-ROW($D$256),COLUMN()-COLUMN($C$257))),"")</f>
        <v>Detach Illusionary Contact</v>
      </c>
      <c r="M270" s="1055" t="str">
        <f ca="1">IF(ISNUMBER(INDEX(magestuff!$D$499:$Y$615,ROW()-ROW($D$256),COLUMN()-COLUMN($C$257))),INDIRECT("'Master Spell List'!$Z$"&amp;INDEX(magestuff!$D$499:$Y$615,ROW()-ROW($D$256),COLUMN()-COLUMN($C$257))),"")</f>
        <v>Lesser Dry</v>
      </c>
      <c r="N270" s="1055" t="str">
        <f ca="1">IF(ISNUMBER(INDEX(magestuff!$D$499:$Y$615,ROW()-ROW($D$256),COLUMN()-COLUMN($C$257))),INDIRECT("'Master Spell List'!$Z$"&amp;INDEX(magestuff!$D$499:$Y$615,ROW()-ROW($D$256),COLUMN()-COLUMN($C$257))),"")</f>
        <v>Summon Great Undead</v>
      </c>
      <c r="O270" s="1055" t="str">
        <f ca="1">IF(ISNUMBER(INDEX(magestuff!$D$499:$Y$615,ROW()-ROW($D$256),COLUMN()-COLUMN($C$257))),INDIRECT("'Master Spell List'!$Z$"&amp;INDEX(magestuff!$D$499:$Y$615,ROW()-ROW($D$256),COLUMN()-COLUMN($C$257))),"")</f>
        <v>Least Pull</v>
      </c>
      <c r="P270" s="1055" t="str">
        <f ca="1">IF(ISNUMBER(INDEX(magestuff!$D$499:$Y$615,ROW()-ROW($D$256),COLUMN()-COLUMN($C$257))),INDIRECT("'Master Spell List'!$Z$"&amp;INDEX(magestuff!$D$499:$Y$615,ROW()-ROW($D$256),COLUMN()-COLUMN($C$257))),"")</f>
        <v>Least Preserve</v>
      </c>
      <c r="Q270" s="1055" t="str">
        <f ca="1">IF(ISNUMBER(INDEX(magestuff!$D$499:$Y$615,ROW()-ROW($D$256),COLUMN()-COLUMN($C$257))),INDIRECT("'Master Spell List'!$Z$"&amp;INDEX(magestuff!$D$499:$Y$615,ROW()-ROW($D$256),COLUMN()-COLUMN($C$257))),"")</f>
        <v>Lesser Circle of Protection vs Basick Magick - Fire</v>
      </c>
      <c r="R270" s="1055" t="str">
        <f ca="1">IF(ISNUMBER(INDEX(magestuff!$D$499:$Y$615,ROW()-ROW($D$256),COLUMN()-COLUMN($C$257))),INDIRECT("'Master Spell List'!$Z$"&amp;INDEX(magestuff!$D$499:$Y$615,ROW()-ROW($D$256),COLUMN()-COLUMN($C$257))),"")</f>
        <v>Strike with Power +7</v>
      </c>
      <c r="S270" s="1055" t="str">
        <f ca="1">IF(ISNUMBER(INDEX(magestuff!$D$499:$Y$615,ROW()-ROW($D$256),COLUMN()-COLUMN($C$257))),INDIRECT("'Master Spell List'!$Z$"&amp;INDEX(magestuff!$D$499:$Y$615,ROW()-ROW($D$256),COLUMN()-COLUMN($C$257))),"")</f>
        <v>Magical Sharpness</v>
      </c>
      <c r="T270" s="1055" t="str">
        <f ca="1">IF(ISNUMBER(INDEX(magestuff!$D$499:$Y$615,ROW()-ROW($D$256),COLUMN()-COLUMN($C$257))),INDIRECT("'Master Spell List'!$Z$"&amp;INDEX(magestuff!$D$499:$Y$615,ROW()-ROW($D$256),COLUMN()-COLUMN($C$257))),"")</f>
        <v/>
      </c>
      <c r="U270" s="1055" t="str">
        <f ca="1">IF(ISNUMBER(INDEX(magestuff!$D$499:$Y$615,ROW()-ROW($D$256),COLUMN()-COLUMN($C$257))),INDIRECT("'Master Spell List'!$Z$"&amp;INDEX(magestuff!$D$499:$Y$615,ROW()-ROW($D$256),COLUMN()-COLUMN($C$257))),"")</f>
        <v/>
      </c>
      <c r="V270" s="1055" t="str">
        <f ca="1">IF(ISNUMBER(INDEX(magestuff!$D$499:$Y$615,ROW()-ROW($D$256),COLUMN()-COLUMN($C$257))),INDIRECT("'Master Spell List'!$Z$"&amp;INDEX(magestuff!$D$499:$Y$615,ROW()-ROW($D$256),COLUMN()-COLUMN($C$257))),"")</f>
        <v/>
      </c>
      <c r="W270" s="1055" t="str">
        <f ca="1">IF(ISNUMBER(INDEX(magestuff!$D$499:$Y$615,ROW()-ROW($D$256),COLUMN()-COLUMN($C$257))),INDIRECT("'Master Spell List'!$Z$"&amp;INDEX(magestuff!$D$499:$Y$615,ROW()-ROW($D$256),COLUMN()-COLUMN($C$257))),"")</f>
        <v/>
      </c>
      <c r="Y270" s="1069" t="s">
        <v>2346</v>
      </c>
      <c r="AH270" s="519" t="s">
        <v>2071</v>
      </c>
      <c r="AI270" s="598" t="s">
        <v>4965</v>
      </c>
    </row>
    <row r="271" spans="1:35">
      <c r="A271" s="598">
        <v>16</v>
      </c>
      <c r="B271" s="598" t="s">
        <v>1347</v>
      </c>
      <c r="C271" s="598" t="s">
        <v>2225</v>
      </c>
      <c r="D271" s="1055" t="str">
        <f ca="1">IF(ISNUMBER(INDEX(magestuff!$D$499:$Y$615,ROW()-ROW($D$256),COLUMN()-COLUMN($C$257))),INDIRECT("'Master Spell List'!$Z$"&amp;INDEX(magestuff!$D$499:$Y$615,ROW()-ROW($D$256),COLUMN()-COLUMN($C$257))),"")</f>
        <v>Trigger When</v>
      </c>
      <c r="E271" s="1055" t="str">
        <f ca="1">IF(ISNUMBER(INDEX(magestuff!$D$499:$Y$615,ROW()-ROW($D$256),COLUMN()-COLUMN($C$257))),INDIRECT("'Master Spell List'!$Z$"&amp;INDEX(magestuff!$D$499:$Y$615,ROW()-ROW($D$256),COLUMN()-COLUMN($C$257))),"")</f>
        <v>Least Gain Strength from the Storm</v>
      </c>
      <c r="F271" s="1055" t="str">
        <f ca="1">IF(ISNUMBER(INDEX(magestuff!$D$499:$Y$615,ROW()-ROW($D$256),COLUMN()-COLUMN($C$257))),INDIRECT("'Master Spell List'!$Z$"&amp;INDEX(magestuff!$D$499:$Y$615,ROW()-ROW($D$256),COLUMN()-COLUMN($C$257))),"")</f>
        <v>Create Glass</v>
      </c>
      <c r="G271" s="1055" t="str">
        <f ca="1">IF(ISNUMBER(INDEX(magestuff!$D$499:$Y$615,ROW()-ROW($D$256),COLUMN()-COLUMN($C$257))),INDIRECT("'Master Spell List'!$Z$"&amp;INDEX(magestuff!$D$499:$Y$615,ROW()-ROW($D$256),COLUMN()-COLUMN($C$257))),"")</f>
        <v>Create Salamander Fire</v>
      </c>
      <c r="H271" s="1055" t="str">
        <f ca="1">IF(ISNUMBER(INDEX(magestuff!$D$499:$Y$615,ROW()-ROW($D$256),COLUMN()-COLUMN($C$257))),INDIRECT("'Master Spell List'!$Z$"&amp;INDEX(magestuff!$D$499:$Y$615,ROW()-ROW($D$256),COLUMN()-COLUMN($C$257))),"")</f>
        <v>Create Magick Water</v>
      </c>
      <c r="I271" s="1055" t="str">
        <f ca="1">IF(ISNUMBER(INDEX(magestuff!$D$499:$Y$615,ROW()-ROW($D$256),COLUMN()-COLUMN($C$257))),INDIRECT("'Master Spell List'!$Z$"&amp;INDEX(magestuff!$D$499:$Y$615,ROW()-ROW($D$256),COLUMN()-COLUMN($C$257))),"")</f>
        <v>Gather Lesser Amount of Arcane Energy</v>
      </c>
      <c r="J271" s="1055" t="str">
        <f ca="1">IF(ISNUMBER(INDEX(magestuff!$D$499:$Y$615,ROW()-ROW($D$256),COLUMN()-COLUMN($C$257))),INDIRECT("'Master Spell List'!$Z$"&amp;INDEX(magestuff!$D$499:$Y$615,ROW()-ROW($D$256),COLUMN()-COLUMN($C$257))),"")</f>
        <v>Suggestion</v>
      </c>
      <c r="K271" s="1055" t="str">
        <f ca="1">IF(ISNUMBER(INDEX(magestuff!$D$499:$Y$615,ROW()-ROW($D$256),COLUMN()-COLUMN($C$257))),INDIRECT("'Master Spell List'!$Z$"&amp;INDEX(magestuff!$D$499:$Y$615,ROW()-ROW($D$256),COLUMN()-COLUMN($C$257))),"")</f>
        <v>Detect Tracks</v>
      </c>
      <c r="L271" s="1055" t="str">
        <f ca="1">IF(ISNUMBER(INDEX(magestuff!$D$499:$Y$615,ROW()-ROW($D$256),COLUMN()-COLUMN($C$257))),INDIRECT("'Master Spell List'!$Z$"&amp;INDEX(magestuff!$D$499:$Y$615,ROW()-ROW($D$256),COLUMN()-COLUMN($C$257))),"")</f>
        <v>Detach Light</v>
      </c>
      <c r="M271" s="1055" t="str">
        <f ca="1">IF(ISNUMBER(INDEX(magestuff!$D$499:$Y$615,ROW()-ROW($D$256),COLUMN()-COLUMN($C$257))),INDIRECT("'Master Spell List'!$Z$"&amp;INDEX(magestuff!$D$499:$Y$615,ROW()-ROW($D$256),COLUMN()-COLUMN($C$257))),"")</f>
        <v>Lesser Salve</v>
      </c>
      <c r="N271" s="1055" t="str">
        <f ca="1">IF(ISNUMBER(INDEX(magestuff!$D$499:$Y$615,ROW()-ROW($D$256),COLUMN()-COLUMN($C$257))),INDIRECT("'Master Spell List'!$Z$"&amp;INDEX(magestuff!$D$499:$Y$615,ROW()-ROW($D$256),COLUMN()-COLUMN($C$257))),"")</f>
        <v>Animate Stone Simulacrum</v>
      </c>
      <c r="O271" s="1055" t="str">
        <f ca="1">IF(ISNUMBER(INDEX(magestuff!$D$499:$Y$615,ROW()-ROW($D$256),COLUMN()-COLUMN($C$257))),INDIRECT("'Master Spell List'!$Z$"&amp;INDEX(magestuff!$D$499:$Y$615,ROW()-ROW($D$256),COLUMN()-COLUMN($C$257))),"")</f>
        <v>Lesser Push</v>
      </c>
      <c r="P271" s="1055" t="str">
        <f ca="1">IF(ISNUMBER(INDEX(magestuff!$D$499:$Y$615,ROW()-ROW($D$256),COLUMN()-COLUMN($C$257))),INDIRECT("'Master Spell List'!$Z$"&amp;INDEX(magestuff!$D$499:$Y$615,ROW()-ROW($D$256),COLUMN()-COLUMN($C$257))),"")</f>
        <v>Pain</v>
      </c>
      <c r="Q271" s="1055" t="str">
        <f ca="1">IF(ISNUMBER(INDEX(magestuff!$D$499:$Y$615,ROW()-ROW($D$256),COLUMN()-COLUMN($C$257))),INDIRECT("'Master Spell List'!$Z$"&amp;INDEX(magestuff!$D$499:$Y$615,ROW()-ROW($D$256),COLUMN()-COLUMN($C$257))),"")</f>
        <v>Lesser Circle of Protection vs Basick Magick - Water</v>
      </c>
      <c r="R271" s="1055" t="str">
        <f ca="1">IF(ISNUMBER(INDEX(magestuff!$D$499:$Y$615,ROW()-ROW($D$256),COLUMN()-COLUMN($C$257))),INDIRECT("'Master Spell List'!$Z$"&amp;INDEX(magestuff!$D$499:$Y$615,ROW()-ROW($D$256),COLUMN()-COLUMN($C$257))),"")</f>
        <v>Fey Magical Bowery +8</v>
      </c>
      <c r="S271" s="1055" t="str">
        <f ca="1">IF(ISNUMBER(INDEX(magestuff!$D$499:$Y$615,ROW()-ROW($D$256),COLUMN()-COLUMN($C$257))),INDIRECT("'Master Spell List'!$Z$"&amp;INDEX(magestuff!$D$499:$Y$615,ROW()-ROW($D$256),COLUMN()-COLUMN($C$257))),"")</f>
        <v>Strength of the Smith</v>
      </c>
      <c r="T271" s="1055" t="str">
        <f ca="1">IF(ISNUMBER(INDEX(magestuff!$D$499:$Y$615,ROW()-ROW($D$256),COLUMN()-COLUMN($C$257))),INDIRECT("'Master Spell List'!$Z$"&amp;INDEX(magestuff!$D$499:$Y$615,ROW()-ROW($D$256),COLUMN()-COLUMN($C$257))),"")</f>
        <v/>
      </c>
      <c r="U271" s="1055" t="str">
        <f ca="1">IF(ISNUMBER(INDEX(magestuff!$D$499:$Y$615,ROW()-ROW($D$256),COLUMN()-COLUMN($C$257))),INDIRECT("'Master Spell List'!$Z$"&amp;INDEX(magestuff!$D$499:$Y$615,ROW()-ROW($D$256),COLUMN()-COLUMN($C$257))),"")</f>
        <v/>
      </c>
      <c r="V271" s="1055" t="str">
        <f ca="1">IF(ISNUMBER(INDEX(magestuff!$D$499:$Y$615,ROW()-ROW($D$256),COLUMN()-COLUMN($C$257))),INDIRECT("'Master Spell List'!$Z$"&amp;INDEX(magestuff!$D$499:$Y$615,ROW()-ROW($D$256),COLUMN()-COLUMN($C$257))),"")</f>
        <v/>
      </c>
      <c r="W271" s="1055" t="str">
        <f ca="1">IF(ISNUMBER(INDEX(magestuff!$D$499:$Y$615,ROW()-ROW($D$256),COLUMN()-COLUMN($C$257))),INDIRECT("'Master Spell List'!$Z$"&amp;INDEX(magestuff!$D$499:$Y$615,ROW()-ROW($D$256),COLUMN()-COLUMN($C$257))),"")</f>
        <v/>
      </c>
      <c r="Y271" s="1069" t="s">
        <v>1347</v>
      </c>
      <c r="AH271" s="126" t="s">
        <v>2072</v>
      </c>
      <c r="AI271" s="598" t="s">
        <v>2740</v>
      </c>
    </row>
    <row r="272" spans="1:35">
      <c r="A272" s="598">
        <v>17</v>
      </c>
      <c r="B272" s="598" t="s">
        <v>2347</v>
      </c>
      <c r="C272" s="598" t="s">
        <v>2225</v>
      </c>
      <c r="D272" s="1055" t="str">
        <f ca="1">IF(ISNUMBER(INDEX(magestuff!$D$499:$Y$615,ROW()-ROW($D$256),COLUMN()-COLUMN($C$257))),INDIRECT("'Master Spell List'!$Z$"&amp;INDEX(magestuff!$D$499:$Y$615,ROW()-ROW($D$256),COLUMN()-COLUMN($C$257))),"")</f>
        <v>Dispel</v>
      </c>
      <c r="E272" s="1055" t="str">
        <f ca="1">IF(ISNUMBER(INDEX(magestuff!$D$499:$Y$615,ROW()-ROW($D$256),COLUMN()-COLUMN($C$257))),INDIRECT("'Master Spell List'!$Z$"&amp;INDEX(magestuff!$D$499:$Y$615,ROW()-ROW($D$256),COLUMN()-COLUMN($C$257))),"")</f>
        <v>Lightning Darts</v>
      </c>
      <c r="F272" s="1055" t="str">
        <f ca="1">IF(ISNUMBER(INDEX(magestuff!$D$499:$Y$615,ROW()-ROW($D$256),COLUMN()-COLUMN($C$257))),INDIRECT("'Master Spell List'!$Z$"&amp;INDEX(magestuff!$D$499:$Y$615,ROW()-ROW($D$256),COLUMN()-COLUMN($C$257))),"")</f>
        <v>Command Glass</v>
      </c>
      <c r="G272" s="1055" t="str">
        <f ca="1">IF(ISNUMBER(INDEX(magestuff!$D$499:$Y$615,ROW()-ROW($D$256),COLUMN()-COLUMN($C$257))),INDIRECT("'Master Spell List'!$Z$"&amp;INDEX(magestuff!$D$499:$Y$615,ROW()-ROW($D$256),COLUMN()-COLUMN($C$257))),"")</f>
        <v>Fiery Arrows - Salamander Fire</v>
      </c>
      <c r="H272" s="1055" t="str">
        <f ca="1">IF(ISNUMBER(INDEX(magestuff!$D$499:$Y$615,ROW()-ROW($D$256),COLUMN()-COLUMN($C$257))),INDIRECT("'Master Spell List'!$Z$"&amp;INDEX(magestuff!$D$499:$Y$615,ROW()-ROW($D$256),COLUMN()-COLUMN($C$257))),"")</f>
        <v>Current</v>
      </c>
      <c r="I272" s="1055" t="str">
        <f ca="1">IF(ISNUMBER(INDEX(magestuff!$D$499:$Y$615,ROW()-ROW($D$256),COLUMN()-COLUMN($C$257))),INDIRECT("'Master Spell List'!$Z$"&amp;INDEX(magestuff!$D$499:$Y$615,ROW()-ROW($D$256),COLUMN()-COLUMN($C$257))),"")</f>
        <v>Great Walk in Shadows</v>
      </c>
      <c r="J272" s="1055" t="str">
        <f ca="1">IF(ISNUMBER(INDEX(magestuff!$D$499:$Y$615,ROW()-ROW($D$256),COLUMN()-COLUMN($C$257))),INDIRECT("'Master Spell List'!$Z$"&amp;INDEX(magestuff!$D$499:$Y$615,ROW()-ROW($D$256),COLUMN()-COLUMN($C$257))),"")</f>
        <v>Area Awaken</v>
      </c>
      <c r="K272" s="1055" t="str">
        <f ca="1">IF(ISNUMBER(INDEX(magestuff!$D$499:$Y$615,ROW()-ROW($D$256),COLUMN()-COLUMN($C$257))),INDIRECT("'Master Spell List'!$Z$"&amp;INDEX(magestuff!$D$499:$Y$615,ROW()-ROW($D$256),COLUMN()-COLUMN($C$257))),"")</f>
        <v>Least Hindsight</v>
      </c>
      <c r="L272" s="1055" t="str">
        <f ca="1">IF(ISNUMBER(INDEX(magestuff!$D$499:$Y$615,ROW()-ROW($D$256),COLUMN()-COLUMN($C$257))),INDIRECT("'Master Spell List'!$Z$"&amp;INDEX(magestuff!$D$499:$Y$615,ROW()-ROW($D$256),COLUMN()-COLUMN($C$257))),"")</f>
        <v>Detach Scent</v>
      </c>
      <c r="M272" s="1055" t="str">
        <f ca="1">IF(ISNUMBER(INDEX(magestuff!$D$499:$Y$615,ROW()-ROW($D$256),COLUMN()-COLUMN($C$257))),INDIRECT("'Master Spell List'!$Z$"&amp;INDEX(magestuff!$D$499:$Y$615,ROW()-ROW($D$256),COLUMN()-COLUMN($C$257))),"")</f>
        <v>Open Way</v>
      </c>
      <c r="N272" s="1055" t="str">
        <f ca="1">IF(ISNUMBER(INDEX(magestuff!$D$499:$Y$615,ROW()-ROW($D$256),COLUMN()-COLUMN($C$257))),INDIRECT("'Master Spell List'!$Z$"&amp;INDEX(magestuff!$D$499:$Y$615,ROW()-ROW($D$256),COLUMN()-COLUMN($C$257))),"")</f>
        <v>Animate the Dead</v>
      </c>
      <c r="O272" s="1055" t="str">
        <f ca="1">IF(ISNUMBER(INDEX(magestuff!$D$499:$Y$615,ROW()-ROW($D$256),COLUMN()-COLUMN($C$257))),INDIRECT("'Master Spell List'!$Z$"&amp;INDEX(magestuff!$D$499:$Y$615,ROW()-ROW($D$256),COLUMN()-COLUMN($C$257))),"")</f>
        <v>Ambidexterity</v>
      </c>
      <c r="P272" s="1055" t="str">
        <f ca="1">IF(ISNUMBER(INDEX(magestuff!$D$499:$Y$615,ROW()-ROW($D$256),COLUMN()-COLUMN($C$257))),INDIRECT("'Master Spell List'!$Z$"&amp;INDEX(magestuff!$D$499:$Y$615,ROW()-ROW($D$256),COLUMN()-COLUMN($C$257))),"")</f>
        <v>Slow</v>
      </c>
      <c r="Q272" s="1055" t="str">
        <f ca="1">IF(ISNUMBER(INDEX(magestuff!$D$499:$Y$615,ROW()-ROW($D$256),COLUMN()-COLUMN($C$257))),INDIRECT("'Master Spell List'!$Z$"&amp;INDEX(magestuff!$D$499:$Y$615,ROW()-ROW($D$256),COLUMN()-COLUMN($C$257))),"")</f>
        <v>Lesser Circle of Protection vs Command</v>
      </c>
      <c r="R272" s="1055" t="str">
        <f ca="1">IF(ISNUMBER(INDEX(magestuff!$D$499:$Y$615,ROW()-ROW($D$256),COLUMN()-COLUMN($C$257))),INDIRECT("'Master Spell List'!$Z$"&amp;INDEX(magestuff!$D$499:$Y$615,ROW()-ROW($D$256),COLUMN()-COLUMN($C$257))),"")</f>
        <v>Fey Magical Fletching +8</v>
      </c>
      <c r="S272" s="1055" t="str">
        <f ca="1">IF(ISNUMBER(INDEX(magestuff!$D$499:$Y$615,ROW()-ROW($D$256),COLUMN()-COLUMN($C$257))),INDIRECT("'Master Spell List'!$Z$"&amp;INDEX(magestuff!$D$499:$Y$615,ROW()-ROW($D$256),COLUMN()-COLUMN($C$257))),"")</f>
        <v>Enchant the Paste of Terpsichore</v>
      </c>
      <c r="T272" s="1055" t="str">
        <f ca="1">IF(ISNUMBER(INDEX(magestuff!$D$499:$Y$615,ROW()-ROW($D$256),COLUMN()-COLUMN($C$257))),INDIRECT("'Master Spell List'!$Z$"&amp;INDEX(magestuff!$D$499:$Y$615,ROW()-ROW($D$256),COLUMN()-COLUMN($C$257))),"")</f>
        <v/>
      </c>
      <c r="U272" s="1055" t="str">
        <f ca="1">IF(ISNUMBER(INDEX(magestuff!$D$499:$Y$615,ROW()-ROW($D$256),COLUMN()-COLUMN($C$257))),INDIRECT("'Master Spell List'!$Z$"&amp;INDEX(magestuff!$D$499:$Y$615,ROW()-ROW($D$256),COLUMN()-COLUMN($C$257))),"")</f>
        <v/>
      </c>
      <c r="V272" s="1055" t="str">
        <f ca="1">IF(ISNUMBER(INDEX(magestuff!$D$499:$Y$615,ROW()-ROW($D$256),COLUMN()-COLUMN($C$257))),INDIRECT("'Master Spell List'!$Z$"&amp;INDEX(magestuff!$D$499:$Y$615,ROW()-ROW($D$256),COLUMN()-COLUMN($C$257))),"")</f>
        <v/>
      </c>
      <c r="W272" s="1055" t="str">
        <f ca="1">IF(ISNUMBER(INDEX(magestuff!$D$499:$Y$615,ROW()-ROW($D$256),COLUMN()-COLUMN($C$257))),INDIRECT("'Master Spell List'!$Z$"&amp;INDEX(magestuff!$D$499:$Y$615,ROW()-ROW($D$256),COLUMN()-COLUMN($C$257))),"")</f>
        <v/>
      </c>
      <c r="Y272" s="1069" t="s">
        <v>2347</v>
      </c>
      <c r="AH272" s="126" t="s">
        <v>2073</v>
      </c>
      <c r="AI272" s="598" t="s">
        <v>2740</v>
      </c>
    </row>
    <row r="273" spans="1:35">
      <c r="A273" s="598">
        <v>18</v>
      </c>
      <c r="B273" s="598" t="s">
        <v>2348</v>
      </c>
      <c r="C273" s="598" t="s">
        <v>2225</v>
      </c>
      <c r="D273" s="1055" t="str">
        <f ca="1">IF(ISNUMBER(INDEX(magestuff!$D$499:$Y$615,ROW()-ROW($D$256),COLUMN()-COLUMN($C$257))),INDIRECT("'Master Spell List'!$Z$"&amp;INDEX(magestuff!$D$499:$Y$615,ROW()-ROW($D$256),COLUMN()-COLUMN($C$257))),"")</f>
        <v>Suspension</v>
      </c>
      <c r="E273" s="1055" t="str">
        <f ca="1">IF(ISNUMBER(INDEX(magestuff!$D$499:$Y$615,ROW()-ROW($D$256),COLUMN()-COLUMN($C$257))),INDIRECT("'Master Spell List'!$Z$"&amp;INDEX(magestuff!$D$499:$Y$615,ROW()-ROW($D$256),COLUMN()-COLUMN($C$257))),"")</f>
        <v>Moving Area of Silence</v>
      </c>
      <c r="F273" s="1055" t="str">
        <f ca="1">IF(ISNUMBER(INDEX(magestuff!$D$499:$Y$615,ROW()-ROW($D$256),COLUMN()-COLUMN($C$257))),INDIRECT("'Master Spell List'!$Z$"&amp;INDEX(magestuff!$D$499:$Y$615,ROW()-ROW($D$256),COLUMN()-COLUMN($C$257))),"")</f>
        <v>Lesser Earth's Cell</v>
      </c>
      <c r="G273" s="1055" t="str">
        <f ca="1">IF(ISNUMBER(INDEX(magestuff!$D$499:$Y$615,ROW()-ROW($D$256),COLUMN()-COLUMN($C$257))),INDIRECT("'Master Spell List'!$Z$"&amp;INDEX(magestuff!$D$499:$Y$615,ROW()-ROW($D$256),COLUMN()-COLUMN($C$257))),"")</f>
        <v>Flaming Weapon  - Magick Fire</v>
      </c>
      <c r="H273" s="1055" t="str">
        <f ca="1">IF(ISNUMBER(INDEX(magestuff!$D$499:$Y$615,ROW()-ROW($D$256),COLUMN()-COLUMN($C$257))),INDIRECT("'Master Spell List'!$Z$"&amp;INDEX(magestuff!$D$499:$Y$615,ROW()-ROW($D$256),COLUMN()-COLUMN($C$257))),"")</f>
        <v>Ice Wall</v>
      </c>
      <c r="I273" s="1055" t="str">
        <f ca="1">IF(ISNUMBER(INDEX(magestuff!$D$499:$Y$615,ROW()-ROW($D$256),COLUMN()-COLUMN($C$257))),INDIRECT("'Master Spell List'!$Z$"&amp;INDEX(magestuff!$D$499:$Y$615,ROW()-ROW($D$256),COLUMN()-COLUMN($C$257))),"")</f>
        <v>Hold Portal</v>
      </c>
      <c r="J273" s="1055" t="str">
        <f ca="1">IF(ISNUMBER(INDEX(magestuff!$D$499:$Y$615,ROW()-ROW($D$256),COLUMN()-COLUMN($C$257))),INDIRECT("'Master Spell List'!$Z$"&amp;INDEX(magestuff!$D$499:$Y$615,ROW()-ROW($D$256),COLUMN()-COLUMN($C$257))),"")</f>
        <v>Area Sleep</v>
      </c>
      <c r="K273" s="1055" t="str">
        <f ca="1">IF(ISNUMBER(INDEX(magestuff!$D$499:$Y$615,ROW()-ROW($D$256),COLUMN()-COLUMN($C$257))),INDIRECT("'Master Spell List'!$Z$"&amp;INDEX(magestuff!$D$499:$Y$615,ROW()-ROW($D$256),COLUMN()-COLUMN($C$257))),"")</f>
        <v>Scry the Imminent</v>
      </c>
      <c r="L273" s="1055" t="str">
        <f ca="1">IF(ISNUMBER(INDEX(magestuff!$D$499:$Y$615,ROW()-ROW($D$256),COLUMN()-COLUMN($C$257))),INDIRECT("'Master Spell List'!$Z$"&amp;INDEX(magestuff!$D$499:$Y$615,ROW()-ROW($D$256),COLUMN()-COLUMN($C$257))),"")</f>
        <v>Detect Illusion</v>
      </c>
      <c r="M273" s="1055" t="str">
        <f ca="1">IF(ISNUMBER(INDEX(magestuff!$D$499:$Y$615,ROW()-ROW($D$256),COLUMN()-COLUMN($C$257))),INDIRECT("'Master Spell List'!$Z$"&amp;INDEX(magestuff!$D$499:$Y$615,ROW()-ROW($D$256),COLUMN()-COLUMN($C$257))),"")</f>
        <v>Restorative Cordial</v>
      </c>
      <c r="N273" s="1055" t="str">
        <f ca="1">IF(ISNUMBER(INDEX(magestuff!$D$499:$Y$615,ROW()-ROW($D$256),COLUMN()-COLUMN($C$257))),INDIRECT("'Master Spell List'!$Z$"&amp;INDEX(magestuff!$D$499:$Y$615,ROW()-ROW($D$256),COLUMN()-COLUMN($C$257))),"")</f>
        <v>Banish Ghoul</v>
      </c>
      <c r="O273" s="1055" t="str">
        <f ca="1">IF(ISNUMBER(INDEX(magestuff!$D$499:$Y$615,ROW()-ROW($D$256),COLUMN()-COLUMN($C$257))),INDIRECT("'Master Spell List'!$Z$"&amp;INDEX(magestuff!$D$499:$Y$615,ROW()-ROW($D$256),COLUMN()-COLUMN($C$257))),"")</f>
        <v>Fly</v>
      </c>
      <c r="P273" s="1055" t="str">
        <f ca="1">IF(ISNUMBER(INDEX(magestuff!$D$499:$Y$615,ROW()-ROW($D$256),COLUMN()-COLUMN($C$257))),INDIRECT("'Master Spell List'!$Z$"&amp;INDEX(magestuff!$D$499:$Y$615,ROW()-ROW($D$256),COLUMN()-COLUMN($C$257))),"")</f>
        <v>Agony of the Damned</v>
      </c>
      <c r="Q273" s="1055" t="str">
        <f ca="1">IF(ISNUMBER(INDEX(magestuff!$D$499:$Y$615,ROW()-ROW($D$256),COLUMN()-COLUMN($C$257))),INDIRECT("'Master Spell List'!$Z$"&amp;INDEX(magestuff!$D$499:$Y$615,ROW()-ROW($D$256),COLUMN()-COLUMN($C$257))),"")</f>
        <v>Lesser Circle of Protection vs Divination</v>
      </c>
      <c r="R273" s="1055" t="str">
        <f ca="1">IF(ISNUMBER(INDEX(magestuff!$D$499:$Y$615,ROW()-ROW($D$256),COLUMN()-COLUMN($C$257))),INDIRECT("'Master Spell List'!$Z$"&amp;INDEX(magestuff!$D$499:$Y$615,ROW()-ROW($D$256),COLUMN()-COLUMN($C$257))),"")</f>
        <v>Strike with Power +8</v>
      </c>
      <c r="S273" s="1055" t="str">
        <f ca="1">IF(ISNUMBER(INDEX(magestuff!$D$499:$Y$615,ROW()-ROW($D$256),COLUMN()-COLUMN($C$257))),INDIRECT("'Master Spell List'!$Z$"&amp;INDEX(magestuff!$D$499:$Y$615,ROW()-ROW($D$256),COLUMN()-COLUMN($C$257))),"")</f>
        <v>Lesser Vulcan's Tempering</v>
      </c>
      <c r="T273" s="1055" t="str">
        <f ca="1">IF(ISNUMBER(INDEX(magestuff!$D$499:$Y$615,ROW()-ROW($D$256),COLUMN()-COLUMN($C$257))),INDIRECT("'Master Spell List'!$Z$"&amp;INDEX(magestuff!$D$499:$Y$615,ROW()-ROW($D$256),COLUMN()-COLUMN($C$257))),"")</f>
        <v/>
      </c>
      <c r="U273" s="1055" t="str">
        <f ca="1">IF(ISNUMBER(INDEX(magestuff!$D$499:$Y$615,ROW()-ROW($D$256),COLUMN()-COLUMN($C$257))),INDIRECT("'Master Spell List'!$Z$"&amp;INDEX(magestuff!$D$499:$Y$615,ROW()-ROW($D$256),COLUMN()-COLUMN($C$257))),"")</f>
        <v/>
      </c>
      <c r="V273" s="1055" t="str">
        <f ca="1">IF(ISNUMBER(INDEX(magestuff!$D$499:$Y$615,ROW()-ROW($D$256),COLUMN()-COLUMN($C$257))),INDIRECT("'Master Spell List'!$Z$"&amp;INDEX(magestuff!$D$499:$Y$615,ROW()-ROW($D$256),COLUMN()-COLUMN($C$257))),"")</f>
        <v/>
      </c>
      <c r="W273" s="1055" t="str">
        <f ca="1">IF(ISNUMBER(INDEX(magestuff!$D$499:$Y$615,ROW()-ROW($D$256),COLUMN()-COLUMN($C$257))),INDIRECT("'Master Spell List'!$Z$"&amp;INDEX(magestuff!$D$499:$Y$615,ROW()-ROW($D$256),COLUMN()-COLUMN($C$257))),"")</f>
        <v/>
      </c>
      <c r="Y273" s="1069" t="s">
        <v>2348</v>
      </c>
      <c r="AH273" s="126" t="s">
        <v>2074</v>
      </c>
      <c r="AI273" s="598" t="s">
        <v>1626</v>
      </c>
    </row>
    <row r="274" spans="1:35">
      <c r="A274" s="598">
        <v>19</v>
      </c>
      <c r="B274" s="598" t="s">
        <v>2340</v>
      </c>
      <c r="C274" s="598" t="s">
        <v>2225</v>
      </c>
      <c r="D274" s="1055" t="str">
        <f ca="1">IF(ISNUMBER(INDEX(magestuff!$D$499:$Y$615,ROW()-ROW($D$256),COLUMN()-COLUMN($C$257))),INDIRECT("'Master Spell List'!$Z$"&amp;INDEX(magestuff!$D$499:$Y$615,ROW()-ROW($D$256),COLUMN()-COLUMN($C$257))),"")</f>
        <v>Repetition</v>
      </c>
      <c r="E274" s="1055" t="str">
        <f ca="1">IF(ISNUMBER(INDEX(magestuff!$D$499:$Y$615,ROW()-ROW($D$256),COLUMN()-COLUMN($C$257))),INDIRECT("'Master Spell List'!$Z$"&amp;INDEX(magestuff!$D$499:$Y$615,ROW()-ROW($D$256),COLUMN()-COLUMN($C$257))),"")</f>
        <v>Thunderclap</v>
      </c>
      <c r="F274" s="1055" t="str">
        <f ca="1">IF(ISNUMBER(INDEX(magestuff!$D$499:$Y$615,ROW()-ROW($D$256),COLUMN()-COLUMN($C$257))),INDIRECT("'Master Spell List'!$Z$"&amp;INDEX(magestuff!$D$499:$Y$615,ROW()-ROW($D$256),COLUMN()-COLUMN($C$257))),"")</f>
        <v>Puff of Dust</v>
      </c>
      <c r="G274" s="1055" t="str">
        <f ca="1">IF(ISNUMBER(INDEX(magestuff!$D$499:$Y$615,ROW()-ROW($D$256),COLUMN()-COLUMN($C$257))),INDIRECT("'Master Spell List'!$Z$"&amp;INDEX(magestuff!$D$499:$Y$615,ROW()-ROW($D$256),COLUMN()-COLUMN($C$257))),"")</f>
        <v>Jets Of Flame - Normal Fire</v>
      </c>
      <c r="H274" s="1055" t="str">
        <f ca="1">IF(ISNUMBER(INDEX(magestuff!$D$499:$Y$615,ROW()-ROW($D$256),COLUMN()-COLUMN($C$257))),INDIRECT("'Master Spell List'!$Z$"&amp;INDEX(magestuff!$D$499:$Y$615,ROW()-ROW($D$256),COLUMN()-COLUMN($C$257))),"")</f>
        <v>Mist &amp; Fog of Magick Water</v>
      </c>
      <c r="I274" s="1055" t="str">
        <f ca="1">IF(ISNUMBER(INDEX(magestuff!$D$499:$Y$615,ROW()-ROW($D$256),COLUMN()-COLUMN($C$257))),INDIRECT("'Master Spell List'!$Z$"&amp;INDEX(magestuff!$D$499:$Y$615,ROW()-ROW($D$256),COLUMN()-COLUMN($C$257))),"")</f>
        <v>Knock</v>
      </c>
      <c r="J274" s="1055" t="str">
        <f ca="1">IF(ISNUMBER(INDEX(magestuff!$D$499:$Y$615,ROW()-ROW($D$256),COLUMN()-COLUMN($C$257))),INDIRECT("'Master Spell List'!$Z$"&amp;INDEX(magestuff!$D$499:$Y$615,ROW()-ROW($D$256),COLUMN()-COLUMN($C$257))),"")</f>
        <v>Attention</v>
      </c>
      <c r="K274" s="1055" t="str">
        <f ca="1">IF(ISNUMBER(INDEX(magestuff!$D$499:$Y$615,ROW()-ROW($D$256),COLUMN()-COLUMN($C$257))),INDIRECT("'Master Spell List'!$Z$"&amp;INDEX(magestuff!$D$499:$Y$615,ROW()-ROW($D$256),COLUMN()-COLUMN($C$257))),"")</f>
        <v>Sight of the Unicorn</v>
      </c>
      <c r="L274" s="1055" t="str">
        <f ca="1">IF(ISNUMBER(INDEX(magestuff!$D$499:$Y$615,ROW()-ROW($D$256),COLUMN()-COLUMN($C$257))),INDIRECT("'Master Spell List'!$Z$"&amp;INDEX(magestuff!$D$499:$Y$615,ROW()-ROW($D$256),COLUMN()-COLUMN($C$257))),"")</f>
        <v>Diffuse Illusionary Contact</v>
      </c>
      <c r="M274" s="1055" t="str">
        <f ca="1">IF(ISNUMBER(INDEX(magestuff!$D$499:$Y$615,ROW()-ROW($D$256),COLUMN()-COLUMN($C$257))),INDIRECT("'Master Spell List'!$Z$"&amp;INDEX(magestuff!$D$499:$Y$615,ROW()-ROW($D$256),COLUMN()-COLUMN($C$257))),"")</f>
        <v>Restore Plants</v>
      </c>
      <c r="N274" s="1055" t="str">
        <f ca="1">IF(ISNUMBER(INDEX(magestuff!$D$499:$Y$615,ROW()-ROW($D$256),COLUMN()-COLUMN($C$257))),INDIRECT("'Master Spell List'!$Z$"&amp;INDEX(magestuff!$D$499:$Y$615,ROW()-ROW($D$256),COLUMN()-COLUMN($C$257))),"")</f>
        <v xml:space="preserve">Bind Imp into a container </v>
      </c>
      <c r="O274" s="1055" t="str">
        <f ca="1">IF(ISNUMBER(INDEX(magestuff!$D$499:$Y$615,ROW()-ROW($D$256),COLUMN()-COLUMN($C$257))),INDIRECT("'Master Spell List'!$Z$"&amp;INDEX(magestuff!$D$499:$Y$615,ROW()-ROW($D$256),COLUMN()-COLUMN($C$257))),"")</f>
        <v>Greater Conceal Body Scent</v>
      </c>
      <c r="P274" s="1055" t="str">
        <f ca="1">IF(ISNUMBER(INDEX(magestuff!$D$499:$Y$615,ROW()-ROW($D$256),COLUMN()-COLUMN($C$257))),INDIRECT("'Master Spell List'!$Z$"&amp;INDEX(magestuff!$D$499:$Y$615,ROW()-ROW($D$256),COLUMN()-COLUMN($C$257))),"")</f>
        <v>Armoured Skin - Armour of Guard</v>
      </c>
      <c r="Q274" s="1055" t="str">
        <f ca="1">IF(ISNUMBER(INDEX(magestuff!$D$499:$Y$615,ROW()-ROW($D$256),COLUMN()-COLUMN($C$257))),INDIRECT("'Master Spell List'!$Z$"&amp;INDEX(magestuff!$D$499:$Y$615,ROW()-ROW($D$256),COLUMN()-COLUMN($C$257))),"")</f>
        <v>Lesser Circle of Protection vs Illusion</v>
      </c>
      <c r="R274" s="1055" t="str">
        <f ca="1">IF(ISNUMBER(INDEX(magestuff!$D$499:$Y$615,ROW()-ROW($D$256),COLUMN()-COLUMN($C$257))),INDIRECT("'Master Spell List'!$Z$"&amp;INDEX(magestuff!$D$499:$Y$615,ROW()-ROW($D$256),COLUMN()-COLUMN($C$257))),"")</f>
        <v>Greater Fey Magical Bowery +10</v>
      </c>
      <c r="S274" s="1055" t="str">
        <f ca="1">IF(ISNUMBER(INDEX(magestuff!$D$499:$Y$615,ROW()-ROW($D$256),COLUMN()-COLUMN($C$257))),INDIRECT("'Master Spell List'!$Z$"&amp;INDEX(magestuff!$D$499:$Y$615,ROW()-ROW($D$256),COLUMN()-COLUMN($C$257))),"")</f>
        <v>The Secret of Steel</v>
      </c>
      <c r="T274" s="1055" t="str">
        <f ca="1">IF(ISNUMBER(INDEX(magestuff!$D$499:$Y$615,ROW()-ROW($D$256),COLUMN()-COLUMN($C$257))),INDIRECT("'Master Spell List'!$Z$"&amp;INDEX(magestuff!$D$499:$Y$615,ROW()-ROW($D$256),COLUMN()-COLUMN($C$257))),"")</f>
        <v/>
      </c>
      <c r="U274" s="1055" t="str">
        <f ca="1">IF(ISNUMBER(INDEX(magestuff!$D$499:$Y$615,ROW()-ROW($D$256),COLUMN()-COLUMN($C$257))),INDIRECT("'Master Spell List'!$Z$"&amp;INDEX(magestuff!$D$499:$Y$615,ROW()-ROW($D$256),COLUMN()-COLUMN($C$257))),"")</f>
        <v/>
      </c>
      <c r="V274" s="1055" t="str">
        <f ca="1">IF(ISNUMBER(INDEX(magestuff!$D$499:$Y$615,ROW()-ROW($D$256),COLUMN()-COLUMN($C$257))),INDIRECT("'Master Spell List'!$Z$"&amp;INDEX(magestuff!$D$499:$Y$615,ROW()-ROW($D$256),COLUMN()-COLUMN($C$257))),"")</f>
        <v/>
      </c>
      <c r="W274" s="1055" t="str">
        <f ca="1">IF(ISNUMBER(INDEX(magestuff!$D$499:$Y$615,ROW()-ROW($D$256),COLUMN()-COLUMN($C$257))),INDIRECT("'Master Spell List'!$Z$"&amp;INDEX(magestuff!$D$499:$Y$615,ROW()-ROW($D$256),COLUMN()-COLUMN($C$257))),"")</f>
        <v/>
      </c>
      <c r="Y274" s="1069" t="s">
        <v>2340</v>
      </c>
      <c r="AH274" s="126" t="s">
        <v>2075</v>
      </c>
      <c r="AI274" s="598" t="s">
        <v>1626</v>
      </c>
    </row>
    <row r="275" spans="1:35">
      <c r="A275" s="598">
        <v>20</v>
      </c>
      <c r="C275" s="598" t="s">
        <v>2225</v>
      </c>
      <c r="D275" s="1055" t="str">
        <f ca="1">IF(ISNUMBER(INDEX(magestuff!$D$499:$Y$615,ROW()-ROW($D$256),COLUMN()-COLUMN($C$257))),INDIRECT("'Master Spell List'!$Z$"&amp;INDEX(magestuff!$D$499:$Y$615,ROW()-ROW($D$256),COLUMN()-COLUMN($C$257))),"")</f>
        <v/>
      </c>
      <c r="E275" s="1055" t="str">
        <f ca="1">IF(ISNUMBER(INDEX(magestuff!$D$499:$Y$615,ROW()-ROW($D$256),COLUMN()-COLUMN($C$257))),INDIRECT("'Master Spell List'!$Z$"&amp;INDEX(magestuff!$D$499:$Y$615,ROW()-ROW($D$256),COLUMN()-COLUMN($C$257))),"")</f>
        <v>Lesser Gain Strength from the Storm</v>
      </c>
      <c r="F275" s="1055" t="str">
        <f ca="1">IF(ISNUMBER(INDEX(magestuff!$D$499:$Y$615,ROW()-ROW($D$256),COLUMN()-COLUMN($C$257))),INDIRECT("'Master Spell List'!$Z$"&amp;INDEX(magestuff!$D$499:$Y$615,ROW()-ROW($D$256),COLUMN()-COLUMN($C$257))),"")</f>
        <v>Walk through Earth (Dirt)</v>
      </c>
      <c r="G275" s="1055" t="str">
        <f ca="1">IF(ISNUMBER(INDEX(magestuff!$D$499:$Y$615,ROW()-ROW($D$256),COLUMN()-COLUMN($C$257))),INDIRECT("'Master Spell List'!$Z$"&amp;INDEX(magestuff!$D$499:$Y$615,ROW()-ROW($D$256),COLUMN()-COLUMN($C$257))),"")</f>
        <v>Burning Touch (Fiery Touch)  - Magick Fire</v>
      </c>
      <c r="H275" s="1055" t="str">
        <f ca="1">IF(ISNUMBER(INDEX(magestuff!$D$499:$Y$615,ROW()-ROW($D$256),COLUMN()-COLUMN($C$257))),INDIRECT("'Master Spell List'!$Z$"&amp;INDEX(magestuff!$D$499:$Y$615,ROW()-ROW($D$256),COLUMN()-COLUMN($C$257))),"")</f>
        <v>Rust (Tarnish)</v>
      </c>
      <c r="I275" s="1055" t="str">
        <f ca="1">IF(ISNUMBER(INDEX(magestuff!$D$499:$Y$615,ROW()-ROW($D$256),COLUMN()-COLUMN($C$257))),INDIRECT("'Master Spell List'!$Z$"&amp;INDEX(magestuff!$D$499:$Y$615,ROW()-ROW($D$256),COLUMN()-COLUMN($C$257))),"")</f>
        <v>Least Eldritch Attack</v>
      </c>
      <c r="J275" s="1055" t="str">
        <f ca="1">IF(ISNUMBER(INDEX(magestuff!$D$499:$Y$615,ROW()-ROW($D$256),COLUMN()-COLUMN($C$257))),INDIRECT("'Master Spell List'!$Z$"&amp;INDEX(magestuff!$D$499:$Y$615,ROW()-ROW($D$256),COLUMN()-COLUMN($C$257))),"")</f>
        <v>Charm Large Predator</v>
      </c>
      <c r="K275" s="1055" t="str">
        <f ca="1">IF(ISNUMBER(INDEX(magestuff!$D$499:$Y$615,ROW()-ROW($D$256),COLUMN()-COLUMN($C$257))),INDIRECT("'Master Spell List'!$Z$"&amp;INDEX(magestuff!$D$499:$Y$615,ROW()-ROW($D$256),COLUMN()-COLUMN($C$257))),"")</f>
        <v>Time Shadow</v>
      </c>
      <c r="L275" s="1055" t="str">
        <f ca="1">IF(ISNUMBER(INDEX(magestuff!$D$499:$Y$615,ROW()-ROW($D$256),COLUMN()-COLUMN($C$257))),INDIRECT("'Master Spell List'!$Z$"&amp;INDEX(magestuff!$D$499:$Y$615,ROW()-ROW($D$256),COLUMN()-COLUMN($C$257))),"")</f>
        <v>Diffuse Light</v>
      </c>
      <c r="M275" s="1055" t="str">
        <f ca="1">IF(ISNUMBER(INDEX(magestuff!$D$499:$Y$615,ROW()-ROW($D$256),COLUMN()-COLUMN($C$257))),INDIRECT("'Master Spell List'!$Z$"&amp;INDEX(magestuff!$D$499:$Y$615,ROW()-ROW($D$256),COLUMN()-COLUMN($C$257))),"")</f>
        <v>Tangle Weeds</v>
      </c>
      <c r="N275" s="1055" t="str">
        <f ca="1">IF(ISNUMBER(INDEX(magestuff!$D$499:$Y$615,ROW()-ROW($D$256),COLUMN()-COLUMN($C$257))),INDIRECT("'Master Spell List'!$Z$"&amp;INDEX(magestuff!$D$499:$Y$615,ROW()-ROW($D$256),COLUMN()-COLUMN($C$257))),"")</f>
        <v xml:space="preserve">Bind Undead into a Container </v>
      </c>
      <c r="O275" s="1055" t="str">
        <f ca="1">IF(ISNUMBER(INDEX(magestuff!$D$499:$Y$615,ROW()-ROW($D$256),COLUMN()-COLUMN($C$257))),INDIRECT("'Master Spell List'!$Z$"&amp;INDEX(magestuff!$D$499:$Y$615,ROW()-ROW($D$256),COLUMN()-COLUMN($C$257))),"")</f>
        <v>Hold Breath</v>
      </c>
      <c r="P275" s="1055" t="str">
        <f ca="1">IF(ISNUMBER(INDEX(magestuff!$D$499:$Y$615,ROW()-ROW($D$256),COLUMN()-COLUMN($C$257))),INDIRECT("'Master Spell List'!$Z$"&amp;INDEX(magestuff!$D$499:$Y$615,ROW()-ROW($D$256),COLUMN()-COLUMN($C$257))),"")</f>
        <v>Least Enhancement</v>
      </c>
      <c r="Q275" s="1055" t="str">
        <f ca="1">IF(ISNUMBER(INDEX(magestuff!$D$499:$Y$615,ROW()-ROW($D$256),COLUMN()-COLUMN($C$257))),INDIRECT("'Master Spell List'!$Z$"&amp;INDEX(magestuff!$D$499:$Y$615,ROW()-ROW($D$256),COLUMN()-COLUMN($C$257))),"")</f>
        <v>Lesser Circle of Protection vs Lycanthropes</v>
      </c>
      <c r="R275" s="1055" t="str">
        <f ca="1">IF(ISNUMBER(INDEX(magestuff!$D$499:$Y$615,ROW()-ROW($D$256),COLUMN()-COLUMN($C$257))),INDIRECT("'Master Spell List'!$Z$"&amp;INDEX(magestuff!$D$499:$Y$615,ROW()-ROW($D$256),COLUMN()-COLUMN($C$257))),"")</f>
        <v>Greater Fey Magical Bowery +9</v>
      </c>
      <c r="S275" s="1055" t="str">
        <f ca="1">IF(ISNUMBER(INDEX(magestuff!$D$499:$Y$615,ROW()-ROW($D$256),COLUMN()-COLUMN($C$257))),INDIRECT("'Master Spell List'!$Z$"&amp;INDEX(magestuff!$D$499:$Y$615,ROW()-ROW($D$256),COLUMN()-COLUMN($C$257))),"")</f>
        <v>Vulcan's Forger</v>
      </c>
      <c r="T275" s="1055" t="str">
        <f ca="1">IF(ISNUMBER(INDEX(magestuff!$D$499:$Y$615,ROW()-ROW($D$256),COLUMN()-COLUMN($C$257))),INDIRECT("'Master Spell List'!$Z$"&amp;INDEX(magestuff!$D$499:$Y$615,ROW()-ROW($D$256),COLUMN()-COLUMN($C$257))),"")</f>
        <v/>
      </c>
      <c r="U275" s="1055" t="str">
        <f ca="1">IF(ISNUMBER(INDEX(magestuff!$D$499:$Y$615,ROW()-ROW($D$256),COLUMN()-COLUMN($C$257))),INDIRECT("'Master Spell List'!$Z$"&amp;INDEX(magestuff!$D$499:$Y$615,ROW()-ROW($D$256),COLUMN()-COLUMN($C$257))),"")</f>
        <v/>
      </c>
      <c r="V275" s="1055" t="str">
        <f ca="1">IF(ISNUMBER(INDEX(magestuff!$D$499:$Y$615,ROW()-ROW($D$256),COLUMN()-COLUMN($C$257))),INDIRECT("'Master Spell List'!$Z$"&amp;INDEX(magestuff!$D$499:$Y$615,ROW()-ROW($D$256),COLUMN()-COLUMN($C$257))),"")</f>
        <v/>
      </c>
      <c r="W275" s="1055" t="str">
        <f ca="1">IF(ISNUMBER(INDEX(magestuff!$D$499:$Y$615,ROW()-ROW($D$256),COLUMN()-COLUMN($C$257))),INDIRECT("'Master Spell List'!$Z$"&amp;INDEX(magestuff!$D$499:$Y$615,ROW()-ROW($D$256),COLUMN()-COLUMN($C$257))),"")</f>
        <v/>
      </c>
    </row>
    <row r="276" spans="1:35">
      <c r="A276" s="598">
        <v>21</v>
      </c>
      <c r="C276" s="598" t="s">
        <v>2225</v>
      </c>
      <c r="D276" s="1055" t="str">
        <f ca="1">IF(ISNUMBER(INDEX(magestuff!$D$499:$Y$615,ROW()-ROW($D$256),COLUMN()-COLUMN($C$257))),INDIRECT("'Master Spell List'!$Z$"&amp;INDEX(magestuff!$D$499:$Y$615,ROW()-ROW($D$256),COLUMN()-COLUMN($C$257))),"")</f>
        <v/>
      </c>
      <c r="E276" s="1055" t="str">
        <f ca="1">IF(ISNUMBER(INDEX(magestuff!$D$499:$Y$615,ROW()-ROW($D$256),COLUMN()-COLUMN($C$257))),INDIRECT("'Master Spell List'!$Z$"&amp;INDEX(magestuff!$D$499:$Y$615,ROW()-ROW($D$256),COLUMN()-COLUMN($C$257))),"")</f>
        <v>Lightning Bolt</v>
      </c>
      <c r="F276" s="1055" t="str">
        <f ca="1">IF(ISNUMBER(INDEX(magestuff!$D$499:$Y$615,ROW()-ROW($D$256),COLUMN()-COLUMN($C$257))),INDIRECT("'Master Spell List'!$Z$"&amp;INDEX(magestuff!$D$499:$Y$615,ROW()-ROW($D$256),COLUMN()-COLUMN($C$257))),"")</f>
        <v>Least Divide</v>
      </c>
      <c r="G276" s="1055" t="str">
        <f ca="1">IF(ISNUMBER(INDEX(magestuff!$D$499:$Y$615,ROW()-ROW($D$256),COLUMN()-COLUMN($C$257))),INDIRECT("'Master Spell List'!$Z$"&amp;INDEX(magestuff!$D$499:$Y$615,ROW()-ROW($D$256),COLUMN()-COLUMN($C$257))),"")</f>
        <v>Fiery Arrows - Dragon Fire</v>
      </c>
      <c r="H276" s="1055" t="str">
        <f ca="1">IF(ISNUMBER(INDEX(magestuff!$D$499:$Y$615,ROW()-ROW($D$256),COLUMN()-COLUMN($C$257))),INDIRECT("'Master Spell List'!$Z$"&amp;INDEX(magestuff!$D$499:$Y$615,ROW()-ROW($D$256),COLUMN()-COLUMN($C$257))),"")</f>
        <v>Walk on Water</v>
      </c>
      <c r="I276" s="1055" t="str">
        <f ca="1">IF(ISNUMBER(INDEX(magestuff!$D$499:$Y$615,ROW()-ROW($D$256),COLUMN()-COLUMN($C$257))),INDIRECT("'Master Spell List'!$Z$"&amp;INDEX(magestuff!$D$499:$Y$615,ROW()-ROW($D$256),COLUMN()-COLUMN($C$257))),"")</f>
        <v xml:space="preserve">Lesser Healing Touch of Apollo   </v>
      </c>
      <c r="J276" s="1055" t="str">
        <f ca="1">IF(ISNUMBER(INDEX(magestuff!$D$499:$Y$615,ROW()-ROW($D$256),COLUMN()-COLUMN($C$257))),INDIRECT("'Master Spell List'!$Z$"&amp;INDEX(magestuff!$D$499:$Y$615,ROW()-ROW($D$256),COLUMN()-COLUMN($C$257))),"")</f>
        <v>Command Small Animal</v>
      </c>
      <c r="K276" s="1055" t="str">
        <f ca="1">IF(ISNUMBER(INDEX(magestuff!$D$499:$Y$615,ROW()-ROW($D$256),COLUMN()-COLUMN($C$257))),INDIRECT("'Master Spell List'!$Z$"&amp;INDEX(magestuff!$D$499:$Y$615,ROW()-ROW($D$256),COLUMN()-COLUMN($C$257))),"")</f>
        <v>Weather Sense</v>
      </c>
      <c r="L276" s="1055" t="str">
        <f ca="1">IF(ISNUMBER(INDEX(magestuff!$D$499:$Y$615,ROW()-ROW($D$256),COLUMN()-COLUMN($C$257))),INDIRECT("'Master Spell List'!$Z$"&amp;INDEX(magestuff!$D$499:$Y$615,ROW()-ROW($D$256),COLUMN()-COLUMN($C$257))),"")</f>
        <v>Diffuse Scent</v>
      </c>
      <c r="M276" s="1055" t="str">
        <f ca="1">IF(ISNUMBER(INDEX(magestuff!$D$499:$Y$615,ROW()-ROW($D$256),COLUMN()-COLUMN($C$257))),INDIRECT("'Master Spell List'!$Z$"&amp;INDEX(magestuff!$D$499:$Y$615,ROW()-ROW($D$256),COLUMN()-COLUMN($C$257))),"")</f>
        <v>Animate War Tree Type I</v>
      </c>
      <c r="N276" s="1055" t="str">
        <f ca="1">IF(ISNUMBER(INDEX(magestuff!$D$499:$Y$615,ROW()-ROW($D$256),COLUMN()-COLUMN($C$257))),INDIRECT("'Master Spell List'!$Z$"&amp;INDEX(magestuff!$D$499:$Y$615,ROW()-ROW($D$256),COLUMN()-COLUMN($C$257))),"")</f>
        <v xml:space="preserve">Lesser Summon Object </v>
      </c>
      <c r="O276" s="1055" t="str">
        <f ca="1">IF(ISNUMBER(INDEX(magestuff!$D$499:$Y$615,ROW()-ROW($D$256),COLUMN()-COLUMN($C$257))),INDIRECT("'Master Spell List'!$Z$"&amp;INDEX(magestuff!$D$499:$Y$615,ROW()-ROW($D$256),COLUMN()-COLUMN($C$257))),"")</f>
        <v>Vigil</v>
      </c>
      <c r="P276" s="1055" t="str">
        <f ca="1">IF(ISNUMBER(INDEX(magestuff!$D$499:$Y$615,ROW()-ROW($D$256),COLUMN()-COLUMN($C$257))),INDIRECT("'Master Spell List'!$Z$"&amp;INDEX(magestuff!$D$499:$Y$615,ROW()-ROW($D$256),COLUMN()-COLUMN($C$257))),"")</f>
        <v>Least Transform Self</v>
      </c>
      <c r="Q276" s="1055" t="str">
        <f ca="1">IF(ISNUMBER(INDEX(magestuff!$D$499:$Y$615,ROW()-ROW($D$256),COLUMN()-COLUMN($C$257))),INDIRECT("'Master Spell List'!$Z$"&amp;INDEX(magestuff!$D$499:$Y$615,ROW()-ROW($D$256),COLUMN()-COLUMN($C$257))),"")</f>
        <v>Lesser Circle of Protection vs Plant</v>
      </c>
      <c r="R276" s="1055" t="str">
        <f ca="1">IF(ISNUMBER(INDEX(magestuff!$D$499:$Y$615,ROW()-ROW($D$256),COLUMN()-COLUMN($C$257))),INDIRECT("'Master Spell List'!$Z$"&amp;INDEX(magestuff!$D$499:$Y$615,ROW()-ROW($D$256),COLUMN()-COLUMN($C$257))),"")</f>
        <v>Greater Fey Magical Bowery +11</v>
      </c>
      <c r="S276" s="1055" t="str">
        <f ca="1">IF(ISNUMBER(INDEX(magestuff!$D$499:$Y$615,ROW()-ROW($D$256),COLUMN()-COLUMN($C$257))),INDIRECT("'Master Spell List'!$Z$"&amp;INDEX(magestuff!$D$499:$Y$615,ROW()-ROW($D$256),COLUMN()-COLUMN($C$257))),"")</f>
        <v>Greater Vulcan's Tempering</v>
      </c>
      <c r="T276" s="1055" t="str">
        <f ca="1">IF(ISNUMBER(INDEX(magestuff!$D$499:$Y$615,ROW()-ROW($D$256),COLUMN()-COLUMN($C$257))),INDIRECT("'Master Spell List'!$Z$"&amp;INDEX(magestuff!$D$499:$Y$615,ROW()-ROW($D$256),COLUMN()-COLUMN($C$257))),"")</f>
        <v/>
      </c>
      <c r="U276" s="1055" t="str">
        <f ca="1">IF(ISNUMBER(INDEX(magestuff!$D$499:$Y$615,ROW()-ROW($D$256),COLUMN()-COLUMN($C$257))),INDIRECT("'Master Spell List'!$Z$"&amp;INDEX(magestuff!$D$499:$Y$615,ROW()-ROW($D$256),COLUMN()-COLUMN($C$257))),"")</f>
        <v/>
      </c>
      <c r="V276" s="1055" t="str">
        <f ca="1">IF(ISNUMBER(INDEX(magestuff!$D$499:$Y$615,ROW()-ROW($D$256),COLUMN()-COLUMN($C$257))),INDIRECT("'Master Spell List'!$Z$"&amp;INDEX(magestuff!$D$499:$Y$615,ROW()-ROW($D$256),COLUMN()-COLUMN($C$257))),"")</f>
        <v/>
      </c>
      <c r="W276" s="1055" t="str">
        <f ca="1">IF(ISNUMBER(INDEX(magestuff!$D$499:$Y$615,ROW()-ROW($D$256),COLUMN()-COLUMN($C$257))),INDIRECT("'Master Spell List'!$Z$"&amp;INDEX(magestuff!$D$499:$Y$615,ROW()-ROW($D$256),COLUMN()-COLUMN($C$257))),"")</f>
        <v/>
      </c>
    </row>
    <row r="277" spans="1:35">
      <c r="A277" s="598">
        <v>22</v>
      </c>
      <c r="C277" s="598" t="s">
        <v>2225</v>
      </c>
      <c r="D277" s="1055" t="str">
        <f ca="1">IF(ISNUMBER(INDEX(magestuff!$D$499:$Y$615,ROW()-ROW($D$256),COLUMN()-COLUMN($C$257))),INDIRECT("'Master Spell List'!$Z$"&amp;INDEX(magestuff!$D$499:$Y$615,ROW()-ROW($D$256),COLUMN()-COLUMN($C$257))),"")</f>
        <v/>
      </c>
      <c r="E277" s="1055" t="str">
        <f ca="1">IF(ISNUMBER(INDEX(magestuff!$D$499:$Y$615,ROW()-ROW($D$256),COLUMN()-COLUMN($C$257))),INDIRECT("'Master Spell List'!$Z$"&amp;INDEX(magestuff!$D$499:$Y$615,ROW()-ROW($D$256),COLUMN()-COLUMN($C$257))),"")</f>
        <v>Air Ram</v>
      </c>
      <c r="F277" s="1055" t="str">
        <f ca="1">IF(ISNUMBER(INDEX(magestuff!$D$499:$Y$615,ROW()-ROW($D$256),COLUMN()-COLUMN($C$257))),INDIRECT("'Master Spell List'!$Z$"&amp;INDEX(magestuff!$D$499:$Y$615,ROW()-ROW($D$256),COLUMN()-COLUMN($C$257))),"")</f>
        <v>Dry Clay</v>
      </c>
      <c r="G277" s="1055" t="str">
        <f ca="1">IF(ISNUMBER(INDEX(magestuff!$D$499:$Y$615,ROW()-ROW($D$256),COLUMN()-COLUMN($C$257))),INDIRECT("'Master Spell List'!$Z$"&amp;INDEX(magestuff!$D$499:$Y$615,ROW()-ROW($D$256),COLUMN()-COLUMN($C$257))),"")</f>
        <v>Fire Ball  - Normal Fire</v>
      </c>
      <c r="H277" s="1055" t="str">
        <f ca="1">IF(ISNUMBER(INDEX(magestuff!$D$499:$Y$615,ROW()-ROW($D$256),COLUMN()-COLUMN($C$257))),INDIRECT("'Master Spell List'!$Z$"&amp;INDEX(magestuff!$D$499:$Y$615,ROW()-ROW($D$256),COLUMN()-COLUMN($C$257))),"")</f>
        <v>Command Waters of the Undine</v>
      </c>
      <c r="I277" s="1055" t="str">
        <f ca="1">IF(ISNUMBER(INDEX(magestuff!$D$499:$Y$615,ROW()-ROW($D$256),COLUMN()-COLUMN($C$257))),INDIRECT("'Master Spell List'!$Z$"&amp;INDEX(magestuff!$D$499:$Y$615,ROW()-ROW($D$256),COLUMN()-COLUMN($C$257))),"")</f>
        <v>Shadow Arrows (Mana Darts)</v>
      </c>
      <c r="J277" s="1055" t="str">
        <f ca="1">IF(ISNUMBER(INDEX(magestuff!$D$499:$Y$615,ROW()-ROW($D$256),COLUMN()-COLUMN($C$257))),INDIRECT("'Master Spell List'!$Z$"&amp;INDEX(magestuff!$D$499:$Y$615,ROW()-ROW($D$256),COLUMN()-COLUMN($C$257))),"")</f>
        <v>Command Small Predator</v>
      </c>
      <c r="K277" s="1055" t="str">
        <f ca="1">IF(ISNUMBER(INDEX(magestuff!$D$499:$Y$615,ROW()-ROW($D$256),COLUMN()-COLUMN($C$257))),INDIRECT("'Master Spell List'!$Z$"&amp;INDEX(magestuff!$D$499:$Y$615,ROW()-ROW($D$256),COLUMN()-COLUMN($C$257))),"")</f>
        <v>Delay</v>
      </c>
      <c r="L277" s="1055" t="str">
        <f ca="1">IF(ISNUMBER(INDEX(magestuff!$D$499:$Y$615,ROW()-ROW($D$256),COLUMN()-COLUMN($C$257))),INDIRECT("'Master Spell List'!$Z$"&amp;INDEX(magestuff!$D$499:$Y$615,ROW()-ROW($D$256),COLUMN()-COLUMN($C$257))),"")</f>
        <v>Dispel Illusion I</v>
      </c>
      <c r="M277" s="1055" t="str">
        <f ca="1">IF(ISNUMBER(INDEX(magestuff!$D$499:$Y$615,ROW()-ROW($D$256),COLUMN()-COLUMN($C$257))),INDIRECT("'Master Spell List'!$Z$"&amp;INDEX(magestuff!$D$499:$Y$615,ROW()-ROW($D$256),COLUMN()-COLUMN($C$257))),"")</f>
        <v>Cure Blight</v>
      </c>
      <c r="N277" s="1055" t="str">
        <f ca="1">IF(ISNUMBER(INDEX(magestuff!$D$499:$Y$615,ROW()-ROW($D$256),COLUMN()-COLUMN($C$257))),INDIRECT("'Master Spell List'!$Z$"&amp;INDEX(magestuff!$D$499:$Y$615,ROW()-ROW($D$256),COLUMN()-COLUMN($C$257))),"")</f>
        <v>Summon Least Spirit</v>
      </c>
      <c r="O277" s="1055" t="str">
        <f ca="1">IF(ISNUMBER(INDEX(magestuff!$D$499:$Y$615,ROW()-ROW($D$256),COLUMN()-COLUMN($C$257))),INDIRECT("'Master Spell List'!$Z$"&amp;INDEX(magestuff!$D$499:$Y$615,ROW()-ROW($D$256),COLUMN()-COLUMN($C$257))),"")</f>
        <v>Cloak Aura</v>
      </c>
      <c r="P277" s="1055" t="str">
        <f ca="1">IF(ISNUMBER(INDEX(magestuff!$D$499:$Y$615,ROW()-ROW($D$256),COLUMN()-COLUMN($C$257))),INDIRECT("'Master Spell List'!$Z$"&amp;INDEX(magestuff!$D$499:$Y$615,ROW()-ROW($D$256),COLUMN()-COLUMN($C$257))),"")</f>
        <v>Release From Agony</v>
      </c>
      <c r="Q277" s="1055" t="str">
        <f ca="1">IF(ISNUMBER(INDEX(magestuff!$D$499:$Y$615,ROW()-ROW($D$256),COLUMN()-COLUMN($C$257))),INDIRECT("'Master Spell List'!$Z$"&amp;INDEX(magestuff!$D$499:$Y$615,ROW()-ROW($D$256),COLUMN()-COLUMN($C$257))),"")</f>
        <v>Lesser Circle of Protection vs Transcendental</v>
      </c>
      <c r="R277" s="1055" t="str">
        <f ca="1">IF(ISNUMBER(INDEX(magestuff!$D$499:$Y$615,ROW()-ROW($D$256),COLUMN()-COLUMN($C$257))),INDIRECT("'Master Spell List'!$Z$"&amp;INDEX(magestuff!$D$499:$Y$615,ROW()-ROW($D$256),COLUMN()-COLUMN($C$257))),"")</f>
        <v>Greater Fey Magical Bowery +12</v>
      </c>
      <c r="S277" s="1055" t="str">
        <f ca="1">IF(ISNUMBER(INDEX(magestuff!$D$499:$Y$615,ROW()-ROW($D$256),COLUMN()-COLUMN($C$257))),INDIRECT("'Master Spell List'!$Z$"&amp;INDEX(magestuff!$D$499:$Y$615,ROW()-ROW($D$256),COLUMN()-COLUMN($C$257))),"")</f>
        <v>Inspiration of Vulcan</v>
      </c>
      <c r="T277" s="1055" t="str">
        <f ca="1">IF(ISNUMBER(INDEX(magestuff!$D$499:$Y$615,ROW()-ROW($D$256),COLUMN()-COLUMN($C$257))),INDIRECT("'Master Spell List'!$Z$"&amp;INDEX(magestuff!$D$499:$Y$615,ROW()-ROW($D$256),COLUMN()-COLUMN($C$257))),"")</f>
        <v/>
      </c>
      <c r="U277" s="1055" t="str">
        <f ca="1">IF(ISNUMBER(INDEX(magestuff!$D$499:$Y$615,ROW()-ROW($D$256),COLUMN()-COLUMN($C$257))),INDIRECT("'Master Spell List'!$Z$"&amp;INDEX(magestuff!$D$499:$Y$615,ROW()-ROW($D$256),COLUMN()-COLUMN($C$257))),"")</f>
        <v/>
      </c>
      <c r="V277" s="1055" t="str">
        <f ca="1">IF(ISNUMBER(INDEX(magestuff!$D$499:$Y$615,ROW()-ROW($D$256),COLUMN()-COLUMN($C$257))),INDIRECT("'Master Spell List'!$Z$"&amp;INDEX(magestuff!$D$499:$Y$615,ROW()-ROW($D$256),COLUMN()-COLUMN($C$257))),"")</f>
        <v/>
      </c>
      <c r="W277" s="1055" t="str">
        <f ca="1">IF(ISNUMBER(INDEX(magestuff!$D$499:$Y$615,ROW()-ROW($D$256),COLUMN()-COLUMN($C$257))),INDIRECT("'Master Spell List'!$Z$"&amp;INDEX(magestuff!$D$499:$Y$615,ROW()-ROW($D$256),COLUMN()-COLUMN($C$257))),"")</f>
        <v/>
      </c>
    </row>
    <row r="278" spans="1:35">
      <c r="A278" s="598">
        <v>23</v>
      </c>
      <c r="C278" s="598" t="s">
        <v>2225</v>
      </c>
      <c r="D278" s="1055" t="str">
        <f ca="1">IF(ISNUMBER(INDEX(magestuff!$D$499:$Y$615,ROW()-ROW($D$256),COLUMN()-COLUMN($C$257))),INDIRECT("'Master Spell List'!$Z$"&amp;INDEX(magestuff!$D$499:$Y$615,ROW()-ROW($D$256),COLUMN()-COLUMN($C$257))),"")</f>
        <v/>
      </c>
      <c r="E278" s="1055" t="str">
        <f ca="1">IF(ISNUMBER(INDEX(magestuff!$D$499:$Y$615,ROW()-ROW($D$256),COLUMN()-COLUMN($C$257))),INDIRECT("'Master Spell List'!$Z$"&amp;INDEX(magestuff!$D$499:$Y$615,ROW()-ROW($D$256),COLUMN()-COLUMN($C$257))),"")</f>
        <v>Great Gain Strength from the Storm</v>
      </c>
      <c r="F278" s="1055" t="str">
        <f ca="1">IF(ISNUMBER(INDEX(magestuff!$D$499:$Y$615,ROW()-ROW($D$256),COLUMN()-COLUMN($C$257))),INDIRECT("'Master Spell List'!$Z$"&amp;INDEX(magestuff!$D$499:$Y$615,ROW()-ROW($D$256),COLUMN()-COLUMN($C$257))),"")</f>
        <v>Wedge Clay</v>
      </c>
      <c r="G278" s="1055" t="str">
        <f ca="1">IF(ISNUMBER(INDEX(magestuff!$D$499:$Y$615,ROW()-ROW($D$256),COLUMN()-COLUMN($C$257))),INDIRECT("'Master Spell List'!$Z$"&amp;INDEX(magestuff!$D$499:$Y$615,ROW()-ROW($D$256),COLUMN()-COLUMN($C$257))),"")</f>
        <v>Fire Coat</v>
      </c>
      <c r="H278" s="1055" t="str">
        <f ca="1">IF(ISNUMBER(INDEX(magestuff!$D$499:$Y$615,ROW()-ROW($D$256),COLUMN()-COLUMN($C$257))),INDIRECT("'Master Spell List'!$Z$"&amp;INDEX(magestuff!$D$499:$Y$615,ROW()-ROW($D$256),COLUMN()-COLUMN($C$257))),"")</f>
        <v>Create Waters of the Undine</v>
      </c>
      <c r="I278" s="1055" t="str">
        <f ca="1">IF(ISNUMBER(INDEX(magestuff!$D$499:$Y$615,ROW()-ROW($D$256),COLUMN()-COLUMN($C$257))),INDIRECT("'Master Spell List'!$Z$"&amp;INDEX(magestuff!$D$499:$Y$615,ROW()-ROW($D$256),COLUMN()-COLUMN($C$257))),"")</f>
        <v>Shadowcast</v>
      </c>
      <c r="J278" s="1055" t="str">
        <f ca="1">IF(ISNUMBER(INDEX(magestuff!$D$499:$Y$615,ROW()-ROW($D$256),COLUMN()-COLUMN($C$257))),INDIRECT("'Master Spell List'!$Z$"&amp;INDEX(magestuff!$D$499:$Y$615,ROW()-ROW($D$256),COLUMN()-COLUMN($C$257))),"")</f>
        <v>Daze</v>
      </c>
      <c r="K278" s="1055" t="str">
        <f ca="1">IF(ISNUMBER(INDEX(magestuff!$D$499:$Y$615,ROW()-ROW($D$256),COLUMN()-COLUMN($C$257))),INDIRECT("'Master Spell List'!$Z$"&amp;INDEX(magestuff!$D$499:$Y$615,ROW()-ROW($D$256),COLUMN()-COLUMN($C$257))),"")</f>
        <v>Detect Astral Being</v>
      </c>
      <c r="L278" s="1055" t="str">
        <f ca="1">IF(ISNUMBER(INDEX(magestuff!$D$499:$Y$615,ROW()-ROW($D$256),COLUMN()-COLUMN($C$257))),INDIRECT("'Master Spell List'!$Z$"&amp;INDEX(magestuff!$D$499:$Y$615,ROW()-ROW($D$256),COLUMN()-COLUMN($C$257))),"")</f>
        <v>Dispel Illusion II</v>
      </c>
      <c r="M278" s="1055" t="str">
        <f ca="1">IF(ISNUMBER(INDEX(magestuff!$D$499:$Y$615,ROW()-ROW($D$256),COLUMN()-COLUMN($C$257))),INDIRECT("'Master Spell List'!$Z$"&amp;INDEX(magestuff!$D$499:$Y$615,ROW()-ROW($D$256),COLUMN()-COLUMN($C$257))),"")</f>
        <v>Detach (Harvest)</v>
      </c>
      <c r="N278" s="1055" t="str">
        <f ca="1">IF(ISNUMBER(INDEX(magestuff!$D$499:$Y$615,ROW()-ROW($D$256),COLUMN()-COLUMN($C$257))),INDIRECT("'Master Spell List'!$Z$"&amp;INDEX(magestuff!$D$499:$Y$615,ROW()-ROW($D$256),COLUMN()-COLUMN($C$257))),"")</f>
        <v>Summon Lesser Totem</v>
      </c>
      <c r="O278" s="1055" t="str">
        <f ca="1">IF(ISNUMBER(INDEX(magestuff!$D$499:$Y$615,ROW()-ROW($D$256),COLUMN()-COLUMN($C$257))),INDIRECT("'Master Spell List'!$Z$"&amp;INDEX(magestuff!$D$499:$Y$615,ROW()-ROW($D$256),COLUMN()-COLUMN($C$257))),"")</f>
        <v>Great Push</v>
      </c>
      <c r="P278" s="1055" t="str">
        <f ca="1">IF(ISNUMBER(INDEX(magestuff!$D$499:$Y$615,ROW()-ROW($D$256),COLUMN()-COLUMN($C$257))),INDIRECT("'Master Spell List'!$Z$"&amp;INDEX(magestuff!$D$499:$Y$615,ROW()-ROW($D$256),COLUMN()-COLUMN($C$257))),"")</f>
        <v>Shape Shift</v>
      </c>
      <c r="Q278" s="1055" t="str">
        <f ca="1">IF(ISNUMBER(INDEX(magestuff!$D$499:$Y$615,ROW()-ROW($D$256),COLUMN()-COLUMN($C$257))),INDIRECT("'Master Spell List'!$Z$"&amp;INDEX(magestuff!$D$499:$Y$615,ROW()-ROW($D$256),COLUMN()-COLUMN($C$257))),"")</f>
        <v>Lesser Circle of Protection vs Transmutational</v>
      </c>
      <c r="R278" s="1055" t="str">
        <f ca="1">IF(ISNUMBER(INDEX(magestuff!$D$499:$Y$615,ROW()-ROW($D$256),COLUMN()-COLUMN($C$257))),INDIRECT("'Master Spell List'!$Z$"&amp;INDEX(magestuff!$D$499:$Y$615,ROW()-ROW($D$256),COLUMN()-COLUMN($C$257))),"")</f>
        <v>Greater Fey Magical Bowery +13</v>
      </c>
      <c r="S278" s="1055" t="str">
        <f ca="1">IF(ISNUMBER(INDEX(magestuff!$D$499:$Y$615,ROW()-ROW($D$256),COLUMN()-COLUMN($C$257))),INDIRECT("'Master Spell List'!$Z$"&amp;INDEX(magestuff!$D$499:$Y$615,ROW()-ROW($D$256),COLUMN()-COLUMN($C$257))),"")</f>
        <v>Transfer the Qualities of Fire and Water</v>
      </c>
      <c r="T278" s="1055" t="str">
        <f ca="1">IF(ISNUMBER(INDEX(magestuff!$D$499:$Y$615,ROW()-ROW($D$256),COLUMN()-COLUMN($C$257))),INDIRECT("'Master Spell List'!$Z$"&amp;INDEX(magestuff!$D$499:$Y$615,ROW()-ROW($D$256),COLUMN()-COLUMN($C$257))),"")</f>
        <v/>
      </c>
      <c r="U278" s="1055" t="str">
        <f ca="1">IF(ISNUMBER(INDEX(magestuff!$D$499:$Y$615,ROW()-ROW($D$256),COLUMN()-COLUMN($C$257))),INDIRECT("'Master Spell List'!$Z$"&amp;INDEX(magestuff!$D$499:$Y$615,ROW()-ROW($D$256),COLUMN()-COLUMN($C$257))),"")</f>
        <v/>
      </c>
      <c r="V278" s="1055" t="str">
        <f ca="1">IF(ISNUMBER(INDEX(magestuff!$D$499:$Y$615,ROW()-ROW($D$256),COLUMN()-COLUMN($C$257))),INDIRECT("'Master Spell List'!$Z$"&amp;INDEX(magestuff!$D$499:$Y$615,ROW()-ROW($D$256),COLUMN()-COLUMN($C$257))),"")</f>
        <v/>
      </c>
      <c r="W278" s="1055" t="str">
        <f ca="1">IF(ISNUMBER(INDEX(magestuff!$D$499:$Y$615,ROW()-ROW($D$256),COLUMN()-COLUMN($C$257))),INDIRECT("'Master Spell List'!$Z$"&amp;INDEX(magestuff!$D$499:$Y$615,ROW()-ROW($D$256),COLUMN()-COLUMN($C$257))),"")</f>
        <v/>
      </c>
    </row>
    <row r="279" spans="1:35">
      <c r="A279" s="598">
        <v>24</v>
      </c>
      <c r="C279" s="598" t="s">
        <v>2225</v>
      </c>
      <c r="D279" s="1055" t="str">
        <f ca="1">IF(ISNUMBER(INDEX(magestuff!$D$499:$Y$615,ROW()-ROW($D$256),COLUMN()-COLUMN($C$257))),INDIRECT("'Master Spell List'!$Z$"&amp;INDEX(magestuff!$D$499:$Y$615,ROW()-ROW($D$256),COLUMN()-COLUMN($C$257))),"")</f>
        <v/>
      </c>
      <c r="E279" s="1055" t="str">
        <f ca="1">IF(ISNUMBER(INDEX(magestuff!$D$499:$Y$615,ROW()-ROW($D$256),COLUMN()-COLUMN($C$257))),INDIRECT("'Master Spell List'!$Z$"&amp;INDEX(magestuff!$D$499:$Y$615,ROW()-ROW($D$256),COLUMN()-COLUMN($C$257))),"")</f>
        <v>Least Create Scented Air</v>
      </c>
      <c r="F279" s="1055" t="str">
        <f ca="1">IF(ISNUMBER(INDEX(magestuff!$D$499:$Y$615,ROW()-ROW($D$256),COLUMN()-COLUMN($C$257))),INDIRECT("'Master Spell List'!$Z$"&amp;INDEX(magestuff!$D$499:$Y$615,ROW()-ROW($D$256),COLUMN()-COLUMN($C$257))),"")</f>
        <v>Create Slip</v>
      </c>
      <c r="G279" s="1055" t="str">
        <f ca="1">IF(ISNUMBER(INDEX(magestuff!$D$499:$Y$615,ROW()-ROW($D$256),COLUMN()-COLUMN($C$257))),INDIRECT("'Master Spell List'!$Z$"&amp;INDEX(magestuff!$D$499:$Y$615,ROW()-ROW($D$256),COLUMN()-COLUMN($C$257))),"")</f>
        <v>Jets Of Flame - Magick Fire</v>
      </c>
      <c r="H279" s="1055" t="str">
        <f ca="1">IF(ISNUMBER(INDEX(magestuff!$D$499:$Y$615,ROW()-ROW($D$256),COLUMN()-COLUMN($C$257))),INDIRECT("'Master Spell List'!$Z$"&amp;INDEX(magestuff!$D$499:$Y$615,ROW()-ROW($D$256),COLUMN()-COLUMN($C$257))),"")</f>
        <v>Flood</v>
      </c>
      <c r="I279" s="1055" t="str">
        <f ca="1">IF(ISNUMBER(INDEX(magestuff!$D$499:$Y$615,ROW()-ROW($D$256),COLUMN()-COLUMN($C$257))),INDIRECT("'Master Spell List'!$Z$"&amp;INDEX(magestuff!$D$499:$Y$615,ROW()-ROW($D$256),COLUMN()-COLUMN($C$257))),"")</f>
        <v>Arcane Arrowhead of Greater Damage</v>
      </c>
      <c r="J279" s="1055" t="str">
        <f ca="1">IF(ISNUMBER(INDEX(magestuff!$D$499:$Y$615,ROW()-ROW($D$256),COLUMN()-COLUMN($C$257))),INDIRECT("'Master Spell List'!$Z$"&amp;INDEX(magestuff!$D$499:$Y$615,ROW()-ROW($D$256),COLUMN()-COLUMN($C$257))),"")</f>
        <v>Dislike</v>
      </c>
      <c r="K279" s="1055" t="str">
        <f ca="1">IF(ISNUMBER(INDEX(magestuff!$D$499:$Y$615,ROW()-ROW($D$256),COLUMN()-COLUMN($C$257))),INDIRECT("'Master Spell List'!$Z$"&amp;INDEX(magestuff!$D$499:$Y$615,ROW()-ROW($D$256),COLUMN()-COLUMN($C$257))),"")</f>
        <v>Detect Crystal</v>
      </c>
      <c r="L279" s="1055" t="str">
        <f ca="1">IF(ISNUMBER(INDEX(magestuff!$D$499:$Y$615,ROW()-ROW($D$256),COLUMN()-COLUMN($C$257))),INDIRECT("'Master Spell List'!$Z$"&amp;INDEX(magestuff!$D$499:$Y$615,ROW()-ROW($D$256),COLUMN()-COLUMN($C$257))),"")</f>
        <v>Dispel Illusion III</v>
      </c>
      <c r="M279" s="1055" t="str">
        <f ca="1">IF(ISNUMBER(INDEX(magestuff!$D$499:$Y$615,ROW()-ROW($D$256),COLUMN()-COLUMN($C$257))),INDIRECT("'Master Spell List'!$Z$"&amp;INDEX(magestuff!$D$499:$Y$615,ROW()-ROW($D$256),COLUMN()-COLUMN($C$257))),"")</f>
        <v>Faerie Ring</v>
      </c>
      <c r="N279" s="1055" t="str">
        <f ca="1">IF(ISNUMBER(INDEX(magestuff!$D$499:$Y$615,ROW()-ROW($D$256),COLUMN()-COLUMN($C$257))),INDIRECT("'Master Spell List'!$Z$"&amp;INDEX(magestuff!$D$499:$Y$615,ROW()-ROW($D$256),COLUMN()-COLUMN($C$257))),"")</f>
        <v>Animate Metal Simulacrum</v>
      </c>
      <c r="O279" s="1055" t="str">
        <f ca="1">IF(ISNUMBER(INDEX(magestuff!$D$499:$Y$615,ROW()-ROW($D$256),COLUMN()-COLUMN($C$257))),INDIRECT("'Master Spell List'!$Z$"&amp;INDEX(magestuff!$D$499:$Y$615,ROW()-ROW($D$256),COLUMN()-COLUMN($C$257))),"")</f>
        <v>Lesser Gift of Understanding</v>
      </c>
      <c r="P279" s="1055" t="str">
        <f ca="1">IF(ISNUMBER(INDEX(magestuff!$D$499:$Y$615,ROW()-ROW($D$256),COLUMN()-COLUMN($C$257))),INDIRECT("'Master Spell List'!$Z$"&amp;INDEX(magestuff!$D$499:$Y$615,ROW()-ROW($D$256),COLUMN()-COLUMN($C$257))),"")</f>
        <v>Speed</v>
      </c>
      <c r="Q279" s="1055" t="str">
        <f ca="1">IF(ISNUMBER(INDEX(magestuff!$D$499:$Y$615,ROW()-ROW($D$256),COLUMN()-COLUMN($C$257))),INDIRECT("'Master Spell List'!$Z$"&amp;INDEX(magestuff!$D$499:$Y$615,ROW()-ROW($D$256),COLUMN()-COLUMN($C$257))),"")</f>
        <v>Lesser Circle of Protection vs Undead</v>
      </c>
      <c r="R279" s="1055" t="str">
        <f ca="1">IF(ISNUMBER(INDEX(magestuff!$D$499:$Y$615,ROW()-ROW($D$256),COLUMN()-COLUMN($C$257))),INDIRECT("'Master Spell List'!$Z$"&amp;INDEX(magestuff!$D$499:$Y$615,ROW()-ROW($D$256),COLUMN()-COLUMN($C$257))),"")</f>
        <v/>
      </c>
      <c r="S279" s="1055" t="str">
        <f ca="1">IF(ISNUMBER(INDEX(magestuff!$D$499:$Y$615,ROW()-ROW($D$256),COLUMN()-COLUMN($C$257))),INDIRECT("'Master Spell List'!$Z$"&amp;INDEX(magestuff!$D$499:$Y$615,ROW()-ROW($D$256),COLUMN()-COLUMN($C$257))),"")</f>
        <v>Vulcan's Casting</v>
      </c>
      <c r="T279" s="1055" t="str">
        <f ca="1">IF(ISNUMBER(INDEX(magestuff!$D$499:$Y$615,ROW()-ROW($D$256),COLUMN()-COLUMN($C$257))),INDIRECT("'Master Spell List'!$Z$"&amp;INDEX(magestuff!$D$499:$Y$615,ROW()-ROW($D$256),COLUMN()-COLUMN($C$257))),"")</f>
        <v/>
      </c>
      <c r="U279" s="1055" t="str">
        <f ca="1">IF(ISNUMBER(INDEX(magestuff!$D$499:$Y$615,ROW()-ROW($D$256),COLUMN()-COLUMN($C$257))),INDIRECT("'Master Spell List'!$Z$"&amp;INDEX(magestuff!$D$499:$Y$615,ROW()-ROW($D$256),COLUMN()-COLUMN($C$257))),"")</f>
        <v/>
      </c>
      <c r="V279" s="1055" t="str">
        <f ca="1">IF(ISNUMBER(INDEX(magestuff!$D$499:$Y$615,ROW()-ROW($D$256),COLUMN()-COLUMN($C$257))),INDIRECT("'Master Spell List'!$Z$"&amp;INDEX(magestuff!$D$499:$Y$615,ROW()-ROW($D$256),COLUMN()-COLUMN($C$257))),"")</f>
        <v/>
      </c>
      <c r="W279" s="1055" t="str">
        <f ca="1">IF(ISNUMBER(INDEX(magestuff!$D$499:$Y$615,ROW()-ROW($D$256),COLUMN()-COLUMN($C$257))),INDIRECT("'Master Spell List'!$Z$"&amp;INDEX(magestuff!$D$499:$Y$615,ROW()-ROW($D$256),COLUMN()-COLUMN($C$257))),"")</f>
        <v/>
      </c>
    </row>
    <row r="280" spans="1:35">
      <c r="A280" s="598">
        <v>25</v>
      </c>
      <c r="C280" s="598" t="s">
        <v>2225</v>
      </c>
      <c r="D280" s="1055" t="str">
        <f ca="1">IF(ISNUMBER(INDEX(magestuff!$D$499:$Y$615,ROW()-ROW($D$256),COLUMN()-COLUMN($C$257))),INDIRECT("'Master Spell List'!$Z$"&amp;INDEX(magestuff!$D$499:$Y$615,ROW()-ROW($D$256),COLUMN()-COLUMN($C$257))),"")</f>
        <v/>
      </c>
      <c r="E280" s="1055" t="str">
        <f ca="1">IF(ISNUMBER(INDEX(magestuff!$D$499:$Y$615,ROW()-ROW($D$256),COLUMN()-COLUMN($C$257))),INDIRECT("'Master Spell List'!$Z$"&amp;INDEX(magestuff!$D$499:$Y$615,ROW()-ROW($D$256),COLUMN()-COLUMN($C$257))),"")</f>
        <v>Greater Gain Strength from the Storm</v>
      </c>
      <c r="F280" s="1055" t="str">
        <f ca="1">IF(ISNUMBER(INDEX(magestuff!$D$499:$Y$615,ROW()-ROW($D$256),COLUMN()-COLUMN($C$257))),INDIRECT("'Master Spell List'!$Z$"&amp;INDEX(magestuff!$D$499:$Y$615,ROW()-ROW($D$256),COLUMN()-COLUMN($C$257))),"")</f>
        <v>Command Slip</v>
      </c>
      <c r="G280" s="1055" t="str">
        <f ca="1">IF(ISNUMBER(INDEX(magestuff!$D$499:$Y$615,ROW()-ROW($D$256),COLUMN()-COLUMN($C$257))),INDIRECT("'Master Spell List'!$Z$"&amp;INDEX(magestuff!$D$499:$Y$615,ROW()-ROW($D$256),COLUMN()-COLUMN($C$257))),"")</f>
        <v>Turn Flame  - Normal Fire</v>
      </c>
      <c r="H280" s="1055" t="str">
        <f ca="1">IF(ISNUMBER(INDEX(magestuff!$D$499:$Y$615,ROW()-ROW($D$256),COLUMN()-COLUMN($C$257))),INDIRECT("'Master Spell List'!$Z$"&amp;INDEX(magestuff!$D$499:$Y$615,ROW()-ROW($D$256),COLUMN()-COLUMN($C$257))),"")</f>
        <v>Ice Bomb</v>
      </c>
      <c r="I280" s="1055" t="str">
        <f ca="1">IF(ISNUMBER(INDEX(magestuff!$D$499:$Y$615,ROW()-ROW($D$256),COLUMN()-COLUMN($C$257))),INDIRECT("'Master Spell List'!$Z$"&amp;INDEX(magestuff!$D$499:$Y$615,ROW()-ROW($D$256),COLUMN()-COLUMN($C$257))),"")</f>
        <v>Arcane Key</v>
      </c>
      <c r="J280" s="1055" t="str">
        <f ca="1">IF(ISNUMBER(INDEX(magestuff!$D$499:$Y$615,ROW()-ROW($D$256),COLUMN()-COLUMN($C$257))),INDIRECT("'Master Spell List'!$Z$"&amp;INDEX(magestuff!$D$499:$Y$615,ROW()-ROW($D$256),COLUMN()-COLUMN($C$257))),"")</f>
        <v>Dispel Charmed Large Predators</v>
      </c>
      <c r="K280" s="1055" t="str">
        <f ca="1">IF(ISNUMBER(INDEX(magestuff!$D$499:$Y$615,ROW()-ROW($D$256),COLUMN()-COLUMN($C$257))),INDIRECT("'Master Spell List'!$Z$"&amp;INDEX(magestuff!$D$499:$Y$615,ROW()-ROW($D$256),COLUMN()-COLUMN($C$257))),"")</f>
        <v>Detect Enemies</v>
      </c>
      <c r="L280" s="1055" t="str">
        <f ca="1">IF(ISNUMBER(INDEX(magestuff!$D$499:$Y$615,ROW()-ROW($D$256),COLUMN()-COLUMN($C$257))),INDIRECT("'Master Spell List'!$Z$"&amp;INDEX(magestuff!$D$499:$Y$615,ROW()-ROW($D$256),COLUMN()-COLUMN($C$257))),"")</f>
        <v>Dispel Illusion IV</v>
      </c>
      <c r="M280" s="1055" t="str">
        <f ca="1">IF(ISNUMBER(INDEX(magestuff!$D$499:$Y$615,ROW()-ROW($D$256),COLUMN()-COLUMN($C$257))),INDIRECT("'Master Spell List'!$Z$"&amp;INDEX(magestuff!$D$499:$Y$615,ROW()-ROW($D$256),COLUMN()-COLUMN($C$257))),"")</f>
        <v>Fodder of the Fair Folk</v>
      </c>
      <c r="N280" s="1055" t="str">
        <f ca="1">IF(ISNUMBER(INDEX(magestuff!$D$499:$Y$615,ROW()-ROW($D$256),COLUMN()-COLUMN($C$257))),INDIRECT("'Master Spell List'!$Z$"&amp;INDEX(magestuff!$D$499:$Y$615,ROW()-ROW($D$256),COLUMN()-COLUMN($C$257))),"")</f>
        <v>Awaken the Dead</v>
      </c>
      <c r="O280" s="1055" t="str">
        <f ca="1">IF(ISNUMBER(INDEX(magestuff!$D$499:$Y$615,ROW()-ROW($D$256),COLUMN()-COLUMN($C$257))),INDIRECT("'Master Spell List'!$Z$"&amp;INDEX(magestuff!$D$499:$Y$615,ROW()-ROW($D$256),COLUMN()-COLUMN($C$257))),"")</f>
        <v>Lesser Pull</v>
      </c>
      <c r="P280" s="1055" t="str">
        <f ca="1">IF(ISNUMBER(INDEX(magestuff!$D$499:$Y$615,ROW()-ROW($D$256),COLUMN()-COLUMN($C$257))),INDIRECT("'Master Spell List'!$Z$"&amp;INDEX(magestuff!$D$499:$Y$615,ROW()-ROW($D$256),COLUMN()-COLUMN($C$257))),"")</f>
        <v>Circe's Touch</v>
      </c>
      <c r="Q280" s="1055" t="str">
        <f ca="1">IF(ISNUMBER(INDEX(magestuff!$D$499:$Y$615,ROW()-ROW($D$256),COLUMN()-COLUMN($C$257))),INDIRECT("'Master Spell List'!$Z$"&amp;INDEX(magestuff!$D$499:$Y$615,ROW()-ROW($D$256),COLUMN()-COLUMN($C$257))),"")</f>
        <v>Lesser Circle of Warning</v>
      </c>
      <c r="R280" s="1055" t="str">
        <f ca="1">IF(ISNUMBER(INDEX(magestuff!$D$499:$Y$615,ROW()-ROW($D$256),COLUMN()-COLUMN($C$257))),INDIRECT("'Master Spell List'!$Z$"&amp;INDEX(magestuff!$D$499:$Y$615,ROW()-ROW($D$256),COLUMN()-COLUMN($C$257))),"")</f>
        <v/>
      </c>
      <c r="S280" s="1055" t="str">
        <f ca="1">IF(ISNUMBER(INDEX(magestuff!$D$499:$Y$615,ROW()-ROW($D$256),COLUMN()-COLUMN($C$257))),INDIRECT("'Master Spell List'!$Z$"&amp;INDEX(magestuff!$D$499:$Y$615,ROW()-ROW($D$256),COLUMN()-COLUMN($C$257))),"")</f>
        <v>Forge in the Breath of the Salamander</v>
      </c>
      <c r="T280" s="1055" t="str">
        <f ca="1">IF(ISNUMBER(INDEX(magestuff!$D$499:$Y$615,ROW()-ROW($D$256),COLUMN()-COLUMN($C$257))),INDIRECT("'Master Spell List'!$Z$"&amp;INDEX(magestuff!$D$499:$Y$615,ROW()-ROW($D$256),COLUMN()-COLUMN($C$257))),"")</f>
        <v/>
      </c>
      <c r="U280" s="1055" t="str">
        <f ca="1">IF(ISNUMBER(INDEX(magestuff!$D$499:$Y$615,ROW()-ROW($D$256),COLUMN()-COLUMN($C$257))),INDIRECT("'Master Spell List'!$Z$"&amp;INDEX(magestuff!$D$499:$Y$615,ROW()-ROW($D$256),COLUMN()-COLUMN($C$257))),"")</f>
        <v/>
      </c>
      <c r="V280" s="1055" t="str">
        <f ca="1">IF(ISNUMBER(INDEX(magestuff!$D$499:$Y$615,ROW()-ROW($D$256),COLUMN()-COLUMN($C$257))),INDIRECT("'Master Spell List'!$Z$"&amp;INDEX(magestuff!$D$499:$Y$615,ROW()-ROW($D$256),COLUMN()-COLUMN($C$257))),"")</f>
        <v/>
      </c>
      <c r="W280" s="1055" t="str">
        <f ca="1">IF(ISNUMBER(INDEX(magestuff!$D$499:$Y$615,ROW()-ROW($D$256),COLUMN()-COLUMN($C$257))),INDIRECT("'Master Spell List'!$Z$"&amp;INDEX(magestuff!$D$499:$Y$615,ROW()-ROW($D$256),COLUMN()-COLUMN($C$257))),"")</f>
        <v/>
      </c>
    </row>
    <row r="281" spans="1:35">
      <c r="A281" s="598">
        <v>26</v>
      </c>
      <c r="C281" s="598" t="s">
        <v>2225</v>
      </c>
      <c r="D281" s="1055" t="str">
        <f ca="1">IF(ISNUMBER(INDEX(magestuff!$D$499:$Y$615,ROW()-ROW($D$256),COLUMN()-COLUMN($C$257))),INDIRECT("'Master Spell List'!$Z$"&amp;INDEX(magestuff!$D$499:$Y$615,ROW()-ROW($D$256),COLUMN()-COLUMN($C$257))),"")</f>
        <v/>
      </c>
      <c r="E281" s="1055" t="str">
        <f ca="1">IF(ISNUMBER(INDEX(magestuff!$D$499:$Y$615,ROW()-ROW($D$256),COLUMN()-COLUMN($C$257))),INDIRECT("'Master Spell List'!$Z$"&amp;INDEX(magestuff!$D$499:$Y$615,ROW()-ROW($D$256),COLUMN()-COLUMN($C$257))),"")</f>
        <v>Greatest Gain Strength from the Storm</v>
      </c>
      <c r="F281" s="1055" t="str">
        <f ca="1">IF(ISNUMBER(INDEX(magestuff!$D$499:$Y$615,ROW()-ROW($D$256),COLUMN()-COLUMN($C$257))),INDIRECT("'Master Spell List'!$Z$"&amp;INDEX(magestuff!$D$499:$Y$615,ROW()-ROW($D$256),COLUMN()-COLUMN($C$257))),"")</f>
        <v>Diffuse</v>
      </c>
      <c r="G281" s="1055" t="str">
        <f ca="1">IF(ISNUMBER(INDEX(magestuff!$D$499:$Y$615,ROW()-ROW($D$256),COLUMN()-COLUMN($C$257))),INDIRECT("'Master Spell List'!$Z$"&amp;INDEX(magestuff!$D$499:$Y$615,ROW()-ROW($D$256),COLUMN()-COLUMN($C$257))),"")</f>
        <v>Burning Touch (Vulcan's Touch)  - Salamander Fire</v>
      </c>
      <c r="H281" s="1055" t="str">
        <f ca="1">IF(ISNUMBER(INDEX(magestuff!$D$499:$Y$615,ROW()-ROW($D$256),COLUMN()-COLUMN($C$257))),INDIRECT("'Master Spell List'!$Z$"&amp;INDEX(magestuff!$D$499:$Y$615,ROW()-ROW($D$256),COLUMN()-COLUMN($C$257))),"")</f>
        <v>Jet</v>
      </c>
      <c r="I281" s="1055" t="str">
        <f ca="1">IF(ISNUMBER(INDEX(magestuff!$D$499:$Y$615,ROW()-ROW($D$256),COLUMN()-COLUMN($C$257))),INDIRECT("'Master Spell List'!$Z$"&amp;INDEX(magestuff!$D$499:$Y$615,ROW()-ROW($D$256),COLUMN()-COLUMN($C$257))),"")</f>
        <v>Arcane Lock</v>
      </c>
      <c r="J281" s="1055" t="str">
        <f ca="1">IF(ISNUMBER(INDEX(magestuff!$D$499:$Y$615,ROW()-ROW($D$256),COLUMN()-COLUMN($C$257))),INDIRECT("'Master Spell List'!$Z$"&amp;INDEX(magestuff!$D$499:$Y$615,ROW()-ROW($D$256),COLUMN()-COLUMN($C$257))),"")</f>
        <v>Hold Large Animal</v>
      </c>
      <c r="K281" s="1055" t="str">
        <f ca="1">IF(ISNUMBER(INDEX(magestuff!$D$499:$Y$615,ROW()-ROW($D$256),COLUMN()-COLUMN($C$257))),INDIRECT("'Master Spell List'!$Z$"&amp;INDEX(magestuff!$D$499:$Y$615,ROW()-ROW($D$256),COLUMN()-COLUMN($C$257))),"")</f>
        <v>Detect Evil</v>
      </c>
      <c r="L281" s="1055" t="str">
        <f ca="1">IF(ISNUMBER(INDEX(magestuff!$D$499:$Y$615,ROW()-ROW($D$256),COLUMN()-COLUMN($C$257))),INDIRECT("'Master Spell List'!$Z$"&amp;INDEX(magestuff!$D$499:$Y$615,ROW()-ROW($D$256),COLUMN()-COLUMN($C$257))),"")</f>
        <v>Intensify Illusionary Contact</v>
      </c>
      <c r="M281" s="1055" t="str">
        <f ca="1">IF(ISNUMBER(INDEX(magestuff!$D$499:$Y$615,ROW()-ROW($D$256),COLUMN()-COLUMN($C$257))),INDIRECT("'Master Spell List'!$Z$"&amp;INDEX(magestuff!$D$499:$Y$615,ROW()-ROW($D$256),COLUMN()-COLUMN($C$257))),"")</f>
        <v>Glade of Dreams</v>
      </c>
      <c r="N281" s="1055" t="str">
        <f ca="1">IF(ISNUMBER(INDEX(magestuff!$D$499:$Y$615,ROW()-ROW($D$256),COLUMN()-COLUMN($C$257))),INDIRECT("'Master Spell List'!$Z$"&amp;INDEX(magestuff!$D$499:$Y$615,ROW()-ROW($D$256),COLUMN()-COLUMN($C$257))),"")</f>
        <v xml:space="preserve">Banish Great Undead </v>
      </c>
      <c r="O281" s="1055" t="str">
        <f ca="1">IF(ISNUMBER(INDEX(magestuff!$D$499:$Y$615,ROW()-ROW($D$256),COLUMN()-COLUMN($C$257))),INDIRECT("'Master Spell List'!$Z$"&amp;INDEX(magestuff!$D$499:$Y$615,ROW()-ROW($D$256),COLUMN()-COLUMN($C$257))),"")</f>
        <v>Projected Image</v>
      </c>
      <c r="P281" s="1055" t="str">
        <f ca="1">IF(ISNUMBER(INDEX(magestuff!$D$499:$Y$615,ROW()-ROW($D$256),COLUMN()-COLUMN($C$257))),INDIRECT("'Master Spell List'!$Z$"&amp;INDEX(magestuff!$D$499:$Y$615,ROW()-ROW($D$256),COLUMN()-COLUMN($C$257))),"")</f>
        <v>Journey in Haste</v>
      </c>
      <c r="Q281" s="1055" t="str">
        <f ca="1">IF(ISNUMBER(INDEX(magestuff!$D$499:$Y$615,ROW()-ROW($D$256),COLUMN()-COLUMN($C$257))),INDIRECT("'Master Spell List'!$Z$"&amp;INDEX(magestuff!$D$499:$Y$615,ROW()-ROW($D$256),COLUMN()-COLUMN($C$257))),"")</f>
        <v>Lesser Ward of Protection vs Arcane</v>
      </c>
      <c r="R281" s="1055" t="str">
        <f ca="1">IF(ISNUMBER(INDEX(magestuff!$D$499:$Y$615,ROW()-ROW($D$256),COLUMN()-COLUMN($C$257))),INDIRECT("'Master Spell List'!$Z$"&amp;INDEX(magestuff!$D$499:$Y$615,ROW()-ROW($D$256),COLUMN()-COLUMN($C$257))),"")</f>
        <v/>
      </c>
      <c r="S281" s="1055" t="str">
        <f ca="1">IF(ISNUMBER(INDEX(magestuff!$D$499:$Y$615,ROW()-ROW($D$256),COLUMN()-COLUMN($C$257))),INDIRECT("'Master Spell List'!$Z$"&amp;INDEX(magestuff!$D$499:$Y$615,ROW()-ROW($D$256),COLUMN()-COLUMN($C$257))),"")</f>
        <v>Forge with Black Sky &amp; Diamonds</v>
      </c>
      <c r="T281" s="1055" t="str">
        <f ca="1">IF(ISNUMBER(INDEX(magestuff!$D$499:$Y$615,ROW()-ROW($D$256),COLUMN()-COLUMN($C$257))),INDIRECT("'Master Spell List'!$Z$"&amp;INDEX(magestuff!$D$499:$Y$615,ROW()-ROW($D$256),COLUMN()-COLUMN($C$257))),"")</f>
        <v/>
      </c>
      <c r="U281" s="1055" t="str">
        <f ca="1">IF(ISNUMBER(INDEX(magestuff!$D$499:$Y$615,ROW()-ROW($D$256),COLUMN()-COLUMN($C$257))),INDIRECT("'Master Spell List'!$Z$"&amp;INDEX(magestuff!$D$499:$Y$615,ROW()-ROW($D$256),COLUMN()-COLUMN($C$257))),"")</f>
        <v/>
      </c>
      <c r="V281" s="1055" t="str">
        <f ca="1">IF(ISNUMBER(INDEX(magestuff!$D$499:$Y$615,ROW()-ROW($D$256),COLUMN()-COLUMN($C$257))),INDIRECT("'Master Spell List'!$Z$"&amp;INDEX(magestuff!$D$499:$Y$615,ROW()-ROW($D$256),COLUMN()-COLUMN($C$257))),"")</f>
        <v/>
      </c>
      <c r="W281" s="1055" t="str">
        <f ca="1">IF(ISNUMBER(INDEX(magestuff!$D$499:$Y$615,ROW()-ROW($D$256),COLUMN()-COLUMN($C$257))),INDIRECT("'Master Spell List'!$Z$"&amp;INDEX(magestuff!$D$499:$Y$615,ROW()-ROW($D$256),COLUMN()-COLUMN($C$257))),"")</f>
        <v/>
      </c>
    </row>
    <row r="282" spans="1:35">
      <c r="A282" s="598">
        <v>27</v>
      </c>
      <c r="C282" s="598" t="s">
        <v>2225</v>
      </c>
      <c r="D282" s="1055" t="str">
        <f ca="1">IF(ISNUMBER(INDEX(magestuff!$D$499:$Y$615,ROW()-ROW($D$256),COLUMN()-COLUMN($C$257))),INDIRECT("'Master Spell List'!$Z$"&amp;INDEX(magestuff!$D$499:$Y$615,ROW()-ROW($D$256),COLUMN()-COLUMN($C$257))),"")</f>
        <v/>
      </c>
      <c r="E282" s="1055" t="str">
        <f ca="1">IF(ISNUMBER(INDEX(magestuff!$D$499:$Y$615,ROW()-ROW($D$256),COLUMN()-COLUMN($C$257))),INDIRECT("'Master Spell List'!$Z$"&amp;INDEX(magestuff!$D$499:$Y$615,ROW()-ROW($D$256),COLUMN()-COLUMN($C$257))),"")</f>
        <v>Lesser Create Scented Air</v>
      </c>
      <c r="F282" s="1055" t="str">
        <f ca="1">IF(ISNUMBER(INDEX(magestuff!$D$499:$Y$615,ROW()-ROW($D$256),COLUMN()-COLUMN($C$257))),INDIRECT("'Master Spell List'!$Z$"&amp;INDEX(magestuff!$D$499:$Y$615,ROW()-ROW($D$256),COLUMN()-COLUMN($C$257))),"")</f>
        <v>Greater Earth's Cell</v>
      </c>
      <c r="G282" s="1055" t="str">
        <f ca="1">IF(ISNUMBER(INDEX(magestuff!$D$499:$Y$615,ROW()-ROW($D$256),COLUMN()-COLUMN($C$257))),INDIRECT("'Master Spell List'!$Z$"&amp;INDEX(magestuff!$D$499:$Y$615,ROW()-ROW($D$256),COLUMN()-COLUMN($C$257))),"")</f>
        <v>Fire Ball  - Magick Fire</v>
      </c>
      <c r="H282" s="1055" t="str">
        <f ca="1">IF(ISNUMBER(INDEX(magestuff!$D$499:$Y$615,ROW()-ROW($D$256),COLUMN()-COLUMN($C$257))),INDIRECT("'Master Spell List'!$Z$"&amp;INDEX(magestuff!$D$499:$Y$615,ROW()-ROW($D$256),COLUMN()-COLUMN($C$257))),"")</f>
        <v>Lesser Wave</v>
      </c>
      <c r="I282" s="1055" t="str">
        <f ca="1">IF(ISNUMBER(INDEX(magestuff!$D$499:$Y$615,ROW()-ROW($D$256),COLUMN()-COLUMN($C$257))),INDIRECT("'Master Spell List'!$Z$"&amp;INDEX(magestuff!$D$499:$Y$615,ROW()-ROW($D$256),COLUMN()-COLUMN($C$257))),"")</f>
        <v>Arcane Spear Head (Lance Head)</v>
      </c>
      <c r="J282" s="1055" t="str">
        <f ca="1">IF(ISNUMBER(INDEX(magestuff!$D$499:$Y$615,ROW()-ROW($D$256),COLUMN()-COLUMN($C$257))),INDIRECT("'Master Spell List'!$Z$"&amp;INDEX(magestuff!$D$499:$Y$615,ROW()-ROW($D$256),COLUMN()-COLUMN($C$257))),"")</f>
        <v>Hold Small Predators</v>
      </c>
      <c r="K282" s="1055" t="str">
        <f ca="1">IF(ISNUMBER(INDEX(magestuff!$D$499:$Y$615,ROW()-ROW($D$256),COLUMN()-COLUMN($C$257))),INDIRECT("'Master Spell List'!$Z$"&amp;INDEX(magestuff!$D$499:$Y$615,ROW()-ROW($D$256),COLUMN()-COLUMN($C$257))),"")</f>
        <v>Detect Metal</v>
      </c>
      <c r="L282" s="1055" t="str">
        <f ca="1">IF(ISNUMBER(INDEX(magestuff!$D$499:$Y$615,ROW()-ROW($D$256),COLUMN()-COLUMN($C$257))),INDIRECT("'Master Spell List'!$Z$"&amp;INDEX(magestuff!$D$499:$Y$615,ROW()-ROW($D$256),COLUMN()-COLUMN($C$257))),"")</f>
        <v>Sleight of Hand</v>
      </c>
      <c r="M282" s="1055" t="str">
        <f ca="1">IF(ISNUMBER(INDEX(magestuff!$D$499:$Y$615,ROW()-ROW($D$256),COLUMN()-COLUMN($C$257))),INDIRECT("'Master Spell List'!$Z$"&amp;INDEX(magestuff!$D$499:$Y$615,ROW()-ROW($D$256),COLUMN()-COLUMN($C$257))),"")</f>
        <v>Grow in Haste</v>
      </c>
      <c r="N282" s="1055" t="str">
        <f ca="1">IF(ISNUMBER(INDEX(magestuff!$D$499:$Y$615,ROW()-ROW($D$256),COLUMN()-COLUMN($C$257))),INDIRECT("'Master Spell List'!$Z$"&amp;INDEX(magestuff!$D$499:$Y$615,ROW()-ROW($D$256),COLUMN()-COLUMN($C$257))),"")</f>
        <v xml:space="preserve">Banish Least Spirit </v>
      </c>
      <c r="O282" s="1055" t="str">
        <f ca="1">IF(ISNUMBER(INDEX(magestuff!$D$499:$Y$615,ROW()-ROW($D$256),COLUMN()-COLUMN($C$257))),INDIRECT("'Master Spell List'!$Z$"&amp;INDEX(magestuff!$D$499:$Y$615,ROW()-ROW($D$256),COLUMN()-COLUMN($C$257))),"")</f>
        <v>Change Aura</v>
      </c>
      <c r="P282" s="1055" t="str">
        <f ca="1">IF(ISNUMBER(INDEX(magestuff!$D$499:$Y$615,ROW()-ROW($D$256),COLUMN()-COLUMN($C$257))),INDIRECT("'Master Spell List'!$Z$"&amp;INDEX(magestuff!$D$499:$Y$615,ROW()-ROW($D$256),COLUMN()-COLUMN($C$257))),"")</f>
        <v>Lesser Preserve</v>
      </c>
      <c r="Q282" s="1055" t="str">
        <f ca="1">IF(ISNUMBER(INDEX(magestuff!$D$499:$Y$615,ROW()-ROW($D$256),COLUMN()-COLUMN($C$257))),INDIRECT("'Master Spell List'!$Z$"&amp;INDEX(magestuff!$D$499:$Y$615,ROW()-ROW($D$256),COLUMN()-COLUMN($C$257))),"")</f>
        <v>Lesser Ward of Protection vs Basick Magick - Air</v>
      </c>
      <c r="R282" s="1055" t="str">
        <f ca="1">IF(ISNUMBER(INDEX(magestuff!$D$499:$Y$615,ROW()-ROW($D$256),COLUMN()-COLUMN($C$257))),INDIRECT("'Master Spell List'!$Z$"&amp;INDEX(magestuff!$D$499:$Y$615,ROW()-ROW($D$256),COLUMN()-COLUMN($C$257))),"")</f>
        <v/>
      </c>
      <c r="S282" s="1055" t="str">
        <f ca="1">IF(ISNUMBER(INDEX(magestuff!$D$499:$Y$615,ROW()-ROW($D$256),COLUMN()-COLUMN($C$257))),INDIRECT("'Master Spell List'!$Z$"&amp;INDEX(magestuff!$D$499:$Y$615,ROW()-ROW($D$256),COLUMN()-COLUMN($C$257))),"")</f>
        <v>Forge with Moonlight &amp; Silver</v>
      </c>
      <c r="T282" s="1055" t="str">
        <f ca="1">IF(ISNUMBER(INDEX(magestuff!$D$499:$Y$615,ROW()-ROW($D$256),COLUMN()-COLUMN($C$257))),INDIRECT("'Master Spell List'!$Z$"&amp;INDEX(magestuff!$D$499:$Y$615,ROW()-ROW($D$256),COLUMN()-COLUMN($C$257))),"")</f>
        <v/>
      </c>
      <c r="U282" s="1055" t="str">
        <f ca="1">IF(ISNUMBER(INDEX(magestuff!$D$499:$Y$615,ROW()-ROW($D$256),COLUMN()-COLUMN($C$257))),INDIRECT("'Master Spell List'!$Z$"&amp;INDEX(magestuff!$D$499:$Y$615,ROW()-ROW($D$256),COLUMN()-COLUMN($C$257))),"")</f>
        <v/>
      </c>
      <c r="V282" s="1055" t="str">
        <f ca="1">IF(ISNUMBER(INDEX(magestuff!$D$499:$Y$615,ROW()-ROW($D$256),COLUMN()-COLUMN($C$257))),INDIRECT("'Master Spell List'!$Z$"&amp;INDEX(magestuff!$D$499:$Y$615,ROW()-ROW($D$256),COLUMN()-COLUMN($C$257))),"")</f>
        <v/>
      </c>
      <c r="W282" s="1055" t="str">
        <f ca="1">IF(ISNUMBER(INDEX(magestuff!$D$499:$Y$615,ROW()-ROW($D$256),COLUMN()-COLUMN($C$257))),INDIRECT("'Master Spell List'!$Z$"&amp;INDEX(magestuff!$D$499:$Y$615,ROW()-ROW($D$256),COLUMN()-COLUMN($C$257))),"")</f>
        <v/>
      </c>
    </row>
    <row r="283" spans="1:35">
      <c r="A283" s="598">
        <v>28</v>
      </c>
      <c r="C283" s="598" t="s">
        <v>2225</v>
      </c>
      <c r="D283" s="1055" t="str">
        <f ca="1">IF(ISNUMBER(INDEX(magestuff!$D$499:$Y$615,ROW()-ROW($D$256),COLUMN()-COLUMN($C$257))),INDIRECT("'Master Spell List'!$Z$"&amp;INDEX(magestuff!$D$499:$Y$615,ROW()-ROW($D$256),COLUMN()-COLUMN($C$257))),"")</f>
        <v/>
      </c>
      <c r="E283" s="1055" t="str">
        <f ca="1">IF(ISNUMBER(INDEX(magestuff!$D$499:$Y$615,ROW()-ROW($D$256),COLUMN()-COLUMN($C$257))),INDIRECT("'Master Spell List'!$Z$"&amp;INDEX(magestuff!$D$499:$Y$615,ROW()-ROW($D$256),COLUMN()-COLUMN($C$257))),"")</f>
        <v>Thunderbolt</v>
      </c>
      <c r="F283" s="1055" t="str">
        <f ca="1">IF(ISNUMBER(INDEX(magestuff!$D$499:$Y$615,ROW()-ROW($D$256),COLUMN()-COLUMN($C$257))),INDIRECT("'Master Spell List'!$Z$"&amp;INDEX(magestuff!$D$499:$Y$615,ROW()-ROW($D$256),COLUMN()-COLUMN($C$257))),"")</f>
        <v>Sand Blast</v>
      </c>
      <c r="G283" s="1055" t="str">
        <f ca="1">IF(ISNUMBER(INDEX(magestuff!$D$499:$Y$615,ROW()-ROW($D$256),COLUMN()-COLUMN($C$257))),INDIRECT("'Master Spell List'!$Z$"&amp;INDEX(magestuff!$D$499:$Y$615,ROW()-ROW($D$256),COLUMN()-COLUMN($C$257))),"")</f>
        <v>Flaming Weapon  - Salamander Fire</v>
      </c>
      <c r="H283" s="1055" t="str">
        <f ca="1">IF(ISNUMBER(INDEX(magestuff!$D$499:$Y$615,ROW()-ROW($D$256),COLUMN()-COLUMN($C$257))),INDIRECT("'Master Spell List'!$Z$"&amp;INDEX(magestuff!$D$499:$Y$615,ROW()-ROW($D$256),COLUMN()-COLUMN($C$257))),"")</f>
        <v>Mist &amp; Fog of the Undine</v>
      </c>
      <c r="I283" s="1055" t="str">
        <f ca="1">IF(ISNUMBER(INDEX(magestuff!$D$499:$Y$615,ROW()-ROW($D$256),COLUMN()-COLUMN($C$257))),INDIRECT("'Master Spell List'!$Z$"&amp;INDEX(magestuff!$D$499:$Y$615,ROW()-ROW($D$256),COLUMN()-COLUMN($C$257))),"")</f>
        <v>Arcane String</v>
      </c>
      <c r="J283" s="1055" t="str">
        <f ca="1">IF(ISNUMBER(INDEX(magestuff!$D$499:$Y$615,ROW()-ROW($D$256),COLUMN()-COLUMN($C$257))),INDIRECT("'Master Spell List'!$Z$"&amp;INDEX(magestuff!$D$499:$Y$615,ROW()-ROW($D$256),COLUMN()-COLUMN($C$257))),"")</f>
        <v>Infatuation</v>
      </c>
      <c r="K283" s="1055" t="str">
        <f ca="1">IF(ISNUMBER(INDEX(magestuff!$D$499:$Y$615,ROW()-ROW($D$256),COLUMN()-COLUMN($C$257))),INDIRECT("'Master Spell List'!$Z$"&amp;INDEX(magestuff!$D$499:$Y$615,ROW()-ROW($D$256),COLUMN()-COLUMN($C$257))),"")</f>
        <v>Detect Plant</v>
      </c>
      <c r="L283" s="1055" t="str">
        <f ca="1">IF(ISNUMBER(INDEX(magestuff!$D$499:$Y$615,ROW()-ROW($D$256),COLUMN()-COLUMN($C$257))),INDIRECT("'Master Spell List'!$Z$"&amp;INDEX(magestuff!$D$499:$Y$615,ROW()-ROW($D$256),COLUMN()-COLUMN($C$257))),"")</f>
        <v>Slow Illusionary Contact</v>
      </c>
      <c r="M283" s="1055" t="str">
        <f ca="1">IF(ISNUMBER(INDEX(magestuff!$D$499:$Y$615,ROW()-ROW($D$256),COLUMN()-COLUMN($C$257))),INDIRECT("'Master Spell List'!$Z$"&amp;INDEX(magestuff!$D$499:$Y$615,ROW()-ROW($D$256),COLUMN()-COLUMN($C$257))),"")</f>
        <v>Hedge of Thorns</v>
      </c>
      <c r="N283" s="1055" t="str">
        <f ca="1">IF(ISNUMBER(INDEX(magestuff!$D$499:$Y$615,ROW()-ROW($D$256),COLUMN()-COLUMN($C$257))),INDIRECT("'Master Spell List'!$Z$"&amp;INDEX(magestuff!$D$499:$Y$615,ROW()-ROW($D$256),COLUMN()-COLUMN($C$257))),"")</f>
        <v xml:space="preserve">Bind Ghoul into a Container </v>
      </c>
      <c r="O283" s="1055" t="str">
        <f ca="1">IF(ISNUMBER(INDEX(magestuff!$D$499:$Y$615,ROW()-ROW($D$256),COLUMN()-COLUMN($C$257))),INDIRECT("'Master Spell List'!$Z$"&amp;INDEX(magestuff!$D$499:$Y$615,ROW()-ROW($D$256),COLUMN()-COLUMN($C$257))),"")</f>
        <v>Least Cloak from Divination</v>
      </c>
      <c r="P283" s="1055" t="str">
        <f ca="1">IF(ISNUMBER(INDEX(magestuff!$D$499:$Y$615,ROW()-ROW($D$256),COLUMN()-COLUMN($C$257))),INDIRECT("'Master Spell List'!$Z$"&amp;INDEX(magestuff!$D$499:$Y$615,ROW()-ROW($D$256),COLUMN()-COLUMN($C$257))),"")</f>
        <v>Lesser Transform Self</v>
      </c>
      <c r="Q283" s="1055" t="str">
        <f ca="1">IF(ISNUMBER(INDEX(magestuff!$D$499:$Y$615,ROW()-ROW($D$256),COLUMN()-COLUMN($C$257))),INDIRECT("'Master Spell List'!$Z$"&amp;INDEX(magestuff!$D$499:$Y$615,ROW()-ROW($D$256),COLUMN()-COLUMN($C$257))),"")</f>
        <v>Lesser Ward of Protection vs Basick Magick - Earth</v>
      </c>
      <c r="R283" s="1055" t="str">
        <f ca="1">IF(ISNUMBER(INDEX(magestuff!$D$499:$Y$615,ROW()-ROW($D$256),COLUMN()-COLUMN($C$257))),INDIRECT("'Master Spell List'!$Z$"&amp;INDEX(magestuff!$D$499:$Y$615,ROW()-ROW($D$256),COLUMN()-COLUMN($C$257))),"")</f>
        <v/>
      </c>
      <c r="S283" s="1055" t="str">
        <f ca="1">IF(ISNUMBER(INDEX(magestuff!$D$499:$Y$615,ROW()-ROW($D$256),COLUMN()-COLUMN($C$257))),INDIRECT("'Master Spell List'!$Z$"&amp;INDEX(magestuff!$D$499:$Y$615,ROW()-ROW($D$256),COLUMN()-COLUMN($C$257))),"")</f>
        <v>Forge with Sunlight &amp; Gold</v>
      </c>
      <c r="T283" s="1055" t="str">
        <f ca="1">IF(ISNUMBER(INDEX(magestuff!$D$499:$Y$615,ROW()-ROW($D$256),COLUMN()-COLUMN($C$257))),INDIRECT("'Master Spell List'!$Z$"&amp;INDEX(magestuff!$D$499:$Y$615,ROW()-ROW($D$256),COLUMN()-COLUMN($C$257))),"")</f>
        <v/>
      </c>
      <c r="U283" s="1055" t="str">
        <f ca="1">IF(ISNUMBER(INDEX(magestuff!$D$499:$Y$615,ROW()-ROW($D$256),COLUMN()-COLUMN($C$257))),INDIRECT("'Master Spell List'!$Z$"&amp;INDEX(magestuff!$D$499:$Y$615,ROW()-ROW($D$256),COLUMN()-COLUMN($C$257))),"")</f>
        <v/>
      </c>
      <c r="V283" s="1055" t="str">
        <f ca="1">IF(ISNUMBER(INDEX(magestuff!$D$499:$Y$615,ROW()-ROW($D$256),COLUMN()-COLUMN($C$257))),INDIRECT("'Master Spell List'!$Z$"&amp;INDEX(magestuff!$D$499:$Y$615,ROW()-ROW($D$256),COLUMN()-COLUMN($C$257))),"")</f>
        <v/>
      </c>
      <c r="W283" s="1055" t="str">
        <f ca="1">IF(ISNUMBER(INDEX(magestuff!$D$499:$Y$615,ROW()-ROW($D$256),COLUMN()-COLUMN($C$257))),INDIRECT("'Master Spell List'!$Z$"&amp;INDEX(magestuff!$D$499:$Y$615,ROW()-ROW($D$256),COLUMN()-COLUMN($C$257))),"")</f>
        <v/>
      </c>
    </row>
    <row r="284" spans="1:35">
      <c r="A284" s="598">
        <v>29</v>
      </c>
      <c r="C284" s="598" t="s">
        <v>2225</v>
      </c>
      <c r="D284" s="1055" t="str">
        <f ca="1">IF(ISNUMBER(INDEX(magestuff!$D$499:$Y$615,ROW()-ROW($D$256),COLUMN()-COLUMN($C$257))),INDIRECT("'Master Spell List'!$Z$"&amp;INDEX(magestuff!$D$499:$Y$615,ROW()-ROW($D$256),COLUMN()-COLUMN($C$257))),"")</f>
        <v/>
      </c>
      <c r="E284" s="1055" t="str">
        <f ca="1">IF(ISNUMBER(INDEX(magestuff!$D$499:$Y$615,ROW()-ROW($D$256),COLUMN()-COLUMN($C$257))),INDIRECT("'Master Spell List'!$Z$"&amp;INDEX(magestuff!$D$499:$Y$615,ROW()-ROW($D$256),COLUMN()-COLUMN($C$257))),"")</f>
        <v>Tornado</v>
      </c>
      <c r="F284" s="1055" t="str">
        <f ca="1">IF(ISNUMBER(INDEX(magestuff!$D$499:$Y$615,ROW()-ROW($D$256),COLUMN()-COLUMN($C$257))),INDIRECT("'Master Spell List'!$Z$"&amp;INDEX(magestuff!$D$499:$Y$615,ROW()-ROW($D$256),COLUMN()-COLUMN($C$257))),"")</f>
        <v>Walk through Porous Rock</v>
      </c>
      <c r="G284" s="1055" t="str">
        <f ca="1">IF(ISNUMBER(INDEX(magestuff!$D$499:$Y$615,ROW()-ROW($D$256),COLUMN()-COLUMN($C$257))),INDIRECT("'Master Spell List'!$Z$"&amp;INDEX(magestuff!$D$499:$Y$615,ROW()-ROW($D$256),COLUMN()-COLUMN($C$257))),"")</f>
        <v>Turn Flame  - Magick Fire</v>
      </c>
      <c r="H284" s="1055" t="str">
        <f ca="1">IF(ISNUMBER(INDEX(magestuff!$D$499:$Y$615,ROW()-ROW($D$256),COLUMN()-COLUMN($C$257))),INDIRECT("'Master Spell List'!$Z$"&amp;INDEX(magestuff!$D$499:$Y$615,ROW()-ROW($D$256),COLUMN()-COLUMN($C$257))),"")</f>
        <v>Shards of Ice</v>
      </c>
      <c r="I284" s="1055" t="str">
        <f ca="1">IF(ISNUMBER(INDEX(magestuff!$D$499:$Y$615,ROW()-ROW($D$256),COLUMN()-COLUMN($C$257))),INDIRECT("'Master Spell List'!$Z$"&amp;INDEX(magestuff!$D$499:$Y$615,ROW()-ROW($D$256),COLUMN()-COLUMN($C$257))),"")</f>
        <v xml:space="preserve">Arcane Training Lance </v>
      </c>
      <c r="J284" s="1055" t="str">
        <f ca="1">IF(ISNUMBER(INDEX(magestuff!$D$499:$Y$615,ROW()-ROW($D$256),COLUMN()-COLUMN($C$257))),INDIRECT("'Master Spell List'!$Z$"&amp;INDEX(magestuff!$D$499:$Y$615,ROW()-ROW($D$256),COLUMN()-COLUMN($C$257))),"")</f>
        <v>Lesser Calm</v>
      </c>
      <c r="K284" s="1055" t="str">
        <f ca="1">IF(ISNUMBER(INDEX(magestuff!$D$499:$Y$615,ROW()-ROW($D$256),COLUMN()-COLUMN($C$257))),INDIRECT("'Master Spell List'!$Z$"&amp;INDEX(magestuff!$D$499:$Y$615,ROW()-ROW($D$256),COLUMN()-COLUMN($C$257))),"")</f>
        <v>Detect Supernatural</v>
      </c>
      <c r="L284" s="1055" t="str">
        <f ca="1">IF(ISNUMBER(INDEX(magestuff!$D$499:$Y$615,ROW()-ROW($D$256),COLUMN()-COLUMN($C$257))),INDIRECT("'Master Spell List'!$Z$"&amp;INDEX(magestuff!$D$499:$Y$615,ROW()-ROW($D$256),COLUMN()-COLUMN($C$257))),"")</f>
        <v>Slow Light</v>
      </c>
      <c r="M284" s="1055" t="str">
        <f ca="1">IF(ISNUMBER(INDEX(magestuff!$D$499:$Y$615,ROW()-ROW($D$256),COLUMN()-COLUMN($C$257))),INDIRECT("'Master Spell List'!$Z$"&amp;INDEX(magestuff!$D$499:$Y$615,ROW()-ROW($D$256),COLUMN()-COLUMN($C$257))),"")</f>
        <v>Least Grind Fine</v>
      </c>
      <c r="N284" s="1055" t="str">
        <f ca="1">IF(ISNUMBER(INDEX(magestuff!$D$499:$Y$615,ROW()-ROW($D$256),COLUMN()-COLUMN($C$257))),INDIRECT("'Master Spell List'!$Z$"&amp;INDEX(magestuff!$D$499:$Y$615,ROW()-ROW($D$256),COLUMN()-COLUMN($C$257))),"")</f>
        <v xml:space="preserve">Greater Bind Imp into a Container </v>
      </c>
      <c r="O284" s="1055" t="str">
        <f ca="1">IF(ISNUMBER(INDEX(magestuff!$D$499:$Y$615,ROW()-ROW($D$256),COLUMN()-COLUMN($C$257))),INDIRECT("'Master Spell List'!$Z$"&amp;INDEX(magestuff!$D$499:$Y$615,ROW()-ROW($D$256),COLUMN()-COLUMN($C$257))),"")</f>
        <v>Great Pull</v>
      </c>
      <c r="P284" s="1055" t="str">
        <f ca="1">IF(ISNUMBER(INDEX(magestuff!$D$499:$Y$615,ROW()-ROW($D$256),COLUMN()-COLUMN($C$257))),INDIRECT("'Master Spell List'!$Z$"&amp;INDEX(magestuff!$D$499:$Y$615,ROW()-ROW($D$256),COLUMN()-COLUMN($C$257))),"")</f>
        <v>Nightvision - Dark Sight</v>
      </c>
      <c r="Q284" s="1055" t="str">
        <f ca="1">IF(ISNUMBER(INDEX(magestuff!$D$499:$Y$615,ROW()-ROW($D$256),COLUMN()-COLUMN($C$257))),INDIRECT("'Master Spell List'!$Z$"&amp;INDEX(magestuff!$D$499:$Y$615,ROW()-ROW($D$256),COLUMN()-COLUMN($C$257))),"")</f>
        <v>Lesser Ward of Protection vs Basick Magick - Fire</v>
      </c>
      <c r="R284" s="1055" t="str">
        <f ca="1">IF(ISNUMBER(INDEX(magestuff!$D$499:$Y$615,ROW()-ROW($D$256),COLUMN()-COLUMN($C$257))),INDIRECT("'Master Spell List'!$Z$"&amp;INDEX(magestuff!$D$499:$Y$615,ROW()-ROW($D$256),COLUMN()-COLUMN($C$257))),"")</f>
        <v/>
      </c>
      <c r="S284" s="1055" t="str">
        <f ca="1">IF(ISNUMBER(INDEX(magestuff!$D$499:$Y$615,ROW()-ROW($D$256),COLUMN()-COLUMN($C$257))),INDIRECT("'Master Spell List'!$Z$"&amp;INDEX(magestuff!$D$499:$Y$615,ROW()-ROW($D$256),COLUMN()-COLUMN($C$257))),"")</f>
        <v>Bane of the Unrighteous</v>
      </c>
      <c r="T284" s="1055" t="str">
        <f ca="1">IF(ISNUMBER(INDEX(magestuff!$D$499:$Y$615,ROW()-ROW($D$256),COLUMN()-COLUMN($C$257))),INDIRECT("'Master Spell List'!$Z$"&amp;INDEX(magestuff!$D$499:$Y$615,ROW()-ROW($D$256),COLUMN()-COLUMN($C$257))),"")</f>
        <v/>
      </c>
      <c r="U284" s="1055" t="str">
        <f ca="1">IF(ISNUMBER(INDEX(magestuff!$D$499:$Y$615,ROW()-ROW($D$256),COLUMN()-COLUMN($C$257))),INDIRECT("'Master Spell List'!$Z$"&amp;INDEX(magestuff!$D$499:$Y$615,ROW()-ROW($D$256),COLUMN()-COLUMN($C$257))),"")</f>
        <v/>
      </c>
      <c r="V284" s="1055" t="str">
        <f ca="1">IF(ISNUMBER(INDEX(magestuff!$D$499:$Y$615,ROW()-ROW($D$256),COLUMN()-COLUMN($C$257))),INDIRECT("'Master Spell List'!$Z$"&amp;INDEX(magestuff!$D$499:$Y$615,ROW()-ROW($D$256),COLUMN()-COLUMN($C$257))),"")</f>
        <v/>
      </c>
      <c r="W284" s="1055" t="str">
        <f ca="1">IF(ISNUMBER(INDEX(magestuff!$D$499:$Y$615,ROW()-ROW($D$256),COLUMN()-COLUMN($C$257))),INDIRECT("'Master Spell List'!$Z$"&amp;INDEX(magestuff!$D$499:$Y$615,ROW()-ROW($D$256),COLUMN()-COLUMN($C$257))),"")</f>
        <v/>
      </c>
    </row>
    <row r="285" spans="1:35">
      <c r="A285" s="598">
        <v>30</v>
      </c>
      <c r="C285" s="598" t="s">
        <v>2225</v>
      </c>
      <c r="D285" s="1055" t="str">
        <f ca="1">IF(ISNUMBER(INDEX(magestuff!$D$499:$Y$615,ROW()-ROW($D$256),COLUMN()-COLUMN($C$257))),INDIRECT("'Master Spell List'!$Z$"&amp;INDEX(magestuff!$D$499:$Y$615,ROW()-ROW($D$256),COLUMN()-COLUMN($C$257))),"")</f>
        <v/>
      </c>
      <c r="E285" s="1055" t="str">
        <f ca="1">IF(ISNUMBER(INDEX(magestuff!$D$499:$Y$615,ROW()-ROW($D$256),COLUMN()-COLUMN($C$257))),INDIRECT("'Master Spell List'!$Z$"&amp;INDEX(magestuff!$D$499:$Y$615,ROW()-ROW($D$256),COLUMN()-COLUMN($C$257))),"")</f>
        <v>Great Create Scented Air</v>
      </c>
      <c r="F285" s="1055" t="str">
        <f ca="1">IF(ISNUMBER(INDEX(magestuff!$D$499:$Y$615,ROW()-ROW($D$256),COLUMN()-COLUMN($C$257))),INDIRECT("'Master Spell List'!$Z$"&amp;INDEX(magestuff!$D$499:$Y$615,ROW()-ROW($D$256),COLUMN()-COLUMN($C$257))),"")</f>
        <v>Create Perfect Glass</v>
      </c>
      <c r="G285" s="1055" t="str">
        <f ca="1">IF(ISNUMBER(INDEX(magestuff!$D$499:$Y$615,ROW()-ROW($D$256),COLUMN()-COLUMN($C$257))),INDIRECT("'Master Spell List'!$Z$"&amp;INDEX(magestuff!$D$499:$Y$615,ROW()-ROW($D$256),COLUMN()-COLUMN($C$257))),"")</f>
        <v>Burning Touch (Dragon's Touch)  - Dragon Fire</v>
      </c>
      <c r="H285" s="1055" t="str">
        <f ca="1">IF(ISNUMBER(INDEX(magestuff!$D$499:$Y$615,ROW()-ROW($D$256),COLUMN()-COLUMN($C$257))),INDIRECT("'Master Spell List'!$Z$"&amp;INDEX(magestuff!$D$499:$Y$615,ROW()-ROW($D$256),COLUMN()-COLUMN($C$257))),"")</f>
        <v>Sheet of Magick Water</v>
      </c>
      <c r="I285" s="1055" t="str">
        <f ca="1">IF(ISNUMBER(INDEX(magestuff!$D$499:$Y$615,ROW()-ROW($D$256),COLUMN()-COLUMN($C$257))),INDIRECT("'Master Spell List'!$Z$"&amp;INDEX(magestuff!$D$499:$Y$615,ROW()-ROW($D$256),COLUMN()-COLUMN($C$257))),"")</f>
        <v>Cloak of Shadows (Mantle of Darkness)</v>
      </c>
      <c r="J285" s="1055" t="str">
        <f ca="1">IF(ISNUMBER(INDEX(magestuff!$D$499:$Y$615,ROW()-ROW($D$256),COLUMN()-COLUMN($C$257))),INDIRECT("'Master Spell List'!$Z$"&amp;INDEX(magestuff!$D$499:$Y$615,ROW()-ROW($D$256),COLUMN()-COLUMN($C$257))),"")</f>
        <v>Mesmerize</v>
      </c>
      <c r="K285" s="1055" t="str">
        <f ca="1">IF(ISNUMBER(INDEX(magestuff!$D$499:$Y$615,ROW()-ROW($D$256),COLUMN()-COLUMN($C$257))),INDIRECT("'Master Spell List'!$Z$"&amp;INDEX(magestuff!$D$499:$Y$615,ROW()-ROW($D$256),COLUMN()-COLUMN($C$257))),"")</f>
        <v>Detect the Invisible</v>
      </c>
      <c r="L285" s="1055" t="str">
        <f ca="1">IF(ISNUMBER(INDEX(magestuff!$D$499:$Y$615,ROW()-ROW($D$256),COLUMN()-COLUMN($C$257))),INDIRECT("'Master Spell List'!$Z$"&amp;INDEX(magestuff!$D$499:$Y$615,ROW()-ROW($D$256),COLUMN()-COLUMN($C$257))),"")</f>
        <v>Slow Scent</v>
      </c>
      <c r="M285" s="1055" t="str">
        <f ca="1">IF(ISNUMBER(INDEX(magestuff!$D$499:$Y$615,ROW()-ROW($D$256),COLUMN()-COLUMN($C$257))),INDIRECT("'Master Spell List'!$Z$"&amp;INDEX(magestuff!$D$499:$Y$615,ROW()-ROW($D$256),COLUMN()-COLUMN($C$257))),"")</f>
        <v>Lesser Grind Coarse</v>
      </c>
      <c r="N285" s="1055" t="str">
        <f ca="1">IF(ISNUMBER(INDEX(magestuff!$D$499:$Y$615,ROW()-ROW($D$256),COLUMN()-COLUMN($C$257))),INDIRECT("'Master Spell List'!$Z$"&amp;INDEX(magestuff!$D$499:$Y$615,ROW()-ROW($D$256),COLUMN()-COLUMN($C$257))),"")</f>
        <v xml:space="preserve">Greater Bind the Undead into a Container </v>
      </c>
      <c r="O285" s="1055" t="str">
        <f ca="1">IF(ISNUMBER(INDEX(magestuff!$D$499:$Y$615,ROW()-ROW($D$256),COLUMN()-COLUMN($C$257))),INDIRECT("'Master Spell List'!$Z$"&amp;INDEX(magestuff!$D$499:$Y$615,ROW()-ROW($D$256),COLUMN()-COLUMN($C$257))),"")</f>
        <v>Greater Push</v>
      </c>
      <c r="P285" s="1055" t="str">
        <f ca="1">IF(ISNUMBER(INDEX(magestuff!$D$499:$Y$615,ROW()-ROW($D$256),COLUMN()-COLUMN($C$257))),INDIRECT("'Master Spell List'!$Z$"&amp;INDEX(magestuff!$D$499:$Y$615,ROW()-ROW($D$256),COLUMN()-COLUMN($C$257))),"")</f>
        <v>Gaseous Form</v>
      </c>
      <c r="Q285" s="1055" t="str">
        <f ca="1">IF(ISNUMBER(INDEX(magestuff!$D$499:$Y$615,ROW()-ROW($D$256),COLUMN()-COLUMN($C$257))),INDIRECT("'Master Spell List'!$Z$"&amp;INDEX(magestuff!$D$499:$Y$615,ROW()-ROW($D$256),COLUMN()-COLUMN($C$257))),"")</f>
        <v>Lesser Ward of Protection vs Basick Magick - Water</v>
      </c>
      <c r="R285" s="1055" t="str">
        <f ca="1">IF(ISNUMBER(INDEX(magestuff!$D$499:$Y$615,ROW()-ROW($D$256),COLUMN()-COLUMN($C$257))),INDIRECT("'Master Spell List'!$Z$"&amp;INDEX(magestuff!$D$499:$Y$615,ROW()-ROW($D$256),COLUMN()-COLUMN($C$257))),"")</f>
        <v/>
      </c>
      <c r="S285" s="1055" t="str">
        <f ca="1">IF(ISNUMBER(INDEX(magestuff!$D$499:$Y$615,ROW()-ROW($D$256),COLUMN()-COLUMN($C$257))),INDIRECT("'Master Spell List'!$Z$"&amp;INDEX(magestuff!$D$499:$Y$615,ROW()-ROW($D$256),COLUMN()-COLUMN($C$257))),"")</f>
        <v>Call Forth Fiery Steel</v>
      </c>
      <c r="T285" s="1055" t="str">
        <f ca="1">IF(ISNUMBER(INDEX(magestuff!$D$499:$Y$615,ROW()-ROW($D$256),COLUMN()-COLUMN($C$257))),INDIRECT("'Master Spell List'!$Z$"&amp;INDEX(magestuff!$D$499:$Y$615,ROW()-ROW($D$256),COLUMN()-COLUMN($C$257))),"")</f>
        <v/>
      </c>
      <c r="U285" s="1055" t="str">
        <f ca="1">IF(ISNUMBER(INDEX(magestuff!$D$499:$Y$615,ROW()-ROW($D$256),COLUMN()-COLUMN($C$257))),INDIRECT("'Master Spell List'!$Z$"&amp;INDEX(magestuff!$D$499:$Y$615,ROW()-ROW($D$256),COLUMN()-COLUMN($C$257))),"")</f>
        <v/>
      </c>
      <c r="V285" s="1055" t="str">
        <f ca="1">IF(ISNUMBER(INDEX(magestuff!$D$499:$Y$615,ROW()-ROW($D$256),COLUMN()-COLUMN($C$257))),INDIRECT("'Master Spell List'!$Z$"&amp;INDEX(magestuff!$D$499:$Y$615,ROW()-ROW($D$256),COLUMN()-COLUMN($C$257))),"")</f>
        <v/>
      </c>
      <c r="W285" s="1055" t="str">
        <f ca="1">IF(ISNUMBER(INDEX(magestuff!$D$499:$Y$615,ROW()-ROW($D$256),COLUMN()-COLUMN($C$257))),INDIRECT("'Master Spell List'!$Z$"&amp;INDEX(magestuff!$D$499:$Y$615,ROW()-ROW($D$256),COLUMN()-COLUMN($C$257))),"")</f>
        <v/>
      </c>
    </row>
    <row r="286" spans="1:35">
      <c r="A286" s="598">
        <v>31</v>
      </c>
      <c r="C286" s="598" t="s">
        <v>2225</v>
      </c>
      <c r="D286" s="1055" t="str">
        <f ca="1">IF(ISNUMBER(INDEX(magestuff!$D$499:$Y$615,ROW()-ROW($D$256),COLUMN()-COLUMN($C$257))),INDIRECT("'Master Spell List'!$Z$"&amp;INDEX(magestuff!$D$499:$Y$615,ROW()-ROW($D$256),COLUMN()-COLUMN($C$257))),"")</f>
        <v/>
      </c>
      <c r="E286" s="1055" t="str">
        <f ca="1">IF(ISNUMBER(INDEX(magestuff!$D$499:$Y$615,ROW()-ROW($D$256),COLUMN()-COLUMN($C$257))),INDIRECT("'Master Spell List'!$Z$"&amp;INDEX(magestuff!$D$499:$Y$615,ROW()-ROW($D$256),COLUMN()-COLUMN($C$257))),"")</f>
        <v>Greater Create Scented Air</v>
      </c>
      <c r="F286" s="1055" t="str">
        <f ca="1">IF(ISNUMBER(INDEX(magestuff!$D$499:$Y$615,ROW()-ROW($D$256),COLUMN()-COLUMN($C$257))),INDIRECT("'Master Spell List'!$Z$"&amp;INDEX(magestuff!$D$499:$Y$615,ROW()-ROW($D$256),COLUMN()-COLUMN($C$257))),"")</f>
        <v>Command Perfect Glass</v>
      </c>
      <c r="G286" s="1055" t="str">
        <f ca="1">IF(ISNUMBER(INDEX(magestuff!$D$499:$Y$615,ROW()-ROW($D$256),COLUMN()-COLUMN($C$257))),INDIRECT("'Master Spell List'!$Z$"&amp;INDEX(magestuff!$D$499:$Y$615,ROW()-ROW($D$256),COLUMN()-COLUMN($C$257))),"")</f>
        <v>Coat of The Fire Drake</v>
      </c>
      <c r="H286" s="1055" t="str">
        <f ca="1">IF(ISNUMBER(INDEX(magestuff!$D$499:$Y$615,ROW()-ROW($D$256),COLUMN()-COLUMN($C$257))),INDIRECT("'Master Spell List'!$Z$"&amp;INDEX(magestuff!$D$499:$Y$615,ROW()-ROW($D$256),COLUMN()-COLUMN($C$257))),"")</f>
        <v>Spray of Magick Water</v>
      </c>
      <c r="I286" s="1055" t="str">
        <f ca="1">IF(ISNUMBER(INDEX(magestuff!$D$499:$Y$615,ROW()-ROW($D$256),COLUMN()-COLUMN($C$257))),INDIRECT("'Master Spell List'!$Z$"&amp;INDEX(magestuff!$D$499:$Y$615,ROW()-ROW($D$256),COLUMN()-COLUMN($C$257))),"")</f>
        <v>Command Arcane Energy</v>
      </c>
      <c r="J286" s="1055" t="str">
        <f ca="1">IF(ISNUMBER(INDEX(magestuff!$D$499:$Y$615,ROW()-ROW($D$256),COLUMN()-COLUMN($C$257))),INDIRECT("'Master Spell List'!$Z$"&amp;INDEX(magestuff!$D$499:$Y$615,ROW()-ROW($D$256),COLUMN()-COLUMN($C$257))),"")</f>
        <v>Necromantic Bindings</v>
      </c>
      <c r="K286" s="1055" t="str">
        <f ca="1">IF(ISNUMBER(INDEX(magestuff!$D$499:$Y$615,ROW()-ROW($D$256),COLUMN()-COLUMN($C$257))),INDIRECT("'Master Spell List'!$Z$"&amp;INDEX(magestuff!$D$499:$Y$615,ROW()-ROW($D$256),COLUMN()-COLUMN($C$257))),"")</f>
        <v>Detect Traps</v>
      </c>
      <c r="L286" s="1055" t="str">
        <f ca="1">IF(ISNUMBER(INDEX(magestuff!$D$499:$Y$615,ROW()-ROW($D$256),COLUMN()-COLUMN($C$257))),INDIRECT("'Master Spell List'!$Z$"&amp;INDEX(magestuff!$D$499:$Y$615,ROW()-ROW($D$256),COLUMN()-COLUMN($C$257))),"")</f>
        <v>Accelerate Sound</v>
      </c>
      <c r="M286" s="1055" t="str">
        <f ca="1">IF(ISNUMBER(INDEX(magestuff!$D$499:$Y$615,ROW()-ROW($D$256),COLUMN()-COLUMN($C$257))),INDIRECT("'Master Spell List'!$Z$"&amp;INDEX(magestuff!$D$499:$Y$615,ROW()-ROW($D$256),COLUMN()-COLUMN($C$257))),"")</f>
        <v>Lesser Revitalize (Hydrate)</v>
      </c>
      <c r="N286" s="1055" t="str">
        <f ca="1">IF(ISNUMBER(INDEX(magestuff!$D$499:$Y$615,ROW()-ROW($D$256),COLUMN()-COLUMN($C$257))),INDIRECT("'Master Spell List'!$Z$"&amp;INDEX(magestuff!$D$499:$Y$615,ROW()-ROW($D$256),COLUMN()-COLUMN($C$257))),"")</f>
        <v>Summon Lesser Spirit</v>
      </c>
      <c r="O286" s="1055" t="str">
        <f ca="1">IF(ISNUMBER(INDEX(magestuff!$D$499:$Y$615,ROW()-ROW($D$256),COLUMN()-COLUMN($C$257))),INDIRECT("'Master Spell List'!$Z$"&amp;INDEX(magestuff!$D$499:$Y$615,ROW()-ROW($D$256),COLUMN()-COLUMN($C$257))),"")</f>
        <v>Lesser Blending of the Mage</v>
      </c>
      <c r="P286" s="1055" t="str">
        <f ca="1">IF(ISNUMBER(INDEX(magestuff!$D$499:$Y$615,ROW()-ROW($D$256),COLUMN()-COLUMN($C$257))),INDIRECT("'Master Spell List'!$Z$"&amp;INDEX(magestuff!$D$499:$Y$615,ROW()-ROW($D$256),COLUMN()-COLUMN($C$257))),"")</f>
        <v>Lesser Enhancement</v>
      </c>
      <c r="Q286" s="1055" t="str">
        <f ca="1">IF(ISNUMBER(INDEX(magestuff!$D$499:$Y$615,ROW()-ROW($D$256),COLUMN()-COLUMN($C$257))),INDIRECT("'Master Spell List'!$Z$"&amp;INDEX(magestuff!$D$499:$Y$615,ROW()-ROW($D$256),COLUMN()-COLUMN($C$257))),"")</f>
        <v>Lesser Ward of Protection vs Command</v>
      </c>
      <c r="R286" s="1055" t="str">
        <f ca="1">IF(ISNUMBER(INDEX(magestuff!$D$499:$Y$615,ROW()-ROW($D$256),COLUMN()-COLUMN($C$257))),INDIRECT("'Master Spell List'!$Z$"&amp;INDEX(magestuff!$D$499:$Y$615,ROW()-ROW($D$256),COLUMN()-COLUMN($C$257))),"")</f>
        <v/>
      </c>
      <c r="S286" s="1055" t="str">
        <f ca="1">IF(ISNUMBER(INDEX(magestuff!$D$499:$Y$615,ROW()-ROW($D$256),COLUMN()-COLUMN($C$257))),INDIRECT("'Master Spell List'!$Z$"&amp;INDEX(magestuff!$D$499:$Y$615,ROW()-ROW($D$256),COLUMN()-COLUMN($C$257))),"")</f>
        <v/>
      </c>
      <c r="T286" s="1055" t="str">
        <f ca="1">IF(ISNUMBER(INDEX(magestuff!$D$499:$Y$615,ROW()-ROW($D$256),COLUMN()-COLUMN($C$257))),INDIRECT("'Master Spell List'!$Z$"&amp;INDEX(magestuff!$D$499:$Y$615,ROW()-ROW($D$256),COLUMN()-COLUMN($C$257))),"")</f>
        <v/>
      </c>
      <c r="U286" s="1055" t="str">
        <f ca="1">IF(ISNUMBER(INDEX(magestuff!$D$499:$Y$615,ROW()-ROW($D$256),COLUMN()-COLUMN($C$257))),INDIRECT("'Master Spell List'!$Z$"&amp;INDEX(magestuff!$D$499:$Y$615,ROW()-ROW($D$256),COLUMN()-COLUMN($C$257))),"")</f>
        <v/>
      </c>
      <c r="V286" s="1055" t="str">
        <f ca="1">IF(ISNUMBER(INDEX(magestuff!$D$499:$Y$615,ROW()-ROW($D$256),COLUMN()-COLUMN($C$257))),INDIRECT("'Master Spell List'!$Z$"&amp;INDEX(magestuff!$D$499:$Y$615,ROW()-ROW($D$256),COLUMN()-COLUMN($C$257))),"")</f>
        <v/>
      </c>
      <c r="W286" s="1055" t="str">
        <f ca="1">IF(ISNUMBER(INDEX(magestuff!$D$499:$Y$615,ROW()-ROW($D$256),COLUMN()-COLUMN($C$257))),INDIRECT("'Master Spell List'!$Z$"&amp;INDEX(magestuff!$D$499:$Y$615,ROW()-ROW($D$256),COLUMN()-COLUMN($C$257))),"")</f>
        <v/>
      </c>
    </row>
    <row r="287" spans="1:35">
      <c r="A287" s="598">
        <v>32</v>
      </c>
      <c r="C287" s="598" t="s">
        <v>2225</v>
      </c>
      <c r="D287" s="1055" t="str">
        <f ca="1">IF(ISNUMBER(INDEX(magestuff!$D$499:$Y$615,ROW()-ROW($D$256),COLUMN()-COLUMN($C$257))),INDIRECT("'Master Spell List'!$Z$"&amp;INDEX(magestuff!$D$499:$Y$615,ROW()-ROW($D$256),COLUMN()-COLUMN($C$257))),"")</f>
        <v/>
      </c>
      <c r="E287" s="1055" t="str">
        <f ca="1">IF(ISNUMBER(INDEX(magestuff!$D$499:$Y$615,ROW()-ROW($D$256),COLUMN()-COLUMN($C$257))),INDIRECT("'Master Spell List'!$Z$"&amp;INDEX(magestuff!$D$499:$Y$615,ROW()-ROW($D$256),COLUMN()-COLUMN($C$257))),"")</f>
        <v>Greatest Create Scented Air</v>
      </c>
      <c r="F287" s="1055" t="str">
        <f ca="1">IF(ISNUMBER(INDEX(magestuff!$D$499:$Y$615,ROW()-ROW($D$256),COLUMN()-COLUMN($C$257))),INDIRECT("'Master Spell List'!$Z$"&amp;INDEX(magestuff!$D$499:$Y$615,ROW()-ROW($D$256),COLUMN()-COLUMN($C$257))),"")</f>
        <v>Earth Mantrap</v>
      </c>
      <c r="G287" s="1055" t="str">
        <f ca="1">IF(ISNUMBER(INDEX(magestuff!$D$499:$Y$615,ROW()-ROW($D$256),COLUMN()-COLUMN($C$257))),INDIRECT("'Master Spell List'!$Z$"&amp;INDEX(magestuff!$D$499:$Y$615,ROW()-ROW($D$256),COLUMN()-COLUMN($C$257))),"")</f>
        <v>Create Acrid Smoke</v>
      </c>
      <c r="H287" s="1055" t="str">
        <f ca="1">IF(ISNUMBER(INDEX(magestuff!$D$499:$Y$615,ROW()-ROW($D$256),COLUMN()-COLUMN($C$257))),INDIRECT("'Master Spell List'!$Z$"&amp;INDEX(magestuff!$D$499:$Y$615,ROW()-ROW($D$256),COLUMN()-COLUMN($C$257))),"")</f>
        <v>Wall of Magick Water</v>
      </c>
      <c r="I287" s="1055" t="str">
        <f ca="1">IF(ISNUMBER(INDEX(magestuff!$D$499:$Y$615,ROW()-ROW($D$256),COLUMN()-COLUMN($C$257))),INDIRECT("'Master Spell List'!$Z$"&amp;INDEX(magestuff!$D$499:$Y$615,ROW()-ROW($D$256),COLUMN()-COLUMN($C$257))),"")</f>
        <v>Discharge (Detonate)</v>
      </c>
      <c r="J287" s="1055" t="str">
        <f ca="1">IF(ISNUMBER(INDEX(magestuff!$D$499:$Y$615,ROW()-ROW($D$256),COLUMN()-COLUMN($C$257))),INDIRECT("'Master Spell List'!$Z$"&amp;INDEX(magestuff!$D$499:$Y$615,ROW()-ROW($D$256),COLUMN()-COLUMN($C$257))),"")</f>
        <v>Charm Person</v>
      </c>
      <c r="K287" s="1055" t="str">
        <f ca="1">IF(ISNUMBER(INDEX(magestuff!$D$499:$Y$615,ROW()-ROW($D$256),COLUMN()-COLUMN($C$257))),INDIRECT("'Master Spell List'!$Z$"&amp;INDEX(magestuff!$D$499:$Y$615,ROW()-ROW($D$256),COLUMN()-COLUMN($C$257))),"")</f>
        <v>Detect Water</v>
      </c>
      <c r="L287" s="1055" t="str">
        <f ca="1">IF(ISNUMBER(INDEX(magestuff!$D$499:$Y$615,ROW()-ROW($D$256),COLUMN()-COLUMN($C$257))),INDIRECT("'Master Spell List'!$Z$"&amp;INDEX(magestuff!$D$499:$Y$615,ROW()-ROW($D$256),COLUMN()-COLUMN($C$257))),"")</f>
        <v xml:space="preserve">Alter or Command Sound </v>
      </c>
      <c r="M287" s="1055" t="str">
        <f ca="1">IF(ISNUMBER(INDEX(magestuff!$D$499:$Y$615,ROW()-ROW($D$256),COLUMN()-COLUMN($C$257))),INDIRECT("'Master Spell List'!$Z$"&amp;INDEX(magestuff!$D$499:$Y$615,ROW()-ROW($D$256),COLUMN()-COLUMN($C$257))),"")</f>
        <v>Overgrown Path</v>
      </c>
      <c r="N287" s="1055" t="str">
        <f ca="1">IF(ISNUMBER(INDEX(magestuff!$D$499:$Y$615,ROW()-ROW($D$256),COLUMN()-COLUMN($C$257))),INDIRECT("'Master Spell List'!$Z$"&amp;INDEX(magestuff!$D$499:$Y$615,ROW()-ROW($D$256),COLUMN()-COLUMN($C$257))),"")</f>
        <v xml:space="preserve">Banish Lesser Spirit </v>
      </c>
      <c r="O287" s="1055" t="str">
        <f ca="1">IF(ISNUMBER(INDEX(magestuff!$D$499:$Y$615,ROW()-ROW($D$256),COLUMN()-COLUMN($C$257))),INDIRECT("'Master Spell List'!$Z$"&amp;INDEX(magestuff!$D$499:$Y$615,ROW()-ROW($D$256),COLUMN()-COLUMN($C$257))),"")</f>
        <v>Lesser Stealth of the Mage</v>
      </c>
      <c r="P287" s="1055" t="str">
        <f ca="1">IF(ISNUMBER(INDEX(magestuff!$D$499:$Y$615,ROW()-ROW($D$256),COLUMN()-COLUMN($C$257))),INDIRECT("'Master Spell List'!$Z$"&amp;INDEX(magestuff!$D$499:$Y$615,ROW()-ROW($D$256),COLUMN()-COLUMN($C$257))),"")</f>
        <v>Turn To Stone</v>
      </c>
      <c r="Q287" s="1055" t="str">
        <f ca="1">IF(ISNUMBER(INDEX(magestuff!$D$499:$Y$615,ROW()-ROW($D$256),COLUMN()-COLUMN($C$257))),INDIRECT("'Master Spell List'!$Z$"&amp;INDEX(magestuff!$D$499:$Y$615,ROW()-ROW($D$256),COLUMN()-COLUMN($C$257))),"")</f>
        <v>Lesser Ward of Protection vs Divination</v>
      </c>
      <c r="R287" s="1055" t="str">
        <f ca="1">IF(ISNUMBER(INDEX(magestuff!$D$499:$Y$615,ROW()-ROW($D$256),COLUMN()-COLUMN($C$257))),INDIRECT("'Master Spell List'!$Z$"&amp;INDEX(magestuff!$D$499:$Y$615,ROW()-ROW($D$256),COLUMN()-COLUMN($C$257))),"")</f>
        <v/>
      </c>
      <c r="S287" s="1055" t="str">
        <f ca="1">IF(ISNUMBER(INDEX(magestuff!$D$499:$Y$615,ROW()-ROW($D$256),COLUMN()-COLUMN($C$257))),INDIRECT("'Master Spell List'!$Z$"&amp;INDEX(magestuff!$D$499:$Y$615,ROW()-ROW($D$256),COLUMN()-COLUMN($C$257))),"")</f>
        <v/>
      </c>
      <c r="T287" s="1055" t="str">
        <f ca="1">IF(ISNUMBER(INDEX(magestuff!$D$499:$Y$615,ROW()-ROW($D$256),COLUMN()-COLUMN($C$257))),INDIRECT("'Master Spell List'!$Z$"&amp;INDEX(magestuff!$D$499:$Y$615,ROW()-ROW($D$256),COLUMN()-COLUMN($C$257))),"")</f>
        <v/>
      </c>
      <c r="U287" s="1055" t="str">
        <f ca="1">IF(ISNUMBER(INDEX(magestuff!$D$499:$Y$615,ROW()-ROW($D$256),COLUMN()-COLUMN($C$257))),INDIRECT("'Master Spell List'!$Z$"&amp;INDEX(magestuff!$D$499:$Y$615,ROW()-ROW($D$256),COLUMN()-COLUMN($C$257))),"")</f>
        <v/>
      </c>
      <c r="V287" s="1055" t="str">
        <f ca="1">IF(ISNUMBER(INDEX(magestuff!$D$499:$Y$615,ROW()-ROW($D$256),COLUMN()-COLUMN($C$257))),INDIRECT("'Master Spell List'!$Z$"&amp;INDEX(magestuff!$D$499:$Y$615,ROW()-ROW($D$256),COLUMN()-COLUMN($C$257))),"")</f>
        <v/>
      </c>
      <c r="W287" s="1055" t="str">
        <f ca="1">IF(ISNUMBER(INDEX(magestuff!$D$499:$Y$615,ROW()-ROW($D$256),COLUMN()-COLUMN($C$257))),INDIRECT("'Master Spell List'!$Z$"&amp;INDEX(magestuff!$D$499:$Y$615,ROW()-ROW($D$256),COLUMN()-COLUMN($C$257))),"")</f>
        <v/>
      </c>
    </row>
    <row r="288" spans="1:35">
      <c r="A288" s="598">
        <v>33</v>
      </c>
      <c r="C288" s="598" t="s">
        <v>2225</v>
      </c>
      <c r="D288" s="1055" t="str">
        <f ca="1">IF(ISNUMBER(INDEX(magestuff!$D$499:$Y$615,ROW()-ROW($D$256),COLUMN()-COLUMN($C$257))),INDIRECT("'Master Spell List'!$Z$"&amp;INDEX(magestuff!$D$499:$Y$615,ROW()-ROW($D$256),COLUMN()-COLUMN($C$257))),"")</f>
        <v/>
      </c>
      <c r="E288" s="1055" t="str">
        <f ca="1">IF(ISNUMBER(INDEX(magestuff!$D$499:$Y$615,ROW()-ROW($D$256),COLUMN()-COLUMN($C$257))),INDIRECT("'Master Spell List'!$Z$"&amp;INDEX(magestuff!$D$499:$Y$615,ROW()-ROW($D$256),COLUMN()-COLUMN($C$257))),"")</f>
        <v/>
      </c>
      <c r="F288" s="1055" t="str">
        <f ca="1">IF(ISNUMBER(INDEX(magestuff!$D$499:$Y$615,ROW()-ROW($D$256),COLUMN()-COLUMN($C$257))),INDIRECT("'Master Spell List'!$Z$"&amp;INDEX(magestuff!$D$499:$Y$615,ROW()-ROW($D$256),COLUMN()-COLUMN($C$257))),"")</f>
        <v>Lesser Shave Enchanted Metals</v>
      </c>
      <c r="G288" s="1055" t="str">
        <f ca="1">IF(ISNUMBER(INDEX(magestuff!$D$499:$Y$615,ROW()-ROW($D$256),COLUMN()-COLUMN($C$257))),INDIRECT("'Master Spell List'!$Z$"&amp;INDEX(magestuff!$D$499:$Y$615,ROW()-ROW($D$256),COLUMN()-COLUMN($C$257))),"")</f>
        <v>Create Deadly Vapors</v>
      </c>
      <c r="H288" s="1055" t="str">
        <f ca="1">IF(ISNUMBER(INDEX(magestuff!$D$499:$Y$615,ROW()-ROW($D$256),COLUMN()-COLUMN($C$257))),INDIRECT("'Master Spell List'!$Z$"&amp;INDEX(magestuff!$D$499:$Y$615,ROW()-ROW($D$256),COLUMN()-COLUMN($C$257))),"")</f>
        <v>Whirlpool</v>
      </c>
      <c r="I288" s="1055" t="str">
        <f ca="1">IF(ISNUMBER(INDEX(magestuff!$D$499:$Y$615,ROW()-ROW($D$256),COLUMN()-COLUMN($C$257))),INDIRECT("'Master Spell List'!$Z$"&amp;INDEX(magestuff!$D$499:$Y$615,ROW()-ROW($D$256),COLUMN()-COLUMN($C$257))),"")</f>
        <v>Dispel Darkness</v>
      </c>
      <c r="J288" s="1055" t="str">
        <f ca="1">IF(ISNUMBER(INDEX(magestuff!$D$499:$Y$615,ROW()-ROW($D$256),COLUMN()-COLUMN($C$257))),INDIRECT("'Master Spell List'!$Z$"&amp;INDEX(magestuff!$D$499:$Y$615,ROW()-ROW($D$256),COLUMN()-COLUMN($C$257))),"")</f>
        <v>Command Large Animal</v>
      </c>
      <c r="K288" s="1055" t="str">
        <f ca="1">IF(ISNUMBER(INDEX(magestuff!$D$499:$Y$615,ROW()-ROW($D$256),COLUMN()-COLUMN($C$257))),INDIRECT("'Master Spell List'!$Z$"&amp;INDEX(magestuff!$D$499:$Y$615,ROW()-ROW($D$256),COLUMN()-COLUMN($C$257))),"")</f>
        <v>Determine Ancestor</v>
      </c>
      <c r="L288" s="1055" t="str">
        <f ca="1">IF(ISNUMBER(INDEX(magestuff!$D$499:$Y$615,ROW()-ROW($D$256),COLUMN()-COLUMN($C$257))),INDIRECT("'Master Spell List'!$Z$"&amp;INDEX(magestuff!$D$499:$Y$615,ROW()-ROW($D$256),COLUMN()-COLUMN($C$257))),"")</f>
        <v>Blurred Script</v>
      </c>
      <c r="M288" s="1055" t="str">
        <f ca="1">IF(ISNUMBER(INDEX(magestuff!$D$499:$Y$615,ROW()-ROW($D$256),COLUMN()-COLUMN($C$257))),INDIRECT("'Master Spell List'!$Z$"&amp;INDEX(magestuff!$D$499:$Y$615,ROW()-ROW($D$256),COLUMN()-COLUMN($C$257))),"")</f>
        <v>Remove Plant</v>
      </c>
      <c r="N288" s="1055" t="str">
        <f ca="1">IF(ISNUMBER(INDEX(magestuff!$D$499:$Y$615,ROW()-ROW($D$256),COLUMN()-COLUMN($C$257))),INDIRECT("'Master Spell List'!$Z$"&amp;INDEX(magestuff!$D$499:$Y$615,ROW()-ROW($D$256),COLUMN()-COLUMN($C$257))),"")</f>
        <v xml:space="preserve">Banish the Work </v>
      </c>
      <c r="O288" s="1055" t="str">
        <f ca="1">IF(ISNUMBER(INDEX(magestuff!$D$499:$Y$615,ROW()-ROW($D$256),COLUMN()-COLUMN($C$257))),INDIRECT("'Master Spell List'!$Z$"&amp;INDEX(magestuff!$D$499:$Y$615,ROW()-ROW($D$256),COLUMN()-COLUMN($C$257))),"")</f>
        <v>Otherwordly</v>
      </c>
      <c r="P288" s="1055" t="str">
        <f ca="1">IF(ISNUMBER(INDEX(magestuff!$D$499:$Y$615,ROW()-ROW($D$256),COLUMN()-COLUMN($C$257))),INDIRECT("'Master Spell List'!$Z$"&amp;INDEX(magestuff!$D$499:$Y$615,ROW()-ROW($D$256),COLUMN()-COLUMN($C$257))),"")</f>
        <v>Wither</v>
      </c>
      <c r="Q288" s="1055" t="str">
        <f ca="1">IF(ISNUMBER(INDEX(magestuff!$D$499:$Y$615,ROW()-ROW($D$256),COLUMN()-COLUMN($C$257))),INDIRECT("'Master Spell List'!$Z$"&amp;INDEX(magestuff!$D$499:$Y$615,ROW()-ROW($D$256),COLUMN()-COLUMN($C$257))),"")</f>
        <v>Lesser Ward of Protection vs Illusion</v>
      </c>
      <c r="R288" s="1055" t="str">
        <f ca="1">IF(ISNUMBER(INDEX(magestuff!$D$499:$Y$615,ROW()-ROW($D$256),COLUMN()-COLUMN($C$257))),INDIRECT("'Master Spell List'!$Z$"&amp;INDEX(magestuff!$D$499:$Y$615,ROW()-ROW($D$256),COLUMN()-COLUMN($C$257))),"")</f>
        <v/>
      </c>
      <c r="S288" s="1055" t="str">
        <f ca="1">IF(ISNUMBER(INDEX(magestuff!$D$499:$Y$615,ROW()-ROW($D$256),COLUMN()-COLUMN($C$257))),INDIRECT("'Master Spell List'!$Z$"&amp;INDEX(magestuff!$D$499:$Y$615,ROW()-ROW($D$256),COLUMN()-COLUMN($C$257))),"")</f>
        <v/>
      </c>
      <c r="T288" s="1055" t="str">
        <f ca="1">IF(ISNUMBER(INDEX(magestuff!$D$499:$Y$615,ROW()-ROW($D$256),COLUMN()-COLUMN($C$257))),INDIRECT("'Master Spell List'!$Z$"&amp;INDEX(magestuff!$D$499:$Y$615,ROW()-ROW($D$256),COLUMN()-COLUMN($C$257))),"")</f>
        <v/>
      </c>
      <c r="U288" s="1055" t="str">
        <f ca="1">IF(ISNUMBER(INDEX(magestuff!$D$499:$Y$615,ROW()-ROW($D$256),COLUMN()-COLUMN($C$257))),INDIRECT("'Master Spell List'!$Z$"&amp;INDEX(magestuff!$D$499:$Y$615,ROW()-ROW($D$256),COLUMN()-COLUMN($C$257))),"")</f>
        <v/>
      </c>
      <c r="V288" s="1055" t="str">
        <f ca="1">IF(ISNUMBER(INDEX(magestuff!$D$499:$Y$615,ROW()-ROW($D$256),COLUMN()-COLUMN($C$257))),INDIRECT("'Master Spell List'!$Z$"&amp;INDEX(magestuff!$D$499:$Y$615,ROW()-ROW($D$256),COLUMN()-COLUMN($C$257))),"")</f>
        <v/>
      </c>
      <c r="W288" s="1055" t="str">
        <f ca="1">IF(ISNUMBER(INDEX(magestuff!$D$499:$Y$615,ROW()-ROW($D$256),COLUMN()-COLUMN($C$257))),INDIRECT("'Master Spell List'!$Z$"&amp;INDEX(magestuff!$D$499:$Y$615,ROW()-ROW($D$256),COLUMN()-COLUMN($C$257))),"")</f>
        <v/>
      </c>
    </row>
    <row r="289" spans="1:23">
      <c r="A289" s="598">
        <v>34</v>
      </c>
      <c r="C289" s="598" t="s">
        <v>2225</v>
      </c>
      <c r="D289" s="1055" t="str">
        <f ca="1">IF(ISNUMBER(INDEX(magestuff!$D$499:$Y$615,ROW()-ROW($D$256),COLUMN()-COLUMN($C$257))),INDIRECT("'Master Spell List'!$Z$"&amp;INDEX(magestuff!$D$499:$Y$615,ROW()-ROW($D$256),COLUMN()-COLUMN($C$257))),"")</f>
        <v/>
      </c>
      <c r="E289" s="1055" t="str">
        <f ca="1">IF(ISNUMBER(INDEX(magestuff!$D$499:$Y$615,ROW()-ROW($D$256),COLUMN()-COLUMN($C$257))),INDIRECT("'Master Spell List'!$Z$"&amp;INDEX(magestuff!$D$499:$Y$615,ROW()-ROW($D$256),COLUMN()-COLUMN($C$257))),"")</f>
        <v/>
      </c>
      <c r="F289" s="1055" t="str">
        <f ca="1">IF(ISNUMBER(INDEX(magestuff!$D$499:$Y$615,ROW()-ROW($D$256),COLUMN()-COLUMN($C$257))),INDIRECT("'Master Spell List'!$Z$"&amp;INDEX(magestuff!$D$499:$Y$615,ROW()-ROW($D$256),COLUMN()-COLUMN($C$257))),"")</f>
        <v>Shower of Stones</v>
      </c>
      <c r="G289" s="1055" t="str">
        <f ca="1">IF(ISNUMBER(INDEX(magestuff!$D$499:$Y$615,ROW()-ROW($D$256),COLUMN()-COLUMN($C$257))),INDIRECT("'Master Spell List'!$Z$"&amp;INDEX(magestuff!$D$499:$Y$615,ROW()-ROW($D$256),COLUMN()-COLUMN($C$257))),"")</f>
        <v>Create Sulphur &amp; Brimstone</v>
      </c>
      <c r="H289" s="1055" t="str">
        <f ca="1">IF(ISNUMBER(INDEX(magestuff!$D$499:$Y$615,ROW()-ROW($D$256),COLUMN()-COLUMN($C$257))),INDIRECT("'Master Spell List'!$Z$"&amp;INDEX(magestuff!$D$499:$Y$615,ROW()-ROW($D$256),COLUMN()-COLUMN($C$257))),"")</f>
        <v>Armor of the Glacier</v>
      </c>
      <c r="I289" s="1055" t="str">
        <f ca="1">IF(ISNUMBER(INDEX(magestuff!$D$499:$Y$615,ROW()-ROW($D$256),COLUMN()-COLUMN($C$257))),INDIRECT("'Master Spell List'!$Z$"&amp;INDEX(magestuff!$D$499:$Y$615,ROW()-ROW($D$256),COLUMN()-COLUMN($C$257))),"")</f>
        <v>Eldritch Area Light</v>
      </c>
      <c r="J289" s="1055" t="str">
        <f ca="1">IF(ISNUMBER(INDEX(magestuff!$D$499:$Y$615,ROW()-ROW($D$256),COLUMN()-COLUMN($C$257))),INDIRECT("'Master Spell List'!$Z$"&amp;INDEX(magestuff!$D$499:$Y$615,ROW()-ROW($D$256),COLUMN()-COLUMN($C$257))),"")</f>
        <v>Command Large Predator</v>
      </c>
      <c r="K289" s="1055" t="str">
        <f ca="1">IF(ISNUMBER(INDEX(magestuff!$D$499:$Y$615,ROW()-ROW($D$256),COLUMN()-COLUMN($C$257))),INDIRECT("'Master Spell List'!$Z$"&amp;INDEX(magestuff!$D$499:$Y$615,ROW()-ROW($D$256),COLUMN()-COLUMN($C$257))),"")</f>
        <v>Least Discern Trigger</v>
      </c>
      <c r="L289" s="1055" t="str">
        <f ca="1">IF(ISNUMBER(INDEX(magestuff!$D$499:$Y$615,ROW()-ROW($D$256),COLUMN()-COLUMN($C$257))),INDIRECT("'Master Spell List'!$Z$"&amp;INDEX(magestuff!$D$499:$Y$615,ROW()-ROW($D$256),COLUMN()-COLUMN($C$257))),"")</f>
        <v>Color Light</v>
      </c>
      <c r="M289" s="1055" t="str">
        <f ca="1">IF(ISNUMBER(INDEX(magestuff!$D$499:$Y$615,ROW()-ROW($D$256),COLUMN()-COLUMN($C$257))),INDIRECT("'Master Spell List'!$Z$"&amp;INDEX(magestuff!$D$499:$Y$615,ROW()-ROW($D$256),COLUMN()-COLUMN($C$257))),"")</f>
        <v>Slow (Stunt)</v>
      </c>
      <c r="N289" s="1055" t="str">
        <f ca="1">IF(ISNUMBER(INDEX(magestuff!$D$499:$Y$615,ROW()-ROW($D$256),COLUMN()-COLUMN($C$257))),INDIRECT("'Master Spell List'!$Z$"&amp;INDEX(magestuff!$D$499:$Y$615,ROW()-ROW($D$256),COLUMN()-COLUMN($C$257))),"")</f>
        <v>Bind Lesser Spirit into a Container</v>
      </c>
      <c r="O289" s="1055" t="str">
        <f ca="1">IF(ISNUMBER(INDEX(magestuff!$D$499:$Y$615,ROW()-ROW($D$256),COLUMN()-COLUMN($C$257))),INDIRECT("'Master Spell List'!$Z$"&amp;INDEX(magestuff!$D$499:$Y$615,ROW()-ROW($D$256),COLUMN()-COLUMN($C$257))),"")</f>
        <v>Grand Audience</v>
      </c>
      <c r="P289" s="1055" t="str">
        <f ca="1">IF(ISNUMBER(INDEX(magestuff!$D$499:$Y$615,ROW()-ROW($D$256),COLUMN()-COLUMN($C$257))),INDIRECT("'Master Spell List'!$Z$"&amp;INDEX(magestuff!$D$499:$Y$615,ROW()-ROW($D$256),COLUMN()-COLUMN($C$257))),"")</f>
        <v>Armoured Skin - Armour of Preservation</v>
      </c>
      <c r="Q289" s="1055" t="str">
        <f ca="1">IF(ISNUMBER(INDEX(magestuff!$D$499:$Y$615,ROW()-ROW($D$256),COLUMN()-COLUMN($C$257))),INDIRECT("'Master Spell List'!$Z$"&amp;INDEX(magestuff!$D$499:$Y$615,ROW()-ROW($D$256),COLUMN()-COLUMN($C$257))),"")</f>
        <v>Lesser Ward of Protection vs Lycanthropes</v>
      </c>
      <c r="R289" s="1055" t="str">
        <f ca="1">IF(ISNUMBER(INDEX(magestuff!$D$499:$Y$615,ROW()-ROW($D$256),COLUMN()-COLUMN($C$257))),INDIRECT("'Master Spell List'!$Z$"&amp;INDEX(magestuff!$D$499:$Y$615,ROW()-ROW($D$256),COLUMN()-COLUMN($C$257))),"")</f>
        <v/>
      </c>
      <c r="S289" s="1055" t="str">
        <f ca="1">IF(ISNUMBER(INDEX(magestuff!$D$499:$Y$615,ROW()-ROW($D$256),COLUMN()-COLUMN($C$257))),INDIRECT("'Master Spell List'!$Z$"&amp;INDEX(magestuff!$D$499:$Y$615,ROW()-ROW($D$256),COLUMN()-COLUMN($C$257))),"")</f>
        <v/>
      </c>
      <c r="T289" s="1055" t="str">
        <f ca="1">IF(ISNUMBER(INDEX(magestuff!$D$499:$Y$615,ROW()-ROW($D$256),COLUMN()-COLUMN($C$257))),INDIRECT("'Master Spell List'!$Z$"&amp;INDEX(magestuff!$D$499:$Y$615,ROW()-ROW($D$256),COLUMN()-COLUMN($C$257))),"")</f>
        <v/>
      </c>
      <c r="U289" s="1055" t="str">
        <f ca="1">IF(ISNUMBER(INDEX(magestuff!$D$499:$Y$615,ROW()-ROW($D$256),COLUMN()-COLUMN($C$257))),INDIRECT("'Master Spell List'!$Z$"&amp;INDEX(magestuff!$D$499:$Y$615,ROW()-ROW($D$256),COLUMN()-COLUMN($C$257))),"")</f>
        <v/>
      </c>
      <c r="V289" s="1055" t="str">
        <f ca="1">IF(ISNUMBER(INDEX(magestuff!$D$499:$Y$615,ROW()-ROW($D$256),COLUMN()-COLUMN($C$257))),INDIRECT("'Master Spell List'!$Z$"&amp;INDEX(magestuff!$D$499:$Y$615,ROW()-ROW($D$256),COLUMN()-COLUMN($C$257))),"")</f>
        <v/>
      </c>
      <c r="W289" s="1055" t="str">
        <f ca="1">IF(ISNUMBER(INDEX(magestuff!$D$499:$Y$615,ROW()-ROW($D$256),COLUMN()-COLUMN($C$257))),INDIRECT("'Master Spell List'!$Z$"&amp;INDEX(magestuff!$D$499:$Y$615,ROW()-ROW($D$256),COLUMN()-COLUMN($C$257))),"")</f>
        <v/>
      </c>
    </row>
    <row r="290" spans="1:23">
      <c r="A290" s="598">
        <v>35</v>
      </c>
      <c r="C290" s="598" t="s">
        <v>2225</v>
      </c>
      <c r="D290" s="1055" t="str">
        <f ca="1">IF(ISNUMBER(INDEX(magestuff!$D$499:$Y$615,ROW()-ROW($D$256),COLUMN()-COLUMN($C$257))),INDIRECT("'Master Spell List'!$Z$"&amp;INDEX(magestuff!$D$499:$Y$615,ROW()-ROW($D$256),COLUMN()-COLUMN($C$257))),"")</f>
        <v/>
      </c>
      <c r="E290" s="1055" t="str">
        <f ca="1">IF(ISNUMBER(INDEX(magestuff!$D$499:$Y$615,ROW()-ROW($D$256),COLUMN()-COLUMN($C$257))),INDIRECT("'Master Spell List'!$Z$"&amp;INDEX(magestuff!$D$499:$Y$615,ROW()-ROW($D$256),COLUMN()-COLUMN($C$257))),"")</f>
        <v/>
      </c>
      <c r="F290" s="1055" t="str">
        <f ca="1">IF(ISNUMBER(INDEX(magestuff!$D$499:$Y$615,ROW()-ROW($D$256),COLUMN()-COLUMN($C$257))),INDIRECT("'Master Spell List'!$Z$"&amp;INDEX(magestuff!$D$499:$Y$615,ROW()-ROW($D$256),COLUMN()-COLUMN($C$257))),"")</f>
        <v>Walk through Dense Rock</v>
      </c>
      <c r="G290" s="1055" t="str">
        <f ca="1">IF(ISNUMBER(INDEX(magestuff!$D$499:$Y$615,ROW()-ROW($D$256),COLUMN()-COLUMN($C$257))),INDIRECT("'Master Spell List'!$Z$"&amp;INDEX(magestuff!$D$499:$Y$615,ROW()-ROW($D$256),COLUMN()-COLUMN($C$257))),"")</f>
        <v>Create Sulphurous Fumes</v>
      </c>
      <c r="H290" s="1055" t="str">
        <f ca="1">IF(ISNUMBER(INDEX(magestuff!$D$499:$Y$615,ROW()-ROW($D$256),COLUMN()-COLUMN($C$257))),INDIRECT("'Master Spell List'!$Z$"&amp;INDEX(magestuff!$D$499:$Y$615,ROW()-ROW($D$256),COLUMN()-COLUMN($C$257))),"")</f>
        <v>Arrows of Ice</v>
      </c>
      <c r="I290" s="1055" t="str">
        <f ca="1">IF(ISNUMBER(INDEX(magestuff!$D$499:$Y$615,ROW()-ROW($D$256),COLUMN()-COLUMN($C$257))),INDIRECT("'Master Spell List'!$Z$"&amp;INDEX(magestuff!$D$499:$Y$615,ROW()-ROW($D$256),COLUMN()-COLUMN($C$257))),"")</f>
        <v>Gather Great Amount of Arcane Energy</v>
      </c>
      <c r="J290" s="1055" t="str">
        <f ca="1">IF(ISNUMBER(INDEX(magestuff!$D$499:$Y$615,ROW()-ROW($D$256),COLUMN()-COLUMN($C$257))),INDIRECT("'Master Spell List'!$Z$"&amp;INDEX(magestuff!$D$499:$Y$615,ROW()-ROW($D$256),COLUMN()-COLUMN($C$257))),"")</f>
        <v>Compel Lies</v>
      </c>
      <c r="K290" s="1055" t="str">
        <f ca="1">IF(ISNUMBER(INDEX(magestuff!$D$499:$Y$615,ROW()-ROW($D$256),COLUMN()-COLUMN($C$257))),INDIRECT("'Master Spell List'!$Z$"&amp;INDEX(magestuff!$D$499:$Y$615,ROW()-ROW($D$256),COLUMN()-COLUMN($C$257))),"")</f>
        <v>Find The Path</v>
      </c>
      <c r="L290" s="1055" t="str">
        <f ca="1">IF(ISNUMBER(INDEX(magestuff!$D$499:$Y$615,ROW()-ROW($D$256),COLUMN()-COLUMN($C$257))),INDIRECT("'Master Spell List'!$Z$"&amp;INDEX(magestuff!$D$499:$Y$615,ROW()-ROW($D$256),COLUMN()-COLUMN($C$257))),"")</f>
        <v xml:space="preserve">Command Light/Create Image </v>
      </c>
      <c r="M290" s="1055" t="str">
        <f ca="1">IF(ISNUMBER(INDEX(magestuff!$D$499:$Y$615,ROW()-ROW($D$256),COLUMN()-COLUMN($C$257))),INDIRECT("'Master Spell List'!$Z$"&amp;INDEX(magestuff!$D$499:$Y$615,ROW()-ROW($D$256),COLUMN()-COLUMN($C$257))),"")</f>
        <v>Speak with Plants</v>
      </c>
      <c r="N290" s="1055" t="str">
        <f ca="1">IF(ISNUMBER(INDEX(magestuff!$D$499:$Y$615,ROW()-ROW($D$256),COLUMN()-COLUMN($C$257))),INDIRECT("'Master Spell List'!$Z$"&amp;INDEX(magestuff!$D$499:$Y$615,ROW()-ROW($D$256),COLUMN()-COLUMN($C$257))),"")</f>
        <v>Bind the Greater Undead  into a Container</v>
      </c>
      <c r="O290" s="1055" t="str">
        <f ca="1">IF(ISNUMBER(INDEX(magestuff!$D$499:$Y$615,ROW()-ROW($D$256),COLUMN()-COLUMN($C$257))),INDIRECT("'Master Spell List'!$Z$"&amp;INDEX(magestuff!$D$499:$Y$615,ROW()-ROW($D$256),COLUMN()-COLUMN($C$257))),"")</f>
        <v>Greater Pull</v>
      </c>
      <c r="P290" s="1055" t="str">
        <f ca="1">IF(ISNUMBER(INDEX(magestuff!$D$499:$Y$615,ROW()-ROW($D$256),COLUMN()-COLUMN($C$257))),INDIRECT("'Master Spell List'!$Z$"&amp;INDEX(magestuff!$D$499:$Y$615,ROW()-ROW($D$256),COLUMN()-COLUMN($C$257))),"")</f>
        <v>Breath of the Basilisk</v>
      </c>
      <c r="Q290" s="1055" t="str">
        <f ca="1">IF(ISNUMBER(INDEX(magestuff!$D$499:$Y$615,ROW()-ROW($D$256),COLUMN()-COLUMN($C$257))),INDIRECT("'Master Spell List'!$Z$"&amp;INDEX(magestuff!$D$499:$Y$615,ROW()-ROW($D$256),COLUMN()-COLUMN($C$257))),"")</f>
        <v>Lesser Ward of Protection vs Plant</v>
      </c>
      <c r="R290" s="1055" t="str">
        <f ca="1">IF(ISNUMBER(INDEX(magestuff!$D$499:$Y$615,ROW()-ROW($D$256),COLUMN()-COLUMN($C$257))),INDIRECT("'Master Spell List'!$Z$"&amp;INDEX(magestuff!$D$499:$Y$615,ROW()-ROW($D$256),COLUMN()-COLUMN($C$257))),"")</f>
        <v/>
      </c>
      <c r="S290" s="1055" t="str">
        <f ca="1">IF(ISNUMBER(INDEX(magestuff!$D$499:$Y$615,ROW()-ROW($D$256),COLUMN()-COLUMN($C$257))),INDIRECT("'Master Spell List'!$Z$"&amp;INDEX(magestuff!$D$499:$Y$615,ROW()-ROW($D$256),COLUMN()-COLUMN($C$257))),"")</f>
        <v/>
      </c>
      <c r="T290" s="1055" t="str">
        <f ca="1">IF(ISNUMBER(INDEX(magestuff!$D$499:$Y$615,ROW()-ROW($D$256),COLUMN()-COLUMN($C$257))),INDIRECT("'Master Spell List'!$Z$"&amp;INDEX(magestuff!$D$499:$Y$615,ROW()-ROW($D$256),COLUMN()-COLUMN($C$257))),"")</f>
        <v/>
      </c>
      <c r="U290" s="1055" t="str">
        <f ca="1">IF(ISNUMBER(INDEX(magestuff!$D$499:$Y$615,ROW()-ROW($D$256),COLUMN()-COLUMN($C$257))),INDIRECT("'Master Spell List'!$Z$"&amp;INDEX(magestuff!$D$499:$Y$615,ROW()-ROW($D$256),COLUMN()-COLUMN($C$257))),"")</f>
        <v/>
      </c>
      <c r="V290" s="1055" t="str">
        <f ca="1">IF(ISNUMBER(INDEX(magestuff!$D$499:$Y$615,ROW()-ROW($D$256),COLUMN()-COLUMN($C$257))),INDIRECT("'Master Spell List'!$Z$"&amp;INDEX(magestuff!$D$499:$Y$615,ROW()-ROW($D$256),COLUMN()-COLUMN($C$257))),"")</f>
        <v/>
      </c>
      <c r="W290" s="1055" t="str">
        <f ca="1">IF(ISNUMBER(INDEX(magestuff!$D$499:$Y$615,ROW()-ROW($D$256),COLUMN()-COLUMN($C$257))),INDIRECT("'Master Spell List'!$Z$"&amp;INDEX(magestuff!$D$499:$Y$615,ROW()-ROW($D$256),COLUMN()-COLUMN($C$257))),"")</f>
        <v/>
      </c>
    </row>
    <row r="291" spans="1:23">
      <c r="A291" s="598">
        <v>36</v>
      </c>
      <c r="C291" s="598" t="s">
        <v>2225</v>
      </c>
      <c r="D291" s="1055" t="str">
        <f ca="1">IF(ISNUMBER(INDEX(magestuff!$D$499:$Y$615,ROW()-ROW($D$256),COLUMN()-COLUMN($C$257))),INDIRECT("'Master Spell List'!$Z$"&amp;INDEX(magestuff!$D$499:$Y$615,ROW()-ROW($D$256),COLUMN()-COLUMN($C$257))),"")</f>
        <v/>
      </c>
      <c r="E291" s="1055" t="str">
        <f ca="1">IF(ISNUMBER(INDEX(magestuff!$D$499:$Y$615,ROW()-ROW($D$256),COLUMN()-COLUMN($C$257))),INDIRECT("'Master Spell List'!$Z$"&amp;INDEX(magestuff!$D$499:$Y$615,ROW()-ROW($D$256),COLUMN()-COLUMN($C$257))),"")</f>
        <v/>
      </c>
      <c r="F291" s="1055" t="str">
        <f ca="1">IF(ISNUMBER(INDEX(magestuff!$D$499:$Y$615,ROW()-ROW($D$256),COLUMN()-COLUMN($C$257))),INDIRECT("'Master Spell List'!$Z$"&amp;INDEX(magestuff!$D$499:$Y$615,ROW()-ROW($D$256),COLUMN()-COLUMN($C$257))),"")</f>
        <v>Lesser Divide</v>
      </c>
      <c r="G291" s="1055" t="str">
        <f ca="1">IF(ISNUMBER(INDEX(magestuff!$D$499:$Y$615,ROW()-ROW($D$256),COLUMN()-COLUMN($C$257))),INDIRECT("'Master Spell List'!$Z$"&amp;INDEX(magestuff!$D$499:$Y$615,ROW()-ROW($D$256),COLUMN()-COLUMN($C$257))),"")</f>
        <v>Flaming Weapon  - Dragon Fire</v>
      </c>
      <c r="H291" s="1055" t="str">
        <f ca="1">IF(ISNUMBER(INDEX(magestuff!$D$499:$Y$615,ROW()-ROW($D$256),COLUMN()-COLUMN($C$257))),INDIRECT("'Master Spell List'!$Z$"&amp;INDEX(magestuff!$D$499:$Y$615,ROW()-ROW($D$256),COLUMN()-COLUMN($C$257))),"")</f>
        <v>Great Wave</v>
      </c>
      <c r="I291" s="1055" t="str">
        <f ca="1">IF(ISNUMBER(INDEX(magestuff!$D$499:$Y$615,ROW()-ROW($D$256),COLUMN()-COLUMN($C$257))),INDIRECT("'Master Spell List'!$Z$"&amp;INDEX(magestuff!$D$499:$Y$615,ROW()-ROW($D$256),COLUMN()-COLUMN($C$257))),"")</f>
        <v>Greater Walk in Shadows</v>
      </c>
      <c r="J291" s="1055" t="str">
        <f ca="1">IF(ISNUMBER(INDEX(magestuff!$D$499:$Y$615,ROW()-ROW($D$256),COLUMN()-COLUMN($C$257))),INDIRECT("'Master Spell List'!$Z$"&amp;INDEX(magestuff!$D$499:$Y$615,ROW()-ROW($D$256),COLUMN()-COLUMN($C$257))),"")</f>
        <v>Compel Silence</v>
      </c>
      <c r="K291" s="1055" t="str">
        <f ca="1">IF(ISNUMBER(INDEX(magestuff!$D$499:$Y$615,ROW()-ROW($D$256),COLUMN()-COLUMN($C$257))),INDIRECT("'Master Spell List'!$Z$"&amp;INDEX(magestuff!$D$499:$Y$615,ROW()-ROW($D$256),COLUMN()-COLUMN($C$257))),"")</f>
        <v>Forecast Weather Imminent</v>
      </c>
      <c r="L291" s="1055" t="str">
        <f ca="1">IF(ISNUMBER(INDEX(magestuff!$D$499:$Y$615,ROW()-ROW($D$256),COLUMN()-COLUMN($C$257))),INDIRECT("'Master Spell List'!$Z$"&amp;INDEX(magestuff!$D$499:$Y$615,ROW()-ROW($D$256),COLUMN()-COLUMN($C$257))),"")</f>
        <v>Concentrate Sound</v>
      </c>
      <c r="M291" s="1055" t="str">
        <f ca="1">IF(ISNUMBER(INDEX(magestuff!$D$499:$Y$615,ROW()-ROW($D$256),COLUMN()-COLUMN($C$257))),INDIRECT("'Master Spell List'!$Z$"&amp;INDEX(magestuff!$D$499:$Y$615,ROW()-ROW($D$256),COLUMN()-COLUMN($C$257))),"")</f>
        <v>Warp Wood</v>
      </c>
      <c r="N291" s="1055" t="str">
        <f ca="1">IF(ISNUMBER(INDEX(magestuff!$D$499:$Y$615,ROW()-ROW($D$256),COLUMN()-COLUMN($C$257))),INDIRECT("'Master Spell List'!$Z$"&amp;INDEX(magestuff!$D$499:$Y$615,ROW()-ROW($D$256),COLUMN()-COLUMN($C$257))),"")</f>
        <v xml:space="preserve">Greater Bind Ghoul into a Container </v>
      </c>
      <c r="O291" s="1055" t="str">
        <f ca="1">IF(ISNUMBER(INDEX(magestuff!$D$499:$Y$615,ROW()-ROW($D$256),COLUMN()-COLUMN($C$257))),INDIRECT("'Master Spell List'!$Z$"&amp;INDEX(magestuff!$D$499:$Y$615,ROW()-ROW($D$256),COLUMN()-COLUMN($C$257))),"")</f>
        <v>Greater Vigil</v>
      </c>
      <c r="P291" s="1055" t="str">
        <f ca="1">IF(ISNUMBER(INDEX(magestuff!$D$499:$Y$615,ROW()-ROW($D$256),COLUMN()-COLUMN($C$257))),INDIRECT("'Master Spell List'!$Z$"&amp;INDEX(magestuff!$D$499:$Y$615,ROW()-ROW($D$256),COLUMN()-COLUMN($C$257))),"")</f>
        <v>Gaze of the Basilisk</v>
      </c>
      <c r="Q291" s="1055" t="str">
        <f ca="1">IF(ISNUMBER(INDEX(magestuff!$D$499:$Y$615,ROW()-ROW($D$256),COLUMN()-COLUMN($C$257))),INDIRECT("'Master Spell List'!$Z$"&amp;INDEX(magestuff!$D$499:$Y$615,ROW()-ROW($D$256),COLUMN()-COLUMN($C$257))),"")</f>
        <v>Lesser Ward of Protection vs Transcendental</v>
      </c>
      <c r="R291" s="1055" t="str">
        <f ca="1">IF(ISNUMBER(INDEX(magestuff!$D$499:$Y$615,ROW()-ROW($D$256),COLUMN()-COLUMN($C$257))),INDIRECT("'Master Spell List'!$Z$"&amp;INDEX(magestuff!$D$499:$Y$615,ROW()-ROW($D$256),COLUMN()-COLUMN($C$257))),"")</f>
        <v/>
      </c>
      <c r="S291" s="1055" t="str">
        <f ca="1">IF(ISNUMBER(INDEX(magestuff!$D$499:$Y$615,ROW()-ROW($D$256),COLUMN()-COLUMN($C$257))),INDIRECT("'Master Spell List'!$Z$"&amp;INDEX(magestuff!$D$499:$Y$615,ROW()-ROW($D$256),COLUMN()-COLUMN($C$257))),"")</f>
        <v/>
      </c>
      <c r="T291" s="1055" t="str">
        <f ca="1">IF(ISNUMBER(INDEX(magestuff!$D$499:$Y$615,ROW()-ROW($D$256),COLUMN()-COLUMN($C$257))),INDIRECT("'Master Spell List'!$Z$"&amp;INDEX(magestuff!$D$499:$Y$615,ROW()-ROW($D$256),COLUMN()-COLUMN($C$257))),"")</f>
        <v/>
      </c>
      <c r="U291" s="1055" t="str">
        <f ca="1">IF(ISNUMBER(INDEX(magestuff!$D$499:$Y$615,ROW()-ROW($D$256),COLUMN()-COLUMN($C$257))),INDIRECT("'Master Spell List'!$Z$"&amp;INDEX(magestuff!$D$499:$Y$615,ROW()-ROW($D$256),COLUMN()-COLUMN($C$257))),"")</f>
        <v/>
      </c>
      <c r="V291" s="1055" t="str">
        <f ca="1">IF(ISNUMBER(INDEX(magestuff!$D$499:$Y$615,ROW()-ROW($D$256),COLUMN()-COLUMN($C$257))),INDIRECT("'Master Spell List'!$Z$"&amp;INDEX(magestuff!$D$499:$Y$615,ROW()-ROW($D$256),COLUMN()-COLUMN($C$257))),"")</f>
        <v/>
      </c>
      <c r="W291" s="1055" t="str">
        <f ca="1">IF(ISNUMBER(INDEX(magestuff!$D$499:$Y$615,ROW()-ROW($D$256),COLUMN()-COLUMN($C$257))),INDIRECT("'Master Spell List'!$Z$"&amp;INDEX(magestuff!$D$499:$Y$615,ROW()-ROW($D$256),COLUMN()-COLUMN($C$257))),"")</f>
        <v/>
      </c>
    </row>
    <row r="292" spans="1:23">
      <c r="A292" s="598">
        <v>37</v>
      </c>
      <c r="C292" s="598" t="s">
        <v>2225</v>
      </c>
      <c r="D292" s="1055" t="str">
        <f ca="1">IF(ISNUMBER(INDEX(magestuff!$D$499:$Y$615,ROW()-ROW($D$256),COLUMN()-COLUMN($C$257))),INDIRECT("'Master Spell List'!$Z$"&amp;INDEX(magestuff!$D$499:$Y$615,ROW()-ROW($D$256),COLUMN()-COLUMN($C$257))),"")</f>
        <v/>
      </c>
      <c r="E292" s="1055" t="str">
        <f ca="1">IF(ISNUMBER(INDEX(magestuff!$D$499:$Y$615,ROW()-ROW($D$256),COLUMN()-COLUMN($C$257))),INDIRECT("'Master Spell List'!$Z$"&amp;INDEX(magestuff!$D$499:$Y$615,ROW()-ROW($D$256),COLUMN()-COLUMN($C$257))),"")</f>
        <v/>
      </c>
      <c r="F292" s="1055" t="str">
        <f ca="1">IF(ISNUMBER(INDEX(magestuff!$D$499:$Y$615,ROW()-ROW($D$256),COLUMN()-COLUMN($C$257))),INDIRECT("'Master Spell List'!$Z$"&amp;INDEX(magestuff!$D$499:$Y$615,ROW()-ROW($D$256),COLUMN()-COLUMN($C$257))),"")</f>
        <v>Refine Clay</v>
      </c>
      <c r="G292" s="1055" t="str">
        <f ca="1">IF(ISNUMBER(INDEX(magestuff!$D$499:$Y$615,ROW()-ROW($D$256),COLUMN()-COLUMN($C$257))),INDIRECT("'Master Spell List'!$Z$"&amp;INDEX(magestuff!$D$499:$Y$615,ROW()-ROW($D$256),COLUMN()-COLUMN($C$257))),"")</f>
        <v>Fuel For the Flames</v>
      </c>
      <c r="H292" s="1055" t="str">
        <f ca="1">IF(ISNUMBER(INDEX(magestuff!$D$499:$Y$615,ROW()-ROW($D$256),COLUMN()-COLUMN($C$257))),INDIRECT("'Master Spell List'!$Z$"&amp;INDEX(magestuff!$D$499:$Y$615,ROW()-ROW($D$256),COLUMN()-COLUMN($C$257))),"")</f>
        <v>Ice Bomb of Magick Water</v>
      </c>
      <c r="I292" s="1055" t="str">
        <f ca="1">IF(ISNUMBER(INDEX(magestuff!$D$499:$Y$615,ROW()-ROW($D$256),COLUMN()-COLUMN($C$257))),INDIRECT("'Master Spell List'!$Z$"&amp;INDEX(magestuff!$D$499:$Y$615,ROW()-ROW($D$256),COLUMN()-COLUMN($C$257))),"")</f>
        <v>Lesser Eldritch Attack</v>
      </c>
      <c r="J292" s="1055" t="str">
        <f ca="1">IF(ISNUMBER(INDEX(magestuff!$D$499:$Y$615,ROW()-ROW($D$256),COLUMN()-COLUMN($C$257))),INDIRECT("'Master Spell List'!$Z$"&amp;INDEX(magestuff!$D$499:$Y$615,ROW()-ROW($D$256),COLUMN()-COLUMN($C$257))),"")</f>
        <v>Compel Truth</v>
      </c>
      <c r="K292" s="1055" t="str">
        <f ca="1">IF(ISNUMBER(INDEX(magestuff!$D$499:$Y$615,ROW()-ROW($D$256),COLUMN()-COLUMN($C$257))),INDIRECT("'Master Spell List'!$Z$"&amp;INDEX(magestuff!$D$499:$Y$615,ROW()-ROW($D$256),COLUMN()-COLUMN($C$257))),"")</f>
        <v>Least Foresight</v>
      </c>
      <c r="L292" s="1055" t="str">
        <f ca="1">IF(ISNUMBER(INDEX(magestuff!$D$499:$Y$615,ROW()-ROW($D$256),COLUMN()-COLUMN($C$257))),INDIRECT("'Master Spell List'!$Z$"&amp;INDEX(magestuff!$D$499:$Y$615,ROW()-ROW($D$256),COLUMN()-COLUMN($C$257))),"")</f>
        <v>Create Least Scent</v>
      </c>
      <c r="M292" s="1055" t="str">
        <f ca="1">IF(ISNUMBER(INDEX(magestuff!$D$499:$Y$615,ROW()-ROW($D$256),COLUMN()-COLUMN($C$257))),INDIRECT("'Master Spell List'!$Z$"&amp;INDEX(magestuff!$D$499:$Y$615,ROW()-ROW($D$256),COLUMN()-COLUMN($C$257))),"")</f>
        <v>Wooden Bridge</v>
      </c>
      <c r="N292" s="1055" t="str">
        <f ca="1">IF(ISNUMBER(INDEX(magestuff!$D$499:$Y$615,ROW()-ROW($D$256),COLUMN()-COLUMN($C$257))),INDIRECT("'Master Spell List'!$Z$"&amp;INDEX(magestuff!$D$499:$Y$615,ROW()-ROW($D$256),COLUMN()-COLUMN($C$257))),"")</f>
        <v xml:space="preserve">Greater Summon Object </v>
      </c>
      <c r="O292" s="1055" t="str">
        <f ca="1">IF(ISNUMBER(INDEX(magestuff!$D$499:$Y$615,ROW()-ROW($D$256),COLUMN()-COLUMN($C$257))),INDIRECT("'Master Spell List'!$Z$"&amp;INDEX(magestuff!$D$499:$Y$615,ROW()-ROW($D$256),COLUMN()-COLUMN($C$257))),"")</f>
        <v>Lesser Cloak from Divination</v>
      </c>
      <c r="P292" s="1055" t="str">
        <f ca="1">IF(ISNUMBER(INDEX(magestuff!$D$499:$Y$615,ROW()-ROW($D$256),COLUMN()-COLUMN($C$257))),INDIRECT("'Master Spell List'!$Z$"&amp;INDEX(magestuff!$D$499:$Y$615,ROW()-ROW($D$256),COLUMN()-COLUMN($C$257))),"")</f>
        <v>Great Preserve</v>
      </c>
      <c r="Q292" s="1055" t="str">
        <f ca="1">IF(ISNUMBER(INDEX(magestuff!$D$499:$Y$615,ROW()-ROW($D$256),COLUMN()-COLUMN($C$257))),INDIRECT("'Master Spell List'!$Z$"&amp;INDEX(magestuff!$D$499:$Y$615,ROW()-ROW($D$256),COLUMN()-COLUMN($C$257))),"")</f>
        <v>Lesser Ward of Protection vs Transmutational</v>
      </c>
      <c r="R292" s="1055" t="str">
        <f ca="1">IF(ISNUMBER(INDEX(magestuff!$D$499:$Y$615,ROW()-ROW($D$256),COLUMN()-COLUMN($C$257))),INDIRECT("'Master Spell List'!$Z$"&amp;INDEX(magestuff!$D$499:$Y$615,ROW()-ROW($D$256),COLUMN()-COLUMN($C$257))),"")</f>
        <v/>
      </c>
      <c r="S292" s="1055" t="str">
        <f ca="1">IF(ISNUMBER(INDEX(magestuff!$D$499:$Y$615,ROW()-ROW($D$256),COLUMN()-COLUMN($C$257))),INDIRECT("'Master Spell List'!$Z$"&amp;INDEX(magestuff!$D$499:$Y$615,ROW()-ROW($D$256),COLUMN()-COLUMN($C$257))),"")</f>
        <v/>
      </c>
      <c r="T292" s="1055" t="str">
        <f ca="1">IF(ISNUMBER(INDEX(magestuff!$D$499:$Y$615,ROW()-ROW($D$256),COLUMN()-COLUMN($C$257))),INDIRECT("'Master Spell List'!$Z$"&amp;INDEX(magestuff!$D$499:$Y$615,ROW()-ROW($D$256),COLUMN()-COLUMN($C$257))),"")</f>
        <v/>
      </c>
      <c r="U292" s="1055" t="str">
        <f ca="1">IF(ISNUMBER(INDEX(magestuff!$D$499:$Y$615,ROW()-ROW($D$256),COLUMN()-COLUMN($C$257))),INDIRECT("'Master Spell List'!$Z$"&amp;INDEX(magestuff!$D$499:$Y$615,ROW()-ROW($D$256),COLUMN()-COLUMN($C$257))),"")</f>
        <v/>
      </c>
      <c r="V292" s="1055" t="str">
        <f ca="1">IF(ISNUMBER(INDEX(magestuff!$D$499:$Y$615,ROW()-ROW($D$256),COLUMN()-COLUMN($C$257))),INDIRECT("'Master Spell List'!$Z$"&amp;INDEX(magestuff!$D$499:$Y$615,ROW()-ROW($D$256),COLUMN()-COLUMN($C$257))),"")</f>
        <v/>
      </c>
      <c r="W292" s="1055" t="str">
        <f ca="1">IF(ISNUMBER(INDEX(magestuff!$D$499:$Y$615,ROW()-ROW($D$256),COLUMN()-COLUMN($C$257))),INDIRECT("'Master Spell List'!$Z$"&amp;INDEX(magestuff!$D$499:$Y$615,ROW()-ROW($D$256),COLUMN()-COLUMN($C$257))),"")</f>
        <v/>
      </c>
    </row>
    <row r="293" spans="1:23">
      <c r="A293" s="598">
        <v>38</v>
      </c>
      <c r="C293" s="598" t="s">
        <v>2225</v>
      </c>
      <c r="D293" s="1055" t="str">
        <f ca="1">IF(ISNUMBER(INDEX(magestuff!$D$499:$Y$615,ROW()-ROW($D$256),COLUMN()-COLUMN($C$257))),INDIRECT("'Master Spell List'!$Z$"&amp;INDEX(magestuff!$D$499:$Y$615,ROW()-ROW($D$256),COLUMN()-COLUMN($C$257))),"")</f>
        <v/>
      </c>
      <c r="E293" s="1055" t="str">
        <f ca="1">IF(ISNUMBER(INDEX(magestuff!$D$499:$Y$615,ROW()-ROW($D$256),COLUMN()-COLUMN($C$257))),INDIRECT("'Master Spell List'!$Z$"&amp;INDEX(magestuff!$D$499:$Y$615,ROW()-ROW($D$256),COLUMN()-COLUMN($C$257))),"")</f>
        <v/>
      </c>
      <c r="F293" s="1055" t="str">
        <f ca="1">IF(ISNUMBER(INDEX(magestuff!$D$499:$Y$615,ROW()-ROW($D$256),COLUMN()-COLUMN($C$257))),INDIRECT("'Master Spell List'!$Z$"&amp;INDEX(magestuff!$D$499:$Y$615,ROW()-ROW($D$256),COLUMN()-COLUMN($C$257))),"")</f>
        <v>Earth Meld</v>
      </c>
      <c r="G293" s="1055" t="str">
        <f ca="1">IF(ISNUMBER(INDEX(magestuff!$D$499:$Y$615,ROW()-ROW($D$256),COLUMN()-COLUMN($C$257))),INDIRECT("'Master Spell List'!$Z$"&amp;INDEX(magestuff!$D$499:$Y$615,ROW()-ROW($D$256),COLUMN()-COLUMN($C$257))),"")</f>
        <v>Turn Flame  - Salamander Fire</v>
      </c>
      <c r="H293" s="1055" t="str">
        <f ca="1">IF(ISNUMBER(INDEX(magestuff!$D$499:$Y$615,ROW()-ROW($D$256),COLUMN()-COLUMN($C$257))),INDIRECT("'Master Spell List'!$Z$"&amp;INDEX(magestuff!$D$499:$Y$615,ROW()-ROW($D$256),COLUMN()-COLUMN($C$257))),"")</f>
        <v>Ice Storm</v>
      </c>
      <c r="I293" s="1055" t="str">
        <f ca="1">IF(ISNUMBER(INDEX(magestuff!$D$499:$Y$615,ROW()-ROW($D$256),COLUMN()-COLUMN($C$257))),INDIRECT("'Master Spell List'!$Z$"&amp;INDEX(magestuff!$D$499:$Y$615,ROW()-ROW($D$256),COLUMN()-COLUMN($C$257))),"")</f>
        <v>Slow</v>
      </c>
      <c r="J293" s="1055" t="str">
        <f ca="1">IF(ISNUMBER(INDEX(magestuff!$D$499:$Y$615,ROW()-ROW($D$256),COLUMN()-COLUMN($C$257))),INDIRECT("'Master Spell List'!$Z$"&amp;INDEX(magestuff!$D$499:$Y$615,ROW()-ROW($D$256),COLUMN()-COLUMN($C$257))),"")</f>
        <v>Cowardice</v>
      </c>
      <c r="K293" s="1055" t="str">
        <f ca="1">IF(ISNUMBER(INDEX(magestuff!$D$499:$Y$615,ROW()-ROW($D$256),COLUMN()-COLUMN($C$257))),INDIRECT("'Master Spell List'!$Z$"&amp;INDEX(magestuff!$D$499:$Y$615,ROW()-ROW($D$256),COLUMN()-COLUMN($C$257))),"")</f>
        <v>Lesser Hindsight</v>
      </c>
      <c r="L293" s="1055" t="str">
        <f ca="1">IF(ISNUMBER(INDEX(magestuff!$D$499:$Y$615,ROW()-ROW($D$256),COLUMN()-COLUMN($C$257))),INDIRECT("'Master Spell List'!$Z$"&amp;INDEX(magestuff!$D$499:$Y$615,ROW()-ROW($D$256),COLUMN()-COLUMN($C$257))),"")</f>
        <v>Create Lesser Illusionary Contact</v>
      </c>
      <c r="M293" s="1055" t="str">
        <f ca="1">IF(ISNUMBER(INDEX(magestuff!$D$499:$Y$615,ROW()-ROW($D$256),COLUMN()-COLUMN($C$257))),INDIRECT("'Master Spell List'!$Z$"&amp;INDEX(magestuff!$D$499:$Y$615,ROW()-ROW($D$256),COLUMN()-COLUMN($C$257))),"")</f>
        <v>Animal Pests</v>
      </c>
      <c r="N293" s="1055" t="str">
        <f ca="1">IF(ISNUMBER(INDEX(magestuff!$D$499:$Y$615,ROW()-ROW($D$256),COLUMN()-COLUMN($C$257))),INDIRECT("'Master Spell List'!$Z$"&amp;INDEX(magestuff!$D$499:$Y$615,ROW()-ROW($D$256),COLUMN()-COLUMN($C$257))),"")</f>
        <v>Summon Ghoul</v>
      </c>
      <c r="O293" s="1055" t="str">
        <f ca="1">IF(ISNUMBER(INDEX(magestuff!$D$499:$Y$615,ROW()-ROW($D$256),COLUMN()-COLUMN($C$257))),INDIRECT("'Master Spell List'!$Z$"&amp;INDEX(magestuff!$D$499:$Y$615,ROW()-ROW($D$256),COLUMN()-COLUMN($C$257))),"")</f>
        <v>Crush the Defiant</v>
      </c>
      <c r="P293" s="1055" t="str">
        <f ca="1">IF(ISNUMBER(INDEX(magestuff!$D$499:$Y$615,ROW()-ROW($D$256),COLUMN()-COLUMN($C$257))),INDIRECT("'Master Spell List'!$Z$"&amp;INDEX(magestuff!$D$499:$Y$615,ROW()-ROW($D$256),COLUMN()-COLUMN($C$257))),"")</f>
        <v>Great Transform Self</v>
      </c>
      <c r="Q293" s="1055" t="str">
        <f ca="1">IF(ISNUMBER(INDEX(magestuff!$D$499:$Y$615,ROW()-ROW($D$256),COLUMN()-COLUMN($C$257))),INDIRECT("'Master Spell List'!$Z$"&amp;INDEX(magestuff!$D$499:$Y$615,ROW()-ROW($D$256),COLUMN()-COLUMN($C$257))),"")</f>
        <v>Lesser Ward of Protection vs Undead</v>
      </c>
      <c r="R293" s="1055" t="str">
        <f ca="1">IF(ISNUMBER(INDEX(magestuff!$D$499:$Y$615,ROW()-ROW($D$256),COLUMN()-COLUMN($C$257))),INDIRECT("'Master Spell List'!$Z$"&amp;INDEX(magestuff!$D$499:$Y$615,ROW()-ROW($D$256),COLUMN()-COLUMN($C$257))),"")</f>
        <v/>
      </c>
      <c r="S293" s="1055" t="str">
        <f ca="1">IF(ISNUMBER(INDEX(magestuff!$D$499:$Y$615,ROW()-ROW($D$256),COLUMN()-COLUMN($C$257))),INDIRECT("'Master Spell List'!$Z$"&amp;INDEX(magestuff!$D$499:$Y$615,ROW()-ROW($D$256),COLUMN()-COLUMN($C$257))),"")</f>
        <v/>
      </c>
      <c r="T293" s="1055" t="str">
        <f ca="1">IF(ISNUMBER(INDEX(magestuff!$D$499:$Y$615,ROW()-ROW($D$256),COLUMN()-COLUMN($C$257))),INDIRECT("'Master Spell List'!$Z$"&amp;INDEX(magestuff!$D$499:$Y$615,ROW()-ROW($D$256),COLUMN()-COLUMN($C$257))),"")</f>
        <v/>
      </c>
      <c r="U293" s="1055" t="str">
        <f ca="1">IF(ISNUMBER(INDEX(magestuff!$D$499:$Y$615,ROW()-ROW($D$256),COLUMN()-COLUMN($C$257))),INDIRECT("'Master Spell List'!$Z$"&amp;INDEX(magestuff!$D$499:$Y$615,ROW()-ROW($D$256),COLUMN()-COLUMN($C$257))),"")</f>
        <v/>
      </c>
      <c r="V293" s="1055" t="str">
        <f ca="1">IF(ISNUMBER(INDEX(magestuff!$D$499:$Y$615,ROW()-ROW($D$256),COLUMN()-COLUMN($C$257))),INDIRECT("'Master Spell List'!$Z$"&amp;INDEX(magestuff!$D$499:$Y$615,ROW()-ROW($D$256),COLUMN()-COLUMN($C$257))),"")</f>
        <v/>
      </c>
      <c r="W293" s="1055" t="str">
        <f ca="1">IF(ISNUMBER(INDEX(magestuff!$D$499:$Y$615,ROW()-ROW($D$256),COLUMN()-COLUMN($C$257))),INDIRECT("'Master Spell List'!$Z$"&amp;INDEX(magestuff!$D$499:$Y$615,ROW()-ROW($D$256),COLUMN()-COLUMN($C$257))),"")</f>
        <v/>
      </c>
    </row>
    <row r="294" spans="1:23">
      <c r="A294" s="598">
        <v>39</v>
      </c>
      <c r="C294" s="598" t="s">
        <v>2225</v>
      </c>
      <c r="D294" s="1055" t="str">
        <f ca="1">IF(ISNUMBER(INDEX(magestuff!$D$499:$Y$615,ROW()-ROW($D$256),COLUMN()-COLUMN($C$257))),INDIRECT("'Master Spell List'!$Z$"&amp;INDEX(magestuff!$D$499:$Y$615,ROW()-ROW($D$256),COLUMN()-COLUMN($C$257))),"")</f>
        <v/>
      </c>
      <c r="E294" s="1055" t="str">
        <f ca="1">IF(ISNUMBER(INDEX(magestuff!$D$499:$Y$615,ROW()-ROW($D$256),COLUMN()-COLUMN($C$257))),INDIRECT("'Master Spell List'!$Z$"&amp;INDEX(magestuff!$D$499:$Y$615,ROW()-ROW($D$256),COLUMN()-COLUMN($C$257))),"")</f>
        <v/>
      </c>
      <c r="F294" s="1055" t="str">
        <f ca="1">IF(ISNUMBER(INDEX(magestuff!$D$499:$Y$615,ROW()-ROW($D$256),COLUMN()-COLUMN($C$257))),INDIRECT("'Master Spell List'!$Z$"&amp;INDEX(magestuff!$D$499:$Y$615,ROW()-ROW($D$256),COLUMN()-COLUMN($C$257))),"")</f>
        <v>Great Shave Enchanted Metals</v>
      </c>
      <c r="G294" s="1055" t="str">
        <f ca="1">IF(ISNUMBER(INDEX(magestuff!$D$499:$Y$615,ROW()-ROW($D$256),COLUMN()-COLUMN($C$257))),INDIRECT("'Master Spell List'!$Z$"&amp;INDEX(magestuff!$D$499:$Y$615,ROW()-ROW($D$256),COLUMN()-COLUMN($C$257))),"")</f>
        <v>Jets Of Flame - Salamander Fire</v>
      </c>
      <c r="H294" s="1055" t="str">
        <f ca="1">IF(ISNUMBER(INDEX(magestuff!$D$499:$Y$615,ROW()-ROW($D$256),COLUMN()-COLUMN($C$257))),INDIRECT("'Master Spell List'!$Z$"&amp;INDEX(magestuff!$D$499:$Y$615,ROW()-ROW($D$256),COLUMN()-COLUMN($C$257))),"")</f>
        <v>Magical Cell of Ice (Ice Queens Defense)</v>
      </c>
      <c r="I294" s="1055" t="str">
        <f ca="1">IF(ISNUMBER(INDEX(magestuff!$D$499:$Y$615,ROW()-ROW($D$256),COLUMN()-COLUMN($C$257))),INDIRECT("'Master Spell List'!$Z$"&amp;INDEX(magestuff!$D$499:$Y$615,ROW()-ROW($D$256),COLUMN()-COLUMN($C$257))),"")</f>
        <v>Spirit Walker (Astral Projection)</v>
      </c>
      <c r="J294" s="1055" t="str">
        <f ca="1">IF(ISNUMBER(INDEX(magestuff!$D$499:$Y$615,ROW()-ROW($D$256),COLUMN()-COLUMN($C$257))),INDIRECT("'Master Spell List'!$Z$"&amp;INDEX(magestuff!$D$499:$Y$615,ROW()-ROW($D$256),COLUMN()-COLUMN($C$257))),"")</f>
        <v>Dispel Charm</v>
      </c>
      <c r="K294" s="1055" t="str">
        <f ca="1">IF(ISNUMBER(INDEX(magestuff!$D$499:$Y$615,ROW()-ROW($D$256),COLUMN()-COLUMN($C$257))),INDIRECT("'Master Spell List'!$Z$"&amp;INDEX(magestuff!$D$499:$Y$615,ROW()-ROW($D$256),COLUMN()-COLUMN($C$257))),"")</f>
        <v>Quicken</v>
      </c>
      <c r="L294" s="1055" t="str">
        <f ca="1">IF(ISNUMBER(INDEX(magestuff!$D$499:$Y$615,ROW()-ROW($D$256),COLUMN()-COLUMN($C$257))),INDIRECT("'Master Spell List'!$Z$"&amp;INDEX(magestuff!$D$499:$Y$615,ROW()-ROW($D$256),COLUMN()-COLUMN($C$257))),"")</f>
        <v>Create Lesser Sound</v>
      </c>
      <c r="M294" s="1055" t="str">
        <f ca="1">IF(ISNUMBER(INDEX(magestuff!$D$499:$Y$615,ROW()-ROW($D$256),COLUMN()-COLUMN($C$257))),INDIRECT("'Master Spell List'!$Z$"&amp;INDEX(magestuff!$D$499:$Y$615,ROW()-ROW($D$256),COLUMN()-COLUMN($C$257))),"")</f>
        <v>Create/Command Plant (Train)</v>
      </c>
      <c r="N294" s="1055" t="str">
        <f ca="1">IF(ISNUMBER(INDEX(magestuff!$D$499:$Y$615,ROW()-ROW($D$256),COLUMN()-COLUMN($C$257))),INDIRECT("'Master Spell List'!$Z$"&amp;INDEX(magestuff!$D$499:$Y$615,ROW()-ROW($D$256),COLUMN()-COLUMN($C$257))),"")</f>
        <v>Banish Great Spirit</v>
      </c>
      <c r="O294" s="1055" t="str">
        <f ca="1">IF(ISNUMBER(INDEX(magestuff!$D$499:$Y$615,ROW()-ROW($D$256),COLUMN()-COLUMN($C$257))),INDIRECT("'Master Spell List'!$Z$"&amp;INDEX(magestuff!$D$499:$Y$615,ROW()-ROW($D$256),COLUMN()-COLUMN($C$257))),"")</f>
        <v>Greater Blending of the Mage</v>
      </c>
      <c r="P294" s="1055" t="str">
        <f ca="1">IF(ISNUMBER(INDEX(magestuff!$D$499:$Y$615,ROW()-ROW($D$256),COLUMN()-COLUMN($C$257))),INDIRECT("'Master Spell List'!$Z$"&amp;INDEX(magestuff!$D$499:$Y$615,ROW()-ROW($D$256),COLUMN()-COLUMN($C$257))),"")</f>
        <v>Eyes of Medusa</v>
      </c>
      <c r="Q294" s="1055" t="str">
        <f ca="1">IF(ISNUMBER(INDEX(magestuff!$D$499:$Y$615,ROW()-ROW($D$256),COLUMN()-COLUMN($C$257))),INDIRECT("'Master Spell List'!$Z$"&amp;INDEX(magestuff!$D$499:$Y$615,ROW()-ROW($D$256),COLUMN()-COLUMN($C$257))),"")</f>
        <v>Lesser Ward of Warning</v>
      </c>
      <c r="R294" s="1055" t="str">
        <f ca="1">IF(ISNUMBER(INDEX(magestuff!$D$499:$Y$615,ROW()-ROW($D$256),COLUMN()-COLUMN($C$257))),INDIRECT("'Master Spell List'!$Z$"&amp;INDEX(magestuff!$D$499:$Y$615,ROW()-ROW($D$256),COLUMN()-COLUMN($C$257))),"")</f>
        <v/>
      </c>
      <c r="S294" s="1055" t="str">
        <f ca="1">IF(ISNUMBER(INDEX(magestuff!$D$499:$Y$615,ROW()-ROW($D$256),COLUMN()-COLUMN($C$257))),INDIRECT("'Master Spell List'!$Z$"&amp;INDEX(magestuff!$D$499:$Y$615,ROW()-ROW($D$256),COLUMN()-COLUMN($C$257))),"")</f>
        <v/>
      </c>
      <c r="T294" s="1055" t="str">
        <f ca="1">IF(ISNUMBER(INDEX(magestuff!$D$499:$Y$615,ROW()-ROW($D$256),COLUMN()-COLUMN($C$257))),INDIRECT("'Master Spell List'!$Z$"&amp;INDEX(magestuff!$D$499:$Y$615,ROW()-ROW($D$256),COLUMN()-COLUMN($C$257))),"")</f>
        <v/>
      </c>
      <c r="U294" s="1055" t="str">
        <f ca="1">IF(ISNUMBER(INDEX(magestuff!$D$499:$Y$615,ROW()-ROW($D$256),COLUMN()-COLUMN($C$257))),INDIRECT("'Master Spell List'!$Z$"&amp;INDEX(magestuff!$D$499:$Y$615,ROW()-ROW($D$256),COLUMN()-COLUMN($C$257))),"")</f>
        <v/>
      </c>
      <c r="V294" s="1055" t="str">
        <f ca="1">IF(ISNUMBER(INDEX(magestuff!$D$499:$Y$615,ROW()-ROW($D$256),COLUMN()-COLUMN($C$257))),INDIRECT("'Master Spell List'!$Z$"&amp;INDEX(magestuff!$D$499:$Y$615,ROW()-ROW($D$256),COLUMN()-COLUMN($C$257))),"")</f>
        <v/>
      </c>
      <c r="W294" s="1055" t="str">
        <f ca="1">IF(ISNUMBER(INDEX(magestuff!$D$499:$Y$615,ROW()-ROW($D$256),COLUMN()-COLUMN($C$257))),INDIRECT("'Master Spell List'!$Z$"&amp;INDEX(magestuff!$D$499:$Y$615,ROW()-ROW($D$256),COLUMN()-COLUMN($C$257))),"")</f>
        <v/>
      </c>
    </row>
    <row r="295" spans="1:23">
      <c r="A295" s="598">
        <v>40</v>
      </c>
      <c r="C295" s="598" t="s">
        <v>2225</v>
      </c>
      <c r="D295" s="1055" t="str">
        <f ca="1">IF(ISNUMBER(INDEX(magestuff!$D$499:$Y$615,ROW()-ROW($D$256),COLUMN()-COLUMN($C$257))),INDIRECT("'Master Spell List'!$Z$"&amp;INDEX(magestuff!$D$499:$Y$615,ROW()-ROW($D$256),COLUMN()-COLUMN($C$257))),"")</f>
        <v/>
      </c>
      <c r="E295" s="1055" t="str">
        <f ca="1">IF(ISNUMBER(INDEX(magestuff!$D$499:$Y$615,ROW()-ROW($D$256),COLUMN()-COLUMN($C$257))),INDIRECT("'Master Spell List'!$Z$"&amp;INDEX(magestuff!$D$499:$Y$615,ROW()-ROW($D$256),COLUMN()-COLUMN($C$257))),"")</f>
        <v/>
      </c>
      <c r="F295" s="1055" t="str">
        <f ca="1">IF(ISNUMBER(INDEX(magestuff!$D$499:$Y$615,ROW()-ROW($D$256),COLUMN()-COLUMN($C$257))),INDIRECT("'Master Spell List'!$Z$"&amp;INDEX(magestuff!$D$499:$Y$615,ROW()-ROW($D$256),COLUMN()-COLUMN($C$257))),"")</f>
        <v>Greatest Earth's Cell</v>
      </c>
      <c r="G295" s="1055" t="str">
        <f ca="1">IF(ISNUMBER(INDEX(magestuff!$D$499:$Y$615,ROW()-ROW($D$256),COLUMN()-COLUMN($C$257))),INDIRECT("'Master Spell List'!$Z$"&amp;INDEX(magestuff!$D$499:$Y$615,ROW()-ROW($D$256),COLUMN()-COLUMN($C$257))),"")</f>
        <v>Fire Ball  - Salamander Fire</v>
      </c>
      <c r="H295" s="1055" t="str">
        <f ca="1">IF(ISNUMBER(INDEX(magestuff!$D$499:$Y$615,ROW()-ROW($D$256),COLUMN()-COLUMN($C$257))),INDIRECT("'Master Spell List'!$Z$"&amp;INDEX(magestuff!$D$499:$Y$615,ROW()-ROW($D$256),COLUMN()-COLUMN($C$257))),"")</f>
        <v>Prison of Ice</v>
      </c>
      <c r="I295" s="1055" t="str">
        <f ca="1">IF(ISNUMBER(INDEX(magestuff!$D$499:$Y$615,ROW()-ROW($D$256),COLUMN()-COLUMN($C$257))),INDIRECT("'Master Spell List'!$Z$"&amp;INDEX(magestuff!$D$499:$Y$615,ROW()-ROW($D$256),COLUMN()-COLUMN($C$257))),"")</f>
        <v>Arcane Cloak  (Cloak of Power, Mana Flower)</v>
      </c>
      <c r="J295" s="1055" t="str">
        <f ca="1">IF(ISNUMBER(INDEX(magestuff!$D$499:$Y$615,ROW()-ROW($D$256),COLUMN()-COLUMN($C$257))),INDIRECT("'Master Spell List'!$Z$"&amp;INDEX(magestuff!$D$499:$Y$615,ROW()-ROW($D$256),COLUMN()-COLUMN($C$257))),"")</f>
        <v>Draw Attention</v>
      </c>
      <c r="K295" s="1055" t="str">
        <f ca="1">IF(ISNUMBER(INDEX(magestuff!$D$499:$Y$615,ROW()-ROW($D$256),COLUMN()-COLUMN($C$257))),INDIRECT("'Master Spell List'!$Z$"&amp;INDEX(magestuff!$D$499:$Y$615,ROW()-ROW($D$256),COLUMN()-COLUMN($C$257))),"")</f>
        <v>Scry From Afar</v>
      </c>
      <c r="L295" s="1055" t="str">
        <f ca="1">IF(ISNUMBER(INDEX(magestuff!$D$499:$Y$615,ROW()-ROW($D$256),COLUMN()-COLUMN($C$257))),INDIRECT("'Master Spell List'!$Z$"&amp;INDEX(magestuff!$D$499:$Y$615,ROW()-ROW($D$256),COLUMN()-COLUMN($C$257))),"")</f>
        <v>Delusion</v>
      </c>
      <c r="M295" s="1055" t="str">
        <f ca="1">IF(ISNUMBER(INDEX(magestuff!$D$499:$Y$615,ROW()-ROW($D$256),COLUMN()-COLUMN($C$257))),INDIRECT("'Master Spell List'!$Z$"&amp;INDEX(magestuff!$D$499:$Y$615,ROW()-ROW($D$256),COLUMN()-COLUMN($C$257))),"")</f>
        <v>Dispel (Plant)</v>
      </c>
      <c r="N295" s="1055" t="str">
        <f ca="1">IF(ISNUMBER(INDEX(magestuff!$D$499:$Y$615,ROW()-ROW($D$256),COLUMN()-COLUMN($C$257))),INDIRECT("'Master Spell List'!$Z$"&amp;INDEX(magestuff!$D$499:$Y$615,ROW()-ROW($D$256),COLUMN()-COLUMN($C$257))),"")</f>
        <v xml:space="preserve">Greater Bind Lesser Spirits into a container </v>
      </c>
      <c r="O295" s="1055" t="str">
        <f ca="1">IF(ISNUMBER(INDEX(magestuff!$D$499:$Y$615,ROW()-ROW($D$256),COLUMN()-COLUMN($C$257))),INDIRECT("'Master Spell List'!$Z$"&amp;INDEX(magestuff!$D$499:$Y$615,ROW()-ROW($D$256),COLUMN()-COLUMN($C$257))),"")</f>
        <v>Greater Gift of Understanding</v>
      </c>
      <c r="P295" s="1055" t="str">
        <f ca="1">IF(ISNUMBER(INDEX(magestuff!$D$499:$Y$615,ROW()-ROW($D$256),COLUMN()-COLUMN($C$257))),INDIRECT("'Master Spell List'!$Z$"&amp;INDEX(magestuff!$D$499:$Y$615,ROW()-ROW($D$256),COLUMN()-COLUMN($C$257))),"")</f>
        <v>Great Enhancement</v>
      </c>
      <c r="Q295" s="1055" t="str">
        <f ca="1">IF(ISNUMBER(INDEX(magestuff!$D$499:$Y$615,ROW()-ROW($D$256),COLUMN()-COLUMN($C$257))),INDIRECT("'Master Spell List'!$Z$"&amp;INDEX(magestuff!$D$499:$Y$615,ROW()-ROW($D$256),COLUMN()-COLUMN($C$257))),"")</f>
        <v>Lesser Circle of Protection vs Supernatural</v>
      </c>
      <c r="R295" s="1055" t="str">
        <f ca="1">IF(ISNUMBER(INDEX(magestuff!$D$499:$Y$615,ROW()-ROW($D$256),COLUMN()-COLUMN($C$257))),INDIRECT("'Master Spell List'!$Z$"&amp;INDEX(magestuff!$D$499:$Y$615,ROW()-ROW($D$256),COLUMN()-COLUMN($C$257))),"")</f>
        <v/>
      </c>
      <c r="S295" s="1055" t="str">
        <f ca="1">IF(ISNUMBER(INDEX(magestuff!$D$499:$Y$615,ROW()-ROW($D$256),COLUMN()-COLUMN($C$257))),INDIRECT("'Master Spell List'!$Z$"&amp;INDEX(magestuff!$D$499:$Y$615,ROW()-ROW($D$256),COLUMN()-COLUMN($C$257))),"")</f>
        <v/>
      </c>
      <c r="T295" s="1055" t="str">
        <f ca="1">IF(ISNUMBER(INDEX(magestuff!$D$499:$Y$615,ROW()-ROW($D$256),COLUMN()-COLUMN($C$257))),INDIRECT("'Master Spell List'!$Z$"&amp;INDEX(magestuff!$D$499:$Y$615,ROW()-ROW($D$256),COLUMN()-COLUMN($C$257))),"")</f>
        <v/>
      </c>
      <c r="U295" s="1055" t="str">
        <f ca="1">IF(ISNUMBER(INDEX(magestuff!$D$499:$Y$615,ROW()-ROW($D$256),COLUMN()-COLUMN($C$257))),INDIRECT("'Master Spell List'!$Z$"&amp;INDEX(magestuff!$D$499:$Y$615,ROW()-ROW($D$256),COLUMN()-COLUMN($C$257))),"")</f>
        <v/>
      </c>
      <c r="V295" s="1055" t="str">
        <f ca="1">IF(ISNUMBER(INDEX(magestuff!$D$499:$Y$615,ROW()-ROW($D$256),COLUMN()-COLUMN($C$257))),INDIRECT("'Master Spell List'!$Z$"&amp;INDEX(magestuff!$D$499:$Y$615,ROW()-ROW($D$256),COLUMN()-COLUMN($C$257))),"")</f>
        <v/>
      </c>
      <c r="W295" s="1055" t="str">
        <f ca="1">IF(ISNUMBER(INDEX(magestuff!$D$499:$Y$615,ROW()-ROW($D$256),COLUMN()-COLUMN($C$257))),INDIRECT("'Master Spell List'!$Z$"&amp;INDEX(magestuff!$D$499:$Y$615,ROW()-ROW($D$256),COLUMN()-COLUMN($C$257))),"")</f>
        <v/>
      </c>
    </row>
    <row r="296" spans="1:23">
      <c r="A296" s="598">
        <v>41</v>
      </c>
      <c r="C296" s="598" t="s">
        <v>2225</v>
      </c>
      <c r="D296" s="1055" t="str">
        <f ca="1">IF(ISNUMBER(INDEX(magestuff!$D$499:$Y$615,ROW()-ROW($D$256),COLUMN()-COLUMN($C$257))),INDIRECT("'Master Spell List'!$Z$"&amp;INDEX(magestuff!$D$499:$Y$615,ROW()-ROW($D$256),COLUMN()-COLUMN($C$257))),"")</f>
        <v/>
      </c>
      <c r="E296" s="1055" t="str">
        <f ca="1">IF(ISNUMBER(INDEX(magestuff!$D$499:$Y$615,ROW()-ROW($D$256),COLUMN()-COLUMN($C$257))),INDIRECT("'Master Spell List'!$Z$"&amp;INDEX(magestuff!$D$499:$Y$615,ROW()-ROW($D$256),COLUMN()-COLUMN($C$257))),"")</f>
        <v/>
      </c>
      <c r="F296" s="1055" t="str">
        <f ca="1">IF(ISNUMBER(INDEX(magestuff!$D$499:$Y$615,ROW()-ROW($D$256),COLUMN()-COLUMN($C$257))),INDIRECT("'Master Spell List'!$Z$"&amp;INDEX(magestuff!$D$499:$Y$615,ROW()-ROW($D$256),COLUMN()-COLUMN($C$257))),"")</f>
        <v>Least Jeweller’s Tumbler - Coarse</v>
      </c>
      <c r="G296" s="1055" t="str">
        <f ca="1">IF(ISNUMBER(INDEX(magestuff!$D$499:$Y$615,ROW()-ROW($D$256),COLUMN()-COLUMN($C$257))),INDIRECT("'Master Spell List'!$Z$"&amp;INDEX(magestuff!$D$499:$Y$615,ROW()-ROW($D$256),COLUMN()-COLUMN($C$257))),"")</f>
        <v>Jets Of Flame - Dragon Fire</v>
      </c>
      <c r="H296" s="1055" t="str">
        <f ca="1">IF(ISNUMBER(INDEX(magestuff!$D$499:$Y$615,ROW()-ROW($D$256),COLUMN()-COLUMN($C$257))),INDIRECT("'Master Spell List'!$Z$"&amp;INDEX(magestuff!$D$499:$Y$615,ROW()-ROW($D$256),COLUMN()-COLUMN($C$257))),"")</f>
        <v>Spray of the Undine</v>
      </c>
      <c r="I296" s="1055" t="str">
        <f ca="1">IF(ISNUMBER(INDEX(magestuff!$D$499:$Y$615,ROW()-ROW($D$256),COLUMN()-COLUMN($C$257))),INDIRECT("'Master Spell List'!$Z$"&amp;INDEX(magestuff!$D$499:$Y$615,ROW()-ROW($D$256),COLUMN()-COLUMN($C$257))),"")</f>
        <v>Least Aport an Object</v>
      </c>
      <c r="J296" s="1055" t="str">
        <f ca="1">IF(ISNUMBER(INDEX(magestuff!$D$499:$Y$615,ROW()-ROW($D$256),COLUMN()-COLUMN($C$257))),INDIRECT("'Master Spell List'!$Z$"&amp;INDEX(magestuff!$D$499:$Y$615,ROW()-ROW($D$256),COLUMN()-COLUMN($C$257))),"")</f>
        <v>Fear</v>
      </c>
      <c r="K296" s="1055" t="str">
        <f ca="1">IF(ISNUMBER(INDEX(magestuff!$D$499:$Y$615,ROW()-ROW($D$256),COLUMN()-COLUMN($C$257))),INDIRECT("'Master Spell List'!$Z$"&amp;INDEX(magestuff!$D$499:$Y$615,ROW()-ROW($D$256),COLUMN()-COLUMN($C$257))),"")</f>
        <v>Detect Aspect</v>
      </c>
      <c r="L296" s="1055" t="str">
        <f ca="1">IF(ISNUMBER(INDEX(magestuff!$D$499:$Y$615,ROW()-ROW($D$256),COLUMN()-COLUMN($C$257))),INDIRECT("'Master Spell List'!$Z$"&amp;INDEX(magestuff!$D$499:$Y$615,ROW()-ROW($D$256),COLUMN()-COLUMN($C$257))),"")</f>
        <v xml:space="preserve">Detach Sound </v>
      </c>
      <c r="M296" s="1055" t="str">
        <f ca="1">IF(ISNUMBER(INDEX(magestuff!$D$499:$Y$615,ROW()-ROW($D$256),COLUMN()-COLUMN($C$257))),INDIRECT("'Master Spell List'!$Z$"&amp;INDEX(magestuff!$D$499:$Y$615,ROW()-ROW($D$256),COLUMN()-COLUMN($C$257))),"")</f>
        <v>Draw Stave</v>
      </c>
      <c r="N296" s="1055" t="str">
        <f ca="1">IF(ISNUMBER(INDEX(magestuff!$D$499:$Y$615,ROW()-ROW($D$256),COLUMN()-COLUMN($C$257))),INDIRECT("'Master Spell List'!$Z$"&amp;INDEX(magestuff!$D$499:$Y$615,ROW()-ROW($D$256),COLUMN()-COLUMN($C$257))),"")</f>
        <v xml:space="preserve">Greater Bind the Greater Undead into a Container </v>
      </c>
      <c r="O296" s="1055" t="str">
        <f ca="1">IF(ISNUMBER(INDEX(magestuff!$D$499:$Y$615,ROW()-ROW($D$256),COLUMN()-COLUMN($C$257))),INDIRECT("'Master Spell List'!$Z$"&amp;INDEX(magestuff!$D$499:$Y$615,ROW()-ROW($D$256),COLUMN()-COLUMN($C$257))),"")</f>
        <v>Greater Stealth of the Mage</v>
      </c>
      <c r="P296" s="1055" t="str">
        <f ca="1">IF(ISNUMBER(INDEX(magestuff!$D$499:$Y$615,ROW()-ROW($D$256),COLUMN()-COLUMN($C$257))),INDIRECT("'Master Spell List'!$Z$"&amp;INDEX(magestuff!$D$499:$Y$615,ROW()-ROW($D$256),COLUMN()-COLUMN($C$257))),"")</f>
        <v>Greater Transform Self</v>
      </c>
      <c r="Q296" s="1055" t="str">
        <f ca="1">IF(ISNUMBER(INDEX(magestuff!$D$499:$Y$615,ROW()-ROW($D$256),COLUMN()-COLUMN($C$257))),INDIRECT("'Master Spell List'!$Z$"&amp;INDEX(magestuff!$D$499:$Y$615,ROW()-ROW($D$256),COLUMN()-COLUMN($C$257))),"")</f>
        <v>Lesser Ward of Protection vs Supernatural</v>
      </c>
      <c r="R296" s="1055" t="str">
        <f ca="1">IF(ISNUMBER(INDEX(magestuff!$D$499:$Y$615,ROW()-ROW($D$256),COLUMN()-COLUMN($C$257))),INDIRECT("'Master Spell List'!$Z$"&amp;INDEX(magestuff!$D$499:$Y$615,ROW()-ROW($D$256),COLUMN()-COLUMN($C$257))),"")</f>
        <v/>
      </c>
      <c r="S296" s="1055" t="str">
        <f ca="1">IF(ISNUMBER(INDEX(magestuff!$D$499:$Y$615,ROW()-ROW($D$256),COLUMN()-COLUMN($C$257))),INDIRECT("'Master Spell List'!$Z$"&amp;INDEX(magestuff!$D$499:$Y$615,ROW()-ROW($D$256),COLUMN()-COLUMN($C$257))),"")</f>
        <v/>
      </c>
      <c r="T296" s="1055" t="str">
        <f ca="1">IF(ISNUMBER(INDEX(magestuff!$D$499:$Y$615,ROW()-ROW($D$256),COLUMN()-COLUMN($C$257))),INDIRECT("'Master Spell List'!$Z$"&amp;INDEX(magestuff!$D$499:$Y$615,ROW()-ROW($D$256),COLUMN()-COLUMN($C$257))),"")</f>
        <v/>
      </c>
      <c r="U296" s="1055" t="str">
        <f ca="1">IF(ISNUMBER(INDEX(magestuff!$D$499:$Y$615,ROW()-ROW($D$256),COLUMN()-COLUMN($C$257))),INDIRECT("'Master Spell List'!$Z$"&amp;INDEX(magestuff!$D$499:$Y$615,ROW()-ROW($D$256),COLUMN()-COLUMN($C$257))),"")</f>
        <v/>
      </c>
      <c r="V296" s="1055" t="str">
        <f ca="1">IF(ISNUMBER(INDEX(magestuff!$D$499:$Y$615,ROW()-ROW($D$256),COLUMN()-COLUMN($C$257))),INDIRECT("'Master Spell List'!$Z$"&amp;INDEX(magestuff!$D$499:$Y$615,ROW()-ROW($D$256),COLUMN()-COLUMN($C$257))),"")</f>
        <v/>
      </c>
      <c r="W296" s="1055" t="str">
        <f ca="1">IF(ISNUMBER(INDEX(magestuff!$D$499:$Y$615,ROW()-ROW($D$256),COLUMN()-COLUMN($C$257))),INDIRECT("'Master Spell List'!$Z$"&amp;INDEX(magestuff!$D$499:$Y$615,ROW()-ROW($D$256),COLUMN()-COLUMN($C$257))),"")</f>
        <v/>
      </c>
    </row>
    <row r="297" spans="1:23">
      <c r="A297" s="598">
        <v>42</v>
      </c>
      <c r="C297" s="598" t="s">
        <v>2225</v>
      </c>
      <c r="D297" s="1055" t="str">
        <f ca="1">IF(ISNUMBER(INDEX(magestuff!$D$499:$Y$615,ROW()-ROW($D$256),COLUMN()-COLUMN($C$257))),INDIRECT("'Master Spell List'!$Z$"&amp;INDEX(magestuff!$D$499:$Y$615,ROW()-ROW($D$256),COLUMN()-COLUMN($C$257))),"")</f>
        <v/>
      </c>
      <c r="E297" s="1055" t="str">
        <f ca="1">IF(ISNUMBER(INDEX(magestuff!$D$499:$Y$615,ROW()-ROW($D$256),COLUMN()-COLUMN($C$257))),INDIRECT("'Master Spell List'!$Z$"&amp;INDEX(magestuff!$D$499:$Y$615,ROW()-ROW($D$256),COLUMN()-COLUMN($C$257))),"")</f>
        <v/>
      </c>
      <c r="F297" s="1055" t="str">
        <f ca="1">IF(ISNUMBER(INDEX(magestuff!$D$499:$Y$615,ROW()-ROW($D$256),COLUMN()-COLUMN($C$257))),INDIRECT("'Master Spell List'!$Z$"&amp;INDEX(magestuff!$D$499:$Y$615,ROW()-ROW($D$256),COLUMN()-COLUMN($C$257))),"")</f>
        <v>Lesser Powder Enchanted Metals</v>
      </c>
      <c r="G297" s="1055" t="str">
        <f ca="1">IF(ISNUMBER(INDEX(magestuff!$D$499:$Y$615,ROW()-ROW($D$256),COLUMN()-COLUMN($C$257))),INDIRECT("'Master Spell List'!$Z$"&amp;INDEX(magestuff!$D$499:$Y$615,ROW()-ROW($D$256),COLUMN()-COLUMN($C$257))),"")</f>
        <v>Turn Flame  - Dragon Fire</v>
      </c>
      <c r="H297" s="1055" t="str">
        <f ca="1">IF(ISNUMBER(INDEX(magestuff!$D$499:$Y$615,ROW()-ROW($D$256),COLUMN()-COLUMN($C$257))),INDIRECT("'Master Spell List'!$Z$"&amp;INDEX(magestuff!$D$499:$Y$615,ROW()-ROW($D$256),COLUMN()-COLUMN($C$257))),"")</f>
        <v>Touch of Ice</v>
      </c>
      <c r="I297" s="1055" t="str">
        <f ca="1">IF(ISNUMBER(INDEX(magestuff!$D$499:$Y$615,ROW()-ROW($D$256),COLUMN()-COLUMN($C$257))),INDIRECT("'Master Spell List'!$Z$"&amp;INDEX(magestuff!$D$499:$Y$615,ROW()-ROW($D$256),COLUMN()-COLUMN($C$257))),"")</f>
        <v xml:space="preserve">Arcane Dagger Blade </v>
      </c>
      <c r="J297" s="1055" t="str">
        <f ca="1">IF(ISNUMBER(INDEX(magestuff!$D$499:$Y$615,ROW()-ROW($D$256),COLUMN()-COLUMN($C$257))),INDIRECT("'Master Spell List'!$Z$"&amp;INDEX(magestuff!$D$499:$Y$615,ROW()-ROW($D$256),COLUMN()-COLUMN($C$257))),"")</f>
        <v>Greater Awaken</v>
      </c>
      <c r="K297" s="1055" t="str">
        <f ca="1">IF(ISNUMBER(INDEX(magestuff!$D$499:$Y$615,ROW()-ROW($D$256),COLUMN()-COLUMN($C$257))),INDIRECT("'Master Spell List'!$Z$"&amp;INDEX(magestuff!$D$499:$Y$615,ROW()-ROW($D$256),COLUMN()-COLUMN($C$257))),"")</f>
        <v>Detect Command or Geas</v>
      </c>
      <c r="L297" s="1055" t="str">
        <f ca="1">IF(ISNUMBER(INDEX(magestuff!$D$499:$Y$615,ROW()-ROW($D$256),COLUMN()-COLUMN($C$257))),INDIRECT("'Master Spell List'!$Z$"&amp;INDEX(magestuff!$D$499:$Y$615,ROW()-ROW($D$256),COLUMN()-COLUMN($C$257))),"")</f>
        <v xml:space="preserve">Diffuse Sound </v>
      </c>
      <c r="M297" s="1055" t="str">
        <f ca="1">IF(ISNUMBER(INDEX(magestuff!$D$499:$Y$615,ROW()-ROW($D$256),COLUMN()-COLUMN($C$257))),INDIRECT("'Master Spell List'!$Z$"&amp;INDEX(magestuff!$D$499:$Y$615,ROW()-ROW($D$256),COLUMN()-COLUMN($C$257))),"")</f>
        <v>Flesh of the Earth</v>
      </c>
      <c r="N297" s="1055" t="str">
        <f ca="1">IF(ISNUMBER(INDEX(magestuff!$D$499:$Y$615,ROW()-ROW($D$256),COLUMN()-COLUMN($C$257))),INDIRECT("'Master Spell List'!$Z$"&amp;INDEX(magestuff!$D$499:$Y$615,ROW()-ROW($D$256),COLUMN()-COLUMN($C$257))),"")</f>
        <v>Summon Greater Undead</v>
      </c>
      <c r="O297" s="1055" t="str">
        <f ca="1">IF(ISNUMBER(INDEX(magestuff!$D$499:$Y$615,ROW()-ROW($D$256),COLUMN()-COLUMN($C$257))),INDIRECT("'Master Spell List'!$Z$"&amp;INDEX(magestuff!$D$499:$Y$615,ROW()-ROW($D$256),COLUMN()-COLUMN($C$257))),"")</f>
        <v>Greatest Push</v>
      </c>
      <c r="P297" s="1055" t="str">
        <f ca="1">IF(ISNUMBER(INDEX(magestuff!$D$499:$Y$615,ROW()-ROW($D$256),COLUMN()-COLUMN($C$257))),INDIRECT("'Master Spell List'!$Z$"&amp;INDEX(magestuff!$D$499:$Y$615,ROW()-ROW($D$256),COLUMN()-COLUMN($C$257))),"")</f>
        <v>Grow Aged</v>
      </c>
      <c r="Q297" s="1055" t="str">
        <f ca="1">IF(ISNUMBER(INDEX(magestuff!$D$499:$Y$615,ROW()-ROW($D$256),COLUMN()-COLUMN($C$257))),INDIRECT("'Master Spell List'!$Z$"&amp;INDEX(magestuff!$D$499:$Y$615,ROW()-ROW($D$256),COLUMN()-COLUMN($C$257))),"")</f>
        <v>Circle of Protection</v>
      </c>
      <c r="R297" s="1055" t="str">
        <f ca="1">IF(ISNUMBER(INDEX(magestuff!$D$499:$Y$615,ROW()-ROW($D$256),COLUMN()-COLUMN($C$257))),INDIRECT("'Master Spell List'!$Z$"&amp;INDEX(magestuff!$D$499:$Y$615,ROW()-ROW($D$256),COLUMN()-COLUMN($C$257))),"")</f>
        <v/>
      </c>
      <c r="S297" s="1055" t="str">
        <f ca="1">IF(ISNUMBER(INDEX(magestuff!$D$499:$Y$615,ROW()-ROW($D$256),COLUMN()-COLUMN($C$257))),INDIRECT("'Master Spell List'!$Z$"&amp;INDEX(magestuff!$D$499:$Y$615,ROW()-ROW($D$256),COLUMN()-COLUMN($C$257))),"")</f>
        <v/>
      </c>
      <c r="T297" s="1055" t="str">
        <f ca="1">IF(ISNUMBER(INDEX(magestuff!$D$499:$Y$615,ROW()-ROW($D$256),COLUMN()-COLUMN($C$257))),INDIRECT("'Master Spell List'!$Z$"&amp;INDEX(magestuff!$D$499:$Y$615,ROW()-ROW($D$256),COLUMN()-COLUMN($C$257))),"")</f>
        <v/>
      </c>
      <c r="U297" s="1055" t="str">
        <f ca="1">IF(ISNUMBER(INDEX(magestuff!$D$499:$Y$615,ROW()-ROW($D$256),COLUMN()-COLUMN($C$257))),INDIRECT("'Master Spell List'!$Z$"&amp;INDEX(magestuff!$D$499:$Y$615,ROW()-ROW($D$256),COLUMN()-COLUMN($C$257))),"")</f>
        <v/>
      </c>
      <c r="V297" s="1055" t="str">
        <f ca="1">IF(ISNUMBER(INDEX(magestuff!$D$499:$Y$615,ROW()-ROW($D$256),COLUMN()-COLUMN($C$257))),INDIRECT("'Master Spell List'!$Z$"&amp;INDEX(magestuff!$D$499:$Y$615,ROW()-ROW($D$256),COLUMN()-COLUMN($C$257))),"")</f>
        <v/>
      </c>
      <c r="W297" s="1055" t="str">
        <f ca="1">IF(ISNUMBER(INDEX(magestuff!$D$499:$Y$615,ROW()-ROW($D$256),COLUMN()-COLUMN($C$257))),INDIRECT("'Master Spell List'!$Z$"&amp;INDEX(magestuff!$D$499:$Y$615,ROW()-ROW($D$256),COLUMN()-COLUMN($C$257))),"")</f>
        <v/>
      </c>
    </row>
    <row r="298" spans="1:23">
      <c r="A298" s="598">
        <v>43</v>
      </c>
      <c r="C298" s="598" t="s">
        <v>2225</v>
      </c>
      <c r="D298" s="1055" t="str">
        <f ca="1">IF(ISNUMBER(INDEX(magestuff!$D$499:$Y$615,ROW()-ROW($D$256),COLUMN()-COLUMN($C$257))),INDIRECT("'Master Spell List'!$Z$"&amp;INDEX(magestuff!$D$499:$Y$615,ROW()-ROW($D$256),COLUMN()-COLUMN($C$257))),"")</f>
        <v/>
      </c>
      <c r="E298" s="1055" t="str">
        <f ca="1">IF(ISNUMBER(INDEX(magestuff!$D$499:$Y$615,ROW()-ROW($D$256),COLUMN()-COLUMN($C$257))),INDIRECT("'Master Spell List'!$Z$"&amp;INDEX(magestuff!$D$499:$Y$615,ROW()-ROW($D$256),COLUMN()-COLUMN($C$257))),"")</f>
        <v/>
      </c>
      <c r="F298" s="1055" t="str">
        <f ca="1">IF(ISNUMBER(INDEX(magestuff!$D$499:$Y$615,ROW()-ROW($D$256),COLUMN()-COLUMN($C$257))),INDIRECT("'Master Spell List'!$Z$"&amp;INDEX(magestuff!$D$499:$Y$615,ROW()-ROW($D$256),COLUMN()-COLUMN($C$257))),"")</f>
        <v>Create Stained Glass</v>
      </c>
      <c r="G298" s="1055" t="str">
        <f ca="1">IF(ISNUMBER(INDEX(magestuff!$D$499:$Y$615,ROW()-ROW($D$256),COLUMN()-COLUMN($C$257))),INDIRECT("'Master Spell List'!$Z$"&amp;INDEX(magestuff!$D$499:$Y$615,ROW()-ROW($D$256),COLUMN()-COLUMN($C$257))),"")</f>
        <v>Command Dragon Fire</v>
      </c>
      <c r="H298" s="1055" t="str">
        <f ca="1">IF(ISNUMBER(INDEX(magestuff!$D$499:$Y$615,ROW()-ROW($D$256),COLUMN()-COLUMN($C$257))),INDIRECT("'Master Spell List'!$Z$"&amp;INDEX(magestuff!$D$499:$Y$615,ROW()-ROW($D$256),COLUMN()-COLUMN($C$257))),"")</f>
        <v>Javelin of Ice</v>
      </c>
      <c r="I298" s="1055" t="str">
        <f ca="1">IF(ISNUMBER(INDEX(magestuff!$D$499:$Y$615,ROW()-ROW($D$256),COLUMN()-COLUMN($C$257))),INDIRECT("'Master Spell List'!$Z$"&amp;INDEX(magestuff!$D$499:$Y$615,ROW()-ROW($D$256),COLUMN()-COLUMN($C$257))),"")</f>
        <v>Arcane Drawing</v>
      </c>
      <c r="J298" s="1055" t="str">
        <f ca="1">IF(ISNUMBER(INDEX(magestuff!$D$499:$Y$615,ROW()-ROW($D$256),COLUMN()-COLUMN($C$257))),INDIRECT("'Master Spell List'!$Z$"&amp;INDEX(magestuff!$D$499:$Y$615,ROW()-ROW($D$256),COLUMN()-COLUMN($C$257))),"")</f>
        <v>Greater Sleep</v>
      </c>
      <c r="K298" s="1055" t="str">
        <f ca="1">IF(ISNUMBER(INDEX(magestuff!$D$499:$Y$615,ROW()-ROW($D$256),COLUMN()-COLUMN($C$257))),INDIRECT("'Master Spell List'!$Z$"&amp;INDEX(magestuff!$D$499:$Y$615,ROW()-ROW($D$256),COLUMN()-COLUMN($C$257))),"")</f>
        <v>Detect Curse</v>
      </c>
      <c r="L298" s="1055" t="str">
        <f ca="1">IF(ISNUMBER(INDEX(magestuff!$D$499:$Y$615,ROW()-ROW($D$256),COLUMN()-COLUMN($C$257))),INDIRECT("'Master Spell List'!$Z$"&amp;INDEX(magestuff!$D$499:$Y$615,ROW()-ROW($D$256),COLUMN()-COLUMN($C$257))),"")</f>
        <v>Diminish</v>
      </c>
      <c r="M298" s="1055" t="str">
        <f ca="1">IF(ISNUMBER(INDEX(magestuff!$D$499:$Y$615,ROW()-ROW($D$256),COLUMN()-COLUMN($C$257))),INDIRECT("'Master Spell List'!$Z$"&amp;INDEX(magestuff!$D$499:$Y$615,ROW()-ROW($D$256),COLUMN()-COLUMN($C$257))),"")</f>
        <v>Great Dry</v>
      </c>
      <c r="N298" s="1055" t="str">
        <f ca="1">IF(ISNUMBER(INDEX(magestuff!$D$499:$Y$615,ROW()-ROW($D$256),COLUMN()-COLUMN($C$257))),INDIRECT("'Master Spell List'!$Z$"&amp;INDEX(magestuff!$D$499:$Y$615,ROW()-ROW($D$256),COLUMN()-COLUMN($C$257))),"")</f>
        <v>Banish Greater Undead</v>
      </c>
      <c r="O298" s="1055" t="str">
        <f ca="1">IF(ISNUMBER(INDEX(magestuff!$D$499:$Y$615,ROW()-ROW($D$256),COLUMN()-COLUMN($C$257))),INDIRECT("'Master Spell List'!$Z$"&amp;INDEX(magestuff!$D$499:$Y$615,ROW()-ROW($D$256),COLUMN()-COLUMN($C$257))),"")</f>
        <v>Kinship</v>
      </c>
      <c r="P298" s="1055" t="str">
        <f ca="1">IF(ISNUMBER(INDEX(magestuff!$D$499:$Y$615,ROW()-ROW($D$256),COLUMN()-COLUMN($C$257))),INDIRECT("'Master Spell List'!$Z$"&amp;INDEX(magestuff!$D$499:$Y$615,ROW()-ROW($D$256),COLUMN()-COLUMN($C$257))),"")</f>
        <v>Become Another</v>
      </c>
      <c r="Q298" s="1055" t="str">
        <f ca="1">IF(ISNUMBER(INDEX(magestuff!$D$499:$Y$615,ROW()-ROW($D$256),COLUMN()-COLUMN($C$257))),INDIRECT("'Master Spell List'!$Z$"&amp;INDEX(magestuff!$D$499:$Y$615,ROW()-ROW($D$256),COLUMN()-COLUMN($C$257))),"")</f>
        <v>Wards</v>
      </c>
      <c r="R298" s="1055" t="str">
        <f ca="1">IF(ISNUMBER(INDEX(magestuff!$D$499:$Y$615,ROW()-ROW($D$256),COLUMN()-COLUMN($C$257))),INDIRECT("'Master Spell List'!$Z$"&amp;INDEX(magestuff!$D$499:$Y$615,ROW()-ROW($D$256),COLUMN()-COLUMN($C$257))),"")</f>
        <v/>
      </c>
      <c r="S298" s="1055" t="str">
        <f ca="1">IF(ISNUMBER(INDEX(magestuff!$D$499:$Y$615,ROW()-ROW($D$256),COLUMN()-COLUMN($C$257))),INDIRECT("'Master Spell List'!$Z$"&amp;INDEX(magestuff!$D$499:$Y$615,ROW()-ROW($D$256),COLUMN()-COLUMN($C$257))),"")</f>
        <v/>
      </c>
      <c r="T298" s="1055" t="str">
        <f ca="1">IF(ISNUMBER(INDEX(magestuff!$D$499:$Y$615,ROW()-ROW($D$256),COLUMN()-COLUMN($C$257))),INDIRECT("'Master Spell List'!$Z$"&amp;INDEX(magestuff!$D$499:$Y$615,ROW()-ROW($D$256),COLUMN()-COLUMN($C$257))),"")</f>
        <v/>
      </c>
      <c r="U298" s="1055" t="str">
        <f ca="1">IF(ISNUMBER(INDEX(magestuff!$D$499:$Y$615,ROW()-ROW($D$256),COLUMN()-COLUMN($C$257))),INDIRECT("'Master Spell List'!$Z$"&amp;INDEX(magestuff!$D$499:$Y$615,ROW()-ROW($D$256),COLUMN()-COLUMN($C$257))),"")</f>
        <v/>
      </c>
      <c r="V298" s="1055" t="str">
        <f ca="1">IF(ISNUMBER(INDEX(magestuff!$D$499:$Y$615,ROW()-ROW($D$256),COLUMN()-COLUMN($C$257))),INDIRECT("'Master Spell List'!$Z$"&amp;INDEX(magestuff!$D$499:$Y$615,ROW()-ROW($D$256),COLUMN()-COLUMN($C$257))),"")</f>
        <v/>
      </c>
      <c r="W298" s="1055" t="str">
        <f ca="1">IF(ISNUMBER(INDEX(magestuff!$D$499:$Y$615,ROW()-ROW($D$256),COLUMN()-COLUMN($C$257))),INDIRECT("'Master Spell List'!$Z$"&amp;INDEX(magestuff!$D$499:$Y$615,ROW()-ROW($D$256),COLUMN()-COLUMN($C$257))),"")</f>
        <v/>
      </c>
    </row>
    <row r="299" spans="1:23">
      <c r="A299" s="598">
        <v>44</v>
      </c>
      <c r="C299" s="598" t="s">
        <v>2225</v>
      </c>
      <c r="D299" s="1055" t="str">
        <f ca="1">IF(ISNUMBER(INDEX(magestuff!$D$499:$Y$615,ROW()-ROW($D$256),COLUMN()-COLUMN($C$257))),INDIRECT("'Master Spell List'!$Z$"&amp;INDEX(magestuff!$D$499:$Y$615,ROW()-ROW($D$256),COLUMN()-COLUMN($C$257))),"")</f>
        <v/>
      </c>
      <c r="E299" s="1055" t="str">
        <f ca="1">IF(ISNUMBER(INDEX(magestuff!$D$499:$Y$615,ROW()-ROW($D$256),COLUMN()-COLUMN($C$257))),INDIRECT("'Master Spell List'!$Z$"&amp;INDEX(magestuff!$D$499:$Y$615,ROW()-ROW($D$256),COLUMN()-COLUMN($C$257))),"")</f>
        <v/>
      </c>
      <c r="F299" s="1055" t="str">
        <f ca="1">IF(ISNUMBER(INDEX(magestuff!$D$499:$Y$615,ROW()-ROW($D$256),COLUMN()-COLUMN($C$257))),INDIRECT("'Master Spell List'!$Z$"&amp;INDEX(magestuff!$D$499:$Y$615,ROW()-ROW($D$256),COLUMN()-COLUMN($C$257))),"")</f>
        <v>Command Stained Glass</v>
      </c>
      <c r="G299" s="1055" t="str">
        <f ca="1">IF(ISNUMBER(INDEX(magestuff!$D$499:$Y$615,ROW()-ROW($D$256),COLUMN()-COLUMN($C$257))),INDIRECT("'Master Spell List'!$Z$"&amp;INDEX(magestuff!$D$499:$Y$615,ROW()-ROW($D$256),COLUMN()-COLUMN($C$257))),"")</f>
        <v>Create Dragon Fire</v>
      </c>
      <c r="H299" s="1055" t="str">
        <f ca="1">IF(ISNUMBER(INDEX(magestuff!$D$499:$Y$615,ROW()-ROW($D$256),COLUMN()-COLUMN($C$257))),INDIRECT("'Master Spell List'!$Z$"&amp;INDEX(magestuff!$D$499:$Y$615,ROW()-ROW($D$256),COLUMN()-COLUMN($C$257))),"")</f>
        <v>Prison of the Undine</v>
      </c>
      <c r="I299" s="1055" t="str">
        <f ca="1">IF(ISNUMBER(INDEX(magestuff!$D$499:$Y$615,ROW()-ROW($D$256),COLUMN()-COLUMN($C$257))),INDIRECT("'Master Spell List'!$Z$"&amp;INDEX(magestuff!$D$499:$Y$615,ROW()-ROW($D$256),COLUMN()-COLUMN($C$257))),"")</f>
        <v>Arcane Drawing</v>
      </c>
      <c r="J299" s="1055" t="str">
        <f ca="1">IF(ISNUMBER(INDEX(magestuff!$D$499:$Y$615,ROW()-ROW($D$256),COLUMN()-COLUMN($C$257))),INDIRECT("'Master Spell List'!$Z$"&amp;INDEX(magestuff!$D$499:$Y$615,ROW()-ROW($D$256),COLUMN()-COLUMN($C$257))),"")</f>
        <v>Group Ignore</v>
      </c>
      <c r="K299" s="1055" t="str">
        <f ca="1">IF(ISNUMBER(INDEX(magestuff!$D$499:$Y$615,ROW()-ROW($D$256),COLUMN()-COLUMN($C$257))),INDIRECT("'Master Spell List'!$Z$"&amp;INDEX(magestuff!$D$499:$Y$615,ROW()-ROW($D$256),COLUMN()-COLUMN($C$257))),"")</f>
        <v>Detect Defect</v>
      </c>
      <c r="L299" s="1055" t="str">
        <f ca="1">IF(ISNUMBER(INDEX(magestuff!$D$499:$Y$615,ROW()-ROW($D$256),COLUMN()-COLUMN($C$257))),INDIRECT("'Master Spell List'!$Z$"&amp;INDEX(magestuff!$D$499:$Y$615,ROW()-ROW($D$256),COLUMN()-COLUMN($C$257))),"")</f>
        <v>Disguise</v>
      </c>
      <c r="M299" s="1055" t="str">
        <f ca="1">IF(ISNUMBER(INDEX(magestuff!$D$499:$Y$615,ROW()-ROW($D$256),COLUMN()-COLUMN($C$257))),INDIRECT("'Master Spell List'!$Z$"&amp;INDEX(magestuff!$D$499:$Y$615,ROW()-ROW($D$256),COLUMN()-COLUMN($C$257))),"")</f>
        <v>Great Grind Coarse</v>
      </c>
      <c r="N299" s="1055" t="str">
        <f ca="1">IF(ISNUMBER(INDEX(magestuff!$D$499:$Y$615,ROW()-ROW($D$256),COLUMN()-COLUMN($C$257))),INDIRECT("'Master Spell List'!$Z$"&amp;INDEX(magestuff!$D$499:$Y$615,ROW()-ROW($D$256),COLUMN()-COLUMN($C$257))),"")</f>
        <v xml:space="preserve">Banish the Great Work </v>
      </c>
      <c r="O299" s="1055" t="str">
        <f ca="1">IF(ISNUMBER(INDEX(magestuff!$D$499:$Y$615,ROW()-ROW($D$256),COLUMN()-COLUMN($C$257))),INDIRECT("'Master Spell List'!$Z$"&amp;INDEX(magestuff!$D$499:$Y$615,ROW()-ROW($D$256),COLUMN()-COLUMN($C$257))),"")</f>
        <v>Great Cloak from Divination</v>
      </c>
      <c r="P299" s="1055" t="str">
        <f ca="1">IF(ISNUMBER(INDEX(magestuff!$D$499:$Y$615,ROW()-ROW($D$256),COLUMN()-COLUMN($C$257))),INDIRECT("'Master Spell List'!$Z$"&amp;INDEX(magestuff!$D$499:$Y$615,ROW()-ROW($D$256),COLUMN()-COLUMN($C$257))),"")</f>
        <v>Bloom Of Youth</v>
      </c>
      <c r="Q299" s="1055" t="str">
        <f ca="1">IF(ISNUMBER(INDEX(magestuff!$D$499:$Y$615,ROW()-ROW($D$256),COLUMN()-COLUMN($C$257))),INDIRECT("'Master Spell List'!$Z$"&amp;INDEX(magestuff!$D$499:$Y$615,ROW()-ROW($D$256),COLUMN()-COLUMN($C$257))),"")</f>
        <v>Greater Circle of Protection</v>
      </c>
      <c r="R299" s="1055" t="str">
        <f ca="1">IF(ISNUMBER(INDEX(magestuff!$D$499:$Y$615,ROW()-ROW($D$256),COLUMN()-COLUMN($C$257))),INDIRECT("'Master Spell List'!$Z$"&amp;INDEX(magestuff!$D$499:$Y$615,ROW()-ROW($D$256),COLUMN()-COLUMN($C$257))),"")</f>
        <v/>
      </c>
      <c r="S299" s="1055" t="str">
        <f ca="1">IF(ISNUMBER(INDEX(magestuff!$D$499:$Y$615,ROW()-ROW($D$256),COLUMN()-COLUMN($C$257))),INDIRECT("'Master Spell List'!$Z$"&amp;INDEX(magestuff!$D$499:$Y$615,ROW()-ROW($D$256),COLUMN()-COLUMN($C$257))),"")</f>
        <v/>
      </c>
      <c r="T299" s="1055" t="str">
        <f ca="1">IF(ISNUMBER(INDEX(magestuff!$D$499:$Y$615,ROW()-ROW($D$256),COLUMN()-COLUMN($C$257))),INDIRECT("'Master Spell List'!$Z$"&amp;INDEX(magestuff!$D$499:$Y$615,ROW()-ROW($D$256),COLUMN()-COLUMN($C$257))),"")</f>
        <v/>
      </c>
      <c r="U299" s="1055" t="str">
        <f ca="1">IF(ISNUMBER(INDEX(magestuff!$D$499:$Y$615,ROW()-ROW($D$256),COLUMN()-COLUMN($C$257))),INDIRECT("'Master Spell List'!$Z$"&amp;INDEX(magestuff!$D$499:$Y$615,ROW()-ROW($D$256),COLUMN()-COLUMN($C$257))),"")</f>
        <v/>
      </c>
      <c r="V299" s="1055" t="str">
        <f ca="1">IF(ISNUMBER(INDEX(magestuff!$D$499:$Y$615,ROW()-ROW($D$256),COLUMN()-COLUMN($C$257))),INDIRECT("'Master Spell List'!$Z$"&amp;INDEX(magestuff!$D$499:$Y$615,ROW()-ROW($D$256),COLUMN()-COLUMN($C$257))),"")</f>
        <v/>
      </c>
      <c r="W299" s="1055" t="str">
        <f ca="1">IF(ISNUMBER(INDEX(magestuff!$D$499:$Y$615,ROW()-ROW($D$256),COLUMN()-COLUMN($C$257))),INDIRECT("'Master Spell List'!$Z$"&amp;INDEX(magestuff!$D$499:$Y$615,ROW()-ROW($D$256),COLUMN()-COLUMN($C$257))),"")</f>
        <v/>
      </c>
    </row>
    <row r="300" spans="1:23">
      <c r="A300" s="598">
        <v>45</v>
      </c>
      <c r="C300" s="598" t="s">
        <v>2225</v>
      </c>
      <c r="D300" s="1055" t="str">
        <f ca="1">IF(ISNUMBER(INDEX(magestuff!$D$499:$Y$615,ROW()-ROW($D$256),COLUMN()-COLUMN($C$257))),INDIRECT("'Master Spell List'!$Z$"&amp;INDEX(magestuff!$D$499:$Y$615,ROW()-ROW($D$256),COLUMN()-COLUMN($C$257))),"")</f>
        <v/>
      </c>
      <c r="E300" s="1055" t="str">
        <f ca="1">IF(ISNUMBER(INDEX(magestuff!$D$499:$Y$615,ROW()-ROW($D$256),COLUMN()-COLUMN($C$257))),INDIRECT("'Master Spell List'!$Z$"&amp;INDEX(magestuff!$D$499:$Y$615,ROW()-ROW($D$256),COLUMN()-COLUMN($C$257))),"")</f>
        <v/>
      </c>
      <c r="F300" s="1055" t="str">
        <f ca="1">IF(ISNUMBER(INDEX(magestuff!$D$499:$Y$615,ROW()-ROW($D$256),COLUMN()-COLUMN($C$257))),INDIRECT("'Master Spell List'!$Z$"&amp;INDEX(magestuff!$D$499:$Y$615,ROW()-ROW($D$256),COLUMN()-COLUMN($C$257))),"")</f>
        <v>Child of Durin</v>
      </c>
      <c r="G300" s="1055" t="str">
        <f ca="1">IF(ISNUMBER(INDEX(magestuff!$D$499:$Y$615,ROW()-ROW($D$256),COLUMN()-COLUMN($C$257))),INDIRECT("'Master Spell List'!$Z$"&amp;INDEX(magestuff!$D$499:$Y$615,ROW()-ROW($D$256),COLUMN()-COLUMN($C$257))),"")</f>
        <v>Fire Ball  - Dragon Fire</v>
      </c>
      <c r="H300" s="1055" t="str">
        <f ca="1">IF(ISNUMBER(INDEX(magestuff!$D$499:$Y$615,ROW()-ROW($D$256),COLUMN()-COLUMN($C$257))),INDIRECT("'Master Spell List'!$Z$"&amp;INDEX(magestuff!$D$499:$Y$615,ROW()-ROW($D$256),COLUMN()-COLUMN($C$257))),"")</f>
        <v>Shards of the Ice Queen (Magick Water)</v>
      </c>
      <c r="I300" s="1055" t="str">
        <f ca="1">IF(ISNUMBER(INDEX(magestuff!$D$499:$Y$615,ROW()-ROW($D$256),COLUMN()-COLUMN($C$257))),INDIRECT("'Master Spell List'!$Z$"&amp;INDEX(magestuff!$D$499:$Y$615,ROW()-ROW($D$256),COLUMN()-COLUMN($C$257))),"")</f>
        <v>Arcane Rope</v>
      </c>
      <c r="J300" s="1055" t="str">
        <f ca="1">IF(ISNUMBER(INDEX(magestuff!$D$499:$Y$615,ROW()-ROW($D$256),COLUMN()-COLUMN($C$257))),INDIRECT("'Master Spell List'!$Z$"&amp;INDEX(magestuff!$D$499:$Y$615,ROW()-ROW($D$256),COLUMN()-COLUMN($C$257))),"")</f>
        <v>Hold Enchanted Beast</v>
      </c>
      <c r="K300" s="1055" t="str">
        <f ca="1">IF(ISNUMBER(INDEX(magestuff!$D$499:$Y$615,ROW()-ROW($D$256),COLUMN()-COLUMN($C$257))),INDIRECT("'Master Spell List'!$Z$"&amp;INDEX(magestuff!$D$499:$Y$615,ROW()-ROW($D$256),COLUMN()-COLUMN($C$257))),"")</f>
        <v>Detect Disease</v>
      </c>
      <c r="L300" s="1055" t="str">
        <f ca="1">IF(ISNUMBER(INDEX(magestuff!$D$499:$Y$615,ROW()-ROW($D$256),COLUMN()-COLUMN($C$257))),INDIRECT("'Master Spell List'!$Z$"&amp;INDEX(magestuff!$D$499:$Y$615,ROW()-ROW($D$256),COLUMN()-COLUMN($C$257))),"")</f>
        <v>Faerie Gold</v>
      </c>
      <c r="M300" s="1055" t="str">
        <f ca="1">IF(ISNUMBER(INDEX(magestuff!$D$499:$Y$615,ROW()-ROW($D$256),COLUMN()-COLUMN($C$257))),INDIRECT("'Master Spell List'!$Z$"&amp;INDEX(magestuff!$D$499:$Y$615,ROW()-ROW($D$256),COLUMN()-COLUMN($C$257))),"")</f>
        <v>Insect Pests</v>
      </c>
      <c r="N300" s="1055" t="str">
        <f ca="1">IF(ISNUMBER(INDEX(magestuff!$D$499:$Y$615,ROW()-ROW($D$256),COLUMN()-COLUMN($C$257))),INDIRECT("'Master Spell List'!$Z$"&amp;INDEX(magestuff!$D$499:$Y$615,ROW()-ROW($D$256),COLUMN()-COLUMN($C$257))),"")</f>
        <v xml:space="preserve">Bind Great Spirit into a Container </v>
      </c>
      <c r="O300" s="1055" t="str">
        <f ca="1">IF(ISNUMBER(INDEX(magestuff!$D$499:$Y$615,ROW()-ROW($D$256),COLUMN()-COLUMN($C$257))),INDIRECT("'Master Spell List'!$Z$"&amp;INDEX(magestuff!$D$499:$Y$615,ROW()-ROW($D$256),COLUMN()-COLUMN($C$257))),"")</f>
        <v>Greatest Pull</v>
      </c>
      <c r="P300" s="1055" t="str">
        <f ca="1">IF(ISNUMBER(INDEX(magestuff!$D$499:$Y$615,ROW()-ROW($D$256),COLUMN()-COLUMN($C$257))),INDIRECT("'Master Spell List'!$Z$"&amp;INDEX(magestuff!$D$499:$Y$615,ROW()-ROW($D$256),COLUMN()-COLUMN($C$257))),"")</f>
        <v>Greatest Preserve</v>
      </c>
      <c r="Q300" s="1055" t="str">
        <f ca="1">IF(ISNUMBER(INDEX(magestuff!$D$499:$Y$615,ROW()-ROW($D$256),COLUMN()-COLUMN($C$257))),INDIRECT("'Master Spell List'!$Z$"&amp;INDEX(magestuff!$D$499:$Y$615,ROW()-ROW($D$256),COLUMN()-COLUMN($C$257))),"")</f>
        <v>Greater Wards</v>
      </c>
      <c r="R300" s="1055" t="str">
        <f ca="1">IF(ISNUMBER(INDEX(magestuff!$D$499:$Y$615,ROW()-ROW($D$256),COLUMN()-COLUMN($C$257))),INDIRECT("'Master Spell List'!$Z$"&amp;INDEX(magestuff!$D$499:$Y$615,ROW()-ROW($D$256),COLUMN()-COLUMN($C$257))),"")</f>
        <v/>
      </c>
      <c r="S300" s="1055" t="str">
        <f ca="1">IF(ISNUMBER(INDEX(magestuff!$D$499:$Y$615,ROW()-ROW($D$256),COLUMN()-COLUMN($C$257))),INDIRECT("'Master Spell List'!$Z$"&amp;INDEX(magestuff!$D$499:$Y$615,ROW()-ROW($D$256),COLUMN()-COLUMN($C$257))),"")</f>
        <v/>
      </c>
      <c r="T300" s="1055" t="str">
        <f ca="1">IF(ISNUMBER(INDEX(magestuff!$D$499:$Y$615,ROW()-ROW($D$256),COLUMN()-COLUMN($C$257))),INDIRECT("'Master Spell List'!$Z$"&amp;INDEX(magestuff!$D$499:$Y$615,ROW()-ROW($D$256),COLUMN()-COLUMN($C$257))),"")</f>
        <v/>
      </c>
      <c r="U300" s="1055" t="str">
        <f ca="1">IF(ISNUMBER(INDEX(magestuff!$D$499:$Y$615,ROW()-ROW($D$256),COLUMN()-COLUMN($C$257))),INDIRECT("'Master Spell List'!$Z$"&amp;INDEX(magestuff!$D$499:$Y$615,ROW()-ROW($D$256),COLUMN()-COLUMN($C$257))),"")</f>
        <v/>
      </c>
      <c r="V300" s="1055" t="str">
        <f ca="1">IF(ISNUMBER(INDEX(magestuff!$D$499:$Y$615,ROW()-ROW($D$256),COLUMN()-COLUMN($C$257))),INDIRECT("'Master Spell List'!$Z$"&amp;INDEX(magestuff!$D$499:$Y$615,ROW()-ROW($D$256),COLUMN()-COLUMN($C$257))),"")</f>
        <v/>
      </c>
      <c r="W300" s="1055" t="str">
        <f ca="1">IF(ISNUMBER(INDEX(magestuff!$D$499:$Y$615,ROW()-ROW($D$256),COLUMN()-COLUMN($C$257))),INDIRECT("'Master Spell List'!$Z$"&amp;INDEX(magestuff!$D$499:$Y$615,ROW()-ROW($D$256),COLUMN()-COLUMN($C$257))),"")</f>
        <v/>
      </c>
    </row>
    <row r="301" spans="1:23">
      <c r="A301" s="598">
        <v>46</v>
      </c>
      <c r="C301" s="598" t="s">
        <v>2225</v>
      </c>
      <c r="D301" s="1055" t="str">
        <f ca="1">IF(ISNUMBER(INDEX(magestuff!$D$499:$Y$615,ROW()-ROW($D$256),COLUMN()-COLUMN($C$257))),INDIRECT("'Master Spell List'!$Z$"&amp;INDEX(magestuff!$D$499:$Y$615,ROW()-ROW($D$256),COLUMN()-COLUMN($C$257))),"")</f>
        <v/>
      </c>
      <c r="E301" s="1055" t="str">
        <f ca="1">IF(ISNUMBER(INDEX(magestuff!$D$499:$Y$615,ROW()-ROW($D$256),COLUMN()-COLUMN($C$257))),INDIRECT("'Master Spell List'!$Z$"&amp;INDEX(magestuff!$D$499:$Y$615,ROW()-ROW($D$256),COLUMN()-COLUMN($C$257))),"")</f>
        <v/>
      </c>
      <c r="F301" s="1055" t="str">
        <f ca="1">IF(ISNUMBER(INDEX(magestuff!$D$499:$Y$615,ROW()-ROW($D$256),COLUMN()-COLUMN($C$257))),INDIRECT("'Master Spell List'!$Z$"&amp;INDEX(magestuff!$D$499:$Y$615,ROW()-ROW($D$256),COLUMN()-COLUMN($C$257))),"")</f>
        <v>Lesser Jeweller’s Tumbler - Medium</v>
      </c>
      <c r="G301" s="1055" t="str">
        <f ca="1">IF(ISNUMBER(INDEX(magestuff!$D$499:$Y$615,ROW()-ROW($D$256),COLUMN()-COLUMN($C$257))),INDIRECT("'Master Spell List'!$Z$"&amp;INDEX(magestuff!$D$499:$Y$615,ROW()-ROW($D$256),COLUMN()-COLUMN($C$257))),"")</f>
        <v>Fire Devil</v>
      </c>
      <c r="H301" s="1055" t="str">
        <f ca="1">IF(ISNUMBER(INDEX(magestuff!$D$499:$Y$615,ROW()-ROW($D$256),COLUMN()-COLUMN($C$257))),INDIRECT("'Master Spell List'!$Z$"&amp;INDEX(magestuff!$D$499:$Y$615,ROW()-ROW($D$256),COLUMN()-COLUMN($C$257))),"")</f>
        <v>Sheet of Waters of the Undine</v>
      </c>
      <c r="I301" s="1055" t="str">
        <f ca="1">IF(ISNUMBER(INDEX(magestuff!$D$499:$Y$615,ROW()-ROW($D$256),COLUMN()-COLUMN($C$257))),INDIRECT("'Master Spell List'!$Z$"&amp;INDEX(magestuff!$D$499:$Y$615,ROW()-ROW($D$256),COLUMN()-COLUMN($C$257))),"")</f>
        <v>Arcane Spear Head (Lance Head) of Greater Damage</v>
      </c>
      <c r="J301" s="1055" t="str">
        <f ca="1">IF(ISNUMBER(INDEX(magestuff!$D$499:$Y$615,ROW()-ROW($D$256),COLUMN()-COLUMN($C$257))),INDIRECT("'Master Spell List'!$Z$"&amp;INDEX(magestuff!$D$499:$Y$615,ROW()-ROW($D$256),COLUMN()-COLUMN($C$257))),"")</f>
        <v>Hold Large Predators</v>
      </c>
      <c r="K301" s="1055" t="str">
        <f ca="1">IF(ISNUMBER(INDEX(magestuff!$D$499:$Y$615,ROW()-ROW($D$256),COLUMN()-COLUMN($C$257))),INDIRECT("'Master Spell List'!$Z$"&amp;INDEX(magestuff!$D$499:$Y$615,ROW()-ROW($D$256),COLUMN()-COLUMN($C$257))),"")</f>
        <v>Detect Truth</v>
      </c>
      <c r="L301" s="1055" t="str">
        <f ca="1">IF(ISNUMBER(INDEX(magestuff!$D$499:$Y$615,ROW()-ROW($D$256),COLUMN()-COLUMN($C$257))),INDIRECT("'Master Spell List'!$Z$"&amp;INDEX(magestuff!$D$499:$Y$615,ROW()-ROW($D$256),COLUMN()-COLUMN($C$257))),"")</f>
        <v>Grow</v>
      </c>
      <c r="M301" s="1055" t="str">
        <f ca="1">IF(ISNUMBER(INDEX(magestuff!$D$499:$Y$615,ROW()-ROW($D$256),COLUMN()-COLUMN($C$257))),INDIRECT("'Master Spell List'!$Z$"&amp;INDEX(magestuff!$D$499:$Y$615,ROW()-ROW($D$256),COLUMN()-COLUMN($C$257))),"")</f>
        <v>Least Shape Tree</v>
      </c>
      <c r="N301" s="1055" t="str">
        <f ca="1">IF(ISNUMBER(INDEX(magestuff!$D$499:$Y$615,ROW()-ROW($D$256),COLUMN()-COLUMN($C$257))),INDIRECT("'Master Spell List'!$Z$"&amp;INDEX(magestuff!$D$499:$Y$615,ROW()-ROW($D$256),COLUMN()-COLUMN($C$257))),"")</f>
        <v>Great Summon Object</v>
      </c>
      <c r="O301" s="1055" t="str">
        <f ca="1">IF(ISNUMBER(INDEX(magestuff!$D$499:$Y$615,ROW()-ROW($D$256),COLUMN()-COLUMN($C$257))),INDIRECT("'Master Spell List'!$Z$"&amp;INDEX(magestuff!$D$499:$Y$615,ROW()-ROW($D$256),COLUMN()-COLUMN($C$257))),"")</f>
        <v>Greater Cloak from Divination</v>
      </c>
      <c r="P301" s="1055" t="str">
        <f ca="1">IF(ISNUMBER(INDEX(magestuff!$D$499:$Y$615,ROW()-ROW($D$256),COLUMN()-COLUMN($C$257))),INDIRECT("'Master Spell List'!$Z$"&amp;INDEX(magestuff!$D$499:$Y$615,ROW()-ROW($D$256),COLUMN()-COLUMN($C$257))),"")</f>
        <v>Regenerate</v>
      </c>
      <c r="Q301" s="1055" t="str">
        <f ca="1">IF(ISNUMBER(INDEX(magestuff!$D$499:$Y$615,ROW()-ROW($D$256),COLUMN()-COLUMN($C$257))),INDIRECT("'Master Spell List'!$Z$"&amp;INDEX(magestuff!$D$499:$Y$615,ROW()-ROW($D$256),COLUMN()-COLUMN($C$257))),"")</f>
        <v>Great Circle of Protection</v>
      </c>
      <c r="R301" s="1055" t="str">
        <f ca="1">IF(ISNUMBER(INDEX(magestuff!$D$499:$Y$615,ROW()-ROW($D$256),COLUMN()-COLUMN($C$257))),INDIRECT("'Master Spell List'!$Z$"&amp;INDEX(magestuff!$D$499:$Y$615,ROW()-ROW($D$256),COLUMN()-COLUMN($C$257))),"")</f>
        <v/>
      </c>
      <c r="S301" s="1055" t="str">
        <f ca="1">IF(ISNUMBER(INDEX(magestuff!$D$499:$Y$615,ROW()-ROW($D$256),COLUMN()-COLUMN($C$257))),INDIRECT("'Master Spell List'!$Z$"&amp;INDEX(magestuff!$D$499:$Y$615,ROW()-ROW($D$256),COLUMN()-COLUMN($C$257))),"")</f>
        <v/>
      </c>
      <c r="T301" s="1055" t="str">
        <f ca="1">IF(ISNUMBER(INDEX(magestuff!$D$499:$Y$615,ROW()-ROW($D$256),COLUMN()-COLUMN($C$257))),INDIRECT("'Master Spell List'!$Z$"&amp;INDEX(magestuff!$D$499:$Y$615,ROW()-ROW($D$256),COLUMN()-COLUMN($C$257))),"")</f>
        <v/>
      </c>
      <c r="U301" s="1055" t="str">
        <f ca="1">IF(ISNUMBER(INDEX(magestuff!$D$499:$Y$615,ROW()-ROW($D$256),COLUMN()-COLUMN($C$257))),INDIRECT("'Master Spell List'!$Z$"&amp;INDEX(magestuff!$D$499:$Y$615,ROW()-ROW($D$256),COLUMN()-COLUMN($C$257))),"")</f>
        <v/>
      </c>
      <c r="V301" s="1055" t="str">
        <f ca="1">IF(ISNUMBER(INDEX(magestuff!$D$499:$Y$615,ROW()-ROW($D$256),COLUMN()-COLUMN($C$257))),INDIRECT("'Master Spell List'!$Z$"&amp;INDEX(magestuff!$D$499:$Y$615,ROW()-ROW($D$256),COLUMN()-COLUMN($C$257))),"")</f>
        <v/>
      </c>
      <c r="W301" s="1055" t="str">
        <f ca="1">IF(ISNUMBER(INDEX(magestuff!$D$499:$Y$615,ROW()-ROW($D$256),COLUMN()-COLUMN($C$257))),INDIRECT("'Master Spell List'!$Z$"&amp;INDEX(magestuff!$D$499:$Y$615,ROW()-ROW($D$256),COLUMN()-COLUMN($C$257))),"")</f>
        <v/>
      </c>
    </row>
    <row r="302" spans="1:23">
      <c r="A302" s="598">
        <v>47</v>
      </c>
      <c r="C302" s="598" t="s">
        <v>2225</v>
      </c>
      <c r="D302" s="1055" t="str">
        <f ca="1">IF(ISNUMBER(INDEX(magestuff!$D$499:$Y$615,ROW()-ROW($D$256),COLUMN()-COLUMN($C$257))),INDIRECT("'Master Spell List'!$Z$"&amp;INDEX(magestuff!$D$499:$Y$615,ROW()-ROW($D$256),COLUMN()-COLUMN($C$257))),"")</f>
        <v/>
      </c>
      <c r="E302" s="1055" t="str">
        <f ca="1">IF(ISNUMBER(INDEX(magestuff!$D$499:$Y$615,ROW()-ROW($D$256),COLUMN()-COLUMN($C$257))),INDIRECT("'Master Spell List'!$Z$"&amp;INDEX(magestuff!$D$499:$Y$615,ROW()-ROW($D$256),COLUMN()-COLUMN($C$257))),"")</f>
        <v/>
      </c>
      <c r="F302" s="1055" t="str">
        <f ca="1">IF(ISNUMBER(INDEX(magestuff!$D$499:$Y$615,ROW()-ROW($D$256),COLUMN()-COLUMN($C$257))),INDIRECT("'Master Spell List'!$Z$"&amp;INDEX(magestuff!$D$499:$Y$615,ROW()-ROW($D$256),COLUMN()-COLUMN($C$257))),"")</f>
        <v>Lesser Shave Non-Enchanted Metals</v>
      </c>
      <c r="G302" s="1055" t="str">
        <f ca="1">IF(ISNUMBER(INDEX(magestuff!$D$499:$Y$615,ROW()-ROW($D$256),COLUMN()-COLUMN($C$257))),INDIRECT("'Master Spell List'!$Z$"&amp;INDEX(magestuff!$D$499:$Y$615,ROW()-ROW($D$256),COLUMN()-COLUMN($C$257))),"")</f>
        <v>Great Fire Devil</v>
      </c>
      <c r="H302" s="1055" t="str">
        <f ca="1">IF(ISNUMBER(INDEX(magestuff!$D$499:$Y$615,ROW()-ROW($D$256),COLUMN()-COLUMN($C$257))),INDIRECT("'Master Spell List'!$Z$"&amp;INDEX(magestuff!$D$499:$Y$615,ROW()-ROW($D$256),COLUMN()-COLUMN($C$257))),"")</f>
        <v>Wall of Waters of the Undine</v>
      </c>
      <c r="I302" s="1055" t="str">
        <f ca="1">IF(ISNUMBER(INDEX(magestuff!$D$499:$Y$615,ROW()-ROW($D$256),COLUMN()-COLUMN($C$257))),INDIRECT("'Master Spell List'!$Z$"&amp;INDEX(magestuff!$D$499:$Y$615,ROW()-ROW($D$256),COLUMN()-COLUMN($C$257))),"")</f>
        <v>Astral Key</v>
      </c>
      <c r="J302" s="1055" t="str">
        <f ca="1">IF(ISNUMBER(INDEX(magestuff!$D$499:$Y$615,ROW()-ROW($D$256),COLUMN()-COLUMN($C$257))),INDIRECT("'Master Spell List'!$Z$"&amp;INDEX(magestuff!$D$499:$Y$615,ROW()-ROW($D$256),COLUMN()-COLUMN($C$257))),"")</f>
        <v>Hold Lesser Undead</v>
      </c>
      <c r="K302" s="1055" t="str">
        <f ca="1">IF(ISNUMBER(INDEX(magestuff!$D$499:$Y$615,ROW()-ROW($D$256),COLUMN()-COLUMN($C$257))),INDIRECT("'Master Spell List'!$Z$"&amp;INDEX(magestuff!$D$499:$Y$615,ROW()-ROW($D$256),COLUMN()-COLUMN($C$257))),"")</f>
        <v>Detect Weather</v>
      </c>
      <c r="L302" s="1055" t="str">
        <f ca="1">IF(ISNUMBER(INDEX(magestuff!$D$499:$Y$615,ROW()-ROW($D$256),COLUMN()-COLUMN($C$257))),INDIRECT("'Master Spell List'!$Z$"&amp;INDEX(magestuff!$D$499:$Y$615,ROW()-ROW($D$256),COLUMN()-COLUMN($C$257))),"")</f>
        <v>Lesser Illusion</v>
      </c>
      <c r="M302" s="1055" t="str">
        <f ca="1">IF(ISNUMBER(INDEX(magestuff!$D$499:$Y$615,ROW()-ROW($D$256),COLUMN()-COLUMN($C$257))),INDIRECT("'Master Spell List'!$Z$"&amp;INDEX(magestuff!$D$499:$Y$615,ROW()-ROW($D$256),COLUMN()-COLUMN($C$257))),"")</f>
        <v>Least Shape Wood</v>
      </c>
      <c r="N302" s="1055" t="str">
        <f ca="1">IF(ISNUMBER(INDEX(magestuff!$D$499:$Y$615,ROW()-ROW($D$256),COLUMN()-COLUMN($C$257))),INDIRECT("'Master Spell List'!$Z$"&amp;INDEX(magestuff!$D$499:$Y$615,ROW()-ROW($D$256),COLUMN()-COLUMN($C$257))),"")</f>
        <v>Summon Greater Spirit</v>
      </c>
      <c r="O302" s="1055" t="str">
        <f ca="1">IF(ISNUMBER(INDEX(magestuff!$D$499:$Y$615,ROW()-ROW($D$256),COLUMN()-COLUMN($C$257))),INDIRECT("'Master Spell List'!$Z$"&amp;INDEX(magestuff!$D$499:$Y$615,ROW()-ROW($D$256),COLUMN()-COLUMN($C$257))),"")</f>
        <v/>
      </c>
      <c r="P302" s="1055" t="str">
        <f ca="1">IF(ISNUMBER(INDEX(magestuff!$D$499:$Y$615,ROW()-ROW($D$256),COLUMN()-COLUMN($C$257))),INDIRECT("'Master Spell List'!$Z$"&amp;INDEX(magestuff!$D$499:$Y$615,ROW()-ROW($D$256),COLUMN()-COLUMN($C$257))),"")</f>
        <v>Greatest Enhancement</v>
      </c>
      <c r="Q302" s="1055" t="str">
        <f ca="1">IF(ISNUMBER(INDEX(magestuff!$D$499:$Y$615,ROW()-ROW($D$256),COLUMN()-COLUMN($C$257))),INDIRECT("'Master Spell List'!$Z$"&amp;INDEX(magestuff!$D$499:$Y$615,ROW()-ROW($D$256),COLUMN()-COLUMN($C$257))),"")</f>
        <v>Great Ward of Protection</v>
      </c>
      <c r="R302" s="1055" t="str">
        <f ca="1">IF(ISNUMBER(INDEX(magestuff!$D$499:$Y$615,ROW()-ROW($D$256),COLUMN()-COLUMN($C$257))),INDIRECT("'Master Spell List'!$Z$"&amp;INDEX(magestuff!$D$499:$Y$615,ROW()-ROW($D$256),COLUMN()-COLUMN($C$257))),"")</f>
        <v/>
      </c>
      <c r="S302" s="1055" t="str">
        <f ca="1">IF(ISNUMBER(INDEX(magestuff!$D$499:$Y$615,ROW()-ROW($D$256),COLUMN()-COLUMN($C$257))),INDIRECT("'Master Spell List'!$Z$"&amp;INDEX(magestuff!$D$499:$Y$615,ROW()-ROW($D$256),COLUMN()-COLUMN($C$257))),"")</f>
        <v/>
      </c>
      <c r="T302" s="1055" t="str">
        <f ca="1">IF(ISNUMBER(INDEX(magestuff!$D$499:$Y$615,ROW()-ROW($D$256),COLUMN()-COLUMN($C$257))),INDIRECT("'Master Spell List'!$Z$"&amp;INDEX(magestuff!$D$499:$Y$615,ROW()-ROW($D$256),COLUMN()-COLUMN($C$257))),"")</f>
        <v/>
      </c>
      <c r="U302" s="1055" t="str">
        <f ca="1">IF(ISNUMBER(INDEX(magestuff!$D$499:$Y$615,ROW()-ROW($D$256),COLUMN()-COLUMN($C$257))),INDIRECT("'Master Spell List'!$Z$"&amp;INDEX(magestuff!$D$499:$Y$615,ROW()-ROW($D$256),COLUMN()-COLUMN($C$257))),"")</f>
        <v/>
      </c>
      <c r="V302" s="1055" t="str">
        <f ca="1">IF(ISNUMBER(INDEX(magestuff!$D$499:$Y$615,ROW()-ROW($D$256),COLUMN()-COLUMN($C$257))),INDIRECT("'Master Spell List'!$Z$"&amp;INDEX(magestuff!$D$499:$Y$615,ROW()-ROW($D$256),COLUMN()-COLUMN($C$257))),"")</f>
        <v/>
      </c>
      <c r="W302" s="1055" t="str">
        <f ca="1">IF(ISNUMBER(INDEX(magestuff!$D$499:$Y$615,ROW()-ROW($D$256),COLUMN()-COLUMN($C$257))),INDIRECT("'Master Spell List'!$Z$"&amp;INDEX(magestuff!$D$499:$Y$615,ROW()-ROW($D$256),COLUMN()-COLUMN($C$257))),"")</f>
        <v/>
      </c>
    </row>
    <row r="303" spans="1:23">
      <c r="A303" s="598">
        <v>48</v>
      </c>
      <c r="C303" s="598" t="s">
        <v>2225</v>
      </c>
      <c r="D303" s="1055" t="str">
        <f ca="1">IF(ISNUMBER(INDEX(magestuff!$D$499:$Y$615,ROW()-ROW($D$256),COLUMN()-COLUMN($C$257))),INDIRECT("'Master Spell List'!$Z$"&amp;INDEX(magestuff!$D$499:$Y$615,ROW()-ROW($D$256),COLUMN()-COLUMN($C$257))),"")</f>
        <v/>
      </c>
      <c r="E303" s="1055" t="str">
        <f ca="1">IF(ISNUMBER(INDEX(magestuff!$D$499:$Y$615,ROW()-ROW($D$256),COLUMN()-COLUMN($C$257))),INDIRECT("'Master Spell List'!$Z$"&amp;INDEX(magestuff!$D$499:$Y$615,ROW()-ROW($D$256),COLUMN()-COLUMN($C$257))),"")</f>
        <v/>
      </c>
      <c r="F303" s="1055" t="str">
        <f ca="1">IF(ISNUMBER(INDEX(magestuff!$D$499:$Y$615,ROW()-ROW($D$256),COLUMN()-COLUMN($C$257))),INDIRECT("'Master Spell List'!$Z$"&amp;INDEX(magestuff!$D$499:$Y$615,ROW()-ROW($D$256),COLUMN()-COLUMN($C$257))),"")</f>
        <v>Battering Ram</v>
      </c>
      <c r="G303" s="1055" t="str">
        <f ca="1">IF(ISNUMBER(INDEX(magestuff!$D$499:$Y$615,ROW()-ROW($D$256),COLUMN()-COLUMN($C$257))),INDIRECT("'Master Spell List'!$Z$"&amp;INDEX(magestuff!$D$499:$Y$615,ROW()-ROW($D$256),COLUMN()-COLUMN($C$257))),"")</f>
        <v>Great Fire Tornado (F2) (Fire Storm)</v>
      </c>
      <c r="H303" s="1055" t="str">
        <f ca="1">IF(ISNUMBER(INDEX(magestuff!$D$499:$Y$615,ROW()-ROW($D$256),COLUMN()-COLUMN($C$257))),INDIRECT("'Master Spell List'!$Z$"&amp;INDEX(magestuff!$D$499:$Y$615,ROW()-ROW($D$256),COLUMN()-COLUMN($C$257))),"")</f>
        <v>Water Bomb</v>
      </c>
      <c r="I303" s="1055" t="str">
        <f ca="1">IF(ISNUMBER(INDEX(magestuff!$D$499:$Y$615,ROW()-ROW($D$256),COLUMN()-COLUMN($C$257))),INDIRECT("'Master Spell List'!$Z$"&amp;INDEX(magestuff!$D$499:$Y$615,ROW()-ROW($D$256),COLUMN()-COLUMN($C$257))),"")</f>
        <v>Astral Lock</v>
      </c>
      <c r="J303" s="1055" t="str">
        <f ca="1">IF(ISNUMBER(INDEX(magestuff!$D$499:$Y$615,ROW()-ROW($D$256),COLUMN()-COLUMN($C$257))),INDIRECT("'Master Spell List'!$Z$"&amp;INDEX(magestuff!$D$499:$Y$615,ROW()-ROW($D$256),COLUMN()-COLUMN($C$257))),"")</f>
        <v>Hold Person</v>
      </c>
      <c r="K303" s="1055" t="str">
        <f ca="1">IF(ISNUMBER(INDEX(magestuff!$D$499:$Y$615,ROW()-ROW($D$256),COLUMN()-COLUMN($C$257))),INDIRECT("'Master Spell List'!$Z$"&amp;INDEX(magestuff!$D$499:$Y$615,ROW()-ROW($D$256),COLUMN()-COLUMN($C$257))),"")</f>
        <v>Discern Correspondences</v>
      </c>
      <c r="L303" s="1055" t="str">
        <f ca="1">IF(ISNUMBER(INDEX(magestuff!$D$499:$Y$615,ROW()-ROW($D$256),COLUMN()-COLUMN($C$257))),INDIRECT("'Master Spell List'!$Z$"&amp;INDEX(magestuff!$D$499:$Y$615,ROW()-ROW($D$256),COLUMN()-COLUMN($C$257))),"")</f>
        <v>Mirror Image</v>
      </c>
      <c r="M303" s="1055" t="str">
        <f ca="1">IF(ISNUMBER(INDEX(magestuff!$D$499:$Y$615,ROW()-ROW($D$256),COLUMN()-COLUMN($C$257))),INDIRECT("'Master Spell List'!$Z$"&amp;INDEX(magestuff!$D$499:$Y$615,ROW()-ROW($D$256),COLUMN()-COLUMN($C$257))),"")</f>
        <v>Lesser Grind Fine</v>
      </c>
      <c r="N303" s="1055" t="str">
        <f ca="1">IF(ISNUMBER(INDEX(magestuff!$D$499:$Y$615,ROW()-ROW($D$256),COLUMN()-COLUMN($C$257))),INDIRECT("'Master Spell List'!$Z$"&amp;INDEX(magestuff!$D$499:$Y$615,ROW()-ROW($D$256),COLUMN()-COLUMN($C$257))),"")</f>
        <v>Summon Greater Totem</v>
      </c>
      <c r="O303" s="1055" t="str">
        <f ca="1">IF(ISNUMBER(INDEX(magestuff!$D$499:$Y$615,ROW()-ROW($D$256),COLUMN()-COLUMN($C$257))),INDIRECT("'Master Spell List'!$Z$"&amp;INDEX(magestuff!$D$499:$Y$615,ROW()-ROW($D$256),COLUMN()-COLUMN($C$257))),"")</f>
        <v/>
      </c>
      <c r="P303" s="1055" t="str">
        <f ca="1">IF(ISNUMBER(INDEX(magestuff!$D$499:$Y$615,ROW()-ROW($D$256),COLUMN()-COLUMN($C$257))),INDIRECT("'Master Spell List'!$Z$"&amp;INDEX(magestuff!$D$499:$Y$615,ROW()-ROW($D$256),COLUMN()-COLUMN($C$257))),"")</f>
        <v>The Great Transformation</v>
      </c>
      <c r="Q303" s="1055" t="str">
        <f ca="1">IF(ISNUMBER(INDEX(magestuff!$D$499:$Y$615,ROW()-ROW($D$256),COLUMN()-COLUMN($C$257))),INDIRECT("'Master Spell List'!$Z$"&amp;INDEX(magestuff!$D$499:$Y$615,ROW()-ROW($D$256),COLUMN()-COLUMN($C$257))),"")</f>
        <v>Vulcan's Circle of Protection</v>
      </c>
      <c r="R303" s="1055" t="str">
        <f ca="1">IF(ISNUMBER(INDEX(magestuff!$D$499:$Y$615,ROW()-ROW($D$256),COLUMN()-COLUMN($C$257))),INDIRECT("'Master Spell List'!$Z$"&amp;INDEX(magestuff!$D$499:$Y$615,ROW()-ROW($D$256),COLUMN()-COLUMN($C$257))),"")</f>
        <v/>
      </c>
      <c r="S303" s="1055" t="str">
        <f ca="1">IF(ISNUMBER(INDEX(magestuff!$D$499:$Y$615,ROW()-ROW($D$256),COLUMN()-COLUMN($C$257))),INDIRECT("'Master Spell List'!$Z$"&amp;INDEX(magestuff!$D$499:$Y$615,ROW()-ROW($D$256),COLUMN()-COLUMN($C$257))),"")</f>
        <v/>
      </c>
      <c r="T303" s="1055" t="str">
        <f ca="1">IF(ISNUMBER(INDEX(magestuff!$D$499:$Y$615,ROW()-ROW($D$256),COLUMN()-COLUMN($C$257))),INDIRECT("'Master Spell List'!$Z$"&amp;INDEX(magestuff!$D$499:$Y$615,ROW()-ROW($D$256),COLUMN()-COLUMN($C$257))),"")</f>
        <v/>
      </c>
      <c r="U303" s="1055" t="str">
        <f ca="1">IF(ISNUMBER(INDEX(magestuff!$D$499:$Y$615,ROW()-ROW($D$256),COLUMN()-COLUMN($C$257))),INDIRECT("'Master Spell List'!$Z$"&amp;INDEX(magestuff!$D$499:$Y$615,ROW()-ROW($D$256),COLUMN()-COLUMN($C$257))),"")</f>
        <v/>
      </c>
      <c r="V303" s="1055" t="str">
        <f ca="1">IF(ISNUMBER(INDEX(magestuff!$D$499:$Y$615,ROW()-ROW($D$256),COLUMN()-COLUMN($C$257))),INDIRECT("'Master Spell List'!$Z$"&amp;INDEX(magestuff!$D$499:$Y$615,ROW()-ROW($D$256),COLUMN()-COLUMN($C$257))),"")</f>
        <v/>
      </c>
      <c r="W303" s="1055" t="str">
        <f ca="1">IF(ISNUMBER(INDEX(magestuff!$D$499:$Y$615,ROW()-ROW($D$256),COLUMN()-COLUMN($C$257))),INDIRECT("'Master Spell List'!$Z$"&amp;INDEX(magestuff!$D$499:$Y$615,ROW()-ROW($D$256),COLUMN()-COLUMN($C$257))),"")</f>
        <v/>
      </c>
    </row>
    <row r="304" spans="1:23">
      <c r="A304" s="598">
        <v>49</v>
      </c>
      <c r="C304" s="598" t="s">
        <v>2225</v>
      </c>
      <c r="D304" s="1055" t="str">
        <f ca="1">IF(ISNUMBER(INDEX(magestuff!$D$499:$Y$615,ROW()-ROW($D$256),COLUMN()-COLUMN($C$257))),INDIRECT("'Master Spell List'!$Z$"&amp;INDEX(magestuff!$D$499:$Y$615,ROW()-ROW($D$256),COLUMN()-COLUMN($C$257))),"")</f>
        <v/>
      </c>
      <c r="E304" s="1055" t="str">
        <f ca="1">IF(ISNUMBER(INDEX(magestuff!$D$499:$Y$615,ROW()-ROW($D$256),COLUMN()-COLUMN($C$257))),INDIRECT("'Master Spell List'!$Z$"&amp;INDEX(magestuff!$D$499:$Y$615,ROW()-ROW($D$256),COLUMN()-COLUMN($C$257))),"")</f>
        <v/>
      </c>
      <c r="F304" s="1055" t="str">
        <f ca="1">IF(ISNUMBER(INDEX(magestuff!$D$499:$Y$615,ROW()-ROW($D$256),COLUMN()-COLUMN($C$257))),INDIRECT("'Master Spell List'!$Z$"&amp;INDEX(magestuff!$D$499:$Y$615,ROW()-ROW($D$256),COLUMN()-COLUMN($C$257))),"")</f>
        <v>Great Jeweller’s Tumbler - Fine</v>
      </c>
      <c r="G304" s="1055" t="str">
        <f ca="1">IF(ISNUMBER(INDEX(magestuff!$D$499:$Y$615,ROW()-ROW($D$256),COLUMN()-COLUMN($C$257))),INDIRECT("'Master Spell List'!$Z$"&amp;INDEX(magestuff!$D$499:$Y$615,ROW()-ROW($D$256),COLUMN()-COLUMN($C$257))),"")</f>
        <v>Greatest Fire Tornado (F5) (Holocaust Storm )</v>
      </c>
      <c r="H304" s="1055" t="str">
        <f ca="1">IF(ISNUMBER(INDEX(magestuff!$D$499:$Y$615,ROW()-ROW($D$256),COLUMN()-COLUMN($C$257))),INDIRECT("'Master Spell List'!$Z$"&amp;INDEX(magestuff!$D$499:$Y$615,ROW()-ROW($D$256),COLUMN()-COLUMN($C$257))),"")</f>
        <v>Greater Touch of Ice (The Ice Queen's Revenge)</v>
      </c>
      <c r="I304" s="1055" t="str">
        <f ca="1">IF(ISNUMBER(INDEX(magestuff!$D$499:$Y$615,ROW()-ROW($D$256),COLUMN()-COLUMN($C$257))),INDIRECT("'Master Spell List'!$Z$"&amp;INDEX(magestuff!$D$499:$Y$615,ROW()-ROW($D$256),COLUMN()-COLUMN($C$257))),"")</f>
        <v xml:space="preserve">Bind </v>
      </c>
      <c r="J304" s="1055" t="str">
        <f ca="1">IF(ISNUMBER(INDEX(magestuff!$D$499:$Y$615,ROW()-ROW($D$256),COLUMN()-COLUMN($C$257))),INDIRECT("'Master Spell List'!$Z$"&amp;INDEX(magestuff!$D$499:$Y$615,ROW()-ROW($D$256),COLUMN()-COLUMN($C$257))),"")</f>
        <v>Increase Inhibition</v>
      </c>
      <c r="K304" s="1055" t="str">
        <f ca="1">IF(ISNUMBER(INDEX(magestuff!$D$499:$Y$615,ROW()-ROW($D$256),COLUMN()-COLUMN($C$257))),INDIRECT("'Master Spell List'!$Z$"&amp;INDEX(magestuff!$D$499:$Y$615,ROW()-ROW($D$256),COLUMN()-COLUMN($C$257))),"")</f>
        <v>Discern Laws of Magick</v>
      </c>
      <c r="L304" s="1055" t="str">
        <f ca="1">IF(ISNUMBER(INDEX(magestuff!$D$499:$Y$615,ROW()-ROW($D$256),COLUMN()-COLUMN($C$257))),INDIRECT("'Master Spell List'!$Z$"&amp;INDEX(magestuff!$D$499:$Y$615,ROW()-ROW($D$256),COLUMN()-COLUMN($C$257))),"")</f>
        <v>Shade Light</v>
      </c>
      <c r="M304" s="1055" t="str">
        <f ca="1">IF(ISNUMBER(INDEX(magestuff!$D$499:$Y$615,ROW()-ROW($D$256),COLUMN()-COLUMN($C$257))),INDIRECT("'Master Spell List'!$Z$"&amp;INDEX(magestuff!$D$499:$Y$615,ROW()-ROW($D$256),COLUMN()-COLUMN($C$257))),"")</f>
        <v>Lesser Healing Sap</v>
      </c>
      <c r="N304" s="1055" t="str">
        <f ca="1">IF(ISNUMBER(INDEX(magestuff!$D$499:$Y$615,ROW()-ROW($D$256),COLUMN()-COLUMN($C$257))),INDIRECT("'Master Spell List'!$Z$"&amp;INDEX(magestuff!$D$499:$Y$615,ROW()-ROW($D$256),COLUMN()-COLUMN($C$257))),"")</f>
        <v xml:space="preserve">Banish Death </v>
      </c>
      <c r="O304" s="1055" t="str">
        <f ca="1">IF(ISNUMBER(INDEX(magestuff!$D$499:$Y$615,ROW()-ROW($D$256),COLUMN()-COLUMN($C$257))),INDIRECT("'Master Spell List'!$Z$"&amp;INDEX(magestuff!$D$499:$Y$615,ROW()-ROW($D$256),COLUMN()-COLUMN($C$257))),"")</f>
        <v/>
      </c>
      <c r="P304" s="1055" t="str">
        <f ca="1">IF(ISNUMBER(INDEX(magestuff!$D$499:$Y$615,ROW()-ROW($D$256),COLUMN()-COLUMN($C$257))),INDIRECT("'Master Spell List'!$Z$"&amp;INDEX(magestuff!$D$499:$Y$615,ROW()-ROW($D$256),COLUMN()-COLUMN($C$257))),"")</f>
        <v/>
      </c>
      <c r="Q304" s="1055" t="str">
        <f ca="1">IF(ISNUMBER(INDEX(magestuff!$D$499:$Y$615,ROW()-ROW($D$256),COLUMN()-COLUMN($C$257))),INDIRECT("'Master Spell List'!$Z$"&amp;INDEX(magestuff!$D$499:$Y$615,ROW()-ROW($D$256),COLUMN()-COLUMN($C$257))),"")</f>
        <v/>
      </c>
      <c r="R304" s="1055" t="str">
        <f ca="1">IF(ISNUMBER(INDEX(magestuff!$D$499:$Y$615,ROW()-ROW($D$256),COLUMN()-COLUMN($C$257))),INDIRECT("'Master Spell List'!$Z$"&amp;INDEX(magestuff!$D$499:$Y$615,ROW()-ROW($D$256),COLUMN()-COLUMN($C$257))),"")</f>
        <v/>
      </c>
      <c r="S304" s="1055" t="str">
        <f ca="1">IF(ISNUMBER(INDEX(magestuff!$D$499:$Y$615,ROW()-ROW($D$256),COLUMN()-COLUMN($C$257))),INDIRECT("'Master Spell List'!$Z$"&amp;INDEX(magestuff!$D$499:$Y$615,ROW()-ROW($D$256),COLUMN()-COLUMN($C$257))),"")</f>
        <v/>
      </c>
      <c r="T304" s="1055" t="str">
        <f ca="1">IF(ISNUMBER(INDEX(magestuff!$D$499:$Y$615,ROW()-ROW($D$256),COLUMN()-COLUMN($C$257))),INDIRECT("'Master Spell List'!$Z$"&amp;INDEX(magestuff!$D$499:$Y$615,ROW()-ROW($D$256),COLUMN()-COLUMN($C$257))),"")</f>
        <v/>
      </c>
      <c r="U304" s="1055" t="str">
        <f ca="1">IF(ISNUMBER(INDEX(magestuff!$D$499:$Y$615,ROW()-ROW($D$256),COLUMN()-COLUMN($C$257))),INDIRECT("'Master Spell List'!$Z$"&amp;INDEX(magestuff!$D$499:$Y$615,ROW()-ROW($D$256),COLUMN()-COLUMN($C$257))),"")</f>
        <v/>
      </c>
      <c r="V304" s="1055" t="str">
        <f ca="1">IF(ISNUMBER(INDEX(magestuff!$D$499:$Y$615,ROW()-ROW($D$256),COLUMN()-COLUMN($C$257))),INDIRECT("'Master Spell List'!$Z$"&amp;INDEX(magestuff!$D$499:$Y$615,ROW()-ROW($D$256),COLUMN()-COLUMN($C$257))),"")</f>
        <v/>
      </c>
      <c r="W304" s="1055" t="str">
        <f ca="1">IF(ISNUMBER(INDEX(magestuff!$D$499:$Y$615,ROW()-ROW($D$256),COLUMN()-COLUMN($C$257))),INDIRECT("'Master Spell List'!$Z$"&amp;INDEX(magestuff!$D$499:$Y$615,ROW()-ROW($D$256),COLUMN()-COLUMN($C$257))),"")</f>
        <v/>
      </c>
    </row>
    <row r="305" spans="1:23">
      <c r="A305" s="598">
        <v>50</v>
      </c>
      <c r="B305" s="598" t="s">
        <v>2225</v>
      </c>
      <c r="C305" s="598" t="s">
        <v>2225</v>
      </c>
      <c r="D305" s="1055" t="str">
        <f ca="1">IF(ISNUMBER(INDEX(magestuff!$D$499:$Y$615,ROW()-ROW($D$256),COLUMN()-COLUMN($C$257))),INDIRECT("'Master Spell List'!$Z$"&amp;INDEX(magestuff!$D$499:$Y$615,ROW()-ROW($D$256),COLUMN()-COLUMN($C$257))),"")</f>
        <v/>
      </c>
      <c r="E305" s="1055" t="str">
        <f ca="1">IF(ISNUMBER(INDEX(magestuff!$D$499:$Y$615,ROW()-ROW($D$256),COLUMN()-COLUMN($C$257))),INDIRECT("'Master Spell List'!$Z$"&amp;INDEX(magestuff!$D$499:$Y$615,ROW()-ROW($D$256),COLUMN()-COLUMN($C$257))),"")</f>
        <v/>
      </c>
      <c r="F305" s="1055" t="str">
        <f ca="1">IF(ISNUMBER(INDEX(magestuff!$D$499:$Y$615,ROW()-ROW($D$256),COLUMN()-COLUMN($C$257))),INDIRECT("'Master Spell List'!$Z$"&amp;INDEX(magestuff!$D$499:$Y$615,ROW()-ROW($D$256),COLUMN()-COLUMN($C$257))),"")</f>
        <v>Great Powder Enchanted Metals</v>
      </c>
      <c r="G305" s="1055" t="str">
        <f ca="1">IF(ISNUMBER(INDEX(magestuff!$D$499:$Y$615,ROW()-ROW($D$256),COLUMN()-COLUMN($C$257))),INDIRECT("'Master Spell List'!$Z$"&amp;INDEX(magestuff!$D$499:$Y$615,ROW()-ROW($D$256),COLUMN()-COLUMN($C$257))),"")</f>
        <v/>
      </c>
      <c r="H305" s="1055" t="str">
        <f ca="1">IF(ISNUMBER(INDEX(magestuff!$D$499:$Y$615,ROW()-ROW($D$256),COLUMN()-COLUMN($C$257))),INDIRECT("'Master Spell List'!$Z$"&amp;INDEX(magestuff!$D$499:$Y$615,ROW()-ROW($D$256),COLUMN()-COLUMN($C$257))),"")</f>
        <v>Greater Wave</v>
      </c>
      <c r="I305" s="1055" t="str">
        <f ca="1">IF(ISNUMBER(INDEX(magestuff!$D$499:$Y$615,ROW()-ROW($D$256),COLUMN()-COLUMN($C$257))),INDIRECT("'Master Spell List'!$Z$"&amp;INDEX(magestuff!$D$499:$Y$615,ROW()-ROW($D$256),COLUMN()-COLUMN($C$257))),"")</f>
        <v>Create Lesser Arcane Energy</v>
      </c>
      <c r="J305" s="1055" t="str">
        <f ca="1">IF(ISNUMBER(INDEX(magestuff!$D$499:$Y$615,ROW()-ROW($D$256),COLUMN()-COLUMN($C$257))),INDIRECT("'Master Spell List'!$Z$"&amp;INDEX(magestuff!$D$499:$Y$615,ROW()-ROW($D$256),COLUMN()-COLUMN($C$257))),"")</f>
        <v>Individual Ignore</v>
      </c>
      <c r="K305" s="1055" t="str">
        <f ca="1">IF(ISNUMBER(INDEX(magestuff!$D$499:$Y$615,ROW()-ROW($D$256),COLUMN()-COLUMN($C$257))),INDIRECT("'Master Spell List'!$Z$"&amp;INDEX(magestuff!$D$499:$Y$615,ROW()-ROW($D$256),COLUMN()-COLUMN($C$257))),"")</f>
        <v>Discern Anointing Material</v>
      </c>
      <c r="L305" s="1055" t="str">
        <f ca="1">IF(ISNUMBER(INDEX(magestuff!$D$499:$Y$615,ROW()-ROW($D$256),COLUMN()-COLUMN($C$257))),INDIRECT("'Master Spell List'!$Z$"&amp;INDEX(magestuff!$D$499:$Y$615,ROW()-ROW($D$256),COLUMN()-COLUMN($C$257))),"")</f>
        <v>Slow Sound</v>
      </c>
      <c r="M305" s="1055" t="str">
        <f ca="1">IF(ISNUMBER(INDEX(magestuff!$D$499:$Y$615,ROW()-ROW($D$256),COLUMN()-COLUMN($C$257))),INDIRECT("'Master Spell List'!$Z$"&amp;INDEX(magestuff!$D$499:$Y$615,ROW()-ROW($D$256),COLUMN()-COLUMN($C$257))),"")</f>
        <v>Sow</v>
      </c>
      <c r="N305" s="1055" t="str">
        <f ca="1">IF(ISNUMBER(INDEX(magestuff!$D$499:$Y$615,ROW()-ROW($D$256),COLUMN()-COLUMN($C$257))),INDIRECT("'Master Spell List'!$Z$"&amp;INDEX(magestuff!$D$499:$Y$615,ROW()-ROW($D$256),COLUMN()-COLUMN($C$257))),"")</f>
        <v xml:space="preserve">Banish Greater Death </v>
      </c>
      <c r="O305" s="1055" t="str">
        <f ca="1">IF(ISNUMBER(INDEX(magestuff!$D$499:$Y$615,ROW()-ROW($D$256),COLUMN()-COLUMN($C$257))),INDIRECT("'Master Spell List'!$Z$"&amp;INDEX(magestuff!$D$499:$Y$615,ROW()-ROW($D$256),COLUMN()-COLUMN($C$257))),"")</f>
        <v/>
      </c>
      <c r="P305" s="1055" t="str">
        <f ca="1">IF(ISNUMBER(INDEX(magestuff!$D$499:$Y$615,ROW()-ROW($D$256),COLUMN()-COLUMN($C$257))),INDIRECT("'Master Spell List'!$Z$"&amp;INDEX(magestuff!$D$499:$Y$615,ROW()-ROW($D$256),COLUMN()-COLUMN($C$257))),"")</f>
        <v/>
      </c>
      <c r="Q305" s="1055" t="str">
        <f ca="1">IF(ISNUMBER(INDEX(magestuff!$D$499:$Y$615,ROW()-ROW($D$256),COLUMN()-COLUMN($C$257))),INDIRECT("'Master Spell List'!$Z$"&amp;INDEX(magestuff!$D$499:$Y$615,ROW()-ROW($D$256),COLUMN()-COLUMN($C$257))),"")</f>
        <v/>
      </c>
      <c r="R305" s="1055" t="str">
        <f ca="1">IF(ISNUMBER(INDEX(magestuff!$D$499:$Y$615,ROW()-ROW($D$256),COLUMN()-COLUMN($C$257))),INDIRECT("'Master Spell List'!$Z$"&amp;INDEX(magestuff!$D$499:$Y$615,ROW()-ROW($D$256),COLUMN()-COLUMN($C$257))),"")</f>
        <v/>
      </c>
      <c r="S305" s="1055" t="str">
        <f ca="1">IF(ISNUMBER(INDEX(magestuff!$D$499:$Y$615,ROW()-ROW($D$256),COLUMN()-COLUMN($C$257))),INDIRECT("'Master Spell List'!$Z$"&amp;INDEX(magestuff!$D$499:$Y$615,ROW()-ROW($D$256),COLUMN()-COLUMN($C$257))),"")</f>
        <v/>
      </c>
      <c r="T305" s="1055" t="str">
        <f ca="1">IF(ISNUMBER(INDEX(magestuff!$D$499:$Y$615,ROW()-ROW($D$256),COLUMN()-COLUMN($C$257))),INDIRECT("'Master Spell List'!$Z$"&amp;INDEX(magestuff!$D$499:$Y$615,ROW()-ROW($D$256),COLUMN()-COLUMN($C$257))),"")</f>
        <v/>
      </c>
      <c r="U305" s="1055" t="str">
        <f ca="1">IF(ISNUMBER(INDEX(magestuff!$D$499:$Y$615,ROW()-ROW($D$256),COLUMN()-COLUMN($C$257))),INDIRECT("'Master Spell List'!$Z$"&amp;INDEX(magestuff!$D$499:$Y$615,ROW()-ROW($D$256),COLUMN()-COLUMN($C$257))),"")</f>
        <v/>
      </c>
      <c r="V305" s="1055" t="str">
        <f ca="1">IF(ISNUMBER(INDEX(magestuff!$D$499:$Y$615,ROW()-ROW($D$256),COLUMN()-COLUMN($C$257))),INDIRECT("'Master Spell List'!$Z$"&amp;INDEX(magestuff!$D$499:$Y$615,ROW()-ROW($D$256),COLUMN()-COLUMN($C$257))),"")</f>
        <v/>
      </c>
      <c r="W305" s="1055" t="str">
        <f ca="1">IF(ISNUMBER(INDEX(magestuff!$D$499:$Y$615,ROW()-ROW($D$256),COLUMN()-COLUMN($C$257))),INDIRECT("'Master Spell List'!$Z$"&amp;INDEX(magestuff!$D$499:$Y$615,ROW()-ROW($D$256),COLUMN()-COLUMN($C$257))),"")</f>
        <v/>
      </c>
    </row>
    <row r="306" spans="1:23">
      <c r="A306" s="598">
        <v>51</v>
      </c>
      <c r="C306" s="598" t="s">
        <v>2225</v>
      </c>
      <c r="D306" s="1055" t="str">
        <f ca="1">IF(ISNUMBER(INDEX(magestuff!$D$499:$Y$615,ROW()-ROW($D$256),COLUMN()-COLUMN($C$257))),INDIRECT("'Master Spell List'!$Z$"&amp;INDEX(magestuff!$D$499:$Y$615,ROW()-ROW($D$256),COLUMN()-COLUMN($C$257))),"")</f>
        <v/>
      </c>
      <c r="E306" s="1055" t="str">
        <f ca="1">IF(ISNUMBER(INDEX(magestuff!$D$499:$Y$615,ROW()-ROW($D$256),COLUMN()-COLUMN($C$257))),INDIRECT("'Master Spell List'!$Z$"&amp;INDEX(magestuff!$D$499:$Y$615,ROW()-ROW($D$256),COLUMN()-COLUMN($C$257))),"")</f>
        <v/>
      </c>
      <c r="F306" s="1055" t="str">
        <f ca="1">IF(ISNUMBER(INDEX(magestuff!$D$499:$Y$615,ROW()-ROW($D$256),COLUMN()-COLUMN($C$257))),INDIRECT("'Master Spell List'!$Z$"&amp;INDEX(magestuff!$D$499:$Y$615,ROW()-ROW($D$256),COLUMN()-COLUMN($C$257))),"")</f>
        <v>Great Shave Non-Enchanted Metals</v>
      </c>
      <c r="G306" s="1055" t="str">
        <f ca="1">IF(ISNUMBER(INDEX(magestuff!$D$499:$Y$615,ROW()-ROW($D$256),COLUMN()-COLUMN($C$257))),INDIRECT("'Master Spell List'!$Z$"&amp;INDEX(magestuff!$D$499:$Y$615,ROW()-ROW($D$256),COLUMN()-COLUMN($C$257))),"")</f>
        <v/>
      </c>
      <c r="H306" s="1055" t="str">
        <f ca="1">IF(ISNUMBER(INDEX(magestuff!$D$499:$Y$615,ROW()-ROW($D$256),COLUMN()-COLUMN($C$257))),INDIRECT("'Master Spell List'!$Z$"&amp;INDEX(magestuff!$D$499:$Y$615,ROW()-ROW($D$256),COLUMN()-COLUMN($C$257))),"")</f>
        <v>Ice Bomb of the Undine</v>
      </c>
      <c r="I306" s="1055" t="str">
        <f ca="1">IF(ISNUMBER(INDEX(magestuff!$D$499:$Y$615,ROW()-ROW($D$256),COLUMN()-COLUMN($C$257))),INDIRECT("'Master Spell List'!$Z$"&amp;INDEX(magestuff!$D$499:$Y$615,ROW()-ROW($D$256),COLUMN()-COLUMN($C$257))),"")</f>
        <v>Darkness of the Pit</v>
      </c>
      <c r="J306" s="1055" t="str">
        <f ca="1">IF(ISNUMBER(INDEX(magestuff!$D$499:$Y$615,ROW()-ROW($D$256),COLUMN()-COLUMN($C$257))),INDIRECT("'Master Spell List'!$Z$"&amp;INDEX(magestuff!$D$499:$Y$615,ROW()-ROW($D$256),COLUMN()-COLUMN($C$257))),"")</f>
        <v>Lesser Imbue Music</v>
      </c>
      <c r="K306" s="1055" t="str">
        <f ca="1">IF(ISNUMBER(INDEX(magestuff!$D$499:$Y$615,ROW()-ROW($D$256),COLUMN()-COLUMN($C$257))),INDIRECT("'Master Spell List'!$Z$"&amp;INDEX(magestuff!$D$499:$Y$615,ROW()-ROW($D$256),COLUMN()-COLUMN($C$257))),"")</f>
        <v>Lesser Discern Trigger</v>
      </c>
      <c r="L306" s="1055" t="str">
        <f ca="1">IF(ISNUMBER(INDEX(magestuff!$D$499:$Y$615,ROW()-ROW($D$256),COLUMN()-COLUMN($C$257))),INDIRECT("'Master Spell List'!$Z$"&amp;INDEX(magestuff!$D$499:$Y$615,ROW()-ROW($D$256),COLUMN()-COLUMN($C$257))),"")</f>
        <v>Accelerate Image</v>
      </c>
      <c r="M306" s="1055" t="str">
        <f ca="1">IF(ISNUMBER(INDEX(magestuff!$D$499:$Y$615,ROW()-ROW($D$256),COLUMN()-COLUMN($C$257))),INDIRECT("'Master Spell List'!$Z$"&amp;INDEX(magestuff!$D$499:$Y$615,ROW()-ROW($D$256),COLUMN()-COLUMN($C$257))),"")</f>
        <v>The Greenway</v>
      </c>
      <c r="N306" s="1055" t="str">
        <f ca="1">IF(ISNUMBER(INDEX(magestuff!$D$499:$Y$615,ROW()-ROW($D$256),COLUMN()-COLUMN($C$257))),INDIRECT("'Master Spell List'!$Z$"&amp;INDEX(magestuff!$D$499:$Y$615,ROW()-ROW($D$256),COLUMN()-COLUMN($C$257))),"")</f>
        <v xml:space="preserve">Banish Greater Spirit </v>
      </c>
      <c r="O306" s="1055" t="str">
        <f ca="1">IF(ISNUMBER(INDEX(magestuff!$D$499:$Y$615,ROW()-ROW($D$256),COLUMN()-COLUMN($C$257))),INDIRECT("'Master Spell List'!$Z$"&amp;INDEX(magestuff!$D$499:$Y$615,ROW()-ROW($D$256),COLUMN()-COLUMN($C$257))),"")</f>
        <v/>
      </c>
      <c r="P306" s="1055" t="str">
        <f ca="1">IF(ISNUMBER(INDEX(magestuff!$D$499:$Y$615,ROW()-ROW($D$256),COLUMN()-COLUMN($C$257))),INDIRECT("'Master Spell List'!$Z$"&amp;INDEX(magestuff!$D$499:$Y$615,ROW()-ROW($D$256),COLUMN()-COLUMN($C$257))),"")</f>
        <v/>
      </c>
      <c r="Q306" s="1055" t="str">
        <f ca="1">IF(ISNUMBER(INDEX(magestuff!$D$499:$Y$615,ROW()-ROW($D$256),COLUMN()-COLUMN($C$257))),INDIRECT("'Master Spell List'!$Z$"&amp;INDEX(magestuff!$D$499:$Y$615,ROW()-ROW($D$256),COLUMN()-COLUMN($C$257))),"")</f>
        <v/>
      </c>
      <c r="R306" s="1055" t="str">
        <f ca="1">IF(ISNUMBER(INDEX(magestuff!$D$499:$Y$615,ROW()-ROW($D$256),COLUMN()-COLUMN($C$257))),INDIRECT("'Master Spell List'!$Z$"&amp;INDEX(magestuff!$D$499:$Y$615,ROW()-ROW($D$256),COLUMN()-COLUMN($C$257))),"")</f>
        <v/>
      </c>
      <c r="S306" s="1055" t="str">
        <f ca="1">IF(ISNUMBER(INDEX(magestuff!$D$499:$Y$615,ROW()-ROW($D$256),COLUMN()-COLUMN($C$257))),INDIRECT("'Master Spell List'!$Z$"&amp;INDEX(magestuff!$D$499:$Y$615,ROW()-ROW($D$256),COLUMN()-COLUMN($C$257))),"")</f>
        <v/>
      </c>
      <c r="T306" s="1055" t="str">
        <f ca="1">IF(ISNUMBER(INDEX(magestuff!$D$499:$Y$615,ROW()-ROW($D$256),COLUMN()-COLUMN($C$257))),INDIRECT("'Master Spell List'!$Z$"&amp;INDEX(magestuff!$D$499:$Y$615,ROW()-ROW($D$256),COLUMN()-COLUMN($C$257))),"")</f>
        <v/>
      </c>
      <c r="U306" s="1055" t="str">
        <f ca="1">IF(ISNUMBER(INDEX(magestuff!$D$499:$Y$615,ROW()-ROW($D$256),COLUMN()-COLUMN($C$257))),INDIRECT("'Master Spell List'!$Z$"&amp;INDEX(magestuff!$D$499:$Y$615,ROW()-ROW($D$256),COLUMN()-COLUMN($C$257))),"")</f>
        <v/>
      </c>
      <c r="V306" s="1055" t="str">
        <f ca="1">IF(ISNUMBER(INDEX(magestuff!$D$499:$Y$615,ROW()-ROW($D$256),COLUMN()-COLUMN($C$257))),INDIRECT("'Master Spell List'!$Z$"&amp;INDEX(magestuff!$D$499:$Y$615,ROW()-ROW($D$256),COLUMN()-COLUMN($C$257))),"")</f>
        <v/>
      </c>
      <c r="W306" s="1055" t="str">
        <f ca="1">IF(ISNUMBER(INDEX(magestuff!$D$499:$Y$615,ROW()-ROW($D$256),COLUMN()-COLUMN($C$257))),INDIRECT("'Master Spell List'!$Z$"&amp;INDEX(magestuff!$D$499:$Y$615,ROW()-ROW($D$256),COLUMN()-COLUMN($C$257))),"")</f>
        <v/>
      </c>
    </row>
    <row r="307" spans="1:23">
      <c r="A307" s="598">
        <v>52</v>
      </c>
      <c r="C307" s="598" t="s">
        <v>2225</v>
      </c>
      <c r="D307" s="1055" t="str">
        <f ca="1">IF(ISNUMBER(INDEX(magestuff!$D$499:$Y$615,ROW()-ROW($D$256),COLUMN()-COLUMN($C$257))),INDIRECT("'Master Spell List'!$Z$"&amp;INDEX(magestuff!$D$499:$Y$615,ROW()-ROW($D$256),COLUMN()-COLUMN($C$257))),"")</f>
        <v/>
      </c>
      <c r="E307" s="1055" t="str">
        <f ca="1">IF(ISNUMBER(INDEX(magestuff!$D$499:$Y$615,ROW()-ROW($D$256),COLUMN()-COLUMN($C$257))),INDIRECT("'Master Spell List'!$Z$"&amp;INDEX(magestuff!$D$499:$Y$615,ROW()-ROW($D$256),COLUMN()-COLUMN($C$257))),"")</f>
        <v/>
      </c>
      <c r="F307" s="1055" t="str">
        <f ca="1">IF(ISNUMBER(INDEX(magestuff!$D$499:$Y$615,ROW()-ROW($D$256),COLUMN()-COLUMN($C$257))),INDIRECT("'Master Spell List'!$Z$"&amp;INDEX(magestuff!$D$499:$Y$615,ROW()-ROW($D$256),COLUMN()-COLUMN($C$257))),"")</f>
        <v>Greater Shave Enchanted Metals</v>
      </c>
      <c r="G307" s="1055" t="str">
        <f ca="1">IF(ISNUMBER(INDEX(magestuff!$D$499:$Y$615,ROW()-ROW($D$256),COLUMN()-COLUMN($C$257))),INDIRECT("'Master Spell List'!$Z$"&amp;INDEX(magestuff!$D$499:$Y$615,ROW()-ROW($D$256),COLUMN()-COLUMN($C$257))),"")</f>
        <v/>
      </c>
      <c r="H307" s="1055" t="str">
        <f ca="1">IF(ISNUMBER(INDEX(magestuff!$D$499:$Y$615,ROW()-ROW($D$256),COLUMN()-COLUMN($C$257))),INDIRECT("'Master Spell List'!$Z$"&amp;INDEX(magestuff!$D$499:$Y$615,ROW()-ROW($D$256),COLUMN()-COLUMN($C$257))),"")</f>
        <v>Jet of Magick Water</v>
      </c>
      <c r="I307" s="1055" t="str">
        <f ca="1">IF(ISNUMBER(INDEX(magestuff!$D$499:$Y$615,ROW()-ROW($D$256),COLUMN()-COLUMN($C$257))),INDIRECT("'Master Spell List'!$Z$"&amp;INDEX(magestuff!$D$499:$Y$615,ROW()-ROW($D$256),COLUMN()-COLUMN($C$257))),"")</f>
        <v>Dispel Lesser Arcane Energy</v>
      </c>
      <c r="J307" s="1055" t="str">
        <f ca="1">IF(ISNUMBER(INDEX(magestuff!$D$499:$Y$615,ROW()-ROW($D$256),COLUMN()-COLUMN($C$257))),INDIRECT("'Master Spell List'!$Z$"&amp;INDEX(magestuff!$D$499:$Y$615,ROW()-ROW($D$256),COLUMN()-COLUMN($C$257))),"")</f>
        <v>Mass Daze</v>
      </c>
      <c r="K307" s="1055" t="str">
        <f ca="1">IF(ISNUMBER(INDEX(magestuff!$D$499:$Y$615,ROW()-ROW($D$256),COLUMN()-COLUMN($C$257))),INDIRECT("'Master Spell List'!$Z$"&amp;INDEX(magestuff!$D$499:$Y$615,ROW()-ROW($D$256),COLUMN()-COLUMN($C$257))),"")</f>
        <v>Least Discern Magick</v>
      </c>
      <c r="L307" s="1055" t="str">
        <f ca="1">IF(ISNUMBER(INDEX(magestuff!$D$499:$Y$615,ROW()-ROW($D$256),COLUMN()-COLUMN($C$257))),INDIRECT("'Master Spell List'!$Z$"&amp;INDEX(magestuff!$D$499:$Y$615,ROW()-ROW($D$256),COLUMN()-COLUMN($C$257))),"")</f>
        <v>Affix Image</v>
      </c>
      <c r="M307" s="1055" t="str">
        <f ca="1">IF(ISNUMBER(INDEX(magestuff!$D$499:$Y$615,ROW()-ROW($D$256),COLUMN()-COLUMN($C$257))),INDIRECT("'Master Spell List'!$Z$"&amp;INDEX(magestuff!$D$499:$Y$615,ROW()-ROW($D$256),COLUMN()-COLUMN($C$257))),"")</f>
        <v>Weave Rope</v>
      </c>
      <c r="N307" s="1055" t="str">
        <f ca="1">IF(ISNUMBER(INDEX(magestuff!$D$499:$Y$615,ROW()-ROW($D$256),COLUMN()-COLUMN($C$257))),INDIRECT("'Master Spell List'!$Z$"&amp;INDEX(magestuff!$D$499:$Y$615,ROW()-ROW($D$256),COLUMN()-COLUMN($C$257))),"")</f>
        <v>Bind Death into a Container</v>
      </c>
      <c r="O307" s="1055" t="str">
        <f ca="1">IF(ISNUMBER(INDEX(magestuff!$D$499:$Y$615,ROW()-ROW($D$256),COLUMN()-COLUMN($C$257))),INDIRECT("'Master Spell List'!$Z$"&amp;INDEX(magestuff!$D$499:$Y$615,ROW()-ROW($D$256),COLUMN()-COLUMN($C$257))),"")</f>
        <v/>
      </c>
      <c r="P307" s="1055" t="str">
        <f ca="1">IF(ISNUMBER(INDEX(magestuff!$D$499:$Y$615,ROW()-ROW($D$256),COLUMN()-COLUMN($C$257))),INDIRECT("'Master Spell List'!$Z$"&amp;INDEX(magestuff!$D$499:$Y$615,ROW()-ROW($D$256),COLUMN()-COLUMN($C$257))),"")</f>
        <v/>
      </c>
      <c r="Q307" s="1055" t="str">
        <f ca="1">IF(ISNUMBER(INDEX(magestuff!$D$499:$Y$615,ROW()-ROW($D$256),COLUMN()-COLUMN($C$257))),INDIRECT("'Master Spell List'!$Z$"&amp;INDEX(magestuff!$D$499:$Y$615,ROW()-ROW($D$256),COLUMN()-COLUMN($C$257))),"")</f>
        <v/>
      </c>
      <c r="R307" s="1055" t="str">
        <f ca="1">IF(ISNUMBER(INDEX(magestuff!$D$499:$Y$615,ROW()-ROW($D$256),COLUMN()-COLUMN($C$257))),INDIRECT("'Master Spell List'!$Z$"&amp;INDEX(magestuff!$D$499:$Y$615,ROW()-ROW($D$256),COLUMN()-COLUMN($C$257))),"")</f>
        <v/>
      </c>
      <c r="S307" s="1055" t="str">
        <f ca="1">IF(ISNUMBER(INDEX(magestuff!$D$499:$Y$615,ROW()-ROW($D$256),COLUMN()-COLUMN($C$257))),INDIRECT("'Master Spell List'!$Z$"&amp;INDEX(magestuff!$D$499:$Y$615,ROW()-ROW($D$256),COLUMN()-COLUMN($C$257))),"")</f>
        <v/>
      </c>
      <c r="T307" s="1055" t="str">
        <f ca="1">IF(ISNUMBER(INDEX(magestuff!$D$499:$Y$615,ROW()-ROW($D$256),COLUMN()-COLUMN($C$257))),INDIRECT("'Master Spell List'!$Z$"&amp;INDEX(magestuff!$D$499:$Y$615,ROW()-ROW($D$256),COLUMN()-COLUMN($C$257))),"")</f>
        <v/>
      </c>
      <c r="U307" s="1055" t="str">
        <f ca="1">IF(ISNUMBER(INDEX(magestuff!$D$499:$Y$615,ROW()-ROW($D$256),COLUMN()-COLUMN($C$257))),INDIRECT("'Master Spell List'!$Z$"&amp;INDEX(magestuff!$D$499:$Y$615,ROW()-ROW($D$256),COLUMN()-COLUMN($C$257))),"")</f>
        <v/>
      </c>
      <c r="V307" s="1055" t="str">
        <f ca="1">IF(ISNUMBER(INDEX(magestuff!$D$499:$Y$615,ROW()-ROW($D$256),COLUMN()-COLUMN($C$257))),INDIRECT("'Master Spell List'!$Z$"&amp;INDEX(magestuff!$D$499:$Y$615,ROW()-ROW($D$256),COLUMN()-COLUMN($C$257))),"")</f>
        <v/>
      </c>
      <c r="W307" s="1055" t="str">
        <f ca="1">IF(ISNUMBER(INDEX(magestuff!$D$499:$Y$615,ROW()-ROW($D$256),COLUMN()-COLUMN($C$257))),INDIRECT("'Master Spell List'!$Z$"&amp;INDEX(magestuff!$D$499:$Y$615,ROW()-ROW($D$256),COLUMN()-COLUMN($C$257))),"")</f>
        <v/>
      </c>
    </row>
    <row r="308" spans="1:23">
      <c r="A308" s="598">
        <v>53</v>
      </c>
      <c r="C308" s="598" t="s">
        <v>2225</v>
      </c>
      <c r="D308" s="1055" t="str">
        <f ca="1">IF(ISNUMBER(INDEX(magestuff!$D$499:$Y$615,ROW()-ROW($D$256),COLUMN()-COLUMN($C$257))),INDIRECT("'Master Spell List'!$Z$"&amp;INDEX(magestuff!$D$499:$Y$615,ROW()-ROW($D$256),COLUMN()-COLUMN($C$257))),"")</f>
        <v/>
      </c>
      <c r="E308" s="1055" t="str">
        <f ca="1">IF(ISNUMBER(INDEX(magestuff!$D$499:$Y$615,ROW()-ROW($D$256),COLUMN()-COLUMN($C$257))),INDIRECT("'Master Spell List'!$Z$"&amp;INDEX(magestuff!$D$499:$Y$615,ROW()-ROW($D$256),COLUMN()-COLUMN($C$257))),"")</f>
        <v/>
      </c>
      <c r="F308" s="1055" t="str">
        <f ca="1">IF(ISNUMBER(INDEX(magestuff!$D$499:$Y$615,ROW()-ROW($D$256),COLUMN()-COLUMN($C$257))),INDIRECT("'Master Spell List'!$Z$"&amp;INDEX(magestuff!$D$499:$Y$615,ROW()-ROW($D$256),COLUMN()-COLUMN($C$257))),"")</f>
        <v>Lesser Powder Non-Enchanted Metals</v>
      </c>
      <c r="G308" s="1055" t="str">
        <f ca="1">IF(ISNUMBER(INDEX(magestuff!$D$499:$Y$615,ROW()-ROW($D$256),COLUMN()-COLUMN($C$257))),INDIRECT("'Master Spell List'!$Z$"&amp;INDEX(magestuff!$D$499:$Y$615,ROW()-ROW($D$256),COLUMN()-COLUMN($C$257))),"")</f>
        <v/>
      </c>
      <c r="H308" s="1055" t="str">
        <f ca="1">IF(ISNUMBER(INDEX(magestuff!$D$499:$Y$615,ROW()-ROW($D$256),COLUMN()-COLUMN($C$257))),INDIRECT("'Master Spell List'!$Z$"&amp;INDEX(magestuff!$D$499:$Y$615,ROW()-ROW($D$256),COLUMN()-COLUMN($C$257))),"")</f>
        <v>Jet of the Undine</v>
      </c>
      <c r="I308" s="1055" t="str">
        <f ca="1">IF(ISNUMBER(INDEX(magestuff!$D$499:$Y$615,ROW()-ROW($D$256),COLUMN()-COLUMN($C$257))),INDIRECT("'Master Spell List'!$Z$"&amp;INDEX(magestuff!$D$499:$Y$615,ROW()-ROW($D$256),COLUMN()-COLUMN($C$257))),"")</f>
        <v>Eldritch Area Sunlight</v>
      </c>
      <c r="J308" s="1055" t="str">
        <f ca="1">IF(ISNUMBER(INDEX(magestuff!$D$499:$Y$615,ROW()-ROW($D$256),COLUMN()-COLUMN($C$257))),INDIRECT("'Master Spell List'!$Z$"&amp;INDEX(magestuff!$D$499:$Y$615,ROW()-ROW($D$256),COLUMN()-COLUMN($C$257))),"")</f>
        <v>Oblivious</v>
      </c>
      <c r="K308" s="1055" t="str">
        <f ca="1">IF(ISNUMBER(INDEX(magestuff!$D$499:$Y$615,ROW()-ROW($D$256),COLUMN()-COLUMN($C$257))),INDIRECT("'Master Spell List'!$Z$"&amp;INDEX(magestuff!$D$499:$Y$615,ROW()-ROW($D$256),COLUMN()-COLUMN($C$257))),"")</f>
        <v>Forecast Weather From Afar</v>
      </c>
      <c r="L308" s="1055" t="str">
        <f ca="1">IF(ISNUMBER(INDEX(magestuff!$D$499:$Y$615,ROW()-ROW($D$256),COLUMN()-COLUMN($C$257))),INDIRECT("'Master Spell List'!$Z$"&amp;INDEX(magestuff!$D$499:$Y$615,ROW()-ROW($D$256),COLUMN()-COLUMN($C$257))),"")</f>
        <v>Cloak Self</v>
      </c>
      <c r="M308" s="1055" t="str">
        <f ca="1">IF(ISNUMBER(INDEX(magestuff!$D$499:$Y$615,ROW()-ROW($D$256),COLUMN()-COLUMN($C$257))),INDIRECT("'Master Spell List'!$Z$"&amp;INDEX(magestuff!$D$499:$Y$615,ROW()-ROW($D$256),COLUMN()-COLUMN($C$257))),"")</f>
        <v>Animate War Tree Type II</v>
      </c>
      <c r="N308" s="1055" t="str">
        <f ca="1">IF(ISNUMBER(INDEX(magestuff!$D$499:$Y$615,ROW()-ROW($D$256),COLUMN()-COLUMN($C$257))),INDIRECT("'Master Spell List'!$Z$"&amp;INDEX(magestuff!$D$499:$Y$615,ROW()-ROW($D$256),COLUMN()-COLUMN($C$257))),"")</f>
        <v xml:space="preserve">Great Bind Great Spirit into a Container </v>
      </c>
      <c r="O308" s="1055" t="str">
        <f ca="1">IF(ISNUMBER(INDEX(magestuff!$D$499:$Y$615,ROW()-ROW($D$256),COLUMN()-COLUMN($C$257))),INDIRECT("'Master Spell List'!$Z$"&amp;INDEX(magestuff!$D$499:$Y$615,ROW()-ROW($D$256),COLUMN()-COLUMN($C$257))),"")</f>
        <v/>
      </c>
      <c r="P308" s="1055" t="str">
        <f ca="1">IF(ISNUMBER(INDEX(magestuff!$D$499:$Y$615,ROW()-ROW($D$256),COLUMN()-COLUMN($C$257))),INDIRECT("'Master Spell List'!$Z$"&amp;INDEX(magestuff!$D$499:$Y$615,ROW()-ROW($D$256),COLUMN()-COLUMN($C$257))),"")</f>
        <v/>
      </c>
      <c r="Q308" s="1055" t="str">
        <f ca="1">IF(ISNUMBER(INDEX(magestuff!$D$499:$Y$615,ROW()-ROW($D$256),COLUMN()-COLUMN($C$257))),INDIRECT("'Master Spell List'!$Z$"&amp;INDEX(magestuff!$D$499:$Y$615,ROW()-ROW($D$256),COLUMN()-COLUMN($C$257))),"")</f>
        <v/>
      </c>
      <c r="R308" s="1055" t="str">
        <f ca="1">IF(ISNUMBER(INDEX(magestuff!$D$499:$Y$615,ROW()-ROW($D$256),COLUMN()-COLUMN($C$257))),INDIRECT("'Master Spell List'!$Z$"&amp;INDEX(magestuff!$D$499:$Y$615,ROW()-ROW($D$256),COLUMN()-COLUMN($C$257))),"")</f>
        <v/>
      </c>
      <c r="S308" s="1055" t="str">
        <f ca="1">IF(ISNUMBER(INDEX(magestuff!$D$499:$Y$615,ROW()-ROW($D$256),COLUMN()-COLUMN($C$257))),INDIRECT("'Master Spell List'!$Z$"&amp;INDEX(magestuff!$D$499:$Y$615,ROW()-ROW($D$256),COLUMN()-COLUMN($C$257))),"")</f>
        <v/>
      </c>
      <c r="T308" s="1055" t="str">
        <f ca="1">IF(ISNUMBER(INDEX(magestuff!$D$499:$Y$615,ROW()-ROW($D$256),COLUMN()-COLUMN($C$257))),INDIRECT("'Master Spell List'!$Z$"&amp;INDEX(magestuff!$D$499:$Y$615,ROW()-ROW($D$256),COLUMN()-COLUMN($C$257))),"")</f>
        <v/>
      </c>
      <c r="U308" s="1055" t="str">
        <f ca="1">IF(ISNUMBER(INDEX(magestuff!$D$499:$Y$615,ROW()-ROW($D$256),COLUMN()-COLUMN($C$257))),INDIRECT("'Master Spell List'!$Z$"&amp;INDEX(magestuff!$D$499:$Y$615,ROW()-ROW($D$256),COLUMN()-COLUMN($C$257))),"")</f>
        <v/>
      </c>
      <c r="V308" s="1055" t="str">
        <f ca="1">IF(ISNUMBER(INDEX(magestuff!$D$499:$Y$615,ROW()-ROW($D$256),COLUMN()-COLUMN($C$257))),INDIRECT("'Master Spell List'!$Z$"&amp;INDEX(magestuff!$D$499:$Y$615,ROW()-ROW($D$256),COLUMN()-COLUMN($C$257))),"")</f>
        <v/>
      </c>
      <c r="W308" s="1055" t="str">
        <f ca="1">IF(ISNUMBER(INDEX(magestuff!$D$499:$Y$615,ROW()-ROW($D$256),COLUMN()-COLUMN($C$257))),INDIRECT("'Master Spell List'!$Z$"&amp;INDEX(magestuff!$D$499:$Y$615,ROW()-ROW($D$256),COLUMN()-COLUMN($C$257))),"")</f>
        <v/>
      </c>
    </row>
    <row r="309" spans="1:23">
      <c r="A309" s="598">
        <v>54</v>
      </c>
      <c r="C309" s="598" t="s">
        <v>2225</v>
      </c>
      <c r="D309" s="1055" t="str">
        <f ca="1">IF(ISNUMBER(INDEX(magestuff!$D$499:$Y$615,ROW()-ROW($D$256),COLUMN()-COLUMN($C$257))),INDIRECT("'Master Spell List'!$Z$"&amp;INDEX(magestuff!$D$499:$Y$615,ROW()-ROW($D$256),COLUMN()-COLUMN($C$257))),"")</f>
        <v/>
      </c>
      <c r="E309" s="1055" t="str">
        <f ca="1">IF(ISNUMBER(INDEX(magestuff!$D$499:$Y$615,ROW()-ROW($D$256),COLUMN()-COLUMN($C$257))),INDIRECT("'Master Spell List'!$Z$"&amp;INDEX(magestuff!$D$499:$Y$615,ROW()-ROW($D$256),COLUMN()-COLUMN($C$257))),"")</f>
        <v/>
      </c>
      <c r="F309" s="1055" t="str">
        <f ca="1">IF(ISNUMBER(INDEX(magestuff!$D$499:$Y$615,ROW()-ROW($D$256),COLUMN()-COLUMN($C$257))),INDIRECT("'Master Spell List'!$Z$"&amp;INDEX(magestuff!$D$499:$Y$615,ROW()-ROW($D$256),COLUMN()-COLUMN($C$257))),"")</f>
        <v>Great Divide</v>
      </c>
      <c r="G309" s="1055" t="str">
        <f ca="1">IF(ISNUMBER(INDEX(magestuff!$D$499:$Y$615,ROW()-ROW($D$256),COLUMN()-COLUMN($C$257))),INDIRECT("'Master Spell List'!$Z$"&amp;INDEX(magestuff!$D$499:$Y$615,ROW()-ROW($D$256),COLUMN()-COLUMN($C$257))),"")</f>
        <v/>
      </c>
      <c r="H309" s="1055" t="str">
        <f ca="1">IF(ISNUMBER(INDEX(magestuff!$D$499:$Y$615,ROW()-ROW($D$256),COLUMN()-COLUMN($C$257))),INDIRECT("'Master Spell List'!$Z$"&amp;INDEX(magestuff!$D$499:$Y$615,ROW()-ROW($D$256),COLUMN()-COLUMN($C$257))),"")</f>
        <v>Shards of the Undine</v>
      </c>
      <c r="I309" s="1055" t="str">
        <f ca="1">IF(ISNUMBER(INDEX(magestuff!$D$499:$Y$615,ROW()-ROW($D$256),COLUMN()-COLUMN($C$257))),INDIRECT("'Master Spell List'!$Z$"&amp;INDEX(magestuff!$D$499:$Y$615,ROW()-ROW($D$256),COLUMN()-COLUMN($C$257))),"")</f>
        <v>Eye of the Wizard</v>
      </c>
      <c r="J309" s="1055" t="str">
        <f ca="1">IF(ISNUMBER(INDEX(magestuff!$D$499:$Y$615,ROW()-ROW($D$256),COLUMN()-COLUMN($C$257))),INDIRECT("'Master Spell List'!$Z$"&amp;INDEX(magestuff!$D$499:$Y$615,ROW()-ROW($D$256),COLUMN()-COLUMN($C$257))),"")</f>
        <v>Reduce Inhibition</v>
      </c>
      <c r="K309" s="1055" t="str">
        <f ca="1">IF(ISNUMBER(INDEX(magestuff!$D$499:$Y$615,ROW()-ROW($D$256),COLUMN()-COLUMN($C$257))),INDIRECT("'Master Spell List'!$Z$"&amp;INDEX(magestuff!$D$499:$Y$615,ROW()-ROW($D$256),COLUMN()-COLUMN($C$257))),"")</f>
        <v>Lesser Temporal Wave</v>
      </c>
      <c r="L309" s="1055" t="str">
        <f ca="1">IF(ISNUMBER(INDEX(magestuff!$D$499:$Y$615,ROW()-ROW($D$256),COLUMN()-COLUMN($C$257))),INDIRECT("'Master Spell List'!$Z$"&amp;INDEX(magestuff!$D$499:$Y$615,ROW()-ROW($D$256),COLUMN()-COLUMN($C$257))),"")</f>
        <v>Create Great Illusionary Contact</v>
      </c>
      <c r="M309" s="1055" t="str">
        <f ca="1">IF(ISNUMBER(INDEX(magestuff!$D$499:$Y$615,ROW()-ROW($D$256),COLUMN()-COLUMN($C$257))),INDIRECT("'Master Spell List'!$Z$"&amp;INDEX(magestuff!$D$499:$Y$615,ROW()-ROW($D$256),COLUMN()-COLUMN($C$257))),"")</f>
        <v>Create/Command Plant (Sprout)</v>
      </c>
      <c r="N309" s="1055" t="str">
        <f ca="1">IF(ISNUMBER(INDEX(magestuff!$D$499:$Y$615,ROW()-ROW($D$256),COLUMN()-COLUMN($C$257))),INDIRECT("'Master Spell List'!$Z$"&amp;INDEX(magestuff!$D$499:$Y$615,ROW()-ROW($D$256),COLUMN()-COLUMN($C$257))),"")</f>
        <v>The Great Work</v>
      </c>
      <c r="O309" s="1055" t="str">
        <f ca="1">IF(ISNUMBER(INDEX(magestuff!$D$499:$Y$615,ROW()-ROW($D$256),COLUMN()-COLUMN($C$257))),INDIRECT("'Master Spell List'!$Z$"&amp;INDEX(magestuff!$D$499:$Y$615,ROW()-ROW($D$256),COLUMN()-COLUMN($C$257))),"")</f>
        <v/>
      </c>
      <c r="P309" s="1055" t="str">
        <f ca="1">IF(ISNUMBER(INDEX(magestuff!$D$499:$Y$615,ROW()-ROW($D$256),COLUMN()-COLUMN($C$257))),INDIRECT("'Master Spell List'!$Z$"&amp;INDEX(magestuff!$D$499:$Y$615,ROW()-ROW($D$256),COLUMN()-COLUMN($C$257))),"")</f>
        <v/>
      </c>
      <c r="Q309" s="1055" t="str">
        <f ca="1">IF(ISNUMBER(INDEX(magestuff!$D$499:$Y$615,ROW()-ROW($D$256),COLUMN()-COLUMN($C$257))),INDIRECT("'Master Spell List'!$Z$"&amp;INDEX(magestuff!$D$499:$Y$615,ROW()-ROW($D$256),COLUMN()-COLUMN($C$257))),"")</f>
        <v/>
      </c>
      <c r="R309" s="1055" t="str">
        <f ca="1">IF(ISNUMBER(INDEX(magestuff!$D$499:$Y$615,ROW()-ROW($D$256),COLUMN()-COLUMN($C$257))),INDIRECT("'Master Spell List'!$Z$"&amp;INDEX(magestuff!$D$499:$Y$615,ROW()-ROW($D$256),COLUMN()-COLUMN($C$257))),"")</f>
        <v/>
      </c>
      <c r="S309" s="1055" t="str">
        <f ca="1">IF(ISNUMBER(INDEX(magestuff!$D$499:$Y$615,ROW()-ROW($D$256),COLUMN()-COLUMN($C$257))),INDIRECT("'Master Spell List'!$Z$"&amp;INDEX(magestuff!$D$499:$Y$615,ROW()-ROW($D$256),COLUMN()-COLUMN($C$257))),"")</f>
        <v/>
      </c>
      <c r="T309" s="1055" t="str">
        <f ca="1">IF(ISNUMBER(INDEX(magestuff!$D$499:$Y$615,ROW()-ROW($D$256),COLUMN()-COLUMN($C$257))),INDIRECT("'Master Spell List'!$Z$"&amp;INDEX(magestuff!$D$499:$Y$615,ROW()-ROW($D$256),COLUMN()-COLUMN($C$257))),"")</f>
        <v/>
      </c>
      <c r="U309" s="1055" t="str">
        <f ca="1">IF(ISNUMBER(INDEX(magestuff!$D$499:$Y$615,ROW()-ROW($D$256),COLUMN()-COLUMN($C$257))),INDIRECT("'Master Spell List'!$Z$"&amp;INDEX(magestuff!$D$499:$Y$615,ROW()-ROW($D$256),COLUMN()-COLUMN($C$257))),"")</f>
        <v/>
      </c>
      <c r="V309" s="1055" t="str">
        <f ca="1">IF(ISNUMBER(INDEX(magestuff!$D$499:$Y$615,ROW()-ROW($D$256),COLUMN()-COLUMN($C$257))),INDIRECT("'Master Spell List'!$Z$"&amp;INDEX(magestuff!$D$499:$Y$615,ROW()-ROW($D$256),COLUMN()-COLUMN($C$257))),"")</f>
        <v/>
      </c>
      <c r="W309" s="1055" t="str">
        <f ca="1">IF(ISNUMBER(INDEX(magestuff!$D$499:$Y$615,ROW()-ROW($D$256),COLUMN()-COLUMN($C$257))),INDIRECT("'Master Spell List'!$Z$"&amp;INDEX(magestuff!$D$499:$Y$615,ROW()-ROW($D$256),COLUMN()-COLUMN($C$257))),"")</f>
        <v/>
      </c>
    </row>
    <row r="310" spans="1:23">
      <c r="A310" s="598">
        <v>55</v>
      </c>
      <c r="C310" s="598" t="s">
        <v>2225</v>
      </c>
      <c r="D310" s="1055" t="str">
        <f ca="1">IF(ISNUMBER(INDEX(magestuff!$D$499:$Y$615,ROW()-ROW($D$256),COLUMN()-COLUMN($C$257))),INDIRECT("'Master Spell List'!$Z$"&amp;INDEX(magestuff!$D$499:$Y$615,ROW()-ROW($D$256),COLUMN()-COLUMN($C$257))),"")</f>
        <v/>
      </c>
      <c r="E310" s="1055" t="str">
        <f ca="1">IF(ISNUMBER(INDEX(magestuff!$D$499:$Y$615,ROW()-ROW($D$256),COLUMN()-COLUMN($C$257))),INDIRECT("'Master Spell List'!$Z$"&amp;INDEX(magestuff!$D$499:$Y$615,ROW()-ROW($D$256),COLUMN()-COLUMN($C$257))),"")</f>
        <v/>
      </c>
      <c r="F310" s="1055" t="str">
        <f ca="1">IF(ISNUMBER(INDEX(magestuff!$D$499:$Y$615,ROW()-ROW($D$256),COLUMN()-COLUMN($C$257))),INDIRECT("'Master Spell List'!$Z$"&amp;INDEX(magestuff!$D$499:$Y$615,ROW()-ROW($D$256),COLUMN()-COLUMN($C$257))),"")</f>
        <v>Create Imperfect Glass Wand</v>
      </c>
      <c r="G310" s="1055" t="str">
        <f ca="1">IF(ISNUMBER(INDEX(magestuff!$D$499:$Y$615,ROW()-ROW($D$256),COLUMN()-COLUMN($C$257))),INDIRECT("'Master Spell List'!$Z$"&amp;INDEX(magestuff!$D$499:$Y$615,ROW()-ROW($D$256),COLUMN()-COLUMN($C$257))),"")</f>
        <v/>
      </c>
      <c r="H310" s="1055" t="str">
        <f ca="1">IF(ISNUMBER(INDEX(magestuff!$D$499:$Y$615,ROW()-ROW($D$256),COLUMN()-COLUMN($C$257))),INDIRECT("'Master Spell List'!$Z$"&amp;INDEX(magestuff!$D$499:$Y$615,ROW()-ROW($D$256),COLUMN()-COLUMN($C$257))),"")</f>
        <v>Water Bomb of Magick Water</v>
      </c>
      <c r="I310" s="1055" t="str">
        <f ca="1">IF(ISNUMBER(INDEX(magestuff!$D$499:$Y$615,ROW()-ROW($D$256),COLUMN()-COLUMN($C$257))),INDIRECT("'Master Spell List'!$Z$"&amp;INDEX(magestuff!$D$499:$Y$615,ROW()-ROW($D$256),COLUMN()-COLUMN($C$257))),"")</f>
        <v>Gather Greatest Amount of Arcane Energy</v>
      </c>
      <c r="J310" s="1055" t="str">
        <f ca="1">IF(ISNUMBER(INDEX(magestuff!$D$499:$Y$615,ROW()-ROW($D$256),COLUMN()-COLUMN($C$257))),INDIRECT("'Master Spell List'!$Z$"&amp;INDEX(magestuff!$D$499:$Y$615,ROW()-ROW($D$256),COLUMN()-COLUMN($C$257))),"")</f>
        <v>Bravery</v>
      </c>
      <c r="K310" s="1055" t="str">
        <f ca="1">IF(ISNUMBER(INDEX(magestuff!$D$499:$Y$615,ROW()-ROW($D$256),COLUMN()-COLUMN($C$257))),INDIRECT("'Master Spell List'!$Z$"&amp;INDEX(magestuff!$D$499:$Y$615,ROW()-ROW($D$256),COLUMN()-COLUMN($C$257))),"")</f>
        <v>Temporal Sidestep</v>
      </c>
      <c r="L310" s="1055" t="str">
        <f ca="1">IF(ISNUMBER(INDEX(magestuff!$D$499:$Y$615,ROW()-ROW($D$256),COLUMN()-COLUMN($C$257))),INDIRECT("'Master Spell List'!$Z$"&amp;INDEX(magestuff!$D$499:$Y$615,ROW()-ROW($D$256),COLUMN()-COLUMN($C$257))),"")</f>
        <v>Create Great Sound</v>
      </c>
      <c r="M310" s="1055" t="str">
        <f ca="1">IF(ISNUMBER(INDEX(magestuff!$D$499:$Y$615,ROW()-ROW($D$256),COLUMN()-COLUMN($C$257))),INDIRECT("'Master Spell List'!$Z$"&amp;INDEX(magestuff!$D$499:$Y$615,ROW()-ROW($D$256),COLUMN()-COLUMN($C$257))),"")</f>
        <v>Great Grind Fine</v>
      </c>
      <c r="N310" s="1055" t="str">
        <f ca="1">IF(ISNUMBER(INDEX(magestuff!$D$499:$Y$615,ROW()-ROW($D$256),COLUMN()-COLUMN($C$257))),INDIRECT("'Master Spell List'!$Z$"&amp;INDEX(magestuff!$D$499:$Y$615,ROW()-ROW($D$256),COLUMN()-COLUMN($C$257))),"")</f>
        <v xml:space="preserve">Bind Greater Spirit into a Container </v>
      </c>
      <c r="O310" s="1055" t="str">
        <f ca="1">IF(ISNUMBER(INDEX(magestuff!$D$499:$Y$615,ROW()-ROW($D$256),COLUMN()-COLUMN($C$257))),INDIRECT("'Master Spell List'!$Z$"&amp;INDEX(magestuff!$D$499:$Y$615,ROW()-ROW($D$256),COLUMN()-COLUMN($C$257))),"")</f>
        <v/>
      </c>
      <c r="P310" s="1055" t="str">
        <f ca="1">IF(ISNUMBER(INDEX(magestuff!$D$499:$Y$615,ROW()-ROW($D$256),COLUMN()-COLUMN($C$257))),INDIRECT("'Master Spell List'!$Z$"&amp;INDEX(magestuff!$D$499:$Y$615,ROW()-ROW($D$256),COLUMN()-COLUMN($C$257))),"")</f>
        <v/>
      </c>
      <c r="Q310" s="1055" t="str">
        <f ca="1">IF(ISNUMBER(INDEX(magestuff!$D$499:$Y$615,ROW()-ROW($D$256),COLUMN()-COLUMN($C$257))),INDIRECT("'Master Spell List'!$Z$"&amp;INDEX(magestuff!$D$499:$Y$615,ROW()-ROW($D$256),COLUMN()-COLUMN($C$257))),"")</f>
        <v/>
      </c>
      <c r="R310" s="1055" t="str">
        <f ca="1">IF(ISNUMBER(INDEX(magestuff!$D$499:$Y$615,ROW()-ROW($D$256),COLUMN()-COLUMN($C$257))),INDIRECT("'Master Spell List'!$Z$"&amp;INDEX(magestuff!$D$499:$Y$615,ROW()-ROW($D$256),COLUMN()-COLUMN($C$257))),"")</f>
        <v/>
      </c>
      <c r="S310" s="1055" t="str">
        <f ca="1">IF(ISNUMBER(INDEX(magestuff!$D$499:$Y$615,ROW()-ROW($D$256),COLUMN()-COLUMN($C$257))),INDIRECT("'Master Spell List'!$Z$"&amp;INDEX(magestuff!$D$499:$Y$615,ROW()-ROW($D$256),COLUMN()-COLUMN($C$257))),"")</f>
        <v/>
      </c>
      <c r="T310" s="1055" t="str">
        <f ca="1">IF(ISNUMBER(INDEX(magestuff!$D$499:$Y$615,ROW()-ROW($D$256),COLUMN()-COLUMN($C$257))),INDIRECT("'Master Spell List'!$Z$"&amp;INDEX(magestuff!$D$499:$Y$615,ROW()-ROW($D$256),COLUMN()-COLUMN($C$257))),"")</f>
        <v/>
      </c>
      <c r="U310" s="1055" t="str">
        <f ca="1">IF(ISNUMBER(INDEX(magestuff!$D$499:$Y$615,ROW()-ROW($D$256),COLUMN()-COLUMN($C$257))),INDIRECT("'Master Spell List'!$Z$"&amp;INDEX(magestuff!$D$499:$Y$615,ROW()-ROW($D$256),COLUMN()-COLUMN($C$257))),"")</f>
        <v/>
      </c>
      <c r="V310" s="1055" t="str">
        <f ca="1">IF(ISNUMBER(INDEX(magestuff!$D$499:$Y$615,ROW()-ROW($D$256),COLUMN()-COLUMN($C$257))),INDIRECT("'Master Spell List'!$Z$"&amp;INDEX(magestuff!$D$499:$Y$615,ROW()-ROW($D$256),COLUMN()-COLUMN($C$257))),"")</f>
        <v/>
      </c>
      <c r="W310" s="1055" t="str">
        <f ca="1">IF(ISNUMBER(INDEX(magestuff!$D$499:$Y$615,ROW()-ROW($D$256),COLUMN()-COLUMN($C$257))),INDIRECT("'Master Spell List'!$Z$"&amp;INDEX(magestuff!$D$499:$Y$615,ROW()-ROW($D$256),COLUMN()-COLUMN($C$257))),"")</f>
        <v/>
      </c>
    </row>
    <row r="311" spans="1:23">
      <c r="A311" s="598">
        <v>56</v>
      </c>
      <c r="C311" s="598" t="s">
        <v>2225</v>
      </c>
      <c r="D311" s="1055" t="str">
        <f ca="1">IF(ISNUMBER(INDEX(magestuff!$D$499:$Y$615,ROW()-ROW($D$256),COLUMN()-COLUMN($C$257))),INDIRECT("'Master Spell List'!$Z$"&amp;INDEX(magestuff!$D$499:$Y$615,ROW()-ROW($D$256),COLUMN()-COLUMN($C$257))),"")</f>
        <v/>
      </c>
      <c r="E311" s="1055" t="str">
        <f ca="1">IF(ISNUMBER(INDEX(magestuff!$D$499:$Y$615,ROW()-ROW($D$256),COLUMN()-COLUMN($C$257))),INDIRECT("'Master Spell List'!$Z$"&amp;INDEX(magestuff!$D$499:$Y$615,ROW()-ROW($D$256),COLUMN()-COLUMN($C$257))),"")</f>
        <v/>
      </c>
      <c r="F311" s="1055" t="str">
        <f ca="1">IF(ISNUMBER(INDEX(magestuff!$D$499:$Y$615,ROW()-ROW($D$256),COLUMN()-COLUMN($C$257))),INDIRECT("'Master Spell List'!$Z$"&amp;INDEX(magestuff!$D$499:$Y$615,ROW()-ROW($D$256),COLUMN()-COLUMN($C$257))),"")</f>
        <v>Least Refine Metal Ore</v>
      </c>
      <c r="G311" s="1055" t="str">
        <f ca="1">IF(ISNUMBER(INDEX(magestuff!$D$499:$Y$615,ROW()-ROW($D$256),COLUMN()-COLUMN($C$257))),INDIRECT("'Master Spell List'!$Z$"&amp;INDEX(magestuff!$D$499:$Y$615,ROW()-ROW($D$256),COLUMN()-COLUMN($C$257))),"")</f>
        <v/>
      </c>
      <c r="H311" s="1055" t="str">
        <f ca="1">IF(ISNUMBER(INDEX(magestuff!$D$499:$Y$615,ROW()-ROW($D$256),COLUMN()-COLUMN($C$257))),INDIRECT("'Master Spell List'!$Z$"&amp;INDEX(magestuff!$D$499:$Y$615,ROW()-ROW($D$256),COLUMN()-COLUMN($C$257))),"")</f>
        <v>Water Ram</v>
      </c>
      <c r="I311" s="1055" t="str">
        <f ca="1">IF(ISNUMBER(INDEX(magestuff!$D$499:$Y$615,ROW()-ROW($D$256),COLUMN()-COLUMN($C$257))),INDIRECT("'Master Spell List'!$Z$"&amp;INDEX(magestuff!$D$499:$Y$615,ROW()-ROW($D$256),COLUMN()-COLUMN($C$257))),"")</f>
        <v xml:space="preserve">Great Healing Touch of Apollo   </v>
      </c>
      <c r="J311" s="1055" t="str">
        <f ca="1">IF(ISNUMBER(INDEX(magestuff!$D$499:$Y$615,ROW()-ROW($D$256),COLUMN()-COLUMN($C$257))),INDIRECT("'Master Spell List'!$Z$"&amp;INDEX(magestuff!$D$499:$Y$615,ROW()-ROW($D$256),COLUMN()-COLUMN($C$257))),"")</f>
        <v>Clumsiness</v>
      </c>
      <c r="K311" s="1055" t="str">
        <f ca="1">IF(ISNUMBER(INDEX(magestuff!$D$499:$Y$615,ROW()-ROW($D$256),COLUMN()-COLUMN($C$257))),INDIRECT("'Master Spell List'!$Z$"&amp;INDEX(magestuff!$D$499:$Y$615,ROW()-ROW($D$256),COLUMN()-COLUMN($C$257))),"")</f>
        <v>Detect Direction</v>
      </c>
      <c r="L311" s="1055" t="str">
        <f ca="1">IF(ISNUMBER(INDEX(magestuff!$D$499:$Y$615,ROW()-ROW($D$256),COLUMN()-COLUMN($C$257))),INDIRECT("'Master Spell List'!$Z$"&amp;INDEX(magestuff!$D$499:$Y$615,ROW()-ROW($D$256),COLUMN()-COLUMN($C$257))),"")</f>
        <v>Detach Image</v>
      </c>
      <c r="M311" s="1055" t="str">
        <f ca="1">IF(ISNUMBER(INDEX(magestuff!$D$499:$Y$615,ROW()-ROW($D$256),COLUMN()-COLUMN($C$257))),INDIRECT("'Master Spell List'!$Z$"&amp;INDEX(magestuff!$D$499:$Y$615,ROW()-ROW($D$256),COLUMN()-COLUMN($C$257))),"")</f>
        <v>Great Revitalize (Hydrate)</v>
      </c>
      <c r="N311" s="1055" t="str">
        <f ca="1">IF(ISNUMBER(INDEX(magestuff!$D$499:$Y$615,ROW()-ROW($D$256),COLUMN()-COLUMN($C$257))),INDIRECT("'Master Spell List'!$Z$"&amp;INDEX(magestuff!$D$499:$Y$615,ROW()-ROW($D$256),COLUMN()-COLUMN($C$257))),"")</f>
        <v>Summon Greater Spirit</v>
      </c>
      <c r="O311" s="1055" t="str">
        <f ca="1">IF(ISNUMBER(INDEX(magestuff!$D$499:$Y$615,ROW()-ROW($D$256),COLUMN()-COLUMN($C$257))),INDIRECT("'Master Spell List'!$Z$"&amp;INDEX(magestuff!$D$499:$Y$615,ROW()-ROW($D$256),COLUMN()-COLUMN($C$257))),"")</f>
        <v/>
      </c>
      <c r="P311" s="1055" t="str">
        <f ca="1">IF(ISNUMBER(INDEX(magestuff!$D$499:$Y$615,ROW()-ROW($D$256),COLUMN()-COLUMN($C$257))),INDIRECT("'Master Spell List'!$Z$"&amp;INDEX(magestuff!$D$499:$Y$615,ROW()-ROW($D$256),COLUMN()-COLUMN($C$257))),"")</f>
        <v/>
      </c>
      <c r="Q311" s="1055" t="str">
        <f ca="1">IF(ISNUMBER(INDEX(magestuff!$D$499:$Y$615,ROW()-ROW($D$256),COLUMN()-COLUMN($C$257))),INDIRECT("'Master Spell List'!$Z$"&amp;INDEX(magestuff!$D$499:$Y$615,ROW()-ROW($D$256),COLUMN()-COLUMN($C$257))),"")</f>
        <v/>
      </c>
      <c r="R311" s="1055" t="str">
        <f ca="1">IF(ISNUMBER(INDEX(magestuff!$D$499:$Y$615,ROW()-ROW($D$256),COLUMN()-COLUMN($C$257))),INDIRECT("'Master Spell List'!$Z$"&amp;INDEX(magestuff!$D$499:$Y$615,ROW()-ROW($D$256),COLUMN()-COLUMN($C$257))),"")</f>
        <v/>
      </c>
      <c r="S311" s="1055" t="str">
        <f ca="1">IF(ISNUMBER(INDEX(magestuff!$D$499:$Y$615,ROW()-ROW($D$256),COLUMN()-COLUMN($C$257))),INDIRECT("'Master Spell List'!$Z$"&amp;INDEX(magestuff!$D$499:$Y$615,ROW()-ROW($D$256),COLUMN()-COLUMN($C$257))),"")</f>
        <v/>
      </c>
      <c r="T311" s="1055" t="str">
        <f ca="1">IF(ISNUMBER(INDEX(magestuff!$D$499:$Y$615,ROW()-ROW($D$256),COLUMN()-COLUMN($C$257))),INDIRECT("'Master Spell List'!$Z$"&amp;INDEX(magestuff!$D$499:$Y$615,ROW()-ROW($D$256),COLUMN()-COLUMN($C$257))),"")</f>
        <v/>
      </c>
      <c r="U311" s="1055" t="str">
        <f ca="1">IF(ISNUMBER(INDEX(magestuff!$D$499:$Y$615,ROW()-ROW($D$256),COLUMN()-COLUMN($C$257))),INDIRECT("'Master Spell List'!$Z$"&amp;INDEX(magestuff!$D$499:$Y$615,ROW()-ROW($D$256),COLUMN()-COLUMN($C$257))),"")</f>
        <v/>
      </c>
      <c r="V311" s="1055" t="str">
        <f ca="1">IF(ISNUMBER(INDEX(magestuff!$D$499:$Y$615,ROW()-ROW($D$256),COLUMN()-COLUMN($C$257))),INDIRECT("'Master Spell List'!$Z$"&amp;INDEX(magestuff!$D$499:$Y$615,ROW()-ROW($D$256),COLUMN()-COLUMN($C$257))),"")</f>
        <v/>
      </c>
      <c r="W311" s="1055" t="str">
        <f ca="1">IF(ISNUMBER(INDEX(magestuff!$D$499:$Y$615,ROW()-ROW($D$256),COLUMN()-COLUMN($C$257))),INDIRECT("'Master Spell List'!$Z$"&amp;INDEX(magestuff!$D$499:$Y$615,ROW()-ROW($D$256),COLUMN()-COLUMN($C$257))),"")</f>
        <v/>
      </c>
    </row>
    <row r="312" spans="1:23">
      <c r="A312" s="598">
        <v>57</v>
      </c>
      <c r="C312" s="598" t="s">
        <v>2225</v>
      </c>
      <c r="D312" s="1055" t="str">
        <f ca="1">IF(ISNUMBER(INDEX(magestuff!$D$499:$Y$615,ROW()-ROW($D$256),COLUMN()-COLUMN($C$257))),INDIRECT("'Master Spell List'!$Z$"&amp;INDEX(magestuff!$D$499:$Y$615,ROW()-ROW($D$256),COLUMN()-COLUMN($C$257))),"")</f>
        <v/>
      </c>
      <c r="E312" s="1055" t="str">
        <f ca="1">IF(ISNUMBER(INDEX(magestuff!$D$499:$Y$615,ROW()-ROW($D$256),COLUMN()-COLUMN($C$257))),INDIRECT("'Master Spell List'!$Z$"&amp;INDEX(magestuff!$D$499:$Y$615,ROW()-ROW($D$256),COLUMN()-COLUMN($C$257))),"")</f>
        <v/>
      </c>
      <c r="F312" s="1055" t="str">
        <f ca="1">IF(ISNUMBER(INDEX(magestuff!$D$499:$Y$615,ROW()-ROW($D$256),COLUMN()-COLUMN($C$257))),INDIRECT("'Master Spell List'!$Z$"&amp;INDEX(magestuff!$D$499:$Y$615,ROW()-ROW($D$256),COLUMN()-COLUMN($C$257))),"")</f>
        <v>Greater Jeweller’s Tumbler - Polish</v>
      </c>
      <c r="G312" s="1055" t="str">
        <f ca="1">IF(ISNUMBER(INDEX(magestuff!$D$499:$Y$615,ROW()-ROW($D$256),COLUMN()-COLUMN($C$257))),INDIRECT("'Master Spell List'!$Z$"&amp;INDEX(magestuff!$D$499:$Y$615,ROW()-ROW($D$256),COLUMN()-COLUMN($C$257))),"")</f>
        <v/>
      </c>
      <c r="H312" s="1055" t="str">
        <f ca="1">IF(ISNUMBER(INDEX(magestuff!$D$499:$Y$615,ROW()-ROW($D$256),COLUMN()-COLUMN($C$257))),INDIRECT("'Master Spell List'!$Z$"&amp;INDEX(magestuff!$D$499:$Y$615,ROW()-ROW($D$256),COLUMN()-COLUMN($C$257))),"")</f>
        <v>Command Waters of the Sea Drake</v>
      </c>
      <c r="I312" s="1055" t="str">
        <f ca="1">IF(ISNUMBER(INDEX(magestuff!$D$499:$Y$615,ROW()-ROW($D$256),COLUMN()-COLUMN($C$257))),INDIRECT("'Master Spell List'!$Z$"&amp;INDEX(magestuff!$D$499:$Y$615,ROW()-ROW($D$256),COLUMN()-COLUMN($C$257))),"")</f>
        <v>Invisibility</v>
      </c>
      <c r="J312" s="1055" t="str">
        <f ca="1">IF(ISNUMBER(INDEX(magestuff!$D$499:$Y$615,ROW()-ROW($D$256),COLUMN()-COLUMN($C$257))),INDIRECT("'Master Spell List'!$Z$"&amp;INDEX(magestuff!$D$499:$Y$615,ROW()-ROW($D$256),COLUMN()-COLUMN($C$257))),"")</f>
        <v>Command Person</v>
      </c>
      <c r="K312" s="1055" t="str">
        <f ca="1">IF(ISNUMBER(INDEX(magestuff!$D$499:$Y$615,ROW()-ROW($D$256),COLUMN()-COLUMN($C$257))),INDIRECT("'Master Spell List'!$Z$"&amp;INDEX(magestuff!$D$499:$Y$615,ROW()-ROW($D$256),COLUMN()-COLUMN($C$257))),"")</f>
        <v>Detect Distance</v>
      </c>
      <c r="L312" s="1055" t="str">
        <f ca="1">IF(ISNUMBER(INDEX(magestuff!$D$499:$Y$615,ROW()-ROW($D$256),COLUMN()-COLUMN($C$257))),INDIRECT("'Master Spell List'!$Z$"&amp;INDEX(magestuff!$D$499:$Y$615,ROW()-ROW($D$256),COLUMN()-COLUMN($C$257))),"")</f>
        <v>Diffuse Image</v>
      </c>
      <c r="M312" s="1055" t="str">
        <f ca="1">IF(ISNUMBER(INDEX(magestuff!$D$499:$Y$615,ROW()-ROW($D$256),COLUMN()-COLUMN($C$257))),INDIRECT("'Master Spell List'!$Z$"&amp;INDEX(magestuff!$D$499:$Y$615,ROW()-ROW($D$256),COLUMN()-COLUMN($C$257))),"")</f>
        <v>Greater Dry</v>
      </c>
      <c r="N312" s="1055" t="str">
        <f ca="1">IF(ISNUMBER(INDEX(magestuff!$D$499:$Y$615,ROW()-ROW($D$256),COLUMN()-COLUMN($C$257))),INDIRECT("'Master Spell List'!$Z$"&amp;INDEX(magestuff!$D$499:$Y$615,ROW()-ROW($D$256),COLUMN()-COLUMN($C$257))),"")</f>
        <v>Greatest  Summon Object</v>
      </c>
      <c r="O312" s="1055" t="str">
        <f ca="1">IF(ISNUMBER(INDEX(magestuff!$D$499:$Y$615,ROW()-ROW($D$256),COLUMN()-COLUMN($C$257))),INDIRECT("'Master Spell List'!$Z$"&amp;INDEX(magestuff!$D$499:$Y$615,ROW()-ROW($D$256),COLUMN()-COLUMN($C$257))),"")</f>
        <v/>
      </c>
      <c r="P312" s="1055" t="str">
        <f ca="1">IF(ISNUMBER(INDEX(magestuff!$D$499:$Y$615,ROW()-ROW($D$256),COLUMN()-COLUMN($C$257))),INDIRECT("'Master Spell List'!$Z$"&amp;INDEX(magestuff!$D$499:$Y$615,ROW()-ROW($D$256),COLUMN()-COLUMN($C$257))),"")</f>
        <v/>
      </c>
      <c r="Q312" s="1055" t="str">
        <f ca="1">IF(ISNUMBER(INDEX(magestuff!$D$499:$Y$615,ROW()-ROW($D$256),COLUMN()-COLUMN($C$257))),INDIRECT("'Master Spell List'!$Z$"&amp;INDEX(magestuff!$D$499:$Y$615,ROW()-ROW($D$256),COLUMN()-COLUMN($C$257))),"")</f>
        <v/>
      </c>
      <c r="R312" s="1055" t="str">
        <f ca="1">IF(ISNUMBER(INDEX(magestuff!$D$499:$Y$615,ROW()-ROW($D$256),COLUMN()-COLUMN($C$257))),INDIRECT("'Master Spell List'!$Z$"&amp;INDEX(magestuff!$D$499:$Y$615,ROW()-ROW($D$256),COLUMN()-COLUMN($C$257))),"")</f>
        <v/>
      </c>
      <c r="S312" s="1055" t="str">
        <f ca="1">IF(ISNUMBER(INDEX(magestuff!$D$499:$Y$615,ROW()-ROW($D$256),COLUMN()-COLUMN($C$257))),INDIRECT("'Master Spell List'!$Z$"&amp;INDEX(magestuff!$D$499:$Y$615,ROW()-ROW($D$256),COLUMN()-COLUMN($C$257))),"")</f>
        <v/>
      </c>
      <c r="T312" s="1055" t="str">
        <f ca="1">IF(ISNUMBER(INDEX(magestuff!$D$499:$Y$615,ROW()-ROW($D$256),COLUMN()-COLUMN($C$257))),INDIRECT("'Master Spell List'!$Z$"&amp;INDEX(magestuff!$D$499:$Y$615,ROW()-ROW($D$256),COLUMN()-COLUMN($C$257))),"")</f>
        <v/>
      </c>
      <c r="U312" s="1055" t="str">
        <f ca="1">IF(ISNUMBER(INDEX(magestuff!$D$499:$Y$615,ROW()-ROW($D$256),COLUMN()-COLUMN($C$257))),INDIRECT("'Master Spell List'!$Z$"&amp;INDEX(magestuff!$D$499:$Y$615,ROW()-ROW($D$256),COLUMN()-COLUMN($C$257))),"")</f>
        <v/>
      </c>
      <c r="V312" s="1055" t="str">
        <f ca="1">IF(ISNUMBER(INDEX(magestuff!$D$499:$Y$615,ROW()-ROW($D$256),COLUMN()-COLUMN($C$257))),INDIRECT("'Master Spell List'!$Z$"&amp;INDEX(magestuff!$D$499:$Y$615,ROW()-ROW($D$256),COLUMN()-COLUMN($C$257))),"")</f>
        <v/>
      </c>
      <c r="W312" s="1055" t="str">
        <f ca="1">IF(ISNUMBER(INDEX(magestuff!$D$499:$Y$615,ROW()-ROW($D$256),COLUMN()-COLUMN($C$257))),INDIRECT("'Master Spell List'!$Z$"&amp;INDEX(magestuff!$D$499:$Y$615,ROW()-ROW($D$256),COLUMN()-COLUMN($C$257))),"")</f>
        <v/>
      </c>
    </row>
    <row r="313" spans="1:23">
      <c r="A313" s="598">
        <v>58</v>
      </c>
      <c r="C313" s="598" t="s">
        <v>2225</v>
      </c>
      <c r="D313" s="1055" t="str">
        <f ca="1">IF(ISNUMBER(INDEX(magestuff!$D$499:$Y$615,ROW()-ROW($D$256),COLUMN()-COLUMN($C$257))),INDIRECT("'Master Spell List'!$Z$"&amp;INDEX(magestuff!$D$499:$Y$615,ROW()-ROW($D$256),COLUMN()-COLUMN($C$257))),"")</f>
        <v/>
      </c>
      <c r="E313" s="1055" t="str">
        <f ca="1">IF(ISNUMBER(INDEX(magestuff!$D$499:$Y$615,ROW()-ROW($D$256),COLUMN()-COLUMN($C$257))),INDIRECT("'Master Spell List'!$Z$"&amp;INDEX(magestuff!$D$499:$Y$615,ROW()-ROW($D$256),COLUMN()-COLUMN($C$257))),"")</f>
        <v/>
      </c>
      <c r="F313" s="1055" t="str">
        <f ca="1">IF(ISNUMBER(INDEX(magestuff!$D$499:$Y$615,ROW()-ROW($D$256),COLUMN()-COLUMN($C$257))),INDIRECT("'Master Spell List'!$Z$"&amp;INDEX(magestuff!$D$499:$Y$615,ROW()-ROW($D$256),COLUMN()-COLUMN($C$257))),"")</f>
        <v>Quake</v>
      </c>
      <c r="G313" s="1055" t="str">
        <f ca="1">IF(ISNUMBER(INDEX(magestuff!$D$499:$Y$615,ROW()-ROW($D$256),COLUMN()-COLUMN($C$257))),INDIRECT("'Master Spell List'!$Z$"&amp;INDEX(magestuff!$D$499:$Y$615,ROW()-ROW($D$256),COLUMN()-COLUMN($C$257))),"")</f>
        <v/>
      </c>
      <c r="H313" s="1055" t="str">
        <f ca="1">IF(ISNUMBER(INDEX(magestuff!$D$499:$Y$615,ROW()-ROW($D$256),COLUMN()-COLUMN($C$257))),INDIRECT("'Master Spell List'!$Z$"&amp;INDEX(magestuff!$D$499:$Y$615,ROW()-ROW($D$256),COLUMN()-COLUMN($C$257))),"")</f>
        <v>Create Waters of the Sea Drake</v>
      </c>
      <c r="I313" s="1055" t="str">
        <f ca="1">IF(ISNUMBER(INDEX(magestuff!$D$499:$Y$615,ROW()-ROW($D$256),COLUMN()-COLUMN($C$257))),INDIRECT("'Master Spell List'!$Z$"&amp;INDEX(magestuff!$D$499:$Y$615,ROW()-ROW($D$256),COLUMN()-COLUMN($C$257))),"")</f>
        <v>Least Sigil of the Arcane</v>
      </c>
      <c r="J313" s="1055" t="str">
        <f ca="1">IF(ISNUMBER(INDEX(magestuff!$D$499:$Y$615,ROW()-ROW($D$256),COLUMN()-COLUMN($C$257))),INDIRECT("'Master Spell List'!$Z$"&amp;INDEX(magestuff!$D$499:$Y$615,ROW()-ROW($D$256),COLUMN()-COLUMN($C$257))),"")</f>
        <v>Confusion</v>
      </c>
      <c r="K313" s="1055" t="str">
        <f ca="1">IF(ISNUMBER(INDEX(magestuff!$D$499:$Y$615,ROW()-ROW($D$256),COLUMN()-COLUMN($C$257))),INDIRECT("'Master Spell List'!$Z$"&amp;INDEX(magestuff!$D$499:$Y$615,ROW()-ROW($D$256),COLUMN()-COLUMN($C$257))),"")</f>
        <v>Detect Injury</v>
      </c>
      <c r="L313" s="1055" t="str">
        <f ca="1">IF(ISNUMBER(INDEX(magestuff!$D$499:$Y$615,ROW()-ROW($D$256),COLUMN()-COLUMN($C$257))),INDIRECT("'Master Spell List'!$Z$"&amp;INDEX(magestuff!$D$499:$Y$615,ROW()-ROW($D$256),COLUMN()-COLUMN($C$257))),"")</f>
        <v>Slow Image</v>
      </c>
      <c r="M313" s="1055" t="str">
        <f ca="1">IF(ISNUMBER(INDEX(magestuff!$D$499:$Y$615,ROW()-ROW($D$256),COLUMN()-COLUMN($C$257))),INDIRECT("'Master Spell List'!$Z$"&amp;INDEX(magestuff!$D$499:$Y$615,ROW()-ROW($D$256),COLUMN()-COLUMN($C$257))),"")</f>
        <v>Greater Grind Coarse</v>
      </c>
      <c r="N313" s="1055" t="str">
        <f ca="1">IF(ISNUMBER(INDEX(magestuff!$D$499:$Y$615,ROW()-ROW($D$256),COLUMN()-COLUMN($C$257))),INDIRECT("'Master Spell List'!$Z$"&amp;INDEX(magestuff!$D$499:$Y$615,ROW()-ROW($D$256),COLUMN()-COLUMN($C$257))),"")</f>
        <v xml:space="preserve">Greater Bind Death into a Container </v>
      </c>
      <c r="O313" s="1055" t="str">
        <f ca="1">IF(ISNUMBER(INDEX(magestuff!$D$499:$Y$615,ROW()-ROW($D$256),COLUMN()-COLUMN($C$257))),INDIRECT("'Master Spell List'!$Z$"&amp;INDEX(magestuff!$D$499:$Y$615,ROW()-ROW($D$256),COLUMN()-COLUMN($C$257))),"")</f>
        <v/>
      </c>
      <c r="P313" s="1055" t="str">
        <f ca="1">IF(ISNUMBER(INDEX(magestuff!$D$499:$Y$615,ROW()-ROW($D$256),COLUMN()-COLUMN($C$257))),INDIRECT("'Master Spell List'!$Z$"&amp;INDEX(magestuff!$D$499:$Y$615,ROW()-ROW($D$256),COLUMN()-COLUMN($C$257))),"")</f>
        <v/>
      </c>
      <c r="Q313" s="1055" t="str">
        <f ca="1">IF(ISNUMBER(INDEX(magestuff!$D$499:$Y$615,ROW()-ROW($D$256),COLUMN()-COLUMN($C$257))),INDIRECT("'Master Spell List'!$Z$"&amp;INDEX(magestuff!$D$499:$Y$615,ROW()-ROW($D$256),COLUMN()-COLUMN($C$257))),"")</f>
        <v/>
      </c>
      <c r="R313" s="1055" t="str">
        <f ca="1">IF(ISNUMBER(INDEX(magestuff!$D$499:$Y$615,ROW()-ROW($D$256),COLUMN()-COLUMN($C$257))),INDIRECT("'Master Spell List'!$Z$"&amp;INDEX(magestuff!$D$499:$Y$615,ROW()-ROW($D$256),COLUMN()-COLUMN($C$257))),"")</f>
        <v/>
      </c>
      <c r="S313" s="1055" t="str">
        <f ca="1">IF(ISNUMBER(INDEX(magestuff!$D$499:$Y$615,ROW()-ROW($D$256),COLUMN()-COLUMN($C$257))),INDIRECT("'Master Spell List'!$Z$"&amp;INDEX(magestuff!$D$499:$Y$615,ROW()-ROW($D$256),COLUMN()-COLUMN($C$257))),"")</f>
        <v/>
      </c>
      <c r="T313" s="1055" t="str">
        <f ca="1">IF(ISNUMBER(INDEX(magestuff!$D$499:$Y$615,ROW()-ROW($D$256),COLUMN()-COLUMN($C$257))),INDIRECT("'Master Spell List'!$Z$"&amp;INDEX(magestuff!$D$499:$Y$615,ROW()-ROW($D$256),COLUMN()-COLUMN($C$257))),"")</f>
        <v/>
      </c>
      <c r="U313" s="1055" t="str">
        <f ca="1">IF(ISNUMBER(INDEX(magestuff!$D$499:$Y$615,ROW()-ROW($D$256),COLUMN()-COLUMN($C$257))),INDIRECT("'Master Spell List'!$Z$"&amp;INDEX(magestuff!$D$499:$Y$615,ROW()-ROW($D$256),COLUMN()-COLUMN($C$257))),"")</f>
        <v/>
      </c>
      <c r="V313" s="1055" t="str">
        <f ca="1">IF(ISNUMBER(INDEX(magestuff!$D$499:$Y$615,ROW()-ROW($D$256),COLUMN()-COLUMN($C$257))),INDIRECT("'Master Spell List'!$Z$"&amp;INDEX(magestuff!$D$499:$Y$615,ROW()-ROW($D$256),COLUMN()-COLUMN($C$257))),"")</f>
        <v/>
      </c>
      <c r="W313" s="1055" t="str">
        <f ca="1">IF(ISNUMBER(INDEX(magestuff!$D$499:$Y$615,ROW()-ROW($D$256),COLUMN()-COLUMN($C$257))),INDIRECT("'Master Spell List'!$Z$"&amp;INDEX(magestuff!$D$499:$Y$615,ROW()-ROW($D$256),COLUMN()-COLUMN($C$257))),"")</f>
        <v/>
      </c>
    </row>
    <row r="314" spans="1:23">
      <c r="A314" s="598">
        <v>59</v>
      </c>
      <c r="C314" s="598" t="s">
        <v>2225</v>
      </c>
      <c r="D314" s="1055" t="str">
        <f ca="1">IF(ISNUMBER(INDEX(magestuff!$D$499:$Y$615,ROW()-ROW($D$256),COLUMN()-COLUMN($C$257))),INDIRECT("'Master Spell List'!$Z$"&amp;INDEX(magestuff!$D$499:$Y$615,ROW()-ROW($D$256),COLUMN()-COLUMN($C$257))),"")</f>
        <v/>
      </c>
      <c r="E314" s="1055" t="str">
        <f ca="1">IF(ISNUMBER(INDEX(magestuff!$D$499:$Y$615,ROW()-ROW($D$256),COLUMN()-COLUMN($C$257))),INDIRECT("'Master Spell List'!$Z$"&amp;INDEX(magestuff!$D$499:$Y$615,ROW()-ROW($D$256),COLUMN()-COLUMN($C$257))),"")</f>
        <v/>
      </c>
      <c r="F314" s="1055" t="str">
        <f ca="1">IF(ISNUMBER(INDEX(magestuff!$D$499:$Y$615,ROW()-ROW($D$256),COLUMN()-COLUMN($C$257))),INDIRECT("'Master Spell List'!$Z$"&amp;INDEX(magestuff!$D$499:$Y$615,ROW()-ROW($D$256),COLUMN()-COLUMN($C$257))),"")</f>
        <v>Scorpion's Strike</v>
      </c>
      <c r="G314" s="1055" t="str">
        <f ca="1">IF(ISNUMBER(INDEX(magestuff!$D$499:$Y$615,ROW()-ROW($D$256),COLUMN()-COLUMN($C$257))),INDIRECT("'Master Spell List'!$Z$"&amp;INDEX(magestuff!$D$499:$Y$615,ROW()-ROW($D$256),COLUMN()-COLUMN($C$257))),"")</f>
        <v/>
      </c>
      <c r="H314" s="1055" t="str">
        <f ca="1">IF(ISNUMBER(INDEX(magestuff!$D$499:$Y$615,ROW()-ROW($D$256),COLUMN()-COLUMN($C$257))),INDIRECT("'Master Spell List'!$Z$"&amp;INDEX(magestuff!$D$499:$Y$615,ROW()-ROW($D$256),COLUMN()-COLUMN($C$257))),"")</f>
        <v>Mist &amp; Fog of the Sea Drake</v>
      </c>
      <c r="I314" s="1055" t="str">
        <f ca="1">IF(ISNUMBER(INDEX(magestuff!$D$499:$Y$615,ROW()-ROW($D$256),COLUMN()-COLUMN($C$257))),INDIRECT("'Master Spell List'!$Z$"&amp;INDEX(magestuff!$D$499:$Y$615,ROW()-ROW($D$256),COLUMN()-COLUMN($C$257))),"")</f>
        <v>Phase</v>
      </c>
      <c r="J314" s="1055" t="str">
        <f ca="1">IF(ISNUMBER(INDEX(magestuff!$D$499:$Y$615,ROW()-ROW($D$256),COLUMN()-COLUMN($C$257))),INDIRECT("'Master Spell List'!$Z$"&amp;INDEX(magestuff!$D$499:$Y$615,ROW()-ROW($D$256),COLUMN()-COLUMN($C$257))),"")</f>
        <v>Dispel Greater Charm</v>
      </c>
      <c r="K314" s="1055" t="str">
        <f ca="1">IF(ISNUMBER(INDEX(magestuff!$D$499:$Y$615,ROW()-ROW($D$256),COLUMN()-COLUMN($C$257))),INDIRECT("'Master Spell List'!$Z$"&amp;INDEX(magestuff!$D$499:$Y$615,ROW()-ROW($D$256),COLUMN()-COLUMN($C$257))),"")</f>
        <v>Hindsight</v>
      </c>
      <c r="L314" s="1055" t="str">
        <f ca="1">IF(ISNUMBER(INDEX(magestuff!$D$499:$Y$615,ROW()-ROW($D$256),COLUMN()-COLUMN($C$257))),INDIRECT("'Master Spell List'!$Z$"&amp;INDEX(magestuff!$D$499:$Y$615,ROW()-ROW($D$256),COLUMN()-COLUMN($C$257))),"")</f>
        <v>Color Image</v>
      </c>
      <c r="M314" s="1055" t="str">
        <f ca="1">IF(ISNUMBER(INDEX(magestuff!$D$499:$Y$615,ROW()-ROW($D$256),COLUMN()-COLUMN($C$257))),INDIRECT("'Master Spell List'!$Z$"&amp;INDEX(magestuff!$D$499:$Y$615,ROW()-ROW($D$256),COLUMN()-COLUMN($C$257))),"")</f>
        <v>Lesser Shape Wood</v>
      </c>
      <c r="N314" s="1055" t="str">
        <f ca="1">IF(ISNUMBER(INDEX(magestuff!$D$499:$Y$615,ROW()-ROW($D$256),COLUMN()-COLUMN($C$257))),INDIRECT("'Master Spell List'!$Z$"&amp;INDEX(magestuff!$D$499:$Y$615,ROW()-ROW($D$256),COLUMN()-COLUMN($C$257))),"")</f>
        <v xml:space="preserve">Greater Bind Greater Spirit into a Container </v>
      </c>
      <c r="O314" s="1055" t="str">
        <f ca="1">IF(ISNUMBER(INDEX(magestuff!$D$499:$Y$615,ROW()-ROW($D$256),COLUMN()-COLUMN($C$257))),INDIRECT("'Master Spell List'!$Z$"&amp;INDEX(magestuff!$D$499:$Y$615,ROW()-ROW($D$256),COLUMN()-COLUMN($C$257))),"")</f>
        <v/>
      </c>
      <c r="P314" s="1055" t="str">
        <f ca="1">IF(ISNUMBER(INDEX(magestuff!$D$499:$Y$615,ROW()-ROW($D$256),COLUMN()-COLUMN($C$257))),INDIRECT("'Master Spell List'!$Z$"&amp;INDEX(magestuff!$D$499:$Y$615,ROW()-ROW($D$256),COLUMN()-COLUMN($C$257))),"")</f>
        <v/>
      </c>
      <c r="Q314" s="1055" t="str">
        <f ca="1">IF(ISNUMBER(INDEX(magestuff!$D$499:$Y$615,ROW()-ROW($D$256),COLUMN()-COLUMN($C$257))),INDIRECT("'Master Spell List'!$Z$"&amp;INDEX(magestuff!$D$499:$Y$615,ROW()-ROW($D$256),COLUMN()-COLUMN($C$257))),"")</f>
        <v/>
      </c>
      <c r="R314" s="1055" t="str">
        <f ca="1">IF(ISNUMBER(INDEX(magestuff!$D$499:$Y$615,ROW()-ROW($D$256),COLUMN()-COLUMN($C$257))),INDIRECT("'Master Spell List'!$Z$"&amp;INDEX(magestuff!$D$499:$Y$615,ROW()-ROW($D$256),COLUMN()-COLUMN($C$257))),"")</f>
        <v/>
      </c>
      <c r="S314" s="1055" t="str">
        <f ca="1">IF(ISNUMBER(INDEX(magestuff!$D$499:$Y$615,ROW()-ROW($D$256),COLUMN()-COLUMN($C$257))),INDIRECT("'Master Spell List'!$Z$"&amp;INDEX(magestuff!$D$499:$Y$615,ROW()-ROW($D$256),COLUMN()-COLUMN($C$257))),"")</f>
        <v/>
      </c>
      <c r="T314" s="1055" t="str">
        <f ca="1">IF(ISNUMBER(INDEX(magestuff!$D$499:$Y$615,ROW()-ROW($D$256),COLUMN()-COLUMN($C$257))),INDIRECT("'Master Spell List'!$Z$"&amp;INDEX(magestuff!$D$499:$Y$615,ROW()-ROW($D$256),COLUMN()-COLUMN($C$257))),"")</f>
        <v/>
      </c>
      <c r="U314" s="1055" t="str">
        <f ca="1">IF(ISNUMBER(INDEX(magestuff!$D$499:$Y$615,ROW()-ROW($D$256),COLUMN()-COLUMN($C$257))),INDIRECT("'Master Spell List'!$Z$"&amp;INDEX(magestuff!$D$499:$Y$615,ROW()-ROW($D$256),COLUMN()-COLUMN($C$257))),"")</f>
        <v/>
      </c>
      <c r="V314" s="1055" t="str">
        <f ca="1">IF(ISNUMBER(INDEX(magestuff!$D$499:$Y$615,ROW()-ROW($D$256),COLUMN()-COLUMN($C$257))),INDIRECT("'Master Spell List'!$Z$"&amp;INDEX(magestuff!$D$499:$Y$615,ROW()-ROW($D$256),COLUMN()-COLUMN($C$257))),"")</f>
        <v/>
      </c>
      <c r="W314" s="1055" t="str">
        <f ca="1">IF(ISNUMBER(INDEX(magestuff!$D$499:$Y$615,ROW()-ROW($D$256),COLUMN()-COLUMN($C$257))),INDIRECT("'Master Spell List'!$Z$"&amp;INDEX(magestuff!$D$499:$Y$615,ROW()-ROW($D$256),COLUMN()-COLUMN($C$257))),"")</f>
        <v/>
      </c>
    </row>
    <row r="315" spans="1:23">
      <c r="A315" s="598">
        <v>60</v>
      </c>
      <c r="C315" s="598" t="s">
        <v>2225</v>
      </c>
      <c r="D315" s="1055" t="str">
        <f ca="1">IF(ISNUMBER(INDEX(magestuff!$D$499:$Y$615,ROW()-ROW($D$256),COLUMN()-COLUMN($C$257))),INDIRECT("'Master Spell List'!$Z$"&amp;INDEX(magestuff!$D$499:$Y$615,ROW()-ROW($D$256),COLUMN()-COLUMN($C$257))),"")</f>
        <v/>
      </c>
      <c r="E315" s="1055" t="str">
        <f ca="1">IF(ISNUMBER(INDEX(magestuff!$D$499:$Y$615,ROW()-ROW($D$256),COLUMN()-COLUMN($C$257))),INDIRECT("'Master Spell List'!$Z$"&amp;INDEX(magestuff!$D$499:$Y$615,ROW()-ROW($D$256),COLUMN()-COLUMN($C$257))),"")</f>
        <v/>
      </c>
      <c r="F315" s="1055" t="str">
        <f ca="1">IF(ISNUMBER(INDEX(magestuff!$D$499:$Y$615,ROW()-ROW($D$256),COLUMN()-COLUMN($C$257))),INDIRECT("'Master Spell List'!$Z$"&amp;INDEX(magestuff!$D$499:$Y$615,ROW()-ROW($D$256),COLUMN()-COLUMN($C$257))),"")</f>
        <v>Trebuchet</v>
      </c>
      <c r="G315" s="1055" t="str">
        <f ca="1">IF(ISNUMBER(INDEX(magestuff!$D$499:$Y$615,ROW()-ROW($D$256),COLUMN()-COLUMN($C$257))),INDIRECT("'Master Spell List'!$Z$"&amp;INDEX(magestuff!$D$499:$Y$615,ROW()-ROW($D$256),COLUMN()-COLUMN($C$257))),"")</f>
        <v/>
      </c>
      <c r="H315" s="1055" t="str">
        <f ca="1">IF(ISNUMBER(INDEX(magestuff!$D$499:$Y$615,ROW()-ROW($D$256),COLUMN()-COLUMN($C$257))),INDIRECT("'Master Spell List'!$Z$"&amp;INDEX(magestuff!$D$499:$Y$615,ROW()-ROW($D$256),COLUMN()-COLUMN($C$257))),"")</f>
        <v>Sheet of Waters of the Sea Drake</v>
      </c>
      <c r="I315" s="1055" t="str">
        <f ca="1">IF(ISNUMBER(INDEX(magestuff!$D$499:$Y$615,ROW()-ROW($D$256),COLUMN()-COLUMN($C$257))),INDIRECT("'Master Spell List'!$Z$"&amp;INDEX(magestuff!$D$499:$Y$615,ROW()-ROW($D$256),COLUMN()-COLUMN($C$257))),"")</f>
        <v>Recharge</v>
      </c>
      <c r="J315" s="1055" t="str">
        <f ca="1">IF(ISNUMBER(INDEX(magestuff!$D$499:$Y$615,ROW()-ROW($D$256),COLUMN()-COLUMN($C$257))),INDIRECT("'Master Spell List'!$Z$"&amp;INDEX(magestuff!$D$499:$Y$615,ROW()-ROW($D$256),COLUMN()-COLUMN($C$257))),"")</f>
        <v>Greater Area Awaken</v>
      </c>
      <c r="K315" s="1055" t="str">
        <f ca="1">IF(ISNUMBER(INDEX(magestuff!$D$499:$Y$615,ROW()-ROW($D$256),COLUMN()-COLUMN($C$257))),INDIRECT("'Master Spell List'!$Z$"&amp;INDEX(magestuff!$D$499:$Y$615,ROW()-ROW($D$256),COLUMN()-COLUMN($C$257))),"")</f>
        <v>Lesser Foresight</v>
      </c>
      <c r="L315" s="1055" t="str">
        <f ca="1">IF(ISNUMBER(INDEX(magestuff!$D$499:$Y$615,ROW()-ROW($D$256),COLUMN()-COLUMN($C$257))),INDIRECT("'Master Spell List'!$Z$"&amp;INDEX(magestuff!$D$499:$Y$615,ROW()-ROW($D$256),COLUMN()-COLUMN($C$257))),"")</f>
        <v>Command Image</v>
      </c>
      <c r="M315" s="1055" t="str">
        <f ca="1">IF(ISNUMBER(INDEX(magestuff!$D$499:$Y$615,ROW()-ROW($D$256),COLUMN()-COLUMN($C$257))),INDIRECT("'Master Spell List'!$Z$"&amp;INDEX(magestuff!$D$499:$Y$615,ROW()-ROW($D$256),COLUMN()-COLUMN($C$257))),"")</f>
        <v>Potion vs Illness</v>
      </c>
      <c r="N315" s="1055" t="str">
        <f ca="1">IF(ISNUMBER(INDEX(magestuff!$D$499:$Y$615,ROW()-ROW($D$256),COLUMN()-COLUMN($C$257))),INDIRECT("'Master Spell List'!$Z$"&amp;INDEX(magestuff!$D$499:$Y$615,ROW()-ROW($D$256),COLUMN()-COLUMN($C$257))),"")</f>
        <v xml:space="preserve">Banish  Greatest Spirit </v>
      </c>
      <c r="O315" s="1055" t="str">
        <f ca="1">IF(ISNUMBER(INDEX(magestuff!$D$499:$Y$615,ROW()-ROW($D$256),COLUMN()-COLUMN($C$257))),INDIRECT("'Master Spell List'!$Z$"&amp;INDEX(magestuff!$D$499:$Y$615,ROW()-ROW($D$256),COLUMN()-COLUMN($C$257))),"")</f>
        <v/>
      </c>
      <c r="P315" s="1055" t="str">
        <f ca="1">IF(ISNUMBER(INDEX(magestuff!$D$499:$Y$615,ROW()-ROW($D$256),COLUMN()-COLUMN($C$257))),INDIRECT("'Master Spell List'!$Z$"&amp;INDEX(magestuff!$D$499:$Y$615,ROW()-ROW($D$256),COLUMN()-COLUMN($C$257))),"")</f>
        <v/>
      </c>
      <c r="Q315" s="1055" t="str">
        <f ca="1">IF(ISNUMBER(INDEX(magestuff!$D$499:$Y$615,ROW()-ROW($D$256),COLUMN()-COLUMN($C$257))),INDIRECT("'Master Spell List'!$Z$"&amp;INDEX(magestuff!$D$499:$Y$615,ROW()-ROW($D$256),COLUMN()-COLUMN($C$257))),"")</f>
        <v/>
      </c>
      <c r="R315" s="1055" t="str">
        <f ca="1">IF(ISNUMBER(INDEX(magestuff!$D$499:$Y$615,ROW()-ROW($D$256),COLUMN()-COLUMN($C$257))),INDIRECT("'Master Spell List'!$Z$"&amp;INDEX(magestuff!$D$499:$Y$615,ROW()-ROW($D$256),COLUMN()-COLUMN($C$257))),"")</f>
        <v/>
      </c>
      <c r="S315" s="1055" t="str">
        <f ca="1">IF(ISNUMBER(INDEX(magestuff!$D$499:$Y$615,ROW()-ROW($D$256),COLUMN()-COLUMN($C$257))),INDIRECT("'Master Spell List'!$Z$"&amp;INDEX(magestuff!$D$499:$Y$615,ROW()-ROW($D$256),COLUMN()-COLUMN($C$257))),"")</f>
        <v/>
      </c>
      <c r="T315" s="1055" t="str">
        <f ca="1">IF(ISNUMBER(INDEX(magestuff!$D$499:$Y$615,ROW()-ROW($D$256),COLUMN()-COLUMN($C$257))),INDIRECT("'Master Spell List'!$Z$"&amp;INDEX(magestuff!$D$499:$Y$615,ROW()-ROW($D$256),COLUMN()-COLUMN($C$257))),"")</f>
        <v/>
      </c>
      <c r="U315" s="1055" t="str">
        <f ca="1">IF(ISNUMBER(INDEX(magestuff!$D$499:$Y$615,ROW()-ROW($D$256),COLUMN()-COLUMN($C$257))),INDIRECT("'Master Spell List'!$Z$"&amp;INDEX(magestuff!$D$499:$Y$615,ROW()-ROW($D$256),COLUMN()-COLUMN($C$257))),"")</f>
        <v/>
      </c>
      <c r="V315" s="1055" t="str">
        <f ca="1">IF(ISNUMBER(INDEX(magestuff!$D$499:$Y$615,ROW()-ROW($D$256),COLUMN()-COLUMN($C$257))),INDIRECT("'Master Spell List'!$Z$"&amp;INDEX(magestuff!$D$499:$Y$615,ROW()-ROW($D$256),COLUMN()-COLUMN($C$257))),"")</f>
        <v/>
      </c>
      <c r="W315" s="1055" t="str">
        <f ca="1">IF(ISNUMBER(INDEX(magestuff!$D$499:$Y$615,ROW()-ROW($D$256),COLUMN()-COLUMN($C$257))),INDIRECT("'Master Spell List'!$Z$"&amp;INDEX(magestuff!$D$499:$Y$615,ROW()-ROW($D$256),COLUMN()-COLUMN($C$257))),"")</f>
        <v/>
      </c>
    </row>
    <row r="316" spans="1:23">
      <c r="A316" s="598">
        <v>61</v>
      </c>
      <c r="C316" s="598" t="s">
        <v>2225</v>
      </c>
      <c r="D316" s="1055" t="str">
        <f ca="1">IF(ISNUMBER(INDEX(magestuff!$D$499:$Y$615,ROW()-ROW($D$256),COLUMN()-COLUMN($C$257))),INDIRECT("'Master Spell List'!$Z$"&amp;INDEX(magestuff!$D$499:$Y$615,ROW()-ROW($D$256),COLUMN()-COLUMN($C$257))),"")</f>
        <v/>
      </c>
      <c r="E316" s="1055" t="str">
        <f ca="1">IF(ISNUMBER(INDEX(magestuff!$D$499:$Y$615,ROW()-ROW($D$256),COLUMN()-COLUMN($C$257))),INDIRECT("'Master Spell List'!$Z$"&amp;INDEX(magestuff!$D$499:$Y$615,ROW()-ROW($D$256),COLUMN()-COLUMN($C$257))),"")</f>
        <v/>
      </c>
      <c r="F316" s="1055" t="str">
        <f ca="1">IF(ISNUMBER(INDEX(magestuff!$D$499:$Y$615,ROW()-ROW($D$256),COLUMN()-COLUMN($C$257))),INDIRECT("'Master Spell List'!$Z$"&amp;INDEX(magestuff!$D$499:$Y$615,ROW()-ROW($D$256),COLUMN()-COLUMN($C$257))),"")</f>
        <v>Walk through Metal</v>
      </c>
      <c r="G316" s="1055" t="str">
        <f ca="1">IF(ISNUMBER(INDEX(magestuff!$D$499:$Y$615,ROW()-ROW($D$256),COLUMN()-COLUMN($C$257))),INDIRECT("'Master Spell List'!$Z$"&amp;INDEX(magestuff!$D$499:$Y$615,ROW()-ROW($D$256),COLUMN()-COLUMN($C$257))),"")</f>
        <v/>
      </c>
      <c r="H316" s="1055" t="str">
        <f ca="1">IF(ISNUMBER(INDEX(magestuff!$D$499:$Y$615,ROW()-ROW($D$256),COLUMN()-COLUMN($C$257))),INDIRECT("'Master Spell List'!$Z$"&amp;INDEX(magestuff!$D$499:$Y$615,ROW()-ROW($D$256),COLUMN()-COLUMN($C$257))),"")</f>
        <v>Wall of Waters of the Sea Drake</v>
      </c>
      <c r="I316" s="1055" t="str">
        <f ca="1">IF(ISNUMBER(INDEX(magestuff!$D$499:$Y$615,ROW()-ROW($D$256),COLUMN()-COLUMN($C$257))),INDIRECT("'Master Spell List'!$Z$"&amp;INDEX(magestuff!$D$499:$Y$615,ROW()-ROW($D$256),COLUMN()-COLUMN($C$257))),"")</f>
        <v>Shadow Bolt (Mana Bolt)</v>
      </c>
      <c r="J316" s="1055" t="str">
        <f ca="1">IF(ISNUMBER(INDEX(magestuff!$D$499:$Y$615,ROW()-ROW($D$256),COLUMN()-COLUMN($C$257))),INDIRECT("'Master Spell List'!$Z$"&amp;INDEX(magestuff!$D$499:$Y$615,ROW()-ROW($D$256),COLUMN()-COLUMN($C$257))),"")</f>
        <v>Greater Area Sleep</v>
      </c>
      <c r="K316" s="1055" t="str">
        <f ca="1">IF(ISNUMBER(INDEX(magestuff!$D$499:$Y$615,ROW()-ROW($D$256),COLUMN()-COLUMN($C$257))),INDIRECT("'Master Spell List'!$Z$"&amp;INDEX(magestuff!$D$499:$Y$615,ROW()-ROW($D$256),COLUMN()-COLUMN($C$257))),"")</f>
        <v>Scry the Land</v>
      </c>
      <c r="L316" s="1055" t="str">
        <f ca="1">IF(ISNUMBER(INDEX(magestuff!$D$499:$Y$615,ROW()-ROW($D$256),COLUMN()-COLUMN($C$257))),INDIRECT("'Master Spell List'!$Z$"&amp;INDEX(magestuff!$D$499:$Y$615,ROW()-ROW($D$256),COLUMN()-COLUMN($C$257))),"")</f>
        <v>Create Greater Illusionary Contact</v>
      </c>
      <c r="M316" s="1055" t="str">
        <f ca="1">IF(ISNUMBER(INDEX(magestuff!$D$499:$Y$615,ROW()-ROW($D$256),COLUMN()-COLUMN($C$257))),INDIRECT("'Master Spell List'!$Z$"&amp;INDEX(magestuff!$D$499:$Y$615,ROW()-ROW($D$256),COLUMN()-COLUMN($C$257))),"")</f>
        <v>Strength of the Wild Hunt</v>
      </c>
      <c r="N316" s="1055" t="str">
        <f ca="1">IF(ISNUMBER(INDEX(magestuff!$D$499:$Y$615,ROW()-ROW($D$256),COLUMN()-COLUMN($C$257))),INDIRECT("'Master Spell List'!$Z$"&amp;INDEX(magestuff!$D$499:$Y$615,ROW()-ROW($D$256),COLUMN()-COLUMN($C$257))),"")</f>
        <v xml:space="preserve"> Bind Greatest Spirit into a Container </v>
      </c>
      <c r="O316" s="1055" t="str">
        <f ca="1">IF(ISNUMBER(INDEX(magestuff!$D$499:$Y$615,ROW()-ROW($D$256),COLUMN()-COLUMN($C$257))),INDIRECT("'Master Spell List'!$Z$"&amp;INDEX(magestuff!$D$499:$Y$615,ROW()-ROW($D$256),COLUMN()-COLUMN($C$257))),"")</f>
        <v/>
      </c>
      <c r="P316" s="1055" t="str">
        <f ca="1">IF(ISNUMBER(INDEX(magestuff!$D$499:$Y$615,ROW()-ROW($D$256),COLUMN()-COLUMN($C$257))),INDIRECT("'Master Spell List'!$Z$"&amp;INDEX(magestuff!$D$499:$Y$615,ROW()-ROW($D$256),COLUMN()-COLUMN($C$257))),"")</f>
        <v/>
      </c>
      <c r="Q316" s="1055" t="str">
        <f ca="1">IF(ISNUMBER(INDEX(magestuff!$D$499:$Y$615,ROW()-ROW($D$256),COLUMN()-COLUMN($C$257))),INDIRECT("'Master Spell List'!$Z$"&amp;INDEX(magestuff!$D$499:$Y$615,ROW()-ROW($D$256),COLUMN()-COLUMN($C$257))),"")</f>
        <v/>
      </c>
      <c r="R316" s="1055" t="str">
        <f ca="1">IF(ISNUMBER(INDEX(magestuff!$D$499:$Y$615,ROW()-ROW($D$256),COLUMN()-COLUMN($C$257))),INDIRECT("'Master Spell List'!$Z$"&amp;INDEX(magestuff!$D$499:$Y$615,ROW()-ROW($D$256),COLUMN()-COLUMN($C$257))),"")</f>
        <v/>
      </c>
      <c r="S316" s="1055" t="str">
        <f ca="1">IF(ISNUMBER(INDEX(magestuff!$D$499:$Y$615,ROW()-ROW($D$256),COLUMN()-COLUMN($C$257))),INDIRECT("'Master Spell List'!$Z$"&amp;INDEX(magestuff!$D$499:$Y$615,ROW()-ROW($D$256),COLUMN()-COLUMN($C$257))),"")</f>
        <v/>
      </c>
      <c r="T316" s="1055" t="str">
        <f ca="1">IF(ISNUMBER(INDEX(magestuff!$D$499:$Y$615,ROW()-ROW($D$256),COLUMN()-COLUMN($C$257))),INDIRECT("'Master Spell List'!$Z$"&amp;INDEX(magestuff!$D$499:$Y$615,ROW()-ROW($D$256),COLUMN()-COLUMN($C$257))),"")</f>
        <v/>
      </c>
      <c r="U316" s="1055" t="str">
        <f ca="1">IF(ISNUMBER(INDEX(magestuff!$D$499:$Y$615,ROW()-ROW($D$256),COLUMN()-COLUMN($C$257))),INDIRECT("'Master Spell List'!$Z$"&amp;INDEX(magestuff!$D$499:$Y$615,ROW()-ROW($D$256),COLUMN()-COLUMN($C$257))),"")</f>
        <v/>
      </c>
      <c r="V316" s="1055" t="str">
        <f ca="1">IF(ISNUMBER(INDEX(magestuff!$D$499:$Y$615,ROW()-ROW($D$256),COLUMN()-COLUMN($C$257))),INDIRECT("'Master Spell List'!$Z$"&amp;INDEX(magestuff!$D$499:$Y$615,ROW()-ROW($D$256),COLUMN()-COLUMN($C$257))),"")</f>
        <v/>
      </c>
      <c r="W316" s="1055" t="str">
        <f ca="1">IF(ISNUMBER(INDEX(magestuff!$D$499:$Y$615,ROW()-ROW($D$256),COLUMN()-COLUMN($C$257))),INDIRECT("'Master Spell List'!$Z$"&amp;INDEX(magestuff!$D$499:$Y$615,ROW()-ROW($D$256),COLUMN()-COLUMN($C$257))),"")</f>
        <v/>
      </c>
    </row>
    <row r="317" spans="1:23">
      <c r="A317" s="598">
        <v>62</v>
      </c>
      <c r="C317" s="598" t="s">
        <v>2225</v>
      </c>
      <c r="D317" s="1055" t="str">
        <f ca="1">IF(ISNUMBER(INDEX(magestuff!$D$499:$Y$615,ROW()-ROW($D$256),COLUMN()-COLUMN($C$257))),INDIRECT("'Master Spell List'!$Z$"&amp;INDEX(magestuff!$D$499:$Y$615,ROW()-ROW($D$256),COLUMN()-COLUMN($C$257))),"")</f>
        <v/>
      </c>
      <c r="E317" s="1055" t="str">
        <f ca="1">IF(ISNUMBER(INDEX(magestuff!$D$499:$Y$615,ROW()-ROW($D$256),COLUMN()-COLUMN($C$257))),INDIRECT("'Master Spell List'!$Z$"&amp;INDEX(magestuff!$D$499:$Y$615,ROW()-ROW($D$256),COLUMN()-COLUMN($C$257))),"")</f>
        <v/>
      </c>
      <c r="F317" s="1055" t="str">
        <f ca="1">IF(ISNUMBER(INDEX(magestuff!$D$499:$Y$615,ROW()-ROW($D$256),COLUMN()-COLUMN($C$257))),INDIRECT("'Master Spell List'!$Z$"&amp;INDEX(magestuff!$D$499:$Y$615,ROW()-ROW($D$256),COLUMN()-COLUMN($C$257))),"")</f>
        <v>Greater Divide</v>
      </c>
      <c r="G317" s="1055" t="str">
        <f ca="1">IF(ISNUMBER(INDEX(magestuff!$D$499:$Y$615,ROW()-ROW($D$256),COLUMN()-COLUMN($C$257))),INDIRECT("'Master Spell List'!$Z$"&amp;INDEX(magestuff!$D$499:$Y$615,ROW()-ROW($D$256),COLUMN()-COLUMN($C$257))),"")</f>
        <v/>
      </c>
      <c r="H317" s="1055" t="str">
        <f ca="1">IF(ISNUMBER(INDEX(magestuff!$D$499:$Y$615,ROW()-ROW($D$256),COLUMN()-COLUMN($C$257))),INDIRECT("'Master Spell List'!$Z$"&amp;INDEX(magestuff!$D$499:$Y$615,ROW()-ROW($D$256),COLUMN()-COLUMN($C$257))),"")</f>
        <v>Water Bomb of the Undine</v>
      </c>
      <c r="I317" s="1055" t="str">
        <f ca="1">IF(ISNUMBER(INDEX(magestuff!$D$499:$Y$615,ROW()-ROW($D$256),COLUMN()-COLUMN($C$257))),INDIRECT("'Master Spell List'!$Z$"&amp;INDEX(magestuff!$D$499:$Y$615,ROW()-ROW($D$256),COLUMN()-COLUMN($C$257))),"")</f>
        <v>Shining Paths</v>
      </c>
      <c r="J317" s="1055" t="str">
        <f ca="1">IF(ISNUMBER(INDEX(magestuff!$D$499:$Y$615,ROW()-ROW($D$256),COLUMN()-COLUMN($C$257))),INDIRECT("'Master Spell List'!$Z$"&amp;INDEX(magestuff!$D$499:$Y$615,ROW()-ROW($D$256),COLUMN()-COLUMN($C$257))),"")</f>
        <v>Greater Calm</v>
      </c>
      <c r="K317" s="1055" t="str">
        <f ca="1">IF(ISNUMBER(INDEX(magestuff!$D$499:$Y$615,ROW()-ROW($D$256),COLUMN()-COLUMN($C$257))),INDIRECT("'Master Spell List'!$Z$"&amp;INDEX(magestuff!$D$499:$Y$615,ROW()-ROW($D$256),COLUMN()-COLUMN($C$257))),"")</f>
        <v>Detect Blood Purity</v>
      </c>
      <c r="L317" s="1055" t="str">
        <f ca="1">IF(ISNUMBER(INDEX(magestuff!$D$499:$Y$615,ROW()-ROW($D$256),COLUMN()-COLUMN($C$257))),INDIRECT("'Master Spell List'!$Z$"&amp;INDEX(magestuff!$D$499:$Y$615,ROW()-ROW($D$256),COLUMN()-COLUMN($C$257))),"")</f>
        <v>Create Greater Sound</v>
      </c>
      <c r="M317" s="1055" t="str">
        <f ca="1">IF(ISNUMBER(INDEX(magestuff!$D$499:$Y$615,ROW()-ROW($D$256),COLUMN()-COLUMN($C$257))),INDIRECT("'Master Spell List'!$Z$"&amp;INDEX(magestuff!$D$499:$Y$615,ROW()-ROW($D$256),COLUMN()-COLUMN($C$257))),"")</f>
        <v>Antidote</v>
      </c>
      <c r="N317" s="1055" t="str">
        <f ca="1">IF(ISNUMBER(INDEX(magestuff!$D$499:$Y$615,ROW()-ROW($D$256),COLUMN()-COLUMN($C$257))),INDIRECT("'Master Spell List'!$Z$"&amp;INDEX(magestuff!$D$499:$Y$615,ROW()-ROW($D$256),COLUMN()-COLUMN($C$257))),"")</f>
        <v/>
      </c>
      <c r="O317" s="1055" t="str">
        <f ca="1">IF(ISNUMBER(INDEX(magestuff!$D$499:$Y$615,ROW()-ROW($D$256),COLUMN()-COLUMN($C$257))),INDIRECT("'Master Spell List'!$Z$"&amp;INDEX(magestuff!$D$499:$Y$615,ROW()-ROW($D$256),COLUMN()-COLUMN($C$257))),"")</f>
        <v/>
      </c>
      <c r="P317" s="1055" t="str">
        <f ca="1">IF(ISNUMBER(INDEX(magestuff!$D$499:$Y$615,ROW()-ROW($D$256),COLUMN()-COLUMN($C$257))),INDIRECT("'Master Spell List'!$Z$"&amp;INDEX(magestuff!$D$499:$Y$615,ROW()-ROW($D$256),COLUMN()-COLUMN($C$257))),"")</f>
        <v/>
      </c>
      <c r="Q317" s="1055" t="str">
        <f ca="1">IF(ISNUMBER(INDEX(magestuff!$D$499:$Y$615,ROW()-ROW($D$256),COLUMN()-COLUMN($C$257))),INDIRECT("'Master Spell List'!$Z$"&amp;INDEX(magestuff!$D$499:$Y$615,ROW()-ROW($D$256),COLUMN()-COLUMN($C$257))),"")</f>
        <v/>
      </c>
      <c r="R317" s="1055" t="str">
        <f ca="1">IF(ISNUMBER(INDEX(magestuff!$D$499:$Y$615,ROW()-ROW($D$256),COLUMN()-COLUMN($C$257))),INDIRECT("'Master Spell List'!$Z$"&amp;INDEX(magestuff!$D$499:$Y$615,ROW()-ROW($D$256),COLUMN()-COLUMN($C$257))),"")</f>
        <v/>
      </c>
      <c r="S317" s="1055" t="str">
        <f ca="1">IF(ISNUMBER(INDEX(magestuff!$D$499:$Y$615,ROW()-ROW($D$256),COLUMN()-COLUMN($C$257))),INDIRECT("'Master Spell List'!$Z$"&amp;INDEX(magestuff!$D$499:$Y$615,ROW()-ROW($D$256),COLUMN()-COLUMN($C$257))),"")</f>
        <v/>
      </c>
      <c r="T317" s="1055" t="str">
        <f ca="1">IF(ISNUMBER(INDEX(magestuff!$D$499:$Y$615,ROW()-ROW($D$256),COLUMN()-COLUMN($C$257))),INDIRECT("'Master Spell List'!$Z$"&amp;INDEX(magestuff!$D$499:$Y$615,ROW()-ROW($D$256),COLUMN()-COLUMN($C$257))),"")</f>
        <v/>
      </c>
      <c r="U317" s="1055" t="str">
        <f ca="1">IF(ISNUMBER(INDEX(magestuff!$D$499:$Y$615,ROW()-ROW($D$256),COLUMN()-COLUMN($C$257))),INDIRECT("'Master Spell List'!$Z$"&amp;INDEX(magestuff!$D$499:$Y$615,ROW()-ROW($D$256),COLUMN()-COLUMN($C$257))),"")</f>
        <v/>
      </c>
      <c r="V317" s="1055" t="str">
        <f ca="1">IF(ISNUMBER(INDEX(magestuff!$D$499:$Y$615,ROW()-ROW($D$256),COLUMN()-COLUMN($C$257))),INDIRECT("'Master Spell List'!$Z$"&amp;INDEX(magestuff!$D$499:$Y$615,ROW()-ROW($D$256),COLUMN()-COLUMN($C$257))),"")</f>
        <v/>
      </c>
      <c r="W317" s="1055" t="str">
        <f ca="1">IF(ISNUMBER(INDEX(magestuff!$D$499:$Y$615,ROW()-ROW($D$256),COLUMN()-COLUMN($C$257))),INDIRECT("'Master Spell List'!$Z$"&amp;INDEX(magestuff!$D$499:$Y$615,ROW()-ROW($D$256),COLUMN()-COLUMN($C$257))),"")</f>
        <v/>
      </c>
    </row>
    <row r="318" spans="1:23">
      <c r="A318" s="598">
        <v>63</v>
      </c>
      <c r="C318" s="598" t="s">
        <v>2225</v>
      </c>
      <c r="D318" s="1055" t="str">
        <f ca="1">IF(ISNUMBER(INDEX(magestuff!$D$499:$Y$615,ROW()-ROW($D$256),COLUMN()-COLUMN($C$257))),INDIRECT("'Master Spell List'!$Z$"&amp;INDEX(magestuff!$D$499:$Y$615,ROW()-ROW($D$256),COLUMN()-COLUMN($C$257))),"")</f>
        <v/>
      </c>
      <c r="E318" s="1055" t="str">
        <f ca="1">IF(ISNUMBER(INDEX(magestuff!$D$499:$Y$615,ROW()-ROW($D$256),COLUMN()-COLUMN($C$257))),INDIRECT("'Master Spell List'!$Z$"&amp;INDEX(magestuff!$D$499:$Y$615,ROW()-ROW($D$256),COLUMN()-COLUMN($C$257))),"")</f>
        <v/>
      </c>
      <c r="F318" s="1055" t="str">
        <f ca="1">IF(ISNUMBER(INDEX(magestuff!$D$499:$Y$615,ROW()-ROW($D$256),COLUMN()-COLUMN($C$257))),INDIRECT("'Master Spell List'!$Z$"&amp;INDEX(magestuff!$D$499:$Y$615,ROW()-ROW($D$256),COLUMN()-COLUMN($C$257))),"")</f>
        <v>Great Powder Non-Enchanted Metals</v>
      </c>
      <c r="G318" s="1055" t="str">
        <f ca="1">IF(ISNUMBER(INDEX(magestuff!$D$499:$Y$615,ROW()-ROW($D$256),COLUMN()-COLUMN($C$257))),INDIRECT("'Master Spell List'!$Z$"&amp;INDEX(magestuff!$D$499:$Y$615,ROW()-ROW($D$256),COLUMN()-COLUMN($C$257))),"")</f>
        <v/>
      </c>
      <c r="H318" s="1055" t="str">
        <f ca="1">IF(ISNUMBER(INDEX(magestuff!$D$499:$Y$615,ROW()-ROW($D$256),COLUMN()-COLUMN($C$257))),INDIRECT("'Master Spell List'!$Z$"&amp;INDEX(magestuff!$D$499:$Y$615,ROW()-ROW($D$256),COLUMN()-COLUMN($C$257))),"")</f>
        <v>Greatest Wave (Tidal wave, Tsunami)</v>
      </c>
      <c r="I318" s="1055" t="str">
        <f ca="1">IF(ISNUMBER(INDEX(magestuff!$D$499:$Y$615,ROW()-ROW($D$256),COLUMN()-COLUMN($C$257))),INDIRECT("'Master Spell List'!$Z$"&amp;INDEX(magestuff!$D$499:$Y$615,ROW()-ROW($D$256),COLUMN()-COLUMN($C$257))),"")</f>
        <v>Wizard's Seal</v>
      </c>
      <c r="J318" s="1055" t="str">
        <f ca="1">IF(ISNUMBER(INDEX(magestuff!$D$499:$Y$615,ROW()-ROW($D$256),COLUMN()-COLUMN($C$257))),INDIRECT("'Master Spell List'!$Z$"&amp;INDEX(magestuff!$D$499:$Y$615,ROW()-ROW($D$256),COLUMN()-COLUMN($C$257))),"")</f>
        <v>Greater Charm Person</v>
      </c>
      <c r="K318" s="1055" t="str">
        <f ca="1">IF(ISNUMBER(INDEX(magestuff!$D$499:$Y$615,ROW()-ROW($D$256),COLUMN()-COLUMN($C$257))),INDIRECT("'Master Spell List'!$Z$"&amp;INDEX(magestuff!$D$499:$Y$615,ROW()-ROW($D$256),COLUMN()-COLUMN($C$257))),"")</f>
        <v>Discern Traps</v>
      </c>
      <c r="L318" s="1055" t="str">
        <f ca="1">IF(ISNUMBER(INDEX(magestuff!$D$499:$Y$615,ROW()-ROW($D$256),COLUMN()-COLUMN($C$257))),INDIRECT("'Master Spell List'!$Z$"&amp;INDEX(magestuff!$D$499:$Y$615,ROW()-ROW($D$256),COLUMN()-COLUMN($C$257))),"")</f>
        <v>Create Lesser Scent</v>
      </c>
      <c r="M318" s="1055" t="str">
        <f ca="1">IF(ISNUMBER(INDEX(magestuff!$D$499:$Y$615,ROW()-ROW($D$256),COLUMN()-COLUMN($C$257))),INDIRECT("'Master Spell List'!$Z$"&amp;INDEX(magestuff!$D$499:$Y$615,ROW()-ROW($D$256),COLUMN()-COLUMN($C$257))),"")</f>
        <v>Anti-venom</v>
      </c>
      <c r="N318" s="1055" t="str">
        <f ca="1">IF(ISNUMBER(INDEX(magestuff!$D$499:$Y$615,ROW()-ROW($D$256),COLUMN()-COLUMN($C$257))),INDIRECT("'Master Spell List'!$Z$"&amp;INDEX(magestuff!$D$499:$Y$615,ROW()-ROW($D$256),COLUMN()-COLUMN($C$257))),"")</f>
        <v/>
      </c>
      <c r="O318" s="1055" t="str">
        <f ca="1">IF(ISNUMBER(INDEX(magestuff!$D$499:$Y$615,ROW()-ROW($D$256),COLUMN()-COLUMN($C$257))),INDIRECT("'Master Spell List'!$Z$"&amp;INDEX(magestuff!$D$499:$Y$615,ROW()-ROW($D$256),COLUMN()-COLUMN($C$257))),"")</f>
        <v/>
      </c>
      <c r="P318" s="1055" t="str">
        <f ca="1">IF(ISNUMBER(INDEX(magestuff!$D$499:$Y$615,ROW()-ROW($D$256),COLUMN()-COLUMN($C$257))),INDIRECT("'Master Spell List'!$Z$"&amp;INDEX(magestuff!$D$499:$Y$615,ROW()-ROW($D$256),COLUMN()-COLUMN($C$257))),"")</f>
        <v/>
      </c>
      <c r="Q318" s="1055" t="str">
        <f ca="1">IF(ISNUMBER(INDEX(magestuff!$D$499:$Y$615,ROW()-ROW($D$256),COLUMN()-COLUMN($C$257))),INDIRECT("'Master Spell List'!$Z$"&amp;INDEX(magestuff!$D$499:$Y$615,ROW()-ROW($D$256),COLUMN()-COLUMN($C$257))),"")</f>
        <v/>
      </c>
      <c r="R318" s="1055" t="str">
        <f ca="1">IF(ISNUMBER(INDEX(magestuff!$D$499:$Y$615,ROW()-ROW($D$256),COLUMN()-COLUMN($C$257))),INDIRECT("'Master Spell List'!$Z$"&amp;INDEX(magestuff!$D$499:$Y$615,ROW()-ROW($D$256),COLUMN()-COLUMN($C$257))),"")</f>
        <v/>
      </c>
      <c r="S318" s="1055" t="str">
        <f ca="1">IF(ISNUMBER(INDEX(magestuff!$D$499:$Y$615,ROW()-ROW($D$256),COLUMN()-COLUMN($C$257))),INDIRECT("'Master Spell List'!$Z$"&amp;INDEX(magestuff!$D$499:$Y$615,ROW()-ROW($D$256),COLUMN()-COLUMN($C$257))),"")</f>
        <v/>
      </c>
      <c r="T318" s="1055" t="str">
        <f ca="1">IF(ISNUMBER(INDEX(magestuff!$D$499:$Y$615,ROW()-ROW($D$256),COLUMN()-COLUMN($C$257))),INDIRECT("'Master Spell List'!$Z$"&amp;INDEX(magestuff!$D$499:$Y$615,ROW()-ROW($D$256),COLUMN()-COLUMN($C$257))),"")</f>
        <v/>
      </c>
      <c r="U318" s="1055" t="str">
        <f ca="1">IF(ISNUMBER(INDEX(magestuff!$D$499:$Y$615,ROW()-ROW($D$256),COLUMN()-COLUMN($C$257))),INDIRECT("'Master Spell List'!$Z$"&amp;INDEX(magestuff!$D$499:$Y$615,ROW()-ROW($D$256),COLUMN()-COLUMN($C$257))),"")</f>
        <v/>
      </c>
      <c r="V318" s="1055" t="str">
        <f ca="1">IF(ISNUMBER(INDEX(magestuff!$D$499:$Y$615,ROW()-ROW($D$256),COLUMN()-COLUMN($C$257))),INDIRECT("'Master Spell List'!$Z$"&amp;INDEX(magestuff!$D$499:$Y$615,ROW()-ROW($D$256),COLUMN()-COLUMN($C$257))),"")</f>
        <v/>
      </c>
      <c r="W318" s="1055" t="str">
        <f ca="1">IF(ISNUMBER(INDEX(magestuff!$D$499:$Y$615,ROW()-ROW($D$256),COLUMN()-COLUMN($C$257))),INDIRECT("'Master Spell List'!$Z$"&amp;INDEX(magestuff!$D$499:$Y$615,ROW()-ROW($D$256),COLUMN()-COLUMN($C$257))),"")</f>
        <v/>
      </c>
    </row>
    <row r="319" spans="1:23">
      <c r="A319" s="598">
        <v>64</v>
      </c>
      <c r="C319" s="598" t="s">
        <v>2225</v>
      </c>
      <c r="D319" s="1055" t="str">
        <f ca="1">IF(ISNUMBER(INDEX(magestuff!$D$499:$Y$615,ROW()-ROW($D$256),COLUMN()-COLUMN($C$257))),INDIRECT("'Master Spell List'!$Z$"&amp;INDEX(magestuff!$D$499:$Y$615,ROW()-ROW($D$256),COLUMN()-COLUMN($C$257))),"")</f>
        <v/>
      </c>
      <c r="E319" s="1055" t="str">
        <f ca="1">IF(ISNUMBER(INDEX(magestuff!$D$499:$Y$615,ROW()-ROW($D$256),COLUMN()-COLUMN($C$257))),INDIRECT("'Master Spell List'!$Z$"&amp;INDEX(magestuff!$D$499:$Y$615,ROW()-ROW($D$256),COLUMN()-COLUMN($C$257))),"")</f>
        <v/>
      </c>
      <c r="F319" s="1055" t="str">
        <f ca="1">IF(ISNUMBER(INDEX(magestuff!$D$499:$Y$615,ROW()-ROW($D$256),COLUMN()-COLUMN($C$257))),INDIRECT("'Master Spell List'!$Z$"&amp;INDEX(magestuff!$D$499:$Y$615,ROW()-ROW($D$256),COLUMN()-COLUMN($C$257))),"")</f>
        <v>Greater Powder Enchanted Metals</v>
      </c>
      <c r="G319" s="1055" t="str">
        <f ca="1">IF(ISNUMBER(INDEX(magestuff!$D$499:$Y$615,ROW()-ROW($D$256),COLUMN()-COLUMN($C$257))),INDIRECT("'Master Spell List'!$Z$"&amp;INDEX(magestuff!$D$499:$Y$615,ROW()-ROW($D$256),COLUMN()-COLUMN($C$257))),"")</f>
        <v/>
      </c>
      <c r="H319" s="1055" t="str">
        <f ca="1">IF(ISNUMBER(INDEX(magestuff!$D$499:$Y$615,ROW()-ROW($D$256),COLUMN()-COLUMN($C$257))),INDIRECT("'Master Spell List'!$Z$"&amp;INDEX(magestuff!$D$499:$Y$615,ROW()-ROW($D$256),COLUMN()-COLUMN($C$257))),"")</f>
        <v>Ice Bomb of the Sea Drake</v>
      </c>
      <c r="I319" s="1055" t="str">
        <f ca="1">IF(ISNUMBER(INDEX(magestuff!$D$499:$Y$615,ROW()-ROW($D$256),COLUMN()-COLUMN($C$257))),INDIRECT("'Master Spell List'!$Z$"&amp;INDEX(magestuff!$D$499:$Y$615,ROW()-ROW($D$256),COLUMN()-COLUMN($C$257))),"")</f>
        <v>Arcane Armor</v>
      </c>
      <c r="J319" s="1055" t="str">
        <f ca="1">IF(ISNUMBER(INDEX(magestuff!$D$499:$Y$615,ROW()-ROW($D$256),COLUMN()-COLUMN($C$257))),INDIRECT("'Master Spell List'!$Z$"&amp;INDEX(magestuff!$D$499:$Y$615,ROW()-ROW($D$256),COLUMN()-COLUMN($C$257))),"")</f>
        <v>Hate</v>
      </c>
      <c r="K319" s="1055" t="str">
        <f ca="1">IF(ISNUMBER(INDEX(magestuff!$D$499:$Y$615,ROW()-ROW($D$256),COLUMN()-COLUMN($C$257))),INDIRECT("'Master Spell List'!$Z$"&amp;INDEX(magestuff!$D$499:$Y$615,ROW()-ROW($D$256),COLUMN()-COLUMN($C$257))),"")</f>
        <v>Discern Device Components</v>
      </c>
      <c r="L319" s="1055" t="str">
        <f ca="1">IF(ISNUMBER(INDEX(magestuff!$D$499:$Y$615,ROW()-ROW($D$256),COLUMN()-COLUMN($C$257))),INDIRECT("'Master Spell List'!$Z$"&amp;INDEX(magestuff!$D$499:$Y$615,ROW()-ROW($D$256),COLUMN()-COLUMN($C$257))),"")</f>
        <v>Greater Cloak Self</v>
      </c>
      <c r="M319" s="1055" t="str">
        <f ca="1">IF(ISNUMBER(INDEX(magestuff!$D$499:$Y$615,ROW()-ROW($D$256),COLUMN()-COLUMN($C$257))),INDIRECT("'Master Spell List'!$Z$"&amp;INDEX(magestuff!$D$499:$Y$615,ROW()-ROW($D$256),COLUMN()-COLUMN($C$257))),"")</f>
        <v>Blessing of Danu (Mother's Protection)</v>
      </c>
      <c r="N319" s="1055" t="str">
        <f ca="1">IF(ISNUMBER(INDEX(magestuff!$D$499:$Y$615,ROW()-ROW($D$256),COLUMN()-COLUMN($C$257))),INDIRECT("'Master Spell List'!$Z$"&amp;INDEX(magestuff!$D$499:$Y$615,ROW()-ROW($D$256),COLUMN()-COLUMN($C$257))),"")</f>
        <v/>
      </c>
      <c r="O319" s="1055" t="str">
        <f ca="1">IF(ISNUMBER(INDEX(magestuff!$D$499:$Y$615,ROW()-ROW($D$256),COLUMN()-COLUMN($C$257))),INDIRECT("'Master Spell List'!$Z$"&amp;INDEX(magestuff!$D$499:$Y$615,ROW()-ROW($D$256),COLUMN()-COLUMN($C$257))),"")</f>
        <v/>
      </c>
      <c r="P319" s="1055" t="str">
        <f ca="1">IF(ISNUMBER(INDEX(magestuff!$D$499:$Y$615,ROW()-ROW($D$256),COLUMN()-COLUMN($C$257))),INDIRECT("'Master Spell List'!$Z$"&amp;INDEX(magestuff!$D$499:$Y$615,ROW()-ROW($D$256),COLUMN()-COLUMN($C$257))),"")</f>
        <v/>
      </c>
      <c r="Q319" s="1055" t="str">
        <f ca="1">IF(ISNUMBER(INDEX(magestuff!$D$499:$Y$615,ROW()-ROW($D$256),COLUMN()-COLUMN($C$257))),INDIRECT("'Master Spell List'!$Z$"&amp;INDEX(magestuff!$D$499:$Y$615,ROW()-ROW($D$256),COLUMN()-COLUMN($C$257))),"")</f>
        <v/>
      </c>
      <c r="R319" s="1055" t="str">
        <f ca="1">IF(ISNUMBER(INDEX(magestuff!$D$499:$Y$615,ROW()-ROW($D$256),COLUMN()-COLUMN($C$257))),INDIRECT("'Master Spell List'!$Z$"&amp;INDEX(magestuff!$D$499:$Y$615,ROW()-ROW($D$256),COLUMN()-COLUMN($C$257))),"")</f>
        <v/>
      </c>
      <c r="S319" s="1055" t="str">
        <f ca="1">IF(ISNUMBER(INDEX(magestuff!$D$499:$Y$615,ROW()-ROW($D$256),COLUMN()-COLUMN($C$257))),INDIRECT("'Master Spell List'!$Z$"&amp;INDEX(magestuff!$D$499:$Y$615,ROW()-ROW($D$256),COLUMN()-COLUMN($C$257))),"")</f>
        <v/>
      </c>
      <c r="T319" s="1055" t="str">
        <f ca="1">IF(ISNUMBER(INDEX(magestuff!$D$499:$Y$615,ROW()-ROW($D$256),COLUMN()-COLUMN($C$257))),INDIRECT("'Master Spell List'!$Z$"&amp;INDEX(magestuff!$D$499:$Y$615,ROW()-ROW($D$256),COLUMN()-COLUMN($C$257))),"")</f>
        <v/>
      </c>
      <c r="U319" s="1055" t="str">
        <f ca="1">IF(ISNUMBER(INDEX(magestuff!$D$499:$Y$615,ROW()-ROW($D$256),COLUMN()-COLUMN($C$257))),INDIRECT("'Master Spell List'!$Z$"&amp;INDEX(magestuff!$D$499:$Y$615,ROW()-ROW($D$256),COLUMN()-COLUMN($C$257))),"")</f>
        <v/>
      </c>
      <c r="V319" s="1055" t="str">
        <f ca="1">IF(ISNUMBER(INDEX(magestuff!$D$499:$Y$615,ROW()-ROW($D$256),COLUMN()-COLUMN($C$257))),INDIRECT("'Master Spell List'!$Z$"&amp;INDEX(magestuff!$D$499:$Y$615,ROW()-ROW($D$256),COLUMN()-COLUMN($C$257))),"")</f>
        <v/>
      </c>
      <c r="W319" s="1055" t="str">
        <f ca="1">IF(ISNUMBER(INDEX(magestuff!$D$499:$Y$615,ROW()-ROW($D$256),COLUMN()-COLUMN($C$257))),INDIRECT("'Master Spell List'!$Z$"&amp;INDEX(magestuff!$D$499:$Y$615,ROW()-ROW($D$256),COLUMN()-COLUMN($C$257))),"")</f>
        <v/>
      </c>
    </row>
    <row r="320" spans="1:23">
      <c r="A320" s="598">
        <v>65</v>
      </c>
      <c r="C320" s="598" t="s">
        <v>2225</v>
      </c>
      <c r="D320" s="1055" t="str">
        <f ca="1">IF(ISNUMBER(INDEX(magestuff!$D$499:$Y$615,ROW()-ROW($D$256),COLUMN()-COLUMN($C$257))),INDIRECT("'Master Spell List'!$Z$"&amp;INDEX(magestuff!$D$499:$Y$615,ROW()-ROW($D$256),COLUMN()-COLUMN($C$257))),"")</f>
        <v/>
      </c>
      <c r="E320" s="1055" t="str">
        <f ca="1">IF(ISNUMBER(INDEX(magestuff!$D$499:$Y$615,ROW()-ROW($D$256),COLUMN()-COLUMN($C$257))),INDIRECT("'Master Spell List'!$Z$"&amp;INDEX(magestuff!$D$499:$Y$615,ROW()-ROW($D$256),COLUMN()-COLUMN($C$257))),"")</f>
        <v/>
      </c>
      <c r="F320" s="1055" t="str">
        <f ca="1">IF(ISNUMBER(INDEX(magestuff!$D$499:$Y$615,ROW()-ROW($D$256),COLUMN()-COLUMN($C$257))),INDIRECT("'Master Spell List'!$Z$"&amp;INDEX(magestuff!$D$499:$Y$615,ROW()-ROW($D$256),COLUMN()-COLUMN($C$257))),"")</f>
        <v>Greater Shave Non-Enchanted Metals</v>
      </c>
      <c r="G320" s="1055" t="str">
        <f ca="1">IF(ISNUMBER(INDEX(magestuff!$D$499:$Y$615,ROW()-ROW($D$256),COLUMN()-COLUMN($C$257))),INDIRECT("'Master Spell List'!$Z$"&amp;INDEX(magestuff!$D$499:$Y$615,ROW()-ROW($D$256),COLUMN()-COLUMN($C$257))),"")</f>
        <v/>
      </c>
      <c r="H320" s="1055" t="str">
        <f ca="1">IF(ISNUMBER(INDEX(magestuff!$D$499:$Y$615,ROW()-ROW($D$256),COLUMN()-COLUMN($C$257))),INDIRECT("'Master Spell List'!$Z$"&amp;INDEX(magestuff!$D$499:$Y$615,ROW()-ROW($D$256),COLUMN()-COLUMN($C$257))),"")</f>
        <v>Jet of the Sea Drake</v>
      </c>
      <c r="I320" s="1055" t="str">
        <f ca="1">IF(ISNUMBER(INDEX(magestuff!$D$499:$Y$615,ROW()-ROW($D$256),COLUMN()-COLUMN($C$257))),INDIRECT("'Master Spell List'!$Z$"&amp;INDEX(magestuff!$D$499:$Y$615,ROW()-ROW($D$256),COLUMN()-COLUMN($C$257))),"")</f>
        <v xml:space="preserve">Arcane Dagger Blade of Greater Damage </v>
      </c>
      <c r="J320" s="1055" t="str">
        <f ca="1">IF(ISNUMBER(INDEX(magestuff!$D$499:$Y$615,ROW()-ROW($D$256),COLUMN()-COLUMN($C$257))),INDIRECT("'Master Spell List'!$Z$"&amp;INDEX(magestuff!$D$499:$Y$615,ROW()-ROW($D$256),COLUMN()-COLUMN($C$257))),"")</f>
        <v>Haunting Voices</v>
      </c>
      <c r="K320" s="1055" t="str">
        <f ca="1">IF(ISNUMBER(INDEX(magestuff!$D$499:$Y$615,ROW()-ROW($D$256),COLUMN()-COLUMN($C$257))),INDIRECT("'Master Spell List'!$Z$"&amp;INDEX(magestuff!$D$499:$Y$615,ROW()-ROW($D$256),COLUMN()-COLUMN($C$257))),"")</f>
        <v>Great Discern Trigger</v>
      </c>
      <c r="L320" s="1055" t="str">
        <f ca="1">IF(ISNUMBER(INDEX(magestuff!$D$499:$Y$615,ROW()-ROW($D$256),COLUMN()-COLUMN($C$257))),INDIRECT("'Master Spell List'!$Z$"&amp;INDEX(magestuff!$D$499:$Y$615,ROW()-ROW($D$256),COLUMN()-COLUMN($C$257))),"")</f>
        <v>Greater Disguise</v>
      </c>
      <c r="M320" s="1055" t="str">
        <f ca="1">IF(ISNUMBER(INDEX(magestuff!$D$499:$Y$615,ROW()-ROW($D$256),COLUMN()-COLUMN($C$257))),INDIRECT("'Master Spell List'!$Z$"&amp;INDEX(magestuff!$D$499:$Y$615,ROW()-ROW($D$256),COLUMN()-COLUMN($C$257))),"")</f>
        <v>Elixir of Renewed Vigour</v>
      </c>
      <c r="N320" s="1055" t="str">
        <f ca="1">IF(ISNUMBER(INDEX(magestuff!$D$499:$Y$615,ROW()-ROW($D$256),COLUMN()-COLUMN($C$257))),INDIRECT("'Master Spell List'!$Z$"&amp;INDEX(magestuff!$D$499:$Y$615,ROW()-ROW($D$256),COLUMN()-COLUMN($C$257))),"")</f>
        <v/>
      </c>
      <c r="O320" s="1055" t="str">
        <f ca="1">IF(ISNUMBER(INDEX(magestuff!$D$499:$Y$615,ROW()-ROW($D$256),COLUMN()-COLUMN($C$257))),INDIRECT("'Master Spell List'!$Z$"&amp;INDEX(magestuff!$D$499:$Y$615,ROW()-ROW($D$256),COLUMN()-COLUMN($C$257))),"")</f>
        <v/>
      </c>
      <c r="P320" s="1055" t="str">
        <f ca="1">IF(ISNUMBER(INDEX(magestuff!$D$499:$Y$615,ROW()-ROW($D$256),COLUMN()-COLUMN($C$257))),INDIRECT("'Master Spell List'!$Z$"&amp;INDEX(magestuff!$D$499:$Y$615,ROW()-ROW($D$256),COLUMN()-COLUMN($C$257))),"")</f>
        <v/>
      </c>
      <c r="Q320" s="1055" t="str">
        <f ca="1">IF(ISNUMBER(INDEX(magestuff!$D$499:$Y$615,ROW()-ROW($D$256),COLUMN()-COLUMN($C$257))),INDIRECT("'Master Spell List'!$Z$"&amp;INDEX(magestuff!$D$499:$Y$615,ROW()-ROW($D$256),COLUMN()-COLUMN($C$257))),"")</f>
        <v/>
      </c>
      <c r="R320" s="1055" t="str">
        <f ca="1">IF(ISNUMBER(INDEX(magestuff!$D$499:$Y$615,ROW()-ROW($D$256),COLUMN()-COLUMN($C$257))),INDIRECT("'Master Spell List'!$Z$"&amp;INDEX(magestuff!$D$499:$Y$615,ROW()-ROW($D$256),COLUMN()-COLUMN($C$257))),"")</f>
        <v/>
      </c>
      <c r="S320" s="1055" t="str">
        <f ca="1">IF(ISNUMBER(INDEX(magestuff!$D$499:$Y$615,ROW()-ROW($D$256),COLUMN()-COLUMN($C$257))),INDIRECT("'Master Spell List'!$Z$"&amp;INDEX(magestuff!$D$499:$Y$615,ROW()-ROW($D$256),COLUMN()-COLUMN($C$257))),"")</f>
        <v/>
      </c>
      <c r="T320" s="1055" t="str">
        <f ca="1">IF(ISNUMBER(INDEX(magestuff!$D$499:$Y$615,ROW()-ROW($D$256),COLUMN()-COLUMN($C$257))),INDIRECT("'Master Spell List'!$Z$"&amp;INDEX(magestuff!$D$499:$Y$615,ROW()-ROW($D$256),COLUMN()-COLUMN($C$257))),"")</f>
        <v/>
      </c>
      <c r="U320" s="1055" t="str">
        <f ca="1">IF(ISNUMBER(INDEX(magestuff!$D$499:$Y$615,ROW()-ROW($D$256),COLUMN()-COLUMN($C$257))),INDIRECT("'Master Spell List'!$Z$"&amp;INDEX(magestuff!$D$499:$Y$615,ROW()-ROW($D$256),COLUMN()-COLUMN($C$257))),"")</f>
        <v/>
      </c>
      <c r="V320" s="1055" t="str">
        <f ca="1">IF(ISNUMBER(INDEX(magestuff!$D$499:$Y$615,ROW()-ROW($D$256),COLUMN()-COLUMN($C$257))),INDIRECT("'Master Spell List'!$Z$"&amp;INDEX(magestuff!$D$499:$Y$615,ROW()-ROW($D$256),COLUMN()-COLUMN($C$257))),"")</f>
        <v/>
      </c>
      <c r="W320" s="1055" t="str">
        <f ca="1">IF(ISNUMBER(INDEX(magestuff!$D$499:$Y$615,ROW()-ROW($D$256),COLUMN()-COLUMN($C$257))),INDIRECT("'Master Spell List'!$Z$"&amp;INDEX(magestuff!$D$499:$Y$615,ROW()-ROW($D$256),COLUMN()-COLUMN($C$257))),"")</f>
        <v/>
      </c>
    </row>
    <row r="321" spans="1:23">
      <c r="A321" s="598">
        <v>66</v>
      </c>
      <c r="C321" s="598" t="s">
        <v>2225</v>
      </c>
      <c r="D321" s="1055" t="str">
        <f ca="1">IF(ISNUMBER(INDEX(magestuff!$D$499:$Y$615,ROW()-ROW($D$256),COLUMN()-COLUMN($C$257))),INDIRECT("'Master Spell List'!$Z$"&amp;INDEX(magestuff!$D$499:$Y$615,ROW()-ROW($D$256),COLUMN()-COLUMN($C$257))),"")</f>
        <v/>
      </c>
      <c r="E321" s="1055" t="str">
        <f ca="1">IF(ISNUMBER(INDEX(magestuff!$D$499:$Y$615,ROW()-ROW($D$256),COLUMN()-COLUMN($C$257))),INDIRECT("'Master Spell List'!$Z$"&amp;INDEX(magestuff!$D$499:$Y$615,ROW()-ROW($D$256),COLUMN()-COLUMN($C$257))),"")</f>
        <v/>
      </c>
      <c r="F321" s="1055" t="str">
        <f ca="1">IF(ISNUMBER(INDEX(magestuff!$D$499:$Y$615,ROW()-ROW($D$256),COLUMN()-COLUMN($C$257))),INDIRECT("'Master Spell List'!$Z$"&amp;INDEX(magestuff!$D$499:$Y$615,ROW()-ROW($D$256),COLUMN()-COLUMN($C$257))),"")</f>
        <v>Create Perfect Glass Wand</v>
      </c>
      <c r="G321" s="1055" t="str">
        <f ca="1">IF(ISNUMBER(INDEX(magestuff!$D$499:$Y$615,ROW()-ROW($D$256),COLUMN()-COLUMN($C$257))),INDIRECT("'Master Spell List'!$Z$"&amp;INDEX(magestuff!$D$499:$Y$615,ROW()-ROW($D$256),COLUMN()-COLUMN($C$257))),"")</f>
        <v/>
      </c>
      <c r="H321" s="1055" t="str">
        <f ca="1">IF(ISNUMBER(INDEX(magestuff!$D$499:$Y$615,ROW()-ROW($D$256),COLUMN()-COLUMN($C$257))),INDIRECT("'Master Spell List'!$Z$"&amp;INDEX(magestuff!$D$499:$Y$615,ROW()-ROW($D$256),COLUMN()-COLUMN($C$257))),"")</f>
        <v>Prison of the Sea Drake</v>
      </c>
      <c r="I321" s="1055" t="str">
        <f ca="1">IF(ISNUMBER(INDEX(magestuff!$D$499:$Y$615,ROW()-ROW($D$256),COLUMN()-COLUMN($C$257))),INDIRECT("'Master Spell List'!$Z$"&amp;INDEX(magestuff!$D$499:$Y$615,ROW()-ROW($D$256),COLUMN()-COLUMN($C$257))),"")</f>
        <v>Arcane Rope of Steel</v>
      </c>
      <c r="J321" s="1055" t="str">
        <f ca="1">IF(ISNUMBER(INDEX(magestuff!$D$499:$Y$615,ROW()-ROW($D$256),COLUMN()-COLUMN($C$257))),INDIRECT("'Master Spell List'!$Z$"&amp;INDEX(magestuff!$D$499:$Y$615,ROW()-ROW($D$256),COLUMN()-COLUMN($C$257))),"")</f>
        <v>Hold Enchanted Being</v>
      </c>
      <c r="K321" s="1055" t="str">
        <f ca="1">IF(ISNUMBER(INDEX(magestuff!$D$499:$Y$615,ROW()-ROW($D$256),COLUMN()-COLUMN($C$257))),INDIRECT("'Master Spell List'!$Z$"&amp;INDEX(magestuff!$D$499:$Y$615,ROW()-ROW($D$256),COLUMN()-COLUMN($C$257))),"")</f>
        <v>Lesser Discern Magick</v>
      </c>
      <c r="L321" s="1055" t="str">
        <f ca="1">IF(ISNUMBER(INDEX(magestuff!$D$499:$Y$615,ROW()-ROW($D$256),COLUMN()-COLUMN($C$257))),INDIRECT("'Master Spell List'!$Z$"&amp;INDEX(magestuff!$D$499:$Y$615,ROW()-ROW($D$256),COLUMN()-COLUMN($C$257))),"")</f>
        <v>Illusionary Rain</v>
      </c>
      <c r="M321" s="1055" t="str">
        <f ca="1">IF(ISNUMBER(INDEX(magestuff!$D$499:$Y$615,ROW()-ROW($D$256),COLUMN()-COLUMN($C$257))),INDIRECT("'Master Spell List'!$Z$"&amp;INDEX(magestuff!$D$499:$Y$615,ROW()-ROW($D$256),COLUMN()-COLUMN($C$257))),"")</f>
        <v>Great Shape Wood</v>
      </c>
      <c r="N321" s="1055" t="str">
        <f ca="1">IF(ISNUMBER(INDEX(magestuff!$D$499:$Y$615,ROW()-ROW($D$256),COLUMN()-COLUMN($C$257))),INDIRECT("'Master Spell List'!$Z$"&amp;INDEX(magestuff!$D$499:$Y$615,ROW()-ROW($D$256),COLUMN()-COLUMN($C$257))),"")</f>
        <v/>
      </c>
      <c r="O321" s="1055" t="str">
        <f ca="1">IF(ISNUMBER(INDEX(magestuff!$D$499:$Y$615,ROW()-ROW($D$256),COLUMN()-COLUMN($C$257))),INDIRECT("'Master Spell List'!$Z$"&amp;INDEX(magestuff!$D$499:$Y$615,ROW()-ROW($D$256),COLUMN()-COLUMN($C$257))),"")</f>
        <v/>
      </c>
      <c r="P321" s="1055" t="str">
        <f ca="1">IF(ISNUMBER(INDEX(magestuff!$D$499:$Y$615,ROW()-ROW($D$256),COLUMN()-COLUMN($C$257))),INDIRECT("'Master Spell List'!$Z$"&amp;INDEX(magestuff!$D$499:$Y$615,ROW()-ROW($D$256),COLUMN()-COLUMN($C$257))),"")</f>
        <v/>
      </c>
      <c r="Q321" s="1055" t="str">
        <f ca="1">IF(ISNUMBER(INDEX(magestuff!$D$499:$Y$615,ROW()-ROW($D$256),COLUMN()-COLUMN($C$257))),INDIRECT("'Master Spell List'!$Z$"&amp;INDEX(magestuff!$D$499:$Y$615,ROW()-ROW($D$256),COLUMN()-COLUMN($C$257))),"")</f>
        <v/>
      </c>
      <c r="R321" s="1055" t="str">
        <f ca="1">IF(ISNUMBER(INDEX(magestuff!$D$499:$Y$615,ROW()-ROW($D$256),COLUMN()-COLUMN($C$257))),INDIRECT("'Master Spell List'!$Z$"&amp;INDEX(magestuff!$D$499:$Y$615,ROW()-ROW($D$256),COLUMN()-COLUMN($C$257))),"")</f>
        <v/>
      </c>
      <c r="S321" s="1055" t="str">
        <f ca="1">IF(ISNUMBER(INDEX(magestuff!$D$499:$Y$615,ROW()-ROW($D$256),COLUMN()-COLUMN($C$257))),INDIRECT("'Master Spell List'!$Z$"&amp;INDEX(magestuff!$D$499:$Y$615,ROW()-ROW($D$256),COLUMN()-COLUMN($C$257))),"")</f>
        <v/>
      </c>
      <c r="T321" s="1055" t="str">
        <f ca="1">IF(ISNUMBER(INDEX(magestuff!$D$499:$Y$615,ROW()-ROW($D$256),COLUMN()-COLUMN($C$257))),INDIRECT("'Master Spell List'!$Z$"&amp;INDEX(magestuff!$D$499:$Y$615,ROW()-ROW($D$256),COLUMN()-COLUMN($C$257))),"")</f>
        <v/>
      </c>
      <c r="U321" s="1055" t="str">
        <f ca="1">IF(ISNUMBER(INDEX(magestuff!$D$499:$Y$615,ROW()-ROW($D$256),COLUMN()-COLUMN($C$257))),INDIRECT("'Master Spell List'!$Z$"&amp;INDEX(magestuff!$D$499:$Y$615,ROW()-ROW($D$256),COLUMN()-COLUMN($C$257))),"")</f>
        <v/>
      </c>
      <c r="V321" s="1055" t="str">
        <f ca="1">IF(ISNUMBER(INDEX(magestuff!$D$499:$Y$615,ROW()-ROW($D$256),COLUMN()-COLUMN($C$257))),INDIRECT("'Master Spell List'!$Z$"&amp;INDEX(magestuff!$D$499:$Y$615,ROW()-ROW($D$256),COLUMN()-COLUMN($C$257))),"")</f>
        <v/>
      </c>
      <c r="W321" s="1055" t="str">
        <f ca="1">IF(ISNUMBER(INDEX(magestuff!$D$499:$Y$615,ROW()-ROW($D$256),COLUMN()-COLUMN($C$257))),INDIRECT("'Master Spell List'!$Z$"&amp;INDEX(magestuff!$D$499:$Y$615,ROW()-ROW($D$256),COLUMN()-COLUMN($C$257))),"")</f>
        <v/>
      </c>
    </row>
    <row r="322" spans="1:23">
      <c r="A322" s="598">
        <v>67</v>
      </c>
      <c r="C322" s="598" t="s">
        <v>2225</v>
      </c>
      <c r="D322" s="1055" t="str">
        <f ca="1">IF(ISNUMBER(INDEX(magestuff!$D$499:$Y$615,ROW()-ROW($D$256),COLUMN()-COLUMN($C$257))),INDIRECT("'Master Spell List'!$Z$"&amp;INDEX(magestuff!$D$499:$Y$615,ROW()-ROW($D$256),COLUMN()-COLUMN($C$257))),"")</f>
        <v/>
      </c>
      <c r="E322" s="1055" t="str">
        <f ca="1">IF(ISNUMBER(INDEX(magestuff!$D$499:$Y$615,ROW()-ROW($D$256),COLUMN()-COLUMN($C$257))),INDIRECT("'Master Spell List'!$Z$"&amp;INDEX(magestuff!$D$499:$Y$615,ROW()-ROW($D$256),COLUMN()-COLUMN($C$257))),"")</f>
        <v/>
      </c>
      <c r="F322" s="1055" t="str">
        <f ca="1">IF(ISNUMBER(INDEX(magestuff!$D$499:$Y$615,ROW()-ROW($D$256),COLUMN()-COLUMN($C$257))),INDIRECT("'Master Spell List'!$Z$"&amp;INDEX(magestuff!$D$499:$Y$615,ROW()-ROW($D$256),COLUMN()-COLUMN($C$257))),"")</f>
        <v>Lesser Refine Metal Ore</v>
      </c>
      <c r="G322" s="1055" t="str">
        <f ca="1">IF(ISNUMBER(INDEX(magestuff!$D$499:$Y$615,ROW()-ROW($D$256),COLUMN()-COLUMN($C$257))),INDIRECT("'Master Spell List'!$Z$"&amp;INDEX(magestuff!$D$499:$Y$615,ROW()-ROW($D$256),COLUMN()-COLUMN($C$257))),"")</f>
        <v/>
      </c>
      <c r="H322" s="1055" t="str">
        <f ca="1">IF(ISNUMBER(INDEX(magestuff!$D$499:$Y$615,ROW()-ROW($D$256),COLUMN()-COLUMN($C$257))),INDIRECT("'Master Spell List'!$Z$"&amp;INDEX(magestuff!$D$499:$Y$615,ROW()-ROW($D$256),COLUMN()-COLUMN($C$257))),"")</f>
        <v>Shards of the Sea Drake</v>
      </c>
      <c r="I322" s="1055" t="str">
        <f ca="1">IF(ISNUMBER(INDEX(magestuff!$D$499:$Y$615,ROW()-ROW($D$256),COLUMN()-COLUMN($C$257))),INDIRECT("'Master Spell List'!$Z$"&amp;INDEX(magestuff!$D$499:$Y$615,ROW()-ROW($D$256),COLUMN()-COLUMN($C$257))),"")</f>
        <v>Arcane Shield (Shield of Athene)</v>
      </c>
      <c r="J322" s="1055" t="str">
        <f ca="1">IF(ISNUMBER(INDEX(magestuff!$D$499:$Y$615,ROW()-ROW($D$256),COLUMN()-COLUMN($C$257))),INDIRECT("'Master Spell List'!$Z$"&amp;INDEX(magestuff!$D$499:$Y$615,ROW()-ROW($D$256),COLUMN()-COLUMN($C$257))),"")</f>
        <v>Love</v>
      </c>
      <c r="K322" s="1055" t="str">
        <f ca="1">IF(ISNUMBER(INDEX(magestuff!$D$499:$Y$615,ROW()-ROW($D$256),COLUMN()-COLUMN($C$257))),INDIRECT("'Master Spell List'!$Z$"&amp;INDEX(magestuff!$D$499:$Y$615,ROW()-ROW($D$256),COLUMN()-COLUMN($C$257))),"")</f>
        <v>Glacier of Time</v>
      </c>
      <c r="L322" s="1055" t="str">
        <f ca="1">IF(ISNUMBER(INDEX(magestuff!$D$499:$Y$615,ROW()-ROW($D$256),COLUMN()-COLUMN($C$257))),INDIRECT("'Master Spell List'!$Z$"&amp;INDEX(magestuff!$D$499:$Y$615,ROW()-ROW($D$256),COLUMN()-COLUMN($C$257))),"")</f>
        <v>Multiple Images</v>
      </c>
      <c r="M322" s="1055" t="str">
        <f ca="1">IF(ISNUMBER(INDEX(magestuff!$D$499:$Y$615,ROW()-ROW($D$256),COLUMN()-COLUMN($C$257))),INDIRECT("'Master Spell List'!$Z$"&amp;INDEX(magestuff!$D$499:$Y$615,ROW()-ROW($D$256),COLUMN()-COLUMN($C$257))),"")</f>
        <v>Greater Revitalize (Hydrate)</v>
      </c>
      <c r="N322" s="1055" t="str">
        <f ca="1">IF(ISNUMBER(INDEX(magestuff!$D$499:$Y$615,ROW()-ROW($D$256),COLUMN()-COLUMN($C$257))),INDIRECT("'Master Spell List'!$Z$"&amp;INDEX(magestuff!$D$499:$Y$615,ROW()-ROW($D$256),COLUMN()-COLUMN($C$257))),"")</f>
        <v/>
      </c>
      <c r="O322" s="1055" t="str">
        <f ca="1">IF(ISNUMBER(INDEX(magestuff!$D$499:$Y$615,ROW()-ROW($D$256),COLUMN()-COLUMN($C$257))),INDIRECT("'Master Spell List'!$Z$"&amp;INDEX(magestuff!$D$499:$Y$615,ROW()-ROW($D$256),COLUMN()-COLUMN($C$257))),"")</f>
        <v/>
      </c>
      <c r="P322" s="1055" t="str">
        <f ca="1">IF(ISNUMBER(INDEX(magestuff!$D$499:$Y$615,ROW()-ROW($D$256),COLUMN()-COLUMN($C$257))),INDIRECT("'Master Spell List'!$Z$"&amp;INDEX(magestuff!$D$499:$Y$615,ROW()-ROW($D$256),COLUMN()-COLUMN($C$257))),"")</f>
        <v/>
      </c>
      <c r="Q322" s="1055" t="str">
        <f ca="1">IF(ISNUMBER(INDEX(magestuff!$D$499:$Y$615,ROW()-ROW($D$256),COLUMN()-COLUMN($C$257))),INDIRECT("'Master Spell List'!$Z$"&amp;INDEX(magestuff!$D$499:$Y$615,ROW()-ROW($D$256),COLUMN()-COLUMN($C$257))),"")</f>
        <v/>
      </c>
      <c r="R322" s="1055" t="str">
        <f ca="1">IF(ISNUMBER(INDEX(magestuff!$D$499:$Y$615,ROW()-ROW($D$256),COLUMN()-COLUMN($C$257))),INDIRECT("'Master Spell List'!$Z$"&amp;INDEX(magestuff!$D$499:$Y$615,ROW()-ROW($D$256),COLUMN()-COLUMN($C$257))),"")</f>
        <v/>
      </c>
      <c r="S322" s="1055" t="str">
        <f ca="1">IF(ISNUMBER(INDEX(magestuff!$D$499:$Y$615,ROW()-ROW($D$256),COLUMN()-COLUMN($C$257))),INDIRECT("'Master Spell List'!$Z$"&amp;INDEX(magestuff!$D$499:$Y$615,ROW()-ROW($D$256),COLUMN()-COLUMN($C$257))),"")</f>
        <v/>
      </c>
      <c r="T322" s="1055" t="str">
        <f ca="1">IF(ISNUMBER(INDEX(magestuff!$D$499:$Y$615,ROW()-ROW($D$256),COLUMN()-COLUMN($C$257))),INDIRECT("'Master Spell List'!$Z$"&amp;INDEX(magestuff!$D$499:$Y$615,ROW()-ROW($D$256),COLUMN()-COLUMN($C$257))),"")</f>
        <v/>
      </c>
      <c r="U322" s="1055" t="str">
        <f ca="1">IF(ISNUMBER(INDEX(magestuff!$D$499:$Y$615,ROW()-ROW($D$256),COLUMN()-COLUMN($C$257))),INDIRECT("'Master Spell List'!$Z$"&amp;INDEX(magestuff!$D$499:$Y$615,ROW()-ROW($D$256),COLUMN()-COLUMN($C$257))),"")</f>
        <v/>
      </c>
      <c r="V322" s="1055" t="str">
        <f ca="1">IF(ISNUMBER(INDEX(magestuff!$D$499:$Y$615,ROW()-ROW($D$256),COLUMN()-COLUMN($C$257))),INDIRECT("'Master Spell List'!$Z$"&amp;INDEX(magestuff!$D$499:$Y$615,ROW()-ROW($D$256),COLUMN()-COLUMN($C$257))),"")</f>
        <v/>
      </c>
      <c r="W322" s="1055" t="str">
        <f ca="1">IF(ISNUMBER(INDEX(magestuff!$D$499:$Y$615,ROW()-ROW($D$256),COLUMN()-COLUMN($C$257))),INDIRECT("'Master Spell List'!$Z$"&amp;INDEX(magestuff!$D$499:$Y$615,ROW()-ROW($D$256),COLUMN()-COLUMN($C$257))),"")</f>
        <v/>
      </c>
    </row>
    <row r="323" spans="1:23">
      <c r="A323" s="598">
        <v>68</v>
      </c>
      <c r="C323" s="598" t="s">
        <v>2225</v>
      </c>
      <c r="D323" s="1055" t="str">
        <f ca="1">IF(ISNUMBER(INDEX(magestuff!$D$499:$Y$615,ROW()-ROW($D$256),COLUMN()-COLUMN($C$257))),INDIRECT("'Master Spell List'!$Z$"&amp;INDEX(magestuff!$D$499:$Y$615,ROW()-ROW($D$256),COLUMN()-COLUMN($C$257))),"")</f>
        <v/>
      </c>
      <c r="E323" s="1055" t="str">
        <f ca="1">IF(ISNUMBER(INDEX(magestuff!$D$499:$Y$615,ROW()-ROW($D$256),COLUMN()-COLUMN($C$257))),INDIRECT("'Master Spell List'!$Z$"&amp;INDEX(magestuff!$D$499:$Y$615,ROW()-ROW($D$256),COLUMN()-COLUMN($C$257))),"")</f>
        <v/>
      </c>
      <c r="F323" s="1055" t="str">
        <f ca="1">IF(ISNUMBER(INDEX(magestuff!$D$499:$Y$615,ROW()-ROW($D$256),COLUMN()-COLUMN($C$257))),INDIRECT("'Master Spell List'!$Z$"&amp;INDEX(magestuff!$D$499:$Y$615,ROW()-ROW($D$256),COLUMN()-COLUMN($C$257))),"")</f>
        <v>Least Refine Gem Ore</v>
      </c>
      <c r="G323" s="1055" t="str">
        <f ca="1">IF(ISNUMBER(INDEX(magestuff!$D$499:$Y$615,ROW()-ROW($D$256),COLUMN()-COLUMN($C$257))),INDIRECT("'Master Spell List'!$Z$"&amp;INDEX(magestuff!$D$499:$Y$615,ROW()-ROW($D$256),COLUMN()-COLUMN($C$257))),"")</f>
        <v/>
      </c>
      <c r="H323" s="1055" t="str">
        <f ca="1">IF(ISNUMBER(INDEX(magestuff!$D$499:$Y$615,ROW()-ROW($D$256),COLUMN()-COLUMN($C$257))),INDIRECT("'Master Spell List'!$Z$"&amp;INDEX(magestuff!$D$499:$Y$615,ROW()-ROW($D$256),COLUMN()-COLUMN($C$257))),"")</f>
        <v>Spray of the Sea Drake</v>
      </c>
      <c r="I323" s="1055" t="str">
        <f ca="1">IF(ISNUMBER(INDEX(magestuff!$D$499:$Y$615,ROW()-ROW($D$256),COLUMN()-COLUMN($C$257))),INDIRECT("'Master Spell List'!$Z$"&amp;INDEX(magestuff!$D$499:$Y$615,ROW()-ROW($D$256),COLUMN()-COLUMN($C$257))),"")</f>
        <v xml:space="preserve">Arcane Short Sword Blade </v>
      </c>
      <c r="J323" s="1055" t="str">
        <f ca="1">IF(ISNUMBER(INDEX(magestuff!$D$499:$Y$615,ROW()-ROW($D$256),COLUMN()-COLUMN($C$257))),INDIRECT("'Master Spell List'!$Z$"&amp;INDEX(magestuff!$D$499:$Y$615,ROW()-ROW($D$256),COLUMN()-COLUMN($C$257))),"")</f>
        <v>Mass Draw Attention</v>
      </c>
      <c r="K323" s="1055" t="str">
        <f ca="1">IF(ISNUMBER(INDEX(magestuff!$D$499:$Y$615,ROW()-ROW($D$256),COLUMN()-COLUMN($C$257))),INDIRECT("'Master Spell List'!$Z$"&amp;INDEX(magestuff!$D$499:$Y$615,ROW()-ROW($D$256),COLUMN()-COLUMN($C$257))),"")</f>
        <v>Greater Hindsight</v>
      </c>
      <c r="L323" s="1055" t="str">
        <f ca="1">IF(ISNUMBER(INDEX(magestuff!$D$499:$Y$615,ROW()-ROW($D$256),COLUMN()-COLUMN($C$257))),INDIRECT("'Master Spell List'!$Z$"&amp;INDEX(magestuff!$D$499:$Y$615,ROW()-ROW($D$256),COLUMN()-COLUMN($C$257))),"")</f>
        <v>Projected Image</v>
      </c>
      <c r="M323" s="1055" t="str">
        <f ca="1">IF(ISNUMBER(INDEX(magestuff!$D$499:$Y$615,ROW()-ROW($D$256),COLUMN()-COLUMN($C$257))),INDIRECT("'Master Spell List'!$Z$"&amp;INDEX(magestuff!$D$499:$Y$615,ROW()-ROW($D$256),COLUMN()-COLUMN($C$257))),"")</f>
        <v>Greater Salve</v>
      </c>
      <c r="N323" s="1055" t="str">
        <f ca="1">IF(ISNUMBER(INDEX(magestuff!$D$499:$Y$615,ROW()-ROW($D$256),COLUMN()-COLUMN($C$257))),INDIRECT("'Master Spell List'!$Z$"&amp;INDEX(magestuff!$D$499:$Y$615,ROW()-ROW($D$256),COLUMN()-COLUMN($C$257))),"")</f>
        <v/>
      </c>
      <c r="O323" s="1055" t="str">
        <f ca="1">IF(ISNUMBER(INDEX(magestuff!$D$499:$Y$615,ROW()-ROW($D$256),COLUMN()-COLUMN($C$257))),INDIRECT("'Master Spell List'!$Z$"&amp;INDEX(magestuff!$D$499:$Y$615,ROW()-ROW($D$256),COLUMN()-COLUMN($C$257))),"")</f>
        <v/>
      </c>
      <c r="P323" s="1055" t="str">
        <f ca="1">IF(ISNUMBER(INDEX(magestuff!$D$499:$Y$615,ROW()-ROW($D$256),COLUMN()-COLUMN($C$257))),INDIRECT("'Master Spell List'!$Z$"&amp;INDEX(magestuff!$D$499:$Y$615,ROW()-ROW($D$256),COLUMN()-COLUMN($C$257))),"")</f>
        <v/>
      </c>
      <c r="Q323" s="1055" t="str">
        <f ca="1">IF(ISNUMBER(INDEX(magestuff!$D$499:$Y$615,ROW()-ROW($D$256),COLUMN()-COLUMN($C$257))),INDIRECT("'Master Spell List'!$Z$"&amp;INDEX(magestuff!$D$499:$Y$615,ROW()-ROW($D$256),COLUMN()-COLUMN($C$257))),"")</f>
        <v/>
      </c>
      <c r="R323" s="1055" t="str">
        <f ca="1">IF(ISNUMBER(INDEX(magestuff!$D$499:$Y$615,ROW()-ROW($D$256),COLUMN()-COLUMN($C$257))),INDIRECT("'Master Spell List'!$Z$"&amp;INDEX(magestuff!$D$499:$Y$615,ROW()-ROW($D$256),COLUMN()-COLUMN($C$257))),"")</f>
        <v/>
      </c>
      <c r="S323" s="1055" t="str">
        <f ca="1">IF(ISNUMBER(INDEX(magestuff!$D$499:$Y$615,ROW()-ROW($D$256),COLUMN()-COLUMN($C$257))),INDIRECT("'Master Spell List'!$Z$"&amp;INDEX(magestuff!$D$499:$Y$615,ROW()-ROW($D$256),COLUMN()-COLUMN($C$257))),"")</f>
        <v/>
      </c>
      <c r="T323" s="1055" t="str">
        <f ca="1">IF(ISNUMBER(INDEX(magestuff!$D$499:$Y$615,ROW()-ROW($D$256),COLUMN()-COLUMN($C$257))),INDIRECT("'Master Spell List'!$Z$"&amp;INDEX(magestuff!$D$499:$Y$615,ROW()-ROW($D$256),COLUMN()-COLUMN($C$257))),"")</f>
        <v/>
      </c>
      <c r="U323" s="1055" t="str">
        <f ca="1">IF(ISNUMBER(INDEX(magestuff!$D$499:$Y$615,ROW()-ROW($D$256),COLUMN()-COLUMN($C$257))),INDIRECT("'Master Spell List'!$Z$"&amp;INDEX(magestuff!$D$499:$Y$615,ROW()-ROW($D$256),COLUMN()-COLUMN($C$257))),"")</f>
        <v/>
      </c>
      <c r="V323" s="1055" t="str">
        <f ca="1">IF(ISNUMBER(INDEX(magestuff!$D$499:$Y$615,ROW()-ROW($D$256),COLUMN()-COLUMN($C$257))),INDIRECT("'Master Spell List'!$Z$"&amp;INDEX(magestuff!$D$499:$Y$615,ROW()-ROW($D$256),COLUMN()-COLUMN($C$257))),"")</f>
        <v/>
      </c>
      <c r="W323" s="1055" t="str">
        <f ca="1">IF(ISNUMBER(INDEX(magestuff!$D$499:$Y$615,ROW()-ROW($D$256),COLUMN()-COLUMN($C$257))),INDIRECT("'Master Spell List'!$Z$"&amp;INDEX(magestuff!$D$499:$Y$615,ROW()-ROW($D$256),COLUMN()-COLUMN($C$257))),"")</f>
        <v/>
      </c>
    </row>
    <row r="324" spans="1:23">
      <c r="A324" s="598">
        <v>69</v>
      </c>
      <c r="C324" s="598" t="s">
        <v>2225</v>
      </c>
      <c r="D324" s="1055" t="str">
        <f ca="1">IF(ISNUMBER(INDEX(magestuff!$D$499:$Y$615,ROW()-ROW($D$256),COLUMN()-COLUMN($C$257))),INDIRECT("'Master Spell List'!$Z$"&amp;INDEX(magestuff!$D$499:$Y$615,ROW()-ROW($D$256),COLUMN()-COLUMN($C$257))),"")</f>
        <v/>
      </c>
      <c r="E324" s="1055" t="str">
        <f ca="1">IF(ISNUMBER(INDEX(magestuff!$D$499:$Y$615,ROW()-ROW($D$256),COLUMN()-COLUMN($C$257))),INDIRECT("'Master Spell List'!$Z$"&amp;INDEX(magestuff!$D$499:$Y$615,ROW()-ROW($D$256),COLUMN()-COLUMN($C$257))),"")</f>
        <v/>
      </c>
      <c r="F324" s="1055" t="str">
        <f ca="1">IF(ISNUMBER(INDEX(magestuff!$D$499:$Y$615,ROW()-ROW($D$256),COLUMN()-COLUMN($C$257))),INDIRECT("'Master Spell List'!$Z$"&amp;INDEX(magestuff!$D$499:$Y$615,ROW()-ROW($D$256),COLUMN()-COLUMN($C$257))),"")</f>
        <v>Create Imperfect Glass Scepter</v>
      </c>
      <c r="G324" s="1055" t="str">
        <f ca="1">IF(ISNUMBER(INDEX(magestuff!$D$499:$Y$615,ROW()-ROW($D$256),COLUMN()-COLUMN($C$257))),INDIRECT("'Master Spell List'!$Z$"&amp;INDEX(magestuff!$D$499:$Y$615,ROW()-ROW($D$256),COLUMN()-COLUMN($C$257))),"")</f>
        <v/>
      </c>
      <c r="H324" s="1055" t="str">
        <f ca="1">IF(ISNUMBER(INDEX(magestuff!$D$499:$Y$615,ROW()-ROW($D$256),COLUMN()-COLUMN($C$257))),INDIRECT("'Master Spell List'!$Z$"&amp;INDEX(magestuff!$D$499:$Y$615,ROW()-ROW($D$256),COLUMN()-COLUMN($C$257))),"")</f>
        <v>Water Bomb of the Sea Drake</v>
      </c>
      <c r="I324" s="1055" t="str">
        <f ca="1">IF(ISNUMBER(INDEX(magestuff!$D$499:$Y$615,ROW()-ROW($D$256),COLUMN()-COLUMN($C$257))),INDIRECT("'Master Spell List'!$Z$"&amp;INDEX(magestuff!$D$499:$Y$615,ROW()-ROW($D$256),COLUMN()-COLUMN($C$257))),"")</f>
        <v>Bindings of the Arcane</v>
      </c>
      <c r="J324" s="1055" t="str">
        <f ca="1">IF(ISNUMBER(INDEX(magestuff!$D$499:$Y$615,ROW()-ROW($D$256),COLUMN()-COLUMN($C$257))),INDIRECT("'Master Spell List'!$Z$"&amp;INDEX(magestuff!$D$499:$Y$615,ROW()-ROW($D$256),COLUMN()-COLUMN($C$257))),"")</f>
        <v>Muscle Spasm</v>
      </c>
      <c r="K324" s="1055" t="str">
        <f ca="1">IF(ISNUMBER(INDEX(magestuff!$D$499:$Y$615,ROW()-ROW($D$256),COLUMN()-COLUMN($C$257))),INDIRECT("'Master Spell List'!$Z$"&amp;INDEX(magestuff!$D$499:$Y$615,ROW()-ROW($D$256),COLUMN()-COLUMN($C$257))),"")</f>
        <v>Greater Temporal Wave</v>
      </c>
      <c r="L324" s="1055" t="str">
        <f ca="1">IF(ISNUMBER(INDEX(magestuff!$D$499:$Y$615,ROW()-ROW($D$256),COLUMN()-COLUMN($C$257))),INDIRECT("'Master Spell List'!$Z$"&amp;INDEX(magestuff!$D$499:$Y$615,ROW()-ROW($D$256),COLUMN()-COLUMN($C$257))),"")</f>
        <v>Shade Image</v>
      </c>
      <c r="M324" s="1055" t="str">
        <f ca="1">IF(ISNUMBER(INDEX(magestuff!$D$499:$Y$615,ROW()-ROW($D$256),COLUMN()-COLUMN($C$257))),INDIRECT("'Master Spell List'!$Z$"&amp;INDEX(magestuff!$D$499:$Y$615,ROW()-ROW($D$256),COLUMN()-COLUMN($C$257))),"")</f>
        <v>Greatest Dry</v>
      </c>
      <c r="N324" s="1055" t="str">
        <f ca="1">IF(ISNUMBER(INDEX(magestuff!$D$499:$Y$615,ROW()-ROW($D$256),COLUMN()-COLUMN($C$257))),INDIRECT("'Master Spell List'!$Z$"&amp;INDEX(magestuff!$D$499:$Y$615,ROW()-ROW($D$256),COLUMN()-COLUMN($C$257))),"")</f>
        <v/>
      </c>
      <c r="O324" s="1055" t="str">
        <f ca="1">IF(ISNUMBER(INDEX(magestuff!$D$499:$Y$615,ROW()-ROW($D$256),COLUMN()-COLUMN($C$257))),INDIRECT("'Master Spell List'!$Z$"&amp;INDEX(magestuff!$D$499:$Y$615,ROW()-ROW($D$256),COLUMN()-COLUMN($C$257))),"")</f>
        <v/>
      </c>
      <c r="P324" s="1055" t="str">
        <f ca="1">IF(ISNUMBER(INDEX(magestuff!$D$499:$Y$615,ROW()-ROW($D$256),COLUMN()-COLUMN($C$257))),INDIRECT("'Master Spell List'!$Z$"&amp;INDEX(magestuff!$D$499:$Y$615,ROW()-ROW($D$256),COLUMN()-COLUMN($C$257))),"")</f>
        <v/>
      </c>
      <c r="Q324" s="1055" t="str">
        <f ca="1">IF(ISNUMBER(INDEX(magestuff!$D$499:$Y$615,ROW()-ROW($D$256),COLUMN()-COLUMN($C$257))),INDIRECT("'Master Spell List'!$Z$"&amp;INDEX(magestuff!$D$499:$Y$615,ROW()-ROW($D$256),COLUMN()-COLUMN($C$257))),"")</f>
        <v/>
      </c>
      <c r="R324" s="1055" t="str">
        <f ca="1">IF(ISNUMBER(INDEX(magestuff!$D$499:$Y$615,ROW()-ROW($D$256),COLUMN()-COLUMN($C$257))),INDIRECT("'Master Spell List'!$Z$"&amp;INDEX(magestuff!$D$499:$Y$615,ROW()-ROW($D$256),COLUMN()-COLUMN($C$257))),"")</f>
        <v/>
      </c>
      <c r="S324" s="1055" t="str">
        <f ca="1">IF(ISNUMBER(INDEX(magestuff!$D$499:$Y$615,ROW()-ROW($D$256),COLUMN()-COLUMN($C$257))),INDIRECT("'Master Spell List'!$Z$"&amp;INDEX(magestuff!$D$499:$Y$615,ROW()-ROW($D$256),COLUMN()-COLUMN($C$257))),"")</f>
        <v/>
      </c>
      <c r="T324" s="1055" t="str">
        <f ca="1">IF(ISNUMBER(INDEX(magestuff!$D$499:$Y$615,ROW()-ROW($D$256),COLUMN()-COLUMN($C$257))),INDIRECT("'Master Spell List'!$Z$"&amp;INDEX(magestuff!$D$499:$Y$615,ROW()-ROW($D$256),COLUMN()-COLUMN($C$257))),"")</f>
        <v/>
      </c>
      <c r="U324" s="1055" t="str">
        <f ca="1">IF(ISNUMBER(INDEX(magestuff!$D$499:$Y$615,ROW()-ROW($D$256),COLUMN()-COLUMN($C$257))),INDIRECT("'Master Spell List'!$Z$"&amp;INDEX(magestuff!$D$499:$Y$615,ROW()-ROW($D$256),COLUMN()-COLUMN($C$257))),"")</f>
        <v/>
      </c>
      <c r="V324" s="1055" t="str">
        <f ca="1">IF(ISNUMBER(INDEX(magestuff!$D$499:$Y$615,ROW()-ROW($D$256),COLUMN()-COLUMN($C$257))),INDIRECT("'Master Spell List'!$Z$"&amp;INDEX(magestuff!$D$499:$Y$615,ROW()-ROW($D$256),COLUMN()-COLUMN($C$257))),"")</f>
        <v/>
      </c>
      <c r="W324" s="1055" t="str">
        <f ca="1">IF(ISNUMBER(INDEX(magestuff!$D$499:$Y$615,ROW()-ROW($D$256),COLUMN()-COLUMN($C$257))),INDIRECT("'Master Spell List'!$Z$"&amp;INDEX(magestuff!$D$499:$Y$615,ROW()-ROW($D$256),COLUMN()-COLUMN($C$257))),"")</f>
        <v/>
      </c>
    </row>
    <row r="325" spans="1:23">
      <c r="A325" s="598">
        <v>70</v>
      </c>
      <c r="B325" s="598" t="s">
        <v>2225</v>
      </c>
      <c r="C325" s="598" t="s">
        <v>2225</v>
      </c>
      <c r="D325" s="1055" t="str">
        <f ca="1">IF(ISNUMBER(INDEX(magestuff!$D$499:$Y$615,ROW()-ROW($D$256),COLUMN()-COLUMN($C$257))),INDIRECT("'Master Spell List'!$Z$"&amp;INDEX(magestuff!$D$499:$Y$615,ROW()-ROW($D$256),COLUMN()-COLUMN($C$257))),"")</f>
        <v/>
      </c>
      <c r="E325" s="1055" t="str">
        <f ca="1">IF(ISNUMBER(INDEX(magestuff!$D$499:$Y$615,ROW()-ROW($D$256),COLUMN()-COLUMN($C$257))),INDIRECT("'Master Spell List'!$Z$"&amp;INDEX(magestuff!$D$499:$Y$615,ROW()-ROW($D$256),COLUMN()-COLUMN($C$257))),"")</f>
        <v/>
      </c>
      <c r="F325" s="1055" t="str">
        <f ca="1">IF(ISNUMBER(INDEX(magestuff!$D$499:$Y$615,ROW()-ROW($D$256),COLUMN()-COLUMN($C$257))),INDIRECT("'Master Spell List'!$Z$"&amp;INDEX(magestuff!$D$499:$Y$615,ROW()-ROW($D$256),COLUMN()-COLUMN($C$257))),"")</f>
        <v>Greater Powder Non-Enchanted Metals</v>
      </c>
      <c r="G325" s="1055" t="str">
        <f ca="1">IF(ISNUMBER(INDEX(magestuff!$D$499:$Y$615,ROW()-ROW($D$256),COLUMN()-COLUMN($C$257))),INDIRECT("'Master Spell List'!$Z$"&amp;INDEX(magestuff!$D$499:$Y$615,ROW()-ROW($D$256),COLUMN()-COLUMN($C$257))),"")</f>
        <v/>
      </c>
      <c r="H325" s="1055" t="str">
        <f ca="1">IF(ISNUMBER(INDEX(magestuff!$D$499:$Y$615,ROW()-ROW($D$256),COLUMN()-COLUMN($C$257))),INDIRECT("'Master Spell List'!$Z$"&amp;INDEX(magestuff!$D$499:$Y$615,ROW()-ROW($D$256),COLUMN()-COLUMN($C$257))),"")</f>
        <v/>
      </c>
      <c r="I325" s="1055" t="str">
        <f ca="1">IF(ISNUMBER(INDEX(magestuff!$D$499:$Y$615,ROW()-ROW($D$256),COLUMN()-COLUMN($C$257))),INDIRECT("'Master Spell List'!$Z$"&amp;INDEX(magestuff!$D$499:$Y$615,ROW()-ROW($D$256),COLUMN()-COLUMN($C$257))),"")</f>
        <v>Great Eldritch Attack</v>
      </c>
      <c r="J325" s="1055" t="str">
        <f ca="1">IF(ISNUMBER(INDEX(magestuff!$D$499:$Y$615,ROW()-ROW($D$256),COLUMN()-COLUMN($C$257))),INDIRECT("'Master Spell List'!$Z$"&amp;INDEX(magestuff!$D$499:$Y$615,ROW()-ROW($D$256),COLUMN()-COLUMN($C$257))),"")</f>
        <v>Nightmares</v>
      </c>
      <c r="K325" s="1055" t="str">
        <f ca="1">IF(ISNUMBER(INDEX(magestuff!$D$499:$Y$615,ROW()-ROW($D$256),COLUMN()-COLUMN($C$257))),INDIRECT("'Master Spell List'!$Z$"&amp;INDEX(magestuff!$D$499:$Y$615,ROW()-ROW($D$256),COLUMN()-COLUMN($C$257))),"")</f>
        <v>Rapids of Time</v>
      </c>
      <c r="L325" s="1055" t="str">
        <f ca="1">IF(ISNUMBER(INDEX(magestuff!$D$499:$Y$615,ROW()-ROW($D$256),COLUMN()-COLUMN($C$257))),INDIRECT("'Master Spell List'!$Z$"&amp;INDEX(magestuff!$D$499:$Y$615,ROW()-ROW($D$256),COLUMN()-COLUMN($C$257))),"")</f>
        <v>Create Great Scent</v>
      </c>
      <c r="M325" s="1055" t="str">
        <f ca="1">IF(ISNUMBER(INDEX(magestuff!$D$499:$Y$615,ROW()-ROW($D$256),COLUMN()-COLUMN($C$257))),INDIRECT("'Master Spell List'!$Z$"&amp;INDEX(magestuff!$D$499:$Y$615,ROW()-ROW($D$256),COLUMN()-COLUMN($C$257))),"")</f>
        <v>Greatest Grind Coarse</v>
      </c>
      <c r="N325" s="1055" t="str">
        <f ca="1">IF(ISNUMBER(INDEX(magestuff!$D$499:$Y$615,ROW()-ROW($D$256),COLUMN()-COLUMN($C$257))),INDIRECT("'Master Spell List'!$Z$"&amp;INDEX(magestuff!$D$499:$Y$615,ROW()-ROW($D$256),COLUMN()-COLUMN($C$257))),"")</f>
        <v/>
      </c>
      <c r="O325" s="1055" t="str">
        <f ca="1">IF(ISNUMBER(INDEX(magestuff!$D$499:$Y$615,ROW()-ROW($D$256),COLUMN()-COLUMN($C$257))),INDIRECT("'Master Spell List'!$Z$"&amp;INDEX(magestuff!$D$499:$Y$615,ROW()-ROW($D$256),COLUMN()-COLUMN($C$257))),"")</f>
        <v/>
      </c>
      <c r="P325" s="1055" t="str">
        <f ca="1">IF(ISNUMBER(INDEX(magestuff!$D$499:$Y$615,ROW()-ROW($D$256),COLUMN()-COLUMN($C$257))),INDIRECT("'Master Spell List'!$Z$"&amp;INDEX(magestuff!$D$499:$Y$615,ROW()-ROW($D$256),COLUMN()-COLUMN($C$257))),"")</f>
        <v/>
      </c>
      <c r="Q325" s="1055" t="str">
        <f ca="1">IF(ISNUMBER(INDEX(magestuff!$D$499:$Y$615,ROW()-ROW($D$256),COLUMN()-COLUMN($C$257))),INDIRECT("'Master Spell List'!$Z$"&amp;INDEX(magestuff!$D$499:$Y$615,ROW()-ROW($D$256),COLUMN()-COLUMN($C$257))),"")</f>
        <v/>
      </c>
      <c r="R325" s="1055" t="str">
        <f ca="1">IF(ISNUMBER(INDEX(magestuff!$D$499:$Y$615,ROW()-ROW($D$256),COLUMN()-COLUMN($C$257))),INDIRECT("'Master Spell List'!$Z$"&amp;INDEX(magestuff!$D$499:$Y$615,ROW()-ROW($D$256),COLUMN()-COLUMN($C$257))),"")</f>
        <v/>
      </c>
      <c r="S325" s="1055" t="str">
        <f ca="1">IF(ISNUMBER(INDEX(magestuff!$D$499:$Y$615,ROW()-ROW($D$256),COLUMN()-COLUMN($C$257))),INDIRECT("'Master Spell List'!$Z$"&amp;INDEX(magestuff!$D$499:$Y$615,ROW()-ROW($D$256),COLUMN()-COLUMN($C$257))),"")</f>
        <v/>
      </c>
      <c r="T325" s="1055" t="str">
        <f ca="1">IF(ISNUMBER(INDEX(magestuff!$D$499:$Y$615,ROW()-ROW($D$256),COLUMN()-COLUMN($C$257))),INDIRECT("'Master Spell List'!$Z$"&amp;INDEX(magestuff!$D$499:$Y$615,ROW()-ROW($D$256),COLUMN()-COLUMN($C$257))),"")</f>
        <v/>
      </c>
      <c r="U325" s="1055" t="str">
        <f ca="1">IF(ISNUMBER(INDEX(magestuff!$D$499:$Y$615,ROW()-ROW($D$256),COLUMN()-COLUMN($C$257))),INDIRECT("'Master Spell List'!$Z$"&amp;INDEX(magestuff!$D$499:$Y$615,ROW()-ROW($D$256),COLUMN()-COLUMN($C$257))),"")</f>
        <v/>
      </c>
      <c r="V325" s="1055" t="str">
        <f ca="1">IF(ISNUMBER(INDEX(magestuff!$D$499:$Y$615,ROW()-ROW($D$256),COLUMN()-COLUMN($C$257))),INDIRECT("'Master Spell List'!$Z$"&amp;INDEX(magestuff!$D$499:$Y$615,ROW()-ROW($D$256),COLUMN()-COLUMN($C$257))),"")</f>
        <v/>
      </c>
      <c r="W325" s="1055" t="str">
        <f ca="1">IF(ISNUMBER(INDEX(magestuff!$D$499:$Y$615,ROW()-ROW($D$256),COLUMN()-COLUMN($C$257))),INDIRECT("'Master Spell List'!$Z$"&amp;INDEX(magestuff!$D$499:$Y$615,ROW()-ROW($D$256),COLUMN()-COLUMN($C$257))),"")</f>
        <v/>
      </c>
    </row>
    <row r="326" spans="1:23">
      <c r="A326" s="598">
        <v>71</v>
      </c>
      <c r="B326" s="598" t="s">
        <v>2225</v>
      </c>
      <c r="C326" s="598" t="s">
        <v>2225</v>
      </c>
      <c r="D326" s="1055" t="str">
        <f ca="1">IF(ISNUMBER(INDEX(magestuff!$D$499:$Y$615,ROW()-ROW($D$256),COLUMN()-COLUMN($C$257))),INDIRECT("'Master Spell List'!$Z$"&amp;INDEX(magestuff!$D$499:$Y$615,ROW()-ROW($D$256),COLUMN()-COLUMN($C$257))),"")</f>
        <v/>
      </c>
      <c r="E326" s="1055" t="str">
        <f ca="1">IF(ISNUMBER(INDEX(magestuff!$D$499:$Y$615,ROW()-ROW($D$256),COLUMN()-COLUMN($C$257))),INDIRECT("'Master Spell List'!$Z$"&amp;INDEX(magestuff!$D$499:$Y$615,ROW()-ROW($D$256),COLUMN()-COLUMN($C$257))),"")</f>
        <v/>
      </c>
      <c r="F326" s="1055" t="str">
        <f ca="1">IF(ISNUMBER(INDEX(magestuff!$D$499:$Y$615,ROW()-ROW($D$256),COLUMN()-COLUMN($C$257))),INDIRECT("'Master Spell List'!$Z$"&amp;INDEX(magestuff!$D$499:$Y$615,ROW()-ROW($D$256),COLUMN()-COLUMN($C$257))),"")</f>
        <v>Greatest Divide</v>
      </c>
      <c r="G326" s="1055" t="str">
        <f ca="1">IF(ISNUMBER(INDEX(magestuff!$D$499:$Y$615,ROW()-ROW($D$256),COLUMN()-COLUMN($C$257))),INDIRECT("'Master Spell List'!$Z$"&amp;INDEX(magestuff!$D$499:$Y$615,ROW()-ROW($D$256),COLUMN()-COLUMN($C$257))),"")</f>
        <v/>
      </c>
      <c r="H326" s="1055" t="str">
        <f ca="1">IF(ISNUMBER(INDEX(magestuff!$D$499:$Y$615,ROW()-ROW($D$256),COLUMN()-COLUMN($C$257))),INDIRECT("'Master Spell List'!$Z$"&amp;INDEX(magestuff!$D$499:$Y$615,ROW()-ROW($D$256),COLUMN()-COLUMN($C$257))),"")</f>
        <v/>
      </c>
      <c r="I326" s="1055" t="str">
        <f ca="1">IF(ISNUMBER(INDEX(magestuff!$D$499:$Y$615,ROW()-ROW($D$256),COLUMN()-COLUMN($C$257))),INDIRECT("'Master Spell List'!$Z$"&amp;INDEX(magestuff!$D$499:$Y$615,ROW()-ROW($D$256),COLUMN()-COLUMN($C$257))),"")</f>
        <v xml:space="preserve">Greater Healing Touch of Apollo   </v>
      </c>
      <c r="J326" s="1055" t="str">
        <f ca="1">IF(ISNUMBER(INDEX(magestuff!$D$499:$Y$615,ROW()-ROW($D$256),COLUMN()-COLUMN($C$257))),INDIRECT("'Master Spell List'!$Z$"&amp;INDEX(magestuff!$D$499:$Y$615,ROW()-ROW($D$256),COLUMN()-COLUMN($C$257))),"")</f>
        <v>Peaceful Sleep</v>
      </c>
      <c r="K326" s="1055" t="str">
        <f ca="1">IF(ISNUMBER(INDEX(magestuff!$D$499:$Y$615,ROW()-ROW($D$256),COLUMN()-COLUMN($C$257))),INDIRECT("'Master Spell List'!$Z$"&amp;INDEX(magestuff!$D$499:$Y$615,ROW()-ROW($D$256),COLUMN()-COLUMN($C$257))),"")</f>
        <v>Scry the Ends of the Earth</v>
      </c>
      <c r="L326" s="1055" t="str">
        <f ca="1">IF(ISNUMBER(INDEX(magestuff!$D$499:$Y$615,ROW()-ROW($D$256),COLUMN()-COLUMN($C$257))),INDIRECT("'Master Spell List'!$Z$"&amp;INDEX(magestuff!$D$499:$Y$615,ROW()-ROW($D$256),COLUMN()-COLUMN($C$257))),"")</f>
        <v>Duplicate</v>
      </c>
      <c r="M326" s="1055" t="str">
        <f ca="1">IF(ISNUMBER(INDEX(magestuff!$D$499:$Y$615,ROW()-ROW($D$256),COLUMN()-COLUMN($C$257))),INDIRECT("'Master Spell List'!$Z$"&amp;INDEX(magestuff!$D$499:$Y$615,ROW()-ROW($D$256),COLUMN()-COLUMN($C$257))),"")</f>
        <v>Lesser Shape Tree</v>
      </c>
      <c r="N326" s="1055" t="str">
        <f ca="1">IF(ISNUMBER(INDEX(magestuff!$D$499:$Y$615,ROW()-ROW($D$256),COLUMN()-COLUMN($C$257))),INDIRECT("'Master Spell List'!$Z$"&amp;INDEX(magestuff!$D$499:$Y$615,ROW()-ROW($D$256),COLUMN()-COLUMN($C$257))),"")</f>
        <v/>
      </c>
      <c r="O326" s="1055" t="str">
        <f ca="1">IF(ISNUMBER(INDEX(magestuff!$D$499:$Y$615,ROW()-ROW($D$256),COLUMN()-COLUMN($C$257))),INDIRECT("'Master Spell List'!$Z$"&amp;INDEX(magestuff!$D$499:$Y$615,ROW()-ROW($D$256),COLUMN()-COLUMN($C$257))),"")</f>
        <v/>
      </c>
      <c r="P326" s="1055" t="str">
        <f ca="1">IF(ISNUMBER(INDEX(magestuff!$D$499:$Y$615,ROW()-ROW($D$256),COLUMN()-COLUMN($C$257))),INDIRECT("'Master Spell List'!$Z$"&amp;INDEX(magestuff!$D$499:$Y$615,ROW()-ROW($D$256),COLUMN()-COLUMN($C$257))),"")</f>
        <v/>
      </c>
      <c r="Q326" s="1055" t="str">
        <f ca="1">IF(ISNUMBER(INDEX(magestuff!$D$499:$Y$615,ROW()-ROW($D$256),COLUMN()-COLUMN($C$257))),INDIRECT("'Master Spell List'!$Z$"&amp;INDEX(magestuff!$D$499:$Y$615,ROW()-ROW($D$256),COLUMN()-COLUMN($C$257))),"")</f>
        <v/>
      </c>
      <c r="R326" s="1055" t="str">
        <f ca="1">IF(ISNUMBER(INDEX(magestuff!$D$499:$Y$615,ROW()-ROW($D$256),COLUMN()-COLUMN($C$257))),INDIRECT("'Master Spell List'!$Z$"&amp;INDEX(magestuff!$D$499:$Y$615,ROW()-ROW($D$256),COLUMN()-COLUMN($C$257))),"")</f>
        <v/>
      </c>
      <c r="S326" s="1055" t="str">
        <f ca="1">IF(ISNUMBER(INDEX(magestuff!$D$499:$Y$615,ROW()-ROW($D$256),COLUMN()-COLUMN($C$257))),INDIRECT("'Master Spell List'!$Z$"&amp;INDEX(magestuff!$D$499:$Y$615,ROW()-ROW($D$256),COLUMN()-COLUMN($C$257))),"")</f>
        <v/>
      </c>
      <c r="T326" s="1055" t="str">
        <f ca="1">IF(ISNUMBER(INDEX(magestuff!$D$499:$Y$615,ROW()-ROW($D$256),COLUMN()-COLUMN($C$257))),INDIRECT("'Master Spell List'!$Z$"&amp;INDEX(magestuff!$D$499:$Y$615,ROW()-ROW($D$256),COLUMN()-COLUMN($C$257))),"")</f>
        <v/>
      </c>
      <c r="U326" s="1055" t="str">
        <f ca="1">IF(ISNUMBER(INDEX(magestuff!$D$499:$Y$615,ROW()-ROW($D$256),COLUMN()-COLUMN($C$257))),INDIRECT("'Master Spell List'!$Z$"&amp;INDEX(magestuff!$D$499:$Y$615,ROW()-ROW($D$256),COLUMN()-COLUMN($C$257))),"")</f>
        <v/>
      </c>
      <c r="V326" s="1055" t="str">
        <f ca="1">IF(ISNUMBER(INDEX(magestuff!$D$499:$Y$615,ROW()-ROW($D$256),COLUMN()-COLUMN($C$257))),INDIRECT("'Master Spell List'!$Z$"&amp;INDEX(magestuff!$D$499:$Y$615,ROW()-ROW($D$256),COLUMN()-COLUMN($C$257))),"")</f>
        <v/>
      </c>
      <c r="W326" s="1055" t="str">
        <f ca="1">IF(ISNUMBER(INDEX(magestuff!$D$499:$Y$615,ROW()-ROW($D$256),COLUMN()-COLUMN($C$257))),INDIRECT("'Master Spell List'!$Z$"&amp;INDEX(magestuff!$D$499:$Y$615,ROW()-ROW($D$256),COLUMN()-COLUMN($C$257))),"")</f>
        <v/>
      </c>
    </row>
    <row r="327" spans="1:23">
      <c r="A327" s="598">
        <v>72</v>
      </c>
      <c r="B327" s="598" t="s">
        <v>2225</v>
      </c>
      <c r="C327" s="598" t="s">
        <v>2225</v>
      </c>
      <c r="D327" s="1055" t="str">
        <f ca="1">IF(ISNUMBER(INDEX(magestuff!$D$499:$Y$615,ROW()-ROW($D$256),COLUMN()-COLUMN($C$257))),INDIRECT("'Master Spell List'!$Z$"&amp;INDEX(magestuff!$D$499:$Y$615,ROW()-ROW($D$256),COLUMN()-COLUMN($C$257))),"")</f>
        <v/>
      </c>
      <c r="E327" s="1055" t="str">
        <f ca="1">IF(ISNUMBER(INDEX(magestuff!$D$499:$Y$615,ROW()-ROW($D$256),COLUMN()-COLUMN($C$257))),INDIRECT("'Master Spell List'!$Z$"&amp;INDEX(magestuff!$D$499:$Y$615,ROW()-ROW($D$256),COLUMN()-COLUMN($C$257))),"")</f>
        <v/>
      </c>
      <c r="F327" s="1055" t="str">
        <f ca="1">IF(ISNUMBER(INDEX(magestuff!$D$499:$Y$615,ROW()-ROW($D$256),COLUMN()-COLUMN($C$257))),INDIRECT("'Master Spell List'!$Z$"&amp;INDEX(magestuff!$D$499:$Y$615,ROW()-ROW($D$256),COLUMN()-COLUMN($C$257))),"")</f>
        <v>Great Refine Metal Ore</v>
      </c>
      <c r="G327" s="1055" t="str">
        <f ca="1">IF(ISNUMBER(INDEX(magestuff!$D$499:$Y$615,ROW()-ROW($D$256),COLUMN()-COLUMN($C$257))),INDIRECT("'Master Spell List'!$Z$"&amp;INDEX(magestuff!$D$499:$Y$615,ROW()-ROW($D$256),COLUMN()-COLUMN($C$257))),"")</f>
        <v/>
      </c>
      <c r="H327" s="1055" t="str">
        <f ca="1">IF(ISNUMBER(INDEX(magestuff!$D$499:$Y$615,ROW()-ROW($D$256),COLUMN()-COLUMN($C$257))),INDIRECT("'Master Spell List'!$Z$"&amp;INDEX(magestuff!$D$499:$Y$615,ROW()-ROW($D$256),COLUMN()-COLUMN($C$257))),"")</f>
        <v/>
      </c>
      <c r="I327" s="1055" t="str">
        <f ca="1">IF(ISNUMBER(INDEX(magestuff!$D$499:$Y$615,ROW()-ROW($D$256),COLUMN()-COLUMN($C$257))),INDIRECT("'Master Spell List'!$Z$"&amp;INDEX(magestuff!$D$499:$Y$615,ROW()-ROW($D$256),COLUMN()-COLUMN($C$257))),"")</f>
        <v>Least Invisible Sigil of the Arcane</v>
      </c>
      <c r="J327" s="1055" t="str">
        <f ca="1">IF(ISNUMBER(INDEX(magestuff!$D$499:$Y$615,ROW()-ROW($D$256),COLUMN()-COLUMN($C$257))),INDIRECT("'Master Spell List'!$Z$"&amp;INDEX(magestuff!$D$499:$Y$615,ROW()-ROW($D$256),COLUMN()-COLUMN($C$257))),"")</f>
        <v>Command Enchanted Beast</v>
      </c>
      <c r="K327" s="1055" t="str">
        <f ca="1">IF(ISNUMBER(INDEX(magestuff!$D$499:$Y$615,ROW()-ROW($D$256),COLUMN()-COLUMN($C$257))),INDIRECT("'Master Spell List'!$Z$"&amp;INDEX(magestuff!$D$499:$Y$615,ROW()-ROW($D$256),COLUMN()-COLUMN($C$257))),"")</f>
        <v>Sight of Ages</v>
      </c>
      <c r="L327" s="1055" t="str">
        <f ca="1">IF(ISNUMBER(INDEX(magestuff!$D$499:$Y$615,ROW()-ROW($D$256),COLUMN()-COLUMN($C$257))),INDIRECT("'Master Spell List'!$Z$"&amp;INDEX(magestuff!$D$499:$Y$615,ROW()-ROW($D$256),COLUMN()-COLUMN($C$257))),"")</f>
        <v>Greater Illusion</v>
      </c>
      <c r="M327" s="1055" t="str">
        <f ca="1">IF(ISNUMBER(INDEX(magestuff!$D$499:$Y$615,ROW()-ROW($D$256),COLUMN()-COLUMN($C$257))),INDIRECT("'Master Spell List'!$Z$"&amp;INDEX(magestuff!$D$499:$Y$615,ROW()-ROW($D$256),COLUMN()-COLUMN($C$257))),"")</f>
        <v>Animate War Tree Type III</v>
      </c>
      <c r="N327" s="1055" t="str">
        <f ca="1">IF(ISNUMBER(INDEX(magestuff!$D$499:$Y$615,ROW()-ROW($D$256),COLUMN()-COLUMN($C$257))),INDIRECT("'Master Spell List'!$Z$"&amp;INDEX(magestuff!$D$499:$Y$615,ROW()-ROW($D$256),COLUMN()-COLUMN($C$257))),"")</f>
        <v/>
      </c>
      <c r="O327" s="1055" t="str">
        <f ca="1">IF(ISNUMBER(INDEX(magestuff!$D$499:$Y$615,ROW()-ROW($D$256),COLUMN()-COLUMN($C$257))),INDIRECT("'Master Spell List'!$Z$"&amp;INDEX(magestuff!$D$499:$Y$615,ROW()-ROW($D$256),COLUMN()-COLUMN($C$257))),"")</f>
        <v/>
      </c>
      <c r="P327" s="1055" t="str">
        <f ca="1">IF(ISNUMBER(INDEX(magestuff!$D$499:$Y$615,ROW()-ROW($D$256),COLUMN()-COLUMN($C$257))),INDIRECT("'Master Spell List'!$Z$"&amp;INDEX(magestuff!$D$499:$Y$615,ROW()-ROW($D$256),COLUMN()-COLUMN($C$257))),"")</f>
        <v/>
      </c>
      <c r="Q327" s="1055" t="str">
        <f ca="1">IF(ISNUMBER(INDEX(magestuff!$D$499:$Y$615,ROW()-ROW($D$256),COLUMN()-COLUMN($C$257))),INDIRECT("'Master Spell List'!$Z$"&amp;INDEX(magestuff!$D$499:$Y$615,ROW()-ROW($D$256),COLUMN()-COLUMN($C$257))),"")</f>
        <v/>
      </c>
      <c r="R327" s="1055" t="str">
        <f ca="1">IF(ISNUMBER(INDEX(magestuff!$D$499:$Y$615,ROW()-ROW($D$256),COLUMN()-COLUMN($C$257))),INDIRECT("'Master Spell List'!$Z$"&amp;INDEX(magestuff!$D$499:$Y$615,ROW()-ROW($D$256),COLUMN()-COLUMN($C$257))),"")</f>
        <v/>
      </c>
      <c r="S327" s="1055" t="str">
        <f ca="1">IF(ISNUMBER(INDEX(magestuff!$D$499:$Y$615,ROW()-ROW($D$256),COLUMN()-COLUMN($C$257))),INDIRECT("'Master Spell List'!$Z$"&amp;INDEX(magestuff!$D$499:$Y$615,ROW()-ROW($D$256),COLUMN()-COLUMN($C$257))),"")</f>
        <v/>
      </c>
      <c r="T327" s="1055" t="str">
        <f ca="1">IF(ISNUMBER(INDEX(magestuff!$D$499:$Y$615,ROW()-ROW($D$256),COLUMN()-COLUMN($C$257))),INDIRECT("'Master Spell List'!$Z$"&amp;INDEX(magestuff!$D$499:$Y$615,ROW()-ROW($D$256),COLUMN()-COLUMN($C$257))),"")</f>
        <v/>
      </c>
      <c r="U327" s="1055" t="str">
        <f ca="1">IF(ISNUMBER(INDEX(magestuff!$D$499:$Y$615,ROW()-ROW($D$256),COLUMN()-COLUMN($C$257))),INDIRECT("'Master Spell List'!$Z$"&amp;INDEX(magestuff!$D$499:$Y$615,ROW()-ROW($D$256),COLUMN()-COLUMN($C$257))),"")</f>
        <v/>
      </c>
      <c r="V327" s="1055" t="str">
        <f ca="1">IF(ISNUMBER(INDEX(magestuff!$D$499:$Y$615,ROW()-ROW($D$256),COLUMN()-COLUMN($C$257))),INDIRECT("'Master Spell List'!$Z$"&amp;INDEX(magestuff!$D$499:$Y$615,ROW()-ROW($D$256),COLUMN()-COLUMN($C$257))),"")</f>
        <v/>
      </c>
      <c r="W327" s="1055" t="str">
        <f ca="1">IF(ISNUMBER(INDEX(magestuff!$D$499:$Y$615,ROW()-ROW($D$256),COLUMN()-COLUMN($C$257))),INDIRECT("'Master Spell List'!$Z$"&amp;INDEX(magestuff!$D$499:$Y$615,ROW()-ROW($D$256),COLUMN()-COLUMN($C$257))),"")</f>
        <v/>
      </c>
    </row>
    <row r="328" spans="1:23">
      <c r="A328" s="598">
        <v>73</v>
      </c>
      <c r="B328" s="598" t="s">
        <v>2225</v>
      </c>
      <c r="C328" s="598" t="s">
        <v>2225</v>
      </c>
      <c r="D328" s="1055" t="str">
        <f ca="1">IF(ISNUMBER(INDEX(magestuff!$D$499:$Y$615,ROW()-ROW($D$256),COLUMN()-COLUMN($C$257))),INDIRECT("'Master Spell List'!$Z$"&amp;INDEX(magestuff!$D$499:$Y$615,ROW()-ROW($D$256),COLUMN()-COLUMN($C$257))),"")</f>
        <v/>
      </c>
      <c r="E328" s="1055" t="str">
        <f ca="1">IF(ISNUMBER(INDEX(magestuff!$D$499:$Y$615,ROW()-ROW($D$256),COLUMN()-COLUMN($C$257))),INDIRECT("'Master Spell List'!$Z$"&amp;INDEX(magestuff!$D$499:$Y$615,ROW()-ROW($D$256),COLUMN()-COLUMN($C$257))),"")</f>
        <v/>
      </c>
      <c r="F328" s="1055" t="str">
        <f ca="1">IF(ISNUMBER(INDEX(magestuff!$D$499:$Y$615,ROW()-ROW($D$256),COLUMN()-COLUMN($C$257))),INDIRECT("'Master Spell List'!$Z$"&amp;INDEX(magestuff!$D$499:$Y$615,ROW()-ROW($D$256),COLUMN()-COLUMN($C$257))),"")</f>
        <v>Lesser Refine Gem Ore</v>
      </c>
      <c r="G328" s="1055" t="str">
        <f ca="1">IF(ISNUMBER(INDEX(magestuff!$D$499:$Y$615,ROW()-ROW($D$256),COLUMN()-COLUMN($C$257))),INDIRECT("'Master Spell List'!$Z$"&amp;INDEX(magestuff!$D$499:$Y$615,ROW()-ROW($D$256),COLUMN()-COLUMN($C$257))),"")</f>
        <v/>
      </c>
      <c r="H328" s="1055" t="str">
        <f ca="1">IF(ISNUMBER(INDEX(magestuff!$D$499:$Y$615,ROW()-ROW($D$256),COLUMN()-COLUMN($C$257))),INDIRECT("'Master Spell List'!$Z$"&amp;INDEX(magestuff!$D$499:$Y$615,ROW()-ROW($D$256),COLUMN()-COLUMN($C$257))),"")</f>
        <v/>
      </c>
      <c r="I328" s="1055" t="str">
        <f ca="1">IF(ISNUMBER(INDEX(magestuff!$D$499:$Y$615,ROW()-ROW($D$256),COLUMN()-COLUMN($C$257))),INDIRECT("'Master Spell List'!$Z$"&amp;INDEX(magestuff!$D$499:$Y$615,ROW()-ROW($D$256),COLUMN()-COLUMN($C$257))),"")</f>
        <v>Shadow Beast</v>
      </c>
      <c r="J328" s="1055" t="str">
        <f ca="1">IF(ISNUMBER(INDEX(magestuff!$D$499:$Y$615,ROW()-ROW($D$256),COLUMN()-COLUMN($C$257))),INDIRECT("'Master Spell List'!$Z$"&amp;INDEX(magestuff!$D$499:$Y$615,ROW()-ROW($D$256),COLUMN()-COLUMN($C$257))),"")</f>
        <v>Command Lesser Undead</v>
      </c>
      <c r="K328" s="1055" t="str">
        <f ca="1">IF(ISNUMBER(INDEX(magestuff!$D$499:$Y$615,ROW()-ROW($D$256),COLUMN()-COLUMN($C$257))),INDIRECT("'Master Spell List'!$Z$"&amp;INDEX(magestuff!$D$499:$Y$615,ROW()-ROW($D$256),COLUMN()-COLUMN($C$257))),"")</f>
        <v>Discern Foci Components</v>
      </c>
      <c r="L328" s="1055" t="str">
        <f ca="1">IF(ISNUMBER(INDEX(magestuff!$D$499:$Y$615,ROW()-ROW($D$256),COLUMN()-COLUMN($C$257))),INDIRECT("'Master Spell List'!$Z$"&amp;INDEX(magestuff!$D$499:$Y$615,ROW()-ROW($D$256),COLUMN()-COLUMN($C$257))),"")</f>
        <v>Illusionary Snow</v>
      </c>
      <c r="M328" s="1055" t="str">
        <f ca="1">IF(ISNUMBER(INDEX(magestuff!$D$499:$Y$615,ROW()-ROW($D$256),COLUMN()-COLUMN($C$257))),INDIRECT("'Master Spell List'!$Z$"&amp;INDEX(magestuff!$D$499:$Y$615,ROW()-ROW($D$256),COLUMN()-COLUMN($C$257))),"")</f>
        <v>Greater Grind Fine</v>
      </c>
      <c r="N328" s="1055" t="str">
        <f ca="1">IF(ISNUMBER(INDEX(magestuff!$D$499:$Y$615,ROW()-ROW($D$256),COLUMN()-COLUMN($C$257))),INDIRECT("'Master Spell List'!$Z$"&amp;INDEX(magestuff!$D$499:$Y$615,ROW()-ROW($D$256),COLUMN()-COLUMN($C$257))),"")</f>
        <v/>
      </c>
      <c r="O328" s="1055" t="str">
        <f ca="1">IF(ISNUMBER(INDEX(magestuff!$D$499:$Y$615,ROW()-ROW($D$256),COLUMN()-COLUMN($C$257))),INDIRECT("'Master Spell List'!$Z$"&amp;INDEX(magestuff!$D$499:$Y$615,ROW()-ROW($D$256),COLUMN()-COLUMN($C$257))),"")</f>
        <v/>
      </c>
      <c r="P328" s="1055" t="str">
        <f ca="1">IF(ISNUMBER(INDEX(magestuff!$D$499:$Y$615,ROW()-ROW($D$256),COLUMN()-COLUMN($C$257))),INDIRECT("'Master Spell List'!$Z$"&amp;INDEX(magestuff!$D$499:$Y$615,ROW()-ROW($D$256),COLUMN()-COLUMN($C$257))),"")</f>
        <v/>
      </c>
      <c r="Q328" s="1055" t="str">
        <f ca="1">IF(ISNUMBER(INDEX(magestuff!$D$499:$Y$615,ROW()-ROW($D$256),COLUMN()-COLUMN($C$257))),INDIRECT("'Master Spell List'!$Z$"&amp;INDEX(magestuff!$D$499:$Y$615,ROW()-ROW($D$256),COLUMN()-COLUMN($C$257))),"")</f>
        <v/>
      </c>
      <c r="R328" s="1055" t="str">
        <f ca="1">IF(ISNUMBER(INDEX(magestuff!$D$499:$Y$615,ROW()-ROW($D$256),COLUMN()-COLUMN($C$257))),INDIRECT("'Master Spell List'!$Z$"&amp;INDEX(magestuff!$D$499:$Y$615,ROW()-ROW($D$256),COLUMN()-COLUMN($C$257))),"")</f>
        <v/>
      </c>
      <c r="S328" s="1055" t="str">
        <f ca="1">IF(ISNUMBER(INDEX(magestuff!$D$499:$Y$615,ROW()-ROW($D$256),COLUMN()-COLUMN($C$257))),INDIRECT("'Master Spell List'!$Z$"&amp;INDEX(magestuff!$D$499:$Y$615,ROW()-ROW($D$256),COLUMN()-COLUMN($C$257))),"")</f>
        <v/>
      </c>
      <c r="T328" s="1055" t="str">
        <f ca="1">IF(ISNUMBER(INDEX(magestuff!$D$499:$Y$615,ROW()-ROW($D$256),COLUMN()-COLUMN($C$257))),INDIRECT("'Master Spell List'!$Z$"&amp;INDEX(magestuff!$D$499:$Y$615,ROW()-ROW($D$256),COLUMN()-COLUMN($C$257))),"")</f>
        <v/>
      </c>
      <c r="U328" s="1055" t="str">
        <f ca="1">IF(ISNUMBER(INDEX(magestuff!$D$499:$Y$615,ROW()-ROW($D$256),COLUMN()-COLUMN($C$257))),INDIRECT("'Master Spell List'!$Z$"&amp;INDEX(magestuff!$D$499:$Y$615,ROW()-ROW($D$256),COLUMN()-COLUMN($C$257))),"")</f>
        <v/>
      </c>
      <c r="V328" s="1055" t="str">
        <f ca="1">IF(ISNUMBER(INDEX(magestuff!$D$499:$Y$615,ROW()-ROW($D$256),COLUMN()-COLUMN($C$257))),INDIRECT("'Master Spell List'!$Z$"&amp;INDEX(magestuff!$D$499:$Y$615,ROW()-ROW($D$256),COLUMN()-COLUMN($C$257))),"")</f>
        <v/>
      </c>
      <c r="W328" s="1055" t="str">
        <f ca="1">IF(ISNUMBER(INDEX(magestuff!$D$499:$Y$615,ROW()-ROW($D$256),COLUMN()-COLUMN($C$257))),INDIRECT("'Master Spell List'!$Z$"&amp;INDEX(magestuff!$D$499:$Y$615,ROW()-ROW($D$256),COLUMN()-COLUMN($C$257))),"")</f>
        <v/>
      </c>
    </row>
    <row r="329" spans="1:23">
      <c r="A329" s="598">
        <v>74</v>
      </c>
      <c r="B329" s="598" t="s">
        <v>2225</v>
      </c>
      <c r="C329" s="598" t="s">
        <v>2225</v>
      </c>
      <c r="D329" s="1055" t="str">
        <f ca="1">IF(ISNUMBER(INDEX(magestuff!$D$499:$Y$615,ROW()-ROW($D$256),COLUMN()-COLUMN($C$257))),INDIRECT("'Master Spell List'!$Z$"&amp;INDEX(magestuff!$D$499:$Y$615,ROW()-ROW($D$256),COLUMN()-COLUMN($C$257))),"")</f>
        <v/>
      </c>
      <c r="E329" s="1055" t="str">
        <f ca="1">IF(ISNUMBER(INDEX(magestuff!$D$499:$Y$615,ROW()-ROW($D$256),COLUMN()-COLUMN($C$257))),INDIRECT("'Master Spell List'!$Z$"&amp;INDEX(magestuff!$D$499:$Y$615,ROW()-ROW($D$256),COLUMN()-COLUMN($C$257))),"")</f>
        <v/>
      </c>
      <c r="F329" s="1055" t="str">
        <f ca="1">IF(ISNUMBER(INDEX(magestuff!$D$499:$Y$615,ROW()-ROW($D$256),COLUMN()-COLUMN($C$257))),INDIRECT("'Master Spell List'!$Z$"&amp;INDEX(magestuff!$D$499:$Y$615,ROW()-ROW($D$256),COLUMN()-COLUMN($C$257))),"")</f>
        <v>Create Imperfect Glass Sphere</v>
      </c>
      <c r="G329" s="1055" t="str">
        <f ca="1">IF(ISNUMBER(INDEX(magestuff!$D$499:$Y$615,ROW()-ROW($D$256),COLUMN()-COLUMN($C$257))),INDIRECT("'Master Spell List'!$Z$"&amp;INDEX(magestuff!$D$499:$Y$615,ROW()-ROW($D$256),COLUMN()-COLUMN($C$257))),"")</f>
        <v/>
      </c>
      <c r="H329" s="1055" t="str">
        <f ca="1">IF(ISNUMBER(INDEX(magestuff!$D$499:$Y$615,ROW()-ROW($D$256),COLUMN()-COLUMN($C$257))),INDIRECT("'Master Spell List'!$Z$"&amp;INDEX(magestuff!$D$499:$Y$615,ROW()-ROW($D$256),COLUMN()-COLUMN($C$257))),"")</f>
        <v/>
      </c>
      <c r="I329" s="1055" t="str">
        <f ca="1">IF(ISNUMBER(INDEX(magestuff!$D$499:$Y$615,ROW()-ROW($D$256),COLUMN()-COLUMN($C$257))),INDIRECT("'Master Spell List'!$Z$"&amp;INDEX(magestuff!$D$499:$Y$615,ROW()-ROW($D$256),COLUMN()-COLUMN($C$257))),"")</f>
        <v xml:space="preserve">Transform </v>
      </c>
      <c r="J329" s="1055" t="str">
        <f ca="1">IF(ISNUMBER(INDEX(magestuff!$D$499:$Y$615,ROW()-ROW($D$256),COLUMN()-COLUMN($C$257))),INDIRECT("'Master Spell List'!$Z$"&amp;INDEX(magestuff!$D$499:$Y$615,ROW()-ROW($D$256),COLUMN()-COLUMN($C$257))),"")</f>
        <v>Dispel Mass Charm</v>
      </c>
      <c r="K329" s="1055" t="str">
        <f ca="1">IF(ISNUMBER(INDEX(magestuff!$D$499:$Y$615,ROW()-ROW($D$256),COLUMN()-COLUMN($C$257))),INDIRECT("'Master Spell List'!$Z$"&amp;INDEX(magestuff!$D$499:$Y$615,ROW()-ROW($D$256),COLUMN()-COLUMN($C$257))),"")</f>
        <v>Foresight</v>
      </c>
      <c r="L329" s="1055" t="str">
        <f ca="1">IF(ISNUMBER(INDEX(magestuff!$D$499:$Y$615,ROW()-ROW($D$256),COLUMN()-COLUMN($C$257))),INDIRECT("'Master Spell List'!$Z$"&amp;INDEX(magestuff!$D$499:$Y$615,ROW()-ROW($D$256),COLUMN()-COLUMN($C$257))),"")</f>
        <v>Places of Mystery (Hallucinatory Landscape)</v>
      </c>
      <c r="M329" s="1055" t="str">
        <f ca="1">IF(ISNUMBER(INDEX(magestuff!$D$499:$Y$615,ROW()-ROW($D$256),COLUMN()-COLUMN($C$257))),INDIRECT("'Master Spell List'!$Z$"&amp;INDEX(magestuff!$D$499:$Y$615,ROW()-ROW($D$256),COLUMN()-COLUMN($C$257))),"")</f>
        <v>Greater Shape Wood</v>
      </c>
      <c r="N329" s="1055" t="str">
        <f ca="1">IF(ISNUMBER(INDEX(magestuff!$D$499:$Y$615,ROW()-ROW($D$256),COLUMN()-COLUMN($C$257))),INDIRECT("'Master Spell List'!$Z$"&amp;INDEX(magestuff!$D$499:$Y$615,ROW()-ROW($D$256),COLUMN()-COLUMN($C$257))),"")</f>
        <v/>
      </c>
      <c r="O329" s="1055" t="str">
        <f ca="1">IF(ISNUMBER(INDEX(magestuff!$D$499:$Y$615,ROW()-ROW($D$256),COLUMN()-COLUMN($C$257))),INDIRECT("'Master Spell List'!$Z$"&amp;INDEX(magestuff!$D$499:$Y$615,ROW()-ROW($D$256),COLUMN()-COLUMN($C$257))),"")</f>
        <v/>
      </c>
      <c r="P329" s="1055" t="str">
        <f ca="1">IF(ISNUMBER(INDEX(magestuff!$D$499:$Y$615,ROW()-ROW($D$256),COLUMN()-COLUMN($C$257))),INDIRECT("'Master Spell List'!$Z$"&amp;INDEX(magestuff!$D$499:$Y$615,ROW()-ROW($D$256),COLUMN()-COLUMN($C$257))),"")</f>
        <v/>
      </c>
      <c r="Q329" s="1055" t="str">
        <f ca="1">IF(ISNUMBER(INDEX(magestuff!$D$499:$Y$615,ROW()-ROW($D$256),COLUMN()-COLUMN($C$257))),INDIRECT("'Master Spell List'!$Z$"&amp;INDEX(magestuff!$D$499:$Y$615,ROW()-ROW($D$256),COLUMN()-COLUMN($C$257))),"")</f>
        <v/>
      </c>
      <c r="R329" s="1055" t="str">
        <f ca="1">IF(ISNUMBER(INDEX(magestuff!$D$499:$Y$615,ROW()-ROW($D$256),COLUMN()-COLUMN($C$257))),INDIRECT("'Master Spell List'!$Z$"&amp;INDEX(magestuff!$D$499:$Y$615,ROW()-ROW($D$256),COLUMN()-COLUMN($C$257))),"")</f>
        <v/>
      </c>
      <c r="S329" s="1055" t="str">
        <f ca="1">IF(ISNUMBER(INDEX(magestuff!$D$499:$Y$615,ROW()-ROW($D$256),COLUMN()-COLUMN($C$257))),INDIRECT("'Master Spell List'!$Z$"&amp;INDEX(magestuff!$D$499:$Y$615,ROW()-ROW($D$256),COLUMN()-COLUMN($C$257))),"")</f>
        <v/>
      </c>
      <c r="T329" s="1055" t="str">
        <f ca="1">IF(ISNUMBER(INDEX(magestuff!$D$499:$Y$615,ROW()-ROW($D$256),COLUMN()-COLUMN($C$257))),INDIRECT("'Master Spell List'!$Z$"&amp;INDEX(magestuff!$D$499:$Y$615,ROW()-ROW($D$256),COLUMN()-COLUMN($C$257))),"")</f>
        <v/>
      </c>
      <c r="U329" s="1055" t="str">
        <f ca="1">IF(ISNUMBER(INDEX(magestuff!$D$499:$Y$615,ROW()-ROW($D$256),COLUMN()-COLUMN($C$257))),INDIRECT("'Master Spell List'!$Z$"&amp;INDEX(magestuff!$D$499:$Y$615,ROW()-ROW($D$256),COLUMN()-COLUMN($C$257))),"")</f>
        <v/>
      </c>
      <c r="V329" s="1055" t="str">
        <f ca="1">IF(ISNUMBER(INDEX(magestuff!$D$499:$Y$615,ROW()-ROW($D$256),COLUMN()-COLUMN($C$257))),INDIRECT("'Master Spell List'!$Z$"&amp;INDEX(magestuff!$D$499:$Y$615,ROW()-ROW($D$256),COLUMN()-COLUMN($C$257))),"")</f>
        <v/>
      </c>
      <c r="W329" s="1055" t="str">
        <f ca="1">IF(ISNUMBER(INDEX(magestuff!$D$499:$Y$615,ROW()-ROW($D$256),COLUMN()-COLUMN($C$257))),INDIRECT("'Master Spell List'!$Z$"&amp;INDEX(magestuff!$D$499:$Y$615,ROW()-ROW($D$256),COLUMN()-COLUMN($C$257))),"")</f>
        <v/>
      </c>
    </row>
    <row r="330" spans="1:23">
      <c r="A330" s="598">
        <v>75</v>
      </c>
      <c r="B330" s="598" t="s">
        <v>2225</v>
      </c>
      <c r="C330" s="598" t="s">
        <v>2225</v>
      </c>
      <c r="D330" s="1055" t="str">
        <f ca="1">IF(ISNUMBER(INDEX(magestuff!$D$499:$Y$615,ROW()-ROW($D$256),COLUMN()-COLUMN($C$257))),INDIRECT("'Master Spell List'!$Z$"&amp;INDEX(magestuff!$D$499:$Y$615,ROW()-ROW($D$256),COLUMN()-COLUMN($C$257))),"")</f>
        <v/>
      </c>
      <c r="E330" s="1055" t="str">
        <f ca="1">IF(ISNUMBER(INDEX(magestuff!$D$499:$Y$615,ROW()-ROW($D$256),COLUMN()-COLUMN($C$257))),INDIRECT("'Master Spell List'!$Z$"&amp;INDEX(magestuff!$D$499:$Y$615,ROW()-ROW($D$256),COLUMN()-COLUMN($C$257))),"")</f>
        <v/>
      </c>
      <c r="F330" s="1055" t="str">
        <f ca="1">IF(ISNUMBER(INDEX(magestuff!$D$499:$Y$615,ROW()-ROW($D$256),COLUMN()-COLUMN($C$257))),INDIRECT("'Master Spell List'!$Z$"&amp;INDEX(magestuff!$D$499:$Y$615,ROW()-ROW($D$256),COLUMN()-COLUMN($C$257))),"")</f>
        <v>Create Perfect Glass Scepter</v>
      </c>
      <c r="G330" s="1055" t="str">
        <f ca="1">IF(ISNUMBER(INDEX(magestuff!$D$499:$Y$615,ROW()-ROW($D$256),COLUMN()-COLUMN($C$257))),INDIRECT("'Master Spell List'!$Z$"&amp;INDEX(magestuff!$D$499:$Y$615,ROW()-ROW($D$256),COLUMN()-COLUMN($C$257))),"")</f>
        <v/>
      </c>
      <c r="H330" s="1055" t="str">
        <f ca="1">IF(ISNUMBER(INDEX(magestuff!$D$499:$Y$615,ROW()-ROW($D$256),COLUMN()-COLUMN($C$257))),INDIRECT("'Master Spell List'!$Z$"&amp;INDEX(magestuff!$D$499:$Y$615,ROW()-ROW($D$256),COLUMN()-COLUMN($C$257))),"")</f>
        <v/>
      </c>
      <c r="I330" s="1055" t="str">
        <f ca="1">IF(ISNUMBER(INDEX(magestuff!$D$499:$Y$615,ROW()-ROW($D$256),COLUMN()-COLUMN($C$257))),INDIRECT("'Master Spell List'!$Z$"&amp;INDEX(magestuff!$D$499:$Y$615,ROW()-ROW($D$256),COLUMN()-COLUMN($C$257))),"")</f>
        <v xml:space="preserve">Arcane Axe Head </v>
      </c>
      <c r="J330" s="1055" t="str">
        <f ca="1">IF(ISNUMBER(INDEX(magestuff!$D$499:$Y$615,ROW()-ROW($D$256),COLUMN()-COLUMN($C$257))),INDIRECT("'Master Spell List'!$Z$"&amp;INDEX(magestuff!$D$499:$Y$615,ROW()-ROW($D$256),COLUMN()-COLUMN($C$257))),"")</f>
        <v>Forget</v>
      </c>
      <c r="K330" s="1055" t="str">
        <f ca="1">IF(ISNUMBER(INDEX(magestuff!$D$499:$Y$615,ROW()-ROW($D$256),COLUMN()-COLUMN($C$257))),INDIRECT("'Master Spell List'!$Z$"&amp;INDEX(magestuff!$D$499:$Y$615,ROW()-ROW($D$256),COLUMN()-COLUMN($C$257))),"")</f>
        <v>Temporal Shear</v>
      </c>
      <c r="L330" s="1055" t="str">
        <f ca="1">IF(ISNUMBER(INDEX(magestuff!$D$499:$Y$615,ROW()-ROW($D$256),COLUMN()-COLUMN($C$257))),INDIRECT("'Master Spell List'!$Z$"&amp;INDEX(magestuff!$D$499:$Y$615,ROW()-ROW($D$256),COLUMN()-COLUMN($C$257))),"")</f>
        <v>Phantasmal Weather</v>
      </c>
      <c r="M330" s="1055" t="str">
        <f ca="1">IF(ISNUMBER(INDEX(magestuff!$D$499:$Y$615,ROW()-ROW($D$256),COLUMN()-COLUMN($C$257))),INDIRECT("'Master Spell List'!$Z$"&amp;INDEX(magestuff!$D$499:$Y$615,ROW()-ROW($D$256),COLUMN()-COLUMN($C$257))),"")</f>
        <v>Greatest Revitalize (Hydrate)</v>
      </c>
      <c r="N330" s="1055" t="str">
        <f ca="1">IF(ISNUMBER(INDEX(magestuff!$D$499:$Y$615,ROW()-ROW($D$256),COLUMN()-COLUMN($C$257))),INDIRECT("'Master Spell List'!$Z$"&amp;INDEX(magestuff!$D$499:$Y$615,ROW()-ROW($D$256),COLUMN()-COLUMN($C$257))),"")</f>
        <v/>
      </c>
      <c r="O330" s="1055" t="str">
        <f ca="1">IF(ISNUMBER(INDEX(magestuff!$D$499:$Y$615,ROW()-ROW($D$256),COLUMN()-COLUMN($C$257))),INDIRECT("'Master Spell List'!$Z$"&amp;INDEX(magestuff!$D$499:$Y$615,ROW()-ROW($D$256),COLUMN()-COLUMN($C$257))),"")</f>
        <v/>
      </c>
      <c r="P330" s="1055" t="str">
        <f ca="1">IF(ISNUMBER(INDEX(magestuff!$D$499:$Y$615,ROW()-ROW($D$256),COLUMN()-COLUMN($C$257))),INDIRECT("'Master Spell List'!$Z$"&amp;INDEX(magestuff!$D$499:$Y$615,ROW()-ROW($D$256),COLUMN()-COLUMN($C$257))),"")</f>
        <v/>
      </c>
      <c r="Q330" s="1055" t="str">
        <f ca="1">IF(ISNUMBER(INDEX(magestuff!$D$499:$Y$615,ROW()-ROW($D$256),COLUMN()-COLUMN($C$257))),INDIRECT("'Master Spell List'!$Z$"&amp;INDEX(magestuff!$D$499:$Y$615,ROW()-ROW($D$256),COLUMN()-COLUMN($C$257))),"")</f>
        <v/>
      </c>
      <c r="R330" s="1055" t="str">
        <f ca="1">IF(ISNUMBER(INDEX(magestuff!$D$499:$Y$615,ROW()-ROW($D$256),COLUMN()-COLUMN($C$257))),INDIRECT("'Master Spell List'!$Z$"&amp;INDEX(magestuff!$D$499:$Y$615,ROW()-ROW($D$256),COLUMN()-COLUMN($C$257))),"")</f>
        <v/>
      </c>
      <c r="S330" s="1055" t="str">
        <f ca="1">IF(ISNUMBER(INDEX(magestuff!$D$499:$Y$615,ROW()-ROW($D$256),COLUMN()-COLUMN($C$257))),INDIRECT("'Master Spell List'!$Z$"&amp;INDEX(magestuff!$D$499:$Y$615,ROW()-ROW($D$256),COLUMN()-COLUMN($C$257))),"")</f>
        <v/>
      </c>
      <c r="T330" s="1055" t="str">
        <f ca="1">IF(ISNUMBER(INDEX(magestuff!$D$499:$Y$615,ROW()-ROW($D$256),COLUMN()-COLUMN($C$257))),INDIRECT("'Master Spell List'!$Z$"&amp;INDEX(magestuff!$D$499:$Y$615,ROW()-ROW($D$256),COLUMN()-COLUMN($C$257))),"")</f>
        <v/>
      </c>
      <c r="U330" s="1055" t="str">
        <f ca="1">IF(ISNUMBER(INDEX(magestuff!$D$499:$Y$615,ROW()-ROW($D$256),COLUMN()-COLUMN($C$257))),INDIRECT("'Master Spell List'!$Z$"&amp;INDEX(magestuff!$D$499:$Y$615,ROW()-ROW($D$256),COLUMN()-COLUMN($C$257))),"")</f>
        <v/>
      </c>
      <c r="V330" s="1055" t="str">
        <f ca="1">IF(ISNUMBER(INDEX(magestuff!$D$499:$Y$615,ROW()-ROW($D$256),COLUMN()-COLUMN($C$257))),INDIRECT("'Master Spell List'!$Z$"&amp;INDEX(magestuff!$D$499:$Y$615,ROW()-ROW($D$256),COLUMN()-COLUMN($C$257))),"")</f>
        <v/>
      </c>
      <c r="W330" s="1055" t="str">
        <f ca="1">IF(ISNUMBER(INDEX(magestuff!$D$499:$Y$615,ROW()-ROW($D$256),COLUMN()-COLUMN($C$257))),INDIRECT("'Master Spell List'!$Z$"&amp;INDEX(magestuff!$D$499:$Y$615,ROW()-ROW($D$256),COLUMN()-COLUMN($C$257))),"")</f>
        <v/>
      </c>
    </row>
    <row r="331" spans="1:23">
      <c r="A331" s="598">
        <v>76</v>
      </c>
      <c r="B331" s="598" t="s">
        <v>2225</v>
      </c>
      <c r="C331" s="598" t="s">
        <v>2225</v>
      </c>
      <c r="D331" s="1055" t="str">
        <f ca="1">IF(ISNUMBER(INDEX(magestuff!$D$499:$Y$615,ROW()-ROW($D$256),COLUMN()-COLUMN($C$257))),INDIRECT("'Master Spell List'!$Z$"&amp;INDEX(magestuff!$D$499:$Y$615,ROW()-ROW($D$256),COLUMN()-COLUMN($C$257))),"")</f>
        <v/>
      </c>
      <c r="E331" s="1055" t="str">
        <f ca="1">IF(ISNUMBER(INDEX(magestuff!$D$499:$Y$615,ROW()-ROW($D$256),COLUMN()-COLUMN($C$257))),INDIRECT("'Master Spell List'!$Z$"&amp;INDEX(magestuff!$D$499:$Y$615,ROW()-ROW($D$256),COLUMN()-COLUMN($C$257))),"")</f>
        <v/>
      </c>
      <c r="F331" s="1055" t="str">
        <f ca="1">IF(ISNUMBER(INDEX(magestuff!$D$499:$Y$615,ROW()-ROW($D$256),COLUMN()-COLUMN($C$257))),INDIRECT("'Master Spell List'!$Z$"&amp;INDEX(magestuff!$D$499:$Y$615,ROW()-ROW($D$256),COLUMN()-COLUMN($C$257))),"")</f>
        <v>Create Perfect Glass Sphere</v>
      </c>
      <c r="G331" s="1055" t="str">
        <f ca="1">IF(ISNUMBER(INDEX(magestuff!$D$499:$Y$615,ROW()-ROW($D$256),COLUMN()-COLUMN($C$257))),INDIRECT("'Master Spell List'!$Z$"&amp;INDEX(magestuff!$D$499:$Y$615,ROW()-ROW($D$256),COLUMN()-COLUMN($C$257))),"")</f>
        <v/>
      </c>
      <c r="H331" s="1055" t="str">
        <f ca="1">IF(ISNUMBER(INDEX(magestuff!$D$499:$Y$615,ROW()-ROW($D$256),COLUMN()-COLUMN($C$257))),INDIRECT("'Master Spell List'!$Z$"&amp;INDEX(magestuff!$D$499:$Y$615,ROW()-ROW($D$256),COLUMN()-COLUMN($C$257))),"")</f>
        <v/>
      </c>
      <c r="I331" s="1055" t="str">
        <f ca="1">IF(ISNUMBER(INDEX(magestuff!$D$499:$Y$615,ROW()-ROW($D$256),COLUMN()-COLUMN($C$257))),INDIRECT("'Master Spell List'!$Z$"&amp;INDEX(magestuff!$D$499:$Y$615,ROW()-ROW($D$256),COLUMN()-COLUMN($C$257))),"")</f>
        <v>Lesser Aport an Object</v>
      </c>
      <c r="J331" s="1055" t="str">
        <f ca="1">IF(ISNUMBER(INDEX(magestuff!$D$499:$Y$615,ROW()-ROW($D$256),COLUMN()-COLUMN($C$257))),INDIRECT("'Master Spell List'!$Z$"&amp;INDEX(magestuff!$D$499:$Y$615,ROW()-ROW($D$256),COLUMN()-COLUMN($C$257))),"")</f>
        <v>Hold Lycanthrope</v>
      </c>
      <c r="K331" s="1055" t="str">
        <f ca="1">IF(ISNUMBER(INDEX(magestuff!$D$499:$Y$615,ROW()-ROW($D$256),COLUMN()-COLUMN($C$257))),INDIRECT("'Master Spell List'!$Z$"&amp;INDEX(magestuff!$D$499:$Y$615,ROW()-ROW($D$256),COLUMN()-COLUMN($C$257))),"")</f>
        <v>Dscern Magical Traps</v>
      </c>
      <c r="L331" s="1055" t="str">
        <f ca="1">IF(ISNUMBER(INDEX(magestuff!$D$499:$Y$615,ROW()-ROW($D$256),COLUMN()-COLUMN($C$257))),INDIRECT("'Master Spell List'!$Z$"&amp;INDEX(magestuff!$D$499:$Y$615,ROW()-ROW($D$256),COLUMN()-COLUMN($C$257))),"")</f>
        <v>Shadow Monster</v>
      </c>
      <c r="M331" s="1055" t="str">
        <f ca="1">IF(ISNUMBER(INDEX(magestuff!$D$499:$Y$615,ROW()-ROW($D$256),COLUMN()-COLUMN($C$257))),INDIRECT("'Master Spell List'!$Z$"&amp;INDEX(magestuff!$D$499:$Y$615,ROW()-ROW($D$256),COLUMN()-COLUMN($C$257))),"")</f>
        <v>Nourish</v>
      </c>
      <c r="N331" s="1055" t="str">
        <f ca="1">IF(ISNUMBER(INDEX(magestuff!$D$499:$Y$615,ROW()-ROW($D$256),COLUMN()-COLUMN($C$257))),INDIRECT("'Master Spell List'!$Z$"&amp;INDEX(magestuff!$D$499:$Y$615,ROW()-ROW($D$256),COLUMN()-COLUMN($C$257))),"")</f>
        <v/>
      </c>
      <c r="O331" s="1055" t="str">
        <f ca="1">IF(ISNUMBER(INDEX(magestuff!$D$499:$Y$615,ROW()-ROW($D$256),COLUMN()-COLUMN($C$257))),INDIRECT("'Master Spell List'!$Z$"&amp;INDEX(magestuff!$D$499:$Y$615,ROW()-ROW($D$256),COLUMN()-COLUMN($C$257))),"")</f>
        <v/>
      </c>
      <c r="P331" s="1055" t="str">
        <f ca="1">IF(ISNUMBER(INDEX(magestuff!$D$499:$Y$615,ROW()-ROW($D$256),COLUMN()-COLUMN($C$257))),INDIRECT("'Master Spell List'!$Z$"&amp;INDEX(magestuff!$D$499:$Y$615,ROW()-ROW($D$256),COLUMN()-COLUMN($C$257))),"")</f>
        <v/>
      </c>
      <c r="Q331" s="1055" t="str">
        <f ca="1">IF(ISNUMBER(INDEX(magestuff!$D$499:$Y$615,ROW()-ROW($D$256),COLUMN()-COLUMN($C$257))),INDIRECT("'Master Spell List'!$Z$"&amp;INDEX(magestuff!$D$499:$Y$615,ROW()-ROW($D$256),COLUMN()-COLUMN($C$257))),"")</f>
        <v/>
      </c>
      <c r="R331" s="1055" t="str">
        <f ca="1">IF(ISNUMBER(INDEX(magestuff!$D$499:$Y$615,ROW()-ROW($D$256),COLUMN()-COLUMN($C$257))),INDIRECT("'Master Spell List'!$Z$"&amp;INDEX(magestuff!$D$499:$Y$615,ROW()-ROW($D$256),COLUMN()-COLUMN($C$257))),"")</f>
        <v/>
      </c>
      <c r="S331" s="1055" t="str">
        <f ca="1">IF(ISNUMBER(INDEX(magestuff!$D$499:$Y$615,ROW()-ROW($D$256),COLUMN()-COLUMN($C$257))),INDIRECT("'Master Spell List'!$Z$"&amp;INDEX(magestuff!$D$499:$Y$615,ROW()-ROW($D$256),COLUMN()-COLUMN($C$257))),"")</f>
        <v/>
      </c>
      <c r="T331" s="1055" t="str">
        <f ca="1">IF(ISNUMBER(INDEX(magestuff!$D$499:$Y$615,ROW()-ROW($D$256),COLUMN()-COLUMN($C$257))),INDIRECT("'Master Spell List'!$Z$"&amp;INDEX(magestuff!$D$499:$Y$615,ROW()-ROW($D$256),COLUMN()-COLUMN($C$257))),"")</f>
        <v/>
      </c>
      <c r="U331" s="1055" t="str">
        <f ca="1">IF(ISNUMBER(INDEX(magestuff!$D$499:$Y$615,ROW()-ROW($D$256),COLUMN()-COLUMN($C$257))),INDIRECT("'Master Spell List'!$Z$"&amp;INDEX(magestuff!$D$499:$Y$615,ROW()-ROW($D$256),COLUMN()-COLUMN($C$257))),"")</f>
        <v/>
      </c>
      <c r="V331" s="1055" t="str">
        <f ca="1">IF(ISNUMBER(INDEX(magestuff!$D$499:$Y$615,ROW()-ROW($D$256),COLUMN()-COLUMN($C$257))),INDIRECT("'Master Spell List'!$Z$"&amp;INDEX(magestuff!$D$499:$Y$615,ROW()-ROW($D$256),COLUMN()-COLUMN($C$257))),"")</f>
        <v/>
      </c>
      <c r="W331" s="1055" t="str">
        <f ca="1">IF(ISNUMBER(INDEX(magestuff!$D$499:$Y$615,ROW()-ROW($D$256),COLUMN()-COLUMN($C$257))),INDIRECT("'Master Spell List'!$Z$"&amp;INDEX(magestuff!$D$499:$Y$615,ROW()-ROW($D$256),COLUMN()-COLUMN($C$257))),"")</f>
        <v/>
      </c>
    </row>
    <row r="332" spans="1:23">
      <c r="A332" s="598">
        <v>77</v>
      </c>
      <c r="B332" s="598" t="s">
        <v>2225</v>
      </c>
      <c r="C332" s="598" t="s">
        <v>2225</v>
      </c>
      <c r="D332" s="1055" t="str">
        <f ca="1">IF(ISNUMBER(INDEX(magestuff!$D$499:$Y$615,ROW()-ROW($D$256),COLUMN()-COLUMN($C$257))),INDIRECT("'Master Spell List'!$Z$"&amp;INDEX(magestuff!$D$499:$Y$615,ROW()-ROW($D$256),COLUMN()-COLUMN($C$257))),"")</f>
        <v/>
      </c>
      <c r="E332" s="1055" t="str">
        <f ca="1">IF(ISNUMBER(INDEX(magestuff!$D$499:$Y$615,ROW()-ROW($D$256),COLUMN()-COLUMN($C$257))),INDIRECT("'Master Spell List'!$Z$"&amp;INDEX(magestuff!$D$499:$Y$615,ROW()-ROW($D$256),COLUMN()-COLUMN($C$257))),"")</f>
        <v/>
      </c>
      <c r="F332" s="1055" t="str">
        <f ca="1">IF(ISNUMBER(INDEX(magestuff!$D$499:$Y$615,ROW()-ROW($D$256),COLUMN()-COLUMN($C$257))),INDIRECT("'Master Spell List'!$Z$"&amp;INDEX(magestuff!$D$499:$Y$615,ROW()-ROW($D$256),COLUMN()-COLUMN($C$257))),"")</f>
        <v>Greater Refine Metal Ore</v>
      </c>
      <c r="G332" s="1055" t="str">
        <f ca="1">IF(ISNUMBER(INDEX(magestuff!$D$499:$Y$615,ROW()-ROW($D$256),COLUMN()-COLUMN($C$257))),INDIRECT("'Master Spell List'!$Z$"&amp;INDEX(magestuff!$D$499:$Y$615,ROW()-ROW($D$256),COLUMN()-COLUMN($C$257))),"")</f>
        <v/>
      </c>
      <c r="H332" s="1055" t="str">
        <f ca="1">IF(ISNUMBER(INDEX(magestuff!$D$499:$Y$615,ROW()-ROW($D$256),COLUMN()-COLUMN($C$257))),INDIRECT("'Master Spell List'!$Z$"&amp;INDEX(magestuff!$D$499:$Y$615,ROW()-ROW($D$256),COLUMN()-COLUMN($C$257))),"")</f>
        <v/>
      </c>
      <c r="I332" s="1055" t="str">
        <f ca="1">IF(ISNUMBER(INDEX(magestuff!$D$499:$Y$615,ROW()-ROW($D$256),COLUMN()-COLUMN($C$257))),INDIRECT("'Master Spell List'!$Z$"&amp;INDEX(magestuff!$D$499:$Y$615,ROW()-ROW($D$256),COLUMN()-COLUMN($C$257))),"")</f>
        <v>Least Blink</v>
      </c>
      <c r="J332" s="1055" t="str">
        <f ca="1">IF(ISNUMBER(INDEX(magestuff!$D$499:$Y$615,ROW()-ROW($D$256),COLUMN()-COLUMN($C$257))),INDIRECT("'Master Spell List'!$Z$"&amp;INDEX(magestuff!$D$499:$Y$615,ROW()-ROW($D$256),COLUMN()-COLUMN($C$257))),"")</f>
        <v>Mass Charm</v>
      </c>
      <c r="K332" s="1055" t="str">
        <f ca="1">IF(ISNUMBER(INDEX(magestuff!$D$499:$Y$615,ROW()-ROW($D$256),COLUMN()-COLUMN($C$257))),INDIRECT("'Master Spell List'!$Z$"&amp;INDEX(magestuff!$D$499:$Y$615,ROW()-ROW($D$256),COLUMN()-COLUMN($C$257))),"")</f>
        <v>Greater Discern Trigger</v>
      </c>
      <c r="L332" s="1055" t="str">
        <f ca="1">IF(ISNUMBER(INDEX(magestuff!$D$499:$Y$615,ROW()-ROW($D$256),COLUMN()-COLUMN($C$257))),INDIRECT("'Master Spell List'!$Z$"&amp;INDEX(magestuff!$D$499:$Y$615,ROW()-ROW($D$256),COLUMN()-COLUMN($C$257))),"")</f>
        <v>Dispel Phantasmal</v>
      </c>
      <c r="M332" s="1055" t="str">
        <f ca="1">IF(ISNUMBER(INDEX(magestuff!$D$499:$Y$615,ROW()-ROW($D$256),COLUMN()-COLUMN($C$257))),INDIRECT("'Master Spell List'!$Z$"&amp;INDEX(magestuff!$D$499:$Y$615,ROW()-ROW($D$256),COLUMN()-COLUMN($C$257))),"")</f>
        <v>Old Man Willow</v>
      </c>
      <c r="N332" s="1055" t="str">
        <f ca="1">IF(ISNUMBER(INDEX(magestuff!$D$499:$Y$615,ROW()-ROW($D$256),COLUMN()-COLUMN($C$257))),INDIRECT("'Master Spell List'!$Z$"&amp;INDEX(magestuff!$D$499:$Y$615,ROW()-ROW($D$256),COLUMN()-COLUMN($C$257))),"")</f>
        <v/>
      </c>
      <c r="O332" s="1055" t="str">
        <f ca="1">IF(ISNUMBER(INDEX(magestuff!$D$499:$Y$615,ROW()-ROW($D$256),COLUMN()-COLUMN($C$257))),INDIRECT("'Master Spell List'!$Z$"&amp;INDEX(magestuff!$D$499:$Y$615,ROW()-ROW($D$256),COLUMN()-COLUMN($C$257))),"")</f>
        <v/>
      </c>
      <c r="P332" s="1055" t="str">
        <f ca="1">IF(ISNUMBER(INDEX(magestuff!$D$499:$Y$615,ROW()-ROW($D$256),COLUMN()-COLUMN($C$257))),INDIRECT("'Master Spell List'!$Z$"&amp;INDEX(magestuff!$D$499:$Y$615,ROW()-ROW($D$256),COLUMN()-COLUMN($C$257))),"")</f>
        <v/>
      </c>
      <c r="Q332" s="1055" t="str">
        <f ca="1">IF(ISNUMBER(INDEX(magestuff!$D$499:$Y$615,ROW()-ROW($D$256),COLUMN()-COLUMN($C$257))),INDIRECT("'Master Spell List'!$Z$"&amp;INDEX(magestuff!$D$499:$Y$615,ROW()-ROW($D$256),COLUMN()-COLUMN($C$257))),"")</f>
        <v/>
      </c>
      <c r="R332" s="1055" t="str">
        <f ca="1">IF(ISNUMBER(INDEX(magestuff!$D$499:$Y$615,ROW()-ROW($D$256),COLUMN()-COLUMN($C$257))),INDIRECT("'Master Spell List'!$Z$"&amp;INDEX(magestuff!$D$499:$Y$615,ROW()-ROW($D$256),COLUMN()-COLUMN($C$257))),"")</f>
        <v/>
      </c>
      <c r="S332" s="1055" t="str">
        <f ca="1">IF(ISNUMBER(INDEX(magestuff!$D$499:$Y$615,ROW()-ROW($D$256),COLUMN()-COLUMN($C$257))),INDIRECT("'Master Spell List'!$Z$"&amp;INDEX(magestuff!$D$499:$Y$615,ROW()-ROW($D$256),COLUMN()-COLUMN($C$257))),"")</f>
        <v/>
      </c>
      <c r="T332" s="1055" t="str">
        <f ca="1">IF(ISNUMBER(INDEX(magestuff!$D$499:$Y$615,ROW()-ROW($D$256),COLUMN()-COLUMN($C$257))),INDIRECT("'Master Spell List'!$Z$"&amp;INDEX(magestuff!$D$499:$Y$615,ROW()-ROW($D$256),COLUMN()-COLUMN($C$257))),"")</f>
        <v/>
      </c>
      <c r="U332" s="1055" t="str">
        <f ca="1">IF(ISNUMBER(INDEX(magestuff!$D$499:$Y$615,ROW()-ROW($D$256),COLUMN()-COLUMN($C$257))),INDIRECT("'Master Spell List'!$Z$"&amp;INDEX(magestuff!$D$499:$Y$615,ROW()-ROW($D$256),COLUMN()-COLUMN($C$257))),"")</f>
        <v/>
      </c>
      <c r="V332" s="1055" t="str">
        <f ca="1">IF(ISNUMBER(INDEX(magestuff!$D$499:$Y$615,ROW()-ROW($D$256),COLUMN()-COLUMN($C$257))),INDIRECT("'Master Spell List'!$Z$"&amp;INDEX(magestuff!$D$499:$Y$615,ROW()-ROW($D$256),COLUMN()-COLUMN($C$257))),"")</f>
        <v/>
      </c>
      <c r="W332" s="1055" t="str">
        <f ca="1">IF(ISNUMBER(INDEX(magestuff!$D$499:$Y$615,ROW()-ROW($D$256),COLUMN()-COLUMN($C$257))),INDIRECT("'Master Spell List'!$Z$"&amp;INDEX(magestuff!$D$499:$Y$615,ROW()-ROW($D$256),COLUMN()-COLUMN($C$257))),"")</f>
        <v/>
      </c>
    </row>
    <row r="333" spans="1:23">
      <c r="A333" s="598">
        <v>78</v>
      </c>
      <c r="B333" s="598" t="s">
        <v>2225</v>
      </c>
      <c r="C333" s="598" t="s">
        <v>2225</v>
      </c>
      <c r="D333" s="1055" t="str">
        <f ca="1">IF(ISNUMBER(INDEX(magestuff!$D$499:$Y$615,ROW()-ROW($D$256),COLUMN()-COLUMN($C$257))),INDIRECT("'Master Spell List'!$Z$"&amp;INDEX(magestuff!$D$499:$Y$615,ROW()-ROW($D$256),COLUMN()-COLUMN($C$257))),"")</f>
        <v/>
      </c>
      <c r="E333" s="1055" t="str">
        <f ca="1">IF(ISNUMBER(INDEX(magestuff!$D$499:$Y$615,ROW()-ROW($D$256),COLUMN()-COLUMN($C$257))),INDIRECT("'Master Spell List'!$Z$"&amp;INDEX(magestuff!$D$499:$Y$615,ROW()-ROW($D$256),COLUMN()-COLUMN($C$257))),"")</f>
        <v/>
      </c>
      <c r="F333" s="1055" t="str">
        <f ca="1">IF(ISNUMBER(INDEX(magestuff!$D$499:$Y$615,ROW()-ROW($D$256),COLUMN()-COLUMN($C$257))),INDIRECT("'Master Spell List'!$Z$"&amp;INDEX(magestuff!$D$499:$Y$615,ROW()-ROW($D$256),COLUMN()-COLUMN($C$257))),"")</f>
        <v>Great Refine GemOre</v>
      </c>
      <c r="G333" s="1055" t="str">
        <f ca="1">IF(ISNUMBER(INDEX(magestuff!$D$499:$Y$615,ROW()-ROW($D$256),COLUMN()-COLUMN($C$257))),INDIRECT("'Master Spell List'!$Z$"&amp;INDEX(magestuff!$D$499:$Y$615,ROW()-ROW($D$256),COLUMN()-COLUMN($C$257))),"")</f>
        <v/>
      </c>
      <c r="H333" s="1055" t="str">
        <f ca="1">IF(ISNUMBER(INDEX(magestuff!$D$499:$Y$615,ROW()-ROW($D$256),COLUMN()-COLUMN($C$257))),INDIRECT("'Master Spell List'!$Z$"&amp;INDEX(magestuff!$D$499:$Y$615,ROW()-ROW($D$256),COLUMN()-COLUMN($C$257))),"")</f>
        <v/>
      </c>
      <c r="I333" s="1055" t="str">
        <f ca="1">IF(ISNUMBER(INDEX(magestuff!$D$499:$Y$615,ROW()-ROW($D$256),COLUMN()-COLUMN($C$257))),INDIRECT("'Master Spell List'!$Z$"&amp;INDEX(magestuff!$D$499:$Y$615,ROW()-ROW($D$256),COLUMN()-COLUMN($C$257))),"")</f>
        <v>Arcane Cell</v>
      </c>
      <c r="J333" s="1055" t="str">
        <f ca="1">IF(ISNUMBER(INDEX(magestuff!$D$499:$Y$615,ROW()-ROW($D$256),COLUMN()-COLUMN($C$257))),INDIRECT("'Master Spell List'!$Z$"&amp;INDEX(magestuff!$D$499:$Y$615,ROW()-ROW($D$256),COLUMN()-COLUMN($C$257))),"")</f>
        <v>Mass Compel Lies</v>
      </c>
      <c r="K333" s="1055" t="str">
        <f ca="1">IF(ISNUMBER(INDEX(magestuff!$D$499:$Y$615,ROW()-ROW($D$256),COLUMN()-COLUMN($C$257))),INDIRECT("'Master Spell List'!$Z$"&amp;INDEX(magestuff!$D$499:$Y$615,ROW()-ROW($D$256),COLUMN()-COLUMN($C$257))),"")</f>
        <v>Great Discern Magick</v>
      </c>
      <c r="L333" s="1055" t="str">
        <f ca="1">IF(ISNUMBER(INDEX(magestuff!$D$499:$Y$615,ROW()-ROW($D$256),COLUMN()-COLUMN($C$257))),INDIRECT("'Master Spell List'!$Z$"&amp;INDEX(magestuff!$D$499:$Y$615,ROW()-ROW($D$256),COLUMN()-COLUMN($C$257))),"")</f>
        <v>Illusionary Landscape</v>
      </c>
      <c r="M333" s="1055" t="str">
        <f ca="1">IF(ISNUMBER(INDEX(magestuff!$D$499:$Y$615,ROW()-ROW($D$256),COLUMN()-COLUMN($C$257))),INDIRECT("'Master Spell List'!$Z$"&amp;INDEX(magestuff!$D$499:$Y$615,ROW()-ROW($D$256),COLUMN()-COLUMN($C$257))),"")</f>
        <v>The Greenwood</v>
      </c>
      <c r="N333" s="1055" t="str">
        <f ca="1">IF(ISNUMBER(INDEX(magestuff!$D$499:$Y$615,ROW()-ROW($D$256),COLUMN()-COLUMN($C$257))),INDIRECT("'Master Spell List'!$Z$"&amp;INDEX(magestuff!$D$499:$Y$615,ROW()-ROW($D$256),COLUMN()-COLUMN($C$257))),"")</f>
        <v/>
      </c>
      <c r="O333" s="1055" t="str">
        <f ca="1">IF(ISNUMBER(INDEX(magestuff!$D$499:$Y$615,ROW()-ROW($D$256),COLUMN()-COLUMN($C$257))),INDIRECT("'Master Spell List'!$Z$"&amp;INDEX(magestuff!$D$499:$Y$615,ROW()-ROW($D$256),COLUMN()-COLUMN($C$257))),"")</f>
        <v/>
      </c>
      <c r="P333" s="1055" t="str">
        <f ca="1">IF(ISNUMBER(INDEX(magestuff!$D$499:$Y$615,ROW()-ROW($D$256),COLUMN()-COLUMN($C$257))),INDIRECT("'Master Spell List'!$Z$"&amp;INDEX(magestuff!$D$499:$Y$615,ROW()-ROW($D$256),COLUMN()-COLUMN($C$257))),"")</f>
        <v/>
      </c>
      <c r="Q333" s="1055" t="str">
        <f ca="1">IF(ISNUMBER(INDEX(magestuff!$D$499:$Y$615,ROW()-ROW($D$256),COLUMN()-COLUMN($C$257))),INDIRECT("'Master Spell List'!$Z$"&amp;INDEX(magestuff!$D$499:$Y$615,ROW()-ROW($D$256),COLUMN()-COLUMN($C$257))),"")</f>
        <v/>
      </c>
      <c r="R333" s="1055" t="str">
        <f ca="1">IF(ISNUMBER(INDEX(magestuff!$D$499:$Y$615,ROW()-ROW($D$256),COLUMN()-COLUMN($C$257))),INDIRECT("'Master Spell List'!$Z$"&amp;INDEX(magestuff!$D$499:$Y$615,ROW()-ROW($D$256),COLUMN()-COLUMN($C$257))),"")</f>
        <v/>
      </c>
      <c r="S333" s="1055" t="str">
        <f ca="1">IF(ISNUMBER(INDEX(magestuff!$D$499:$Y$615,ROW()-ROW($D$256),COLUMN()-COLUMN($C$257))),INDIRECT("'Master Spell List'!$Z$"&amp;INDEX(magestuff!$D$499:$Y$615,ROW()-ROW($D$256),COLUMN()-COLUMN($C$257))),"")</f>
        <v/>
      </c>
      <c r="T333" s="1055" t="str">
        <f ca="1">IF(ISNUMBER(INDEX(magestuff!$D$499:$Y$615,ROW()-ROW($D$256),COLUMN()-COLUMN($C$257))),INDIRECT("'Master Spell List'!$Z$"&amp;INDEX(magestuff!$D$499:$Y$615,ROW()-ROW($D$256),COLUMN()-COLUMN($C$257))),"")</f>
        <v/>
      </c>
      <c r="U333" s="1055" t="str">
        <f ca="1">IF(ISNUMBER(INDEX(magestuff!$D$499:$Y$615,ROW()-ROW($D$256),COLUMN()-COLUMN($C$257))),INDIRECT("'Master Spell List'!$Z$"&amp;INDEX(magestuff!$D$499:$Y$615,ROW()-ROW($D$256),COLUMN()-COLUMN($C$257))),"")</f>
        <v/>
      </c>
      <c r="V333" s="1055" t="str">
        <f ca="1">IF(ISNUMBER(INDEX(magestuff!$D$499:$Y$615,ROW()-ROW($D$256),COLUMN()-COLUMN($C$257))),INDIRECT("'Master Spell List'!$Z$"&amp;INDEX(magestuff!$D$499:$Y$615,ROW()-ROW($D$256),COLUMN()-COLUMN($C$257))),"")</f>
        <v/>
      </c>
      <c r="W333" s="1055" t="str">
        <f ca="1">IF(ISNUMBER(INDEX(magestuff!$D$499:$Y$615,ROW()-ROW($D$256),COLUMN()-COLUMN($C$257))),INDIRECT("'Master Spell List'!$Z$"&amp;INDEX(magestuff!$D$499:$Y$615,ROW()-ROW($D$256),COLUMN()-COLUMN($C$257))),"")</f>
        <v/>
      </c>
    </row>
    <row r="334" spans="1:23">
      <c r="A334" s="598">
        <v>79</v>
      </c>
      <c r="B334" s="598" t="s">
        <v>2225</v>
      </c>
      <c r="C334" s="598" t="s">
        <v>2225</v>
      </c>
      <c r="D334" s="1055" t="str">
        <f ca="1">IF(ISNUMBER(INDEX(magestuff!$D$499:$Y$615,ROW()-ROW($D$256),COLUMN()-COLUMN($C$257))),INDIRECT("'Master Spell List'!$Z$"&amp;INDEX(magestuff!$D$499:$Y$615,ROW()-ROW($D$256),COLUMN()-COLUMN($C$257))),"")</f>
        <v/>
      </c>
      <c r="E334" s="1055" t="str">
        <f ca="1">IF(ISNUMBER(INDEX(magestuff!$D$499:$Y$615,ROW()-ROW($D$256),COLUMN()-COLUMN($C$257))),INDIRECT("'Master Spell List'!$Z$"&amp;INDEX(magestuff!$D$499:$Y$615,ROW()-ROW($D$256),COLUMN()-COLUMN($C$257))),"")</f>
        <v/>
      </c>
      <c r="F334" s="1055" t="str">
        <f ca="1">IF(ISNUMBER(INDEX(magestuff!$D$499:$Y$615,ROW()-ROW($D$256),COLUMN()-COLUMN($C$257))),INDIRECT("'Master Spell List'!$Z$"&amp;INDEX(magestuff!$D$499:$Y$615,ROW()-ROW($D$256),COLUMN()-COLUMN($C$257))),"")</f>
        <v>Greatest Refine Metal Ore</v>
      </c>
      <c r="G334" s="1055" t="str">
        <f ca="1">IF(ISNUMBER(INDEX(magestuff!$D$499:$Y$615,ROW()-ROW($D$256),COLUMN()-COLUMN($C$257))),INDIRECT("'Master Spell List'!$Z$"&amp;INDEX(magestuff!$D$499:$Y$615,ROW()-ROW($D$256),COLUMN()-COLUMN($C$257))),"")</f>
        <v/>
      </c>
      <c r="H334" s="1055" t="str">
        <f ca="1">IF(ISNUMBER(INDEX(magestuff!$D$499:$Y$615,ROW()-ROW($D$256),COLUMN()-COLUMN($C$257))),INDIRECT("'Master Spell List'!$Z$"&amp;INDEX(magestuff!$D$499:$Y$615,ROW()-ROW($D$256),COLUMN()-COLUMN($C$257))),"")</f>
        <v/>
      </c>
      <c r="I334" s="1055" t="str">
        <f ca="1">IF(ISNUMBER(INDEX(magestuff!$D$499:$Y$615,ROW()-ROW($D$256),COLUMN()-COLUMN($C$257))),INDIRECT("'Master Spell List'!$Z$"&amp;INDEX(magestuff!$D$499:$Y$615,ROW()-ROW($D$256),COLUMN()-COLUMN($C$257))),"")</f>
        <v xml:space="preserve">Arcane Long Sword Blade </v>
      </c>
      <c r="J334" s="1055" t="str">
        <f ca="1">IF(ISNUMBER(INDEX(magestuff!$D$499:$Y$615,ROW()-ROW($D$256),COLUMN()-COLUMN($C$257))),INDIRECT("'Master Spell List'!$Z$"&amp;INDEX(magestuff!$D$499:$Y$615,ROW()-ROW($D$256),COLUMN()-COLUMN($C$257))),"")</f>
        <v>Mass Compel Silence</v>
      </c>
      <c r="K334" s="1055" t="str">
        <f ca="1">IF(ISNUMBER(INDEX(magestuff!$D$499:$Y$615,ROW()-ROW($D$256),COLUMN()-COLUMN($C$257))),INDIRECT("'Master Spell List'!$Z$"&amp;INDEX(magestuff!$D$499:$Y$615,ROW()-ROW($D$256),COLUMN()-COLUMN($C$257))),"")</f>
        <v>Greater Foresight</v>
      </c>
      <c r="L334" s="1055" t="str">
        <f ca="1">IF(ISNUMBER(INDEX(magestuff!$D$499:$Y$615,ROW()-ROW($D$256),COLUMN()-COLUMN($C$257))),INDIRECT("'Master Spell List'!$Z$"&amp;INDEX(magestuff!$D$499:$Y$615,ROW()-ROW($D$256),COLUMN()-COLUMN($C$257))),"")</f>
        <v>Illusionary Storm</v>
      </c>
      <c r="M334" s="1055" t="str">
        <f ca="1">IF(ISNUMBER(INDEX(magestuff!$D$499:$Y$615,ROW()-ROW($D$256),COLUMN()-COLUMN($C$257))),INDIRECT("'Master Spell List'!$Z$"&amp;INDEX(magestuff!$D$499:$Y$615,ROW()-ROW($D$256),COLUMN()-COLUMN($C$257))),"")</f>
        <v>Great Healing Sap</v>
      </c>
      <c r="N334" s="1055" t="str">
        <f ca="1">IF(ISNUMBER(INDEX(magestuff!$D$499:$Y$615,ROW()-ROW($D$256),COLUMN()-COLUMN($C$257))),INDIRECT("'Master Spell List'!$Z$"&amp;INDEX(magestuff!$D$499:$Y$615,ROW()-ROW($D$256),COLUMN()-COLUMN($C$257))),"")</f>
        <v/>
      </c>
      <c r="O334" s="1055" t="str">
        <f ca="1">IF(ISNUMBER(INDEX(magestuff!$D$499:$Y$615,ROW()-ROW($D$256),COLUMN()-COLUMN($C$257))),INDIRECT("'Master Spell List'!$Z$"&amp;INDEX(magestuff!$D$499:$Y$615,ROW()-ROW($D$256),COLUMN()-COLUMN($C$257))),"")</f>
        <v/>
      </c>
      <c r="P334" s="1055" t="str">
        <f ca="1">IF(ISNUMBER(INDEX(magestuff!$D$499:$Y$615,ROW()-ROW($D$256),COLUMN()-COLUMN($C$257))),INDIRECT("'Master Spell List'!$Z$"&amp;INDEX(magestuff!$D$499:$Y$615,ROW()-ROW($D$256),COLUMN()-COLUMN($C$257))),"")</f>
        <v/>
      </c>
      <c r="Q334" s="1055" t="str">
        <f ca="1">IF(ISNUMBER(INDEX(magestuff!$D$499:$Y$615,ROW()-ROW($D$256),COLUMN()-COLUMN($C$257))),INDIRECT("'Master Spell List'!$Z$"&amp;INDEX(magestuff!$D$499:$Y$615,ROW()-ROW($D$256),COLUMN()-COLUMN($C$257))),"")</f>
        <v/>
      </c>
      <c r="R334" s="1055" t="str">
        <f ca="1">IF(ISNUMBER(INDEX(magestuff!$D$499:$Y$615,ROW()-ROW($D$256),COLUMN()-COLUMN($C$257))),INDIRECT("'Master Spell List'!$Z$"&amp;INDEX(magestuff!$D$499:$Y$615,ROW()-ROW($D$256),COLUMN()-COLUMN($C$257))),"")</f>
        <v/>
      </c>
      <c r="S334" s="1055" t="str">
        <f ca="1">IF(ISNUMBER(INDEX(magestuff!$D$499:$Y$615,ROW()-ROW($D$256),COLUMN()-COLUMN($C$257))),INDIRECT("'Master Spell List'!$Z$"&amp;INDEX(magestuff!$D$499:$Y$615,ROW()-ROW($D$256),COLUMN()-COLUMN($C$257))),"")</f>
        <v/>
      </c>
      <c r="T334" s="1055" t="str">
        <f ca="1">IF(ISNUMBER(INDEX(magestuff!$D$499:$Y$615,ROW()-ROW($D$256),COLUMN()-COLUMN($C$257))),INDIRECT("'Master Spell List'!$Z$"&amp;INDEX(magestuff!$D$499:$Y$615,ROW()-ROW($D$256),COLUMN()-COLUMN($C$257))),"")</f>
        <v/>
      </c>
      <c r="U334" s="1055" t="str">
        <f ca="1">IF(ISNUMBER(INDEX(magestuff!$D$499:$Y$615,ROW()-ROW($D$256),COLUMN()-COLUMN($C$257))),INDIRECT("'Master Spell List'!$Z$"&amp;INDEX(magestuff!$D$499:$Y$615,ROW()-ROW($D$256),COLUMN()-COLUMN($C$257))),"")</f>
        <v/>
      </c>
      <c r="V334" s="1055" t="str">
        <f ca="1">IF(ISNUMBER(INDEX(magestuff!$D$499:$Y$615,ROW()-ROW($D$256),COLUMN()-COLUMN($C$257))),INDIRECT("'Master Spell List'!$Z$"&amp;INDEX(magestuff!$D$499:$Y$615,ROW()-ROW($D$256),COLUMN()-COLUMN($C$257))),"")</f>
        <v/>
      </c>
      <c r="W334" s="1055" t="str">
        <f ca="1">IF(ISNUMBER(INDEX(magestuff!$D$499:$Y$615,ROW()-ROW($D$256),COLUMN()-COLUMN($C$257))),INDIRECT("'Master Spell List'!$Z$"&amp;INDEX(magestuff!$D$499:$Y$615,ROW()-ROW($D$256),COLUMN()-COLUMN($C$257))),"")</f>
        <v/>
      </c>
    </row>
    <row r="335" spans="1:23">
      <c r="A335" s="598">
        <v>80</v>
      </c>
      <c r="B335" s="598" t="s">
        <v>2225</v>
      </c>
      <c r="C335" s="598" t="s">
        <v>2225</v>
      </c>
      <c r="D335" s="1055" t="str">
        <f ca="1">IF(ISNUMBER(INDEX(magestuff!$D$499:$Y$615,ROW()-ROW($D$256),COLUMN()-COLUMN($C$257))),INDIRECT("'Master Spell List'!$Z$"&amp;INDEX(magestuff!$D$499:$Y$615,ROW()-ROW($D$256),COLUMN()-COLUMN($C$257))),"")</f>
        <v/>
      </c>
      <c r="E335" s="1055" t="str">
        <f ca="1">IF(ISNUMBER(INDEX(magestuff!$D$499:$Y$615,ROW()-ROW($D$256),COLUMN()-COLUMN($C$257))),INDIRECT("'Master Spell List'!$Z$"&amp;INDEX(magestuff!$D$499:$Y$615,ROW()-ROW($D$256),COLUMN()-COLUMN($C$257))),"")</f>
        <v/>
      </c>
      <c r="F335" s="1055" t="str">
        <f ca="1">IF(ISNUMBER(INDEX(magestuff!$D$499:$Y$615,ROW()-ROW($D$256),COLUMN()-COLUMN($C$257))),INDIRECT("'Master Spell List'!$Z$"&amp;INDEX(magestuff!$D$499:$Y$615,ROW()-ROW($D$256),COLUMN()-COLUMN($C$257))),"")</f>
        <v>Greater Refine Gem Ore</v>
      </c>
      <c r="G335" s="1055" t="str">
        <f ca="1">IF(ISNUMBER(INDEX(magestuff!$D$499:$Y$615,ROW()-ROW($D$256),COLUMN()-COLUMN($C$257))),INDIRECT("'Master Spell List'!$Z$"&amp;INDEX(magestuff!$D$499:$Y$615,ROW()-ROW($D$256),COLUMN()-COLUMN($C$257))),"")</f>
        <v/>
      </c>
      <c r="H335" s="1055" t="str">
        <f ca="1">IF(ISNUMBER(INDEX(magestuff!$D$499:$Y$615,ROW()-ROW($D$256),COLUMN()-COLUMN($C$257))),INDIRECT("'Master Spell List'!$Z$"&amp;INDEX(magestuff!$D$499:$Y$615,ROW()-ROW($D$256),COLUMN()-COLUMN($C$257))),"")</f>
        <v/>
      </c>
      <c r="I335" s="1055" t="str">
        <f ca="1">IF(ISNUMBER(INDEX(magestuff!$D$499:$Y$615,ROW()-ROW($D$256),COLUMN()-COLUMN($C$257))),INDIRECT("'Master Spell List'!$Z$"&amp;INDEX(magestuff!$D$499:$Y$615,ROW()-ROW($D$256),COLUMN()-COLUMN($C$257))),"")</f>
        <v xml:space="preserve">Arcane Mace Head </v>
      </c>
      <c r="J335" s="1055" t="str">
        <f ca="1">IF(ISNUMBER(INDEX(magestuff!$D$499:$Y$615,ROW()-ROW($D$256),COLUMN()-COLUMN($C$257))),INDIRECT("'Master Spell List'!$Z$"&amp;INDEX(magestuff!$D$499:$Y$615,ROW()-ROW($D$256),COLUMN()-COLUMN($C$257))),"")</f>
        <v>Mass Compel Truth</v>
      </c>
      <c r="K335" s="1055" t="str">
        <f ca="1">IF(ISNUMBER(INDEX(magestuff!$D$499:$Y$615,ROW()-ROW($D$256),COLUMN()-COLUMN($C$257))),INDIRECT("'Master Spell List'!$Z$"&amp;INDEX(magestuff!$D$499:$Y$615,ROW()-ROW($D$256),COLUMN()-COLUMN($C$257))),"")</f>
        <v>Rite of Exile</v>
      </c>
      <c r="L335" s="1055" t="str">
        <f ca="1">IF(ISNUMBER(INDEX(magestuff!$D$499:$Y$615,ROW()-ROW($D$256),COLUMN()-COLUMN($C$257))),INDIRECT("'Master Spell List'!$Z$"&amp;INDEX(magestuff!$D$499:$Y$615,ROW()-ROW($D$256),COLUMN()-COLUMN($C$257))),"")</f>
        <v>Illusionary True Sight</v>
      </c>
      <c r="M335" s="1055" t="str">
        <f ca="1">IF(ISNUMBER(INDEX(magestuff!$D$499:$Y$615,ROW()-ROW($D$256),COLUMN()-COLUMN($C$257))),INDIRECT("'Master Spell List'!$Z$"&amp;INDEX(magestuff!$D$499:$Y$615,ROW()-ROW($D$256),COLUMN()-COLUMN($C$257))),"")</f>
        <v>Great Shape Tree</v>
      </c>
      <c r="N335" s="1055" t="str">
        <f ca="1">IF(ISNUMBER(INDEX(magestuff!$D$499:$Y$615,ROW()-ROW($D$256),COLUMN()-COLUMN($C$257))),INDIRECT("'Master Spell List'!$Z$"&amp;INDEX(magestuff!$D$499:$Y$615,ROW()-ROW($D$256),COLUMN()-COLUMN($C$257))),"")</f>
        <v/>
      </c>
      <c r="O335" s="1055" t="str">
        <f ca="1">IF(ISNUMBER(INDEX(magestuff!$D$499:$Y$615,ROW()-ROW($D$256),COLUMN()-COLUMN($C$257))),INDIRECT("'Master Spell List'!$Z$"&amp;INDEX(magestuff!$D$499:$Y$615,ROW()-ROW($D$256),COLUMN()-COLUMN($C$257))),"")</f>
        <v/>
      </c>
      <c r="P335" s="1055" t="str">
        <f ca="1">IF(ISNUMBER(INDEX(magestuff!$D$499:$Y$615,ROW()-ROW($D$256),COLUMN()-COLUMN($C$257))),INDIRECT("'Master Spell List'!$Z$"&amp;INDEX(magestuff!$D$499:$Y$615,ROW()-ROW($D$256),COLUMN()-COLUMN($C$257))),"")</f>
        <v/>
      </c>
      <c r="Q335" s="1055" t="str">
        <f ca="1">IF(ISNUMBER(INDEX(magestuff!$D$499:$Y$615,ROW()-ROW($D$256),COLUMN()-COLUMN($C$257))),INDIRECT("'Master Spell List'!$Z$"&amp;INDEX(magestuff!$D$499:$Y$615,ROW()-ROW($D$256),COLUMN()-COLUMN($C$257))),"")</f>
        <v/>
      </c>
      <c r="R335" s="1055" t="str">
        <f ca="1">IF(ISNUMBER(INDEX(magestuff!$D$499:$Y$615,ROW()-ROW($D$256),COLUMN()-COLUMN($C$257))),INDIRECT("'Master Spell List'!$Z$"&amp;INDEX(magestuff!$D$499:$Y$615,ROW()-ROW($D$256),COLUMN()-COLUMN($C$257))),"")</f>
        <v/>
      </c>
      <c r="S335" s="1055" t="str">
        <f ca="1">IF(ISNUMBER(INDEX(magestuff!$D$499:$Y$615,ROW()-ROW($D$256),COLUMN()-COLUMN($C$257))),INDIRECT("'Master Spell List'!$Z$"&amp;INDEX(magestuff!$D$499:$Y$615,ROW()-ROW($D$256),COLUMN()-COLUMN($C$257))),"")</f>
        <v/>
      </c>
      <c r="T335" s="1055" t="str">
        <f ca="1">IF(ISNUMBER(INDEX(magestuff!$D$499:$Y$615,ROW()-ROW($D$256),COLUMN()-COLUMN($C$257))),INDIRECT("'Master Spell List'!$Z$"&amp;INDEX(magestuff!$D$499:$Y$615,ROW()-ROW($D$256),COLUMN()-COLUMN($C$257))),"")</f>
        <v/>
      </c>
      <c r="U335" s="1055" t="str">
        <f ca="1">IF(ISNUMBER(INDEX(magestuff!$D$499:$Y$615,ROW()-ROW($D$256),COLUMN()-COLUMN($C$257))),INDIRECT("'Master Spell List'!$Z$"&amp;INDEX(magestuff!$D$499:$Y$615,ROW()-ROW($D$256),COLUMN()-COLUMN($C$257))),"")</f>
        <v/>
      </c>
      <c r="V335" s="1055" t="str">
        <f ca="1">IF(ISNUMBER(INDEX(magestuff!$D$499:$Y$615,ROW()-ROW($D$256),COLUMN()-COLUMN($C$257))),INDIRECT("'Master Spell List'!$Z$"&amp;INDEX(magestuff!$D$499:$Y$615,ROW()-ROW($D$256),COLUMN()-COLUMN($C$257))),"")</f>
        <v/>
      </c>
      <c r="W335" s="1055" t="str">
        <f ca="1">IF(ISNUMBER(INDEX(magestuff!$D$499:$Y$615,ROW()-ROW($D$256),COLUMN()-COLUMN($C$257))),INDIRECT("'Master Spell List'!$Z$"&amp;INDEX(magestuff!$D$499:$Y$615,ROW()-ROW($D$256),COLUMN()-COLUMN($C$257))),"")</f>
        <v/>
      </c>
    </row>
    <row r="336" spans="1:23">
      <c r="A336" s="598">
        <v>81</v>
      </c>
      <c r="B336" s="598" t="s">
        <v>2225</v>
      </c>
      <c r="C336" s="598" t="s">
        <v>2225</v>
      </c>
      <c r="D336" s="1055" t="str">
        <f ca="1">IF(ISNUMBER(INDEX(magestuff!$D$499:$Y$615,ROW()-ROW($D$256),COLUMN()-COLUMN($C$257))),INDIRECT("'Master Spell List'!$Z$"&amp;INDEX(magestuff!$D$499:$Y$615,ROW()-ROW($D$256),COLUMN()-COLUMN($C$257))),"")</f>
        <v/>
      </c>
      <c r="E336" s="1055" t="str">
        <f ca="1">IF(ISNUMBER(INDEX(magestuff!$D$499:$Y$615,ROW()-ROW($D$256),COLUMN()-COLUMN($C$257))),INDIRECT("'Master Spell List'!$Z$"&amp;INDEX(magestuff!$D$499:$Y$615,ROW()-ROW($D$256),COLUMN()-COLUMN($C$257))),"")</f>
        <v/>
      </c>
      <c r="F336" s="1055" t="str">
        <f ca="1">IF(ISNUMBER(INDEX(magestuff!$D$499:$Y$615,ROW()-ROW($D$256),COLUMN()-COLUMN($C$257))),INDIRECT("'Master Spell List'!$Z$"&amp;INDEX(magestuff!$D$499:$Y$615,ROW()-ROW($D$256),COLUMN()-COLUMN($C$257))),"")</f>
        <v>Greatest Refine Gem Ore</v>
      </c>
      <c r="G336" s="1055" t="str">
        <f ca="1">IF(ISNUMBER(INDEX(magestuff!$D$499:$Y$615,ROW()-ROW($D$256),COLUMN()-COLUMN($C$257))),INDIRECT("'Master Spell List'!$Z$"&amp;INDEX(magestuff!$D$499:$Y$615,ROW()-ROW($D$256),COLUMN()-COLUMN($C$257))),"")</f>
        <v/>
      </c>
      <c r="H336" s="1055" t="str">
        <f ca="1">IF(ISNUMBER(INDEX(magestuff!$D$499:$Y$615,ROW()-ROW($D$256),COLUMN()-COLUMN($C$257))),INDIRECT("'Master Spell List'!$Z$"&amp;INDEX(magestuff!$D$499:$Y$615,ROW()-ROW($D$256),COLUMN()-COLUMN($C$257))),"")</f>
        <v/>
      </c>
      <c r="I336" s="1055" t="str">
        <f ca="1">IF(ISNUMBER(INDEX(magestuff!$D$499:$Y$615,ROW()-ROW($D$256),COLUMN()-COLUMN($C$257))),INDIRECT("'Master Spell List'!$Z$"&amp;INDEX(magestuff!$D$499:$Y$615,ROW()-ROW($D$256),COLUMN()-COLUMN($C$257))),"")</f>
        <v>Arcane Sculpture</v>
      </c>
      <c r="J336" s="1055" t="str">
        <f ca="1">IF(ISNUMBER(INDEX(magestuff!$D$499:$Y$615,ROW()-ROW($D$256),COLUMN()-COLUMN($C$257))),INDIRECT("'Master Spell List'!$Z$"&amp;INDEX(magestuff!$D$499:$Y$615,ROW()-ROW($D$256),COLUMN()-COLUMN($C$257))),"")</f>
        <v>Mass Group Ignore</v>
      </c>
      <c r="K336" s="1055" t="str">
        <f ca="1">IF(ISNUMBER(INDEX(magestuff!$D$499:$Y$615,ROW()-ROW($D$256),COLUMN()-COLUMN($C$257))),INDIRECT("'Master Spell List'!$Z$"&amp;INDEX(magestuff!$D$499:$Y$615,ROW()-ROW($D$256),COLUMN()-COLUMN($C$257))),"")</f>
        <v>Temporal Doorway</v>
      </c>
      <c r="L336" s="1055" t="str">
        <f ca="1">IF(ISNUMBER(INDEX(magestuff!$D$499:$Y$615,ROW()-ROW($D$256),COLUMN()-COLUMN($C$257))),INDIRECT("'Master Spell List'!$Z$"&amp;INDEX(magestuff!$D$499:$Y$615,ROW()-ROW($D$256),COLUMN()-COLUMN($C$257))),"")</f>
        <v>Create Greater  Scent</v>
      </c>
      <c r="M336" s="1055" t="str">
        <f ca="1">IF(ISNUMBER(INDEX(magestuff!$D$499:$Y$615,ROW()-ROW($D$256),COLUMN()-COLUMN($C$257))),INDIRECT("'Master Spell List'!$Z$"&amp;INDEX(magestuff!$D$499:$Y$615,ROW()-ROW($D$256),COLUMN()-COLUMN($C$257))),"")</f>
        <v>Animate War Tree Type IV</v>
      </c>
      <c r="N336" s="1055" t="str">
        <f ca="1">IF(ISNUMBER(INDEX(magestuff!$D$499:$Y$615,ROW()-ROW($D$256),COLUMN()-COLUMN($C$257))),INDIRECT("'Master Spell List'!$Z$"&amp;INDEX(magestuff!$D$499:$Y$615,ROW()-ROW($D$256),COLUMN()-COLUMN($C$257))),"")</f>
        <v/>
      </c>
      <c r="O336" s="1055" t="str">
        <f ca="1">IF(ISNUMBER(INDEX(magestuff!$D$499:$Y$615,ROW()-ROW($D$256),COLUMN()-COLUMN($C$257))),INDIRECT("'Master Spell List'!$Z$"&amp;INDEX(magestuff!$D$499:$Y$615,ROW()-ROW($D$256),COLUMN()-COLUMN($C$257))),"")</f>
        <v/>
      </c>
      <c r="P336" s="1055" t="str">
        <f ca="1">IF(ISNUMBER(INDEX(magestuff!$D$499:$Y$615,ROW()-ROW($D$256),COLUMN()-COLUMN($C$257))),INDIRECT("'Master Spell List'!$Z$"&amp;INDEX(magestuff!$D$499:$Y$615,ROW()-ROW($D$256),COLUMN()-COLUMN($C$257))),"")</f>
        <v/>
      </c>
      <c r="Q336" s="1055" t="str">
        <f ca="1">IF(ISNUMBER(INDEX(magestuff!$D$499:$Y$615,ROW()-ROW($D$256),COLUMN()-COLUMN($C$257))),INDIRECT("'Master Spell List'!$Z$"&amp;INDEX(magestuff!$D$499:$Y$615,ROW()-ROW($D$256),COLUMN()-COLUMN($C$257))),"")</f>
        <v/>
      </c>
      <c r="R336" s="1055" t="str">
        <f ca="1">IF(ISNUMBER(INDEX(magestuff!$D$499:$Y$615,ROW()-ROW($D$256),COLUMN()-COLUMN($C$257))),INDIRECT("'Master Spell List'!$Z$"&amp;INDEX(magestuff!$D$499:$Y$615,ROW()-ROW($D$256),COLUMN()-COLUMN($C$257))),"")</f>
        <v/>
      </c>
      <c r="S336" s="1055" t="str">
        <f ca="1">IF(ISNUMBER(INDEX(magestuff!$D$499:$Y$615,ROW()-ROW($D$256),COLUMN()-COLUMN($C$257))),INDIRECT("'Master Spell List'!$Z$"&amp;INDEX(magestuff!$D$499:$Y$615,ROW()-ROW($D$256),COLUMN()-COLUMN($C$257))),"")</f>
        <v/>
      </c>
      <c r="T336" s="1055" t="str">
        <f ca="1">IF(ISNUMBER(INDEX(magestuff!$D$499:$Y$615,ROW()-ROW($D$256),COLUMN()-COLUMN($C$257))),INDIRECT("'Master Spell List'!$Z$"&amp;INDEX(magestuff!$D$499:$Y$615,ROW()-ROW($D$256),COLUMN()-COLUMN($C$257))),"")</f>
        <v/>
      </c>
      <c r="U336" s="1055" t="str">
        <f ca="1">IF(ISNUMBER(INDEX(magestuff!$D$499:$Y$615,ROW()-ROW($D$256),COLUMN()-COLUMN($C$257))),INDIRECT("'Master Spell List'!$Z$"&amp;INDEX(magestuff!$D$499:$Y$615,ROW()-ROW($D$256),COLUMN()-COLUMN($C$257))),"")</f>
        <v/>
      </c>
      <c r="V336" s="1055" t="str">
        <f ca="1">IF(ISNUMBER(INDEX(magestuff!$D$499:$Y$615,ROW()-ROW($D$256),COLUMN()-COLUMN($C$257))),INDIRECT("'Master Spell List'!$Z$"&amp;INDEX(magestuff!$D$499:$Y$615,ROW()-ROW($D$256),COLUMN()-COLUMN($C$257))),"")</f>
        <v/>
      </c>
      <c r="W336" s="1055" t="str">
        <f ca="1">IF(ISNUMBER(INDEX(magestuff!$D$499:$Y$615,ROW()-ROW($D$256),COLUMN()-COLUMN($C$257))),INDIRECT("'Master Spell List'!$Z$"&amp;INDEX(magestuff!$D$499:$Y$615,ROW()-ROW($D$256),COLUMN()-COLUMN($C$257))),"")</f>
        <v/>
      </c>
    </row>
    <row r="337" spans="1:23">
      <c r="A337" s="598">
        <v>82</v>
      </c>
      <c r="B337" s="598" t="s">
        <v>2225</v>
      </c>
      <c r="C337" s="598" t="s">
        <v>2225</v>
      </c>
      <c r="D337" s="1055" t="str">
        <f ca="1">IF(ISNUMBER(INDEX(magestuff!$D$499:$Y$615,ROW()-ROW($D$256),COLUMN()-COLUMN($C$257))),INDIRECT("'Master Spell List'!$Z$"&amp;INDEX(magestuff!$D$499:$Y$615,ROW()-ROW($D$256),COLUMN()-COLUMN($C$257))),"")</f>
        <v/>
      </c>
      <c r="E337" s="1055" t="str">
        <f ca="1">IF(ISNUMBER(INDEX(magestuff!$D$499:$Y$615,ROW()-ROW($D$256),COLUMN()-COLUMN($C$257))),INDIRECT("'Master Spell List'!$Z$"&amp;INDEX(magestuff!$D$499:$Y$615,ROW()-ROW($D$256),COLUMN()-COLUMN($C$257))),"")</f>
        <v/>
      </c>
      <c r="F337" s="1055" t="str">
        <f ca="1">IF(ISNUMBER(INDEX(magestuff!$D$499:$Y$615,ROW()-ROW($D$256),COLUMN()-COLUMN($C$257))),INDIRECT("'Master Spell List'!$Z$"&amp;INDEX(magestuff!$D$499:$Y$615,ROW()-ROW($D$256),COLUMN()-COLUMN($C$257))),"")</f>
        <v/>
      </c>
      <c r="G337" s="1055" t="str">
        <f ca="1">IF(ISNUMBER(INDEX(magestuff!$D$499:$Y$615,ROW()-ROW($D$256),COLUMN()-COLUMN($C$257))),INDIRECT("'Master Spell List'!$Z$"&amp;INDEX(magestuff!$D$499:$Y$615,ROW()-ROW($D$256),COLUMN()-COLUMN($C$257))),"")</f>
        <v/>
      </c>
      <c r="H337" s="1055" t="str">
        <f ca="1">IF(ISNUMBER(INDEX(magestuff!$D$499:$Y$615,ROW()-ROW($D$256),COLUMN()-COLUMN($C$257))),INDIRECT("'Master Spell List'!$Z$"&amp;INDEX(magestuff!$D$499:$Y$615,ROW()-ROW($D$256),COLUMN()-COLUMN($C$257))),"")</f>
        <v/>
      </c>
      <c r="I337" s="1055" t="str">
        <f ca="1">IF(ISNUMBER(INDEX(magestuff!$D$499:$Y$615,ROW()-ROW($D$256),COLUMN()-COLUMN($C$257))),INDIRECT("'Master Spell List'!$Z$"&amp;INDEX(magestuff!$D$499:$Y$615,ROW()-ROW($D$256),COLUMN()-COLUMN($C$257))),"")</f>
        <v xml:space="preserve">Arcane Short Sword Blade of Greater Damage </v>
      </c>
      <c r="J337" s="1055" t="str">
        <f ca="1">IF(ISNUMBER(INDEX(magestuff!$D$499:$Y$615,ROW()-ROW($D$256),COLUMN()-COLUMN($C$257))),INDIRECT("'Master Spell List'!$Z$"&amp;INDEX(magestuff!$D$499:$Y$615,ROW()-ROW($D$256),COLUMN()-COLUMN($C$257))),"")</f>
        <v>Mass Haunting Voices</v>
      </c>
      <c r="K337" s="1055" t="str">
        <f ca="1">IF(ISNUMBER(INDEX(magestuff!$D$499:$Y$615,ROW()-ROW($D$256),COLUMN()-COLUMN($C$257))),INDIRECT("'Master Spell List'!$Z$"&amp;INDEX(magestuff!$D$499:$Y$615,ROW()-ROW($D$256),COLUMN()-COLUMN($C$257))),"")</f>
        <v>True Sight</v>
      </c>
      <c r="L337" s="1055" t="str">
        <f ca="1">IF(ISNUMBER(INDEX(magestuff!$D$499:$Y$615,ROW()-ROW($D$256),COLUMN()-COLUMN($C$257))),INDIRECT("'Master Spell List'!$Z$"&amp;INDEX(magestuff!$D$499:$Y$615,ROW()-ROW($D$256),COLUMN()-COLUMN($C$257))),"")</f>
        <v>Faerie Glamour</v>
      </c>
      <c r="M337" s="1055" t="str">
        <f ca="1">IF(ISNUMBER(INDEX(magestuff!$D$499:$Y$615,ROW()-ROW($D$256),COLUMN()-COLUMN($C$257))),INDIRECT("'Master Spell List'!$Z$"&amp;INDEX(magestuff!$D$499:$Y$615,ROW()-ROW($D$256),COLUMN()-COLUMN($C$257))),"")</f>
        <v>Greatest Grind Fine</v>
      </c>
      <c r="N337" s="1055" t="str">
        <f ca="1">IF(ISNUMBER(INDEX(magestuff!$D$499:$Y$615,ROW()-ROW($D$256),COLUMN()-COLUMN($C$257))),INDIRECT("'Master Spell List'!$Z$"&amp;INDEX(magestuff!$D$499:$Y$615,ROW()-ROW($D$256),COLUMN()-COLUMN($C$257))),"")</f>
        <v/>
      </c>
      <c r="O337" s="1055" t="str">
        <f ca="1">IF(ISNUMBER(INDEX(magestuff!$D$499:$Y$615,ROW()-ROW($D$256),COLUMN()-COLUMN($C$257))),INDIRECT("'Master Spell List'!$Z$"&amp;INDEX(magestuff!$D$499:$Y$615,ROW()-ROW($D$256),COLUMN()-COLUMN($C$257))),"")</f>
        <v/>
      </c>
      <c r="P337" s="1055" t="str">
        <f ca="1">IF(ISNUMBER(INDEX(magestuff!$D$499:$Y$615,ROW()-ROW($D$256),COLUMN()-COLUMN($C$257))),INDIRECT("'Master Spell List'!$Z$"&amp;INDEX(magestuff!$D$499:$Y$615,ROW()-ROW($D$256),COLUMN()-COLUMN($C$257))),"")</f>
        <v/>
      </c>
      <c r="Q337" s="1055" t="str">
        <f ca="1">IF(ISNUMBER(INDEX(magestuff!$D$499:$Y$615,ROW()-ROW($D$256),COLUMN()-COLUMN($C$257))),INDIRECT("'Master Spell List'!$Z$"&amp;INDEX(magestuff!$D$499:$Y$615,ROW()-ROW($D$256),COLUMN()-COLUMN($C$257))),"")</f>
        <v/>
      </c>
      <c r="R337" s="1055" t="str">
        <f ca="1">IF(ISNUMBER(INDEX(magestuff!$D$499:$Y$615,ROW()-ROW($D$256),COLUMN()-COLUMN($C$257))),INDIRECT("'Master Spell List'!$Z$"&amp;INDEX(magestuff!$D$499:$Y$615,ROW()-ROW($D$256),COLUMN()-COLUMN($C$257))),"")</f>
        <v/>
      </c>
      <c r="S337" s="1055" t="str">
        <f ca="1">IF(ISNUMBER(INDEX(magestuff!$D$499:$Y$615,ROW()-ROW($D$256),COLUMN()-COLUMN($C$257))),INDIRECT("'Master Spell List'!$Z$"&amp;INDEX(magestuff!$D$499:$Y$615,ROW()-ROW($D$256),COLUMN()-COLUMN($C$257))),"")</f>
        <v/>
      </c>
      <c r="T337" s="1055" t="str">
        <f ca="1">IF(ISNUMBER(INDEX(magestuff!$D$499:$Y$615,ROW()-ROW($D$256),COLUMN()-COLUMN($C$257))),INDIRECT("'Master Spell List'!$Z$"&amp;INDEX(magestuff!$D$499:$Y$615,ROW()-ROW($D$256),COLUMN()-COLUMN($C$257))),"")</f>
        <v/>
      </c>
      <c r="U337" s="1055" t="str">
        <f ca="1">IF(ISNUMBER(INDEX(magestuff!$D$499:$Y$615,ROW()-ROW($D$256),COLUMN()-COLUMN($C$257))),INDIRECT("'Master Spell List'!$Z$"&amp;INDEX(magestuff!$D$499:$Y$615,ROW()-ROW($D$256),COLUMN()-COLUMN($C$257))),"")</f>
        <v/>
      </c>
      <c r="V337" s="1055" t="str">
        <f ca="1">IF(ISNUMBER(INDEX(magestuff!$D$499:$Y$615,ROW()-ROW($D$256),COLUMN()-COLUMN($C$257))),INDIRECT("'Master Spell List'!$Z$"&amp;INDEX(magestuff!$D$499:$Y$615,ROW()-ROW($D$256),COLUMN()-COLUMN($C$257))),"")</f>
        <v/>
      </c>
      <c r="W337" s="1055" t="str">
        <f ca="1">IF(ISNUMBER(INDEX(magestuff!$D$499:$Y$615,ROW()-ROW($D$256),COLUMN()-COLUMN($C$257))),INDIRECT("'Master Spell List'!$Z$"&amp;INDEX(magestuff!$D$499:$Y$615,ROW()-ROW($D$256),COLUMN()-COLUMN($C$257))),"")</f>
        <v/>
      </c>
    </row>
    <row r="338" spans="1:23">
      <c r="A338" s="598">
        <v>83</v>
      </c>
      <c r="B338" s="598" t="s">
        <v>2225</v>
      </c>
      <c r="C338" s="598" t="s">
        <v>2225</v>
      </c>
      <c r="D338" s="1055" t="str">
        <f ca="1">IF(ISNUMBER(INDEX(magestuff!$D$499:$Y$615,ROW()-ROW($D$256),COLUMN()-COLUMN($C$257))),INDIRECT("'Master Spell List'!$Z$"&amp;INDEX(magestuff!$D$499:$Y$615,ROW()-ROW($D$256),COLUMN()-COLUMN($C$257))),"")</f>
        <v/>
      </c>
      <c r="E338" s="1055" t="str">
        <f ca="1">IF(ISNUMBER(INDEX(magestuff!$D$499:$Y$615,ROW()-ROW($D$256),COLUMN()-COLUMN($C$257))),INDIRECT("'Master Spell List'!$Z$"&amp;INDEX(magestuff!$D$499:$Y$615,ROW()-ROW($D$256),COLUMN()-COLUMN($C$257))),"")</f>
        <v/>
      </c>
      <c r="F338" s="1055" t="str">
        <f ca="1">IF(ISNUMBER(INDEX(magestuff!$D$499:$Y$615,ROW()-ROW($D$256),COLUMN()-COLUMN($C$257))),INDIRECT("'Master Spell List'!$Z$"&amp;INDEX(magestuff!$D$499:$Y$615,ROW()-ROW($D$256),COLUMN()-COLUMN($C$257))),"")</f>
        <v/>
      </c>
      <c r="G338" s="1055" t="str">
        <f ca="1">IF(ISNUMBER(INDEX(magestuff!$D$499:$Y$615,ROW()-ROW($D$256),COLUMN()-COLUMN($C$257))),INDIRECT("'Master Spell List'!$Z$"&amp;INDEX(magestuff!$D$499:$Y$615,ROW()-ROW($D$256),COLUMN()-COLUMN($C$257))),"")</f>
        <v/>
      </c>
      <c r="H338" s="1055" t="str">
        <f ca="1">IF(ISNUMBER(INDEX(magestuff!$D$499:$Y$615,ROW()-ROW($D$256),COLUMN()-COLUMN($C$257))),INDIRECT("'Master Spell List'!$Z$"&amp;INDEX(magestuff!$D$499:$Y$615,ROW()-ROW($D$256),COLUMN()-COLUMN($C$257))),"")</f>
        <v/>
      </c>
      <c r="I338" s="1055" t="str">
        <f ca="1">IF(ISNUMBER(INDEX(magestuff!$D$499:$Y$615,ROW()-ROW($D$256),COLUMN()-COLUMN($C$257))),INDIRECT("'Master Spell List'!$Z$"&amp;INDEX(magestuff!$D$499:$Y$615,ROW()-ROW($D$256),COLUMN()-COLUMN($C$257))),"")</f>
        <v>Arcane Wall (Wall of Bright Shadows)</v>
      </c>
      <c r="J338" s="1055" t="str">
        <f ca="1">IF(ISNUMBER(INDEX(magestuff!$D$499:$Y$615,ROW()-ROW($D$256),COLUMN()-COLUMN($C$257))),INDIRECT("'Master Spell List'!$Z$"&amp;INDEX(magestuff!$D$499:$Y$615,ROW()-ROW($D$256),COLUMN()-COLUMN($C$257))),"")</f>
        <v>Mass Increase Inhibition</v>
      </c>
      <c r="K338" s="1055" t="str">
        <f ca="1">IF(ISNUMBER(INDEX(magestuff!$D$499:$Y$615,ROW()-ROW($D$256),COLUMN()-COLUMN($C$257))),INDIRECT("'Master Spell List'!$Z$"&amp;INDEX(magestuff!$D$499:$Y$615,ROW()-ROW($D$256),COLUMN()-COLUMN($C$257))),"")</f>
        <v>Vision of the Ancients</v>
      </c>
      <c r="L338" s="1055" t="str">
        <f ca="1">IF(ISNUMBER(INDEX(magestuff!$D$499:$Y$615,ROW()-ROW($D$256),COLUMN()-COLUMN($C$257))),INDIRECT("'Master Spell List'!$Z$"&amp;INDEX(magestuff!$D$499:$Y$615,ROW()-ROW($D$256),COLUMN()-COLUMN($C$257))),"")</f>
        <v>Phantasmal Landscape</v>
      </c>
      <c r="M338" s="1055" t="str">
        <f ca="1">IF(ISNUMBER(INDEX(magestuff!$D$499:$Y$615,ROW()-ROW($D$256),COLUMN()-COLUMN($C$257))),INDIRECT("'Master Spell List'!$Z$"&amp;INDEX(magestuff!$D$499:$Y$615,ROW()-ROW($D$256),COLUMN()-COLUMN($C$257))),"")</f>
        <v>The Great Elixir</v>
      </c>
      <c r="N338" s="1055" t="str">
        <f ca="1">IF(ISNUMBER(INDEX(magestuff!$D$499:$Y$615,ROW()-ROW($D$256),COLUMN()-COLUMN($C$257))),INDIRECT("'Master Spell List'!$Z$"&amp;INDEX(magestuff!$D$499:$Y$615,ROW()-ROW($D$256),COLUMN()-COLUMN($C$257))),"")</f>
        <v/>
      </c>
      <c r="O338" s="1055" t="str">
        <f ca="1">IF(ISNUMBER(INDEX(magestuff!$D$499:$Y$615,ROW()-ROW($D$256),COLUMN()-COLUMN($C$257))),INDIRECT("'Master Spell List'!$Z$"&amp;INDEX(magestuff!$D$499:$Y$615,ROW()-ROW($D$256),COLUMN()-COLUMN($C$257))),"")</f>
        <v/>
      </c>
      <c r="P338" s="1055" t="str">
        <f ca="1">IF(ISNUMBER(INDEX(magestuff!$D$499:$Y$615,ROW()-ROW($D$256),COLUMN()-COLUMN($C$257))),INDIRECT("'Master Spell List'!$Z$"&amp;INDEX(magestuff!$D$499:$Y$615,ROW()-ROW($D$256),COLUMN()-COLUMN($C$257))),"")</f>
        <v/>
      </c>
      <c r="Q338" s="1055" t="str">
        <f ca="1">IF(ISNUMBER(INDEX(magestuff!$D$499:$Y$615,ROW()-ROW($D$256),COLUMN()-COLUMN($C$257))),INDIRECT("'Master Spell List'!$Z$"&amp;INDEX(magestuff!$D$499:$Y$615,ROW()-ROW($D$256),COLUMN()-COLUMN($C$257))),"")</f>
        <v/>
      </c>
      <c r="R338" s="1055" t="str">
        <f ca="1">IF(ISNUMBER(INDEX(magestuff!$D$499:$Y$615,ROW()-ROW($D$256),COLUMN()-COLUMN($C$257))),INDIRECT("'Master Spell List'!$Z$"&amp;INDEX(magestuff!$D$499:$Y$615,ROW()-ROW($D$256),COLUMN()-COLUMN($C$257))),"")</f>
        <v/>
      </c>
      <c r="S338" s="1055" t="str">
        <f ca="1">IF(ISNUMBER(INDEX(magestuff!$D$499:$Y$615,ROW()-ROW($D$256),COLUMN()-COLUMN($C$257))),INDIRECT("'Master Spell List'!$Z$"&amp;INDEX(magestuff!$D$499:$Y$615,ROW()-ROW($D$256),COLUMN()-COLUMN($C$257))),"")</f>
        <v/>
      </c>
      <c r="T338" s="1055" t="str">
        <f ca="1">IF(ISNUMBER(INDEX(magestuff!$D$499:$Y$615,ROW()-ROW($D$256),COLUMN()-COLUMN($C$257))),INDIRECT("'Master Spell List'!$Z$"&amp;INDEX(magestuff!$D$499:$Y$615,ROW()-ROW($D$256),COLUMN()-COLUMN($C$257))),"")</f>
        <v/>
      </c>
      <c r="U338" s="1055" t="str">
        <f ca="1">IF(ISNUMBER(INDEX(magestuff!$D$499:$Y$615,ROW()-ROW($D$256),COLUMN()-COLUMN($C$257))),INDIRECT("'Master Spell List'!$Z$"&amp;INDEX(magestuff!$D$499:$Y$615,ROW()-ROW($D$256),COLUMN()-COLUMN($C$257))),"")</f>
        <v/>
      </c>
      <c r="V338" s="1055" t="str">
        <f ca="1">IF(ISNUMBER(INDEX(magestuff!$D$499:$Y$615,ROW()-ROW($D$256),COLUMN()-COLUMN($C$257))),INDIRECT("'Master Spell List'!$Z$"&amp;INDEX(magestuff!$D$499:$Y$615,ROW()-ROW($D$256),COLUMN()-COLUMN($C$257))),"")</f>
        <v/>
      </c>
      <c r="W338" s="1055" t="str">
        <f ca="1">IF(ISNUMBER(INDEX(magestuff!$D$499:$Y$615,ROW()-ROW($D$256),COLUMN()-COLUMN($C$257))),INDIRECT("'Master Spell List'!$Z$"&amp;INDEX(magestuff!$D$499:$Y$615,ROW()-ROW($D$256),COLUMN()-COLUMN($C$257))),"")</f>
        <v/>
      </c>
    </row>
    <row r="339" spans="1:23">
      <c r="A339" s="598">
        <v>84</v>
      </c>
      <c r="B339" s="598" t="s">
        <v>2225</v>
      </c>
      <c r="C339" s="598" t="s">
        <v>2225</v>
      </c>
      <c r="D339" s="1055" t="str">
        <f ca="1">IF(ISNUMBER(INDEX(magestuff!$D$499:$Y$615,ROW()-ROW($D$256),COLUMN()-COLUMN($C$257))),INDIRECT("'Master Spell List'!$Z$"&amp;INDEX(magestuff!$D$499:$Y$615,ROW()-ROW($D$256),COLUMN()-COLUMN($C$257))),"")</f>
        <v/>
      </c>
      <c r="E339" s="1055" t="str">
        <f ca="1">IF(ISNUMBER(INDEX(magestuff!$D$499:$Y$615,ROW()-ROW($D$256),COLUMN()-COLUMN($C$257))),INDIRECT("'Master Spell List'!$Z$"&amp;INDEX(magestuff!$D$499:$Y$615,ROW()-ROW($D$256),COLUMN()-COLUMN($C$257))),"")</f>
        <v/>
      </c>
      <c r="F339" s="1055" t="str">
        <f ca="1">IF(ISNUMBER(INDEX(magestuff!$D$499:$Y$615,ROW()-ROW($D$256),COLUMN()-COLUMN($C$257))),INDIRECT("'Master Spell List'!$Z$"&amp;INDEX(magestuff!$D$499:$Y$615,ROW()-ROW($D$256),COLUMN()-COLUMN($C$257))),"")</f>
        <v/>
      </c>
      <c r="G339" s="1055" t="str">
        <f ca="1">IF(ISNUMBER(INDEX(magestuff!$D$499:$Y$615,ROW()-ROW($D$256),COLUMN()-COLUMN($C$257))),INDIRECT("'Master Spell List'!$Z$"&amp;INDEX(magestuff!$D$499:$Y$615,ROW()-ROW($D$256),COLUMN()-COLUMN($C$257))),"")</f>
        <v/>
      </c>
      <c r="H339" s="1055" t="str">
        <f ca="1">IF(ISNUMBER(INDEX(magestuff!$D$499:$Y$615,ROW()-ROW($D$256),COLUMN()-COLUMN($C$257))),INDIRECT("'Master Spell List'!$Z$"&amp;INDEX(magestuff!$D$499:$Y$615,ROW()-ROW($D$256),COLUMN()-COLUMN($C$257))),"")</f>
        <v/>
      </c>
      <c r="I339" s="1055" t="str">
        <f ca="1">IF(ISNUMBER(INDEX(magestuff!$D$499:$Y$615,ROW()-ROW($D$256),COLUMN()-COLUMN($C$257))),INDIRECT("'Master Spell List'!$Z$"&amp;INDEX(magestuff!$D$499:$Y$615,ROW()-ROW($D$256),COLUMN()-COLUMN($C$257))),"")</f>
        <v>Arcane Whip</v>
      </c>
      <c r="J339" s="1055" t="str">
        <f ca="1">IF(ISNUMBER(INDEX(magestuff!$D$499:$Y$615,ROW()-ROW($D$256),COLUMN()-COLUMN($C$257))),INDIRECT("'Master Spell List'!$Z$"&amp;INDEX(magestuff!$D$499:$Y$615,ROW()-ROW($D$256),COLUMN()-COLUMN($C$257))),"")</f>
        <v>Mass Individual Ignore</v>
      </c>
      <c r="K339" s="1055" t="str">
        <f ca="1">IF(ISNUMBER(INDEX(magestuff!$D$499:$Y$615,ROW()-ROW($D$256),COLUMN()-COLUMN($C$257))),INDIRECT("'Master Spell List'!$Z$"&amp;INDEX(magestuff!$D$499:$Y$615,ROW()-ROW($D$256),COLUMN()-COLUMN($C$257))),"")</f>
        <v>Cave of Ages</v>
      </c>
      <c r="L339" s="1055" t="str">
        <f ca="1">IF(ISNUMBER(INDEX(magestuff!$D$499:$Y$615,ROW()-ROW($D$256),COLUMN()-COLUMN($C$257))),INDIRECT("'Master Spell List'!$Z$"&amp;INDEX(magestuff!$D$499:$Y$615,ROW()-ROW($D$256),COLUMN()-COLUMN($C$257))),"")</f>
        <v>Phantom Monster</v>
      </c>
      <c r="M339" s="1055" t="str">
        <f ca="1">IF(ISNUMBER(INDEX(magestuff!$D$499:$Y$615,ROW()-ROW($D$256),COLUMN()-COLUMN($C$257))),INDIRECT("'Master Spell List'!$Z$"&amp;INDEX(magestuff!$D$499:$Y$615,ROW()-ROW($D$256),COLUMN()-COLUMN($C$257))),"")</f>
        <v>Create/Command Plant (Create)</v>
      </c>
      <c r="N339" s="1055" t="str">
        <f ca="1">IF(ISNUMBER(INDEX(magestuff!$D$499:$Y$615,ROW()-ROW($D$256),COLUMN()-COLUMN($C$257))),INDIRECT("'Master Spell List'!$Z$"&amp;INDEX(magestuff!$D$499:$Y$615,ROW()-ROW($D$256),COLUMN()-COLUMN($C$257))),"")</f>
        <v/>
      </c>
      <c r="O339" s="1055" t="str">
        <f ca="1">IF(ISNUMBER(INDEX(magestuff!$D$499:$Y$615,ROW()-ROW($D$256),COLUMN()-COLUMN($C$257))),INDIRECT("'Master Spell List'!$Z$"&amp;INDEX(magestuff!$D$499:$Y$615,ROW()-ROW($D$256),COLUMN()-COLUMN($C$257))),"")</f>
        <v/>
      </c>
      <c r="P339" s="1055" t="str">
        <f ca="1">IF(ISNUMBER(INDEX(magestuff!$D$499:$Y$615,ROW()-ROW($D$256),COLUMN()-COLUMN($C$257))),INDIRECT("'Master Spell List'!$Z$"&amp;INDEX(magestuff!$D$499:$Y$615,ROW()-ROW($D$256),COLUMN()-COLUMN($C$257))),"")</f>
        <v/>
      </c>
      <c r="Q339" s="1055" t="str">
        <f ca="1">IF(ISNUMBER(INDEX(magestuff!$D$499:$Y$615,ROW()-ROW($D$256),COLUMN()-COLUMN($C$257))),INDIRECT("'Master Spell List'!$Z$"&amp;INDEX(magestuff!$D$499:$Y$615,ROW()-ROW($D$256),COLUMN()-COLUMN($C$257))),"")</f>
        <v/>
      </c>
      <c r="R339" s="1055" t="str">
        <f ca="1">IF(ISNUMBER(INDEX(magestuff!$D$499:$Y$615,ROW()-ROW($D$256),COLUMN()-COLUMN($C$257))),INDIRECT("'Master Spell List'!$Z$"&amp;INDEX(magestuff!$D$499:$Y$615,ROW()-ROW($D$256),COLUMN()-COLUMN($C$257))),"")</f>
        <v/>
      </c>
      <c r="S339" s="1055" t="str">
        <f ca="1">IF(ISNUMBER(INDEX(magestuff!$D$499:$Y$615,ROW()-ROW($D$256),COLUMN()-COLUMN($C$257))),INDIRECT("'Master Spell List'!$Z$"&amp;INDEX(magestuff!$D$499:$Y$615,ROW()-ROW($D$256),COLUMN()-COLUMN($C$257))),"")</f>
        <v/>
      </c>
      <c r="T339" s="1055" t="str">
        <f ca="1">IF(ISNUMBER(INDEX(magestuff!$D$499:$Y$615,ROW()-ROW($D$256),COLUMN()-COLUMN($C$257))),INDIRECT("'Master Spell List'!$Z$"&amp;INDEX(magestuff!$D$499:$Y$615,ROW()-ROW($D$256),COLUMN()-COLUMN($C$257))),"")</f>
        <v/>
      </c>
      <c r="U339" s="1055" t="str">
        <f ca="1">IF(ISNUMBER(INDEX(magestuff!$D$499:$Y$615,ROW()-ROW($D$256),COLUMN()-COLUMN($C$257))),INDIRECT("'Master Spell List'!$Z$"&amp;INDEX(magestuff!$D$499:$Y$615,ROW()-ROW($D$256),COLUMN()-COLUMN($C$257))),"")</f>
        <v/>
      </c>
      <c r="V339" s="1055" t="str">
        <f ca="1">IF(ISNUMBER(INDEX(magestuff!$D$499:$Y$615,ROW()-ROW($D$256),COLUMN()-COLUMN($C$257))),INDIRECT("'Master Spell List'!$Z$"&amp;INDEX(magestuff!$D$499:$Y$615,ROW()-ROW($D$256),COLUMN()-COLUMN($C$257))),"")</f>
        <v/>
      </c>
      <c r="W339" s="1055" t="str">
        <f ca="1">IF(ISNUMBER(INDEX(magestuff!$D$499:$Y$615,ROW()-ROW($D$256),COLUMN()-COLUMN($C$257))),INDIRECT("'Master Spell List'!$Z$"&amp;INDEX(magestuff!$D$499:$Y$615,ROW()-ROW($D$256),COLUMN()-COLUMN($C$257))),"")</f>
        <v/>
      </c>
    </row>
    <row r="340" spans="1:23">
      <c r="A340" s="598">
        <v>85</v>
      </c>
      <c r="B340" s="598" t="s">
        <v>2225</v>
      </c>
      <c r="C340" s="598" t="s">
        <v>2225</v>
      </c>
      <c r="D340" s="1055" t="str">
        <f ca="1">IF(ISNUMBER(INDEX(magestuff!$D$499:$Y$615,ROW()-ROW($D$256),COLUMN()-COLUMN($C$257))),INDIRECT("'Master Spell List'!$Z$"&amp;INDEX(magestuff!$D$499:$Y$615,ROW()-ROW($D$256),COLUMN()-COLUMN($C$257))),"")</f>
        <v/>
      </c>
      <c r="E340" s="1055" t="str">
        <f ca="1">IF(ISNUMBER(INDEX(magestuff!$D$499:$Y$615,ROW()-ROW($D$256),COLUMN()-COLUMN($C$257))),INDIRECT("'Master Spell List'!$Z$"&amp;INDEX(magestuff!$D$499:$Y$615,ROW()-ROW($D$256),COLUMN()-COLUMN($C$257))),"")</f>
        <v/>
      </c>
      <c r="F340" s="1055" t="str">
        <f ca="1">IF(ISNUMBER(INDEX(magestuff!$D$499:$Y$615,ROW()-ROW($D$256),COLUMN()-COLUMN($C$257))),INDIRECT("'Master Spell List'!$Z$"&amp;INDEX(magestuff!$D$499:$Y$615,ROW()-ROW($D$256),COLUMN()-COLUMN($C$257))),"")</f>
        <v/>
      </c>
      <c r="G340" s="1055" t="str">
        <f ca="1">IF(ISNUMBER(INDEX(magestuff!$D$499:$Y$615,ROW()-ROW($D$256),COLUMN()-COLUMN($C$257))),INDIRECT("'Master Spell List'!$Z$"&amp;INDEX(magestuff!$D$499:$Y$615,ROW()-ROW($D$256),COLUMN()-COLUMN($C$257))),"")</f>
        <v/>
      </c>
      <c r="H340" s="1055" t="str">
        <f ca="1">IF(ISNUMBER(INDEX(magestuff!$D$499:$Y$615,ROW()-ROW($D$256),COLUMN()-COLUMN($C$257))),INDIRECT("'Master Spell List'!$Z$"&amp;INDEX(magestuff!$D$499:$Y$615,ROW()-ROW($D$256),COLUMN()-COLUMN($C$257))),"")</f>
        <v/>
      </c>
      <c r="I340" s="1055" t="str">
        <f ca="1">IF(ISNUMBER(INDEX(magestuff!$D$499:$Y$615,ROW()-ROW($D$256),COLUMN()-COLUMN($C$257))),INDIRECT("'Master Spell List'!$Z$"&amp;INDEX(magestuff!$D$499:$Y$615,ROW()-ROW($D$256),COLUMN()-COLUMN($C$257))),"")</f>
        <v>Area Darkness</v>
      </c>
      <c r="J340" s="1055" t="str">
        <f ca="1">IF(ISNUMBER(INDEX(magestuff!$D$499:$Y$615,ROW()-ROW($D$256),COLUMN()-COLUMN($C$257))),INDIRECT("'Master Spell List'!$Z$"&amp;INDEX(magestuff!$D$499:$Y$615,ROW()-ROW($D$256),COLUMN()-COLUMN($C$257))),"")</f>
        <v>Mass Reduce Inhibition</v>
      </c>
      <c r="K340" s="1055" t="str">
        <f ca="1">IF(ISNUMBER(INDEX(magestuff!$D$499:$Y$615,ROW()-ROW($D$256),COLUMN()-COLUMN($C$257))),INDIRECT("'Master Spell List'!$Z$"&amp;INDEX(magestuff!$D$499:$Y$615,ROW()-ROW($D$256),COLUMN()-COLUMN($C$257))),"")</f>
        <v>Greatest Discern Trigger</v>
      </c>
      <c r="L340" s="1055" t="str">
        <f ca="1">IF(ISNUMBER(INDEX(magestuff!$D$499:$Y$615,ROW()-ROW($D$256),COLUMN()-COLUMN($C$257))),INDIRECT("'Master Spell List'!$Z$"&amp;INDEX(magestuff!$D$499:$Y$615,ROW()-ROW($D$256),COLUMN()-COLUMN($C$257))),"")</f>
        <v>Shadow Lands</v>
      </c>
      <c r="M340" s="1055" t="str">
        <f ca="1">IF(ISNUMBER(INDEX(magestuff!$D$499:$Y$615,ROW()-ROW($D$256),COLUMN()-COLUMN($C$257))),INDIRECT("'Master Spell List'!$Z$"&amp;INDEX(magestuff!$D$499:$Y$615,ROW()-ROW($D$256),COLUMN()-COLUMN($C$257))),"")</f>
        <v>Great Balm</v>
      </c>
      <c r="N340" s="1055" t="str">
        <f ca="1">IF(ISNUMBER(INDEX(magestuff!$D$499:$Y$615,ROW()-ROW($D$256),COLUMN()-COLUMN($C$257))),INDIRECT("'Master Spell List'!$Z$"&amp;INDEX(magestuff!$D$499:$Y$615,ROW()-ROW($D$256),COLUMN()-COLUMN($C$257))),"")</f>
        <v/>
      </c>
      <c r="O340" s="1055" t="str">
        <f ca="1">IF(ISNUMBER(INDEX(magestuff!$D$499:$Y$615,ROW()-ROW($D$256),COLUMN()-COLUMN($C$257))),INDIRECT("'Master Spell List'!$Z$"&amp;INDEX(magestuff!$D$499:$Y$615,ROW()-ROW($D$256),COLUMN()-COLUMN($C$257))),"")</f>
        <v/>
      </c>
      <c r="P340" s="1055" t="str">
        <f ca="1">IF(ISNUMBER(INDEX(magestuff!$D$499:$Y$615,ROW()-ROW($D$256),COLUMN()-COLUMN($C$257))),INDIRECT("'Master Spell List'!$Z$"&amp;INDEX(magestuff!$D$499:$Y$615,ROW()-ROW($D$256),COLUMN()-COLUMN($C$257))),"")</f>
        <v/>
      </c>
      <c r="Q340" s="1055" t="str">
        <f ca="1">IF(ISNUMBER(INDEX(magestuff!$D$499:$Y$615,ROW()-ROW($D$256),COLUMN()-COLUMN($C$257))),INDIRECT("'Master Spell List'!$Z$"&amp;INDEX(magestuff!$D$499:$Y$615,ROW()-ROW($D$256),COLUMN()-COLUMN($C$257))),"")</f>
        <v/>
      </c>
      <c r="R340" s="1055" t="str">
        <f ca="1">IF(ISNUMBER(INDEX(magestuff!$D$499:$Y$615,ROW()-ROW($D$256),COLUMN()-COLUMN($C$257))),INDIRECT("'Master Spell List'!$Z$"&amp;INDEX(magestuff!$D$499:$Y$615,ROW()-ROW($D$256),COLUMN()-COLUMN($C$257))),"")</f>
        <v/>
      </c>
      <c r="S340" s="1055" t="str">
        <f ca="1">IF(ISNUMBER(INDEX(magestuff!$D$499:$Y$615,ROW()-ROW($D$256),COLUMN()-COLUMN($C$257))),INDIRECT("'Master Spell List'!$Z$"&amp;INDEX(magestuff!$D$499:$Y$615,ROW()-ROW($D$256),COLUMN()-COLUMN($C$257))),"")</f>
        <v/>
      </c>
      <c r="T340" s="1055" t="str">
        <f ca="1">IF(ISNUMBER(INDEX(magestuff!$D$499:$Y$615,ROW()-ROW($D$256),COLUMN()-COLUMN($C$257))),INDIRECT("'Master Spell List'!$Z$"&amp;INDEX(magestuff!$D$499:$Y$615,ROW()-ROW($D$256),COLUMN()-COLUMN($C$257))),"")</f>
        <v/>
      </c>
      <c r="U340" s="1055" t="str">
        <f ca="1">IF(ISNUMBER(INDEX(magestuff!$D$499:$Y$615,ROW()-ROW($D$256),COLUMN()-COLUMN($C$257))),INDIRECT("'Master Spell List'!$Z$"&amp;INDEX(magestuff!$D$499:$Y$615,ROW()-ROW($D$256),COLUMN()-COLUMN($C$257))),"")</f>
        <v/>
      </c>
      <c r="V340" s="1055" t="str">
        <f ca="1">IF(ISNUMBER(INDEX(magestuff!$D$499:$Y$615,ROW()-ROW($D$256),COLUMN()-COLUMN($C$257))),INDIRECT("'Master Spell List'!$Z$"&amp;INDEX(magestuff!$D$499:$Y$615,ROW()-ROW($D$256),COLUMN()-COLUMN($C$257))),"")</f>
        <v/>
      </c>
      <c r="W340" s="1055" t="str">
        <f ca="1">IF(ISNUMBER(INDEX(magestuff!$D$499:$Y$615,ROW()-ROW($D$256),COLUMN()-COLUMN($C$257))),INDIRECT("'Master Spell List'!$Z$"&amp;INDEX(magestuff!$D$499:$Y$615,ROW()-ROW($D$256),COLUMN()-COLUMN($C$257))),"")</f>
        <v/>
      </c>
    </row>
    <row r="341" spans="1:23">
      <c r="A341" s="598">
        <v>86</v>
      </c>
      <c r="B341" s="598" t="s">
        <v>2225</v>
      </c>
      <c r="C341" s="598" t="s">
        <v>2225</v>
      </c>
      <c r="D341" s="1055" t="str">
        <f ca="1">IF(ISNUMBER(INDEX(magestuff!$D$499:$Y$615,ROW()-ROW($D$256),COLUMN()-COLUMN($C$257))),INDIRECT("'Master Spell List'!$Z$"&amp;INDEX(magestuff!$D$499:$Y$615,ROW()-ROW($D$256),COLUMN()-COLUMN($C$257))),"")</f>
        <v/>
      </c>
      <c r="E341" s="1055" t="str">
        <f ca="1">IF(ISNUMBER(INDEX(magestuff!$D$499:$Y$615,ROW()-ROW($D$256),COLUMN()-COLUMN($C$257))),INDIRECT("'Master Spell List'!$Z$"&amp;INDEX(magestuff!$D$499:$Y$615,ROW()-ROW($D$256),COLUMN()-COLUMN($C$257))),"")</f>
        <v/>
      </c>
      <c r="F341" s="1055" t="str">
        <f ca="1">IF(ISNUMBER(INDEX(magestuff!$D$499:$Y$615,ROW()-ROW($D$256),COLUMN()-COLUMN($C$257))),INDIRECT("'Master Spell List'!$Z$"&amp;INDEX(magestuff!$D$499:$Y$615,ROW()-ROW($D$256),COLUMN()-COLUMN($C$257))),"")</f>
        <v/>
      </c>
      <c r="G341" s="1055" t="str">
        <f ca="1">IF(ISNUMBER(INDEX(magestuff!$D$499:$Y$615,ROW()-ROW($D$256),COLUMN()-COLUMN($C$257))),INDIRECT("'Master Spell List'!$Z$"&amp;INDEX(magestuff!$D$499:$Y$615,ROW()-ROW($D$256),COLUMN()-COLUMN($C$257))),"")</f>
        <v/>
      </c>
      <c r="H341" s="1055" t="str">
        <f ca="1">IF(ISNUMBER(INDEX(magestuff!$D$499:$Y$615,ROW()-ROW($D$256),COLUMN()-COLUMN($C$257))),INDIRECT("'Master Spell List'!$Z$"&amp;INDEX(magestuff!$D$499:$Y$615,ROW()-ROW($D$256),COLUMN()-COLUMN($C$257))),"")</f>
        <v/>
      </c>
      <c r="I341" s="1055" t="str">
        <f ca="1">IF(ISNUMBER(INDEX(magestuff!$D$499:$Y$615,ROW()-ROW($D$256),COLUMN()-COLUMN($C$257))),INDIRECT("'Master Spell List'!$Z$"&amp;INDEX(magestuff!$D$499:$Y$615,ROW()-ROW($D$256),COLUMN()-COLUMN($C$257))),"")</f>
        <v>Create Great Arcane Energy</v>
      </c>
      <c r="J341" s="1055" t="str">
        <f ca="1">IF(ISNUMBER(INDEX(magestuff!$D$499:$Y$615,ROW()-ROW($D$256),COLUMN()-COLUMN($C$257))),INDIRECT("'Master Spell List'!$Z$"&amp;INDEX(magestuff!$D$499:$Y$615,ROW()-ROW($D$256),COLUMN()-COLUMN($C$257))),"")</f>
        <v>Mute</v>
      </c>
      <c r="K341" s="1055" t="str">
        <f ca="1">IF(ISNUMBER(INDEX(magestuff!$D$499:$Y$615,ROW()-ROW($D$256),COLUMN()-COLUMN($C$257))),INDIRECT("'Master Spell List'!$Z$"&amp;INDEX(magestuff!$D$499:$Y$615,ROW()-ROW($D$256),COLUMN()-COLUMN($C$257))),"")</f>
        <v>Greater Discern Magick</v>
      </c>
      <c r="L341" s="1055" t="str">
        <f ca="1">IF(ISNUMBER(INDEX(magestuff!$D$499:$Y$615,ROW()-ROW($D$256),COLUMN()-COLUMN($C$257))),INDIRECT("'Master Spell List'!$Z$"&amp;INDEX(magestuff!$D$499:$Y$615,ROW()-ROW($D$256),COLUMN()-COLUMN($C$257))),"")</f>
        <v>Spectral Monster</v>
      </c>
      <c r="M341" s="1055" t="str">
        <f ca="1">IF(ISNUMBER(INDEX(magestuff!$D$499:$Y$615,ROW()-ROW($D$256),COLUMN()-COLUMN($C$257))),INDIRECT("'Master Spell List'!$Z$"&amp;INDEX(magestuff!$D$499:$Y$615,ROW()-ROW($D$256),COLUMN()-COLUMN($C$257))),"")</f>
        <v>Greater Healing Sap</v>
      </c>
      <c r="N341" s="1055" t="str">
        <f ca="1">IF(ISNUMBER(INDEX(magestuff!$D$499:$Y$615,ROW()-ROW($D$256),COLUMN()-COLUMN($C$257))),INDIRECT("'Master Spell List'!$Z$"&amp;INDEX(magestuff!$D$499:$Y$615,ROW()-ROW($D$256),COLUMN()-COLUMN($C$257))),"")</f>
        <v/>
      </c>
      <c r="O341" s="1055" t="str">
        <f ca="1">IF(ISNUMBER(INDEX(magestuff!$D$499:$Y$615,ROW()-ROW($D$256),COLUMN()-COLUMN($C$257))),INDIRECT("'Master Spell List'!$Z$"&amp;INDEX(magestuff!$D$499:$Y$615,ROW()-ROW($D$256),COLUMN()-COLUMN($C$257))),"")</f>
        <v/>
      </c>
      <c r="P341" s="1055" t="str">
        <f ca="1">IF(ISNUMBER(INDEX(magestuff!$D$499:$Y$615,ROW()-ROW($D$256),COLUMN()-COLUMN($C$257))),INDIRECT("'Master Spell List'!$Z$"&amp;INDEX(magestuff!$D$499:$Y$615,ROW()-ROW($D$256),COLUMN()-COLUMN($C$257))),"")</f>
        <v/>
      </c>
      <c r="Q341" s="1055" t="str">
        <f ca="1">IF(ISNUMBER(INDEX(magestuff!$D$499:$Y$615,ROW()-ROW($D$256),COLUMN()-COLUMN($C$257))),INDIRECT("'Master Spell List'!$Z$"&amp;INDEX(magestuff!$D$499:$Y$615,ROW()-ROW($D$256),COLUMN()-COLUMN($C$257))),"")</f>
        <v/>
      </c>
      <c r="R341" s="1055" t="str">
        <f ca="1">IF(ISNUMBER(INDEX(magestuff!$D$499:$Y$615,ROW()-ROW($D$256),COLUMN()-COLUMN($C$257))),INDIRECT("'Master Spell List'!$Z$"&amp;INDEX(magestuff!$D$499:$Y$615,ROW()-ROW($D$256),COLUMN()-COLUMN($C$257))),"")</f>
        <v/>
      </c>
      <c r="S341" s="1055" t="str">
        <f ca="1">IF(ISNUMBER(INDEX(magestuff!$D$499:$Y$615,ROW()-ROW($D$256),COLUMN()-COLUMN($C$257))),INDIRECT("'Master Spell List'!$Z$"&amp;INDEX(magestuff!$D$499:$Y$615,ROW()-ROW($D$256),COLUMN()-COLUMN($C$257))),"")</f>
        <v/>
      </c>
      <c r="T341" s="1055" t="str">
        <f ca="1">IF(ISNUMBER(INDEX(magestuff!$D$499:$Y$615,ROW()-ROW($D$256),COLUMN()-COLUMN($C$257))),INDIRECT("'Master Spell List'!$Z$"&amp;INDEX(magestuff!$D$499:$Y$615,ROW()-ROW($D$256),COLUMN()-COLUMN($C$257))),"")</f>
        <v/>
      </c>
      <c r="U341" s="1055" t="str">
        <f ca="1">IF(ISNUMBER(INDEX(magestuff!$D$499:$Y$615,ROW()-ROW($D$256),COLUMN()-COLUMN($C$257))),INDIRECT("'Master Spell List'!$Z$"&amp;INDEX(magestuff!$D$499:$Y$615,ROW()-ROW($D$256),COLUMN()-COLUMN($C$257))),"")</f>
        <v/>
      </c>
      <c r="V341" s="1055" t="str">
        <f ca="1">IF(ISNUMBER(INDEX(magestuff!$D$499:$Y$615,ROW()-ROW($D$256),COLUMN()-COLUMN($C$257))),INDIRECT("'Master Spell List'!$Z$"&amp;INDEX(magestuff!$D$499:$Y$615,ROW()-ROW($D$256),COLUMN()-COLUMN($C$257))),"")</f>
        <v/>
      </c>
      <c r="W341" s="1055" t="str">
        <f ca="1">IF(ISNUMBER(INDEX(magestuff!$D$499:$Y$615,ROW()-ROW($D$256),COLUMN()-COLUMN($C$257))),INDIRECT("'Master Spell List'!$Z$"&amp;INDEX(magestuff!$D$499:$Y$615,ROW()-ROW($D$256),COLUMN()-COLUMN($C$257))),"")</f>
        <v/>
      </c>
    </row>
    <row r="342" spans="1:23">
      <c r="A342" s="598">
        <v>87</v>
      </c>
      <c r="B342" s="598" t="s">
        <v>2225</v>
      </c>
      <c r="C342" s="598" t="s">
        <v>2225</v>
      </c>
      <c r="D342" s="1055" t="str">
        <f ca="1">IF(ISNUMBER(INDEX(magestuff!$D$499:$Y$615,ROW()-ROW($D$256),COLUMN()-COLUMN($C$257))),INDIRECT("'Master Spell List'!$Z$"&amp;INDEX(magestuff!$D$499:$Y$615,ROW()-ROW($D$256),COLUMN()-COLUMN($C$257))),"")</f>
        <v/>
      </c>
      <c r="E342" s="1055" t="str">
        <f ca="1">IF(ISNUMBER(INDEX(magestuff!$D$499:$Y$615,ROW()-ROW($D$256),COLUMN()-COLUMN($C$257))),INDIRECT("'Master Spell List'!$Z$"&amp;INDEX(magestuff!$D$499:$Y$615,ROW()-ROW($D$256),COLUMN()-COLUMN($C$257))),"")</f>
        <v/>
      </c>
      <c r="F342" s="1055" t="str">
        <f ca="1">IF(ISNUMBER(INDEX(magestuff!$D$499:$Y$615,ROW()-ROW($D$256),COLUMN()-COLUMN($C$257))),INDIRECT("'Master Spell List'!$Z$"&amp;INDEX(magestuff!$D$499:$Y$615,ROW()-ROW($D$256),COLUMN()-COLUMN($C$257))),"")</f>
        <v/>
      </c>
      <c r="G342" s="1055" t="str">
        <f ca="1">IF(ISNUMBER(INDEX(magestuff!$D$499:$Y$615,ROW()-ROW($D$256),COLUMN()-COLUMN($C$257))),INDIRECT("'Master Spell List'!$Z$"&amp;INDEX(magestuff!$D$499:$Y$615,ROW()-ROW($D$256),COLUMN()-COLUMN($C$257))),"")</f>
        <v/>
      </c>
      <c r="H342" s="1055" t="str">
        <f ca="1">IF(ISNUMBER(INDEX(magestuff!$D$499:$Y$615,ROW()-ROW($D$256),COLUMN()-COLUMN($C$257))),INDIRECT("'Master Spell List'!$Z$"&amp;INDEX(magestuff!$D$499:$Y$615,ROW()-ROW($D$256),COLUMN()-COLUMN($C$257))),"")</f>
        <v/>
      </c>
      <c r="I342" s="1055" t="str">
        <f ca="1">IF(ISNUMBER(INDEX(magestuff!$D$499:$Y$615,ROW()-ROW($D$256),COLUMN()-COLUMN($C$257))),INDIRECT("'Master Spell List'!$Z$"&amp;INDEX(magestuff!$D$499:$Y$615,ROW()-ROW($D$256),COLUMN()-COLUMN($C$257))),"")</f>
        <v>Dispel Greater Arcane Energy</v>
      </c>
      <c r="J342" s="1055" t="str">
        <f ca="1">IF(ISNUMBER(INDEX(magestuff!$D$499:$Y$615,ROW()-ROW($D$256),COLUMN()-COLUMN($C$257))),INDIRECT("'Master Spell List'!$Z$"&amp;INDEX(magestuff!$D$499:$Y$615,ROW()-ROW($D$256),COLUMN()-COLUMN($C$257))),"")</f>
        <v>Command Enchanted Being</v>
      </c>
      <c r="K342" s="1055" t="str">
        <f ca="1">IF(ISNUMBER(INDEX(magestuff!$D$499:$Y$615,ROW()-ROW($D$256),COLUMN()-COLUMN($C$257))),INDIRECT("'Master Spell List'!$Z$"&amp;INDEX(magestuff!$D$499:$Y$615,ROW()-ROW($D$256),COLUMN()-COLUMN($C$257))),"")</f>
        <v>Forecast Weather for the Land</v>
      </c>
      <c r="L342" s="1055" t="str">
        <f ca="1">IF(ISNUMBER(INDEX(magestuff!$D$499:$Y$615,ROW()-ROW($D$256),COLUMN()-COLUMN($C$257))),INDIRECT("'Master Spell List'!$Z$"&amp;INDEX(magestuff!$D$499:$Y$615,ROW()-ROW($D$256),COLUMN()-COLUMN($C$257))),"")</f>
        <v>Djinn Creation</v>
      </c>
      <c r="M342" s="1055" t="str">
        <f ca="1">IF(ISNUMBER(INDEX(magestuff!$D$499:$Y$615,ROW()-ROW($D$256),COLUMN()-COLUMN($C$257))),INDIRECT("'Master Spell List'!$Z$"&amp;INDEX(magestuff!$D$499:$Y$615,ROW()-ROW($D$256),COLUMN()-COLUMN($C$257))),"")</f>
        <v>Greater Shape Tree</v>
      </c>
      <c r="N342" s="1055" t="str">
        <f ca="1">IF(ISNUMBER(INDEX(magestuff!$D$499:$Y$615,ROW()-ROW($D$256),COLUMN()-COLUMN($C$257))),INDIRECT("'Master Spell List'!$Z$"&amp;INDEX(magestuff!$D$499:$Y$615,ROW()-ROW($D$256),COLUMN()-COLUMN($C$257))),"")</f>
        <v/>
      </c>
      <c r="O342" s="1055" t="str">
        <f ca="1">IF(ISNUMBER(INDEX(magestuff!$D$499:$Y$615,ROW()-ROW($D$256),COLUMN()-COLUMN($C$257))),INDIRECT("'Master Spell List'!$Z$"&amp;INDEX(magestuff!$D$499:$Y$615,ROW()-ROW($D$256),COLUMN()-COLUMN($C$257))),"")</f>
        <v/>
      </c>
      <c r="P342" s="1055" t="str">
        <f ca="1">IF(ISNUMBER(INDEX(magestuff!$D$499:$Y$615,ROW()-ROW($D$256),COLUMN()-COLUMN($C$257))),INDIRECT("'Master Spell List'!$Z$"&amp;INDEX(magestuff!$D$499:$Y$615,ROW()-ROW($D$256),COLUMN()-COLUMN($C$257))),"")</f>
        <v/>
      </c>
      <c r="Q342" s="1055" t="str">
        <f ca="1">IF(ISNUMBER(INDEX(magestuff!$D$499:$Y$615,ROW()-ROW($D$256),COLUMN()-COLUMN($C$257))),INDIRECT("'Master Spell List'!$Z$"&amp;INDEX(magestuff!$D$499:$Y$615,ROW()-ROW($D$256),COLUMN()-COLUMN($C$257))),"")</f>
        <v/>
      </c>
      <c r="R342" s="1055" t="str">
        <f ca="1">IF(ISNUMBER(INDEX(magestuff!$D$499:$Y$615,ROW()-ROW($D$256),COLUMN()-COLUMN($C$257))),INDIRECT("'Master Spell List'!$Z$"&amp;INDEX(magestuff!$D$499:$Y$615,ROW()-ROW($D$256),COLUMN()-COLUMN($C$257))),"")</f>
        <v/>
      </c>
      <c r="S342" s="1055" t="str">
        <f ca="1">IF(ISNUMBER(INDEX(magestuff!$D$499:$Y$615,ROW()-ROW($D$256),COLUMN()-COLUMN($C$257))),INDIRECT("'Master Spell List'!$Z$"&amp;INDEX(magestuff!$D$499:$Y$615,ROW()-ROW($D$256),COLUMN()-COLUMN($C$257))),"")</f>
        <v/>
      </c>
      <c r="T342" s="1055" t="str">
        <f ca="1">IF(ISNUMBER(INDEX(magestuff!$D$499:$Y$615,ROW()-ROW($D$256),COLUMN()-COLUMN($C$257))),INDIRECT("'Master Spell List'!$Z$"&amp;INDEX(magestuff!$D$499:$Y$615,ROW()-ROW($D$256),COLUMN()-COLUMN($C$257))),"")</f>
        <v/>
      </c>
      <c r="U342" s="1055" t="str">
        <f ca="1">IF(ISNUMBER(INDEX(magestuff!$D$499:$Y$615,ROW()-ROW($D$256),COLUMN()-COLUMN($C$257))),INDIRECT("'Master Spell List'!$Z$"&amp;INDEX(magestuff!$D$499:$Y$615,ROW()-ROW($D$256),COLUMN()-COLUMN($C$257))),"")</f>
        <v/>
      </c>
      <c r="V342" s="1055" t="str">
        <f ca="1">IF(ISNUMBER(INDEX(magestuff!$D$499:$Y$615,ROW()-ROW($D$256),COLUMN()-COLUMN($C$257))),INDIRECT("'Master Spell List'!$Z$"&amp;INDEX(magestuff!$D$499:$Y$615,ROW()-ROW($D$256),COLUMN()-COLUMN($C$257))),"")</f>
        <v/>
      </c>
      <c r="W342" s="1055" t="str">
        <f ca="1">IF(ISNUMBER(INDEX(magestuff!$D$499:$Y$615,ROW()-ROW($D$256),COLUMN()-COLUMN($C$257))),INDIRECT("'Master Spell List'!$Z$"&amp;INDEX(magestuff!$D$499:$Y$615,ROW()-ROW($D$256),COLUMN()-COLUMN($C$257))),"")</f>
        <v/>
      </c>
    </row>
    <row r="343" spans="1:23">
      <c r="A343" s="598">
        <v>88</v>
      </c>
      <c r="B343" s="598" t="s">
        <v>2225</v>
      </c>
      <c r="C343" s="598" t="s">
        <v>2225</v>
      </c>
      <c r="D343" s="1055" t="str">
        <f ca="1">IF(ISNUMBER(INDEX(magestuff!$D$499:$Y$615,ROW()-ROW($D$256),COLUMN()-COLUMN($C$257))),INDIRECT("'Master Spell List'!$Z$"&amp;INDEX(magestuff!$D$499:$Y$615,ROW()-ROW($D$256),COLUMN()-COLUMN($C$257))),"")</f>
        <v/>
      </c>
      <c r="E343" s="1055" t="str">
        <f ca="1">IF(ISNUMBER(INDEX(magestuff!$D$499:$Y$615,ROW()-ROW($D$256),COLUMN()-COLUMN($C$257))),INDIRECT("'Master Spell List'!$Z$"&amp;INDEX(magestuff!$D$499:$Y$615,ROW()-ROW($D$256),COLUMN()-COLUMN($C$257))),"")</f>
        <v/>
      </c>
      <c r="F343" s="1055" t="str">
        <f ca="1">IF(ISNUMBER(INDEX(magestuff!$D$499:$Y$615,ROW()-ROW($D$256),COLUMN()-COLUMN($C$257))),INDIRECT("'Master Spell List'!$Z$"&amp;INDEX(magestuff!$D$499:$Y$615,ROW()-ROW($D$256),COLUMN()-COLUMN($C$257))),"")</f>
        <v/>
      </c>
      <c r="G343" s="1055" t="str">
        <f ca="1">IF(ISNUMBER(INDEX(magestuff!$D$499:$Y$615,ROW()-ROW($D$256),COLUMN()-COLUMN($C$257))),INDIRECT("'Master Spell List'!$Z$"&amp;INDEX(magestuff!$D$499:$Y$615,ROW()-ROW($D$256),COLUMN()-COLUMN($C$257))),"")</f>
        <v/>
      </c>
      <c r="H343" s="1055" t="str">
        <f ca="1">IF(ISNUMBER(INDEX(magestuff!$D$499:$Y$615,ROW()-ROW($D$256),COLUMN()-COLUMN($C$257))),INDIRECT("'Master Spell List'!$Z$"&amp;INDEX(magestuff!$D$499:$Y$615,ROW()-ROW($D$256),COLUMN()-COLUMN($C$257))),"")</f>
        <v/>
      </c>
      <c r="I343" s="1055" t="str">
        <f ca="1">IF(ISNUMBER(INDEX(magestuff!$D$499:$Y$615,ROW()-ROW($D$256),COLUMN()-COLUMN($C$257))),INDIRECT("'Master Spell List'!$Z$"&amp;INDEX(magestuff!$D$499:$Y$615,ROW()-ROW($D$256),COLUMN()-COLUMN($C$257))),"")</f>
        <v>Dispel the Night</v>
      </c>
      <c r="J343" s="1055" t="str">
        <f ca="1">IF(ISNUMBER(INDEX(magestuff!$D$499:$Y$615,ROW()-ROW($D$256),COLUMN()-COLUMN($C$257))),INDIRECT("'Master Spell List'!$Z$"&amp;INDEX(magestuff!$D$499:$Y$615,ROW()-ROW($D$256),COLUMN()-COLUMN($C$257))),"")</f>
        <v>Enchanted Awaken</v>
      </c>
      <c r="K343" s="1055" t="str">
        <f ca="1">IF(ISNUMBER(INDEX(magestuff!$D$499:$Y$615,ROW()-ROW($D$256),COLUMN()-COLUMN($C$257))),INDIRECT("'Master Spell List'!$Z$"&amp;INDEX(magestuff!$D$499:$Y$615,ROW()-ROW($D$256),COLUMN()-COLUMN($C$257))),"")</f>
        <v>Walk of Ages</v>
      </c>
      <c r="L343" s="1055" t="str">
        <f ca="1">IF(ISNUMBER(INDEX(magestuff!$D$499:$Y$615,ROW()-ROW($D$256),COLUMN()-COLUMN($C$257))),INDIRECT("'Master Spell List'!$Z$"&amp;INDEX(magestuff!$D$499:$Y$615,ROW()-ROW($D$256),COLUMN()-COLUMN($C$257))),"")</f>
        <v>Illusionary Greater Storm</v>
      </c>
      <c r="M343" s="1055" t="str">
        <f ca="1">IF(ISNUMBER(INDEX(magestuff!$D$499:$Y$615,ROW()-ROW($D$256),COLUMN()-COLUMN($C$257))),INDIRECT("'Master Spell List'!$Z$"&amp;INDEX(magestuff!$D$499:$Y$615,ROW()-ROW($D$256),COLUMN()-COLUMN($C$257))),"")</f>
        <v>Greatest Shape Wood</v>
      </c>
      <c r="N343" s="1055" t="str">
        <f ca="1">IF(ISNUMBER(INDEX(magestuff!$D$499:$Y$615,ROW()-ROW($D$256),COLUMN()-COLUMN($C$257))),INDIRECT("'Master Spell List'!$Z$"&amp;INDEX(magestuff!$D$499:$Y$615,ROW()-ROW($D$256),COLUMN()-COLUMN($C$257))),"")</f>
        <v/>
      </c>
      <c r="O343" s="1055" t="str">
        <f ca="1">IF(ISNUMBER(INDEX(magestuff!$D$499:$Y$615,ROW()-ROW($D$256),COLUMN()-COLUMN($C$257))),INDIRECT("'Master Spell List'!$Z$"&amp;INDEX(magestuff!$D$499:$Y$615,ROW()-ROW($D$256),COLUMN()-COLUMN($C$257))),"")</f>
        <v/>
      </c>
      <c r="P343" s="1055" t="str">
        <f ca="1">IF(ISNUMBER(INDEX(magestuff!$D$499:$Y$615,ROW()-ROW($D$256),COLUMN()-COLUMN($C$257))),INDIRECT("'Master Spell List'!$Z$"&amp;INDEX(magestuff!$D$499:$Y$615,ROW()-ROW($D$256),COLUMN()-COLUMN($C$257))),"")</f>
        <v/>
      </c>
      <c r="Q343" s="1055" t="str">
        <f ca="1">IF(ISNUMBER(INDEX(magestuff!$D$499:$Y$615,ROW()-ROW($D$256),COLUMN()-COLUMN($C$257))),INDIRECT("'Master Spell List'!$Z$"&amp;INDEX(magestuff!$D$499:$Y$615,ROW()-ROW($D$256),COLUMN()-COLUMN($C$257))),"")</f>
        <v/>
      </c>
      <c r="R343" s="1055" t="str">
        <f ca="1">IF(ISNUMBER(INDEX(magestuff!$D$499:$Y$615,ROW()-ROW($D$256),COLUMN()-COLUMN($C$257))),INDIRECT("'Master Spell List'!$Z$"&amp;INDEX(magestuff!$D$499:$Y$615,ROW()-ROW($D$256),COLUMN()-COLUMN($C$257))),"")</f>
        <v/>
      </c>
      <c r="S343" s="1055" t="str">
        <f ca="1">IF(ISNUMBER(INDEX(magestuff!$D$499:$Y$615,ROW()-ROW($D$256),COLUMN()-COLUMN($C$257))),INDIRECT("'Master Spell List'!$Z$"&amp;INDEX(magestuff!$D$499:$Y$615,ROW()-ROW($D$256),COLUMN()-COLUMN($C$257))),"")</f>
        <v/>
      </c>
      <c r="T343" s="1055" t="str">
        <f ca="1">IF(ISNUMBER(INDEX(magestuff!$D$499:$Y$615,ROW()-ROW($D$256),COLUMN()-COLUMN($C$257))),INDIRECT("'Master Spell List'!$Z$"&amp;INDEX(magestuff!$D$499:$Y$615,ROW()-ROW($D$256),COLUMN()-COLUMN($C$257))),"")</f>
        <v/>
      </c>
      <c r="U343" s="1055" t="str">
        <f ca="1">IF(ISNUMBER(INDEX(magestuff!$D$499:$Y$615,ROW()-ROW($D$256),COLUMN()-COLUMN($C$257))),INDIRECT("'Master Spell List'!$Z$"&amp;INDEX(magestuff!$D$499:$Y$615,ROW()-ROW($D$256),COLUMN()-COLUMN($C$257))),"")</f>
        <v/>
      </c>
      <c r="V343" s="1055" t="str">
        <f ca="1">IF(ISNUMBER(INDEX(magestuff!$D$499:$Y$615,ROW()-ROW($D$256),COLUMN()-COLUMN($C$257))),INDIRECT("'Master Spell List'!$Z$"&amp;INDEX(magestuff!$D$499:$Y$615,ROW()-ROW($D$256),COLUMN()-COLUMN($C$257))),"")</f>
        <v/>
      </c>
      <c r="W343" s="1055" t="str">
        <f ca="1">IF(ISNUMBER(INDEX(magestuff!$D$499:$Y$615,ROW()-ROW($D$256),COLUMN()-COLUMN($C$257))),INDIRECT("'Master Spell List'!$Z$"&amp;INDEX(magestuff!$D$499:$Y$615,ROW()-ROW($D$256),COLUMN()-COLUMN($C$257))),"")</f>
        <v/>
      </c>
    </row>
    <row r="344" spans="1:23">
      <c r="A344" s="598">
        <v>89</v>
      </c>
      <c r="B344" s="598" t="s">
        <v>2225</v>
      </c>
      <c r="C344" s="598" t="s">
        <v>2225</v>
      </c>
      <c r="D344" s="1055" t="str">
        <f ca="1">IF(ISNUMBER(INDEX(magestuff!$D$499:$Y$615,ROW()-ROW($D$256),COLUMN()-COLUMN($C$257))),INDIRECT("'Master Spell List'!$Z$"&amp;INDEX(magestuff!$D$499:$Y$615,ROW()-ROW($D$256),COLUMN()-COLUMN($C$257))),"")</f>
        <v/>
      </c>
      <c r="E344" s="1055" t="str">
        <f ca="1">IF(ISNUMBER(INDEX(magestuff!$D$499:$Y$615,ROW()-ROW($D$256),COLUMN()-COLUMN($C$257))),INDIRECT("'Master Spell List'!$Z$"&amp;INDEX(magestuff!$D$499:$Y$615,ROW()-ROW($D$256),COLUMN()-COLUMN($C$257))),"")</f>
        <v/>
      </c>
      <c r="F344" s="1055" t="str">
        <f ca="1">IF(ISNUMBER(INDEX(magestuff!$D$499:$Y$615,ROW()-ROW($D$256),COLUMN()-COLUMN($C$257))),INDIRECT("'Master Spell List'!$Z$"&amp;INDEX(magestuff!$D$499:$Y$615,ROW()-ROW($D$256),COLUMN()-COLUMN($C$257))),"")</f>
        <v/>
      </c>
      <c r="G344" s="1055" t="str">
        <f ca="1">IF(ISNUMBER(INDEX(magestuff!$D$499:$Y$615,ROW()-ROW($D$256),COLUMN()-COLUMN($C$257))),INDIRECT("'Master Spell List'!$Z$"&amp;INDEX(magestuff!$D$499:$Y$615,ROW()-ROW($D$256),COLUMN()-COLUMN($C$257))),"")</f>
        <v/>
      </c>
      <c r="H344" s="1055" t="str">
        <f ca="1">IF(ISNUMBER(INDEX(magestuff!$D$499:$Y$615,ROW()-ROW($D$256),COLUMN()-COLUMN($C$257))),INDIRECT("'Master Spell List'!$Z$"&amp;INDEX(magestuff!$D$499:$Y$615,ROW()-ROW($D$256),COLUMN()-COLUMN($C$257))),"")</f>
        <v/>
      </c>
      <c r="I344" s="1055" t="str">
        <f ca="1">IF(ISNUMBER(INDEX(magestuff!$D$499:$Y$615,ROW()-ROW($D$256),COLUMN()-COLUMN($C$257))),INDIRECT("'Master Spell List'!$Z$"&amp;INDEX(magestuff!$D$499:$Y$615,ROW()-ROW($D$256),COLUMN()-COLUMN($C$257))),"")</f>
        <v>Greater Eldritch Attack</v>
      </c>
      <c r="J344" s="1055" t="str">
        <f ca="1">IF(ISNUMBER(INDEX(magestuff!$D$499:$Y$615,ROW()-ROW($D$256),COLUMN()-COLUMN($C$257))),INDIRECT("'Master Spell List'!$Z$"&amp;INDEX(magestuff!$D$499:$Y$615,ROW()-ROW($D$256),COLUMN()-COLUMN($C$257))),"")</f>
        <v>Enchanted Sleep</v>
      </c>
      <c r="K344" s="1055" t="str">
        <f ca="1">IF(ISNUMBER(INDEX(magestuff!$D$499:$Y$615,ROW()-ROW($D$256),COLUMN()-COLUMN($C$257))),INDIRECT("'Master Spell List'!$Z$"&amp;INDEX(magestuff!$D$499:$Y$615,ROW()-ROW($D$256),COLUMN()-COLUMN($C$257))),"")</f>
        <v>Temporal Storm</v>
      </c>
      <c r="L344" s="1055" t="str">
        <f ca="1">IF(ISNUMBER(INDEX(magestuff!$D$499:$Y$615,ROW()-ROW($D$256),COLUMN()-COLUMN($C$257))),INDIRECT("'Master Spell List'!$Z$"&amp;INDEX(magestuff!$D$499:$Y$615,ROW()-ROW($D$256),COLUMN()-COLUMN($C$257))),"")</f>
        <v>Illusionary Realm</v>
      </c>
      <c r="M344" s="1055" t="str">
        <f ca="1">IF(ISNUMBER(INDEX(magestuff!$D$499:$Y$615,ROW()-ROW($D$256),COLUMN()-COLUMN($C$257))),INDIRECT("'Master Spell List'!$Z$"&amp;INDEX(magestuff!$D$499:$Y$615,ROW()-ROW($D$256),COLUMN()-COLUMN($C$257))),"")</f>
        <v>The New Forest</v>
      </c>
      <c r="N344" s="1055" t="str">
        <f ca="1">IF(ISNUMBER(INDEX(magestuff!$D$499:$Y$615,ROW()-ROW($D$256),COLUMN()-COLUMN($C$257))),INDIRECT("'Master Spell List'!$Z$"&amp;INDEX(magestuff!$D$499:$Y$615,ROW()-ROW($D$256),COLUMN()-COLUMN($C$257))),"")</f>
        <v/>
      </c>
      <c r="O344" s="1055" t="str">
        <f ca="1">IF(ISNUMBER(INDEX(magestuff!$D$499:$Y$615,ROW()-ROW($D$256),COLUMN()-COLUMN($C$257))),INDIRECT("'Master Spell List'!$Z$"&amp;INDEX(magestuff!$D$499:$Y$615,ROW()-ROW($D$256),COLUMN()-COLUMN($C$257))),"")</f>
        <v/>
      </c>
      <c r="P344" s="1055" t="str">
        <f ca="1">IF(ISNUMBER(INDEX(magestuff!$D$499:$Y$615,ROW()-ROW($D$256),COLUMN()-COLUMN($C$257))),INDIRECT("'Master Spell List'!$Z$"&amp;INDEX(magestuff!$D$499:$Y$615,ROW()-ROW($D$256),COLUMN()-COLUMN($C$257))),"")</f>
        <v/>
      </c>
      <c r="Q344" s="1055" t="str">
        <f ca="1">IF(ISNUMBER(INDEX(magestuff!$D$499:$Y$615,ROW()-ROW($D$256),COLUMN()-COLUMN($C$257))),INDIRECT("'Master Spell List'!$Z$"&amp;INDEX(magestuff!$D$499:$Y$615,ROW()-ROW($D$256),COLUMN()-COLUMN($C$257))),"")</f>
        <v/>
      </c>
      <c r="R344" s="1055" t="str">
        <f ca="1">IF(ISNUMBER(INDEX(magestuff!$D$499:$Y$615,ROW()-ROW($D$256),COLUMN()-COLUMN($C$257))),INDIRECT("'Master Spell List'!$Z$"&amp;INDEX(magestuff!$D$499:$Y$615,ROW()-ROW($D$256),COLUMN()-COLUMN($C$257))),"")</f>
        <v/>
      </c>
      <c r="S344" s="1055" t="str">
        <f ca="1">IF(ISNUMBER(INDEX(magestuff!$D$499:$Y$615,ROW()-ROW($D$256),COLUMN()-COLUMN($C$257))),INDIRECT("'Master Spell List'!$Z$"&amp;INDEX(magestuff!$D$499:$Y$615,ROW()-ROW($D$256),COLUMN()-COLUMN($C$257))),"")</f>
        <v/>
      </c>
      <c r="T344" s="1055" t="str">
        <f ca="1">IF(ISNUMBER(INDEX(magestuff!$D$499:$Y$615,ROW()-ROW($D$256),COLUMN()-COLUMN($C$257))),INDIRECT("'Master Spell List'!$Z$"&amp;INDEX(magestuff!$D$499:$Y$615,ROW()-ROW($D$256),COLUMN()-COLUMN($C$257))),"")</f>
        <v/>
      </c>
      <c r="U344" s="1055" t="str">
        <f ca="1">IF(ISNUMBER(INDEX(magestuff!$D$499:$Y$615,ROW()-ROW($D$256),COLUMN()-COLUMN($C$257))),INDIRECT("'Master Spell List'!$Z$"&amp;INDEX(magestuff!$D$499:$Y$615,ROW()-ROW($D$256),COLUMN()-COLUMN($C$257))),"")</f>
        <v/>
      </c>
      <c r="V344" s="1055" t="str">
        <f ca="1">IF(ISNUMBER(INDEX(magestuff!$D$499:$Y$615,ROW()-ROW($D$256),COLUMN()-COLUMN($C$257))),INDIRECT("'Master Spell List'!$Z$"&amp;INDEX(magestuff!$D$499:$Y$615,ROW()-ROW($D$256),COLUMN()-COLUMN($C$257))),"")</f>
        <v/>
      </c>
      <c r="W344" s="1055" t="str">
        <f ca="1">IF(ISNUMBER(INDEX(magestuff!$D$499:$Y$615,ROW()-ROW($D$256),COLUMN()-COLUMN($C$257))),INDIRECT("'Master Spell List'!$Z$"&amp;INDEX(magestuff!$D$499:$Y$615,ROW()-ROW($D$256),COLUMN()-COLUMN($C$257))),"")</f>
        <v/>
      </c>
    </row>
    <row r="345" spans="1:23">
      <c r="A345" s="598">
        <v>90</v>
      </c>
      <c r="B345" s="598" t="s">
        <v>2225</v>
      </c>
      <c r="C345" s="598" t="s">
        <v>2225</v>
      </c>
      <c r="D345" s="1055" t="str">
        <f ca="1">IF(ISNUMBER(INDEX(magestuff!$D$499:$Y$615,ROW()-ROW($D$256),COLUMN()-COLUMN($C$257))),INDIRECT("'Master Spell List'!$Z$"&amp;INDEX(magestuff!$D$499:$Y$615,ROW()-ROW($D$256),COLUMN()-COLUMN($C$257))),"")</f>
        <v/>
      </c>
      <c r="E345" s="1055" t="str">
        <f ca="1">IF(ISNUMBER(INDEX(magestuff!$D$499:$Y$615,ROW()-ROW($D$256),COLUMN()-COLUMN($C$257))),INDIRECT("'Master Spell List'!$Z$"&amp;INDEX(magestuff!$D$499:$Y$615,ROW()-ROW($D$256),COLUMN()-COLUMN($C$257))),"")</f>
        <v/>
      </c>
      <c r="F345" s="1055" t="str">
        <f ca="1">IF(ISNUMBER(INDEX(magestuff!$D$499:$Y$615,ROW()-ROW($D$256),COLUMN()-COLUMN($C$257))),INDIRECT("'Master Spell List'!$Z$"&amp;INDEX(magestuff!$D$499:$Y$615,ROW()-ROW($D$256),COLUMN()-COLUMN($C$257))),"")</f>
        <v/>
      </c>
      <c r="G345" s="1055" t="str">
        <f ca="1">IF(ISNUMBER(INDEX(magestuff!$D$499:$Y$615,ROW()-ROW($D$256),COLUMN()-COLUMN($C$257))),INDIRECT("'Master Spell List'!$Z$"&amp;INDEX(magestuff!$D$499:$Y$615,ROW()-ROW($D$256),COLUMN()-COLUMN($C$257))),"")</f>
        <v/>
      </c>
      <c r="H345" s="1055" t="str">
        <f ca="1">IF(ISNUMBER(INDEX(magestuff!$D$499:$Y$615,ROW()-ROW($D$256),COLUMN()-COLUMN($C$257))),INDIRECT("'Master Spell List'!$Z$"&amp;INDEX(magestuff!$D$499:$Y$615,ROW()-ROW($D$256),COLUMN()-COLUMN($C$257))),"")</f>
        <v/>
      </c>
      <c r="I345" s="1055" t="str">
        <f ca="1">IF(ISNUMBER(INDEX(magestuff!$D$499:$Y$615,ROW()-ROW($D$256),COLUMN()-COLUMN($C$257))),INDIRECT("'Master Spell List'!$Z$"&amp;INDEX(magestuff!$D$499:$Y$615,ROW()-ROW($D$256),COLUMN()-COLUMN($C$257))),"")</f>
        <v>Greater Wizard's Seal (The Keepsake Seal)</v>
      </c>
      <c r="J345" s="1055" t="str">
        <f ca="1">IF(ISNUMBER(INDEX(magestuff!$D$499:$Y$615,ROW()-ROW($D$256),COLUMN()-COLUMN($C$257))),INDIRECT("'Master Spell List'!$Z$"&amp;INDEX(magestuff!$D$499:$Y$615,ROW()-ROW($D$256),COLUMN()-COLUMN($C$257))),"")</f>
        <v>Greater Imbue Music</v>
      </c>
      <c r="K345" s="1055" t="str">
        <f ca="1">IF(ISNUMBER(INDEX(magestuff!$D$499:$Y$615,ROW()-ROW($D$256),COLUMN()-COLUMN($C$257))),INDIRECT("'Master Spell List'!$Z$"&amp;INDEX(magestuff!$D$499:$Y$615,ROW()-ROW($D$256),COLUMN()-COLUMN($C$257))),"")</f>
        <v>Greatest Discern Magick</v>
      </c>
      <c r="L345" s="1055" t="str">
        <f ca="1">IF(ISNUMBER(INDEX(magestuff!$D$499:$Y$615,ROW()-ROW($D$256),COLUMN()-COLUMN($C$257))),INDIRECT("'Master Spell List'!$Z$"&amp;INDEX(magestuff!$D$499:$Y$615,ROW()-ROW($D$256),COLUMN()-COLUMN($C$257))),"")</f>
        <v>Illusionary Scream of the Banshee</v>
      </c>
      <c r="M345" s="1055" t="str">
        <f ca="1">IF(ISNUMBER(INDEX(magestuff!$D$499:$Y$615,ROW()-ROW($D$256),COLUMN()-COLUMN($C$257))),INDIRECT("'Master Spell List'!$Z$"&amp;INDEX(magestuff!$D$499:$Y$615,ROW()-ROW($D$256),COLUMN()-COLUMN($C$257))),"")</f>
        <v>Greatest Shape Tree</v>
      </c>
      <c r="N345" s="1055" t="str">
        <f ca="1">IF(ISNUMBER(INDEX(magestuff!$D$499:$Y$615,ROW()-ROW($D$256),COLUMN()-COLUMN($C$257))),INDIRECT("'Master Spell List'!$Z$"&amp;INDEX(magestuff!$D$499:$Y$615,ROW()-ROW($D$256),COLUMN()-COLUMN($C$257))),"")</f>
        <v/>
      </c>
      <c r="O345" s="1055" t="str">
        <f ca="1">IF(ISNUMBER(INDEX(magestuff!$D$499:$Y$615,ROW()-ROW($D$256),COLUMN()-COLUMN($C$257))),INDIRECT("'Master Spell List'!$Z$"&amp;INDEX(magestuff!$D$499:$Y$615,ROW()-ROW($D$256),COLUMN()-COLUMN($C$257))),"")</f>
        <v/>
      </c>
      <c r="P345" s="1055" t="str">
        <f ca="1">IF(ISNUMBER(INDEX(magestuff!$D$499:$Y$615,ROW()-ROW($D$256),COLUMN()-COLUMN($C$257))),INDIRECT("'Master Spell List'!$Z$"&amp;INDEX(magestuff!$D$499:$Y$615,ROW()-ROW($D$256),COLUMN()-COLUMN($C$257))),"")</f>
        <v/>
      </c>
      <c r="Q345" s="1055" t="str">
        <f ca="1">IF(ISNUMBER(INDEX(magestuff!$D$499:$Y$615,ROW()-ROW($D$256),COLUMN()-COLUMN($C$257))),INDIRECT("'Master Spell List'!$Z$"&amp;INDEX(magestuff!$D$499:$Y$615,ROW()-ROW($D$256),COLUMN()-COLUMN($C$257))),"")</f>
        <v/>
      </c>
      <c r="R345" s="1055" t="str">
        <f ca="1">IF(ISNUMBER(INDEX(magestuff!$D$499:$Y$615,ROW()-ROW($D$256),COLUMN()-COLUMN($C$257))),INDIRECT("'Master Spell List'!$Z$"&amp;INDEX(magestuff!$D$499:$Y$615,ROW()-ROW($D$256),COLUMN()-COLUMN($C$257))),"")</f>
        <v/>
      </c>
      <c r="S345" s="1055" t="str">
        <f ca="1">IF(ISNUMBER(INDEX(magestuff!$D$499:$Y$615,ROW()-ROW($D$256),COLUMN()-COLUMN($C$257))),INDIRECT("'Master Spell List'!$Z$"&amp;INDEX(magestuff!$D$499:$Y$615,ROW()-ROW($D$256),COLUMN()-COLUMN($C$257))),"")</f>
        <v/>
      </c>
      <c r="T345" s="1055" t="str">
        <f ca="1">IF(ISNUMBER(INDEX(magestuff!$D$499:$Y$615,ROW()-ROW($D$256),COLUMN()-COLUMN($C$257))),INDIRECT("'Master Spell List'!$Z$"&amp;INDEX(magestuff!$D$499:$Y$615,ROW()-ROW($D$256),COLUMN()-COLUMN($C$257))),"")</f>
        <v/>
      </c>
      <c r="U345" s="1055" t="str">
        <f ca="1">IF(ISNUMBER(INDEX(magestuff!$D$499:$Y$615,ROW()-ROW($D$256),COLUMN()-COLUMN($C$257))),INDIRECT("'Master Spell List'!$Z$"&amp;INDEX(magestuff!$D$499:$Y$615,ROW()-ROW($D$256),COLUMN()-COLUMN($C$257))),"")</f>
        <v/>
      </c>
      <c r="V345" s="1055" t="str">
        <f ca="1">IF(ISNUMBER(INDEX(magestuff!$D$499:$Y$615,ROW()-ROW($D$256),COLUMN()-COLUMN($C$257))),INDIRECT("'Master Spell List'!$Z$"&amp;INDEX(magestuff!$D$499:$Y$615,ROW()-ROW($D$256),COLUMN()-COLUMN($C$257))),"")</f>
        <v/>
      </c>
      <c r="W345" s="1055" t="str">
        <f ca="1">IF(ISNUMBER(INDEX(magestuff!$D$499:$Y$615,ROW()-ROW($D$256),COLUMN()-COLUMN($C$257))),INDIRECT("'Master Spell List'!$Z$"&amp;INDEX(magestuff!$D$499:$Y$615,ROW()-ROW($D$256),COLUMN()-COLUMN($C$257))),"")</f>
        <v/>
      </c>
    </row>
    <row r="346" spans="1:23">
      <c r="A346" s="598">
        <v>91</v>
      </c>
      <c r="B346" s="598" t="s">
        <v>2225</v>
      </c>
      <c r="C346" s="598" t="s">
        <v>2225</v>
      </c>
      <c r="D346" s="1055" t="str">
        <f ca="1">IF(ISNUMBER(INDEX(magestuff!$D$499:$Y$615,ROW()-ROW($D$256),COLUMN()-COLUMN($C$257))),INDIRECT("'Master Spell List'!$Z$"&amp;INDEX(magestuff!$D$499:$Y$615,ROW()-ROW($D$256),COLUMN()-COLUMN($C$257))),"")</f>
        <v/>
      </c>
      <c r="E346" s="1055" t="str">
        <f ca="1">IF(ISNUMBER(INDEX(magestuff!$D$499:$Y$615,ROW()-ROW($D$256),COLUMN()-COLUMN($C$257))),INDIRECT("'Master Spell List'!$Z$"&amp;INDEX(magestuff!$D$499:$Y$615,ROW()-ROW($D$256),COLUMN()-COLUMN($C$257))),"")</f>
        <v/>
      </c>
      <c r="F346" s="1055" t="str">
        <f ca="1">IF(ISNUMBER(INDEX(magestuff!$D$499:$Y$615,ROW()-ROW($D$256),COLUMN()-COLUMN($C$257))),INDIRECT("'Master Spell List'!$Z$"&amp;INDEX(magestuff!$D$499:$Y$615,ROW()-ROW($D$256),COLUMN()-COLUMN($C$257))),"")</f>
        <v/>
      </c>
      <c r="G346" s="1055" t="str">
        <f ca="1">IF(ISNUMBER(INDEX(magestuff!$D$499:$Y$615,ROW()-ROW($D$256),COLUMN()-COLUMN($C$257))),INDIRECT("'Master Spell List'!$Z$"&amp;INDEX(magestuff!$D$499:$Y$615,ROW()-ROW($D$256),COLUMN()-COLUMN($C$257))),"")</f>
        <v/>
      </c>
      <c r="H346" s="1055" t="str">
        <f ca="1">IF(ISNUMBER(INDEX(magestuff!$D$499:$Y$615,ROW()-ROW($D$256),COLUMN()-COLUMN($C$257))),INDIRECT("'Master Spell List'!$Z$"&amp;INDEX(magestuff!$D$499:$Y$615,ROW()-ROW($D$256),COLUMN()-COLUMN($C$257))),"")</f>
        <v/>
      </c>
      <c r="I346" s="1055" t="str">
        <f ca="1">IF(ISNUMBER(INDEX(magestuff!$D$499:$Y$615,ROW()-ROW($D$256),COLUMN()-COLUMN($C$257))),INDIRECT("'Master Spell List'!$Z$"&amp;INDEX(magestuff!$D$499:$Y$615,ROW()-ROW($D$256),COLUMN()-COLUMN($C$257))),"")</f>
        <v xml:space="preserve">Greatest Healing Touch of Apollo   </v>
      </c>
      <c r="J346" s="1055" t="str">
        <f ca="1">IF(ISNUMBER(INDEX(magestuff!$D$499:$Y$615,ROW()-ROW($D$256),COLUMN()-COLUMN($C$257))),INDIRECT("'Master Spell List'!$Z$"&amp;INDEX(magestuff!$D$499:$Y$615,ROW()-ROW($D$256),COLUMN()-COLUMN($C$257))),"")</f>
        <v>Hold Greater Undead</v>
      </c>
      <c r="K346" s="1055" t="str">
        <f ca="1">IF(ISNUMBER(INDEX(magestuff!$D$499:$Y$615,ROW()-ROW($D$256),COLUMN()-COLUMN($C$257))),INDIRECT("'Master Spell List'!$Z$"&amp;INDEX(magestuff!$D$499:$Y$615,ROW()-ROW($D$256),COLUMN()-COLUMN($C$257))),"")</f>
        <v>Torrents of Time</v>
      </c>
      <c r="L346" s="1055" t="str">
        <f ca="1">IF(ISNUMBER(INDEX(magestuff!$D$499:$Y$615,ROW()-ROW($D$256),COLUMN()-COLUMN($C$257))),INDIRECT("'Master Spell List'!$Z$"&amp;INDEX(magestuff!$D$499:$Y$615,ROW()-ROW($D$256),COLUMN()-COLUMN($C$257))),"")</f>
        <v>Shadow Missiles</v>
      </c>
      <c r="M346" s="1055" t="str">
        <f ca="1">IF(ISNUMBER(INDEX(magestuff!$D$499:$Y$615,ROW()-ROW($D$256),COLUMN()-COLUMN($C$257))),INDIRECT("'Master Spell List'!$Z$"&amp;INDEX(magestuff!$D$499:$Y$615,ROW()-ROW($D$256),COLUMN()-COLUMN($C$257))),"")</f>
        <v/>
      </c>
      <c r="N346" s="1055" t="str">
        <f ca="1">IF(ISNUMBER(INDEX(magestuff!$D$499:$Y$615,ROW()-ROW($D$256),COLUMN()-COLUMN($C$257))),INDIRECT("'Master Spell List'!$Z$"&amp;INDEX(magestuff!$D$499:$Y$615,ROW()-ROW($D$256),COLUMN()-COLUMN($C$257))),"")</f>
        <v/>
      </c>
      <c r="O346" s="1055" t="str">
        <f ca="1">IF(ISNUMBER(INDEX(magestuff!$D$499:$Y$615,ROW()-ROW($D$256),COLUMN()-COLUMN($C$257))),INDIRECT("'Master Spell List'!$Z$"&amp;INDEX(magestuff!$D$499:$Y$615,ROW()-ROW($D$256),COLUMN()-COLUMN($C$257))),"")</f>
        <v/>
      </c>
      <c r="P346" s="1055" t="str">
        <f ca="1">IF(ISNUMBER(INDEX(magestuff!$D$499:$Y$615,ROW()-ROW($D$256),COLUMN()-COLUMN($C$257))),INDIRECT("'Master Spell List'!$Z$"&amp;INDEX(magestuff!$D$499:$Y$615,ROW()-ROW($D$256),COLUMN()-COLUMN($C$257))),"")</f>
        <v/>
      </c>
      <c r="Q346" s="1055" t="str">
        <f ca="1">IF(ISNUMBER(INDEX(magestuff!$D$499:$Y$615,ROW()-ROW($D$256),COLUMN()-COLUMN($C$257))),INDIRECT("'Master Spell List'!$Z$"&amp;INDEX(magestuff!$D$499:$Y$615,ROW()-ROW($D$256),COLUMN()-COLUMN($C$257))),"")</f>
        <v/>
      </c>
      <c r="R346" s="1055" t="str">
        <f ca="1">IF(ISNUMBER(INDEX(magestuff!$D$499:$Y$615,ROW()-ROW($D$256),COLUMN()-COLUMN($C$257))),INDIRECT("'Master Spell List'!$Z$"&amp;INDEX(magestuff!$D$499:$Y$615,ROW()-ROW($D$256),COLUMN()-COLUMN($C$257))),"")</f>
        <v/>
      </c>
      <c r="S346" s="1055" t="str">
        <f ca="1">IF(ISNUMBER(INDEX(magestuff!$D$499:$Y$615,ROW()-ROW($D$256),COLUMN()-COLUMN($C$257))),INDIRECT("'Master Spell List'!$Z$"&amp;INDEX(magestuff!$D$499:$Y$615,ROW()-ROW($D$256),COLUMN()-COLUMN($C$257))),"")</f>
        <v/>
      </c>
      <c r="T346" s="1055" t="str">
        <f ca="1">IF(ISNUMBER(INDEX(magestuff!$D$499:$Y$615,ROW()-ROW($D$256),COLUMN()-COLUMN($C$257))),INDIRECT("'Master Spell List'!$Z$"&amp;INDEX(magestuff!$D$499:$Y$615,ROW()-ROW($D$256),COLUMN()-COLUMN($C$257))),"")</f>
        <v/>
      </c>
      <c r="U346" s="1055" t="str">
        <f ca="1">IF(ISNUMBER(INDEX(magestuff!$D$499:$Y$615,ROW()-ROW($D$256),COLUMN()-COLUMN($C$257))),INDIRECT("'Master Spell List'!$Z$"&amp;INDEX(magestuff!$D$499:$Y$615,ROW()-ROW($D$256),COLUMN()-COLUMN($C$257))),"")</f>
        <v/>
      </c>
      <c r="V346" s="1055" t="str">
        <f ca="1">IF(ISNUMBER(INDEX(magestuff!$D$499:$Y$615,ROW()-ROW($D$256),COLUMN()-COLUMN($C$257))),INDIRECT("'Master Spell List'!$Z$"&amp;INDEX(magestuff!$D$499:$Y$615,ROW()-ROW($D$256),COLUMN()-COLUMN($C$257))),"")</f>
        <v/>
      </c>
      <c r="W346" s="1055" t="str">
        <f ca="1">IF(ISNUMBER(INDEX(magestuff!$D$499:$Y$615,ROW()-ROW($D$256),COLUMN()-COLUMN($C$257))),INDIRECT("'Master Spell List'!$Z$"&amp;INDEX(magestuff!$D$499:$Y$615,ROW()-ROW($D$256),COLUMN()-COLUMN($C$257))),"")</f>
        <v/>
      </c>
    </row>
    <row r="347" spans="1:23">
      <c r="A347" s="598">
        <v>92</v>
      </c>
      <c r="B347" s="598" t="s">
        <v>2225</v>
      </c>
      <c r="C347" s="598" t="s">
        <v>2225</v>
      </c>
      <c r="D347" s="1055" t="str">
        <f ca="1">IF(ISNUMBER(INDEX(magestuff!$D$499:$Y$615,ROW()-ROW($D$256),COLUMN()-COLUMN($C$257))),INDIRECT("'Master Spell List'!$Z$"&amp;INDEX(magestuff!$D$499:$Y$615,ROW()-ROW($D$256),COLUMN()-COLUMN($C$257))),"")</f>
        <v/>
      </c>
      <c r="E347" s="1055" t="str">
        <f ca="1">IF(ISNUMBER(INDEX(magestuff!$D$499:$Y$615,ROW()-ROW($D$256),COLUMN()-COLUMN($C$257))),INDIRECT("'Master Spell List'!$Z$"&amp;INDEX(magestuff!$D$499:$Y$615,ROW()-ROW($D$256),COLUMN()-COLUMN($C$257))),"")</f>
        <v/>
      </c>
      <c r="F347" s="1055" t="str">
        <f ca="1">IF(ISNUMBER(INDEX(magestuff!$D$499:$Y$615,ROW()-ROW($D$256),COLUMN()-COLUMN($C$257))),INDIRECT("'Master Spell List'!$Z$"&amp;INDEX(magestuff!$D$499:$Y$615,ROW()-ROW($D$256),COLUMN()-COLUMN($C$257))),"")</f>
        <v/>
      </c>
      <c r="G347" s="1055" t="str">
        <f ca="1">IF(ISNUMBER(INDEX(magestuff!$D$499:$Y$615,ROW()-ROW($D$256),COLUMN()-COLUMN($C$257))),INDIRECT("'Master Spell List'!$Z$"&amp;INDEX(magestuff!$D$499:$Y$615,ROW()-ROW($D$256),COLUMN()-COLUMN($C$257))),"")</f>
        <v/>
      </c>
      <c r="H347" s="1055" t="str">
        <f ca="1">IF(ISNUMBER(INDEX(magestuff!$D$499:$Y$615,ROW()-ROW($D$256),COLUMN()-COLUMN($C$257))),INDIRECT("'Master Spell List'!$Z$"&amp;INDEX(magestuff!$D$499:$Y$615,ROW()-ROW($D$256),COLUMN()-COLUMN($C$257))),"")</f>
        <v/>
      </c>
      <c r="I347" s="1055" t="str">
        <f ca="1">IF(ISNUMBER(INDEX(magestuff!$D$499:$Y$615,ROW()-ROW($D$256),COLUMN()-COLUMN($C$257))),INDIRECT("'Master Spell List'!$Z$"&amp;INDEX(magestuff!$D$499:$Y$615,ROW()-ROW($D$256),COLUMN()-COLUMN($C$257))),"")</f>
        <v xml:space="preserve">Least Arcane Beast of Burden    </v>
      </c>
      <c r="J347" s="1055" t="str">
        <f ca="1">IF(ISNUMBER(INDEX(magestuff!$D$499:$Y$615,ROW()-ROW($D$256),COLUMN()-COLUMN($C$257))),INDIRECT("'Master Spell List'!$Z$"&amp;INDEX(magestuff!$D$499:$Y$615,ROW()-ROW($D$256),COLUMN()-COLUMN($C$257))),"")</f>
        <v>Mass Nightmares</v>
      </c>
      <c r="K347" s="1055" t="str">
        <f ca="1">IF(ISNUMBER(INDEX(magestuff!$D$499:$Y$615,ROW()-ROW($D$256),COLUMN()-COLUMN($C$257))),INDIRECT("'Master Spell List'!$Z$"&amp;INDEX(magestuff!$D$499:$Y$615,ROW()-ROW($D$256),COLUMN()-COLUMN($C$257))),"")</f>
        <v>Tempest of Time</v>
      </c>
      <c r="L347" s="1055" t="str">
        <f ca="1">IF(ISNUMBER(INDEX(magestuff!$D$499:$Y$615,ROW()-ROW($D$256),COLUMN()-COLUMN($C$257))),INDIRECT("'Master Spell List'!$Z$"&amp;INDEX(magestuff!$D$499:$Y$615,ROW()-ROW($D$256),COLUMN()-COLUMN($C$257))),"")</f>
        <v/>
      </c>
      <c r="M347" s="1055" t="str">
        <f ca="1">IF(ISNUMBER(INDEX(magestuff!$D$499:$Y$615,ROW()-ROW($D$256),COLUMN()-COLUMN($C$257))),INDIRECT("'Master Spell List'!$Z$"&amp;INDEX(magestuff!$D$499:$Y$615,ROW()-ROW($D$256),COLUMN()-COLUMN($C$257))),"")</f>
        <v/>
      </c>
      <c r="N347" s="1055" t="str">
        <f ca="1">IF(ISNUMBER(INDEX(magestuff!$D$499:$Y$615,ROW()-ROW($D$256),COLUMN()-COLUMN($C$257))),INDIRECT("'Master Spell List'!$Z$"&amp;INDEX(magestuff!$D$499:$Y$615,ROW()-ROW($D$256),COLUMN()-COLUMN($C$257))),"")</f>
        <v/>
      </c>
      <c r="O347" s="1055" t="str">
        <f ca="1">IF(ISNUMBER(INDEX(magestuff!$D$499:$Y$615,ROW()-ROW($D$256),COLUMN()-COLUMN($C$257))),INDIRECT("'Master Spell List'!$Z$"&amp;INDEX(magestuff!$D$499:$Y$615,ROW()-ROW($D$256),COLUMN()-COLUMN($C$257))),"")</f>
        <v/>
      </c>
      <c r="P347" s="1055" t="str">
        <f ca="1">IF(ISNUMBER(INDEX(magestuff!$D$499:$Y$615,ROW()-ROW($D$256),COLUMN()-COLUMN($C$257))),INDIRECT("'Master Spell List'!$Z$"&amp;INDEX(magestuff!$D$499:$Y$615,ROW()-ROW($D$256),COLUMN()-COLUMN($C$257))),"")</f>
        <v/>
      </c>
      <c r="Q347" s="1055" t="str">
        <f ca="1">IF(ISNUMBER(INDEX(magestuff!$D$499:$Y$615,ROW()-ROW($D$256),COLUMN()-COLUMN($C$257))),INDIRECT("'Master Spell List'!$Z$"&amp;INDEX(magestuff!$D$499:$Y$615,ROW()-ROW($D$256),COLUMN()-COLUMN($C$257))),"")</f>
        <v/>
      </c>
      <c r="R347" s="1055" t="str">
        <f ca="1">IF(ISNUMBER(INDEX(magestuff!$D$499:$Y$615,ROW()-ROW($D$256),COLUMN()-COLUMN($C$257))),INDIRECT("'Master Spell List'!$Z$"&amp;INDEX(magestuff!$D$499:$Y$615,ROW()-ROW($D$256),COLUMN()-COLUMN($C$257))),"")</f>
        <v/>
      </c>
      <c r="S347" s="1055" t="str">
        <f ca="1">IF(ISNUMBER(INDEX(magestuff!$D$499:$Y$615,ROW()-ROW($D$256),COLUMN()-COLUMN($C$257))),INDIRECT("'Master Spell List'!$Z$"&amp;INDEX(magestuff!$D$499:$Y$615,ROW()-ROW($D$256),COLUMN()-COLUMN($C$257))),"")</f>
        <v/>
      </c>
      <c r="T347" s="1055" t="str">
        <f ca="1">IF(ISNUMBER(INDEX(magestuff!$D$499:$Y$615,ROW()-ROW($D$256),COLUMN()-COLUMN($C$257))),INDIRECT("'Master Spell List'!$Z$"&amp;INDEX(magestuff!$D$499:$Y$615,ROW()-ROW($D$256),COLUMN()-COLUMN($C$257))),"")</f>
        <v/>
      </c>
      <c r="U347" s="1055" t="str">
        <f ca="1">IF(ISNUMBER(INDEX(magestuff!$D$499:$Y$615,ROW()-ROW($D$256),COLUMN()-COLUMN($C$257))),INDIRECT("'Master Spell List'!$Z$"&amp;INDEX(magestuff!$D$499:$Y$615,ROW()-ROW($D$256),COLUMN()-COLUMN($C$257))),"")</f>
        <v/>
      </c>
      <c r="V347" s="1055" t="str">
        <f ca="1">IF(ISNUMBER(INDEX(magestuff!$D$499:$Y$615,ROW()-ROW($D$256),COLUMN()-COLUMN($C$257))),INDIRECT("'Master Spell List'!$Z$"&amp;INDEX(magestuff!$D$499:$Y$615,ROW()-ROW($D$256),COLUMN()-COLUMN($C$257))),"")</f>
        <v/>
      </c>
      <c r="W347" s="1055" t="str">
        <f ca="1">IF(ISNUMBER(INDEX(magestuff!$D$499:$Y$615,ROW()-ROW($D$256),COLUMN()-COLUMN($C$257))),INDIRECT("'Master Spell List'!$Z$"&amp;INDEX(magestuff!$D$499:$Y$615,ROW()-ROW($D$256),COLUMN()-COLUMN($C$257))),"")</f>
        <v/>
      </c>
    </row>
    <row r="348" spans="1:23">
      <c r="A348" s="598">
        <v>93</v>
      </c>
      <c r="B348" s="598" t="s">
        <v>2225</v>
      </c>
      <c r="C348" s="598" t="s">
        <v>2225</v>
      </c>
      <c r="D348" s="1055" t="str">
        <f ca="1">IF(ISNUMBER(INDEX(magestuff!$D$499:$Y$615,ROW()-ROW($D$256),COLUMN()-COLUMN($C$257))),INDIRECT("'Master Spell List'!$Z$"&amp;INDEX(magestuff!$D$499:$Y$615,ROW()-ROW($D$256),COLUMN()-COLUMN($C$257))),"")</f>
        <v/>
      </c>
      <c r="E348" s="1055" t="str">
        <f ca="1">IF(ISNUMBER(INDEX(magestuff!$D$499:$Y$615,ROW()-ROW($D$256),COLUMN()-COLUMN($C$257))),INDIRECT("'Master Spell List'!$Z$"&amp;INDEX(magestuff!$D$499:$Y$615,ROW()-ROW($D$256),COLUMN()-COLUMN($C$257))),"")</f>
        <v/>
      </c>
      <c r="F348" s="1055" t="str">
        <f ca="1">IF(ISNUMBER(INDEX(magestuff!$D$499:$Y$615,ROW()-ROW($D$256),COLUMN()-COLUMN($C$257))),INDIRECT("'Master Spell List'!$Z$"&amp;INDEX(magestuff!$D$499:$Y$615,ROW()-ROW($D$256),COLUMN()-COLUMN($C$257))),"")</f>
        <v/>
      </c>
      <c r="G348" s="1055" t="str">
        <f ca="1">IF(ISNUMBER(INDEX(magestuff!$D$499:$Y$615,ROW()-ROW($D$256),COLUMN()-COLUMN($C$257))),INDIRECT("'Master Spell List'!$Z$"&amp;INDEX(magestuff!$D$499:$Y$615,ROW()-ROW($D$256),COLUMN()-COLUMN($C$257))),"")</f>
        <v/>
      </c>
      <c r="H348" s="1055" t="str">
        <f ca="1">IF(ISNUMBER(INDEX(magestuff!$D$499:$Y$615,ROW()-ROW($D$256),COLUMN()-COLUMN($C$257))),INDIRECT("'Master Spell List'!$Z$"&amp;INDEX(magestuff!$D$499:$Y$615,ROW()-ROW($D$256),COLUMN()-COLUMN($C$257))),"")</f>
        <v/>
      </c>
      <c r="I348" s="1055" t="str">
        <f ca="1">IF(ISNUMBER(INDEX(magestuff!$D$499:$Y$615,ROW()-ROW($D$256),COLUMN()-COLUMN($C$257))),INDIRECT("'Master Spell List'!$Z$"&amp;INDEX(magestuff!$D$499:$Y$615,ROW()-ROW($D$256),COLUMN()-COLUMN($C$257))),"")</f>
        <v xml:space="preserve">Least Deflect Arcane Energy   </v>
      </c>
      <c r="J348" s="1055" t="str">
        <f ca="1">IF(ISNUMBER(INDEX(magestuff!$D$499:$Y$615,ROW()-ROW($D$256),COLUMN()-COLUMN($C$257))),INDIRECT("'Master Spell List'!$Z$"&amp;INDEX(magestuff!$D$499:$Y$615,ROW()-ROW($D$256),COLUMN()-COLUMN($C$257))),"")</f>
        <v>Mass Peaceful Sleep</v>
      </c>
      <c r="K348" s="1055" t="str">
        <f ca="1">IF(ISNUMBER(INDEX(magestuff!$D$499:$Y$615,ROW()-ROW($D$256),COLUMN()-COLUMN($C$257))),INDIRECT("'Master Spell List'!$Z$"&amp;INDEX(magestuff!$D$499:$Y$615,ROW()-ROW($D$256),COLUMN()-COLUMN($C$257))),"")</f>
        <v/>
      </c>
      <c r="L348" s="1055" t="str">
        <f ca="1">IF(ISNUMBER(INDEX(magestuff!$D$499:$Y$615,ROW()-ROW($D$256),COLUMN()-COLUMN($C$257))),INDIRECT("'Master Spell List'!$Z$"&amp;INDEX(magestuff!$D$499:$Y$615,ROW()-ROW($D$256),COLUMN()-COLUMN($C$257))),"")</f>
        <v/>
      </c>
      <c r="M348" s="1055" t="str">
        <f ca="1">IF(ISNUMBER(INDEX(magestuff!$D$499:$Y$615,ROW()-ROW($D$256),COLUMN()-COLUMN($C$257))),INDIRECT("'Master Spell List'!$Z$"&amp;INDEX(magestuff!$D$499:$Y$615,ROW()-ROW($D$256),COLUMN()-COLUMN($C$257))),"")</f>
        <v/>
      </c>
      <c r="N348" s="1055" t="str">
        <f ca="1">IF(ISNUMBER(INDEX(magestuff!$D$499:$Y$615,ROW()-ROW($D$256),COLUMN()-COLUMN($C$257))),INDIRECT("'Master Spell List'!$Z$"&amp;INDEX(magestuff!$D$499:$Y$615,ROW()-ROW($D$256),COLUMN()-COLUMN($C$257))),"")</f>
        <v/>
      </c>
      <c r="O348" s="1055" t="str">
        <f ca="1">IF(ISNUMBER(INDEX(magestuff!$D$499:$Y$615,ROW()-ROW($D$256),COLUMN()-COLUMN($C$257))),INDIRECT("'Master Spell List'!$Z$"&amp;INDEX(magestuff!$D$499:$Y$615,ROW()-ROW($D$256),COLUMN()-COLUMN($C$257))),"")</f>
        <v/>
      </c>
      <c r="P348" s="1055" t="str">
        <f ca="1">IF(ISNUMBER(INDEX(magestuff!$D$499:$Y$615,ROW()-ROW($D$256),COLUMN()-COLUMN($C$257))),INDIRECT("'Master Spell List'!$Z$"&amp;INDEX(magestuff!$D$499:$Y$615,ROW()-ROW($D$256),COLUMN()-COLUMN($C$257))),"")</f>
        <v/>
      </c>
      <c r="Q348" s="1055" t="str">
        <f ca="1">IF(ISNUMBER(INDEX(magestuff!$D$499:$Y$615,ROW()-ROW($D$256),COLUMN()-COLUMN($C$257))),INDIRECT("'Master Spell List'!$Z$"&amp;INDEX(magestuff!$D$499:$Y$615,ROW()-ROW($D$256),COLUMN()-COLUMN($C$257))),"")</f>
        <v/>
      </c>
      <c r="R348" s="1055" t="str">
        <f ca="1">IF(ISNUMBER(INDEX(magestuff!$D$499:$Y$615,ROW()-ROW($D$256),COLUMN()-COLUMN($C$257))),INDIRECT("'Master Spell List'!$Z$"&amp;INDEX(magestuff!$D$499:$Y$615,ROW()-ROW($D$256),COLUMN()-COLUMN($C$257))),"")</f>
        <v/>
      </c>
      <c r="S348" s="1055" t="str">
        <f ca="1">IF(ISNUMBER(INDEX(magestuff!$D$499:$Y$615,ROW()-ROW($D$256),COLUMN()-COLUMN($C$257))),INDIRECT("'Master Spell List'!$Z$"&amp;INDEX(magestuff!$D$499:$Y$615,ROW()-ROW($D$256),COLUMN()-COLUMN($C$257))),"")</f>
        <v/>
      </c>
      <c r="T348" s="1055" t="str">
        <f ca="1">IF(ISNUMBER(INDEX(magestuff!$D$499:$Y$615,ROW()-ROW($D$256),COLUMN()-COLUMN($C$257))),INDIRECT("'Master Spell List'!$Z$"&amp;INDEX(magestuff!$D$499:$Y$615,ROW()-ROW($D$256),COLUMN()-COLUMN($C$257))),"")</f>
        <v/>
      </c>
      <c r="U348" s="1055" t="str">
        <f ca="1">IF(ISNUMBER(INDEX(magestuff!$D$499:$Y$615,ROW()-ROW($D$256),COLUMN()-COLUMN($C$257))),INDIRECT("'Master Spell List'!$Z$"&amp;INDEX(magestuff!$D$499:$Y$615,ROW()-ROW($D$256),COLUMN()-COLUMN($C$257))),"")</f>
        <v/>
      </c>
      <c r="V348" s="1055" t="str">
        <f ca="1">IF(ISNUMBER(INDEX(magestuff!$D$499:$Y$615,ROW()-ROW($D$256),COLUMN()-COLUMN($C$257))),INDIRECT("'Master Spell List'!$Z$"&amp;INDEX(magestuff!$D$499:$Y$615,ROW()-ROW($D$256),COLUMN()-COLUMN($C$257))),"")</f>
        <v/>
      </c>
      <c r="W348" s="1055" t="str">
        <f ca="1">IF(ISNUMBER(INDEX(magestuff!$D$499:$Y$615,ROW()-ROW($D$256),COLUMN()-COLUMN($C$257))),INDIRECT("'Master Spell List'!$Z$"&amp;INDEX(magestuff!$D$499:$Y$615,ROW()-ROW($D$256),COLUMN()-COLUMN($C$257))),"")</f>
        <v/>
      </c>
    </row>
    <row r="349" spans="1:23">
      <c r="A349" s="598">
        <v>94</v>
      </c>
      <c r="B349" s="598" t="s">
        <v>2225</v>
      </c>
      <c r="C349" s="598" t="s">
        <v>2225</v>
      </c>
      <c r="D349" s="1055" t="str">
        <f ca="1">IF(ISNUMBER(INDEX(magestuff!$D$499:$Y$615,ROW()-ROW($D$256),COLUMN()-COLUMN($C$257))),INDIRECT("'Master Spell List'!$Z$"&amp;INDEX(magestuff!$D$499:$Y$615,ROW()-ROW($D$256),COLUMN()-COLUMN($C$257))),"")</f>
        <v/>
      </c>
      <c r="E349" s="1055" t="str">
        <f ca="1">IF(ISNUMBER(INDEX(magestuff!$D$499:$Y$615,ROW()-ROW($D$256),COLUMN()-COLUMN($C$257))),INDIRECT("'Master Spell List'!$Z$"&amp;INDEX(magestuff!$D$499:$Y$615,ROW()-ROW($D$256),COLUMN()-COLUMN($C$257))),"")</f>
        <v/>
      </c>
      <c r="F349" s="1055" t="str">
        <f ca="1">IF(ISNUMBER(INDEX(magestuff!$D$499:$Y$615,ROW()-ROW($D$256),COLUMN()-COLUMN($C$257))),INDIRECT("'Master Spell List'!$Z$"&amp;INDEX(magestuff!$D$499:$Y$615,ROW()-ROW($D$256),COLUMN()-COLUMN($C$257))),"")</f>
        <v/>
      </c>
      <c r="G349" s="1055" t="str">
        <f ca="1">IF(ISNUMBER(INDEX(magestuff!$D$499:$Y$615,ROW()-ROW($D$256),COLUMN()-COLUMN($C$257))),INDIRECT("'Master Spell List'!$Z$"&amp;INDEX(magestuff!$D$499:$Y$615,ROW()-ROW($D$256),COLUMN()-COLUMN($C$257))),"")</f>
        <v/>
      </c>
      <c r="H349" s="1055" t="str">
        <f ca="1">IF(ISNUMBER(INDEX(magestuff!$D$499:$Y$615,ROW()-ROW($D$256),COLUMN()-COLUMN($C$257))),INDIRECT("'Master Spell List'!$Z$"&amp;INDEX(magestuff!$D$499:$Y$615,ROW()-ROW($D$256),COLUMN()-COLUMN($C$257))),"")</f>
        <v/>
      </c>
      <c r="I349" s="1055" t="str">
        <f ca="1">IF(ISNUMBER(INDEX(magestuff!$D$499:$Y$615,ROW()-ROW($D$256),COLUMN()-COLUMN($C$257))),INDIRECT("'Master Spell List'!$Z$"&amp;INDEX(magestuff!$D$499:$Y$615,ROW()-ROW($D$256),COLUMN()-COLUMN($C$257))),"")</f>
        <v>Least Seal of the Ages</v>
      </c>
      <c r="J349" s="1055" t="str">
        <f ca="1">IF(ISNUMBER(INDEX(magestuff!$D$499:$Y$615,ROW()-ROW($D$256),COLUMN()-COLUMN($C$257))),INDIRECT("'Master Spell List'!$Z$"&amp;INDEX(magestuff!$D$499:$Y$615,ROW()-ROW($D$256),COLUMN()-COLUMN($C$257))),"")</f>
        <v>Mental Fugue</v>
      </c>
      <c r="K349" s="1055" t="str">
        <f ca="1">IF(ISNUMBER(INDEX(magestuff!$D$499:$Y$615,ROW()-ROW($D$256),COLUMN()-COLUMN($C$257))),INDIRECT("'Master Spell List'!$Z$"&amp;INDEX(magestuff!$D$499:$Y$615,ROW()-ROW($D$256),COLUMN()-COLUMN($C$257))),"")</f>
        <v/>
      </c>
      <c r="L349" s="1055" t="str">
        <f ca="1">IF(ISNUMBER(INDEX(magestuff!$D$499:$Y$615,ROW()-ROW($D$256),COLUMN()-COLUMN($C$257))),INDIRECT("'Master Spell List'!$Z$"&amp;INDEX(magestuff!$D$499:$Y$615,ROW()-ROW($D$256),COLUMN()-COLUMN($C$257))),"")</f>
        <v/>
      </c>
      <c r="M349" s="1055" t="str">
        <f ca="1">IF(ISNUMBER(INDEX(magestuff!$D$499:$Y$615,ROW()-ROW($D$256),COLUMN()-COLUMN($C$257))),INDIRECT("'Master Spell List'!$Z$"&amp;INDEX(magestuff!$D$499:$Y$615,ROW()-ROW($D$256),COLUMN()-COLUMN($C$257))),"")</f>
        <v/>
      </c>
      <c r="N349" s="1055" t="str">
        <f ca="1">IF(ISNUMBER(INDEX(magestuff!$D$499:$Y$615,ROW()-ROW($D$256),COLUMN()-COLUMN($C$257))),INDIRECT("'Master Spell List'!$Z$"&amp;INDEX(magestuff!$D$499:$Y$615,ROW()-ROW($D$256),COLUMN()-COLUMN($C$257))),"")</f>
        <v/>
      </c>
      <c r="O349" s="1055" t="str">
        <f ca="1">IF(ISNUMBER(INDEX(magestuff!$D$499:$Y$615,ROW()-ROW($D$256),COLUMN()-COLUMN($C$257))),INDIRECT("'Master Spell List'!$Z$"&amp;INDEX(magestuff!$D$499:$Y$615,ROW()-ROW($D$256),COLUMN()-COLUMN($C$257))),"")</f>
        <v/>
      </c>
      <c r="P349" s="1055" t="str">
        <f ca="1">IF(ISNUMBER(INDEX(magestuff!$D$499:$Y$615,ROW()-ROW($D$256),COLUMN()-COLUMN($C$257))),INDIRECT("'Master Spell List'!$Z$"&amp;INDEX(magestuff!$D$499:$Y$615,ROW()-ROW($D$256),COLUMN()-COLUMN($C$257))),"")</f>
        <v/>
      </c>
      <c r="Q349" s="1055" t="str">
        <f ca="1">IF(ISNUMBER(INDEX(magestuff!$D$499:$Y$615,ROW()-ROW($D$256),COLUMN()-COLUMN($C$257))),INDIRECT("'Master Spell List'!$Z$"&amp;INDEX(magestuff!$D$499:$Y$615,ROW()-ROW($D$256),COLUMN()-COLUMN($C$257))),"")</f>
        <v/>
      </c>
      <c r="R349" s="1055" t="str">
        <f ca="1">IF(ISNUMBER(INDEX(magestuff!$D$499:$Y$615,ROW()-ROW($D$256),COLUMN()-COLUMN($C$257))),INDIRECT("'Master Spell List'!$Z$"&amp;INDEX(magestuff!$D$499:$Y$615,ROW()-ROW($D$256),COLUMN()-COLUMN($C$257))),"")</f>
        <v/>
      </c>
      <c r="S349" s="1055" t="str">
        <f ca="1">IF(ISNUMBER(INDEX(magestuff!$D$499:$Y$615,ROW()-ROW($D$256),COLUMN()-COLUMN($C$257))),INDIRECT("'Master Spell List'!$Z$"&amp;INDEX(magestuff!$D$499:$Y$615,ROW()-ROW($D$256),COLUMN()-COLUMN($C$257))),"")</f>
        <v/>
      </c>
      <c r="T349" s="1055" t="str">
        <f ca="1">IF(ISNUMBER(INDEX(magestuff!$D$499:$Y$615,ROW()-ROW($D$256),COLUMN()-COLUMN($C$257))),INDIRECT("'Master Spell List'!$Z$"&amp;INDEX(magestuff!$D$499:$Y$615,ROW()-ROW($D$256),COLUMN()-COLUMN($C$257))),"")</f>
        <v/>
      </c>
      <c r="U349" s="1055" t="str">
        <f ca="1">IF(ISNUMBER(INDEX(magestuff!$D$499:$Y$615,ROW()-ROW($D$256),COLUMN()-COLUMN($C$257))),INDIRECT("'Master Spell List'!$Z$"&amp;INDEX(magestuff!$D$499:$Y$615,ROW()-ROW($D$256),COLUMN()-COLUMN($C$257))),"")</f>
        <v/>
      </c>
      <c r="V349" s="1055" t="str">
        <f ca="1">IF(ISNUMBER(INDEX(magestuff!$D$499:$Y$615,ROW()-ROW($D$256),COLUMN()-COLUMN($C$257))),INDIRECT("'Master Spell List'!$Z$"&amp;INDEX(magestuff!$D$499:$Y$615,ROW()-ROW($D$256),COLUMN()-COLUMN($C$257))),"")</f>
        <v/>
      </c>
      <c r="W349" s="1055" t="str">
        <f ca="1">IF(ISNUMBER(INDEX(magestuff!$D$499:$Y$615,ROW()-ROW($D$256),COLUMN()-COLUMN($C$257))),INDIRECT("'Master Spell List'!$Z$"&amp;INDEX(magestuff!$D$499:$Y$615,ROW()-ROW($D$256),COLUMN()-COLUMN($C$257))),"")</f>
        <v/>
      </c>
    </row>
    <row r="350" spans="1:23">
      <c r="A350" s="598">
        <v>95</v>
      </c>
      <c r="B350" s="598" t="s">
        <v>2225</v>
      </c>
      <c r="C350" s="598" t="s">
        <v>2225</v>
      </c>
      <c r="D350" s="1055" t="str">
        <f ca="1">IF(ISNUMBER(INDEX(magestuff!$D$499:$Y$615,ROW()-ROW($D$256),COLUMN()-COLUMN($C$257))),INDIRECT("'Master Spell List'!$Z$"&amp;INDEX(magestuff!$D$499:$Y$615,ROW()-ROW($D$256),COLUMN()-COLUMN($C$257))),"")</f>
        <v/>
      </c>
      <c r="E350" s="1055" t="str">
        <f ca="1">IF(ISNUMBER(INDEX(magestuff!$D$499:$Y$615,ROW()-ROW($D$256),COLUMN()-COLUMN($C$257))),INDIRECT("'Master Spell List'!$Z$"&amp;INDEX(magestuff!$D$499:$Y$615,ROW()-ROW($D$256),COLUMN()-COLUMN($C$257))),"")</f>
        <v/>
      </c>
      <c r="F350" s="1055" t="str">
        <f ca="1">IF(ISNUMBER(INDEX(magestuff!$D$499:$Y$615,ROW()-ROW($D$256),COLUMN()-COLUMN($C$257))),INDIRECT("'Master Spell List'!$Z$"&amp;INDEX(magestuff!$D$499:$Y$615,ROW()-ROW($D$256),COLUMN()-COLUMN($C$257))),"")</f>
        <v/>
      </c>
      <c r="G350" s="1055" t="str">
        <f ca="1">IF(ISNUMBER(INDEX(magestuff!$D$499:$Y$615,ROW()-ROW($D$256),COLUMN()-COLUMN($C$257))),INDIRECT("'Master Spell List'!$Z$"&amp;INDEX(magestuff!$D$499:$Y$615,ROW()-ROW($D$256),COLUMN()-COLUMN($C$257))),"")</f>
        <v/>
      </c>
      <c r="H350" s="1055" t="str">
        <f ca="1">IF(ISNUMBER(INDEX(magestuff!$D$499:$Y$615,ROW()-ROW($D$256),COLUMN()-COLUMN($C$257))),INDIRECT("'Master Spell List'!$Z$"&amp;INDEX(magestuff!$D$499:$Y$615,ROW()-ROW($D$256),COLUMN()-COLUMN($C$257))),"")</f>
        <v/>
      </c>
      <c r="I350" s="1055" t="str">
        <f ca="1">IF(ISNUMBER(INDEX(magestuff!$D$499:$Y$615,ROW()-ROW($D$256),COLUMN()-COLUMN($C$257))),INDIRECT("'Master Spell List'!$Z$"&amp;INDEX(magestuff!$D$499:$Y$615,ROW()-ROW($D$256),COLUMN()-COLUMN($C$257))),"")</f>
        <v>Lesser Sigil of the Arcane</v>
      </c>
      <c r="J350" s="1055" t="str">
        <f ca="1">IF(ISNUMBER(INDEX(magestuff!$D$499:$Y$615,ROW()-ROW($D$256),COLUMN()-COLUMN($C$257))),INDIRECT("'Master Spell List'!$Z$"&amp;INDEX(magestuff!$D$499:$Y$615,ROW()-ROW($D$256),COLUMN()-COLUMN($C$257))),"")</f>
        <v>Recall</v>
      </c>
      <c r="K350" s="1055" t="str">
        <f ca="1">IF(ISNUMBER(INDEX(magestuff!$D$499:$Y$615,ROW()-ROW($D$256),COLUMN()-COLUMN($C$257))),INDIRECT("'Master Spell List'!$Z$"&amp;INDEX(magestuff!$D$499:$Y$615,ROW()-ROW($D$256),COLUMN()-COLUMN($C$257))),"")</f>
        <v/>
      </c>
      <c r="L350" s="1055" t="str">
        <f ca="1">IF(ISNUMBER(INDEX(magestuff!$D$499:$Y$615,ROW()-ROW($D$256),COLUMN()-COLUMN($C$257))),INDIRECT("'Master Spell List'!$Z$"&amp;INDEX(magestuff!$D$499:$Y$615,ROW()-ROW($D$256),COLUMN()-COLUMN($C$257))),"")</f>
        <v/>
      </c>
      <c r="M350" s="1055" t="str">
        <f ca="1">IF(ISNUMBER(INDEX(magestuff!$D$499:$Y$615,ROW()-ROW($D$256),COLUMN()-COLUMN($C$257))),INDIRECT("'Master Spell List'!$Z$"&amp;INDEX(magestuff!$D$499:$Y$615,ROW()-ROW($D$256),COLUMN()-COLUMN($C$257))),"")</f>
        <v/>
      </c>
      <c r="N350" s="1055" t="str">
        <f ca="1">IF(ISNUMBER(INDEX(magestuff!$D$499:$Y$615,ROW()-ROW($D$256),COLUMN()-COLUMN($C$257))),INDIRECT("'Master Spell List'!$Z$"&amp;INDEX(magestuff!$D$499:$Y$615,ROW()-ROW($D$256),COLUMN()-COLUMN($C$257))),"")</f>
        <v/>
      </c>
      <c r="O350" s="1055" t="str">
        <f ca="1">IF(ISNUMBER(INDEX(magestuff!$D$499:$Y$615,ROW()-ROW($D$256),COLUMN()-COLUMN($C$257))),INDIRECT("'Master Spell List'!$Z$"&amp;INDEX(magestuff!$D$499:$Y$615,ROW()-ROW($D$256),COLUMN()-COLUMN($C$257))),"")</f>
        <v/>
      </c>
      <c r="P350" s="1055" t="str">
        <f ca="1">IF(ISNUMBER(INDEX(magestuff!$D$499:$Y$615,ROW()-ROW($D$256),COLUMN()-COLUMN($C$257))),INDIRECT("'Master Spell List'!$Z$"&amp;INDEX(magestuff!$D$499:$Y$615,ROW()-ROW($D$256),COLUMN()-COLUMN($C$257))),"")</f>
        <v/>
      </c>
      <c r="Q350" s="1055" t="str">
        <f ca="1">IF(ISNUMBER(INDEX(magestuff!$D$499:$Y$615,ROW()-ROW($D$256),COLUMN()-COLUMN($C$257))),INDIRECT("'Master Spell List'!$Z$"&amp;INDEX(magestuff!$D$499:$Y$615,ROW()-ROW($D$256),COLUMN()-COLUMN($C$257))),"")</f>
        <v/>
      </c>
      <c r="R350" s="1055" t="str">
        <f ca="1">IF(ISNUMBER(INDEX(magestuff!$D$499:$Y$615,ROW()-ROW($D$256),COLUMN()-COLUMN($C$257))),INDIRECT("'Master Spell List'!$Z$"&amp;INDEX(magestuff!$D$499:$Y$615,ROW()-ROW($D$256),COLUMN()-COLUMN($C$257))),"")</f>
        <v/>
      </c>
      <c r="S350" s="1055" t="str">
        <f ca="1">IF(ISNUMBER(INDEX(magestuff!$D$499:$Y$615,ROW()-ROW($D$256),COLUMN()-COLUMN($C$257))),INDIRECT("'Master Spell List'!$Z$"&amp;INDEX(magestuff!$D$499:$Y$615,ROW()-ROW($D$256),COLUMN()-COLUMN($C$257))),"")</f>
        <v/>
      </c>
      <c r="T350" s="1055" t="str">
        <f ca="1">IF(ISNUMBER(INDEX(magestuff!$D$499:$Y$615,ROW()-ROW($D$256),COLUMN()-COLUMN($C$257))),INDIRECT("'Master Spell List'!$Z$"&amp;INDEX(magestuff!$D$499:$Y$615,ROW()-ROW($D$256),COLUMN()-COLUMN($C$257))),"")</f>
        <v/>
      </c>
      <c r="U350" s="1055" t="str">
        <f ca="1">IF(ISNUMBER(INDEX(magestuff!$D$499:$Y$615,ROW()-ROW($D$256),COLUMN()-COLUMN($C$257))),INDIRECT("'Master Spell List'!$Z$"&amp;INDEX(magestuff!$D$499:$Y$615,ROW()-ROW($D$256),COLUMN()-COLUMN($C$257))),"")</f>
        <v/>
      </c>
      <c r="V350" s="1055" t="str">
        <f ca="1">IF(ISNUMBER(INDEX(magestuff!$D$499:$Y$615,ROW()-ROW($D$256),COLUMN()-COLUMN($C$257))),INDIRECT("'Master Spell List'!$Z$"&amp;INDEX(magestuff!$D$499:$Y$615,ROW()-ROW($D$256),COLUMN()-COLUMN($C$257))),"")</f>
        <v/>
      </c>
      <c r="W350" s="1055" t="str">
        <f ca="1">IF(ISNUMBER(INDEX(magestuff!$D$499:$Y$615,ROW()-ROW($D$256),COLUMN()-COLUMN($C$257))),INDIRECT("'Master Spell List'!$Z$"&amp;INDEX(magestuff!$D$499:$Y$615,ROW()-ROW($D$256),COLUMN()-COLUMN($C$257))),"")</f>
        <v/>
      </c>
    </row>
    <row r="351" spans="1:23">
      <c r="A351" s="598">
        <v>96</v>
      </c>
      <c r="B351" s="598" t="s">
        <v>2225</v>
      </c>
      <c r="C351" s="598" t="s">
        <v>2225</v>
      </c>
      <c r="D351" s="1055" t="str">
        <f ca="1">IF(ISNUMBER(INDEX(magestuff!$D$499:$Y$615,ROW()-ROW($D$256),COLUMN()-COLUMN($C$257))),INDIRECT("'Master Spell List'!$Z$"&amp;INDEX(magestuff!$D$499:$Y$615,ROW()-ROW($D$256),COLUMN()-COLUMN($C$257))),"")</f>
        <v/>
      </c>
      <c r="E351" s="1055" t="str">
        <f ca="1">IF(ISNUMBER(INDEX(magestuff!$D$499:$Y$615,ROW()-ROW($D$256),COLUMN()-COLUMN($C$257))),INDIRECT("'Master Spell List'!$Z$"&amp;INDEX(magestuff!$D$499:$Y$615,ROW()-ROW($D$256),COLUMN()-COLUMN($C$257))),"")</f>
        <v/>
      </c>
      <c r="F351" s="1055" t="str">
        <f ca="1">IF(ISNUMBER(INDEX(magestuff!$D$499:$Y$615,ROW()-ROW($D$256),COLUMN()-COLUMN($C$257))),INDIRECT("'Master Spell List'!$Z$"&amp;INDEX(magestuff!$D$499:$Y$615,ROW()-ROW($D$256),COLUMN()-COLUMN($C$257))),"")</f>
        <v/>
      </c>
      <c r="G351" s="1055" t="str">
        <f ca="1">IF(ISNUMBER(INDEX(magestuff!$D$499:$Y$615,ROW()-ROW($D$256),COLUMN()-COLUMN($C$257))),INDIRECT("'Master Spell List'!$Z$"&amp;INDEX(magestuff!$D$499:$Y$615,ROW()-ROW($D$256),COLUMN()-COLUMN($C$257))),"")</f>
        <v/>
      </c>
      <c r="H351" s="1055" t="str">
        <f ca="1">IF(ISNUMBER(INDEX(magestuff!$D$499:$Y$615,ROW()-ROW($D$256),COLUMN()-COLUMN($C$257))),INDIRECT("'Master Spell List'!$Z$"&amp;INDEX(magestuff!$D$499:$Y$615,ROW()-ROW($D$256),COLUMN()-COLUMN($C$257))),"")</f>
        <v/>
      </c>
      <c r="I351" s="1055" t="str">
        <f ca="1">IF(ISNUMBER(INDEX(magestuff!$D$499:$Y$615,ROW()-ROW($D$256),COLUMN()-COLUMN($C$257))),INDIRECT("'Master Spell List'!$Z$"&amp;INDEX(magestuff!$D$499:$Y$615,ROW()-ROW($D$256),COLUMN()-COLUMN($C$257))),"")</f>
        <v>Shadow Bomb (Mana Ball)</v>
      </c>
      <c r="J351" s="1055" t="str">
        <f ca="1">IF(ISNUMBER(INDEX(magestuff!$D$499:$Y$615,ROW()-ROW($D$256),COLUMN()-COLUMN($C$257))),INDIRECT("'Master Spell List'!$Z$"&amp;INDEX(magestuff!$D$499:$Y$615,ROW()-ROW($D$256),COLUMN()-COLUMN($C$257))),"")</f>
        <v>Command Lycanthrope</v>
      </c>
      <c r="K351" s="1055" t="str">
        <f ca="1">IF(ISNUMBER(INDEX(magestuff!$D$499:$Y$615,ROW()-ROW($D$256),COLUMN()-COLUMN($C$257))),INDIRECT("'Master Spell List'!$Z$"&amp;INDEX(magestuff!$D$499:$Y$615,ROW()-ROW($D$256),COLUMN()-COLUMN($C$257))),"")</f>
        <v/>
      </c>
      <c r="L351" s="1055" t="str">
        <f ca="1">IF(ISNUMBER(INDEX(magestuff!$D$499:$Y$615,ROW()-ROW($D$256),COLUMN()-COLUMN($C$257))),INDIRECT("'Master Spell List'!$Z$"&amp;INDEX(magestuff!$D$499:$Y$615,ROW()-ROW($D$256),COLUMN()-COLUMN($C$257))),"")</f>
        <v/>
      </c>
      <c r="M351" s="1055" t="str">
        <f ca="1">IF(ISNUMBER(INDEX(magestuff!$D$499:$Y$615,ROW()-ROW($D$256),COLUMN()-COLUMN($C$257))),INDIRECT("'Master Spell List'!$Z$"&amp;INDEX(magestuff!$D$499:$Y$615,ROW()-ROW($D$256),COLUMN()-COLUMN($C$257))),"")</f>
        <v/>
      </c>
      <c r="N351" s="1055" t="str">
        <f ca="1">IF(ISNUMBER(INDEX(magestuff!$D$499:$Y$615,ROW()-ROW($D$256),COLUMN()-COLUMN($C$257))),INDIRECT("'Master Spell List'!$Z$"&amp;INDEX(magestuff!$D$499:$Y$615,ROW()-ROW($D$256),COLUMN()-COLUMN($C$257))),"")</f>
        <v/>
      </c>
      <c r="O351" s="1055" t="str">
        <f ca="1">IF(ISNUMBER(INDEX(magestuff!$D$499:$Y$615,ROW()-ROW($D$256),COLUMN()-COLUMN($C$257))),INDIRECT("'Master Spell List'!$Z$"&amp;INDEX(magestuff!$D$499:$Y$615,ROW()-ROW($D$256),COLUMN()-COLUMN($C$257))),"")</f>
        <v/>
      </c>
      <c r="P351" s="1055" t="str">
        <f ca="1">IF(ISNUMBER(INDEX(magestuff!$D$499:$Y$615,ROW()-ROW($D$256),COLUMN()-COLUMN($C$257))),INDIRECT("'Master Spell List'!$Z$"&amp;INDEX(magestuff!$D$499:$Y$615,ROW()-ROW($D$256),COLUMN()-COLUMN($C$257))),"")</f>
        <v/>
      </c>
      <c r="Q351" s="1055" t="str">
        <f ca="1">IF(ISNUMBER(INDEX(magestuff!$D$499:$Y$615,ROW()-ROW($D$256),COLUMN()-COLUMN($C$257))),INDIRECT("'Master Spell List'!$Z$"&amp;INDEX(magestuff!$D$499:$Y$615,ROW()-ROW($D$256),COLUMN()-COLUMN($C$257))),"")</f>
        <v/>
      </c>
      <c r="R351" s="1055" t="str">
        <f ca="1">IF(ISNUMBER(INDEX(magestuff!$D$499:$Y$615,ROW()-ROW($D$256),COLUMN()-COLUMN($C$257))),INDIRECT("'Master Spell List'!$Z$"&amp;INDEX(magestuff!$D$499:$Y$615,ROW()-ROW($D$256),COLUMN()-COLUMN($C$257))),"")</f>
        <v/>
      </c>
      <c r="S351" s="1055" t="str">
        <f ca="1">IF(ISNUMBER(INDEX(magestuff!$D$499:$Y$615,ROW()-ROW($D$256),COLUMN()-COLUMN($C$257))),INDIRECT("'Master Spell List'!$Z$"&amp;INDEX(magestuff!$D$499:$Y$615,ROW()-ROW($D$256),COLUMN()-COLUMN($C$257))),"")</f>
        <v/>
      </c>
      <c r="T351" s="1055" t="str">
        <f ca="1">IF(ISNUMBER(INDEX(magestuff!$D$499:$Y$615,ROW()-ROW($D$256),COLUMN()-COLUMN($C$257))),INDIRECT("'Master Spell List'!$Z$"&amp;INDEX(magestuff!$D$499:$Y$615,ROW()-ROW($D$256),COLUMN()-COLUMN($C$257))),"")</f>
        <v/>
      </c>
      <c r="U351" s="1055" t="str">
        <f ca="1">IF(ISNUMBER(INDEX(magestuff!$D$499:$Y$615,ROW()-ROW($D$256),COLUMN()-COLUMN($C$257))),INDIRECT("'Master Spell List'!$Z$"&amp;INDEX(magestuff!$D$499:$Y$615,ROW()-ROW($D$256),COLUMN()-COLUMN($C$257))),"")</f>
        <v/>
      </c>
      <c r="V351" s="1055" t="str">
        <f ca="1">IF(ISNUMBER(INDEX(magestuff!$D$499:$Y$615,ROW()-ROW($D$256),COLUMN()-COLUMN($C$257))),INDIRECT("'Master Spell List'!$Z$"&amp;INDEX(magestuff!$D$499:$Y$615,ROW()-ROW($D$256),COLUMN()-COLUMN($C$257))),"")</f>
        <v/>
      </c>
      <c r="W351" s="1055" t="str">
        <f ca="1">IF(ISNUMBER(INDEX(magestuff!$D$499:$Y$615,ROW()-ROW($D$256),COLUMN()-COLUMN($C$257))),INDIRECT("'Master Spell List'!$Z$"&amp;INDEX(magestuff!$D$499:$Y$615,ROW()-ROW($D$256),COLUMN()-COLUMN($C$257))),"")</f>
        <v/>
      </c>
    </row>
    <row r="352" spans="1:23">
      <c r="A352" s="598">
        <v>97</v>
      </c>
      <c r="B352" s="598" t="s">
        <v>2225</v>
      </c>
      <c r="C352" s="598" t="s">
        <v>2225</v>
      </c>
      <c r="D352" s="1055" t="str">
        <f ca="1">IF(ISNUMBER(INDEX(magestuff!$D$499:$Y$615,ROW()-ROW($D$256),COLUMN()-COLUMN($C$257))),INDIRECT("'Master Spell List'!$Z$"&amp;INDEX(magestuff!$D$499:$Y$615,ROW()-ROW($D$256),COLUMN()-COLUMN($C$257))),"")</f>
        <v/>
      </c>
      <c r="E352" s="1055" t="str">
        <f ca="1">IF(ISNUMBER(INDEX(magestuff!$D$499:$Y$615,ROW()-ROW($D$256),COLUMN()-COLUMN($C$257))),INDIRECT("'Master Spell List'!$Z$"&amp;INDEX(magestuff!$D$499:$Y$615,ROW()-ROW($D$256),COLUMN()-COLUMN($C$257))),"")</f>
        <v/>
      </c>
      <c r="F352" s="1055" t="str">
        <f ca="1">IF(ISNUMBER(INDEX(magestuff!$D$499:$Y$615,ROW()-ROW($D$256),COLUMN()-COLUMN($C$257))),INDIRECT("'Master Spell List'!$Z$"&amp;INDEX(magestuff!$D$499:$Y$615,ROW()-ROW($D$256),COLUMN()-COLUMN($C$257))),"")</f>
        <v/>
      </c>
      <c r="G352" s="1055" t="str">
        <f ca="1">IF(ISNUMBER(INDEX(magestuff!$D$499:$Y$615,ROW()-ROW($D$256),COLUMN()-COLUMN($C$257))),INDIRECT("'Master Spell List'!$Z$"&amp;INDEX(magestuff!$D$499:$Y$615,ROW()-ROW($D$256),COLUMN()-COLUMN($C$257))),"")</f>
        <v/>
      </c>
      <c r="H352" s="1055" t="str">
        <f ca="1">IF(ISNUMBER(INDEX(magestuff!$D$499:$Y$615,ROW()-ROW($D$256),COLUMN()-COLUMN($C$257))),INDIRECT("'Master Spell List'!$Z$"&amp;INDEX(magestuff!$D$499:$Y$615,ROW()-ROW($D$256),COLUMN()-COLUMN($C$257))),"")</f>
        <v/>
      </c>
      <c r="I352" s="1055" t="str">
        <f ca="1">IF(ISNUMBER(INDEX(magestuff!$D$499:$Y$615,ROW()-ROW($D$256),COLUMN()-COLUMN($C$257))),INDIRECT("'Master Spell List'!$Z$"&amp;INDEX(magestuff!$D$499:$Y$615,ROW()-ROW($D$256),COLUMN()-COLUMN($C$257))),"")</f>
        <v>Sunburst</v>
      </c>
      <c r="J352" s="1055" t="str">
        <f ca="1">IF(ISNUMBER(INDEX(magestuff!$D$499:$Y$615,ROW()-ROW($D$256),COLUMN()-COLUMN($C$257))),INDIRECT("'Master Spell List'!$Z$"&amp;INDEX(magestuff!$D$499:$Y$615,ROW()-ROW($D$256),COLUMN()-COLUMN($C$257))),"")</f>
        <v>Deafen</v>
      </c>
      <c r="K352" s="1055" t="str">
        <f ca="1">IF(ISNUMBER(INDEX(magestuff!$D$499:$Y$615,ROW()-ROW($D$256),COLUMN()-COLUMN($C$257))),INDIRECT("'Master Spell List'!$Z$"&amp;INDEX(magestuff!$D$499:$Y$615,ROW()-ROW($D$256),COLUMN()-COLUMN($C$257))),"")</f>
        <v/>
      </c>
      <c r="L352" s="1055" t="str">
        <f ca="1">IF(ISNUMBER(INDEX(magestuff!$D$499:$Y$615,ROW()-ROW($D$256),COLUMN()-COLUMN($C$257))),INDIRECT("'Master Spell List'!$Z$"&amp;INDEX(magestuff!$D$499:$Y$615,ROW()-ROW($D$256),COLUMN()-COLUMN($C$257))),"")</f>
        <v/>
      </c>
      <c r="M352" s="1055" t="str">
        <f ca="1">IF(ISNUMBER(INDEX(magestuff!$D$499:$Y$615,ROW()-ROW($D$256),COLUMN()-COLUMN($C$257))),INDIRECT("'Master Spell List'!$Z$"&amp;INDEX(magestuff!$D$499:$Y$615,ROW()-ROW($D$256),COLUMN()-COLUMN($C$257))),"")</f>
        <v/>
      </c>
      <c r="N352" s="1055" t="str">
        <f ca="1">IF(ISNUMBER(INDEX(magestuff!$D$499:$Y$615,ROW()-ROW($D$256),COLUMN()-COLUMN($C$257))),INDIRECT("'Master Spell List'!$Z$"&amp;INDEX(magestuff!$D$499:$Y$615,ROW()-ROW($D$256),COLUMN()-COLUMN($C$257))),"")</f>
        <v/>
      </c>
      <c r="O352" s="1055" t="str">
        <f ca="1">IF(ISNUMBER(INDEX(magestuff!$D$499:$Y$615,ROW()-ROW($D$256),COLUMN()-COLUMN($C$257))),INDIRECT("'Master Spell List'!$Z$"&amp;INDEX(magestuff!$D$499:$Y$615,ROW()-ROW($D$256),COLUMN()-COLUMN($C$257))),"")</f>
        <v/>
      </c>
      <c r="P352" s="1055" t="str">
        <f ca="1">IF(ISNUMBER(INDEX(magestuff!$D$499:$Y$615,ROW()-ROW($D$256),COLUMN()-COLUMN($C$257))),INDIRECT("'Master Spell List'!$Z$"&amp;INDEX(magestuff!$D$499:$Y$615,ROW()-ROW($D$256),COLUMN()-COLUMN($C$257))),"")</f>
        <v/>
      </c>
      <c r="Q352" s="1055" t="str">
        <f ca="1">IF(ISNUMBER(INDEX(magestuff!$D$499:$Y$615,ROW()-ROW($D$256),COLUMN()-COLUMN($C$257))),INDIRECT("'Master Spell List'!$Z$"&amp;INDEX(magestuff!$D$499:$Y$615,ROW()-ROW($D$256),COLUMN()-COLUMN($C$257))),"")</f>
        <v/>
      </c>
      <c r="R352" s="1055" t="str">
        <f ca="1">IF(ISNUMBER(INDEX(magestuff!$D$499:$Y$615,ROW()-ROW($D$256),COLUMN()-COLUMN($C$257))),INDIRECT("'Master Spell List'!$Z$"&amp;INDEX(magestuff!$D$499:$Y$615,ROW()-ROW($D$256),COLUMN()-COLUMN($C$257))),"")</f>
        <v/>
      </c>
      <c r="S352" s="1055" t="str">
        <f ca="1">IF(ISNUMBER(INDEX(magestuff!$D$499:$Y$615,ROW()-ROW($D$256),COLUMN()-COLUMN($C$257))),INDIRECT("'Master Spell List'!$Z$"&amp;INDEX(magestuff!$D$499:$Y$615,ROW()-ROW($D$256),COLUMN()-COLUMN($C$257))),"")</f>
        <v/>
      </c>
      <c r="T352" s="1055" t="str">
        <f ca="1">IF(ISNUMBER(INDEX(magestuff!$D$499:$Y$615,ROW()-ROW($D$256),COLUMN()-COLUMN($C$257))),INDIRECT("'Master Spell List'!$Z$"&amp;INDEX(magestuff!$D$499:$Y$615,ROW()-ROW($D$256),COLUMN()-COLUMN($C$257))),"")</f>
        <v/>
      </c>
      <c r="U352" s="1055" t="str">
        <f ca="1">IF(ISNUMBER(INDEX(magestuff!$D$499:$Y$615,ROW()-ROW($D$256),COLUMN()-COLUMN($C$257))),INDIRECT("'Master Spell List'!$Z$"&amp;INDEX(magestuff!$D$499:$Y$615,ROW()-ROW($D$256),COLUMN()-COLUMN($C$257))),"")</f>
        <v/>
      </c>
      <c r="V352" s="1055" t="str">
        <f ca="1">IF(ISNUMBER(INDEX(magestuff!$D$499:$Y$615,ROW()-ROW($D$256),COLUMN()-COLUMN($C$257))),INDIRECT("'Master Spell List'!$Z$"&amp;INDEX(magestuff!$D$499:$Y$615,ROW()-ROW($D$256),COLUMN()-COLUMN($C$257))),"")</f>
        <v/>
      </c>
      <c r="W352" s="1055" t="str">
        <f ca="1">IF(ISNUMBER(INDEX(magestuff!$D$499:$Y$615,ROW()-ROW($D$256),COLUMN()-COLUMN($C$257))),INDIRECT("'Master Spell List'!$Z$"&amp;INDEX(magestuff!$D$499:$Y$615,ROW()-ROW($D$256),COLUMN()-COLUMN($C$257))),"")</f>
        <v/>
      </c>
    </row>
    <row r="353" spans="1:47">
      <c r="A353" s="598">
        <v>98</v>
      </c>
      <c r="B353" s="598" t="s">
        <v>2225</v>
      </c>
      <c r="C353" s="598" t="s">
        <v>2225</v>
      </c>
      <c r="D353" s="1055" t="str">
        <f ca="1">IF(ISNUMBER(INDEX(magestuff!$D$499:$Y$615,ROW()-ROW($D$256),COLUMN()-COLUMN($C$257))),INDIRECT("'Master Spell List'!$Z$"&amp;INDEX(magestuff!$D$499:$Y$615,ROW()-ROW($D$256),COLUMN()-COLUMN($C$257))),"")</f>
        <v/>
      </c>
      <c r="E353" s="1055" t="str">
        <f ca="1">IF(ISNUMBER(INDEX(magestuff!$D$499:$Y$615,ROW()-ROW($D$256),COLUMN()-COLUMN($C$257))),INDIRECT("'Master Spell List'!$Z$"&amp;INDEX(magestuff!$D$499:$Y$615,ROW()-ROW($D$256),COLUMN()-COLUMN($C$257))),"")</f>
        <v/>
      </c>
      <c r="F353" s="1055" t="str">
        <f ca="1">IF(ISNUMBER(INDEX(magestuff!$D$499:$Y$615,ROW()-ROW($D$256),COLUMN()-COLUMN($C$257))),INDIRECT("'Master Spell List'!$Z$"&amp;INDEX(magestuff!$D$499:$Y$615,ROW()-ROW($D$256),COLUMN()-COLUMN($C$257))),"")</f>
        <v/>
      </c>
      <c r="G353" s="1055" t="str">
        <f ca="1">IF(ISNUMBER(INDEX(magestuff!$D$499:$Y$615,ROW()-ROW($D$256),COLUMN()-COLUMN($C$257))),INDIRECT("'Master Spell List'!$Z$"&amp;INDEX(magestuff!$D$499:$Y$615,ROW()-ROW($D$256),COLUMN()-COLUMN($C$257))),"")</f>
        <v/>
      </c>
      <c r="H353" s="1055" t="str">
        <f ca="1">IF(ISNUMBER(INDEX(magestuff!$D$499:$Y$615,ROW()-ROW($D$256),COLUMN()-COLUMN($C$257))),INDIRECT("'Master Spell List'!$Z$"&amp;INDEX(magestuff!$D$499:$Y$615,ROW()-ROW($D$256),COLUMN()-COLUMN($C$257))),"")</f>
        <v/>
      </c>
      <c r="I353" s="1055" t="str">
        <f ca="1">IF(ISNUMBER(INDEX(magestuff!$D$499:$Y$615,ROW()-ROW($D$256),COLUMN()-COLUMN($C$257))),INDIRECT("'Master Spell List'!$Z$"&amp;INDEX(magestuff!$D$499:$Y$615,ROW()-ROW($D$256),COLUMN()-COLUMN($C$257))),"")</f>
        <v>Teleport (Lesser)</v>
      </c>
      <c r="J353" s="1055" t="str">
        <f ca="1">IF(ISNUMBER(INDEX(magestuff!$D$499:$Y$615,ROW()-ROW($D$256),COLUMN()-COLUMN($C$257))),INDIRECT("'Master Spell List'!$Z$"&amp;INDEX(magestuff!$D$499:$Y$615,ROW()-ROW($D$256),COLUMN()-COLUMN($C$257))),"")</f>
        <v>Forgetfulness</v>
      </c>
      <c r="K353" s="1055" t="str">
        <f ca="1">IF(ISNUMBER(INDEX(magestuff!$D$499:$Y$615,ROW()-ROW($D$256),COLUMN()-COLUMN($C$257))),INDIRECT("'Master Spell List'!$Z$"&amp;INDEX(magestuff!$D$499:$Y$615,ROW()-ROW($D$256),COLUMN()-COLUMN($C$257))),"")</f>
        <v/>
      </c>
      <c r="L353" s="1055" t="str">
        <f ca="1">IF(ISNUMBER(INDEX(magestuff!$D$499:$Y$615,ROW()-ROW($D$256),COLUMN()-COLUMN($C$257))),INDIRECT("'Master Spell List'!$Z$"&amp;INDEX(magestuff!$D$499:$Y$615,ROW()-ROW($D$256),COLUMN()-COLUMN($C$257))),"")</f>
        <v/>
      </c>
      <c r="M353" s="1055" t="str">
        <f ca="1">IF(ISNUMBER(INDEX(magestuff!$D$499:$Y$615,ROW()-ROW($D$256),COLUMN()-COLUMN($C$257))),INDIRECT("'Master Spell List'!$Z$"&amp;INDEX(magestuff!$D$499:$Y$615,ROW()-ROW($D$256),COLUMN()-COLUMN($C$257))),"")</f>
        <v/>
      </c>
      <c r="N353" s="1055" t="str">
        <f ca="1">IF(ISNUMBER(INDEX(magestuff!$D$499:$Y$615,ROW()-ROW($D$256),COLUMN()-COLUMN($C$257))),INDIRECT("'Master Spell List'!$Z$"&amp;INDEX(magestuff!$D$499:$Y$615,ROW()-ROW($D$256),COLUMN()-COLUMN($C$257))),"")</f>
        <v/>
      </c>
      <c r="O353" s="1055" t="str">
        <f ca="1">IF(ISNUMBER(INDEX(magestuff!$D$499:$Y$615,ROW()-ROW($D$256),COLUMN()-COLUMN($C$257))),INDIRECT("'Master Spell List'!$Z$"&amp;INDEX(magestuff!$D$499:$Y$615,ROW()-ROW($D$256),COLUMN()-COLUMN($C$257))),"")</f>
        <v/>
      </c>
      <c r="P353" s="1055" t="str">
        <f ca="1">IF(ISNUMBER(INDEX(magestuff!$D$499:$Y$615,ROW()-ROW($D$256),COLUMN()-COLUMN($C$257))),INDIRECT("'Master Spell List'!$Z$"&amp;INDEX(magestuff!$D$499:$Y$615,ROW()-ROW($D$256),COLUMN()-COLUMN($C$257))),"")</f>
        <v/>
      </c>
      <c r="Q353" s="1055" t="str">
        <f ca="1">IF(ISNUMBER(INDEX(magestuff!$D$499:$Y$615,ROW()-ROW($D$256),COLUMN()-COLUMN($C$257))),INDIRECT("'Master Spell List'!$Z$"&amp;INDEX(magestuff!$D$499:$Y$615,ROW()-ROW($D$256),COLUMN()-COLUMN($C$257))),"")</f>
        <v/>
      </c>
      <c r="R353" s="1055" t="str">
        <f ca="1">IF(ISNUMBER(INDEX(magestuff!$D$499:$Y$615,ROW()-ROW($D$256),COLUMN()-COLUMN($C$257))),INDIRECT("'Master Spell List'!$Z$"&amp;INDEX(magestuff!$D$499:$Y$615,ROW()-ROW($D$256),COLUMN()-COLUMN($C$257))),"")</f>
        <v/>
      </c>
      <c r="S353" s="1055" t="str">
        <f ca="1">IF(ISNUMBER(INDEX(magestuff!$D$499:$Y$615,ROW()-ROW($D$256),COLUMN()-COLUMN($C$257))),INDIRECT("'Master Spell List'!$Z$"&amp;INDEX(magestuff!$D$499:$Y$615,ROW()-ROW($D$256),COLUMN()-COLUMN($C$257))),"")</f>
        <v/>
      </c>
      <c r="T353" s="1055" t="str">
        <f ca="1">IF(ISNUMBER(INDEX(magestuff!$D$499:$Y$615,ROW()-ROW($D$256),COLUMN()-COLUMN($C$257))),INDIRECT("'Master Spell List'!$Z$"&amp;INDEX(magestuff!$D$499:$Y$615,ROW()-ROW($D$256),COLUMN()-COLUMN($C$257))),"")</f>
        <v/>
      </c>
      <c r="U353" s="1055" t="str">
        <f ca="1">IF(ISNUMBER(INDEX(magestuff!$D$499:$Y$615,ROW()-ROW($D$256),COLUMN()-COLUMN($C$257))),INDIRECT("'Master Spell List'!$Z$"&amp;INDEX(magestuff!$D$499:$Y$615,ROW()-ROW($D$256),COLUMN()-COLUMN($C$257))),"")</f>
        <v/>
      </c>
      <c r="V353" s="1055" t="str">
        <f ca="1">IF(ISNUMBER(INDEX(magestuff!$D$499:$Y$615,ROW()-ROW($D$256),COLUMN()-COLUMN($C$257))),INDIRECT("'Master Spell List'!$Z$"&amp;INDEX(magestuff!$D$499:$Y$615,ROW()-ROW($D$256),COLUMN()-COLUMN($C$257))),"")</f>
        <v/>
      </c>
      <c r="W353" s="1055" t="str">
        <f ca="1">IF(ISNUMBER(INDEX(magestuff!$D$499:$Y$615,ROW()-ROW($D$256),COLUMN()-COLUMN($C$257))),INDIRECT("'Master Spell List'!$Z$"&amp;INDEX(magestuff!$D$499:$Y$615,ROW()-ROW($D$256),COLUMN()-COLUMN($C$257))),"")</f>
        <v/>
      </c>
    </row>
    <row r="354" spans="1:47">
      <c r="A354" s="598">
        <v>99</v>
      </c>
      <c r="B354" s="598" t="s">
        <v>2225</v>
      </c>
      <c r="C354" s="598" t="s">
        <v>2225</v>
      </c>
      <c r="D354" s="1055" t="str">
        <f ca="1">IF(ISNUMBER(INDEX(magestuff!$D$499:$Y$615,ROW()-ROW($D$256),COLUMN()-COLUMN($C$257))),INDIRECT("'Master Spell List'!$Z$"&amp;INDEX(magestuff!$D$499:$Y$615,ROW()-ROW($D$256),COLUMN()-COLUMN($C$257))),"")</f>
        <v/>
      </c>
      <c r="E354" s="1055" t="str">
        <f ca="1">IF(ISNUMBER(INDEX(magestuff!$D$499:$Y$615,ROW()-ROW($D$256),COLUMN()-COLUMN($C$257))),INDIRECT("'Master Spell List'!$Z$"&amp;INDEX(magestuff!$D$499:$Y$615,ROW()-ROW($D$256),COLUMN()-COLUMN($C$257))),"")</f>
        <v/>
      </c>
      <c r="F354" s="1055" t="str">
        <f ca="1">IF(ISNUMBER(INDEX(magestuff!$D$499:$Y$615,ROW()-ROW($D$256),COLUMN()-COLUMN($C$257))),INDIRECT("'Master Spell List'!$Z$"&amp;INDEX(magestuff!$D$499:$Y$615,ROW()-ROW($D$256),COLUMN()-COLUMN($C$257))),"")</f>
        <v/>
      </c>
      <c r="G354" s="1055" t="str">
        <f ca="1">IF(ISNUMBER(INDEX(magestuff!$D$499:$Y$615,ROW()-ROW($D$256),COLUMN()-COLUMN($C$257))),INDIRECT("'Master Spell List'!$Z$"&amp;INDEX(magestuff!$D$499:$Y$615,ROW()-ROW($D$256),COLUMN()-COLUMN($C$257))),"")</f>
        <v/>
      </c>
      <c r="H354" s="1055" t="str">
        <f ca="1">IF(ISNUMBER(INDEX(magestuff!$D$499:$Y$615,ROW()-ROW($D$256),COLUMN()-COLUMN($C$257))),INDIRECT("'Master Spell List'!$Z$"&amp;INDEX(magestuff!$D$499:$Y$615,ROW()-ROW($D$256),COLUMN()-COLUMN($C$257))),"")</f>
        <v/>
      </c>
      <c r="I354" s="1055" t="str">
        <f ca="1">IF(ISNUMBER(INDEX(magestuff!$D$499:$Y$615,ROW()-ROW($D$256),COLUMN()-COLUMN($C$257))),INDIRECT("'Master Spell List'!$Z$"&amp;INDEX(magestuff!$D$499:$Y$615,ROW()-ROW($D$256),COLUMN()-COLUMN($C$257))),"")</f>
        <v>Arcane Armor of Protection</v>
      </c>
      <c r="J354" s="1055" t="str">
        <f ca="1">IF(ISNUMBER(INDEX(magestuff!$D$499:$Y$615,ROW()-ROW($D$256),COLUMN()-COLUMN($C$257))),INDIRECT("'Master Spell List'!$Z$"&amp;INDEX(magestuff!$D$499:$Y$615,ROW()-ROW($D$256),COLUMN()-COLUMN($C$257))),"")</f>
        <v>Great Mass Group Ignore</v>
      </c>
      <c r="K354" s="1055" t="str">
        <f ca="1">IF(ISNUMBER(INDEX(magestuff!$D$499:$Y$615,ROW()-ROW($D$256),COLUMN()-COLUMN($C$257))),INDIRECT("'Master Spell List'!$Z$"&amp;INDEX(magestuff!$D$499:$Y$615,ROW()-ROW($D$256),COLUMN()-COLUMN($C$257))),"")</f>
        <v/>
      </c>
      <c r="L354" s="1055" t="str">
        <f ca="1">IF(ISNUMBER(INDEX(magestuff!$D$499:$Y$615,ROW()-ROW($D$256),COLUMN()-COLUMN($C$257))),INDIRECT("'Master Spell List'!$Z$"&amp;INDEX(magestuff!$D$499:$Y$615,ROW()-ROW($D$256),COLUMN()-COLUMN($C$257))),"")</f>
        <v/>
      </c>
      <c r="M354" s="1055" t="str">
        <f ca="1">IF(ISNUMBER(INDEX(magestuff!$D$499:$Y$615,ROW()-ROW($D$256),COLUMN()-COLUMN($C$257))),INDIRECT("'Master Spell List'!$Z$"&amp;INDEX(magestuff!$D$499:$Y$615,ROW()-ROW($D$256),COLUMN()-COLUMN($C$257))),"")</f>
        <v/>
      </c>
      <c r="N354" s="1055" t="str">
        <f ca="1">IF(ISNUMBER(INDEX(magestuff!$D$499:$Y$615,ROW()-ROW($D$256),COLUMN()-COLUMN($C$257))),INDIRECT("'Master Spell List'!$Z$"&amp;INDEX(magestuff!$D$499:$Y$615,ROW()-ROW($D$256),COLUMN()-COLUMN($C$257))),"")</f>
        <v/>
      </c>
      <c r="O354" s="1055" t="str">
        <f ca="1">IF(ISNUMBER(INDEX(magestuff!$D$499:$Y$615,ROW()-ROW($D$256),COLUMN()-COLUMN($C$257))),INDIRECT("'Master Spell List'!$Z$"&amp;INDEX(magestuff!$D$499:$Y$615,ROW()-ROW($D$256),COLUMN()-COLUMN($C$257))),"")</f>
        <v/>
      </c>
      <c r="P354" s="1055" t="str">
        <f ca="1">IF(ISNUMBER(INDEX(magestuff!$D$499:$Y$615,ROW()-ROW($D$256),COLUMN()-COLUMN($C$257))),INDIRECT("'Master Spell List'!$Z$"&amp;INDEX(magestuff!$D$499:$Y$615,ROW()-ROW($D$256),COLUMN()-COLUMN($C$257))),"")</f>
        <v/>
      </c>
      <c r="Q354" s="1055" t="str">
        <f ca="1">IF(ISNUMBER(INDEX(magestuff!$D$499:$Y$615,ROW()-ROW($D$256),COLUMN()-COLUMN($C$257))),INDIRECT("'Master Spell List'!$Z$"&amp;INDEX(magestuff!$D$499:$Y$615,ROW()-ROW($D$256),COLUMN()-COLUMN($C$257))),"")</f>
        <v/>
      </c>
      <c r="R354" s="1055" t="str">
        <f ca="1">IF(ISNUMBER(INDEX(magestuff!$D$499:$Y$615,ROW()-ROW($D$256),COLUMN()-COLUMN($C$257))),INDIRECT("'Master Spell List'!$Z$"&amp;INDEX(magestuff!$D$499:$Y$615,ROW()-ROW($D$256),COLUMN()-COLUMN($C$257))),"")</f>
        <v/>
      </c>
      <c r="S354" s="1055" t="str">
        <f ca="1">IF(ISNUMBER(INDEX(magestuff!$D$499:$Y$615,ROW()-ROW($D$256),COLUMN()-COLUMN($C$257))),INDIRECT("'Master Spell List'!$Z$"&amp;INDEX(magestuff!$D$499:$Y$615,ROW()-ROW($D$256),COLUMN()-COLUMN($C$257))),"")</f>
        <v/>
      </c>
      <c r="T354" s="1055" t="str">
        <f ca="1">IF(ISNUMBER(INDEX(magestuff!$D$499:$Y$615,ROW()-ROW($D$256),COLUMN()-COLUMN($C$257))),INDIRECT("'Master Spell List'!$Z$"&amp;INDEX(magestuff!$D$499:$Y$615,ROW()-ROW($D$256),COLUMN()-COLUMN($C$257))),"")</f>
        <v/>
      </c>
      <c r="U354" s="1055" t="str">
        <f ca="1">IF(ISNUMBER(INDEX(magestuff!$D$499:$Y$615,ROW()-ROW($D$256),COLUMN()-COLUMN($C$257))),INDIRECT("'Master Spell List'!$Z$"&amp;INDEX(magestuff!$D$499:$Y$615,ROW()-ROW($D$256),COLUMN()-COLUMN($C$257))),"")</f>
        <v/>
      </c>
      <c r="V354" s="1055" t="str">
        <f ca="1">IF(ISNUMBER(INDEX(magestuff!$D$499:$Y$615,ROW()-ROW($D$256),COLUMN()-COLUMN($C$257))),INDIRECT("'Master Spell List'!$Z$"&amp;INDEX(magestuff!$D$499:$Y$615,ROW()-ROW($D$256),COLUMN()-COLUMN($C$257))),"")</f>
        <v/>
      </c>
      <c r="W354" s="1055" t="str">
        <f ca="1">IF(ISNUMBER(INDEX(magestuff!$D$499:$Y$615,ROW()-ROW($D$256),COLUMN()-COLUMN($C$257))),INDIRECT("'Master Spell List'!$Z$"&amp;INDEX(magestuff!$D$499:$Y$615,ROW()-ROW($D$256),COLUMN()-COLUMN($C$257))),"")</f>
        <v/>
      </c>
    </row>
    <row r="355" spans="1:47">
      <c r="A355" s="598">
        <v>100</v>
      </c>
      <c r="B355" s="598" t="s">
        <v>2225</v>
      </c>
      <c r="C355" s="598" t="s">
        <v>2225</v>
      </c>
      <c r="D355" s="1055" t="str">
        <f ca="1">IF(ISNUMBER(INDEX(magestuff!$D$499:$Y$615,ROW()-ROW($D$256),COLUMN()-COLUMN($C$257))),INDIRECT("'Master Spell List'!$Z$"&amp;INDEX(magestuff!$D$499:$Y$615,ROW()-ROW($D$256),COLUMN()-COLUMN($C$257))),"")</f>
        <v/>
      </c>
      <c r="E355" s="1055" t="str">
        <f ca="1">IF(ISNUMBER(INDEX(magestuff!$D$499:$Y$615,ROW()-ROW($D$256),COLUMN()-COLUMN($C$257))),INDIRECT("'Master Spell List'!$Z$"&amp;INDEX(magestuff!$D$499:$Y$615,ROW()-ROW($D$256),COLUMN()-COLUMN($C$257))),"")</f>
        <v/>
      </c>
      <c r="F355" s="1055" t="str">
        <f ca="1">IF(ISNUMBER(INDEX(magestuff!$D$499:$Y$615,ROW()-ROW($D$256),COLUMN()-COLUMN($C$257))),INDIRECT("'Master Spell List'!$Z$"&amp;INDEX(magestuff!$D$499:$Y$615,ROW()-ROW($D$256),COLUMN()-COLUMN($C$257))),"")</f>
        <v/>
      </c>
      <c r="G355" s="1055" t="str">
        <f ca="1">IF(ISNUMBER(INDEX(magestuff!$D$499:$Y$615,ROW()-ROW($D$256),COLUMN()-COLUMN($C$257))),INDIRECT("'Master Spell List'!$Z$"&amp;INDEX(magestuff!$D$499:$Y$615,ROW()-ROW($D$256),COLUMN()-COLUMN($C$257))),"")</f>
        <v/>
      </c>
      <c r="H355" s="1055" t="str">
        <f ca="1">IF(ISNUMBER(INDEX(magestuff!$D$499:$Y$615,ROW()-ROW($D$256),COLUMN()-COLUMN($C$257))),INDIRECT("'Master Spell List'!$Z$"&amp;INDEX(magestuff!$D$499:$Y$615,ROW()-ROW($D$256),COLUMN()-COLUMN($C$257))),"")</f>
        <v/>
      </c>
      <c r="I355" s="1055" t="str">
        <f ca="1">IF(ISNUMBER(INDEX(magestuff!$D$499:$Y$615,ROW()-ROW($D$256),COLUMN()-COLUMN($C$257))),INDIRECT("'Master Spell List'!$Z$"&amp;INDEX(magestuff!$D$499:$Y$615,ROW()-ROW($D$256),COLUMN()-COLUMN($C$257))),"")</f>
        <v>Great Aport an Object</v>
      </c>
      <c r="J355" s="1055" t="str">
        <f ca="1">IF(ISNUMBER(INDEX(magestuff!$D$499:$Y$615,ROW()-ROW($D$256),COLUMN()-COLUMN($C$257))),INDIRECT("'Master Spell List'!$Z$"&amp;INDEX(magestuff!$D$499:$Y$615,ROW()-ROW($D$256),COLUMN()-COLUMN($C$257))),"")</f>
        <v>Great Mass Individual Ignore</v>
      </c>
      <c r="K355" s="1055" t="str">
        <f ca="1">IF(ISNUMBER(INDEX(magestuff!$D$499:$Y$615,ROW()-ROW($D$256),COLUMN()-COLUMN($C$257))),INDIRECT("'Master Spell List'!$Z$"&amp;INDEX(magestuff!$D$499:$Y$615,ROW()-ROW($D$256),COLUMN()-COLUMN($C$257))),"")</f>
        <v/>
      </c>
      <c r="L355" s="1055" t="str">
        <f ca="1">IF(ISNUMBER(INDEX(magestuff!$D$499:$Y$615,ROW()-ROW($D$256),COLUMN()-COLUMN($C$257))),INDIRECT("'Master Spell List'!$Z$"&amp;INDEX(magestuff!$D$499:$Y$615,ROW()-ROW($D$256),COLUMN()-COLUMN($C$257))),"")</f>
        <v/>
      </c>
      <c r="M355" s="1055" t="str">
        <f ca="1">IF(ISNUMBER(INDEX(magestuff!$D$499:$Y$615,ROW()-ROW($D$256),COLUMN()-COLUMN($C$257))),INDIRECT("'Master Spell List'!$Z$"&amp;INDEX(magestuff!$D$499:$Y$615,ROW()-ROW($D$256),COLUMN()-COLUMN($C$257))),"")</f>
        <v/>
      </c>
      <c r="N355" s="1055" t="str">
        <f ca="1">IF(ISNUMBER(INDEX(magestuff!$D$499:$Y$615,ROW()-ROW($D$256),COLUMN()-COLUMN($C$257))),INDIRECT("'Master Spell List'!$Z$"&amp;INDEX(magestuff!$D$499:$Y$615,ROW()-ROW($D$256),COLUMN()-COLUMN($C$257))),"")</f>
        <v/>
      </c>
      <c r="O355" s="1055" t="str">
        <f ca="1">IF(ISNUMBER(INDEX(magestuff!$D$499:$Y$615,ROW()-ROW($D$256),COLUMN()-COLUMN($C$257))),INDIRECT("'Master Spell List'!$Z$"&amp;INDEX(magestuff!$D$499:$Y$615,ROW()-ROW($D$256),COLUMN()-COLUMN($C$257))),"")</f>
        <v/>
      </c>
      <c r="P355" s="1055" t="str">
        <f ca="1">IF(ISNUMBER(INDEX(magestuff!$D$499:$Y$615,ROW()-ROW($D$256),COLUMN()-COLUMN($C$257))),INDIRECT("'Master Spell List'!$Z$"&amp;INDEX(magestuff!$D$499:$Y$615,ROW()-ROW($D$256),COLUMN()-COLUMN($C$257))),"")</f>
        <v/>
      </c>
      <c r="Q355" s="1055" t="str">
        <f ca="1">IF(ISNUMBER(INDEX(magestuff!$D$499:$Y$615,ROW()-ROW($D$256),COLUMN()-COLUMN($C$257))),INDIRECT("'Master Spell List'!$Z$"&amp;INDEX(magestuff!$D$499:$Y$615,ROW()-ROW($D$256),COLUMN()-COLUMN($C$257))),"")</f>
        <v/>
      </c>
      <c r="R355" s="1055" t="str">
        <f ca="1">IF(ISNUMBER(INDEX(magestuff!$D$499:$Y$615,ROW()-ROW($D$256),COLUMN()-COLUMN($C$257))),INDIRECT("'Master Spell List'!$Z$"&amp;INDEX(magestuff!$D$499:$Y$615,ROW()-ROW($D$256),COLUMN()-COLUMN($C$257))),"")</f>
        <v/>
      </c>
      <c r="S355" s="1055" t="str">
        <f ca="1">IF(ISNUMBER(INDEX(magestuff!$D$499:$Y$615,ROW()-ROW($D$256),COLUMN()-COLUMN($C$257))),INDIRECT("'Master Spell List'!$Z$"&amp;INDEX(magestuff!$D$499:$Y$615,ROW()-ROW($D$256),COLUMN()-COLUMN($C$257))),"")</f>
        <v/>
      </c>
      <c r="T355" s="1055" t="str">
        <f ca="1">IF(ISNUMBER(INDEX(magestuff!$D$499:$Y$615,ROW()-ROW($D$256),COLUMN()-COLUMN($C$257))),INDIRECT("'Master Spell List'!$Z$"&amp;INDEX(magestuff!$D$499:$Y$615,ROW()-ROW($D$256),COLUMN()-COLUMN($C$257))),"")</f>
        <v/>
      </c>
      <c r="U355" s="1055" t="str">
        <f ca="1">IF(ISNUMBER(INDEX(magestuff!$D$499:$Y$615,ROW()-ROW($D$256),COLUMN()-COLUMN($C$257))),INDIRECT("'Master Spell List'!$Z$"&amp;INDEX(magestuff!$D$499:$Y$615,ROW()-ROW($D$256),COLUMN()-COLUMN($C$257))),"")</f>
        <v/>
      </c>
      <c r="V355" s="1055" t="str">
        <f ca="1">IF(ISNUMBER(INDEX(magestuff!$D$499:$Y$615,ROW()-ROW($D$256),COLUMN()-COLUMN($C$257))),INDIRECT("'Master Spell List'!$Z$"&amp;INDEX(magestuff!$D$499:$Y$615,ROW()-ROW($D$256),COLUMN()-COLUMN($C$257))),"")</f>
        <v/>
      </c>
      <c r="W355" s="1055" t="str">
        <f ca="1">IF(ISNUMBER(INDEX(magestuff!$D$499:$Y$615,ROW()-ROW($D$256),COLUMN()-COLUMN($C$257))),INDIRECT("'Master Spell List'!$Z$"&amp;INDEX(magestuff!$D$499:$Y$615,ROW()-ROW($D$256),COLUMN()-COLUMN($C$257))),"")</f>
        <v/>
      </c>
    </row>
    <row r="356" spans="1:47">
      <c r="A356" s="598">
        <v>101</v>
      </c>
      <c r="B356" s="598" t="s">
        <v>2225</v>
      </c>
      <c r="C356" s="598" t="s">
        <v>2225</v>
      </c>
      <c r="D356" s="1055" t="str">
        <f ca="1">IF(ISNUMBER(INDEX(magestuff!$D$499:$Y$615,ROW()-ROW($D$256),COLUMN()-COLUMN($C$257))),INDIRECT("'Master Spell List'!$Z$"&amp;INDEX(magestuff!$D$499:$Y$615,ROW()-ROW($D$256),COLUMN()-COLUMN($C$257))),"")</f>
        <v/>
      </c>
      <c r="E356" s="1055" t="str">
        <f ca="1">IF(ISNUMBER(INDEX(magestuff!$D$499:$Y$615,ROW()-ROW($D$256),COLUMN()-COLUMN($C$257))),INDIRECT("'Master Spell List'!$Z$"&amp;INDEX(magestuff!$D$499:$Y$615,ROW()-ROW($D$256),COLUMN()-COLUMN($C$257))),"")</f>
        <v/>
      </c>
      <c r="F356" s="1055" t="str">
        <f ca="1">IF(ISNUMBER(INDEX(magestuff!$D$499:$Y$615,ROW()-ROW($D$256),COLUMN()-COLUMN($C$257))),INDIRECT("'Master Spell List'!$Z$"&amp;INDEX(magestuff!$D$499:$Y$615,ROW()-ROW($D$256),COLUMN()-COLUMN($C$257))),"")</f>
        <v/>
      </c>
      <c r="G356" s="1055" t="str">
        <f ca="1">IF(ISNUMBER(INDEX(magestuff!$D$499:$Y$615,ROW()-ROW($D$256),COLUMN()-COLUMN($C$257))),INDIRECT("'Master Spell List'!$Z$"&amp;INDEX(magestuff!$D$499:$Y$615,ROW()-ROW($D$256),COLUMN()-COLUMN($C$257))),"")</f>
        <v/>
      </c>
      <c r="H356" s="1055" t="str">
        <f ca="1">IF(ISNUMBER(INDEX(magestuff!$D$499:$Y$615,ROW()-ROW($D$256),COLUMN()-COLUMN($C$257))),INDIRECT("'Master Spell List'!$Z$"&amp;INDEX(magestuff!$D$499:$Y$615,ROW()-ROW($D$256),COLUMN()-COLUMN($C$257))),"")</f>
        <v/>
      </c>
      <c r="I356" s="1055" t="str">
        <f ca="1">IF(ISNUMBER(INDEX(magestuff!$D$499:$Y$615,ROW()-ROW($D$256),COLUMN()-COLUMN($C$257))),INDIRECT("'Master Spell List'!$Z$"&amp;INDEX(magestuff!$D$499:$Y$615,ROW()-ROW($D$256),COLUMN()-COLUMN($C$257))),"")</f>
        <v xml:space="preserve">Arcane Axe Head of Greater Damage </v>
      </c>
      <c r="J356" s="1055" t="str">
        <f ca="1">IF(ISNUMBER(INDEX(magestuff!$D$499:$Y$615,ROW()-ROW($D$256),COLUMN()-COLUMN($C$257))),INDIRECT("'Master Spell List'!$Z$"&amp;INDEX(magestuff!$D$499:$Y$615,ROW()-ROW($D$256),COLUMN()-COLUMN($C$257))),"")</f>
        <v>Amnesia</v>
      </c>
      <c r="K356" s="1055" t="str">
        <f ca="1">IF(ISNUMBER(INDEX(magestuff!$D$499:$Y$615,ROW()-ROW($D$256),COLUMN()-COLUMN($C$257))),INDIRECT("'Master Spell List'!$Z$"&amp;INDEX(magestuff!$D$499:$Y$615,ROW()-ROW($D$256),COLUMN()-COLUMN($C$257))),"")</f>
        <v/>
      </c>
      <c r="L356" s="1055" t="str">
        <f ca="1">IF(ISNUMBER(INDEX(magestuff!$D$499:$Y$615,ROW()-ROW($D$256),COLUMN()-COLUMN($C$257))),INDIRECT("'Master Spell List'!$Z$"&amp;INDEX(magestuff!$D$499:$Y$615,ROW()-ROW($D$256),COLUMN()-COLUMN($C$257))),"")</f>
        <v/>
      </c>
      <c r="M356" s="1055" t="str">
        <f ca="1">IF(ISNUMBER(INDEX(magestuff!$D$499:$Y$615,ROW()-ROW($D$256),COLUMN()-COLUMN($C$257))),INDIRECT("'Master Spell List'!$Z$"&amp;INDEX(magestuff!$D$499:$Y$615,ROW()-ROW($D$256),COLUMN()-COLUMN($C$257))),"")</f>
        <v/>
      </c>
      <c r="N356" s="1055" t="str">
        <f ca="1">IF(ISNUMBER(INDEX(magestuff!$D$499:$Y$615,ROW()-ROW($D$256),COLUMN()-COLUMN($C$257))),INDIRECT("'Master Spell List'!$Z$"&amp;INDEX(magestuff!$D$499:$Y$615,ROW()-ROW($D$256),COLUMN()-COLUMN($C$257))),"")</f>
        <v/>
      </c>
      <c r="O356" s="1055" t="str">
        <f ca="1">IF(ISNUMBER(INDEX(magestuff!$D$499:$Y$615,ROW()-ROW($D$256),COLUMN()-COLUMN($C$257))),INDIRECT("'Master Spell List'!$Z$"&amp;INDEX(magestuff!$D$499:$Y$615,ROW()-ROW($D$256),COLUMN()-COLUMN($C$257))),"")</f>
        <v/>
      </c>
      <c r="P356" s="1055" t="str">
        <f ca="1">IF(ISNUMBER(INDEX(magestuff!$D$499:$Y$615,ROW()-ROW($D$256),COLUMN()-COLUMN($C$257))),INDIRECT("'Master Spell List'!$Z$"&amp;INDEX(magestuff!$D$499:$Y$615,ROW()-ROW($D$256),COLUMN()-COLUMN($C$257))),"")</f>
        <v/>
      </c>
      <c r="Q356" s="1055" t="str">
        <f ca="1">IF(ISNUMBER(INDEX(magestuff!$D$499:$Y$615,ROW()-ROW($D$256),COLUMN()-COLUMN($C$257))),INDIRECT("'Master Spell List'!$Z$"&amp;INDEX(magestuff!$D$499:$Y$615,ROW()-ROW($D$256),COLUMN()-COLUMN($C$257))),"")</f>
        <v/>
      </c>
      <c r="R356" s="1055" t="str">
        <f ca="1">IF(ISNUMBER(INDEX(magestuff!$D$499:$Y$615,ROW()-ROW($D$256),COLUMN()-COLUMN($C$257))),INDIRECT("'Master Spell List'!$Z$"&amp;INDEX(magestuff!$D$499:$Y$615,ROW()-ROW($D$256),COLUMN()-COLUMN($C$257))),"")</f>
        <v/>
      </c>
      <c r="S356" s="1055" t="str">
        <f ca="1">IF(ISNUMBER(INDEX(magestuff!$D$499:$Y$615,ROW()-ROW($D$256),COLUMN()-COLUMN($C$257))),INDIRECT("'Master Spell List'!$Z$"&amp;INDEX(magestuff!$D$499:$Y$615,ROW()-ROW($D$256),COLUMN()-COLUMN($C$257))),"")</f>
        <v/>
      </c>
      <c r="T356" s="1055" t="str">
        <f ca="1">IF(ISNUMBER(INDEX(magestuff!$D$499:$Y$615,ROW()-ROW($D$256),COLUMN()-COLUMN($C$257))),INDIRECT("'Master Spell List'!$Z$"&amp;INDEX(magestuff!$D$499:$Y$615,ROW()-ROW($D$256),COLUMN()-COLUMN($C$257))),"")</f>
        <v/>
      </c>
      <c r="U356" s="1055" t="str">
        <f ca="1">IF(ISNUMBER(INDEX(magestuff!$D$499:$Y$615,ROW()-ROW($D$256),COLUMN()-COLUMN($C$257))),INDIRECT("'Master Spell List'!$Z$"&amp;INDEX(magestuff!$D$499:$Y$615,ROW()-ROW($D$256),COLUMN()-COLUMN($C$257))),"")</f>
        <v/>
      </c>
      <c r="V356" s="1055" t="str">
        <f ca="1">IF(ISNUMBER(INDEX(magestuff!$D$499:$Y$615,ROW()-ROW($D$256),COLUMN()-COLUMN($C$257))),INDIRECT("'Master Spell List'!$Z$"&amp;INDEX(magestuff!$D$499:$Y$615,ROW()-ROW($D$256),COLUMN()-COLUMN($C$257))),"")</f>
        <v/>
      </c>
      <c r="W356" s="1055" t="str">
        <f ca="1">IF(ISNUMBER(INDEX(magestuff!$D$499:$Y$615,ROW()-ROW($D$256),COLUMN()-COLUMN($C$257))),INDIRECT("'Master Spell List'!$Z$"&amp;INDEX(magestuff!$D$499:$Y$615,ROW()-ROW($D$256),COLUMN()-COLUMN($C$257))),"")</f>
        <v/>
      </c>
    </row>
    <row r="357" spans="1:47">
      <c r="A357" s="598">
        <v>102</v>
      </c>
      <c r="B357" s="598" t="s">
        <v>2225</v>
      </c>
      <c r="C357" s="598" t="s">
        <v>2225</v>
      </c>
      <c r="D357" s="1055" t="str">
        <f ca="1">IF(ISNUMBER(INDEX(magestuff!$D$499:$Y$615,ROW()-ROW($D$256),COLUMN()-COLUMN($C$257))),INDIRECT("'Master Spell List'!$Z$"&amp;INDEX(magestuff!$D$499:$Y$615,ROW()-ROW($D$256),COLUMN()-COLUMN($C$257))),"")</f>
        <v/>
      </c>
      <c r="E357" s="1055" t="str">
        <f ca="1">IF(ISNUMBER(INDEX(magestuff!$D$499:$Y$615,ROW()-ROW($D$256),COLUMN()-COLUMN($C$257))),INDIRECT("'Master Spell List'!$Z$"&amp;INDEX(magestuff!$D$499:$Y$615,ROW()-ROW($D$256),COLUMN()-COLUMN($C$257))),"")</f>
        <v/>
      </c>
      <c r="F357" s="1055" t="str">
        <f ca="1">IF(ISNUMBER(INDEX(magestuff!$D$499:$Y$615,ROW()-ROW($D$256),COLUMN()-COLUMN($C$257))),INDIRECT("'Master Spell List'!$Z$"&amp;INDEX(magestuff!$D$499:$Y$615,ROW()-ROW($D$256),COLUMN()-COLUMN($C$257))),"")</f>
        <v/>
      </c>
      <c r="G357" s="1055" t="str">
        <f ca="1">IF(ISNUMBER(INDEX(magestuff!$D$499:$Y$615,ROW()-ROW($D$256),COLUMN()-COLUMN($C$257))),INDIRECT("'Master Spell List'!$Z$"&amp;INDEX(magestuff!$D$499:$Y$615,ROW()-ROW($D$256),COLUMN()-COLUMN($C$257))),"")</f>
        <v/>
      </c>
      <c r="H357" s="1055" t="str">
        <f ca="1">IF(ISNUMBER(INDEX(magestuff!$D$499:$Y$615,ROW()-ROW($D$256),COLUMN()-COLUMN($C$257))),INDIRECT("'Master Spell List'!$Z$"&amp;INDEX(magestuff!$D$499:$Y$615,ROW()-ROW($D$256),COLUMN()-COLUMN($C$257))),"")</f>
        <v/>
      </c>
      <c r="I357" s="1055" t="str">
        <f ca="1">IF(ISNUMBER(INDEX(magestuff!$D$499:$Y$615,ROW()-ROW($D$256),COLUMN()-COLUMN($C$257))),INDIRECT("'Master Spell List'!$Z$"&amp;INDEX(magestuff!$D$499:$Y$615,ROW()-ROW($D$256),COLUMN()-COLUMN($C$257))),"")</f>
        <v xml:space="preserve">Arcane Great Sword Blade </v>
      </c>
      <c r="J357" s="1055" t="str">
        <f ca="1">IF(ISNUMBER(INDEX(magestuff!$D$499:$Y$615,ROW()-ROW($D$256),COLUMN()-COLUMN($C$257))),INDIRECT("'Master Spell List'!$Z$"&amp;INDEX(magestuff!$D$499:$Y$615,ROW()-ROW($D$256),COLUMN()-COLUMN($C$257))),"")</f>
        <v>Awaken from the Ages</v>
      </c>
      <c r="K357" s="1055" t="str">
        <f ca="1">IF(ISNUMBER(INDEX(magestuff!$D$499:$Y$615,ROW()-ROW($D$256),COLUMN()-COLUMN($C$257))),INDIRECT("'Master Spell List'!$Z$"&amp;INDEX(magestuff!$D$499:$Y$615,ROW()-ROW($D$256),COLUMN()-COLUMN($C$257))),"")</f>
        <v/>
      </c>
      <c r="L357" s="1055" t="str">
        <f ca="1">IF(ISNUMBER(INDEX(magestuff!$D$499:$Y$615,ROW()-ROW($D$256),COLUMN()-COLUMN($C$257))),INDIRECT("'Master Spell List'!$Z$"&amp;INDEX(magestuff!$D$499:$Y$615,ROW()-ROW($D$256),COLUMN()-COLUMN($C$257))),"")</f>
        <v/>
      </c>
      <c r="M357" s="1055" t="str">
        <f ca="1">IF(ISNUMBER(INDEX(magestuff!$D$499:$Y$615,ROW()-ROW($D$256),COLUMN()-COLUMN($C$257))),INDIRECT("'Master Spell List'!$Z$"&amp;INDEX(magestuff!$D$499:$Y$615,ROW()-ROW($D$256),COLUMN()-COLUMN($C$257))),"")</f>
        <v/>
      </c>
      <c r="N357" s="1055" t="str">
        <f ca="1">IF(ISNUMBER(INDEX(magestuff!$D$499:$Y$615,ROW()-ROW($D$256),COLUMN()-COLUMN($C$257))),INDIRECT("'Master Spell List'!$Z$"&amp;INDEX(magestuff!$D$499:$Y$615,ROW()-ROW($D$256),COLUMN()-COLUMN($C$257))),"")</f>
        <v/>
      </c>
      <c r="O357" s="1055" t="str">
        <f ca="1">IF(ISNUMBER(INDEX(magestuff!$D$499:$Y$615,ROW()-ROW($D$256),COLUMN()-COLUMN($C$257))),INDIRECT("'Master Spell List'!$Z$"&amp;INDEX(magestuff!$D$499:$Y$615,ROW()-ROW($D$256),COLUMN()-COLUMN($C$257))),"")</f>
        <v/>
      </c>
      <c r="P357" s="1055" t="str">
        <f ca="1">IF(ISNUMBER(INDEX(magestuff!$D$499:$Y$615,ROW()-ROW($D$256),COLUMN()-COLUMN($C$257))),INDIRECT("'Master Spell List'!$Z$"&amp;INDEX(magestuff!$D$499:$Y$615,ROW()-ROW($D$256),COLUMN()-COLUMN($C$257))),"")</f>
        <v/>
      </c>
      <c r="Q357" s="1055" t="str">
        <f ca="1">IF(ISNUMBER(INDEX(magestuff!$D$499:$Y$615,ROW()-ROW($D$256),COLUMN()-COLUMN($C$257))),INDIRECT("'Master Spell List'!$Z$"&amp;INDEX(magestuff!$D$499:$Y$615,ROW()-ROW($D$256),COLUMN()-COLUMN($C$257))),"")</f>
        <v/>
      </c>
      <c r="R357" s="1055" t="str">
        <f ca="1">IF(ISNUMBER(INDEX(magestuff!$D$499:$Y$615,ROW()-ROW($D$256),COLUMN()-COLUMN($C$257))),INDIRECT("'Master Spell List'!$Z$"&amp;INDEX(magestuff!$D$499:$Y$615,ROW()-ROW($D$256),COLUMN()-COLUMN($C$257))),"")</f>
        <v/>
      </c>
      <c r="S357" s="1055" t="str">
        <f ca="1">IF(ISNUMBER(INDEX(magestuff!$D$499:$Y$615,ROW()-ROW($D$256),COLUMN()-COLUMN($C$257))),INDIRECT("'Master Spell List'!$Z$"&amp;INDEX(magestuff!$D$499:$Y$615,ROW()-ROW($D$256),COLUMN()-COLUMN($C$257))),"")</f>
        <v/>
      </c>
      <c r="T357" s="1055" t="str">
        <f ca="1">IF(ISNUMBER(INDEX(magestuff!$D$499:$Y$615,ROW()-ROW($D$256),COLUMN()-COLUMN($C$257))),INDIRECT("'Master Spell List'!$Z$"&amp;INDEX(magestuff!$D$499:$Y$615,ROW()-ROW($D$256),COLUMN()-COLUMN($C$257))),"")</f>
        <v/>
      </c>
      <c r="U357" s="1055" t="str">
        <f ca="1">IF(ISNUMBER(INDEX(magestuff!$D$499:$Y$615,ROW()-ROW($D$256),COLUMN()-COLUMN($C$257))),INDIRECT("'Master Spell List'!$Z$"&amp;INDEX(magestuff!$D$499:$Y$615,ROW()-ROW($D$256),COLUMN()-COLUMN($C$257))),"")</f>
        <v/>
      </c>
      <c r="V357" s="1055" t="str">
        <f ca="1">IF(ISNUMBER(INDEX(magestuff!$D$499:$Y$615,ROW()-ROW($D$256),COLUMN()-COLUMN($C$257))),INDIRECT("'Master Spell List'!$Z$"&amp;INDEX(magestuff!$D$499:$Y$615,ROW()-ROW($D$256),COLUMN()-COLUMN($C$257))),"")</f>
        <v/>
      </c>
      <c r="W357" s="1055" t="str">
        <f ca="1">IF(ISNUMBER(INDEX(magestuff!$D$499:$Y$615,ROW()-ROW($D$256),COLUMN()-COLUMN($C$257))),INDIRECT("'Master Spell List'!$Z$"&amp;INDEX(magestuff!$D$499:$Y$615,ROW()-ROW($D$256),COLUMN()-COLUMN($C$257))),"")</f>
        <v/>
      </c>
    </row>
    <row r="358" spans="1:47">
      <c r="A358" s="598">
        <v>103</v>
      </c>
      <c r="B358" s="598" t="s">
        <v>2225</v>
      </c>
      <c r="C358" s="598" t="s">
        <v>2225</v>
      </c>
      <c r="D358" s="1055" t="str">
        <f ca="1">IF(ISNUMBER(INDEX(magestuff!$D$499:$Y$615,ROW()-ROW($D$256),COLUMN()-COLUMN($C$257))),INDIRECT("'Master Spell List'!$Z$"&amp;INDEX(magestuff!$D$499:$Y$615,ROW()-ROW($D$256),COLUMN()-COLUMN($C$257))),"")</f>
        <v/>
      </c>
      <c r="E358" s="1055" t="str">
        <f ca="1">IF(ISNUMBER(INDEX(magestuff!$D$499:$Y$615,ROW()-ROW($D$256),COLUMN()-COLUMN($C$257))),INDIRECT("'Master Spell List'!$Z$"&amp;INDEX(magestuff!$D$499:$Y$615,ROW()-ROW($D$256),COLUMN()-COLUMN($C$257))),"")</f>
        <v/>
      </c>
      <c r="F358" s="1055" t="str">
        <f ca="1">IF(ISNUMBER(INDEX(magestuff!$D$499:$Y$615,ROW()-ROW($D$256),COLUMN()-COLUMN($C$257))),INDIRECT("'Master Spell List'!$Z$"&amp;INDEX(magestuff!$D$499:$Y$615,ROW()-ROW($D$256),COLUMN()-COLUMN($C$257))),"")</f>
        <v/>
      </c>
      <c r="G358" s="1055" t="str">
        <f ca="1">IF(ISNUMBER(INDEX(magestuff!$D$499:$Y$615,ROW()-ROW($D$256),COLUMN()-COLUMN($C$257))),INDIRECT("'Master Spell List'!$Z$"&amp;INDEX(magestuff!$D$499:$Y$615,ROW()-ROW($D$256),COLUMN()-COLUMN($C$257))),"")</f>
        <v/>
      </c>
      <c r="H358" s="1055" t="str">
        <f ca="1">IF(ISNUMBER(INDEX(magestuff!$D$499:$Y$615,ROW()-ROW($D$256),COLUMN()-COLUMN($C$257))),INDIRECT("'Master Spell List'!$Z$"&amp;INDEX(magestuff!$D$499:$Y$615,ROW()-ROW($D$256),COLUMN()-COLUMN($C$257))),"")</f>
        <v/>
      </c>
      <c r="I358" s="1055" t="str">
        <f ca="1">IF(ISNUMBER(INDEX(magestuff!$D$499:$Y$615,ROW()-ROW($D$256),COLUMN()-COLUMN($C$257))),INDIRECT("'Master Spell List'!$Z$"&amp;INDEX(magestuff!$D$499:$Y$615,ROW()-ROW($D$256),COLUMN()-COLUMN($C$257))),"")</f>
        <v xml:space="preserve">Arcane Long Sword Blade of Greater Damage </v>
      </c>
      <c r="J358" s="1055" t="str">
        <f ca="1">IF(ISNUMBER(INDEX(magestuff!$D$499:$Y$615,ROW()-ROW($D$256),COLUMN()-COLUMN($C$257))),INDIRECT("'Master Spell List'!$Z$"&amp;INDEX(magestuff!$D$499:$Y$615,ROW()-ROW($D$256),COLUMN()-COLUMN($C$257))),"")</f>
        <v>Blind</v>
      </c>
      <c r="K358" s="1055" t="str">
        <f ca="1">IF(ISNUMBER(INDEX(magestuff!$D$499:$Y$615,ROW()-ROW($D$256),COLUMN()-COLUMN($C$257))),INDIRECT("'Master Spell List'!$Z$"&amp;INDEX(magestuff!$D$499:$Y$615,ROW()-ROW($D$256),COLUMN()-COLUMN($C$257))),"")</f>
        <v/>
      </c>
      <c r="L358" s="1055" t="str">
        <f ca="1">IF(ISNUMBER(INDEX(magestuff!$D$499:$Y$615,ROW()-ROW($D$256),COLUMN()-COLUMN($C$257))),INDIRECT("'Master Spell List'!$Z$"&amp;INDEX(magestuff!$D$499:$Y$615,ROW()-ROW($D$256),COLUMN()-COLUMN($C$257))),"")</f>
        <v/>
      </c>
      <c r="M358" s="1055" t="str">
        <f ca="1">IF(ISNUMBER(INDEX(magestuff!$D$499:$Y$615,ROW()-ROW($D$256),COLUMN()-COLUMN($C$257))),INDIRECT("'Master Spell List'!$Z$"&amp;INDEX(magestuff!$D$499:$Y$615,ROW()-ROW($D$256),COLUMN()-COLUMN($C$257))),"")</f>
        <v/>
      </c>
      <c r="N358" s="1055" t="str">
        <f ca="1">IF(ISNUMBER(INDEX(magestuff!$D$499:$Y$615,ROW()-ROW($D$256),COLUMN()-COLUMN($C$257))),INDIRECT("'Master Spell List'!$Z$"&amp;INDEX(magestuff!$D$499:$Y$615,ROW()-ROW($D$256),COLUMN()-COLUMN($C$257))),"")</f>
        <v/>
      </c>
      <c r="O358" s="1055" t="str">
        <f ca="1">IF(ISNUMBER(INDEX(magestuff!$D$499:$Y$615,ROW()-ROW($D$256),COLUMN()-COLUMN($C$257))),INDIRECT("'Master Spell List'!$Z$"&amp;INDEX(magestuff!$D$499:$Y$615,ROW()-ROW($D$256),COLUMN()-COLUMN($C$257))),"")</f>
        <v/>
      </c>
      <c r="P358" s="1055" t="str">
        <f ca="1">IF(ISNUMBER(INDEX(magestuff!$D$499:$Y$615,ROW()-ROW($D$256),COLUMN()-COLUMN($C$257))),INDIRECT("'Master Spell List'!$Z$"&amp;INDEX(magestuff!$D$499:$Y$615,ROW()-ROW($D$256),COLUMN()-COLUMN($C$257))),"")</f>
        <v/>
      </c>
      <c r="Q358" s="1055" t="str">
        <f ca="1">IF(ISNUMBER(INDEX(magestuff!$D$499:$Y$615,ROW()-ROW($D$256),COLUMN()-COLUMN($C$257))),INDIRECT("'Master Spell List'!$Z$"&amp;INDEX(magestuff!$D$499:$Y$615,ROW()-ROW($D$256),COLUMN()-COLUMN($C$257))),"")</f>
        <v/>
      </c>
      <c r="R358" s="1055" t="str">
        <f ca="1">IF(ISNUMBER(INDEX(magestuff!$D$499:$Y$615,ROW()-ROW($D$256),COLUMN()-COLUMN($C$257))),INDIRECT("'Master Spell List'!$Z$"&amp;INDEX(magestuff!$D$499:$Y$615,ROW()-ROW($D$256),COLUMN()-COLUMN($C$257))),"")</f>
        <v/>
      </c>
      <c r="S358" s="1055" t="str">
        <f ca="1">IF(ISNUMBER(INDEX(magestuff!$D$499:$Y$615,ROW()-ROW($D$256),COLUMN()-COLUMN($C$257))),INDIRECT("'Master Spell List'!$Z$"&amp;INDEX(magestuff!$D$499:$Y$615,ROW()-ROW($D$256),COLUMN()-COLUMN($C$257))),"")</f>
        <v/>
      </c>
      <c r="T358" s="1055" t="str">
        <f ca="1">IF(ISNUMBER(INDEX(magestuff!$D$499:$Y$615,ROW()-ROW($D$256),COLUMN()-COLUMN($C$257))),INDIRECT("'Master Spell List'!$Z$"&amp;INDEX(magestuff!$D$499:$Y$615,ROW()-ROW($D$256),COLUMN()-COLUMN($C$257))),"")</f>
        <v/>
      </c>
      <c r="U358" s="1055" t="str">
        <f ca="1">IF(ISNUMBER(INDEX(magestuff!$D$499:$Y$615,ROW()-ROW($D$256),COLUMN()-COLUMN($C$257))),INDIRECT("'Master Spell List'!$Z$"&amp;INDEX(magestuff!$D$499:$Y$615,ROW()-ROW($D$256),COLUMN()-COLUMN($C$257))),"")</f>
        <v/>
      </c>
      <c r="V358" s="1055" t="str">
        <f ca="1">IF(ISNUMBER(INDEX(magestuff!$D$499:$Y$615,ROW()-ROW($D$256),COLUMN()-COLUMN($C$257))),INDIRECT("'Master Spell List'!$Z$"&amp;INDEX(magestuff!$D$499:$Y$615,ROW()-ROW($D$256),COLUMN()-COLUMN($C$257))),"")</f>
        <v/>
      </c>
      <c r="W358" s="1055" t="str">
        <f ca="1">IF(ISNUMBER(INDEX(magestuff!$D$499:$Y$615,ROW()-ROW($D$256),COLUMN()-COLUMN($C$257))),INDIRECT("'Master Spell List'!$Z$"&amp;INDEX(magestuff!$D$499:$Y$615,ROW()-ROW($D$256),COLUMN()-COLUMN($C$257))),"")</f>
        <v/>
      </c>
    </row>
    <row r="359" spans="1:47">
      <c r="A359" s="598">
        <v>104</v>
      </c>
      <c r="B359" s="598" t="s">
        <v>2225</v>
      </c>
      <c r="C359" s="598" t="s">
        <v>2225</v>
      </c>
      <c r="D359" s="1055" t="str">
        <f ca="1">IF(ISNUMBER(INDEX(magestuff!$D$499:$Y$615,ROW()-ROW($D$256),COLUMN()-COLUMN($C$257))),INDIRECT("'Master Spell List'!$Z$"&amp;INDEX(magestuff!$D$499:$Y$615,ROW()-ROW($D$256),COLUMN()-COLUMN($C$257))),"")</f>
        <v/>
      </c>
      <c r="E359" s="1055" t="str">
        <f ca="1">IF(ISNUMBER(INDEX(magestuff!$D$499:$Y$615,ROW()-ROW($D$256),COLUMN()-COLUMN($C$257))),INDIRECT("'Master Spell List'!$Z$"&amp;INDEX(magestuff!$D$499:$Y$615,ROW()-ROW($D$256),COLUMN()-COLUMN($C$257))),"")</f>
        <v/>
      </c>
      <c r="F359" s="1055" t="str">
        <f ca="1">IF(ISNUMBER(INDEX(magestuff!$D$499:$Y$615,ROW()-ROW($D$256),COLUMN()-COLUMN($C$257))),INDIRECT("'Master Spell List'!$Z$"&amp;INDEX(magestuff!$D$499:$Y$615,ROW()-ROW($D$256),COLUMN()-COLUMN($C$257))),"")</f>
        <v/>
      </c>
      <c r="G359" s="1055" t="str">
        <f ca="1">IF(ISNUMBER(INDEX(magestuff!$D$499:$Y$615,ROW()-ROW($D$256),COLUMN()-COLUMN($C$257))),INDIRECT("'Master Spell List'!$Z$"&amp;INDEX(magestuff!$D$499:$Y$615,ROW()-ROW($D$256),COLUMN()-COLUMN($C$257))),"")</f>
        <v/>
      </c>
      <c r="H359" s="1055" t="str">
        <f ca="1">IF(ISNUMBER(INDEX(magestuff!$D$499:$Y$615,ROW()-ROW($D$256),COLUMN()-COLUMN($C$257))),INDIRECT("'Master Spell List'!$Z$"&amp;INDEX(magestuff!$D$499:$Y$615,ROW()-ROW($D$256),COLUMN()-COLUMN($C$257))),"")</f>
        <v/>
      </c>
      <c r="I359" s="1055" t="str">
        <f ca="1">IF(ISNUMBER(INDEX(magestuff!$D$499:$Y$615,ROW()-ROW($D$256),COLUMN()-COLUMN($C$257))),INDIRECT("'Master Spell List'!$Z$"&amp;INDEX(magestuff!$D$499:$Y$615,ROW()-ROW($D$256),COLUMN()-COLUMN($C$257))),"")</f>
        <v xml:space="preserve">Arcane Mace Head of Greater Damage </v>
      </c>
      <c r="J359" s="1055" t="str">
        <f ca="1">IF(ISNUMBER(INDEX(magestuff!$D$499:$Y$615,ROW()-ROW($D$256),COLUMN()-COLUMN($C$257))),INDIRECT("'Master Spell List'!$Z$"&amp;INDEX(magestuff!$D$499:$Y$615,ROW()-ROW($D$256),COLUMN()-COLUMN($C$257))),"")</f>
        <v>Command Greater Undead</v>
      </c>
      <c r="K359" s="1055" t="str">
        <f ca="1">IF(ISNUMBER(INDEX(magestuff!$D$499:$Y$615,ROW()-ROW($D$256),COLUMN()-COLUMN($C$257))),INDIRECT("'Master Spell List'!$Z$"&amp;INDEX(magestuff!$D$499:$Y$615,ROW()-ROW($D$256),COLUMN()-COLUMN($C$257))),"")</f>
        <v/>
      </c>
      <c r="L359" s="1055" t="str">
        <f ca="1">IF(ISNUMBER(INDEX(magestuff!$D$499:$Y$615,ROW()-ROW($D$256),COLUMN()-COLUMN($C$257))),INDIRECT("'Master Spell List'!$Z$"&amp;INDEX(magestuff!$D$499:$Y$615,ROW()-ROW($D$256),COLUMN()-COLUMN($C$257))),"")</f>
        <v/>
      </c>
      <c r="M359" s="1055" t="str">
        <f ca="1">IF(ISNUMBER(INDEX(magestuff!$D$499:$Y$615,ROW()-ROW($D$256),COLUMN()-COLUMN($C$257))),INDIRECT("'Master Spell List'!$Z$"&amp;INDEX(magestuff!$D$499:$Y$615,ROW()-ROW($D$256),COLUMN()-COLUMN($C$257))),"")</f>
        <v/>
      </c>
      <c r="N359" s="1055" t="str">
        <f ca="1">IF(ISNUMBER(INDEX(magestuff!$D$499:$Y$615,ROW()-ROW($D$256),COLUMN()-COLUMN($C$257))),INDIRECT("'Master Spell List'!$Z$"&amp;INDEX(magestuff!$D$499:$Y$615,ROW()-ROW($D$256),COLUMN()-COLUMN($C$257))),"")</f>
        <v/>
      </c>
      <c r="O359" s="1055" t="str">
        <f ca="1">IF(ISNUMBER(INDEX(magestuff!$D$499:$Y$615,ROW()-ROW($D$256),COLUMN()-COLUMN($C$257))),INDIRECT("'Master Spell List'!$Z$"&amp;INDEX(magestuff!$D$499:$Y$615,ROW()-ROW($D$256),COLUMN()-COLUMN($C$257))),"")</f>
        <v/>
      </c>
      <c r="P359" s="1055" t="str">
        <f ca="1">IF(ISNUMBER(INDEX(magestuff!$D$499:$Y$615,ROW()-ROW($D$256),COLUMN()-COLUMN($C$257))),INDIRECT("'Master Spell List'!$Z$"&amp;INDEX(magestuff!$D$499:$Y$615,ROW()-ROW($D$256),COLUMN()-COLUMN($C$257))),"")</f>
        <v/>
      </c>
      <c r="Q359" s="1055" t="str">
        <f ca="1">IF(ISNUMBER(INDEX(magestuff!$D$499:$Y$615,ROW()-ROW($D$256),COLUMN()-COLUMN($C$257))),INDIRECT("'Master Spell List'!$Z$"&amp;INDEX(magestuff!$D$499:$Y$615,ROW()-ROW($D$256),COLUMN()-COLUMN($C$257))),"")</f>
        <v/>
      </c>
      <c r="R359" s="1055" t="str">
        <f ca="1">IF(ISNUMBER(INDEX(magestuff!$D$499:$Y$615,ROW()-ROW($D$256),COLUMN()-COLUMN($C$257))),INDIRECT("'Master Spell List'!$Z$"&amp;INDEX(magestuff!$D$499:$Y$615,ROW()-ROW($D$256),COLUMN()-COLUMN($C$257))),"")</f>
        <v/>
      </c>
      <c r="S359" s="1055" t="str">
        <f ca="1">IF(ISNUMBER(INDEX(magestuff!$D$499:$Y$615,ROW()-ROW($D$256),COLUMN()-COLUMN($C$257))),INDIRECT("'Master Spell List'!$Z$"&amp;INDEX(magestuff!$D$499:$Y$615,ROW()-ROW($D$256),COLUMN()-COLUMN($C$257))),"")</f>
        <v/>
      </c>
      <c r="T359" s="1055" t="str">
        <f ca="1">IF(ISNUMBER(INDEX(magestuff!$D$499:$Y$615,ROW()-ROW($D$256),COLUMN()-COLUMN($C$257))),INDIRECT("'Master Spell List'!$Z$"&amp;INDEX(magestuff!$D$499:$Y$615,ROW()-ROW($D$256),COLUMN()-COLUMN($C$257))),"")</f>
        <v/>
      </c>
      <c r="U359" s="1055" t="str">
        <f ca="1">IF(ISNUMBER(INDEX(magestuff!$D$499:$Y$615,ROW()-ROW($D$256),COLUMN()-COLUMN($C$257))),INDIRECT("'Master Spell List'!$Z$"&amp;INDEX(magestuff!$D$499:$Y$615,ROW()-ROW($D$256),COLUMN()-COLUMN($C$257))),"")</f>
        <v/>
      </c>
      <c r="V359" s="1055" t="str">
        <f ca="1">IF(ISNUMBER(INDEX(magestuff!$D$499:$Y$615,ROW()-ROW($D$256),COLUMN()-COLUMN($C$257))),INDIRECT("'Master Spell List'!$Z$"&amp;INDEX(magestuff!$D$499:$Y$615,ROW()-ROW($D$256),COLUMN()-COLUMN($C$257))),"")</f>
        <v/>
      </c>
      <c r="W359" s="1055" t="str">
        <f ca="1">IF(ISNUMBER(INDEX(magestuff!$D$499:$Y$615,ROW()-ROW($D$256),COLUMN()-COLUMN($C$257))),INDIRECT("'Master Spell List'!$Z$"&amp;INDEX(magestuff!$D$499:$Y$615,ROW()-ROW($D$256),COLUMN()-COLUMN($C$257))),"")</f>
        <v/>
      </c>
      <c r="X359" s="598" t="s">
        <v>2225</v>
      </c>
      <c r="Y359" s="598" t="s">
        <v>2225</v>
      </c>
      <c r="Z359" s="598" t="s">
        <v>2225</v>
      </c>
      <c r="AA359" s="598" t="s">
        <v>2225</v>
      </c>
      <c r="AB359" s="598" t="s">
        <v>2225</v>
      </c>
      <c r="AC359" s="598" t="s">
        <v>2225</v>
      </c>
      <c r="AD359" s="598" t="s">
        <v>2225</v>
      </c>
      <c r="AE359" s="598" t="s">
        <v>2225</v>
      </c>
      <c r="AF359" s="598" t="s">
        <v>2225</v>
      </c>
      <c r="AG359" s="598" t="s">
        <v>2225</v>
      </c>
      <c r="AH359" s="598" t="s">
        <v>2225</v>
      </c>
      <c r="AI359" s="598" t="s">
        <v>2225</v>
      </c>
      <c r="AJ359" s="598" t="s">
        <v>2225</v>
      </c>
      <c r="AK359" s="598" t="s">
        <v>2225</v>
      </c>
      <c r="AL359" s="598" t="s">
        <v>2225</v>
      </c>
      <c r="AM359" s="598" t="s">
        <v>2225</v>
      </c>
      <c r="AN359" s="598" t="s">
        <v>2225</v>
      </c>
      <c r="AO359" s="598" t="s">
        <v>2225</v>
      </c>
      <c r="AP359" s="598" t="s">
        <v>2225</v>
      </c>
      <c r="AQ359" s="598" t="s">
        <v>2225</v>
      </c>
      <c r="AR359" s="598" t="s">
        <v>2225</v>
      </c>
      <c r="AS359" s="598" t="s">
        <v>2225</v>
      </c>
      <c r="AT359" s="598" t="s">
        <v>2225</v>
      </c>
      <c r="AU359" s="598" t="s">
        <v>2225</v>
      </c>
    </row>
    <row r="360" spans="1:47">
      <c r="A360" s="598">
        <v>105</v>
      </c>
      <c r="B360" s="598" t="s">
        <v>2225</v>
      </c>
      <c r="C360" s="598" t="s">
        <v>2225</v>
      </c>
      <c r="D360" s="1055" t="str">
        <f ca="1">IF(ISNUMBER(INDEX(magestuff!$D$499:$Y$615,ROW()-ROW($D$256),COLUMN()-COLUMN($C$257))),INDIRECT("'Master Spell List'!$Z$"&amp;INDEX(magestuff!$D$499:$Y$615,ROW()-ROW($D$256),COLUMN()-COLUMN($C$257))),"")</f>
        <v/>
      </c>
      <c r="E360" s="1055" t="str">
        <f ca="1">IF(ISNUMBER(INDEX(magestuff!$D$499:$Y$615,ROW()-ROW($D$256),COLUMN()-COLUMN($C$257))),INDIRECT("'Master Spell List'!$Z$"&amp;INDEX(magestuff!$D$499:$Y$615,ROW()-ROW($D$256),COLUMN()-COLUMN($C$257))),"")</f>
        <v/>
      </c>
      <c r="F360" s="1055" t="str">
        <f ca="1">IF(ISNUMBER(INDEX(magestuff!$D$499:$Y$615,ROW()-ROW($D$256),COLUMN()-COLUMN($C$257))),INDIRECT("'Master Spell List'!$Z$"&amp;INDEX(magestuff!$D$499:$Y$615,ROW()-ROW($D$256),COLUMN()-COLUMN($C$257))),"")</f>
        <v/>
      </c>
      <c r="G360" s="1055" t="str">
        <f ca="1">IF(ISNUMBER(INDEX(magestuff!$D$499:$Y$615,ROW()-ROW($D$256),COLUMN()-COLUMN($C$257))),INDIRECT("'Master Spell List'!$Z$"&amp;INDEX(magestuff!$D$499:$Y$615,ROW()-ROW($D$256),COLUMN()-COLUMN($C$257))),"")</f>
        <v/>
      </c>
      <c r="H360" s="1055" t="str">
        <f ca="1">IF(ISNUMBER(INDEX(magestuff!$D$499:$Y$615,ROW()-ROW($D$256),COLUMN()-COLUMN($C$257))),INDIRECT("'Master Spell List'!$Z$"&amp;INDEX(magestuff!$D$499:$Y$615,ROW()-ROW($D$256),COLUMN()-COLUMN($C$257))),"")</f>
        <v/>
      </c>
      <c r="I360" s="1055" t="str">
        <f ca="1">IF(ISNUMBER(INDEX(magestuff!$D$499:$Y$615,ROW()-ROW($D$256),COLUMN()-COLUMN($C$257))),INDIRECT("'Master Spell List'!$Z$"&amp;INDEX(magestuff!$D$499:$Y$615,ROW()-ROW($D$256),COLUMN()-COLUMN($C$257))),"")</f>
        <v>Arcane Net</v>
      </c>
      <c r="J360" s="1055" t="str">
        <f ca="1">IF(ISNUMBER(INDEX(magestuff!$D$499:$Y$615,ROW()-ROW($D$256),COLUMN()-COLUMN($C$257))),INDIRECT("'Master Spell List'!$Z$"&amp;INDEX(magestuff!$D$499:$Y$615,ROW()-ROW($D$256),COLUMN()-COLUMN($C$257))),"")</f>
        <v>Sleep into the Ages</v>
      </c>
      <c r="K360" s="1055" t="str">
        <f ca="1">IF(ISNUMBER(INDEX(magestuff!$D$499:$Y$615,ROW()-ROW($D$256),COLUMN()-COLUMN($C$257))),INDIRECT("'Master Spell List'!$Z$"&amp;INDEX(magestuff!$D$499:$Y$615,ROW()-ROW($D$256),COLUMN()-COLUMN($C$257))),"")</f>
        <v/>
      </c>
      <c r="L360" s="1055" t="str">
        <f ca="1">IF(ISNUMBER(INDEX(magestuff!$D$499:$Y$615,ROW()-ROW($D$256),COLUMN()-COLUMN($C$257))),INDIRECT("'Master Spell List'!$Z$"&amp;INDEX(magestuff!$D$499:$Y$615,ROW()-ROW($D$256),COLUMN()-COLUMN($C$257))),"")</f>
        <v/>
      </c>
      <c r="M360" s="1055" t="str">
        <f ca="1">IF(ISNUMBER(INDEX(magestuff!$D$499:$Y$615,ROW()-ROW($D$256),COLUMN()-COLUMN($C$257))),INDIRECT("'Master Spell List'!$Z$"&amp;INDEX(magestuff!$D$499:$Y$615,ROW()-ROW($D$256),COLUMN()-COLUMN($C$257))),"")</f>
        <v/>
      </c>
      <c r="N360" s="1055" t="str">
        <f ca="1">IF(ISNUMBER(INDEX(magestuff!$D$499:$Y$615,ROW()-ROW($D$256),COLUMN()-COLUMN($C$257))),INDIRECT("'Master Spell List'!$Z$"&amp;INDEX(magestuff!$D$499:$Y$615,ROW()-ROW($D$256),COLUMN()-COLUMN($C$257))),"")</f>
        <v/>
      </c>
      <c r="O360" s="1055" t="str">
        <f ca="1">IF(ISNUMBER(INDEX(magestuff!$D$499:$Y$615,ROW()-ROW($D$256),COLUMN()-COLUMN($C$257))),INDIRECT("'Master Spell List'!$Z$"&amp;INDEX(magestuff!$D$499:$Y$615,ROW()-ROW($D$256),COLUMN()-COLUMN($C$257))),"")</f>
        <v/>
      </c>
      <c r="P360" s="1055" t="str">
        <f ca="1">IF(ISNUMBER(INDEX(magestuff!$D$499:$Y$615,ROW()-ROW($D$256),COLUMN()-COLUMN($C$257))),INDIRECT("'Master Spell List'!$Z$"&amp;INDEX(magestuff!$D$499:$Y$615,ROW()-ROW($D$256),COLUMN()-COLUMN($C$257))),"")</f>
        <v/>
      </c>
      <c r="Q360" s="1055" t="str">
        <f ca="1">IF(ISNUMBER(INDEX(magestuff!$D$499:$Y$615,ROW()-ROW($D$256),COLUMN()-COLUMN($C$257))),INDIRECT("'Master Spell List'!$Z$"&amp;INDEX(magestuff!$D$499:$Y$615,ROW()-ROW($D$256),COLUMN()-COLUMN($C$257))),"")</f>
        <v/>
      </c>
      <c r="R360" s="1055" t="str">
        <f ca="1">IF(ISNUMBER(INDEX(magestuff!$D$499:$Y$615,ROW()-ROW($D$256),COLUMN()-COLUMN($C$257))),INDIRECT("'Master Spell List'!$Z$"&amp;INDEX(magestuff!$D$499:$Y$615,ROW()-ROW($D$256),COLUMN()-COLUMN($C$257))),"")</f>
        <v/>
      </c>
      <c r="S360" s="1055" t="str">
        <f ca="1">IF(ISNUMBER(INDEX(magestuff!$D$499:$Y$615,ROW()-ROW($D$256),COLUMN()-COLUMN($C$257))),INDIRECT("'Master Spell List'!$Z$"&amp;INDEX(magestuff!$D$499:$Y$615,ROW()-ROW($D$256),COLUMN()-COLUMN($C$257))),"")</f>
        <v/>
      </c>
      <c r="T360" s="1055" t="str">
        <f ca="1">IF(ISNUMBER(INDEX(magestuff!$D$499:$Y$615,ROW()-ROW($D$256),COLUMN()-COLUMN($C$257))),INDIRECT("'Master Spell List'!$Z$"&amp;INDEX(magestuff!$D$499:$Y$615,ROW()-ROW($D$256),COLUMN()-COLUMN($C$257))),"")</f>
        <v/>
      </c>
      <c r="U360" s="1055" t="str">
        <f ca="1">IF(ISNUMBER(INDEX(magestuff!$D$499:$Y$615,ROW()-ROW($D$256),COLUMN()-COLUMN($C$257))),INDIRECT("'Master Spell List'!$Z$"&amp;INDEX(magestuff!$D$499:$Y$615,ROW()-ROW($D$256),COLUMN()-COLUMN($C$257))),"")</f>
        <v/>
      </c>
      <c r="V360" s="1055" t="str">
        <f ca="1">IF(ISNUMBER(INDEX(magestuff!$D$499:$Y$615,ROW()-ROW($D$256),COLUMN()-COLUMN($C$257))),INDIRECT("'Master Spell List'!$Z$"&amp;INDEX(magestuff!$D$499:$Y$615,ROW()-ROW($D$256),COLUMN()-COLUMN($C$257))),"")</f>
        <v/>
      </c>
      <c r="W360" s="1055" t="str">
        <f ca="1">IF(ISNUMBER(INDEX(magestuff!$D$499:$Y$615,ROW()-ROW($D$256),COLUMN()-COLUMN($C$257))),INDIRECT("'Master Spell List'!$Z$"&amp;INDEX(magestuff!$D$499:$Y$615,ROW()-ROW($D$256),COLUMN()-COLUMN($C$257))),"")</f>
        <v/>
      </c>
    </row>
    <row r="361" spans="1:47">
      <c r="A361" s="598">
        <v>106</v>
      </c>
      <c r="B361" s="598" t="s">
        <v>2225</v>
      </c>
      <c r="C361" s="598" t="s">
        <v>2225</v>
      </c>
      <c r="D361" s="1055" t="str">
        <f ca="1">IF(ISNUMBER(INDEX(magestuff!$D$499:$Y$615,ROW()-ROW($D$256),COLUMN()-COLUMN($C$257))),INDIRECT("'Master Spell List'!$Z$"&amp;INDEX(magestuff!$D$499:$Y$615,ROW()-ROW($D$256),COLUMN()-COLUMN($C$257))),"")</f>
        <v/>
      </c>
      <c r="E361" s="1055" t="str">
        <f ca="1">IF(ISNUMBER(INDEX(magestuff!$D$499:$Y$615,ROW()-ROW($D$256),COLUMN()-COLUMN($C$257))),INDIRECT("'Master Spell List'!$Z$"&amp;INDEX(magestuff!$D$499:$Y$615,ROW()-ROW($D$256),COLUMN()-COLUMN($C$257))),"")</f>
        <v/>
      </c>
      <c r="F361" s="1055" t="str">
        <f ca="1">IF(ISNUMBER(INDEX(magestuff!$D$499:$Y$615,ROW()-ROW($D$256),COLUMN()-COLUMN($C$257))),INDIRECT("'Master Spell List'!$Z$"&amp;INDEX(magestuff!$D$499:$Y$615,ROW()-ROW($D$256),COLUMN()-COLUMN($C$257))),"")</f>
        <v/>
      </c>
      <c r="G361" s="1055" t="str">
        <f ca="1">IF(ISNUMBER(INDEX(magestuff!$D$499:$Y$615,ROW()-ROW($D$256),COLUMN()-COLUMN($C$257))),INDIRECT("'Master Spell List'!$Z$"&amp;INDEX(magestuff!$D$499:$Y$615,ROW()-ROW($D$256),COLUMN()-COLUMN($C$257))),"")</f>
        <v/>
      </c>
      <c r="H361" s="1055" t="str">
        <f ca="1">IF(ISNUMBER(INDEX(magestuff!$D$499:$Y$615,ROW()-ROW($D$256),COLUMN()-COLUMN($C$257))),INDIRECT("'Master Spell List'!$Z$"&amp;INDEX(magestuff!$D$499:$Y$615,ROW()-ROW($D$256),COLUMN()-COLUMN($C$257))),"")</f>
        <v/>
      </c>
      <c r="I361" s="1055" t="str">
        <f ca="1">IF(ISNUMBER(INDEX(magestuff!$D$499:$Y$615,ROW()-ROW($D$256),COLUMN()-COLUMN($C$257))),INDIRECT("'Master Spell List'!$Z$"&amp;INDEX(magestuff!$D$499:$Y$615,ROW()-ROW($D$256),COLUMN()-COLUMN($C$257))),"")</f>
        <v xml:space="preserve">Least Repulse Arcane Energy   </v>
      </c>
      <c r="J361" s="1055" t="str">
        <f ca="1">IF(ISNUMBER(INDEX(magestuff!$D$499:$Y$615,ROW()-ROW($D$256),COLUMN()-COLUMN($C$257))),INDIRECT("'Master Spell List'!$Z$"&amp;INDEX(magestuff!$D$499:$Y$615,ROW()-ROW($D$256),COLUMN()-COLUMN($C$257))),"")</f>
        <v>Berserker Rage</v>
      </c>
      <c r="K361" s="1055" t="str">
        <f ca="1">IF(ISNUMBER(INDEX(magestuff!$D$499:$Y$615,ROW()-ROW($D$256),COLUMN()-COLUMN($C$257))),INDIRECT("'Master Spell List'!$Z$"&amp;INDEX(magestuff!$D$499:$Y$615,ROW()-ROW($D$256),COLUMN()-COLUMN($C$257))),"")</f>
        <v/>
      </c>
      <c r="L361" s="1055" t="str">
        <f ca="1">IF(ISNUMBER(INDEX(magestuff!$D$499:$Y$615,ROW()-ROW($D$256),COLUMN()-COLUMN($C$257))),INDIRECT("'Master Spell List'!$Z$"&amp;INDEX(magestuff!$D$499:$Y$615,ROW()-ROW($D$256),COLUMN()-COLUMN($C$257))),"")</f>
        <v/>
      </c>
      <c r="M361" s="1055" t="str">
        <f ca="1">IF(ISNUMBER(INDEX(magestuff!$D$499:$Y$615,ROW()-ROW($D$256),COLUMN()-COLUMN($C$257))),INDIRECT("'Master Spell List'!$Z$"&amp;INDEX(magestuff!$D$499:$Y$615,ROW()-ROW($D$256),COLUMN()-COLUMN($C$257))),"")</f>
        <v/>
      </c>
      <c r="N361" s="1055" t="str">
        <f ca="1">IF(ISNUMBER(INDEX(magestuff!$D$499:$Y$615,ROW()-ROW($D$256),COLUMN()-COLUMN($C$257))),INDIRECT("'Master Spell List'!$Z$"&amp;INDEX(magestuff!$D$499:$Y$615,ROW()-ROW($D$256),COLUMN()-COLUMN($C$257))),"")</f>
        <v/>
      </c>
      <c r="O361" s="1055" t="str">
        <f ca="1">IF(ISNUMBER(INDEX(magestuff!$D$499:$Y$615,ROW()-ROW($D$256),COLUMN()-COLUMN($C$257))),INDIRECT("'Master Spell List'!$Z$"&amp;INDEX(magestuff!$D$499:$Y$615,ROW()-ROW($D$256),COLUMN()-COLUMN($C$257))),"")</f>
        <v/>
      </c>
      <c r="P361" s="1055" t="str">
        <f ca="1">IF(ISNUMBER(INDEX(magestuff!$D$499:$Y$615,ROW()-ROW($D$256),COLUMN()-COLUMN($C$257))),INDIRECT("'Master Spell List'!$Z$"&amp;INDEX(magestuff!$D$499:$Y$615,ROW()-ROW($D$256),COLUMN()-COLUMN($C$257))),"")</f>
        <v/>
      </c>
      <c r="Q361" s="1055" t="str">
        <f ca="1">IF(ISNUMBER(INDEX(magestuff!$D$499:$Y$615,ROW()-ROW($D$256),COLUMN()-COLUMN($C$257))),INDIRECT("'Master Spell List'!$Z$"&amp;INDEX(magestuff!$D$499:$Y$615,ROW()-ROW($D$256),COLUMN()-COLUMN($C$257))),"")</f>
        <v/>
      </c>
      <c r="R361" s="1055" t="str">
        <f ca="1">IF(ISNUMBER(INDEX(magestuff!$D$499:$Y$615,ROW()-ROW($D$256),COLUMN()-COLUMN($C$257))),INDIRECT("'Master Spell List'!$Z$"&amp;INDEX(magestuff!$D$499:$Y$615,ROW()-ROW($D$256),COLUMN()-COLUMN($C$257))),"")</f>
        <v/>
      </c>
      <c r="S361" s="1055" t="str">
        <f ca="1">IF(ISNUMBER(INDEX(magestuff!$D$499:$Y$615,ROW()-ROW($D$256),COLUMN()-COLUMN($C$257))),INDIRECT("'Master Spell List'!$Z$"&amp;INDEX(magestuff!$D$499:$Y$615,ROW()-ROW($D$256),COLUMN()-COLUMN($C$257))),"")</f>
        <v/>
      </c>
      <c r="T361" s="1055" t="str">
        <f ca="1">IF(ISNUMBER(INDEX(magestuff!$D$499:$Y$615,ROW()-ROW($D$256),COLUMN()-COLUMN($C$257))),INDIRECT("'Master Spell List'!$Z$"&amp;INDEX(magestuff!$D$499:$Y$615,ROW()-ROW($D$256),COLUMN()-COLUMN($C$257))),"")</f>
        <v/>
      </c>
      <c r="U361" s="1055" t="str">
        <f ca="1">IF(ISNUMBER(INDEX(magestuff!$D$499:$Y$615,ROW()-ROW($D$256),COLUMN()-COLUMN($C$257))),INDIRECT("'Master Spell List'!$Z$"&amp;INDEX(magestuff!$D$499:$Y$615,ROW()-ROW($D$256),COLUMN()-COLUMN($C$257))),"")</f>
        <v/>
      </c>
      <c r="V361" s="1055" t="str">
        <f ca="1">IF(ISNUMBER(INDEX(magestuff!$D$499:$Y$615,ROW()-ROW($D$256),COLUMN()-COLUMN($C$257))),INDIRECT("'Master Spell List'!$Z$"&amp;INDEX(magestuff!$D$499:$Y$615,ROW()-ROW($D$256),COLUMN()-COLUMN($C$257))),"")</f>
        <v/>
      </c>
      <c r="W361" s="1055" t="str">
        <f ca="1">IF(ISNUMBER(INDEX(magestuff!$D$499:$Y$615,ROW()-ROW($D$256),COLUMN()-COLUMN($C$257))),INDIRECT("'Master Spell List'!$Z$"&amp;INDEX(magestuff!$D$499:$Y$615,ROW()-ROW($D$256),COLUMN()-COLUMN($C$257))),"")</f>
        <v/>
      </c>
    </row>
    <row r="362" spans="1:47">
      <c r="A362" s="598">
        <v>107</v>
      </c>
      <c r="B362" s="598" t="s">
        <v>2225</v>
      </c>
      <c r="C362" s="598" t="s">
        <v>2225</v>
      </c>
      <c r="D362" s="1055" t="str">
        <f ca="1">IF(ISNUMBER(INDEX(magestuff!$D$499:$Y$615,ROW()-ROW($D$256),COLUMN()-COLUMN($C$257))),INDIRECT("'Master Spell List'!$Z$"&amp;INDEX(magestuff!$D$499:$Y$615,ROW()-ROW($D$256),COLUMN()-COLUMN($C$257))),"")</f>
        <v/>
      </c>
      <c r="E362" s="1055" t="str">
        <f ca="1">IF(ISNUMBER(INDEX(magestuff!$D$499:$Y$615,ROW()-ROW($D$256),COLUMN()-COLUMN($C$257))),INDIRECT("'Master Spell List'!$Z$"&amp;INDEX(magestuff!$D$499:$Y$615,ROW()-ROW($D$256),COLUMN()-COLUMN($C$257))),"")</f>
        <v/>
      </c>
      <c r="F362" s="1055" t="str">
        <f ca="1">IF(ISNUMBER(INDEX(magestuff!$D$499:$Y$615,ROW()-ROW($D$256),COLUMN()-COLUMN($C$257))),INDIRECT("'Master Spell List'!$Z$"&amp;INDEX(magestuff!$D$499:$Y$615,ROW()-ROW($D$256),COLUMN()-COLUMN($C$257))),"")</f>
        <v/>
      </c>
      <c r="G362" s="1055" t="str">
        <f ca="1">IF(ISNUMBER(INDEX(magestuff!$D$499:$Y$615,ROW()-ROW($D$256),COLUMN()-COLUMN($C$257))),INDIRECT("'Master Spell List'!$Z$"&amp;INDEX(magestuff!$D$499:$Y$615,ROW()-ROW($D$256),COLUMN()-COLUMN($C$257))),"")</f>
        <v/>
      </c>
      <c r="H362" s="1055" t="str">
        <f ca="1">IF(ISNUMBER(INDEX(magestuff!$D$499:$Y$615,ROW()-ROW($D$256),COLUMN()-COLUMN($C$257))),INDIRECT("'Master Spell List'!$Z$"&amp;INDEX(magestuff!$D$499:$Y$615,ROW()-ROW($D$256),COLUMN()-COLUMN($C$257))),"")</f>
        <v/>
      </c>
      <c r="I362" s="1055" t="str">
        <f ca="1">IF(ISNUMBER(INDEX(magestuff!$D$499:$Y$615,ROW()-ROW($D$256),COLUMN()-COLUMN($C$257))),INDIRECT("'Master Spell List'!$Z$"&amp;INDEX(magestuff!$D$499:$Y$615,ROW()-ROW($D$256),COLUMN()-COLUMN($C$257))),"")</f>
        <v>Lesser Invisible Sigil of the Arcane</v>
      </c>
      <c r="J362" s="1055" t="str">
        <f ca="1">IF(ISNUMBER(INDEX(magestuff!$D$499:$Y$615,ROW()-ROW($D$256),COLUMN()-COLUMN($C$257))),INDIRECT("'Master Spell List'!$Z$"&amp;INDEX(magestuff!$D$499:$Y$615,ROW()-ROW($D$256),COLUMN()-COLUMN($C$257))),"")</f>
        <v>Geas</v>
      </c>
      <c r="K362" s="1055" t="str">
        <f ca="1">IF(ISNUMBER(INDEX(magestuff!$D$499:$Y$615,ROW()-ROW($D$256),COLUMN()-COLUMN($C$257))),INDIRECT("'Master Spell List'!$Z$"&amp;INDEX(magestuff!$D$499:$Y$615,ROW()-ROW($D$256),COLUMN()-COLUMN($C$257))),"")</f>
        <v/>
      </c>
      <c r="L362" s="1055" t="str">
        <f ca="1">IF(ISNUMBER(INDEX(magestuff!$D$499:$Y$615,ROW()-ROW($D$256),COLUMN()-COLUMN($C$257))),INDIRECT("'Master Spell List'!$Z$"&amp;INDEX(magestuff!$D$499:$Y$615,ROW()-ROW($D$256),COLUMN()-COLUMN($C$257))),"")</f>
        <v/>
      </c>
      <c r="M362" s="1055" t="str">
        <f ca="1">IF(ISNUMBER(INDEX(magestuff!$D$499:$Y$615,ROW()-ROW($D$256),COLUMN()-COLUMN($C$257))),INDIRECT("'Master Spell List'!$Z$"&amp;INDEX(magestuff!$D$499:$Y$615,ROW()-ROW($D$256),COLUMN()-COLUMN($C$257))),"")</f>
        <v/>
      </c>
      <c r="N362" s="1055" t="str">
        <f ca="1">IF(ISNUMBER(INDEX(magestuff!$D$499:$Y$615,ROW()-ROW($D$256),COLUMN()-COLUMN($C$257))),INDIRECT("'Master Spell List'!$Z$"&amp;INDEX(magestuff!$D$499:$Y$615,ROW()-ROW($D$256),COLUMN()-COLUMN($C$257))),"")</f>
        <v/>
      </c>
      <c r="O362" s="1055" t="str">
        <f ca="1">IF(ISNUMBER(INDEX(magestuff!$D$499:$Y$615,ROW()-ROW($D$256),COLUMN()-COLUMN($C$257))),INDIRECT("'Master Spell List'!$Z$"&amp;INDEX(magestuff!$D$499:$Y$615,ROW()-ROW($D$256),COLUMN()-COLUMN($C$257))),"")</f>
        <v/>
      </c>
      <c r="P362" s="1055" t="str">
        <f ca="1">IF(ISNUMBER(INDEX(magestuff!$D$499:$Y$615,ROW()-ROW($D$256),COLUMN()-COLUMN($C$257))),INDIRECT("'Master Spell List'!$Z$"&amp;INDEX(magestuff!$D$499:$Y$615,ROW()-ROW($D$256),COLUMN()-COLUMN($C$257))),"")</f>
        <v/>
      </c>
      <c r="Q362" s="1055" t="str">
        <f ca="1">IF(ISNUMBER(INDEX(magestuff!$D$499:$Y$615,ROW()-ROW($D$256),COLUMN()-COLUMN($C$257))),INDIRECT("'Master Spell List'!$Z$"&amp;INDEX(magestuff!$D$499:$Y$615,ROW()-ROW($D$256),COLUMN()-COLUMN($C$257))),"")</f>
        <v/>
      </c>
      <c r="R362" s="1055" t="str">
        <f ca="1">IF(ISNUMBER(INDEX(magestuff!$D$499:$Y$615,ROW()-ROW($D$256),COLUMN()-COLUMN($C$257))),INDIRECT("'Master Spell List'!$Z$"&amp;INDEX(magestuff!$D$499:$Y$615,ROW()-ROW($D$256),COLUMN()-COLUMN($C$257))),"")</f>
        <v/>
      </c>
      <c r="S362" s="1055" t="str">
        <f ca="1">IF(ISNUMBER(INDEX(magestuff!$D$499:$Y$615,ROW()-ROW($D$256),COLUMN()-COLUMN($C$257))),INDIRECT("'Master Spell List'!$Z$"&amp;INDEX(magestuff!$D$499:$Y$615,ROW()-ROW($D$256),COLUMN()-COLUMN($C$257))),"")</f>
        <v/>
      </c>
      <c r="T362" s="1055" t="str">
        <f ca="1">IF(ISNUMBER(INDEX(magestuff!$D$499:$Y$615,ROW()-ROW($D$256),COLUMN()-COLUMN($C$257))),INDIRECT("'Master Spell List'!$Z$"&amp;INDEX(magestuff!$D$499:$Y$615,ROW()-ROW($D$256),COLUMN()-COLUMN($C$257))),"")</f>
        <v/>
      </c>
      <c r="U362" s="1055" t="str">
        <f ca="1">IF(ISNUMBER(INDEX(magestuff!$D$499:$Y$615,ROW()-ROW($D$256),COLUMN()-COLUMN($C$257))),INDIRECT("'Master Spell List'!$Z$"&amp;INDEX(magestuff!$D$499:$Y$615,ROW()-ROW($D$256),COLUMN()-COLUMN($C$257))),"")</f>
        <v/>
      </c>
      <c r="V362" s="1055" t="str">
        <f ca="1">IF(ISNUMBER(INDEX(magestuff!$D$499:$Y$615,ROW()-ROW($D$256),COLUMN()-COLUMN($C$257))),INDIRECT("'Master Spell List'!$Z$"&amp;INDEX(magestuff!$D$499:$Y$615,ROW()-ROW($D$256),COLUMN()-COLUMN($C$257))),"")</f>
        <v/>
      </c>
      <c r="W362" s="1055" t="str">
        <f ca="1">IF(ISNUMBER(INDEX(magestuff!$D$499:$Y$615,ROW()-ROW($D$256),COLUMN()-COLUMN($C$257))),INDIRECT("'Master Spell List'!$Z$"&amp;INDEX(magestuff!$D$499:$Y$615,ROW()-ROW($D$256),COLUMN()-COLUMN($C$257))),"")</f>
        <v/>
      </c>
    </row>
    <row r="363" spans="1:47">
      <c r="A363" s="598">
        <v>108</v>
      </c>
      <c r="B363" s="598" t="s">
        <v>2225</v>
      </c>
      <c r="C363" s="598" t="s">
        <v>2225</v>
      </c>
      <c r="D363" s="1055" t="str">
        <f ca="1">IF(ISNUMBER(INDEX(magestuff!$D$499:$Y$615,ROW()-ROW($D$256),COLUMN()-COLUMN($C$257))),INDIRECT("'Master Spell List'!$Z$"&amp;INDEX(magestuff!$D$499:$Y$615,ROW()-ROW($D$256),COLUMN()-COLUMN($C$257))),"")</f>
        <v/>
      </c>
      <c r="E363" s="1055" t="str">
        <f ca="1">IF(ISNUMBER(INDEX(magestuff!$D$499:$Y$615,ROW()-ROW($D$256),COLUMN()-COLUMN($C$257))),INDIRECT("'Master Spell List'!$Z$"&amp;INDEX(magestuff!$D$499:$Y$615,ROW()-ROW($D$256),COLUMN()-COLUMN($C$257))),"")</f>
        <v/>
      </c>
      <c r="F363" s="1055" t="str">
        <f ca="1">IF(ISNUMBER(INDEX(magestuff!$D$499:$Y$615,ROW()-ROW($D$256),COLUMN()-COLUMN($C$257))),INDIRECT("'Master Spell List'!$Z$"&amp;INDEX(magestuff!$D$499:$Y$615,ROW()-ROW($D$256),COLUMN()-COLUMN($C$257))),"")</f>
        <v/>
      </c>
      <c r="G363" s="1055" t="str">
        <f ca="1">IF(ISNUMBER(INDEX(magestuff!$D$499:$Y$615,ROW()-ROW($D$256),COLUMN()-COLUMN($C$257))),INDIRECT("'Master Spell List'!$Z$"&amp;INDEX(magestuff!$D$499:$Y$615,ROW()-ROW($D$256),COLUMN()-COLUMN($C$257))),"")</f>
        <v/>
      </c>
      <c r="H363" s="1055" t="str">
        <f ca="1">IF(ISNUMBER(INDEX(magestuff!$D$499:$Y$615,ROW()-ROW($D$256),COLUMN()-COLUMN($C$257))),INDIRECT("'Master Spell List'!$Z$"&amp;INDEX(magestuff!$D$499:$Y$615,ROW()-ROW($D$256),COLUMN()-COLUMN($C$257))),"")</f>
        <v/>
      </c>
      <c r="I363" s="1055" t="str">
        <f ca="1">IF(ISNUMBER(INDEX(magestuff!$D$499:$Y$615,ROW()-ROW($D$256),COLUMN()-COLUMN($C$257))),INDIRECT("'Master Spell List'!$Z$"&amp;INDEX(magestuff!$D$499:$Y$615,ROW()-ROW($D$256),COLUMN()-COLUMN($C$257))),"")</f>
        <v>Lesser Seal of the Ages</v>
      </c>
      <c r="J363" s="1055" t="str">
        <f ca="1">IF(ISNUMBER(INDEX(magestuff!$D$499:$Y$615,ROW()-ROW($D$256),COLUMN()-COLUMN($C$257))),INDIRECT("'Master Spell List'!$Z$"&amp;INDEX(magestuff!$D$499:$Y$615,ROW()-ROW($D$256),COLUMN()-COLUMN($C$257))),"")</f>
        <v>Remember</v>
      </c>
      <c r="K363" s="1055" t="str">
        <f ca="1">IF(ISNUMBER(INDEX(magestuff!$D$499:$Y$615,ROW()-ROW($D$256),COLUMN()-COLUMN($C$257))),INDIRECT("'Master Spell List'!$Z$"&amp;INDEX(magestuff!$D$499:$Y$615,ROW()-ROW($D$256),COLUMN()-COLUMN($C$257))),"")</f>
        <v/>
      </c>
      <c r="L363" s="1055" t="str">
        <f ca="1">IF(ISNUMBER(INDEX(magestuff!$D$499:$Y$615,ROW()-ROW($D$256),COLUMN()-COLUMN($C$257))),INDIRECT("'Master Spell List'!$Z$"&amp;INDEX(magestuff!$D$499:$Y$615,ROW()-ROW($D$256),COLUMN()-COLUMN($C$257))),"")</f>
        <v/>
      </c>
      <c r="M363" s="1055" t="str">
        <f ca="1">IF(ISNUMBER(INDEX(magestuff!$D$499:$Y$615,ROW()-ROW($D$256),COLUMN()-COLUMN($C$257))),INDIRECT("'Master Spell List'!$Z$"&amp;INDEX(magestuff!$D$499:$Y$615,ROW()-ROW($D$256),COLUMN()-COLUMN($C$257))),"")</f>
        <v/>
      </c>
      <c r="N363" s="1055" t="str">
        <f ca="1">IF(ISNUMBER(INDEX(magestuff!$D$499:$Y$615,ROW()-ROW($D$256),COLUMN()-COLUMN($C$257))),INDIRECT("'Master Spell List'!$Z$"&amp;INDEX(magestuff!$D$499:$Y$615,ROW()-ROW($D$256),COLUMN()-COLUMN($C$257))),"")</f>
        <v/>
      </c>
      <c r="O363" s="1055" t="str">
        <f ca="1">IF(ISNUMBER(INDEX(magestuff!$D$499:$Y$615,ROW()-ROW($D$256),COLUMN()-COLUMN($C$257))),INDIRECT("'Master Spell List'!$Z$"&amp;INDEX(magestuff!$D$499:$Y$615,ROW()-ROW($D$256),COLUMN()-COLUMN($C$257))),"")</f>
        <v/>
      </c>
      <c r="P363" s="1055" t="str">
        <f ca="1">IF(ISNUMBER(INDEX(magestuff!$D$499:$Y$615,ROW()-ROW($D$256),COLUMN()-COLUMN($C$257))),INDIRECT("'Master Spell List'!$Z$"&amp;INDEX(magestuff!$D$499:$Y$615,ROW()-ROW($D$256),COLUMN()-COLUMN($C$257))),"")</f>
        <v/>
      </c>
      <c r="Q363" s="1055" t="str">
        <f ca="1">IF(ISNUMBER(INDEX(magestuff!$D$499:$Y$615,ROW()-ROW($D$256),COLUMN()-COLUMN($C$257))),INDIRECT("'Master Spell List'!$Z$"&amp;INDEX(magestuff!$D$499:$Y$615,ROW()-ROW($D$256),COLUMN()-COLUMN($C$257))),"")</f>
        <v/>
      </c>
      <c r="R363" s="1055" t="str">
        <f ca="1">IF(ISNUMBER(INDEX(magestuff!$D$499:$Y$615,ROW()-ROW($D$256),COLUMN()-COLUMN($C$257))),INDIRECT("'Master Spell List'!$Z$"&amp;INDEX(magestuff!$D$499:$Y$615,ROW()-ROW($D$256),COLUMN()-COLUMN($C$257))),"")</f>
        <v/>
      </c>
      <c r="S363" s="1055" t="str">
        <f ca="1">IF(ISNUMBER(INDEX(magestuff!$D$499:$Y$615,ROW()-ROW($D$256),COLUMN()-COLUMN($C$257))),INDIRECT("'Master Spell List'!$Z$"&amp;INDEX(magestuff!$D$499:$Y$615,ROW()-ROW($D$256),COLUMN()-COLUMN($C$257))),"")</f>
        <v/>
      </c>
      <c r="T363" s="1055" t="str">
        <f ca="1">IF(ISNUMBER(INDEX(magestuff!$D$499:$Y$615,ROW()-ROW($D$256),COLUMN()-COLUMN($C$257))),INDIRECT("'Master Spell List'!$Z$"&amp;INDEX(magestuff!$D$499:$Y$615,ROW()-ROW($D$256),COLUMN()-COLUMN($C$257))),"")</f>
        <v/>
      </c>
      <c r="U363" s="1055" t="str">
        <f ca="1">IF(ISNUMBER(INDEX(magestuff!$D$499:$Y$615,ROW()-ROW($D$256),COLUMN()-COLUMN($C$257))),INDIRECT("'Master Spell List'!$Z$"&amp;INDEX(magestuff!$D$499:$Y$615,ROW()-ROW($D$256),COLUMN()-COLUMN($C$257))),"")</f>
        <v/>
      </c>
      <c r="V363" s="1055" t="str">
        <f ca="1">IF(ISNUMBER(INDEX(magestuff!$D$499:$Y$615,ROW()-ROW($D$256),COLUMN()-COLUMN($C$257))),INDIRECT("'Master Spell List'!$Z$"&amp;INDEX(magestuff!$D$499:$Y$615,ROW()-ROW($D$256),COLUMN()-COLUMN($C$257))),"")</f>
        <v/>
      </c>
      <c r="W363" s="1055" t="str">
        <f ca="1">IF(ISNUMBER(INDEX(magestuff!$D$499:$Y$615,ROW()-ROW($D$256),COLUMN()-COLUMN($C$257))),INDIRECT("'Master Spell List'!$Z$"&amp;INDEX(magestuff!$D$499:$Y$615,ROW()-ROW($D$256),COLUMN()-COLUMN($C$257))),"")</f>
        <v/>
      </c>
    </row>
    <row r="364" spans="1:47">
      <c r="A364" s="598">
        <v>109</v>
      </c>
      <c r="B364" s="598" t="s">
        <v>2225</v>
      </c>
      <c r="C364" s="598" t="s">
        <v>2225</v>
      </c>
      <c r="D364" s="1055" t="str">
        <f ca="1">IF(ISNUMBER(INDEX(magestuff!$D$499:$Y$615,ROW()-ROW($D$256),COLUMN()-COLUMN($C$257))),INDIRECT("'Master Spell List'!$Z$"&amp;INDEX(magestuff!$D$499:$Y$615,ROW()-ROW($D$256),COLUMN()-COLUMN($C$257))),"")</f>
        <v/>
      </c>
      <c r="E364" s="1055" t="str">
        <f ca="1">IF(ISNUMBER(INDEX(magestuff!$D$499:$Y$615,ROW()-ROW($D$256),COLUMN()-COLUMN($C$257))),INDIRECT("'Master Spell List'!$Z$"&amp;INDEX(magestuff!$D$499:$Y$615,ROW()-ROW($D$256),COLUMN()-COLUMN($C$257))),"")</f>
        <v/>
      </c>
      <c r="F364" s="1055" t="str">
        <f ca="1">IF(ISNUMBER(INDEX(magestuff!$D$499:$Y$615,ROW()-ROW($D$256),COLUMN()-COLUMN($C$257))),INDIRECT("'Master Spell List'!$Z$"&amp;INDEX(magestuff!$D$499:$Y$615,ROW()-ROW($D$256),COLUMN()-COLUMN($C$257))),"")</f>
        <v/>
      </c>
      <c r="G364" s="1055" t="str">
        <f ca="1">IF(ISNUMBER(INDEX(magestuff!$D$499:$Y$615,ROW()-ROW($D$256),COLUMN()-COLUMN($C$257))),INDIRECT("'Master Spell List'!$Z$"&amp;INDEX(magestuff!$D$499:$Y$615,ROW()-ROW($D$256),COLUMN()-COLUMN($C$257))),"")</f>
        <v/>
      </c>
      <c r="H364" s="1055" t="str">
        <f ca="1">IF(ISNUMBER(INDEX(magestuff!$D$499:$Y$615,ROW()-ROW($D$256),COLUMN()-COLUMN($C$257))),INDIRECT("'Master Spell List'!$Z$"&amp;INDEX(magestuff!$D$499:$Y$615,ROW()-ROW($D$256),COLUMN()-COLUMN($C$257))),"")</f>
        <v/>
      </c>
      <c r="I364" s="1055" t="str">
        <f ca="1">IF(ISNUMBER(INDEX(magestuff!$D$499:$Y$615,ROW()-ROW($D$256),COLUMN()-COLUMN($C$257))),INDIRECT("'Master Spell List'!$Z$"&amp;INDEX(magestuff!$D$499:$Y$615,ROW()-ROW($D$256),COLUMN()-COLUMN($C$257))),"")</f>
        <v>Teleportal</v>
      </c>
      <c r="J364" s="1055" t="str">
        <f ca="1">IF(ISNUMBER(INDEX(magestuff!$D$499:$Y$615,ROW()-ROW($D$256),COLUMN()-COLUMN($C$257))),INDIRECT("'Master Spell List'!$Z$"&amp;INDEX(magestuff!$D$499:$Y$615,ROW()-ROW($D$256),COLUMN()-COLUMN($C$257))),"")</f>
        <v>Stun</v>
      </c>
      <c r="K364" s="1055" t="str">
        <f ca="1">IF(ISNUMBER(INDEX(magestuff!$D$499:$Y$615,ROW()-ROW($D$256),COLUMN()-COLUMN($C$257))),INDIRECT("'Master Spell List'!$Z$"&amp;INDEX(magestuff!$D$499:$Y$615,ROW()-ROW($D$256),COLUMN()-COLUMN($C$257))),"")</f>
        <v/>
      </c>
      <c r="L364" s="1055" t="str">
        <f ca="1">IF(ISNUMBER(INDEX(magestuff!$D$499:$Y$615,ROW()-ROW($D$256),COLUMN()-COLUMN($C$257))),INDIRECT("'Master Spell List'!$Z$"&amp;INDEX(magestuff!$D$499:$Y$615,ROW()-ROW($D$256),COLUMN()-COLUMN($C$257))),"")</f>
        <v/>
      </c>
      <c r="M364" s="1055" t="str">
        <f ca="1">IF(ISNUMBER(INDEX(magestuff!$D$499:$Y$615,ROW()-ROW($D$256),COLUMN()-COLUMN($C$257))),INDIRECT("'Master Spell List'!$Z$"&amp;INDEX(magestuff!$D$499:$Y$615,ROW()-ROW($D$256),COLUMN()-COLUMN($C$257))),"")</f>
        <v/>
      </c>
      <c r="N364" s="1055" t="str">
        <f ca="1">IF(ISNUMBER(INDEX(magestuff!$D$499:$Y$615,ROW()-ROW($D$256),COLUMN()-COLUMN($C$257))),INDIRECT("'Master Spell List'!$Z$"&amp;INDEX(magestuff!$D$499:$Y$615,ROW()-ROW($D$256),COLUMN()-COLUMN($C$257))),"")</f>
        <v/>
      </c>
      <c r="O364" s="1055" t="str">
        <f ca="1">IF(ISNUMBER(INDEX(magestuff!$D$499:$Y$615,ROW()-ROW($D$256),COLUMN()-COLUMN($C$257))),INDIRECT("'Master Spell List'!$Z$"&amp;INDEX(magestuff!$D$499:$Y$615,ROW()-ROW($D$256),COLUMN()-COLUMN($C$257))),"")</f>
        <v/>
      </c>
      <c r="P364" s="1055" t="str">
        <f ca="1">IF(ISNUMBER(INDEX(magestuff!$D$499:$Y$615,ROW()-ROW($D$256),COLUMN()-COLUMN($C$257))),INDIRECT("'Master Spell List'!$Z$"&amp;INDEX(magestuff!$D$499:$Y$615,ROW()-ROW($D$256),COLUMN()-COLUMN($C$257))),"")</f>
        <v/>
      </c>
      <c r="Q364" s="1055" t="str">
        <f ca="1">IF(ISNUMBER(INDEX(magestuff!$D$499:$Y$615,ROW()-ROW($D$256),COLUMN()-COLUMN($C$257))),INDIRECT("'Master Spell List'!$Z$"&amp;INDEX(magestuff!$D$499:$Y$615,ROW()-ROW($D$256),COLUMN()-COLUMN($C$257))),"")</f>
        <v/>
      </c>
      <c r="R364" s="1055" t="str">
        <f ca="1">IF(ISNUMBER(INDEX(magestuff!$D$499:$Y$615,ROW()-ROW($D$256),COLUMN()-COLUMN($C$257))),INDIRECT("'Master Spell List'!$Z$"&amp;INDEX(magestuff!$D$499:$Y$615,ROW()-ROW($D$256),COLUMN()-COLUMN($C$257))),"")</f>
        <v/>
      </c>
      <c r="S364" s="1055" t="str">
        <f ca="1">IF(ISNUMBER(INDEX(magestuff!$D$499:$Y$615,ROW()-ROW($D$256),COLUMN()-COLUMN($C$257))),INDIRECT("'Master Spell List'!$Z$"&amp;INDEX(magestuff!$D$499:$Y$615,ROW()-ROW($D$256),COLUMN()-COLUMN($C$257))),"")</f>
        <v/>
      </c>
      <c r="T364" s="1055" t="str">
        <f ca="1">IF(ISNUMBER(INDEX(magestuff!$D$499:$Y$615,ROW()-ROW($D$256),COLUMN()-COLUMN($C$257))),INDIRECT("'Master Spell List'!$Z$"&amp;INDEX(magestuff!$D$499:$Y$615,ROW()-ROW($D$256),COLUMN()-COLUMN($C$257))),"")</f>
        <v/>
      </c>
      <c r="U364" s="1055" t="str">
        <f ca="1">IF(ISNUMBER(INDEX(magestuff!$D$499:$Y$615,ROW()-ROW($D$256),COLUMN()-COLUMN($C$257))),INDIRECT("'Master Spell List'!$Z$"&amp;INDEX(magestuff!$D$499:$Y$615,ROW()-ROW($D$256),COLUMN()-COLUMN($C$257))),"")</f>
        <v/>
      </c>
      <c r="V364" s="1055" t="str">
        <f ca="1">IF(ISNUMBER(INDEX(magestuff!$D$499:$Y$615,ROW()-ROW($D$256),COLUMN()-COLUMN($C$257))),INDIRECT("'Master Spell List'!$Z$"&amp;INDEX(magestuff!$D$499:$Y$615,ROW()-ROW($D$256),COLUMN()-COLUMN($C$257))),"")</f>
        <v/>
      </c>
      <c r="W364" s="1055" t="str">
        <f ca="1">IF(ISNUMBER(INDEX(magestuff!$D$499:$Y$615,ROW()-ROW($D$256),COLUMN()-COLUMN($C$257))),INDIRECT("'Master Spell List'!$Z$"&amp;INDEX(magestuff!$D$499:$Y$615,ROW()-ROW($D$256),COLUMN()-COLUMN($C$257))),"")</f>
        <v/>
      </c>
    </row>
    <row r="365" spans="1:47">
      <c r="A365" s="598">
        <v>110</v>
      </c>
      <c r="B365" s="598" t="s">
        <v>2225</v>
      </c>
      <c r="C365" s="598" t="s">
        <v>2225</v>
      </c>
      <c r="D365" s="1055" t="str">
        <f ca="1">IF(ISNUMBER(INDEX(magestuff!$D$499:$Y$615,ROW()-ROW($D$256),COLUMN()-COLUMN($C$257))),INDIRECT("'Master Spell List'!$Z$"&amp;INDEX(magestuff!$D$499:$Y$615,ROW()-ROW($D$256),COLUMN()-COLUMN($C$257))),"")</f>
        <v/>
      </c>
      <c r="E365" s="1055" t="str">
        <f ca="1">IF(ISNUMBER(INDEX(magestuff!$D$499:$Y$615,ROW()-ROW($D$256),COLUMN()-COLUMN($C$257))),INDIRECT("'Master Spell List'!$Z$"&amp;INDEX(magestuff!$D$499:$Y$615,ROW()-ROW($D$256),COLUMN()-COLUMN($C$257))),"")</f>
        <v/>
      </c>
      <c r="F365" s="1055" t="str">
        <f ca="1">IF(ISNUMBER(INDEX(magestuff!$D$499:$Y$615,ROW()-ROW($D$256),COLUMN()-COLUMN($C$257))),INDIRECT("'Master Spell List'!$Z$"&amp;INDEX(magestuff!$D$499:$Y$615,ROW()-ROW($D$256),COLUMN()-COLUMN($C$257))),"")</f>
        <v/>
      </c>
      <c r="G365" s="1055" t="str">
        <f ca="1">IF(ISNUMBER(INDEX(magestuff!$D$499:$Y$615,ROW()-ROW($D$256),COLUMN()-COLUMN($C$257))),INDIRECT("'Master Spell List'!$Z$"&amp;INDEX(magestuff!$D$499:$Y$615,ROW()-ROW($D$256),COLUMN()-COLUMN($C$257))),"")</f>
        <v/>
      </c>
      <c r="H365" s="1055" t="str">
        <f ca="1">IF(ISNUMBER(INDEX(magestuff!$D$499:$Y$615,ROW()-ROW($D$256),COLUMN()-COLUMN($C$257))),INDIRECT("'Master Spell List'!$Z$"&amp;INDEX(magestuff!$D$499:$Y$615,ROW()-ROW($D$256),COLUMN()-COLUMN($C$257))),"")</f>
        <v/>
      </c>
      <c r="I365" s="1055" t="str">
        <f ca="1">IF(ISNUMBER(INDEX(magestuff!$D$499:$Y$615,ROW()-ROW($D$256),COLUMN()-COLUMN($C$257))),INDIRECT("'Master Spell List'!$Z$"&amp;INDEX(magestuff!$D$499:$Y$615,ROW()-ROW($D$256),COLUMN()-COLUMN($C$257))),"")</f>
        <v>Wizard's Key</v>
      </c>
      <c r="J365" s="1055" t="str">
        <f ca="1">IF(ISNUMBER(INDEX(magestuff!$D$499:$Y$615,ROW()-ROW($D$256),COLUMN()-COLUMN($C$257))),INDIRECT("'Master Spell List'!$Z$"&amp;INDEX(magestuff!$D$499:$Y$615,ROW()-ROW($D$256),COLUMN()-COLUMN($C$257))),"")</f>
        <v>Die</v>
      </c>
      <c r="K365" s="1055" t="str">
        <f ca="1">IF(ISNUMBER(INDEX(magestuff!$D$499:$Y$615,ROW()-ROW($D$256),COLUMN()-COLUMN($C$257))),INDIRECT("'Master Spell List'!$Z$"&amp;INDEX(magestuff!$D$499:$Y$615,ROW()-ROW($D$256),COLUMN()-COLUMN($C$257))),"")</f>
        <v/>
      </c>
      <c r="L365" s="1055" t="str">
        <f ca="1">IF(ISNUMBER(INDEX(magestuff!$D$499:$Y$615,ROW()-ROW($D$256),COLUMN()-COLUMN($C$257))),INDIRECT("'Master Spell List'!$Z$"&amp;INDEX(magestuff!$D$499:$Y$615,ROW()-ROW($D$256),COLUMN()-COLUMN($C$257))),"")</f>
        <v/>
      </c>
      <c r="M365" s="1055" t="str">
        <f ca="1">IF(ISNUMBER(INDEX(magestuff!$D$499:$Y$615,ROW()-ROW($D$256),COLUMN()-COLUMN($C$257))),INDIRECT("'Master Spell List'!$Z$"&amp;INDEX(magestuff!$D$499:$Y$615,ROW()-ROW($D$256),COLUMN()-COLUMN($C$257))),"")</f>
        <v/>
      </c>
      <c r="N365" s="1055" t="str">
        <f ca="1">IF(ISNUMBER(INDEX(magestuff!$D$499:$Y$615,ROW()-ROW($D$256),COLUMN()-COLUMN($C$257))),INDIRECT("'Master Spell List'!$Z$"&amp;INDEX(magestuff!$D$499:$Y$615,ROW()-ROW($D$256),COLUMN()-COLUMN($C$257))),"")</f>
        <v/>
      </c>
      <c r="O365" s="1055" t="str">
        <f ca="1">IF(ISNUMBER(INDEX(magestuff!$D$499:$Y$615,ROW()-ROW($D$256),COLUMN()-COLUMN($C$257))),INDIRECT("'Master Spell List'!$Z$"&amp;INDEX(magestuff!$D$499:$Y$615,ROW()-ROW($D$256),COLUMN()-COLUMN($C$257))),"")</f>
        <v/>
      </c>
      <c r="P365" s="1055" t="str">
        <f ca="1">IF(ISNUMBER(INDEX(magestuff!$D$499:$Y$615,ROW()-ROW($D$256),COLUMN()-COLUMN($C$257))),INDIRECT("'Master Spell List'!$Z$"&amp;INDEX(magestuff!$D$499:$Y$615,ROW()-ROW($D$256),COLUMN()-COLUMN($C$257))),"")</f>
        <v/>
      </c>
      <c r="Q365" s="1055" t="str">
        <f ca="1">IF(ISNUMBER(INDEX(magestuff!$D$499:$Y$615,ROW()-ROW($D$256),COLUMN()-COLUMN($C$257))),INDIRECT("'Master Spell List'!$Z$"&amp;INDEX(magestuff!$D$499:$Y$615,ROW()-ROW($D$256),COLUMN()-COLUMN($C$257))),"")</f>
        <v/>
      </c>
      <c r="R365" s="1055" t="str">
        <f ca="1">IF(ISNUMBER(INDEX(magestuff!$D$499:$Y$615,ROW()-ROW($D$256),COLUMN()-COLUMN($C$257))),INDIRECT("'Master Spell List'!$Z$"&amp;INDEX(magestuff!$D$499:$Y$615,ROW()-ROW($D$256),COLUMN()-COLUMN($C$257))),"")</f>
        <v/>
      </c>
      <c r="S365" s="1055" t="str">
        <f ca="1">IF(ISNUMBER(INDEX(magestuff!$D$499:$Y$615,ROW()-ROW($D$256),COLUMN()-COLUMN($C$257))),INDIRECT("'Master Spell List'!$Z$"&amp;INDEX(magestuff!$D$499:$Y$615,ROW()-ROW($D$256),COLUMN()-COLUMN($C$257))),"")</f>
        <v/>
      </c>
      <c r="T365" s="1055" t="str">
        <f ca="1">IF(ISNUMBER(INDEX(magestuff!$D$499:$Y$615,ROW()-ROW($D$256),COLUMN()-COLUMN($C$257))),INDIRECT("'Master Spell List'!$Z$"&amp;INDEX(magestuff!$D$499:$Y$615,ROW()-ROW($D$256),COLUMN()-COLUMN($C$257))),"")</f>
        <v/>
      </c>
      <c r="U365" s="1055" t="str">
        <f ca="1">IF(ISNUMBER(INDEX(magestuff!$D$499:$Y$615,ROW()-ROW($D$256),COLUMN()-COLUMN($C$257))),INDIRECT("'Master Spell List'!$Z$"&amp;INDEX(magestuff!$D$499:$Y$615,ROW()-ROW($D$256),COLUMN()-COLUMN($C$257))),"")</f>
        <v/>
      </c>
      <c r="V365" s="1055" t="str">
        <f ca="1">IF(ISNUMBER(INDEX(magestuff!$D$499:$Y$615,ROW()-ROW($D$256),COLUMN()-COLUMN($C$257))),INDIRECT("'Master Spell List'!$Z$"&amp;INDEX(magestuff!$D$499:$Y$615,ROW()-ROW($D$256),COLUMN()-COLUMN($C$257))),"")</f>
        <v/>
      </c>
      <c r="W365" s="1055" t="str">
        <f ca="1">IF(ISNUMBER(INDEX(magestuff!$D$499:$Y$615,ROW()-ROW($D$256),COLUMN()-COLUMN($C$257))),INDIRECT("'Master Spell List'!$Z$"&amp;INDEX(magestuff!$D$499:$Y$615,ROW()-ROW($D$256),COLUMN()-COLUMN($C$257))),"")</f>
        <v/>
      </c>
    </row>
    <row r="366" spans="1:47">
      <c r="A366" s="598">
        <v>111</v>
      </c>
      <c r="B366" s="598" t="s">
        <v>2225</v>
      </c>
      <c r="C366" s="598" t="s">
        <v>2225</v>
      </c>
      <c r="D366" s="1055" t="str">
        <f ca="1">IF(ISNUMBER(INDEX(magestuff!$D$499:$Y$615,ROW()-ROW($D$256),COLUMN()-COLUMN($C$257))),INDIRECT("'Master Spell List'!$Z$"&amp;INDEX(magestuff!$D$499:$Y$615,ROW()-ROW($D$256),COLUMN()-COLUMN($C$257))),"")</f>
        <v/>
      </c>
      <c r="E366" s="1055" t="str">
        <f ca="1">IF(ISNUMBER(INDEX(magestuff!$D$499:$Y$615,ROW()-ROW($D$256),COLUMN()-COLUMN($C$257))),INDIRECT("'Master Spell List'!$Z$"&amp;INDEX(magestuff!$D$499:$Y$615,ROW()-ROW($D$256),COLUMN()-COLUMN($C$257))),"")</f>
        <v/>
      </c>
      <c r="F366" s="1055" t="str">
        <f ca="1">IF(ISNUMBER(INDEX(magestuff!$D$499:$Y$615,ROW()-ROW($D$256),COLUMN()-COLUMN($C$257))),INDIRECT("'Master Spell List'!$Z$"&amp;INDEX(magestuff!$D$499:$Y$615,ROW()-ROW($D$256),COLUMN()-COLUMN($C$257))),"")</f>
        <v/>
      </c>
      <c r="G366" s="1055" t="str">
        <f ca="1">IF(ISNUMBER(INDEX(magestuff!$D$499:$Y$615,ROW()-ROW($D$256),COLUMN()-COLUMN($C$257))),INDIRECT("'Master Spell List'!$Z$"&amp;INDEX(magestuff!$D$499:$Y$615,ROW()-ROW($D$256),COLUMN()-COLUMN($C$257))),"")</f>
        <v/>
      </c>
      <c r="H366" s="1055" t="str">
        <f ca="1">IF(ISNUMBER(INDEX(magestuff!$D$499:$Y$615,ROW()-ROW($D$256),COLUMN()-COLUMN($C$257))),INDIRECT("'Master Spell List'!$Z$"&amp;INDEX(magestuff!$D$499:$Y$615,ROW()-ROW($D$256),COLUMN()-COLUMN($C$257))),"")</f>
        <v/>
      </c>
      <c r="I366" s="1055" t="str">
        <f ca="1">IF(ISNUMBER(INDEX(magestuff!$D$499:$Y$615,ROW()-ROW($D$256),COLUMN()-COLUMN($C$257))),INDIRECT("'Master Spell List'!$Z$"&amp;INDEX(magestuff!$D$499:$Y$615,ROW()-ROW($D$256),COLUMN()-COLUMN($C$257))),"")</f>
        <v xml:space="preserve">Apollo's Healing Embrace    </v>
      </c>
      <c r="J366" s="1055" t="str">
        <f ca="1">IF(ISNUMBER(INDEX(magestuff!$D$499:$Y$615,ROW()-ROW($D$256),COLUMN()-COLUMN($C$257))),INDIRECT("'Master Spell List'!$Z$"&amp;INDEX(magestuff!$D$499:$Y$615,ROW()-ROW($D$256),COLUMN()-COLUMN($C$257))),"")</f>
        <v/>
      </c>
      <c r="K366" s="1055" t="str">
        <f ca="1">IF(ISNUMBER(INDEX(magestuff!$D$499:$Y$615,ROW()-ROW($D$256),COLUMN()-COLUMN($C$257))),INDIRECT("'Master Spell List'!$Z$"&amp;INDEX(magestuff!$D$499:$Y$615,ROW()-ROW($D$256),COLUMN()-COLUMN($C$257))),"")</f>
        <v/>
      </c>
      <c r="L366" s="1055" t="str">
        <f ca="1">IF(ISNUMBER(INDEX(magestuff!$D$499:$Y$615,ROW()-ROW($D$256),COLUMN()-COLUMN($C$257))),INDIRECT("'Master Spell List'!$Z$"&amp;INDEX(magestuff!$D$499:$Y$615,ROW()-ROW($D$256),COLUMN()-COLUMN($C$257))),"")</f>
        <v/>
      </c>
      <c r="M366" s="1055" t="str">
        <f ca="1">IF(ISNUMBER(INDEX(magestuff!$D$499:$Y$615,ROW()-ROW($D$256),COLUMN()-COLUMN($C$257))),INDIRECT("'Master Spell List'!$Z$"&amp;INDEX(magestuff!$D$499:$Y$615,ROW()-ROW($D$256),COLUMN()-COLUMN($C$257))),"")</f>
        <v/>
      </c>
      <c r="N366" s="1055" t="str">
        <f ca="1">IF(ISNUMBER(INDEX(magestuff!$D$499:$Y$615,ROW()-ROW($D$256),COLUMN()-COLUMN($C$257))),INDIRECT("'Master Spell List'!$Z$"&amp;INDEX(magestuff!$D$499:$Y$615,ROW()-ROW($D$256),COLUMN()-COLUMN($C$257))),"")</f>
        <v/>
      </c>
      <c r="O366" s="1055" t="str">
        <f ca="1">IF(ISNUMBER(INDEX(magestuff!$D$499:$Y$615,ROW()-ROW($D$256),COLUMN()-COLUMN($C$257))),INDIRECT("'Master Spell List'!$Z$"&amp;INDEX(magestuff!$D$499:$Y$615,ROW()-ROW($D$256),COLUMN()-COLUMN($C$257))),"")</f>
        <v/>
      </c>
      <c r="P366" s="1055" t="str">
        <f ca="1">IF(ISNUMBER(INDEX(magestuff!$D$499:$Y$615,ROW()-ROW($D$256),COLUMN()-COLUMN($C$257))),INDIRECT("'Master Spell List'!$Z$"&amp;INDEX(magestuff!$D$499:$Y$615,ROW()-ROW($D$256),COLUMN()-COLUMN($C$257))),"")</f>
        <v/>
      </c>
      <c r="Q366" s="1055" t="str">
        <f ca="1">IF(ISNUMBER(INDEX(magestuff!$D$499:$Y$615,ROW()-ROW($D$256),COLUMN()-COLUMN($C$257))),INDIRECT("'Master Spell List'!$Z$"&amp;INDEX(magestuff!$D$499:$Y$615,ROW()-ROW($D$256),COLUMN()-COLUMN($C$257))),"")</f>
        <v/>
      </c>
      <c r="R366" s="1055" t="str">
        <f ca="1">IF(ISNUMBER(INDEX(magestuff!$D$499:$Y$615,ROW()-ROW($D$256),COLUMN()-COLUMN($C$257))),INDIRECT("'Master Spell List'!$Z$"&amp;INDEX(magestuff!$D$499:$Y$615,ROW()-ROW($D$256),COLUMN()-COLUMN($C$257))),"")</f>
        <v/>
      </c>
      <c r="S366" s="1055" t="str">
        <f ca="1">IF(ISNUMBER(INDEX(magestuff!$D$499:$Y$615,ROW()-ROW($D$256),COLUMN()-COLUMN($C$257))),INDIRECT("'Master Spell List'!$Z$"&amp;INDEX(magestuff!$D$499:$Y$615,ROW()-ROW($D$256),COLUMN()-COLUMN($C$257))),"")</f>
        <v/>
      </c>
      <c r="T366" s="1055" t="str">
        <f ca="1">IF(ISNUMBER(INDEX(magestuff!$D$499:$Y$615,ROW()-ROW($D$256),COLUMN()-COLUMN($C$257))),INDIRECT("'Master Spell List'!$Z$"&amp;INDEX(magestuff!$D$499:$Y$615,ROW()-ROW($D$256),COLUMN()-COLUMN($C$257))),"")</f>
        <v/>
      </c>
      <c r="U366" s="1055" t="str">
        <f ca="1">IF(ISNUMBER(INDEX(magestuff!$D$499:$Y$615,ROW()-ROW($D$256),COLUMN()-COLUMN($C$257))),INDIRECT("'Master Spell List'!$Z$"&amp;INDEX(magestuff!$D$499:$Y$615,ROW()-ROW($D$256),COLUMN()-COLUMN($C$257))),"")</f>
        <v/>
      </c>
      <c r="V366" s="1055" t="str">
        <f ca="1">IF(ISNUMBER(INDEX(magestuff!$D$499:$Y$615,ROW()-ROW($D$256),COLUMN()-COLUMN($C$257))),INDIRECT("'Master Spell List'!$Z$"&amp;INDEX(magestuff!$D$499:$Y$615,ROW()-ROW($D$256),COLUMN()-COLUMN($C$257))),"")</f>
        <v/>
      </c>
      <c r="W366" s="1055" t="str">
        <f ca="1">IF(ISNUMBER(INDEX(magestuff!$D$499:$Y$615,ROW()-ROW($D$256),COLUMN()-COLUMN($C$257))),INDIRECT("'Master Spell List'!$Z$"&amp;INDEX(magestuff!$D$499:$Y$615,ROW()-ROW($D$256),COLUMN()-COLUMN($C$257))),"")</f>
        <v/>
      </c>
    </row>
    <row r="367" spans="1:47">
      <c r="A367" s="598">
        <v>112</v>
      </c>
      <c r="B367" s="598" t="s">
        <v>2225</v>
      </c>
      <c r="C367" s="598" t="s">
        <v>2225</v>
      </c>
      <c r="D367" s="1055" t="str">
        <f ca="1">IF(ISNUMBER(INDEX(magestuff!$D$499:$Y$615,ROW()-ROW($D$256),COLUMN()-COLUMN($C$257))),INDIRECT("'Master Spell List'!$Z$"&amp;INDEX(magestuff!$D$499:$Y$615,ROW()-ROW($D$256),COLUMN()-COLUMN($C$257))),"")</f>
        <v/>
      </c>
      <c r="E367" s="1055" t="str">
        <f ca="1">IF(ISNUMBER(INDEX(magestuff!$D$499:$Y$615,ROW()-ROW($D$256),COLUMN()-COLUMN($C$257))),INDIRECT("'Master Spell List'!$Z$"&amp;INDEX(magestuff!$D$499:$Y$615,ROW()-ROW($D$256),COLUMN()-COLUMN($C$257))),"")</f>
        <v/>
      </c>
      <c r="F367" s="1055" t="str">
        <f ca="1">IF(ISNUMBER(INDEX(magestuff!$D$499:$Y$615,ROW()-ROW($D$256),COLUMN()-COLUMN($C$257))),INDIRECT("'Master Spell List'!$Z$"&amp;INDEX(magestuff!$D$499:$Y$615,ROW()-ROW($D$256),COLUMN()-COLUMN($C$257))),"")</f>
        <v/>
      </c>
      <c r="G367" s="1055" t="str">
        <f ca="1">IF(ISNUMBER(INDEX(magestuff!$D$499:$Y$615,ROW()-ROW($D$256),COLUMN()-COLUMN($C$257))),INDIRECT("'Master Spell List'!$Z$"&amp;INDEX(magestuff!$D$499:$Y$615,ROW()-ROW($D$256),COLUMN()-COLUMN($C$257))),"")</f>
        <v/>
      </c>
      <c r="H367" s="1055" t="str">
        <f ca="1">IF(ISNUMBER(INDEX(magestuff!$D$499:$Y$615,ROW()-ROW($D$256),COLUMN()-COLUMN($C$257))),INDIRECT("'Master Spell List'!$Z$"&amp;INDEX(magestuff!$D$499:$Y$615,ROW()-ROW($D$256),COLUMN()-COLUMN($C$257))),"")</f>
        <v/>
      </c>
      <c r="I367" s="1055" t="str">
        <f ca="1">IF(ISNUMBER(INDEX(magestuff!$D$499:$Y$615,ROW()-ROW($D$256),COLUMN()-COLUMN($C$257))),INDIRECT("'Master Spell List'!$Z$"&amp;INDEX(magestuff!$D$499:$Y$615,ROW()-ROW($D$256),COLUMN()-COLUMN($C$257))),"")</f>
        <v xml:space="preserve">Arcane Great Sword Blade ofGreater Damage </v>
      </c>
      <c r="J367" s="1055" t="str">
        <f ca="1">IF(ISNUMBER(INDEX(magestuff!$D$499:$Y$615,ROW()-ROW($D$256),COLUMN()-COLUMN($C$257))),INDIRECT("'Master Spell List'!$Z$"&amp;INDEX(magestuff!$D$499:$Y$615,ROW()-ROW($D$256),COLUMN()-COLUMN($C$257))),"")</f>
        <v/>
      </c>
      <c r="K367" s="1055" t="str">
        <f ca="1">IF(ISNUMBER(INDEX(magestuff!$D$499:$Y$615,ROW()-ROW($D$256),COLUMN()-COLUMN($C$257))),INDIRECT("'Master Spell List'!$Z$"&amp;INDEX(magestuff!$D$499:$Y$615,ROW()-ROW($D$256),COLUMN()-COLUMN($C$257))),"")</f>
        <v/>
      </c>
      <c r="L367" s="1055" t="str">
        <f ca="1">IF(ISNUMBER(INDEX(magestuff!$D$499:$Y$615,ROW()-ROW($D$256),COLUMN()-COLUMN($C$257))),INDIRECT("'Master Spell List'!$Z$"&amp;INDEX(magestuff!$D$499:$Y$615,ROW()-ROW($D$256),COLUMN()-COLUMN($C$257))),"")</f>
        <v/>
      </c>
      <c r="M367" s="1055" t="str">
        <f ca="1">IF(ISNUMBER(INDEX(magestuff!$D$499:$Y$615,ROW()-ROW($D$256),COLUMN()-COLUMN($C$257))),INDIRECT("'Master Spell List'!$Z$"&amp;INDEX(magestuff!$D$499:$Y$615,ROW()-ROW($D$256),COLUMN()-COLUMN($C$257))),"")</f>
        <v/>
      </c>
      <c r="N367" s="1055" t="str">
        <f ca="1">IF(ISNUMBER(INDEX(magestuff!$D$499:$Y$615,ROW()-ROW($D$256),COLUMN()-COLUMN($C$257))),INDIRECT("'Master Spell List'!$Z$"&amp;INDEX(magestuff!$D$499:$Y$615,ROW()-ROW($D$256),COLUMN()-COLUMN($C$257))),"")</f>
        <v/>
      </c>
      <c r="O367" s="1055" t="str">
        <f ca="1">IF(ISNUMBER(INDEX(magestuff!$D$499:$Y$615,ROW()-ROW($D$256),COLUMN()-COLUMN($C$257))),INDIRECT("'Master Spell List'!$Z$"&amp;INDEX(magestuff!$D$499:$Y$615,ROW()-ROW($D$256),COLUMN()-COLUMN($C$257))),"")</f>
        <v/>
      </c>
      <c r="P367" s="1055" t="str">
        <f ca="1">IF(ISNUMBER(INDEX(magestuff!$D$499:$Y$615,ROW()-ROW($D$256),COLUMN()-COLUMN($C$257))),INDIRECT("'Master Spell List'!$Z$"&amp;INDEX(magestuff!$D$499:$Y$615,ROW()-ROW($D$256),COLUMN()-COLUMN($C$257))),"")</f>
        <v/>
      </c>
      <c r="Q367" s="1055" t="str">
        <f ca="1">IF(ISNUMBER(INDEX(magestuff!$D$499:$Y$615,ROW()-ROW($D$256),COLUMN()-COLUMN($C$257))),INDIRECT("'Master Spell List'!$Z$"&amp;INDEX(magestuff!$D$499:$Y$615,ROW()-ROW($D$256),COLUMN()-COLUMN($C$257))),"")</f>
        <v/>
      </c>
      <c r="R367" s="1055" t="str">
        <f ca="1">IF(ISNUMBER(INDEX(magestuff!$D$499:$Y$615,ROW()-ROW($D$256),COLUMN()-COLUMN($C$257))),INDIRECT("'Master Spell List'!$Z$"&amp;INDEX(magestuff!$D$499:$Y$615,ROW()-ROW($D$256),COLUMN()-COLUMN($C$257))),"")</f>
        <v/>
      </c>
      <c r="S367" s="1055" t="str">
        <f ca="1">IF(ISNUMBER(INDEX(magestuff!$D$499:$Y$615,ROW()-ROW($D$256),COLUMN()-COLUMN($C$257))),INDIRECT("'Master Spell List'!$Z$"&amp;INDEX(magestuff!$D$499:$Y$615,ROW()-ROW($D$256),COLUMN()-COLUMN($C$257))),"")</f>
        <v/>
      </c>
      <c r="T367" s="1055" t="str">
        <f ca="1">IF(ISNUMBER(INDEX(magestuff!$D$499:$Y$615,ROW()-ROW($D$256),COLUMN()-COLUMN($C$257))),INDIRECT("'Master Spell List'!$Z$"&amp;INDEX(magestuff!$D$499:$Y$615,ROW()-ROW($D$256),COLUMN()-COLUMN($C$257))),"")</f>
        <v/>
      </c>
      <c r="U367" s="1055" t="str">
        <f ca="1">IF(ISNUMBER(INDEX(magestuff!$D$499:$Y$615,ROW()-ROW($D$256),COLUMN()-COLUMN($C$257))),INDIRECT("'Master Spell List'!$Z$"&amp;INDEX(magestuff!$D$499:$Y$615,ROW()-ROW($D$256),COLUMN()-COLUMN($C$257))),"")</f>
        <v/>
      </c>
      <c r="V367" s="1055" t="str">
        <f ca="1">IF(ISNUMBER(INDEX(magestuff!$D$499:$Y$615,ROW()-ROW($D$256),COLUMN()-COLUMN($C$257))),INDIRECT("'Master Spell List'!$Z$"&amp;INDEX(magestuff!$D$499:$Y$615,ROW()-ROW($D$256),COLUMN()-COLUMN($C$257))),"")</f>
        <v/>
      </c>
      <c r="W367" s="1055" t="str">
        <f ca="1">IF(ISNUMBER(INDEX(magestuff!$D$499:$Y$615,ROW()-ROW($D$256),COLUMN()-COLUMN($C$257))),INDIRECT("'Master Spell List'!$Z$"&amp;INDEX(magestuff!$D$499:$Y$615,ROW()-ROW($D$256),COLUMN()-COLUMN($C$257))),"")</f>
        <v/>
      </c>
    </row>
    <row r="368" spans="1:47">
      <c r="A368" s="598">
        <v>113</v>
      </c>
      <c r="B368" s="598" t="s">
        <v>2225</v>
      </c>
      <c r="C368" s="598" t="s">
        <v>2225</v>
      </c>
      <c r="D368" s="1055" t="str">
        <f ca="1">IF(ISNUMBER(INDEX(magestuff!$D$499:$Y$615,ROW()-ROW($D$256),COLUMN()-COLUMN($C$257))),INDIRECT("'Master Spell List'!$Z$"&amp;INDEX(magestuff!$D$499:$Y$615,ROW()-ROW($D$256),COLUMN()-COLUMN($C$257))),"")</f>
        <v/>
      </c>
      <c r="E368" s="1055" t="str">
        <f ca="1">IF(ISNUMBER(INDEX(magestuff!$D$499:$Y$615,ROW()-ROW($D$256),COLUMN()-COLUMN($C$257))),INDIRECT("'Master Spell List'!$Z$"&amp;INDEX(magestuff!$D$499:$Y$615,ROW()-ROW($D$256),COLUMN()-COLUMN($C$257))),"")</f>
        <v/>
      </c>
      <c r="F368" s="1055" t="str">
        <f ca="1">IF(ISNUMBER(INDEX(magestuff!$D$499:$Y$615,ROW()-ROW($D$256),COLUMN()-COLUMN($C$257))),INDIRECT("'Master Spell List'!$Z$"&amp;INDEX(magestuff!$D$499:$Y$615,ROW()-ROW($D$256),COLUMN()-COLUMN($C$257))),"")</f>
        <v/>
      </c>
      <c r="G368" s="1055" t="str">
        <f ca="1">IF(ISNUMBER(INDEX(magestuff!$D$499:$Y$615,ROW()-ROW($D$256),COLUMN()-COLUMN($C$257))),INDIRECT("'Master Spell List'!$Z$"&amp;INDEX(magestuff!$D$499:$Y$615,ROW()-ROW($D$256),COLUMN()-COLUMN($C$257))),"")</f>
        <v/>
      </c>
      <c r="H368" s="1055" t="str">
        <f ca="1">IF(ISNUMBER(INDEX(magestuff!$D$499:$Y$615,ROW()-ROW($D$256),COLUMN()-COLUMN($C$257))),INDIRECT("'Master Spell List'!$Z$"&amp;INDEX(magestuff!$D$499:$Y$615,ROW()-ROW($D$256),COLUMN()-COLUMN($C$257))),"")</f>
        <v/>
      </c>
      <c r="I368" s="1055" t="str">
        <f ca="1">IF(ISNUMBER(INDEX(magestuff!$D$499:$Y$615,ROW()-ROW($D$256),COLUMN()-COLUMN($C$257))),INDIRECT("'Master Spell List'!$Z$"&amp;INDEX(magestuff!$D$499:$Y$615,ROW()-ROW($D$256),COLUMN()-COLUMN($C$257))),"")</f>
        <v>Create Greater Arcane Energy</v>
      </c>
      <c r="J368" s="1055" t="str">
        <f ca="1">IF(ISNUMBER(INDEX(magestuff!$D$499:$Y$615,ROW()-ROW($D$256),COLUMN()-COLUMN($C$257))),INDIRECT("'Master Spell List'!$Z$"&amp;INDEX(magestuff!$D$499:$Y$615,ROW()-ROW($D$256),COLUMN()-COLUMN($C$257))),"")</f>
        <v/>
      </c>
      <c r="K368" s="1055" t="str">
        <f ca="1">IF(ISNUMBER(INDEX(magestuff!$D$499:$Y$615,ROW()-ROW($D$256),COLUMN()-COLUMN($C$257))),INDIRECT("'Master Spell List'!$Z$"&amp;INDEX(magestuff!$D$499:$Y$615,ROW()-ROW($D$256),COLUMN()-COLUMN($C$257))),"")</f>
        <v/>
      </c>
      <c r="L368" s="1055" t="str">
        <f ca="1">IF(ISNUMBER(INDEX(magestuff!$D$499:$Y$615,ROW()-ROW($D$256),COLUMN()-COLUMN($C$257))),INDIRECT("'Master Spell List'!$Z$"&amp;INDEX(magestuff!$D$499:$Y$615,ROW()-ROW($D$256),COLUMN()-COLUMN($C$257))),"")</f>
        <v/>
      </c>
      <c r="M368" s="1055" t="str">
        <f ca="1">IF(ISNUMBER(INDEX(magestuff!$D$499:$Y$615,ROW()-ROW($D$256),COLUMN()-COLUMN($C$257))),INDIRECT("'Master Spell List'!$Z$"&amp;INDEX(magestuff!$D$499:$Y$615,ROW()-ROW($D$256),COLUMN()-COLUMN($C$257))),"")</f>
        <v/>
      </c>
      <c r="N368" s="1055" t="str">
        <f ca="1">IF(ISNUMBER(INDEX(magestuff!$D$499:$Y$615,ROW()-ROW($D$256),COLUMN()-COLUMN($C$257))),INDIRECT("'Master Spell List'!$Z$"&amp;INDEX(magestuff!$D$499:$Y$615,ROW()-ROW($D$256),COLUMN()-COLUMN($C$257))),"")</f>
        <v/>
      </c>
      <c r="O368" s="1055" t="str">
        <f ca="1">IF(ISNUMBER(INDEX(magestuff!$D$499:$Y$615,ROW()-ROW($D$256),COLUMN()-COLUMN($C$257))),INDIRECT("'Master Spell List'!$Z$"&amp;INDEX(magestuff!$D$499:$Y$615,ROW()-ROW($D$256),COLUMN()-COLUMN($C$257))),"")</f>
        <v/>
      </c>
      <c r="P368" s="1055" t="str">
        <f ca="1">IF(ISNUMBER(INDEX(magestuff!$D$499:$Y$615,ROW()-ROW($D$256),COLUMN()-COLUMN($C$257))),INDIRECT("'Master Spell List'!$Z$"&amp;INDEX(magestuff!$D$499:$Y$615,ROW()-ROW($D$256),COLUMN()-COLUMN($C$257))),"")</f>
        <v/>
      </c>
      <c r="Q368" s="1055" t="str">
        <f ca="1">IF(ISNUMBER(INDEX(magestuff!$D$499:$Y$615,ROW()-ROW($D$256),COLUMN()-COLUMN($C$257))),INDIRECT("'Master Spell List'!$Z$"&amp;INDEX(magestuff!$D$499:$Y$615,ROW()-ROW($D$256),COLUMN()-COLUMN($C$257))),"")</f>
        <v/>
      </c>
      <c r="R368" s="1055" t="str">
        <f ca="1">IF(ISNUMBER(INDEX(magestuff!$D$499:$Y$615,ROW()-ROW($D$256),COLUMN()-COLUMN($C$257))),INDIRECT("'Master Spell List'!$Z$"&amp;INDEX(magestuff!$D$499:$Y$615,ROW()-ROW($D$256),COLUMN()-COLUMN($C$257))),"")</f>
        <v/>
      </c>
      <c r="S368" s="1055" t="str">
        <f ca="1">IF(ISNUMBER(INDEX(magestuff!$D$499:$Y$615,ROW()-ROW($D$256),COLUMN()-COLUMN($C$257))),INDIRECT("'Master Spell List'!$Z$"&amp;INDEX(magestuff!$D$499:$Y$615,ROW()-ROW($D$256),COLUMN()-COLUMN($C$257))),"")</f>
        <v/>
      </c>
      <c r="T368" s="1055" t="str">
        <f ca="1">IF(ISNUMBER(INDEX(magestuff!$D$499:$Y$615,ROW()-ROW($D$256),COLUMN()-COLUMN($C$257))),INDIRECT("'Master Spell List'!$Z$"&amp;INDEX(magestuff!$D$499:$Y$615,ROW()-ROW($D$256),COLUMN()-COLUMN($C$257))),"")</f>
        <v/>
      </c>
      <c r="U368" s="1055" t="str">
        <f ca="1">IF(ISNUMBER(INDEX(magestuff!$D$499:$Y$615,ROW()-ROW($D$256),COLUMN()-COLUMN($C$257))),INDIRECT("'Master Spell List'!$Z$"&amp;INDEX(magestuff!$D$499:$Y$615,ROW()-ROW($D$256),COLUMN()-COLUMN($C$257))),"")</f>
        <v/>
      </c>
      <c r="V368" s="1055" t="str">
        <f ca="1">IF(ISNUMBER(INDEX(magestuff!$D$499:$Y$615,ROW()-ROW($D$256),COLUMN()-COLUMN($C$257))),INDIRECT("'Master Spell List'!$Z$"&amp;INDEX(magestuff!$D$499:$Y$615,ROW()-ROW($D$256),COLUMN()-COLUMN($C$257))),"")</f>
        <v/>
      </c>
      <c r="W368" s="1055" t="str">
        <f ca="1">IF(ISNUMBER(INDEX(magestuff!$D$499:$Y$615,ROW()-ROW($D$256),COLUMN()-COLUMN($C$257))),INDIRECT("'Master Spell List'!$Z$"&amp;INDEX(magestuff!$D$499:$Y$615,ROW()-ROW($D$256),COLUMN()-COLUMN($C$257))),"")</f>
        <v/>
      </c>
    </row>
    <row r="369" spans="1:92">
      <c r="A369" s="598">
        <v>114</v>
      </c>
      <c r="B369" s="598" t="s">
        <v>2225</v>
      </c>
      <c r="C369" s="598" t="s">
        <v>2225</v>
      </c>
      <c r="D369" s="1055" t="str">
        <f ca="1">IF(ISNUMBER(INDEX(magestuff!$D$499:$Y$615,ROW()-ROW($D$256),COLUMN()-COLUMN($C$257))),INDIRECT("'Master Spell List'!$Z$"&amp;INDEX(magestuff!$D$499:$Y$615,ROW()-ROW($D$256),COLUMN()-COLUMN($C$257))),"")</f>
        <v/>
      </c>
      <c r="E369" s="1055" t="str">
        <f ca="1">IF(ISNUMBER(INDEX(magestuff!$D$499:$Y$615,ROW()-ROW($D$256),COLUMN()-COLUMN($C$257))),INDIRECT("'Master Spell List'!$Z$"&amp;INDEX(magestuff!$D$499:$Y$615,ROW()-ROW($D$256),COLUMN()-COLUMN($C$257))),"")</f>
        <v/>
      </c>
      <c r="F369" s="1055" t="str">
        <f ca="1">IF(ISNUMBER(INDEX(magestuff!$D$499:$Y$615,ROW()-ROW($D$256),COLUMN()-COLUMN($C$257))),INDIRECT("'Master Spell List'!$Z$"&amp;INDEX(magestuff!$D$499:$Y$615,ROW()-ROW($D$256),COLUMN()-COLUMN($C$257))),"")</f>
        <v/>
      </c>
      <c r="G369" s="1055" t="str">
        <f ca="1">IF(ISNUMBER(INDEX(magestuff!$D$499:$Y$615,ROW()-ROW($D$256),COLUMN()-COLUMN($C$257))),INDIRECT("'Master Spell List'!$Z$"&amp;INDEX(magestuff!$D$499:$Y$615,ROW()-ROW($D$256),COLUMN()-COLUMN($C$257))),"")</f>
        <v/>
      </c>
      <c r="H369" s="1055" t="str">
        <f ca="1">IF(ISNUMBER(INDEX(magestuff!$D$499:$Y$615,ROW()-ROW($D$256),COLUMN()-COLUMN($C$257))),INDIRECT("'Master Spell List'!$Z$"&amp;INDEX(magestuff!$D$499:$Y$615,ROW()-ROW($D$256),COLUMN()-COLUMN($C$257))),"")</f>
        <v/>
      </c>
      <c r="I369" s="1055" t="str">
        <f ca="1">IF(ISNUMBER(INDEX(magestuff!$D$499:$Y$615,ROW()-ROW($D$256),COLUMN()-COLUMN($C$257))),INDIRECT("'Master Spell List'!$Z$"&amp;INDEX(magestuff!$D$499:$Y$615,ROW()-ROW($D$256),COLUMN()-COLUMN($C$257))),"")</f>
        <v>Lesser Blink</v>
      </c>
      <c r="J369" s="1055" t="str">
        <f ca="1">IF(ISNUMBER(INDEX(magestuff!$D$499:$Y$615,ROW()-ROW($D$256),COLUMN()-COLUMN($C$257))),INDIRECT("'Master Spell List'!$Z$"&amp;INDEX(magestuff!$D$499:$Y$615,ROW()-ROW($D$256),COLUMN()-COLUMN($C$257))),"")</f>
        <v/>
      </c>
      <c r="K369" s="1055" t="str">
        <f ca="1">IF(ISNUMBER(INDEX(magestuff!$D$499:$Y$615,ROW()-ROW($D$256),COLUMN()-COLUMN($C$257))),INDIRECT("'Master Spell List'!$Z$"&amp;INDEX(magestuff!$D$499:$Y$615,ROW()-ROW($D$256),COLUMN()-COLUMN($C$257))),"")</f>
        <v/>
      </c>
      <c r="L369" s="1055" t="str">
        <f ca="1">IF(ISNUMBER(INDEX(magestuff!$D$499:$Y$615,ROW()-ROW($D$256),COLUMN()-COLUMN($C$257))),INDIRECT("'Master Spell List'!$Z$"&amp;INDEX(magestuff!$D$499:$Y$615,ROW()-ROW($D$256),COLUMN()-COLUMN($C$257))),"")</f>
        <v/>
      </c>
      <c r="M369" s="1055" t="str">
        <f ca="1">IF(ISNUMBER(INDEX(magestuff!$D$499:$Y$615,ROW()-ROW($D$256),COLUMN()-COLUMN($C$257))),INDIRECT("'Master Spell List'!$Z$"&amp;INDEX(magestuff!$D$499:$Y$615,ROW()-ROW($D$256),COLUMN()-COLUMN($C$257))),"")</f>
        <v/>
      </c>
      <c r="N369" s="1055" t="str">
        <f ca="1">IF(ISNUMBER(INDEX(magestuff!$D$499:$Y$615,ROW()-ROW($D$256),COLUMN()-COLUMN($C$257))),INDIRECT("'Master Spell List'!$Z$"&amp;INDEX(magestuff!$D$499:$Y$615,ROW()-ROW($D$256),COLUMN()-COLUMN($C$257))),"")</f>
        <v/>
      </c>
      <c r="O369" s="1055" t="str">
        <f ca="1">IF(ISNUMBER(INDEX(magestuff!$D$499:$Y$615,ROW()-ROW($D$256),COLUMN()-COLUMN($C$257))),INDIRECT("'Master Spell List'!$Z$"&amp;INDEX(magestuff!$D$499:$Y$615,ROW()-ROW($D$256),COLUMN()-COLUMN($C$257))),"")</f>
        <v/>
      </c>
      <c r="P369" s="1055" t="str">
        <f ca="1">IF(ISNUMBER(INDEX(magestuff!$D$499:$Y$615,ROW()-ROW($D$256),COLUMN()-COLUMN($C$257))),INDIRECT("'Master Spell List'!$Z$"&amp;INDEX(magestuff!$D$499:$Y$615,ROW()-ROW($D$256),COLUMN()-COLUMN($C$257))),"")</f>
        <v/>
      </c>
      <c r="Q369" s="1055" t="str">
        <f ca="1">IF(ISNUMBER(INDEX(magestuff!$D$499:$Y$615,ROW()-ROW($D$256),COLUMN()-COLUMN($C$257))),INDIRECT("'Master Spell List'!$Z$"&amp;INDEX(magestuff!$D$499:$Y$615,ROW()-ROW($D$256),COLUMN()-COLUMN($C$257))),"")</f>
        <v/>
      </c>
      <c r="R369" s="1055" t="str">
        <f ca="1">IF(ISNUMBER(INDEX(magestuff!$D$499:$Y$615,ROW()-ROW($D$256),COLUMN()-COLUMN($C$257))),INDIRECT("'Master Spell List'!$Z$"&amp;INDEX(magestuff!$D$499:$Y$615,ROW()-ROW($D$256),COLUMN()-COLUMN($C$257))),"")</f>
        <v/>
      </c>
      <c r="S369" s="1055" t="str">
        <f ca="1">IF(ISNUMBER(INDEX(magestuff!$D$499:$Y$615,ROW()-ROW($D$256),COLUMN()-COLUMN($C$257))),INDIRECT("'Master Spell List'!$Z$"&amp;INDEX(magestuff!$D$499:$Y$615,ROW()-ROW($D$256),COLUMN()-COLUMN($C$257))),"")</f>
        <v/>
      </c>
      <c r="T369" s="1055" t="str">
        <f ca="1">IF(ISNUMBER(INDEX(magestuff!$D$499:$Y$615,ROW()-ROW($D$256),COLUMN()-COLUMN($C$257))),INDIRECT("'Master Spell List'!$Z$"&amp;INDEX(magestuff!$D$499:$Y$615,ROW()-ROW($D$256),COLUMN()-COLUMN($C$257))),"")</f>
        <v/>
      </c>
      <c r="U369" s="1055" t="str">
        <f ca="1">IF(ISNUMBER(INDEX(magestuff!$D$499:$Y$615,ROW()-ROW($D$256),COLUMN()-COLUMN($C$257))),INDIRECT("'Master Spell List'!$Z$"&amp;INDEX(magestuff!$D$499:$Y$615,ROW()-ROW($D$256),COLUMN()-COLUMN($C$257))),"")</f>
        <v/>
      </c>
      <c r="V369" s="1055" t="str">
        <f ca="1">IF(ISNUMBER(INDEX(magestuff!$D$499:$Y$615,ROW()-ROW($D$256),COLUMN()-COLUMN($C$257))),INDIRECT("'Master Spell List'!$Z$"&amp;INDEX(magestuff!$D$499:$Y$615,ROW()-ROW($D$256),COLUMN()-COLUMN($C$257))),"")</f>
        <v/>
      </c>
      <c r="W369" s="1055" t="str">
        <f ca="1">IF(ISNUMBER(INDEX(magestuff!$D$499:$Y$615,ROW()-ROW($D$256),COLUMN()-COLUMN($C$257))),INDIRECT("'Master Spell List'!$Z$"&amp;INDEX(magestuff!$D$499:$Y$615,ROW()-ROW($D$256),COLUMN()-COLUMN($C$257))),"")</f>
        <v/>
      </c>
    </row>
    <row r="370" spans="1:92">
      <c r="A370" s="598">
        <v>115</v>
      </c>
      <c r="B370" s="598" t="s">
        <v>2225</v>
      </c>
      <c r="C370" s="598" t="s">
        <v>2225</v>
      </c>
      <c r="D370" s="1055" t="str">
        <f ca="1">IF(ISNUMBER(INDEX(magestuff!$D$499:$Y$615,ROW()-ROW($D$256),COLUMN()-COLUMN($C$257))),INDIRECT("'Master Spell List'!$Z$"&amp;INDEX(magestuff!$D$499:$Y$615,ROW()-ROW($D$256),COLUMN()-COLUMN($C$257))),"")</f>
        <v/>
      </c>
      <c r="E370" s="1055" t="str">
        <f ca="1">IF(ISNUMBER(INDEX(magestuff!$D$499:$Y$615,ROW()-ROW($D$256),COLUMN()-COLUMN($C$257))),INDIRECT("'Master Spell List'!$Z$"&amp;INDEX(magestuff!$D$499:$Y$615,ROW()-ROW($D$256),COLUMN()-COLUMN($C$257))),"")</f>
        <v/>
      </c>
      <c r="F370" s="1055" t="str">
        <f ca="1">IF(ISNUMBER(INDEX(magestuff!$D$499:$Y$615,ROW()-ROW($D$256),COLUMN()-COLUMN($C$257))),INDIRECT("'Master Spell List'!$Z$"&amp;INDEX(magestuff!$D$499:$Y$615,ROW()-ROW($D$256),COLUMN()-COLUMN($C$257))),"")</f>
        <v/>
      </c>
      <c r="G370" s="1055" t="str">
        <f ca="1">IF(ISNUMBER(INDEX(magestuff!$D$499:$Y$615,ROW()-ROW($D$256),COLUMN()-COLUMN($C$257))),INDIRECT("'Master Spell List'!$Z$"&amp;INDEX(magestuff!$D$499:$Y$615,ROW()-ROW($D$256),COLUMN()-COLUMN($C$257))),"")</f>
        <v/>
      </c>
      <c r="H370" s="1055" t="str">
        <f ca="1">IF(ISNUMBER(INDEX(magestuff!$D$499:$Y$615,ROW()-ROW($D$256),COLUMN()-COLUMN($C$257))),INDIRECT("'Master Spell List'!$Z$"&amp;INDEX(magestuff!$D$499:$Y$615,ROW()-ROW($D$256),COLUMN()-COLUMN($C$257))),"")</f>
        <v/>
      </c>
      <c r="I370" s="1055" t="str">
        <f ca="1">IF(ISNUMBER(INDEX(magestuff!$D$499:$Y$615,ROW()-ROW($D$256),COLUMN()-COLUMN($C$257))),INDIRECT("'Master Spell List'!$Z$"&amp;INDEX(magestuff!$D$499:$Y$615,ROW()-ROW($D$256),COLUMN()-COLUMN($C$257))),"")</f>
        <v>Drain Arcane Energy</v>
      </c>
      <c r="J370" s="1055" t="str">
        <f ca="1">IF(ISNUMBER(INDEX(magestuff!$D$499:$Y$615,ROW()-ROW($D$256),COLUMN()-COLUMN($C$257))),INDIRECT("'Master Spell List'!$Z$"&amp;INDEX(magestuff!$D$499:$Y$615,ROW()-ROW($D$256),COLUMN()-COLUMN($C$257))),"")</f>
        <v/>
      </c>
      <c r="K370" s="1055" t="str">
        <f ca="1">IF(ISNUMBER(INDEX(magestuff!$D$499:$Y$615,ROW()-ROW($D$256),COLUMN()-COLUMN($C$257))),INDIRECT("'Master Spell List'!$Z$"&amp;INDEX(magestuff!$D$499:$Y$615,ROW()-ROW($D$256),COLUMN()-COLUMN($C$257))),"")</f>
        <v/>
      </c>
      <c r="L370" s="1055" t="str">
        <f ca="1">IF(ISNUMBER(INDEX(magestuff!$D$499:$Y$615,ROW()-ROW($D$256),COLUMN()-COLUMN($C$257))),INDIRECT("'Master Spell List'!$Z$"&amp;INDEX(magestuff!$D$499:$Y$615,ROW()-ROW($D$256),COLUMN()-COLUMN($C$257))),"")</f>
        <v/>
      </c>
      <c r="M370" s="1055" t="str">
        <f ca="1">IF(ISNUMBER(INDEX(magestuff!$D$499:$Y$615,ROW()-ROW($D$256),COLUMN()-COLUMN($C$257))),INDIRECT("'Master Spell List'!$Z$"&amp;INDEX(magestuff!$D$499:$Y$615,ROW()-ROW($D$256),COLUMN()-COLUMN($C$257))),"")</f>
        <v/>
      </c>
      <c r="N370" s="1055" t="str">
        <f ca="1">IF(ISNUMBER(INDEX(magestuff!$D$499:$Y$615,ROW()-ROW($D$256),COLUMN()-COLUMN($C$257))),INDIRECT("'Master Spell List'!$Z$"&amp;INDEX(magestuff!$D$499:$Y$615,ROW()-ROW($D$256),COLUMN()-COLUMN($C$257))),"")</f>
        <v/>
      </c>
      <c r="O370" s="1055" t="str">
        <f ca="1">IF(ISNUMBER(INDEX(magestuff!$D$499:$Y$615,ROW()-ROW($D$256),COLUMN()-COLUMN($C$257))),INDIRECT("'Master Spell List'!$Z$"&amp;INDEX(magestuff!$D$499:$Y$615,ROW()-ROW($D$256),COLUMN()-COLUMN($C$257))),"")</f>
        <v/>
      </c>
      <c r="P370" s="1055" t="str">
        <f ca="1">IF(ISNUMBER(INDEX(magestuff!$D$499:$Y$615,ROW()-ROW($D$256),COLUMN()-COLUMN($C$257))),INDIRECT("'Master Spell List'!$Z$"&amp;INDEX(magestuff!$D$499:$Y$615,ROW()-ROW($D$256),COLUMN()-COLUMN($C$257))),"")</f>
        <v/>
      </c>
      <c r="Q370" s="1055" t="str">
        <f ca="1">IF(ISNUMBER(INDEX(magestuff!$D$499:$Y$615,ROW()-ROW($D$256),COLUMN()-COLUMN($C$257))),INDIRECT("'Master Spell List'!$Z$"&amp;INDEX(magestuff!$D$499:$Y$615,ROW()-ROW($D$256),COLUMN()-COLUMN($C$257))),"")</f>
        <v/>
      </c>
      <c r="R370" s="1055" t="str">
        <f ca="1">IF(ISNUMBER(INDEX(magestuff!$D$499:$Y$615,ROW()-ROW($D$256),COLUMN()-COLUMN($C$257))),INDIRECT("'Master Spell List'!$Z$"&amp;INDEX(magestuff!$D$499:$Y$615,ROW()-ROW($D$256),COLUMN()-COLUMN($C$257))),"")</f>
        <v/>
      </c>
      <c r="S370" s="1055" t="str">
        <f ca="1">IF(ISNUMBER(INDEX(magestuff!$D$499:$Y$615,ROW()-ROW($D$256),COLUMN()-COLUMN($C$257))),INDIRECT("'Master Spell List'!$Z$"&amp;INDEX(magestuff!$D$499:$Y$615,ROW()-ROW($D$256),COLUMN()-COLUMN($C$257))),"")</f>
        <v/>
      </c>
      <c r="T370" s="1055" t="str">
        <f ca="1">IF(ISNUMBER(INDEX(magestuff!$D$499:$Y$615,ROW()-ROW($D$256),COLUMN()-COLUMN($C$257))),INDIRECT("'Master Spell List'!$Z$"&amp;INDEX(magestuff!$D$499:$Y$615,ROW()-ROW($D$256),COLUMN()-COLUMN($C$257))),"")</f>
        <v/>
      </c>
      <c r="U370" s="1055" t="str">
        <f ca="1">IF(ISNUMBER(INDEX(magestuff!$D$499:$Y$615,ROW()-ROW($D$256),COLUMN()-COLUMN($C$257))),INDIRECT("'Master Spell List'!$Z$"&amp;INDEX(magestuff!$D$499:$Y$615,ROW()-ROW($D$256),COLUMN()-COLUMN($C$257))),"")</f>
        <v/>
      </c>
      <c r="V370" s="1055" t="str">
        <f ca="1">IF(ISNUMBER(INDEX(magestuff!$D$499:$Y$615,ROW()-ROW($D$256),COLUMN()-COLUMN($C$257))),INDIRECT("'Master Spell List'!$Z$"&amp;INDEX(magestuff!$D$499:$Y$615,ROW()-ROW($D$256),COLUMN()-COLUMN($C$257))),"")</f>
        <v/>
      </c>
      <c r="W370" s="1055" t="str">
        <f ca="1">IF(ISNUMBER(INDEX(magestuff!$D$499:$Y$615,ROW()-ROW($D$256),COLUMN()-COLUMN($C$257))),INDIRECT("'Master Spell List'!$Z$"&amp;INDEX(magestuff!$D$499:$Y$615,ROW()-ROW($D$256),COLUMN()-COLUMN($C$257))),"")</f>
        <v/>
      </c>
    </row>
    <row r="371" spans="1:92">
      <c r="A371" s="598">
        <v>116</v>
      </c>
      <c r="B371" s="598" t="s">
        <v>2225</v>
      </c>
      <c r="C371" s="598" t="s">
        <v>2225</v>
      </c>
      <c r="D371" s="1055" t="str">
        <f ca="1">IF(ISNUMBER(INDEX(magestuff!$D$499:$Y$615,ROW()-ROW($D$256),COLUMN()-COLUMN($C$257))),INDIRECT("'Master Spell List'!$Z$"&amp;INDEX(magestuff!$D$499:$Y$615,ROW()-ROW($D$256),COLUMN()-COLUMN($C$257))),"")</f>
        <v/>
      </c>
      <c r="E371" s="1055" t="str">
        <f ca="1">IF(ISNUMBER(INDEX(magestuff!$D$499:$Y$615,ROW()-ROW($D$256),COLUMN()-COLUMN($C$257))),INDIRECT("'Master Spell List'!$Z$"&amp;INDEX(magestuff!$D$499:$Y$615,ROW()-ROW($D$256),COLUMN()-COLUMN($C$257))),"")</f>
        <v/>
      </c>
      <c r="F371" s="1055" t="str">
        <f ca="1">IF(ISNUMBER(INDEX(magestuff!$D$499:$Y$615,ROW()-ROW($D$256),COLUMN()-COLUMN($C$257))),INDIRECT("'Master Spell List'!$Z$"&amp;INDEX(magestuff!$D$499:$Y$615,ROW()-ROW($D$256),COLUMN()-COLUMN($C$257))),"")</f>
        <v/>
      </c>
      <c r="G371" s="1055" t="str">
        <f ca="1">IF(ISNUMBER(INDEX(magestuff!$D$499:$Y$615,ROW()-ROW($D$256),COLUMN()-COLUMN($C$257))),INDIRECT("'Master Spell List'!$Z$"&amp;INDEX(magestuff!$D$499:$Y$615,ROW()-ROW($D$256),COLUMN()-COLUMN($C$257))),"")</f>
        <v/>
      </c>
      <c r="H371" s="1055" t="str">
        <f ca="1">IF(ISNUMBER(INDEX(magestuff!$D$499:$Y$615,ROW()-ROW($D$256),COLUMN()-COLUMN($C$257))),INDIRECT("'Master Spell List'!$Z$"&amp;INDEX(magestuff!$D$499:$Y$615,ROW()-ROW($D$256),COLUMN()-COLUMN($C$257))),"")</f>
        <v/>
      </c>
      <c r="I371" s="1055" t="str">
        <f ca="1">IF(ISNUMBER(INDEX(magestuff!$D$499:$Y$615,ROW()-ROW($D$256),COLUMN()-COLUMN($C$257))),INDIRECT("'Master Spell List'!$Z$"&amp;INDEX(magestuff!$D$499:$Y$615,ROW()-ROW($D$256),COLUMN()-COLUMN($C$257))),"")</f>
        <v>Great Seal of the Ages</v>
      </c>
      <c r="J371" s="1055" t="str">
        <f ca="1">IF(ISNUMBER(INDEX(magestuff!$D$499:$Y$615,ROW()-ROW($D$256),COLUMN()-COLUMN($C$257))),INDIRECT("'Master Spell List'!$Z$"&amp;INDEX(magestuff!$D$499:$Y$615,ROW()-ROW($D$256),COLUMN()-COLUMN($C$257))),"")</f>
        <v/>
      </c>
      <c r="K371" s="1055" t="str">
        <f ca="1">IF(ISNUMBER(INDEX(magestuff!$D$499:$Y$615,ROW()-ROW($D$256),COLUMN()-COLUMN($C$257))),INDIRECT("'Master Spell List'!$Z$"&amp;INDEX(magestuff!$D$499:$Y$615,ROW()-ROW($D$256),COLUMN()-COLUMN($C$257))),"")</f>
        <v/>
      </c>
      <c r="L371" s="1055" t="str">
        <f ca="1">IF(ISNUMBER(INDEX(magestuff!$D$499:$Y$615,ROW()-ROW($D$256),COLUMN()-COLUMN($C$257))),INDIRECT("'Master Spell List'!$Z$"&amp;INDEX(magestuff!$D$499:$Y$615,ROW()-ROW($D$256),COLUMN()-COLUMN($C$257))),"")</f>
        <v/>
      </c>
      <c r="M371" s="1055" t="str">
        <f ca="1">IF(ISNUMBER(INDEX(magestuff!$D$499:$Y$615,ROW()-ROW($D$256),COLUMN()-COLUMN($C$257))),INDIRECT("'Master Spell List'!$Z$"&amp;INDEX(magestuff!$D$499:$Y$615,ROW()-ROW($D$256),COLUMN()-COLUMN($C$257))),"")</f>
        <v/>
      </c>
      <c r="N371" s="1055" t="str">
        <f ca="1">IF(ISNUMBER(INDEX(magestuff!$D$499:$Y$615,ROW()-ROW($D$256),COLUMN()-COLUMN($C$257))),INDIRECT("'Master Spell List'!$Z$"&amp;INDEX(magestuff!$D$499:$Y$615,ROW()-ROW($D$256),COLUMN()-COLUMN($C$257))),"")</f>
        <v/>
      </c>
      <c r="O371" s="1055" t="str">
        <f ca="1">IF(ISNUMBER(INDEX(magestuff!$D$499:$Y$615,ROW()-ROW($D$256),COLUMN()-COLUMN($C$257))),INDIRECT("'Master Spell List'!$Z$"&amp;INDEX(magestuff!$D$499:$Y$615,ROW()-ROW($D$256),COLUMN()-COLUMN($C$257))),"")</f>
        <v/>
      </c>
      <c r="P371" s="1055" t="str">
        <f ca="1">IF(ISNUMBER(INDEX(magestuff!$D$499:$Y$615,ROW()-ROW($D$256),COLUMN()-COLUMN($C$257))),INDIRECT("'Master Spell List'!$Z$"&amp;INDEX(magestuff!$D$499:$Y$615,ROW()-ROW($D$256),COLUMN()-COLUMN($C$257))),"")</f>
        <v/>
      </c>
      <c r="Q371" s="1055" t="str">
        <f ca="1">IF(ISNUMBER(INDEX(magestuff!$D$499:$Y$615,ROW()-ROW($D$256),COLUMN()-COLUMN($C$257))),INDIRECT("'Master Spell List'!$Z$"&amp;INDEX(magestuff!$D$499:$Y$615,ROW()-ROW($D$256),COLUMN()-COLUMN($C$257))),"")</f>
        <v/>
      </c>
      <c r="R371" s="1055" t="str">
        <f ca="1">IF(ISNUMBER(INDEX(magestuff!$D$499:$Y$615,ROW()-ROW($D$256),COLUMN()-COLUMN($C$257))),INDIRECT("'Master Spell List'!$Z$"&amp;INDEX(magestuff!$D$499:$Y$615,ROW()-ROW($D$256),COLUMN()-COLUMN($C$257))),"")</f>
        <v/>
      </c>
      <c r="S371" s="1055" t="str">
        <f ca="1">IF(ISNUMBER(INDEX(magestuff!$D$499:$Y$615,ROW()-ROW($D$256),COLUMN()-COLUMN($C$257))),INDIRECT("'Master Spell List'!$Z$"&amp;INDEX(magestuff!$D$499:$Y$615,ROW()-ROW($D$256),COLUMN()-COLUMN($C$257))),"")</f>
        <v/>
      </c>
      <c r="T371" s="1055" t="str">
        <f ca="1">IF(ISNUMBER(INDEX(magestuff!$D$499:$Y$615,ROW()-ROW($D$256),COLUMN()-COLUMN($C$257))),INDIRECT("'Master Spell List'!$Z$"&amp;INDEX(magestuff!$D$499:$Y$615,ROW()-ROW($D$256),COLUMN()-COLUMN($C$257))),"")</f>
        <v/>
      </c>
      <c r="U371" s="1055" t="str">
        <f ca="1">IF(ISNUMBER(INDEX(magestuff!$D$499:$Y$615,ROW()-ROW($D$256),COLUMN()-COLUMN($C$257))),INDIRECT("'Master Spell List'!$Z$"&amp;INDEX(magestuff!$D$499:$Y$615,ROW()-ROW($D$256),COLUMN()-COLUMN($C$257))),"")</f>
        <v/>
      </c>
      <c r="V371" s="1055" t="str">
        <f ca="1">IF(ISNUMBER(INDEX(magestuff!$D$499:$Y$615,ROW()-ROW($D$256),COLUMN()-COLUMN($C$257))),INDIRECT("'Master Spell List'!$Z$"&amp;INDEX(magestuff!$D$499:$Y$615,ROW()-ROW($D$256),COLUMN()-COLUMN($C$257))),"")</f>
        <v/>
      </c>
      <c r="W371" s="1055" t="str">
        <f ca="1">IF(ISNUMBER(INDEX(magestuff!$D$499:$Y$615,ROW()-ROW($D$256),COLUMN()-COLUMN($C$257))),INDIRECT("'Master Spell List'!$Z$"&amp;INDEX(magestuff!$D$499:$Y$615,ROW()-ROW($D$256),COLUMN()-COLUMN($C$257))),"")</f>
        <v/>
      </c>
    </row>
    <row r="372" spans="1:92">
      <c r="A372" s="598">
        <v>117</v>
      </c>
      <c r="B372" s="598" t="s">
        <v>2225</v>
      </c>
      <c r="C372" s="598" t="s">
        <v>2225</v>
      </c>
      <c r="D372" s="1055" t="str">
        <f ca="1">IF(ISNUMBER(INDEX(magestuff!$D$499:$Y$615,ROW()-ROW($D$256),COLUMN()-COLUMN($C$257))),INDIRECT("'Master Spell List'!$Z$"&amp;INDEX(magestuff!$D$499:$Y$615,ROW()-ROW($D$256),COLUMN()-COLUMN($C$257))),"")</f>
        <v/>
      </c>
      <c r="E372" s="1055" t="str">
        <f ca="1">IF(ISNUMBER(INDEX(magestuff!$D$499:$Y$615,ROW()-ROW($D$256),COLUMN()-COLUMN($C$257))),INDIRECT("'Master Spell List'!$Z$"&amp;INDEX(magestuff!$D$499:$Y$615,ROW()-ROW($D$256),COLUMN()-COLUMN($C$257))),"")</f>
        <v/>
      </c>
      <c r="F372" s="1055" t="str">
        <f ca="1">IF(ISNUMBER(INDEX(magestuff!$D$499:$Y$615,ROW()-ROW($D$256),COLUMN()-COLUMN($C$257))),INDIRECT("'Master Spell List'!$Z$"&amp;INDEX(magestuff!$D$499:$Y$615,ROW()-ROW($D$256),COLUMN()-COLUMN($C$257))),"")</f>
        <v/>
      </c>
      <c r="G372" s="1055" t="str">
        <f ca="1">IF(ISNUMBER(INDEX(magestuff!$D$499:$Y$615,ROW()-ROW($D$256),COLUMN()-COLUMN($C$257))),INDIRECT("'Master Spell List'!$Z$"&amp;INDEX(magestuff!$D$499:$Y$615,ROW()-ROW($D$256),COLUMN()-COLUMN($C$257))),"")</f>
        <v/>
      </c>
      <c r="H372" s="1055" t="str">
        <f ca="1">IF(ISNUMBER(INDEX(magestuff!$D$499:$Y$615,ROW()-ROW($D$256),COLUMN()-COLUMN($C$257))),INDIRECT("'Master Spell List'!$Z$"&amp;INDEX(magestuff!$D$499:$Y$615,ROW()-ROW($D$256),COLUMN()-COLUMN($C$257))),"")</f>
        <v/>
      </c>
      <c r="I372" s="1055" t="str">
        <f ca="1">IF(ISNUMBER(INDEX(magestuff!$D$499:$Y$615,ROW()-ROW($D$256),COLUMN()-COLUMN($C$257))),INDIRECT("'Master Spell List'!$Z$"&amp;INDEX(magestuff!$D$499:$Y$615,ROW()-ROW($D$256),COLUMN()-COLUMN($C$257))),"")</f>
        <v>Great Sigil of the Arcane</v>
      </c>
      <c r="J372" s="1055" t="str">
        <f ca="1">IF(ISNUMBER(INDEX(magestuff!$D$499:$Y$615,ROW()-ROW($D$256),COLUMN()-COLUMN($C$257))),INDIRECT("'Master Spell List'!$Z$"&amp;INDEX(magestuff!$D$499:$Y$615,ROW()-ROW($D$256),COLUMN()-COLUMN($C$257))),"")</f>
        <v/>
      </c>
      <c r="K372" s="1055" t="str">
        <f ca="1">IF(ISNUMBER(INDEX(magestuff!$D$499:$Y$615,ROW()-ROW($D$256),COLUMN()-COLUMN($C$257))),INDIRECT("'Master Spell List'!$Z$"&amp;INDEX(magestuff!$D$499:$Y$615,ROW()-ROW($D$256),COLUMN()-COLUMN($C$257))),"")</f>
        <v/>
      </c>
      <c r="L372" s="1055" t="str">
        <f ca="1">IF(ISNUMBER(INDEX(magestuff!$D$499:$Y$615,ROW()-ROW($D$256),COLUMN()-COLUMN($C$257))),INDIRECT("'Master Spell List'!$Z$"&amp;INDEX(magestuff!$D$499:$Y$615,ROW()-ROW($D$256),COLUMN()-COLUMN($C$257))),"")</f>
        <v/>
      </c>
      <c r="M372" s="1055" t="str">
        <f ca="1">IF(ISNUMBER(INDEX(magestuff!$D$499:$Y$615,ROW()-ROW($D$256),COLUMN()-COLUMN($C$257))),INDIRECT("'Master Spell List'!$Z$"&amp;INDEX(magestuff!$D$499:$Y$615,ROW()-ROW($D$256),COLUMN()-COLUMN($C$257))),"")</f>
        <v/>
      </c>
      <c r="N372" s="1055" t="str">
        <f ca="1">IF(ISNUMBER(INDEX(magestuff!$D$499:$Y$615,ROW()-ROW($D$256),COLUMN()-COLUMN($C$257))),INDIRECT("'Master Spell List'!$Z$"&amp;INDEX(magestuff!$D$499:$Y$615,ROW()-ROW($D$256),COLUMN()-COLUMN($C$257))),"")</f>
        <v/>
      </c>
      <c r="O372" s="1055" t="str">
        <f ca="1">IF(ISNUMBER(INDEX(magestuff!$D$499:$Y$615,ROW()-ROW($D$256),COLUMN()-COLUMN($C$257))),INDIRECT("'Master Spell List'!$Z$"&amp;INDEX(magestuff!$D$499:$Y$615,ROW()-ROW($D$256),COLUMN()-COLUMN($C$257))),"")</f>
        <v/>
      </c>
      <c r="P372" s="1055" t="str">
        <f ca="1">IF(ISNUMBER(INDEX(magestuff!$D$499:$Y$615,ROW()-ROW($D$256),COLUMN()-COLUMN($C$257))),INDIRECT("'Master Spell List'!$Z$"&amp;INDEX(magestuff!$D$499:$Y$615,ROW()-ROW($D$256),COLUMN()-COLUMN($C$257))),"")</f>
        <v/>
      </c>
      <c r="Q372" s="1055" t="str">
        <f ca="1">IF(ISNUMBER(INDEX(magestuff!$D$499:$Y$615,ROW()-ROW($D$256),COLUMN()-COLUMN($C$257))),INDIRECT("'Master Spell List'!$Z$"&amp;INDEX(magestuff!$D$499:$Y$615,ROW()-ROW($D$256),COLUMN()-COLUMN($C$257))),"")</f>
        <v/>
      </c>
      <c r="R372" s="1055" t="str">
        <f ca="1">IF(ISNUMBER(INDEX(magestuff!$D$499:$Y$615,ROW()-ROW($D$256),COLUMN()-COLUMN($C$257))),INDIRECT("'Master Spell List'!$Z$"&amp;INDEX(magestuff!$D$499:$Y$615,ROW()-ROW($D$256),COLUMN()-COLUMN($C$257))),"")</f>
        <v/>
      </c>
      <c r="S372" s="1055" t="str">
        <f ca="1">IF(ISNUMBER(INDEX(magestuff!$D$499:$Y$615,ROW()-ROW($D$256),COLUMN()-COLUMN($C$257))),INDIRECT("'Master Spell List'!$Z$"&amp;INDEX(magestuff!$D$499:$Y$615,ROW()-ROW($D$256),COLUMN()-COLUMN($C$257))),"")</f>
        <v/>
      </c>
      <c r="T372" s="1055" t="str">
        <f ca="1">IF(ISNUMBER(INDEX(magestuff!$D$499:$Y$615,ROW()-ROW($D$256),COLUMN()-COLUMN($C$257))),INDIRECT("'Master Spell List'!$Z$"&amp;INDEX(magestuff!$D$499:$Y$615,ROW()-ROW($D$256),COLUMN()-COLUMN($C$257))),"")</f>
        <v/>
      </c>
      <c r="U372" s="1055" t="str">
        <f ca="1">IF(ISNUMBER(INDEX(magestuff!$D$499:$Y$615,ROW()-ROW($D$256),COLUMN()-COLUMN($C$257))),INDIRECT("'Master Spell List'!$Z$"&amp;INDEX(magestuff!$D$499:$Y$615,ROW()-ROW($D$256),COLUMN()-COLUMN($C$257))),"")</f>
        <v/>
      </c>
      <c r="V372" s="1055" t="str">
        <f ca="1">IF(ISNUMBER(INDEX(magestuff!$D$499:$Y$615,ROW()-ROW($D$256),COLUMN()-COLUMN($C$257))),INDIRECT("'Master Spell List'!$Z$"&amp;INDEX(magestuff!$D$499:$Y$615,ROW()-ROW($D$256),COLUMN()-COLUMN($C$257))),"")</f>
        <v/>
      </c>
      <c r="W372" s="1055" t="str">
        <f ca="1">IF(ISNUMBER(INDEX(magestuff!$D$499:$Y$615,ROW()-ROW($D$256),COLUMN()-COLUMN($C$257))),INDIRECT("'Master Spell List'!$Z$"&amp;INDEX(magestuff!$D$499:$Y$615,ROW()-ROW($D$256),COLUMN()-COLUMN($C$257))),"")</f>
        <v/>
      </c>
      <c r="X372" s="598" t="s">
        <v>2225</v>
      </c>
      <c r="Y372" s="598" t="s">
        <v>2225</v>
      </c>
      <c r="Z372" s="598" t="s">
        <v>2225</v>
      </c>
      <c r="AA372" s="598" t="s">
        <v>2225</v>
      </c>
      <c r="AB372" s="598" t="s">
        <v>2225</v>
      </c>
      <c r="AC372" s="598" t="s">
        <v>2225</v>
      </c>
      <c r="AD372" s="598" t="s">
        <v>2225</v>
      </c>
      <c r="AE372" s="598" t="s">
        <v>2225</v>
      </c>
      <c r="AF372" s="598" t="s">
        <v>2225</v>
      </c>
      <c r="AG372" s="598" t="s">
        <v>2225</v>
      </c>
      <c r="AH372" s="598" t="s">
        <v>2225</v>
      </c>
      <c r="AI372" s="598" t="s">
        <v>2225</v>
      </c>
      <c r="AJ372" s="598" t="s">
        <v>2225</v>
      </c>
      <c r="AK372" s="598" t="s">
        <v>2225</v>
      </c>
      <c r="AL372" s="598" t="s">
        <v>2225</v>
      </c>
      <c r="AM372" s="598" t="s">
        <v>2225</v>
      </c>
      <c r="AN372" s="598" t="s">
        <v>2225</v>
      </c>
      <c r="AO372" s="598" t="s">
        <v>2225</v>
      </c>
      <c r="AP372" s="598" t="s">
        <v>2225</v>
      </c>
      <c r="AQ372" s="598" t="s">
        <v>2225</v>
      </c>
      <c r="AR372" s="598" t="s">
        <v>2225</v>
      </c>
      <c r="AS372" s="598" t="s">
        <v>2225</v>
      </c>
      <c r="AT372" s="598" t="s">
        <v>2225</v>
      </c>
      <c r="AU372" s="598" t="s">
        <v>2225</v>
      </c>
    </row>
    <row r="373" spans="1:92">
      <c r="C373" s="598" t="s">
        <v>2225</v>
      </c>
      <c r="K373" s="598" t="s">
        <v>2225</v>
      </c>
      <c r="M373" s="598" t="s">
        <v>2225</v>
      </c>
    </row>
    <row r="374" spans="1:92">
      <c r="B374" s="598">
        <f t="shared" ref="B374:AT374" si="813">HLOOKUP(B$376,$C$497:$S$615,B$375+1)</f>
        <v>0</v>
      </c>
      <c r="C374" s="598">
        <f t="shared" si="813"/>
        <v>0</v>
      </c>
      <c r="D374" s="598">
        <f t="shared" si="813"/>
        <v>0</v>
      </c>
      <c r="E374" s="598">
        <f t="shared" si="813"/>
        <v>0</v>
      </c>
      <c r="F374" s="598">
        <f t="shared" si="813"/>
        <v>0</v>
      </c>
      <c r="G374" s="598">
        <f t="shared" si="813"/>
        <v>0</v>
      </c>
      <c r="H374" s="598">
        <f t="shared" si="813"/>
        <v>0</v>
      </c>
      <c r="I374" s="598">
        <f t="shared" si="813"/>
        <v>0</v>
      </c>
      <c r="J374" s="598">
        <f t="shared" si="813"/>
        <v>0</v>
      </c>
      <c r="K374" s="598">
        <f t="shared" si="813"/>
        <v>0</v>
      </c>
      <c r="L374" s="598">
        <f t="shared" si="813"/>
        <v>0</v>
      </c>
      <c r="M374" s="598">
        <f t="shared" si="813"/>
        <v>0</v>
      </c>
      <c r="N374" s="598">
        <f t="shared" si="813"/>
        <v>0</v>
      </c>
      <c r="O374" s="598">
        <f t="shared" si="813"/>
        <v>0</v>
      </c>
      <c r="P374" s="598">
        <f t="shared" si="813"/>
        <v>0</v>
      </c>
      <c r="Q374" s="598">
        <f t="shared" si="813"/>
        <v>0</v>
      </c>
      <c r="R374" s="598">
        <f t="shared" si="813"/>
        <v>0</v>
      </c>
      <c r="S374" s="598">
        <f t="shared" si="813"/>
        <v>0</v>
      </c>
      <c r="T374" s="598">
        <f t="shared" si="813"/>
        <v>0</v>
      </c>
      <c r="U374" s="598">
        <f t="shared" si="813"/>
        <v>0</v>
      </c>
      <c r="V374" s="598">
        <f t="shared" si="813"/>
        <v>0</v>
      </c>
      <c r="W374" s="598">
        <f t="shared" si="813"/>
        <v>0</v>
      </c>
      <c r="X374" s="598">
        <f t="shared" si="813"/>
        <v>0</v>
      </c>
      <c r="Y374" s="598">
        <f t="shared" si="813"/>
        <v>0</v>
      </c>
      <c r="Z374" s="598">
        <f t="shared" si="813"/>
        <v>0</v>
      </c>
      <c r="AA374" s="598">
        <f t="shared" si="813"/>
        <v>0</v>
      </c>
      <c r="AB374" s="598">
        <f t="shared" si="813"/>
        <v>0</v>
      </c>
      <c r="AC374" s="598">
        <f t="shared" si="813"/>
        <v>0</v>
      </c>
      <c r="AD374" s="598">
        <f t="shared" si="813"/>
        <v>0</v>
      </c>
      <c r="AE374" s="598">
        <f t="shared" si="813"/>
        <v>0</v>
      </c>
      <c r="AF374" s="598">
        <f t="shared" si="813"/>
        <v>0</v>
      </c>
      <c r="AG374" s="598">
        <f t="shared" si="813"/>
        <v>0</v>
      </c>
      <c r="AH374" s="598">
        <f t="shared" si="813"/>
        <v>0</v>
      </c>
      <c r="AI374" s="598">
        <f t="shared" si="813"/>
        <v>0</v>
      </c>
      <c r="AJ374" s="598">
        <f t="shared" si="813"/>
        <v>0</v>
      </c>
      <c r="AK374" s="598">
        <f t="shared" si="813"/>
        <v>0</v>
      </c>
      <c r="AL374" s="598">
        <f t="shared" si="813"/>
        <v>0</v>
      </c>
      <c r="AM374" s="598">
        <f t="shared" si="813"/>
        <v>0</v>
      </c>
      <c r="AN374" s="598">
        <f t="shared" si="813"/>
        <v>0</v>
      </c>
      <c r="AO374" s="598">
        <f t="shared" si="813"/>
        <v>0</v>
      </c>
      <c r="AP374" s="598">
        <f t="shared" si="813"/>
        <v>0</v>
      </c>
      <c r="AQ374" s="598">
        <f t="shared" si="813"/>
        <v>0</v>
      </c>
      <c r="AR374" s="598">
        <f t="shared" si="813"/>
        <v>0</v>
      </c>
      <c r="AS374" s="598">
        <f t="shared" si="813"/>
        <v>0</v>
      </c>
      <c r="AT374" s="598">
        <f t="shared" si="813"/>
        <v>0</v>
      </c>
      <c r="AV374" s="598">
        <f>HLOOKUP(AV$376,$C$497:$S$615,AV375+1)</f>
        <v>0</v>
      </c>
      <c r="AW374" s="598">
        <f t="shared" ref="AW374:CN374" si="814">HLOOKUP(AW$376,$C$497:$S$615,AW$375+1)</f>
        <v>0</v>
      </c>
      <c r="AX374" s="598">
        <f t="shared" si="814"/>
        <v>0</v>
      </c>
      <c r="AY374" s="598">
        <f t="shared" si="814"/>
        <v>0</v>
      </c>
      <c r="AZ374" s="598">
        <f t="shared" si="814"/>
        <v>0</v>
      </c>
      <c r="BA374" s="598">
        <f t="shared" si="814"/>
        <v>0</v>
      </c>
      <c r="BB374" s="598">
        <f t="shared" si="814"/>
        <v>0</v>
      </c>
      <c r="BC374" s="598">
        <f t="shared" si="814"/>
        <v>0</v>
      </c>
      <c r="BD374" s="598">
        <f t="shared" si="814"/>
        <v>0</v>
      </c>
      <c r="BE374" s="598">
        <f t="shared" si="814"/>
        <v>0</v>
      </c>
      <c r="BF374" s="598">
        <f t="shared" si="814"/>
        <v>0</v>
      </c>
      <c r="BG374" s="598">
        <f t="shared" si="814"/>
        <v>0</v>
      </c>
      <c r="BH374" s="598">
        <f t="shared" si="814"/>
        <v>0</v>
      </c>
      <c r="BI374" s="598">
        <f t="shared" si="814"/>
        <v>0</v>
      </c>
      <c r="BJ374" s="598">
        <f t="shared" si="814"/>
        <v>0</v>
      </c>
      <c r="BK374" s="598">
        <f t="shared" si="814"/>
        <v>0</v>
      </c>
      <c r="BL374" s="598">
        <f t="shared" si="814"/>
        <v>0</v>
      </c>
      <c r="BM374" s="598">
        <f t="shared" si="814"/>
        <v>0</v>
      </c>
      <c r="BN374" s="598">
        <f t="shared" si="814"/>
        <v>0</v>
      </c>
      <c r="BO374" s="598">
        <f t="shared" si="814"/>
        <v>0</v>
      </c>
      <c r="BP374" s="598">
        <f t="shared" si="814"/>
        <v>0</v>
      </c>
      <c r="BQ374" s="598">
        <f t="shared" si="814"/>
        <v>0</v>
      </c>
      <c r="BR374" s="598">
        <f t="shared" si="814"/>
        <v>0</v>
      </c>
      <c r="BS374" s="598">
        <f t="shared" si="814"/>
        <v>0</v>
      </c>
      <c r="BT374" s="598">
        <f t="shared" si="814"/>
        <v>0</v>
      </c>
      <c r="BU374" s="598">
        <f t="shared" si="814"/>
        <v>0</v>
      </c>
      <c r="BV374" s="598">
        <f t="shared" si="814"/>
        <v>0</v>
      </c>
      <c r="BW374" s="598">
        <f t="shared" si="814"/>
        <v>0</v>
      </c>
      <c r="BX374" s="598">
        <f t="shared" si="814"/>
        <v>0</v>
      </c>
      <c r="BY374" s="598">
        <f t="shared" si="814"/>
        <v>0</v>
      </c>
      <c r="BZ374" s="598">
        <f t="shared" si="814"/>
        <v>0</v>
      </c>
      <c r="CA374" s="598">
        <f t="shared" si="814"/>
        <v>0</v>
      </c>
      <c r="CB374" s="598">
        <f t="shared" si="814"/>
        <v>0</v>
      </c>
      <c r="CC374" s="598">
        <f t="shared" si="814"/>
        <v>0</v>
      </c>
      <c r="CD374" s="598">
        <f t="shared" si="814"/>
        <v>0</v>
      </c>
      <c r="CE374" s="598">
        <f t="shared" si="814"/>
        <v>0</v>
      </c>
      <c r="CF374" s="598">
        <f t="shared" si="814"/>
        <v>0</v>
      </c>
      <c r="CG374" s="598">
        <f t="shared" si="814"/>
        <v>0</v>
      </c>
      <c r="CH374" s="598">
        <f t="shared" si="814"/>
        <v>0</v>
      </c>
      <c r="CI374" s="598">
        <f t="shared" si="814"/>
        <v>0</v>
      </c>
      <c r="CJ374" s="598">
        <f t="shared" si="814"/>
        <v>0</v>
      </c>
      <c r="CK374" s="598">
        <f t="shared" si="814"/>
        <v>0</v>
      </c>
      <c r="CL374" s="598">
        <f t="shared" si="814"/>
        <v>0</v>
      </c>
      <c r="CM374" s="598">
        <f t="shared" si="814"/>
        <v>0</v>
      </c>
      <c r="CN374" s="598">
        <f t="shared" si="814"/>
        <v>0</v>
      </c>
    </row>
    <row r="375" spans="1:92">
      <c r="B375" s="598">
        <f>'Character Sheet'!$K176</f>
        <v>1</v>
      </c>
      <c r="C375" s="598">
        <f>'Character Sheet'!$K177</f>
        <v>1</v>
      </c>
      <c r="D375" s="598">
        <f>'Character Sheet'!$K178</f>
        <v>1</v>
      </c>
      <c r="E375" s="598">
        <f>'Character Sheet'!$K179</f>
        <v>1</v>
      </c>
      <c r="F375" s="598">
        <f>'Character Sheet'!$K180</f>
        <v>1</v>
      </c>
      <c r="G375" s="598">
        <f>'Character Sheet'!$K181</f>
        <v>1</v>
      </c>
      <c r="H375" s="598">
        <f>'Character Sheet'!$K182</f>
        <v>1</v>
      </c>
      <c r="I375" s="598">
        <f>'Character Sheet'!$K183</f>
        <v>1</v>
      </c>
      <c r="J375" s="598">
        <f>'Character Sheet'!$K184</f>
        <v>1</v>
      </c>
      <c r="K375" s="598">
        <f>'Character Sheet'!$K185</f>
        <v>1</v>
      </c>
      <c r="L375" s="598">
        <f>'Character Sheet'!$K186</f>
        <v>1</v>
      </c>
      <c r="M375" s="598">
        <f>'Character Sheet'!$K187</f>
        <v>1</v>
      </c>
      <c r="N375" s="598">
        <f>'Character Sheet'!$K188</f>
        <v>1</v>
      </c>
      <c r="O375" s="598">
        <f>'Character Sheet'!$K189</f>
        <v>1</v>
      </c>
      <c r="P375" s="598">
        <f>'Character Sheet'!$K190</f>
        <v>1</v>
      </c>
      <c r="Q375" s="598">
        <f>'Character Sheet'!$K191</f>
        <v>1</v>
      </c>
      <c r="R375" s="598">
        <f>'Character Sheet'!$K192</f>
        <v>1</v>
      </c>
      <c r="S375" s="598">
        <f>'Character Sheet'!$K193</f>
        <v>1</v>
      </c>
      <c r="T375" s="598">
        <f>'Character Sheet'!$K194</f>
        <v>1</v>
      </c>
      <c r="U375" s="598">
        <f>'Character Sheet'!$K195</f>
        <v>1</v>
      </c>
      <c r="V375" s="598">
        <f>'Character Sheet'!$K196</f>
        <v>1</v>
      </c>
      <c r="W375" s="598">
        <f>'Character Sheet'!$K197</f>
        <v>1</v>
      </c>
      <c r="X375" s="598">
        <f>'Character Sheet'!$K198</f>
        <v>1</v>
      </c>
      <c r="Y375" s="598">
        <f>'Character Sheet'!$K199</f>
        <v>1</v>
      </c>
      <c r="Z375" s="598">
        <f>'Character Sheet'!$K200</f>
        <v>1</v>
      </c>
      <c r="AA375" s="598">
        <f>'Character Sheet'!$K201</f>
        <v>1</v>
      </c>
      <c r="AB375" s="598">
        <f>'Character Sheet'!$K202</f>
        <v>1</v>
      </c>
      <c r="AC375" s="598">
        <f>'Character Sheet'!$K203</f>
        <v>1</v>
      </c>
      <c r="AD375" s="598">
        <f>'Character Sheet'!$K204</f>
        <v>1</v>
      </c>
      <c r="AE375" s="598">
        <f>'Character Sheet'!$K205</f>
        <v>1</v>
      </c>
      <c r="AF375" s="598">
        <f>'Character Sheet'!$K206</f>
        <v>1</v>
      </c>
      <c r="AG375" s="598">
        <f>'Character Sheet'!$K207</f>
        <v>1</v>
      </c>
      <c r="AH375" s="598">
        <f>'Character Sheet'!$K208</f>
        <v>1</v>
      </c>
      <c r="AI375" s="598">
        <f>'Character Sheet'!$K209</f>
        <v>1</v>
      </c>
      <c r="AJ375" s="598">
        <f>'Character Sheet'!$K210</f>
        <v>1</v>
      </c>
      <c r="AK375" s="598">
        <f>'Character Sheet'!$K211</f>
        <v>1</v>
      </c>
      <c r="AL375" s="598">
        <f>'Character Sheet'!$K212</f>
        <v>1</v>
      </c>
      <c r="AM375" s="598">
        <f>'Character Sheet'!$K213</f>
        <v>1</v>
      </c>
      <c r="AN375" s="598">
        <f>'Character Sheet'!$K214</f>
        <v>1</v>
      </c>
      <c r="AO375" s="598">
        <f>'Character Sheet'!$K215</f>
        <v>1</v>
      </c>
      <c r="AP375" s="598">
        <f>'Character Sheet'!$K216</f>
        <v>1</v>
      </c>
      <c r="AQ375" s="598">
        <f>'Character Sheet'!$K217</f>
        <v>7</v>
      </c>
      <c r="AR375" s="598">
        <f>'Character Sheet'!$K218</f>
        <v>1</v>
      </c>
      <c r="AS375" s="598">
        <f>'Character Sheet'!$K219</f>
        <v>1</v>
      </c>
      <c r="AT375" s="598">
        <f>'Character Sheet'!$K220</f>
        <v>1</v>
      </c>
      <c r="AV375" s="598">
        <f>'Character Sheet'!$AQ176</f>
        <v>1</v>
      </c>
      <c r="AW375" s="598">
        <f>'Character Sheet'!$AQ177</f>
        <v>1</v>
      </c>
      <c r="AX375" s="598">
        <f>'Character Sheet'!$AQ178</f>
        <v>1</v>
      </c>
      <c r="AY375" s="598">
        <f>'Character Sheet'!$AQ179</f>
        <v>1</v>
      </c>
      <c r="AZ375" s="598">
        <f>'Character Sheet'!$AQ180</f>
        <v>1</v>
      </c>
      <c r="BA375" s="598">
        <f>'Character Sheet'!$AQ181</f>
        <v>1</v>
      </c>
      <c r="BB375" s="598">
        <f>'Character Sheet'!$AQ182</f>
        <v>1</v>
      </c>
      <c r="BC375" s="598">
        <f>'Character Sheet'!$AQ183</f>
        <v>1</v>
      </c>
      <c r="BD375" s="598">
        <f>'Character Sheet'!$AQ184</f>
        <v>1</v>
      </c>
      <c r="BE375" s="598">
        <f>'Character Sheet'!$AQ185</f>
        <v>1</v>
      </c>
      <c r="BF375" s="598">
        <f>'Character Sheet'!$AQ186</f>
        <v>1</v>
      </c>
      <c r="BG375" s="598">
        <f>'Character Sheet'!$AQ187</f>
        <v>1</v>
      </c>
      <c r="BH375" s="598">
        <f>'Character Sheet'!$AQ188</f>
        <v>1</v>
      </c>
      <c r="BI375" s="598">
        <f>'Character Sheet'!$AQ189</f>
        <v>1</v>
      </c>
      <c r="BJ375" s="598">
        <f>'Character Sheet'!$AQ190</f>
        <v>1</v>
      </c>
      <c r="BK375" s="598">
        <f>'Character Sheet'!$AQ191</f>
        <v>1</v>
      </c>
      <c r="BL375" s="598">
        <f>'Character Sheet'!$AQ192</f>
        <v>1</v>
      </c>
      <c r="BM375" s="598">
        <f>'Character Sheet'!$AQ193</f>
        <v>1</v>
      </c>
      <c r="BN375" s="598">
        <f>'Character Sheet'!$AQ194</f>
        <v>1</v>
      </c>
      <c r="BO375" s="598">
        <f>'Character Sheet'!$AQ195</f>
        <v>1</v>
      </c>
      <c r="BP375" s="598">
        <f>'Character Sheet'!$AQ196</f>
        <v>1</v>
      </c>
      <c r="BQ375" s="598">
        <f>'Character Sheet'!$AQ197</f>
        <v>1</v>
      </c>
      <c r="BR375" s="598">
        <f>'Character Sheet'!$AQ198</f>
        <v>1</v>
      </c>
      <c r="BS375" s="598">
        <f>'Character Sheet'!$AQ199</f>
        <v>1</v>
      </c>
      <c r="BT375" s="598">
        <f>'Character Sheet'!$AQ200</f>
        <v>1</v>
      </c>
      <c r="BU375" s="598">
        <f>'Character Sheet'!$AQ201</f>
        <v>1</v>
      </c>
      <c r="BV375" s="598">
        <f>'Character Sheet'!$AQ202</f>
        <v>1</v>
      </c>
      <c r="BW375" s="598">
        <f>'Character Sheet'!$AQ203</f>
        <v>1</v>
      </c>
      <c r="BX375" s="598">
        <f>'Character Sheet'!$AQ204</f>
        <v>1</v>
      </c>
      <c r="BY375" s="598">
        <f>'Character Sheet'!$AQ205</f>
        <v>1</v>
      </c>
      <c r="BZ375" s="598">
        <f>'Character Sheet'!$AQ206</f>
        <v>1</v>
      </c>
      <c r="CA375" s="598">
        <f>'Character Sheet'!$AQ207</f>
        <v>1</v>
      </c>
      <c r="CB375" s="598">
        <f>'Character Sheet'!$AQ208</f>
        <v>1</v>
      </c>
      <c r="CC375" s="598">
        <f>'Character Sheet'!$AQ209</f>
        <v>1</v>
      </c>
      <c r="CD375" s="598">
        <f>'Character Sheet'!$AQ210</f>
        <v>1</v>
      </c>
      <c r="CE375" s="598">
        <f>'Character Sheet'!$AQ211</f>
        <v>1</v>
      </c>
      <c r="CF375" s="598">
        <f>'Character Sheet'!$AQ212</f>
        <v>1</v>
      </c>
      <c r="CG375" s="598">
        <f>'Character Sheet'!$AQ213</f>
        <v>1</v>
      </c>
      <c r="CH375" s="598">
        <f>'Character Sheet'!$AQ214</f>
        <v>1</v>
      </c>
      <c r="CI375" s="598">
        <f>'Character Sheet'!$AQ215</f>
        <v>1</v>
      </c>
      <c r="CJ375" s="598">
        <f>'Character Sheet'!$AQ216</f>
        <v>1</v>
      </c>
      <c r="CK375" s="598">
        <f>'Character Sheet'!$AQ217</f>
        <v>1</v>
      </c>
      <c r="CL375" s="598">
        <f>'Character Sheet'!$AQ218</f>
        <v>1</v>
      </c>
      <c r="CM375" s="598">
        <f>'Character Sheet'!$AQ219</f>
        <v>1</v>
      </c>
      <c r="CN375" s="598">
        <f>'Character Sheet'!$AQ220</f>
        <v>1</v>
      </c>
    </row>
    <row r="376" spans="1:92">
      <c r="B376" s="598">
        <f>'Character Sheet'!$A176</f>
        <v>1</v>
      </c>
      <c r="C376" s="598">
        <f>'Character Sheet'!$A177</f>
        <v>1</v>
      </c>
      <c r="D376" s="598">
        <f>'Character Sheet'!$A178</f>
        <v>1</v>
      </c>
      <c r="E376" s="598">
        <f>'Character Sheet'!$A179</f>
        <v>1</v>
      </c>
      <c r="F376" s="598">
        <f>'Character Sheet'!$A180</f>
        <v>1</v>
      </c>
      <c r="G376" s="598">
        <f>'Character Sheet'!$A181</f>
        <v>1</v>
      </c>
      <c r="H376" s="598">
        <f>'Character Sheet'!$A182</f>
        <v>1</v>
      </c>
      <c r="I376" s="598">
        <f>'Character Sheet'!$A183</f>
        <v>1</v>
      </c>
      <c r="J376" s="598">
        <f>'Character Sheet'!$A184</f>
        <v>1</v>
      </c>
      <c r="K376" s="598">
        <f>'Character Sheet'!$A185</f>
        <v>1</v>
      </c>
      <c r="L376" s="598">
        <f>'Character Sheet'!$A186</f>
        <v>1</v>
      </c>
      <c r="M376" s="598">
        <f>'Character Sheet'!$A187</f>
        <v>1</v>
      </c>
      <c r="N376" s="598">
        <f>'Character Sheet'!$A188</f>
        <v>1</v>
      </c>
      <c r="O376" s="598">
        <f>'Character Sheet'!$A189</f>
        <v>1</v>
      </c>
      <c r="P376" s="598">
        <f>'Character Sheet'!$A190</f>
        <v>1</v>
      </c>
      <c r="Q376" s="598">
        <f>'Character Sheet'!$A191</f>
        <v>1</v>
      </c>
      <c r="R376" s="598">
        <f>'Character Sheet'!$A192</f>
        <v>1</v>
      </c>
      <c r="S376" s="598">
        <f>'Character Sheet'!$A193</f>
        <v>1</v>
      </c>
      <c r="T376" s="598">
        <f>'Character Sheet'!$A194</f>
        <v>1</v>
      </c>
      <c r="U376" s="598">
        <f>'Character Sheet'!$A195</f>
        <v>1</v>
      </c>
      <c r="V376" s="598">
        <f>'Character Sheet'!$A196</f>
        <v>1</v>
      </c>
      <c r="W376" s="598">
        <f>'Character Sheet'!$A197</f>
        <v>1</v>
      </c>
      <c r="X376" s="598">
        <f>'Character Sheet'!$A198</f>
        <v>1</v>
      </c>
      <c r="Y376" s="598">
        <f>'Character Sheet'!$A199</f>
        <v>1</v>
      </c>
      <c r="Z376" s="598">
        <f>'Character Sheet'!$A200</f>
        <v>1</v>
      </c>
      <c r="AA376" s="598">
        <f>'Character Sheet'!$A201</f>
        <v>1</v>
      </c>
      <c r="AB376" s="598">
        <f>'Character Sheet'!$A202</f>
        <v>1</v>
      </c>
      <c r="AC376" s="598">
        <f>'Character Sheet'!$A203</f>
        <v>1</v>
      </c>
      <c r="AD376" s="598">
        <f>'Character Sheet'!$A204</f>
        <v>1</v>
      </c>
      <c r="AE376" s="598">
        <f>'Character Sheet'!$A205</f>
        <v>1</v>
      </c>
      <c r="AF376" s="598">
        <f>'Character Sheet'!$A206</f>
        <v>1</v>
      </c>
      <c r="AG376" s="598">
        <f>'Character Sheet'!$A207</f>
        <v>1</v>
      </c>
      <c r="AH376" s="598">
        <f>'Character Sheet'!$A208</f>
        <v>1</v>
      </c>
      <c r="AI376" s="598">
        <f>'Character Sheet'!$A209</f>
        <v>1</v>
      </c>
      <c r="AJ376" s="598">
        <f>'Character Sheet'!$A210</f>
        <v>1</v>
      </c>
      <c r="AK376" s="598">
        <f>'Character Sheet'!$A211</f>
        <v>1</v>
      </c>
      <c r="AL376" s="598">
        <f>'Character Sheet'!$A212</f>
        <v>1</v>
      </c>
      <c r="AM376" s="598">
        <f>'Character Sheet'!$A213</f>
        <v>1</v>
      </c>
      <c r="AN376" s="598">
        <f>'Character Sheet'!$A214</f>
        <v>1</v>
      </c>
      <c r="AO376" s="598">
        <f>'Character Sheet'!$A215</f>
        <v>1</v>
      </c>
      <c r="AP376" s="598">
        <f>'Character Sheet'!$A216</f>
        <v>1</v>
      </c>
      <c r="AQ376" s="598">
        <f>'Character Sheet'!$A217</f>
        <v>1</v>
      </c>
      <c r="AR376" s="598">
        <f>'Character Sheet'!$A218</f>
        <v>1</v>
      </c>
      <c r="AS376" s="598">
        <f>'Character Sheet'!$A219</f>
        <v>1</v>
      </c>
      <c r="AT376" s="598">
        <f>'Character Sheet'!$A220</f>
        <v>1</v>
      </c>
      <c r="AV376" s="598">
        <f>'Character Sheet'!$AG176</f>
        <v>1</v>
      </c>
      <c r="AW376" s="598">
        <f>'Character Sheet'!$AG177</f>
        <v>1</v>
      </c>
      <c r="AX376" s="598">
        <f>'Character Sheet'!$AG178</f>
        <v>1</v>
      </c>
      <c r="AY376" s="598">
        <f>'Character Sheet'!$AG179</f>
        <v>1</v>
      </c>
      <c r="AZ376" s="598">
        <f>'Character Sheet'!$AG180</f>
        <v>1</v>
      </c>
      <c r="BA376" s="598">
        <f>'Character Sheet'!$AG181</f>
        <v>1</v>
      </c>
      <c r="BB376" s="598">
        <f>'Character Sheet'!$AG182</f>
        <v>1</v>
      </c>
      <c r="BC376" s="598">
        <f>'Character Sheet'!$AG183</f>
        <v>1</v>
      </c>
      <c r="BD376" s="598">
        <f>'Character Sheet'!$AG184</f>
        <v>1</v>
      </c>
      <c r="BE376" s="598">
        <f>'Character Sheet'!$AG185</f>
        <v>1</v>
      </c>
      <c r="BF376" s="598">
        <f>'Character Sheet'!$AG186</f>
        <v>1</v>
      </c>
      <c r="BG376" s="598">
        <f>'Character Sheet'!$AG187</f>
        <v>1</v>
      </c>
      <c r="BH376" s="598">
        <f>'Character Sheet'!$AG188</f>
        <v>1</v>
      </c>
      <c r="BI376" s="598">
        <f>'Character Sheet'!$AG189</f>
        <v>1</v>
      </c>
      <c r="BJ376" s="598">
        <f>'Character Sheet'!$AG190</f>
        <v>1</v>
      </c>
      <c r="BK376" s="598">
        <f>'Character Sheet'!$AG191</f>
        <v>1</v>
      </c>
      <c r="BL376" s="598">
        <f>'Character Sheet'!$AG192</f>
        <v>1</v>
      </c>
      <c r="BM376" s="598">
        <f>'Character Sheet'!$AG193</f>
        <v>1</v>
      </c>
      <c r="BN376" s="598">
        <f>'Character Sheet'!$AG194</f>
        <v>1</v>
      </c>
      <c r="BO376" s="598">
        <f>'Character Sheet'!$AG195</f>
        <v>1</v>
      </c>
      <c r="BP376" s="598">
        <f>'Character Sheet'!$AG196</f>
        <v>1</v>
      </c>
      <c r="BQ376" s="598">
        <f>'Character Sheet'!$AG197</f>
        <v>1</v>
      </c>
      <c r="BR376" s="598">
        <f>'Character Sheet'!$AG198</f>
        <v>1</v>
      </c>
      <c r="BS376" s="598">
        <f>'Character Sheet'!$AG199</f>
        <v>1</v>
      </c>
      <c r="BT376" s="598">
        <f>'Character Sheet'!$AG200</f>
        <v>1</v>
      </c>
      <c r="BU376" s="598">
        <f>'Character Sheet'!$AG201</f>
        <v>1</v>
      </c>
      <c r="BV376" s="598">
        <f>'Character Sheet'!$AG202</f>
        <v>1</v>
      </c>
      <c r="BW376" s="598">
        <f>'Character Sheet'!$AG203</f>
        <v>1</v>
      </c>
      <c r="BX376" s="598">
        <f>'Character Sheet'!$AG204</f>
        <v>1</v>
      </c>
      <c r="BY376" s="598">
        <f>'Character Sheet'!$AG205</f>
        <v>1</v>
      </c>
      <c r="BZ376" s="598">
        <f>'Character Sheet'!$AG206</f>
        <v>1</v>
      </c>
      <c r="CA376" s="598">
        <f>'Character Sheet'!$AG207</f>
        <v>1</v>
      </c>
      <c r="CB376" s="598">
        <f>'Character Sheet'!$AG208</f>
        <v>1</v>
      </c>
      <c r="CC376" s="598">
        <f>'Character Sheet'!$AG209</f>
        <v>1</v>
      </c>
      <c r="CD376" s="598">
        <f>'Character Sheet'!$AG210</f>
        <v>1</v>
      </c>
      <c r="CE376" s="598">
        <f>'Character Sheet'!$AG211</f>
        <v>1</v>
      </c>
      <c r="CF376" s="598">
        <f>'Character Sheet'!$AG212</f>
        <v>1</v>
      </c>
      <c r="CG376" s="598">
        <f>'Character Sheet'!$AG213</f>
        <v>1</v>
      </c>
      <c r="CH376" s="598">
        <f>'Character Sheet'!$AG214</f>
        <v>1</v>
      </c>
      <c r="CI376" s="598">
        <f>'Character Sheet'!$AG215</f>
        <v>1</v>
      </c>
      <c r="CJ376" s="598">
        <f>'Character Sheet'!$AG216</f>
        <v>1</v>
      </c>
      <c r="CK376" s="598">
        <f>'Character Sheet'!$AG217</f>
        <v>1</v>
      </c>
      <c r="CL376" s="598">
        <f>'Character Sheet'!$AG218</f>
        <v>1</v>
      </c>
      <c r="CM376" s="598">
        <f>'Character Sheet'!$AG219</f>
        <v>1</v>
      </c>
      <c r="CN376" s="598">
        <f>'Character Sheet'!$AG220</f>
        <v>1</v>
      </c>
    </row>
    <row r="377" spans="1:92">
      <c r="B377" s="598">
        <v>1</v>
      </c>
      <c r="C377" s="598">
        <v>2</v>
      </c>
      <c r="D377" s="598">
        <v>3</v>
      </c>
      <c r="E377" s="598">
        <v>4</v>
      </c>
      <c r="F377" s="598">
        <v>5</v>
      </c>
      <c r="G377" s="598">
        <v>6</v>
      </c>
      <c r="H377" s="598">
        <v>7</v>
      </c>
      <c r="I377" s="598">
        <v>8</v>
      </c>
      <c r="J377" s="598">
        <v>9</v>
      </c>
      <c r="K377" s="598">
        <v>10</v>
      </c>
      <c r="L377" s="598">
        <v>11</v>
      </c>
      <c r="M377" s="598">
        <v>12</v>
      </c>
      <c r="N377" s="598">
        <v>13</v>
      </c>
      <c r="O377" s="598">
        <v>14</v>
      </c>
      <c r="P377" s="598">
        <v>15</v>
      </c>
      <c r="Q377" s="598">
        <v>16</v>
      </c>
      <c r="R377" s="598">
        <v>17</v>
      </c>
      <c r="S377" s="598">
        <v>18</v>
      </c>
      <c r="T377" s="598">
        <v>19</v>
      </c>
      <c r="U377" s="598">
        <v>20</v>
      </c>
      <c r="V377" s="598">
        <v>21</v>
      </c>
      <c r="W377" s="598">
        <v>22</v>
      </c>
      <c r="X377" s="598">
        <v>23</v>
      </c>
      <c r="Y377" s="598">
        <v>24</v>
      </c>
      <c r="Z377" s="598">
        <v>25</v>
      </c>
      <c r="AA377" s="598">
        <v>26</v>
      </c>
      <c r="AB377" s="598">
        <v>27</v>
      </c>
      <c r="AC377" s="598">
        <v>28</v>
      </c>
      <c r="AD377" s="598">
        <v>29</v>
      </c>
      <c r="AE377" s="598">
        <v>30</v>
      </c>
      <c r="AF377" s="598">
        <v>31</v>
      </c>
      <c r="AG377" s="598">
        <v>32</v>
      </c>
      <c r="AH377" s="598">
        <v>33</v>
      </c>
      <c r="AI377" s="598">
        <v>34</v>
      </c>
      <c r="AJ377" s="598">
        <v>35</v>
      </c>
      <c r="AK377" s="598">
        <v>36</v>
      </c>
      <c r="AL377" s="598">
        <v>37</v>
      </c>
      <c r="AM377" s="598">
        <v>38</v>
      </c>
      <c r="AN377" s="598">
        <v>39</v>
      </c>
      <c r="AO377" s="598">
        <v>40</v>
      </c>
      <c r="AP377" s="598">
        <v>41</v>
      </c>
      <c r="AQ377" s="598">
        <v>42</v>
      </c>
      <c r="AR377" s="598">
        <v>43</v>
      </c>
      <c r="AS377" s="598">
        <v>44</v>
      </c>
      <c r="AT377" s="598">
        <v>45</v>
      </c>
      <c r="AV377" s="598">
        <v>1</v>
      </c>
      <c r="AW377" s="598">
        <v>2</v>
      </c>
      <c r="AX377" s="598">
        <v>3</v>
      </c>
      <c r="AY377" s="598">
        <v>4</v>
      </c>
      <c r="AZ377" s="598">
        <v>5</v>
      </c>
      <c r="BA377" s="598">
        <v>6</v>
      </c>
      <c r="BB377" s="598">
        <v>7</v>
      </c>
      <c r="BC377" s="598">
        <v>8</v>
      </c>
      <c r="BD377" s="598">
        <v>9</v>
      </c>
      <c r="BE377" s="598">
        <v>10</v>
      </c>
      <c r="BF377" s="598">
        <v>11</v>
      </c>
      <c r="BG377" s="598">
        <v>12</v>
      </c>
      <c r="BH377" s="598">
        <v>13</v>
      </c>
      <c r="BI377" s="598">
        <v>14</v>
      </c>
      <c r="BJ377" s="598">
        <v>15</v>
      </c>
      <c r="BK377" s="598">
        <v>16</v>
      </c>
      <c r="BL377" s="598">
        <v>17</v>
      </c>
      <c r="BM377" s="598">
        <v>18</v>
      </c>
      <c r="BN377" s="598">
        <v>19</v>
      </c>
      <c r="BO377" s="598">
        <v>20</v>
      </c>
      <c r="BP377" s="598">
        <v>21</v>
      </c>
      <c r="BQ377" s="598">
        <v>22</v>
      </c>
      <c r="BR377" s="598">
        <v>23</v>
      </c>
      <c r="BS377" s="598">
        <v>24</v>
      </c>
      <c r="BT377" s="598">
        <v>25</v>
      </c>
      <c r="BU377" s="598">
        <v>26</v>
      </c>
      <c r="BV377" s="598">
        <v>27</v>
      </c>
      <c r="BW377" s="598">
        <v>28</v>
      </c>
      <c r="BX377" s="598">
        <v>29</v>
      </c>
      <c r="BY377" s="598">
        <v>30</v>
      </c>
      <c r="BZ377" s="598">
        <v>31</v>
      </c>
      <c r="CA377" s="598">
        <v>32</v>
      </c>
      <c r="CB377" s="598">
        <v>33</v>
      </c>
      <c r="CC377" s="598">
        <v>34</v>
      </c>
      <c r="CD377" s="598">
        <v>35</v>
      </c>
      <c r="CE377" s="598">
        <v>36</v>
      </c>
      <c r="CF377" s="598">
        <v>37</v>
      </c>
      <c r="CG377" s="598">
        <v>38</v>
      </c>
      <c r="CH377" s="598">
        <v>39</v>
      </c>
      <c r="CI377" s="598">
        <v>40</v>
      </c>
      <c r="CJ377" s="598">
        <v>41</v>
      </c>
      <c r="CK377" s="598">
        <v>42</v>
      </c>
      <c r="CL377" s="598">
        <v>43</v>
      </c>
      <c r="CM377" s="598">
        <v>44</v>
      </c>
      <c r="CN377" s="598">
        <v>45</v>
      </c>
    </row>
    <row r="378" spans="1:92">
      <c r="A378" s="598">
        <v>1</v>
      </c>
      <c r="AT378" s="598" t="s">
        <v>2225</v>
      </c>
    </row>
    <row r="379" spans="1:92">
      <c r="A379" s="598">
        <v>2</v>
      </c>
      <c r="B379" s="598" t="str">
        <f t="shared" ref="B379:K388" si="815">HLOOKUP(B$376,$C$255:$S$372,$A379+1)</f>
        <v xml:space="preserve"> </v>
      </c>
      <c r="C379" s="598" t="str">
        <f t="shared" si="815"/>
        <v xml:space="preserve"> </v>
      </c>
      <c r="D379" s="598" t="str">
        <f t="shared" si="815"/>
        <v xml:space="preserve"> </v>
      </c>
      <c r="E379" s="598" t="str">
        <f t="shared" si="815"/>
        <v xml:space="preserve"> </v>
      </c>
      <c r="F379" s="598" t="str">
        <f t="shared" si="815"/>
        <v xml:space="preserve"> </v>
      </c>
      <c r="G379" s="598" t="str">
        <f t="shared" si="815"/>
        <v xml:space="preserve"> </v>
      </c>
      <c r="H379" s="598" t="str">
        <f t="shared" si="815"/>
        <v xml:space="preserve"> </v>
      </c>
      <c r="I379" s="598" t="str">
        <f t="shared" si="815"/>
        <v xml:space="preserve"> </v>
      </c>
      <c r="J379" s="598" t="str">
        <f t="shared" si="815"/>
        <v xml:space="preserve"> </v>
      </c>
      <c r="K379" s="598" t="str">
        <f t="shared" si="815"/>
        <v xml:space="preserve"> </v>
      </c>
      <c r="L379" s="598" t="str">
        <f t="shared" ref="L379:U388" si="816">HLOOKUP(L$376,$C$255:$S$372,$A379+1)</f>
        <v xml:space="preserve"> </v>
      </c>
      <c r="M379" s="598" t="str">
        <f t="shared" si="816"/>
        <v xml:space="preserve"> </v>
      </c>
      <c r="N379" s="598" t="str">
        <f t="shared" si="816"/>
        <v xml:space="preserve"> </v>
      </c>
      <c r="O379" s="598" t="str">
        <f t="shared" si="816"/>
        <v xml:space="preserve"> </v>
      </c>
      <c r="P379" s="598" t="str">
        <f t="shared" si="816"/>
        <v xml:space="preserve"> </v>
      </c>
      <c r="Q379" s="598" t="str">
        <f t="shared" si="816"/>
        <v xml:space="preserve"> </v>
      </c>
      <c r="R379" s="598" t="str">
        <f t="shared" si="816"/>
        <v xml:space="preserve"> </v>
      </c>
      <c r="S379" s="598" t="str">
        <f t="shared" si="816"/>
        <v xml:space="preserve"> </v>
      </c>
      <c r="T379" s="598" t="str">
        <f t="shared" si="816"/>
        <v xml:space="preserve"> </v>
      </c>
      <c r="U379" s="598" t="str">
        <f t="shared" si="816"/>
        <v xml:space="preserve"> </v>
      </c>
      <c r="V379" s="598" t="str">
        <f t="shared" ref="V379:AE388" si="817">HLOOKUP(V$376,$C$255:$S$372,$A379+1)</f>
        <v xml:space="preserve"> </v>
      </c>
      <c r="W379" s="598" t="str">
        <f t="shared" si="817"/>
        <v xml:space="preserve"> </v>
      </c>
      <c r="X379" s="598" t="str">
        <f t="shared" si="817"/>
        <v xml:space="preserve"> </v>
      </c>
      <c r="Y379" s="598" t="str">
        <f t="shared" si="817"/>
        <v xml:space="preserve"> </v>
      </c>
      <c r="Z379" s="598" t="str">
        <f t="shared" si="817"/>
        <v xml:space="preserve"> </v>
      </c>
      <c r="AA379" s="598" t="str">
        <f t="shared" si="817"/>
        <v xml:space="preserve"> </v>
      </c>
      <c r="AB379" s="598" t="str">
        <f t="shared" si="817"/>
        <v xml:space="preserve"> </v>
      </c>
      <c r="AC379" s="598" t="str">
        <f t="shared" si="817"/>
        <v xml:space="preserve"> </v>
      </c>
      <c r="AD379" s="598" t="str">
        <f t="shared" si="817"/>
        <v xml:space="preserve"> </v>
      </c>
      <c r="AE379" s="598" t="str">
        <f t="shared" si="817"/>
        <v xml:space="preserve"> </v>
      </c>
      <c r="AF379" s="598" t="str">
        <f t="shared" ref="AF379:AT388" si="818">HLOOKUP(AF$376,$C$255:$S$372,$A379+1)</f>
        <v xml:space="preserve"> </v>
      </c>
      <c r="AG379" s="598" t="str">
        <f t="shared" si="818"/>
        <v xml:space="preserve"> </v>
      </c>
      <c r="AH379" s="598" t="str">
        <f t="shared" si="818"/>
        <v xml:space="preserve"> </v>
      </c>
      <c r="AI379" s="598" t="str">
        <f t="shared" si="818"/>
        <v xml:space="preserve"> </v>
      </c>
      <c r="AJ379" s="598" t="str">
        <f t="shared" si="818"/>
        <v xml:space="preserve"> </v>
      </c>
      <c r="AK379" s="598" t="str">
        <f t="shared" si="818"/>
        <v xml:space="preserve"> </v>
      </c>
      <c r="AL379" s="598" t="str">
        <f t="shared" si="818"/>
        <v xml:space="preserve"> </v>
      </c>
      <c r="AM379" s="598" t="str">
        <f t="shared" si="818"/>
        <v xml:space="preserve"> </v>
      </c>
      <c r="AN379" s="598" t="str">
        <f t="shared" si="818"/>
        <v xml:space="preserve"> </v>
      </c>
      <c r="AO379" s="598" t="str">
        <f t="shared" si="818"/>
        <v xml:space="preserve"> </v>
      </c>
      <c r="AP379" s="598" t="str">
        <f t="shared" si="818"/>
        <v xml:space="preserve"> </v>
      </c>
      <c r="AQ379" s="598" t="str">
        <f t="shared" si="818"/>
        <v xml:space="preserve"> </v>
      </c>
      <c r="AR379" s="598" t="str">
        <f t="shared" si="818"/>
        <v xml:space="preserve"> </v>
      </c>
      <c r="AS379" s="598" t="str">
        <f t="shared" si="818"/>
        <v xml:space="preserve"> </v>
      </c>
      <c r="AT379" s="598" t="str">
        <f t="shared" si="818"/>
        <v xml:space="preserve"> </v>
      </c>
      <c r="AV379" s="598" t="str">
        <f t="shared" ref="AV379:BE388" si="819">HLOOKUP(AV$376,$C$255:$S$372,$A379+1)</f>
        <v xml:space="preserve"> </v>
      </c>
      <c r="AW379" s="598" t="str">
        <f t="shared" si="819"/>
        <v xml:space="preserve"> </v>
      </c>
      <c r="AX379" s="598" t="str">
        <f t="shared" si="819"/>
        <v xml:space="preserve"> </v>
      </c>
      <c r="AY379" s="598" t="str">
        <f t="shared" si="819"/>
        <v xml:space="preserve"> </v>
      </c>
      <c r="AZ379" s="598" t="str">
        <f t="shared" si="819"/>
        <v xml:space="preserve"> </v>
      </c>
      <c r="BA379" s="598" t="str">
        <f t="shared" si="819"/>
        <v xml:space="preserve"> </v>
      </c>
      <c r="BB379" s="598" t="str">
        <f t="shared" si="819"/>
        <v xml:space="preserve"> </v>
      </c>
      <c r="BC379" s="598" t="str">
        <f t="shared" si="819"/>
        <v xml:space="preserve"> </v>
      </c>
      <c r="BD379" s="598" t="str">
        <f t="shared" si="819"/>
        <v xml:space="preserve"> </v>
      </c>
      <c r="BE379" s="598" t="str">
        <f t="shared" si="819"/>
        <v xml:space="preserve"> </v>
      </c>
      <c r="BF379" s="598" t="str">
        <f t="shared" ref="BF379:BO388" si="820">HLOOKUP(BF$376,$C$255:$S$372,$A379+1)</f>
        <v xml:space="preserve"> </v>
      </c>
      <c r="BG379" s="598" t="str">
        <f t="shared" si="820"/>
        <v xml:space="preserve"> </v>
      </c>
      <c r="BH379" s="598" t="str">
        <f t="shared" si="820"/>
        <v xml:space="preserve"> </v>
      </c>
      <c r="BI379" s="598" t="str">
        <f t="shared" si="820"/>
        <v xml:space="preserve"> </v>
      </c>
      <c r="BJ379" s="598" t="str">
        <f t="shared" si="820"/>
        <v xml:space="preserve"> </v>
      </c>
      <c r="BK379" s="598" t="str">
        <f t="shared" si="820"/>
        <v xml:space="preserve"> </v>
      </c>
      <c r="BL379" s="598" t="str">
        <f t="shared" si="820"/>
        <v xml:space="preserve"> </v>
      </c>
      <c r="BM379" s="598" t="str">
        <f t="shared" si="820"/>
        <v xml:space="preserve"> </v>
      </c>
      <c r="BN379" s="598" t="str">
        <f t="shared" si="820"/>
        <v xml:space="preserve"> </v>
      </c>
      <c r="BO379" s="598" t="str">
        <f t="shared" si="820"/>
        <v xml:space="preserve"> </v>
      </c>
      <c r="BP379" s="598" t="str">
        <f t="shared" ref="BP379:BY388" si="821">HLOOKUP(BP$376,$C$255:$S$372,$A379+1)</f>
        <v xml:space="preserve"> </v>
      </c>
      <c r="BQ379" s="598" t="str">
        <f t="shared" si="821"/>
        <v xml:space="preserve"> </v>
      </c>
      <c r="BR379" s="598" t="str">
        <f t="shared" si="821"/>
        <v xml:space="preserve"> </v>
      </c>
      <c r="BS379" s="598" t="str">
        <f t="shared" si="821"/>
        <v xml:space="preserve"> </v>
      </c>
      <c r="BT379" s="598" t="str">
        <f t="shared" si="821"/>
        <v xml:space="preserve"> </v>
      </c>
      <c r="BU379" s="598" t="str">
        <f t="shared" si="821"/>
        <v xml:space="preserve"> </v>
      </c>
      <c r="BV379" s="598" t="str">
        <f t="shared" si="821"/>
        <v xml:space="preserve"> </v>
      </c>
      <c r="BW379" s="598" t="str">
        <f t="shared" si="821"/>
        <v xml:space="preserve"> </v>
      </c>
      <c r="BX379" s="598" t="str">
        <f t="shared" si="821"/>
        <v xml:space="preserve"> </v>
      </c>
      <c r="BY379" s="598" t="str">
        <f t="shared" si="821"/>
        <v xml:space="preserve"> </v>
      </c>
      <c r="BZ379" s="598" t="str">
        <f t="shared" ref="BZ379:CN388" si="822">HLOOKUP(BZ$376,$C$255:$S$372,$A379+1)</f>
        <v xml:space="preserve"> </v>
      </c>
      <c r="CA379" s="598" t="str">
        <f t="shared" si="822"/>
        <v xml:space="preserve"> </v>
      </c>
      <c r="CB379" s="598" t="str">
        <f t="shared" si="822"/>
        <v xml:space="preserve"> </v>
      </c>
      <c r="CC379" s="598" t="str">
        <f t="shared" si="822"/>
        <v xml:space="preserve"> </v>
      </c>
      <c r="CD379" s="598" t="str">
        <f t="shared" si="822"/>
        <v xml:space="preserve"> </v>
      </c>
      <c r="CE379" s="598" t="str">
        <f t="shared" si="822"/>
        <v xml:space="preserve"> </v>
      </c>
      <c r="CF379" s="598" t="str">
        <f t="shared" si="822"/>
        <v xml:space="preserve"> </v>
      </c>
      <c r="CG379" s="598" t="str">
        <f t="shared" si="822"/>
        <v xml:space="preserve"> </v>
      </c>
      <c r="CH379" s="598" t="str">
        <f t="shared" si="822"/>
        <v xml:space="preserve"> </v>
      </c>
      <c r="CI379" s="598" t="str">
        <f t="shared" si="822"/>
        <v xml:space="preserve"> </v>
      </c>
      <c r="CJ379" s="598" t="str">
        <f t="shared" si="822"/>
        <v xml:space="preserve"> </v>
      </c>
      <c r="CK379" s="598" t="str">
        <f t="shared" si="822"/>
        <v xml:space="preserve"> </v>
      </c>
      <c r="CL379" s="598" t="str">
        <f t="shared" si="822"/>
        <v xml:space="preserve"> </v>
      </c>
      <c r="CM379" s="598" t="str">
        <f t="shared" si="822"/>
        <v xml:space="preserve"> </v>
      </c>
      <c r="CN379" s="598" t="str">
        <f t="shared" si="822"/>
        <v xml:space="preserve"> </v>
      </c>
    </row>
    <row r="380" spans="1:92">
      <c r="A380" s="598">
        <v>3</v>
      </c>
      <c r="B380" s="598" t="str">
        <f t="shared" si="815"/>
        <v xml:space="preserve"> </v>
      </c>
      <c r="C380" s="598" t="str">
        <f t="shared" si="815"/>
        <v xml:space="preserve"> </v>
      </c>
      <c r="D380" s="598" t="str">
        <f t="shared" si="815"/>
        <v xml:space="preserve"> </v>
      </c>
      <c r="E380" s="598" t="str">
        <f t="shared" si="815"/>
        <v xml:space="preserve"> </v>
      </c>
      <c r="F380" s="598" t="str">
        <f t="shared" si="815"/>
        <v xml:space="preserve"> </v>
      </c>
      <c r="G380" s="598" t="str">
        <f t="shared" si="815"/>
        <v xml:space="preserve"> </v>
      </c>
      <c r="H380" s="598" t="str">
        <f t="shared" si="815"/>
        <v xml:space="preserve"> </v>
      </c>
      <c r="I380" s="598" t="str">
        <f t="shared" si="815"/>
        <v xml:space="preserve"> </v>
      </c>
      <c r="J380" s="598" t="str">
        <f t="shared" si="815"/>
        <v xml:space="preserve"> </v>
      </c>
      <c r="K380" s="598" t="str">
        <f t="shared" si="815"/>
        <v xml:space="preserve"> </v>
      </c>
      <c r="L380" s="598" t="str">
        <f t="shared" si="816"/>
        <v xml:space="preserve"> </v>
      </c>
      <c r="M380" s="598" t="str">
        <f t="shared" si="816"/>
        <v xml:space="preserve"> </v>
      </c>
      <c r="N380" s="598" t="str">
        <f t="shared" si="816"/>
        <v xml:space="preserve"> </v>
      </c>
      <c r="O380" s="598" t="str">
        <f t="shared" si="816"/>
        <v xml:space="preserve"> </v>
      </c>
      <c r="P380" s="598" t="str">
        <f t="shared" si="816"/>
        <v xml:space="preserve"> </v>
      </c>
      <c r="Q380" s="598" t="str">
        <f t="shared" si="816"/>
        <v xml:space="preserve"> </v>
      </c>
      <c r="R380" s="598" t="str">
        <f t="shared" si="816"/>
        <v xml:space="preserve"> </v>
      </c>
      <c r="S380" s="598" t="str">
        <f t="shared" si="816"/>
        <v xml:space="preserve"> </v>
      </c>
      <c r="T380" s="598" t="str">
        <f t="shared" si="816"/>
        <v xml:space="preserve"> </v>
      </c>
      <c r="U380" s="598" t="str">
        <f t="shared" si="816"/>
        <v xml:space="preserve"> </v>
      </c>
      <c r="V380" s="598" t="str">
        <f t="shared" si="817"/>
        <v xml:space="preserve"> </v>
      </c>
      <c r="W380" s="598" t="str">
        <f t="shared" si="817"/>
        <v xml:space="preserve"> </v>
      </c>
      <c r="X380" s="598" t="str">
        <f t="shared" si="817"/>
        <v xml:space="preserve"> </v>
      </c>
      <c r="Y380" s="598" t="str">
        <f t="shared" si="817"/>
        <v xml:space="preserve"> </v>
      </c>
      <c r="Z380" s="598" t="str">
        <f t="shared" si="817"/>
        <v xml:space="preserve"> </v>
      </c>
      <c r="AA380" s="598" t="str">
        <f t="shared" si="817"/>
        <v xml:space="preserve"> </v>
      </c>
      <c r="AB380" s="598" t="str">
        <f t="shared" si="817"/>
        <v xml:space="preserve"> </v>
      </c>
      <c r="AC380" s="598" t="str">
        <f t="shared" si="817"/>
        <v xml:space="preserve"> </v>
      </c>
      <c r="AD380" s="598" t="str">
        <f t="shared" si="817"/>
        <v xml:space="preserve"> </v>
      </c>
      <c r="AE380" s="598" t="str">
        <f t="shared" si="817"/>
        <v xml:space="preserve"> </v>
      </c>
      <c r="AF380" s="598" t="str">
        <f t="shared" si="818"/>
        <v xml:space="preserve"> </v>
      </c>
      <c r="AG380" s="598" t="str">
        <f t="shared" si="818"/>
        <v xml:space="preserve"> </v>
      </c>
      <c r="AH380" s="598" t="str">
        <f t="shared" si="818"/>
        <v xml:space="preserve"> </v>
      </c>
      <c r="AI380" s="598" t="str">
        <f t="shared" si="818"/>
        <v xml:space="preserve"> </v>
      </c>
      <c r="AJ380" s="598" t="str">
        <f t="shared" si="818"/>
        <v xml:space="preserve"> </v>
      </c>
      <c r="AK380" s="598" t="str">
        <f t="shared" si="818"/>
        <v xml:space="preserve"> </v>
      </c>
      <c r="AL380" s="598" t="str">
        <f t="shared" si="818"/>
        <v xml:space="preserve"> </v>
      </c>
      <c r="AM380" s="598" t="str">
        <f t="shared" si="818"/>
        <v xml:space="preserve"> </v>
      </c>
      <c r="AN380" s="598" t="str">
        <f t="shared" si="818"/>
        <v xml:space="preserve"> </v>
      </c>
      <c r="AO380" s="598" t="str">
        <f t="shared" si="818"/>
        <v xml:space="preserve"> </v>
      </c>
      <c r="AP380" s="598" t="str">
        <f t="shared" si="818"/>
        <v xml:space="preserve"> </v>
      </c>
      <c r="AQ380" s="598" t="str">
        <f t="shared" si="818"/>
        <v xml:space="preserve"> </v>
      </c>
      <c r="AR380" s="598" t="str">
        <f t="shared" si="818"/>
        <v xml:space="preserve"> </v>
      </c>
      <c r="AS380" s="598" t="str">
        <f t="shared" si="818"/>
        <v xml:space="preserve"> </v>
      </c>
      <c r="AT380" s="598" t="str">
        <f t="shared" si="818"/>
        <v xml:space="preserve"> </v>
      </c>
      <c r="AV380" s="598" t="str">
        <f t="shared" si="819"/>
        <v xml:space="preserve"> </v>
      </c>
      <c r="AW380" s="598" t="str">
        <f t="shared" si="819"/>
        <v xml:space="preserve"> </v>
      </c>
      <c r="AX380" s="598" t="str">
        <f t="shared" si="819"/>
        <v xml:space="preserve"> </v>
      </c>
      <c r="AY380" s="598" t="str">
        <f t="shared" si="819"/>
        <v xml:space="preserve"> </v>
      </c>
      <c r="AZ380" s="598" t="str">
        <f t="shared" si="819"/>
        <v xml:space="preserve"> </v>
      </c>
      <c r="BA380" s="598" t="str">
        <f t="shared" si="819"/>
        <v xml:space="preserve"> </v>
      </c>
      <c r="BB380" s="598" t="str">
        <f t="shared" si="819"/>
        <v xml:space="preserve"> </v>
      </c>
      <c r="BC380" s="598" t="str">
        <f t="shared" si="819"/>
        <v xml:space="preserve"> </v>
      </c>
      <c r="BD380" s="598" t="str">
        <f t="shared" si="819"/>
        <v xml:space="preserve"> </v>
      </c>
      <c r="BE380" s="598" t="str">
        <f t="shared" si="819"/>
        <v xml:space="preserve"> </v>
      </c>
      <c r="BF380" s="598" t="str">
        <f t="shared" si="820"/>
        <v xml:space="preserve"> </v>
      </c>
      <c r="BG380" s="598" t="str">
        <f t="shared" si="820"/>
        <v xml:space="preserve"> </v>
      </c>
      <c r="BH380" s="598" t="str">
        <f t="shared" si="820"/>
        <v xml:space="preserve"> </v>
      </c>
      <c r="BI380" s="598" t="str">
        <f t="shared" si="820"/>
        <v xml:space="preserve"> </v>
      </c>
      <c r="BJ380" s="598" t="str">
        <f t="shared" si="820"/>
        <v xml:space="preserve"> </v>
      </c>
      <c r="BK380" s="598" t="str">
        <f t="shared" si="820"/>
        <v xml:space="preserve"> </v>
      </c>
      <c r="BL380" s="598" t="str">
        <f t="shared" si="820"/>
        <v xml:space="preserve"> </v>
      </c>
      <c r="BM380" s="598" t="str">
        <f t="shared" si="820"/>
        <v xml:space="preserve"> </v>
      </c>
      <c r="BN380" s="598" t="str">
        <f t="shared" si="820"/>
        <v xml:space="preserve"> </v>
      </c>
      <c r="BO380" s="598" t="str">
        <f t="shared" si="820"/>
        <v xml:space="preserve"> </v>
      </c>
      <c r="BP380" s="598" t="str">
        <f t="shared" si="821"/>
        <v xml:space="preserve"> </v>
      </c>
      <c r="BQ380" s="598" t="str">
        <f t="shared" si="821"/>
        <v xml:space="preserve"> </v>
      </c>
      <c r="BR380" s="598" t="str">
        <f t="shared" si="821"/>
        <v xml:space="preserve"> </v>
      </c>
      <c r="BS380" s="598" t="str">
        <f t="shared" si="821"/>
        <v xml:space="preserve"> </v>
      </c>
      <c r="BT380" s="598" t="str">
        <f t="shared" si="821"/>
        <v xml:space="preserve"> </v>
      </c>
      <c r="BU380" s="598" t="str">
        <f t="shared" si="821"/>
        <v xml:space="preserve"> </v>
      </c>
      <c r="BV380" s="598" t="str">
        <f t="shared" si="821"/>
        <v xml:space="preserve"> </v>
      </c>
      <c r="BW380" s="598" t="str">
        <f t="shared" si="821"/>
        <v xml:space="preserve"> </v>
      </c>
      <c r="BX380" s="598" t="str">
        <f t="shared" si="821"/>
        <v xml:space="preserve"> </v>
      </c>
      <c r="BY380" s="598" t="str">
        <f t="shared" si="821"/>
        <v xml:space="preserve"> </v>
      </c>
      <c r="BZ380" s="598" t="str">
        <f t="shared" si="822"/>
        <v xml:space="preserve"> </v>
      </c>
      <c r="CA380" s="598" t="str">
        <f t="shared" si="822"/>
        <v xml:space="preserve"> </v>
      </c>
      <c r="CB380" s="598" t="str">
        <f t="shared" si="822"/>
        <v xml:space="preserve"> </v>
      </c>
      <c r="CC380" s="598" t="str">
        <f t="shared" si="822"/>
        <v xml:space="preserve"> </v>
      </c>
      <c r="CD380" s="598" t="str">
        <f t="shared" si="822"/>
        <v xml:space="preserve"> </v>
      </c>
      <c r="CE380" s="598" t="str">
        <f t="shared" si="822"/>
        <v xml:space="preserve"> </v>
      </c>
      <c r="CF380" s="598" t="str">
        <f t="shared" si="822"/>
        <v xml:space="preserve"> </v>
      </c>
      <c r="CG380" s="598" t="str">
        <f t="shared" si="822"/>
        <v xml:space="preserve"> </v>
      </c>
      <c r="CH380" s="598" t="str">
        <f t="shared" si="822"/>
        <v xml:space="preserve"> </v>
      </c>
      <c r="CI380" s="598" t="str">
        <f t="shared" si="822"/>
        <v xml:space="preserve"> </v>
      </c>
      <c r="CJ380" s="598" t="str">
        <f t="shared" si="822"/>
        <v xml:space="preserve"> </v>
      </c>
      <c r="CK380" s="598" t="str">
        <f t="shared" si="822"/>
        <v xml:space="preserve"> </v>
      </c>
      <c r="CL380" s="598" t="str">
        <f t="shared" si="822"/>
        <v xml:space="preserve"> </v>
      </c>
      <c r="CM380" s="598" t="str">
        <f t="shared" si="822"/>
        <v xml:space="preserve"> </v>
      </c>
      <c r="CN380" s="598" t="str">
        <f t="shared" si="822"/>
        <v xml:space="preserve"> </v>
      </c>
    </row>
    <row r="381" spans="1:92">
      <c r="A381" s="598">
        <v>4</v>
      </c>
      <c r="B381" s="598" t="str">
        <f t="shared" si="815"/>
        <v xml:space="preserve"> </v>
      </c>
      <c r="C381" s="598" t="str">
        <f t="shared" si="815"/>
        <v xml:space="preserve"> </v>
      </c>
      <c r="D381" s="598" t="str">
        <f t="shared" si="815"/>
        <v xml:space="preserve"> </v>
      </c>
      <c r="E381" s="598" t="str">
        <f t="shared" si="815"/>
        <v xml:space="preserve"> </v>
      </c>
      <c r="F381" s="598" t="str">
        <f t="shared" si="815"/>
        <v xml:space="preserve"> </v>
      </c>
      <c r="G381" s="598" t="str">
        <f t="shared" si="815"/>
        <v xml:space="preserve"> </v>
      </c>
      <c r="H381" s="598" t="str">
        <f t="shared" si="815"/>
        <v xml:space="preserve"> </v>
      </c>
      <c r="I381" s="598" t="str">
        <f t="shared" si="815"/>
        <v xml:space="preserve"> </v>
      </c>
      <c r="J381" s="598" t="str">
        <f t="shared" si="815"/>
        <v xml:space="preserve"> </v>
      </c>
      <c r="K381" s="598" t="str">
        <f t="shared" si="815"/>
        <v xml:space="preserve"> </v>
      </c>
      <c r="L381" s="598" t="str">
        <f t="shared" si="816"/>
        <v xml:space="preserve"> </v>
      </c>
      <c r="M381" s="598" t="str">
        <f t="shared" si="816"/>
        <v xml:space="preserve"> </v>
      </c>
      <c r="N381" s="598" t="str">
        <f t="shared" si="816"/>
        <v xml:space="preserve"> </v>
      </c>
      <c r="O381" s="598" t="str">
        <f t="shared" si="816"/>
        <v xml:space="preserve"> </v>
      </c>
      <c r="P381" s="598" t="str">
        <f t="shared" si="816"/>
        <v xml:space="preserve"> </v>
      </c>
      <c r="Q381" s="598" t="str">
        <f t="shared" si="816"/>
        <v xml:space="preserve"> </v>
      </c>
      <c r="R381" s="598" t="str">
        <f t="shared" si="816"/>
        <v xml:space="preserve"> </v>
      </c>
      <c r="S381" s="598" t="str">
        <f t="shared" si="816"/>
        <v xml:space="preserve"> </v>
      </c>
      <c r="T381" s="598" t="str">
        <f t="shared" si="816"/>
        <v xml:space="preserve"> </v>
      </c>
      <c r="U381" s="598" t="str">
        <f t="shared" si="816"/>
        <v xml:space="preserve"> </v>
      </c>
      <c r="V381" s="598" t="str">
        <f t="shared" si="817"/>
        <v xml:space="preserve"> </v>
      </c>
      <c r="W381" s="598" t="str">
        <f t="shared" si="817"/>
        <v xml:space="preserve"> </v>
      </c>
      <c r="X381" s="598" t="str">
        <f t="shared" si="817"/>
        <v xml:space="preserve"> </v>
      </c>
      <c r="Y381" s="598" t="str">
        <f t="shared" si="817"/>
        <v xml:space="preserve"> </v>
      </c>
      <c r="Z381" s="598" t="str">
        <f t="shared" si="817"/>
        <v xml:space="preserve"> </v>
      </c>
      <c r="AA381" s="598" t="str">
        <f t="shared" si="817"/>
        <v xml:space="preserve"> </v>
      </c>
      <c r="AB381" s="598" t="str">
        <f t="shared" si="817"/>
        <v xml:space="preserve"> </v>
      </c>
      <c r="AC381" s="598" t="str">
        <f t="shared" si="817"/>
        <v xml:space="preserve"> </v>
      </c>
      <c r="AD381" s="598" t="str">
        <f t="shared" si="817"/>
        <v xml:space="preserve"> </v>
      </c>
      <c r="AE381" s="598" t="str">
        <f t="shared" si="817"/>
        <v xml:space="preserve"> </v>
      </c>
      <c r="AF381" s="598" t="str">
        <f t="shared" si="818"/>
        <v xml:space="preserve"> </v>
      </c>
      <c r="AG381" s="598" t="str">
        <f t="shared" si="818"/>
        <v xml:space="preserve"> </v>
      </c>
      <c r="AH381" s="598" t="str">
        <f t="shared" si="818"/>
        <v xml:space="preserve"> </v>
      </c>
      <c r="AI381" s="598" t="str">
        <f t="shared" si="818"/>
        <v xml:space="preserve"> </v>
      </c>
      <c r="AJ381" s="598" t="str">
        <f t="shared" si="818"/>
        <v xml:space="preserve"> </v>
      </c>
      <c r="AK381" s="598" t="str">
        <f t="shared" si="818"/>
        <v xml:space="preserve"> </v>
      </c>
      <c r="AL381" s="598" t="str">
        <f t="shared" si="818"/>
        <v xml:space="preserve"> </v>
      </c>
      <c r="AM381" s="598" t="str">
        <f t="shared" si="818"/>
        <v xml:space="preserve"> </v>
      </c>
      <c r="AN381" s="598" t="str">
        <f t="shared" si="818"/>
        <v xml:space="preserve"> </v>
      </c>
      <c r="AO381" s="598" t="str">
        <f t="shared" si="818"/>
        <v xml:space="preserve"> </v>
      </c>
      <c r="AP381" s="598" t="str">
        <f t="shared" si="818"/>
        <v xml:space="preserve"> </v>
      </c>
      <c r="AQ381" s="598" t="str">
        <f t="shared" si="818"/>
        <v xml:space="preserve"> </v>
      </c>
      <c r="AR381" s="598" t="str">
        <f t="shared" si="818"/>
        <v xml:space="preserve"> </v>
      </c>
      <c r="AS381" s="598" t="str">
        <f t="shared" si="818"/>
        <v xml:space="preserve"> </v>
      </c>
      <c r="AT381" s="598" t="str">
        <f t="shared" si="818"/>
        <v xml:space="preserve"> </v>
      </c>
      <c r="AV381" s="598" t="str">
        <f t="shared" si="819"/>
        <v xml:space="preserve"> </v>
      </c>
      <c r="AW381" s="598" t="str">
        <f t="shared" si="819"/>
        <v xml:space="preserve"> </v>
      </c>
      <c r="AX381" s="598" t="str">
        <f t="shared" si="819"/>
        <v xml:space="preserve"> </v>
      </c>
      <c r="AY381" s="598" t="str">
        <f t="shared" si="819"/>
        <v xml:space="preserve"> </v>
      </c>
      <c r="AZ381" s="598" t="str">
        <f t="shared" si="819"/>
        <v xml:space="preserve"> </v>
      </c>
      <c r="BA381" s="598" t="str">
        <f t="shared" si="819"/>
        <v xml:space="preserve"> </v>
      </c>
      <c r="BB381" s="598" t="str">
        <f t="shared" si="819"/>
        <v xml:space="preserve"> </v>
      </c>
      <c r="BC381" s="598" t="str">
        <f t="shared" si="819"/>
        <v xml:space="preserve"> </v>
      </c>
      <c r="BD381" s="598" t="str">
        <f t="shared" si="819"/>
        <v xml:space="preserve"> </v>
      </c>
      <c r="BE381" s="598" t="str">
        <f t="shared" si="819"/>
        <v xml:space="preserve"> </v>
      </c>
      <c r="BF381" s="598" t="str">
        <f t="shared" si="820"/>
        <v xml:space="preserve"> </v>
      </c>
      <c r="BG381" s="598" t="str">
        <f t="shared" si="820"/>
        <v xml:space="preserve"> </v>
      </c>
      <c r="BH381" s="598" t="str">
        <f t="shared" si="820"/>
        <v xml:space="preserve"> </v>
      </c>
      <c r="BI381" s="598" t="str">
        <f t="shared" si="820"/>
        <v xml:space="preserve"> </v>
      </c>
      <c r="BJ381" s="598" t="str">
        <f t="shared" si="820"/>
        <v xml:space="preserve"> </v>
      </c>
      <c r="BK381" s="598" t="str">
        <f t="shared" si="820"/>
        <v xml:space="preserve"> </v>
      </c>
      <c r="BL381" s="598" t="str">
        <f t="shared" si="820"/>
        <v xml:space="preserve"> </v>
      </c>
      <c r="BM381" s="598" t="str">
        <f t="shared" si="820"/>
        <v xml:space="preserve"> </v>
      </c>
      <c r="BN381" s="598" t="str">
        <f t="shared" si="820"/>
        <v xml:space="preserve"> </v>
      </c>
      <c r="BO381" s="598" t="str">
        <f t="shared" si="820"/>
        <v xml:space="preserve"> </v>
      </c>
      <c r="BP381" s="598" t="str">
        <f t="shared" si="821"/>
        <v xml:space="preserve"> </v>
      </c>
      <c r="BQ381" s="598" t="str">
        <f t="shared" si="821"/>
        <v xml:space="preserve"> </v>
      </c>
      <c r="BR381" s="598" t="str">
        <f t="shared" si="821"/>
        <v xml:space="preserve"> </v>
      </c>
      <c r="BS381" s="598" t="str">
        <f t="shared" si="821"/>
        <v xml:space="preserve"> </v>
      </c>
      <c r="BT381" s="598" t="str">
        <f t="shared" si="821"/>
        <v xml:space="preserve"> </v>
      </c>
      <c r="BU381" s="598" t="str">
        <f t="shared" si="821"/>
        <v xml:space="preserve"> </v>
      </c>
      <c r="BV381" s="598" t="str">
        <f t="shared" si="821"/>
        <v xml:space="preserve"> </v>
      </c>
      <c r="BW381" s="598" t="str">
        <f t="shared" si="821"/>
        <v xml:space="preserve"> </v>
      </c>
      <c r="BX381" s="598" t="str">
        <f t="shared" si="821"/>
        <v xml:space="preserve"> </v>
      </c>
      <c r="BY381" s="598" t="str">
        <f t="shared" si="821"/>
        <v xml:space="preserve"> </v>
      </c>
      <c r="BZ381" s="598" t="str">
        <f t="shared" si="822"/>
        <v xml:space="preserve"> </v>
      </c>
      <c r="CA381" s="598" t="str">
        <f t="shared" si="822"/>
        <v xml:space="preserve"> </v>
      </c>
      <c r="CB381" s="598" t="str">
        <f t="shared" si="822"/>
        <v xml:space="preserve"> </v>
      </c>
      <c r="CC381" s="598" t="str">
        <f t="shared" si="822"/>
        <v xml:space="preserve"> </v>
      </c>
      <c r="CD381" s="598" t="str">
        <f t="shared" si="822"/>
        <v xml:space="preserve"> </v>
      </c>
      <c r="CE381" s="598" t="str">
        <f t="shared" si="822"/>
        <v xml:space="preserve"> </v>
      </c>
      <c r="CF381" s="598" t="str">
        <f t="shared" si="822"/>
        <v xml:space="preserve"> </v>
      </c>
      <c r="CG381" s="598" t="str">
        <f t="shared" si="822"/>
        <v xml:space="preserve"> </v>
      </c>
      <c r="CH381" s="598" t="str">
        <f t="shared" si="822"/>
        <v xml:space="preserve"> </v>
      </c>
      <c r="CI381" s="598" t="str">
        <f t="shared" si="822"/>
        <v xml:space="preserve"> </v>
      </c>
      <c r="CJ381" s="598" t="str">
        <f t="shared" si="822"/>
        <v xml:space="preserve"> </v>
      </c>
      <c r="CK381" s="598" t="str">
        <f t="shared" si="822"/>
        <v xml:space="preserve"> </v>
      </c>
      <c r="CL381" s="598" t="str">
        <f t="shared" si="822"/>
        <v xml:space="preserve"> </v>
      </c>
      <c r="CM381" s="598" t="str">
        <f t="shared" si="822"/>
        <v xml:space="preserve"> </v>
      </c>
      <c r="CN381" s="598" t="str">
        <f t="shared" si="822"/>
        <v xml:space="preserve"> </v>
      </c>
    </row>
    <row r="382" spans="1:92">
      <c r="A382" s="598">
        <v>5</v>
      </c>
      <c r="B382" s="598" t="str">
        <f t="shared" si="815"/>
        <v xml:space="preserve"> </v>
      </c>
      <c r="C382" s="598" t="str">
        <f t="shared" si="815"/>
        <v xml:space="preserve"> </v>
      </c>
      <c r="D382" s="598" t="str">
        <f t="shared" si="815"/>
        <v xml:space="preserve"> </v>
      </c>
      <c r="E382" s="598" t="str">
        <f t="shared" si="815"/>
        <v xml:space="preserve"> </v>
      </c>
      <c r="F382" s="598" t="str">
        <f t="shared" si="815"/>
        <v xml:space="preserve"> </v>
      </c>
      <c r="G382" s="598" t="str">
        <f t="shared" si="815"/>
        <v xml:space="preserve"> </v>
      </c>
      <c r="H382" s="598" t="str">
        <f t="shared" si="815"/>
        <v xml:space="preserve"> </v>
      </c>
      <c r="I382" s="598" t="str">
        <f t="shared" si="815"/>
        <v xml:space="preserve"> </v>
      </c>
      <c r="J382" s="598" t="str">
        <f t="shared" si="815"/>
        <v xml:space="preserve"> </v>
      </c>
      <c r="K382" s="598" t="str">
        <f t="shared" si="815"/>
        <v xml:space="preserve"> </v>
      </c>
      <c r="L382" s="598" t="str">
        <f t="shared" si="816"/>
        <v xml:space="preserve"> </v>
      </c>
      <c r="M382" s="598" t="str">
        <f t="shared" si="816"/>
        <v xml:space="preserve"> </v>
      </c>
      <c r="N382" s="598" t="str">
        <f t="shared" si="816"/>
        <v xml:space="preserve"> </v>
      </c>
      <c r="O382" s="598" t="str">
        <f t="shared" si="816"/>
        <v xml:space="preserve"> </v>
      </c>
      <c r="P382" s="598" t="str">
        <f t="shared" si="816"/>
        <v xml:space="preserve"> </v>
      </c>
      <c r="Q382" s="598" t="str">
        <f t="shared" si="816"/>
        <v xml:space="preserve"> </v>
      </c>
      <c r="R382" s="598" t="str">
        <f t="shared" si="816"/>
        <v xml:space="preserve"> </v>
      </c>
      <c r="S382" s="598" t="str">
        <f t="shared" si="816"/>
        <v xml:space="preserve"> </v>
      </c>
      <c r="T382" s="598" t="str">
        <f t="shared" si="816"/>
        <v xml:space="preserve"> </v>
      </c>
      <c r="U382" s="598" t="str">
        <f t="shared" si="816"/>
        <v xml:space="preserve"> </v>
      </c>
      <c r="V382" s="598" t="str">
        <f t="shared" si="817"/>
        <v xml:space="preserve"> </v>
      </c>
      <c r="W382" s="598" t="str">
        <f t="shared" si="817"/>
        <v xml:space="preserve"> </v>
      </c>
      <c r="X382" s="598" t="str">
        <f t="shared" si="817"/>
        <v xml:space="preserve"> </v>
      </c>
      <c r="Y382" s="598" t="str">
        <f t="shared" si="817"/>
        <v xml:space="preserve"> </v>
      </c>
      <c r="Z382" s="598" t="str">
        <f t="shared" si="817"/>
        <v xml:space="preserve"> </v>
      </c>
      <c r="AA382" s="598" t="str">
        <f t="shared" si="817"/>
        <v xml:space="preserve"> </v>
      </c>
      <c r="AB382" s="598" t="str">
        <f t="shared" si="817"/>
        <v xml:space="preserve"> </v>
      </c>
      <c r="AC382" s="598" t="str">
        <f t="shared" si="817"/>
        <v xml:space="preserve"> </v>
      </c>
      <c r="AD382" s="598" t="str">
        <f t="shared" si="817"/>
        <v xml:space="preserve"> </v>
      </c>
      <c r="AE382" s="598" t="str">
        <f t="shared" si="817"/>
        <v xml:space="preserve"> </v>
      </c>
      <c r="AF382" s="598" t="str">
        <f t="shared" si="818"/>
        <v xml:space="preserve"> </v>
      </c>
      <c r="AG382" s="598" t="str">
        <f t="shared" si="818"/>
        <v xml:space="preserve"> </v>
      </c>
      <c r="AH382" s="598" t="str">
        <f t="shared" si="818"/>
        <v xml:space="preserve"> </v>
      </c>
      <c r="AI382" s="598" t="str">
        <f t="shared" si="818"/>
        <v xml:space="preserve"> </v>
      </c>
      <c r="AJ382" s="598" t="str">
        <f t="shared" si="818"/>
        <v xml:space="preserve"> </v>
      </c>
      <c r="AK382" s="598" t="str">
        <f t="shared" si="818"/>
        <v xml:space="preserve"> </v>
      </c>
      <c r="AL382" s="598" t="str">
        <f t="shared" si="818"/>
        <v xml:space="preserve"> </v>
      </c>
      <c r="AM382" s="598" t="str">
        <f t="shared" si="818"/>
        <v xml:space="preserve"> </v>
      </c>
      <c r="AN382" s="598" t="str">
        <f t="shared" si="818"/>
        <v xml:space="preserve"> </v>
      </c>
      <c r="AO382" s="598" t="str">
        <f t="shared" si="818"/>
        <v xml:space="preserve"> </v>
      </c>
      <c r="AP382" s="598" t="str">
        <f t="shared" si="818"/>
        <v xml:space="preserve"> </v>
      </c>
      <c r="AQ382" s="598" t="str">
        <f t="shared" si="818"/>
        <v xml:space="preserve"> </v>
      </c>
      <c r="AR382" s="598" t="str">
        <f t="shared" si="818"/>
        <v xml:space="preserve"> </v>
      </c>
      <c r="AS382" s="598" t="str">
        <f t="shared" si="818"/>
        <v xml:space="preserve"> </v>
      </c>
      <c r="AT382" s="598" t="str">
        <f t="shared" si="818"/>
        <v xml:space="preserve"> </v>
      </c>
      <c r="AV382" s="598" t="str">
        <f t="shared" si="819"/>
        <v xml:space="preserve"> </v>
      </c>
      <c r="AW382" s="598" t="str">
        <f t="shared" si="819"/>
        <v xml:space="preserve"> </v>
      </c>
      <c r="AX382" s="598" t="str">
        <f t="shared" si="819"/>
        <v xml:space="preserve"> </v>
      </c>
      <c r="AY382" s="598" t="str">
        <f t="shared" si="819"/>
        <v xml:space="preserve"> </v>
      </c>
      <c r="AZ382" s="598" t="str">
        <f t="shared" si="819"/>
        <v xml:space="preserve"> </v>
      </c>
      <c r="BA382" s="598" t="str">
        <f t="shared" si="819"/>
        <v xml:space="preserve"> </v>
      </c>
      <c r="BB382" s="598" t="str">
        <f t="shared" si="819"/>
        <v xml:space="preserve"> </v>
      </c>
      <c r="BC382" s="598" t="str">
        <f t="shared" si="819"/>
        <v xml:space="preserve"> </v>
      </c>
      <c r="BD382" s="598" t="str">
        <f t="shared" si="819"/>
        <v xml:space="preserve"> </v>
      </c>
      <c r="BE382" s="598" t="str">
        <f t="shared" si="819"/>
        <v xml:space="preserve"> </v>
      </c>
      <c r="BF382" s="598" t="str">
        <f t="shared" si="820"/>
        <v xml:space="preserve"> </v>
      </c>
      <c r="BG382" s="598" t="str">
        <f t="shared" si="820"/>
        <v xml:space="preserve"> </v>
      </c>
      <c r="BH382" s="598" t="str">
        <f t="shared" si="820"/>
        <v xml:space="preserve"> </v>
      </c>
      <c r="BI382" s="598" t="str">
        <f t="shared" si="820"/>
        <v xml:space="preserve"> </v>
      </c>
      <c r="BJ382" s="598" t="str">
        <f t="shared" si="820"/>
        <v xml:space="preserve"> </v>
      </c>
      <c r="BK382" s="598" t="str">
        <f t="shared" si="820"/>
        <v xml:space="preserve"> </v>
      </c>
      <c r="BL382" s="598" t="str">
        <f t="shared" si="820"/>
        <v xml:space="preserve"> </v>
      </c>
      <c r="BM382" s="598" t="str">
        <f t="shared" si="820"/>
        <v xml:space="preserve"> </v>
      </c>
      <c r="BN382" s="598" t="str">
        <f t="shared" si="820"/>
        <v xml:space="preserve"> </v>
      </c>
      <c r="BO382" s="598" t="str">
        <f t="shared" si="820"/>
        <v xml:space="preserve"> </v>
      </c>
      <c r="BP382" s="598" t="str">
        <f t="shared" si="821"/>
        <v xml:space="preserve"> </v>
      </c>
      <c r="BQ382" s="598" t="str">
        <f t="shared" si="821"/>
        <v xml:space="preserve"> </v>
      </c>
      <c r="BR382" s="598" t="str">
        <f t="shared" si="821"/>
        <v xml:space="preserve"> </v>
      </c>
      <c r="BS382" s="598" t="str">
        <f t="shared" si="821"/>
        <v xml:space="preserve"> </v>
      </c>
      <c r="BT382" s="598" t="str">
        <f t="shared" si="821"/>
        <v xml:space="preserve"> </v>
      </c>
      <c r="BU382" s="598" t="str">
        <f t="shared" si="821"/>
        <v xml:space="preserve"> </v>
      </c>
      <c r="BV382" s="598" t="str">
        <f t="shared" si="821"/>
        <v xml:space="preserve"> </v>
      </c>
      <c r="BW382" s="598" t="str">
        <f t="shared" si="821"/>
        <v xml:space="preserve"> </v>
      </c>
      <c r="BX382" s="598" t="str">
        <f t="shared" si="821"/>
        <v xml:space="preserve"> </v>
      </c>
      <c r="BY382" s="598" t="str">
        <f t="shared" si="821"/>
        <v xml:space="preserve"> </v>
      </c>
      <c r="BZ382" s="598" t="str">
        <f t="shared" si="822"/>
        <v xml:space="preserve"> </v>
      </c>
      <c r="CA382" s="598" t="str">
        <f t="shared" si="822"/>
        <v xml:space="preserve"> </v>
      </c>
      <c r="CB382" s="598" t="str">
        <f t="shared" si="822"/>
        <v xml:space="preserve"> </v>
      </c>
      <c r="CC382" s="598" t="str">
        <f t="shared" si="822"/>
        <v xml:space="preserve"> </v>
      </c>
      <c r="CD382" s="598" t="str">
        <f t="shared" si="822"/>
        <v xml:space="preserve"> </v>
      </c>
      <c r="CE382" s="598" t="str">
        <f t="shared" si="822"/>
        <v xml:space="preserve"> </v>
      </c>
      <c r="CF382" s="598" t="str">
        <f t="shared" si="822"/>
        <v xml:space="preserve"> </v>
      </c>
      <c r="CG382" s="598" t="str">
        <f t="shared" si="822"/>
        <v xml:space="preserve"> </v>
      </c>
      <c r="CH382" s="598" t="str">
        <f t="shared" si="822"/>
        <v xml:space="preserve"> </v>
      </c>
      <c r="CI382" s="598" t="str">
        <f t="shared" si="822"/>
        <v xml:space="preserve"> </v>
      </c>
      <c r="CJ382" s="598" t="str">
        <f t="shared" si="822"/>
        <v xml:space="preserve"> </v>
      </c>
      <c r="CK382" s="598" t="str">
        <f t="shared" si="822"/>
        <v xml:space="preserve"> </v>
      </c>
      <c r="CL382" s="598" t="str">
        <f t="shared" si="822"/>
        <v xml:space="preserve"> </v>
      </c>
      <c r="CM382" s="598" t="str">
        <f t="shared" si="822"/>
        <v xml:space="preserve"> </v>
      </c>
      <c r="CN382" s="598" t="str">
        <f t="shared" si="822"/>
        <v xml:space="preserve"> </v>
      </c>
    </row>
    <row r="383" spans="1:92">
      <c r="A383" s="598">
        <v>6</v>
      </c>
      <c r="B383" s="598" t="str">
        <f t="shared" si="815"/>
        <v xml:space="preserve"> </v>
      </c>
      <c r="C383" s="598" t="str">
        <f t="shared" si="815"/>
        <v xml:space="preserve"> </v>
      </c>
      <c r="D383" s="598" t="str">
        <f t="shared" si="815"/>
        <v xml:space="preserve"> </v>
      </c>
      <c r="E383" s="598" t="str">
        <f t="shared" si="815"/>
        <v xml:space="preserve"> </v>
      </c>
      <c r="F383" s="598" t="str">
        <f t="shared" si="815"/>
        <v xml:space="preserve"> </v>
      </c>
      <c r="G383" s="598" t="str">
        <f t="shared" si="815"/>
        <v xml:space="preserve"> </v>
      </c>
      <c r="H383" s="598" t="str">
        <f t="shared" si="815"/>
        <v xml:space="preserve"> </v>
      </c>
      <c r="I383" s="598" t="str">
        <f t="shared" si="815"/>
        <v xml:space="preserve"> </v>
      </c>
      <c r="J383" s="598" t="str">
        <f t="shared" si="815"/>
        <v xml:space="preserve"> </v>
      </c>
      <c r="K383" s="598" t="str">
        <f t="shared" si="815"/>
        <v xml:space="preserve"> </v>
      </c>
      <c r="L383" s="598" t="str">
        <f t="shared" si="816"/>
        <v xml:space="preserve"> </v>
      </c>
      <c r="M383" s="598" t="str">
        <f t="shared" si="816"/>
        <v xml:space="preserve"> </v>
      </c>
      <c r="N383" s="598" t="str">
        <f t="shared" si="816"/>
        <v xml:space="preserve"> </v>
      </c>
      <c r="O383" s="598" t="str">
        <f t="shared" si="816"/>
        <v xml:space="preserve"> </v>
      </c>
      <c r="P383" s="598" t="str">
        <f t="shared" si="816"/>
        <v xml:space="preserve"> </v>
      </c>
      <c r="Q383" s="598" t="str">
        <f t="shared" si="816"/>
        <v xml:space="preserve"> </v>
      </c>
      <c r="R383" s="598" t="str">
        <f t="shared" si="816"/>
        <v xml:space="preserve"> </v>
      </c>
      <c r="S383" s="598" t="str">
        <f t="shared" si="816"/>
        <v xml:space="preserve"> </v>
      </c>
      <c r="T383" s="598" t="str">
        <f t="shared" si="816"/>
        <v xml:space="preserve"> </v>
      </c>
      <c r="U383" s="598" t="str">
        <f t="shared" si="816"/>
        <v xml:space="preserve"> </v>
      </c>
      <c r="V383" s="598" t="str">
        <f t="shared" si="817"/>
        <v xml:space="preserve"> </v>
      </c>
      <c r="W383" s="598" t="str">
        <f t="shared" si="817"/>
        <v xml:space="preserve"> </v>
      </c>
      <c r="X383" s="598" t="str">
        <f t="shared" si="817"/>
        <v xml:space="preserve"> </v>
      </c>
      <c r="Y383" s="598" t="str">
        <f t="shared" si="817"/>
        <v xml:space="preserve"> </v>
      </c>
      <c r="Z383" s="598" t="str">
        <f t="shared" si="817"/>
        <v xml:space="preserve"> </v>
      </c>
      <c r="AA383" s="598" t="str">
        <f t="shared" si="817"/>
        <v xml:space="preserve"> </v>
      </c>
      <c r="AB383" s="598" t="str">
        <f t="shared" si="817"/>
        <v xml:space="preserve"> </v>
      </c>
      <c r="AC383" s="598" t="str">
        <f t="shared" si="817"/>
        <v xml:space="preserve"> </v>
      </c>
      <c r="AD383" s="598" t="str">
        <f t="shared" si="817"/>
        <v xml:space="preserve"> </v>
      </c>
      <c r="AE383" s="598" t="str">
        <f t="shared" si="817"/>
        <v xml:space="preserve"> </v>
      </c>
      <c r="AF383" s="598" t="str">
        <f t="shared" si="818"/>
        <v xml:space="preserve"> </v>
      </c>
      <c r="AG383" s="598" t="str">
        <f t="shared" si="818"/>
        <v xml:space="preserve"> </v>
      </c>
      <c r="AH383" s="598" t="str">
        <f t="shared" si="818"/>
        <v xml:space="preserve"> </v>
      </c>
      <c r="AI383" s="598" t="str">
        <f t="shared" si="818"/>
        <v xml:space="preserve"> </v>
      </c>
      <c r="AJ383" s="598" t="str">
        <f t="shared" si="818"/>
        <v xml:space="preserve"> </v>
      </c>
      <c r="AK383" s="598" t="str">
        <f t="shared" si="818"/>
        <v xml:space="preserve"> </v>
      </c>
      <c r="AL383" s="598" t="str">
        <f t="shared" si="818"/>
        <v xml:space="preserve"> </v>
      </c>
      <c r="AM383" s="598" t="str">
        <f t="shared" si="818"/>
        <v xml:space="preserve"> </v>
      </c>
      <c r="AN383" s="598" t="str">
        <f t="shared" si="818"/>
        <v xml:space="preserve"> </v>
      </c>
      <c r="AO383" s="598" t="str">
        <f t="shared" si="818"/>
        <v xml:space="preserve"> </v>
      </c>
      <c r="AP383" s="598" t="str">
        <f t="shared" si="818"/>
        <v xml:space="preserve"> </v>
      </c>
      <c r="AQ383" s="598" t="str">
        <f t="shared" si="818"/>
        <v xml:space="preserve"> </v>
      </c>
      <c r="AR383" s="598" t="str">
        <f t="shared" si="818"/>
        <v xml:space="preserve"> </v>
      </c>
      <c r="AS383" s="598" t="str">
        <f t="shared" si="818"/>
        <v xml:space="preserve"> </v>
      </c>
      <c r="AT383" s="598" t="str">
        <f t="shared" si="818"/>
        <v xml:space="preserve"> </v>
      </c>
      <c r="AV383" s="598" t="str">
        <f t="shared" si="819"/>
        <v xml:space="preserve"> </v>
      </c>
      <c r="AW383" s="598" t="str">
        <f t="shared" si="819"/>
        <v xml:space="preserve"> </v>
      </c>
      <c r="AX383" s="598" t="str">
        <f t="shared" si="819"/>
        <v xml:space="preserve"> </v>
      </c>
      <c r="AY383" s="598" t="str">
        <f t="shared" si="819"/>
        <v xml:space="preserve"> </v>
      </c>
      <c r="AZ383" s="598" t="str">
        <f t="shared" si="819"/>
        <v xml:space="preserve"> </v>
      </c>
      <c r="BA383" s="598" t="str">
        <f t="shared" si="819"/>
        <v xml:space="preserve"> </v>
      </c>
      <c r="BB383" s="598" t="str">
        <f t="shared" si="819"/>
        <v xml:space="preserve"> </v>
      </c>
      <c r="BC383" s="598" t="str">
        <f t="shared" si="819"/>
        <v xml:space="preserve"> </v>
      </c>
      <c r="BD383" s="598" t="str">
        <f t="shared" si="819"/>
        <v xml:space="preserve"> </v>
      </c>
      <c r="BE383" s="598" t="str">
        <f t="shared" si="819"/>
        <v xml:space="preserve"> </v>
      </c>
      <c r="BF383" s="598" t="str">
        <f t="shared" si="820"/>
        <v xml:space="preserve"> </v>
      </c>
      <c r="BG383" s="598" t="str">
        <f t="shared" si="820"/>
        <v xml:space="preserve"> </v>
      </c>
      <c r="BH383" s="598" t="str">
        <f t="shared" si="820"/>
        <v xml:space="preserve"> </v>
      </c>
      <c r="BI383" s="598" t="str">
        <f t="shared" si="820"/>
        <v xml:space="preserve"> </v>
      </c>
      <c r="BJ383" s="598" t="str">
        <f t="shared" si="820"/>
        <v xml:space="preserve"> </v>
      </c>
      <c r="BK383" s="598" t="str">
        <f t="shared" si="820"/>
        <v xml:space="preserve"> </v>
      </c>
      <c r="BL383" s="598" t="str">
        <f t="shared" si="820"/>
        <v xml:space="preserve"> </v>
      </c>
      <c r="BM383" s="598" t="str">
        <f t="shared" si="820"/>
        <v xml:space="preserve"> </v>
      </c>
      <c r="BN383" s="598" t="str">
        <f t="shared" si="820"/>
        <v xml:space="preserve"> </v>
      </c>
      <c r="BO383" s="598" t="str">
        <f t="shared" si="820"/>
        <v xml:space="preserve"> </v>
      </c>
      <c r="BP383" s="598" t="str">
        <f t="shared" si="821"/>
        <v xml:space="preserve"> </v>
      </c>
      <c r="BQ383" s="598" t="str">
        <f t="shared" si="821"/>
        <v xml:space="preserve"> </v>
      </c>
      <c r="BR383" s="598" t="str">
        <f t="shared" si="821"/>
        <v xml:space="preserve"> </v>
      </c>
      <c r="BS383" s="598" t="str">
        <f t="shared" si="821"/>
        <v xml:space="preserve"> </v>
      </c>
      <c r="BT383" s="598" t="str">
        <f t="shared" si="821"/>
        <v xml:space="preserve"> </v>
      </c>
      <c r="BU383" s="598" t="str">
        <f t="shared" si="821"/>
        <v xml:space="preserve"> </v>
      </c>
      <c r="BV383" s="598" t="str">
        <f t="shared" si="821"/>
        <v xml:space="preserve"> </v>
      </c>
      <c r="BW383" s="598" t="str">
        <f t="shared" si="821"/>
        <v xml:space="preserve"> </v>
      </c>
      <c r="BX383" s="598" t="str">
        <f t="shared" si="821"/>
        <v xml:space="preserve"> </v>
      </c>
      <c r="BY383" s="598" t="str">
        <f t="shared" si="821"/>
        <v xml:space="preserve"> </v>
      </c>
      <c r="BZ383" s="598" t="str">
        <f t="shared" si="822"/>
        <v xml:space="preserve"> </v>
      </c>
      <c r="CA383" s="598" t="str">
        <f t="shared" si="822"/>
        <v xml:space="preserve"> </v>
      </c>
      <c r="CB383" s="598" t="str">
        <f t="shared" si="822"/>
        <v xml:space="preserve"> </v>
      </c>
      <c r="CC383" s="598" t="str">
        <f t="shared" si="822"/>
        <v xml:space="preserve"> </v>
      </c>
      <c r="CD383" s="598" t="str">
        <f t="shared" si="822"/>
        <v xml:space="preserve"> </v>
      </c>
      <c r="CE383" s="598" t="str">
        <f t="shared" si="822"/>
        <v xml:space="preserve"> </v>
      </c>
      <c r="CF383" s="598" t="str">
        <f t="shared" si="822"/>
        <v xml:space="preserve"> </v>
      </c>
      <c r="CG383" s="598" t="str">
        <f t="shared" si="822"/>
        <v xml:space="preserve"> </v>
      </c>
      <c r="CH383" s="598" t="str">
        <f t="shared" si="822"/>
        <v xml:space="preserve"> </v>
      </c>
      <c r="CI383" s="598" t="str">
        <f t="shared" si="822"/>
        <v xml:space="preserve"> </v>
      </c>
      <c r="CJ383" s="598" t="str">
        <f t="shared" si="822"/>
        <v xml:space="preserve"> </v>
      </c>
      <c r="CK383" s="598" t="str">
        <f t="shared" si="822"/>
        <v xml:space="preserve"> </v>
      </c>
      <c r="CL383" s="598" t="str">
        <f t="shared" si="822"/>
        <v xml:space="preserve"> </v>
      </c>
      <c r="CM383" s="598" t="str">
        <f t="shared" si="822"/>
        <v xml:space="preserve"> </v>
      </c>
      <c r="CN383" s="598" t="str">
        <f t="shared" si="822"/>
        <v xml:space="preserve"> </v>
      </c>
    </row>
    <row r="384" spans="1:92">
      <c r="A384" s="598">
        <v>7</v>
      </c>
      <c r="B384" s="598" t="str">
        <f t="shared" si="815"/>
        <v xml:space="preserve"> </v>
      </c>
      <c r="C384" s="598" t="str">
        <f t="shared" si="815"/>
        <v xml:space="preserve"> </v>
      </c>
      <c r="D384" s="598" t="str">
        <f t="shared" si="815"/>
        <v xml:space="preserve"> </v>
      </c>
      <c r="E384" s="598" t="str">
        <f t="shared" si="815"/>
        <v xml:space="preserve"> </v>
      </c>
      <c r="F384" s="598" t="str">
        <f t="shared" si="815"/>
        <v xml:space="preserve"> </v>
      </c>
      <c r="G384" s="598" t="str">
        <f t="shared" si="815"/>
        <v xml:space="preserve"> </v>
      </c>
      <c r="H384" s="598" t="str">
        <f t="shared" si="815"/>
        <v xml:space="preserve"> </v>
      </c>
      <c r="I384" s="598" t="str">
        <f t="shared" si="815"/>
        <v xml:space="preserve"> </v>
      </c>
      <c r="J384" s="598" t="str">
        <f t="shared" si="815"/>
        <v xml:space="preserve"> </v>
      </c>
      <c r="K384" s="598" t="str">
        <f t="shared" si="815"/>
        <v xml:space="preserve"> </v>
      </c>
      <c r="L384" s="598" t="str">
        <f t="shared" si="816"/>
        <v xml:space="preserve"> </v>
      </c>
      <c r="M384" s="598" t="str">
        <f t="shared" si="816"/>
        <v xml:space="preserve"> </v>
      </c>
      <c r="N384" s="598" t="str">
        <f t="shared" si="816"/>
        <v xml:space="preserve"> </v>
      </c>
      <c r="O384" s="598" t="str">
        <f t="shared" si="816"/>
        <v xml:space="preserve"> </v>
      </c>
      <c r="P384" s="598" t="str">
        <f t="shared" si="816"/>
        <v xml:space="preserve"> </v>
      </c>
      <c r="Q384" s="598" t="str">
        <f t="shared" si="816"/>
        <v xml:space="preserve"> </v>
      </c>
      <c r="R384" s="598" t="str">
        <f t="shared" si="816"/>
        <v xml:space="preserve"> </v>
      </c>
      <c r="S384" s="598" t="str">
        <f t="shared" si="816"/>
        <v xml:space="preserve"> </v>
      </c>
      <c r="T384" s="598" t="str">
        <f t="shared" si="816"/>
        <v xml:space="preserve"> </v>
      </c>
      <c r="U384" s="598" t="str">
        <f t="shared" si="816"/>
        <v xml:space="preserve"> </v>
      </c>
      <c r="V384" s="598" t="str">
        <f t="shared" si="817"/>
        <v xml:space="preserve"> </v>
      </c>
      <c r="W384" s="598" t="str">
        <f t="shared" si="817"/>
        <v xml:space="preserve"> </v>
      </c>
      <c r="X384" s="598" t="str">
        <f t="shared" si="817"/>
        <v xml:space="preserve"> </v>
      </c>
      <c r="Y384" s="598" t="str">
        <f t="shared" si="817"/>
        <v xml:space="preserve"> </v>
      </c>
      <c r="Z384" s="598" t="str">
        <f t="shared" si="817"/>
        <v xml:space="preserve"> </v>
      </c>
      <c r="AA384" s="598" t="str">
        <f t="shared" si="817"/>
        <v xml:space="preserve"> </v>
      </c>
      <c r="AB384" s="598" t="str">
        <f t="shared" si="817"/>
        <v xml:space="preserve"> </v>
      </c>
      <c r="AC384" s="598" t="str">
        <f t="shared" si="817"/>
        <v xml:space="preserve"> </v>
      </c>
      <c r="AD384" s="598" t="str">
        <f t="shared" si="817"/>
        <v xml:space="preserve"> </v>
      </c>
      <c r="AE384" s="598" t="str">
        <f t="shared" si="817"/>
        <v xml:space="preserve"> </v>
      </c>
      <c r="AF384" s="598" t="str">
        <f t="shared" si="818"/>
        <v xml:space="preserve"> </v>
      </c>
      <c r="AG384" s="598" t="str">
        <f t="shared" si="818"/>
        <v xml:space="preserve"> </v>
      </c>
      <c r="AH384" s="598" t="str">
        <f t="shared" si="818"/>
        <v xml:space="preserve"> </v>
      </c>
      <c r="AI384" s="598" t="str">
        <f t="shared" si="818"/>
        <v xml:space="preserve"> </v>
      </c>
      <c r="AJ384" s="598" t="str">
        <f t="shared" si="818"/>
        <v xml:space="preserve"> </v>
      </c>
      <c r="AK384" s="598" t="str">
        <f t="shared" si="818"/>
        <v xml:space="preserve"> </v>
      </c>
      <c r="AL384" s="598" t="str">
        <f t="shared" si="818"/>
        <v xml:space="preserve"> </v>
      </c>
      <c r="AM384" s="598" t="str">
        <f t="shared" si="818"/>
        <v xml:space="preserve"> </v>
      </c>
      <c r="AN384" s="598" t="str">
        <f t="shared" si="818"/>
        <v xml:space="preserve"> </v>
      </c>
      <c r="AO384" s="598" t="str">
        <f t="shared" si="818"/>
        <v xml:space="preserve"> </v>
      </c>
      <c r="AP384" s="598" t="str">
        <f t="shared" si="818"/>
        <v xml:space="preserve"> </v>
      </c>
      <c r="AQ384" s="598" t="str">
        <f t="shared" si="818"/>
        <v xml:space="preserve"> </v>
      </c>
      <c r="AR384" s="598" t="str">
        <f t="shared" si="818"/>
        <v xml:space="preserve"> </v>
      </c>
      <c r="AS384" s="598" t="str">
        <f t="shared" si="818"/>
        <v xml:space="preserve"> </v>
      </c>
      <c r="AT384" s="598" t="str">
        <f t="shared" si="818"/>
        <v xml:space="preserve"> </v>
      </c>
      <c r="AV384" s="598" t="str">
        <f t="shared" si="819"/>
        <v xml:space="preserve"> </v>
      </c>
      <c r="AW384" s="598" t="str">
        <f t="shared" si="819"/>
        <v xml:space="preserve"> </v>
      </c>
      <c r="AX384" s="598" t="str">
        <f t="shared" si="819"/>
        <v xml:space="preserve"> </v>
      </c>
      <c r="AY384" s="598" t="str">
        <f t="shared" si="819"/>
        <v xml:space="preserve"> </v>
      </c>
      <c r="AZ384" s="598" t="str">
        <f t="shared" si="819"/>
        <v xml:space="preserve"> </v>
      </c>
      <c r="BA384" s="598" t="str">
        <f t="shared" si="819"/>
        <v xml:space="preserve"> </v>
      </c>
      <c r="BB384" s="598" t="str">
        <f t="shared" si="819"/>
        <v xml:space="preserve"> </v>
      </c>
      <c r="BC384" s="598" t="str">
        <f t="shared" si="819"/>
        <v xml:space="preserve"> </v>
      </c>
      <c r="BD384" s="598" t="str">
        <f t="shared" si="819"/>
        <v xml:space="preserve"> </v>
      </c>
      <c r="BE384" s="598" t="str">
        <f t="shared" si="819"/>
        <v xml:space="preserve"> </v>
      </c>
      <c r="BF384" s="598" t="str">
        <f t="shared" si="820"/>
        <v xml:space="preserve"> </v>
      </c>
      <c r="BG384" s="598" t="str">
        <f t="shared" si="820"/>
        <v xml:space="preserve"> </v>
      </c>
      <c r="BH384" s="598" t="str">
        <f t="shared" si="820"/>
        <v xml:space="preserve"> </v>
      </c>
      <c r="BI384" s="598" t="str">
        <f t="shared" si="820"/>
        <v xml:space="preserve"> </v>
      </c>
      <c r="BJ384" s="598" t="str">
        <f t="shared" si="820"/>
        <v xml:space="preserve"> </v>
      </c>
      <c r="BK384" s="598" t="str">
        <f t="shared" si="820"/>
        <v xml:space="preserve"> </v>
      </c>
      <c r="BL384" s="598" t="str">
        <f t="shared" si="820"/>
        <v xml:space="preserve"> </v>
      </c>
      <c r="BM384" s="598" t="str">
        <f t="shared" si="820"/>
        <v xml:space="preserve"> </v>
      </c>
      <c r="BN384" s="598" t="str">
        <f t="shared" si="820"/>
        <v xml:space="preserve"> </v>
      </c>
      <c r="BO384" s="598" t="str">
        <f t="shared" si="820"/>
        <v xml:space="preserve"> </v>
      </c>
      <c r="BP384" s="598" t="str">
        <f t="shared" si="821"/>
        <v xml:space="preserve"> </v>
      </c>
      <c r="BQ384" s="598" t="str">
        <f t="shared" si="821"/>
        <v xml:space="preserve"> </v>
      </c>
      <c r="BR384" s="598" t="str">
        <f t="shared" si="821"/>
        <v xml:space="preserve"> </v>
      </c>
      <c r="BS384" s="598" t="str">
        <f t="shared" si="821"/>
        <v xml:space="preserve"> </v>
      </c>
      <c r="BT384" s="598" t="str">
        <f t="shared" si="821"/>
        <v xml:space="preserve"> </v>
      </c>
      <c r="BU384" s="598" t="str">
        <f t="shared" si="821"/>
        <v xml:space="preserve"> </v>
      </c>
      <c r="BV384" s="598" t="str">
        <f t="shared" si="821"/>
        <v xml:space="preserve"> </v>
      </c>
      <c r="BW384" s="598" t="str">
        <f t="shared" si="821"/>
        <v xml:space="preserve"> </v>
      </c>
      <c r="BX384" s="598" t="str">
        <f t="shared" si="821"/>
        <v xml:space="preserve"> </v>
      </c>
      <c r="BY384" s="598" t="str">
        <f t="shared" si="821"/>
        <v xml:space="preserve"> </v>
      </c>
      <c r="BZ384" s="598" t="str">
        <f t="shared" si="822"/>
        <v xml:space="preserve"> </v>
      </c>
      <c r="CA384" s="598" t="str">
        <f t="shared" si="822"/>
        <v xml:space="preserve"> </v>
      </c>
      <c r="CB384" s="598" t="str">
        <f t="shared" si="822"/>
        <v xml:space="preserve"> </v>
      </c>
      <c r="CC384" s="598" t="str">
        <f t="shared" si="822"/>
        <v xml:space="preserve"> </v>
      </c>
      <c r="CD384" s="598" t="str">
        <f t="shared" si="822"/>
        <v xml:space="preserve"> </v>
      </c>
      <c r="CE384" s="598" t="str">
        <f t="shared" si="822"/>
        <v xml:space="preserve"> </v>
      </c>
      <c r="CF384" s="598" t="str">
        <f t="shared" si="822"/>
        <v xml:space="preserve"> </v>
      </c>
      <c r="CG384" s="598" t="str">
        <f t="shared" si="822"/>
        <v xml:space="preserve"> </v>
      </c>
      <c r="CH384" s="598" t="str">
        <f t="shared" si="822"/>
        <v xml:space="preserve"> </v>
      </c>
      <c r="CI384" s="598" t="str">
        <f t="shared" si="822"/>
        <v xml:space="preserve"> </v>
      </c>
      <c r="CJ384" s="598" t="str">
        <f t="shared" si="822"/>
        <v xml:space="preserve"> </v>
      </c>
      <c r="CK384" s="598" t="str">
        <f t="shared" si="822"/>
        <v xml:space="preserve"> </v>
      </c>
      <c r="CL384" s="598" t="str">
        <f t="shared" si="822"/>
        <v xml:space="preserve"> </v>
      </c>
      <c r="CM384" s="598" t="str">
        <f t="shared" si="822"/>
        <v xml:space="preserve"> </v>
      </c>
      <c r="CN384" s="598" t="str">
        <f t="shared" si="822"/>
        <v xml:space="preserve"> </v>
      </c>
    </row>
    <row r="385" spans="1:92">
      <c r="A385" s="598">
        <v>8</v>
      </c>
      <c r="B385" s="598" t="str">
        <f t="shared" si="815"/>
        <v xml:space="preserve"> </v>
      </c>
      <c r="C385" s="598" t="str">
        <f t="shared" si="815"/>
        <v xml:space="preserve"> </v>
      </c>
      <c r="D385" s="598" t="str">
        <f t="shared" si="815"/>
        <v xml:space="preserve"> </v>
      </c>
      <c r="E385" s="598" t="str">
        <f t="shared" si="815"/>
        <v xml:space="preserve"> </v>
      </c>
      <c r="F385" s="598" t="str">
        <f t="shared" si="815"/>
        <v xml:space="preserve"> </v>
      </c>
      <c r="G385" s="598" t="str">
        <f t="shared" si="815"/>
        <v xml:space="preserve"> </v>
      </c>
      <c r="H385" s="598" t="str">
        <f t="shared" si="815"/>
        <v xml:space="preserve"> </v>
      </c>
      <c r="I385" s="598" t="str">
        <f t="shared" si="815"/>
        <v xml:space="preserve"> </v>
      </c>
      <c r="J385" s="598" t="str">
        <f t="shared" si="815"/>
        <v xml:space="preserve"> </v>
      </c>
      <c r="K385" s="598" t="str">
        <f t="shared" si="815"/>
        <v xml:space="preserve"> </v>
      </c>
      <c r="L385" s="598" t="str">
        <f t="shared" si="816"/>
        <v xml:space="preserve"> </v>
      </c>
      <c r="M385" s="598" t="str">
        <f t="shared" si="816"/>
        <v xml:space="preserve"> </v>
      </c>
      <c r="N385" s="598" t="str">
        <f t="shared" si="816"/>
        <v xml:space="preserve"> </v>
      </c>
      <c r="O385" s="598" t="str">
        <f t="shared" si="816"/>
        <v xml:space="preserve"> </v>
      </c>
      <c r="P385" s="598" t="str">
        <f t="shared" si="816"/>
        <v xml:space="preserve"> </v>
      </c>
      <c r="Q385" s="598" t="str">
        <f t="shared" si="816"/>
        <v xml:space="preserve"> </v>
      </c>
      <c r="R385" s="598" t="str">
        <f t="shared" si="816"/>
        <v xml:space="preserve"> </v>
      </c>
      <c r="S385" s="598" t="str">
        <f t="shared" si="816"/>
        <v xml:space="preserve"> </v>
      </c>
      <c r="T385" s="598" t="str">
        <f t="shared" si="816"/>
        <v xml:space="preserve"> </v>
      </c>
      <c r="U385" s="598" t="str">
        <f t="shared" si="816"/>
        <v xml:space="preserve"> </v>
      </c>
      <c r="V385" s="598" t="str">
        <f t="shared" si="817"/>
        <v xml:space="preserve"> </v>
      </c>
      <c r="W385" s="598" t="str">
        <f t="shared" si="817"/>
        <v xml:space="preserve"> </v>
      </c>
      <c r="X385" s="598" t="str">
        <f t="shared" si="817"/>
        <v xml:space="preserve"> </v>
      </c>
      <c r="Y385" s="598" t="str">
        <f t="shared" si="817"/>
        <v xml:space="preserve"> </v>
      </c>
      <c r="Z385" s="598" t="str">
        <f t="shared" si="817"/>
        <v xml:space="preserve"> </v>
      </c>
      <c r="AA385" s="598" t="str">
        <f t="shared" si="817"/>
        <v xml:space="preserve"> </v>
      </c>
      <c r="AB385" s="598" t="str">
        <f t="shared" si="817"/>
        <v xml:space="preserve"> </v>
      </c>
      <c r="AC385" s="598" t="str">
        <f t="shared" si="817"/>
        <v xml:space="preserve"> </v>
      </c>
      <c r="AD385" s="598" t="str">
        <f t="shared" si="817"/>
        <v xml:space="preserve"> </v>
      </c>
      <c r="AE385" s="598" t="str">
        <f t="shared" si="817"/>
        <v xml:space="preserve"> </v>
      </c>
      <c r="AF385" s="598" t="str">
        <f t="shared" si="818"/>
        <v xml:space="preserve"> </v>
      </c>
      <c r="AG385" s="598" t="str">
        <f t="shared" si="818"/>
        <v xml:space="preserve"> </v>
      </c>
      <c r="AH385" s="598" t="str">
        <f t="shared" si="818"/>
        <v xml:space="preserve"> </v>
      </c>
      <c r="AI385" s="598" t="str">
        <f t="shared" si="818"/>
        <v xml:space="preserve"> </v>
      </c>
      <c r="AJ385" s="598" t="str">
        <f t="shared" si="818"/>
        <v xml:space="preserve"> </v>
      </c>
      <c r="AK385" s="598" t="str">
        <f t="shared" si="818"/>
        <v xml:space="preserve"> </v>
      </c>
      <c r="AL385" s="598" t="str">
        <f t="shared" si="818"/>
        <v xml:space="preserve"> </v>
      </c>
      <c r="AM385" s="598" t="str">
        <f t="shared" si="818"/>
        <v xml:space="preserve"> </v>
      </c>
      <c r="AN385" s="598" t="str">
        <f t="shared" si="818"/>
        <v xml:space="preserve"> </v>
      </c>
      <c r="AO385" s="598" t="str">
        <f t="shared" si="818"/>
        <v xml:space="preserve"> </v>
      </c>
      <c r="AP385" s="598" t="str">
        <f t="shared" si="818"/>
        <v xml:space="preserve"> </v>
      </c>
      <c r="AQ385" s="598" t="str">
        <f t="shared" si="818"/>
        <v xml:space="preserve"> </v>
      </c>
      <c r="AR385" s="598" t="str">
        <f t="shared" si="818"/>
        <v xml:space="preserve"> </v>
      </c>
      <c r="AS385" s="598" t="str">
        <f t="shared" si="818"/>
        <v xml:space="preserve"> </v>
      </c>
      <c r="AT385" s="598" t="str">
        <f t="shared" si="818"/>
        <v xml:space="preserve"> </v>
      </c>
      <c r="AV385" s="598" t="str">
        <f t="shared" si="819"/>
        <v xml:space="preserve"> </v>
      </c>
      <c r="AW385" s="598" t="str">
        <f t="shared" si="819"/>
        <v xml:space="preserve"> </v>
      </c>
      <c r="AX385" s="598" t="str">
        <f t="shared" si="819"/>
        <v xml:space="preserve"> </v>
      </c>
      <c r="AY385" s="598" t="str">
        <f t="shared" si="819"/>
        <v xml:space="preserve"> </v>
      </c>
      <c r="AZ385" s="598" t="str">
        <f t="shared" si="819"/>
        <v xml:space="preserve"> </v>
      </c>
      <c r="BA385" s="598" t="str">
        <f t="shared" si="819"/>
        <v xml:space="preserve"> </v>
      </c>
      <c r="BB385" s="598" t="str">
        <f t="shared" si="819"/>
        <v xml:space="preserve"> </v>
      </c>
      <c r="BC385" s="598" t="str">
        <f t="shared" si="819"/>
        <v xml:space="preserve"> </v>
      </c>
      <c r="BD385" s="598" t="str">
        <f t="shared" si="819"/>
        <v xml:space="preserve"> </v>
      </c>
      <c r="BE385" s="598" t="str">
        <f t="shared" si="819"/>
        <v xml:space="preserve"> </v>
      </c>
      <c r="BF385" s="598" t="str">
        <f t="shared" si="820"/>
        <v xml:space="preserve"> </v>
      </c>
      <c r="BG385" s="598" t="str">
        <f t="shared" si="820"/>
        <v xml:space="preserve"> </v>
      </c>
      <c r="BH385" s="598" t="str">
        <f t="shared" si="820"/>
        <v xml:space="preserve"> </v>
      </c>
      <c r="BI385" s="598" t="str">
        <f t="shared" si="820"/>
        <v xml:space="preserve"> </v>
      </c>
      <c r="BJ385" s="598" t="str">
        <f t="shared" si="820"/>
        <v xml:space="preserve"> </v>
      </c>
      <c r="BK385" s="598" t="str">
        <f t="shared" si="820"/>
        <v xml:space="preserve"> </v>
      </c>
      <c r="BL385" s="598" t="str">
        <f t="shared" si="820"/>
        <v xml:space="preserve"> </v>
      </c>
      <c r="BM385" s="598" t="str">
        <f t="shared" si="820"/>
        <v xml:space="preserve"> </v>
      </c>
      <c r="BN385" s="598" t="str">
        <f t="shared" si="820"/>
        <v xml:space="preserve"> </v>
      </c>
      <c r="BO385" s="598" t="str">
        <f t="shared" si="820"/>
        <v xml:space="preserve"> </v>
      </c>
      <c r="BP385" s="598" t="str">
        <f t="shared" si="821"/>
        <v xml:space="preserve"> </v>
      </c>
      <c r="BQ385" s="598" t="str">
        <f t="shared" si="821"/>
        <v xml:space="preserve"> </v>
      </c>
      <c r="BR385" s="598" t="str">
        <f t="shared" si="821"/>
        <v xml:space="preserve"> </v>
      </c>
      <c r="BS385" s="598" t="str">
        <f t="shared" si="821"/>
        <v xml:space="preserve"> </v>
      </c>
      <c r="BT385" s="598" t="str">
        <f t="shared" si="821"/>
        <v xml:space="preserve"> </v>
      </c>
      <c r="BU385" s="598" t="str">
        <f t="shared" si="821"/>
        <v xml:space="preserve"> </v>
      </c>
      <c r="BV385" s="598" t="str">
        <f t="shared" si="821"/>
        <v xml:space="preserve"> </v>
      </c>
      <c r="BW385" s="598" t="str">
        <f t="shared" si="821"/>
        <v xml:space="preserve"> </v>
      </c>
      <c r="BX385" s="598" t="str">
        <f t="shared" si="821"/>
        <v xml:space="preserve"> </v>
      </c>
      <c r="BY385" s="598" t="str">
        <f t="shared" si="821"/>
        <v xml:space="preserve"> </v>
      </c>
      <c r="BZ385" s="598" t="str">
        <f t="shared" si="822"/>
        <v xml:space="preserve"> </v>
      </c>
      <c r="CA385" s="598" t="str">
        <f t="shared" si="822"/>
        <v xml:space="preserve"> </v>
      </c>
      <c r="CB385" s="598" t="str">
        <f t="shared" si="822"/>
        <v xml:space="preserve"> </v>
      </c>
      <c r="CC385" s="598" t="str">
        <f t="shared" si="822"/>
        <v xml:space="preserve"> </v>
      </c>
      <c r="CD385" s="598" t="str">
        <f t="shared" si="822"/>
        <v xml:space="preserve"> </v>
      </c>
      <c r="CE385" s="598" t="str">
        <f t="shared" si="822"/>
        <v xml:space="preserve"> </v>
      </c>
      <c r="CF385" s="598" t="str">
        <f t="shared" si="822"/>
        <v xml:space="preserve"> </v>
      </c>
      <c r="CG385" s="598" t="str">
        <f t="shared" si="822"/>
        <v xml:space="preserve"> </v>
      </c>
      <c r="CH385" s="598" t="str">
        <f t="shared" si="822"/>
        <v xml:space="preserve"> </v>
      </c>
      <c r="CI385" s="598" t="str">
        <f t="shared" si="822"/>
        <v xml:space="preserve"> </v>
      </c>
      <c r="CJ385" s="598" t="str">
        <f t="shared" si="822"/>
        <v xml:space="preserve"> </v>
      </c>
      <c r="CK385" s="598" t="str">
        <f t="shared" si="822"/>
        <v xml:space="preserve"> </v>
      </c>
      <c r="CL385" s="598" t="str">
        <f t="shared" si="822"/>
        <v xml:space="preserve"> </v>
      </c>
      <c r="CM385" s="598" t="str">
        <f t="shared" si="822"/>
        <v xml:space="preserve"> </v>
      </c>
      <c r="CN385" s="598" t="str">
        <f t="shared" si="822"/>
        <v xml:space="preserve"> </v>
      </c>
    </row>
    <row r="386" spans="1:92">
      <c r="A386" s="598">
        <v>9</v>
      </c>
      <c r="B386" s="598" t="str">
        <f t="shared" si="815"/>
        <v xml:space="preserve"> </v>
      </c>
      <c r="C386" s="598" t="str">
        <f t="shared" si="815"/>
        <v xml:space="preserve"> </v>
      </c>
      <c r="D386" s="598" t="str">
        <f t="shared" si="815"/>
        <v xml:space="preserve"> </v>
      </c>
      <c r="E386" s="598" t="str">
        <f t="shared" si="815"/>
        <v xml:space="preserve"> </v>
      </c>
      <c r="F386" s="598" t="str">
        <f t="shared" si="815"/>
        <v xml:space="preserve"> </v>
      </c>
      <c r="G386" s="598" t="str">
        <f t="shared" si="815"/>
        <v xml:space="preserve"> </v>
      </c>
      <c r="H386" s="598" t="str">
        <f t="shared" si="815"/>
        <v xml:space="preserve"> </v>
      </c>
      <c r="I386" s="598" t="str">
        <f t="shared" si="815"/>
        <v xml:space="preserve"> </v>
      </c>
      <c r="J386" s="598" t="str">
        <f t="shared" si="815"/>
        <v xml:space="preserve"> </v>
      </c>
      <c r="K386" s="598" t="str">
        <f t="shared" si="815"/>
        <v xml:space="preserve"> </v>
      </c>
      <c r="L386" s="598" t="str">
        <f t="shared" si="816"/>
        <v xml:space="preserve"> </v>
      </c>
      <c r="M386" s="598" t="str">
        <f t="shared" si="816"/>
        <v xml:space="preserve"> </v>
      </c>
      <c r="N386" s="598" t="str">
        <f t="shared" si="816"/>
        <v xml:space="preserve"> </v>
      </c>
      <c r="O386" s="598" t="str">
        <f t="shared" si="816"/>
        <v xml:space="preserve"> </v>
      </c>
      <c r="P386" s="598" t="str">
        <f t="shared" si="816"/>
        <v xml:space="preserve"> </v>
      </c>
      <c r="Q386" s="598" t="str">
        <f t="shared" si="816"/>
        <v xml:space="preserve"> </v>
      </c>
      <c r="R386" s="598" t="str">
        <f t="shared" si="816"/>
        <v xml:space="preserve"> </v>
      </c>
      <c r="S386" s="598" t="str">
        <f t="shared" si="816"/>
        <v xml:space="preserve"> </v>
      </c>
      <c r="T386" s="598" t="str">
        <f t="shared" si="816"/>
        <v xml:space="preserve"> </v>
      </c>
      <c r="U386" s="598" t="str">
        <f t="shared" si="816"/>
        <v xml:space="preserve"> </v>
      </c>
      <c r="V386" s="598" t="str">
        <f t="shared" si="817"/>
        <v xml:space="preserve"> </v>
      </c>
      <c r="W386" s="598" t="str">
        <f t="shared" si="817"/>
        <v xml:space="preserve"> </v>
      </c>
      <c r="X386" s="598" t="str">
        <f t="shared" si="817"/>
        <v xml:space="preserve"> </v>
      </c>
      <c r="Y386" s="598" t="str">
        <f t="shared" si="817"/>
        <v xml:space="preserve"> </v>
      </c>
      <c r="Z386" s="598" t="str">
        <f t="shared" si="817"/>
        <v xml:space="preserve"> </v>
      </c>
      <c r="AA386" s="598" t="str">
        <f t="shared" si="817"/>
        <v xml:space="preserve"> </v>
      </c>
      <c r="AB386" s="598" t="str">
        <f t="shared" si="817"/>
        <v xml:space="preserve"> </v>
      </c>
      <c r="AC386" s="598" t="str">
        <f t="shared" si="817"/>
        <v xml:space="preserve"> </v>
      </c>
      <c r="AD386" s="598" t="str">
        <f t="shared" si="817"/>
        <v xml:space="preserve"> </v>
      </c>
      <c r="AE386" s="598" t="str">
        <f t="shared" si="817"/>
        <v xml:space="preserve"> </v>
      </c>
      <c r="AF386" s="598" t="str">
        <f t="shared" si="818"/>
        <v xml:space="preserve"> </v>
      </c>
      <c r="AG386" s="598" t="str">
        <f t="shared" si="818"/>
        <v xml:space="preserve"> </v>
      </c>
      <c r="AH386" s="598" t="str">
        <f t="shared" si="818"/>
        <v xml:space="preserve"> </v>
      </c>
      <c r="AI386" s="598" t="str">
        <f t="shared" si="818"/>
        <v xml:space="preserve"> </v>
      </c>
      <c r="AJ386" s="598" t="str">
        <f t="shared" si="818"/>
        <v xml:space="preserve"> </v>
      </c>
      <c r="AK386" s="598" t="str">
        <f t="shared" si="818"/>
        <v xml:space="preserve"> </v>
      </c>
      <c r="AL386" s="598" t="str">
        <f t="shared" si="818"/>
        <v xml:space="preserve"> </v>
      </c>
      <c r="AM386" s="598" t="str">
        <f t="shared" si="818"/>
        <v xml:space="preserve"> </v>
      </c>
      <c r="AN386" s="598" t="str">
        <f t="shared" si="818"/>
        <v xml:space="preserve"> </v>
      </c>
      <c r="AO386" s="598" t="str">
        <f t="shared" si="818"/>
        <v xml:space="preserve"> </v>
      </c>
      <c r="AP386" s="598" t="str">
        <f t="shared" si="818"/>
        <v xml:space="preserve"> </v>
      </c>
      <c r="AQ386" s="598" t="str">
        <f t="shared" si="818"/>
        <v xml:space="preserve"> </v>
      </c>
      <c r="AR386" s="598" t="str">
        <f t="shared" si="818"/>
        <v xml:space="preserve"> </v>
      </c>
      <c r="AS386" s="598" t="str">
        <f t="shared" si="818"/>
        <v xml:space="preserve"> </v>
      </c>
      <c r="AT386" s="598" t="str">
        <f t="shared" si="818"/>
        <v xml:space="preserve"> </v>
      </c>
      <c r="AV386" s="598" t="str">
        <f t="shared" si="819"/>
        <v xml:space="preserve"> </v>
      </c>
      <c r="AW386" s="598" t="str">
        <f t="shared" si="819"/>
        <v xml:space="preserve"> </v>
      </c>
      <c r="AX386" s="598" t="str">
        <f t="shared" si="819"/>
        <v xml:space="preserve"> </v>
      </c>
      <c r="AY386" s="598" t="str">
        <f t="shared" si="819"/>
        <v xml:space="preserve"> </v>
      </c>
      <c r="AZ386" s="598" t="str">
        <f t="shared" si="819"/>
        <v xml:space="preserve"> </v>
      </c>
      <c r="BA386" s="598" t="str">
        <f t="shared" si="819"/>
        <v xml:space="preserve"> </v>
      </c>
      <c r="BB386" s="598" t="str">
        <f t="shared" si="819"/>
        <v xml:space="preserve"> </v>
      </c>
      <c r="BC386" s="598" t="str">
        <f t="shared" si="819"/>
        <v xml:space="preserve"> </v>
      </c>
      <c r="BD386" s="598" t="str">
        <f t="shared" si="819"/>
        <v xml:space="preserve"> </v>
      </c>
      <c r="BE386" s="598" t="str">
        <f t="shared" si="819"/>
        <v xml:space="preserve"> </v>
      </c>
      <c r="BF386" s="598" t="str">
        <f t="shared" si="820"/>
        <v xml:space="preserve"> </v>
      </c>
      <c r="BG386" s="598" t="str">
        <f t="shared" si="820"/>
        <v xml:space="preserve"> </v>
      </c>
      <c r="BH386" s="598" t="str">
        <f t="shared" si="820"/>
        <v xml:space="preserve"> </v>
      </c>
      <c r="BI386" s="598" t="str">
        <f t="shared" si="820"/>
        <v xml:space="preserve"> </v>
      </c>
      <c r="BJ386" s="598" t="str">
        <f t="shared" si="820"/>
        <v xml:space="preserve"> </v>
      </c>
      <c r="BK386" s="598" t="str">
        <f t="shared" si="820"/>
        <v xml:space="preserve"> </v>
      </c>
      <c r="BL386" s="598" t="str">
        <f t="shared" si="820"/>
        <v xml:space="preserve"> </v>
      </c>
      <c r="BM386" s="598" t="str">
        <f t="shared" si="820"/>
        <v xml:space="preserve"> </v>
      </c>
      <c r="BN386" s="598" t="str">
        <f t="shared" si="820"/>
        <v xml:space="preserve"> </v>
      </c>
      <c r="BO386" s="598" t="str">
        <f t="shared" si="820"/>
        <v xml:space="preserve"> </v>
      </c>
      <c r="BP386" s="598" t="str">
        <f t="shared" si="821"/>
        <v xml:space="preserve"> </v>
      </c>
      <c r="BQ386" s="598" t="str">
        <f t="shared" si="821"/>
        <v xml:space="preserve"> </v>
      </c>
      <c r="BR386" s="598" t="str">
        <f t="shared" si="821"/>
        <v xml:space="preserve"> </v>
      </c>
      <c r="BS386" s="598" t="str">
        <f t="shared" si="821"/>
        <v xml:space="preserve"> </v>
      </c>
      <c r="BT386" s="598" t="str">
        <f t="shared" si="821"/>
        <v xml:space="preserve"> </v>
      </c>
      <c r="BU386" s="598" t="str">
        <f t="shared" si="821"/>
        <v xml:space="preserve"> </v>
      </c>
      <c r="BV386" s="598" t="str">
        <f t="shared" si="821"/>
        <v xml:space="preserve"> </v>
      </c>
      <c r="BW386" s="598" t="str">
        <f t="shared" si="821"/>
        <v xml:space="preserve"> </v>
      </c>
      <c r="BX386" s="598" t="str">
        <f t="shared" si="821"/>
        <v xml:space="preserve"> </v>
      </c>
      <c r="BY386" s="598" t="str">
        <f t="shared" si="821"/>
        <v xml:space="preserve"> </v>
      </c>
      <c r="BZ386" s="598" t="str">
        <f t="shared" si="822"/>
        <v xml:space="preserve"> </v>
      </c>
      <c r="CA386" s="598" t="str">
        <f t="shared" si="822"/>
        <v xml:space="preserve"> </v>
      </c>
      <c r="CB386" s="598" t="str">
        <f t="shared" si="822"/>
        <v xml:space="preserve"> </v>
      </c>
      <c r="CC386" s="598" t="str">
        <f t="shared" si="822"/>
        <v xml:space="preserve"> </v>
      </c>
      <c r="CD386" s="598" t="str">
        <f t="shared" si="822"/>
        <v xml:space="preserve"> </v>
      </c>
      <c r="CE386" s="598" t="str">
        <f t="shared" si="822"/>
        <v xml:space="preserve"> </v>
      </c>
      <c r="CF386" s="598" t="str">
        <f t="shared" si="822"/>
        <v xml:space="preserve"> </v>
      </c>
      <c r="CG386" s="598" t="str">
        <f t="shared" si="822"/>
        <v xml:space="preserve"> </v>
      </c>
      <c r="CH386" s="598" t="str">
        <f t="shared" si="822"/>
        <v xml:space="preserve"> </v>
      </c>
      <c r="CI386" s="598" t="str">
        <f t="shared" si="822"/>
        <v xml:space="preserve"> </v>
      </c>
      <c r="CJ386" s="598" t="str">
        <f t="shared" si="822"/>
        <v xml:space="preserve"> </v>
      </c>
      <c r="CK386" s="598" t="str">
        <f t="shared" si="822"/>
        <v xml:space="preserve"> </v>
      </c>
      <c r="CL386" s="598" t="str">
        <f t="shared" si="822"/>
        <v xml:space="preserve"> </v>
      </c>
      <c r="CM386" s="598" t="str">
        <f t="shared" si="822"/>
        <v xml:space="preserve"> </v>
      </c>
      <c r="CN386" s="598" t="str">
        <f t="shared" si="822"/>
        <v xml:space="preserve"> </v>
      </c>
    </row>
    <row r="387" spans="1:92">
      <c r="A387" s="598">
        <v>10</v>
      </c>
      <c r="B387" s="598" t="str">
        <f t="shared" si="815"/>
        <v xml:space="preserve"> </v>
      </c>
      <c r="C387" s="598" t="str">
        <f t="shared" si="815"/>
        <v xml:space="preserve"> </v>
      </c>
      <c r="D387" s="598" t="str">
        <f t="shared" si="815"/>
        <v xml:space="preserve"> </v>
      </c>
      <c r="E387" s="598" t="str">
        <f t="shared" si="815"/>
        <v xml:space="preserve"> </v>
      </c>
      <c r="F387" s="598" t="str">
        <f t="shared" si="815"/>
        <v xml:space="preserve"> </v>
      </c>
      <c r="G387" s="598" t="str">
        <f t="shared" si="815"/>
        <v xml:space="preserve"> </v>
      </c>
      <c r="H387" s="598" t="str">
        <f t="shared" si="815"/>
        <v xml:space="preserve"> </v>
      </c>
      <c r="I387" s="598" t="str">
        <f t="shared" si="815"/>
        <v xml:space="preserve"> </v>
      </c>
      <c r="J387" s="598" t="str">
        <f t="shared" si="815"/>
        <v xml:space="preserve"> </v>
      </c>
      <c r="K387" s="598" t="str">
        <f t="shared" si="815"/>
        <v xml:space="preserve"> </v>
      </c>
      <c r="L387" s="598" t="str">
        <f t="shared" si="816"/>
        <v xml:space="preserve"> </v>
      </c>
      <c r="M387" s="598" t="str">
        <f t="shared" si="816"/>
        <v xml:space="preserve"> </v>
      </c>
      <c r="N387" s="598" t="str">
        <f t="shared" si="816"/>
        <v xml:space="preserve"> </v>
      </c>
      <c r="O387" s="598" t="str">
        <f t="shared" si="816"/>
        <v xml:space="preserve"> </v>
      </c>
      <c r="P387" s="598" t="str">
        <f t="shared" si="816"/>
        <v xml:space="preserve"> </v>
      </c>
      <c r="Q387" s="598" t="str">
        <f t="shared" si="816"/>
        <v xml:space="preserve"> </v>
      </c>
      <c r="R387" s="598" t="str">
        <f t="shared" si="816"/>
        <v xml:space="preserve"> </v>
      </c>
      <c r="S387" s="598" t="str">
        <f t="shared" si="816"/>
        <v xml:space="preserve"> </v>
      </c>
      <c r="T387" s="598" t="str">
        <f t="shared" si="816"/>
        <v xml:space="preserve"> </v>
      </c>
      <c r="U387" s="598" t="str">
        <f t="shared" si="816"/>
        <v xml:space="preserve"> </v>
      </c>
      <c r="V387" s="598" t="str">
        <f t="shared" si="817"/>
        <v xml:space="preserve"> </v>
      </c>
      <c r="W387" s="598" t="str">
        <f t="shared" si="817"/>
        <v xml:space="preserve"> </v>
      </c>
      <c r="X387" s="598" t="str">
        <f t="shared" si="817"/>
        <v xml:space="preserve"> </v>
      </c>
      <c r="Y387" s="598" t="str">
        <f t="shared" si="817"/>
        <v xml:space="preserve"> </v>
      </c>
      <c r="Z387" s="598" t="str">
        <f t="shared" si="817"/>
        <v xml:space="preserve"> </v>
      </c>
      <c r="AA387" s="598" t="str">
        <f t="shared" si="817"/>
        <v xml:space="preserve"> </v>
      </c>
      <c r="AB387" s="598" t="str">
        <f t="shared" si="817"/>
        <v xml:space="preserve"> </v>
      </c>
      <c r="AC387" s="598" t="str">
        <f t="shared" si="817"/>
        <v xml:space="preserve"> </v>
      </c>
      <c r="AD387" s="598" t="str">
        <f t="shared" si="817"/>
        <v xml:space="preserve"> </v>
      </c>
      <c r="AE387" s="598" t="str">
        <f t="shared" si="817"/>
        <v xml:space="preserve"> </v>
      </c>
      <c r="AF387" s="598" t="str">
        <f t="shared" si="818"/>
        <v xml:space="preserve"> </v>
      </c>
      <c r="AG387" s="598" t="str">
        <f t="shared" si="818"/>
        <v xml:space="preserve"> </v>
      </c>
      <c r="AH387" s="598" t="str">
        <f t="shared" si="818"/>
        <v xml:space="preserve"> </v>
      </c>
      <c r="AI387" s="598" t="str">
        <f t="shared" si="818"/>
        <v xml:space="preserve"> </v>
      </c>
      <c r="AJ387" s="598" t="str">
        <f t="shared" si="818"/>
        <v xml:space="preserve"> </v>
      </c>
      <c r="AK387" s="598" t="str">
        <f t="shared" si="818"/>
        <v xml:space="preserve"> </v>
      </c>
      <c r="AL387" s="598" t="str">
        <f t="shared" si="818"/>
        <v xml:space="preserve"> </v>
      </c>
      <c r="AM387" s="598" t="str">
        <f t="shared" si="818"/>
        <v xml:space="preserve"> </v>
      </c>
      <c r="AN387" s="598" t="str">
        <f t="shared" si="818"/>
        <v xml:space="preserve"> </v>
      </c>
      <c r="AO387" s="598" t="str">
        <f t="shared" si="818"/>
        <v xml:space="preserve"> </v>
      </c>
      <c r="AP387" s="598" t="str">
        <f t="shared" si="818"/>
        <v xml:space="preserve"> </v>
      </c>
      <c r="AQ387" s="598" t="str">
        <f t="shared" si="818"/>
        <v xml:space="preserve"> </v>
      </c>
      <c r="AR387" s="598" t="str">
        <f t="shared" si="818"/>
        <v xml:space="preserve"> </v>
      </c>
      <c r="AS387" s="598" t="str">
        <f t="shared" si="818"/>
        <v xml:space="preserve"> </v>
      </c>
      <c r="AT387" s="598" t="str">
        <f t="shared" si="818"/>
        <v xml:space="preserve"> </v>
      </c>
      <c r="AV387" s="598" t="str">
        <f t="shared" si="819"/>
        <v xml:space="preserve"> </v>
      </c>
      <c r="AW387" s="598" t="str">
        <f t="shared" si="819"/>
        <v xml:space="preserve"> </v>
      </c>
      <c r="AX387" s="598" t="str">
        <f t="shared" si="819"/>
        <v xml:space="preserve"> </v>
      </c>
      <c r="AY387" s="598" t="str">
        <f t="shared" si="819"/>
        <v xml:space="preserve"> </v>
      </c>
      <c r="AZ387" s="598" t="str">
        <f t="shared" si="819"/>
        <v xml:space="preserve"> </v>
      </c>
      <c r="BA387" s="598" t="str">
        <f t="shared" si="819"/>
        <v xml:space="preserve"> </v>
      </c>
      <c r="BB387" s="598" t="str">
        <f t="shared" si="819"/>
        <v xml:space="preserve"> </v>
      </c>
      <c r="BC387" s="598" t="str">
        <f t="shared" si="819"/>
        <v xml:space="preserve"> </v>
      </c>
      <c r="BD387" s="598" t="str">
        <f t="shared" si="819"/>
        <v xml:space="preserve"> </v>
      </c>
      <c r="BE387" s="598" t="str">
        <f t="shared" si="819"/>
        <v xml:space="preserve"> </v>
      </c>
      <c r="BF387" s="598" t="str">
        <f t="shared" si="820"/>
        <v xml:space="preserve"> </v>
      </c>
      <c r="BG387" s="598" t="str">
        <f t="shared" si="820"/>
        <v xml:space="preserve"> </v>
      </c>
      <c r="BH387" s="598" t="str">
        <f t="shared" si="820"/>
        <v xml:space="preserve"> </v>
      </c>
      <c r="BI387" s="598" t="str">
        <f t="shared" si="820"/>
        <v xml:space="preserve"> </v>
      </c>
      <c r="BJ387" s="598" t="str">
        <f t="shared" si="820"/>
        <v xml:space="preserve"> </v>
      </c>
      <c r="BK387" s="598" t="str">
        <f t="shared" si="820"/>
        <v xml:space="preserve"> </v>
      </c>
      <c r="BL387" s="598" t="str">
        <f t="shared" si="820"/>
        <v xml:space="preserve"> </v>
      </c>
      <c r="BM387" s="598" t="str">
        <f t="shared" si="820"/>
        <v xml:space="preserve"> </v>
      </c>
      <c r="BN387" s="598" t="str">
        <f t="shared" si="820"/>
        <v xml:space="preserve"> </v>
      </c>
      <c r="BO387" s="598" t="str">
        <f t="shared" si="820"/>
        <v xml:space="preserve"> </v>
      </c>
      <c r="BP387" s="598" t="str">
        <f t="shared" si="821"/>
        <v xml:space="preserve"> </v>
      </c>
      <c r="BQ387" s="598" t="str">
        <f t="shared" si="821"/>
        <v xml:space="preserve"> </v>
      </c>
      <c r="BR387" s="598" t="str">
        <f t="shared" si="821"/>
        <v xml:space="preserve"> </v>
      </c>
      <c r="BS387" s="598" t="str">
        <f t="shared" si="821"/>
        <v xml:space="preserve"> </v>
      </c>
      <c r="BT387" s="598" t="str">
        <f t="shared" si="821"/>
        <v xml:space="preserve"> </v>
      </c>
      <c r="BU387" s="598" t="str">
        <f t="shared" si="821"/>
        <v xml:space="preserve"> </v>
      </c>
      <c r="BV387" s="598" t="str">
        <f t="shared" si="821"/>
        <v xml:space="preserve"> </v>
      </c>
      <c r="BW387" s="598" t="str">
        <f t="shared" si="821"/>
        <v xml:space="preserve"> </v>
      </c>
      <c r="BX387" s="598" t="str">
        <f t="shared" si="821"/>
        <v xml:space="preserve"> </v>
      </c>
      <c r="BY387" s="598" t="str">
        <f t="shared" si="821"/>
        <v xml:space="preserve"> </v>
      </c>
      <c r="BZ387" s="598" t="str">
        <f t="shared" si="822"/>
        <v xml:space="preserve"> </v>
      </c>
      <c r="CA387" s="598" t="str">
        <f t="shared" si="822"/>
        <v xml:space="preserve"> </v>
      </c>
      <c r="CB387" s="598" t="str">
        <f t="shared" si="822"/>
        <v xml:space="preserve"> </v>
      </c>
      <c r="CC387" s="598" t="str">
        <f t="shared" si="822"/>
        <v xml:space="preserve"> </v>
      </c>
      <c r="CD387" s="598" t="str">
        <f t="shared" si="822"/>
        <v xml:space="preserve"> </v>
      </c>
      <c r="CE387" s="598" t="str">
        <f t="shared" si="822"/>
        <v xml:space="preserve"> </v>
      </c>
      <c r="CF387" s="598" t="str">
        <f t="shared" si="822"/>
        <v xml:space="preserve"> </v>
      </c>
      <c r="CG387" s="598" t="str">
        <f t="shared" si="822"/>
        <v xml:space="preserve"> </v>
      </c>
      <c r="CH387" s="598" t="str">
        <f t="shared" si="822"/>
        <v xml:space="preserve"> </v>
      </c>
      <c r="CI387" s="598" t="str">
        <f t="shared" si="822"/>
        <v xml:space="preserve"> </v>
      </c>
      <c r="CJ387" s="598" t="str">
        <f t="shared" si="822"/>
        <v xml:space="preserve"> </v>
      </c>
      <c r="CK387" s="598" t="str">
        <f t="shared" si="822"/>
        <v xml:space="preserve"> </v>
      </c>
      <c r="CL387" s="598" t="str">
        <f t="shared" si="822"/>
        <v xml:space="preserve"> </v>
      </c>
      <c r="CM387" s="598" t="str">
        <f t="shared" si="822"/>
        <v xml:space="preserve"> </v>
      </c>
      <c r="CN387" s="598" t="str">
        <f t="shared" si="822"/>
        <v xml:space="preserve"> </v>
      </c>
    </row>
    <row r="388" spans="1:92">
      <c r="A388" s="598">
        <v>11</v>
      </c>
      <c r="B388" s="598" t="str">
        <f t="shared" si="815"/>
        <v xml:space="preserve"> </v>
      </c>
      <c r="C388" s="598" t="str">
        <f t="shared" si="815"/>
        <v xml:space="preserve"> </v>
      </c>
      <c r="D388" s="598" t="str">
        <f t="shared" si="815"/>
        <v xml:space="preserve"> </v>
      </c>
      <c r="E388" s="598" t="str">
        <f t="shared" si="815"/>
        <v xml:space="preserve"> </v>
      </c>
      <c r="F388" s="598" t="str">
        <f t="shared" si="815"/>
        <v xml:space="preserve"> </v>
      </c>
      <c r="G388" s="598" t="str">
        <f t="shared" si="815"/>
        <v xml:space="preserve"> </v>
      </c>
      <c r="H388" s="598" t="str">
        <f t="shared" si="815"/>
        <v xml:space="preserve"> </v>
      </c>
      <c r="I388" s="598" t="str">
        <f t="shared" si="815"/>
        <v xml:space="preserve"> </v>
      </c>
      <c r="J388" s="598" t="str">
        <f t="shared" si="815"/>
        <v xml:space="preserve"> </v>
      </c>
      <c r="K388" s="598" t="str">
        <f t="shared" si="815"/>
        <v xml:space="preserve"> </v>
      </c>
      <c r="L388" s="598" t="str">
        <f t="shared" si="816"/>
        <v xml:space="preserve"> </v>
      </c>
      <c r="M388" s="598" t="str">
        <f t="shared" si="816"/>
        <v xml:space="preserve"> </v>
      </c>
      <c r="N388" s="598" t="str">
        <f t="shared" si="816"/>
        <v xml:space="preserve"> </v>
      </c>
      <c r="O388" s="598" t="str">
        <f t="shared" si="816"/>
        <v xml:space="preserve"> </v>
      </c>
      <c r="P388" s="598" t="str">
        <f t="shared" si="816"/>
        <v xml:space="preserve"> </v>
      </c>
      <c r="Q388" s="598" t="str">
        <f t="shared" si="816"/>
        <v xml:space="preserve"> </v>
      </c>
      <c r="R388" s="598" t="str">
        <f t="shared" si="816"/>
        <v xml:space="preserve"> </v>
      </c>
      <c r="S388" s="598" t="str">
        <f t="shared" si="816"/>
        <v xml:space="preserve"> </v>
      </c>
      <c r="T388" s="598" t="str">
        <f t="shared" si="816"/>
        <v xml:space="preserve"> </v>
      </c>
      <c r="U388" s="598" t="str">
        <f t="shared" si="816"/>
        <v xml:space="preserve"> </v>
      </c>
      <c r="V388" s="598" t="str">
        <f t="shared" si="817"/>
        <v xml:space="preserve"> </v>
      </c>
      <c r="W388" s="598" t="str">
        <f t="shared" si="817"/>
        <v xml:space="preserve"> </v>
      </c>
      <c r="X388" s="598" t="str">
        <f t="shared" si="817"/>
        <v xml:space="preserve"> </v>
      </c>
      <c r="Y388" s="598" t="str">
        <f t="shared" si="817"/>
        <v xml:space="preserve"> </v>
      </c>
      <c r="Z388" s="598" t="str">
        <f t="shared" si="817"/>
        <v xml:space="preserve"> </v>
      </c>
      <c r="AA388" s="598" t="str">
        <f t="shared" si="817"/>
        <v xml:space="preserve"> </v>
      </c>
      <c r="AB388" s="598" t="str">
        <f t="shared" si="817"/>
        <v xml:space="preserve"> </v>
      </c>
      <c r="AC388" s="598" t="str">
        <f t="shared" si="817"/>
        <v xml:space="preserve"> </v>
      </c>
      <c r="AD388" s="598" t="str">
        <f t="shared" si="817"/>
        <v xml:space="preserve"> </v>
      </c>
      <c r="AE388" s="598" t="str">
        <f t="shared" si="817"/>
        <v xml:space="preserve"> </v>
      </c>
      <c r="AF388" s="598" t="str">
        <f t="shared" si="818"/>
        <v xml:space="preserve"> </v>
      </c>
      <c r="AG388" s="598" t="str">
        <f t="shared" si="818"/>
        <v xml:space="preserve"> </v>
      </c>
      <c r="AH388" s="598" t="str">
        <f t="shared" si="818"/>
        <v xml:space="preserve"> </v>
      </c>
      <c r="AI388" s="598" t="str">
        <f t="shared" si="818"/>
        <v xml:space="preserve"> </v>
      </c>
      <c r="AJ388" s="598" t="str">
        <f t="shared" si="818"/>
        <v xml:space="preserve"> </v>
      </c>
      <c r="AK388" s="598" t="str">
        <f t="shared" si="818"/>
        <v xml:space="preserve"> </v>
      </c>
      <c r="AL388" s="598" t="str">
        <f t="shared" si="818"/>
        <v xml:space="preserve"> </v>
      </c>
      <c r="AM388" s="598" t="str">
        <f t="shared" si="818"/>
        <v xml:space="preserve"> </v>
      </c>
      <c r="AN388" s="598" t="str">
        <f t="shared" si="818"/>
        <v xml:space="preserve"> </v>
      </c>
      <c r="AO388" s="598" t="str">
        <f t="shared" si="818"/>
        <v xml:space="preserve"> </v>
      </c>
      <c r="AP388" s="598" t="str">
        <f t="shared" si="818"/>
        <v xml:space="preserve"> </v>
      </c>
      <c r="AQ388" s="598" t="str">
        <f t="shared" si="818"/>
        <v xml:space="preserve"> </v>
      </c>
      <c r="AR388" s="598" t="str">
        <f t="shared" si="818"/>
        <v xml:space="preserve"> </v>
      </c>
      <c r="AS388" s="598" t="str">
        <f t="shared" si="818"/>
        <v xml:space="preserve"> </v>
      </c>
      <c r="AT388" s="598" t="str">
        <f t="shared" si="818"/>
        <v xml:space="preserve"> </v>
      </c>
      <c r="AV388" s="598" t="str">
        <f t="shared" si="819"/>
        <v xml:space="preserve"> </v>
      </c>
      <c r="AW388" s="598" t="str">
        <f t="shared" si="819"/>
        <v xml:space="preserve"> </v>
      </c>
      <c r="AX388" s="598" t="str">
        <f t="shared" si="819"/>
        <v xml:space="preserve"> </v>
      </c>
      <c r="AY388" s="598" t="str">
        <f t="shared" si="819"/>
        <v xml:space="preserve"> </v>
      </c>
      <c r="AZ388" s="598" t="str">
        <f t="shared" si="819"/>
        <v xml:space="preserve"> </v>
      </c>
      <c r="BA388" s="598" t="str">
        <f t="shared" si="819"/>
        <v xml:space="preserve"> </v>
      </c>
      <c r="BB388" s="598" t="str">
        <f t="shared" si="819"/>
        <v xml:space="preserve"> </v>
      </c>
      <c r="BC388" s="598" t="str">
        <f t="shared" si="819"/>
        <v xml:space="preserve"> </v>
      </c>
      <c r="BD388" s="598" t="str">
        <f t="shared" si="819"/>
        <v xml:space="preserve"> </v>
      </c>
      <c r="BE388" s="598" t="str">
        <f t="shared" si="819"/>
        <v xml:space="preserve"> </v>
      </c>
      <c r="BF388" s="598" t="str">
        <f t="shared" si="820"/>
        <v xml:space="preserve"> </v>
      </c>
      <c r="BG388" s="598" t="str">
        <f t="shared" si="820"/>
        <v xml:space="preserve"> </v>
      </c>
      <c r="BH388" s="598" t="str">
        <f t="shared" si="820"/>
        <v xml:space="preserve"> </v>
      </c>
      <c r="BI388" s="598" t="str">
        <f t="shared" si="820"/>
        <v xml:space="preserve"> </v>
      </c>
      <c r="BJ388" s="598" t="str">
        <f t="shared" si="820"/>
        <v xml:space="preserve"> </v>
      </c>
      <c r="BK388" s="598" t="str">
        <f t="shared" si="820"/>
        <v xml:space="preserve"> </v>
      </c>
      <c r="BL388" s="598" t="str">
        <f t="shared" si="820"/>
        <v xml:space="preserve"> </v>
      </c>
      <c r="BM388" s="598" t="str">
        <f t="shared" si="820"/>
        <v xml:space="preserve"> </v>
      </c>
      <c r="BN388" s="598" t="str">
        <f t="shared" si="820"/>
        <v xml:space="preserve"> </v>
      </c>
      <c r="BO388" s="598" t="str">
        <f t="shared" si="820"/>
        <v xml:space="preserve"> </v>
      </c>
      <c r="BP388" s="598" t="str">
        <f t="shared" si="821"/>
        <v xml:space="preserve"> </v>
      </c>
      <c r="BQ388" s="598" t="str">
        <f t="shared" si="821"/>
        <v xml:space="preserve"> </v>
      </c>
      <c r="BR388" s="598" t="str">
        <f t="shared" si="821"/>
        <v xml:space="preserve"> </v>
      </c>
      <c r="BS388" s="598" t="str">
        <f t="shared" si="821"/>
        <v xml:space="preserve"> </v>
      </c>
      <c r="BT388" s="598" t="str">
        <f t="shared" si="821"/>
        <v xml:space="preserve"> </v>
      </c>
      <c r="BU388" s="598" t="str">
        <f t="shared" si="821"/>
        <v xml:space="preserve"> </v>
      </c>
      <c r="BV388" s="598" t="str">
        <f t="shared" si="821"/>
        <v xml:space="preserve"> </v>
      </c>
      <c r="BW388" s="598" t="str">
        <f t="shared" si="821"/>
        <v xml:space="preserve"> </v>
      </c>
      <c r="BX388" s="598" t="str">
        <f t="shared" si="821"/>
        <v xml:space="preserve"> </v>
      </c>
      <c r="BY388" s="598" t="str">
        <f t="shared" si="821"/>
        <v xml:space="preserve"> </v>
      </c>
      <c r="BZ388" s="598" t="str">
        <f t="shared" si="822"/>
        <v xml:space="preserve"> </v>
      </c>
      <c r="CA388" s="598" t="str">
        <f t="shared" si="822"/>
        <v xml:space="preserve"> </v>
      </c>
      <c r="CB388" s="598" t="str">
        <f t="shared" si="822"/>
        <v xml:space="preserve"> </v>
      </c>
      <c r="CC388" s="598" t="str">
        <f t="shared" si="822"/>
        <v xml:space="preserve"> </v>
      </c>
      <c r="CD388" s="598" t="str">
        <f t="shared" si="822"/>
        <v xml:space="preserve"> </v>
      </c>
      <c r="CE388" s="598" t="str">
        <f t="shared" si="822"/>
        <v xml:space="preserve"> </v>
      </c>
      <c r="CF388" s="598" t="str">
        <f t="shared" si="822"/>
        <v xml:space="preserve"> </v>
      </c>
      <c r="CG388" s="598" t="str">
        <f t="shared" si="822"/>
        <v xml:space="preserve"> </v>
      </c>
      <c r="CH388" s="598" t="str">
        <f t="shared" si="822"/>
        <v xml:space="preserve"> </v>
      </c>
      <c r="CI388" s="598" t="str">
        <f t="shared" si="822"/>
        <v xml:space="preserve"> </v>
      </c>
      <c r="CJ388" s="598" t="str">
        <f t="shared" si="822"/>
        <v xml:space="preserve"> </v>
      </c>
      <c r="CK388" s="598" t="str">
        <f t="shared" si="822"/>
        <v xml:space="preserve"> </v>
      </c>
      <c r="CL388" s="598" t="str">
        <f t="shared" si="822"/>
        <v xml:space="preserve"> </v>
      </c>
      <c r="CM388" s="598" t="str">
        <f t="shared" si="822"/>
        <v xml:space="preserve"> </v>
      </c>
      <c r="CN388" s="598" t="str">
        <f t="shared" si="822"/>
        <v xml:space="preserve"> </v>
      </c>
    </row>
    <row r="389" spans="1:92">
      <c r="A389" s="598">
        <v>12</v>
      </c>
      <c r="B389" s="598" t="str">
        <f t="shared" ref="B389:K398" si="823">HLOOKUP(B$376,$C$255:$S$372,$A389+1)</f>
        <v xml:space="preserve"> </v>
      </c>
      <c r="C389" s="598" t="str">
        <f t="shared" si="823"/>
        <v xml:space="preserve"> </v>
      </c>
      <c r="D389" s="598" t="str">
        <f t="shared" si="823"/>
        <v xml:space="preserve"> </v>
      </c>
      <c r="E389" s="598" t="str">
        <f t="shared" si="823"/>
        <v xml:space="preserve"> </v>
      </c>
      <c r="F389" s="598" t="str">
        <f t="shared" si="823"/>
        <v xml:space="preserve"> </v>
      </c>
      <c r="G389" s="598" t="str">
        <f t="shared" si="823"/>
        <v xml:space="preserve"> </v>
      </c>
      <c r="H389" s="598" t="str">
        <f t="shared" si="823"/>
        <v xml:space="preserve"> </v>
      </c>
      <c r="I389" s="598" t="str">
        <f t="shared" si="823"/>
        <v xml:space="preserve"> </v>
      </c>
      <c r="J389" s="598" t="str">
        <f t="shared" si="823"/>
        <v xml:space="preserve"> </v>
      </c>
      <c r="K389" s="598" t="str">
        <f t="shared" si="823"/>
        <v xml:space="preserve"> </v>
      </c>
      <c r="L389" s="598" t="str">
        <f t="shared" ref="L389:U398" si="824">HLOOKUP(L$376,$C$255:$S$372,$A389+1)</f>
        <v xml:space="preserve"> </v>
      </c>
      <c r="M389" s="598" t="str">
        <f t="shared" si="824"/>
        <v xml:space="preserve"> </v>
      </c>
      <c r="N389" s="598" t="str">
        <f t="shared" si="824"/>
        <v xml:space="preserve"> </v>
      </c>
      <c r="O389" s="598" t="str">
        <f t="shared" si="824"/>
        <v xml:space="preserve"> </v>
      </c>
      <c r="P389" s="598" t="str">
        <f t="shared" si="824"/>
        <v xml:space="preserve"> </v>
      </c>
      <c r="Q389" s="598" t="str">
        <f t="shared" si="824"/>
        <v xml:space="preserve"> </v>
      </c>
      <c r="R389" s="598" t="str">
        <f t="shared" si="824"/>
        <v xml:space="preserve"> </v>
      </c>
      <c r="S389" s="598" t="str">
        <f t="shared" si="824"/>
        <v xml:space="preserve"> </v>
      </c>
      <c r="T389" s="598" t="str">
        <f t="shared" si="824"/>
        <v xml:space="preserve"> </v>
      </c>
      <c r="U389" s="598" t="str">
        <f t="shared" si="824"/>
        <v xml:space="preserve"> </v>
      </c>
      <c r="V389" s="598" t="str">
        <f t="shared" ref="V389:AE398" si="825">HLOOKUP(V$376,$C$255:$S$372,$A389+1)</f>
        <v xml:space="preserve"> </v>
      </c>
      <c r="W389" s="598" t="str">
        <f t="shared" si="825"/>
        <v xml:space="preserve"> </v>
      </c>
      <c r="X389" s="598" t="str">
        <f t="shared" si="825"/>
        <v xml:space="preserve"> </v>
      </c>
      <c r="Y389" s="598" t="str">
        <f t="shared" si="825"/>
        <v xml:space="preserve"> </v>
      </c>
      <c r="Z389" s="598" t="str">
        <f t="shared" si="825"/>
        <v xml:space="preserve"> </v>
      </c>
      <c r="AA389" s="598" t="str">
        <f t="shared" si="825"/>
        <v xml:space="preserve"> </v>
      </c>
      <c r="AB389" s="598" t="str">
        <f t="shared" si="825"/>
        <v xml:space="preserve"> </v>
      </c>
      <c r="AC389" s="598" t="str">
        <f t="shared" si="825"/>
        <v xml:space="preserve"> </v>
      </c>
      <c r="AD389" s="598" t="str">
        <f t="shared" si="825"/>
        <v xml:space="preserve"> </v>
      </c>
      <c r="AE389" s="598" t="str">
        <f t="shared" si="825"/>
        <v xml:space="preserve"> </v>
      </c>
      <c r="AF389" s="598" t="str">
        <f t="shared" ref="AF389:AT398" si="826">HLOOKUP(AF$376,$C$255:$S$372,$A389+1)</f>
        <v xml:space="preserve"> </v>
      </c>
      <c r="AG389" s="598" t="str">
        <f t="shared" si="826"/>
        <v xml:space="preserve"> </v>
      </c>
      <c r="AH389" s="598" t="str">
        <f t="shared" si="826"/>
        <v xml:space="preserve"> </v>
      </c>
      <c r="AI389" s="598" t="str">
        <f t="shared" si="826"/>
        <v xml:space="preserve"> </v>
      </c>
      <c r="AJ389" s="598" t="str">
        <f t="shared" si="826"/>
        <v xml:space="preserve"> </v>
      </c>
      <c r="AK389" s="598" t="str">
        <f t="shared" si="826"/>
        <v xml:space="preserve"> </v>
      </c>
      <c r="AL389" s="598" t="str">
        <f t="shared" si="826"/>
        <v xml:space="preserve"> </v>
      </c>
      <c r="AM389" s="598" t="str">
        <f t="shared" si="826"/>
        <v xml:space="preserve"> </v>
      </c>
      <c r="AN389" s="598" t="str">
        <f t="shared" si="826"/>
        <v xml:space="preserve"> </v>
      </c>
      <c r="AO389" s="598" t="str">
        <f t="shared" si="826"/>
        <v xml:space="preserve"> </v>
      </c>
      <c r="AP389" s="598" t="str">
        <f t="shared" si="826"/>
        <v xml:space="preserve"> </v>
      </c>
      <c r="AQ389" s="598" t="str">
        <f t="shared" si="826"/>
        <v xml:space="preserve"> </v>
      </c>
      <c r="AR389" s="598" t="str">
        <f t="shared" si="826"/>
        <v xml:space="preserve"> </v>
      </c>
      <c r="AS389" s="598" t="str">
        <f t="shared" si="826"/>
        <v xml:space="preserve"> </v>
      </c>
      <c r="AT389" s="598" t="str">
        <f t="shared" si="826"/>
        <v xml:space="preserve"> </v>
      </c>
      <c r="AV389" s="598" t="str">
        <f t="shared" ref="AV389:BE398" si="827">HLOOKUP(AV$376,$C$255:$S$372,$A389+1)</f>
        <v xml:space="preserve"> </v>
      </c>
      <c r="AW389" s="598" t="str">
        <f t="shared" si="827"/>
        <v xml:space="preserve"> </v>
      </c>
      <c r="AX389" s="598" t="str">
        <f t="shared" si="827"/>
        <v xml:space="preserve"> </v>
      </c>
      <c r="AY389" s="598" t="str">
        <f t="shared" si="827"/>
        <v xml:space="preserve"> </v>
      </c>
      <c r="AZ389" s="598" t="str">
        <f t="shared" si="827"/>
        <v xml:space="preserve"> </v>
      </c>
      <c r="BA389" s="598" t="str">
        <f t="shared" si="827"/>
        <v xml:space="preserve"> </v>
      </c>
      <c r="BB389" s="598" t="str">
        <f t="shared" si="827"/>
        <v xml:space="preserve"> </v>
      </c>
      <c r="BC389" s="598" t="str">
        <f t="shared" si="827"/>
        <v xml:space="preserve"> </v>
      </c>
      <c r="BD389" s="598" t="str">
        <f t="shared" si="827"/>
        <v xml:space="preserve"> </v>
      </c>
      <c r="BE389" s="598" t="str">
        <f t="shared" si="827"/>
        <v xml:space="preserve"> </v>
      </c>
      <c r="BF389" s="598" t="str">
        <f t="shared" ref="BF389:BO398" si="828">HLOOKUP(BF$376,$C$255:$S$372,$A389+1)</f>
        <v xml:space="preserve"> </v>
      </c>
      <c r="BG389" s="598" t="str">
        <f t="shared" si="828"/>
        <v xml:space="preserve"> </v>
      </c>
      <c r="BH389" s="598" t="str">
        <f t="shared" si="828"/>
        <v xml:space="preserve"> </v>
      </c>
      <c r="BI389" s="598" t="str">
        <f t="shared" si="828"/>
        <v xml:space="preserve"> </v>
      </c>
      <c r="BJ389" s="598" t="str">
        <f t="shared" si="828"/>
        <v xml:space="preserve"> </v>
      </c>
      <c r="BK389" s="598" t="str">
        <f t="shared" si="828"/>
        <v xml:space="preserve"> </v>
      </c>
      <c r="BL389" s="598" t="str">
        <f t="shared" si="828"/>
        <v xml:space="preserve"> </v>
      </c>
      <c r="BM389" s="598" t="str">
        <f t="shared" si="828"/>
        <v xml:space="preserve"> </v>
      </c>
      <c r="BN389" s="598" t="str">
        <f t="shared" si="828"/>
        <v xml:space="preserve"> </v>
      </c>
      <c r="BO389" s="598" t="str">
        <f t="shared" si="828"/>
        <v xml:space="preserve"> </v>
      </c>
      <c r="BP389" s="598" t="str">
        <f t="shared" ref="BP389:BY398" si="829">HLOOKUP(BP$376,$C$255:$S$372,$A389+1)</f>
        <v xml:space="preserve"> </v>
      </c>
      <c r="BQ389" s="598" t="str">
        <f t="shared" si="829"/>
        <v xml:space="preserve"> </v>
      </c>
      <c r="BR389" s="598" t="str">
        <f t="shared" si="829"/>
        <v xml:space="preserve"> </v>
      </c>
      <c r="BS389" s="598" t="str">
        <f t="shared" si="829"/>
        <v xml:space="preserve"> </v>
      </c>
      <c r="BT389" s="598" t="str">
        <f t="shared" si="829"/>
        <v xml:space="preserve"> </v>
      </c>
      <c r="BU389" s="598" t="str">
        <f t="shared" si="829"/>
        <v xml:space="preserve"> </v>
      </c>
      <c r="BV389" s="598" t="str">
        <f t="shared" si="829"/>
        <v xml:space="preserve"> </v>
      </c>
      <c r="BW389" s="598" t="str">
        <f t="shared" si="829"/>
        <v xml:space="preserve"> </v>
      </c>
      <c r="BX389" s="598" t="str">
        <f t="shared" si="829"/>
        <v xml:space="preserve"> </v>
      </c>
      <c r="BY389" s="598" t="str">
        <f t="shared" si="829"/>
        <v xml:space="preserve"> </v>
      </c>
      <c r="BZ389" s="598" t="str">
        <f t="shared" ref="BZ389:CN398" si="830">HLOOKUP(BZ$376,$C$255:$S$372,$A389+1)</f>
        <v xml:space="preserve"> </v>
      </c>
      <c r="CA389" s="598" t="str">
        <f t="shared" si="830"/>
        <v xml:space="preserve"> </v>
      </c>
      <c r="CB389" s="598" t="str">
        <f t="shared" si="830"/>
        <v xml:space="preserve"> </v>
      </c>
      <c r="CC389" s="598" t="str">
        <f t="shared" si="830"/>
        <v xml:space="preserve"> </v>
      </c>
      <c r="CD389" s="598" t="str">
        <f t="shared" si="830"/>
        <v xml:space="preserve"> </v>
      </c>
      <c r="CE389" s="598" t="str">
        <f t="shared" si="830"/>
        <v xml:space="preserve"> </v>
      </c>
      <c r="CF389" s="598" t="str">
        <f t="shared" si="830"/>
        <v xml:space="preserve"> </v>
      </c>
      <c r="CG389" s="598" t="str">
        <f t="shared" si="830"/>
        <v xml:space="preserve"> </v>
      </c>
      <c r="CH389" s="598" t="str">
        <f t="shared" si="830"/>
        <v xml:space="preserve"> </v>
      </c>
      <c r="CI389" s="598" t="str">
        <f t="shared" si="830"/>
        <v xml:space="preserve"> </v>
      </c>
      <c r="CJ389" s="598" t="str">
        <f t="shared" si="830"/>
        <v xml:space="preserve"> </v>
      </c>
      <c r="CK389" s="598" t="str">
        <f t="shared" si="830"/>
        <v xml:space="preserve"> </v>
      </c>
      <c r="CL389" s="598" t="str">
        <f t="shared" si="830"/>
        <v xml:space="preserve"> </v>
      </c>
      <c r="CM389" s="598" t="str">
        <f t="shared" si="830"/>
        <v xml:space="preserve"> </v>
      </c>
      <c r="CN389" s="598" t="str">
        <f t="shared" si="830"/>
        <v xml:space="preserve"> </v>
      </c>
    </row>
    <row r="390" spans="1:92">
      <c r="A390" s="598">
        <v>13</v>
      </c>
      <c r="B390" s="598" t="str">
        <f t="shared" si="823"/>
        <v xml:space="preserve"> </v>
      </c>
      <c r="C390" s="598" t="str">
        <f t="shared" si="823"/>
        <v xml:space="preserve"> </v>
      </c>
      <c r="D390" s="598" t="str">
        <f t="shared" si="823"/>
        <v xml:space="preserve"> </v>
      </c>
      <c r="E390" s="598" t="str">
        <f t="shared" si="823"/>
        <v xml:space="preserve"> </v>
      </c>
      <c r="F390" s="598" t="str">
        <f t="shared" si="823"/>
        <v xml:space="preserve"> </v>
      </c>
      <c r="G390" s="598" t="str">
        <f t="shared" si="823"/>
        <v xml:space="preserve"> </v>
      </c>
      <c r="H390" s="598" t="str">
        <f t="shared" si="823"/>
        <v xml:space="preserve"> </v>
      </c>
      <c r="I390" s="598" t="str">
        <f t="shared" si="823"/>
        <v xml:space="preserve"> </v>
      </c>
      <c r="J390" s="598" t="str">
        <f t="shared" si="823"/>
        <v xml:space="preserve"> </v>
      </c>
      <c r="K390" s="598" t="str">
        <f t="shared" si="823"/>
        <v xml:space="preserve"> </v>
      </c>
      <c r="L390" s="598" t="str">
        <f t="shared" si="824"/>
        <v xml:space="preserve"> </v>
      </c>
      <c r="M390" s="598" t="str">
        <f t="shared" si="824"/>
        <v xml:space="preserve"> </v>
      </c>
      <c r="N390" s="598" t="str">
        <f t="shared" si="824"/>
        <v xml:space="preserve"> </v>
      </c>
      <c r="O390" s="598" t="str">
        <f t="shared" si="824"/>
        <v xml:space="preserve"> </v>
      </c>
      <c r="P390" s="598" t="str">
        <f t="shared" si="824"/>
        <v xml:space="preserve"> </v>
      </c>
      <c r="Q390" s="598" t="str">
        <f t="shared" si="824"/>
        <v xml:space="preserve"> </v>
      </c>
      <c r="R390" s="598" t="str">
        <f t="shared" si="824"/>
        <v xml:space="preserve"> </v>
      </c>
      <c r="S390" s="598" t="str">
        <f t="shared" si="824"/>
        <v xml:space="preserve"> </v>
      </c>
      <c r="T390" s="598" t="str">
        <f t="shared" si="824"/>
        <v xml:space="preserve"> </v>
      </c>
      <c r="U390" s="598" t="str">
        <f t="shared" si="824"/>
        <v xml:space="preserve"> </v>
      </c>
      <c r="V390" s="598" t="str">
        <f t="shared" si="825"/>
        <v xml:space="preserve"> </v>
      </c>
      <c r="W390" s="598" t="str">
        <f t="shared" si="825"/>
        <v xml:space="preserve"> </v>
      </c>
      <c r="X390" s="598" t="str">
        <f t="shared" si="825"/>
        <v xml:space="preserve"> </v>
      </c>
      <c r="Y390" s="598" t="str">
        <f t="shared" si="825"/>
        <v xml:space="preserve"> </v>
      </c>
      <c r="Z390" s="598" t="str">
        <f t="shared" si="825"/>
        <v xml:space="preserve"> </v>
      </c>
      <c r="AA390" s="598" t="str">
        <f t="shared" si="825"/>
        <v xml:space="preserve"> </v>
      </c>
      <c r="AB390" s="598" t="str">
        <f t="shared" si="825"/>
        <v xml:space="preserve"> </v>
      </c>
      <c r="AC390" s="598" t="str">
        <f t="shared" si="825"/>
        <v xml:space="preserve"> </v>
      </c>
      <c r="AD390" s="598" t="str">
        <f t="shared" si="825"/>
        <v xml:space="preserve"> </v>
      </c>
      <c r="AE390" s="598" t="str">
        <f t="shared" si="825"/>
        <v xml:space="preserve"> </v>
      </c>
      <c r="AF390" s="598" t="str">
        <f t="shared" si="826"/>
        <v xml:space="preserve"> </v>
      </c>
      <c r="AG390" s="598" t="str">
        <f t="shared" si="826"/>
        <v xml:space="preserve"> </v>
      </c>
      <c r="AH390" s="598" t="str">
        <f t="shared" si="826"/>
        <v xml:space="preserve"> </v>
      </c>
      <c r="AI390" s="598" t="str">
        <f t="shared" si="826"/>
        <v xml:space="preserve"> </v>
      </c>
      <c r="AJ390" s="598" t="str">
        <f t="shared" si="826"/>
        <v xml:space="preserve"> </v>
      </c>
      <c r="AK390" s="598" t="str">
        <f t="shared" si="826"/>
        <v xml:space="preserve"> </v>
      </c>
      <c r="AL390" s="598" t="str">
        <f t="shared" si="826"/>
        <v xml:space="preserve"> </v>
      </c>
      <c r="AM390" s="598" t="str">
        <f t="shared" si="826"/>
        <v xml:space="preserve"> </v>
      </c>
      <c r="AN390" s="598" t="str">
        <f t="shared" si="826"/>
        <v xml:space="preserve"> </v>
      </c>
      <c r="AO390" s="598" t="str">
        <f t="shared" si="826"/>
        <v xml:space="preserve"> </v>
      </c>
      <c r="AP390" s="598" t="str">
        <f t="shared" si="826"/>
        <v xml:space="preserve"> </v>
      </c>
      <c r="AQ390" s="598" t="str">
        <f t="shared" si="826"/>
        <v xml:space="preserve"> </v>
      </c>
      <c r="AR390" s="598" t="str">
        <f t="shared" si="826"/>
        <v xml:space="preserve"> </v>
      </c>
      <c r="AS390" s="598" t="str">
        <f t="shared" si="826"/>
        <v xml:space="preserve"> </v>
      </c>
      <c r="AT390" s="598" t="str">
        <f t="shared" si="826"/>
        <v xml:space="preserve"> </v>
      </c>
      <c r="AV390" s="598" t="str">
        <f t="shared" si="827"/>
        <v xml:space="preserve"> </v>
      </c>
      <c r="AW390" s="598" t="str">
        <f t="shared" si="827"/>
        <v xml:space="preserve"> </v>
      </c>
      <c r="AX390" s="598" t="str">
        <f t="shared" si="827"/>
        <v xml:space="preserve"> </v>
      </c>
      <c r="AY390" s="598" t="str">
        <f t="shared" si="827"/>
        <v xml:space="preserve"> </v>
      </c>
      <c r="AZ390" s="598" t="str">
        <f t="shared" si="827"/>
        <v xml:space="preserve"> </v>
      </c>
      <c r="BA390" s="598" t="str">
        <f t="shared" si="827"/>
        <v xml:space="preserve"> </v>
      </c>
      <c r="BB390" s="598" t="str">
        <f t="shared" si="827"/>
        <v xml:space="preserve"> </v>
      </c>
      <c r="BC390" s="598" t="str">
        <f t="shared" si="827"/>
        <v xml:space="preserve"> </v>
      </c>
      <c r="BD390" s="598" t="str">
        <f t="shared" si="827"/>
        <v xml:space="preserve"> </v>
      </c>
      <c r="BE390" s="598" t="str">
        <f t="shared" si="827"/>
        <v xml:space="preserve"> </v>
      </c>
      <c r="BF390" s="598" t="str">
        <f t="shared" si="828"/>
        <v xml:space="preserve"> </v>
      </c>
      <c r="BG390" s="598" t="str">
        <f t="shared" si="828"/>
        <v xml:space="preserve"> </v>
      </c>
      <c r="BH390" s="598" t="str">
        <f t="shared" si="828"/>
        <v xml:space="preserve"> </v>
      </c>
      <c r="BI390" s="598" t="str">
        <f t="shared" si="828"/>
        <v xml:space="preserve"> </v>
      </c>
      <c r="BJ390" s="598" t="str">
        <f t="shared" si="828"/>
        <v xml:space="preserve"> </v>
      </c>
      <c r="BK390" s="598" t="str">
        <f t="shared" si="828"/>
        <v xml:space="preserve"> </v>
      </c>
      <c r="BL390" s="598" t="str">
        <f t="shared" si="828"/>
        <v xml:space="preserve"> </v>
      </c>
      <c r="BM390" s="598" t="str">
        <f t="shared" si="828"/>
        <v xml:space="preserve"> </v>
      </c>
      <c r="BN390" s="598" t="str">
        <f t="shared" si="828"/>
        <v xml:space="preserve"> </v>
      </c>
      <c r="BO390" s="598" t="str">
        <f t="shared" si="828"/>
        <v xml:space="preserve"> </v>
      </c>
      <c r="BP390" s="598" t="str">
        <f t="shared" si="829"/>
        <v xml:space="preserve"> </v>
      </c>
      <c r="BQ390" s="598" t="str">
        <f t="shared" si="829"/>
        <v xml:space="preserve"> </v>
      </c>
      <c r="BR390" s="598" t="str">
        <f t="shared" si="829"/>
        <v xml:space="preserve"> </v>
      </c>
      <c r="BS390" s="598" t="str">
        <f t="shared" si="829"/>
        <v xml:space="preserve"> </v>
      </c>
      <c r="BT390" s="598" t="str">
        <f t="shared" si="829"/>
        <v xml:space="preserve"> </v>
      </c>
      <c r="BU390" s="598" t="str">
        <f t="shared" si="829"/>
        <v xml:space="preserve"> </v>
      </c>
      <c r="BV390" s="598" t="str">
        <f t="shared" si="829"/>
        <v xml:space="preserve"> </v>
      </c>
      <c r="BW390" s="598" t="str">
        <f t="shared" si="829"/>
        <v xml:space="preserve"> </v>
      </c>
      <c r="BX390" s="598" t="str">
        <f t="shared" si="829"/>
        <v xml:space="preserve"> </v>
      </c>
      <c r="BY390" s="598" t="str">
        <f t="shared" si="829"/>
        <v xml:space="preserve"> </v>
      </c>
      <c r="BZ390" s="598" t="str">
        <f t="shared" si="830"/>
        <v xml:space="preserve"> </v>
      </c>
      <c r="CA390" s="598" t="str">
        <f t="shared" si="830"/>
        <v xml:space="preserve"> </v>
      </c>
      <c r="CB390" s="598" t="str">
        <f t="shared" si="830"/>
        <v xml:space="preserve"> </v>
      </c>
      <c r="CC390" s="598" t="str">
        <f t="shared" si="830"/>
        <v xml:space="preserve"> </v>
      </c>
      <c r="CD390" s="598" t="str">
        <f t="shared" si="830"/>
        <v xml:space="preserve"> </v>
      </c>
      <c r="CE390" s="598" t="str">
        <f t="shared" si="830"/>
        <v xml:space="preserve"> </v>
      </c>
      <c r="CF390" s="598" t="str">
        <f t="shared" si="830"/>
        <v xml:space="preserve"> </v>
      </c>
      <c r="CG390" s="598" t="str">
        <f t="shared" si="830"/>
        <v xml:space="preserve"> </v>
      </c>
      <c r="CH390" s="598" t="str">
        <f t="shared" si="830"/>
        <v xml:space="preserve"> </v>
      </c>
      <c r="CI390" s="598" t="str">
        <f t="shared" si="830"/>
        <v xml:space="preserve"> </v>
      </c>
      <c r="CJ390" s="598" t="str">
        <f t="shared" si="830"/>
        <v xml:space="preserve"> </v>
      </c>
      <c r="CK390" s="598" t="str">
        <f t="shared" si="830"/>
        <v xml:space="preserve"> </v>
      </c>
      <c r="CL390" s="598" t="str">
        <f t="shared" si="830"/>
        <v xml:space="preserve"> </v>
      </c>
      <c r="CM390" s="598" t="str">
        <f t="shared" si="830"/>
        <v xml:space="preserve"> </v>
      </c>
      <c r="CN390" s="598" t="str">
        <f t="shared" si="830"/>
        <v xml:space="preserve"> </v>
      </c>
    </row>
    <row r="391" spans="1:92">
      <c r="A391" s="598">
        <v>14</v>
      </c>
      <c r="B391" s="598" t="str">
        <f t="shared" si="823"/>
        <v xml:space="preserve"> </v>
      </c>
      <c r="C391" s="598" t="str">
        <f t="shared" si="823"/>
        <v xml:space="preserve"> </v>
      </c>
      <c r="D391" s="598" t="str">
        <f t="shared" si="823"/>
        <v xml:space="preserve"> </v>
      </c>
      <c r="E391" s="598" t="str">
        <f t="shared" si="823"/>
        <v xml:space="preserve"> </v>
      </c>
      <c r="F391" s="598" t="str">
        <f t="shared" si="823"/>
        <v xml:space="preserve"> </v>
      </c>
      <c r="G391" s="598" t="str">
        <f t="shared" si="823"/>
        <v xml:space="preserve"> </v>
      </c>
      <c r="H391" s="598" t="str">
        <f t="shared" si="823"/>
        <v xml:space="preserve"> </v>
      </c>
      <c r="I391" s="598" t="str">
        <f t="shared" si="823"/>
        <v xml:space="preserve"> </v>
      </c>
      <c r="J391" s="598" t="str">
        <f t="shared" si="823"/>
        <v xml:space="preserve"> </v>
      </c>
      <c r="K391" s="598" t="str">
        <f t="shared" si="823"/>
        <v xml:space="preserve"> </v>
      </c>
      <c r="L391" s="598" t="str">
        <f t="shared" si="824"/>
        <v xml:space="preserve"> </v>
      </c>
      <c r="M391" s="598" t="str">
        <f t="shared" si="824"/>
        <v xml:space="preserve"> </v>
      </c>
      <c r="N391" s="598" t="str">
        <f t="shared" si="824"/>
        <v xml:space="preserve"> </v>
      </c>
      <c r="O391" s="598" t="str">
        <f t="shared" si="824"/>
        <v xml:space="preserve"> </v>
      </c>
      <c r="P391" s="598" t="str">
        <f t="shared" si="824"/>
        <v xml:space="preserve"> </v>
      </c>
      <c r="Q391" s="598" t="str">
        <f t="shared" si="824"/>
        <v xml:space="preserve"> </v>
      </c>
      <c r="R391" s="598" t="str">
        <f t="shared" si="824"/>
        <v xml:space="preserve"> </v>
      </c>
      <c r="S391" s="598" t="str">
        <f t="shared" si="824"/>
        <v xml:space="preserve"> </v>
      </c>
      <c r="T391" s="598" t="str">
        <f t="shared" si="824"/>
        <v xml:space="preserve"> </v>
      </c>
      <c r="U391" s="598" t="str">
        <f t="shared" si="824"/>
        <v xml:space="preserve"> </v>
      </c>
      <c r="V391" s="598" t="str">
        <f t="shared" si="825"/>
        <v xml:space="preserve"> </v>
      </c>
      <c r="W391" s="598" t="str">
        <f t="shared" si="825"/>
        <v xml:space="preserve"> </v>
      </c>
      <c r="X391" s="598" t="str">
        <f t="shared" si="825"/>
        <v xml:space="preserve"> </v>
      </c>
      <c r="Y391" s="598" t="str">
        <f t="shared" si="825"/>
        <v xml:space="preserve"> </v>
      </c>
      <c r="Z391" s="598" t="str">
        <f t="shared" si="825"/>
        <v xml:space="preserve"> </v>
      </c>
      <c r="AA391" s="598" t="str">
        <f t="shared" si="825"/>
        <v xml:space="preserve"> </v>
      </c>
      <c r="AB391" s="598" t="str">
        <f t="shared" si="825"/>
        <v xml:space="preserve"> </v>
      </c>
      <c r="AC391" s="598" t="str">
        <f t="shared" si="825"/>
        <v xml:space="preserve"> </v>
      </c>
      <c r="AD391" s="598" t="str">
        <f t="shared" si="825"/>
        <v xml:space="preserve"> </v>
      </c>
      <c r="AE391" s="598" t="str">
        <f t="shared" si="825"/>
        <v xml:space="preserve"> </v>
      </c>
      <c r="AF391" s="598" t="str">
        <f t="shared" si="826"/>
        <v xml:space="preserve"> </v>
      </c>
      <c r="AG391" s="598" t="str">
        <f t="shared" si="826"/>
        <v xml:space="preserve"> </v>
      </c>
      <c r="AH391" s="598" t="str">
        <f t="shared" si="826"/>
        <v xml:space="preserve"> </v>
      </c>
      <c r="AI391" s="598" t="str">
        <f t="shared" si="826"/>
        <v xml:space="preserve"> </v>
      </c>
      <c r="AJ391" s="598" t="str">
        <f t="shared" si="826"/>
        <v xml:space="preserve"> </v>
      </c>
      <c r="AK391" s="598" t="str">
        <f t="shared" si="826"/>
        <v xml:space="preserve"> </v>
      </c>
      <c r="AL391" s="598" t="str">
        <f t="shared" si="826"/>
        <v xml:space="preserve"> </v>
      </c>
      <c r="AM391" s="598" t="str">
        <f t="shared" si="826"/>
        <v xml:space="preserve"> </v>
      </c>
      <c r="AN391" s="598" t="str">
        <f t="shared" si="826"/>
        <v xml:space="preserve"> </v>
      </c>
      <c r="AO391" s="598" t="str">
        <f t="shared" si="826"/>
        <v xml:space="preserve"> </v>
      </c>
      <c r="AP391" s="598" t="str">
        <f t="shared" si="826"/>
        <v xml:space="preserve"> </v>
      </c>
      <c r="AQ391" s="598" t="str">
        <f t="shared" si="826"/>
        <v xml:space="preserve"> </v>
      </c>
      <c r="AR391" s="598" t="str">
        <f t="shared" si="826"/>
        <v xml:space="preserve"> </v>
      </c>
      <c r="AS391" s="598" t="str">
        <f t="shared" si="826"/>
        <v xml:space="preserve"> </v>
      </c>
      <c r="AT391" s="598" t="str">
        <f t="shared" si="826"/>
        <v xml:space="preserve"> </v>
      </c>
      <c r="AV391" s="598" t="str">
        <f t="shared" si="827"/>
        <v xml:space="preserve"> </v>
      </c>
      <c r="AW391" s="598" t="str">
        <f t="shared" si="827"/>
        <v xml:space="preserve"> </v>
      </c>
      <c r="AX391" s="598" t="str">
        <f t="shared" si="827"/>
        <v xml:space="preserve"> </v>
      </c>
      <c r="AY391" s="598" t="str">
        <f t="shared" si="827"/>
        <v xml:space="preserve"> </v>
      </c>
      <c r="AZ391" s="598" t="str">
        <f t="shared" si="827"/>
        <v xml:space="preserve"> </v>
      </c>
      <c r="BA391" s="598" t="str">
        <f t="shared" si="827"/>
        <v xml:space="preserve"> </v>
      </c>
      <c r="BB391" s="598" t="str">
        <f t="shared" si="827"/>
        <v xml:space="preserve"> </v>
      </c>
      <c r="BC391" s="598" t="str">
        <f t="shared" si="827"/>
        <v xml:space="preserve"> </v>
      </c>
      <c r="BD391" s="598" t="str">
        <f t="shared" si="827"/>
        <v xml:space="preserve"> </v>
      </c>
      <c r="BE391" s="598" t="str">
        <f t="shared" si="827"/>
        <v xml:space="preserve"> </v>
      </c>
      <c r="BF391" s="598" t="str">
        <f t="shared" si="828"/>
        <v xml:space="preserve"> </v>
      </c>
      <c r="BG391" s="598" t="str">
        <f t="shared" si="828"/>
        <v xml:space="preserve"> </v>
      </c>
      <c r="BH391" s="598" t="str">
        <f t="shared" si="828"/>
        <v xml:space="preserve"> </v>
      </c>
      <c r="BI391" s="598" t="str">
        <f t="shared" si="828"/>
        <v xml:space="preserve"> </v>
      </c>
      <c r="BJ391" s="598" t="str">
        <f t="shared" si="828"/>
        <v xml:space="preserve"> </v>
      </c>
      <c r="BK391" s="598" t="str">
        <f t="shared" si="828"/>
        <v xml:space="preserve"> </v>
      </c>
      <c r="BL391" s="598" t="str">
        <f t="shared" si="828"/>
        <v xml:space="preserve"> </v>
      </c>
      <c r="BM391" s="598" t="str">
        <f t="shared" si="828"/>
        <v xml:space="preserve"> </v>
      </c>
      <c r="BN391" s="598" t="str">
        <f t="shared" si="828"/>
        <v xml:space="preserve"> </v>
      </c>
      <c r="BO391" s="598" t="str">
        <f t="shared" si="828"/>
        <v xml:space="preserve"> </v>
      </c>
      <c r="BP391" s="598" t="str">
        <f t="shared" si="829"/>
        <v xml:space="preserve"> </v>
      </c>
      <c r="BQ391" s="598" t="str">
        <f t="shared" si="829"/>
        <v xml:space="preserve"> </v>
      </c>
      <c r="BR391" s="598" t="str">
        <f t="shared" si="829"/>
        <v xml:space="preserve"> </v>
      </c>
      <c r="BS391" s="598" t="str">
        <f t="shared" si="829"/>
        <v xml:space="preserve"> </v>
      </c>
      <c r="BT391" s="598" t="str">
        <f t="shared" si="829"/>
        <v xml:space="preserve"> </v>
      </c>
      <c r="BU391" s="598" t="str">
        <f t="shared" si="829"/>
        <v xml:space="preserve"> </v>
      </c>
      <c r="BV391" s="598" t="str">
        <f t="shared" si="829"/>
        <v xml:space="preserve"> </v>
      </c>
      <c r="BW391" s="598" t="str">
        <f t="shared" si="829"/>
        <v xml:space="preserve"> </v>
      </c>
      <c r="BX391" s="598" t="str">
        <f t="shared" si="829"/>
        <v xml:space="preserve"> </v>
      </c>
      <c r="BY391" s="598" t="str">
        <f t="shared" si="829"/>
        <v xml:space="preserve"> </v>
      </c>
      <c r="BZ391" s="598" t="str">
        <f t="shared" si="830"/>
        <v xml:space="preserve"> </v>
      </c>
      <c r="CA391" s="598" t="str">
        <f t="shared" si="830"/>
        <v xml:space="preserve"> </v>
      </c>
      <c r="CB391" s="598" t="str">
        <f t="shared" si="830"/>
        <v xml:space="preserve"> </v>
      </c>
      <c r="CC391" s="598" t="str">
        <f t="shared" si="830"/>
        <v xml:space="preserve"> </v>
      </c>
      <c r="CD391" s="598" t="str">
        <f t="shared" si="830"/>
        <v xml:space="preserve"> </v>
      </c>
      <c r="CE391" s="598" t="str">
        <f t="shared" si="830"/>
        <v xml:space="preserve"> </v>
      </c>
      <c r="CF391" s="598" t="str">
        <f t="shared" si="830"/>
        <v xml:space="preserve"> </v>
      </c>
      <c r="CG391" s="598" t="str">
        <f t="shared" si="830"/>
        <v xml:space="preserve"> </v>
      </c>
      <c r="CH391" s="598" t="str">
        <f t="shared" si="830"/>
        <v xml:space="preserve"> </v>
      </c>
      <c r="CI391" s="598" t="str">
        <f t="shared" si="830"/>
        <v xml:space="preserve"> </v>
      </c>
      <c r="CJ391" s="598" t="str">
        <f t="shared" si="830"/>
        <v xml:space="preserve"> </v>
      </c>
      <c r="CK391" s="598" t="str">
        <f t="shared" si="830"/>
        <v xml:space="preserve"> </v>
      </c>
      <c r="CL391" s="598" t="str">
        <f t="shared" si="830"/>
        <v xml:space="preserve"> </v>
      </c>
      <c r="CM391" s="598" t="str">
        <f t="shared" si="830"/>
        <v xml:space="preserve"> </v>
      </c>
      <c r="CN391" s="598" t="str">
        <f t="shared" si="830"/>
        <v xml:space="preserve"> </v>
      </c>
    </row>
    <row r="392" spans="1:92">
      <c r="A392" s="598">
        <v>15</v>
      </c>
      <c r="B392" s="598" t="str">
        <f t="shared" si="823"/>
        <v xml:space="preserve"> </v>
      </c>
      <c r="C392" s="598" t="str">
        <f t="shared" si="823"/>
        <v xml:space="preserve"> </v>
      </c>
      <c r="D392" s="598" t="str">
        <f t="shared" si="823"/>
        <v xml:space="preserve"> </v>
      </c>
      <c r="E392" s="598" t="str">
        <f t="shared" si="823"/>
        <v xml:space="preserve"> </v>
      </c>
      <c r="F392" s="598" t="str">
        <f t="shared" si="823"/>
        <v xml:space="preserve"> </v>
      </c>
      <c r="G392" s="598" t="str">
        <f t="shared" si="823"/>
        <v xml:space="preserve"> </v>
      </c>
      <c r="H392" s="598" t="str">
        <f t="shared" si="823"/>
        <v xml:space="preserve"> </v>
      </c>
      <c r="I392" s="598" t="str">
        <f t="shared" si="823"/>
        <v xml:space="preserve"> </v>
      </c>
      <c r="J392" s="598" t="str">
        <f t="shared" si="823"/>
        <v xml:space="preserve"> </v>
      </c>
      <c r="K392" s="598" t="str">
        <f t="shared" si="823"/>
        <v xml:space="preserve"> </v>
      </c>
      <c r="L392" s="598" t="str">
        <f t="shared" si="824"/>
        <v xml:space="preserve"> </v>
      </c>
      <c r="M392" s="598" t="str">
        <f t="shared" si="824"/>
        <v xml:space="preserve"> </v>
      </c>
      <c r="N392" s="598" t="str">
        <f t="shared" si="824"/>
        <v xml:space="preserve"> </v>
      </c>
      <c r="O392" s="598" t="str">
        <f t="shared" si="824"/>
        <v xml:space="preserve"> </v>
      </c>
      <c r="P392" s="598" t="str">
        <f t="shared" si="824"/>
        <v xml:space="preserve"> </v>
      </c>
      <c r="Q392" s="598" t="str">
        <f t="shared" si="824"/>
        <v xml:space="preserve"> </v>
      </c>
      <c r="R392" s="598" t="str">
        <f t="shared" si="824"/>
        <v xml:space="preserve"> </v>
      </c>
      <c r="S392" s="598" t="str">
        <f t="shared" si="824"/>
        <v xml:space="preserve"> </v>
      </c>
      <c r="T392" s="598" t="str">
        <f t="shared" si="824"/>
        <v xml:space="preserve"> </v>
      </c>
      <c r="U392" s="598" t="str">
        <f t="shared" si="824"/>
        <v xml:space="preserve"> </v>
      </c>
      <c r="V392" s="598" t="str">
        <f t="shared" si="825"/>
        <v xml:space="preserve"> </v>
      </c>
      <c r="W392" s="598" t="str">
        <f t="shared" si="825"/>
        <v xml:space="preserve"> </v>
      </c>
      <c r="X392" s="598" t="str">
        <f t="shared" si="825"/>
        <v xml:space="preserve"> </v>
      </c>
      <c r="Y392" s="598" t="str">
        <f t="shared" si="825"/>
        <v xml:space="preserve"> </v>
      </c>
      <c r="Z392" s="598" t="str">
        <f t="shared" si="825"/>
        <v xml:space="preserve"> </v>
      </c>
      <c r="AA392" s="598" t="str">
        <f t="shared" si="825"/>
        <v xml:space="preserve"> </v>
      </c>
      <c r="AB392" s="598" t="str">
        <f t="shared" si="825"/>
        <v xml:space="preserve"> </v>
      </c>
      <c r="AC392" s="598" t="str">
        <f t="shared" si="825"/>
        <v xml:space="preserve"> </v>
      </c>
      <c r="AD392" s="598" t="str">
        <f t="shared" si="825"/>
        <v xml:space="preserve"> </v>
      </c>
      <c r="AE392" s="598" t="str">
        <f t="shared" si="825"/>
        <v xml:space="preserve"> </v>
      </c>
      <c r="AF392" s="598" t="str">
        <f t="shared" si="826"/>
        <v xml:space="preserve"> </v>
      </c>
      <c r="AG392" s="598" t="str">
        <f t="shared" si="826"/>
        <v xml:space="preserve"> </v>
      </c>
      <c r="AH392" s="598" t="str">
        <f t="shared" si="826"/>
        <v xml:space="preserve"> </v>
      </c>
      <c r="AI392" s="598" t="str">
        <f t="shared" si="826"/>
        <v xml:space="preserve"> </v>
      </c>
      <c r="AJ392" s="598" t="str">
        <f t="shared" si="826"/>
        <v xml:space="preserve"> </v>
      </c>
      <c r="AK392" s="598" t="str">
        <f t="shared" si="826"/>
        <v xml:space="preserve"> </v>
      </c>
      <c r="AL392" s="598" t="str">
        <f t="shared" si="826"/>
        <v xml:space="preserve"> </v>
      </c>
      <c r="AM392" s="598" t="str">
        <f t="shared" si="826"/>
        <v xml:space="preserve"> </v>
      </c>
      <c r="AN392" s="598" t="str">
        <f t="shared" si="826"/>
        <v xml:space="preserve"> </v>
      </c>
      <c r="AO392" s="598" t="str">
        <f t="shared" si="826"/>
        <v xml:space="preserve"> </v>
      </c>
      <c r="AP392" s="598" t="str">
        <f t="shared" si="826"/>
        <v xml:space="preserve"> </v>
      </c>
      <c r="AQ392" s="598" t="str">
        <f t="shared" si="826"/>
        <v xml:space="preserve"> </v>
      </c>
      <c r="AR392" s="598" t="str">
        <f t="shared" si="826"/>
        <v xml:space="preserve"> </v>
      </c>
      <c r="AS392" s="598" t="str">
        <f t="shared" si="826"/>
        <v xml:space="preserve"> </v>
      </c>
      <c r="AT392" s="598" t="str">
        <f t="shared" si="826"/>
        <v xml:space="preserve"> </v>
      </c>
      <c r="AV392" s="598" t="str">
        <f t="shared" si="827"/>
        <v xml:space="preserve"> </v>
      </c>
      <c r="AW392" s="598" t="str">
        <f t="shared" si="827"/>
        <v xml:space="preserve"> </v>
      </c>
      <c r="AX392" s="598" t="str">
        <f t="shared" si="827"/>
        <v xml:space="preserve"> </v>
      </c>
      <c r="AY392" s="598" t="str">
        <f t="shared" si="827"/>
        <v xml:space="preserve"> </v>
      </c>
      <c r="AZ392" s="598" t="str">
        <f t="shared" si="827"/>
        <v xml:space="preserve"> </v>
      </c>
      <c r="BA392" s="598" t="str">
        <f t="shared" si="827"/>
        <v xml:space="preserve"> </v>
      </c>
      <c r="BB392" s="598" t="str">
        <f t="shared" si="827"/>
        <v xml:space="preserve"> </v>
      </c>
      <c r="BC392" s="598" t="str">
        <f t="shared" si="827"/>
        <v xml:space="preserve"> </v>
      </c>
      <c r="BD392" s="598" t="str">
        <f t="shared" si="827"/>
        <v xml:space="preserve"> </v>
      </c>
      <c r="BE392" s="598" t="str">
        <f t="shared" si="827"/>
        <v xml:space="preserve"> </v>
      </c>
      <c r="BF392" s="598" t="str">
        <f t="shared" si="828"/>
        <v xml:space="preserve"> </v>
      </c>
      <c r="BG392" s="598" t="str">
        <f t="shared" si="828"/>
        <v xml:space="preserve"> </v>
      </c>
      <c r="BH392" s="598" t="str">
        <f t="shared" si="828"/>
        <v xml:space="preserve"> </v>
      </c>
      <c r="BI392" s="598" t="str">
        <f t="shared" si="828"/>
        <v xml:space="preserve"> </v>
      </c>
      <c r="BJ392" s="598" t="str">
        <f t="shared" si="828"/>
        <v xml:space="preserve"> </v>
      </c>
      <c r="BK392" s="598" t="str">
        <f t="shared" si="828"/>
        <v xml:space="preserve"> </v>
      </c>
      <c r="BL392" s="598" t="str">
        <f t="shared" si="828"/>
        <v xml:space="preserve"> </v>
      </c>
      <c r="BM392" s="598" t="str">
        <f t="shared" si="828"/>
        <v xml:space="preserve"> </v>
      </c>
      <c r="BN392" s="598" t="str">
        <f t="shared" si="828"/>
        <v xml:space="preserve"> </v>
      </c>
      <c r="BO392" s="598" t="str">
        <f t="shared" si="828"/>
        <v xml:space="preserve"> </v>
      </c>
      <c r="BP392" s="598" t="str">
        <f t="shared" si="829"/>
        <v xml:space="preserve"> </v>
      </c>
      <c r="BQ392" s="598" t="str">
        <f t="shared" si="829"/>
        <v xml:space="preserve"> </v>
      </c>
      <c r="BR392" s="598" t="str">
        <f t="shared" si="829"/>
        <v xml:space="preserve"> </v>
      </c>
      <c r="BS392" s="598" t="str">
        <f t="shared" si="829"/>
        <v xml:space="preserve"> </v>
      </c>
      <c r="BT392" s="598" t="str">
        <f t="shared" si="829"/>
        <v xml:space="preserve"> </v>
      </c>
      <c r="BU392" s="598" t="str">
        <f t="shared" si="829"/>
        <v xml:space="preserve"> </v>
      </c>
      <c r="BV392" s="598" t="str">
        <f t="shared" si="829"/>
        <v xml:space="preserve"> </v>
      </c>
      <c r="BW392" s="598" t="str">
        <f t="shared" si="829"/>
        <v xml:space="preserve"> </v>
      </c>
      <c r="BX392" s="598" t="str">
        <f t="shared" si="829"/>
        <v xml:space="preserve"> </v>
      </c>
      <c r="BY392" s="598" t="str">
        <f t="shared" si="829"/>
        <v xml:space="preserve"> </v>
      </c>
      <c r="BZ392" s="598" t="str">
        <f t="shared" si="830"/>
        <v xml:space="preserve"> </v>
      </c>
      <c r="CA392" s="598" t="str">
        <f t="shared" si="830"/>
        <v xml:space="preserve"> </v>
      </c>
      <c r="CB392" s="598" t="str">
        <f t="shared" si="830"/>
        <v xml:space="preserve"> </v>
      </c>
      <c r="CC392" s="598" t="str">
        <f t="shared" si="830"/>
        <v xml:space="preserve"> </v>
      </c>
      <c r="CD392" s="598" t="str">
        <f t="shared" si="830"/>
        <v xml:space="preserve"> </v>
      </c>
      <c r="CE392" s="598" t="str">
        <f t="shared" si="830"/>
        <v xml:space="preserve"> </v>
      </c>
      <c r="CF392" s="598" t="str">
        <f t="shared" si="830"/>
        <v xml:space="preserve"> </v>
      </c>
      <c r="CG392" s="598" t="str">
        <f t="shared" si="830"/>
        <v xml:space="preserve"> </v>
      </c>
      <c r="CH392" s="598" t="str">
        <f t="shared" si="830"/>
        <v xml:space="preserve"> </v>
      </c>
      <c r="CI392" s="598" t="str">
        <f t="shared" si="830"/>
        <v xml:space="preserve"> </v>
      </c>
      <c r="CJ392" s="598" t="str">
        <f t="shared" si="830"/>
        <v xml:space="preserve"> </v>
      </c>
      <c r="CK392" s="598" t="str">
        <f t="shared" si="830"/>
        <v xml:space="preserve"> </v>
      </c>
      <c r="CL392" s="598" t="str">
        <f t="shared" si="830"/>
        <v xml:space="preserve"> </v>
      </c>
      <c r="CM392" s="598" t="str">
        <f t="shared" si="830"/>
        <v xml:space="preserve"> </v>
      </c>
      <c r="CN392" s="598" t="str">
        <f t="shared" si="830"/>
        <v xml:space="preserve"> </v>
      </c>
    </row>
    <row r="393" spans="1:92">
      <c r="A393" s="598">
        <v>16</v>
      </c>
      <c r="B393" s="598" t="str">
        <f t="shared" si="823"/>
        <v xml:space="preserve"> </v>
      </c>
      <c r="C393" s="598" t="str">
        <f t="shared" si="823"/>
        <v xml:space="preserve"> </v>
      </c>
      <c r="D393" s="598" t="str">
        <f t="shared" si="823"/>
        <v xml:space="preserve"> </v>
      </c>
      <c r="E393" s="598" t="str">
        <f t="shared" si="823"/>
        <v xml:space="preserve"> </v>
      </c>
      <c r="F393" s="598" t="str">
        <f t="shared" si="823"/>
        <v xml:space="preserve"> </v>
      </c>
      <c r="G393" s="598" t="str">
        <f t="shared" si="823"/>
        <v xml:space="preserve"> </v>
      </c>
      <c r="H393" s="598" t="str">
        <f t="shared" si="823"/>
        <v xml:space="preserve"> </v>
      </c>
      <c r="I393" s="598" t="str">
        <f t="shared" si="823"/>
        <v xml:space="preserve"> </v>
      </c>
      <c r="J393" s="598" t="str">
        <f t="shared" si="823"/>
        <v xml:space="preserve"> </v>
      </c>
      <c r="K393" s="598" t="str">
        <f t="shared" si="823"/>
        <v xml:space="preserve"> </v>
      </c>
      <c r="L393" s="598" t="str">
        <f t="shared" si="824"/>
        <v xml:space="preserve"> </v>
      </c>
      <c r="M393" s="598" t="str">
        <f t="shared" si="824"/>
        <v xml:space="preserve"> </v>
      </c>
      <c r="N393" s="598" t="str">
        <f t="shared" si="824"/>
        <v xml:space="preserve"> </v>
      </c>
      <c r="O393" s="598" t="str">
        <f t="shared" si="824"/>
        <v xml:space="preserve"> </v>
      </c>
      <c r="P393" s="598" t="str">
        <f t="shared" si="824"/>
        <v xml:space="preserve"> </v>
      </c>
      <c r="Q393" s="598" t="str">
        <f t="shared" si="824"/>
        <v xml:space="preserve"> </v>
      </c>
      <c r="R393" s="598" t="str">
        <f t="shared" si="824"/>
        <v xml:space="preserve"> </v>
      </c>
      <c r="S393" s="598" t="str">
        <f t="shared" si="824"/>
        <v xml:space="preserve"> </v>
      </c>
      <c r="T393" s="598" t="str">
        <f t="shared" si="824"/>
        <v xml:space="preserve"> </v>
      </c>
      <c r="U393" s="598" t="str">
        <f t="shared" si="824"/>
        <v xml:space="preserve"> </v>
      </c>
      <c r="V393" s="598" t="str">
        <f t="shared" si="825"/>
        <v xml:space="preserve"> </v>
      </c>
      <c r="W393" s="598" t="str">
        <f t="shared" si="825"/>
        <v xml:space="preserve"> </v>
      </c>
      <c r="X393" s="598" t="str">
        <f t="shared" si="825"/>
        <v xml:space="preserve"> </v>
      </c>
      <c r="Y393" s="598" t="str">
        <f t="shared" si="825"/>
        <v xml:space="preserve"> </v>
      </c>
      <c r="Z393" s="598" t="str">
        <f t="shared" si="825"/>
        <v xml:space="preserve"> </v>
      </c>
      <c r="AA393" s="598" t="str">
        <f t="shared" si="825"/>
        <v xml:space="preserve"> </v>
      </c>
      <c r="AB393" s="598" t="str">
        <f t="shared" si="825"/>
        <v xml:space="preserve"> </v>
      </c>
      <c r="AC393" s="598" t="str">
        <f t="shared" si="825"/>
        <v xml:space="preserve"> </v>
      </c>
      <c r="AD393" s="598" t="str">
        <f t="shared" si="825"/>
        <v xml:space="preserve"> </v>
      </c>
      <c r="AE393" s="598" t="str">
        <f t="shared" si="825"/>
        <v xml:space="preserve"> </v>
      </c>
      <c r="AF393" s="598" t="str">
        <f t="shared" si="826"/>
        <v xml:space="preserve"> </v>
      </c>
      <c r="AG393" s="598" t="str">
        <f t="shared" si="826"/>
        <v xml:space="preserve"> </v>
      </c>
      <c r="AH393" s="598" t="str">
        <f t="shared" si="826"/>
        <v xml:space="preserve"> </v>
      </c>
      <c r="AI393" s="598" t="str">
        <f t="shared" si="826"/>
        <v xml:space="preserve"> </v>
      </c>
      <c r="AJ393" s="598" t="str">
        <f t="shared" si="826"/>
        <v xml:space="preserve"> </v>
      </c>
      <c r="AK393" s="598" t="str">
        <f t="shared" si="826"/>
        <v xml:space="preserve"> </v>
      </c>
      <c r="AL393" s="598" t="str">
        <f t="shared" si="826"/>
        <v xml:space="preserve"> </v>
      </c>
      <c r="AM393" s="598" t="str">
        <f t="shared" si="826"/>
        <v xml:space="preserve"> </v>
      </c>
      <c r="AN393" s="598" t="str">
        <f t="shared" si="826"/>
        <v xml:space="preserve"> </v>
      </c>
      <c r="AO393" s="598" t="str">
        <f t="shared" si="826"/>
        <v xml:space="preserve"> </v>
      </c>
      <c r="AP393" s="598" t="str">
        <f t="shared" si="826"/>
        <v xml:space="preserve"> </v>
      </c>
      <c r="AQ393" s="598" t="str">
        <f t="shared" si="826"/>
        <v xml:space="preserve"> </v>
      </c>
      <c r="AR393" s="598" t="str">
        <f t="shared" si="826"/>
        <v xml:space="preserve"> </v>
      </c>
      <c r="AS393" s="598" t="str">
        <f t="shared" si="826"/>
        <v xml:space="preserve"> </v>
      </c>
      <c r="AT393" s="598" t="str">
        <f t="shared" si="826"/>
        <v xml:space="preserve"> </v>
      </c>
      <c r="AV393" s="598" t="str">
        <f t="shared" si="827"/>
        <v xml:space="preserve"> </v>
      </c>
      <c r="AW393" s="598" t="str">
        <f t="shared" si="827"/>
        <v xml:space="preserve"> </v>
      </c>
      <c r="AX393" s="598" t="str">
        <f t="shared" si="827"/>
        <v xml:space="preserve"> </v>
      </c>
      <c r="AY393" s="598" t="str">
        <f t="shared" si="827"/>
        <v xml:space="preserve"> </v>
      </c>
      <c r="AZ393" s="598" t="str">
        <f t="shared" si="827"/>
        <v xml:space="preserve"> </v>
      </c>
      <c r="BA393" s="598" t="str">
        <f t="shared" si="827"/>
        <v xml:space="preserve"> </v>
      </c>
      <c r="BB393" s="598" t="str">
        <f t="shared" si="827"/>
        <v xml:space="preserve"> </v>
      </c>
      <c r="BC393" s="598" t="str">
        <f t="shared" si="827"/>
        <v xml:space="preserve"> </v>
      </c>
      <c r="BD393" s="598" t="str">
        <f t="shared" si="827"/>
        <v xml:space="preserve"> </v>
      </c>
      <c r="BE393" s="598" t="str">
        <f t="shared" si="827"/>
        <v xml:space="preserve"> </v>
      </c>
      <c r="BF393" s="598" t="str">
        <f t="shared" si="828"/>
        <v xml:space="preserve"> </v>
      </c>
      <c r="BG393" s="598" t="str">
        <f t="shared" si="828"/>
        <v xml:space="preserve"> </v>
      </c>
      <c r="BH393" s="598" t="str">
        <f t="shared" si="828"/>
        <v xml:space="preserve"> </v>
      </c>
      <c r="BI393" s="598" t="str">
        <f t="shared" si="828"/>
        <v xml:space="preserve"> </v>
      </c>
      <c r="BJ393" s="598" t="str">
        <f t="shared" si="828"/>
        <v xml:space="preserve"> </v>
      </c>
      <c r="BK393" s="598" t="str">
        <f t="shared" si="828"/>
        <v xml:space="preserve"> </v>
      </c>
      <c r="BL393" s="598" t="str">
        <f t="shared" si="828"/>
        <v xml:space="preserve"> </v>
      </c>
      <c r="BM393" s="598" t="str">
        <f t="shared" si="828"/>
        <v xml:space="preserve"> </v>
      </c>
      <c r="BN393" s="598" t="str">
        <f t="shared" si="828"/>
        <v xml:space="preserve"> </v>
      </c>
      <c r="BO393" s="598" t="str">
        <f t="shared" si="828"/>
        <v xml:space="preserve"> </v>
      </c>
      <c r="BP393" s="598" t="str">
        <f t="shared" si="829"/>
        <v xml:space="preserve"> </v>
      </c>
      <c r="BQ393" s="598" t="str">
        <f t="shared" si="829"/>
        <v xml:space="preserve"> </v>
      </c>
      <c r="BR393" s="598" t="str">
        <f t="shared" si="829"/>
        <v xml:space="preserve"> </v>
      </c>
      <c r="BS393" s="598" t="str">
        <f t="shared" si="829"/>
        <v xml:space="preserve"> </v>
      </c>
      <c r="BT393" s="598" t="str">
        <f t="shared" si="829"/>
        <v xml:space="preserve"> </v>
      </c>
      <c r="BU393" s="598" t="str">
        <f t="shared" si="829"/>
        <v xml:space="preserve"> </v>
      </c>
      <c r="BV393" s="598" t="str">
        <f t="shared" si="829"/>
        <v xml:space="preserve"> </v>
      </c>
      <c r="BW393" s="598" t="str">
        <f t="shared" si="829"/>
        <v xml:space="preserve"> </v>
      </c>
      <c r="BX393" s="598" t="str">
        <f t="shared" si="829"/>
        <v xml:space="preserve"> </v>
      </c>
      <c r="BY393" s="598" t="str">
        <f t="shared" si="829"/>
        <v xml:space="preserve"> </v>
      </c>
      <c r="BZ393" s="598" t="str">
        <f t="shared" si="830"/>
        <v xml:space="preserve"> </v>
      </c>
      <c r="CA393" s="598" t="str">
        <f t="shared" si="830"/>
        <v xml:space="preserve"> </v>
      </c>
      <c r="CB393" s="598" t="str">
        <f t="shared" si="830"/>
        <v xml:space="preserve"> </v>
      </c>
      <c r="CC393" s="598" t="str">
        <f t="shared" si="830"/>
        <v xml:space="preserve"> </v>
      </c>
      <c r="CD393" s="598" t="str">
        <f t="shared" si="830"/>
        <v xml:space="preserve"> </v>
      </c>
      <c r="CE393" s="598" t="str">
        <f t="shared" si="830"/>
        <v xml:space="preserve"> </v>
      </c>
      <c r="CF393" s="598" t="str">
        <f t="shared" si="830"/>
        <v xml:space="preserve"> </v>
      </c>
      <c r="CG393" s="598" t="str">
        <f t="shared" si="830"/>
        <v xml:space="preserve"> </v>
      </c>
      <c r="CH393" s="598" t="str">
        <f t="shared" si="830"/>
        <v xml:space="preserve"> </v>
      </c>
      <c r="CI393" s="598" t="str">
        <f t="shared" si="830"/>
        <v xml:space="preserve"> </v>
      </c>
      <c r="CJ393" s="598" t="str">
        <f t="shared" si="830"/>
        <v xml:space="preserve"> </v>
      </c>
      <c r="CK393" s="598" t="str">
        <f t="shared" si="830"/>
        <v xml:space="preserve"> </v>
      </c>
      <c r="CL393" s="598" t="str">
        <f t="shared" si="830"/>
        <v xml:space="preserve"> </v>
      </c>
      <c r="CM393" s="598" t="str">
        <f t="shared" si="830"/>
        <v xml:space="preserve"> </v>
      </c>
      <c r="CN393" s="598" t="str">
        <f t="shared" si="830"/>
        <v xml:space="preserve"> </v>
      </c>
    </row>
    <row r="394" spans="1:92">
      <c r="A394" s="598">
        <v>17</v>
      </c>
      <c r="B394" s="598" t="str">
        <f t="shared" si="823"/>
        <v xml:space="preserve"> </v>
      </c>
      <c r="C394" s="598" t="str">
        <f t="shared" si="823"/>
        <v xml:space="preserve"> </v>
      </c>
      <c r="D394" s="598" t="str">
        <f t="shared" si="823"/>
        <v xml:space="preserve"> </v>
      </c>
      <c r="E394" s="598" t="str">
        <f t="shared" si="823"/>
        <v xml:space="preserve"> </v>
      </c>
      <c r="F394" s="598" t="str">
        <f t="shared" si="823"/>
        <v xml:space="preserve"> </v>
      </c>
      <c r="G394" s="598" t="str">
        <f t="shared" si="823"/>
        <v xml:space="preserve"> </v>
      </c>
      <c r="H394" s="598" t="str">
        <f t="shared" si="823"/>
        <v xml:space="preserve"> </v>
      </c>
      <c r="I394" s="598" t="str">
        <f t="shared" si="823"/>
        <v xml:space="preserve"> </v>
      </c>
      <c r="J394" s="598" t="str">
        <f t="shared" si="823"/>
        <v xml:space="preserve"> </v>
      </c>
      <c r="K394" s="598" t="str">
        <f t="shared" si="823"/>
        <v xml:space="preserve"> </v>
      </c>
      <c r="L394" s="598" t="str">
        <f t="shared" si="824"/>
        <v xml:space="preserve"> </v>
      </c>
      <c r="M394" s="598" t="str">
        <f t="shared" si="824"/>
        <v xml:space="preserve"> </v>
      </c>
      <c r="N394" s="598" t="str">
        <f t="shared" si="824"/>
        <v xml:space="preserve"> </v>
      </c>
      <c r="O394" s="598" t="str">
        <f t="shared" si="824"/>
        <v xml:space="preserve"> </v>
      </c>
      <c r="P394" s="598" t="str">
        <f t="shared" si="824"/>
        <v xml:space="preserve"> </v>
      </c>
      <c r="Q394" s="598" t="str">
        <f t="shared" si="824"/>
        <v xml:space="preserve"> </v>
      </c>
      <c r="R394" s="598" t="str">
        <f t="shared" si="824"/>
        <v xml:space="preserve"> </v>
      </c>
      <c r="S394" s="598" t="str">
        <f t="shared" si="824"/>
        <v xml:space="preserve"> </v>
      </c>
      <c r="T394" s="598" t="str">
        <f t="shared" si="824"/>
        <v xml:space="preserve"> </v>
      </c>
      <c r="U394" s="598" t="str">
        <f t="shared" si="824"/>
        <v xml:space="preserve"> </v>
      </c>
      <c r="V394" s="598" t="str">
        <f t="shared" si="825"/>
        <v xml:space="preserve"> </v>
      </c>
      <c r="W394" s="598" t="str">
        <f t="shared" si="825"/>
        <v xml:space="preserve"> </v>
      </c>
      <c r="X394" s="598" t="str">
        <f t="shared" si="825"/>
        <v xml:space="preserve"> </v>
      </c>
      <c r="Y394" s="598" t="str">
        <f t="shared" si="825"/>
        <v xml:space="preserve"> </v>
      </c>
      <c r="Z394" s="598" t="str">
        <f t="shared" si="825"/>
        <v xml:space="preserve"> </v>
      </c>
      <c r="AA394" s="598" t="str">
        <f t="shared" si="825"/>
        <v xml:space="preserve"> </v>
      </c>
      <c r="AB394" s="598" t="str">
        <f t="shared" si="825"/>
        <v xml:space="preserve"> </v>
      </c>
      <c r="AC394" s="598" t="str">
        <f t="shared" si="825"/>
        <v xml:space="preserve"> </v>
      </c>
      <c r="AD394" s="598" t="str">
        <f t="shared" si="825"/>
        <v xml:space="preserve"> </v>
      </c>
      <c r="AE394" s="598" t="str">
        <f t="shared" si="825"/>
        <v xml:space="preserve"> </v>
      </c>
      <c r="AF394" s="598" t="str">
        <f t="shared" si="826"/>
        <v xml:space="preserve"> </v>
      </c>
      <c r="AG394" s="598" t="str">
        <f t="shared" si="826"/>
        <v xml:space="preserve"> </v>
      </c>
      <c r="AH394" s="598" t="str">
        <f t="shared" si="826"/>
        <v xml:space="preserve"> </v>
      </c>
      <c r="AI394" s="598" t="str">
        <f t="shared" si="826"/>
        <v xml:space="preserve"> </v>
      </c>
      <c r="AJ394" s="598" t="str">
        <f t="shared" si="826"/>
        <v xml:space="preserve"> </v>
      </c>
      <c r="AK394" s="598" t="str">
        <f t="shared" si="826"/>
        <v xml:space="preserve"> </v>
      </c>
      <c r="AL394" s="598" t="str">
        <f t="shared" si="826"/>
        <v xml:space="preserve"> </v>
      </c>
      <c r="AM394" s="598" t="str">
        <f t="shared" si="826"/>
        <v xml:space="preserve"> </v>
      </c>
      <c r="AN394" s="598" t="str">
        <f t="shared" si="826"/>
        <v xml:space="preserve"> </v>
      </c>
      <c r="AO394" s="598" t="str">
        <f t="shared" si="826"/>
        <v xml:space="preserve"> </v>
      </c>
      <c r="AP394" s="598" t="str">
        <f t="shared" si="826"/>
        <v xml:space="preserve"> </v>
      </c>
      <c r="AQ394" s="598" t="str">
        <f t="shared" si="826"/>
        <v xml:space="preserve"> </v>
      </c>
      <c r="AR394" s="598" t="str">
        <f t="shared" si="826"/>
        <v xml:space="preserve"> </v>
      </c>
      <c r="AS394" s="598" t="str">
        <f t="shared" si="826"/>
        <v xml:space="preserve"> </v>
      </c>
      <c r="AT394" s="598" t="str">
        <f t="shared" si="826"/>
        <v xml:space="preserve"> </v>
      </c>
      <c r="AV394" s="598" t="str">
        <f t="shared" si="827"/>
        <v xml:space="preserve"> </v>
      </c>
      <c r="AW394" s="598" t="str">
        <f t="shared" si="827"/>
        <v xml:space="preserve"> </v>
      </c>
      <c r="AX394" s="598" t="str">
        <f t="shared" si="827"/>
        <v xml:space="preserve"> </v>
      </c>
      <c r="AY394" s="598" t="str">
        <f t="shared" si="827"/>
        <v xml:space="preserve"> </v>
      </c>
      <c r="AZ394" s="598" t="str">
        <f t="shared" si="827"/>
        <v xml:space="preserve"> </v>
      </c>
      <c r="BA394" s="598" t="str">
        <f t="shared" si="827"/>
        <v xml:space="preserve"> </v>
      </c>
      <c r="BB394" s="598" t="str">
        <f t="shared" si="827"/>
        <v xml:space="preserve"> </v>
      </c>
      <c r="BC394" s="598" t="str">
        <f t="shared" si="827"/>
        <v xml:space="preserve"> </v>
      </c>
      <c r="BD394" s="598" t="str">
        <f t="shared" si="827"/>
        <v xml:space="preserve"> </v>
      </c>
      <c r="BE394" s="598" t="str">
        <f t="shared" si="827"/>
        <v xml:space="preserve"> </v>
      </c>
      <c r="BF394" s="598" t="str">
        <f t="shared" si="828"/>
        <v xml:space="preserve"> </v>
      </c>
      <c r="BG394" s="598" t="str">
        <f t="shared" si="828"/>
        <v xml:space="preserve"> </v>
      </c>
      <c r="BH394" s="598" t="str">
        <f t="shared" si="828"/>
        <v xml:space="preserve"> </v>
      </c>
      <c r="BI394" s="598" t="str">
        <f t="shared" si="828"/>
        <v xml:space="preserve"> </v>
      </c>
      <c r="BJ394" s="598" t="str">
        <f t="shared" si="828"/>
        <v xml:space="preserve"> </v>
      </c>
      <c r="BK394" s="598" t="str">
        <f t="shared" si="828"/>
        <v xml:space="preserve"> </v>
      </c>
      <c r="BL394" s="598" t="str">
        <f t="shared" si="828"/>
        <v xml:space="preserve"> </v>
      </c>
      <c r="BM394" s="598" t="str">
        <f t="shared" si="828"/>
        <v xml:space="preserve"> </v>
      </c>
      <c r="BN394" s="598" t="str">
        <f t="shared" si="828"/>
        <v xml:space="preserve"> </v>
      </c>
      <c r="BO394" s="598" t="str">
        <f t="shared" si="828"/>
        <v xml:space="preserve"> </v>
      </c>
      <c r="BP394" s="598" t="str">
        <f t="shared" si="829"/>
        <v xml:space="preserve"> </v>
      </c>
      <c r="BQ394" s="598" t="str">
        <f t="shared" si="829"/>
        <v xml:space="preserve"> </v>
      </c>
      <c r="BR394" s="598" t="str">
        <f t="shared" si="829"/>
        <v xml:space="preserve"> </v>
      </c>
      <c r="BS394" s="598" t="str">
        <f t="shared" si="829"/>
        <v xml:space="preserve"> </v>
      </c>
      <c r="BT394" s="598" t="str">
        <f t="shared" si="829"/>
        <v xml:space="preserve"> </v>
      </c>
      <c r="BU394" s="598" t="str">
        <f t="shared" si="829"/>
        <v xml:space="preserve"> </v>
      </c>
      <c r="BV394" s="598" t="str">
        <f t="shared" si="829"/>
        <v xml:space="preserve"> </v>
      </c>
      <c r="BW394" s="598" t="str">
        <f t="shared" si="829"/>
        <v xml:space="preserve"> </v>
      </c>
      <c r="BX394" s="598" t="str">
        <f t="shared" si="829"/>
        <v xml:space="preserve"> </v>
      </c>
      <c r="BY394" s="598" t="str">
        <f t="shared" si="829"/>
        <v xml:space="preserve"> </v>
      </c>
      <c r="BZ394" s="598" t="str">
        <f t="shared" si="830"/>
        <v xml:space="preserve"> </v>
      </c>
      <c r="CA394" s="598" t="str">
        <f t="shared" si="830"/>
        <v xml:space="preserve"> </v>
      </c>
      <c r="CB394" s="598" t="str">
        <f t="shared" si="830"/>
        <v xml:space="preserve"> </v>
      </c>
      <c r="CC394" s="598" t="str">
        <f t="shared" si="830"/>
        <v xml:space="preserve"> </v>
      </c>
      <c r="CD394" s="598" t="str">
        <f t="shared" si="830"/>
        <v xml:space="preserve"> </v>
      </c>
      <c r="CE394" s="598" t="str">
        <f t="shared" si="830"/>
        <v xml:space="preserve"> </v>
      </c>
      <c r="CF394" s="598" t="str">
        <f t="shared" si="830"/>
        <v xml:space="preserve"> </v>
      </c>
      <c r="CG394" s="598" t="str">
        <f t="shared" si="830"/>
        <v xml:space="preserve"> </v>
      </c>
      <c r="CH394" s="598" t="str">
        <f t="shared" si="830"/>
        <v xml:space="preserve"> </v>
      </c>
      <c r="CI394" s="598" t="str">
        <f t="shared" si="830"/>
        <v xml:space="preserve"> </v>
      </c>
      <c r="CJ394" s="598" t="str">
        <f t="shared" si="830"/>
        <v xml:space="preserve"> </v>
      </c>
      <c r="CK394" s="598" t="str">
        <f t="shared" si="830"/>
        <v xml:space="preserve"> </v>
      </c>
      <c r="CL394" s="598" t="str">
        <f t="shared" si="830"/>
        <v xml:space="preserve"> </v>
      </c>
      <c r="CM394" s="598" t="str">
        <f t="shared" si="830"/>
        <v xml:space="preserve"> </v>
      </c>
      <c r="CN394" s="598" t="str">
        <f t="shared" si="830"/>
        <v xml:space="preserve"> </v>
      </c>
    </row>
    <row r="395" spans="1:92">
      <c r="A395" s="598">
        <v>18</v>
      </c>
      <c r="B395" s="598" t="str">
        <f t="shared" si="823"/>
        <v xml:space="preserve"> </v>
      </c>
      <c r="C395" s="598" t="str">
        <f t="shared" si="823"/>
        <v xml:space="preserve"> </v>
      </c>
      <c r="D395" s="598" t="str">
        <f t="shared" si="823"/>
        <v xml:space="preserve"> </v>
      </c>
      <c r="E395" s="598" t="str">
        <f t="shared" si="823"/>
        <v xml:space="preserve"> </v>
      </c>
      <c r="F395" s="598" t="str">
        <f t="shared" si="823"/>
        <v xml:space="preserve"> </v>
      </c>
      <c r="G395" s="598" t="str">
        <f t="shared" si="823"/>
        <v xml:space="preserve"> </v>
      </c>
      <c r="H395" s="598" t="str">
        <f t="shared" si="823"/>
        <v xml:space="preserve"> </v>
      </c>
      <c r="I395" s="598" t="str">
        <f t="shared" si="823"/>
        <v xml:space="preserve"> </v>
      </c>
      <c r="J395" s="598" t="str">
        <f t="shared" si="823"/>
        <v xml:space="preserve"> </v>
      </c>
      <c r="K395" s="598" t="str">
        <f t="shared" si="823"/>
        <v xml:space="preserve"> </v>
      </c>
      <c r="L395" s="598" t="str">
        <f t="shared" si="824"/>
        <v xml:space="preserve"> </v>
      </c>
      <c r="M395" s="598" t="str">
        <f t="shared" si="824"/>
        <v xml:space="preserve"> </v>
      </c>
      <c r="N395" s="598" t="str">
        <f t="shared" si="824"/>
        <v xml:space="preserve"> </v>
      </c>
      <c r="O395" s="598" t="str">
        <f t="shared" si="824"/>
        <v xml:space="preserve"> </v>
      </c>
      <c r="P395" s="598" t="str">
        <f t="shared" si="824"/>
        <v xml:space="preserve"> </v>
      </c>
      <c r="Q395" s="598" t="str">
        <f t="shared" si="824"/>
        <v xml:space="preserve"> </v>
      </c>
      <c r="R395" s="598" t="str">
        <f t="shared" si="824"/>
        <v xml:space="preserve"> </v>
      </c>
      <c r="S395" s="598" t="str">
        <f t="shared" si="824"/>
        <v xml:space="preserve"> </v>
      </c>
      <c r="T395" s="598" t="str">
        <f t="shared" si="824"/>
        <v xml:space="preserve"> </v>
      </c>
      <c r="U395" s="598" t="str">
        <f t="shared" si="824"/>
        <v xml:space="preserve"> </v>
      </c>
      <c r="V395" s="598" t="str">
        <f t="shared" si="825"/>
        <v xml:space="preserve"> </v>
      </c>
      <c r="W395" s="598" t="str">
        <f t="shared" si="825"/>
        <v xml:space="preserve"> </v>
      </c>
      <c r="X395" s="598" t="str">
        <f t="shared" si="825"/>
        <v xml:space="preserve"> </v>
      </c>
      <c r="Y395" s="598" t="str">
        <f t="shared" si="825"/>
        <v xml:space="preserve"> </v>
      </c>
      <c r="Z395" s="598" t="str">
        <f t="shared" si="825"/>
        <v xml:space="preserve"> </v>
      </c>
      <c r="AA395" s="598" t="str">
        <f t="shared" si="825"/>
        <v xml:space="preserve"> </v>
      </c>
      <c r="AB395" s="598" t="str">
        <f t="shared" si="825"/>
        <v xml:space="preserve"> </v>
      </c>
      <c r="AC395" s="598" t="str">
        <f t="shared" si="825"/>
        <v xml:space="preserve"> </v>
      </c>
      <c r="AD395" s="598" t="str">
        <f t="shared" si="825"/>
        <v xml:space="preserve"> </v>
      </c>
      <c r="AE395" s="598" t="str">
        <f t="shared" si="825"/>
        <v xml:space="preserve"> </v>
      </c>
      <c r="AF395" s="598" t="str">
        <f t="shared" si="826"/>
        <v xml:space="preserve"> </v>
      </c>
      <c r="AG395" s="598" t="str">
        <f t="shared" si="826"/>
        <v xml:space="preserve"> </v>
      </c>
      <c r="AH395" s="598" t="str">
        <f t="shared" si="826"/>
        <v xml:space="preserve"> </v>
      </c>
      <c r="AI395" s="598" t="str">
        <f t="shared" si="826"/>
        <v xml:space="preserve"> </v>
      </c>
      <c r="AJ395" s="598" t="str">
        <f t="shared" si="826"/>
        <v xml:space="preserve"> </v>
      </c>
      <c r="AK395" s="598" t="str">
        <f t="shared" si="826"/>
        <v xml:space="preserve"> </v>
      </c>
      <c r="AL395" s="598" t="str">
        <f t="shared" si="826"/>
        <v xml:space="preserve"> </v>
      </c>
      <c r="AM395" s="598" t="str">
        <f t="shared" si="826"/>
        <v xml:space="preserve"> </v>
      </c>
      <c r="AN395" s="598" t="str">
        <f t="shared" si="826"/>
        <v xml:space="preserve"> </v>
      </c>
      <c r="AO395" s="598" t="str">
        <f t="shared" si="826"/>
        <v xml:space="preserve"> </v>
      </c>
      <c r="AP395" s="598" t="str">
        <f t="shared" si="826"/>
        <v xml:space="preserve"> </v>
      </c>
      <c r="AQ395" s="598" t="str">
        <f t="shared" si="826"/>
        <v xml:space="preserve"> </v>
      </c>
      <c r="AR395" s="598" t="str">
        <f t="shared" si="826"/>
        <v xml:space="preserve"> </v>
      </c>
      <c r="AS395" s="598" t="str">
        <f t="shared" si="826"/>
        <v xml:space="preserve"> </v>
      </c>
      <c r="AT395" s="598" t="str">
        <f t="shared" si="826"/>
        <v xml:space="preserve"> </v>
      </c>
      <c r="AV395" s="598" t="str">
        <f t="shared" si="827"/>
        <v xml:space="preserve"> </v>
      </c>
      <c r="AW395" s="598" t="str">
        <f t="shared" si="827"/>
        <v xml:space="preserve"> </v>
      </c>
      <c r="AX395" s="598" t="str">
        <f t="shared" si="827"/>
        <v xml:space="preserve"> </v>
      </c>
      <c r="AY395" s="598" t="str">
        <f t="shared" si="827"/>
        <v xml:space="preserve"> </v>
      </c>
      <c r="AZ395" s="598" t="str">
        <f t="shared" si="827"/>
        <v xml:space="preserve"> </v>
      </c>
      <c r="BA395" s="598" t="str">
        <f t="shared" si="827"/>
        <v xml:space="preserve"> </v>
      </c>
      <c r="BB395" s="598" t="str">
        <f t="shared" si="827"/>
        <v xml:space="preserve"> </v>
      </c>
      <c r="BC395" s="598" t="str">
        <f t="shared" si="827"/>
        <v xml:space="preserve"> </v>
      </c>
      <c r="BD395" s="598" t="str">
        <f t="shared" si="827"/>
        <v xml:space="preserve"> </v>
      </c>
      <c r="BE395" s="598" t="str">
        <f t="shared" si="827"/>
        <v xml:space="preserve"> </v>
      </c>
      <c r="BF395" s="598" t="str">
        <f t="shared" si="828"/>
        <v xml:space="preserve"> </v>
      </c>
      <c r="BG395" s="598" t="str">
        <f t="shared" si="828"/>
        <v xml:space="preserve"> </v>
      </c>
      <c r="BH395" s="598" t="str">
        <f t="shared" si="828"/>
        <v xml:space="preserve"> </v>
      </c>
      <c r="BI395" s="598" t="str">
        <f t="shared" si="828"/>
        <v xml:space="preserve"> </v>
      </c>
      <c r="BJ395" s="598" t="str">
        <f t="shared" si="828"/>
        <v xml:space="preserve"> </v>
      </c>
      <c r="BK395" s="598" t="str">
        <f t="shared" si="828"/>
        <v xml:space="preserve"> </v>
      </c>
      <c r="BL395" s="598" t="str">
        <f t="shared" si="828"/>
        <v xml:space="preserve"> </v>
      </c>
      <c r="BM395" s="598" t="str">
        <f t="shared" si="828"/>
        <v xml:space="preserve"> </v>
      </c>
      <c r="BN395" s="598" t="str">
        <f t="shared" si="828"/>
        <v xml:space="preserve"> </v>
      </c>
      <c r="BO395" s="598" t="str">
        <f t="shared" si="828"/>
        <v xml:space="preserve"> </v>
      </c>
      <c r="BP395" s="598" t="str">
        <f t="shared" si="829"/>
        <v xml:space="preserve"> </v>
      </c>
      <c r="BQ395" s="598" t="str">
        <f t="shared" si="829"/>
        <v xml:space="preserve"> </v>
      </c>
      <c r="BR395" s="598" t="str">
        <f t="shared" si="829"/>
        <v xml:space="preserve"> </v>
      </c>
      <c r="BS395" s="598" t="str">
        <f t="shared" si="829"/>
        <v xml:space="preserve"> </v>
      </c>
      <c r="BT395" s="598" t="str">
        <f t="shared" si="829"/>
        <v xml:space="preserve"> </v>
      </c>
      <c r="BU395" s="598" t="str">
        <f t="shared" si="829"/>
        <v xml:space="preserve"> </v>
      </c>
      <c r="BV395" s="598" t="str">
        <f t="shared" si="829"/>
        <v xml:space="preserve"> </v>
      </c>
      <c r="BW395" s="598" t="str">
        <f t="shared" si="829"/>
        <v xml:space="preserve"> </v>
      </c>
      <c r="BX395" s="598" t="str">
        <f t="shared" si="829"/>
        <v xml:space="preserve"> </v>
      </c>
      <c r="BY395" s="598" t="str">
        <f t="shared" si="829"/>
        <v xml:space="preserve"> </v>
      </c>
      <c r="BZ395" s="598" t="str">
        <f t="shared" si="830"/>
        <v xml:space="preserve"> </v>
      </c>
      <c r="CA395" s="598" t="str">
        <f t="shared" si="830"/>
        <v xml:space="preserve"> </v>
      </c>
      <c r="CB395" s="598" t="str">
        <f t="shared" si="830"/>
        <v xml:space="preserve"> </v>
      </c>
      <c r="CC395" s="598" t="str">
        <f t="shared" si="830"/>
        <v xml:space="preserve"> </v>
      </c>
      <c r="CD395" s="598" t="str">
        <f t="shared" si="830"/>
        <v xml:space="preserve"> </v>
      </c>
      <c r="CE395" s="598" t="str">
        <f t="shared" si="830"/>
        <v xml:space="preserve"> </v>
      </c>
      <c r="CF395" s="598" t="str">
        <f t="shared" si="830"/>
        <v xml:space="preserve"> </v>
      </c>
      <c r="CG395" s="598" t="str">
        <f t="shared" si="830"/>
        <v xml:space="preserve"> </v>
      </c>
      <c r="CH395" s="598" t="str">
        <f t="shared" si="830"/>
        <v xml:space="preserve"> </v>
      </c>
      <c r="CI395" s="598" t="str">
        <f t="shared" si="830"/>
        <v xml:space="preserve"> </v>
      </c>
      <c r="CJ395" s="598" t="str">
        <f t="shared" si="830"/>
        <v xml:space="preserve"> </v>
      </c>
      <c r="CK395" s="598" t="str">
        <f t="shared" si="830"/>
        <v xml:space="preserve"> </v>
      </c>
      <c r="CL395" s="598" t="str">
        <f t="shared" si="830"/>
        <v xml:space="preserve"> </v>
      </c>
      <c r="CM395" s="598" t="str">
        <f t="shared" si="830"/>
        <v xml:space="preserve"> </v>
      </c>
      <c r="CN395" s="598" t="str">
        <f t="shared" si="830"/>
        <v xml:space="preserve"> </v>
      </c>
    </row>
    <row r="396" spans="1:92">
      <c r="A396" s="598">
        <v>19</v>
      </c>
      <c r="B396" s="598" t="str">
        <f t="shared" si="823"/>
        <v xml:space="preserve"> </v>
      </c>
      <c r="C396" s="598" t="str">
        <f t="shared" si="823"/>
        <v xml:space="preserve"> </v>
      </c>
      <c r="D396" s="598" t="str">
        <f t="shared" si="823"/>
        <v xml:space="preserve"> </v>
      </c>
      <c r="E396" s="598" t="str">
        <f t="shared" si="823"/>
        <v xml:space="preserve"> </v>
      </c>
      <c r="F396" s="598" t="str">
        <f t="shared" si="823"/>
        <v xml:space="preserve"> </v>
      </c>
      <c r="G396" s="598" t="str">
        <f t="shared" si="823"/>
        <v xml:space="preserve"> </v>
      </c>
      <c r="H396" s="598" t="str">
        <f t="shared" si="823"/>
        <v xml:space="preserve"> </v>
      </c>
      <c r="I396" s="598" t="str">
        <f t="shared" si="823"/>
        <v xml:space="preserve"> </v>
      </c>
      <c r="J396" s="598" t="str">
        <f t="shared" si="823"/>
        <v xml:space="preserve"> </v>
      </c>
      <c r="K396" s="598" t="str">
        <f t="shared" si="823"/>
        <v xml:space="preserve"> </v>
      </c>
      <c r="L396" s="598" t="str">
        <f t="shared" si="824"/>
        <v xml:space="preserve"> </v>
      </c>
      <c r="M396" s="598" t="str">
        <f t="shared" si="824"/>
        <v xml:space="preserve"> </v>
      </c>
      <c r="N396" s="598" t="str">
        <f t="shared" si="824"/>
        <v xml:space="preserve"> </v>
      </c>
      <c r="O396" s="598" t="str">
        <f t="shared" si="824"/>
        <v xml:space="preserve"> </v>
      </c>
      <c r="P396" s="598" t="str">
        <f t="shared" si="824"/>
        <v xml:space="preserve"> </v>
      </c>
      <c r="Q396" s="598" t="str">
        <f t="shared" si="824"/>
        <v xml:space="preserve"> </v>
      </c>
      <c r="R396" s="598" t="str">
        <f t="shared" si="824"/>
        <v xml:space="preserve"> </v>
      </c>
      <c r="S396" s="598" t="str">
        <f t="shared" si="824"/>
        <v xml:space="preserve"> </v>
      </c>
      <c r="T396" s="598" t="str">
        <f t="shared" si="824"/>
        <v xml:space="preserve"> </v>
      </c>
      <c r="U396" s="598" t="str">
        <f t="shared" si="824"/>
        <v xml:space="preserve"> </v>
      </c>
      <c r="V396" s="598" t="str">
        <f t="shared" si="825"/>
        <v xml:space="preserve"> </v>
      </c>
      <c r="W396" s="598" t="str">
        <f t="shared" si="825"/>
        <v xml:space="preserve"> </v>
      </c>
      <c r="X396" s="598" t="str">
        <f t="shared" si="825"/>
        <v xml:space="preserve"> </v>
      </c>
      <c r="Y396" s="598" t="str">
        <f t="shared" si="825"/>
        <v xml:space="preserve"> </v>
      </c>
      <c r="Z396" s="598" t="str">
        <f t="shared" si="825"/>
        <v xml:space="preserve"> </v>
      </c>
      <c r="AA396" s="598" t="str">
        <f t="shared" si="825"/>
        <v xml:space="preserve"> </v>
      </c>
      <c r="AB396" s="598" t="str">
        <f t="shared" si="825"/>
        <v xml:space="preserve"> </v>
      </c>
      <c r="AC396" s="598" t="str">
        <f t="shared" si="825"/>
        <v xml:space="preserve"> </v>
      </c>
      <c r="AD396" s="598" t="str">
        <f t="shared" si="825"/>
        <v xml:space="preserve"> </v>
      </c>
      <c r="AE396" s="598" t="str">
        <f t="shared" si="825"/>
        <v xml:space="preserve"> </v>
      </c>
      <c r="AF396" s="598" t="str">
        <f t="shared" si="826"/>
        <v xml:space="preserve"> </v>
      </c>
      <c r="AG396" s="598" t="str">
        <f t="shared" si="826"/>
        <v xml:space="preserve"> </v>
      </c>
      <c r="AH396" s="598" t="str">
        <f t="shared" si="826"/>
        <v xml:space="preserve"> </v>
      </c>
      <c r="AI396" s="598" t="str">
        <f t="shared" si="826"/>
        <v xml:space="preserve"> </v>
      </c>
      <c r="AJ396" s="598" t="str">
        <f t="shared" si="826"/>
        <v xml:space="preserve"> </v>
      </c>
      <c r="AK396" s="598" t="str">
        <f t="shared" si="826"/>
        <v xml:space="preserve"> </v>
      </c>
      <c r="AL396" s="598" t="str">
        <f t="shared" si="826"/>
        <v xml:space="preserve"> </v>
      </c>
      <c r="AM396" s="598" t="str">
        <f t="shared" si="826"/>
        <v xml:space="preserve"> </v>
      </c>
      <c r="AN396" s="598" t="str">
        <f t="shared" si="826"/>
        <v xml:space="preserve"> </v>
      </c>
      <c r="AO396" s="598" t="str">
        <f t="shared" si="826"/>
        <v xml:space="preserve"> </v>
      </c>
      <c r="AP396" s="598" t="str">
        <f t="shared" si="826"/>
        <v xml:space="preserve"> </v>
      </c>
      <c r="AQ396" s="598" t="str">
        <f t="shared" si="826"/>
        <v xml:space="preserve"> </v>
      </c>
      <c r="AR396" s="598" t="str">
        <f t="shared" si="826"/>
        <v xml:space="preserve"> </v>
      </c>
      <c r="AS396" s="598" t="str">
        <f t="shared" si="826"/>
        <v xml:space="preserve"> </v>
      </c>
      <c r="AT396" s="598" t="str">
        <f t="shared" si="826"/>
        <v xml:space="preserve"> </v>
      </c>
      <c r="AV396" s="598" t="str">
        <f t="shared" si="827"/>
        <v xml:space="preserve"> </v>
      </c>
      <c r="AW396" s="598" t="str">
        <f t="shared" si="827"/>
        <v xml:space="preserve"> </v>
      </c>
      <c r="AX396" s="598" t="str">
        <f t="shared" si="827"/>
        <v xml:space="preserve"> </v>
      </c>
      <c r="AY396" s="598" t="str">
        <f t="shared" si="827"/>
        <v xml:space="preserve"> </v>
      </c>
      <c r="AZ396" s="598" t="str">
        <f t="shared" si="827"/>
        <v xml:space="preserve"> </v>
      </c>
      <c r="BA396" s="598" t="str">
        <f t="shared" si="827"/>
        <v xml:space="preserve"> </v>
      </c>
      <c r="BB396" s="598" t="str">
        <f t="shared" si="827"/>
        <v xml:space="preserve"> </v>
      </c>
      <c r="BC396" s="598" t="str">
        <f t="shared" si="827"/>
        <v xml:space="preserve"> </v>
      </c>
      <c r="BD396" s="598" t="str">
        <f t="shared" si="827"/>
        <v xml:space="preserve"> </v>
      </c>
      <c r="BE396" s="598" t="str">
        <f t="shared" si="827"/>
        <v xml:space="preserve"> </v>
      </c>
      <c r="BF396" s="598" t="str">
        <f t="shared" si="828"/>
        <v xml:space="preserve"> </v>
      </c>
      <c r="BG396" s="598" t="str">
        <f t="shared" si="828"/>
        <v xml:space="preserve"> </v>
      </c>
      <c r="BH396" s="598" t="str">
        <f t="shared" si="828"/>
        <v xml:space="preserve"> </v>
      </c>
      <c r="BI396" s="598" t="str">
        <f t="shared" si="828"/>
        <v xml:space="preserve"> </v>
      </c>
      <c r="BJ396" s="598" t="str">
        <f t="shared" si="828"/>
        <v xml:space="preserve"> </v>
      </c>
      <c r="BK396" s="598" t="str">
        <f t="shared" si="828"/>
        <v xml:space="preserve"> </v>
      </c>
      <c r="BL396" s="598" t="str">
        <f t="shared" si="828"/>
        <v xml:space="preserve"> </v>
      </c>
      <c r="BM396" s="598" t="str">
        <f t="shared" si="828"/>
        <v xml:space="preserve"> </v>
      </c>
      <c r="BN396" s="598" t="str">
        <f t="shared" si="828"/>
        <v xml:space="preserve"> </v>
      </c>
      <c r="BO396" s="598" t="str">
        <f t="shared" si="828"/>
        <v xml:space="preserve"> </v>
      </c>
      <c r="BP396" s="598" t="str">
        <f t="shared" si="829"/>
        <v xml:space="preserve"> </v>
      </c>
      <c r="BQ396" s="598" t="str">
        <f t="shared" si="829"/>
        <v xml:space="preserve"> </v>
      </c>
      <c r="BR396" s="598" t="str">
        <f t="shared" si="829"/>
        <v xml:space="preserve"> </v>
      </c>
      <c r="BS396" s="598" t="str">
        <f t="shared" si="829"/>
        <v xml:space="preserve"> </v>
      </c>
      <c r="BT396" s="598" t="str">
        <f t="shared" si="829"/>
        <v xml:space="preserve"> </v>
      </c>
      <c r="BU396" s="598" t="str">
        <f t="shared" si="829"/>
        <v xml:space="preserve"> </v>
      </c>
      <c r="BV396" s="598" t="str">
        <f t="shared" si="829"/>
        <v xml:space="preserve"> </v>
      </c>
      <c r="BW396" s="598" t="str">
        <f t="shared" si="829"/>
        <v xml:space="preserve"> </v>
      </c>
      <c r="BX396" s="598" t="str">
        <f t="shared" si="829"/>
        <v xml:space="preserve"> </v>
      </c>
      <c r="BY396" s="598" t="str">
        <f t="shared" si="829"/>
        <v xml:space="preserve"> </v>
      </c>
      <c r="BZ396" s="598" t="str">
        <f t="shared" si="830"/>
        <v xml:space="preserve"> </v>
      </c>
      <c r="CA396" s="598" t="str">
        <f t="shared" si="830"/>
        <v xml:space="preserve"> </v>
      </c>
      <c r="CB396" s="598" t="str">
        <f t="shared" si="830"/>
        <v xml:space="preserve"> </v>
      </c>
      <c r="CC396" s="598" t="str">
        <f t="shared" si="830"/>
        <v xml:space="preserve"> </v>
      </c>
      <c r="CD396" s="598" t="str">
        <f t="shared" si="830"/>
        <v xml:space="preserve"> </v>
      </c>
      <c r="CE396" s="598" t="str">
        <f t="shared" si="830"/>
        <v xml:space="preserve"> </v>
      </c>
      <c r="CF396" s="598" t="str">
        <f t="shared" si="830"/>
        <v xml:space="preserve"> </v>
      </c>
      <c r="CG396" s="598" t="str">
        <f t="shared" si="830"/>
        <v xml:space="preserve"> </v>
      </c>
      <c r="CH396" s="598" t="str">
        <f t="shared" si="830"/>
        <v xml:space="preserve"> </v>
      </c>
      <c r="CI396" s="598" t="str">
        <f t="shared" si="830"/>
        <v xml:space="preserve"> </v>
      </c>
      <c r="CJ396" s="598" t="str">
        <f t="shared" si="830"/>
        <v xml:space="preserve"> </v>
      </c>
      <c r="CK396" s="598" t="str">
        <f t="shared" si="830"/>
        <v xml:space="preserve"> </v>
      </c>
      <c r="CL396" s="598" t="str">
        <f t="shared" si="830"/>
        <v xml:space="preserve"> </v>
      </c>
      <c r="CM396" s="598" t="str">
        <f t="shared" si="830"/>
        <v xml:space="preserve"> </v>
      </c>
      <c r="CN396" s="598" t="str">
        <f t="shared" si="830"/>
        <v xml:space="preserve"> </v>
      </c>
    </row>
    <row r="397" spans="1:92">
      <c r="A397" s="598">
        <v>20</v>
      </c>
      <c r="B397" s="598" t="str">
        <f t="shared" si="823"/>
        <v xml:space="preserve"> </v>
      </c>
      <c r="C397" s="598" t="str">
        <f t="shared" si="823"/>
        <v xml:space="preserve"> </v>
      </c>
      <c r="D397" s="598" t="str">
        <f t="shared" si="823"/>
        <v xml:space="preserve"> </v>
      </c>
      <c r="E397" s="598" t="str">
        <f t="shared" si="823"/>
        <v xml:space="preserve"> </v>
      </c>
      <c r="F397" s="598" t="str">
        <f t="shared" si="823"/>
        <v xml:space="preserve"> </v>
      </c>
      <c r="G397" s="598" t="str">
        <f t="shared" si="823"/>
        <v xml:space="preserve"> </v>
      </c>
      <c r="H397" s="598" t="str">
        <f t="shared" si="823"/>
        <v xml:space="preserve"> </v>
      </c>
      <c r="I397" s="598" t="str">
        <f t="shared" si="823"/>
        <v xml:space="preserve"> </v>
      </c>
      <c r="J397" s="598" t="str">
        <f t="shared" si="823"/>
        <v xml:space="preserve"> </v>
      </c>
      <c r="K397" s="598" t="str">
        <f t="shared" si="823"/>
        <v xml:space="preserve"> </v>
      </c>
      <c r="L397" s="598" t="str">
        <f t="shared" si="824"/>
        <v xml:space="preserve"> </v>
      </c>
      <c r="M397" s="598" t="str">
        <f t="shared" si="824"/>
        <v xml:space="preserve"> </v>
      </c>
      <c r="N397" s="598" t="str">
        <f t="shared" si="824"/>
        <v xml:space="preserve"> </v>
      </c>
      <c r="O397" s="598" t="str">
        <f t="shared" si="824"/>
        <v xml:space="preserve"> </v>
      </c>
      <c r="P397" s="598" t="str">
        <f t="shared" si="824"/>
        <v xml:space="preserve"> </v>
      </c>
      <c r="Q397" s="598" t="str">
        <f t="shared" si="824"/>
        <v xml:space="preserve"> </v>
      </c>
      <c r="R397" s="598" t="str">
        <f t="shared" si="824"/>
        <v xml:space="preserve"> </v>
      </c>
      <c r="S397" s="598" t="str">
        <f t="shared" si="824"/>
        <v xml:space="preserve"> </v>
      </c>
      <c r="T397" s="598" t="str">
        <f t="shared" si="824"/>
        <v xml:space="preserve"> </v>
      </c>
      <c r="U397" s="598" t="str">
        <f t="shared" si="824"/>
        <v xml:space="preserve"> </v>
      </c>
      <c r="V397" s="598" t="str">
        <f t="shared" si="825"/>
        <v xml:space="preserve"> </v>
      </c>
      <c r="W397" s="598" t="str">
        <f t="shared" si="825"/>
        <v xml:space="preserve"> </v>
      </c>
      <c r="X397" s="598" t="str">
        <f t="shared" si="825"/>
        <v xml:space="preserve"> </v>
      </c>
      <c r="Y397" s="598" t="str">
        <f t="shared" si="825"/>
        <v xml:space="preserve"> </v>
      </c>
      <c r="Z397" s="598" t="str">
        <f t="shared" si="825"/>
        <v xml:space="preserve"> </v>
      </c>
      <c r="AA397" s="598" t="str">
        <f t="shared" si="825"/>
        <v xml:space="preserve"> </v>
      </c>
      <c r="AB397" s="598" t="str">
        <f t="shared" si="825"/>
        <v xml:space="preserve"> </v>
      </c>
      <c r="AC397" s="598" t="str">
        <f t="shared" si="825"/>
        <v xml:space="preserve"> </v>
      </c>
      <c r="AD397" s="598" t="str">
        <f t="shared" si="825"/>
        <v xml:space="preserve"> </v>
      </c>
      <c r="AE397" s="598" t="str">
        <f t="shared" si="825"/>
        <v xml:space="preserve"> </v>
      </c>
      <c r="AF397" s="598" t="str">
        <f t="shared" si="826"/>
        <v xml:space="preserve"> </v>
      </c>
      <c r="AG397" s="598" t="str">
        <f t="shared" si="826"/>
        <v xml:space="preserve"> </v>
      </c>
      <c r="AH397" s="598" t="str">
        <f t="shared" si="826"/>
        <v xml:space="preserve"> </v>
      </c>
      <c r="AI397" s="598" t="str">
        <f t="shared" si="826"/>
        <v xml:space="preserve"> </v>
      </c>
      <c r="AJ397" s="598" t="str">
        <f t="shared" si="826"/>
        <v xml:space="preserve"> </v>
      </c>
      <c r="AK397" s="598" t="str">
        <f t="shared" si="826"/>
        <v xml:space="preserve"> </v>
      </c>
      <c r="AL397" s="598" t="str">
        <f t="shared" si="826"/>
        <v xml:space="preserve"> </v>
      </c>
      <c r="AM397" s="598" t="str">
        <f t="shared" si="826"/>
        <v xml:space="preserve"> </v>
      </c>
      <c r="AN397" s="598" t="str">
        <f t="shared" si="826"/>
        <v xml:space="preserve"> </v>
      </c>
      <c r="AO397" s="598" t="str">
        <f t="shared" si="826"/>
        <v xml:space="preserve"> </v>
      </c>
      <c r="AP397" s="598" t="str">
        <f t="shared" si="826"/>
        <v xml:space="preserve"> </v>
      </c>
      <c r="AQ397" s="598" t="str">
        <f t="shared" si="826"/>
        <v xml:space="preserve"> </v>
      </c>
      <c r="AR397" s="598" t="str">
        <f t="shared" si="826"/>
        <v xml:space="preserve"> </v>
      </c>
      <c r="AS397" s="598" t="str">
        <f t="shared" si="826"/>
        <v xml:space="preserve"> </v>
      </c>
      <c r="AT397" s="598" t="str">
        <f t="shared" si="826"/>
        <v xml:space="preserve"> </v>
      </c>
      <c r="AV397" s="598" t="str">
        <f t="shared" si="827"/>
        <v xml:space="preserve"> </v>
      </c>
      <c r="AW397" s="598" t="str">
        <f t="shared" si="827"/>
        <v xml:space="preserve"> </v>
      </c>
      <c r="AX397" s="598" t="str">
        <f t="shared" si="827"/>
        <v xml:space="preserve"> </v>
      </c>
      <c r="AY397" s="598" t="str">
        <f t="shared" si="827"/>
        <v xml:space="preserve"> </v>
      </c>
      <c r="AZ397" s="598" t="str">
        <f t="shared" si="827"/>
        <v xml:space="preserve"> </v>
      </c>
      <c r="BA397" s="598" t="str">
        <f t="shared" si="827"/>
        <v xml:space="preserve"> </v>
      </c>
      <c r="BB397" s="598" t="str">
        <f t="shared" si="827"/>
        <v xml:space="preserve"> </v>
      </c>
      <c r="BC397" s="598" t="str">
        <f t="shared" si="827"/>
        <v xml:space="preserve"> </v>
      </c>
      <c r="BD397" s="598" t="str">
        <f t="shared" si="827"/>
        <v xml:space="preserve"> </v>
      </c>
      <c r="BE397" s="598" t="str">
        <f t="shared" si="827"/>
        <v xml:space="preserve"> </v>
      </c>
      <c r="BF397" s="598" t="str">
        <f t="shared" si="828"/>
        <v xml:space="preserve"> </v>
      </c>
      <c r="BG397" s="598" t="str">
        <f t="shared" si="828"/>
        <v xml:space="preserve"> </v>
      </c>
      <c r="BH397" s="598" t="str">
        <f t="shared" si="828"/>
        <v xml:space="preserve"> </v>
      </c>
      <c r="BI397" s="598" t="str">
        <f t="shared" si="828"/>
        <v xml:space="preserve"> </v>
      </c>
      <c r="BJ397" s="598" t="str">
        <f t="shared" si="828"/>
        <v xml:space="preserve"> </v>
      </c>
      <c r="BK397" s="598" t="str">
        <f t="shared" si="828"/>
        <v xml:space="preserve"> </v>
      </c>
      <c r="BL397" s="598" t="str">
        <f t="shared" si="828"/>
        <v xml:space="preserve"> </v>
      </c>
      <c r="BM397" s="598" t="str">
        <f t="shared" si="828"/>
        <v xml:space="preserve"> </v>
      </c>
      <c r="BN397" s="598" t="str">
        <f t="shared" si="828"/>
        <v xml:space="preserve"> </v>
      </c>
      <c r="BO397" s="598" t="str">
        <f t="shared" si="828"/>
        <v xml:space="preserve"> </v>
      </c>
      <c r="BP397" s="598" t="str">
        <f t="shared" si="829"/>
        <v xml:space="preserve"> </v>
      </c>
      <c r="BQ397" s="598" t="str">
        <f t="shared" si="829"/>
        <v xml:space="preserve"> </v>
      </c>
      <c r="BR397" s="598" t="str">
        <f t="shared" si="829"/>
        <v xml:space="preserve"> </v>
      </c>
      <c r="BS397" s="598" t="str">
        <f t="shared" si="829"/>
        <v xml:space="preserve"> </v>
      </c>
      <c r="BT397" s="598" t="str">
        <f t="shared" si="829"/>
        <v xml:space="preserve"> </v>
      </c>
      <c r="BU397" s="598" t="str">
        <f t="shared" si="829"/>
        <v xml:space="preserve"> </v>
      </c>
      <c r="BV397" s="598" t="str">
        <f t="shared" si="829"/>
        <v xml:space="preserve"> </v>
      </c>
      <c r="BW397" s="598" t="str">
        <f t="shared" si="829"/>
        <v xml:space="preserve"> </v>
      </c>
      <c r="BX397" s="598" t="str">
        <f t="shared" si="829"/>
        <v xml:space="preserve"> </v>
      </c>
      <c r="BY397" s="598" t="str">
        <f t="shared" si="829"/>
        <v xml:space="preserve"> </v>
      </c>
      <c r="BZ397" s="598" t="str">
        <f t="shared" si="830"/>
        <v xml:space="preserve"> </v>
      </c>
      <c r="CA397" s="598" t="str">
        <f t="shared" si="830"/>
        <v xml:space="preserve"> </v>
      </c>
      <c r="CB397" s="598" t="str">
        <f t="shared" si="830"/>
        <v xml:space="preserve"> </v>
      </c>
      <c r="CC397" s="598" t="str">
        <f t="shared" si="830"/>
        <v xml:space="preserve"> </v>
      </c>
      <c r="CD397" s="598" t="str">
        <f t="shared" si="830"/>
        <v xml:space="preserve"> </v>
      </c>
      <c r="CE397" s="598" t="str">
        <f t="shared" si="830"/>
        <v xml:space="preserve"> </v>
      </c>
      <c r="CF397" s="598" t="str">
        <f t="shared" si="830"/>
        <v xml:space="preserve"> </v>
      </c>
      <c r="CG397" s="598" t="str">
        <f t="shared" si="830"/>
        <v xml:space="preserve"> </v>
      </c>
      <c r="CH397" s="598" t="str">
        <f t="shared" si="830"/>
        <v xml:space="preserve"> </v>
      </c>
      <c r="CI397" s="598" t="str">
        <f t="shared" si="830"/>
        <v xml:space="preserve"> </v>
      </c>
      <c r="CJ397" s="598" t="str">
        <f t="shared" si="830"/>
        <v xml:space="preserve"> </v>
      </c>
      <c r="CK397" s="598" t="str">
        <f t="shared" si="830"/>
        <v xml:space="preserve"> </v>
      </c>
      <c r="CL397" s="598" t="str">
        <f t="shared" si="830"/>
        <v xml:space="preserve"> </v>
      </c>
      <c r="CM397" s="598" t="str">
        <f t="shared" si="830"/>
        <v xml:space="preserve"> </v>
      </c>
      <c r="CN397" s="598" t="str">
        <f t="shared" si="830"/>
        <v xml:space="preserve"> </v>
      </c>
    </row>
    <row r="398" spans="1:92">
      <c r="A398" s="598">
        <v>21</v>
      </c>
      <c r="B398" s="598" t="str">
        <f t="shared" si="823"/>
        <v xml:space="preserve"> </v>
      </c>
      <c r="C398" s="598" t="str">
        <f t="shared" si="823"/>
        <v xml:space="preserve"> </v>
      </c>
      <c r="D398" s="598" t="str">
        <f t="shared" si="823"/>
        <v xml:space="preserve"> </v>
      </c>
      <c r="E398" s="598" t="str">
        <f t="shared" si="823"/>
        <v xml:space="preserve"> </v>
      </c>
      <c r="F398" s="598" t="str">
        <f t="shared" si="823"/>
        <v xml:space="preserve"> </v>
      </c>
      <c r="G398" s="598" t="str">
        <f t="shared" si="823"/>
        <v xml:space="preserve"> </v>
      </c>
      <c r="H398" s="598" t="str">
        <f t="shared" si="823"/>
        <v xml:space="preserve"> </v>
      </c>
      <c r="I398" s="598" t="str">
        <f t="shared" si="823"/>
        <v xml:space="preserve"> </v>
      </c>
      <c r="J398" s="598" t="str">
        <f t="shared" si="823"/>
        <v xml:space="preserve"> </v>
      </c>
      <c r="K398" s="598" t="str">
        <f t="shared" si="823"/>
        <v xml:space="preserve"> </v>
      </c>
      <c r="L398" s="598" t="str">
        <f t="shared" si="824"/>
        <v xml:space="preserve"> </v>
      </c>
      <c r="M398" s="598" t="str">
        <f t="shared" si="824"/>
        <v xml:space="preserve"> </v>
      </c>
      <c r="N398" s="598" t="str">
        <f t="shared" si="824"/>
        <v xml:space="preserve"> </v>
      </c>
      <c r="O398" s="598" t="str">
        <f t="shared" si="824"/>
        <v xml:space="preserve"> </v>
      </c>
      <c r="P398" s="598" t="str">
        <f t="shared" si="824"/>
        <v xml:space="preserve"> </v>
      </c>
      <c r="Q398" s="598" t="str">
        <f t="shared" si="824"/>
        <v xml:space="preserve"> </v>
      </c>
      <c r="R398" s="598" t="str">
        <f t="shared" si="824"/>
        <v xml:space="preserve"> </v>
      </c>
      <c r="S398" s="598" t="str">
        <f t="shared" si="824"/>
        <v xml:space="preserve"> </v>
      </c>
      <c r="T398" s="598" t="str">
        <f t="shared" si="824"/>
        <v xml:space="preserve"> </v>
      </c>
      <c r="U398" s="598" t="str">
        <f t="shared" si="824"/>
        <v xml:space="preserve"> </v>
      </c>
      <c r="V398" s="598" t="str">
        <f t="shared" si="825"/>
        <v xml:space="preserve"> </v>
      </c>
      <c r="W398" s="598" t="str">
        <f t="shared" si="825"/>
        <v xml:space="preserve"> </v>
      </c>
      <c r="X398" s="598" t="str">
        <f t="shared" si="825"/>
        <v xml:space="preserve"> </v>
      </c>
      <c r="Y398" s="598" t="str">
        <f t="shared" si="825"/>
        <v xml:space="preserve"> </v>
      </c>
      <c r="Z398" s="598" t="str">
        <f t="shared" si="825"/>
        <v xml:space="preserve"> </v>
      </c>
      <c r="AA398" s="598" t="str">
        <f t="shared" si="825"/>
        <v xml:space="preserve"> </v>
      </c>
      <c r="AB398" s="598" t="str">
        <f t="shared" si="825"/>
        <v xml:space="preserve"> </v>
      </c>
      <c r="AC398" s="598" t="str">
        <f t="shared" si="825"/>
        <v xml:space="preserve"> </v>
      </c>
      <c r="AD398" s="598" t="str">
        <f t="shared" si="825"/>
        <v xml:space="preserve"> </v>
      </c>
      <c r="AE398" s="598" t="str">
        <f t="shared" si="825"/>
        <v xml:space="preserve"> </v>
      </c>
      <c r="AF398" s="598" t="str">
        <f t="shared" si="826"/>
        <v xml:space="preserve"> </v>
      </c>
      <c r="AG398" s="598" t="str">
        <f t="shared" si="826"/>
        <v xml:space="preserve"> </v>
      </c>
      <c r="AH398" s="598" t="str">
        <f t="shared" si="826"/>
        <v xml:space="preserve"> </v>
      </c>
      <c r="AI398" s="598" t="str">
        <f t="shared" si="826"/>
        <v xml:space="preserve"> </v>
      </c>
      <c r="AJ398" s="598" t="str">
        <f t="shared" si="826"/>
        <v xml:space="preserve"> </v>
      </c>
      <c r="AK398" s="598" t="str">
        <f t="shared" si="826"/>
        <v xml:space="preserve"> </v>
      </c>
      <c r="AL398" s="598" t="str">
        <f t="shared" si="826"/>
        <v xml:space="preserve"> </v>
      </c>
      <c r="AM398" s="598" t="str">
        <f t="shared" si="826"/>
        <v xml:space="preserve"> </v>
      </c>
      <c r="AN398" s="598" t="str">
        <f t="shared" si="826"/>
        <v xml:space="preserve"> </v>
      </c>
      <c r="AO398" s="598" t="str">
        <f t="shared" si="826"/>
        <v xml:space="preserve"> </v>
      </c>
      <c r="AP398" s="598" t="str">
        <f t="shared" si="826"/>
        <v xml:space="preserve"> </v>
      </c>
      <c r="AQ398" s="598" t="str">
        <f t="shared" si="826"/>
        <v xml:space="preserve"> </v>
      </c>
      <c r="AR398" s="598" t="str">
        <f t="shared" si="826"/>
        <v xml:space="preserve"> </v>
      </c>
      <c r="AS398" s="598" t="str">
        <f t="shared" si="826"/>
        <v xml:space="preserve"> </v>
      </c>
      <c r="AT398" s="598" t="str">
        <f t="shared" si="826"/>
        <v xml:space="preserve"> </v>
      </c>
      <c r="AV398" s="598" t="str">
        <f t="shared" si="827"/>
        <v xml:space="preserve"> </v>
      </c>
      <c r="AW398" s="598" t="str">
        <f t="shared" si="827"/>
        <v xml:space="preserve"> </v>
      </c>
      <c r="AX398" s="598" t="str">
        <f t="shared" si="827"/>
        <v xml:space="preserve"> </v>
      </c>
      <c r="AY398" s="598" t="str">
        <f t="shared" si="827"/>
        <v xml:space="preserve"> </v>
      </c>
      <c r="AZ398" s="598" t="str">
        <f t="shared" si="827"/>
        <v xml:space="preserve"> </v>
      </c>
      <c r="BA398" s="598" t="str">
        <f t="shared" si="827"/>
        <v xml:space="preserve"> </v>
      </c>
      <c r="BB398" s="598" t="str">
        <f t="shared" si="827"/>
        <v xml:space="preserve"> </v>
      </c>
      <c r="BC398" s="598" t="str">
        <f t="shared" si="827"/>
        <v xml:space="preserve"> </v>
      </c>
      <c r="BD398" s="598" t="str">
        <f t="shared" si="827"/>
        <v xml:space="preserve"> </v>
      </c>
      <c r="BE398" s="598" t="str">
        <f t="shared" si="827"/>
        <v xml:space="preserve"> </v>
      </c>
      <c r="BF398" s="598" t="str">
        <f t="shared" si="828"/>
        <v xml:space="preserve"> </v>
      </c>
      <c r="BG398" s="598" t="str">
        <f t="shared" si="828"/>
        <v xml:space="preserve"> </v>
      </c>
      <c r="BH398" s="598" t="str">
        <f t="shared" si="828"/>
        <v xml:space="preserve"> </v>
      </c>
      <c r="BI398" s="598" t="str">
        <f t="shared" si="828"/>
        <v xml:space="preserve"> </v>
      </c>
      <c r="BJ398" s="598" t="str">
        <f t="shared" si="828"/>
        <v xml:space="preserve"> </v>
      </c>
      <c r="BK398" s="598" t="str">
        <f t="shared" si="828"/>
        <v xml:space="preserve"> </v>
      </c>
      <c r="BL398" s="598" t="str">
        <f t="shared" si="828"/>
        <v xml:space="preserve"> </v>
      </c>
      <c r="BM398" s="598" t="str">
        <f t="shared" si="828"/>
        <v xml:space="preserve"> </v>
      </c>
      <c r="BN398" s="598" t="str">
        <f t="shared" si="828"/>
        <v xml:space="preserve"> </v>
      </c>
      <c r="BO398" s="598" t="str">
        <f t="shared" si="828"/>
        <v xml:space="preserve"> </v>
      </c>
      <c r="BP398" s="598" t="str">
        <f t="shared" si="829"/>
        <v xml:space="preserve"> </v>
      </c>
      <c r="BQ398" s="598" t="str">
        <f t="shared" si="829"/>
        <v xml:space="preserve"> </v>
      </c>
      <c r="BR398" s="598" t="str">
        <f t="shared" si="829"/>
        <v xml:space="preserve"> </v>
      </c>
      <c r="BS398" s="598" t="str">
        <f t="shared" si="829"/>
        <v xml:space="preserve"> </v>
      </c>
      <c r="BT398" s="598" t="str">
        <f t="shared" si="829"/>
        <v xml:space="preserve"> </v>
      </c>
      <c r="BU398" s="598" t="str">
        <f t="shared" si="829"/>
        <v xml:space="preserve"> </v>
      </c>
      <c r="BV398" s="598" t="str">
        <f t="shared" si="829"/>
        <v xml:space="preserve"> </v>
      </c>
      <c r="BW398" s="598" t="str">
        <f t="shared" si="829"/>
        <v xml:space="preserve"> </v>
      </c>
      <c r="BX398" s="598" t="str">
        <f t="shared" si="829"/>
        <v xml:space="preserve"> </v>
      </c>
      <c r="BY398" s="598" t="str">
        <f t="shared" si="829"/>
        <v xml:space="preserve"> </v>
      </c>
      <c r="BZ398" s="598" t="str">
        <f t="shared" si="830"/>
        <v xml:space="preserve"> </v>
      </c>
      <c r="CA398" s="598" t="str">
        <f t="shared" si="830"/>
        <v xml:space="preserve"> </v>
      </c>
      <c r="CB398" s="598" t="str">
        <f t="shared" si="830"/>
        <v xml:space="preserve"> </v>
      </c>
      <c r="CC398" s="598" t="str">
        <f t="shared" si="830"/>
        <v xml:space="preserve"> </v>
      </c>
      <c r="CD398" s="598" t="str">
        <f t="shared" si="830"/>
        <v xml:space="preserve"> </v>
      </c>
      <c r="CE398" s="598" t="str">
        <f t="shared" si="830"/>
        <v xml:space="preserve"> </v>
      </c>
      <c r="CF398" s="598" t="str">
        <f t="shared" si="830"/>
        <v xml:space="preserve"> </v>
      </c>
      <c r="CG398" s="598" t="str">
        <f t="shared" si="830"/>
        <v xml:space="preserve"> </v>
      </c>
      <c r="CH398" s="598" t="str">
        <f t="shared" si="830"/>
        <v xml:space="preserve"> </v>
      </c>
      <c r="CI398" s="598" t="str">
        <f t="shared" si="830"/>
        <v xml:space="preserve"> </v>
      </c>
      <c r="CJ398" s="598" t="str">
        <f t="shared" si="830"/>
        <v xml:space="preserve"> </v>
      </c>
      <c r="CK398" s="598" t="str">
        <f t="shared" si="830"/>
        <v xml:space="preserve"> </v>
      </c>
      <c r="CL398" s="598" t="str">
        <f t="shared" si="830"/>
        <v xml:space="preserve"> </v>
      </c>
      <c r="CM398" s="598" t="str">
        <f t="shared" si="830"/>
        <v xml:space="preserve"> </v>
      </c>
      <c r="CN398" s="598" t="str">
        <f t="shared" si="830"/>
        <v xml:space="preserve"> </v>
      </c>
    </row>
    <row r="399" spans="1:92">
      <c r="A399" s="598">
        <v>22</v>
      </c>
      <c r="B399" s="598" t="str">
        <f t="shared" ref="B399:K408" si="831">HLOOKUP(B$376,$C$255:$S$372,$A399+1)</f>
        <v xml:space="preserve"> </v>
      </c>
      <c r="C399" s="598" t="str">
        <f t="shared" si="831"/>
        <v xml:space="preserve"> </v>
      </c>
      <c r="D399" s="598" t="str">
        <f t="shared" si="831"/>
        <v xml:space="preserve"> </v>
      </c>
      <c r="E399" s="598" t="str">
        <f t="shared" si="831"/>
        <v xml:space="preserve"> </v>
      </c>
      <c r="F399" s="598" t="str">
        <f t="shared" si="831"/>
        <v xml:space="preserve"> </v>
      </c>
      <c r="G399" s="598" t="str">
        <f t="shared" si="831"/>
        <v xml:space="preserve"> </v>
      </c>
      <c r="H399" s="598" t="str">
        <f t="shared" si="831"/>
        <v xml:space="preserve"> </v>
      </c>
      <c r="I399" s="598" t="str">
        <f t="shared" si="831"/>
        <v xml:space="preserve"> </v>
      </c>
      <c r="J399" s="598" t="str">
        <f t="shared" si="831"/>
        <v xml:space="preserve"> </v>
      </c>
      <c r="K399" s="598" t="str">
        <f t="shared" si="831"/>
        <v xml:space="preserve"> </v>
      </c>
      <c r="L399" s="598" t="str">
        <f t="shared" ref="L399:U408" si="832">HLOOKUP(L$376,$C$255:$S$372,$A399+1)</f>
        <v xml:space="preserve"> </v>
      </c>
      <c r="M399" s="598" t="str">
        <f t="shared" si="832"/>
        <v xml:space="preserve"> </v>
      </c>
      <c r="N399" s="598" t="str">
        <f t="shared" si="832"/>
        <v xml:space="preserve"> </v>
      </c>
      <c r="O399" s="598" t="str">
        <f t="shared" si="832"/>
        <v xml:space="preserve"> </v>
      </c>
      <c r="P399" s="598" t="str">
        <f t="shared" si="832"/>
        <v xml:space="preserve"> </v>
      </c>
      <c r="Q399" s="598" t="str">
        <f t="shared" si="832"/>
        <v xml:space="preserve"> </v>
      </c>
      <c r="R399" s="598" t="str">
        <f t="shared" si="832"/>
        <v xml:space="preserve"> </v>
      </c>
      <c r="S399" s="598" t="str">
        <f t="shared" si="832"/>
        <v xml:space="preserve"> </v>
      </c>
      <c r="T399" s="598" t="str">
        <f t="shared" si="832"/>
        <v xml:space="preserve"> </v>
      </c>
      <c r="U399" s="598" t="str">
        <f t="shared" si="832"/>
        <v xml:space="preserve"> </v>
      </c>
      <c r="V399" s="598" t="str">
        <f t="shared" ref="V399:AE408" si="833">HLOOKUP(V$376,$C$255:$S$372,$A399+1)</f>
        <v xml:space="preserve"> </v>
      </c>
      <c r="W399" s="598" t="str">
        <f t="shared" si="833"/>
        <v xml:space="preserve"> </v>
      </c>
      <c r="X399" s="598" t="str">
        <f t="shared" si="833"/>
        <v xml:space="preserve"> </v>
      </c>
      <c r="Y399" s="598" t="str">
        <f t="shared" si="833"/>
        <v xml:space="preserve"> </v>
      </c>
      <c r="Z399" s="598" t="str">
        <f t="shared" si="833"/>
        <v xml:space="preserve"> </v>
      </c>
      <c r="AA399" s="598" t="str">
        <f t="shared" si="833"/>
        <v xml:space="preserve"> </v>
      </c>
      <c r="AB399" s="598" t="str">
        <f t="shared" si="833"/>
        <v xml:space="preserve"> </v>
      </c>
      <c r="AC399" s="598" t="str">
        <f t="shared" si="833"/>
        <v xml:space="preserve"> </v>
      </c>
      <c r="AD399" s="598" t="str">
        <f t="shared" si="833"/>
        <v xml:space="preserve"> </v>
      </c>
      <c r="AE399" s="598" t="str">
        <f t="shared" si="833"/>
        <v xml:space="preserve"> </v>
      </c>
      <c r="AF399" s="598" t="str">
        <f t="shared" ref="AF399:AT408" si="834">HLOOKUP(AF$376,$C$255:$S$372,$A399+1)</f>
        <v xml:space="preserve"> </v>
      </c>
      <c r="AG399" s="598" t="str">
        <f t="shared" si="834"/>
        <v xml:space="preserve"> </v>
      </c>
      <c r="AH399" s="598" t="str">
        <f t="shared" si="834"/>
        <v xml:space="preserve"> </v>
      </c>
      <c r="AI399" s="598" t="str">
        <f t="shared" si="834"/>
        <v xml:space="preserve"> </v>
      </c>
      <c r="AJ399" s="598" t="str">
        <f t="shared" si="834"/>
        <v xml:space="preserve"> </v>
      </c>
      <c r="AK399" s="598" t="str">
        <f t="shared" si="834"/>
        <v xml:space="preserve"> </v>
      </c>
      <c r="AL399" s="598" t="str">
        <f t="shared" si="834"/>
        <v xml:space="preserve"> </v>
      </c>
      <c r="AM399" s="598" t="str">
        <f t="shared" si="834"/>
        <v xml:space="preserve"> </v>
      </c>
      <c r="AN399" s="598" t="str">
        <f t="shared" si="834"/>
        <v xml:space="preserve"> </v>
      </c>
      <c r="AO399" s="598" t="str">
        <f t="shared" si="834"/>
        <v xml:space="preserve"> </v>
      </c>
      <c r="AP399" s="598" t="str">
        <f t="shared" si="834"/>
        <v xml:space="preserve"> </v>
      </c>
      <c r="AQ399" s="598" t="str">
        <f t="shared" si="834"/>
        <v xml:space="preserve"> </v>
      </c>
      <c r="AR399" s="598" t="str">
        <f t="shared" si="834"/>
        <v xml:space="preserve"> </v>
      </c>
      <c r="AS399" s="598" t="str">
        <f t="shared" si="834"/>
        <v xml:space="preserve"> </v>
      </c>
      <c r="AT399" s="598" t="str">
        <f t="shared" si="834"/>
        <v xml:space="preserve"> </v>
      </c>
      <c r="AV399" s="598" t="str">
        <f t="shared" ref="AV399:BE408" si="835">HLOOKUP(AV$376,$C$255:$S$372,$A399+1)</f>
        <v xml:space="preserve"> </v>
      </c>
      <c r="AW399" s="598" t="str">
        <f t="shared" si="835"/>
        <v xml:space="preserve"> </v>
      </c>
      <c r="AX399" s="598" t="str">
        <f t="shared" si="835"/>
        <v xml:space="preserve"> </v>
      </c>
      <c r="AY399" s="598" t="str">
        <f t="shared" si="835"/>
        <v xml:space="preserve"> </v>
      </c>
      <c r="AZ399" s="598" t="str">
        <f t="shared" si="835"/>
        <v xml:space="preserve"> </v>
      </c>
      <c r="BA399" s="598" t="str">
        <f t="shared" si="835"/>
        <v xml:space="preserve"> </v>
      </c>
      <c r="BB399" s="598" t="str">
        <f t="shared" si="835"/>
        <v xml:space="preserve"> </v>
      </c>
      <c r="BC399" s="598" t="str">
        <f t="shared" si="835"/>
        <v xml:space="preserve"> </v>
      </c>
      <c r="BD399" s="598" t="str">
        <f t="shared" si="835"/>
        <v xml:space="preserve"> </v>
      </c>
      <c r="BE399" s="598" t="str">
        <f t="shared" si="835"/>
        <v xml:space="preserve"> </v>
      </c>
      <c r="BF399" s="598" t="str">
        <f t="shared" ref="BF399:BO408" si="836">HLOOKUP(BF$376,$C$255:$S$372,$A399+1)</f>
        <v xml:space="preserve"> </v>
      </c>
      <c r="BG399" s="598" t="str">
        <f t="shared" si="836"/>
        <v xml:space="preserve"> </v>
      </c>
      <c r="BH399" s="598" t="str">
        <f t="shared" si="836"/>
        <v xml:space="preserve"> </v>
      </c>
      <c r="BI399" s="598" t="str">
        <f t="shared" si="836"/>
        <v xml:space="preserve"> </v>
      </c>
      <c r="BJ399" s="598" t="str">
        <f t="shared" si="836"/>
        <v xml:space="preserve"> </v>
      </c>
      <c r="BK399" s="598" t="str">
        <f t="shared" si="836"/>
        <v xml:space="preserve"> </v>
      </c>
      <c r="BL399" s="598" t="str">
        <f t="shared" si="836"/>
        <v xml:space="preserve"> </v>
      </c>
      <c r="BM399" s="598" t="str">
        <f t="shared" si="836"/>
        <v xml:space="preserve"> </v>
      </c>
      <c r="BN399" s="598" t="str">
        <f t="shared" si="836"/>
        <v xml:space="preserve"> </v>
      </c>
      <c r="BO399" s="598" t="str">
        <f t="shared" si="836"/>
        <v xml:space="preserve"> </v>
      </c>
      <c r="BP399" s="598" t="str">
        <f t="shared" ref="BP399:BY408" si="837">HLOOKUP(BP$376,$C$255:$S$372,$A399+1)</f>
        <v xml:space="preserve"> </v>
      </c>
      <c r="BQ399" s="598" t="str">
        <f t="shared" si="837"/>
        <v xml:space="preserve"> </v>
      </c>
      <c r="BR399" s="598" t="str">
        <f t="shared" si="837"/>
        <v xml:space="preserve"> </v>
      </c>
      <c r="BS399" s="598" t="str">
        <f t="shared" si="837"/>
        <v xml:space="preserve"> </v>
      </c>
      <c r="BT399" s="598" t="str">
        <f t="shared" si="837"/>
        <v xml:space="preserve"> </v>
      </c>
      <c r="BU399" s="598" t="str">
        <f t="shared" si="837"/>
        <v xml:space="preserve"> </v>
      </c>
      <c r="BV399" s="598" t="str">
        <f t="shared" si="837"/>
        <v xml:space="preserve"> </v>
      </c>
      <c r="BW399" s="598" t="str">
        <f t="shared" si="837"/>
        <v xml:space="preserve"> </v>
      </c>
      <c r="BX399" s="598" t="str">
        <f t="shared" si="837"/>
        <v xml:space="preserve"> </v>
      </c>
      <c r="BY399" s="598" t="str">
        <f t="shared" si="837"/>
        <v xml:space="preserve"> </v>
      </c>
      <c r="BZ399" s="598" t="str">
        <f t="shared" ref="BZ399:CN408" si="838">HLOOKUP(BZ$376,$C$255:$S$372,$A399+1)</f>
        <v xml:space="preserve"> </v>
      </c>
      <c r="CA399" s="598" t="str">
        <f t="shared" si="838"/>
        <v xml:space="preserve"> </v>
      </c>
      <c r="CB399" s="598" t="str">
        <f t="shared" si="838"/>
        <v xml:space="preserve"> </v>
      </c>
      <c r="CC399" s="598" t="str">
        <f t="shared" si="838"/>
        <v xml:space="preserve"> </v>
      </c>
      <c r="CD399" s="598" t="str">
        <f t="shared" si="838"/>
        <v xml:space="preserve"> </v>
      </c>
      <c r="CE399" s="598" t="str">
        <f t="shared" si="838"/>
        <v xml:space="preserve"> </v>
      </c>
      <c r="CF399" s="598" t="str">
        <f t="shared" si="838"/>
        <v xml:space="preserve"> </v>
      </c>
      <c r="CG399" s="598" t="str">
        <f t="shared" si="838"/>
        <v xml:space="preserve"> </v>
      </c>
      <c r="CH399" s="598" t="str">
        <f t="shared" si="838"/>
        <v xml:space="preserve"> </v>
      </c>
      <c r="CI399" s="598" t="str">
        <f t="shared" si="838"/>
        <v xml:space="preserve"> </v>
      </c>
      <c r="CJ399" s="598" t="str">
        <f t="shared" si="838"/>
        <v xml:space="preserve"> </v>
      </c>
      <c r="CK399" s="598" t="str">
        <f t="shared" si="838"/>
        <v xml:space="preserve"> </v>
      </c>
      <c r="CL399" s="598" t="str">
        <f t="shared" si="838"/>
        <v xml:space="preserve"> </v>
      </c>
      <c r="CM399" s="598" t="str">
        <f t="shared" si="838"/>
        <v xml:space="preserve"> </v>
      </c>
      <c r="CN399" s="598" t="str">
        <f t="shared" si="838"/>
        <v xml:space="preserve"> </v>
      </c>
    </row>
    <row r="400" spans="1:92">
      <c r="A400" s="598">
        <v>23</v>
      </c>
      <c r="B400" s="598" t="str">
        <f t="shared" si="831"/>
        <v xml:space="preserve"> </v>
      </c>
      <c r="C400" s="598" t="str">
        <f t="shared" si="831"/>
        <v xml:space="preserve"> </v>
      </c>
      <c r="D400" s="598" t="str">
        <f t="shared" si="831"/>
        <v xml:space="preserve"> </v>
      </c>
      <c r="E400" s="598" t="str">
        <f t="shared" si="831"/>
        <v xml:space="preserve"> </v>
      </c>
      <c r="F400" s="598" t="str">
        <f t="shared" si="831"/>
        <v xml:space="preserve"> </v>
      </c>
      <c r="G400" s="598" t="str">
        <f t="shared" si="831"/>
        <v xml:space="preserve"> </v>
      </c>
      <c r="H400" s="598" t="str">
        <f t="shared" si="831"/>
        <v xml:space="preserve"> </v>
      </c>
      <c r="I400" s="598" t="str">
        <f t="shared" si="831"/>
        <v xml:space="preserve"> </v>
      </c>
      <c r="J400" s="598" t="str">
        <f t="shared" si="831"/>
        <v xml:space="preserve"> </v>
      </c>
      <c r="K400" s="598" t="str">
        <f t="shared" si="831"/>
        <v xml:space="preserve"> </v>
      </c>
      <c r="L400" s="598" t="str">
        <f t="shared" si="832"/>
        <v xml:space="preserve"> </v>
      </c>
      <c r="M400" s="598" t="str">
        <f t="shared" si="832"/>
        <v xml:space="preserve"> </v>
      </c>
      <c r="N400" s="598" t="str">
        <f t="shared" si="832"/>
        <v xml:space="preserve"> </v>
      </c>
      <c r="O400" s="598" t="str">
        <f t="shared" si="832"/>
        <v xml:space="preserve"> </v>
      </c>
      <c r="P400" s="598" t="str">
        <f t="shared" si="832"/>
        <v xml:space="preserve"> </v>
      </c>
      <c r="Q400" s="598" t="str">
        <f t="shared" si="832"/>
        <v xml:space="preserve"> </v>
      </c>
      <c r="R400" s="598" t="str">
        <f t="shared" si="832"/>
        <v xml:space="preserve"> </v>
      </c>
      <c r="S400" s="598" t="str">
        <f t="shared" si="832"/>
        <v xml:space="preserve"> </v>
      </c>
      <c r="T400" s="598" t="str">
        <f t="shared" si="832"/>
        <v xml:space="preserve"> </v>
      </c>
      <c r="U400" s="598" t="str">
        <f t="shared" si="832"/>
        <v xml:space="preserve"> </v>
      </c>
      <c r="V400" s="598" t="str">
        <f t="shared" si="833"/>
        <v xml:space="preserve"> </v>
      </c>
      <c r="W400" s="598" t="str">
        <f t="shared" si="833"/>
        <v xml:space="preserve"> </v>
      </c>
      <c r="X400" s="598" t="str">
        <f t="shared" si="833"/>
        <v xml:space="preserve"> </v>
      </c>
      <c r="Y400" s="598" t="str">
        <f t="shared" si="833"/>
        <v xml:space="preserve"> </v>
      </c>
      <c r="Z400" s="598" t="str">
        <f t="shared" si="833"/>
        <v xml:space="preserve"> </v>
      </c>
      <c r="AA400" s="598" t="str">
        <f t="shared" si="833"/>
        <v xml:space="preserve"> </v>
      </c>
      <c r="AB400" s="598" t="str">
        <f t="shared" si="833"/>
        <v xml:space="preserve"> </v>
      </c>
      <c r="AC400" s="598" t="str">
        <f t="shared" si="833"/>
        <v xml:space="preserve"> </v>
      </c>
      <c r="AD400" s="598" t="str">
        <f t="shared" si="833"/>
        <v xml:space="preserve"> </v>
      </c>
      <c r="AE400" s="598" t="str">
        <f t="shared" si="833"/>
        <v xml:space="preserve"> </v>
      </c>
      <c r="AF400" s="598" t="str">
        <f t="shared" si="834"/>
        <v xml:space="preserve"> </v>
      </c>
      <c r="AG400" s="598" t="str">
        <f t="shared" si="834"/>
        <v xml:space="preserve"> </v>
      </c>
      <c r="AH400" s="598" t="str">
        <f t="shared" si="834"/>
        <v xml:space="preserve"> </v>
      </c>
      <c r="AI400" s="598" t="str">
        <f t="shared" si="834"/>
        <v xml:space="preserve"> </v>
      </c>
      <c r="AJ400" s="598" t="str">
        <f t="shared" si="834"/>
        <v xml:space="preserve"> </v>
      </c>
      <c r="AK400" s="598" t="str">
        <f t="shared" si="834"/>
        <v xml:space="preserve"> </v>
      </c>
      <c r="AL400" s="598" t="str">
        <f t="shared" si="834"/>
        <v xml:space="preserve"> </v>
      </c>
      <c r="AM400" s="598" t="str">
        <f t="shared" si="834"/>
        <v xml:space="preserve"> </v>
      </c>
      <c r="AN400" s="598" t="str">
        <f t="shared" si="834"/>
        <v xml:space="preserve"> </v>
      </c>
      <c r="AO400" s="598" t="str">
        <f t="shared" si="834"/>
        <v xml:space="preserve"> </v>
      </c>
      <c r="AP400" s="598" t="str">
        <f t="shared" si="834"/>
        <v xml:space="preserve"> </v>
      </c>
      <c r="AQ400" s="598" t="str">
        <f t="shared" si="834"/>
        <v xml:space="preserve"> </v>
      </c>
      <c r="AR400" s="598" t="str">
        <f t="shared" si="834"/>
        <v xml:space="preserve"> </v>
      </c>
      <c r="AS400" s="598" t="str">
        <f t="shared" si="834"/>
        <v xml:space="preserve"> </v>
      </c>
      <c r="AT400" s="598" t="str">
        <f t="shared" si="834"/>
        <v xml:space="preserve"> </v>
      </c>
      <c r="AV400" s="598" t="str">
        <f t="shared" si="835"/>
        <v xml:space="preserve"> </v>
      </c>
      <c r="AW400" s="598" t="str">
        <f t="shared" si="835"/>
        <v xml:space="preserve"> </v>
      </c>
      <c r="AX400" s="598" t="str">
        <f t="shared" si="835"/>
        <v xml:space="preserve"> </v>
      </c>
      <c r="AY400" s="598" t="str">
        <f t="shared" si="835"/>
        <v xml:space="preserve"> </v>
      </c>
      <c r="AZ400" s="598" t="str">
        <f t="shared" si="835"/>
        <v xml:space="preserve"> </v>
      </c>
      <c r="BA400" s="598" t="str">
        <f t="shared" si="835"/>
        <v xml:space="preserve"> </v>
      </c>
      <c r="BB400" s="598" t="str">
        <f t="shared" si="835"/>
        <v xml:space="preserve"> </v>
      </c>
      <c r="BC400" s="598" t="str">
        <f t="shared" si="835"/>
        <v xml:space="preserve"> </v>
      </c>
      <c r="BD400" s="598" t="str">
        <f t="shared" si="835"/>
        <v xml:space="preserve"> </v>
      </c>
      <c r="BE400" s="598" t="str">
        <f t="shared" si="835"/>
        <v xml:space="preserve"> </v>
      </c>
      <c r="BF400" s="598" t="str">
        <f t="shared" si="836"/>
        <v xml:space="preserve"> </v>
      </c>
      <c r="BG400" s="598" t="str">
        <f t="shared" si="836"/>
        <v xml:space="preserve"> </v>
      </c>
      <c r="BH400" s="598" t="str">
        <f t="shared" si="836"/>
        <v xml:space="preserve"> </v>
      </c>
      <c r="BI400" s="598" t="str">
        <f t="shared" si="836"/>
        <v xml:space="preserve"> </v>
      </c>
      <c r="BJ400" s="598" t="str">
        <f t="shared" si="836"/>
        <v xml:space="preserve"> </v>
      </c>
      <c r="BK400" s="598" t="str">
        <f t="shared" si="836"/>
        <v xml:space="preserve"> </v>
      </c>
      <c r="BL400" s="598" t="str">
        <f t="shared" si="836"/>
        <v xml:space="preserve"> </v>
      </c>
      <c r="BM400" s="598" t="str">
        <f t="shared" si="836"/>
        <v xml:space="preserve"> </v>
      </c>
      <c r="BN400" s="598" t="str">
        <f t="shared" si="836"/>
        <v xml:space="preserve"> </v>
      </c>
      <c r="BO400" s="598" t="str">
        <f t="shared" si="836"/>
        <v xml:space="preserve"> </v>
      </c>
      <c r="BP400" s="598" t="str">
        <f t="shared" si="837"/>
        <v xml:space="preserve"> </v>
      </c>
      <c r="BQ400" s="598" t="str">
        <f t="shared" si="837"/>
        <v xml:space="preserve"> </v>
      </c>
      <c r="BR400" s="598" t="str">
        <f t="shared" si="837"/>
        <v xml:space="preserve"> </v>
      </c>
      <c r="BS400" s="598" t="str">
        <f t="shared" si="837"/>
        <v xml:space="preserve"> </v>
      </c>
      <c r="BT400" s="598" t="str">
        <f t="shared" si="837"/>
        <v xml:space="preserve"> </v>
      </c>
      <c r="BU400" s="598" t="str">
        <f t="shared" si="837"/>
        <v xml:space="preserve"> </v>
      </c>
      <c r="BV400" s="598" t="str">
        <f t="shared" si="837"/>
        <v xml:space="preserve"> </v>
      </c>
      <c r="BW400" s="598" t="str">
        <f t="shared" si="837"/>
        <v xml:space="preserve"> </v>
      </c>
      <c r="BX400" s="598" t="str">
        <f t="shared" si="837"/>
        <v xml:space="preserve"> </v>
      </c>
      <c r="BY400" s="598" t="str">
        <f t="shared" si="837"/>
        <v xml:space="preserve"> </v>
      </c>
      <c r="BZ400" s="598" t="str">
        <f t="shared" si="838"/>
        <v xml:space="preserve"> </v>
      </c>
      <c r="CA400" s="598" t="str">
        <f t="shared" si="838"/>
        <v xml:space="preserve"> </v>
      </c>
      <c r="CB400" s="598" t="str">
        <f t="shared" si="838"/>
        <v xml:space="preserve"> </v>
      </c>
      <c r="CC400" s="598" t="str">
        <f t="shared" si="838"/>
        <v xml:space="preserve"> </v>
      </c>
      <c r="CD400" s="598" t="str">
        <f t="shared" si="838"/>
        <v xml:space="preserve"> </v>
      </c>
      <c r="CE400" s="598" t="str">
        <f t="shared" si="838"/>
        <v xml:space="preserve"> </v>
      </c>
      <c r="CF400" s="598" t="str">
        <f t="shared" si="838"/>
        <v xml:space="preserve"> </v>
      </c>
      <c r="CG400" s="598" t="str">
        <f t="shared" si="838"/>
        <v xml:space="preserve"> </v>
      </c>
      <c r="CH400" s="598" t="str">
        <f t="shared" si="838"/>
        <v xml:space="preserve"> </v>
      </c>
      <c r="CI400" s="598" t="str">
        <f t="shared" si="838"/>
        <v xml:space="preserve"> </v>
      </c>
      <c r="CJ400" s="598" t="str">
        <f t="shared" si="838"/>
        <v xml:space="preserve"> </v>
      </c>
      <c r="CK400" s="598" t="str">
        <f t="shared" si="838"/>
        <v xml:space="preserve"> </v>
      </c>
      <c r="CL400" s="598" t="str">
        <f t="shared" si="838"/>
        <v xml:space="preserve"> </v>
      </c>
      <c r="CM400" s="598" t="str">
        <f t="shared" si="838"/>
        <v xml:space="preserve"> </v>
      </c>
      <c r="CN400" s="598" t="str">
        <f t="shared" si="838"/>
        <v xml:space="preserve"> </v>
      </c>
    </row>
    <row r="401" spans="1:92">
      <c r="A401" s="598">
        <v>24</v>
      </c>
      <c r="B401" s="598" t="str">
        <f t="shared" si="831"/>
        <v xml:space="preserve"> </v>
      </c>
      <c r="C401" s="598" t="str">
        <f t="shared" si="831"/>
        <v xml:space="preserve"> </v>
      </c>
      <c r="D401" s="598" t="str">
        <f t="shared" si="831"/>
        <v xml:space="preserve"> </v>
      </c>
      <c r="E401" s="598" t="str">
        <f t="shared" si="831"/>
        <v xml:space="preserve"> </v>
      </c>
      <c r="F401" s="598" t="str">
        <f t="shared" si="831"/>
        <v xml:space="preserve"> </v>
      </c>
      <c r="G401" s="598" t="str">
        <f t="shared" si="831"/>
        <v xml:space="preserve"> </v>
      </c>
      <c r="H401" s="598" t="str">
        <f t="shared" si="831"/>
        <v xml:space="preserve"> </v>
      </c>
      <c r="I401" s="598" t="str">
        <f t="shared" si="831"/>
        <v xml:space="preserve"> </v>
      </c>
      <c r="J401" s="598" t="str">
        <f t="shared" si="831"/>
        <v xml:space="preserve"> </v>
      </c>
      <c r="K401" s="598" t="str">
        <f t="shared" si="831"/>
        <v xml:space="preserve"> </v>
      </c>
      <c r="L401" s="598" t="str">
        <f t="shared" si="832"/>
        <v xml:space="preserve"> </v>
      </c>
      <c r="M401" s="598" t="str">
        <f t="shared" si="832"/>
        <v xml:space="preserve"> </v>
      </c>
      <c r="N401" s="598" t="str">
        <f t="shared" si="832"/>
        <v xml:space="preserve"> </v>
      </c>
      <c r="O401" s="598" t="str">
        <f t="shared" si="832"/>
        <v xml:space="preserve"> </v>
      </c>
      <c r="P401" s="598" t="str">
        <f t="shared" si="832"/>
        <v xml:space="preserve"> </v>
      </c>
      <c r="Q401" s="598" t="str">
        <f t="shared" si="832"/>
        <v xml:space="preserve"> </v>
      </c>
      <c r="R401" s="598" t="str">
        <f t="shared" si="832"/>
        <v xml:space="preserve"> </v>
      </c>
      <c r="S401" s="598" t="str">
        <f t="shared" si="832"/>
        <v xml:space="preserve"> </v>
      </c>
      <c r="T401" s="598" t="str">
        <f t="shared" si="832"/>
        <v xml:space="preserve"> </v>
      </c>
      <c r="U401" s="598" t="str">
        <f t="shared" si="832"/>
        <v xml:space="preserve"> </v>
      </c>
      <c r="V401" s="598" t="str">
        <f t="shared" si="833"/>
        <v xml:space="preserve"> </v>
      </c>
      <c r="W401" s="598" t="str">
        <f t="shared" si="833"/>
        <v xml:space="preserve"> </v>
      </c>
      <c r="X401" s="598" t="str">
        <f t="shared" si="833"/>
        <v xml:space="preserve"> </v>
      </c>
      <c r="Y401" s="598" t="str">
        <f t="shared" si="833"/>
        <v xml:space="preserve"> </v>
      </c>
      <c r="Z401" s="598" t="str">
        <f t="shared" si="833"/>
        <v xml:space="preserve"> </v>
      </c>
      <c r="AA401" s="598" t="str">
        <f t="shared" si="833"/>
        <v xml:space="preserve"> </v>
      </c>
      <c r="AB401" s="598" t="str">
        <f t="shared" si="833"/>
        <v xml:space="preserve"> </v>
      </c>
      <c r="AC401" s="598" t="str">
        <f t="shared" si="833"/>
        <v xml:space="preserve"> </v>
      </c>
      <c r="AD401" s="598" t="str">
        <f t="shared" si="833"/>
        <v xml:space="preserve"> </v>
      </c>
      <c r="AE401" s="598" t="str">
        <f t="shared" si="833"/>
        <v xml:space="preserve"> </v>
      </c>
      <c r="AF401" s="598" t="str">
        <f t="shared" si="834"/>
        <v xml:space="preserve"> </v>
      </c>
      <c r="AG401" s="598" t="str">
        <f t="shared" si="834"/>
        <v xml:space="preserve"> </v>
      </c>
      <c r="AH401" s="598" t="str">
        <f t="shared" si="834"/>
        <v xml:space="preserve"> </v>
      </c>
      <c r="AI401" s="598" t="str">
        <f t="shared" si="834"/>
        <v xml:space="preserve"> </v>
      </c>
      <c r="AJ401" s="598" t="str">
        <f t="shared" si="834"/>
        <v xml:space="preserve"> </v>
      </c>
      <c r="AK401" s="598" t="str">
        <f t="shared" si="834"/>
        <v xml:space="preserve"> </v>
      </c>
      <c r="AL401" s="598" t="str">
        <f t="shared" si="834"/>
        <v xml:space="preserve"> </v>
      </c>
      <c r="AM401" s="598" t="str">
        <f t="shared" si="834"/>
        <v xml:space="preserve"> </v>
      </c>
      <c r="AN401" s="598" t="str">
        <f t="shared" si="834"/>
        <v xml:space="preserve"> </v>
      </c>
      <c r="AO401" s="598" t="str">
        <f t="shared" si="834"/>
        <v xml:space="preserve"> </v>
      </c>
      <c r="AP401" s="598" t="str">
        <f t="shared" si="834"/>
        <v xml:space="preserve"> </v>
      </c>
      <c r="AQ401" s="598" t="str">
        <f t="shared" si="834"/>
        <v xml:space="preserve"> </v>
      </c>
      <c r="AR401" s="598" t="str">
        <f t="shared" si="834"/>
        <v xml:space="preserve"> </v>
      </c>
      <c r="AS401" s="598" t="str">
        <f t="shared" si="834"/>
        <v xml:space="preserve"> </v>
      </c>
      <c r="AT401" s="598" t="str">
        <f t="shared" si="834"/>
        <v xml:space="preserve"> </v>
      </c>
      <c r="AV401" s="598" t="str">
        <f t="shared" si="835"/>
        <v xml:space="preserve"> </v>
      </c>
      <c r="AW401" s="598" t="str">
        <f t="shared" si="835"/>
        <v xml:space="preserve"> </v>
      </c>
      <c r="AX401" s="598" t="str">
        <f t="shared" si="835"/>
        <v xml:space="preserve"> </v>
      </c>
      <c r="AY401" s="598" t="str">
        <f t="shared" si="835"/>
        <v xml:space="preserve"> </v>
      </c>
      <c r="AZ401" s="598" t="str">
        <f t="shared" si="835"/>
        <v xml:space="preserve"> </v>
      </c>
      <c r="BA401" s="598" t="str">
        <f t="shared" si="835"/>
        <v xml:space="preserve"> </v>
      </c>
      <c r="BB401" s="598" t="str">
        <f t="shared" si="835"/>
        <v xml:space="preserve"> </v>
      </c>
      <c r="BC401" s="598" t="str">
        <f t="shared" si="835"/>
        <v xml:space="preserve"> </v>
      </c>
      <c r="BD401" s="598" t="str">
        <f t="shared" si="835"/>
        <v xml:space="preserve"> </v>
      </c>
      <c r="BE401" s="598" t="str">
        <f t="shared" si="835"/>
        <v xml:space="preserve"> </v>
      </c>
      <c r="BF401" s="598" t="str">
        <f t="shared" si="836"/>
        <v xml:space="preserve"> </v>
      </c>
      <c r="BG401" s="598" t="str">
        <f t="shared" si="836"/>
        <v xml:space="preserve"> </v>
      </c>
      <c r="BH401" s="598" t="str">
        <f t="shared" si="836"/>
        <v xml:space="preserve"> </v>
      </c>
      <c r="BI401" s="598" t="str">
        <f t="shared" si="836"/>
        <v xml:space="preserve"> </v>
      </c>
      <c r="BJ401" s="598" t="str">
        <f t="shared" si="836"/>
        <v xml:space="preserve"> </v>
      </c>
      <c r="BK401" s="598" t="str">
        <f t="shared" si="836"/>
        <v xml:space="preserve"> </v>
      </c>
      <c r="BL401" s="598" t="str">
        <f t="shared" si="836"/>
        <v xml:space="preserve"> </v>
      </c>
      <c r="BM401" s="598" t="str">
        <f t="shared" si="836"/>
        <v xml:space="preserve"> </v>
      </c>
      <c r="BN401" s="598" t="str">
        <f t="shared" si="836"/>
        <v xml:space="preserve"> </v>
      </c>
      <c r="BO401" s="598" t="str">
        <f t="shared" si="836"/>
        <v xml:space="preserve"> </v>
      </c>
      <c r="BP401" s="598" t="str">
        <f t="shared" si="837"/>
        <v xml:space="preserve"> </v>
      </c>
      <c r="BQ401" s="598" t="str">
        <f t="shared" si="837"/>
        <v xml:space="preserve"> </v>
      </c>
      <c r="BR401" s="598" t="str">
        <f t="shared" si="837"/>
        <v xml:space="preserve"> </v>
      </c>
      <c r="BS401" s="598" t="str">
        <f t="shared" si="837"/>
        <v xml:space="preserve"> </v>
      </c>
      <c r="BT401" s="598" t="str">
        <f t="shared" si="837"/>
        <v xml:space="preserve"> </v>
      </c>
      <c r="BU401" s="598" t="str">
        <f t="shared" si="837"/>
        <v xml:space="preserve"> </v>
      </c>
      <c r="BV401" s="598" t="str">
        <f t="shared" si="837"/>
        <v xml:space="preserve"> </v>
      </c>
      <c r="BW401" s="598" t="str">
        <f t="shared" si="837"/>
        <v xml:space="preserve"> </v>
      </c>
      <c r="BX401" s="598" t="str">
        <f t="shared" si="837"/>
        <v xml:space="preserve"> </v>
      </c>
      <c r="BY401" s="598" t="str">
        <f t="shared" si="837"/>
        <v xml:space="preserve"> </v>
      </c>
      <c r="BZ401" s="598" t="str">
        <f t="shared" si="838"/>
        <v xml:space="preserve"> </v>
      </c>
      <c r="CA401" s="598" t="str">
        <f t="shared" si="838"/>
        <v xml:space="preserve"> </v>
      </c>
      <c r="CB401" s="598" t="str">
        <f t="shared" si="838"/>
        <v xml:space="preserve"> </v>
      </c>
      <c r="CC401" s="598" t="str">
        <f t="shared" si="838"/>
        <v xml:space="preserve"> </v>
      </c>
      <c r="CD401" s="598" t="str">
        <f t="shared" si="838"/>
        <v xml:space="preserve"> </v>
      </c>
      <c r="CE401" s="598" t="str">
        <f t="shared" si="838"/>
        <v xml:space="preserve"> </v>
      </c>
      <c r="CF401" s="598" t="str">
        <f t="shared" si="838"/>
        <v xml:space="preserve"> </v>
      </c>
      <c r="CG401" s="598" t="str">
        <f t="shared" si="838"/>
        <v xml:space="preserve"> </v>
      </c>
      <c r="CH401" s="598" t="str">
        <f t="shared" si="838"/>
        <v xml:space="preserve"> </v>
      </c>
      <c r="CI401" s="598" t="str">
        <f t="shared" si="838"/>
        <v xml:space="preserve"> </v>
      </c>
      <c r="CJ401" s="598" t="str">
        <f t="shared" si="838"/>
        <v xml:space="preserve"> </v>
      </c>
      <c r="CK401" s="598" t="str">
        <f t="shared" si="838"/>
        <v xml:space="preserve"> </v>
      </c>
      <c r="CL401" s="598" t="str">
        <f t="shared" si="838"/>
        <v xml:space="preserve"> </v>
      </c>
      <c r="CM401" s="598" t="str">
        <f t="shared" si="838"/>
        <v xml:space="preserve"> </v>
      </c>
      <c r="CN401" s="598" t="str">
        <f t="shared" si="838"/>
        <v xml:space="preserve"> </v>
      </c>
    </row>
    <row r="402" spans="1:92">
      <c r="A402" s="598">
        <v>25</v>
      </c>
      <c r="B402" s="598" t="str">
        <f t="shared" si="831"/>
        <v xml:space="preserve"> </v>
      </c>
      <c r="C402" s="598" t="str">
        <f t="shared" si="831"/>
        <v xml:space="preserve"> </v>
      </c>
      <c r="D402" s="598" t="str">
        <f t="shared" si="831"/>
        <v xml:space="preserve"> </v>
      </c>
      <c r="E402" s="598" t="str">
        <f t="shared" si="831"/>
        <v xml:space="preserve"> </v>
      </c>
      <c r="F402" s="598" t="str">
        <f t="shared" si="831"/>
        <v xml:space="preserve"> </v>
      </c>
      <c r="G402" s="598" t="str">
        <f t="shared" si="831"/>
        <v xml:space="preserve"> </v>
      </c>
      <c r="H402" s="598" t="str">
        <f t="shared" si="831"/>
        <v xml:space="preserve"> </v>
      </c>
      <c r="I402" s="598" t="str">
        <f t="shared" si="831"/>
        <v xml:space="preserve"> </v>
      </c>
      <c r="J402" s="598" t="str">
        <f t="shared" si="831"/>
        <v xml:space="preserve"> </v>
      </c>
      <c r="K402" s="598" t="str">
        <f t="shared" si="831"/>
        <v xml:space="preserve"> </v>
      </c>
      <c r="L402" s="598" t="str">
        <f t="shared" si="832"/>
        <v xml:space="preserve"> </v>
      </c>
      <c r="M402" s="598" t="str">
        <f t="shared" si="832"/>
        <v xml:space="preserve"> </v>
      </c>
      <c r="N402" s="598" t="str">
        <f t="shared" si="832"/>
        <v xml:space="preserve"> </v>
      </c>
      <c r="O402" s="598" t="str">
        <f t="shared" si="832"/>
        <v xml:space="preserve"> </v>
      </c>
      <c r="P402" s="598" t="str">
        <f t="shared" si="832"/>
        <v xml:space="preserve"> </v>
      </c>
      <c r="Q402" s="598" t="str">
        <f t="shared" si="832"/>
        <v xml:space="preserve"> </v>
      </c>
      <c r="R402" s="598" t="str">
        <f t="shared" si="832"/>
        <v xml:space="preserve"> </v>
      </c>
      <c r="S402" s="598" t="str">
        <f t="shared" si="832"/>
        <v xml:space="preserve"> </v>
      </c>
      <c r="T402" s="598" t="str">
        <f t="shared" si="832"/>
        <v xml:space="preserve"> </v>
      </c>
      <c r="U402" s="598" t="str">
        <f t="shared" si="832"/>
        <v xml:space="preserve"> </v>
      </c>
      <c r="V402" s="598" t="str">
        <f t="shared" si="833"/>
        <v xml:space="preserve"> </v>
      </c>
      <c r="W402" s="598" t="str">
        <f t="shared" si="833"/>
        <v xml:space="preserve"> </v>
      </c>
      <c r="X402" s="598" t="str">
        <f t="shared" si="833"/>
        <v xml:space="preserve"> </v>
      </c>
      <c r="Y402" s="598" t="str">
        <f t="shared" si="833"/>
        <v xml:space="preserve"> </v>
      </c>
      <c r="Z402" s="598" t="str">
        <f t="shared" si="833"/>
        <v xml:space="preserve"> </v>
      </c>
      <c r="AA402" s="598" t="str">
        <f t="shared" si="833"/>
        <v xml:space="preserve"> </v>
      </c>
      <c r="AB402" s="598" t="str">
        <f t="shared" si="833"/>
        <v xml:space="preserve"> </v>
      </c>
      <c r="AC402" s="598" t="str">
        <f t="shared" si="833"/>
        <v xml:space="preserve"> </v>
      </c>
      <c r="AD402" s="598" t="str">
        <f t="shared" si="833"/>
        <v xml:space="preserve"> </v>
      </c>
      <c r="AE402" s="598" t="str">
        <f t="shared" si="833"/>
        <v xml:space="preserve"> </v>
      </c>
      <c r="AF402" s="598" t="str">
        <f t="shared" si="834"/>
        <v xml:space="preserve"> </v>
      </c>
      <c r="AG402" s="598" t="str">
        <f t="shared" si="834"/>
        <v xml:space="preserve"> </v>
      </c>
      <c r="AH402" s="598" t="str">
        <f t="shared" si="834"/>
        <v xml:space="preserve"> </v>
      </c>
      <c r="AI402" s="598" t="str">
        <f t="shared" si="834"/>
        <v xml:space="preserve"> </v>
      </c>
      <c r="AJ402" s="598" t="str">
        <f t="shared" si="834"/>
        <v xml:space="preserve"> </v>
      </c>
      <c r="AK402" s="598" t="str">
        <f t="shared" si="834"/>
        <v xml:space="preserve"> </v>
      </c>
      <c r="AL402" s="598" t="str">
        <f t="shared" si="834"/>
        <v xml:space="preserve"> </v>
      </c>
      <c r="AM402" s="598" t="str">
        <f t="shared" si="834"/>
        <v xml:space="preserve"> </v>
      </c>
      <c r="AN402" s="598" t="str">
        <f t="shared" si="834"/>
        <v xml:space="preserve"> </v>
      </c>
      <c r="AO402" s="598" t="str">
        <f t="shared" si="834"/>
        <v xml:space="preserve"> </v>
      </c>
      <c r="AP402" s="598" t="str">
        <f t="shared" si="834"/>
        <v xml:space="preserve"> </v>
      </c>
      <c r="AQ402" s="598" t="str">
        <f t="shared" si="834"/>
        <v xml:space="preserve"> </v>
      </c>
      <c r="AR402" s="598" t="str">
        <f t="shared" si="834"/>
        <v xml:space="preserve"> </v>
      </c>
      <c r="AS402" s="598" t="str">
        <f t="shared" si="834"/>
        <v xml:space="preserve"> </v>
      </c>
      <c r="AT402" s="598" t="str">
        <f t="shared" si="834"/>
        <v xml:space="preserve"> </v>
      </c>
      <c r="AV402" s="598" t="str">
        <f t="shared" si="835"/>
        <v xml:space="preserve"> </v>
      </c>
      <c r="AW402" s="598" t="str">
        <f t="shared" si="835"/>
        <v xml:space="preserve"> </v>
      </c>
      <c r="AX402" s="598" t="str">
        <f t="shared" si="835"/>
        <v xml:space="preserve"> </v>
      </c>
      <c r="AY402" s="598" t="str">
        <f t="shared" si="835"/>
        <v xml:space="preserve"> </v>
      </c>
      <c r="AZ402" s="598" t="str">
        <f t="shared" si="835"/>
        <v xml:space="preserve"> </v>
      </c>
      <c r="BA402" s="598" t="str">
        <f t="shared" si="835"/>
        <v xml:space="preserve"> </v>
      </c>
      <c r="BB402" s="598" t="str">
        <f t="shared" si="835"/>
        <v xml:space="preserve"> </v>
      </c>
      <c r="BC402" s="598" t="str">
        <f t="shared" si="835"/>
        <v xml:space="preserve"> </v>
      </c>
      <c r="BD402" s="598" t="str">
        <f t="shared" si="835"/>
        <v xml:space="preserve"> </v>
      </c>
      <c r="BE402" s="598" t="str">
        <f t="shared" si="835"/>
        <v xml:space="preserve"> </v>
      </c>
      <c r="BF402" s="598" t="str">
        <f t="shared" si="836"/>
        <v xml:space="preserve"> </v>
      </c>
      <c r="BG402" s="598" t="str">
        <f t="shared" si="836"/>
        <v xml:space="preserve"> </v>
      </c>
      <c r="BH402" s="598" t="str">
        <f t="shared" si="836"/>
        <v xml:space="preserve"> </v>
      </c>
      <c r="BI402" s="598" t="str">
        <f t="shared" si="836"/>
        <v xml:space="preserve"> </v>
      </c>
      <c r="BJ402" s="598" t="str">
        <f t="shared" si="836"/>
        <v xml:space="preserve"> </v>
      </c>
      <c r="BK402" s="598" t="str">
        <f t="shared" si="836"/>
        <v xml:space="preserve"> </v>
      </c>
      <c r="BL402" s="598" t="str">
        <f t="shared" si="836"/>
        <v xml:space="preserve"> </v>
      </c>
      <c r="BM402" s="598" t="str">
        <f t="shared" si="836"/>
        <v xml:space="preserve"> </v>
      </c>
      <c r="BN402" s="598" t="str">
        <f t="shared" si="836"/>
        <v xml:space="preserve"> </v>
      </c>
      <c r="BO402" s="598" t="str">
        <f t="shared" si="836"/>
        <v xml:space="preserve"> </v>
      </c>
      <c r="BP402" s="598" t="str">
        <f t="shared" si="837"/>
        <v xml:space="preserve"> </v>
      </c>
      <c r="BQ402" s="598" t="str">
        <f t="shared" si="837"/>
        <v xml:space="preserve"> </v>
      </c>
      <c r="BR402" s="598" t="str">
        <f t="shared" si="837"/>
        <v xml:space="preserve"> </v>
      </c>
      <c r="BS402" s="598" t="str">
        <f t="shared" si="837"/>
        <v xml:space="preserve"> </v>
      </c>
      <c r="BT402" s="598" t="str">
        <f t="shared" si="837"/>
        <v xml:space="preserve"> </v>
      </c>
      <c r="BU402" s="598" t="str">
        <f t="shared" si="837"/>
        <v xml:space="preserve"> </v>
      </c>
      <c r="BV402" s="598" t="str">
        <f t="shared" si="837"/>
        <v xml:space="preserve"> </v>
      </c>
      <c r="BW402" s="598" t="str">
        <f t="shared" si="837"/>
        <v xml:space="preserve"> </v>
      </c>
      <c r="BX402" s="598" t="str">
        <f t="shared" si="837"/>
        <v xml:space="preserve"> </v>
      </c>
      <c r="BY402" s="598" t="str">
        <f t="shared" si="837"/>
        <v xml:space="preserve"> </v>
      </c>
      <c r="BZ402" s="598" t="str">
        <f t="shared" si="838"/>
        <v xml:space="preserve"> </v>
      </c>
      <c r="CA402" s="598" t="str">
        <f t="shared" si="838"/>
        <v xml:space="preserve"> </v>
      </c>
      <c r="CB402" s="598" t="str">
        <f t="shared" si="838"/>
        <v xml:space="preserve"> </v>
      </c>
      <c r="CC402" s="598" t="str">
        <f t="shared" si="838"/>
        <v xml:space="preserve"> </v>
      </c>
      <c r="CD402" s="598" t="str">
        <f t="shared" si="838"/>
        <v xml:space="preserve"> </v>
      </c>
      <c r="CE402" s="598" t="str">
        <f t="shared" si="838"/>
        <v xml:space="preserve"> </v>
      </c>
      <c r="CF402" s="598" t="str">
        <f t="shared" si="838"/>
        <v xml:space="preserve"> </v>
      </c>
      <c r="CG402" s="598" t="str">
        <f t="shared" si="838"/>
        <v xml:space="preserve"> </v>
      </c>
      <c r="CH402" s="598" t="str">
        <f t="shared" si="838"/>
        <v xml:space="preserve"> </v>
      </c>
      <c r="CI402" s="598" t="str">
        <f t="shared" si="838"/>
        <v xml:space="preserve"> </v>
      </c>
      <c r="CJ402" s="598" t="str">
        <f t="shared" si="838"/>
        <v xml:space="preserve"> </v>
      </c>
      <c r="CK402" s="598" t="str">
        <f t="shared" si="838"/>
        <v xml:space="preserve"> </v>
      </c>
      <c r="CL402" s="598" t="str">
        <f t="shared" si="838"/>
        <v xml:space="preserve"> </v>
      </c>
      <c r="CM402" s="598" t="str">
        <f t="shared" si="838"/>
        <v xml:space="preserve"> </v>
      </c>
      <c r="CN402" s="598" t="str">
        <f t="shared" si="838"/>
        <v xml:space="preserve"> </v>
      </c>
    </row>
    <row r="403" spans="1:92">
      <c r="A403" s="598">
        <v>26</v>
      </c>
      <c r="B403" s="598" t="str">
        <f t="shared" si="831"/>
        <v xml:space="preserve"> </v>
      </c>
      <c r="C403" s="598" t="str">
        <f t="shared" si="831"/>
        <v xml:space="preserve"> </v>
      </c>
      <c r="D403" s="598" t="str">
        <f t="shared" si="831"/>
        <v xml:space="preserve"> </v>
      </c>
      <c r="E403" s="598" t="str">
        <f t="shared" si="831"/>
        <v xml:space="preserve"> </v>
      </c>
      <c r="F403" s="598" t="str">
        <f t="shared" si="831"/>
        <v xml:space="preserve"> </v>
      </c>
      <c r="G403" s="598" t="str">
        <f t="shared" si="831"/>
        <v xml:space="preserve"> </v>
      </c>
      <c r="H403" s="598" t="str">
        <f t="shared" si="831"/>
        <v xml:space="preserve"> </v>
      </c>
      <c r="I403" s="598" t="str">
        <f t="shared" si="831"/>
        <v xml:space="preserve"> </v>
      </c>
      <c r="J403" s="598" t="str">
        <f t="shared" si="831"/>
        <v xml:space="preserve"> </v>
      </c>
      <c r="K403" s="598" t="str">
        <f t="shared" si="831"/>
        <v xml:space="preserve"> </v>
      </c>
      <c r="L403" s="598" t="str">
        <f t="shared" si="832"/>
        <v xml:space="preserve"> </v>
      </c>
      <c r="M403" s="598" t="str">
        <f t="shared" si="832"/>
        <v xml:space="preserve"> </v>
      </c>
      <c r="N403" s="598" t="str">
        <f t="shared" si="832"/>
        <v xml:space="preserve"> </v>
      </c>
      <c r="O403" s="598" t="str">
        <f t="shared" si="832"/>
        <v xml:space="preserve"> </v>
      </c>
      <c r="P403" s="598" t="str">
        <f t="shared" si="832"/>
        <v xml:space="preserve"> </v>
      </c>
      <c r="Q403" s="598" t="str">
        <f t="shared" si="832"/>
        <v xml:space="preserve"> </v>
      </c>
      <c r="R403" s="598" t="str">
        <f t="shared" si="832"/>
        <v xml:space="preserve"> </v>
      </c>
      <c r="S403" s="598" t="str">
        <f t="shared" si="832"/>
        <v xml:space="preserve"> </v>
      </c>
      <c r="T403" s="598" t="str">
        <f t="shared" si="832"/>
        <v xml:space="preserve"> </v>
      </c>
      <c r="U403" s="598" t="str">
        <f t="shared" si="832"/>
        <v xml:space="preserve"> </v>
      </c>
      <c r="V403" s="598" t="str">
        <f t="shared" si="833"/>
        <v xml:space="preserve"> </v>
      </c>
      <c r="W403" s="598" t="str">
        <f t="shared" si="833"/>
        <v xml:space="preserve"> </v>
      </c>
      <c r="X403" s="598" t="str">
        <f t="shared" si="833"/>
        <v xml:space="preserve"> </v>
      </c>
      <c r="Y403" s="598" t="str">
        <f t="shared" si="833"/>
        <v xml:space="preserve"> </v>
      </c>
      <c r="Z403" s="598" t="str">
        <f t="shared" si="833"/>
        <v xml:space="preserve"> </v>
      </c>
      <c r="AA403" s="598" t="str">
        <f t="shared" si="833"/>
        <v xml:space="preserve"> </v>
      </c>
      <c r="AB403" s="598" t="str">
        <f t="shared" si="833"/>
        <v xml:space="preserve"> </v>
      </c>
      <c r="AC403" s="598" t="str">
        <f t="shared" si="833"/>
        <v xml:space="preserve"> </v>
      </c>
      <c r="AD403" s="598" t="str">
        <f t="shared" si="833"/>
        <v xml:space="preserve"> </v>
      </c>
      <c r="AE403" s="598" t="str">
        <f t="shared" si="833"/>
        <v xml:space="preserve"> </v>
      </c>
      <c r="AF403" s="598" t="str">
        <f t="shared" si="834"/>
        <v xml:space="preserve"> </v>
      </c>
      <c r="AG403" s="598" t="str">
        <f t="shared" si="834"/>
        <v xml:space="preserve"> </v>
      </c>
      <c r="AH403" s="598" t="str">
        <f t="shared" si="834"/>
        <v xml:space="preserve"> </v>
      </c>
      <c r="AI403" s="598" t="str">
        <f t="shared" si="834"/>
        <v xml:space="preserve"> </v>
      </c>
      <c r="AJ403" s="598" t="str">
        <f t="shared" si="834"/>
        <v xml:space="preserve"> </v>
      </c>
      <c r="AK403" s="598" t="str">
        <f t="shared" si="834"/>
        <v xml:space="preserve"> </v>
      </c>
      <c r="AL403" s="598" t="str">
        <f t="shared" si="834"/>
        <v xml:space="preserve"> </v>
      </c>
      <c r="AM403" s="598" t="str">
        <f t="shared" si="834"/>
        <v xml:space="preserve"> </v>
      </c>
      <c r="AN403" s="598" t="str">
        <f t="shared" si="834"/>
        <v xml:space="preserve"> </v>
      </c>
      <c r="AO403" s="598" t="str">
        <f t="shared" si="834"/>
        <v xml:space="preserve"> </v>
      </c>
      <c r="AP403" s="598" t="str">
        <f t="shared" si="834"/>
        <v xml:space="preserve"> </v>
      </c>
      <c r="AQ403" s="598" t="str">
        <f t="shared" si="834"/>
        <v xml:space="preserve"> </v>
      </c>
      <c r="AR403" s="598" t="str">
        <f t="shared" si="834"/>
        <v xml:space="preserve"> </v>
      </c>
      <c r="AS403" s="598" t="str">
        <f t="shared" si="834"/>
        <v xml:space="preserve"> </v>
      </c>
      <c r="AT403" s="598" t="str">
        <f t="shared" si="834"/>
        <v xml:space="preserve"> </v>
      </c>
      <c r="AV403" s="598" t="str">
        <f t="shared" si="835"/>
        <v xml:space="preserve"> </v>
      </c>
      <c r="AW403" s="598" t="str">
        <f t="shared" si="835"/>
        <v xml:space="preserve"> </v>
      </c>
      <c r="AX403" s="598" t="str">
        <f t="shared" si="835"/>
        <v xml:space="preserve"> </v>
      </c>
      <c r="AY403" s="598" t="str">
        <f t="shared" si="835"/>
        <v xml:space="preserve"> </v>
      </c>
      <c r="AZ403" s="598" t="str">
        <f t="shared" si="835"/>
        <v xml:space="preserve"> </v>
      </c>
      <c r="BA403" s="598" t="str">
        <f t="shared" si="835"/>
        <v xml:space="preserve"> </v>
      </c>
      <c r="BB403" s="598" t="str">
        <f t="shared" si="835"/>
        <v xml:space="preserve"> </v>
      </c>
      <c r="BC403" s="598" t="str">
        <f t="shared" si="835"/>
        <v xml:space="preserve"> </v>
      </c>
      <c r="BD403" s="598" t="str">
        <f t="shared" si="835"/>
        <v xml:space="preserve"> </v>
      </c>
      <c r="BE403" s="598" t="str">
        <f t="shared" si="835"/>
        <v xml:space="preserve"> </v>
      </c>
      <c r="BF403" s="598" t="str">
        <f t="shared" si="836"/>
        <v xml:space="preserve"> </v>
      </c>
      <c r="BG403" s="598" t="str">
        <f t="shared" si="836"/>
        <v xml:space="preserve"> </v>
      </c>
      <c r="BH403" s="598" t="str">
        <f t="shared" si="836"/>
        <v xml:space="preserve"> </v>
      </c>
      <c r="BI403" s="598" t="str">
        <f t="shared" si="836"/>
        <v xml:space="preserve"> </v>
      </c>
      <c r="BJ403" s="598" t="str">
        <f t="shared" si="836"/>
        <v xml:space="preserve"> </v>
      </c>
      <c r="BK403" s="598" t="str">
        <f t="shared" si="836"/>
        <v xml:space="preserve"> </v>
      </c>
      <c r="BL403" s="598" t="str">
        <f t="shared" si="836"/>
        <v xml:space="preserve"> </v>
      </c>
      <c r="BM403" s="598" t="str">
        <f t="shared" si="836"/>
        <v xml:space="preserve"> </v>
      </c>
      <c r="BN403" s="598" t="str">
        <f t="shared" si="836"/>
        <v xml:space="preserve"> </v>
      </c>
      <c r="BO403" s="598" t="str">
        <f t="shared" si="836"/>
        <v xml:space="preserve"> </v>
      </c>
      <c r="BP403" s="598" t="str">
        <f t="shared" si="837"/>
        <v xml:space="preserve"> </v>
      </c>
      <c r="BQ403" s="598" t="str">
        <f t="shared" si="837"/>
        <v xml:space="preserve"> </v>
      </c>
      <c r="BR403" s="598" t="str">
        <f t="shared" si="837"/>
        <v xml:space="preserve"> </v>
      </c>
      <c r="BS403" s="598" t="str">
        <f t="shared" si="837"/>
        <v xml:space="preserve"> </v>
      </c>
      <c r="BT403" s="598" t="str">
        <f t="shared" si="837"/>
        <v xml:space="preserve"> </v>
      </c>
      <c r="BU403" s="598" t="str">
        <f t="shared" si="837"/>
        <v xml:space="preserve"> </v>
      </c>
      <c r="BV403" s="598" t="str">
        <f t="shared" si="837"/>
        <v xml:space="preserve"> </v>
      </c>
      <c r="BW403" s="598" t="str">
        <f t="shared" si="837"/>
        <v xml:space="preserve"> </v>
      </c>
      <c r="BX403" s="598" t="str">
        <f t="shared" si="837"/>
        <v xml:space="preserve"> </v>
      </c>
      <c r="BY403" s="598" t="str">
        <f t="shared" si="837"/>
        <v xml:space="preserve"> </v>
      </c>
      <c r="BZ403" s="598" t="str">
        <f t="shared" si="838"/>
        <v xml:space="preserve"> </v>
      </c>
      <c r="CA403" s="598" t="str">
        <f t="shared" si="838"/>
        <v xml:space="preserve"> </v>
      </c>
      <c r="CB403" s="598" t="str">
        <f t="shared" si="838"/>
        <v xml:space="preserve"> </v>
      </c>
      <c r="CC403" s="598" t="str">
        <f t="shared" si="838"/>
        <v xml:space="preserve"> </v>
      </c>
      <c r="CD403" s="598" t="str">
        <f t="shared" si="838"/>
        <v xml:space="preserve"> </v>
      </c>
      <c r="CE403" s="598" t="str">
        <f t="shared" si="838"/>
        <v xml:space="preserve"> </v>
      </c>
      <c r="CF403" s="598" t="str">
        <f t="shared" si="838"/>
        <v xml:space="preserve"> </v>
      </c>
      <c r="CG403" s="598" t="str">
        <f t="shared" si="838"/>
        <v xml:space="preserve"> </v>
      </c>
      <c r="CH403" s="598" t="str">
        <f t="shared" si="838"/>
        <v xml:space="preserve"> </v>
      </c>
      <c r="CI403" s="598" t="str">
        <f t="shared" si="838"/>
        <v xml:space="preserve"> </v>
      </c>
      <c r="CJ403" s="598" t="str">
        <f t="shared" si="838"/>
        <v xml:space="preserve"> </v>
      </c>
      <c r="CK403" s="598" t="str">
        <f t="shared" si="838"/>
        <v xml:space="preserve"> </v>
      </c>
      <c r="CL403" s="598" t="str">
        <f t="shared" si="838"/>
        <v xml:space="preserve"> </v>
      </c>
      <c r="CM403" s="598" t="str">
        <f t="shared" si="838"/>
        <v xml:space="preserve"> </v>
      </c>
      <c r="CN403" s="598" t="str">
        <f t="shared" si="838"/>
        <v xml:space="preserve"> </v>
      </c>
    </row>
    <row r="404" spans="1:92">
      <c r="A404" s="598">
        <v>27</v>
      </c>
      <c r="B404" s="598" t="str">
        <f t="shared" si="831"/>
        <v xml:space="preserve"> </v>
      </c>
      <c r="C404" s="598" t="str">
        <f t="shared" si="831"/>
        <v xml:space="preserve"> </v>
      </c>
      <c r="D404" s="598" t="str">
        <f t="shared" si="831"/>
        <v xml:space="preserve"> </v>
      </c>
      <c r="E404" s="598" t="str">
        <f t="shared" si="831"/>
        <v xml:space="preserve"> </v>
      </c>
      <c r="F404" s="598" t="str">
        <f t="shared" si="831"/>
        <v xml:space="preserve"> </v>
      </c>
      <c r="G404" s="598" t="str">
        <f t="shared" si="831"/>
        <v xml:space="preserve"> </v>
      </c>
      <c r="H404" s="598" t="str">
        <f t="shared" si="831"/>
        <v xml:space="preserve"> </v>
      </c>
      <c r="I404" s="598" t="str">
        <f t="shared" si="831"/>
        <v xml:space="preserve"> </v>
      </c>
      <c r="J404" s="598" t="str">
        <f t="shared" si="831"/>
        <v xml:space="preserve"> </v>
      </c>
      <c r="K404" s="598" t="str">
        <f t="shared" si="831"/>
        <v xml:space="preserve"> </v>
      </c>
      <c r="L404" s="598" t="str">
        <f t="shared" si="832"/>
        <v xml:space="preserve"> </v>
      </c>
      <c r="M404" s="598" t="str">
        <f t="shared" si="832"/>
        <v xml:space="preserve"> </v>
      </c>
      <c r="N404" s="598" t="str">
        <f t="shared" si="832"/>
        <v xml:space="preserve"> </v>
      </c>
      <c r="O404" s="598" t="str">
        <f t="shared" si="832"/>
        <v xml:space="preserve"> </v>
      </c>
      <c r="P404" s="598" t="str">
        <f t="shared" si="832"/>
        <v xml:space="preserve"> </v>
      </c>
      <c r="Q404" s="598" t="str">
        <f t="shared" si="832"/>
        <v xml:space="preserve"> </v>
      </c>
      <c r="R404" s="598" t="str">
        <f t="shared" si="832"/>
        <v xml:space="preserve"> </v>
      </c>
      <c r="S404" s="598" t="str">
        <f t="shared" si="832"/>
        <v xml:space="preserve"> </v>
      </c>
      <c r="T404" s="598" t="str">
        <f t="shared" si="832"/>
        <v xml:space="preserve"> </v>
      </c>
      <c r="U404" s="598" t="str">
        <f t="shared" si="832"/>
        <v xml:space="preserve"> </v>
      </c>
      <c r="V404" s="598" t="str">
        <f t="shared" si="833"/>
        <v xml:space="preserve"> </v>
      </c>
      <c r="W404" s="598" t="str">
        <f t="shared" si="833"/>
        <v xml:space="preserve"> </v>
      </c>
      <c r="X404" s="598" t="str">
        <f t="shared" si="833"/>
        <v xml:space="preserve"> </v>
      </c>
      <c r="Y404" s="598" t="str">
        <f t="shared" si="833"/>
        <v xml:space="preserve"> </v>
      </c>
      <c r="Z404" s="598" t="str">
        <f t="shared" si="833"/>
        <v xml:space="preserve"> </v>
      </c>
      <c r="AA404" s="598" t="str">
        <f t="shared" si="833"/>
        <v xml:space="preserve"> </v>
      </c>
      <c r="AB404" s="598" t="str">
        <f t="shared" si="833"/>
        <v xml:space="preserve"> </v>
      </c>
      <c r="AC404" s="598" t="str">
        <f t="shared" si="833"/>
        <v xml:space="preserve"> </v>
      </c>
      <c r="AD404" s="598" t="str">
        <f t="shared" si="833"/>
        <v xml:space="preserve"> </v>
      </c>
      <c r="AE404" s="598" t="str">
        <f t="shared" si="833"/>
        <v xml:space="preserve"> </v>
      </c>
      <c r="AF404" s="598" t="str">
        <f t="shared" si="834"/>
        <v xml:space="preserve"> </v>
      </c>
      <c r="AG404" s="598" t="str">
        <f t="shared" si="834"/>
        <v xml:space="preserve"> </v>
      </c>
      <c r="AH404" s="598" t="str">
        <f t="shared" si="834"/>
        <v xml:space="preserve"> </v>
      </c>
      <c r="AI404" s="598" t="str">
        <f t="shared" si="834"/>
        <v xml:space="preserve"> </v>
      </c>
      <c r="AJ404" s="598" t="str">
        <f t="shared" si="834"/>
        <v xml:space="preserve"> </v>
      </c>
      <c r="AK404" s="598" t="str">
        <f t="shared" si="834"/>
        <v xml:space="preserve"> </v>
      </c>
      <c r="AL404" s="598" t="str">
        <f t="shared" si="834"/>
        <v xml:space="preserve"> </v>
      </c>
      <c r="AM404" s="598" t="str">
        <f t="shared" si="834"/>
        <v xml:space="preserve"> </v>
      </c>
      <c r="AN404" s="598" t="str">
        <f t="shared" si="834"/>
        <v xml:space="preserve"> </v>
      </c>
      <c r="AO404" s="598" t="str">
        <f t="shared" si="834"/>
        <v xml:space="preserve"> </v>
      </c>
      <c r="AP404" s="598" t="str">
        <f t="shared" si="834"/>
        <v xml:space="preserve"> </v>
      </c>
      <c r="AQ404" s="598" t="str">
        <f t="shared" si="834"/>
        <v xml:space="preserve"> </v>
      </c>
      <c r="AR404" s="598" t="str">
        <f t="shared" si="834"/>
        <v xml:space="preserve"> </v>
      </c>
      <c r="AS404" s="598" t="str">
        <f t="shared" si="834"/>
        <v xml:space="preserve"> </v>
      </c>
      <c r="AT404" s="598" t="str">
        <f t="shared" si="834"/>
        <v xml:space="preserve"> </v>
      </c>
      <c r="AV404" s="598" t="str">
        <f t="shared" si="835"/>
        <v xml:space="preserve"> </v>
      </c>
      <c r="AW404" s="598" t="str">
        <f t="shared" si="835"/>
        <v xml:space="preserve"> </v>
      </c>
      <c r="AX404" s="598" t="str">
        <f t="shared" si="835"/>
        <v xml:space="preserve"> </v>
      </c>
      <c r="AY404" s="598" t="str">
        <f t="shared" si="835"/>
        <v xml:space="preserve"> </v>
      </c>
      <c r="AZ404" s="598" t="str">
        <f t="shared" si="835"/>
        <v xml:space="preserve"> </v>
      </c>
      <c r="BA404" s="598" t="str">
        <f t="shared" si="835"/>
        <v xml:space="preserve"> </v>
      </c>
      <c r="BB404" s="598" t="str">
        <f t="shared" si="835"/>
        <v xml:space="preserve"> </v>
      </c>
      <c r="BC404" s="598" t="str">
        <f t="shared" si="835"/>
        <v xml:space="preserve"> </v>
      </c>
      <c r="BD404" s="598" t="str">
        <f t="shared" si="835"/>
        <v xml:space="preserve"> </v>
      </c>
      <c r="BE404" s="598" t="str">
        <f t="shared" si="835"/>
        <v xml:space="preserve"> </v>
      </c>
      <c r="BF404" s="598" t="str">
        <f t="shared" si="836"/>
        <v xml:space="preserve"> </v>
      </c>
      <c r="BG404" s="598" t="str">
        <f t="shared" si="836"/>
        <v xml:space="preserve"> </v>
      </c>
      <c r="BH404" s="598" t="str">
        <f t="shared" si="836"/>
        <v xml:space="preserve"> </v>
      </c>
      <c r="BI404" s="598" t="str">
        <f t="shared" si="836"/>
        <v xml:space="preserve"> </v>
      </c>
      <c r="BJ404" s="598" t="str">
        <f t="shared" si="836"/>
        <v xml:space="preserve"> </v>
      </c>
      <c r="BK404" s="598" t="str">
        <f t="shared" si="836"/>
        <v xml:space="preserve"> </v>
      </c>
      <c r="BL404" s="598" t="str">
        <f t="shared" si="836"/>
        <v xml:space="preserve"> </v>
      </c>
      <c r="BM404" s="598" t="str">
        <f t="shared" si="836"/>
        <v xml:space="preserve"> </v>
      </c>
      <c r="BN404" s="598" t="str">
        <f t="shared" si="836"/>
        <v xml:space="preserve"> </v>
      </c>
      <c r="BO404" s="598" t="str">
        <f t="shared" si="836"/>
        <v xml:space="preserve"> </v>
      </c>
      <c r="BP404" s="598" t="str">
        <f t="shared" si="837"/>
        <v xml:space="preserve"> </v>
      </c>
      <c r="BQ404" s="598" t="str">
        <f t="shared" si="837"/>
        <v xml:space="preserve"> </v>
      </c>
      <c r="BR404" s="598" t="str">
        <f t="shared" si="837"/>
        <v xml:space="preserve"> </v>
      </c>
      <c r="BS404" s="598" t="str">
        <f t="shared" si="837"/>
        <v xml:space="preserve"> </v>
      </c>
      <c r="BT404" s="598" t="str">
        <f t="shared" si="837"/>
        <v xml:space="preserve"> </v>
      </c>
      <c r="BU404" s="598" t="str">
        <f t="shared" si="837"/>
        <v xml:space="preserve"> </v>
      </c>
      <c r="BV404" s="598" t="str">
        <f t="shared" si="837"/>
        <v xml:space="preserve"> </v>
      </c>
      <c r="BW404" s="598" t="str">
        <f t="shared" si="837"/>
        <v xml:space="preserve"> </v>
      </c>
      <c r="BX404" s="598" t="str">
        <f t="shared" si="837"/>
        <v xml:space="preserve"> </v>
      </c>
      <c r="BY404" s="598" t="str">
        <f t="shared" si="837"/>
        <v xml:space="preserve"> </v>
      </c>
      <c r="BZ404" s="598" t="str">
        <f t="shared" si="838"/>
        <v xml:space="preserve"> </v>
      </c>
      <c r="CA404" s="598" t="str">
        <f t="shared" si="838"/>
        <v xml:space="preserve"> </v>
      </c>
      <c r="CB404" s="598" t="str">
        <f t="shared" si="838"/>
        <v xml:space="preserve"> </v>
      </c>
      <c r="CC404" s="598" t="str">
        <f t="shared" si="838"/>
        <v xml:space="preserve"> </v>
      </c>
      <c r="CD404" s="598" t="str">
        <f t="shared" si="838"/>
        <v xml:space="preserve"> </v>
      </c>
      <c r="CE404" s="598" t="str">
        <f t="shared" si="838"/>
        <v xml:space="preserve"> </v>
      </c>
      <c r="CF404" s="598" t="str">
        <f t="shared" si="838"/>
        <v xml:space="preserve"> </v>
      </c>
      <c r="CG404" s="598" t="str">
        <f t="shared" si="838"/>
        <v xml:space="preserve"> </v>
      </c>
      <c r="CH404" s="598" t="str">
        <f t="shared" si="838"/>
        <v xml:space="preserve"> </v>
      </c>
      <c r="CI404" s="598" t="str">
        <f t="shared" si="838"/>
        <v xml:space="preserve"> </v>
      </c>
      <c r="CJ404" s="598" t="str">
        <f t="shared" si="838"/>
        <v xml:space="preserve"> </v>
      </c>
      <c r="CK404" s="598" t="str">
        <f t="shared" si="838"/>
        <v xml:space="preserve"> </v>
      </c>
      <c r="CL404" s="598" t="str">
        <f t="shared" si="838"/>
        <v xml:space="preserve"> </v>
      </c>
      <c r="CM404" s="598" t="str">
        <f t="shared" si="838"/>
        <v xml:space="preserve"> </v>
      </c>
      <c r="CN404" s="598" t="str">
        <f t="shared" si="838"/>
        <v xml:space="preserve"> </v>
      </c>
    </row>
    <row r="405" spans="1:92">
      <c r="A405" s="598">
        <v>28</v>
      </c>
      <c r="B405" s="598" t="str">
        <f t="shared" si="831"/>
        <v xml:space="preserve"> </v>
      </c>
      <c r="C405" s="598" t="str">
        <f t="shared" si="831"/>
        <v xml:space="preserve"> </v>
      </c>
      <c r="D405" s="598" t="str">
        <f t="shared" si="831"/>
        <v xml:space="preserve"> </v>
      </c>
      <c r="E405" s="598" t="str">
        <f t="shared" si="831"/>
        <v xml:space="preserve"> </v>
      </c>
      <c r="F405" s="598" t="str">
        <f t="shared" si="831"/>
        <v xml:space="preserve"> </v>
      </c>
      <c r="G405" s="598" t="str">
        <f t="shared" si="831"/>
        <v xml:space="preserve"> </v>
      </c>
      <c r="H405" s="598" t="str">
        <f t="shared" si="831"/>
        <v xml:space="preserve"> </v>
      </c>
      <c r="I405" s="598" t="str">
        <f t="shared" si="831"/>
        <v xml:space="preserve"> </v>
      </c>
      <c r="J405" s="598" t="str">
        <f t="shared" si="831"/>
        <v xml:space="preserve"> </v>
      </c>
      <c r="K405" s="598" t="str">
        <f t="shared" si="831"/>
        <v xml:space="preserve"> </v>
      </c>
      <c r="L405" s="598" t="str">
        <f t="shared" si="832"/>
        <v xml:space="preserve"> </v>
      </c>
      <c r="M405" s="598" t="str">
        <f t="shared" si="832"/>
        <v xml:space="preserve"> </v>
      </c>
      <c r="N405" s="598" t="str">
        <f t="shared" si="832"/>
        <v xml:space="preserve"> </v>
      </c>
      <c r="O405" s="598" t="str">
        <f t="shared" si="832"/>
        <v xml:space="preserve"> </v>
      </c>
      <c r="P405" s="598" t="str">
        <f t="shared" si="832"/>
        <v xml:space="preserve"> </v>
      </c>
      <c r="Q405" s="598" t="str">
        <f t="shared" si="832"/>
        <v xml:space="preserve"> </v>
      </c>
      <c r="R405" s="598" t="str">
        <f t="shared" si="832"/>
        <v xml:space="preserve"> </v>
      </c>
      <c r="S405" s="598" t="str">
        <f t="shared" si="832"/>
        <v xml:space="preserve"> </v>
      </c>
      <c r="T405" s="598" t="str">
        <f t="shared" si="832"/>
        <v xml:space="preserve"> </v>
      </c>
      <c r="U405" s="598" t="str">
        <f t="shared" si="832"/>
        <v xml:space="preserve"> </v>
      </c>
      <c r="V405" s="598" t="str">
        <f t="shared" si="833"/>
        <v xml:space="preserve"> </v>
      </c>
      <c r="W405" s="598" t="str">
        <f t="shared" si="833"/>
        <v xml:space="preserve"> </v>
      </c>
      <c r="X405" s="598" t="str">
        <f t="shared" si="833"/>
        <v xml:space="preserve"> </v>
      </c>
      <c r="Y405" s="598" t="str">
        <f t="shared" si="833"/>
        <v xml:space="preserve"> </v>
      </c>
      <c r="Z405" s="598" t="str">
        <f t="shared" si="833"/>
        <v xml:space="preserve"> </v>
      </c>
      <c r="AA405" s="598" t="str">
        <f t="shared" si="833"/>
        <v xml:space="preserve"> </v>
      </c>
      <c r="AB405" s="598" t="str">
        <f t="shared" si="833"/>
        <v xml:space="preserve"> </v>
      </c>
      <c r="AC405" s="598" t="str">
        <f t="shared" si="833"/>
        <v xml:space="preserve"> </v>
      </c>
      <c r="AD405" s="598" t="str">
        <f t="shared" si="833"/>
        <v xml:space="preserve"> </v>
      </c>
      <c r="AE405" s="598" t="str">
        <f t="shared" si="833"/>
        <v xml:space="preserve"> </v>
      </c>
      <c r="AF405" s="598" t="str">
        <f t="shared" si="834"/>
        <v xml:space="preserve"> </v>
      </c>
      <c r="AG405" s="598" t="str">
        <f t="shared" si="834"/>
        <v xml:space="preserve"> </v>
      </c>
      <c r="AH405" s="598" t="str">
        <f t="shared" si="834"/>
        <v xml:space="preserve"> </v>
      </c>
      <c r="AI405" s="598" t="str">
        <f t="shared" si="834"/>
        <v xml:space="preserve"> </v>
      </c>
      <c r="AJ405" s="598" t="str">
        <f t="shared" si="834"/>
        <v xml:space="preserve"> </v>
      </c>
      <c r="AK405" s="598" t="str">
        <f t="shared" si="834"/>
        <v xml:space="preserve"> </v>
      </c>
      <c r="AL405" s="598" t="str">
        <f t="shared" si="834"/>
        <v xml:space="preserve"> </v>
      </c>
      <c r="AM405" s="598" t="str">
        <f t="shared" si="834"/>
        <v xml:space="preserve"> </v>
      </c>
      <c r="AN405" s="598" t="str">
        <f t="shared" si="834"/>
        <v xml:space="preserve"> </v>
      </c>
      <c r="AO405" s="598" t="str">
        <f t="shared" si="834"/>
        <v xml:space="preserve"> </v>
      </c>
      <c r="AP405" s="598" t="str">
        <f t="shared" si="834"/>
        <v xml:space="preserve"> </v>
      </c>
      <c r="AQ405" s="598" t="str">
        <f t="shared" si="834"/>
        <v xml:space="preserve"> </v>
      </c>
      <c r="AR405" s="598" t="str">
        <f t="shared" si="834"/>
        <v xml:space="preserve"> </v>
      </c>
      <c r="AS405" s="598" t="str">
        <f t="shared" si="834"/>
        <v xml:space="preserve"> </v>
      </c>
      <c r="AT405" s="598" t="str">
        <f t="shared" si="834"/>
        <v xml:space="preserve"> </v>
      </c>
      <c r="AV405" s="598" t="str">
        <f t="shared" si="835"/>
        <v xml:space="preserve"> </v>
      </c>
      <c r="AW405" s="598" t="str">
        <f t="shared" si="835"/>
        <v xml:space="preserve"> </v>
      </c>
      <c r="AX405" s="598" t="str">
        <f t="shared" si="835"/>
        <v xml:space="preserve"> </v>
      </c>
      <c r="AY405" s="598" t="str">
        <f t="shared" si="835"/>
        <v xml:space="preserve"> </v>
      </c>
      <c r="AZ405" s="598" t="str">
        <f t="shared" si="835"/>
        <v xml:space="preserve"> </v>
      </c>
      <c r="BA405" s="598" t="str">
        <f t="shared" si="835"/>
        <v xml:space="preserve"> </v>
      </c>
      <c r="BB405" s="598" t="str">
        <f t="shared" si="835"/>
        <v xml:space="preserve"> </v>
      </c>
      <c r="BC405" s="598" t="str">
        <f t="shared" si="835"/>
        <v xml:space="preserve"> </v>
      </c>
      <c r="BD405" s="598" t="str">
        <f t="shared" si="835"/>
        <v xml:space="preserve"> </v>
      </c>
      <c r="BE405" s="598" t="str">
        <f t="shared" si="835"/>
        <v xml:space="preserve"> </v>
      </c>
      <c r="BF405" s="598" t="str">
        <f t="shared" si="836"/>
        <v xml:space="preserve"> </v>
      </c>
      <c r="BG405" s="598" t="str">
        <f t="shared" si="836"/>
        <v xml:space="preserve"> </v>
      </c>
      <c r="BH405" s="598" t="str">
        <f t="shared" si="836"/>
        <v xml:space="preserve"> </v>
      </c>
      <c r="BI405" s="598" t="str">
        <f t="shared" si="836"/>
        <v xml:space="preserve"> </v>
      </c>
      <c r="BJ405" s="598" t="str">
        <f t="shared" si="836"/>
        <v xml:space="preserve"> </v>
      </c>
      <c r="BK405" s="598" t="str">
        <f t="shared" si="836"/>
        <v xml:space="preserve"> </v>
      </c>
      <c r="BL405" s="598" t="str">
        <f t="shared" si="836"/>
        <v xml:space="preserve"> </v>
      </c>
      <c r="BM405" s="598" t="str">
        <f t="shared" si="836"/>
        <v xml:space="preserve"> </v>
      </c>
      <c r="BN405" s="598" t="str">
        <f t="shared" si="836"/>
        <v xml:space="preserve"> </v>
      </c>
      <c r="BO405" s="598" t="str">
        <f t="shared" si="836"/>
        <v xml:space="preserve"> </v>
      </c>
      <c r="BP405" s="598" t="str">
        <f t="shared" si="837"/>
        <v xml:space="preserve"> </v>
      </c>
      <c r="BQ405" s="598" t="str">
        <f t="shared" si="837"/>
        <v xml:space="preserve"> </v>
      </c>
      <c r="BR405" s="598" t="str">
        <f t="shared" si="837"/>
        <v xml:space="preserve"> </v>
      </c>
      <c r="BS405" s="598" t="str">
        <f t="shared" si="837"/>
        <v xml:space="preserve"> </v>
      </c>
      <c r="BT405" s="598" t="str">
        <f t="shared" si="837"/>
        <v xml:space="preserve"> </v>
      </c>
      <c r="BU405" s="598" t="str">
        <f t="shared" si="837"/>
        <v xml:space="preserve"> </v>
      </c>
      <c r="BV405" s="598" t="str">
        <f t="shared" si="837"/>
        <v xml:space="preserve"> </v>
      </c>
      <c r="BW405" s="598" t="str">
        <f t="shared" si="837"/>
        <v xml:space="preserve"> </v>
      </c>
      <c r="BX405" s="598" t="str">
        <f t="shared" si="837"/>
        <v xml:space="preserve"> </v>
      </c>
      <c r="BY405" s="598" t="str">
        <f t="shared" si="837"/>
        <v xml:space="preserve"> </v>
      </c>
      <c r="BZ405" s="598" t="str">
        <f t="shared" si="838"/>
        <v xml:space="preserve"> </v>
      </c>
      <c r="CA405" s="598" t="str">
        <f t="shared" si="838"/>
        <v xml:space="preserve"> </v>
      </c>
      <c r="CB405" s="598" t="str">
        <f t="shared" si="838"/>
        <v xml:space="preserve"> </v>
      </c>
      <c r="CC405" s="598" t="str">
        <f t="shared" si="838"/>
        <v xml:space="preserve"> </v>
      </c>
      <c r="CD405" s="598" t="str">
        <f t="shared" si="838"/>
        <v xml:space="preserve"> </v>
      </c>
      <c r="CE405" s="598" t="str">
        <f t="shared" si="838"/>
        <v xml:space="preserve"> </v>
      </c>
      <c r="CF405" s="598" t="str">
        <f t="shared" si="838"/>
        <v xml:space="preserve"> </v>
      </c>
      <c r="CG405" s="598" t="str">
        <f t="shared" si="838"/>
        <v xml:space="preserve"> </v>
      </c>
      <c r="CH405" s="598" t="str">
        <f t="shared" si="838"/>
        <v xml:space="preserve"> </v>
      </c>
      <c r="CI405" s="598" t="str">
        <f t="shared" si="838"/>
        <v xml:space="preserve"> </v>
      </c>
      <c r="CJ405" s="598" t="str">
        <f t="shared" si="838"/>
        <v xml:space="preserve"> </v>
      </c>
      <c r="CK405" s="598" t="str">
        <f t="shared" si="838"/>
        <v xml:space="preserve"> </v>
      </c>
      <c r="CL405" s="598" t="str">
        <f t="shared" si="838"/>
        <v xml:space="preserve"> </v>
      </c>
      <c r="CM405" s="598" t="str">
        <f t="shared" si="838"/>
        <v xml:space="preserve"> </v>
      </c>
      <c r="CN405" s="598" t="str">
        <f t="shared" si="838"/>
        <v xml:space="preserve"> </v>
      </c>
    </row>
    <row r="406" spans="1:92">
      <c r="A406" s="598">
        <v>29</v>
      </c>
      <c r="B406" s="598" t="str">
        <f t="shared" si="831"/>
        <v xml:space="preserve"> </v>
      </c>
      <c r="C406" s="598" t="str">
        <f t="shared" si="831"/>
        <v xml:space="preserve"> </v>
      </c>
      <c r="D406" s="598" t="str">
        <f t="shared" si="831"/>
        <v xml:space="preserve"> </v>
      </c>
      <c r="E406" s="598" t="str">
        <f t="shared" si="831"/>
        <v xml:space="preserve"> </v>
      </c>
      <c r="F406" s="598" t="str">
        <f t="shared" si="831"/>
        <v xml:space="preserve"> </v>
      </c>
      <c r="G406" s="598" t="str">
        <f t="shared" si="831"/>
        <v xml:space="preserve"> </v>
      </c>
      <c r="H406" s="598" t="str">
        <f t="shared" si="831"/>
        <v xml:space="preserve"> </v>
      </c>
      <c r="I406" s="598" t="str">
        <f t="shared" si="831"/>
        <v xml:space="preserve"> </v>
      </c>
      <c r="J406" s="598" t="str">
        <f t="shared" si="831"/>
        <v xml:space="preserve"> </v>
      </c>
      <c r="K406" s="598" t="str">
        <f t="shared" si="831"/>
        <v xml:space="preserve"> </v>
      </c>
      <c r="L406" s="598" t="str">
        <f t="shared" si="832"/>
        <v xml:space="preserve"> </v>
      </c>
      <c r="M406" s="598" t="str">
        <f t="shared" si="832"/>
        <v xml:space="preserve"> </v>
      </c>
      <c r="N406" s="598" t="str">
        <f t="shared" si="832"/>
        <v xml:space="preserve"> </v>
      </c>
      <c r="O406" s="598" t="str">
        <f t="shared" si="832"/>
        <v xml:space="preserve"> </v>
      </c>
      <c r="P406" s="598" t="str">
        <f t="shared" si="832"/>
        <v xml:space="preserve"> </v>
      </c>
      <c r="Q406" s="598" t="str">
        <f t="shared" si="832"/>
        <v xml:space="preserve"> </v>
      </c>
      <c r="R406" s="598" t="str">
        <f t="shared" si="832"/>
        <v xml:space="preserve"> </v>
      </c>
      <c r="S406" s="598" t="str">
        <f t="shared" si="832"/>
        <v xml:space="preserve"> </v>
      </c>
      <c r="T406" s="598" t="str">
        <f t="shared" si="832"/>
        <v xml:space="preserve"> </v>
      </c>
      <c r="U406" s="598" t="str">
        <f t="shared" si="832"/>
        <v xml:space="preserve"> </v>
      </c>
      <c r="V406" s="598" t="str">
        <f t="shared" si="833"/>
        <v xml:space="preserve"> </v>
      </c>
      <c r="W406" s="598" t="str">
        <f t="shared" si="833"/>
        <v xml:space="preserve"> </v>
      </c>
      <c r="X406" s="598" t="str">
        <f t="shared" si="833"/>
        <v xml:space="preserve"> </v>
      </c>
      <c r="Y406" s="598" t="str">
        <f t="shared" si="833"/>
        <v xml:space="preserve"> </v>
      </c>
      <c r="Z406" s="598" t="str">
        <f t="shared" si="833"/>
        <v xml:space="preserve"> </v>
      </c>
      <c r="AA406" s="598" t="str">
        <f t="shared" si="833"/>
        <v xml:space="preserve"> </v>
      </c>
      <c r="AB406" s="598" t="str">
        <f t="shared" si="833"/>
        <v xml:space="preserve"> </v>
      </c>
      <c r="AC406" s="598" t="str">
        <f t="shared" si="833"/>
        <v xml:space="preserve"> </v>
      </c>
      <c r="AD406" s="598" t="str">
        <f t="shared" si="833"/>
        <v xml:space="preserve"> </v>
      </c>
      <c r="AE406" s="598" t="str">
        <f t="shared" si="833"/>
        <v xml:space="preserve"> </v>
      </c>
      <c r="AF406" s="598" t="str">
        <f t="shared" si="834"/>
        <v xml:space="preserve"> </v>
      </c>
      <c r="AG406" s="598" t="str">
        <f t="shared" si="834"/>
        <v xml:space="preserve"> </v>
      </c>
      <c r="AH406" s="598" t="str">
        <f t="shared" si="834"/>
        <v xml:space="preserve"> </v>
      </c>
      <c r="AI406" s="598" t="str">
        <f t="shared" si="834"/>
        <v xml:space="preserve"> </v>
      </c>
      <c r="AJ406" s="598" t="str">
        <f t="shared" si="834"/>
        <v xml:space="preserve"> </v>
      </c>
      <c r="AK406" s="598" t="str">
        <f t="shared" si="834"/>
        <v xml:space="preserve"> </v>
      </c>
      <c r="AL406" s="598" t="str">
        <f t="shared" si="834"/>
        <v xml:space="preserve"> </v>
      </c>
      <c r="AM406" s="598" t="str">
        <f t="shared" si="834"/>
        <v xml:space="preserve"> </v>
      </c>
      <c r="AN406" s="598" t="str">
        <f t="shared" si="834"/>
        <v xml:space="preserve"> </v>
      </c>
      <c r="AO406" s="598" t="str">
        <f t="shared" si="834"/>
        <v xml:space="preserve"> </v>
      </c>
      <c r="AP406" s="598" t="str">
        <f t="shared" si="834"/>
        <v xml:space="preserve"> </v>
      </c>
      <c r="AQ406" s="598" t="str">
        <f t="shared" si="834"/>
        <v xml:space="preserve"> </v>
      </c>
      <c r="AR406" s="598" t="str">
        <f t="shared" si="834"/>
        <v xml:space="preserve"> </v>
      </c>
      <c r="AS406" s="598" t="str">
        <f t="shared" si="834"/>
        <v xml:space="preserve"> </v>
      </c>
      <c r="AT406" s="598" t="str">
        <f t="shared" si="834"/>
        <v xml:space="preserve"> </v>
      </c>
      <c r="AV406" s="598" t="str">
        <f t="shared" si="835"/>
        <v xml:space="preserve"> </v>
      </c>
      <c r="AW406" s="598" t="str">
        <f t="shared" si="835"/>
        <v xml:space="preserve"> </v>
      </c>
      <c r="AX406" s="598" t="str">
        <f t="shared" si="835"/>
        <v xml:space="preserve"> </v>
      </c>
      <c r="AY406" s="598" t="str">
        <f t="shared" si="835"/>
        <v xml:space="preserve"> </v>
      </c>
      <c r="AZ406" s="598" t="str">
        <f t="shared" si="835"/>
        <v xml:space="preserve"> </v>
      </c>
      <c r="BA406" s="598" t="str">
        <f t="shared" si="835"/>
        <v xml:space="preserve"> </v>
      </c>
      <c r="BB406" s="598" t="str">
        <f t="shared" si="835"/>
        <v xml:space="preserve"> </v>
      </c>
      <c r="BC406" s="598" t="str">
        <f t="shared" si="835"/>
        <v xml:space="preserve"> </v>
      </c>
      <c r="BD406" s="598" t="str">
        <f t="shared" si="835"/>
        <v xml:space="preserve"> </v>
      </c>
      <c r="BE406" s="598" t="str">
        <f t="shared" si="835"/>
        <v xml:space="preserve"> </v>
      </c>
      <c r="BF406" s="598" t="str">
        <f t="shared" si="836"/>
        <v xml:space="preserve"> </v>
      </c>
      <c r="BG406" s="598" t="str">
        <f t="shared" si="836"/>
        <v xml:space="preserve"> </v>
      </c>
      <c r="BH406" s="598" t="str">
        <f t="shared" si="836"/>
        <v xml:space="preserve"> </v>
      </c>
      <c r="BI406" s="598" t="str">
        <f t="shared" si="836"/>
        <v xml:space="preserve"> </v>
      </c>
      <c r="BJ406" s="598" t="str">
        <f t="shared" si="836"/>
        <v xml:space="preserve"> </v>
      </c>
      <c r="BK406" s="598" t="str">
        <f t="shared" si="836"/>
        <v xml:space="preserve"> </v>
      </c>
      <c r="BL406" s="598" t="str">
        <f t="shared" si="836"/>
        <v xml:space="preserve"> </v>
      </c>
      <c r="BM406" s="598" t="str">
        <f t="shared" si="836"/>
        <v xml:space="preserve"> </v>
      </c>
      <c r="BN406" s="598" t="str">
        <f t="shared" si="836"/>
        <v xml:space="preserve"> </v>
      </c>
      <c r="BO406" s="598" t="str">
        <f t="shared" si="836"/>
        <v xml:space="preserve"> </v>
      </c>
      <c r="BP406" s="598" t="str">
        <f t="shared" si="837"/>
        <v xml:space="preserve"> </v>
      </c>
      <c r="BQ406" s="598" t="str">
        <f t="shared" si="837"/>
        <v xml:space="preserve"> </v>
      </c>
      <c r="BR406" s="598" t="str">
        <f t="shared" si="837"/>
        <v xml:space="preserve"> </v>
      </c>
      <c r="BS406" s="598" t="str">
        <f t="shared" si="837"/>
        <v xml:space="preserve"> </v>
      </c>
      <c r="BT406" s="598" t="str">
        <f t="shared" si="837"/>
        <v xml:space="preserve"> </v>
      </c>
      <c r="BU406" s="598" t="str">
        <f t="shared" si="837"/>
        <v xml:space="preserve"> </v>
      </c>
      <c r="BV406" s="598" t="str">
        <f t="shared" si="837"/>
        <v xml:space="preserve"> </v>
      </c>
      <c r="BW406" s="598" t="str">
        <f t="shared" si="837"/>
        <v xml:space="preserve"> </v>
      </c>
      <c r="BX406" s="598" t="str">
        <f t="shared" si="837"/>
        <v xml:space="preserve"> </v>
      </c>
      <c r="BY406" s="598" t="str">
        <f t="shared" si="837"/>
        <v xml:space="preserve"> </v>
      </c>
      <c r="BZ406" s="598" t="str">
        <f t="shared" si="838"/>
        <v xml:space="preserve"> </v>
      </c>
      <c r="CA406" s="598" t="str">
        <f t="shared" si="838"/>
        <v xml:space="preserve"> </v>
      </c>
      <c r="CB406" s="598" t="str">
        <f t="shared" si="838"/>
        <v xml:space="preserve"> </v>
      </c>
      <c r="CC406" s="598" t="str">
        <f t="shared" si="838"/>
        <v xml:space="preserve"> </v>
      </c>
      <c r="CD406" s="598" t="str">
        <f t="shared" si="838"/>
        <v xml:space="preserve"> </v>
      </c>
      <c r="CE406" s="598" t="str">
        <f t="shared" si="838"/>
        <v xml:space="preserve"> </v>
      </c>
      <c r="CF406" s="598" t="str">
        <f t="shared" si="838"/>
        <v xml:space="preserve"> </v>
      </c>
      <c r="CG406" s="598" t="str">
        <f t="shared" si="838"/>
        <v xml:space="preserve"> </v>
      </c>
      <c r="CH406" s="598" t="str">
        <f t="shared" si="838"/>
        <v xml:space="preserve"> </v>
      </c>
      <c r="CI406" s="598" t="str">
        <f t="shared" si="838"/>
        <v xml:space="preserve"> </v>
      </c>
      <c r="CJ406" s="598" t="str">
        <f t="shared" si="838"/>
        <v xml:space="preserve"> </v>
      </c>
      <c r="CK406" s="598" t="str">
        <f t="shared" si="838"/>
        <v xml:space="preserve"> </v>
      </c>
      <c r="CL406" s="598" t="str">
        <f t="shared" si="838"/>
        <v xml:space="preserve"> </v>
      </c>
      <c r="CM406" s="598" t="str">
        <f t="shared" si="838"/>
        <v xml:space="preserve"> </v>
      </c>
      <c r="CN406" s="598" t="str">
        <f t="shared" si="838"/>
        <v xml:space="preserve"> </v>
      </c>
    </row>
    <row r="407" spans="1:92">
      <c r="A407" s="598">
        <v>30</v>
      </c>
      <c r="B407" s="598" t="str">
        <f t="shared" si="831"/>
        <v xml:space="preserve"> </v>
      </c>
      <c r="C407" s="598" t="str">
        <f t="shared" si="831"/>
        <v xml:space="preserve"> </v>
      </c>
      <c r="D407" s="598" t="str">
        <f t="shared" si="831"/>
        <v xml:space="preserve"> </v>
      </c>
      <c r="E407" s="598" t="str">
        <f t="shared" si="831"/>
        <v xml:space="preserve"> </v>
      </c>
      <c r="F407" s="598" t="str">
        <f t="shared" si="831"/>
        <v xml:space="preserve"> </v>
      </c>
      <c r="G407" s="598" t="str">
        <f t="shared" si="831"/>
        <v xml:space="preserve"> </v>
      </c>
      <c r="H407" s="598" t="str">
        <f t="shared" si="831"/>
        <v xml:space="preserve"> </v>
      </c>
      <c r="I407" s="598" t="str">
        <f t="shared" si="831"/>
        <v xml:space="preserve"> </v>
      </c>
      <c r="J407" s="598" t="str">
        <f t="shared" si="831"/>
        <v xml:space="preserve"> </v>
      </c>
      <c r="K407" s="598" t="str">
        <f t="shared" si="831"/>
        <v xml:space="preserve"> </v>
      </c>
      <c r="L407" s="598" t="str">
        <f t="shared" si="832"/>
        <v xml:space="preserve"> </v>
      </c>
      <c r="M407" s="598" t="str">
        <f t="shared" si="832"/>
        <v xml:space="preserve"> </v>
      </c>
      <c r="N407" s="598" t="str">
        <f t="shared" si="832"/>
        <v xml:space="preserve"> </v>
      </c>
      <c r="O407" s="598" t="str">
        <f t="shared" si="832"/>
        <v xml:space="preserve"> </v>
      </c>
      <c r="P407" s="598" t="str">
        <f t="shared" si="832"/>
        <v xml:space="preserve"> </v>
      </c>
      <c r="Q407" s="598" t="str">
        <f t="shared" si="832"/>
        <v xml:space="preserve"> </v>
      </c>
      <c r="R407" s="598" t="str">
        <f t="shared" si="832"/>
        <v xml:space="preserve"> </v>
      </c>
      <c r="S407" s="598" t="str">
        <f t="shared" si="832"/>
        <v xml:space="preserve"> </v>
      </c>
      <c r="T407" s="598" t="str">
        <f t="shared" si="832"/>
        <v xml:space="preserve"> </v>
      </c>
      <c r="U407" s="598" t="str">
        <f t="shared" si="832"/>
        <v xml:space="preserve"> </v>
      </c>
      <c r="V407" s="598" t="str">
        <f t="shared" si="833"/>
        <v xml:space="preserve"> </v>
      </c>
      <c r="W407" s="598" t="str">
        <f t="shared" si="833"/>
        <v xml:space="preserve"> </v>
      </c>
      <c r="X407" s="598" t="str">
        <f t="shared" si="833"/>
        <v xml:space="preserve"> </v>
      </c>
      <c r="Y407" s="598" t="str">
        <f t="shared" si="833"/>
        <v xml:space="preserve"> </v>
      </c>
      <c r="Z407" s="598" t="str">
        <f t="shared" si="833"/>
        <v xml:space="preserve"> </v>
      </c>
      <c r="AA407" s="598" t="str">
        <f t="shared" si="833"/>
        <v xml:space="preserve"> </v>
      </c>
      <c r="AB407" s="598" t="str">
        <f t="shared" si="833"/>
        <v xml:space="preserve"> </v>
      </c>
      <c r="AC407" s="598" t="str">
        <f t="shared" si="833"/>
        <v xml:space="preserve"> </v>
      </c>
      <c r="AD407" s="598" t="str">
        <f t="shared" si="833"/>
        <v xml:space="preserve"> </v>
      </c>
      <c r="AE407" s="598" t="str">
        <f t="shared" si="833"/>
        <v xml:space="preserve"> </v>
      </c>
      <c r="AF407" s="598" t="str">
        <f t="shared" si="834"/>
        <v xml:space="preserve"> </v>
      </c>
      <c r="AG407" s="598" t="str">
        <f t="shared" si="834"/>
        <v xml:space="preserve"> </v>
      </c>
      <c r="AH407" s="598" t="str">
        <f t="shared" si="834"/>
        <v xml:space="preserve"> </v>
      </c>
      <c r="AI407" s="598" t="str">
        <f t="shared" si="834"/>
        <v xml:space="preserve"> </v>
      </c>
      <c r="AJ407" s="598" t="str">
        <f t="shared" si="834"/>
        <v xml:space="preserve"> </v>
      </c>
      <c r="AK407" s="598" t="str">
        <f t="shared" si="834"/>
        <v xml:space="preserve"> </v>
      </c>
      <c r="AL407" s="598" t="str">
        <f t="shared" si="834"/>
        <v xml:space="preserve"> </v>
      </c>
      <c r="AM407" s="598" t="str">
        <f t="shared" si="834"/>
        <v xml:space="preserve"> </v>
      </c>
      <c r="AN407" s="598" t="str">
        <f t="shared" si="834"/>
        <v xml:space="preserve"> </v>
      </c>
      <c r="AO407" s="598" t="str">
        <f t="shared" si="834"/>
        <v xml:space="preserve"> </v>
      </c>
      <c r="AP407" s="598" t="str">
        <f t="shared" si="834"/>
        <v xml:space="preserve"> </v>
      </c>
      <c r="AQ407" s="598" t="str">
        <f t="shared" si="834"/>
        <v xml:space="preserve"> </v>
      </c>
      <c r="AR407" s="598" t="str">
        <f t="shared" si="834"/>
        <v xml:space="preserve"> </v>
      </c>
      <c r="AS407" s="598" t="str">
        <f t="shared" si="834"/>
        <v xml:space="preserve"> </v>
      </c>
      <c r="AT407" s="598" t="str">
        <f t="shared" si="834"/>
        <v xml:space="preserve"> </v>
      </c>
      <c r="AV407" s="598" t="str">
        <f t="shared" si="835"/>
        <v xml:space="preserve"> </v>
      </c>
      <c r="AW407" s="598" t="str">
        <f t="shared" si="835"/>
        <v xml:space="preserve"> </v>
      </c>
      <c r="AX407" s="598" t="str">
        <f t="shared" si="835"/>
        <v xml:space="preserve"> </v>
      </c>
      <c r="AY407" s="598" t="str">
        <f t="shared" si="835"/>
        <v xml:space="preserve"> </v>
      </c>
      <c r="AZ407" s="598" t="str">
        <f t="shared" si="835"/>
        <v xml:space="preserve"> </v>
      </c>
      <c r="BA407" s="598" t="str">
        <f t="shared" si="835"/>
        <v xml:space="preserve"> </v>
      </c>
      <c r="BB407" s="598" t="str">
        <f t="shared" si="835"/>
        <v xml:space="preserve"> </v>
      </c>
      <c r="BC407" s="598" t="str">
        <f t="shared" si="835"/>
        <v xml:space="preserve"> </v>
      </c>
      <c r="BD407" s="598" t="str">
        <f t="shared" si="835"/>
        <v xml:space="preserve"> </v>
      </c>
      <c r="BE407" s="598" t="str">
        <f t="shared" si="835"/>
        <v xml:space="preserve"> </v>
      </c>
      <c r="BF407" s="598" t="str">
        <f t="shared" si="836"/>
        <v xml:space="preserve"> </v>
      </c>
      <c r="BG407" s="598" t="str">
        <f t="shared" si="836"/>
        <v xml:space="preserve"> </v>
      </c>
      <c r="BH407" s="598" t="str">
        <f t="shared" si="836"/>
        <v xml:space="preserve"> </v>
      </c>
      <c r="BI407" s="598" t="str">
        <f t="shared" si="836"/>
        <v xml:space="preserve"> </v>
      </c>
      <c r="BJ407" s="598" t="str">
        <f t="shared" si="836"/>
        <v xml:space="preserve"> </v>
      </c>
      <c r="BK407" s="598" t="str">
        <f t="shared" si="836"/>
        <v xml:space="preserve"> </v>
      </c>
      <c r="BL407" s="598" t="str">
        <f t="shared" si="836"/>
        <v xml:space="preserve"> </v>
      </c>
      <c r="BM407" s="598" t="str">
        <f t="shared" si="836"/>
        <v xml:space="preserve"> </v>
      </c>
      <c r="BN407" s="598" t="str">
        <f t="shared" si="836"/>
        <v xml:space="preserve"> </v>
      </c>
      <c r="BO407" s="598" t="str">
        <f t="shared" si="836"/>
        <v xml:space="preserve"> </v>
      </c>
      <c r="BP407" s="598" t="str">
        <f t="shared" si="837"/>
        <v xml:space="preserve"> </v>
      </c>
      <c r="BQ407" s="598" t="str">
        <f t="shared" si="837"/>
        <v xml:space="preserve"> </v>
      </c>
      <c r="BR407" s="598" t="str">
        <f t="shared" si="837"/>
        <v xml:space="preserve"> </v>
      </c>
      <c r="BS407" s="598" t="str">
        <f t="shared" si="837"/>
        <v xml:space="preserve"> </v>
      </c>
      <c r="BT407" s="598" t="str">
        <f t="shared" si="837"/>
        <v xml:space="preserve"> </v>
      </c>
      <c r="BU407" s="598" t="str">
        <f t="shared" si="837"/>
        <v xml:space="preserve"> </v>
      </c>
      <c r="BV407" s="598" t="str">
        <f t="shared" si="837"/>
        <v xml:space="preserve"> </v>
      </c>
      <c r="BW407" s="598" t="str">
        <f t="shared" si="837"/>
        <v xml:space="preserve"> </v>
      </c>
      <c r="BX407" s="598" t="str">
        <f t="shared" si="837"/>
        <v xml:space="preserve"> </v>
      </c>
      <c r="BY407" s="598" t="str">
        <f t="shared" si="837"/>
        <v xml:space="preserve"> </v>
      </c>
      <c r="BZ407" s="598" t="str">
        <f t="shared" si="838"/>
        <v xml:space="preserve"> </v>
      </c>
      <c r="CA407" s="598" t="str">
        <f t="shared" si="838"/>
        <v xml:space="preserve"> </v>
      </c>
      <c r="CB407" s="598" t="str">
        <f t="shared" si="838"/>
        <v xml:space="preserve"> </v>
      </c>
      <c r="CC407" s="598" t="str">
        <f t="shared" si="838"/>
        <v xml:space="preserve"> </v>
      </c>
      <c r="CD407" s="598" t="str">
        <f t="shared" si="838"/>
        <v xml:space="preserve"> </v>
      </c>
      <c r="CE407" s="598" t="str">
        <f t="shared" si="838"/>
        <v xml:space="preserve"> </v>
      </c>
      <c r="CF407" s="598" t="str">
        <f t="shared" si="838"/>
        <v xml:space="preserve"> </v>
      </c>
      <c r="CG407" s="598" t="str">
        <f t="shared" si="838"/>
        <v xml:space="preserve"> </v>
      </c>
      <c r="CH407" s="598" t="str">
        <f t="shared" si="838"/>
        <v xml:space="preserve"> </v>
      </c>
      <c r="CI407" s="598" t="str">
        <f t="shared" si="838"/>
        <v xml:space="preserve"> </v>
      </c>
      <c r="CJ407" s="598" t="str">
        <f t="shared" si="838"/>
        <v xml:space="preserve"> </v>
      </c>
      <c r="CK407" s="598" t="str">
        <f t="shared" si="838"/>
        <v xml:space="preserve"> </v>
      </c>
      <c r="CL407" s="598" t="str">
        <f t="shared" si="838"/>
        <v xml:space="preserve"> </v>
      </c>
      <c r="CM407" s="598" t="str">
        <f t="shared" si="838"/>
        <v xml:space="preserve"> </v>
      </c>
      <c r="CN407" s="598" t="str">
        <f t="shared" si="838"/>
        <v xml:space="preserve"> </v>
      </c>
    </row>
    <row r="408" spans="1:92">
      <c r="A408" s="598">
        <v>31</v>
      </c>
      <c r="B408" s="598" t="str">
        <f t="shared" si="831"/>
        <v xml:space="preserve"> </v>
      </c>
      <c r="C408" s="598" t="str">
        <f t="shared" si="831"/>
        <v xml:space="preserve"> </v>
      </c>
      <c r="D408" s="598" t="str">
        <f t="shared" si="831"/>
        <v xml:space="preserve"> </v>
      </c>
      <c r="E408" s="598" t="str">
        <f t="shared" si="831"/>
        <v xml:space="preserve"> </v>
      </c>
      <c r="F408" s="598" t="str">
        <f t="shared" si="831"/>
        <v xml:space="preserve"> </v>
      </c>
      <c r="G408" s="598" t="str">
        <f t="shared" si="831"/>
        <v xml:space="preserve"> </v>
      </c>
      <c r="H408" s="598" t="str">
        <f t="shared" si="831"/>
        <v xml:space="preserve"> </v>
      </c>
      <c r="I408" s="598" t="str">
        <f t="shared" si="831"/>
        <v xml:space="preserve"> </v>
      </c>
      <c r="J408" s="598" t="str">
        <f t="shared" si="831"/>
        <v xml:space="preserve"> </v>
      </c>
      <c r="K408" s="598" t="str">
        <f t="shared" si="831"/>
        <v xml:space="preserve"> </v>
      </c>
      <c r="L408" s="598" t="str">
        <f t="shared" si="832"/>
        <v xml:space="preserve"> </v>
      </c>
      <c r="M408" s="598" t="str">
        <f t="shared" si="832"/>
        <v xml:space="preserve"> </v>
      </c>
      <c r="N408" s="598" t="str">
        <f t="shared" si="832"/>
        <v xml:space="preserve"> </v>
      </c>
      <c r="O408" s="598" t="str">
        <f t="shared" si="832"/>
        <v xml:space="preserve"> </v>
      </c>
      <c r="P408" s="598" t="str">
        <f t="shared" si="832"/>
        <v xml:space="preserve"> </v>
      </c>
      <c r="Q408" s="598" t="str">
        <f t="shared" si="832"/>
        <v xml:space="preserve"> </v>
      </c>
      <c r="R408" s="598" t="str">
        <f t="shared" si="832"/>
        <v xml:space="preserve"> </v>
      </c>
      <c r="S408" s="598" t="str">
        <f t="shared" si="832"/>
        <v xml:space="preserve"> </v>
      </c>
      <c r="T408" s="598" t="str">
        <f t="shared" si="832"/>
        <v xml:space="preserve"> </v>
      </c>
      <c r="U408" s="598" t="str">
        <f t="shared" si="832"/>
        <v xml:space="preserve"> </v>
      </c>
      <c r="V408" s="598" t="str">
        <f t="shared" si="833"/>
        <v xml:space="preserve"> </v>
      </c>
      <c r="W408" s="598" t="str">
        <f t="shared" si="833"/>
        <v xml:space="preserve"> </v>
      </c>
      <c r="X408" s="598" t="str">
        <f t="shared" si="833"/>
        <v xml:space="preserve"> </v>
      </c>
      <c r="Y408" s="598" t="str">
        <f t="shared" si="833"/>
        <v xml:space="preserve"> </v>
      </c>
      <c r="Z408" s="598" t="str">
        <f t="shared" si="833"/>
        <v xml:space="preserve"> </v>
      </c>
      <c r="AA408" s="598" t="str">
        <f t="shared" si="833"/>
        <v xml:space="preserve"> </v>
      </c>
      <c r="AB408" s="598" t="str">
        <f t="shared" si="833"/>
        <v xml:space="preserve"> </v>
      </c>
      <c r="AC408" s="598" t="str">
        <f t="shared" si="833"/>
        <v xml:space="preserve"> </v>
      </c>
      <c r="AD408" s="598" t="str">
        <f t="shared" si="833"/>
        <v xml:space="preserve"> </v>
      </c>
      <c r="AE408" s="598" t="str">
        <f t="shared" si="833"/>
        <v xml:space="preserve"> </v>
      </c>
      <c r="AF408" s="598" t="str">
        <f t="shared" si="834"/>
        <v xml:space="preserve"> </v>
      </c>
      <c r="AG408" s="598" t="str">
        <f t="shared" si="834"/>
        <v xml:space="preserve"> </v>
      </c>
      <c r="AH408" s="598" t="str">
        <f t="shared" si="834"/>
        <v xml:space="preserve"> </v>
      </c>
      <c r="AI408" s="598" t="str">
        <f t="shared" si="834"/>
        <v xml:space="preserve"> </v>
      </c>
      <c r="AJ408" s="598" t="str">
        <f t="shared" si="834"/>
        <v xml:space="preserve"> </v>
      </c>
      <c r="AK408" s="598" t="str">
        <f t="shared" si="834"/>
        <v xml:space="preserve"> </v>
      </c>
      <c r="AL408" s="598" t="str">
        <f t="shared" si="834"/>
        <v xml:space="preserve"> </v>
      </c>
      <c r="AM408" s="598" t="str">
        <f t="shared" si="834"/>
        <v xml:space="preserve"> </v>
      </c>
      <c r="AN408" s="598" t="str">
        <f t="shared" si="834"/>
        <v xml:space="preserve"> </v>
      </c>
      <c r="AO408" s="598" t="str">
        <f t="shared" si="834"/>
        <v xml:space="preserve"> </v>
      </c>
      <c r="AP408" s="598" t="str">
        <f t="shared" si="834"/>
        <v xml:space="preserve"> </v>
      </c>
      <c r="AQ408" s="598" t="str">
        <f t="shared" si="834"/>
        <v xml:space="preserve"> </v>
      </c>
      <c r="AR408" s="598" t="str">
        <f t="shared" si="834"/>
        <v xml:space="preserve"> </v>
      </c>
      <c r="AS408" s="598" t="str">
        <f t="shared" si="834"/>
        <v xml:space="preserve"> </v>
      </c>
      <c r="AT408" s="598" t="str">
        <f t="shared" si="834"/>
        <v xml:space="preserve"> </v>
      </c>
      <c r="AV408" s="598" t="str">
        <f t="shared" si="835"/>
        <v xml:space="preserve"> </v>
      </c>
      <c r="AW408" s="598" t="str">
        <f t="shared" si="835"/>
        <v xml:space="preserve"> </v>
      </c>
      <c r="AX408" s="598" t="str">
        <f t="shared" si="835"/>
        <v xml:space="preserve"> </v>
      </c>
      <c r="AY408" s="598" t="str">
        <f t="shared" si="835"/>
        <v xml:space="preserve"> </v>
      </c>
      <c r="AZ408" s="598" t="str">
        <f t="shared" si="835"/>
        <v xml:space="preserve"> </v>
      </c>
      <c r="BA408" s="598" t="str">
        <f t="shared" si="835"/>
        <v xml:space="preserve"> </v>
      </c>
      <c r="BB408" s="598" t="str">
        <f t="shared" si="835"/>
        <v xml:space="preserve"> </v>
      </c>
      <c r="BC408" s="598" t="str">
        <f t="shared" si="835"/>
        <v xml:space="preserve"> </v>
      </c>
      <c r="BD408" s="598" t="str">
        <f t="shared" si="835"/>
        <v xml:space="preserve"> </v>
      </c>
      <c r="BE408" s="598" t="str">
        <f t="shared" si="835"/>
        <v xml:space="preserve"> </v>
      </c>
      <c r="BF408" s="598" t="str">
        <f t="shared" si="836"/>
        <v xml:space="preserve"> </v>
      </c>
      <c r="BG408" s="598" t="str">
        <f t="shared" si="836"/>
        <v xml:space="preserve"> </v>
      </c>
      <c r="BH408" s="598" t="str">
        <f t="shared" si="836"/>
        <v xml:space="preserve"> </v>
      </c>
      <c r="BI408" s="598" t="str">
        <f t="shared" si="836"/>
        <v xml:space="preserve"> </v>
      </c>
      <c r="BJ408" s="598" t="str">
        <f t="shared" si="836"/>
        <v xml:space="preserve"> </v>
      </c>
      <c r="BK408" s="598" t="str">
        <f t="shared" si="836"/>
        <v xml:space="preserve"> </v>
      </c>
      <c r="BL408" s="598" t="str">
        <f t="shared" si="836"/>
        <v xml:space="preserve"> </v>
      </c>
      <c r="BM408" s="598" t="str">
        <f t="shared" si="836"/>
        <v xml:space="preserve"> </v>
      </c>
      <c r="BN408" s="598" t="str">
        <f t="shared" si="836"/>
        <v xml:space="preserve"> </v>
      </c>
      <c r="BO408" s="598" t="str">
        <f t="shared" si="836"/>
        <v xml:space="preserve"> </v>
      </c>
      <c r="BP408" s="598" t="str">
        <f t="shared" si="837"/>
        <v xml:space="preserve"> </v>
      </c>
      <c r="BQ408" s="598" t="str">
        <f t="shared" si="837"/>
        <v xml:space="preserve"> </v>
      </c>
      <c r="BR408" s="598" t="str">
        <f t="shared" si="837"/>
        <v xml:space="preserve"> </v>
      </c>
      <c r="BS408" s="598" t="str">
        <f t="shared" si="837"/>
        <v xml:space="preserve"> </v>
      </c>
      <c r="BT408" s="598" t="str">
        <f t="shared" si="837"/>
        <v xml:space="preserve"> </v>
      </c>
      <c r="BU408" s="598" t="str">
        <f t="shared" si="837"/>
        <v xml:space="preserve"> </v>
      </c>
      <c r="BV408" s="598" t="str">
        <f t="shared" si="837"/>
        <v xml:space="preserve"> </v>
      </c>
      <c r="BW408" s="598" t="str">
        <f t="shared" si="837"/>
        <v xml:space="preserve"> </v>
      </c>
      <c r="BX408" s="598" t="str">
        <f t="shared" si="837"/>
        <v xml:space="preserve"> </v>
      </c>
      <c r="BY408" s="598" t="str">
        <f t="shared" si="837"/>
        <v xml:space="preserve"> </v>
      </c>
      <c r="BZ408" s="598" t="str">
        <f t="shared" si="838"/>
        <v xml:space="preserve"> </v>
      </c>
      <c r="CA408" s="598" t="str">
        <f t="shared" si="838"/>
        <v xml:space="preserve"> </v>
      </c>
      <c r="CB408" s="598" t="str">
        <f t="shared" si="838"/>
        <v xml:space="preserve"> </v>
      </c>
      <c r="CC408" s="598" t="str">
        <f t="shared" si="838"/>
        <v xml:space="preserve"> </v>
      </c>
      <c r="CD408" s="598" t="str">
        <f t="shared" si="838"/>
        <v xml:space="preserve"> </v>
      </c>
      <c r="CE408" s="598" t="str">
        <f t="shared" si="838"/>
        <v xml:space="preserve"> </v>
      </c>
      <c r="CF408" s="598" t="str">
        <f t="shared" si="838"/>
        <v xml:space="preserve"> </v>
      </c>
      <c r="CG408" s="598" t="str">
        <f t="shared" si="838"/>
        <v xml:space="preserve"> </v>
      </c>
      <c r="CH408" s="598" t="str">
        <f t="shared" si="838"/>
        <v xml:space="preserve"> </v>
      </c>
      <c r="CI408" s="598" t="str">
        <f t="shared" si="838"/>
        <v xml:space="preserve"> </v>
      </c>
      <c r="CJ408" s="598" t="str">
        <f t="shared" si="838"/>
        <v xml:space="preserve"> </v>
      </c>
      <c r="CK408" s="598" t="str">
        <f t="shared" si="838"/>
        <v xml:space="preserve"> </v>
      </c>
      <c r="CL408" s="598" t="str">
        <f t="shared" si="838"/>
        <v xml:space="preserve"> </v>
      </c>
      <c r="CM408" s="598" t="str">
        <f t="shared" si="838"/>
        <v xml:space="preserve"> </v>
      </c>
      <c r="CN408" s="598" t="str">
        <f t="shared" si="838"/>
        <v xml:space="preserve"> </v>
      </c>
    </row>
    <row r="409" spans="1:92">
      <c r="A409" s="598">
        <v>32</v>
      </c>
      <c r="B409" s="598" t="str">
        <f t="shared" ref="B409:K418" si="839">HLOOKUP(B$376,$C$255:$S$372,$A409+1)</f>
        <v xml:space="preserve"> </v>
      </c>
      <c r="C409" s="598" t="str">
        <f t="shared" si="839"/>
        <v xml:space="preserve"> </v>
      </c>
      <c r="D409" s="598" t="str">
        <f t="shared" si="839"/>
        <v xml:space="preserve"> </v>
      </c>
      <c r="E409" s="598" t="str">
        <f t="shared" si="839"/>
        <v xml:space="preserve"> </v>
      </c>
      <c r="F409" s="598" t="str">
        <f t="shared" si="839"/>
        <v xml:space="preserve"> </v>
      </c>
      <c r="G409" s="598" t="str">
        <f t="shared" si="839"/>
        <v xml:space="preserve"> </v>
      </c>
      <c r="H409" s="598" t="str">
        <f t="shared" si="839"/>
        <v xml:space="preserve"> </v>
      </c>
      <c r="I409" s="598" t="str">
        <f t="shared" si="839"/>
        <v xml:space="preserve"> </v>
      </c>
      <c r="J409" s="598" t="str">
        <f t="shared" si="839"/>
        <v xml:space="preserve"> </v>
      </c>
      <c r="K409" s="598" t="str">
        <f t="shared" si="839"/>
        <v xml:space="preserve"> </v>
      </c>
      <c r="L409" s="598" t="str">
        <f t="shared" ref="L409:U418" si="840">HLOOKUP(L$376,$C$255:$S$372,$A409+1)</f>
        <v xml:space="preserve"> </v>
      </c>
      <c r="M409" s="598" t="str">
        <f t="shared" si="840"/>
        <v xml:space="preserve"> </v>
      </c>
      <c r="N409" s="598" t="str">
        <f t="shared" si="840"/>
        <v xml:space="preserve"> </v>
      </c>
      <c r="O409" s="598" t="str">
        <f t="shared" si="840"/>
        <v xml:space="preserve"> </v>
      </c>
      <c r="P409" s="598" t="str">
        <f t="shared" si="840"/>
        <v xml:space="preserve"> </v>
      </c>
      <c r="Q409" s="598" t="str">
        <f t="shared" si="840"/>
        <v xml:space="preserve"> </v>
      </c>
      <c r="R409" s="598" t="str">
        <f t="shared" si="840"/>
        <v xml:space="preserve"> </v>
      </c>
      <c r="S409" s="598" t="str">
        <f t="shared" si="840"/>
        <v xml:space="preserve"> </v>
      </c>
      <c r="T409" s="598" t="str">
        <f t="shared" si="840"/>
        <v xml:space="preserve"> </v>
      </c>
      <c r="U409" s="598" t="str">
        <f t="shared" si="840"/>
        <v xml:space="preserve"> </v>
      </c>
      <c r="V409" s="598" t="str">
        <f t="shared" ref="V409:AE418" si="841">HLOOKUP(V$376,$C$255:$S$372,$A409+1)</f>
        <v xml:space="preserve"> </v>
      </c>
      <c r="W409" s="598" t="str">
        <f t="shared" si="841"/>
        <v xml:space="preserve"> </v>
      </c>
      <c r="X409" s="598" t="str">
        <f t="shared" si="841"/>
        <v xml:space="preserve"> </v>
      </c>
      <c r="Y409" s="598" t="str">
        <f t="shared" si="841"/>
        <v xml:space="preserve"> </v>
      </c>
      <c r="Z409" s="598" t="str">
        <f t="shared" si="841"/>
        <v xml:space="preserve"> </v>
      </c>
      <c r="AA409" s="598" t="str">
        <f t="shared" si="841"/>
        <v xml:space="preserve"> </v>
      </c>
      <c r="AB409" s="598" t="str">
        <f t="shared" si="841"/>
        <v xml:space="preserve"> </v>
      </c>
      <c r="AC409" s="598" t="str">
        <f t="shared" si="841"/>
        <v xml:space="preserve"> </v>
      </c>
      <c r="AD409" s="598" t="str">
        <f t="shared" si="841"/>
        <v xml:space="preserve"> </v>
      </c>
      <c r="AE409" s="598" t="str">
        <f t="shared" si="841"/>
        <v xml:space="preserve"> </v>
      </c>
      <c r="AF409" s="598" t="str">
        <f t="shared" ref="AF409:AT418" si="842">HLOOKUP(AF$376,$C$255:$S$372,$A409+1)</f>
        <v xml:space="preserve"> </v>
      </c>
      <c r="AG409" s="598" t="str">
        <f t="shared" si="842"/>
        <v xml:space="preserve"> </v>
      </c>
      <c r="AH409" s="598" t="str">
        <f t="shared" si="842"/>
        <v xml:space="preserve"> </v>
      </c>
      <c r="AI409" s="598" t="str">
        <f t="shared" si="842"/>
        <v xml:space="preserve"> </v>
      </c>
      <c r="AJ409" s="598" t="str">
        <f t="shared" si="842"/>
        <v xml:space="preserve"> </v>
      </c>
      <c r="AK409" s="598" t="str">
        <f t="shared" si="842"/>
        <v xml:space="preserve"> </v>
      </c>
      <c r="AL409" s="598" t="str">
        <f t="shared" si="842"/>
        <v xml:space="preserve"> </v>
      </c>
      <c r="AM409" s="598" t="str">
        <f t="shared" si="842"/>
        <v xml:space="preserve"> </v>
      </c>
      <c r="AN409" s="598" t="str">
        <f t="shared" si="842"/>
        <v xml:space="preserve"> </v>
      </c>
      <c r="AO409" s="598" t="str">
        <f t="shared" si="842"/>
        <v xml:space="preserve"> </v>
      </c>
      <c r="AP409" s="598" t="str">
        <f t="shared" si="842"/>
        <v xml:space="preserve"> </v>
      </c>
      <c r="AQ409" s="598" t="str">
        <f t="shared" si="842"/>
        <v xml:space="preserve"> </v>
      </c>
      <c r="AR409" s="598" t="str">
        <f t="shared" si="842"/>
        <v xml:space="preserve"> </v>
      </c>
      <c r="AS409" s="598" t="str">
        <f t="shared" si="842"/>
        <v xml:space="preserve"> </v>
      </c>
      <c r="AT409" s="598" t="str">
        <f t="shared" si="842"/>
        <v xml:space="preserve"> </v>
      </c>
      <c r="AV409" s="598" t="str">
        <f t="shared" ref="AV409:BE418" si="843">HLOOKUP(AV$376,$C$255:$S$372,$A409+1)</f>
        <v xml:space="preserve"> </v>
      </c>
      <c r="AW409" s="598" t="str">
        <f t="shared" si="843"/>
        <v xml:space="preserve"> </v>
      </c>
      <c r="AX409" s="598" t="str">
        <f t="shared" si="843"/>
        <v xml:space="preserve"> </v>
      </c>
      <c r="AY409" s="598" t="str">
        <f t="shared" si="843"/>
        <v xml:space="preserve"> </v>
      </c>
      <c r="AZ409" s="598" t="str">
        <f t="shared" si="843"/>
        <v xml:space="preserve"> </v>
      </c>
      <c r="BA409" s="598" t="str">
        <f t="shared" si="843"/>
        <v xml:space="preserve"> </v>
      </c>
      <c r="BB409" s="598" t="str">
        <f t="shared" si="843"/>
        <v xml:space="preserve"> </v>
      </c>
      <c r="BC409" s="598" t="str">
        <f t="shared" si="843"/>
        <v xml:space="preserve"> </v>
      </c>
      <c r="BD409" s="598" t="str">
        <f t="shared" si="843"/>
        <v xml:space="preserve"> </v>
      </c>
      <c r="BE409" s="598" t="str">
        <f t="shared" si="843"/>
        <v xml:space="preserve"> </v>
      </c>
      <c r="BF409" s="598" t="str">
        <f t="shared" ref="BF409:BO418" si="844">HLOOKUP(BF$376,$C$255:$S$372,$A409+1)</f>
        <v xml:space="preserve"> </v>
      </c>
      <c r="BG409" s="598" t="str">
        <f t="shared" si="844"/>
        <v xml:space="preserve"> </v>
      </c>
      <c r="BH409" s="598" t="str">
        <f t="shared" si="844"/>
        <v xml:space="preserve"> </v>
      </c>
      <c r="BI409" s="598" t="str">
        <f t="shared" si="844"/>
        <v xml:space="preserve"> </v>
      </c>
      <c r="BJ409" s="598" t="str">
        <f t="shared" si="844"/>
        <v xml:space="preserve"> </v>
      </c>
      <c r="BK409" s="598" t="str">
        <f t="shared" si="844"/>
        <v xml:space="preserve"> </v>
      </c>
      <c r="BL409" s="598" t="str">
        <f t="shared" si="844"/>
        <v xml:space="preserve"> </v>
      </c>
      <c r="BM409" s="598" t="str">
        <f t="shared" si="844"/>
        <v xml:space="preserve"> </v>
      </c>
      <c r="BN409" s="598" t="str">
        <f t="shared" si="844"/>
        <v xml:space="preserve"> </v>
      </c>
      <c r="BO409" s="598" t="str">
        <f t="shared" si="844"/>
        <v xml:space="preserve"> </v>
      </c>
      <c r="BP409" s="598" t="str">
        <f t="shared" ref="BP409:BY418" si="845">HLOOKUP(BP$376,$C$255:$S$372,$A409+1)</f>
        <v xml:space="preserve"> </v>
      </c>
      <c r="BQ409" s="598" t="str">
        <f t="shared" si="845"/>
        <v xml:space="preserve"> </v>
      </c>
      <c r="BR409" s="598" t="str">
        <f t="shared" si="845"/>
        <v xml:space="preserve"> </v>
      </c>
      <c r="BS409" s="598" t="str">
        <f t="shared" si="845"/>
        <v xml:space="preserve"> </v>
      </c>
      <c r="BT409" s="598" t="str">
        <f t="shared" si="845"/>
        <v xml:space="preserve"> </v>
      </c>
      <c r="BU409" s="598" t="str">
        <f t="shared" si="845"/>
        <v xml:space="preserve"> </v>
      </c>
      <c r="BV409" s="598" t="str">
        <f t="shared" si="845"/>
        <v xml:space="preserve"> </v>
      </c>
      <c r="BW409" s="598" t="str">
        <f t="shared" si="845"/>
        <v xml:space="preserve"> </v>
      </c>
      <c r="BX409" s="598" t="str">
        <f t="shared" si="845"/>
        <v xml:space="preserve"> </v>
      </c>
      <c r="BY409" s="598" t="str">
        <f t="shared" si="845"/>
        <v xml:space="preserve"> </v>
      </c>
      <c r="BZ409" s="598" t="str">
        <f t="shared" ref="BZ409:CN418" si="846">HLOOKUP(BZ$376,$C$255:$S$372,$A409+1)</f>
        <v xml:space="preserve"> </v>
      </c>
      <c r="CA409" s="598" t="str">
        <f t="shared" si="846"/>
        <v xml:space="preserve"> </v>
      </c>
      <c r="CB409" s="598" t="str">
        <f t="shared" si="846"/>
        <v xml:space="preserve"> </v>
      </c>
      <c r="CC409" s="598" t="str">
        <f t="shared" si="846"/>
        <v xml:space="preserve"> </v>
      </c>
      <c r="CD409" s="598" t="str">
        <f t="shared" si="846"/>
        <v xml:space="preserve"> </v>
      </c>
      <c r="CE409" s="598" t="str">
        <f t="shared" si="846"/>
        <v xml:space="preserve"> </v>
      </c>
      <c r="CF409" s="598" t="str">
        <f t="shared" si="846"/>
        <v xml:space="preserve"> </v>
      </c>
      <c r="CG409" s="598" t="str">
        <f t="shared" si="846"/>
        <v xml:space="preserve"> </v>
      </c>
      <c r="CH409" s="598" t="str">
        <f t="shared" si="846"/>
        <v xml:space="preserve"> </v>
      </c>
      <c r="CI409" s="598" t="str">
        <f t="shared" si="846"/>
        <v xml:space="preserve"> </v>
      </c>
      <c r="CJ409" s="598" t="str">
        <f t="shared" si="846"/>
        <v xml:space="preserve"> </v>
      </c>
      <c r="CK409" s="598" t="str">
        <f t="shared" si="846"/>
        <v xml:space="preserve"> </v>
      </c>
      <c r="CL409" s="598" t="str">
        <f t="shared" si="846"/>
        <v xml:space="preserve"> </v>
      </c>
      <c r="CM409" s="598" t="str">
        <f t="shared" si="846"/>
        <v xml:space="preserve"> </v>
      </c>
      <c r="CN409" s="598" t="str">
        <f t="shared" si="846"/>
        <v xml:space="preserve"> </v>
      </c>
    </row>
    <row r="410" spans="1:92">
      <c r="A410" s="598">
        <v>33</v>
      </c>
      <c r="B410" s="598" t="str">
        <f t="shared" si="839"/>
        <v xml:space="preserve"> </v>
      </c>
      <c r="C410" s="598" t="str">
        <f t="shared" si="839"/>
        <v xml:space="preserve"> </v>
      </c>
      <c r="D410" s="598" t="str">
        <f t="shared" si="839"/>
        <v xml:space="preserve"> </v>
      </c>
      <c r="E410" s="598" t="str">
        <f t="shared" si="839"/>
        <v xml:space="preserve"> </v>
      </c>
      <c r="F410" s="598" t="str">
        <f t="shared" si="839"/>
        <v xml:space="preserve"> </v>
      </c>
      <c r="G410" s="598" t="str">
        <f t="shared" si="839"/>
        <v xml:space="preserve"> </v>
      </c>
      <c r="H410" s="598" t="str">
        <f t="shared" si="839"/>
        <v xml:space="preserve"> </v>
      </c>
      <c r="I410" s="598" t="str">
        <f t="shared" si="839"/>
        <v xml:space="preserve"> </v>
      </c>
      <c r="J410" s="598" t="str">
        <f t="shared" si="839"/>
        <v xml:space="preserve"> </v>
      </c>
      <c r="K410" s="598" t="str">
        <f t="shared" si="839"/>
        <v xml:space="preserve"> </v>
      </c>
      <c r="L410" s="598" t="str">
        <f t="shared" si="840"/>
        <v xml:space="preserve"> </v>
      </c>
      <c r="M410" s="598" t="str">
        <f t="shared" si="840"/>
        <v xml:space="preserve"> </v>
      </c>
      <c r="N410" s="598" t="str">
        <f t="shared" si="840"/>
        <v xml:space="preserve"> </v>
      </c>
      <c r="O410" s="598" t="str">
        <f t="shared" si="840"/>
        <v xml:space="preserve"> </v>
      </c>
      <c r="P410" s="598" t="str">
        <f t="shared" si="840"/>
        <v xml:space="preserve"> </v>
      </c>
      <c r="Q410" s="598" t="str">
        <f t="shared" si="840"/>
        <v xml:space="preserve"> </v>
      </c>
      <c r="R410" s="598" t="str">
        <f t="shared" si="840"/>
        <v xml:space="preserve"> </v>
      </c>
      <c r="S410" s="598" t="str">
        <f t="shared" si="840"/>
        <v xml:space="preserve"> </v>
      </c>
      <c r="T410" s="598" t="str">
        <f t="shared" si="840"/>
        <v xml:space="preserve"> </v>
      </c>
      <c r="U410" s="598" t="str">
        <f t="shared" si="840"/>
        <v xml:space="preserve"> </v>
      </c>
      <c r="V410" s="598" t="str">
        <f t="shared" si="841"/>
        <v xml:space="preserve"> </v>
      </c>
      <c r="W410" s="598" t="str">
        <f t="shared" si="841"/>
        <v xml:space="preserve"> </v>
      </c>
      <c r="X410" s="598" t="str">
        <f t="shared" si="841"/>
        <v xml:space="preserve"> </v>
      </c>
      <c r="Y410" s="598" t="str">
        <f t="shared" si="841"/>
        <v xml:space="preserve"> </v>
      </c>
      <c r="Z410" s="598" t="str">
        <f t="shared" si="841"/>
        <v xml:space="preserve"> </v>
      </c>
      <c r="AA410" s="598" t="str">
        <f t="shared" si="841"/>
        <v xml:space="preserve"> </v>
      </c>
      <c r="AB410" s="598" t="str">
        <f t="shared" si="841"/>
        <v xml:space="preserve"> </v>
      </c>
      <c r="AC410" s="598" t="str">
        <f t="shared" si="841"/>
        <v xml:space="preserve"> </v>
      </c>
      <c r="AD410" s="598" t="str">
        <f t="shared" si="841"/>
        <v xml:space="preserve"> </v>
      </c>
      <c r="AE410" s="598" t="str">
        <f t="shared" si="841"/>
        <v xml:space="preserve"> </v>
      </c>
      <c r="AF410" s="598" t="str">
        <f t="shared" si="842"/>
        <v xml:space="preserve"> </v>
      </c>
      <c r="AG410" s="598" t="str">
        <f t="shared" si="842"/>
        <v xml:space="preserve"> </v>
      </c>
      <c r="AH410" s="598" t="str">
        <f t="shared" si="842"/>
        <v xml:space="preserve"> </v>
      </c>
      <c r="AI410" s="598" t="str">
        <f t="shared" si="842"/>
        <v xml:space="preserve"> </v>
      </c>
      <c r="AJ410" s="598" t="str">
        <f t="shared" si="842"/>
        <v xml:space="preserve"> </v>
      </c>
      <c r="AK410" s="598" t="str">
        <f t="shared" si="842"/>
        <v xml:space="preserve"> </v>
      </c>
      <c r="AL410" s="598" t="str">
        <f t="shared" si="842"/>
        <v xml:space="preserve"> </v>
      </c>
      <c r="AM410" s="598" t="str">
        <f t="shared" si="842"/>
        <v xml:space="preserve"> </v>
      </c>
      <c r="AN410" s="598" t="str">
        <f t="shared" si="842"/>
        <v xml:space="preserve"> </v>
      </c>
      <c r="AO410" s="598" t="str">
        <f t="shared" si="842"/>
        <v xml:space="preserve"> </v>
      </c>
      <c r="AP410" s="598" t="str">
        <f t="shared" si="842"/>
        <v xml:space="preserve"> </v>
      </c>
      <c r="AQ410" s="598" t="str">
        <f t="shared" si="842"/>
        <v xml:space="preserve"> </v>
      </c>
      <c r="AR410" s="598" t="str">
        <f t="shared" si="842"/>
        <v xml:space="preserve"> </v>
      </c>
      <c r="AS410" s="598" t="str">
        <f t="shared" si="842"/>
        <v xml:space="preserve"> </v>
      </c>
      <c r="AT410" s="598" t="str">
        <f t="shared" si="842"/>
        <v xml:space="preserve"> </v>
      </c>
      <c r="AV410" s="598" t="str">
        <f t="shared" si="843"/>
        <v xml:space="preserve"> </v>
      </c>
      <c r="AW410" s="598" t="str">
        <f t="shared" si="843"/>
        <v xml:space="preserve"> </v>
      </c>
      <c r="AX410" s="598" t="str">
        <f t="shared" si="843"/>
        <v xml:space="preserve"> </v>
      </c>
      <c r="AY410" s="598" t="str">
        <f t="shared" si="843"/>
        <v xml:space="preserve"> </v>
      </c>
      <c r="AZ410" s="598" t="str">
        <f t="shared" si="843"/>
        <v xml:space="preserve"> </v>
      </c>
      <c r="BA410" s="598" t="str">
        <f t="shared" si="843"/>
        <v xml:space="preserve"> </v>
      </c>
      <c r="BB410" s="598" t="str">
        <f t="shared" si="843"/>
        <v xml:space="preserve"> </v>
      </c>
      <c r="BC410" s="598" t="str">
        <f t="shared" si="843"/>
        <v xml:space="preserve"> </v>
      </c>
      <c r="BD410" s="598" t="str">
        <f t="shared" si="843"/>
        <v xml:space="preserve"> </v>
      </c>
      <c r="BE410" s="598" t="str">
        <f t="shared" si="843"/>
        <v xml:space="preserve"> </v>
      </c>
      <c r="BF410" s="598" t="str">
        <f t="shared" si="844"/>
        <v xml:space="preserve"> </v>
      </c>
      <c r="BG410" s="598" t="str">
        <f t="shared" si="844"/>
        <v xml:space="preserve"> </v>
      </c>
      <c r="BH410" s="598" t="str">
        <f t="shared" si="844"/>
        <v xml:space="preserve"> </v>
      </c>
      <c r="BI410" s="598" t="str">
        <f t="shared" si="844"/>
        <v xml:space="preserve"> </v>
      </c>
      <c r="BJ410" s="598" t="str">
        <f t="shared" si="844"/>
        <v xml:space="preserve"> </v>
      </c>
      <c r="BK410" s="598" t="str">
        <f t="shared" si="844"/>
        <v xml:space="preserve"> </v>
      </c>
      <c r="BL410" s="598" t="str">
        <f t="shared" si="844"/>
        <v xml:space="preserve"> </v>
      </c>
      <c r="BM410" s="598" t="str">
        <f t="shared" si="844"/>
        <v xml:space="preserve"> </v>
      </c>
      <c r="BN410" s="598" t="str">
        <f t="shared" si="844"/>
        <v xml:space="preserve"> </v>
      </c>
      <c r="BO410" s="598" t="str">
        <f t="shared" si="844"/>
        <v xml:space="preserve"> </v>
      </c>
      <c r="BP410" s="598" t="str">
        <f t="shared" si="845"/>
        <v xml:space="preserve"> </v>
      </c>
      <c r="BQ410" s="598" t="str">
        <f t="shared" si="845"/>
        <v xml:space="preserve"> </v>
      </c>
      <c r="BR410" s="598" t="str">
        <f t="shared" si="845"/>
        <v xml:space="preserve"> </v>
      </c>
      <c r="BS410" s="598" t="str">
        <f t="shared" si="845"/>
        <v xml:space="preserve"> </v>
      </c>
      <c r="BT410" s="598" t="str">
        <f t="shared" si="845"/>
        <v xml:space="preserve"> </v>
      </c>
      <c r="BU410" s="598" t="str">
        <f t="shared" si="845"/>
        <v xml:space="preserve"> </v>
      </c>
      <c r="BV410" s="598" t="str">
        <f t="shared" si="845"/>
        <v xml:space="preserve"> </v>
      </c>
      <c r="BW410" s="598" t="str">
        <f t="shared" si="845"/>
        <v xml:space="preserve"> </v>
      </c>
      <c r="BX410" s="598" t="str">
        <f t="shared" si="845"/>
        <v xml:space="preserve"> </v>
      </c>
      <c r="BY410" s="598" t="str">
        <f t="shared" si="845"/>
        <v xml:space="preserve"> </v>
      </c>
      <c r="BZ410" s="598" t="str">
        <f t="shared" si="846"/>
        <v xml:space="preserve"> </v>
      </c>
      <c r="CA410" s="598" t="str">
        <f t="shared" si="846"/>
        <v xml:space="preserve"> </v>
      </c>
      <c r="CB410" s="598" t="str">
        <f t="shared" si="846"/>
        <v xml:space="preserve"> </v>
      </c>
      <c r="CC410" s="598" t="str">
        <f t="shared" si="846"/>
        <v xml:space="preserve"> </v>
      </c>
      <c r="CD410" s="598" t="str">
        <f t="shared" si="846"/>
        <v xml:space="preserve"> </v>
      </c>
      <c r="CE410" s="598" t="str">
        <f t="shared" si="846"/>
        <v xml:space="preserve"> </v>
      </c>
      <c r="CF410" s="598" t="str">
        <f t="shared" si="846"/>
        <v xml:space="preserve"> </v>
      </c>
      <c r="CG410" s="598" t="str">
        <f t="shared" si="846"/>
        <v xml:space="preserve"> </v>
      </c>
      <c r="CH410" s="598" t="str">
        <f t="shared" si="846"/>
        <v xml:space="preserve"> </v>
      </c>
      <c r="CI410" s="598" t="str">
        <f t="shared" si="846"/>
        <v xml:space="preserve"> </v>
      </c>
      <c r="CJ410" s="598" t="str">
        <f t="shared" si="846"/>
        <v xml:space="preserve"> </v>
      </c>
      <c r="CK410" s="598" t="str">
        <f t="shared" si="846"/>
        <v xml:space="preserve"> </v>
      </c>
      <c r="CL410" s="598" t="str">
        <f t="shared" si="846"/>
        <v xml:space="preserve"> </v>
      </c>
      <c r="CM410" s="598" t="str">
        <f t="shared" si="846"/>
        <v xml:space="preserve"> </v>
      </c>
      <c r="CN410" s="598" t="str">
        <f t="shared" si="846"/>
        <v xml:space="preserve"> </v>
      </c>
    </row>
    <row r="411" spans="1:92">
      <c r="A411" s="598">
        <v>34</v>
      </c>
      <c r="B411" s="598" t="str">
        <f t="shared" si="839"/>
        <v xml:space="preserve"> </v>
      </c>
      <c r="C411" s="598" t="str">
        <f t="shared" si="839"/>
        <v xml:space="preserve"> </v>
      </c>
      <c r="D411" s="598" t="str">
        <f t="shared" si="839"/>
        <v xml:space="preserve"> </v>
      </c>
      <c r="E411" s="598" t="str">
        <f t="shared" si="839"/>
        <v xml:space="preserve"> </v>
      </c>
      <c r="F411" s="598" t="str">
        <f t="shared" si="839"/>
        <v xml:space="preserve"> </v>
      </c>
      <c r="G411" s="598" t="str">
        <f t="shared" si="839"/>
        <v xml:space="preserve"> </v>
      </c>
      <c r="H411" s="598" t="str">
        <f t="shared" si="839"/>
        <v xml:space="preserve"> </v>
      </c>
      <c r="I411" s="598" t="str">
        <f t="shared" si="839"/>
        <v xml:space="preserve"> </v>
      </c>
      <c r="J411" s="598" t="str">
        <f t="shared" si="839"/>
        <v xml:space="preserve"> </v>
      </c>
      <c r="K411" s="598" t="str">
        <f t="shared" si="839"/>
        <v xml:space="preserve"> </v>
      </c>
      <c r="L411" s="598" t="str">
        <f t="shared" si="840"/>
        <v xml:space="preserve"> </v>
      </c>
      <c r="M411" s="598" t="str">
        <f t="shared" si="840"/>
        <v xml:space="preserve"> </v>
      </c>
      <c r="N411" s="598" t="str">
        <f t="shared" si="840"/>
        <v xml:space="preserve"> </v>
      </c>
      <c r="O411" s="598" t="str">
        <f t="shared" si="840"/>
        <v xml:space="preserve"> </v>
      </c>
      <c r="P411" s="598" t="str">
        <f t="shared" si="840"/>
        <v xml:space="preserve"> </v>
      </c>
      <c r="Q411" s="598" t="str">
        <f t="shared" si="840"/>
        <v xml:space="preserve"> </v>
      </c>
      <c r="R411" s="598" t="str">
        <f t="shared" si="840"/>
        <v xml:space="preserve"> </v>
      </c>
      <c r="S411" s="598" t="str">
        <f t="shared" si="840"/>
        <v xml:space="preserve"> </v>
      </c>
      <c r="T411" s="598" t="str">
        <f t="shared" si="840"/>
        <v xml:space="preserve"> </v>
      </c>
      <c r="U411" s="598" t="str">
        <f t="shared" si="840"/>
        <v xml:space="preserve"> </v>
      </c>
      <c r="V411" s="598" t="str">
        <f t="shared" si="841"/>
        <v xml:space="preserve"> </v>
      </c>
      <c r="W411" s="598" t="str">
        <f t="shared" si="841"/>
        <v xml:space="preserve"> </v>
      </c>
      <c r="X411" s="598" t="str">
        <f t="shared" si="841"/>
        <v xml:space="preserve"> </v>
      </c>
      <c r="Y411" s="598" t="str">
        <f t="shared" si="841"/>
        <v xml:space="preserve"> </v>
      </c>
      <c r="Z411" s="598" t="str">
        <f t="shared" si="841"/>
        <v xml:space="preserve"> </v>
      </c>
      <c r="AA411" s="598" t="str">
        <f t="shared" si="841"/>
        <v xml:space="preserve"> </v>
      </c>
      <c r="AB411" s="598" t="str">
        <f t="shared" si="841"/>
        <v xml:space="preserve"> </v>
      </c>
      <c r="AC411" s="598" t="str">
        <f t="shared" si="841"/>
        <v xml:space="preserve"> </v>
      </c>
      <c r="AD411" s="598" t="str">
        <f t="shared" si="841"/>
        <v xml:space="preserve"> </v>
      </c>
      <c r="AE411" s="598" t="str">
        <f t="shared" si="841"/>
        <v xml:space="preserve"> </v>
      </c>
      <c r="AF411" s="598" t="str">
        <f t="shared" si="842"/>
        <v xml:space="preserve"> </v>
      </c>
      <c r="AG411" s="598" t="str">
        <f t="shared" si="842"/>
        <v xml:space="preserve"> </v>
      </c>
      <c r="AH411" s="598" t="str">
        <f t="shared" si="842"/>
        <v xml:space="preserve"> </v>
      </c>
      <c r="AI411" s="598" t="str">
        <f t="shared" si="842"/>
        <v xml:space="preserve"> </v>
      </c>
      <c r="AJ411" s="598" t="str">
        <f t="shared" si="842"/>
        <v xml:space="preserve"> </v>
      </c>
      <c r="AK411" s="598" t="str">
        <f t="shared" si="842"/>
        <v xml:space="preserve"> </v>
      </c>
      <c r="AL411" s="598" t="str">
        <f t="shared" si="842"/>
        <v xml:space="preserve"> </v>
      </c>
      <c r="AM411" s="598" t="str">
        <f t="shared" si="842"/>
        <v xml:space="preserve"> </v>
      </c>
      <c r="AN411" s="598" t="str">
        <f t="shared" si="842"/>
        <v xml:space="preserve"> </v>
      </c>
      <c r="AO411" s="598" t="str">
        <f t="shared" si="842"/>
        <v xml:space="preserve"> </v>
      </c>
      <c r="AP411" s="598" t="str">
        <f t="shared" si="842"/>
        <v xml:space="preserve"> </v>
      </c>
      <c r="AQ411" s="598" t="str">
        <f t="shared" si="842"/>
        <v xml:space="preserve"> </v>
      </c>
      <c r="AR411" s="598" t="str">
        <f t="shared" si="842"/>
        <v xml:space="preserve"> </v>
      </c>
      <c r="AS411" s="598" t="str">
        <f t="shared" si="842"/>
        <v xml:space="preserve"> </v>
      </c>
      <c r="AT411" s="598" t="str">
        <f t="shared" si="842"/>
        <v xml:space="preserve"> </v>
      </c>
      <c r="AV411" s="598" t="str">
        <f t="shared" si="843"/>
        <v xml:space="preserve"> </v>
      </c>
      <c r="AW411" s="598" t="str">
        <f t="shared" si="843"/>
        <v xml:space="preserve"> </v>
      </c>
      <c r="AX411" s="598" t="str">
        <f t="shared" si="843"/>
        <v xml:space="preserve"> </v>
      </c>
      <c r="AY411" s="598" t="str">
        <f t="shared" si="843"/>
        <v xml:space="preserve"> </v>
      </c>
      <c r="AZ411" s="598" t="str">
        <f t="shared" si="843"/>
        <v xml:space="preserve"> </v>
      </c>
      <c r="BA411" s="598" t="str">
        <f t="shared" si="843"/>
        <v xml:space="preserve"> </v>
      </c>
      <c r="BB411" s="598" t="str">
        <f t="shared" si="843"/>
        <v xml:space="preserve"> </v>
      </c>
      <c r="BC411" s="598" t="str">
        <f t="shared" si="843"/>
        <v xml:space="preserve"> </v>
      </c>
      <c r="BD411" s="598" t="str">
        <f t="shared" si="843"/>
        <v xml:space="preserve"> </v>
      </c>
      <c r="BE411" s="598" t="str">
        <f t="shared" si="843"/>
        <v xml:space="preserve"> </v>
      </c>
      <c r="BF411" s="598" t="str">
        <f t="shared" si="844"/>
        <v xml:space="preserve"> </v>
      </c>
      <c r="BG411" s="598" t="str">
        <f t="shared" si="844"/>
        <v xml:space="preserve"> </v>
      </c>
      <c r="BH411" s="598" t="str">
        <f t="shared" si="844"/>
        <v xml:space="preserve"> </v>
      </c>
      <c r="BI411" s="598" t="str">
        <f t="shared" si="844"/>
        <v xml:space="preserve"> </v>
      </c>
      <c r="BJ411" s="598" t="str">
        <f t="shared" si="844"/>
        <v xml:space="preserve"> </v>
      </c>
      <c r="BK411" s="598" t="str">
        <f t="shared" si="844"/>
        <v xml:space="preserve"> </v>
      </c>
      <c r="BL411" s="598" t="str">
        <f t="shared" si="844"/>
        <v xml:space="preserve"> </v>
      </c>
      <c r="BM411" s="598" t="str">
        <f t="shared" si="844"/>
        <v xml:space="preserve"> </v>
      </c>
      <c r="BN411" s="598" t="str">
        <f t="shared" si="844"/>
        <v xml:space="preserve"> </v>
      </c>
      <c r="BO411" s="598" t="str">
        <f t="shared" si="844"/>
        <v xml:space="preserve"> </v>
      </c>
      <c r="BP411" s="598" t="str">
        <f t="shared" si="845"/>
        <v xml:space="preserve"> </v>
      </c>
      <c r="BQ411" s="598" t="str">
        <f t="shared" si="845"/>
        <v xml:space="preserve"> </v>
      </c>
      <c r="BR411" s="598" t="str">
        <f t="shared" si="845"/>
        <v xml:space="preserve"> </v>
      </c>
      <c r="BS411" s="598" t="str">
        <f t="shared" si="845"/>
        <v xml:space="preserve"> </v>
      </c>
      <c r="BT411" s="598" t="str">
        <f t="shared" si="845"/>
        <v xml:space="preserve"> </v>
      </c>
      <c r="BU411" s="598" t="str">
        <f t="shared" si="845"/>
        <v xml:space="preserve"> </v>
      </c>
      <c r="BV411" s="598" t="str">
        <f t="shared" si="845"/>
        <v xml:space="preserve"> </v>
      </c>
      <c r="BW411" s="598" t="str">
        <f t="shared" si="845"/>
        <v xml:space="preserve"> </v>
      </c>
      <c r="BX411" s="598" t="str">
        <f t="shared" si="845"/>
        <v xml:space="preserve"> </v>
      </c>
      <c r="BY411" s="598" t="str">
        <f t="shared" si="845"/>
        <v xml:space="preserve"> </v>
      </c>
      <c r="BZ411" s="598" t="str">
        <f t="shared" si="846"/>
        <v xml:space="preserve"> </v>
      </c>
      <c r="CA411" s="598" t="str">
        <f t="shared" si="846"/>
        <v xml:space="preserve"> </v>
      </c>
      <c r="CB411" s="598" t="str">
        <f t="shared" si="846"/>
        <v xml:space="preserve"> </v>
      </c>
      <c r="CC411" s="598" t="str">
        <f t="shared" si="846"/>
        <v xml:space="preserve"> </v>
      </c>
      <c r="CD411" s="598" t="str">
        <f t="shared" si="846"/>
        <v xml:space="preserve"> </v>
      </c>
      <c r="CE411" s="598" t="str">
        <f t="shared" si="846"/>
        <v xml:space="preserve"> </v>
      </c>
      <c r="CF411" s="598" t="str">
        <f t="shared" si="846"/>
        <v xml:space="preserve"> </v>
      </c>
      <c r="CG411" s="598" t="str">
        <f t="shared" si="846"/>
        <v xml:space="preserve"> </v>
      </c>
      <c r="CH411" s="598" t="str">
        <f t="shared" si="846"/>
        <v xml:space="preserve"> </v>
      </c>
      <c r="CI411" s="598" t="str">
        <f t="shared" si="846"/>
        <v xml:space="preserve"> </v>
      </c>
      <c r="CJ411" s="598" t="str">
        <f t="shared" si="846"/>
        <v xml:space="preserve"> </v>
      </c>
      <c r="CK411" s="598" t="str">
        <f t="shared" si="846"/>
        <v xml:space="preserve"> </v>
      </c>
      <c r="CL411" s="598" t="str">
        <f t="shared" si="846"/>
        <v xml:space="preserve"> </v>
      </c>
      <c r="CM411" s="598" t="str">
        <f t="shared" si="846"/>
        <v xml:space="preserve"> </v>
      </c>
      <c r="CN411" s="598" t="str">
        <f t="shared" si="846"/>
        <v xml:space="preserve"> </v>
      </c>
    </row>
    <row r="412" spans="1:92">
      <c r="A412" s="598">
        <v>35</v>
      </c>
      <c r="B412" s="598" t="str">
        <f t="shared" si="839"/>
        <v xml:space="preserve"> </v>
      </c>
      <c r="C412" s="598" t="str">
        <f t="shared" si="839"/>
        <v xml:space="preserve"> </v>
      </c>
      <c r="D412" s="598" t="str">
        <f t="shared" si="839"/>
        <v xml:space="preserve"> </v>
      </c>
      <c r="E412" s="598" t="str">
        <f t="shared" si="839"/>
        <v xml:space="preserve"> </v>
      </c>
      <c r="F412" s="598" t="str">
        <f t="shared" si="839"/>
        <v xml:space="preserve"> </v>
      </c>
      <c r="G412" s="598" t="str">
        <f t="shared" si="839"/>
        <v xml:space="preserve"> </v>
      </c>
      <c r="H412" s="598" t="str">
        <f t="shared" si="839"/>
        <v xml:space="preserve"> </v>
      </c>
      <c r="I412" s="598" t="str">
        <f t="shared" si="839"/>
        <v xml:space="preserve"> </v>
      </c>
      <c r="J412" s="598" t="str">
        <f t="shared" si="839"/>
        <v xml:space="preserve"> </v>
      </c>
      <c r="K412" s="598" t="str">
        <f t="shared" si="839"/>
        <v xml:space="preserve"> </v>
      </c>
      <c r="L412" s="598" t="str">
        <f t="shared" si="840"/>
        <v xml:space="preserve"> </v>
      </c>
      <c r="M412" s="598" t="str">
        <f t="shared" si="840"/>
        <v xml:space="preserve"> </v>
      </c>
      <c r="N412" s="598" t="str">
        <f t="shared" si="840"/>
        <v xml:space="preserve"> </v>
      </c>
      <c r="O412" s="598" t="str">
        <f t="shared" si="840"/>
        <v xml:space="preserve"> </v>
      </c>
      <c r="P412" s="598" t="str">
        <f t="shared" si="840"/>
        <v xml:space="preserve"> </v>
      </c>
      <c r="Q412" s="598" t="str">
        <f t="shared" si="840"/>
        <v xml:space="preserve"> </v>
      </c>
      <c r="R412" s="598" t="str">
        <f t="shared" si="840"/>
        <v xml:space="preserve"> </v>
      </c>
      <c r="S412" s="598" t="str">
        <f t="shared" si="840"/>
        <v xml:space="preserve"> </v>
      </c>
      <c r="T412" s="598" t="str">
        <f t="shared" si="840"/>
        <v xml:space="preserve"> </v>
      </c>
      <c r="U412" s="598" t="str">
        <f t="shared" si="840"/>
        <v xml:space="preserve"> </v>
      </c>
      <c r="V412" s="598" t="str">
        <f t="shared" si="841"/>
        <v xml:space="preserve"> </v>
      </c>
      <c r="W412" s="598" t="str">
        <f t="shared" si="841"/>
        <v xml:space="preserve"> </v>
      </c>
      <c r="X412" s="598" t="str">
        <f t="shared" si="841"/>
        <v xml:space="preserve"> </v>
      </c>
      <c r="Y412" s="598" t="str">
        <f t="shared" si="841"/>
        <v xml:space="preserve"> </v>
      </c>
      <c r="Z412" s="598" t="str">
        <f t="shared" si="841"/>
        <v xml:space="preserve"> </v>
      </c>
      <c r="AA412" s="598" t="str">
        <f t="shared" si="841"/>
        <v xml:space="preserve"> </v>
      </c>
      <c r="AB412" s="598" t="str">
        <f t="shared" si="841"/>
        <v xml:space="preserve"> </v>
      </c>
      <c r="AC412" s="598" t="str">
        <f t="shared" si="841"/>
        <v xml:space="preserve"> </v>
      </c>
      <c r="AD412" s="598" t="str">
        <f t="shared" si="841"/>
        <v xml:space="preserve"> </v>
      </c>
      <c r="AE412" s="598" t="str">
        <f t="shared" si="841"/>
        <v xml:space="preserve"> </v>
      </c>
      <c r="AF412" s="598" t="str">
        <f t="shared" si="842"/>
        <v xml:space="preserve"> </v>
      </c>
      <c r="AG412" s="598" t="str">
        <f t="shared" si="842"/>
        <v xml:space="preserve"> </v>
      </c>
      <c r="AH412" s="598" t="str">
        <f t="shared" si="842"/>
        <v xml:space="preserve"> </v>
      </c>
      <c r="AI412" s="598" t="str">
        <f t="shared" si="842"/>
        <v xml:space="preserve"> </v>
      </c>
      <c r="AJ412" s="598" t="str">
        <f t="shared" si="842"/>
        <v xml:space="preserve"> </v>
      </c>
      <c r="AK412" s="598" t="str">
        <f t="shared" si="842"/>
        <v xml:space="preserve"> </v>
      </c>
      <c r="AL412" s="598" t="str">
        <f t="shared" si="842"/>
        <v xml:space="preserve"> </v>
      </c>
      <c r="AM412" s="598" t="str">
        <f t="shared" si="842"/>
        <v xml:space="preserve"> </v>
      </c>
      <c r="AN412" s="598" t="str">
        <f t="shared" si="842"/>
        <v xml:space="preserve"> </v>
      </c>
      <c r="AO412" s="598" t="str">
        <f t="shared" si="842"/>
        <v xml:space="preserve"> </v>
      </c>
      <c r="AP412" s="598" t="str">
        <f t="shared" si="842"/>
        <v xml:space="preserve"> </v>
      </c>
      <c r="AQ412" s="598" t="str">
        <f t="shared" si="842"/>
        <v xml:space="preserve"> </v>
      </c>
      <c r="AR412" s="598" t="str">
        <f t="shared" si="842"/>
        <v xml:space="preserve"> </v>
      </c>
      <c r="AS412" s="598" t="str">
        <f t="shared" si="842"/>
        <v xml:space="preserve"> </v>
      </c>
      <c r="AT412" s="598" t="str">
        <f t="shared" si="842"/>
        <v xml:space="preserve"> </v>
      </c>
      <c r="AV412" s="598" t="str">
        <f t="shared" si="843"/>
        <v xml:space="preserve"> </v>
      </c>
      <c r="AW412" s="598" t="str">
        <f t="shared" si="843"/>
        <v xml:space="preserve"> </v>
      </c>
      <c r="AX412" s="598" t="str">
        <f t="shared" si="843"/>
        <v xml:space="preserve"> </v>
      </c>
      <c r="AY412" s="598" t="str">
        <f t="shared" si="843"/>
        <v xml:space="preserve"> </v>
      </c>
      <c r="AZ412" s="598" t="str">
        <f t="shared" si="843"/>
        <v xml:space="preserve"> </v>
      </c>
      <c r="BA412" s="598" t="str">
        <f t="shared" si="843"/>
        <v xml:space="preserve"> </v>
      </c>
      <c r="BB412" s="598" t="str">
        <f t="shared" si="843"/>
        <v xml:space="preserve"> </v>
      </c>
      <c r="BC412" s="598" t="str">
        <f t="shared" si="843"/>
        <v xml:space="preserve"> </v>
      </c>
      <c r="BD412" s="598" t="str">
        <f t="shared" si="843"/>
        <v xml:space="preserve"> </v>
      </c>
      <c r="BE412" s="598" t="str">
        <f t="shared" si="843"/>
        <v xml:space="preserve"> </v>
      </c>
      <c r="BF412" s="598" t="str">
        <f t="shared" si="844"/>
        <v xml:space="preserve"> </v>
      </c>
      <c r="BG412" s="598" t="str">
        <f t="shared" si="844"/>
        <v xml:space="preserve"> </v>
      </c>
      <c r="BH412" s="598" t="str">
        <f t="shared" si="844"/>
        <v xml:space="preserve"> </v>
      </c>
      <c r="BI412" s="598" t="str">
        <f t="shared" si="844"/>
        <v xml:space="preserve"> </v>
      </c>
      <c r="BJ412" s="598" t="str">
        <f t="shared" si="844"/>
        <v xml:space="preserve"> </v>
      </c>
      <c r="BK412" s="598" t="str">
        <f t="shared" si="844"/>
        <v xml:space="preserve"> </v>
      </c>
      <c r="BL412" s="598" t="str">
        <f t="shared" si="844"/>
        <v xml:space="preserve"> </v>
      </c>
      <c r="BM412" s="598" t="str">
        <f t="shared" si="844"/>
        <v xml:space="preserve"> </v>
      </c>
      <c r="BN412" s="598" t="str">
        <f t="shared" si="844"/>
        <v xml:space="preserve"> </v>
      </c>
      <c r="BO412" s="598" t="str">
        <f t="shared" si="844"/>
        <v xml:space="preserve"> </v>
      </c>
      <c r="BP412" s="598" t="str">
        <f t="shared" si="845"/>
        <v xml:space="preserve"> </v>
      </c>
      <c r="BQ412" s="598" t="str">
        <f t="shared" si="845"/>
        <v xml:space="preserve"> </v>
      </c>
      <c r="BR412" s="598" t="str">
        <f t="shared" si="845"/>
        <v xml:space="preserve"> </v>
      </c>
      <c r="BS412" s="598" t="str">
        <f t="shared" si="845"/>
        <v xml:space="preserve"> </v>
      </c>
      <c r="BT412" s="598" t="str">
        <f t="shared" si="845"/>
        <v xml:space="preserve"> </v>
      </c>
      <c r="BU412" s="598" t="str">
        <f t="shared" si="845"/>
        <v xml:space="preserve"> </v>
      </c>
      <c r="BV412" s="598" t="str">
        <f t="shared" si="845"/>
        <v xml:space="preserve"> </v>
      </c>
      <c r="BW412" s="598" t="str">
        <f t="shared" si="845"/>
        <v xml:space="preserve"> </v>
      </c>
      <c r="BX412" s="598" t="str">
        <f t="shared" si="845"/>
        <v xml:space="preserve"> </v>
      </c>
      <c r="BY412" s="598" t="str">
        <f t="shared" si="845"/>
        <v xml:space="preserve"> </v>
      </c>
      <c r="BZ412" s="598" t="str">
        <f t="shared" si="846"/>
        <v xml:space="preserve"> </v>
      </c>
      <c r="CA412" s="598" t="str">
        <f t="shared" si="846"/>
        <v xml:space="preserve"> </v>
      </c>
      <c r="CB412" s="598" t="str">
        <f t="shared" si="846"/>
        <v xml:space="preserve"> </v>
      </c>
      <c r="CC412" s="598" t="str">
        <f t="shared" si="846"/>
        <v xml:space="preserve"> </v>
      </c>
      <c r="CD412" s="598" t="str">
        <f t="shared" si="846"/>
        <v xml:space="preserve"> </v>
      </c>
      <c r="CE412" s="598" t="str">
        <f t="shared" si="846"/>
        <v xml:space="preserve"> </v>
      </c>
      <c r="CF412" s="598" t="str">
        <f t="shared" si="846"/>
        <v xml:space="preserve"> </v>
      </c>
      <c r="CG412" s="598" t="str">
        <f t="shared" si="846"/>
        <v xml:space="preserve"> </v>
      </c>
      <c r="CH412" s="598" t="str">
        <f t="shared" si="846"/>
        <v xml:space="preserve"> </v>
      </c>
      <c r="CI412" s="598" t="str">
        <f t="shared" si="846"/>
        <v xml:space="preserve"> </v>
      </c>
      <c r="CJ412" s="598" t="str">
        <f t="shared" si="846"/>
        <v xml:space="preserve"> </v>
      </c>
      <c r="CK412" s="598" t="str">
        <f t="shared" si="846"/>
        <v xml:space="preserve"> </v>
      </c>
      <c r="CL412" s="598" t="str">
        <f t="shared" si="846"/>
        <v xml:space="preserve"> </v>
      </c>
      <c r="CM412" s="598" t="str">
        <f t="shared" si="846"/>
        <v xml:space="preserve"> </v>
      </c>
      <c r="CN412" s="598" t="str">
        <f t="shared" si="846"/>
        <v xml:space="preserve"> </v>
      </c>
    </row>
    <row r="413" spans="1:92">
      <c r="A413" s="598">
        <v>36</v>
      </c>
      <c r="B413" s="598" t="str">
        <f t="shared" si="839"/>
        <v xml:space="preserve"> </v>
      </c>
      <c r="C413" s="598" t="str">
        <f t="shared" si="839"/>
        <v xml:space="preserve"> </v>
      </c>
      <c r="D413" s="598" t="str">
        <f t="shared" si="839"/>
        <v xml:space="preserve"> </v>
      </c>
      <c r="E413" s="598" t="str">
        <f t="shared" si="839"/>
        <v xml:space="preserve"> </v>
      </c>
      <c r="F413" s="598" t="str">
        <f t="shared" si="839"/>
        <v xml:space="preserve"> </v>
      </c>
      <c r="G413" s="598" t="str">
        <f t="shared" si="839"/>
        <v xml:space="preserve"> </v>
      </c>
      <c r="H413" s="598" t="str">
        <f t="shared" si="839"/>
        <v xml:space="preserve"> </v>
      </c>
      <c r="I413" s="598" t="str">
        <f t="shared" si="839"/>
        <v xml:space="preserve"> </v>
      </c>
      <c r="J413" s="598" t="str">
        <f t="shared" si="839"/>
        <v xml:space="preserve"> </v>
      </c>
      <c r="K413" s="598" t="str">
        <f t="shared" si="839"/>
        <v xml:space="preserve"> </v>
      </c>
      <c r="L413" s="598" t="str">
        <f t="shared" si="840"/>
        <v xml:space="preserve"> </v>
      </c>
      <c r="M413" s="598" t="str">
        <f t="shared" si="840"/>
        <v xml:space="preserve"> </v>
      </c>
      <c r="N413" s="598" t="str">
        <f t="shared" si="840"/>
        <v xml:space="preserve"> </v>
      </c>
      <c r="O413" s="598" t="str">
        <f t="shared" si="840"/>
        <v xml:space="preserve"> </v>
      </c>
      <c r="P413" s="598" t="str">
        <f t="shared" si="840"/>
        <v xml:space="preserve"> </v>
      </c>
      <c r="Q413" s="598" t="str">
        <f t="shared" si="840"/>
        <v xml:space="preserve"> </v>
      </c>
      <c r="R413" s="598" t="str">
        <f t="shared" si="840"/>
        <v xml:space="preserve"> </v>
      </c>
      <c r="S413" s="598" t="str">
        <f t="shared" si="840"/>
        <v xml:space="preserve"> </v>
      </c>
      <c r="T413" s="598" t="str">
        <f t="shared" si="840"/>
        <v xml:space="preserve"> </v>
      </c>
      <c r="U413" s="598" t="str">
        <f t="shared" si="840"/>
        <v xml:space="preserve"> </v>
      </c>
      <c r="V413" s="598" t="str">
        <f t="shared" si="841"/>
        <v xml:space="preserve"> </v>
      </c>
      <c r="W413" s="598" t="str">
        <f t="shared" si="841"/>
        <v xml:space="preserve"> </v>
      </c>
      <c r="X413" s="598" t="str">
        <f t="shared" si="841"/>
        <v xml:space="preserve"> </v>
      </c>
      <c r="Y413" s="598" t="str">
        <f t="shared" si="841"/>
        <v xml:space="preserve"> </v>
      </c>
      <c r="Z413" s="598" t="str">
        <f t="shared" si="841"/>
        <v xml:space="preserve"> </v>
      </c>
      <c r="AA413" s="598" t="str">
        <f t="shared" si="841"/>
        <v xml:space="preserve"> </v>
      </c>
      <c r="AB413" s="598" t="str">
        <f t="shared" si="841"/>
        <v xml:space="preserve"> </v>
      </c>
      <c r="AC413" s="598" t="str">
        <f t="shared" si="841"/>
        <v xml:space="preserve"> </v>
      </c>
      <c r="AD413" s="598" t="str">
        <f t="shared" si="841"/>
        <v xml:space="preserve"> </v>
      </c>
      <c r="AE413" s="598" t="str">
        <f t="shared" si="841"/>
        <v xml:space="preserve"> </v>
      </c>
      <c r="AF413" s="598" t="str">
        <f t="shared" si="842"/>
        <v xml:space="preserve"> </v>
      </c>
      <c r="AG413" s="598" t="str">
        <f t="shared" si="842"/>
        <v xml:space="preserve"> </v>
      </c>
      <c r="AH413" s="598" t="str">
        <f t="shared" si="842"/>
        <v xml:space="preserve"> </v>
      </c>
      <c r="AI413" s="598" t="str">
        <f t="shared" si="842"/>
        <v xml:space="preserve"> </v>
      </c>
      <c r="AJ413" s="598" t="str">
        <f t="shared" si="842"/>
        <v xml:space="preserve"> </v>
      </c>
      <c r="AK413" s="598" t="str">
        <f t="shared" si="842"/>
        <v xml:space="preserve"> </v>
      </c>
      <c r="AL413" s="598" t="str">
        <f t="shared" si="842"/>
        <v xml:space="preserve"> </v>
      </c>
      <c r="AM413" s="598" t="str">
        <f t="shared" si="842"/>
        <v xml:space="preserve"> </v>
      </c>
      <c r="AN413" s="598" t="str">
        <f t="shared" si="842"/>
        <v xml:space="preserve"> </v>
      </c>
      <c r="AO413" s="598" t="str">
        <f t="shared" si="842"/>
        <v xml:space="preserve"> </v>
      </c>
      <c r="AP413" s="598" t="str">
        <f t="shared" si="842"/>
        <v xml:space="preserve"> </v>
      </c>
      <c r="AQ413" s="598" t="str">
        <f t="shared" si="842"/>
        <v xml:space="preserve"> </v>
      </c>
      <c r="AR413" s="598" t="str">
        <f t="shared" si="842"/>
        <v xml:space="preserve"> </v>
      </c>
      <c r="AS413" s="598" t="str">
        <f t="shared" si="842"/>
        <v xml:space="preserve"> </v>
      </c>
      <c r="AT413" s="598" t="str">
        <f t="shared" si="842"/>
        <v xml:space="preserve"> </v>
      </c>
      <c r="AV413" s="598" t="str">
        <f t="shared" si="843"/>
        <v xml:space="preserve"> </v>
      </c>
      <c r="AW413" s="598" t="str">
        <f t="shared" si="843"/>
        <v xml:space="preserve"> </v>
      </c>
      <c r="AX413" s="598" t="str">
        <f t="shared" si="843"/>
        <v xml:space="preserve"> </v>
      </c>
      <c r="AY413" s="598" t="str">
        <f t="shared" si="843"/>
        <v xml:space="preserve"> </v>
      </c>
      <c r="AZ413" s="598" t="str">
        <f t="shared" si="843"/>
        <v xml:space="preserve"> </v>
      </c>
      <c r="BA413" s="598" t="str">
        <f t="shared" si="843"/>
        <v xml:space="preserve"> </v>
      </c>
      <c r="BB413" s="598" t="str">
        <f t="shared" si="843"/>
        <v xml:space="preserve"> </v>
      </c>
      <c r="BC413" s="598" t="str">
        <f t="shared" si="843"/>
        <v xml:space="preserve"> </v>
      </c>
      <c r="BD413" s="598" t="str">
        <f t="shared" si="843"/>
        <v xml:space="preserve"> </v>
      </c>
      <c r="BE413" s="598" t="str">
        <f t="shared" si="843"/>
        <v xml:space="preserve"> </v>
      </c>
      <c r="BF413" s="598" t="str">
        <f t="shared" si="844"/>
        <v xml:space="preserve"> </v>
      </c>
      <c r="BG413" s="598" t="str">
        <f t="shared" si="844"/>
        <v xml:space="preserve"> </v>
      </c>
      <c r="BH413" s="598" t="str">
        <f t="shared" si="844"/>
        <v xml:space="preserve"> </v>
      </c>
      <c r="BI413" s="598" t="str">
        <f t="shared" si="844"/>
        <v xml:space="preserve"> </v>
      </c>
      <c r="BJ413" s="598" t="str">
        <f t="shared" si="844"/>
        <v xml:space="preserve"> </v>
      </c>
      <c r="BK413" s="598" t="str">
        <f t="shared" si="844"/>
        <v xml:space="preserve"> </v>
      </c>
      <c r="BL413" s="598" t="str">
        <f t="shared" si="844"/>
        <v xml:space="preserve"> </v>
      </c>
      <c r="BM413" s="598" t="str">
        <f t="shared" si="844"/>
        <v xml:space="preserve"> </v>
      </c>
      <c r="BN413" s="598" t="str">
        <f t="shared" si="844"/>
        <v xml:space="preserve"> </v>
      </c>
      <c r="BO413" s="598" t="str">
        <f t="shared" si="844"/>
        <v xml:space="preserve"> </v>
      </c>
      <c r="BP413" s="598" t="str">
        <f t="shared" si="845"/>
        <v xml:space="preserve"> </v>
      </c>
      <c r="BQ413" s="598" t="str">
        <f t="shared" si="845"/>
        <v xml:space="preserve"> </v>
      </c>
      <c r="BR413" s="598" t="str">
        <f t="shared" si="845"/>
        <v xml:space="preserve"> </v>
      </c>
      <c r="BS413" s="598" t="str">
        <f t="shared" si="845"/>
        <v xml:space="preserve"> </v>
      </c>
      <c r="BT413" s="598" t="str">
        <f t="shared" si="845"/>
        <v xml:space="preserve"> </v>
      </c>
      <c r="BU413" s="598" t="str">
        <f t="shared" si="845"/>
        <v xml:space="preserve"> </v>
      </c>
      <c r="BV413" s="598" t="str">
        <f t="shared" si="845"/>
        <v xml:space="preserve"> </v>
      </c>
      <c r="BW413" s="598" t="str">
        <f t="shared" si="845"/>
        <v xml:space="preserve"> </v>
      </c>
      <c r="BX413" s="598" t="str">
        <f t="shared" si="845"/>
        <v xml:space="preserve"> </v>
      </c>
      <c r="BY413" s="598" t="str">
        <f t="shared" si="845"/>
        <v xml:space="preserve"> </v>
      </c>
      <c r="BZ413" s="598" t="str">
        <f t="shared" si="846"/>
        <v xml:space="preserve"> </v>
      </c>
      <c r="CA413" s="598" t="str">
        <f t="shared" si="846"/>
        <v xml:space="preserve"> </v>
      </c>
      <c r="CB413" s="598" t="str">
        <f t="shared" si="846"/>
        <v xml:space="preserve"> </v>
      </c>
      <c r="CC413" s="598" t="str">
        <f t="shared" si="846"/>
        <v xml:space="preserve"> </v>
      </c>
      <c r="CD413" s="598" t="str">
        <f t="shared" si="846"/>
        <v xml:space="preserve"> </v>
      </c>
      <c r="CE413" s="598" t="str">
        <f t="shared" si="846"/>
        <v xml:space="preserve"> </v>
      </c>
      <c r="CF413" s="598" t="str">
        <f t="shared" si="846"/>
        <v xml:space="preserve"> </v>
      </c>
      <c r="CG413" s="598" t="str">
        <f t="shared" si="846"/>
        <v xml:space="preserve"> </v>
      </c>
      <c r="CH413" s="598" t="str">
        <f t="shared" si="846"/>
        <v xml:space="preserve"> </v>
      </c>
      <c r="CI413" s="598" t="str">
        <f t="shared" si="846"/>
        <v xml:space="preserve"> </v>
      </c>
      <c r="CJ413" s="598" t="str">
        <f t="shared" si="846"/>
        <v xml:space="preserve"> </v>
      </c>
      <c r="CK413" s="598" t="str">
        <f t="shared" si="846"/>
        <v xml:space="preserve"> </v>
      </c>
      <c r="CL413" s="598" t="str">
        <f t="shared" si="846"/>
        <v xml:space="preserve"> </v>
      </c>
      <c r="CM413" s="598" t="str">
        <f t="shared" si="846"/>
        <v xml:space="preserve"> </v>
      </c>
      <c r="CN413" s="598" t="str">
        <f t="shared" si="846"/>
        <v xml:space="preserve"> </v>
      </c>
    </row>
    <row r="414" spans="1:92">
      <c r="A414" s="598">
        <v>37</v>
      </c>
      <c r="B414" s="598" t="str">
        <f t="shared" si="839"/>
        <v xml:space="preserve"> </v>
      </c>
      <c r="C414" s="598" t="str">
        <f t="shared" si="839"/>
        <v xml:space="preserve"> </v>
      </c>
      <c r="D414" s="598" t="str">
        <f t="shared" si="839"/>
        <v xml:space="preserve"> </v>
      </c>
      <c r="E414" s="598" t="str">
        <f t="shared" si="839"/>
        <v xml:space="preserve"> </v>
      </c>
      <c r="F414" s="598" t="str">
        <f t="shared" si="839"/>
        <v xml:space="preserve"> </v>
      </c>
      <c r="G414" s="598" t="str">
        <f t="shared" si="839"/>
        <v xml:space="preserve"> </v>
      </c>
      <c r="H414" s="598" t="str">
        <f t="shared" si="839"/>
        <v xml:space="preserve"> </v>
      </c>
      <c r="I414" s="598" t="str">
        <f t="shared" si="839"/>
        <v xml:space="preserve"> </v>
      </c>
      <c r="J414" s="598" t="str">
        <f t="shared" si="839"/>
        <v xml:space="preserve"> </v>
      </c>
      <c r="K414" s="598" t="str">
        <f t="shared" si="839"/>
        <v xml:space="preserve"> </v>
      </c>
      <c r="L414" s="598" t="str">
        <f t="shared" si="840"/>
        <v xml:space="preserve"> </v>
      </c>
      <c r="M414" s="598" t="str">
        <f t="shared" si="840"/>
        <v xml:space="preserve"> </v>
      </c>
      <c r="N414" s="598" t="str">
        <f t="shared" si="840"/>
        <v xml:space="preserve"> </v>
      </c>
      <c r="O414" s="598" t="str">
        <f t="shared" si="840"/>
        <v xml:space="preserve"> </v>
      </c>
      <c r="P414" s="598" t="str">
        <f t="shared" si="840"/>
        <v xml:space="preserve"> </v>
      </c>
      <c r="Q414" s="598" t="str">
        <f t="shared" si="840"/>
        <v xml:space="preserve"> </v>
      </c>
      <c r="R414" s="598" t="str">
        <f t="shared" si="840"/>
        <v xml:space="preserve"> </v>
      </c>
      <c r="S414" s="598" t="str">
        <f t="shared" si="840"/>
        <v xml:space="preserve"> </v>
      </c>
      <c r="T414" s="598" t="str">
        <f t="shared" si="840"/>
        <v xml:space="preserve"> </v>
      </c>
      <c r="U414" s="598" t="str">
        <f t="shared" si="840"/>
        <v xml:space="preserve"> </v>
      </c>
      <c r="V414" s="598" t="str">
        <f t="shared" si="841"/>
        <v xml:space="preserve"> </v>
      </c>
      <c r="W414" s="598" t="str">
        <f t="shared" si="841"/>
        <v xml:space="preserve"> </v>
      </c>
      <c r="X414" s="598" t="str">
        <f t="shared" si="841"/>
        <v xml:space="preserve"> </v>
      </c>
      <c r="Y414" s="598" t="str">
        <f t="shared" si="841"/>
        <v xml:space="preserve"> </v>
      </c>
      <c r="Z414" s="598" t="str">
        <f t="shared" si="841"/>
        <v xml:space="preserve"> </v>
      </c>
      <c r="AA414" s="598" t="str">
        <f t="shared" si="841"/>
        <v xml:space="preserve"> </v>
      </c>
      <c r="AB414" s="598" t="str">
        <f t="shared" si="841"/>
        <v xml:space="preserve"> </v>
      </c>
      <c r="AC414" s="598" t="str">
        <f t="shared" si="841"/>
        <v xml:space="preserve"> </v>
      </c>
      <c r="AD414" s="598" t="str">
        <f t="shared" si="841"/>
        <v xml:space="preserve"> </v>
      </c>
      <c r="AE414" s="598" t="str">
        <f t="shared" si="841"/>
        <v xml:space="preserve"> </v>
      </c>
      <c r="AF414" s="598" t="str">
        <f t="shared" si="842"/>
        <v xml:space="preserve"> </v>
      </c>
      <c r="AG414" s="598" t="str">
        <f t="shared" si="842"/>
        <v xml:space="preserve"> </v>
      </c>
      <c r="AH414" s="598" t="str">
        <f t="shared" si="842"/>
        <v xml:space="preserve"> </v>
      </c>
      <c r="AI414" s="598" t="str">
        <f t="shared" si="842"/>
        <v xml:space="preserve"> </v>
      </c>
      <c r="AJ414" s="598" t="str">
        <f t="shared" si="842"/>
        <v xml:space="preserve"> </v>
      </c>
      <c r="AK414" s="598" t="str">
        <f t="shared" si="842"/>
        <v xml:space="preserve"> </v>
      </c>
      <c r="AL414" s="598" t="str">
        <f t="shared" si="842"/>
        <v xml:space="preserve"> </v>
      </c>
      <c r="AM414" s="598" t="str">
        <f t="shared" si="842"/>
        <v xml:space="preserve"> </v>
      </c>
      <c r="AN414" s="598" t="str">
        <f t="shared" si="842"/>
        <v xml:space="preserve"> </v>
      </c>
      <c r="AO414" s="598" t="str">
        <f t="shared" si="842"/>
        <v xml:space="preserve"> </v>
      </c>
      <c r="AP414" s="598" t="str">
        <f t="shared" si="842"/>
        <v xml:space="preserve"> </v>
      </c>
      <c r="AQ414" s="598" t="str">
        <f t="shared" si="842"/>
        <v xml:space="preserve"> </v>
      </c>
      <c r="AR414" s="598" t="str">
        <f t="shared" si="842"/>
        <v xml:space="preserve"> </v>
      </c>
      <c r="AS414" s="598" t="str">
        <f t="shared" si="842"/>
        <v xml:space="preserve"> </v>
      </c>
      <c r="AT414" s="598" t="str">
        <f t="shared" si="842"/>
        <v xml:space="preserve"> </v>
      </c>
      <c r="AV414" s="598" t="str">
        <f t="shared" si="843"/>
        <v xml:space="preserve"> </v>
      </c>
      <c r="AW414" s="598" t="str">
        <f t="shared" si="843"/>
        <v xml:space="preserve"> </v>
      </c>
      <c r="AX414" s="598" t="str">
        <f t="shared" si="843"/>
        <v xml:space="preserve"> </v>
      </c>
      <c r="AY414" s="598" t="str">
        <f t="shared" si="843"/>
        <v xml:space="preserve"> </v>
      </c>
      <c r="AZ414" s="598" t="str">
        <f t="shared" si="843"/>
        <v xml:space="preserve"> </v>
      </c>
      <c r="BA414" s="598" t="str">
        <f t="shared" si="843"/>
        <v xml:space="preserve"> </v>
      </c>
      <c r="BB414" s="598" t="str">
        <f t="shared" si="843"/>
        <v xml:space="preserve"> </v>
      </c>
      <c r="BC414" s="598" t="str">
        <f t="shared" si="843"/>
        <v xml:space="preserve"> </v>
      </c>
      <c r="BD414" s="598" t="str">
        <f t="shared" si="843"/>
        <v xml:space="preserve"> </v>
      </c>
      <c r="BE414" s="598" t="str">
        <f t="shared" si="843"/>
        <v xml:space="preserve"> </v>
      </c>
      <c r="BF414" s="598" t="str">
        <f t="shared" si="844"/>
        <v xml:space="preserve"> </v>
      </c>
      <c r="BG414" s="598" t="str">
        <f t="shared" si="844"/>
        <v xml:space="preserve"> </v>
      </c>
      <c r="BH414" s="598" t="str">
        <f t="shared" si="844"/>
        <v xml:space="preserve"> </v>
      </c>
      <c r="BI414" s="598" t="str">
        <f t="shared" si="844"/>
        <v xml:space="preserve"> </v>
      </c>
      <c r="BJ414" s="598" t="str">
        <f t="shared" si="844"/>
        <v xml:space="preserve"> </v>
      </c>
      <c r="BK414" s="598" t="str">
        <f t="shared" si="844"/>
        <v xml:space="preserve"> </v>
      </c>
      <c r="BL414" s="598" t="str">
        <f t="shared" si="844"/>
        <v xml:space="preserve"> </v>
      </c>
      <c r="BM414" s="598" t="str">
        <f t="shared" si="844"/>
        <v xml:space="preserve"> </v>
      </c>
      <c r="BN414" s="598" t="str">
        <f t="shared" si="844"/>
        <v xml:space="preserve"> </v>
      </c>
      <c r="BO414" s="598" t="str">
        <f t="shared" si="844"/>
        <v xml:space="preserve"> </v>
      </c>
      <c r="BP414" s="598" t="str">
        <f t="shared" si="845"/>
        <v xml:space="preserve"> </v>
      </c>
      <c r="BQ414" s="598" t="str">
        <f t="shared" si="845"/>
        <v xml:space="preserve"> </v>
      </c>
      <c r="BR414" s="598" t="str">
        <f t="shared" si="845"/>
        <v xml:space="preserve"> </v>
      </c>
      <c r="BS414" s="598" t="str">
        <f t="shared" si="845"/>
        <v xml:space="preserve"> </v>
      </c>
      <c r="BT414" s="598" t="str">
        <f t="shared" si="845"/>
        <v xml:space="preserve"> </v>
      </c>
      <c r="BU414" s="598" t="str">
        <f t="shared" si="845"/>
        <v xml:space="preserve"> </v>
      </c>
      <c r="BV414" s="598" t="str">
        <f t="shared" si="845"/>
        <v xml:space="preserve"> </v>
      </c>
      <c r="BW414" s="598" t="str">
        <f t="shared" si="845"/>
        <v xml:space="preserve"> </v>
      </c>
      <c r="BX414" s="598" t="str">
        <f t="shared" si="845"/>
        <v xml:space="preserve"> </v>
      </c>
      <c r="BY414" s="598" t="str">
        <f t="shared" si="845"/>
        <v xml:space="preserve"> </v>
      </c>
      <c r="BZ414" s="598" t="str">
        <f t="shared" si="846"/>
        <v xml:space="preserve"> </v>
      </c>
      <c r="CA414" s="598" t="str">
        <f t="shared" si="846"/>
        <v xml:space="preserve"> </v>
      </c>
      <c r="CB414" s="598" t="str">
        <f t="shared" si="846"/>
        <v xml:space="preserve"> </v>
      </c>
      <c r="CC414" s="598" t="str">
        <f t="shared" si="846"/>
        <v xml:space="preserve"> </v>
      </c>
      <c r="CD414" s="598" t="str">
        <f t="shared" si="846"/>
        <v xml:space="preserve"> </v>
      </c>
      <c r="CE414" s="598" t="str">
        <f t="shared" si="846"/>
        <v xml:space="preserve"> </v>
      </c>
      <c r="CF414" s="598" t="str">
        <f t="shared" si="846"/>
        <v xml:space="preserve"> </v>
      </c>
      <c r="CG414" s="598" t="str">
        <f t="shared" si="846"/>
        <v xml:space="preserve"> </v>
      </c>
      <c r="CH414" s="598" t="str">
        <f t="shared" si="846"/>
        <v xml:space="preserve"> </v>
      </c>
      <c r="CI414" s="598" t="str">
        <f t="shared" si="846"/>
        <v xml:space="preserve"> </v>
      </c>
      <c r="CJ414" s="598" t="str">
        <f t="shared" si="846"/>
        <v xml:space="preserve"> </v>
      </c>
      <c r="CK414" s="598" t="str">
        <f t="shared" si="846"/>
        <v xml:space="preserve"> </v>
      </c>
      <c r="CL414" s="598" t="str">
        <f t="shared" si="846"/>
        <v xml:space="preserve"> </v>
      </c>
      <c r="CM414" s="598" t="str">
        <f t="shared" si="846"/>
        <v xml:space="preserve"> </v>
      </c>
      <c r="CN414" s="598" t="str">
        <f t="shared" si="846"/>
        <v xml:space="preserve"> </v>
      </c>
    </row>
    <row r="415" spans="1:92">
      <c r="A415" s="598">
        <v>38</v>
      </c>
      <c r="B415" s="598" t="str">
        <f t="shared" si="839"/>
        <v xml:space="preserve"> </v>
      </c>
      <c r="C415" s="598" t="str">
        <f t="shared" si="839"/>
        <v xml:space="preserve"> </v>
      </c>
      <c r="D415" s="598" t="str">
        <f t="shared" si="839"/>
        <v xml:space="preserve"> </v>
      </c>
      <c r="E415" s="598" t="str">
        <f t="shared" si="839"/>
        <v xml:space="preserve"> </v>
      </c>
      <c r="F415" s="598" t="str">
        <f t="shared" si="839"/>
        <v xml:space="preserve"> </v>
      </c>
      <c r="G415" s="598" t="str">
        <f t="shared" si="839"/>
        <v xml:space="preserve"> </v>
      </c>
      <c r="H415" s="598" t="str">
        <f t="shared" si="839"/>
        <v xml:space="preserve"> </v>
      </c>
      <c r="I415" s="598" t="str">
        <f t="shared" si="839"/>
        <v xml:space="preserve"> </v>
      </c>
      <c r="J415" s="598" t="str">
        <f t="shared" si="839"/>
        <v xml:space="preserve"> </v>
      </c>
      <c r="K415" s="598" t="str">
        <f t="shared" si="839"/>
        <v xml:space="preserve"> </v>
      </c>
      <c r="L415" s="598" t="str">
        <f t="shared" si="840"/>
        <v xml:space="preserve"> </v>
      </c>
      <c r="M415" s="598" t="str">
        <f t="shared" si="840"/>
        <v xml:space="preserve"> </v>
      </c>
      <c r="N415" s="598" t="str">
        <f t="shared" si="840"/>
        <v xml:space="preserve"> </v>
      </c>
      <c r="O415" s="598" t="str">
        <f t="shared" si="840"/>
        <v xml:space="preserve"> </v>
      </c>
      <c r="P415" s="598" t="str">
        <f t="shared" si="840"/>
        <v xml:space="preserve"> </v>
      </c>
      <c r="Q415" s="598" t="str">
        <f t="shared" si="840"/>
        <v xml:space="preserve"> </v>
      </c>
      <c r="R415" s="598" t="str">
        <f t="shared" si="840"/>
        <v xml:space="preserve"> </v>
      </c>
      <c r="S415" s="598" t="str">
        <f t="shared" si="840"/>
        <v xml:space="preserve"> </v>
      </c>
      <c r="T415" s="598" t="str">
        <f t="shared" si="840"/>
        <v xml:space="preserve"> </v>
      </c>
      <c r="U415" s="598" t="str">
        <f t="shared" si="840"/>
        <v xml:space="preserve"> </v>
      </c>
      <c r="V415" s="598" t="str">
        <f t="shared" si="841"/>
        <v xml:space="preserve"> </v>
      </c>
      <c r="W415" s="598" t="str">
        <f t="shared" si="841"/>
        <v xml:space="preserve"> </v>
      </c>
      <c r="X415" s="598" t="str">
        <f t="shared" si="841"/>
        <v xml:space="preserve"> </v>
      </c>
      <c r="Y415" s="598" t="str">
        <f t="shared" si="841"/>
        <v xml:space="preserve"> </v>
      </c>
      <c r="Z415" s="598" t="str">
        <f t="shared" si="841"/>
        <v xml:space="preserve"> </v>
      </c>
      <c r="AA415" s="598" t="str">
        <f t="shared" si="841"/>
        <v xml:space="preserve"> </v>
      </c>
      <c r="AB415" s="598" t="str">
        <f t="shared" si="841"/>
        <v xml:space="preserve"> </v>
      </c>
      <c r="AC415" s="598" t="str">
        <f t="shared" si="841"/>
        <v xml:space="preserve"> </v>
      </c>
      <c r="AD415" s="598" t="str">
        <f t="shared" si="841"/>
        <v xml:space="preserve"> </v>
      </c>
      <c r="AE415" s="598" t="str">
        <f t="shared" si="841"/>
        <v xml:space="preserve"> </v>
      </c>
      <c r="AF415" s="598" t="str">
        <f t="shared" si="842"/>
        <v xml:space="preserve"> </v>
      </c>
      <c r="AG415" s="598" t="str">
        <f t="shared" si="842"/>
        <v xml:space="preserve"> </v>
      </c>
      <c r="AH415" s="598" t="str">
        <f t="shared" si="842"/>
        <v xml:space="preserve"> </v>
      </c>
      <c r="AI415" s="598" t="str">
        <f t="shared" si="842"/>
        <v xml:space="preserve"> </v>
      </c>
      <c r="AJ415" s="598" t="str">
        <f t="shared" si="842"/>
        <v xml:space="preserve"> </v>
      </c>
      <c r="AK415" s="598" t="str">
        <f t="shared" si="842"/>
        <v xml:space="preserve"> </v>
      </c>
      <c r="AL415" s="598" t="str">
        <f t="shared" si="842"/>
        <v xml:space="preserve"> </v>
      </c>
      <c r="AM415" s="598" t="str">
        <f t="shared" si="842"/>
        <v xml:space="preserve"> </v>
      </c>
      <c r="AN415" s="598" t="str">
        <f t="shared" si="842"/>
        <v xml:space="preserve"> </v>
      </c>
      <c r="AO415" s="598" t="str">
        <f t="shared" si="842"/>
        <v xml:space="preserve"> </v>
      </c>
      <c r="AP415" s="598" t="str">
        <f t="shared" si="842"/>
        <v xml:space="preserve"> </v>
      </c>
      <c r="AQ415" s="598" t="str">
        <f t="shared" si="842"/>
        <v xml:space="preserve"> </v>
      </c>
      <c r="AR415" s="598" t="str">
        <f t="shared" si="842"/>
        <v xml:space="preserve"> </v>
      </c>
      <c r="AS415" s="598" t="str">
        <f t="shared" si="842"/>
        <v xml:space="preserve"> </v>
      </c>
      <c r="AT415" s="598" t="str">
        <f t="shared" si="842"/>
        <v xml:space="preserve"> </v>
      </c>
      <c r="AV415" s="598" t="str">
        <f t="shared" si="843"/>
        <v xml:space="preserve"> </v>
      </c>
      <c r="AW415" s="598" t="str">
        <f t="shared" si="843"/>
        <v xml:space="preserve"> </v>
      </c>
      <c r="AX415" s="598" t="str">
        <f t="shared" si="843"/>
        <v xml:space="preserve"> </v>
      </c>
      <c r="AY415" s="598" t="str">
        <f t="shared" si="843"/>
        <v xml:space="preserve"> </v>
      </c>
      <c r="AZ415" s="598" t="str">
        <f t="shared" si="843"/>
        <v xml:space="preserve"> </v>
      </c>
      <c r="BA415" s="598" t="str">
        <f t="shared" si="843"/>
        <v xml:space="preserve"> </v>
      </c>
      <c r="BB415" s="598" t="str">
        <f t="shared" si="843"/>
        <v xml:space="preserve"> </v>
      </c>
      <c r="BC415" s="598" t="str">
        <f t="shared" si="843"/>
        <v xml:space="preserve"> </v>
      </c>
      <c r="BD415" s="598" t="str">
        <f t="shared" si="843"/>
        <v xml:space="preserve"> </v>
      </c>
      <c r="BE415" s="598" t="str">
        <f t="shared" si="843"/>
        <v xml:space="preserve"> </v>
      </c>
      <c r="BF415" s="598" t="str">
        <f t="shared" si="844"/>
        <v xml:space="preserve"> </v>
      </c>
      <c r="BG415" s="598" t="str">
        <f t="shared" si="844"/>
        <v xml:space="preserve"> </v>
      </c>
      <c r="BH415" s="598" t="str">
        <f t="shared" si="844"/>
        <v xml:space="preserve"> </v>
      </c>
      <c r="BI415" s="598" t="str">
        <f t="shared" si="844"/>
        <v xml:space="preserve"> </v>
      </c>
      <c r="BJ415" s="598" t="str">
        <f t="shared" si="844"/>
        <v xml:space="preserve"> </v>
      </c>
      <c r="BK415" s="598" t="str">
        <f t="shared" si="844"/>
        <v xml:space="preserve"> </v>
      </c>
      <c r="BL415" s="598" t="str">
        <f t="shared" si="844"/>
        <v xml:space="preserve"> </v>
      </c>
      <c r="BM415" s="598" t="str">
        <f t="shared" si="844"/>
        <v xml:space="preserve"> </v>
      </c>
      <c r="BN415" s="598" t="str">
        <f t="shared" si="844"/>
        <v xml:space="preserve"> </v>
      </c>
      <c r="BO415" s="598" t="str">
        <f t="shared" si="844"/>
        <v xml:space="preserve"> </v>
      </c>
      <c r="BP415" s="598" t="str">
        <f t="shared" si="845"/>
        <v xml:space="preserve"> </v>
      </c>
      <c r="BQ415" s="598" t="str">
        <f t="shared" si="845"/>
        <v xml:space="preserve"> </v>
      </c>
      <c r="BR415" s="598" t="str">
        <f t="shared" si="845"/>
        <v xml:space="preserve"> </v>
      </c>
      <c r="BS415" s="598" t="str">
        <f t="shared" si="845"/>
        <v xml:space="preserve"> </v>
      </c>
      <c r="BT415" s="598" t="str">
        <f t="shared" si="845"/>
        <v xml:space="preserve"> </v>
      </c>
      <c r="BU415" s="598" t="str">
        <f t="shared" si="845"/>
        <v xml:space="preserve"> </v>
      </c>
      <c r="BV415" s="598" t="str">
        <f t="shared" si="845"/>
        <v xml:space="preserve"> </v>
      </c>
      <c r="BW415" s="598" t="str">
        <f t="shared" si="845"/>
        <v xml:space="preserve"> </v>
      </c>
      <c r="BX415" s="598" t="str">
        <f t="shared" si="845"/>
        <v xml:space="preserve"> </v>
      </c>
      <c r="BY415" s="598" t="str">
        <f t="shared" si="845"/>
        <v xml:space="preserve"> </v>
      </c>
      <c r="BZ415" s="598" t="str">
        <f t="shared" si="846"/>
        <v xml:space="preserve"> </v>
      </c>
      <c r="CA415" s="598" t="str">
        <f t="shared" si="846"/>
        <v xml:space="preserve"> </v>
      </c>
      <c r="CB415" s="598" t="str">
        <f t="shared" si="846"/>
        <v xml:space="preserve"> </v>
      </c>
      <c r="CC415" s="598" t="str">
        <f t="shared" si="846"/>
        <v xml:space="preserve"> </v>
      </c>
      <c r="CD415" s="598" t="str">
        <f t="shared" si="846"/>
        <v xml:space="preserve"> </v>
      </c>
      <c r="CE415" s="598" t="str">
        <f t="shared" si="846"/>
        <v xml:space="preserve"> </v>
      </c>
      <c r="CF415" s="598" t="str">
        <f t="shared" si="846"/>
        <v xml:space="preserve"> </v>
      </c>
      <c r="CG415" s="598" t="str">
        <f t="shared" si="846"/>
        <v xml:space="preserve"> </v>
      </c>
      <c r="CH415" s="598" t="str">
        <f t="shared" si="846"/>
        <v xml:space="preserve"> </v>
      </c>
      <c r="CI415" s="598" t="str">
        <f t="shared" si="846"/>
        <v xml:space="preserve"> </v>
      </c>
      <c r="CJ415" s="598" t="str">
        <f t="shared" si="846"/>
        <v xml:space="preserve"> </v>
      </c>
      <c r="CK415" s="598" t="str">
        <f t="shared" si="846"/>
        <v xml:space="preserve"> </v>
      </c>
      <c r="CL415" s="598" t="str">
        <f t="shared" si="846"/>
        <v xml:space="preserve"> </v>
      </c>
      <c r="CM415" s="598" t="str">
        <f t="shared" si="846"/>
        <v xml:space="preserve"> </v>
      </c>
      <c r="CN415" s="598" t="str">
        <f t="shared" si="846"/>
        <v xml:space="preserve"> </v>
      </c>
    </row>
    <row r="416" spans="1:92">
      <c r="A416" s="598">
        <v>39</v>
      </c>
      <c r="B416" s="598" t="str">
        <f t="shared" si="839"/>
        <v xml:space="preserve"> </v>
      </c>
      <c r="C416" s="598" t="str">
        <f t="shared" si="839"/>
        <v xml:space="preserve"> </v>
      </c>
      <c r="D416" s="598" t="str">
        <f t="shared" si="839"/>
        <v xml:space="preserve"> </v>
      </c>
      <c r="E416" s="598" t="str">
        <f t="shared" si="839"/>
        <v xml:space="preserve"> </v>
      </c>
      <c r="F416" s="598" t="str">
        <f t="shared" si="839"/>
        <v xml:space="preserve"> </v>
      </c>
      <c r="G416" s="598" t="str">
        <f t="shared" si="839"/>
        <v xml:space="preserve"> </v>
      </c>
      <c r="H416" s="598" t="str">
        <f t="shared" si="839"/>
        <v xml:space="preserve"> </v>
      </c>
      <c r="I416" s="598" t="str">
        <f t="shared" si="839"/>
        <v xml:space="preserve"> </v>
      </c>
      <c r="J416" s="598" t="str">
        <f t="shared" si="839"/>
        <v xml:space="preserve"> </v>
      </c>
      <c r="K416" s="598" t="str">
        <f t="shared" si="839"/>
        <v xml:space="preserve"> </v>
      </c>
      <c r="L416" s="598" t="str">
        <f t="shared" si="840"/>
        <v xml:space="preserve"> </v>
      </c>
      <c r="M416" s="598" t="str">
        <f t="shared" si="840"/>
        <v xml:space="preserve"> </v>
      </c>
      <c r="N416" s="598" t="str">
        <f t="shared" si="840"/>
        <v xml:space="preserve"> </v>
      </c>
      <c r="O416" s="598" t="str">
        <f t="shared" si="840"/>
        <v xml:space="preserve"> </v>
      </c>
      <c r="P416" s="598" t="str">
        <f t="shared" si="840"/>
        <v xml:space="preserve"> </v>
      </c>
      <c r="Q416" s="598" t="str">
        <f t="shared" si="840"/>
        <v xml:space="preserve"> </v>
      </c>
      <c r="R416" s="598" t="str">
        <f t="shared" si="840"/>
        <v xml:space="preserve"> </v>
      </c>
      <c r="S416" s="598" t="str">
        <f t="shared" si="840"/>
        <v xml:space="preserve"> </v>
      </c>
      <c r="T416" s="598" t="str">
        <f t="shared" si="840"/>
        <v xml:space="preserve"> </v>
      </c>
      <c r="U416" s="598" t="str">
        <f t="shared" si="840"/>
        <v xml:space="preserve"> </v>
      </c>
      <c r="V416" s="598" t="str">
        <f t="shared" si="841"/>
        <v xml:space="preserve"> </v>
      </c>
      <c r="W416" s="598" t="str">
        <f t="shared" si="841"/>
        <v xml:space="preserve"> </v>
      </c>
      <c r="X416" s="598" t="str">
        <f t="shared" si="841"/>
        <v xml:space="preserve"> </v>
      </c>
      <c r="Y416" s="598" t="str">
        <f t="shared" si="841"/>
        <v xml:space="preserve"> </v>
      </c>
      <c r="Z416" s="598" t="str">
        <f t="shared" si="841"/>
        <v xml:space="preserve"> </v>
      </c>
      <c r="AA416" s="598" t="str">
        <f t="shared" si="841"/>
        <v xml:space="preserve"> </v>
      </c>
      <c r="AB416" s="598" t="str">
        <f t="shared" si="841"/>
        <v xml:space="preserve"> </v>
      </c>
      <c r="AC416" s="598" t="str">
        <f t="shared" si="841"/>
        <v xml:space="preserve"> </v>
      </c>
      <c r="AD416" s="598" t="str">
        <f t="shared" si="841"/>
        <v xml:space="preserve"> </v>
      </c>
      <c r="AE416" s="598" t="str">
        <f t="shared" si="841"/>
        <v xml:space="preserve"> </v>
      </c>
      <c r="AF416" s="598" t="str">
        <f t="shared" si="842"/>
        <v xml:space="preserve"> </v>
      </c>
      <c r="AG416" s="598" t="str">
        <f t="shared" si="842"/>
        <v xml:space="preserve"> </v>
      </c>
      <c r="AH416" s="598" t="str">
        <f t="shared" si="842"/>
        <v xml:space="preserve"> </v>
      </c>
      <c r="AI416" s="598" t="str">
        <f t="shared" si="842"/>
        <v xml:space="preserve"> </v>
      </c>
      <c r="AJ416" s="598" t="str">
        <f t="shared" si="842"/>
        <v xml:space="preserve"> </v>
      </c>
      <c r="AK416" s="598" t="str">
        <f t="shared" si="842"/>
        <v xml:space="preserve"> </v>
      </c>
      <c r="AL416" s="598" t="str">
        <f t="shared" si="842"/>
        <v xml:space="preserve"> </v>
      </c>
      <c r="AM416" s="598" t="str">
        <f t="shared" si="842"/>
        <v xml:space="preserve"> </v>
      </c>
      <c r="AN416" s="598" t="str">
        <f t="shared" si="842"/>
        <v xml:space="preserve"> </v>
      </c>
      <c r="AO416" s="598" t="str">
        <f t="shared" si="842"/>
        <v xml:space="preserve"> </v>
      </c>
      <c r="AP416" s="598" t="str">
        <f t="shared" si="842"/>
        <v xml:space="preserve"> </v>
      </c>
      <c r="AQ416" s="598" t="str">
        <f t="shared" si="842"/>
        <v xml:space="preserve"> </v>
      </c>
      <c r="AR416" s="598" t="str">
        <f t="shared" si="842"/>
        <v xml:space="preserve"> </v>
      </c>
      <c r="AS416" s="598" t="str">
        <f t="shared" si="842"/>
        <v xml:space="preserve"> </v>
      </c>
      <c r="AT416" s="598" t="str">
        <f t="shared" si="842"/>
        <v xml:space="preserve"> </v>
      </c>
      <c r="AV416" s="598" t="str">
        <f t="shared" si="843"/>
        <v xml:space="preserve"> </v>
      </c>
      <c r="AW416" s="598" t="str">
        <f t="shared" si="843"/>
        <v xml:space="preserve"> </v>
      </c>
      <c r="AX416" s="598" t="str">
        <f t="shared" si="843"/>
        <v xml:space="preserve"> </v>
      </c>
      <c r="AY416" s="598" t="str">
        <f t="shared" si="843"/>
        <v xml:space="preserve"> </v>
      </c>
      <c r="AZ416" s="598" t="str">
        <f t="shared" si="843"/>
        <v xml:space="preserve"> </v>
      </c>
      <c r="BA416" s="598" t="str">
        <f t="shared" si="843"/>
        <v xml:space="preserve"> </v>
      </c>
      <c r="BB416" s="598" t="str">
        <f t="shared" si="843"/>
        <v xml:space="preserve"> </v>
      </c>
      <c r="BC416" s="598" t="str">
        <f t="shared" si="843"/>
        <v xml:space="preserve"> </v>
      </c>
      <c r="BD416" s="598" t="str">
        <f t="shared" si="843"/>
        <v xml:space="preserve"> </v>
      </c>
      <c r="BE416" s="598" t="str">
        <f t="shared" si="843"/>
        <v xml:space="preserve"> </v>
      </c>
      <c r="BF416" s="598" t="str">
        <f t="shared" si="844"/>
        <v xml:space="preserve"> </v>
      </c>
      <c r="BG416" s="598" t="str">
        <f t="shared" si="844"/>
        <v xml:space="preserve"> </v>
      </c>
      <c r="BH416" s="598" t="str">
        <f t="shared" si="844"/>
        <v xml:space="preserve"> </v>
      </c>
      <c r="BI416" s="598" t="str">
        <f t="shared" si="844"/>
        <v xml:space="preserve"> </v>
      </c>
      <c r="BJ416" s="598" t="str">
        <f t="shared" si="844"/>
        <v xml:space="preserve"> </v>
      </c>
      <c r="BK416" s="598" t="str">
        <f t="shared" si="844"/>
        <v xml:space="preserve"> </v>
      </c>
      <c r="BL416" s="598" t="str">
        <f t="shared" si="844"/>
        <v xml:space="preserve"> </v>
      </c>
      <c r="BM416" s="598" t="str">
        <f t="shared" si="844"/>
        <v xml:space="preserve"> </v>
      </c>
      <c r="BN416" s="598" t="str">
        <f t="shared" si="844"/>
        <v xml:space="preserve"> </v>
      </c>
      <c r="BO416" s="598" t="str">
        <f t="shared" si="844"/>
        <v xml:space="preserve"> </v>
      </c>
      <c r="BP416" s="598" t="str">
        <f t="shared" si="845"/>
        <v xml:space="preserve"> </v>
      </c>
      <c r="BQ416" s="598" t="str">
        <f t="shared" si="845"/>
        <v xml:space="preserve"> </v>
      </c>
      <c r="BR416" s="598" t="str">
        <f t="shared" si="845"/>
        <v xml:space="preserve"> </v>
      </c>
      <c r="BS416" s="598" t="str">
        <f t="shared" si="845"/>
        <v xml:space="preserve"> </v>
      </c>
      <c r="BT416" s="598" t="str">
        <f t="shared" si="845"/>
        <v xml:space="preserve"> </v>
      </c>
      <c r="BU416" s="598" t="str">
        <f t="shared" si="845"/>
        <v xml:space="preserve"> </v>
      </c>
      <c r="BV416" s="598" t="str">
        <f t="shared" si="845"/>
        <v xml:space="preserve"> </v>
      </c>
      <c r="BW416" s="598" t="str">
        <f t="shared" si="845"/>
        <v xml:space="preserve"> </v>
      </c>
      <c r="BX416" s="598" t="str">
        <f t="shared" si="845"/>
        <v xml:space="preserve"> </v>
      </c>
      <c r="BY416" s="598" t="str">
        <f t="shared" si="845"/>
        <v xml:space="preserve"> </v>
      </c>
      <c r="BZ416" s="598" t="str">
        <f t="shared" si="846"/>
        <v xml:space="preserve"> </v>
      </c>
      <c r="CA416" s="598" t="str">
        <f t="shared" si="846"/>
        <v xml:space="preserve"> </v>
      </c>
      <c r="CB416" s="598" t="str">
        <f t="shared" si="846"/>
        <v xml:space="preserve"> </v>
      </c>
      <c r="CC416" s="598" t="str">
        <f t="shared" si="846"/>
        <v xml:space="preserve"> </v>
      </c>
      <c r="CD416" s="598" t="str">
        <f t="shared" si="846"/>
        <v xml:space="preserve"> </v>
      </c>
      <c r="CE416" s="598" t="str">
        <f t="shared" si="846"/>
        <v xml:space="preserve"> </v>
      </c>
      <c r="CF416" s="598" t="str">
        <f t="shared" si="846"/>
        <v xml:space="preserve"> </v>
      </c>
      <c r="CG416" s="598" t="str">
        <f t="shared" si="846"/>
        <v xml:space="preserve"> </v>
      </c>
      <c r="CH416" s="598" t="str">
        <f t="shared" si="846"/>
        <v xml:space="preserve"> </v>
      </c>
      <c r="CI416" s="598" t="str">
        <f t="shared" si="846"/>
        <v xml:space="preserve"> </v>
      </c>
      <c r="CJ416" s="598" t="str">
        <f t="shared" si="846"/>
        <v xml:space="preserve"> </v>
      </c>
      <c r="CK416" s="598" t="str">
        <f t="shared" si="846"/>
        <v xml:space="preserve"> </v>
      </c>
      <c r="CL416" s="598" t="str">
        <f t="shared" si="846"/>
        <v xml:space="preserve"> </v>
      </c>
      <c r="CM416" s="598" t="str">
        <f t="shared" si="846"/>
        <v xml:space="preserve"> </v>
      </c>
      <c r="CN416" s="598" t="str">
        <f t="shared" si="846"/>
        <v xml:space="preserve"> </v>
      </c>
    </row>
    <row r="417" spans="1:92">
      <c r="A417" s="598">
        <v>40</v>
      </c>
      <c r="B417" s="598" t="str">
        <f t="shared" si="839"/>
        <v xml:space="preserve"> </v>
      </c>
      <c r="C417" s="598" t="str">
        <f t="shared" si="839"/>
        <v xml:space="preserve"> </v>
      </c>
      <c r="D417" s="598" t="str">
        <f t="shared" si="839"/>
        <v xml:space="preserve"> </v>
      </c>
      <c r="E417" s="598" t="str">
        <f t="shared" si="839"/>
        <v xml:space="preserve"> </v>
      </c>
      <c r="F417" s="598" t="str">
        <f t="shared" si="839"/>
        <v xml:space="preserve"> </v>
      </c>
      <c r="G417" s="598" t="str">
        <f t="shared" si="839"/>
        <v xml:space="preserve"> </v>
      </c>
      <c r="H417" s="598" t="str">
        <f t="shared" si="839"/>
        <v xml:space="preserve"> </v>
      </c>
      <c r="I417" s="598" t="str">
        <f t="shared" si="839"/>
        <v xml:space="preserve"> </v>
      </c>
      <c r="J417" s="598" t="str">
        <f t="shared" si="839"/>
        <v xml:space="preserve"> </v>
      </c>
      <c r="K417" s="598" t="str">
        <f t="shared" si="839"/>
        <v xml:space="preserve"> </v>
      </c>
      <c r="L417" s="598" t="str">
        <f t="shared" si="840"/>
        <v xml:space="preserve"> </v>
      </c>
      <c r="M417" s="598" t="str">
        <f t="shared" si="840"/>
        <v xml:space="preserve"> </v>
      </c>
      <c r="N417" s="598" t="str">
        <f t="shared" si="840"/>
        <v xml:space="preserve"> </v>
      </c>
      <c r="O417" s="598" t="str">
        <f t="shared" si="840"/>
        <v xml:space="preserve"> </v>
      </c>
      <c r="P417" s="598" t="str">
        <f t="shared" si="840"/>
        <v xml:space="preserve"> </v>
      </c>
      <c r="Q417" s="598" t="str">
        <f t="shared" si="840"/>
        <v xml:space="preserve"> </v>
      </c>
      <c r="R417" s="598" t="str">
        <f t="shared" si="840"/>
        <v xml:space="preserve"> </v>
      </c>
      <c r="S417" s="598" t="str">
        <f t="shared" si="840"/>
        <v xml:space="preserve"> </v>
      </c>
      <c r="T417" s="598" t="str">
        <f t="shared" si="840"/>
        <v xml:space="preserve"> </v>
      </c>
      <c r="U417" s="598" t="str">
        <f t="shared" si="840"/>
        <v xml:space="preserve"> </v>
      </c>
      <c r="V417" s="598" t="str">
        <f t="shared" si="841"/>
        <v xml:space="preserve"> </v>
      </c>
      <c r="W417" s="598" t="str">
        <f t="shared" si="841"/>
        <v xml:space="preserve"> </v>
      </c>
      <c r="X417" s="598" t="str">
        <f t="shared" si="841"/>
        <v xml:space="preserve"> </v>
      </c>
      <c r="Y417" s="598" t="str">
        <f t="shared" si="841"/>
        <v xml:space="preserve"> </v>
      </c>
      <c r="Z417" s="598" t="str">
        <f t="shared" si="841"/>
        <v xml:space="preserve"> </v>
      </c>
      <c r="AA417" s="598" t="str">
        <f t="shared" si="841"/>
        <v xml:space="preserve"> </v>
      </c>
      <c r="AB417" s="598" t="str">
        <f t="shared" si="841"/>
        <v xml:space="preserve"> </v>
      </c>
      <c r="AC417" s="598" t="str">
        <f t="shared" si="841"/>
        <v xml:space="preserve"> </v>
      </c>
      <c r="AD417" s="598" t="str">
        <f t="shared" si="841"/>
        <v xml:space="preserve"> </v>
      </c>
      <c r="AE417" s="598" t="str">
        <f t="shared" si="841"/>
        <v xml:space="preserve"> </v>
      </c>
      <c r="AF417" s="598" t="str">
        <f t="shared" si="842"/>
        <v xml:space="preserve"> </v>
      </c>
      <c r="AG417" s="598" t="str">
        <f t="shared" si="842"/>
        <v xml:space="preserve"> </v>
      </c>
      <c r="AH417" s="598" t="str">
        <f t="shared" si="842"/>
        <v xml:space="preserve"> </v>
      </c>
      <c r="AI417" s="598" t="str">
        <f t="shared" si="842"/>
        <v xml:space="preserve"> </v>
      </c>
      <c r="AJ417" s="598" t="str">
        <f t="shared" si="842"/>
        <v xml:space="preserve"> </v>
      </c>
      <c r="AK417" s="598" t="str">
        <f t="shared" si="842"/>
        <v xml:space="preserve"> </v>
      </c>
      <c r="AL417" s="598" t="str">
        <f t="shared" si="842"/>
        <v xml:space="preserve"> </v>
      </c>
      <c r="AM417" s="598" t="str">
        <f t="shared" si="842"/>
        <v xml:space="preserve"> </v>
      </c>
      <c r="AN417" s="598" t="str">
        <f t="shared" si="842"/>
        <v xml:space="preserve"> </v>
      </c>
      <c r="AO417" s="598" t="str">
        <f t="shared" si="842"/>
        <v xml:space="preserve"> </v>
      </c>
      <c r="AP417" s="598" t="str">
        <f t="shared" si="842"/>
        <v xml:space="preserve"> </v>
      </c>
      <c r="AQ417" s="598" t="str">
        <f t="shared" si="842"/>
        <v xml:space="preserve"> </v>
      </c>
      <c r="AR417" s="598" t="str">
        <f t="shared" si="842"/>
        <v xml:space="preserve"> </v>
      </c>
      <c r="AS417" s="598" t="str">
        <f t="shared" si="842"/>
        <v xml:space="preserve"> </v>
      </c>
      <c r="AT417" s="598" t="str">
        <f t="shared" si="842"/>
        <v xml:space="preserve"> </v>
      </c>
      <c r="AV417" s="598" t="str">
        <f t="shared" si="843"/>
        <v xml:space="preserve"> </v>
      </c>
      <c r="AW417" s="598" t="str">
        <f t="shared" si="843"/>
        <v xml:space="preserve"> </v>
      </c>
      <c r="AX417" s="598" t="str">
        <f t="shared" si="843"/>
        <v xml:space="preserve"> </v>
      </c>
      <c r="AY417" s="598" t="str">
        <f t="shared" si="843"/>
        <v xml:space="preserve"> </v>
      </c>
      <c r="AZ417" s="598" t="str">
        <f t="shared" si="843"/>
        <v xml:space="preserve"> </v>
      </c>
      <c r="BA417" s="598" t="str">
        <f t="shared" si="843"/>
        <v xml:space="preserve"> </v>
      </c>
      <c r="BB417" s="598" t="str">
        <f t="shared" si="843"/>
        <v xml:space="preserve"> </v>
      </c>
      <c r="BC417" s="598" t="str">
        <f t="shared" si="843"/>
        <v xml:space="preserve"> </v>
      </c>
      <c r="BD417" s="598" t="str">
        <f t="shared" si="843"/>
        <v xml:space="preserve"> </v>
      </c>
      <c r="BE417" s="598" t="str">
        <f t="shared" si="843"/>
        <v xml:space="preserve"> </v>
      </c>
      <c r="BF417" s="598" t="str">
        <f t="shared" si="844"/>
        <v xml:space="preserve"> </v>
      </c>
      <c r="BG417" s="598" t="str">
        <f t="shared" si="844"/>
        <v xml:space="preserve"> </v>
      </c>
      <c r="BH417" s="598" t="str">
        <f t="shared" si="844"/>
        <v xml:space="preserve"> </v>
      </c>
      <c r="BI417" s="598" t="str">
        <f t="shared" si="844"/>
        <v xml:space="preserve"> </v>
      </c>
      <c r="BJ417" s="598" t="str">
        <f t="shared" si="844"/>
        <v xml:space="preserve"> </v>
      </c>
      <c r="BK417" s="598" t="str">
        <f t="shared" si="844"/>
        <v xml:space="preserve"> </v>
      </c>
      <c r="BL417" s="598" t="str">
        <f t="shared" si="844"/>
        <v xml:space="preserve"> </v>
      </c>
      <c r="BM417" s="598" t="str">
        <f t="shared" si="844"/>
        <v xml:space="preserve"> </v>
      </c>
      <c r="BN417" s="598" t="str">
        <f t="shared" si="844"/>
        <v xml:space="preserve"> </v>
      </c>
      <c r="BO417" s="598" t="str">
        <f t="shared" si="844"/>
        <v xml:space="preserve"> </v>
      </c>
      <c r="BP417" s="598" t="str">
        <f t="shared" si="845"/>
        <v xml:space="preserve"> </v>
      </c>
      <c r="BQ417" s="598" t="str">
        <f t="shared" si="845"/>
        <v xml:space="preserve"> </v>
      </c>
      <c r="BR417" s="598" t="str">
        <f t="shared" si="845"/>
        <v xml:space="preserve"> </v>
      </c>
      <c r="BS417" s="598" t="str">
        <f t="shared" si="845"/>
        <v xml:space="preserve"> </v>
      </c>
      <c r="BT417" s="598" t="str">
        <f t="shared" si="845"/>
        <v xml:space="preserve"> </v>
      </c>
      <c r="BU417" s="598" t="str">
        <f t="shared" si="845"/>
        <v xml:space="preserve"> </v>
      </c>
      <c r="BV417" s="598" t="str">
        <f t="shared" si="845"/>
        <v xml:space="preserve"> </v>
      </c>
      <c r="BW417" s="598" t="str">
        <f t="shared" si="845"/>
        <v xml:space="preserve"> </v>
      </c>
      <c r="BX417" s="598" t="str">
        <f t="shared" si="845"/>
        <v xml:space="preserve"> </v>
      </c>
      <c r="BY417" s="598" t="str">
        <f t="shared" si="845"/>
        <v xml:space="preserve"> </v>
      </c>
      <c r="BZ417" s="598" t="str">
        <f t="shared" si="846"/>
        <v xml:space="preserve"> </v>
      </c>
      <c r="CA417" s="598" t="str">
        <f t="shared" si="846"/>
        <v xml:space="preserve"> </v>
      </c>
      <c r="CB417" s="598" t="str">
        <f t="shared" si="846"/>
        <v xml:space="preserve"> </v>
      </c>
      <c r="CC417" s="598" t="str">
        <f t="shared" si="846"/>
        <v xml:space="preserve"> </v>
      </c>
      <c r="CD417" s="598" t="str">
        <f t="shared" si="846"/>
        <v xml:space="preserve"> </v>
      </c>
      <c r="CE417" s="598" t="str">
        <f t="shared" si="846"/>
        <v xml:space="preserve"> </v>
      </c>
      <c r="CF417" s="598" t="str">
        <f t="shared" si="846"/>
        <v xml:space="preserve"> </v>
      </c>
      <c r="CG417" s="598" t="str">
        <f t="shared" si="846"/>
        <v xml:space="preserve"> </v>
      </c>
      <c r="CH417" s="598" t="str">
        <f t="shared" si="846"/>
        <v xml:space="preserve"> </v>
      </c>
      <c r="CI417" s="598" t="str">
        <f t="shared" si="846"/>
        <v xml:space="preserve"> </v>
      </c>
      <c r="CJ417" s="598" t="str">
        <f t="shared" si="846"/>
        <v xml:space="preserve"> </v>
      </c>
      <c r="CK417" s="598" t="str">
        <f t="shared" si="846"/>
        <v xml:space="preserve"> </v>
      </c>
      <c r="CL417" s="598" t="str">
        <f t="shared" si="846"/>
        <v xml:space="preserve"> </v>
      </c>
      <c r="CM417" s="598" t="str">
        <f t="shared" si="846"/>
        <v xml:space="preserve"> </v>
      </c>
      <c r="CN417" s="598" t="str">
        <f t="shared" si="846"/>
        <v xml:space="preserve"> </v>
      </c>
    </row>
    <row r="418" spans="1:92">
      <c r="A418" s="598">
        <v>41</v>
      </c>
      <c r="B418" s="598" t="str">
        <f t="shared" si="839"/>
        <v xml:space="preserve"> </v>
      </c>
      <c r="C418" s="598" t="str">
        <f t="shared" si="839"/>
        <v xml:space="preserve"> </v>
      </c>
      <c r="D418" s="598" t="str">
        <f t="shared" si="839"/>
        <v xml:space="preserve"> </v>
      </c>
      <c r="E418" s="598" t="str">
        <f t="shared" si="839"/>
        <v xml:space="preserve"> </v>
      </c>
      <c r="F418" s="598" t="str">
        <f t="shared" si="839"/>
        <v xml:space="preserve"> </v>
      </c>
      <c r="G418" s="598" t="str">
        <f t="shared" si="839"/>
        <v xml:space="preserve"> </v>
      </c>
      <c r="H418" s="598" t="str">
        <f t="shared" si="839"/>
        <v xml:space="preserve"> </v>
      </c>
      <c r="I418" s="598" t="str">
        <f t="shared" si="839"/>
        <v xml:space="preserve"> </v>
      </c>
      <c r="J418" s="598" t="str">
        <f t="shared" si="839"/>
        <v xml:space="preserve"> </v>
      </c>
      <c r="K418" s="598" t="str">
        <f t="shared" si="839"/>
        <v xml:space="preserve"> </v>
      </c>
      <c r="L418" s="598" t="str">
        <f t="shared" si="840"/>
        <v xml:space="preserve"> </v>
      </c>
      <c r="M418" s="598" t="str">
        <f t="shared" si="840"/>
        <v xml:space="preserve"> </v>
      </c>
      <c r="N418" s="598" t="str">
        <f t="shared" si="840"/>
        <v xml:space="preserve"> </v>
      </c>
      <c r="O418" s="598" t="str">
        <f t="shared" si="840"/>
        <v xml:space="preserve"> </v>
      </c>
      <c r="P418" s="598" t="str">
        <f t="shared" si="840"/>
        <v xml:space="preserve"> </v>
      </c>
      <c r="Q418" s="598" t="str">
        <f t="shared" si="840"/>
        <v xml:space="preserve"> </v>
      </c>
      <c r="R418" s="598" t="str">
        <f t="shared" si="840"/>
        <v xml:space="preserve"> </v>
      </c>
      <c r="S418" s="598" t="str">
        <f t="shared" si="840"/>
        <v xml:space="preserve"> </v>
      </c>
      <c r="T418" s="598" t="str">
        <f t="shared" si="840"/>
        <v xml:space="preserve"> </v>
      </c>
      <c r="U418" s="598" t="str">
        <f t="shared" si="840"/>
        <v xml:space="preserve"> </v>
      </c>
      <c r="V418" s="598" t="str">
        <f t="shared" si="841"/>
        <v xml:space="preserve"> </v>
      </c>
      <c r="W418" s="598" t="str">
        <f t="shared" si="841"/>
        <v xml:space="preserve"> </v>
      </c>
      <c r="X418" s="598" t="str">
        <f t="shared" si="841"/>
        <v xml:space="preserve"> </v>
      </c>
      <c r="Y418" s="598" t="str">
        <f t="shared" si="841"/>
        <v xml:space="preserve"> </v>
      </c>
      <c r="Z418" s="598" t="str">
        <f t="shared" si="841"/>
        <v xml:space="preserve"> </v>
      </c>
      <c r="AA418" s="598" t="str">
        <f t="shared" si="841"/>
        <v xml:space="preserve"> </v>
      </c>
      <c r="AB418" s="598" t="str">
        <f t="shared" si="841"/>
        <v xml:space="preserve"> </v>
      </c>
      <c r="AC418" s="598" t="str">
        <f t="shared" si="841"/>
        <v xml:space="preserve"> </v>
      </c>
      <c r="AD418" s="598" t="str">
        <f t="shared" si="841"/>
        <v xml:space="preserve"> </v>
      </c>
      <c r="AE418" s="598" t="str">
        <f t="shared" si="841"/>
        <v xml:space="preserve"> </v>
      </c>
      <c r="AF418" s="598" t="str">
        <f t="shared" si="842"/>
        <v xml:space="preserve"> </v>
      </c>
      <c r="AG418" s="598" t="str">
        <f t="shared" si="842"/>
        <v xml:space="preserve"> </v>
      </c>
      <c r="AH418" s="598" t="str">
        <f t="shared" si="842"/>
        <v xml:space="preserve"> </v>
      </c>
      <c r="AI418" s="598" t="str">
        <f t="shared" si="842"/>
        <v xml:space="preserve"> </v>
      </c>
      <c r="AJ418" s="598" t="str">
        <f t="shared" si="842"/>
        <v xml:space="preserve"> </v>
      </c>
      <c r="AK418" s="598" t="str">
        <f t="shared" si="842"/>
        <v xml:space="preserve"> </v>
      </c>
      <c r="AL418" s="598" t="str">
        <f t="shared" si="842"/>
        <v xml:space="preserve"> </v>
      </c>
      <c r="AM418" s="598" t="str">
        <f t="shared" si="842"/>
        <v xml:space="preserve"> </v>
      </c>
      <c r="AN418" s="598" t="str">
        <f t="shared" si="842"/>
        <v xml:space="preserve"> </v>
      </c>
      <c r="AO418" s="598" t="str">
        <f t="shared" si="842"/>
        <v xml:space="preserve"> </v>
      </c>
      <c r="AP418" s="598" t="str">
        <f t="shared" si="842"/>
        <v xml:space="preserve"> </v>
      </c>
      <c r="AQ418" s="598" t="str">
        <f t="shared" si="842"/>
        <v xml:space="preserve"> </v>
      </c>
      <c r="AR418" s="598" t="str">
        <f t="shared" si="842"/>
        <v xml:space="preserve"> </v>
      </c>
      <c r="AS418" s="598" t="str">
        <f t="shared" si="842"/>
        <v xml:space="preserve"> </v>
      </c>
      <c r="AT418" s="598" t="str">
        <f t="shared" si="842"/>
        <v xml:space="preserve"> </v>
      </c>
      <c r="AV418" s="598" t="str">
        <f t="shared" si="843"/>
        <v xml:space="preserve"> </v>
      </c>
      <c r="AW418" s="598" t="str">
        <f t="shared" si="843"/>
        <v xml:space="preserve"> </v>
      </c>
      <c r="AX418" s="598" t="str">
        <f t="shared" si="843"/>
        <v xml:space="preserve"> </v>
      </c>
      <c r="AY418" s="598" t="str">
        <f t="shared" si="843"/>
        <v xml:space="preserve"> </v>
      </c>
      <c r="AZ418" s="598" t="str">
        <f t="shared" si="843"/>
        <v xml:space="preserve"> </v>
      </c>
      <c r="BA418" s="598" t="str">
        <f t="shared" si="843"/>
        <v xml:space="preserve"> </v>
      </c>
      <c r="BB418" s="598" t="str">
        <f t="shared" si="843"/>
        <v xml:space="preserve"> </v>
      </c>
      <c r="BC418" s="598" t="str">
        <f t="shared" si="843"/>
        <v xml:space="preserve"> </v>
      </c>
      <c r="BD418" s="598" t="str">
        <f t="shared" si="843"/>
        <v xml:space="preserve"> </v>
      </c>
      <c r="BE418" s="598" t="str">
        <f t="shared" si="843"/>
        <v xml:space="preserve"> </v>
      </c>
      <c r="BF418" s="598" t="str">
        <f t="shared" si="844"/>
        <v xml:space="preserve"> </v>
      </c>
      <c r="BG418" s="598" t="str">
        <f t="shared" si="844"/>
        <v xml:space="preserve"> </v>
      </c>
      <c r="BH418" s="598" t="str">
        <f t="shared" si="844"/>
        <v xml:space="preserve"> </v>
      </c>
      <c r="BI418" s="598" t="str">
        <f t="shared" si="844"/>
        <v xml:space="preserve"> </v>
      </c>
      <c r="BJ418" s="598" t="str">
        <f t="shared" si="844"/>
        <v xml:space="preserve"> </v>
      </c>
      <c r="BK418" s="598" t="str">
        <f t="shared" si="844"/>
        <v xml:space="preserve"> </v>
      </c>
      <c r="BL418" s="598" t="str">
        <f t="shared" si="844"/>
        <v xml:space="preserve"> </v>
      </c>
      <c r="BM418" s="598" t="str">
        <f t="shared" si="844"/>
        <v xml:space="preserve"> </v>
      </c>
      <c r="BN418" s="598" t="str">
        <f t="shared" si="844"/>
        <v xml:space="preserve"> </v>
      </c>
      <c r="BO418" s="598" t="str">
        <f t="shared" si="844"/>
        <v xml:space="preserve"> </v>
      </c>
      <c r="BP418" s="598" t="str">
        <f t="shared" si="845"/>
        <v xml:space="preserve"> </v>
      </c>
      <c r="BQ418" s="598" t="str">
        <f t="shared" si="845"/>
        <v xml:space="preserve"> </v>
      </c>
      <c r="BR418" s="598" t="str">
        <f t="shared" si="845"/>
        <v xml:space="preserve"> </v>
      </c>
      <c r="BS418" s="598" t="str">
        <f t="shared" si="845"/>
        <v xml:space="preserve"> </v>
      </c>
      <c r="BT418" s="598" t="str">
        <f t="shared" si="845"/>
        <v xml:space="preserve"> </v>
      </c>
      <c r="BU418" s="598" t="str">
        <f t="shared" si="845"/>
        <v xml:space="preserve"> </v>
      </c>
      <c r="BV418" s="598" t="str">
        <f t="shared" si="845"/>
        <v xml:space="preserve"> </v>
      </c>
      <c r="BW418" s="598" t="str">
        <f t="shared" si="845"/>
        <v xml:space="preserve"> </v>
      </c>
      <c r="BX418" s="598" t="str">
        <f t="shared" si="845"/>
        <v xml:space="preserve"> </v>
      </c>
      <c r="BY418" s="598" t="str">
        <f t="shared" si="845"/>
        <v xml:space="preserve"> </v>
      </c>
      <c r="BZ418" s="598" t="str">
        <f t="shared" si="846"/>
        <v xml:space="preserve"> </v>
      </c>
      <c r="CA418" s="598" t="str">
        <f t="shared" si="846"/>
        <v xml:space="preserve"> </v>
      </c>
      <c r="CB418" s="598" t="str">
        <f t="shared" si="846"/>
        <v xml:space="preserve"> </v>
      </c>
      <c r="CC418" s="598" t="str">
        <f t="shared" si="846"/>
        <v xml:space="preserve"> </v>
      </c>
      <c r="CD418" s="598" t="str">
        <f t="shared" si="846"/>
        <v xml:space="preserve"> </v>
      </c>
      <c r="CE418" s="598" t="str">
        <f t="shared" si="846"/>
        <v xml:space="preserve"> </v>
      </c>
      <c r="CF418" s="598" t="str">
        <f t="shared" si="846"/>
        <v xml:space="preserve"> </v>
      </c>
      <c r="CG418" s="598" t="str">
        <f t="shared" si="846"/>
        <v xml:space="preserve"> </v>
      </c>
      <c r="CH418" s="598" t="str">
        <f t="shared" si="846"/>
        <v xml:space="preserve"> </v>
      </c>
      <c r="CI418" s="598" t="str">
        <f t="shared" si="846"/>
        <v xml:space="preserve"> </v>
      </c>
      <c r="CJ418" s="598" t="str">
        <f t="shared" si="846"/>
        <v xml:space="preserve"> </v>
      </c>
      <c r="CK418" s="598" t="str">
        <f t="shared" si="846"/>
        <v xml:space="preserve"> </v>
      </c>
      <c r="CL418" s="598" t="str">
        <f t="shared" si="846"/>
        <v xml:space="preserve"> </v>
      </c>
      <c r="CM418" s="598" t="str">
        <f t="shared" si="846"/>
        <v xml:space="preserve"> </v>
      </c>
      <c r="CN418" s="598" t="str">
        <f t="shared" si="846"/>
        <v xml:space="preserve"> </v>
      </c>
    </row>
    <row r="419" spans="1:92">
      <c r="A419" s="598">
        <v>42</v>
      </c>
      <c r="B419" s="598" t="str">
        <f t="shared" ref="B419:K428" si="847">HLOOKUP(B$376,$C$255:$S$372,$A419+1)</f>
        <v xml:space="preserve"> </v>
      </c>
      <c r="C419" s="598" t="str">
        <f t="shared" si="847"/>
        <v xml:space="preserve"> </v>
      </c>
      <c r="D419" s="598" t="str">
        <f t="shared" si="847"/>
        <v xml:space="preserve"> </v>
      </c>
      <c r="E419" s="598" t="str">
        <f t="shared" si="847"/>
        <v xml:space="preserve"> </v>
      </c>
      <c r="F419" s="598" t="str">
        <f t="shared" si="847"/>
        <v xml:space="preserve"> </v>
      </c>
      <c r="G419" s="598" t="str">
        <f t="shared" si="847"/>
        <v xml:space="preserve"> </v>
      </c>
      <c r="H419" s="598" t="str">
        <f t="shared" si="847"/>
        <v xml:space="preserve"> </v>
      </c>
      <c r="I419" s="598" t="str">
        <f t="shared" si="847"/>
        <v xml:space="preserve"> </v>
      </c>
      <c r="J419" s="598" t="str">
        <f t="shared" si="847"/>
        <v xml:space="preserve"> </v>
      </c>
      <c r="K419" s="598" t="str">
        <f t="shared" si="847"/>
        <v xml:space="preserve"> </v>
      </c>
      <c r="L419" s="598" t="str">
        <f t="shared" ref="L419:U428" si="848">HLOOKUP(L$376,$C$255:$S$372,$A419+1)</f>
        <v xml:space="preserve"> </v>
      </c>
      <c r="M419" s="598" t="str">
        <f t="shared" si="848"/>
        <v xml:space="preserve"> </v>
      </c>
      <c r="N419" s="598" t="str">
        <f t="shared" si="848"/>
        <v xml:space="preserve"> </v>
      </c>
      <c r="O419" s="598" t="str">
        <f t="shared" si="848"/>
        <v xml:space="preserve"> </v>
      </c>
      <c r="P419" s="598" t="str">
        <f t="shared" si="848"/>
        <v xml:space="preserve"> </v>
      </c>
      <c r="Q419" s="598" t="str">
        <f t="shared" si="848"/>
        <v xml:space="preserve"> </v>
      </c>
      <c r="R419" s="598" t="str">
        <f t="shared" si="848"/>
        <v xml:space="preserve"> </v>
      </c>
      <c r="S419" s="598" t="str">
        <f t="shared" si="848"/>
        <v xml:space="preserve"> </v>
      </c>
      <c r="T419" s="598" t="str">
        <f t="shared" si="848"/>
        <v xml:space="preserve"> </v>
      </c>
      <c r="U419" s="598" t="str">
        <f t="shared" si="848"/>
        <v xml:space="preserve"> </v>
      </c>
      <c r="V419" s="598" t="str">
        <f t="shared" ref="V419:AE428" si="849">HLOOKUP(V$376,$C$255:$S$372,$A419+1)</f>
        <v xml:space="preserve"> </v>
      </c>
      <c r="W419" s="598" t="str">
        <f t="shared" si="849"/>
        <v xml:space="preserve"> </v>
      </c>
      <c r="X419" s="598" t="str">
        <f t="shared" si="849"/>
        <v xml:space="preserve"> </v>
      </c>
      <c r="Y419" s="598" t="str">
        <f t="shared" si="849"/>
        <v xml:space="preserve"> </v>
      </c>
      <c r="Z419" s="598" t="str">
        <f t="shared" si="849"/>
        <v xml:space="preserve"> </v>
      </c>
      <c r="AA419" s="598" t="str">
        <f t="shared" si="849"/>
        <v xml:space="preserve"> </v>
      </c>
      <c r="AB419" s="598" t="str">
        <f t="shared" si="849"/>
        <v xml:space="preserve"> </v>
      </c>
      <c r="AC419" s="598" t="str">
        <f t="shared" si="849"/>
        <v xml:space="preserve"> </v>
      </c>
      <c r="AD419" s="598" t="str">
        <f t="shared" si="849"/>
        <v xml:space="preserve"> </v>
      </c>
      <c r="AE419" s="598" t="str">
        <f t="shared" si="849"/>
        <v xml:space="preserve"> </v>
      </c>
      <c r="AF419" s="598" t="str">
        <f t="shared" ref="AF419:AT428" si="850">HLOOKUP(AF$376,$C$255:$S$372,$A419+1)</f>
        <v xml:space="preserve"> </v>
      </c>
      <c r="AG419" s="598" t="str">
        <f t="shared" si="850"/>
        <v xml:space="preserve"> </v>
      </c>
      <c r="AH419" s="598" t="str">
        <f t="shared" si="850"/>
        <v xml:space="preserve"> </v>
      </c>
      <c r="AI419" s="598" t="str">
        <f t="shared" si="850"/>
        <v xml:space="preserve"> </v>
      </c>
      <c r="AJ419" s="598" t="str">
        <f t="shared" si="850"/>
        <v xml:space="preserve"> </v>
      </c>
      <c r="AK419" s="598" t="str">
        <f t="shared" si="850"/>
        <v xml:space="preserve"> </v>
      </c>
      <c r="AL419" s="598" t="str">
        <f t="shared" si="850"/>
        <v xml:space="preserve"> </v>
      </c>
      <c r="AM419" s="598" t="str">
        <f t="shared" si="850"/>
        <v xml:space="preserve"> </v>
      </c>
      <c r="AN419" s="598" t="str">
        <f t="shared" si="850"/>
        <v xml:space="preserve"> </v>
      </c>
      <c r="AO419" s="598" t="str">
        <f t="shared" si="850"/>
        <v xml:space="preserve"> </v>
      </c>
      <c r="AP419" s="598" t="str">
        <f t="shared" si="850"/>
        <v xml:space="preserve"> </v>
      </c>
      <c r="AQ419" s="598" t="str">
        <f t="shared" si="850"/>
        <v xml:space="preserve"> </v>
      </c>
      <c r="AR419" s="598" t="str">
        <f t="shared" si="850"/>
        <v xml:space="preserve"> </v>
      </c>
      <c r="AS419" s="598" t="str">
        <f t="shared" si="850"/>
        <v xml:space="preserve"> </v>
      </c>
      <c r="AT419" s="598" t="str">
        <f t="shared" si="850"/>
        <v xml:space="preserve"> </v>
      </c>
      <c r="AV419" s="598" t="str">
        <f t="shared" ref="AV419:BE428" si="851">HLOOKUP(AV$376,$C$255:$S$372,$A419+1)</f>
        <v xml:space="preserve"> </v>
      </c>
      <c r="AW419" s="598" t="str">
        <f t="shared" si="851"/>
        <v xml:space="preserve"> </v>
      </c>
      <c r="AX419" s="598" t="str">
        <f t="shared" si="851"/>
        <v xml:space="preserve"> </v>
      </c>
      <c r="AY419" s="598" t="str">
        <f t="shared" si="851"/>
        <v xml:space="preserve"> </v>
      </c>
      <c r="AZ419" s="598" t="str">
        <f t="shared" si="851"/>
        <v xml:space="preserve"> </v>
      </c>
      <c r="BA419" s="598" t="str">
        <f t="shared" si="851"/>
        <v xml:space="preserve"> </v>
      </c>
      <c r="BB419" s="598" t="str">
        <f t="shared" si="851"/>
        <v xml:space="preserve"> </v>
      </c>
      <c r="BC419" s="598" t="str">
        <f t="shared" si="851"/>
        <v xml:space="preserve"> </v>
      </c>
      <c r="BD419" s="598" t="str">
        <f t="shared" si="851"/>
        <v xml:space="preserve"> </v>
      </c>
      <c r="BE419" s="598" t="str">
        <f t="shared" si="851"/>
        <v xml:space="preserve"> </v>
      </c>
      <c r="BF419" s="598" t="str">
        <f t="shared" ref="BF419:BO428" si="852">HLOOKUP(BF$376,$C$255:$S$372,$A419+1)</f>
        <v xml:space="preserve"> </v>
      </c>
      <c r="BG419" s="598" t="str">
        <f t="shared" si="852"/>
        <v xml:space="preserve"> </v>
      </c>
      <c r="BH419" s="598" t="str">
        <f t="shared" si="852"/>
        <v xml:space="preserve"> </v>
      </c>
      <c r="BI419" s="598" t="str">
        <f t="shared" si="852"/>
        <v xml:space="preserve"> </v>
      </c>
      <c r="BJ419" s="598" t="str">
        <f t="shared" si="852"/>
        <v xml:space="preserve"> </v>
      </c>
      <c r="BK419" s="598" t="str">
        <f t="shared" si="852"/>
        <v xml:space="preserve"> </v>
      </c>
      <c r="BL419" s="598" t="str">
        <f t="shared" si="852"/>
        <v xml:space="preserve"> </v>
      </c>
      <c r="BM419" s="598" t="str">
        <f t="shared" si="852"/>
        <v xml:space="preserve"> </v>
      </c>
      <c r="BN419" s="598" t="str">
        <f t="shared" si="852"/>
        <v xml:space="preserve"> </v>
      </c>
      <c r="BO419" s="598" t="str">
        <f t="shared" si="852"/>
        <v xml:space="preserve"> </v>
      </c>
      <c r="BP419" s="598" t="str">
        <f t="shared" ref="BP419:BY428" si="853">HLOOKUP(BP$376,$C$255:$S$372,$A419+1)</f>
        <v xml:space="preserve"> </v>
      </c>
      <c r="BQ419" s="598" t="str">
        <f t="shared" si="853"/>
        <v xml:space="preserve"> </v>
      </c>
      <c r="BR419" s="598" t="str">
        <f t="shared" si="853"/>
        <v xml:space="preserve"> </v>
      </c>
      <c r="BS419" s="598" t="str">
        <f t="shared" si="853"/>
        <v xml:space="preserve"> </v>
      </c>
      <c r="BT419" s="598" t="str">
        <f t="shared" si="853"/>
        <v xml:space="preserve"> </v>
      </c>
      <c r="BU419" s="598" t="str">
        <f t="shared" si="853"/>
        <v xml:space="preserve"> </v>
      </c>
      <c r="BV419" s="598" t="str">
        <f t="shared" si="853"/>
        <v xml:space="preserve"> </v>
      </c>
      <c r="BW419" s="598" t="str">
        <f t="shared" si="853"/>
        <v xml:space="preserve"> </v>
      </c>
      <c r="BX419" s="598" t="str">
        <f t="shared" si="853"/>
        <v xml:space="preserve"> </v>
      </c>
      <c r="BY419" s="598" t="str">
        <f t="shared" si="853"/>
        <v xml:space="preserve"> </v>
      </c>
      <c r="BZ419" s="598" t="str">
        <f t="shared" ref="BZ419:CN428" si="854">HLOOKUP(BZ$376,$C$255:$S$372,$A419+1)</f>
        <v xml:space="preserve"> </v>
      </c>
      <c r="CA419" s="598" t="str">
        <f t="shared" si="854"/>
        <v xml:space="preserve"> </v>
      </c>
      <c r="CB419" s="598" t="str">
        <f t="shared" si="854"/>
        <v xml:space="preserve"> </v>
      </c>
      <c r="CC419" s="598" t="str">
        <f t="shared" si="854"/>
        <v xml:space="preserve"> </v>
      </c>
      <c r="CD419" s="598" t="str">
        <f t="shared" si="854"/>
        <v xml:space="preserve"> </v>
      </c>
      <c r="CE419" s="598" t="str">
        <f t="shared" si="854"/>
        <v xml:space="preserve"> </v>
      </c>
      <c r="CF419" s="598" t="str">
        <f t="shared" si="854"/>
        <v xml:space="preserve"> </v>
      </c>
      <c r="CG419" s="598" t="str">
        <f t="shared" si="854"/>
        <v xml:space="preserve"> </v>
      </c>
      <c r="CH419" s="598" t="str">
        <f t="shared" si="854"/>
        <v xml:space="preserve"> </v>
      </c>
      <c r="CI419" s="598" t="str">
        <f t="shared" si="854"/>
        <v xml:space="preserve"> </v>
      </c>
      <c r="CJ419" s="598" t="str">
        <f t="shared" si="854"/>
        <v xml:space="preserve"> </v>
      </c>
      <c r="CK419" s="598" t="str">
        <f t="shared" si="854"/>
        <v xml:space="preserve"> </v>
      </c>
      <c r="CL419" s="598" t="str">
        <f t="shared" si="854"/>
        <v xml:space="preserve"> </v>
      </c>
      <c r="CM419" s="598" t="str">
        <f t="shared" si="854"/>
        <v xml:space="preserve"> </v>
      </c>
      <c r="CN419" s="598" t="str">
        <f t="shared" si="854"/>
        <v xml:space="preserve"> </v>
      </c>
    </row>
    <row r="420" spans="1:92">
      <c r="A420" s="598">
        <v>43</v>
      </c>
      <c r="B420" s="598" t="str">
        <f t="shared" si="847"/>
        <v xml:space="preserve"> </v>
      </c>
      <c r="C420" s="598" t="str">
        <f t="shared" si="847"/>
        <v xml:space="preserve"> </v>
      </c>
      <c r="D420" s="598" t="str">
        <f t="shared" si="847"/>
        <v xml:space="preserve"> </v>
      </c>
      <c r="E420" s="598" t="str">
        <f t="shared" si="847"/>
        <v xml:space="preserve"> </v>
      </c>
      <c r="F420" s="598" t="str">
        <f t="shared" si="847"/>
        <v xml:space="preserve"> </v>
      </c>
      <c r="G420" s="598" t="str">
        <f t="shared" si="847"/>
        <v xml:space="preserve"> </v>
      </c>
      <c r="H420" s="598" t="str">
        <f t="shared" si="847"/>
        <v xml:space="preserve"> </v>
      </c>
      <c r="I420" s="598" t="str">
        <f t="shared" si="847"/>
        <v xml:space="preserve"> </v>
      </c>
      <c r="J420" s="598" t="str">
        <f t="shared" si="847"/>
        <v xml:space="preserve"> </v>
      </c>
      <c r="K420" s="598" t="str">
        <f t="shared" si="847"/>
        <v xml:space="preserve"> </v>
      </c>
      <c r="L420" s="598" t="str">
        <f t="shared" si="848"/>
        <v xml:space="preserve"> </v>
      </c>
      <c r="M420" s="598" t="str">
        <f t="shared" si="848"/>
        <v xml:space="preserve"> </v>
      </c>
      <c r="N420" s="598" t="str">
        <f t="shared" si="848"/>
        <v xml:space="preserve"> </v>
      </c>
      <c r="O420" s="598" t="str">
        <f t="shared" si="848"/>
        <v xml:space="preserve"> </v>
      </c>
      <c r="P420" s="598" t="str">
        <f t="shared" si="848"/>
        <v xml:space="preserve"> </v>
      </c>
      <c r="Q420" s="598" t="str">
        <f t="shared" si="848"/>
        <v xml:space="preserve"> </v>
      </c>
      <c r="R420" s="598" t="str">
        <f t="shared" si="848"/>
        <v xml:space="preserve"> </v>
      </c>
      <c r="S420" s="598" t="str">
        <f t="shared" si="848"/>
        <v xml:space="preserve"> </v>
      </c>
      <c r="T420" s="598" t="str">
        <f t="shared" si="848"/>
        <v xml:space="preserve"> </v>
      </c>
      <c r="U420" s="598" t="str">
        <f t="shared" si="848"/>
        <v xml:space="preserve"> </v>
      </c>
      <c r="V420" s="598" t="str">
        <f t="shared" si="849"/>
        <v xml:space="preserve"> </v>
      </c>
      <c r="W420" s="598" t="str">
        <f t="shared" si="849"/>
        <v xml:space="preserve"> </v>
      </c>
      <c r="X420" s="598" t="str">
        <f t="shared" si="849"/>
        <v xml:space="preserve"> </v>
      </c>
      <c r="Y420" s="598" t="str">
        <f t="shared" si="849"/>
        <v xml:space="preserve"> </v>
      </c>
      <c r="Z420" s="598" t="str">
        <f t="shared" si="849"/>
        <v xml:space="preserve"> </v>
      </c>
      <c r="AA420" s="598" t="str">
        <f t="shared" si="849"/>
        <v xml:space="preserve"> </v>
      </c>
      <c r="AB420" s="598" t="str">
        <f t="shared" si="849"/>
        <v xml:space="preserve"> </v>
      </c>
      <c r="AC420" s="598" t="str">
        <f t="shared" si="849"/>
        <v xml:space="preserve"> </v>
      </c>
      <c r="AD420" s="598" t="str">
        <f t="shared" si="849"/>
        <v xml:space="preserve"> </v>
      </c>
      <c r="AE420" s="598" t="str">
        <f t="shared" si="849"/>
        <v xml:space="preserve"> </v>
      </c>
      <c r="AF420" s="598" t="str">
        <f t="shared" si="850"/>
        <v xml:space="preserve"> </v>
      </c>
      <c r="AG420" s="598" t="str">
        <f t="shared" si="850"/>
        <v xml:space="preserve"> </v>
      </c>
      <c r="AH420" s="598" t="str">
        <f t="shared" si="850"/>
        <v xml:space="preserve"> </v>
      </c>
      <c r="AI420" s="598" t="str">
        <f t="shared" si="850"/>
        <v xml:space="preserve"> </v>
      </c>
      <c r="AJ420" s="598" t="str">
        <f t="shared" si="850"/>
        <v xml:space="preserve"> </v>
      </c>
      <c r="AK420" s="598" t="str">
        <f t="shared" si="850"/>
        <v xml:space="preserve"> </v>
      </c>
      <c r="AL420" s="598" t="str">
        <f t="shared" si="850"/>
        <v xml:space="preserve"> </v>
      </c>
      <c r="AM420" s="598" t="str">
        <f t="shared" si="850"/>
        <v xml:space="preserve"> </v>
      </c>
      <c r="AN420" s="598" t="str">
        <f t="shared" si="850"/>
        <v xml:space="preserve"> </v>
      </c>
      <c r="AO420" s="598" t="str">
        <f t="shared" si="850"/>
        <v xml:space="preserve"> </v>
      </c>
      <c r="AP420" s="598" t="str">
        <f t="shared" si="850"/>
        <v xml:space="preserve"> </v>
      </c>
      <c r="AQ420" s="598" t="str">
        <f t="shared" si="850"/>
        <v xml:space="preserve"> </v>
      </c>
      <c r="AR420" s="598" t="str">
        <f t="shared" si="850"/>
        <v xml:space="preserve"> </v>
      </c>
      <c r="AS420" s="598" t="str">
        <f t="shared" si="850"/>
        <v xml:space="preserve"> </v>
      </c>
      <c r="AT420" s="598" t="str">
        <f t="shared" si="850"/>
        <v xml:space="preserve"> </v>
      </c>
      <c r="AV420" s="598" t="str">
        <f t="shared" si="851"/>
        <v xml:space="preserve"> </v>
      </c>
      <c r="AW420" s="598" t="str">
        <f t="shared" si="851"/>
        <v xml:space="preserve"> </v>
      </c>
      <c r="AX420" s="598" t="str">
        <f t="shared" si="851"/>
        <v xml:space="preserve"> </v>
      </c>
      <c r="AY420" s="598" t="str">
        <f t="shared" si="851"/>
        <v xml:space="preserve"> </v>
      </c>
      <c r="AZ420" s="598" t="str">
        <f t="shared" si="851"/>
        <v xml:space="preserve"> </v>
      </c>
      <c r="BA420" s="598" t="str">
        <f t="shared" si="851"/>
        <v xml:space="preserve"> </v>
      </c>
      <c r="BB420" s="598" t="str">
        <f t="shared" si="851"/>
        <v xml:space="preserve"> </v>
      </c>
      <c r="BC420" s="598" t="str">
        <f t="shared" si="851"/>
        <v xml:space="preserve"> </v>
      </c>
      <c r="BD420" s="598" t="str">
        <f t="shared" si="851"/>
        <v xml:space="preserve"> </v>
      </c>
      <c r="BE420" s="598" t="str">
        <f t="shared" si="851"/>
        <v xml:space="preserve"> </v>
      </c>
      <c r="BF420" s="598" t="str">
        <f t="shared" si="852"/>
        <v xml:space="preserve"> </v>
      </c>
      <c r="BG420" s="598" t="str">
        <f t="shared" si="852"/>
        <v xml:space="preserve"> </v>
      </c>
      <c r="BH420" s="598" t="str">
        <f t="shared" si="852"/>
        <v xml:space="preserve"> </v>
      </c>
      <c r="BI420" s="598" t="str">
        <f t="shared" si="852"/>
        <v xml:space="preserve"> </v>
      </c>
      <c r="BJ420" s="598" t="str">
        <f t="shared" si="852"/>
        <v xml:space="preserve"> </v>
      </c>
      <c r="BK420" s="598" t="str">
        <f t="shared" si="852"/>
        <v xml:space="preserve"> </v>
      </c>
      <c r="BL420" s="598" t="str">
        <f t="shared" si="852"/>
        <v xml:space="preserve"> </v>
      </c>
      <c r="BM420" s="598" t="str">
        <f t="shared" si="852"/>
        <v xml:space="preserve"> </v>
      </c>
      <c r="BN420" s="598" t="str">
        <f t="shared" si="852"/>
        <v xml:space="preserve"> </v>
      </c>
      <c r="BO420" s="598" t="str">
        <f t="shared" si="852"/>
        <v xml:space="preserve"> </v>
      </c>
      <c r="BP420" s="598" t="str">
        <f t="shared" si="853"/>
        <v xml:space="preserve"> </v>
      </c>
      <c r="BQ420" s="598" t="str">
        <f t="shared" si="853"/>
        <v xml:space="preserve"> </v>
      </c>
      <c r="BR420" s="598" t="str">
        <f t="shared" si="853"/>
        <v xml:space="preserve"> </v>
      </c>
      <c r="BS420" s="598" t="str">
        <f t="shared" si="853"/>
        <v xml:space="preserve"> </v>
      </c>
      <c r="BT420" s="598" t="str">
        <f t="shared" si="853"/>
        <v xml:space="preserve"> </v>
      </c>
      <c r="BU420" s="598" t="str">
        <f t="shared" si="853"/>
        <v xml:space="preserve"> </v>
      </c>
      <c r="BV420" s="598" t="str">
        <f t="shared" si="853"/>
        <v xml:space="preserve"> </v>
      </c>
      <c r="BW420" s="598" t="str">
        <f t="shared" si="853"/>
        <v xml:space="preserve"> </v>
      </c>
      <c r="BX420" s="598" t="str">
        <f t="shared" si="853"/>
        <v xml:space="preserve"> </v>
      </c>
      <c r="BY420" s="598" t="str">
        <f t="shared" si="853"/>
        <v xml:space="preserve"> </v>
      </c>
      <c r="BZ420" s="598" t="str">
        <f t="shared" si="854"/>
        <v xml:space="preserve"> </v>
      </c>
      <c r="CA420" s="598" t="str">
        <f t="shared" si="854"/>
        <v xml:space="preserve"> </v>
      </c>
      <c r="CB420" s="598" t="str">
        <f t="shared" si="854"/>
        <v xml:space="preserve"> </v>
      </c>
      <c r="CC420" s="598" t="str">
        <f t="shared" si="854"/>
        <v xml:space="preserve"> </v>
      </c>
      <c r="CD420" s="598" t="str">
        <f t="shared" si="854"/>
        <v xml:space="preserve"> </v>
      </c>
      <c r="CE420" s="598" t="str">
        <f t="shared" si="854"/>
        <v xml:space="preserve"> </v>
      </c>
      <c r="CF420" s="598" t="str">
        <f t="shared" si="854"/>
        <v xml:space="preserve"> </v>
      </c>
      <c r="CG420" s="598" t="str">
        <f t="shared" si="854"/>
        <v xml:space="preserve"> </v>
      </c>
      <c r="CH420" s="598" t="str">
        <f t="shared" si="854"/>
        <v xml:space="preserve"> </v>
      </c>
      <c r="CI420" s="598" t="str">
        <f t="shared" si="854"/>
        <v xml:space="preserve"> </v>
      </c>
      <c r="CJ420" s="598" t="str">
        <f t="shared" si="854"/>
        <v xml:space="preserve"> </v>
      </c>
      <c r="CK420" s="598" t="str">
        <f t="shared" si="854"/>
        <v xml:space="preserve"> </v>
      </c>
      <c r="CL420" s="598" t="str">
        <f t="shared" si="854"/>
        <v xml:space="preserve"> </v>
      </c>
      <c r="CM420" s="598" t="str">
        <f t="shared" si="854"/>
        <v xml:space="preserve"> </v>
      </c>
      <c r="CN420" s="598" t="str">
        <f t="shared" si="854"/>
        <v xml:space="preserve"> </v>
      </c>
    </row>
    <row r="421" spans="1:92">
      <c r="A421" s="598">
        <v>44</v>
      </c>
      <c r="B421" s="598" t="str">
        <f t="shared" si="847"/>
        <v xml:space="preserve"> </v>
      </c>
      <c r="C421" s="598" t="str">
        <f t="shared" si="847"/>
        <v xml:space="preserve"> </v>
      </c>
      <c r="D421" s="598" t="str">
        <f t="shared" si="847"/>
        <v xml:space="preserve"> </v>
      </c>
      <c r="E421" s="598" t="str">
        <f t="shared" si="847"/>
        <v xml:space="preserve"> </v>
      </c>
      <c r="F421" s="598" t="str">
        <f t="shared" si="847"/>
        <v xml:space="preserve"> </v>
      </c>
      <c r="G421" s="598" t="str">
        <f t="shared" si="847"/>
        <v xml:space="preserve"> </v>
      </c>
      <c r="H421" s="598" t="str">
        <f t="shared" si="847"/>
        <v xml:space="preserve"> </v>
      </c>
      <c r="I421" s="598" t="str">
        <f t="shared" si="847"/>
        <v xml:space="preserve"> </v>
      </c>
      <c r="J421" s="598" t="str">
        <f t="shared" si="847"/>
        <v xml:space="preserve"> </v>
      </c>
      <c r="K421" s="598" t="str">
        <f t="shared" si="847"/>
        <v xml:space="preserve"> </v>
      </c>
      <c r="L421" s="598" t="str">
        <f t="shared" si="848"/>
        <v xml:space="preserve"> </v>
      </c>
      <c r="M421" s="598" t="str">
        <f t="shared" si="848"/>
        <v xml:space="preserve"> </v>
      </c>
      <c r="N421" s="598" t="str">
        <f t="shared" si="848"/>
        <v xml:space="preserve"> </v>
      </c>
      <c r="O421" s="598" t="str">
        <f t="shared" si="848"/>
        <v xml:space="preserve"> </v>
      </c>
      <c r="P421" s="598" t="str">
        <f t="shared" si="848"/>
        <v xml:space="preserve"> </v>
      </c>
      <c r="Q421" s="598" t="str">
        <f t="shared" si="848"/>
        <v xml:space="preserve"> </v>
      </c>
      <c r="R421" s="598" t="str">
        <f t="shared" si="848"/>
        <v xml:space="preserve"> </v>
      </c>
      <c r="S421" s="598" t="str">
        <f t="shared" si="848"/>
        <v xml:space="preserve"> </v>
      </c>
      <c r="T421" s="598" t="str">
        <f t="shared" si="848"/>
        <v xml:space="preserve"> </v>
      </c>
      <c r="U421" s="598" t="str">
        <f t="shared" si="848"/>
        <v xml:space="preserve"> </v>
      </c>
      <c r="V421" s="598" t="str">
        <f t="shared" si="849"/>
        <v xml:space="preserve"> </v>
      </c>
      <c r="W421" s="598" t="str">
        <f t="shared" si="849"/>
        <v xml:space="preserve"> </v>
      </c>
      <c r="X421" s="598" t="str">
        <f t="shared" si="849"/>
        <v xml:space="preserve"> </v>
      </c>
      <c r="Y421" s="598" t="str">
        <f t="shared" si="849"/>
        <v xml:space="preserve"> </v>
      </c>
      <c r="Z421" s="598" t="str">
        <f t="shared" si="849"/>
        <v xml:space="preserve"> </v>
      </c>
      <c r="AA421" s="598" t="str">
        <f t="shared" si="849"/>
        <v xml:space="preserve"> </v>
      </c>
      <c r="AB421" s="598" t="str">
        <f t="shared" si="849"/>
        <v xml:space="preserve"> </v>
      </c>
      <c r="AC421" s="598" t="str">
        <f t="shared" si="849"/>
        <v xml:space="preserve"> </v>
      </c>
      <c r="AD421" s="598" t="str">
        <f t="shared" si="849"/>
        <v xml:space="preserve"> </v>
      </c>
      <c r="AE421" s="598" t="str">
        <f t="shared" si="849"/>
        <v xml:space="preserve"> </v>
      </c>
      <c r="AF421" s="598" t="str">
        <f t="shared" si="850"/>
        <v xml:space="preserve"> </v>
      </c>
      <c r="AG421" s="598" t="str">
        <f t="shared" si="850"/>
        <v xml:space="preserve"> </v>
      </c>
      <c r="AH421" s="598" t="str">
        <f t="shared" si="850"/>
        <v xml:space="preserve"> </v>
      </c>
      <c r="AI421" s="598" t="str">
        <f t="shared" si="850"/>
        <v xml:space="preserve"> </v>
      </c>
      <c r="AJ421" s="598" t="str">
        <f t="shared" si="850"/>
        <v xml:space="preserve"> </v>
      </c>
      <c r="AK421" s="598" t="str">
        <f t="shared" si="850"/>
        <v xml:space="preserve"> </v>
      </c>
      <c r="AL421" s="598" t="str">
        <f t="shared" si="850"/>
        <v xml:space="preserve"> </v>
      </c>
      <c r="AM421" s="598" t="str">
        <f t="shared" si="850"/>
        <v xml:space="preserve"> </v>
      </c>
      <c r="AN421" s="598" t="str">
        <f t="shared" si="850"/>
        <v xml:space="preserve"> </v>
      </c>
      <c r="AO421" s="598" t="str">
        <f t="shared" si="850"/>
        <v xml:space="preserve"> </v>
      </c>
      <c r="AP421" s="598" t="str">
        <f t="shared" si="850"/>
        <v xml:space="preserve"> </v>
      </c>
      <c r="AQ421" s="598" t="str">
        <f t="shared" si="850"/>
        <v xml:space="preserve"> </v>
      </c>
      <c r="AR421" s="598" t="str">
        <f t="shared" si="850"/>
        <v xml:space="preserve"> </v>
      </c>
      <c r="AS421" s="598" t="str">
        <f t="shared" si="850"/>
        <v xml:space="preserve"> </v>
      </c>
      <c r="AT421" s="598" t="str">
        <f t="shared" si="850"/>
        <v xml:space="preserve"> </v>
      </c>
      <c r="AV421" s="598" t="str">
        <f t="shared" si="851"/>
        <v xml:space="preserve"> </v>
      </c>
      <c r="AW421" s="598" t="str">
        <f t="shared" si="851"/>
        <v xml:space="preserve"> </v>
      </c>
      <c r="AX421" s="598" t="str">
        <f t="shared" si="851"/>
        <v xml:space="preserve"> </v>
      </c>
      <c r="AY421" s="598" t="str">
        <f t="shared" si="851"/>
        <v xml:space="preserve"> </v>
      </c>
      <c r="AZ421" s="598" t="str">
        <f t="shared" si="851"/>
        <v xml:space="preserve"> </v>
      </c>
      <c r="BA421" s="598" t="str">
        <f t="shared" si="851"/>
        <v xml:space="preserve"> </v>
      </c>
      <c r="BB421" s="598" t="str">
        <f t="shared" si="851"/>
        <v xml:space="preserve"> </v>
      </c>
      <c r="BC421" s="598" t="str">
        <f t="shared" si="851"/>
        <v xml:space="preserve"> </v>
      </c>
      <c r="BD421" s="598" t="str">
        <f t="shared" si="851"/>
        <v xml:space="preserve"> </v>
      </c>
      <c r="BE421" s="598" t="str">
        <f t="shared" si="851"/>
        <v xml:space="preserve"> </v>
      </c>
      <c r="BF421" s="598" t="str">
        <f t="shared" si="852"/>
        <v xml:space="preserve"> </v>
      </c>
      <c r="BG421" s="598" t="str">
        <f t="shared" si="852"/>
        <v xml:space="preserve"> </v>
      </c>
      <c r="BH421" s="598" t="str">
        <f t="shared" si="852"/>
        <v xml:space="preserve"> </v>
      </c>
      <c r="BI421" s="598" t="str">
        <f t="shared" si="852"/>
        <v xml:space="preserve"> </v>
      </c>
      <c r="BJ421" s="598" t="str">
        <f t="shared" si="852"/>
        <v xml:space="preserve"> </v>
      </c>
      <c r="BK421" s="598" t="str">
        <f t="shared" si="852"/>
        <v xml:space="preserve"> </v>
      </c>
      <c r="BL421" s="598" t="str">
        <f t="shared" si="852"/>
        <v xml:space="preserve"> </v>
      </c>
      <c r="BM421" s="598" t="str">
        <f t="shared" si="852"/>
        <v xml:space="preserve"> </v>
      </c>
      <c r="BN421" s="598" t="str">
        <f t="shared" si="852"/>
        <v xml:space="preserve"> </v>
      </c>
      <c r="BO421" s="598" t="str">
        <f t="shared" si="852"/>
        <v xml:space="preserve"> </v>
      </c>
      <c r="BP421" s="598" t="str">
        <f t="shared" si="853"/>
        <v xml:space="preserve"> </v>
      </c>
      <c r="BQ421" s="598" t="str">
        <f t="shared" si="853"/>
        <v xml:space="preserve"> </v>
      </c>
      <c r="BR421" s="598" t="str">
        <f t="shared" si="853"/>
        <v xml:space="preserve"> </v>
      </c>
      <c r="BS421" s="598" t="str">
        <f t="shared" si="853"/>
        <v xml:space="preserve"> </v>
      </c>
      <c r="BT421" s="598" t="str">
        <f t="shared" si="853"/>
        <v xml:space="preserve"> </v>
      </c>
      <c r="BU421" s="598" t="str">
        <f t="shared" si="853"/>
        <v xml:space="preserve"> </v>
      </c>
      <c r="BV421" s="598" t="str">
        <f t="shared" si="853"/>
        <v xml:space="preserve"> </v>
      </c>
      <c r="BW421" s="598" t="str">
        <f t="shared" si="853"/>
        <v xml:space="preserve"> </v>
      </c>
      <c r="BX421" s="598" t="str">
        <f t="shared" si="853"/>
        <v xml:space="preserve"> </v>
      </c>
      <c r="BY421" s="598" t="str">
        <f t="shared" si="853"/>
        <v xml:space="preserve"> </v>
      </c>
      <c r="BZ421" s="598" t="str">
        <f t="shared" si="854"/>
        <v xml:space="preserve"> </v>
      </c>
      <c r="CA421" s="598" t="str">
        <f t="shared" si="854"/>
        <v xml:space="preserve"> </v>
      </c>
      <c r="CB421" s="598" t="str">
        <f t="shared" si="854"/>
        <v xml:space="preserve"> </v>
      </c>
      <c r="CC421" s="598" t="str">
        <f t="shared" si="854"/>
        <v xml:space="preserve"> </v>
      </c>
      <c r="CD421" s="598" t="str">
        <f t="shared" si="854"/>
        <v xml:space="preserve"> </v>
      </c>
      <c r="CE421" s="598" t="str">
        <f t="shared" si="854"/>
        <v xml:space="preserve"> </v>
      </c>
      <c r="CF421" s="598" t="str">
        <f t="shared" si="854"/>
        <v xml:space="preserve"> </v>
      </c>
      <c r="CG421" s="598" t="str">
        <f t="shared" si="854"/>
        <v xml:space="preserve"> </v>
      </c>
      <c r="CH421" s="598" t="str">
        <f t="shared" si="854"/>
        <v xml:space="preserve"> </v>
      </c>
      <c r="CI421" s="598" t="str">
        <f t="shared" si="854"/>
        <v xml:space="preserve"> </v>
      </c>
      <c r="CJ421" s="598" t="str">
        <f t="shared" si="854"/>
        <v xml:space="preserve"> </v>
      </c>
      <c r="CK421" s="598" t="str">
        <f t="shared" si="854"/>
        <v xml:space="preserve"> </v>
      </c>
      <c r="CL421" s="598" t="str">
        <f t="shared" si="854"/>
        <v xml:space="preserve"> </v>
      </c>
      <c r="CM421" s="598" t="str">
        <f t="shared" si="854"/>
        <v xml:space="preserve"> </v>
      </c>
      <c r="CN421" s="598" t="str">
        <f t="shared" si="854"/>
        <v xml:space="preserve"> </v>
      </c>
    </row>
    <row r="422" spans="1:92">
      <c r="A422" s="598">
        <v>45</v>
      </c>
      <c r="B422" s="598" t="str">
        <f t="shared" si="847"/>
        <v xml:space="preserve"> </v>
      </c>
      <c r="C422" s="598" t="str">
        <f t="shared" si="847"/>
        <v xml:space="preserve"> </v>
      </c>
      <c r="D422" s="598" t="str">
        <f t="shared" si="847"/>
        <v xml:space="preserve"> </v>
      </c>
      <c r="E422" s="598" t="str">
        <f t="shared" si="847"/>
        <v xml:space="preserve"> </v>
      </c>
      <c r="F422" s="598" t="str">
        <f t="shared" si="847"/>
        <v xml:space="preserve"> </v>
      </c>
      <c r="G422" s="598" t="str">
        <f t="shared" si="847"/>
        <v xml:space="preserve"> </v>
      </c>
      <c r="H422" s="598" t="str">
        <f t="shared" si="847"/>
        <v xml:space="preserve"> </v>
      </c>
      <c r="I422" s="598" t="str">
        <f t="shared" si="847"/>
        <v xml:space="preserve"> </v>
      </c>
      <c r="J422" s="598" t="str">
        <f t="shared" si="847"/>
        <v xml:space="preserve"> </v>
      </c>
      <c r="K422" s="598" t="str">
        <f t="shared" si="847"/>
        <v xml:space="preserve"> </v>
      </c>
      <c r="L422" s="598" t="str">
        <f t="shared" si="848"/>
        <v xml:space="preserve"> </v>
      </c>
      <c r="M422" s="598" t="str">
        <f t="shared" si="848"/>
        <v xml:space="preserve"> </v>
      </c>
      <c r="N422" s="598" t="str">
        <f t="shared" si="848"/>
        <v xml:space="preserve"> </v>
      </c>
      <c r="O422" s="598" t="str">
        <f t="shared" si="848"/>
        <v xml:space="preserve"> </v>
      </c>
      <c r="P422" s="598" t="str">
        <f t="shared" si="848"/>
        <v xml:space="preserve"> </v>
      </c>
      <c r="Q422" s="598" t="str">
        <f t="shared" si="848"/>
        <v xml:space="preserve"> </v>
      </c>
      <c r="R422" s="598" t="str">
        <f t="shared" si="848"/>
        <v xml:space="preserve"> </v>
      </c>
      <c r="S422" s="598" t="str">
        <f t="shared" si="848"/>
        <v xml:space="preserve"> </v>
      </c>
      <c r="T422" s="598" t="str">
        <f t="shared" si="848"/>
        <v xml:space="preserve"> </v>
      </c>
      <c r="U422" s="598" t="str">
        <f t="shared" si="848"/>
        <v xml:space="preserve"> </v>
      </c>
      <c r="V422" s="598" t="str">
        <f t="shared" si="849"/>
        <v xml:space="preserve"> </v>
      </c>
      <c r="W422" s="598" t="str">
        <f t="shared" si="849"/>
        <v xml:space="preserve"> </v>
      </c>
      <c r="X422" s="598" t="str">
        <f t="shared" si="849"/>
        <v xml:space="preserve"> </v>
      </c>
      <c r="Y422" s="598" t="str">
        <f t="shared" si="849"/>
        <v xml:space="preserve"> </v>
      </c>
      <c r="Z422" s="598" t="str">
        <f t="shared" si="849"/>
        <v xml:space="preserve"> </v>
      </c>
      <c r="AA422" s="598" t="str">
        <f t="shared" si="849"/>
        <v xml:space="preserve"> </v>
      </c>
      <c r="AB422" s="598" t="str">
        <f t="shared" si="849"/>
        <v xml:space="preserve"> </v>
      </c>
      <c r="AC422" s="598" t="str">
        <f t="shared" si="849"/>
        <v xml:space="preserve"> </v>
      </c>
      <c r="AD422" s="598" t="str">
        <f t="shared" si="849"/>
        <v xml:space="preserve"> </v>
      </c>
      <c r="AE422" s="598" t="str">
        <f t="shared" si="849"/>
        <v xml:space="preserve"> </v>
      </c>
      <c r="AF422" s="598" t="str">
        <f t="shared" si="850"/>
        <v xml:space="preserve"> </v>
      </c>
      <c r="AG422" s="598" t="str">
        <f t="shared" si="850"/>
        <v xml:space="preserve"> </v>
      </c>
      <c r="AH422" s="598" t="str">
        <f t="shared" si="850"/>
        <v xml:space="preserve"> </v>
      </c>
      <c r="AI422" s="598" t="str">
        <f t="shared" si="850"/>
        <v xml:space="preserve"> </v>
      </c>
      <c r="AJ422" s="598" t="str">
        <f t="shared" si="850"/>
        <v xml:space="preserve"> </v>
      </c>
      <c r="AK422" s="598" t="str">
        <f t="shared" si="850"/>
        <v xml:space="preserve"> </v>
      </c>
      <c r="AL422" s="598" t="str">
        <f t="shared" si="850"/>
        <v xml:space="preserve"> </v>
      </c>
      <c r="AM422" s="598" t="str">
        <f t="shared" si="850"/>
        <v xml:space="preserve"> </v>
      </c>
      <c r="AN422" s="598" t="str">
        <f t="shared" si="850"/>
        <v xml:space="preserve"> </v>
      </c>
      <c r="AO422" s="598" t="str">
        <f t="shared" si="850"/>
        <v xml:space="preserve"> </v>
      </c>
      <c r="AP422" s="598" t="str">
        <f t="shared" si="850"/>
        <v xml:space="preserve"> </v>
      </c>
      <c r="AQ422" s="598" t="str">
        <f t="shared" si="850"/>
        <v xml:space="preserve"> </v>
      </c>
      <c r="AR422" s="598" t="str">
        <f t="shared" si="850"/>
        <v xml:space="preserve"> </v>
      </c>
      <c r="AS422" s="598" t="str">
        <f t="shared" si="850"/>
        <v xml:space="preserve"> </v>
      </c>
      <c r="AT422" s="598" t="str">
        <f t="shared" si="850"/>
        <v xml:space="preserve"> </v>
      </c>
      <c r="AV422" s="598" t="str">
        <f t="shared" si="851"/>
        <v xml:space="preserve"> </v>
      </c>
      <c r="AW422" s="598" t="str">
        <f t="shared" si="851"/>
        <v xml:space="preserve"> </v>
      </c>
      <c r="AX422" s="598" t="str">
        <f t="shared" si="851"/>
        <v xml:space="preserve"> </v>
      </c>
      <c r="AY422" s="598" t="str">
        <f t="shared" si="851"/>
        <v xml:space="preserve"> </v>
      </c>
      <c r="AZ422" s="598" t="str">
        <f t="shared" si="851"/>
        <v xml:space="preserve"> </v>
      </c>
      <c r="BA422" s="598" t="str">
        <f t="shared" si="851"/>
        <v xml:space="preserve"> </v>
      </c>
      <c r="BB422" s="598" t="str">
        <f t="shared" si="851"/>
        <v xml:space="preserve"> </v>
      </c>
      <c r="BC422" s="598" t="str">
        <f t="shared" si="851"/>
        <v xml:space="preserve"> </v>
      </c>
      <c r="BD422" s="598" t="str">
        <f t="shared" si="851"/>
        <v xml:space="preserve"> </v>
      </c>
      <c r="BE422" s="598" t="str">
        <f t="shared" si="851"/>
        <v xml:space="preserve"> </v>
      </c>
      <c r="BF422" s="598" t="str">
        <f t="shared" si="852"/>
        <v xml:space="preserve"> </v>
      </c>
      <c r="BG422" s="598" t="str">
        <f t="shared" si="852"/>
        <v xml:space="preserve"> </v>
      </c>
      <c r="BH422" s="598" t="str">
        <f t="shared" si="852"/>
        <v xml:space="preserve"> </v>
      </c>
      <c r="BI422" s="598" t="str">
        <f t="shared" si="852"/>
        <v xml:space="preserve"> </v>
      </c>
      <c r="BJ422" s="598" t="str">
        <f t="shared" si="852"/>
        <v xml:space="preserve"> </v>
      </c>
      <c r="BK422" s="598" t="str">
        <f t="shared" si="852"/>
        <v xml:space="preserve"> </v>
      </c>
      <c r="BL422" s="598" t="str">
        <f t="shared" si="852"/>
        <v xml:space="preserve"> </v>
      </c>
      <c r="BM422" s="598" t="str">
        <f t="shared" si="852"/>
        <v xml:space="preserve"> </v>
      </c>
      <c r="BN422" s="598" t="str">
        <f t="shared" si="852"/>
        <v xml:space="preserve"> </v>
      </c>
      <c r="BO422" s="598" t="str">
        <f t="shared" si="852"/>
        <v xml:space="preserve"> </v>
      </c>
      <c r="BP422" s="598" t="str">
        <f t="shared" si="853"/>
        <v xml:space="preserve"> </v>
      </c>
      <c r="BQ422" s="598" t="str">
        <f t="shared" si="853"/>
        <v xml:space="preserve"> </v>
      </c>
      <c r="BR422" s="598" t="str">
        <f t="shared" si="853"/>
        <v xml:space="preserve"> </v>
      </c>
      <c r="BS422" s="598" t="str">
        <f t="shared" si="853"/>
        <v xml:space="preserve"> </v>
      </c>
      <c r="BT422" s="598" t="str">
        <f t="shared" si="853"/>
        <v xml:space="preserve"> </v>
      </c>
      <c r="BU422" s="598" t="str">
        <f t="shared" si="853"/>
        <v xml:space="preserve"> </v>
      </c>
      <c r="BV422" s="598" t="str">
        <f t="shared" si="853"/>
        <v xml:space="preserve"> </v>
      </c>
      <c r="BW422" s="598" t="str">
        <f t="shared" si="853"/>
        <v xml:space="preserve"> </v>
      </c>
      <c r="BX422" s="598" t="str">
        <f t="shared" si="853"/>
        <v xml:space="preserve"> </v>
      </c>
      <c r="BY422" s="598" t="str">
        <f t="shared" si="853"/>
        <v xml:space="preserve"> </v>
      </c>
      <c r="BZ422" s="598" t="str">
        <f t="shared" si="854"/>
        <v xml:space="preserve"> </v>
      </c>
      <c r="CA422" s="598" t="str">
        <f t="shared" si="854"/>
        <v xml:space="preserve"> </v>
      </c>
      <c r="CB422" s="598" t="str">
        <f t="shared" si="854"/>
        <v xml:space="preserve"> </v>
      </c>
      <c r="CC422" s="598" t="str">
        <f t="shared" si="854"/>
        <v xml:space="preserve"> </v>
      </c>
      <c r="CD422" s="598" t="str">
        <f t="shared" si="854"/>
        <v xml:space="preserve"> </v>
      </c>
      <c r="CE422" s="598" t="str">
        <f t="shared" si="854"/>
        <v xml:space="preserve"> </v>
      </c>
      <c r="CF422" s="598" t="str">
        <f t="shared" si="854"/>
        <v xml:space="preserve"> </v>
      </c>
      <c r="CG422" s="598" t="str">
        <f t="shared" si="854"/>
        <v xml:space="preserve"> </v>
      </c>
      <c r="CH422" s="598" t="str">
        <f t="shared" si="854"/>
        <v xml:space="preserve"> </v>
      </c>
      <c r="CI422" s="598" t="str">
        <f t="shared" si="854"/>
        <v xml:space="preserve"> </v>
      </c>
      <c r="CJ422" s="598" t="str">
        <f t="shared" si="854"/>
        <v xml:space="preserve"> </v>
      </c>
      <c r="CK422" s="598" t="str">
        <f t="shared" si="854"/>
        <v xml:space="preserve"> </v>
      </c>
      <c r="CL422" s="598" t="str">
        <f t="shared" si="854"/>
        <v xml:space="preserve"> </v>
      </c>
      <c r="CM422" s="598" t="str">
        <f t="shared" si="854"/>
        <v xml:space="preserve"> </v>
      </c>
      <c r="CN422" s="598" t="str">
        <f t="shared" si="854"/>
        <v xml:space="preserve"> </v>
      </c>
    </row>
    <row r="423" spans="1:92">
      <c r="A423" s="598">
        <v>46</v>
      </c>
      <c r="B423" s="598" t="str">
        <f t="shared" si="847"/>
        <v xml:space="preserve"> </v>
      </c>
      <c r="C423" s="598" t="str">
        <f t="shared" si="847"/>
        <v xml:space="preserve"> </v>
      </c>
      <c r="D423" s="598" t="str">
        <f t="shared" si="847"/>
        <v xml:space="preserve"> </v>
      </c>
      <c r="E423" s="598" t="str">
        <f t="shared" si="847"/>
        <v xml:space="preserve"> </v>
      </c>
      <c r="F423" s="598" t="str">
        <f t="shared" si="847"/>
        <v xml:space="preserve"> </v>
      </c>
      <c r="G423" s="598" t="str">
        <f t="shared" si="847"/>
        <v xml:space="preserve"> </v>
      </c>
      <c r="H423" s="598" t="str">
        <f t="shared" si="847"/>
        <v xml:space="preserve"> </v>
      </c>
      <c r="I423" s="598" t="str">
        <f t="shared" si="847"/>
        <v xml:space="preserve"> </v>
      </c>
      <c r="J423" s="598" t="str">
        <f t="shared" si="847"/>
        <v xml:space="preserve"> </v>
      </c>
      <c r="K423" s="598" t="str">
        <f t="shared" si="847"/>
        <v xml:space="preserve"> </v>
      </c>
      <c r="L423" s="598" t="str">
        <f t="shared" si="848"/>
        <v xml:space="preserve"> </v>
      </c>
      <c r="M423" s="598" t="str">
        <f t="shared" si="848"/>
        <v xml:space="preserve"> </v>
      </c>
      <c r="N423" s="598" t="str">
        <f t="shared" si="848"/>
        <v xml:space="preserve"> </v>
      </c>
      <c r="O423" s="598" t="str">
        <f t="shared" si="848"/>
        <v xml:space="preserve"> </v>
      </c>
      <c r="P423" s="598" t="str">
        <f t="shared" si="848"/>
        <v xml:space="preserve"> </v>
      </c>
      <c r="Q423" s="598" t="str">
        <f t="shared" si="848"/>
        <v xml:space="preserve"> </v>
      </c>
      <c r="R423" s="598" t="str">
        <f t="shared" si="848"/>
        <v xml:space="preserve"> </v>
      </c>
      <c r="S423" s="598" t="str">
        <f t="shared" si="848"/>
        <v xml:space="preserve"> </v>
      </c>
      <c r="T423" s="598" t="str">
        <f t="shared" si="848"/>
        <v xml:space="preserve"> </v>
      </c>
      <c r="U423" s="598" t="str">
        <f t="shared" si="848"/>
        <v xml:space="preserve"> </v>
      </c>
      <c r="V423" s="598" t="str">
        <f t="shared" si="849"/>
        <v xml:space="preserve"> </v>
      </c>
      <c r="W423" s="598" t="str">
        <f t="shared" si="849"/>
        <v xml:space="preserve"> </v>
      </c>
      <c r="X423" s="598" t="str">
        <f t="shared" si="849"/>
        <v xml:space="preserve"> </v>
      </c>
      <c r="Y423" s="598" t="str">
        <f t="shared" si="849"/>
        <v xml:space="preserve"> </v>
      </c>
      <c r="Z423" s="598" t="str">
        <f t="shared" si="849"/>
        <v xml:space="preserve"> </v>
      </c>
      <c r="AA423" s="598" t="str">
        <f t="shared" si="849"/>
        <v xml:space="preserve"> </v>
      </c>
      <c r="AB423" s="598" t="str">
        <f t="shared" si="849"/>
        <v xml:space="preserve"> </v>
      </c>
      <c r="AC423" s="598" t="str">
        <f t="shared" si="849"/>
        <v xml:space="preserve"> </v>
      </c>
      <c r="AD423" s="598" t="str">
        <f t="shared" si="849"/>
        <v xml:space="preserve"> </v>
      </c>
      <c r="AE423" s="598" t="str">
        <f t="shared" si="849"/>
        <v xml:space="preserve"> </v>
      </c>
      <c r="AF423" s="598" t="str">
        <f t="shared" si="850"/>
        <v xml:space="preserve"> </v>
      </c>
      <c r="AG423" s="598" t="str">
        <f t="shared" si="850"/>
        <v xml:space="preserve"> </v>
      </c>
      <c r="AH423" s="598" t="str">
        <f t="shared" si="850"/>
        <v xml:space="preserve"> </v>
      </c>
      <c r="AI423" s="598" t="str">
        <f t="shared" si="850"/>
        <v xml:space="preserve"> </v>
      </c>
      <c r="AJ423" s="598" t="str">
        <f t="shared" si="850"/>
        <v xml:space="preserve"> </v>
      </c>
      <c r="AK423" s="598" t="str">
        <f t="shared" si="850"/>
        <v xml:space="preserve"> </v>
      </c>
      <c r="AL423" s="598" t="str">
        <f t="shared" si="850"/>
        <v xml:space="preserve"> </v>
      </c>
      <c r="AM423" s="598" t="str">
        <f t="shared" si="850"/>
        <v xml:space="preserve"> </v>
      </c>
      <c r="AN423" s="598" t="str">
        <f t="shared" si="850"/>
        <v xml:space="preserve"> </v>
      </c>
      <c r="AO423" s="598" t="str">
        <f t="shared" si="850"/>
        <v xml:space="preserve"> </v>
      </c>
      <c r="AP423" s="598" t="str">
        <f t="shared" si="850"/>
        <v xml:space="preserve"> </v>
      </c>
      <c r="AQ423" s="598" t="str">
        <f t="shared" si="850"/>
        <v xml:space="preserve"> </v>
      </c>
      <c r="AR423" s="598" t="str">
        <f t="shared" si="850"/>
        <v xml:space="preserve"> </v>
      </c>
      <c r="AS423" s="598" t="str">
        <f t="shared" si="850"/>
        <v xml:space="preserve"> </v>
      </c>
      <c r="AT423" s="598" t="str">
        <f t="shared" si="850"/>
        <v xml:space="preserve"> </v>
      </c>
      <c r="AV423" s="598" t="str">
        <f t="shared" si="851"/>
        <v xml:space="preserve"> </v>
      </c>
      <c r="AW423" s="598" t="str">
        <f t="shared" si="851"/>
        <v xml:space="preserve"> </v>
      </c>
      <c r="AX423" s="598" t="str">
        <f t="shared" si="851"/>
        <v xml:space="preserve"> </v>
      </c>
      <c r="AY423" s="598" t="str">
        <f t="shared" si="851"/>
        <v xml:space="preserve"> </v>
      </c>
      <c r="AZ423" s="598" t="str">
        <f t="shared" si="851"/>
        <v xml:space="preserve"> </v>
      </c>
      <c r="BA423" s="598" t="str">
        <f t="shared" si="851"/>
        <v xml:space="preserve"> </v>
      </c>
      <c r="BB423" s="598" t="str">
        <f t="shared" si="851"/>
        <v xml:space="preserve"> </v>
      </c>
      <c r="BC423" s="598" t="str">
        <f t="shared" si="851"/>
        <v xml:space="preserve"> </v>
      </c>
      <c r="BD423" s="598" t="str">
        <f t="shared" si="851"/>
        <v xml:space="preserve"> </v>
      </c>
      <c r="BE423" s="598" t="str">
        <f t="shared" si="851"/>
        <v xml:space="preserve"> </v>
      </c>
      <c r="BF423" s="598" t="str">
        <f t="shared" si="852"/>
        <v xml:space="preserve"> </v>
      </c>
      <c r="BG423" s="598" t="str">
        <f t="shared" si="852"/>
        <v xml:space="preserve"> </v>
      </c>
      <c r="BH423" s="598" t="str">
        <f t="shared" si="852"/>
        <v xml:space="preserve"> </v>
      </c>
      <c r="BI423" s="598" t="str">
        <f t="shared" si="852"/>
        <v xml:space="preserve"> </v>
      </c>
      <c r="BJ423" s="598" t="str">
        <f t="shared" si="852"/>
        <v xml:space="preserve"> </v>
      </c>
      <c r="BK423" s="598" t="str">
        <f t="shared" si="852"/>
        <v xml:space="preserve"> </v>
      </c>
      <c r="BL423" s="598" t="str">
        <f t="shared" si="852"/>
        <v xml:space="preserve"> </v>
      </c>
      <c r="BM423" s="598" t="str">
        <f t="shared" si="852"/>
        <v xml:space="preserve"> </v>
      </c>
      <c r="BN423" s="598" t="str">
        <f t="shared" si="852"/>
        <v xml:space="preserve"> </v>
      </c>
      <c r="BO423" s="598" t="str">
        <f t="shared" si="852"/>
        <v xml:space="preserve"> </v>
      </c>
      <c r="BP423" s="598" t="str">
        <f t="shared" si="853"/>
        <v xml:space="preserve"> </v>
      </c>
      <c r="BQ423" s="598" t="str">
        <f t="shared" si="853"/>
        <v xml:space="preserve"> </v>
      </c>
      <c r="BR423" s="598" t="str">
        <f t="shared" si="853"/>
        <v xml:space="preserve"> </v>
      </c>
      <c r="BS423" s="598" t="str">
        <f t="shared" si="853"/>
        <v xml:space="preserve"> </v>
      </c>
      <c r="BT423" s="598" t="str">
        <f t="shared" si="853"/>
        <v xml:space="preserve"> </v>
      </c>
      <c r="BU423" s="598" t="str">
        <f t="shared" si="853"/>
        <v xml:space="preserve"> </v>
      </c>
      <c r="BV423" s="598" t="str">
        <f t="shared" si="853"/>
        <v xml:space="preserve"> </v>
      </c>
      <c r="BW423" s="598" t="str">
        <f t="shared" si="853"/>
        <v xml:space="preserve"> </v>
      </c>
      <c r="BX423" s="598" t="str">
        <f t="shared" si="853"/>
        <v xml:space="preserve"> </v>
      </c>
      <c r="BY423" s="598" t="str">
        <f t="shared" si="853"/>
        <v xml:space="preserve"> </v>
      </c>
      <c r="BZ423" s="598" t="str">
        <f t="shared" si="854"/>
        <v xml:space="preserve"> </v>
      </c>
      <c r="CA423" s="598" t="str">
        <f t="shared" si="854"/>
        <v xml:space="preserve"> </v>
      </c>
      <c r="CB423" s="598" t="str">
        <f t="shared" si="854"/>
        <v xml:space="preserve"> </v>
      </c>
      <c r="CC423" s="598" t="str">
        <f t="shared" si="854"/>
        <v xml:space="preserve"> </v>
      </c>
      <c r="CD423" s="598" t="str">
        <f t="shared" si="854"/>
        <v xml:space="preserve"> </v>
      </c>
      <c r="CE423" s="598" t="str">
        <f t="shared" si="854"/>
        <v xml:space="preserve"> </v>
      </c>
      <c r="CF423" s="598" t="str">
        <f t="shared" si="854"/>
        <v xml:space="preserve"> </v>
      </c>
      <c r="CG423" s="598" t="str">
        <f t="shared" si="854"/>
        <v xml:space="preserve"> </v>
      </c>
      <c r="CH423" s="598" t="str">
        <f t="shared" si="854"/>
        <v xml:space="preserve"> </v>
      </c>
      <c r="CI423" s="598" t="str">
        <f t="shared" si="854"/>
        <v xml:space="preserve"> </v>
      </c>
      <c r="CJ423" s="598" t="str">
        <f t="shared" si="854"/>
        <v xml:space="preserve"> </v>
      </c>
      <c r="CK423" s="598" t="str">
        <f t="shared" si="854"/>
        <v xml:space="preserve"> </v>
      </c>
      <c r="CL423" s="598" t="str">
        <f t="shared" si="854"/>
        <v xml:space="preserve"> </v>
      </c>
      <c r="CM423" s="598" t="str">
        <f t="shared" si="854"/>
        <v xml:space="preserve"> </v>
      </c>
      <c r="CN423" s="598" t="str">
        <f t="shared" si="854"/>
        <v xml:space="preserve"> </v>
      </c>
    </row>
    <row r="424" spans="1:92">
      <c r="A424" s="598">
        <v>47</v>
      </c>
      <c r="B424" s="598" t="str">
        <f t="shared" si="847"/>
        <v xml:space="preserve"> </v>
      </c>
      <c r="C424" s="598" t="str">
        <f t="shared" si="847"/>
        <v xml:space="preserve"> </v>
      </c>
      <c r="D424" s="598" t="str">
        <f t="shared" si="847"/>
        <v xml:space="preserve"> </v>
      </c>
      <c r="E424" s="598" t="str">
        <f t="shared" si="847"/>
        <v xml:space="preserve"> </v>
      </c>
      <c r="F424" s="598" t="str">
        <f t="shared" si="847"/>
        <v xml:space="preserve"> </v>
      </c>
      <c r="G424" s="598" t="str">
        <f t="shared" si="847"/>
        <v xml:space="preserve"> </v>
      </c>
      <c r="H424" s="598" t="str">
        <f t="shared" si="847"/>
        <v xml:space="preserve"> </v>
      </c>
      <c r="I424" s="598" t="str">
        <f t="shared" si="847"/>
        <v xml:space="preserve"> </v>
      </c>
      <c r="J424" s="598" t="str">
        <f t="shared" si="847"/>
        <v xml:space="preserve"> </v>
      </c>
      <c r="K424" s="598" t="str">
        <f t="shared" si="847"/>
        <v xml:space="preserve"> </v>
      </c>
      <c r="L424" s="598" t="str">
        <f t="shared" si="848"/>
        <v xml:space="preserve"> </v>
      </c>
      <c r="M424" s="598" t="str">
        <f t="shared" si="848"/>
        <v xml:space="preserve"> </v>
      </c>
      <c r="N424" s="598" t="str">
        <f t="shared" si="848"/>
        <v xml:space="preserve"> </v>
      </c>
      <c r="O424" s="598" t="str">
        <f t="shared" si="848"/>
        <v xml:space="preserve"> </v>
      </c>
      <c r="P424" s="598" t="str">
        <f t="shared" si="848"/>
        <v xml:space="preserve"> </v>
      </c>
      <c r="Q424" s="598" t="str">
        <f t="shared" si="848"/>
        <v xml:space="preserve"> </v>
      </c>
      <c r="R424" s="598" t="str">
        <f t="shared" si="848"/>
        <v xml:space="preserve"> </v>
      </c>
      <c r="S424" s="598" t="str">
        <f t="shared" si="848"/>
        <v xml:space="preserve"> </v>
      </c>
      <c r="T424" s="598" t="str">
        <f t="shared" si="848"/>
        <v xml:space="preserve"> </v>
      </c>
      <c r="U424" s="598" t="str">
        <f t="shared" si="848"/>
        <v xml:space="preserve"> </v>
      </c>
      <c r="V424" s="598" t="str">
        <f t="shared" si="849"/>
        <v xml:space="preserve"> </v>
      </c>
      <c r="W424" s="598" t="str">
        <f t="shared" si="849"/>
        <v xml:space="preserve"> </v>
      </c>
      <c r="X424" s="598" t="str">
        <f t="shared" si="849"/>
        <v xml:space="preserve"> </v>
      </c>
      <c r="Y424" s="598" t="str">
        <f t="shared" si="849"/>
        <v xml:space="preserve"> </v>
      </c>
      <c r="Z424" s="598" t="str">
        <f t="shared" si="849"/>
        <v xml:space="preserve"> </v>
      </c>
      <c r="AA424" s="598" t="str">
        <f t="shared" si="849"/>
        <v xml:space="preserve"> </v>
      </c>
      <c r="AB424" s="598" t="str">
        <f t="shared" si="849"/>
        <v xml:space="preserve"> </v>
      </c>
      <c r="AC424" s="598" t="str">
        <f t="shared" si="849"/>
        <v xml:space="preserve"> </v>
      </c>
      <c r="AD424" s="598" t="str">
        <f t="shared" si="849"/>
        <v xml:space="preserve"> </v>
      </c>
      <c r="AE424" s="598" t="str">
        <f t="shared" si="849"/>
        <v xml:space="preserve"> </v>
      </c>
      <c r="AF424" s="598" t="str">
        <f t="shared" si="850"/>
        <v xml:space="preserve"> </v>
      </c>
      <c r="AG424" s="598" t="str">
        <f t="shared" si="850"/>
        <v xml:space="preserve"> </v>
      </c>
      <c r="AH424" s="598" t="str">
        <f t="shared" si="850"/>
        <v xml:space="preserve"> </v>
      </c>
      <c r="AI424" s="598" t="str">
        <f t="shared" si="850"/>
        <v xml:space="preserve"> </v>
      </c>
      <c r="AJ424" s="598" t="str">
        <f t="shared" si="850"/>
        <v xml:space="preserve"> </v>
      </c>
      <c r="AK424" s="598" t="str">
        <f t="shared" si="850"/>
        <v xml:space="preserve"> </v>
      </c>
      <c r="AL424" s="598" t="str">
        <f t="shared" si="850"/>
        <v xml:space="preserve"> </v>
      </c>
      <c r="AM424" s="598" t="str">
        <f t="shared" si="850"/>
        <v xml:space="preserve"> </v>
      </c>
      <c r="AN424" s="598" t="str">
        <f t="shared" si="850"/>
        <v xml:space="preserve"> </v>
      </c>
      <c r="AO424" s="598" t="str">
        <f t="shared" si="850"/>
        <v xml:space="preserve"> </v>
      </c>
      <c r="AP424" s="598" t="str">
        <f t="shared" si="850"/>
        <v xml:space="preserve"> </v>
      </c>
      <c r="AQ424" s="598" t="str">
        <f t="shared" si="850"/>
        <v xml:space="preserve"> </v>
      </c>
      <c r="AR424" s="598" t="str">
        <f t="shared" si="850"/>
        <v xml:space="preserve"> </v>
      </c>
      <c r="AS424" s="598" t="str">
        <f t="shared" si="850"/>
        <v xml:space="preserve"> </v>
      </c>
      <c r="AT424" s="598" t="str">
        <f t="shared" si="850"/>
        <v xml:space="preserve"> </v>
      </c>
      <c r="AV424" s="598" t="str">
        <f t="shared" si="851"/>
        <v xml:space="preserve"> </v>
      </c>
      <c r="AW424" s="598" t="str">
        <f t="shared" si="851"/>
        <v xml:space="preserve"> </v>
      </c>
      <c r="AX424" s="598" t="str">
        <f t="shared" si="851"/>
        <v xml:space="preserve"> </v>
      </c>
      <c r="AY424" s="598" t="str">
        <f t="shared" si="851"/>
        <v xml:space="preserve"> </v>
      </c>
      <c r="AZ424" s="598" t="str">
        <f t="shared" si="851"/>
        <v xml:space="preserve"> </v>
      </c>
      <c r="BA424" s="598" t="str">
        <f t="shared" si="851"/>
        <v xml:space="preserve"> </v>
      </c>
      <c r="BB424" s="598" t="str">
        <f t="shared" si="851"/>
        <v xml:space="preserve"> </v>
      </c>
      <c r="BC424" s="598" t="str">
        <f t="shared" si="851"/>
        <v xml:space="preserve"> </v>
      </c>
      <c r="BD424" s="598" t="str">
        <f t="shared" si="851"/>
        <v xml:space="preserve"> </v>
      </c>
      <c r="BE424" s="598" t="str">
        <f t="shared" si="851"/>
        <v xml:space="preserve"> </v>
      </c>
      <c r="BF424" s="598" t="str">
        <f t="shared" si="852"/>
        <v xml:space="preserve"> </v>
      </c>
      <c r="BG424" s="598" t="str">
        <f t="shared" si="852"/>
        <v xml:space="preserve"> </v>
      </c>
      <c r="BH424" s="598" t="str">
        <f t="shared" si="852"/>
        <v xml:space="preserve"> </v>
      </c>
      <c r="BI424" s="598" t="str">
        <f t="shared" si="852"/>
        <v xml:space="preserve"> </v>
      </c>
      <c r="BJ424" s="598" t="str">
        <f t="shared" si="852"/>
        <v xml:space="preserve"> </v>
      </c>
      <c r="BK424" s="598" t="str">
        <f t="shared" si="852"/>
        <v xml:space="preserve"> </v>
      </c>
      <c r="BL424" s="598" t="str">
        <f t="shared" si="852"/>
        <v xml:space="preserve"> </v>
      </c>
      <c r="BM424" s="598" t="str">
        <f t="shared" si="852"/>
        <v xml:space="preserve"> </v>
      </c>
      <c r="BN424" s="598" t="str">
        <f t="shared" si="852"/>
        <v xml:space="preserve"> </v>
      </c>
      <c r="BO424" s="598" t="str">
        <f t="shared" si="852"/>
        <v xml:space="preserve"> </v>
      </c>
      <c r="BP424" s="598" t="str">
        <f t="shared" si="853"/>
        <v xml:space="preserve"> </v>
      </c>
      <c r="BQ424" s="598" t="str">
        <f t="shared" si="853"/>
        <v xml:space="preserve"> </v>
      </c>
      <c r="BR424" s="598" t="str">
        <f t="shared" si="853"/>
        <v xml:space="preserve"> </v>
      </c>
      <c r="BS424" s="598" t="str">
        <f t="shared" si="853"/>
        <v xml:space="preserve"> </v>
      </c>
      <c r="BT424" s="598" t="str">
        <f t="shared" si="853"/>
        <v xml:space="preserve"> </v>
      </c>
      <c r="BU424" s="598" t="str">
        <f t="shared" si="853"/>
        <v xml:space="preserve"> </v>
      </c>
      <c r="BV424" s="598" t="str">
        <f t="shared" si="853"/>
        <v xml:space="preserve"> </v>
      </c>
      <c r="BW424" s="598" t="str">
        <f t="shared" si="853"/>
        <v xml:space="preserve"> </v>
      </c>
      <c r="BX424" s="598" t="str">
        <f t="shared" si="853"/>
        <v xml:space="preserve"> </v>
      </c>
      <c r="BY424" s="598" t="str">
        <f t="shared" si="853"/>
        <v xml:space="preserve"> </v>
      </c>
      <c r="BZ424" s="598" t="str">
        <f t="shared" si="854"/>
        <v xml:space="preserve"> </v>
      </c>
      <c r="CA424" s="598" t="str">
        <f t="shared" si="854"/>
        <v xml:space="preserve"> </v>
      </c>
      <c r="CB424" s="598" t="str">
        <f t="shared" si="854"/>
        <v xml:space="preserve"> </v>
      </c>
      <c r="CC424" s="598" t="str">
        <f t="shared" si="854"/>
        <v xml:space="preserve"> </v>
      </c>
      <c r="CD424" s="598" t="str">
        <f t="shared" si="854"/>
        <v xml:space="preserve"> </v>
      </c>
      <c r="CE424" s="598" t="str">
        <f t="shared" si="854"/>
        <v xml:space="preserve"> </v>
      </c>
      <c r="CF424" s="598" t="str">
        <f t="shared" si="854"/>
        <v xml:space="preserve"> </v>
      </c>
      <c r="CG424" s="598" t="str">
        <f t="shared" si="854"/>
        <v xml:space="preserve"> </v>
      </c>
      <c r="CH424" s="598" t="str">
        <f t="shared" si="854"/>
        <v xml:space="preserve"> </v>
      </c>
      <c r="CI424" s="598" t="str">
        <f t="shared" si="854"/>
        <v xml:space="preserve"> </v>
      </c>
      <c r="CJ424" s="598" t="str">
        <f t="shared" si="854"/>
        <v xml:space="preserve"> </v>
      </c>
      <c r="CK424" s="598" t="str">
        <f t="shared" si="854"/>
        <v xml:space="preserve"> </v>
      </c>
      <c r="CL424" s="598" t="str">
        <f t="shared" si="854"/>
        <v xml:space="preserve"> </v>
      </c>
      <c r="CM424" s="598" t="str">
        <f t="shared" si="854"/>
        <v xml:space="preserve"> </v>
      </c>
      <c r="CN424" s="598" t="str">
        <f t="shared" si="854"/>
        <v xml:space="preserve"> </v>
      </c>
    </row>
    <row r="425" spans="1:92">
      <c r="A425" s="598">
        <v>48</v>
      </c>
      <c r="B425" s="598" t="str">
        <f t="shared" si="847"/>
        <v xml:space="preserve"> </v>
      </c>
      <c r="C425" s="598" t="str">
        <f t="shared" si="847"/>
        <v xml:space="preserve"> </v>
      </c>
      <c r="D425" s="598" t="str">
        <f t="shared" si="847"/>
        <v xml:space="preserve"> </v>
      </c>
      <c r="E425" s="598" t="str">
        <f t="shared" si="847"/>
        <v xml:space="preserve"> </v>
      </c>
      <c r="F425" s="598" t="str">
        <f t="shared" si="847"/>
        <v xml:space="preserve"> </v>
      </c>
      <c r="G425" s="598" t="str">
        <f t="shared" si="847"/>
        <v xml:space="preserve"> </v>
      </c>
      <c r="H425" s="598" t="str">
        <f t="shared" si="847"/>
        <v xml:space="preserve"> </v>
      </c>
      <c r="I425" s="598" t="str">
        <f t="shared" si="847"/>
        <v xml:space="preserve"> </v>
      </c>
      <c r="J425" s="598" t="str">
        <f t="shared" si="847"/>
        <v xml:space="preserve"> </v>
      </c>
      <c r="K425" s="598" t="str">
        <f t="shared" si="847"/>
        <v xml:space="preserve"> </v>
      </c>
      <c r="L425" s="598" t="str">
        <f t="shared" si="848"/>
        <v xml:space="preserve"> </v>
      </c>
      <c r="M425" s="598" t="str">
        <f t="shared" si="848"/>
        <v xml:space="preserve"> </v>
      </c>
      <c r="N425" s="598" t="str">
        <f t="shared" si="848"/>
        <v xml:space="preserve"> </v>
      </c>
      <c r="O425" s="598" t="str">
        <f t="shared" si="848"/>
        <v xml:space="preserve"> </v>
      </c>
      <c r="P425" s="598" t="str">
        <f t="shared" si="848"/>
        <v xml:space="preserve"> </v>
      </c>
      <c r="Q425" s="598" t="str">
        <f t="shared" si="848"/>
        <v xml:space="preserve"> </v>
      </c>
      <c r="R425" s="598" t="str">
        <f t="shared" si="848"/>
        <v xml:space="preserve"> </v>
      </c>
      <c r="S425" s="598" t="str">
        <f t="shared" si="848"/>
        <v xml:space="preserve"> </v>
      </c>
      <c r="T425" s="598" t="str">
        <f t="shared" si="848"/>
        <v xml:space="preserve"> </v>
      </c>
      <c r="U425" s="598" t="str">
        <f t="shared" si="848"/>
        <v xml:space="preserve"> </v>
      </c>
      <c r="V425" s="598" t="str">
        <f t="shared" si="849"/>
        <v xml:space="preserve"> </v>
      </c>
      <c r="W425" s="598" t="str">
        <f t="shared" si="849"/>
        <v xml:space="preserve"> </v>
      </c>
      <c r="X425" s="598" t="str">
        <f t="shared" si="849"/>
        <v xml:space="preserve"> </v>
      </c>
      <c r="Y425" s="598" t="str">
        <f t="shared" si="849"/>
        <v xml:space="preserve"> </v>
      </c>
      <c r="Z425" s="598" t="str">
        <f t="shared" si="849"/>
        <v xml:space="preserve"> </v>
      </c>
      <c r="AA425" s="598" t="str">
        <f t="shared" si="849"/>
        <v xml:space="preserve"> </v>
      </c>
      <c r="AB425" s="598" t="str">
        <f t="shared" si="849"/>
        <v xml:space="preserve"> </v>
      </c>
      <c r="AC425" s="598" t="str">
        <f t="shared" si="849"/>
        <v xml:space="preserve"> </v>
      </c>
      <c r="AD425" s="598" t="str">
        <f t="shared" si="849"/>
        <v xml:space="preserve"> </v>
      </c>
      <c r="AE425" s="598" t="str">
        <f t="shared" si="849"/>
        <v xml:space="preserve"> </v>
      </c>
      <c r="AF425" s="598" t="str">
        <f t="shared" si="850"/>
        <v xml:space="preserve"> </v>
      </c>
      <c r="AG425" s="598" t="str">
        <f t="shared" si="850"/>
        <v xml:space="preserve"> </v>
      </c>
      <c r="AH425" s="598" t="str">
        <f t="shared" si="850"/>
        <v xml:space="preserve"> </v>
      </c>
      <c r="AI425" s="598" t="str">
        <f t="shared" si="850"/>
        <v xml:space="preserve"> </v>
      </c>
      <c r="AJ425" s="598" t="str">
        <f t="shared" si="850"/>
        <v xml:space="preserve"> </v>
      </c>
      <c r="AK425" s="598" t="str">
        <f t="shared" si="850"/>
        <v xml:space="preserve"> </v>
      </c>
      <c r="AL425" s="598" t="str">
        <f t="shared" si="850"/>
        <v xml:space="preserve"> </v>
      </c>
      <c r="AM425" s="598" t="str">
        <f t="shared" si="850"/>
        <v xml:space="preserve"> </v>
      </c>
      <c r="AN425" s="598" t="str">
        <f t="shared" si="850"/>
        <v xml:space="preserve"> </v>
      </c>
      <c r="AO425" s="598" t="str">
        <f t="shared" si="850"/>
        <v xml:space="preserve"> </v>
      </c>
      <c r="AP425" s="598" t="str">
        <f t="shared" si="850"/>
        <v xml:space="preserve"> </v>
      </c>
      <c r="AQ425" s="598" t="str">
        <f t="shared" si="850"/>
        <v xml:space="preserve"> </v>
      </c>
      <c r="AR425" s="598" t="str">
        <f t="shared" si="850"/>
        <v xml:space="preserve"> </v>
      </c>
      <c r="AS425" s="598" t="str">
        <f t="shared" si="850"/>
        <v xml:space="preserve"> </v>
      </c>
      <c r="AT425" s="598" t="str">
        <f t="shared" si="850"/>
        <v xml:space="preserve"> </v>
      </c>
      <c r="AV425" s="598" t="str">
        <f t="shared" si="851"/>
        <v xml:space="preserve"> </v>
      </c>
      <c r="AW425" s="598" t="str">
        <f t="shared" si="851"/>
        <v xml:space="preserve"> </v>
      </c>
      <c r="AX425" s="598" t="str">
        <f t="shared" si="851"/>
        <v xml:space="preserve"> </v>
      </c>
      <c r="AY425" s="598" t="str">
        <f t="shared" si="851"/>
        <v xml:space="preserve"> </v>
      </c>
      <c r="AZ425" s="598" t="str">
        <f t="shared" si="851"/>
        <v xml:space="preserve"> </v>
      </c>
      <c r="BA425" s="598" t="str">
        <f t="shared" si="851"/>
        <v xml:space="preserve"> </v>
      </c>
      <c r="BB425" s="598" t="str">
        <f t="shared" si="851"/>
        <v xml:space="preserve"> </v>
      </c>
      <c r="BC425" s="598" t="str">
        <f t="shared" si="851"/>
        <v xml:space="preserve"> </v>
      </c>
      <c r="BD425" s="598" t="str">
        <f t="shared" si="851"/>
        <v xml:space="preserve"> </v>
      </c>
      <c r="BE425" s="598" t="str">
        <f t="shared" si="851"/>
        <v xml:space="preserve"> </v>
      </c>
      <c r="BF425" s="598" t="str">
        <f t="shared" si="852"/>
        <v xml:space="preserve"> </v>
      </c>
      <c r="BG425" s="598" t="str">
        <f t="shared" si="852"/>
        <v xml:space="preserve"> </v>
      </c>
      <c r="BH425" s="598" t="str">
        <f t="shared" si="852"/>
        <v xml:space="preserve"> </v>
      </c>
      <c r="BI425" s="598" t="str">
        <f t="shared" si="852"/>
        <v xml:space="preserve"> </v>
      </c>
      <c r="BJ425" s="598" t="str">
        <f t="shared" si="852"/>
        <v xml:space="preserve"> </v>
      </c>
      <c r="BK425" s="598" t="str">
        <f t="shared" si="852"/>
        <v xml:space="preserve"> </v>
      </c>
      <c r="BL425" s="598" t="str">
        <f t="shared" si="852"/>
        <v xml:space="preserve"> </v>
      </c>
      <c r="BM425" s="598" t="str">
        <f t="shared" si="852"/>
        <v xml:space="preserve"> </v>
      </c>
      <c r="BN425" s="598" t="str">
        <f t="shared" si="852"/>
        <v xml:space="preserve"> </v>
      </c>
      <c r="BO425" s="598" t="str">
        <f t="shared" si="852"/>
        <v xml:space="preserve"> </v>
      </c>
      <c r="BP425" s="598" t="str">
        <f t="shared" si="853"/>
        <v xml:space="preserve"> </v>
      </c>
      <c r="BQ425" s="598" t="str">
        <f t="shared" si="853"/>
        <v xml:space="preserve"> </v>
      </c>
      <c r="BR425" s="598" t="str">
        <f t="shared" si="853"/>
        <v xml:space="preserve"> </v>
      </c>
      <c r="BS425" s="598" t="str">
        <f t="shared" si="853"/>
        <v xml:space="preserve"> </v>
      </c>
      <c r="BT425" s="598" t="str">
        <f t="shared" si="853"/>
        <v xml:space="preserve"> </v>
      </c>
      <c r="BU425" s="598" t="str">
        <f t="shared" si="853"/>
        <v xml:space="preserve"> </v>
      </c>
      <c r="BV425" s="598" t="str">
        <f t="shared" si="853"/>
        <v xml:space="preserve"> </v>
      </c>
      <c r="BW425" s="598" t="str">
        <f t="shared" si="853"/>
        <v xml:space="preserve"> </v>
      </c>
      <c r="BX425" s="598" t="str">
        <f t="shared" si="853"/>
        <v xml:space="preserve"> </v>
      </c>
      <c r="BY425" s="598" t="str">
        <f t="shared" si="853"/>
        <v xml:space="preserve"> </v>
      </c>
      <c r="BZ425" s="598" t="str">
        <f t="shared" si="854"/>
        <v xml:space="preserve"> </v>
      </c>
      <c r="CA425" s="598" t="str">
        <f t="shared" si="854"/>
        <v xml:space="preserve"> </v>
      </c>
      <c r="CB425" s="598" t="str">
        <f t="shared" si="854"/>
        <v xml:space="preserve"> </v>
      </c>
      <c r="CC425" s="598" t="str">
        <f t="shared" si="854"/>
        <v xml:space="preserve"> </v>
      </c>
      <c r="CD425" s="598" t="str">
        <f t="shared" si="854"/>
        <v xml:space="preserve"> </v>
      </c>
      <c r="CE425" s="598" t="str">
        <f t="shared" si="854"/>
        <v xml:space="preserve"> </v>
      </c>
      <c r="CF425" s="598" t="str">
        <f t="shared" si="854"/>
        <v xml:space="preserve"> </v>
      </c>
      <c r="CG425" s="598" t="str">
        <f t="shared" si="854"/>
        <v xml:space="preserve"> </v>
      </c>
      <c r="CH425" s="598" t="str">
        <f t="shared" si="854"/>
        <v xml:space="preserve"> </v>
      </c>
      <c r="CI425" s="598" t="str">
        <f t="shared" si="854"/>
        <v xml:space="preserve"> </v>
      </c>
      <c r="CJ425" s="598" t="str">
        <f t="shared" si="854"/>
        <v xml:space="preserve"> </v>
      </c>
      <c r="CK425" s="598" t="str">
        <f t="shared" si="854"/>
        <v xml:space="preserve"> </v>
      </c>
      <c r="CL425" s="598" t="str">
        <f t="shared" si="854"/>
        <v xml:space="preserve"> </v>
      </c>
      <c r="CM425" s="598" t="str">
        <f t="shared" si="854"/>
        <v xml:space="preserve"> </v>
      </c>
      <c r="CN425" s="598" t="str">
        <f t="shared" si="854"/>
        <v xml:space="preserve"> </v>
      </c>
    </row>
    <row r="426" spans="1:92">
      <c r="A426" s="598">
        <v>49</v>
      </c>
      <c r="B426" s="598" t="str">
        <f t="shared" si="847"/>
        <v xml:space="preserve"> </v>
      </c>
      <c r="C426" s="598" t="str">
        <f t="shared" si="847"/>
        <v xml:space="preserve"> </v>
      </c>
      <c r="D426" s="598" t="str">
        <f t="shared" si="847"/>
        <v xml:space="preserve"> </v>
      </c>
      <c r="E426" s="598" t="str">
        <f t="shared" si="847"/>
        <v xml:space="preserve"> </v>
      </c>
      <c r="F426" s="598" t="str">
        <f t="shared" si="847"/>
        <v xml:space="preserve"> </v>
      </c>
      <c r="G426" s="598" t="str">
        <f t="shared" si="847"/>
        <v xml:space="preserve"> </v>
      </c>
      <c r="H426" s="598" t="str">
        <f t="shared" si="847"/>
        <v xml:space="preserve"> </v>
      </c>
      <c r="I426" s="598" t="str">
        <f t="shared" si="847"/>
        <v xml:space="preserve"> </v>
      </c>
      <c r="J426" s="598" t="str">
        <f t="shared" si="847"/>
        <v xml:space="preserve"> </v>
      </c>
      <c r="K426" s="598" t="str">
        <f t="shared" si="847"/>
        <v xml:space="preserve"> </v>
      </c>
      <c r="L426" s="598" t="str">
        <f t="shared" si="848"/>
        <v xml:space="preserve"> </v>
      </c>
      <c r="M426" s="598" t="str">
        <f t="shared" si="848"/>
        <v xml:space="preserve"> </v>
      </c>
      <c r="N426" s="598" t="str">
        <f t="shared" si="848"/>
        <v xml:space="preserve"> </v>
      </c>
      <c r="O426" s="598" t="str">
        <f t="shared" si="848"/>
        <v xml:space="preserve"> </v>
      </c>
      <c r="P426" s="598" t="str">
        <f t="shared" si="848"/>
        <v xml:space="preserve"> </v>
      </c>
      <c r="Q426" s="598" t="str">
        <f t="shared" si="848"/>
        <v xml:space="preserve"> </v>
      </c>
      <c r="R426" s="598" t="str">
        <f t="shared" si="848"/>
        <v xml:space="preserve"> </v>
      </c>
      <c r="S426" s="598" t="str">
        <f t="shared" si="848"/>
        <v xml:space="preserve"> </v>
      </c>
      <c r="T426" s="598" t="str">
        <f t="shared" si="848"/>
        <v xml:space="preserve"> </v>
      </c>
      <c r="U426" s="598" t="str">
        <f t="shared" si="848"/>
        <v xml:space="preserve"> </v>
      </c>
      <c r="V426" s="598" t="str">
        <f t="shared" si="849"/>
        <v xml:space="preserve"> </v>
      </c>
      <c r="W426" s="598" t="str">
        <f t="shared" si="849"/>
        <v xml:space="preserve"> </v>
      </c>
      <c r="X426" s="598" t="str">
        <f t="shared" si="849"/>
        <v xml:space="preserve"> </v>
      </c>
      <c r="Y426" s="598" t="str">
        <f t="shared" si="849"/>
        <v xml:space="preserve"> </v>
      </c>
      <c r="Z426" s="598" t="str">
        <f t="shared" si="849"/>
        <v xml:space="preserve"> </v>
      </c>
      <c r="AA426" s="598" t="str">
        <f t="shared" si="849"/>
        <v xml:space="preserve"> </v>
      </c>
      <c r="AB426" s="598" t="str">
        <f t="shared" si="849"/>
        <v xml:space="preserve"> </v>
      </c>
      <c r="AC426" s="598" t="str">
        <f t="shared" si="849"/>
        <v xml:space="preserve"> </v>
      </c>
      <c r="AD426" s="598" t="str">
        <f t="shared" si="849"/>
        <v xml:space="preserve"> </v>
      </c>
      <c r="AE426" s="598" t="str">
        <f t="shared" si="849"/>
        <v xml:space="preserve"> </v>
      </c>
      <c r="AF426" s="598" t="str">
        <f t="shared" si="850"/>
        <v xml:space="preserve"> </v>
      </c>
      <c r="AG426" s="598" t="str">
        <f t="shared" si="850"/>
        <v xml:space="preserve"> </v>
      </c>
      <c r="AH426" s="598" t="str">
        <f t="shared" si="850"/>
        <v xml:space="preserve"> </v>
      </c>
      <c r="AI426" s="598" t="str">
        <f t="shared" si="850"/>
        <v xml:space="preserve"> </v>
      </c>
      <c r="AJ426" s="598" t="str">
        <f t="shared" si="850"/>
        <v xml:space="preserve"> </v>
      </c>
      <c r="AK426" s="598" t="str">
        <f t="shared" si="850"/>
        <v xml:space="preserve"> </v>
      </c>
      <c r="AL426" s="598" t="str">
        <f t="shared" si="850"/>
        <v xml:space="preserve"> </v>
      </c>
      <c r="AM426" s="598" t="str">
        <f t="shared" si="850"/>
        <v xml:space="preserve"> </v>
      </c>
      <c r="AN426" s="598" t="str">
        <f t="shared" si="850"/>
        <v xml:space="preserve"> </v>
      </c>
      <c r="AO426" s="598" t="str">
        <f t="shared" si="850"/>
        <v xml:space="preserve"> </v>
      </c>
      <c r="AP426" s="598" t="str">
        <f t="shared" si="850"/>
        <v xml:space="preserve"> </v>
      </c>
      <c r="AQ426" s="598" t="str">
        <f t="shared" si="850"/>
        <v xml:space="preserve"> </v>
      </c>
      <c r="AR426" s="598" t="str">
        <f t="shared" si="850"/>
        <v xml:space="preserve"> </v>
      </c>
      <c r="AS426" s="598" t="str">
        <f t="shared" si="850"/>
        <v xml:space="preserve"> </v>
      </c>
      <c r="AT426" s="598" t="str">
        <f t="shared" si="850"/>
        <v xml:space="preserve"> </v>
      </c>
      <c r="AV426" s="598" t="str">
        <f t="shared" si="851"/>
        <v xml:space="preserve"> </v>
      </c>
      <c r="AW426" s="598" t="str">
        <f t="shared" si="851"/>
        <v xml:space="preserve"> </v>
      </c>
      <c r="AX426" s="598" t="str">
        <f t="shared" si="851"/>
        <v xml:space="preserve"> </v>
      </c>
      <c r="AY426" s="598" t="str">
        <f t="shared" si="851"/>
        <v xml:space="preserve"> </v>
      </c>
      <c r="AZ426" s="598" t="str">
        <f t="shared" si="851"/>
        <v xml:space="preserve"> </v>
      </c>
      <c r="BA426" s="598" t="str">
        <f t="shared" si="851"/>
        <v xml:space="preserve"> </v>
      </c>
      <c r="BB426" s="598" t="str">
        <f t="shared" si="851"/>
        <v xml:space="preserve"> </v>
      </c>
      <c r="BC426" s="598" t="str">
        <f t="shared" si="851"/>
        <v xml:space="preserve"> </v>
      </c>
      <c r="BD426" s="598" t="str">
        <f t="shared" si="851"/>
        <v xml:space="preserve"> </v>
      </c>
      <c r="BE426" s="598" t="str">
        <f t="shared" si="851"/>
        <v xml:space="preserve"> </v>
      </c>
      <c r="BF426" s="598" t="str">
        <f t="shared" si="852"/>
        <v xml:space="preserve"> </v>
      </c>
      <c r="BG426" s="598" t="str">
        <f t="shared" si="852"/>
        <v xml:space="preserve"> </v>
      </c>
      <c r="BH426" s="598" t="str">
        <f t="shared" si="852"/>
        <v xml:space="preserve"> </v>
      </c>
      <c r="BI426" s="598" t="str">
        <f t="shared" si="852"/>
        <v xml:space="preserve"> </v>
      </c>
      <c r="BJ426" s="598" t="str">
        <f t="shared" si="852"/>
        <v xml:space="preserve"> </v>
      </c>
      <c r="BK426" s="598" t="str">
        <f t="shared" si="852"/>
        <v xml:space="preserve"> </v>
      </c>
      <c r="BL426" s="598" t="str">
        <f t="shared" si="852"/>
        <v xml:space="preserve"> </v>
      </c>
      <c r="BM426" s="598" t="str">
        <f t="shared" si="852"/>
        <v xml:space="preserve"> </v>
      </c>
      <c r="BN426" s="598" t="str">
        <f t="shared" si="852"/>
        <v xml:space="preserve"> </v>
      </c>
      <c r="BO426" s="598" t="str">
        <f t="shared" si="852"/>
        <v xml:space="preserve"> </v>
      </c>
      <c r="BP426" s="598" t="str">
        <f t="shared" si="853"/>
        <v xml:space="preserve"> </v>
      </c>
      <c r="BQ426" s="598" t="str">
        <f t="shared" si="853"/>
        <v xml:space="preserve"> </v>
      </c>
      <c r="BR426" s="598" t="str">
        <f t="shared" si="853"/>
        <v xml:space="preserve"> </v>
      </c>
      <c r="BS426" s="598" t="str">
        <f t="shared" si="853"/>
        <v xml:space="preserve"> </v>
      </c>
      <c r="BT426" s="598" t="str">
        <f t="shared" si="853"/>
        <v xml:space="preserve"> </v>
      </c>
      <c r="BU426" s="598" t="str">
        <f t="shared" si="853"/>
        <v xml:space="preserve"> </v>
      </c>
      <c r="BV426" s="598" t="str">
        <f t="shared" si="853"/>
        <v xml:space="preserve"> </v>
      </c>
      <c r="BW426" s="598" t="str">
        <f t="shared" si="853"/>
        <v xml:space="preserve"> </v>
      </c>
      <c r="BX426" s="598" t="str">
        <f t="shared" si="853"/>
        <v xml:space="preserve"> </v>
      </c>
      <c r="BY426" s="598" t="str">
        <f t="shared" si="853"/>
        <v xml:space="preserve"> </v>
      </c>
      <c r="BZ426" s="598" t="str">
        <f t="shared" si="854"/>
        <v xml:space="preserve"> </v>
      </c>
      <c r="CA426" s="598" t="str">
        <f t="shared" si="854"/>
        <v xml:space="preserve"> </v>
      </c>
      <c r="CB426" s="598" t="str">
        <f t="shared" si="854"/>
        <v xml:space="preserve"> </v>
      </c>
      <c r="CC426" s="598" t="str">
        <f t="shared" si="854"/>
        <v xml:space="preserve"> </v>
      </c>
      <c r="CD426" s="598" t="str">
        <f t="shared" si="854"/>
        <v xml:space="preserve"> </v>
      </c>
      <c r="CE426" s="598" t="str">
        <f t="shared" si="854"/>
        <v xml:space="preserve"> </v>
      </c>
      <c r="CF426" s="598" t="str">
        <f t="shared" si="854"/>
        <v xml:space="preserve"> </v>
      </c>
      <c r="CG426" s="598" t="str">
        <f t="shared" si="854"/>
        <v xml:space="preserve"> </v>
      </c>
      <c r="CH426" s="598" t="str">
        <f t="shared" si="854"/>
        <v xml:space="preserve"> </v>
      </c>
      <c r="CI426" s="598" t="str">
        <f t="shared" si="854"/>
        <v xml:space="preserve"> </v>
      </c>
      <c r="CJ426" s="598" t="str">
        <f t="shared" si="854"/>
        <v xml:space="preserve"> </v>
      </c>
      <c r="CK426" s="598" t="str">
        <f t="shared" si="854"/>
        <v xml:space="preserve"> </v>
      </c>
      <c r="CL426" s="598" t="str">
        <f t="shared" si="854"/>
        <v xml:space="preserve"> </v>
      </c>
      <c r="CM426" s="598" t="str">
        <f t="shared" si="854"/>
        <v xml:space="preserve"> </v>
      </c>
      <c r="CN426" s="598" t="str">
        <f t="shared" si="854"/>
        <v xml:space="preserve"> </v>
      </c>
    </row>
    <row r="427" spans="1:92">
      <c r="A427" s="598">
        <v>50</v>
      </c>
      <c r="B427" s="598" t="str">
        <f t="shared" si="847"/>
        <v xml:space="preserve"> </v>
      </c>
      <c r="C427" s="598" t="str">
        <f t="shared" si="847"/>
        <v xml:space="preserve"> </v>
      </c>
      <c r="D427" s="598" t="str">
        <f t="shared" si="847"/>
        <v xml:space="preserve"> </v>
      </c>
      <c r="E427" s="598" t="str">
        <f t="shared" si="847"/>
        <v xml:space="preserve"> </v>
      </c>
      <c r="F427" s="598" t="str">
        <f t="shared" si="847"/>
        <v xml:space="preserve"> </v>
      </c>
      <c r="G427" s="598" t="str">
        <f t="shared" si="847"/>
        <v xml:space="preserve"> </v>
      </c>
      <c r="H427" s="598" t="str">
        <f t="shared" si="847"/>
        <v xml:space="preserve"> </v>
      </c>
      <c r="I427" s="598" t="str">
        <f t="shared" si="847"/>
        <v xml:space="preserve"> </v>
      </c>
      <c r="J427" s="598" t="str">
        <f t="shared" si="847"/>
        <v xml:space="preserve"> </v>
      </c>
      <c r="K427" s="598" t="str">
        <f t="shared" si="847"/>
        <v xml:space="preserve"> </v>
      </c>
      <c r="L427" s="598" t="str">
        <f t="shared" si="848"/>
        <v xml:space="preserve"> </v>
      </c>
      <c r="M427" s="598" t="str">
        <f t="shared" si="848"/>
        <v xml:space="preserve"> </v>
      </c>
      <c r="N427" s="598" t="str">
        <f t="shared" si="848"/>
        <v xml:space="preserve"> </v>
      </c>
      <c r="O427" s="598" t="str">
        <f t="shared" si="848"/>
        <v xml:space="preserve"> </v>
      </c>
      <c r="P427" s="598" t="str">
        <f t="shared" si="848"/>
        <v xml:space="preserve"> </v>
      </c>
      <c r="Q427" s="598" t="str">
        <f t="shared" si="848"/>
        <v xml:space="preserve"> </v>
      </c>
      <c r="R427" s="598" t="str">
        <f t="shared" si="848"/>
        <v xml:space="preserve"> </v>
      </c>
      <c r="S427" s="598" t="str">
        <f t="shared" si="848"/>
        <v xml:space="preserve"> </v>
      </c>
      <c r="T427" s="598" t="str">
        <f t="shared" si="848"/>
        <v xml:space="preserve"> </v>
      </c>
      <c r="U427" s="598" t="str">
        <f t="shared" si="848"/>
        <v xml:space="preserve"> </v>
      </c>
      <c r="V427" s="598" t="str">
        <f t="shared" si="849"/>
        <v xml:space="preserve"> </v>
      </c>
      <c r="W427" s="598" t="str">
        <f t="shared" si="849"/>
        <v xml:space="preserve"> </v>
      </c>
      <c r="X427" s="598" t="str">
        <f t="shared" si="849"/>
        <v xml:space="preserve"> </v>
      </c>
      <c r="Y427" s="598" t="str">
        <f t="shared" si="849"/>
        <v xml:space="preserve"> </v>
      </c>
      <c r="Z427" s="598" t="str">
        <f t="shared" si="849"/>
        <v xml:space="preserve"> </v>
      </c>
      <c r="AA427" s="598" t="str">
        <f t="shared" si="849"/>
        <v xml:space="preserve"> </v>
      </c>
      <c r="AB427" s="598" t="str">
        <f t="shared" si="849"/>
        <v xml:space="preserve"> </v>
      </c>
      <c r="AC427" s="598" t="str">
        <f t="shared" si="849"/>
        <v xml:space="preserve"> </v>
      </c>
      <c r="AD427" s="598" t="str">
        <f t="shared" si="849"/>
        <v xml:space="preserve"> </v>
      </c>
      <c r="AE427" s="598" t="str">
        <f t="shared" si="849"/>
        <v xml:space="preserve"> </v>
      </c>
      <c r="AF427" s="598" t="str">
        <f t="shared" si="850"/>
        <v xml:space="preserve"> </v>
      </c>
      <c r="AG427" s="598" t="str">
        <f t="shared" si="850"/>
        <v xml:space="preserve"> </v>
      </c>
      <c r="AH427" s="598" t="str">
        <f t="shared" si="850"/>
        <v xml:space="preserve"> </v>
      </c>
      <c r="AI427" s="598" t="str">
        <f t="shared" si="850"/>
        <v xml:space="preserve"> </v>
      </c>
      <c r="AJ427" s="598" t="str">
        <f t="shared" si="850"/>
        <v xml:space="preserve"> </v>
      </c>
      <c r="AK427" s="598" t="str">
        <f t="shared" si="850"/>
        <v xml:space="preserve"> </v>
      </c>
      <c r="AL427" s="598" t="str">
        <f t="shared" si="850"/>
        <v xml:space="preserve"> </v>
      </c>
      <c r="AM427" s="598" t="str">
        <f t="shared" si="850"/>
        <v xml:space="preserve"> </v>
      </c>
      <c r="AN427" s="598" t="str">
        <f t="shared" si="850"/>
        <v xml:space="preserve"> </v>
      </c>
      <c r="AO427" s="598" t="str">
        <f t="shared" si="850"/>
        <v xml:space="preserve"> </v>
      </c>
      <c r="AP427" s="598" t="str">
        <f t="shared" si="850"/>
        <v xml:space="preserve"> </v>
      </c>
      <c r="AQ427" s="598" t="str">
        <f t="shared" si="850"/>
        <v xml:space="preserve"> </v>
      </c>
      <c r="AR427" s="598" t="str">
        <f t="shared" si="850"/>
        <v xml:space="preserve"> </v>
      </c>
      <c r="AS427" s="598" t="str">
        <f t="shared" si="850"/>
        <v xml:space="preserve"> </v>
      </c>
      <c r="AT427" s="598" t="str">
        <f t="shared" si="850"/>
        <v xml:space="preserve"> </v>
      </c>
      <c r="AV427" s="598" t="str">
        <f t="shared" si="851"/>
        <v xml:space="preserve"> </v>
      </c>
      <c r="AW427" s="598" t="str">
        <f t="shared" si="851"/>
        <v xml:space="preserve"> </v>
      </c>
      <c r="AX427" s="598" t="str">
        <f t="shared" si="851"/>
        <v xml:space="preserve"> </v>
      </c>
      <c r="AY427" s="598" t="str">
        <f t="shared" si="851"/>
        <v xml:space="preserve"> </v>
      </c>
      <c r="AZ427" s="598" t="str">
        <f t="shared" si="851"/>
        <v xml:space="preserve"> </v>
      </c>
      <c r="BA427" s="598" t="str">
        <f t="shared" si="851"/>
        <v xml:space="preserve"> </v>
      </c>
      <c r="BB427" s="598" t="str">
        <f t="shared" si="851"/>
        <v xml:space="preserve"> </v>
      </c>
      <c r="BC427" s="598" t="str">
        <f t="shared" si="851"/>
        <v xml:space="preserve"> </v>
      </c>
      <c r="BD427" s="598" t="str">
        <f t="shared" si="851"/>
        <v xml:space="preserve"> </v>
      </c>
      <c r="BE427" s="598" t="str">
        <f t="shared" si="851"/>
        <v xml:space="preserve"> </v>
      </c>
      <c r="BF427" s="598" t="str">
        <f t="shared" si="852"/>
        <v xml:space="preserve"> </v>
      </c>
      <c r="BG427" s="598" t="str">
        <f t="shared" si="852"/>
        <v xml:space="preserve"> </v>
      </c>
      <c r="BH427" s="598" t="str">
        <f t="shared" si="852"/>
        <v xml:space="preserve"> </v>
      </c>
      <c r="BI427" s="598" t="str">
        <f t="shared" si="852"/>
        <v xml:space="preserve"> </v>
      </c>
      <c r="BJ427" s="598" t="str">
        <f t="shared" si="852"/>
        <v xml:space="preserve"> </v>
      </c>
      <c r="BK427" s="598" t="str">
        <f t="shared" si="852"/>
        <v xml:space="preserve"> </v>
      </c>
      <c r="BL427" s="598" t="str">
        <f t="shared" si="852"/>
        <v xml:space="preserve"> </v>
      </c>
      <c r="BM427" s="598" t="str">
        <f t="shared" si="852"/>
        <v xml:space="preserve"> </v>
      </c>
      <c r="BN427" s="598" t="str">
        <f t="shared" si="852"/>
        <v xml:space="preserve"> </v>
      </c>
      <c r="BO427" s="598" t="str">
        <f t="shared" si="852"/>
        <v xml:space="preserve"> </v>
      </c>
      <c r="BP427" s="598" t="str">
        <f t="shared" si="853"/>
        <v xml:space="preserve"> </v>
      </c>
      <c r="BQ427" s="598" t="str">
        <f t="shared" si="853"/>
        <v xml:space="preserve"> </v>
      </c>
      <c r="BR427" s="598" t="str">
        <f t="shared" si="853"/>
        <v xml:space="preserve"> </v>
      </c>
      <c r="BS427" s="598" t="str">
        <f t="shared" si="853"/>
        <v xml:space="preserve"> </v>
      </c>
      <c r="BT427" s="598" t="str">
        <f t="shared" si="853"/>
        <v xml:space="preserve"> </v>
      </c>
      <c r="BU427" s="598" t="str">
        <f t="shared" si="853"/>
        <v xml:space="preserve"> </v>
      </c>
      <c r="BV427" s="598" t="str">
        <f t="shared" si="853"/>
        <v xml:space="preserve"> </v>
      </c>
      <c r="BW427" s="598" t="str">
        <f t="shared" si="853"/>
        <v xml:space="preserve"> </v>
      </c>
      <c r="BX427" s="598" t="str">
        <f t="shared" si="853"/>
        <v xml:space="preserve"> </v>
      </c>
      <c r="BY427" s="598" t="str">
        <f t="shared" si="853"/>
        <v xml:space="preserve"> </v>
      </c>
      <c r="BZ427" s="598" t="str">
        <f t="shared" si="854"/>
        <v xml:space="preserve"> </v>
      </c>
      <c r="CA427" s="598" t="str">
        <f t="shared" si="854"/>
        <v xml:space="preserve"> </v>
      </c>
      <c r="CB427" s="598" t="str">
        <f t="shared" si="854"/>
        <v xml:space="preserve"> </v>
      </c>
      <c r="CC427" s="598" t="str">
        <f t="shared" si="854"/>
        <v xml:space="preserve"> </v>
      </c>
      <c r="CD427" s="598" t="str">
        <f t="shared" si="854"/>
        <v xml:space="preserve"> </v>
      </c>
      <c r="CE427" s="598" t="str">
        <f t="shared" si="854"/>
        <v xml:space="preserve"> </v>
      </c>
      <c r="CF427" s="598" t="str">
        <f t="shared" si="854"/>
        <v xml:space="preserve"> </v>
      </c>
      <c r="CG427" s="598" t="str">
        <f t="shared" si="854"/>
        <v xml:space="preserve"> </v>
      </c>
      <c r="CH427" s="598" t="str">
        <f t="shared" si="854"/>
        <v xml:space="preserve"> </v>
      </c>
      <c r="CI427" s="598" t="str">
        <f t="shared" si="854"/>
        <v xml:space="preserve"> </v>
      </c>
      <c r="CJ427" s="598" t="str">
        <f t="shared" si="854"/>
        <v xml:space="preserve"> </v>
      </c>
      <c r="CK427" s="598" t="str">
        <f t="shared" si="854"/>
        <v xml:space="preserve"> </v>
      </c>
      <c r="CL427" s="598" t="str">
        <f t="shared" si="854"/>
        <v xml:space="preserve"> </v>
      </c>
      <c r="CM427" s="598" t="str">
        <f t="shared" si="854"/>
        <v xml:space="preserve"> </v>
      </c>
      <c r="CN427" s="598" t="str">
        <f t="shared" si="854"/>
        <v xml:space="preserve"> </v>
      </c>
    </row>
    <row r="428" spans="1:92">
      <c r="A428" s="598">
        <v>51</v>
      </c>
      <c r="B428" s="598" t="str">
        <f t="shared" si="847"/>
        <v xml:space="preserve"> </v>
      </c>
      <c r="C428" s="598" t="str">
        <f t="shared" si="847"/>
        <v xml:space="preserve"> </v>
      </c>
      <c r="D428" s="598" t="str">
        <f t="shared" si="847"/>
        <v xml:space="preserve"> </v>
      </c>
      <c r="E428" s="598" t="str">
        <f t="shared" si="847"/>
        <v xml:space="preserve"> </v>
      </c>
      <c r="F428" s="598" t="str">
        <f t="shared" si="847"/>
        <v xml:space="preserve"> </v>
      </c>
      <c r="G428" s="598" t="str">
        <f t="shared" si="847"/>
        <v xml:space="preserve"> </v>
      </c>
      <c r="H428" s="598" t="str">
        <f t="shared" si="847"/>
        <v xml:space="preserve"> </v>
      </c>
      <c r="I428" s="598" t="str">
        <f t="shared" si="847"/>
        <v xml:space="preserve"> </v>
      </c>
      <c r="J428" s="598" t="str">
        <f t="shared" si="847"/>
        <v xml:space="preserve"> </v>
      </c>
      <c r="K428" s="598" t="str">
        <f t="shared" si="847"/>
        <v xml:space="preserve"> </v>
      </c>
      <c r="L428" s="598" t="str">
        <f t="shared" si="848"/>
        <v xml:space="preserve"> </v>
      </c>
      <c r="M428" s="598" t="str">
        <f t="shared" si="848"/>
        <v xml:space="preserve"> </v>
      </c>
      <c r="N428" s="598" t="str">
        <f t="shared" si="848"/>
        <v xml:space="preserve"> </v>
      </c>
      <c r="O428" s="598" t="str">
        <f t="shared" si="848"/>
        <v xml:space="preserve"> </v>
      </c>
      <c r="P428" s="598" t="str">
        <f t="shared" si="848"/>
        <v xml:space="preserve"> </v>
      </c>
      <c r="Q428" s="598" t="str">
        <f t="shared" si="848"/>
        <v xml:space="preserve"> </v>
      </c>
      <c r="R428" s="598" t="str">
        <f t="shared" si="848"/>
        <v xml:space="preserve"> </v>
      </c>
      <c r="S428" s="598" t="str">
        <f t="shared" si="848"/>
        <v xml:space="preserve"> </v>
      </c>
      <c r="T428" s="598" t="str">
        <f t="shared" si="848"/>
        <v xml:space="preserve"> </v>
      </c>
      <c r="U428" s="598" t="str">
        <f t="shared" si="848"/>
        <v xml:space="preserve"> </v>
      </c>
      <c r="V428" s="598" t="str">
        <f t="shared" si="849"/>
        <v xml:space="preserve"> </v>
      </c>
      <c r="W428" s="598" t="str">
        <f t="shared" si="849"/>
        <v xml:space="preserve"> </v>
      </c>
      <c r="X428" s="598" t="str">
        <f t="shared" si="849"/>
        <v xml:space="preserve"> </v>
      </c>
      <c r="Y428" s="598" t="str">
        <f t="shared" si="849"/>
        <v xml:space="preserve"> </v>
      </c>
      <c r="Z428" s="598" t="str">
        <f t="shared" si="849"/>
        <v xml:space="preserve"> </v>
      </c>
      <c r="AA428" s="598" t="str">
        <f t="shared" si="849"/>
        <v xml:space="preserve"> </v>
      </c>
      <c r="AB428" s="598" t="str">
        <f t="shared" si="849"/>
        <v xml:space="preserve"> </v>
      </c>
      <c r="AC428" s="598" t="str">
        <f t="shared" si="849"/>
        <v xml:space="preserve"> </v>
      </c>
      <c r="AD428" s="598" t="str">
        <f t="shared" si="849"/>
        <v xml:space="preserve"> </v>
      </c>
      <c r="AE428" s="598" t="str">
        <f t="shared" si="849"/>
        <v xml:space="preserve"> </v>
      </c>
      <c r="AF428" s="598" t="str">
        <f t="shared" si="850"/>
        <v xml:space="preserve"> </v>
      </c>
      <c r="AG428" s="598" t="str">
        <f t="shared" si="850"/>
        <v xml:space="preserve"> </v>
      </c>
      <c r="AH428" s="598" t="str">
        <f t="shared" si="850"/>
        <v xml:space="preserve"> </v>
      </c>
      <c r="AI428" s="598" t="str">
        <f t="shared" si="850"/>
        <v xml:space="preserve"> </v>
      </c>
      <c r="AJ428" s="598" t="str">
        <f t="shared" si="850"/>
        <v xml:space="preserve"> </v>
      </c>
      <c r="AK428" s="598" t="str">
        <f t="shared" si="850"/>
        <v xml:space="preserve"> </v>
      </c>
      <c r="AL428" s="598" t="str">
        <f t="shared" si="850"/>
        <v xml:space="preserve"> </v>
      </c>
      <c r="AM428" s="598" t="str">
        <f t="shared" si="850"/>
        <v xml:space="preserve"> </v>
      </c>
      <c r="AN428" s="598" t="str">
        <f t="shared" si="850"/>
        <v xml:space="preserve"> </v>
      </c>
      <c r="AO428" s="598" t="str">
        <f t="shared" si="850"/>
        <v xml:space="preserve"> </v>
      </c>
      <c r="AP428" s="598" t="str">
        <f t="shared" si="850"/>
        <v xml:space="preserve"> </v>
      </c>
      <c r="AQ428" s="598" t="str">
        <f t="shared" si="850"/>
        <v xml:space="preserve"> </v>
      </c>
      <c r="AR428" s="598" t="str">
        <f t="shared" si="850"/>
        <v xml:space="preserve"> </v>
      </c>
      <c r="AS428" s="598" t="str">
        <f t="shared" si="850"/>
        <v xml:space="preserve"> </v>
      </c>
      <c r="AT428" s="598" t="str">
        <f t="shared" si="850"/>
        <v xml:space="preserve"> </v>
      </c>
      <c r="AV428" s="598" t="str">
        <f t="shared" si="851"/>
        <v xml:space="preserve"> </v>
      </c>
      <c r="AW428" s="598" t="str">
        <f t="shared" si="851"/>
        <v xml:space="preserve"> </v>
      </c>
      <c r="AX428" s="598" t="str">
        <f t="shared" si="851"/>
        <v xml:space="preserve"> </v>
      </c>
      <c r="AY428" s="598" t="str">
        <f t="shared" si="851"/>
        <v xml:space="preserve"> </v>
      </c>
      <c r="AZ428" s="598" t="str">
        <f t="shared" si="851"/>
        <v xml:space="preserve"> </v>
      </c>
      <c r="BA428" s="598" t="str">
        <f t="shared" si="851"/>
        <v xml:space="preserve"> </v>
      </c>
      <c r="BB428" s="598" t="str">
        <f t="shared" si="851"/>
        <v xml:space="preserve"> </v>
      </c>
      <c r="BC428" s="598" t="str">
        <f t="shared" si="851"/>
        <v xml:space="preserve"> </v>
      </c>
      <c r="BD428" s="598" t="str">
        <f t="shared" si="851"/>
        <v xml:space="preserve"> </v>
      </c>
      <c r="BE428" s="598" t="str">
        <f t="shared" si="851"/>
        <v xml:space="preserve"> </v>
      </c>
      <c r="BF428" s="598" t="str">
        <f t="shared" si="852"/>
        <v xml:space="preserve"> </v>
      </c>
      <c r="BG428" s="598" t="str">
        <f t="shared" si="852"/>
        <v xml:space="preserve"> </v>
      </c>
      <c r="BH428" s="598" t="str">
        <f t="shared" si="852"/>
        <v xml:space="preserve"> </v>
      </c>
      <c r="BI428" s="598" t="str">
        <f t="shared" si="852"/>
        <v xml:space="preserve"> </v>
      </c>
      <c r="BJ428" s="598" t="str">
        <f t="shared" si="852"/>
        <v xml:space="preserve"> </v>
      </c>
      <c r="BK428" s="598" t="str">
        <f t="shared" si="852"/>
        <v xml:space="preserve"> </v>
      </c>
      <c r="BL428" s="598" t="str">
        <f t="shared" si="852"/>
        <v xml:space="preserve"> </v>
      </c>
      <c r="BM428" s="598" t="str">
        <f t="shared" si="852"/>
        <v xml:space="preserve"> </v>
      </c>
      <c r="BN428" s="598" t="str">
        <f t="shared" si="852"/>
        <v xml:space="preserve"> </v>
      </c>
      <c r="BO428" s="598" t="str">
        <f t="shared" si="852"/>
        <v xml:space="preserve"> </v>
      </c>
      <c r="BP428" s="598" t="str">
        <f t="shared" si="853"/>
        <v xml:space="preserve"> </v>
      </c>
      <c r="BQ428" s="598" t="str">
        <f t="shared" si="853"/>
        <v xml:space="preserve"> </v>
      </c>
      <c r="BR428" s="598" t="str">
        <f t="shared" si="853"/>
        <v xml:space="preserve"> </v>
      </c>
      <c r="BS428" s="598" t="str">
        <f t="shared" si="853"/>
        <v xml:space="preserve"> </v>
      </c>
      <c r="BT428" s="598" t="str">
        <f t="shared" si="853"/>
        <v xml:space="preserve"> </v>
      </c>
      <c r="BU428" s="598" t="str">
        <f t="shared" si="853"/>
        <v xml:space="preserve"> </v>
      </c>
      <c r="BV428" s="598" t="str">
        <f t="shared" si="853"/>
        <v xml:space="preserve"> </v>
      </c>
      <c r="BW428" s="598" t="str">
        <f t="shared" si="853"/>
        <v xml:space="preserve"> </v>
      </c>
      <c r="BX428" s="598" t="str">
        <f t="shared" si="853"/>
        <v xml:space="preserve"> </v>
      </c>
      <c r="BY428" s="598" t="str">
        <f t="shared" si="853"/>
        <v xml:space="preserve"> </v>
      </c>
      <c r="BZ428" s="598" t="str">
        <f t="shared" si="854"/>
        <v xml:space="preserve"> </v>
      </c>
      <c r="CA428" s="598" t="str">
        <f t="shared" si="854"/>
        <v xml:space="preserve"> </v>
      </c>
      <c r="CB428" s="598" t="str">
        <f t="shared" si="854"/>
        <v xml:space="preserve"> </v>
      </c>
      <c r="CC428" s="598" t="str">
        <f t="shared" si="854"/>
        <v xml:space="preserve"> </v>
      </c>
      <c r="CD428" s="598" t="str">
        <f t="shared" si="854"/>
        <v xml:space="preserve"> </v>
      </c>
      <c r="CE428" s="598" t="str">
        <f t="shared" si="854"/>
        <v xml:space="preserve"> </v>
      </c>
      <c r="CF428" s="598" t="str">
        <f t="shared" si="854"/>
        <v xml:space="preserve"> </v>
      </c>
      <c r="CG428" s="598" t="str">
        <f t="shared" si="854"/>
        <v xml:space="preserve"> </v>
      </c>
      <c r="CH428" s="598" t="str">
        <f t="shared" si="854"/>
        <v xml:space="preserve"> </v>
      </c>
      <c r="CI428" s="598" t="str">
        <f t="shared" si="854"/>
        <v xml:space="preserve"> </v>
      </c>
      <c r="CJ428" s="598" t="str">
        <f t="shared" si="854"/>
        <v xml:space="preserve"> </v>
      </c>
      <c r="CK428" s="598" t="str">
        <f t="shared" si="854"/>
        <v xml:space="preserve"> </v>
      </c>
      <c r="CL428" s="598" t="str">
        <f t="shared" si="854"/>
        <v xml:space="preserve"> </v>
      </c>
      <c r="CM428" s="598" t="str">
        <f t="shared" si="854"/>
        <v xml:space="preserve"> </v>
      </c>
      <c r="CN428" s="598" t="str">
        <f t="shared" si="854"/>
        <v xml:space="preserve"> </v>
      </c>
    </row>
    <row r="429" spans="1:92">
      <c r="A429" s="598">
        <v>52</v>
      </c>
      <c r="B429" s="598" t="str">
        <f t="shared" ref="B429:K438" si="855">HLOOKUP(B$376,$C$255:$S$372,$A429+1)</f>
        <v xml:space="preserve"> </v>
      </c>
      <c r="C429" s="598" t="str">
        <f t="shared" si="855"/>
        <v xml:space="preserve"> </v>
      </c>
      <c r="D429" s="598" t="str">
        <f t="shared" si="855"/>
        <v xml:space="preserve"> </v>
      </c>
      <c r="E429" s="598" t="str">
        <f t="shared" si="855"/>
        <v xml:space="preserve"> </v>
      </c>
      <c r="F429" s="598" t="str">
        <f t="shared" si="855"/>
        <v xml:space="preserve"> </v>
      </c>
      <c r="G429" s="598" t="str">
        <f t="shared" si="855"/>
        <v xml:space="preserve"> </v>
      </c>
      <c r="H429" s="598" t="str">
        <f t="shared" si="855"/>
        <v xml:space="preserve"> </v>
      </c>
      <c r="I429" s="598" t="str">
        <f t="shared" si="855"/>
        <v xml:space="preserve"> </v>
      </c>
      <c r="J429" s="598" t="str">
        <f t="shared" si="855"/>
        <v xml:space="preserve"> </v>
      </c>
      <c r="K429" s="598" t="str">
        <f t="shared" si="855"/>
        <v xml:space="preserve"> </v>
      </c>
      <c r="L429" s="598" t="str">
        <f t="shared" ref="L429:U438" si="856">HLOOKUP(L$376,$C$255:$S$372,$A429+1)</f>
        <v xml:space="preserve"> </v>
      </c>
      <c r="M429" s="598" t="str">
        <f t="shared" si="856"/>
        <v xml:space="preserve"> </v>
      </c>
      <c r="N429" s="598" t="str">
        <f t="shared" si="856"/>
        <v xml:space="preserve"> </v>
      </c>
      <c r="O429" s="598" t="str">
        <f t="shared" si="856"/>
        <v xml:space="preserve"> </v>
      </c>
      <c r="P429" s="598" t="str">
        <f t="shared" si="856"/>
        <v xml:space="preserve"> </v>
      </c>
      <c r="Q429" s="598" t="str">
        <f t="shared" si="856"/>
        <v xml:space="preserve"> </v>
      </c>
      <c r="R429" s="598" t="str">
        <f t="shared" si="856"/>
        <v xml:space="preserve"> </v>
      </c>
      <c r="S429" s="598" t="str">
        <f t="shared" si="856"/>
        <v xml:space="preserve"> </v>
      </c>
      <c r="T429" s="598" t="str">
        <f t="shared" si="856"/>
        <v xml:space="preserve"> </v>
      </c>
      <c r="U429" s="598" t="str">
        <f t="shared" si="856"/>
        <v xml:space="preserve"> </v>
      </c>
      <c r="V429" s="598" t="str">
        <f t="shared" ref="V429:AE438" si="857">HLOOKUP(V$376,$C$255:$S$372,$A429+1)</f>
        <v xml:space="preserve"> </v>
      </c>
      <c r="W429" s="598" t="str">
        <f t="shared" si="857"/>
        <v xml:space="preserve"> </v>
      </c>
      <c r="X429" s="598" t="str">
        <f t="shared" si="857"/>
        <v xml:space="preserve"> </v>
      </c>
      <c r="Y429" s="598" t="str">
        <f t="shared" si="857"/>
        <v xml:space="preserve"> </v>
      </c>
      <c r="Z429" s="598" t="str">
        <f t="shared" si="857"/>
        <v xml:space="preserve"> </v>
      </c>
      <c r="AA429" s="598" t="str">
        <f t="shared" si="857"/>
        <v xml:space="preserve"> </v>
      </c>
      <c r="AB429" s="598" t="str">
        <f t="shared" si="857"/>
        <v xml:space="preserve"> </v>
      </c>
      <c r="AC429" s="598" t="str">
        <f t="shared" si="857"/>
        <v xml:space="preserve"> </v>
      </c>
      <c r="AD429" s="598" t="str">
        <f t="shared" si="857"/>
        <v xml:space="preserve"> </v>
      </c>
      <c r="AE429" s="598" t="str">
        <f t="shared" si="857"/>
        <v xml:space="preserve"> </v>
      </c>
      <c r="AF429" s="598" t="str">
        <f t="shared" ref="AF429:AT438" si="858">HLOOKUP(AF$376,$C$255:$S$372,$A429+1)</f>
        <v xml:space="preserve"> </v>
      </c>
      <c r="AG429" s="598" t="str">
        <f t="shared" si="858"/>
        <v xml:space="preserve"> </v>
      </c>
      <c r="AH429" s="598" t="str">
        <f t="shared" si="858"/>
        <v xml:space="preserve"> </v>
      </c>
      <c r="AI429" s="598" t="str">
        <f t="shared" si="858"/>
        <v xml:space="preserve"> </v>
      </c>
      <c r="AJ429" s="598" t="str">
        <f t="shared" si="858"/>
        <v xml:space="preserve"> </v>
      </c>
      <c r="AK429" s="598" t="str">
        <f t="shared" si="858"/>
        <v xml:space="preserve"> </v>
      </c>
      <c r="AL429" s="598" t="str">
        <f t="shared" si="858"/>
        <v xml:space="preserve"> </v>
      </c>
      <c r="AM429" s="598" t="str">
        <f t="shared" si="858"/>
        <v xml:space="preserve"> </v>
      </c>
      <c r="AN429" s="598" t="str">
        <f t="shared" si="858"/>
        <v xml:space="preserve"> </v>
      </c>
      <c r="AO429" s="598" t="str">
        <f t="shared" si="858"/>
        <v xml:space="preserve"> </v>
      </c>
      <c r="AP429" s="598" t="str">
        <f t="shared" si="858"/>
        <v xml:space="preserve"> </v>
      </c>
      <c r="AQ429" s="598" t="str">
        <f t="shared" si="858"/>
        <v xml:space="preserve"> </v>
      </c>
      <c r="AR429" s="598" t="str">
        <f t="shared" si="858"/>
        <v xml:space="preserve"> </v>
      </c>
      <c r="AS429" s="598" t="str">
        <f t="shared" si="858"/>
        <v xml:space="preserve"> </v>
      </c>
      <c r="AT429" s="598" t="str">
        <f t="shared" si="858"/>
        <v xml:space="preserve"> </v>
      </c>
      <c r="AV429" s="598" t="str">
        <f t="shared" ref="AV429:BE438" si="859">HLOOKUP(AV$376,$C$255:$S$372,$A429+1)</f>
        <v xml:space="preserve"> </v>
      </c>
      <c r="AW429" s="598" t="str">
        <f t="shared" si="859"/>
        <v xml:space="preserve"> </v>
      </c>
      <c r="AX429" s="598" t="str">
        <f t="shared" si="859"/>
        <v xml:space="preserve"> </v>
      </c>
      <c r="AY429" s="598" t="str">
        <f t="shared" si="859"/>
        <v xml:space="preserve"> </v>
      </c>
      <c r="AZ429" s="598" t="str">
        <f t="shared" si="859"/>
        <v xml:space="preserve"> </v>
      </c>
      <c r="BA429" s="598" t="str">
        <f t="shared" si="859"/>
        <v xml:space="preserve"> </v>
      </c>
      <c r="BB429" s="598" t="str">
        <f t="shared" si="859"/>
        <v xml:space="preserve"> </v>
      </c>
      <c r="BC429" s="598" t="str">
        <f t="shared" si="859"/>
        <v xml:space="preserve"> </v>
      </c>
      <c r="BD429" s="598" t="str">
        <f t="shared" si="859"/>
        <v xml:space="preserve"> </v>
      </c>
      <c r="BE429" s="598" t="str">
        <f t="shared" si="859"/>
        <v xml:space="preserve"> </v>
      </c>
      <c r="BF429" s="598" t="str">
        <f t="shared" ref="BF429:BO438" si="860">HLOOKUP(BF$376,$C$255:$S$372,$A429+1)</f>
        <v xml:space="preserve"> </v>
      </c>
      <c r="BG429" s="598" t="str">
        <f t="shared" si="860"/>
        <v xml:space="preserve"> </v>
      </c>
      <c r="BH429" s="598" t="str">
        <f t="shared" si="860"/>
        <v xml:space="preserve"> </v>
      </c>
      <c r="BI429" s="598" t="str">
        <f t="shared" si="860"/>
        <v xml:space="preserve"> </v>
      </c>
      <c r="BJ429" s="598" t="str">
        <f t="shared" si="860"/>
        <v xml:space="preserve"> </v>
      </c>
      <c r="BK429" s="598" t="str">
        <f t="shared" si="860"/>
        <v xml:space="preserve"> </v>
      </c>
      <c r="BL429" s="598" t="str">
        <f t="shared" si="860"/>
        <v xml:space="preserve"> </v>
      </c>
      <c r="BM429" s="598" t="str">
        <f t="shared" si="860"/>
        <v xml:space="preserve"> </v>
      </c>
      <c r="BN429" s="598" t="str">
        <f t="shared" si="860"/>
        <v xml:space="preserve"> </v>
      </c>
      <c r="BO429" s="598" t="str">
        <f t="shared" si="860"/>
        <v xml:space="preserve"> </v>
      </c>
      <c r="BP429" s="598" t="str">
        <f t="shared" ref="BP429:BY438" si="861">HLOOKUP(BP$376,$C$255:$S$372,$A429+1)</f>
        <v xml:space="preserve"> </v>
      </c>
      <c r="BQ429" s="598" t="str">
        <f t="shared" si="861"/>
        <v xml:space="preserve"> </v>
      </c>
      <c r="BR429" s="598" t="str">
        <f t="shared" si="861"/>
        <v xml:space="preserve"> </v>
      </c>
      <c r="BS429" s="598" t="str">
        <f t="shared" si="861"/>
        <v xml:space="preserve"> </v>
      </c>
      <c r="BT429" s="598" t="str">
        <f t="shared" si="861"/>
        <v xml:space="preserve"> </v>
      </c>
      <c r="BU429" s="598" t="str">
        <f t="shared" si="861"/>
        <v xml:space="preserve"> </v>
      </c>
      <c r="BV429" s="598" t="str">
        <f t="shared" si="861"/>
        <v xml:space="preserve"> </v>
      </c>
      <c r="BW429" s="598" t="str">
        <f t="shared" si="861"/>
        <v xml:space="preserve"> </v>
      </c>
      <c r="BX429" s="598" t="str">
        <f t="shared" si="861"/>
        <v xml:space="preserve"> </v>
      </c>
      <c r="BY429" s="598" t="str">
        <f t="shared" si="861"/>
        <v xml:space="preserve"> </v>
      </c>
      <c r="BZ429" s="598" t="str">
        <f t="shared" ref="BZ429:CN438" si="862">HLOOKUP(BZ$376,$C$255:$S$372,$A429+1)</f>
        <v xml:space="preserve"> </v>
      </c>
      <c r="CA429" s="598" t="str">
        <f t="shared" si="862"/>
        <v xml:space="preserve"> </v>
      </c>
      <c r="CB429" s="598" t="str">
        <f t="shared" si="862"/>
        <v xml:space="preserve"> </v>
      </c>
      <c r="CC429" s="598" t="str">
        <f t="shared" si="862"/>
        <v xml:space="preserve"> </v>
      </c>
      <c r="CD429" s="598" t="str">
        <f t="shared" si="862"/>
        <v xml:space="preserve"> </v>
      </c>
      <c r="CE429" s="598" t="str">
        <f t="shared" si="862"/>
        <v xml:space="preserve"> </v>
      </c>
      <c r="CF429" s="598" t="str">
        <f t="shared" si="862"/>
        <v xml:space="preserve"> </v>
      </c>
      <c r="CG429" s="598" t="str">
        <f t="shared" si="862"/>
        <v xml:space="preserve"> </v>
      </c>
      <c r="CH429" s="598" t="str">
        <f t="shared" si="862"/>
        <v xml:space="preserve"> </v>
      </c>
      <c r="CI429" s="598" t="str">
        <f t="shared" si="862"/>
        <v xml:space="preserve"> </v>
      </c>
      <c r="CJ429" s="598" t="str">
        <f t="shared" si="862"/>
        <v xml:space="preserve"> </v>
      </c>
      <c r="CK429" s="598" t="str">
        <f t="shared" si="862"/>
        <v xml:space="preserve"> </v>
      </c>
      <c r="CL429" s="598" t="str">
        <f t="shared" si="862"/>
        <v xml:space="preserve"> </v>
      </c>
      <c r="CM429" s="598" t="str">
        <f t="shared" si="862"/>
        <v xml:space="preserve"> </v>
      </c>
      <c r="CN429" s="598" t="str">
        <f t="shared" si="862"/>
        <v xml:space="preserve"> </v>
      </c>
    </row>
    <row r="430" spans="1:92">
      <c r="A430" s="598">
        <v>53</v>
      </c>
      <c r="B430" s="598" t="str">
        <f t="shared" si="855"/>
        <v xml:space="preserve"> </v>
      </c>
      <c r="C430" s="598" t="str">
        <f t="shared" si="855"/>
        <v xml:space="preserve"> </v>
      </c>
      <c r="D430" s="598" t="str">
        <f t="shared" si="855"/>
        <v xml:space="preserve"> </v>
      </c>
      <c r="E430" s="598" t="str">
        <f t="shared" si="855"/>
        <v xml:space="preserve"> </v>
      </c>
      <c r="F430" s="598" t="str">
        <f t="shared" si="855"/>
        <v xml:space="preserve"> </v>
      </c>
      <c r="G430" s="598" t="str">
        <f t="shared" si="855"/>
        <v xml:space="preserve"> </v>
      </c>
      <c r="H430" s="598" t="str">
        <f t="shared" si="855"/>
        <v xml:space="preserve"> </v>
      </c>
      <c r="I430" s="598" t="str">
        <f t="shared" si="855"/>
        <v xml:space="preserve"> </v>
      </c>
      <c r="J430" s="598" t="str">
        <f t="shared" si="855"/>
        <v xml:space="preserve"> </v>
      </c>
      <c r="K430" s="598" t="str">
        <f t="shared" si="855"/>
        <v xml:space="preserve"> </v>
      </c>
      <c r="L430" s="598" t="str">
        <f t="shared" si="856"/>
        <v xml:space="preserve"> </v>
      </c>
      <c r="M430" s="598" t="str">
        <f t="shared" si="856"/>
        <v xml:space="preserve"> </v>
      </c>
      <c r="N430" s="598" t="str">
        <f t="shared" si="856"/>
        <v xml:space="preserve"> </v>
      </c>
      <c r="O430" s="598" t="str">
        <f t="shared" si="856"/>
        <v xml:space="preserve"> </v>
      </c>
      <c r="P430" s="598" t="str">
        <f t="shared" si="856"/>
        <v xml:space="preserve"> </v>
      </c>
      <c r="Q430" s="598" t="str">
        <f t="shared" si="856"/>
        <v xml:space="preserve"> </v>
      </c>
      <c r="R430" s="598" t="str">
        <f t="shared" si="856"/>
        <v xml:space="preserve"> </v>
      </c>
      <c r="S430" s="598" t="str">
        <f t="shared" si="856"/>
        <v xml:space="preserve"> </v>
      </c>
      <c r="T430" s="598" t="str">
        <f t="shared" si="856"/>
        <v xml:space="preserve"> </v>
      </c>
      <c r="U430" s="598" t="str">
        <f t="shared" si="856"/>
        <v xml:space="preserve"> </v>
      </c>
      <c r="V430" s="598" t="str">
        <f t="shared" si="857"/>
        <v xml:space="preserve"> </v>
      </c>
      <c r="W430" s="598" t="str">
        <f t="shared" si="857"/>
        <v xml:space="preserve"> </v>
      </c>
      <c r="X430" s="598" t="str">
        <f t="shared" si="857"/>
        <v xml:space="preserve"> </v>
      </c>
      <c r="Y430" s="598" t="str">
        <f t="shared" si="857"/>
        <v xml:space="preserve"> </v>
      </c>
      <c r="Z430" s="598" t="str">
        <f t="shared" si="857"/>
        <v xml:space="preserve"> </v>
      </c>
      <c r="AA430" s="598" t="str">
        <f t="shared" si="857"/>
        <v xml:space="preserve"> </v>
      </c>
      <c r="AB430" s="598" t="str">
        <f t="shared" si="857"/>
        <v xml:space="preserve"> </v>
      </c>
      <c r="AC430" s="598" t="str">
        <f t="shared" si="857"/>
        <v xml:space="preserve"> </v>
      </c>
      <c r="AD430" s="598" t="str">
        <f t="shared" si="857"/>
        <v xml:space="preserve"> </v>
      </c>
      <c r="AE430" s="598" t="str">
        <f t="shared" si="857"/>
        <v xml:space="preserve"> </v>
      </c>
      <c r="AF430" s="598" t="str">
        <f t="shared" si="858"/>
        <v xml:space="preserve"> </v>
      </c>
      <c r="AG430" s="598" t="str">
        <f t="shared" si="858"/>
        <v xml:space="preserve"> </v>
      </c>
      <c r="AH430" s="598" t="str">
        <f t="shared" si="858"/>
        <v xml:space="preserve"> </v>
      </c>
      <c r="AI430" s="598" t="str">
        <f t="shared" si="858"/>
        <v xml:space="preserve"> </v>
      </c>
      <c r="AJ430" s="598" t="str">
        <f t="shared" si="858"/>
        <v xml:space="preserve"> </v>
      </c>
      <c r="AK430" s="598" t="str">
        <f t="shared" si="858"/>
        <v xml:space="preserve"> </v>
      </c>
      <c r="AL430" s="598" t="str">
        <f t="shared" si="858"/>
        <v xml:space="preserve"> </v>
      </c>
      <c r="AM430" s="598" t="str">
        <f t="shared" si="858"/>
        <v xml:space="preserve"> </v>
      </c>
      <c r="AN430" s="598" t="str">
        <f t="shared" si="858"/>
        <v xml:space="preserve"> </v>
      </c>
      <c r="AO430" s="598" t="str">
        <f t="shared" si="858"/>
        <v xml:space="preserve"> </v>
      </c>
      <c r="AP430" s="598" t="str">
        <f t="shared" si="858"/>
        <v xml:space="preserve"> </v>
      </c>
      <c r="AQ430" s="598" t="str">
        <f t="shared" si="858"/>
        <v xml:space="preserve"> </v>
      </c>
      <c r="AR430" s="598" t="str">
        <f t="shared" si="858"/>
        <v xml:space="preserve"> </v>
      </c>
      <c r="AS430" s="598" t="str">
        <f t="shared" si="858"/>
        <v xml:space="preserve"> </v>
      </c>
      <c r="AT430" s="598" t="str">
        <f t="shared" si="858"/>
        <v xml:space="preserve"> </v>
      </c>
      <c r="AV430" s="598" t="str">
        <f t="shared" si="859"/>
        <v xml:space="preserve"> </v>
      </c>
      <c r="AW430" s="598" t="str">
        <f t="shared" si="859"/>
        <v xml:space="preserve"> </v>
      </c>
      <c r="AX430" s="598" t="str">
        <f t="shared" si="859"/>
        <v xml:space="preserve"> </v>
      </c>
      <c r="AY430" s="598" t="str">
        <f t="shared" si="859"/>
        <v xml:space="preserve"> </v>
      </c>
      <c r="AZ430" s="598" t="str">
        <f t="shared" si="859"/>
        <v xml:space="preserve"> </v>
      </c>
      <c r="BA430" s="598" t="str">
        <f t="shared" si="859"/>
        <v xml:space="preserve"> </v>
      </c>
      <c r="BB430" s="598" t="str">
        <f t="shared" si="859"/>
        <v xml:space="preserve"> </v>
      </c>
      <c r="BC430" s="598" t="str">
        <f t="shared" si="859"/>
        <v xml:space="preserve"> </v>
      </c>
      <c r="BD430" s="598" t="str">
        <f t="shared" si="859"/>
        <v xml:space="preserve"> </v>
      </c>
      <c r="BE430" s="598" t="str">
        <f t="shared" si="859"/>
        <v xml:space="preserve"> </v>
      </c>
      <c r="BF430" s="598" t="str">
        <f t="shared" si="860"/>
        <v xml:space="preserve"> </v>
      </c>
      <c r="BG430" s="598" t="str">
        <f t="shared" si="860"/>
        <v xml:space="preserve"> </v>
      </c>
      <c r="BH430" s="598" t="str">
        <f t="shared" si="860"/>
        <v xml:space="preserve"> </v>
      </c>
      <c r="BI430" s="598" t="str">
        <f t="shared" si="860"/>
        <v xml:space="preserve"> </v>
      </c>
      <c r="BJ430" s="598" t="str">
        <f t="shared" si="860"/>
        <v xml:space="preserve"> </v>
      </c>
      <c r="BK430" s="598" t="str">
        <f t="shared" si="860"/>
        <v xml:space="preserve"> </v>
      </c>
      <c r="BL430" s="598" t="str">
        <f t="shared" si="860"/>
        <v xml:space="preserve"> </v>
      </c>
      <c r="BM430" s="598" t="str">
        <f t="shared" si="860"/>
        <v xml:space="preserve"> </v>
      </c>
      <c r="BN430" s="598" t="str">
        <f t="shared" si="860"/>
        <v xml:space="preserve"> </v>
      </c>
      <c r="BO430" s="598" t="str">
        <f t="shared" si="860"/>
        <v xml:space="preserve"> </v>
      </c>
      <c r="BP430" s="598" t="str">
        <f t="shared" si="861"/>
        <v xml:space="preserve"> </v>
      </c>
      <c r="BQ430" s="598" t="str">
        <f t="shared" si="861"/>
        <v xml:space="preserve"> </v>
      </c>
      <c r="BR430" s="598" t="str">
        <f t="shared" si="861"/>
        <v xml:space="preserve"> </v>
      </c>
      <c r="BS430" s="598" t="str">
        <f t="shared" si="861"/>
        <v xml:space="preserve"> </v>
      </c>
      <c r="BT430" s="598" t="str">
        <f t="shared" si="861"/>
        <v xml:space="preserve"> </v>
      </c>
      <c r="BU430" s="598" t="str">
        <f t="shared" si="861"/>
        <v xml:space="preserve"> </v>
      </c>
      <c r="BV430" s="598" t="str">
        <f t="shared" si="861"/>
        <v xml:space="preserve"> </v>
      </c>
      <c r="BW430" s="598" t="str">
        <f t="shared" si="861"/>
        <v xml:space="preserve"> </v>
      </c>
      <c r="BX430" s="598" t="str">
        <f t="shared" si="861"/>
        <v xml:space="preserve"> </v>
      </c>
      <c r="BY430" s="598" t="str">
        <f t="shared" si="861"/>
        <v xml:space="preserve"> </v>
      </c>
      <c r="BZ430" s="598" t="str">
        <f t="shared" si="862"/>
        <v xml:space="preserve"> </v>
      </c>
      <c r="CA430" s="598" t="str">
        <f t="shared" si="862"/>
        <v xml:space="preserve"> </v>
      </c>
      <c r="CB430" s="598" t="str">
        <f t="shared" si="862"/>
        <v xml:space="preserve"> </v>
      </c>
      <c r="CC430" s="598" t="str">
        <f t="shared" si="862"/>
        <v xml:space="preserve"> </v>
      </c>
      <c r="CD430" s="598" t="str">
        <f t="shared" si="862"/>
        <v xml:space="preserve"> </v>
      </c>
      <c r="CE430" s="598" t="str">
        <f t="shared" si="862"/>
        <v xml:space="preserve"> </v>
      </c>
      <c r="CF430" s="598" t="str">
        <f t="shared" si="862"/>
        <v xml:space="preserve"> </v>
      </c>
      <c r="CG430" s="598" t="str">
        <f t="shared" si="862"/>
        <v xml:space="preserve"> </v>
      </c>
      <c r="CH430" s="598" t="str">
        <f t="shared" si="862"/>
        <v xml:space="preserve"> </v>
      </c>
      <c r="CI430" s="598" t="str">
        <f t="shared" si="862"/>
        <v xml:space="preserve"> </v>
      </c>
      <c r="CJ430" s="598" t="str">
        <f t="shared" si="862"/>
        <v xml:space="preserve"> </v>
      </c>
      <c r="CK430" s="598" t="str">
        <f t="shared" si="862"/>
        <v xml:space="preserve"> </v>
      </c>
      <c r="CL430" s="598" t="str">
        <f t="shared" si="862"/>
        <v xml:space="preserve"> </v>
      </c>
      <c r="CM430" s="598" t="str">
        <f t="shared" si="862"/>
        <v xml:space="preserve"> </v>
      </c>
      <c r="CN430" s="598" t="str">
        <f t="shared" si="862"/>
        <v xml:space="preserve"> </v>
      </c>
    </row>
    <row r="431" spans="1:92">
      <c r="A431" s="598">
        <v>54</v>
      </c>
      <c r="B431" s="598" t="str">
        <f t="shared" si="855"/>
        <v xml:space="preserve"> </v>
      </c>
      <c r="C431" s="598" t="str">
        <f t="shared" si="855"/>
        <v xml:space="preserve"> </v>
      </c>
      <c r="D431" s="598" t="str">
        <f t="shared" si="855"/>
        <v xml:space="preserve"> </v>
      </c>
      <c r="E431" s="598" t="str">
        <f t="shared" si="855"/>
        <v xml:space="preserve"> </v>
      </c>
      <c r="F431" s="598" t="str">
        <f t="shared" si="855"/>
        <v xml:space="preserve"> </v>
      </c>
      <c r="G431" s="598" t="str">
        <f t="shared" si="855"/>
        <v xml:space="preserve"> </v>
      </c>
      <c r="H431" s="598" t="str">
        <f t="shared" si="855"/>
        <v xml:space="preserve"> </v>
      </c>
      <c r="I431" s="598" t="str">
        <f t="shared" si="855"/>
        <v xml:space="preserve"> </v>
      </c>
      <c r="J431" s="598" t="str">
        <f t="shared" si="855"/>
        <v xml:space="preserve"> </v>
      </c>
      <c r="K431" s="598" t="str">
        <f t="shared" si="855"/>
        <v xml:space="preserve"> </v>
      </c>
      <c r="L431" s="598" t="str">
        <f t="shared" si="856"/>
        <v xml:space="preserve"> </v>
      </c>
      <c r="M431" s="598" t="str">
        <f t="shared" si="856"/>
        <v xml:space="preserve"> </v>
      </c>
      <c r="N431" s="598" t="str">
        <f t="shared" si="856"/>
        <v xml:space="preserve"> </v>
      </c>
      <c r="O431" s="598" t="str">
        <f t="shared" si="856"/>
        <v xml:space="preserve"> </v>
      </c>
      <c r="P431" s="598" t="str">
        <f t="shared" si="856"/>
        <v xml:space="preserve"> </v>
      </c>
      <c r="Q431" s="598" t="str">
        <f t="shared" si="856"/>
        <v xml:space="preserve"> </v>
      </c>
      <c r="R431" s="598" t="str">
        <f t="shared" si="856"/>
        <v xml:space="preserve"> </v>
      </c>
      <c r="S431" s="598" t="str">
        <f t="shared" si="856"/>
        <v xml:space="preserve"> </v>
      </c>
      <c r="T431" s="598" t="str">
        <f t="shared" si="856"/>
        <v xml:space="preserve"> </v>
      </c>
      <c r="U431" s="598" t="str">
        <f t="shared" si="856"/>
        <v xml:space="preserve"> </v>
      </c>
      <c r="V431" s="598" t="str">
        <f t="shared" si="857"/>
        <v xml:space="preserve"> </v>
      </c>
      <c r="W431" s="598" t="str">
        <f t="shared" si="857"/>
        <v xml:space="preserve"> </v>
      </c>
      <c r="X431" s="598" t="str">
        <f t="shared" si="857"/>
        <v xml:space="preserve"> </v>
      </c>
      <c r="Y431" s="598" t="str">
        <f t="shared" si="857"/>
        <v xml:space="preserve"> </v>
      </c>
      <c r="Z431" s="598" t="str">
        <f t="shared" si="857"/>
        <v xml:space="preserve"> </v>
      </c>
      <c r="AA431" s="598" t="str">
        <f t="shared" si="857"/>
        <v xml:space="preserve"> </v>
      </c>
      <c r="AB431" s="598" t="str">
        <f t="shared" si="857"/>
        <v xml:space="preserve"> </v>
      </c>
      <c r="AC431" s="598" t="str">
        <f t="shared" si="857"/>
        <v xml:space="preserve"> </v>
      </c>
      <c r="AD431" s="598" t="str">
        <f t="shared" si="857"/>
        <v xml:space="preserve"> </v>
      </c>
      <c r="AE431" s="598" t="str">
        <f t="shared" si="857"/>
        <v xml:space="preserve"> </v>
      </c>
      <c r="AF431" s="598" t="str">
        <f t="shared" si="858"/>
        <v xml:space="preserve"> </v>
      </c>
      <c r="AG431" s="598" t="str">
        <f t="shared" si="858"/>
        <v xml:space="preserve"> </v>
      </c>
      <c r="AH431" s="598" t="str">
        <f t="shared" si="858"/>
        <v xml:space="preserve"> </v>
      </c>
      <c r="AI431" s="598" t="str">
        <f t="shared" si="858"/>
        <v xml:space="preserve"> </v>
      </c>
      <c r="AJ431" s="598" t="str">
        <f t="shared" si="858"/>
        <v xml:space="preserve"> </v>
      </c>
      <c r="AK431" s="598" t="str">
        <f t="shared" si="858"/>
        <v xml:space="preserve"> </v>
      </c>
      <c r="AL431" s="598" t="str">
        <f t="shared" si="858"/>
        <v xml:space="preserve"> </v>
      </c>
      <c r="AM431" s="598" t="str">
        <f t="shared" si="858"/>
        <v xml:space="preserve"> </v>
      </c>
      <c r="AN431" s="598" t="str">
        <f t="shared" si="858"/>
        <v xml:space="preserve"> </v>
      </c>
      <c r="AO431" s="598" t="str">
        <f t="shared" si="858"/>
        <v xml:space="preserve"> </v>
      </c>
      <c r="AP431" s="598" t="str">
        <f t="shared" si="858"/>
        <v xml:space="preserve"> </v>
      </c>
      <c r="AQ431" s="598" t="str">
        <f t="shared" si="858"/>
        <v xml:space="preserve"> </v>
      </c>
      <c r="AR431" s="598" t="str">
        <f t="shared" si="858"/>
        <v xml:space="preserve"> </v>
      </c>
      <c r="AS431" s="598" t="str">
        <f t="shared" si="858"/>
        <v xml:space="preserve"> </v>
      </c>
      <c r="AT431" s="598" t="str">
        <f t="shared" si="858"/>
        <v xml:space="preserve"> </v>
      </c>
      <c r="AV431" s="598" t="str">
        <f t="shared" si="859"/>
        <v xml:space="preserve"> </v>
      </c>
      <c r="AW431" s="598" t="str">
        <f t="shared" si="859"/>
        <v xml:space="preserve"> </v>
      </c>
      <c r="AX431" s="598" t="str">
        <f t="shared" si="859"/>
        <v xml:space="preserve"> </v>
      </c>
      <c r="AY431" s="598" t="str">
        <f t="shared" si="859"/>
        <v xml:space="preserve"> </v>
      </c>
      <c r="AZ431" s="598" t="str">
        <f t="shared" si="859"/>
        <v xml:space="preserve"> </v>
      </c>
      <c r="BA431" s="598" t="str">
        <f t="shared" si="859"/>
        <v xml:space="preserve"> </v>
      </c>
      <c r="BB431" s="598" t="str">
        <f t="shared" si="859"/>
        <v xml:space="preserve"> </v>
      </c>
      <c r="BC431" s="598" t="str">
        <f t="shared" si="859"/>
        <v xml:space="preserve"> </v>
      </c>
      <c r="BD431" s="598" t="str">
        <f t="shared" si="859"/>
        <v xml:space="preserve"> </v>
      </c>
      <c r="BE431" s="598" t="str">
        <f t="shared" si="859"/>
        <v xml:space="preserve"> </v>
      </c>
      <c r="BF431" s="598" t="str">
        <f t="shared" si="860"/>
        <v xml:space="preserve"> </v>
      </c>
      <c r="BG431" s="598" t="str">
        <f t="shared" si="860"/>
        <v xml:space="preserve"> </v>
      </c>
      <c r="BH431" s="598" t="str">
        <f t="shared" si="860"/>
        <v xml:space="preserve"> </v>
      </c>
      <c r="BI431" s="598" t="str">
        <f t="shared" si="860"/>
        <v xml:space="preserve"> </v>
      </c>
      <c r="BJ431" s="598" t="str">
        <f t="shared" si="860"/>
        <v xml:space="preserve"> </v>
      </c>
      <c r="BK431" s="598" t="str">
        <f t="shared" si="860"/>
        <v xml:space="preserve"> </v>
      </c>
      <c r="BL431" s="598" t="str">
        <f t="shared" si="860"/>
        <v xml:space="preserve"> </v>
      </c>
      <c r="BM431" s="598" t="str">
        <f t="shared" si="860"/>
        <v xml:space="preserve"> </v>
      </c>
      <c r="BN431" s="598" t="str">
        <f t="shared" si="860"/>
        <v xml:space="preserve"> </v>
      </c>
      <c r="BO431" s="598" t="str">
        <f t="shared" si="860"/>
        <v xml:space="preserve"> </v>
      </c>
      <c r="BP431" s="598" t="str">
        <f t="shared" si="861"/>
        <v xml:space="preserve"> </v>
      </c>
      <c r="BQ431" s="598" t="str">
        <f t="shared" si="861"/>
        <v xml:space="preserve"> </v>
      </c>
      <c r="BR431" s="598" t="str">
        <f t="shared" si="861"/>
        <v xml:space="preserve"> </v>
      </c>
      <c r="BS431" s="598" t="str">
        <f t="shared" si="861"/>
        <v xml:space="preserve"> </v>
      </c>
      <c r="BT431" s="598" t="str">
        <f t="shared" si="861"/>
        <v xml:space="preserve"> </v>
      </c>
      <c r="BU431" s="598" t="str">
        <f t="shared" si="861"/>
        <v xml:space="preserve"> </v>
      </c>
      <c r="BV431" s="598" t="str">
        <f t="shared" si="861"/>
        <v xml:space="preserve"> </v>
      </c>
      <c r="BW431" s="598" t="str">
        <f t="shared" si="861"/>
        <v xml:space="preserve"> </v>
      </c>
      <c r="BX431" s="598" t="str">
        <f t="shared" si="861"/>
        <v xml:space="preserve"> </v>
      </c>
      <c r="BY431" s="598" t="str">
        <f t="shared" si="861"/>
        <v xml:space="preserve"> </v>
      </c>
      <c r="BZ431" s="598" t="str">
        <f t="shared" si="862"/>
        <v xml:space="preserve"> </v>
      </c>
      <c r="CA431" s="598" t="str">
        <f t="shared" si="862"/>
        <v xml:space="preserve"> </v>
      </c>
      <c r="CB431" s="598" t="str">
        <f t="shared" si="862"/>
        <v xml:space="preserve"> </v>
      </c>
      <c r="CC431" s="598" t="str">
        <f t="shared" si="862"/>
        <v xml:space="preserve"> </v>
      </c>
      <c r="CD431" s="598" t="str">
        <f t="shared" si="862"/>
        <v xml:space="preserve"> </v>
      </c>
      <c r="CE431" s="598" t="str">
        <f t="shared" si="862"/>
        <v xml:space="preserve"> </v>
      </c>
      <c r="CF431" s="598" t="str">
        <f t="shared" si="862"/>
        <v xml:space="preserve"> </v>
      </c>
      <c r="CG431" s="598" t="str">
        <f t="shared" si="862"/>
        <v xml:space="preserve"> </v>
      </c>
      <c r="CH431" s="598" t="str">
        <f t="shared" si="862"/>
        <v xml:space="preserve"> </v>
      </c>
      <c r="CI431" s="598" t="str">
        <f t="shared" si="862"/>
        <v xml:space="preserve"> </v>
      </c>
      <c r="CJ431" s="598" t="str">
        <f t="shared" si="862"/>
        <v xml:space="preserve"> </v>
      </c>
      <c r="CK431" s="598" t="str">
        <f t="shared" si="862"/>
        <v xml:space="preserve"> </v>
      </c>
      <c r="CL431" s="598" t="str">
        <f t="shared" si="862"/>
        <v xml:space="preserve"> </v>
      </c>
      <c r="CM431" s="598" t="str">
        <f t="shared" si="862"/>
        <v xml:space="preserve"> </v>
      </c>
      <c r="CN431" s="598" t="str">
        <f t="shared" si="862"/>
        <v xml:space="preserve"> </v>
      </c>
    </row>
    <row r="432" spans="1:92">
      <c r="A432" s="598">
        <v>55</v>
      </c>
      <c r="B432" s="598" t="str">
        <f t="shared" si="855"/>
        <v xml:space="preserve"> </v>
      </c>
      <c r="C432" s="598" t="str">
        <f t="shared" si="855"/>
        <v xml:space="preserve"> </v>
      </c>
      <c r="D432" s="598" t="str">
        <f t="shared" si="855"/>
        <v xml:space="preserve"> </v>
      </c>
      <c r="E432" s="598" t="str">
        <f t="shared" si="855"/>
        <v xml:space="preserve"> </v>
      </c>
      <c r="F432" s="598" t="str">
        <f t="shared" si="855"/>
        <v xml:space="preserve"> </v>
      </c>
      <c r="G432" s="598" t="str">
        <f t="shared" si="855"/>
        <v xml:space="preserve"> </v>
      </c>
      <c r="H432" s="598" t="str">
        <f t="shared" si="855"/>
        <v xml:space="preserve"> </v>
      </c>
      <c r="I432" s="598" t="str">
        <f t="shared" si="855"/>
        <v xml:space="preserve"> </v>
      </c>
      <c r="J432" s="598" t="str">
        <f t="shared" si="855"/>
        <v xml:space="preserve"> </v>
      </c>
      <c r="K432" s="598" t="str">
        <f t="shared" si="855"/>
        <v xml:space="preserve"> </v>
      </c>
      <c r="L432" s="598" t="str">
        <f t="shared" si="856"/>
        <v xml:space="preserve"> </v>
      </c>
      <c r="M432" s="598" t="str">
        <f t="shared" si="856"/>
        <v xml:space="preserve"> </v>
      </c>
      <c r="N432" s="598" t="str">
        <f t="shared" si="856"/>
        <v xml:space="preserve"> </v>
      </c>
      <c r="O432" s="598" t="str">
        <f t="shared" si="856"/>
        <v xml:space="preserve"> </v>
      </c>
      <c r="P432" s="598" t="str">
        <f t="shared" si="856"/>
        <v xml:space="preserve"> </v>
      </c>
      <c r="Q432" s="598" t="str">
        <f t="shared" si="856"/>
        <v xml:space="preserve"> </v>
      </c>
      <c r="R432" s="598" t="str">
        <f t="shared" si="856"/>
        <v xml:space="preserve"> </v>
      </c>
      <c r="S432" s="598" t="str">
        <f t="shared" si="856"/>
        <v xml:space="preserve"> </v>
      </c>
      <c r="T432" s="598" t="str">
        <f t="shared" si="856"/>
        <v xml:space="preserve"> </v>
      </c>
      <c r="U432" s="598" t="str">
        <f t="shared" si="856"/>
        <v xml:space="preserve"> </v>
      </c>
      <c r="V432" s="598" t="str">
        <f t="shared" si="857"/>
        <v xml:space="preserve"> </v>
      </c>
      <c r="W432" s="598" t="str">
        <f t="shared" si="857"/>
        <v xml:space="preserve"> </v>
      </c>
      <c r="X432" s="598" t="str">
        <f t="shared" si="857"/>
        <v xml:space="preserve"> </v>
      </c>
      <c r="Y432" s="598" t="str">
        <f t="shared" si="857"/>
        <v xml:space="preserve"> </v>
      </c>
      <c r="Z432" s="598" t="str">
        <f t="shared" si="857"/>
        <v xml:space="preserve"> </v>
      </c>
      <c r="AA432" s="598" t="str">
        <f t="shared" si="857"/>
        <v xml:space="preserve"> </v>
      </c>
      <c r="AB432" s="598" t="str">
        <f t="shared" si="857"/>
        <v xml:space="preserve"> </v>
      </c>
      <c r="AC432" s="598" t="str">
        <f t="shared" si="857"/>
        <v xml:space="preserve"> </v>
      </c>
      <c r="AD432" s="598" t="str">
        <f t="shared" si="857"/>
        <v xml:space="preserve"> </v>
      </c>
      <c r="AE432" s="598" t="str">
        <f t="shared" si="857"/>
        <v xml:space="preserve"> </v>
      </c>
      <c r="AF432" s="598" t="str">
        <f t="shared" si="858"/>
        <v xml:space="preserve"> </v>
      </c>
      <c r="AG432" s="598" t="str">
        <f t="shared" si="858"/>
        <v xml:space="preserve"> </v>
      </c>
      <c r="AH432" s="598" t="str">
        <f t="shared" si="858"/>
        <v xml:space="preserve"> </v>
      </c>
      <c r="AI432" s="598" t="str">
        <f t="shared" si="858"/>
        <v xml:space="preserve"> </v>
      </c>
      <c r="AJ432" s="598" t="str">
        <f t="shared" si="858"/>
        <v xml:space="preserve"> </v>
      </c>
      <c r="AK432" s="598" t="str">
        <f t="shared" si="858"/>
        <v xml:space="preserve"> </v>
      </c>
      <c r="AL432" s="598" t="str">
        <f t="shared" si="858"/>
        <v xml:space="preserve"> </v>
      </c>
      <c r="AM432" s="598" t="str">
        <f t="shared" si="858"/>
        <v xml:space="preserve"> </v>
      </c>
      <c r="AN432" s="598" t="str">
        <f t="shared" si="858"/>
        <v xml:space="preserve"> </v>
      </c>
      <c r="AO432" s="598" t="str">
        <f t="shared" si="858"/>
        <v xml:space="preserve"> </v>
      </c>
      <c r="AP432" s="598" t="str">
        <f t="shared" si="858"/>
        <v xml:space="preserve"> </v>
      </c>
      <c r="AQ432" s="598" t="str">
        <f t="shared" si="858"/>
        <v xml:space="preserve"> </v>
      </c>
      <c r="AR432" s="598" t="str">
        <f t="shared" si="858"/>
        <v xml:space="preserve"> </v>
      </c>
      <c r="AS432" s="598" t="str">
        <f t="shared" si="858"/>
        <v xml:space="preserve"> </v>
      </c>
      <c r="AT432" s="598" t="str">
        <f t="shared" si="858"/>
        <v xml:space="preserve"> </v>
      </c>
      <c r="AV432" s="598" t="str">
        <f t="shared" si="859"/>
        <v xml:space="preserve"> </v>
      </c>
      <c r="AW432" s="598" t="str">
        <f t="shared" si="859"/>
        <v xml:space="preserve"> </v>
      </c>
      <c r="AX432" s="598" t="str">
        <f t="shared" si="859"/>
        <v xml:space="preserve"> </v>
      </c>
      <c r="AY432" s="598" t="str">
        <f t="shared" si="859"/>
        <v xml:space="preserve"> </v>
      </c>
      <c r="AZ432" s="598" t="str">
        <f t="shared" si="859"/>
        <v xml:space="preserve"> </v>
      </c>
      <c r="BA432" s="598" t="str">
        <f t="shared" si="859"/>
        <v xml:space="preserve"> </v>
      </c>
      <c r="BB432" s="598" t="str">
        <f t="shared" si="859"/>
        <v xml:space="preserve"> </v>
      </c>
      <c r="BC432" s="598" t="str">
        <f t="shared" si="859"/>
        <v xml:space="preserve"> </v>
      </c>
      <c r="BD432" s="598" t="str">
        <f t="shared" si="859"/>
        <v xml:space="preserve"> </v>
      </c>
      <c r="BE432" s="598" t="str">
        <f t="shared" si="859"/>
        <v xml:space="preserve"> </v>
      </c>
      <c r="BF432" s="598" t="str">
        <f t="shared" si="860"/>
        <v xml:space="preserve"> </v>
      </c>
      <c r="BG432" s="598" t="str">
        <f t="shared" si="860"/>
        <v xml:space="preserve"> </v>
      </c>
      <c r="BH432" s="598" t="str">
        <f t="shared" si="860"/>
        <v xml:space="preserve"> </v>
      </c>
      <c r="BI432" s="598" t="str">
        <f t="shared" si="860"/>
        <v xml:space="preserve"> </v>
      </c>
      <c r="BJ432" s="598" t="str">
        <f t="shared" si="860"/>
        <v xml:space="preserve"> </v>
      </c>
      <c r="BK432" s="598" t="str">
        <f t="shared" si="860"/>
        <v xml:space="preserve"> </v>
      </c>
      <c r="BL432" s="598" t="str">
        <f t="shared" si="860"/>
        <v xml:space="preserve"> </v>
      </c>
      <c r="BM432" s="598" t="str">
        <f t="shared" si="860"/>
        <v xml:space="preserve"> </v>
      </c>
      <c r="BN432" s="598" t="str">
        <f t="shared" si="860"/>
        <v xml:space="preserve"> </v>
      </c>
      <c r="BO432" s="598" t="str">
        <f t="shared" si="860"/>
        <v xml:space="preserve"> </v>
      </c>
      <c r="BP432" s="598" t="str">
        <f t="shared" si="861"/>
        <v xml:space="preserve"> </v>
      </c>
      <c r="BQ432" s="598" t="str">
        <f t="shared" si="861"/>
        <v xml:space="preserve"> </v>
      </c>
      <c r="BR432" s="598" t="str">
        <f t="shared" si="861"/>
        <v xml:space="preserve"> </v>
      </c>
      <c r="BS432" s="598" t="str">
        <f t="shared" si="861"/>
        <v xml:space="preserve"> </v>
      </c>
      <c r="BT432" s="598" t="str">
        <f t="shared" si="861"/>
        <v xml:space="preserve"> </v>
      </c>
      <c r="BU432" s="598" t="str">
        <f t="shared" si="861"/>
        <v xml:space="preserve"> </v>
      </c>
      <c r="BV432" s="598" t="str">
        <f t="shared" si="861"/>
        <v xml:space="preserve"> </v>
      </c>
      <c r="BW432" s="598" t="str">
        <f t="shared" si="861"/>
        <v xml:space="preserve"> </v>
      </c>
      <c r="BX432" s="598" t="str">
        <f t="shared" si="861"/>
        <v xml:space="preserve"> </v>
      </c>
      <c r="BY432" s="598" t="str">
        <f t="shared" si="861"/>
        <v xml:space="preserve"> </v>
      </c>
      <c r="BZ432" s="598" t="str">
        <f t="shared" si="862"/>
        <v xml:space="preserve"> </v>
      </c>
      <c r="CA432" s="598" t="str">
        <f t="shared" si="862"/>
        <v xml:space="preserve"> </v>
      </c>
      <c r="CB432" s="598" t="str">
        <f t="shared" si="862"/>
        <v xml:space="preserve"> </v>
      </c>
      <c r="CC432" s="598" t="str">
        <f t="shared" si="862"/>
        <v xml:space="preserve"> </v>
      </c>
      <c r="CD432" s="598" t="str">
        <f t="shared" si="862"/>
        <v xml:space="preserve"> </v>
      </c>
      <c r="CE432" s="598" t="str">
        <f t="shared" si="862"/>
        <v xml:space="preserve"> </v>
      </c>
      <c r="CF432" s="598" t="str">
        <f t="shared" si="862"/>
        <v xml:space="preserve"> </v>
      </c>
      <c r="CG432" s="598" t="str">
        <f t="shared" si="862"/>
        <v xml:space="preserve"> </v>
      </c>
      <c r="CH432" s="598" t="str">
        <f t="shared" si="862"/>
        <v xml:space="preserve"> </v>
      </c>
      <c r="CI432" s="598" t="str">
        <f t="shared" si="862"/>
        <v xml:space="preserve"> </v>
      </c>
      <c r="CJ432" s="598" t="str">
        <f t="shared" si="862"/>
        <v xml:space="preserve"> </v>
      </c>
      <c r="CK432" s="598" t="str">
        <f t="shared" si="862"/>
        <v xml:space="preserve"> </v>
      </c>
      <c r="CL432" s="598" t="str">
        <f t="shared" si="862"/>
        <v xml:space="preserve"> </v>
      </c>
      <c r="CM432" s="598" t="str">
        <f t="shared" si="862"/>
        <v xml:space="preserve"> </v>
      </c>
      <c r="CN432" s="598" t="str">
        <f t="shared" si="862"/>
        <v xml:space="preserve"> </v>
      </c>
    </row>
    <row r="433" spans="1:92">
      <c r="A433" s="598">
        <v>56</v>
      </c>
      <c r="B433" s="598" t="str">
        <f t="shared" si="855"/>
        <v xml:space="preserve"> </v>
      </c>
      <c r="C433" s="598" t="str">
        <f t="shared" si="855"/>
        <v xml:space="preserve"> </v>
      </c>
      <c r="D433" s="598" t="str">
        <f t="shared" si="855"/>
        <v xml:space="preserve"> </v>
      </c>
      <c r="E433" s="598" t="str">
        <f t="shared" si="855"/>
        <v xml:space="preserve"> </v>
      </c>
      <c r="F433" s="598" t="str">
        <f t="shared" si="855"/>
        <v xml:space="preserve"> </v>
      </c>
      <c r="G433" s="598" t="str">
        <f t="shared" si="855"/>
        <v xml:space="preserve"> </v>
      </c>
      <c r="H433" s="598" t="str">
        <f t="shared" si="855"/>
        <v xml:space="preserve"> </v>
      </c>
      <c r="I433" s="598" t="str">
        <f t="shared" si="855"/>
        <v xml:space="preserve"> </v>
      </c>
      <c r="J433" s="598" t="str">
        <f t="shared" si="855"/>
        <v xml:space="preserve"> </v>
      </c>
      <c r="K433" s="598" t="str">
        <f t="shared" si="855"/>
        <v xml:space="preserve"> </v>
      </c>
      <c r="L433" s="598" t="str">
        <f t="shared" si="856"/>
        <v xml:space="preserve"> </v>
      </c>
      <c r="M433" s="598" t="str">
        <f t="shared" si="856"/>
        <v xml:space="preserve"> </v>
      </c>
      <c r="N433" s="598" t="str">
        <f t="shared" si="856"/>
        <v xml:space="preserve"> </v>
      </c>
      <c r="O433" s="598" t="str">
        <f t="shared" si="856"/>
        <v xml:space="preserve"> </v>
      </c>
      <c r="P433" s="598" t="str">
        <f t="shared" si="856"/>
        <v xml:space="preserve"> </v>
      </c>
      <c r="Q433" s="598" t="str">
        <f t="shared" si="856"/>
        <v xml:space="preserve"> </v>
      </c>
      <c r="R433" s="598" t="str">
        <f t="shared" si="856"/>
        <v xml:space="preserve"> </v>
      </c>
      <c r="S433" s="598" t="str">
        <f t="shared" si="856"/>
        <v xml:space="preserve"> </v>
      </c>
      <c r="T433" s="598" t="str">
        <f t="shared" si="856"/>
        <v xml:space="preserve"> </v>
      </c>
      <c r="U433" s="598" t="str">
        <f t="shared" si="856"/>
        <v xml:space="preserve"> </v>
      </c>
      <c r="V433" s="598" t="str">
        <f t="shared" si="857"/>
        <v xml:space="preserve"> </v>
      </c>
      <c r="W433" s="598" t="str">
        <f t="shared" si="857"/>
        <v xml:space="preserve"> </v>
      </c>
      <c r="X433" s="598" t="str">
        <f t="shared" si="857"/>
        <v xml:space="preserve"> </v>
      </c>
      <c r="Y433" s="598" t="str">
        <f t="shared" si="857"/>
        <v xml:space="preserve"> </v>
      </c>
      <c r="Z433" s="598" t="str">
        <f t="shared" si="857"/>
        <v xml:space="preserve"> </v>
      </c>
      <c r="AA433" s="598" t="str">
        <f t="shared" si="857"/>
        <v xml:space="preserve"> </v>
      </c>
      <c r="AB433" s="598" t="str">
        <f t="shared" si="857"/>
        <v xml:space="preserve"> </v>
      </c>
      <c r="AC433" s="598" t="str">
        <f t="shared" si="857"/>
        <v xml:space="preserve"> </v>
      </c>
      <c r="AD433" s="598" t="str">
        <f t="shared" si="857"/>
        <v xml:space="preserve"> </v>
      </c>
      <c r="AE433" s="598" t="str">
        <f t="shared" si="857"/>
        <v xml:space="preserve"> </v>
      </c>
      <c r="AF433" s="598" t="str">
        <f t="shared" si="858"/>
        <v xml:space="preserve"> </v>
      </c>
      <c r="AG433" s="598" t="str">
        <f t="shared" si="858"/>
        <v xml:space="preserve"> </v>
      </c>
      <c r="AH433" s="598" t="str">
        <f t="shared" si="858"/>
        <v xml:space="preserve"> </v>
      </c>
      <c r="AI433" s="598" t="str">
        <f t="shared" si="858"/>
        <v xml:space="preserve"> </v>
      </c>
      <c r="AJ433" s="598" t="str">
        <f t="shared" si="858"/>
        <v xml:space="preserve"> </v>
      </c>
      <c r="AK433" s="598" t="str">
        <f t="shared" si="858"/>
        <v xml:space="preserve"> </v>
      </c>
      <c r="AL433" s="598" t="str">
        <f t="shared" si="858"/>
        <v xml:space="preserve"> </v>
      </c>
      <c r="AM433" s="598" t="str">
        <f t="shared" si="858"/>
        <v xml:space="preserve"> </v>
      </c>
      <c r="AN433" s="598" t="str">
        <f t="shared" si="858"/>
        <v xml:space="preserve"> </v>
      </c>
      <c r="AO433" s="598" t="str">
        <f t="shared" si="858"/>
        <v xml:space="preserve"> </v>
      </c>
      <c r="AP433" s="598" t="str">
        <f t="shared" si="858"/>
        <v xml:space="preserve"> </v>
      </c>
      <c r="AQ433" s="598" t="str">
        <f t="shared" si="858"/>
        <v xml:space="preserve"> </v>
      </c>
      <c r="AR433" s="598" t="str">
        <f t="shared" si="858"/>
        <v xml:space="preserve"> </v>
      </c>
      <c r="AS433" s="598" t="str">
        <f t="shared" si="858"/>
        <v xml:space="preserve"> </v>
      </c>
      <c r="AT433" s="598" t="str">
        <f t="shared" si="858"/>
        <v xml:space="preserve"> </v>
      </c>
      <c r="AV433" s="598" t="str">
        <f t="shared" si="859"/>
        <v xml:space="preserve"> </v>
      </c>
      <c r="AW433" s="598" t="str">
        <f t="shared" si="859"/>
        <v xml:space="preserve"> </v>
      </c>
      <c r="AX433" s="598" t="str">
        <f t="shared" si="859"/>
        <v xml:space="preserve"> </v>
      </c>
      <c r="AY433" s="598" t="str">
        <f t="shared" si="859"/>
        <v xml:space="preserve"> </v>
      </c>
      <c r="AZ433" s="598" t="str">
        <f t="shared" si="859"/>
        <v xml:space="preserve"> </v>
      </c>
      <c r="BA433" s="598" t="str">
        <f t="shared" si="859"/>
        <v xml:space="preserve"> </v>
      </c>
      <c r="BB433" s="598" t="str">
        <f t="shared" si="859"/>
        <v xml:space="preserve"> </v>
      </c>
      <c r="BC433" s="598" t="str">
        <f t="shared" si="859"/>
        <v xml:space="preserve"> </v>
      </c>
      <c r="BD433" s="598" t="str">
        <f t="shared" si="859"/>
        <v xml:space="preserve"> </v>
      </c>
      <c r="BE433" s="598" t="str">
        <f t="shared" si="859"/>
        <v xml:space="preserve"> </v>
      </c>
      <c r="BF433" s="598" t="str">
        <f t="shared" si="860"/>
        <v xml:space="preserve"> </v>
      </c>
      <c r="BG433" s="598" t="str">
        <f t="shared" si="860"/>
        <v xml:space="preserve"> </v>
      </c>
      <c r="BH433" s="598" t="str">
        <f t="shared" si="860"/>
        <v xml:space="preserve"> </v>
      </c>
      <c r="BI433" s="598" t="str">
        <f t="shared" si="860"/>
        <v xml:space="preserve"> </v>
      </c>
      <c r="BJ433" s="598" t="str">
        <f t="shared" si="860"/>
        <v xml:space="preserve"> </v>
      </c>
      <c r="BK433" s="598" t="str">
        <f t="shared" si="860"/>
        <v xml:space="preserve"> </v>
      </c>
      <c r="BL433" s="598" t="str">
        <f t="shared" si="860"/>
        <v xml:space="preserve"> </v>
      </c>
      <c r="BM433" s="598" t="str">
        <f t="shared" si="860"/>
        <v xml:space="preserve"> </v>
      </c>
      <c r="BN433" s="598" t="str">
        <f t="shared" si="860"/>
        <v xml:space="preserve"> </v>
      </c>
      <c r="BO433" s="598" t="str">
        <f t="shared" si="860"/>
        <v xml:space="preserve"> </v>
      </c>
      <c r="BP433" s="598" t="str">
        <f t="shared" si="861"/>
        <v xml:space="preserve"> </v>
      </c>
      <c r="BQ433" s="598" t="str">
        <f t="shared" si="861"/>
        <v xml:space="preserve"> </v>
      </c>
      <c r="BR433" s="598" t="str">
        <f t="shared" si="861"/>
        <v xml:space="preserve"> </v>
      </c>
      <c r="BS433" s="598" t="str">
        <f t="shared" si="861"/>
        <v xml:space="preserve"> </v>
      </c>
      <c r="BT433" s="598" t="str">
        <f t="shared" si="861"/>
        <v xml:space="preserve"> </v>
      </c>
      <c r="BU433" s="598" t="str">
        <f t="shared" si="861"/>
        <v xml:space="preserve"> </v>
      </c>
      <c r="BV433" s="598" t="str">
        <f t="shared" si="861"/>
        <v xml:space="preserve"> </v>
      </c>
      <c r="BW433" s="598" t="str">
        <f t="shared" si="861"/>
        <v xml:space="preserve"> </v>
      </c>
      <c r="BX433" s="598" t="str">
        <f t="shared" si="861"/>
        <v xml:space="preserve"> </v>
      </c>
      <c r="BY433" s="598" t="str">
        <f t="shared" si="861"/>
        <v xml:space="preserve"> </v>
      </c>
      <c r="BZ433" s="598" t="str">
        <f t="shared" si="862"/>
        <v xml:space="preserve"> </v>
      </c>
      <c r="CA433" s="598" t="str">
        <f t="shared" si="862"/>
        <v xml:space="preserve"> </v>
      </c>
      <c r="CB433" s="598" t="str">
        <f t="shared" si="862"/>
        <v xml:space="preserve"> </v>
      </c>
      <c r="CC433" s="598" t="str">
        <f t="shared" si="862"/>
        <v xml:space="preserve"> </v>
      </c>
      <c r="CD433" s="598" t="str">
        <f t="shared" si="862"/>
        <v xml:space="preserve"> </v>
      </c>
      <c r="CE433" s="598" t="str">
        <f t="shared" si="862"/>
        <v xml:space="preserve"> </v>
      </c>
      <c r="CF433" s="598" t="str">
        <f t="shared" si="862"/>
        <v xml:space="preserve"> </v>
      </c>
      <c r="CG433" s="598" t="str">
        <f t="shared" si="862"/>
        <v xml:space="preserve"> </v>
      </c>
      <c r="CH433" s="598" t="str">
        <f t="shared" si="862"/>
        <v xml:space="preserve"> </v>
      </c>
      <c r="CI433" s="598" t="str">
        <f t="shared" si="862"/>
        <v xml:space="preserve"> </v>
      </c>
      <c r="CJ433" s="598" t="str">
        <f t="shared" si="862"/>
        <v xml:space="preserve"> </v>
      </c>
      <c r="CK433" s="598" t="str">
        <f t="shared" si="862"/>
        <v xml:space="preserve"> </v>
      </c>
      <c r="CL433" s="598" t="str">
        <f t="shared" si="862"/>
        <v xml:space="preserve"> </v>
      </c>
      <c r="CM433" s="598" t="str">
        <f t="shared" si="862"/>
        <v xml:space="preserve"> </v>
      </c>
      <c r="CN433" s="598" t="str">
        <f t="shared" si="862"/>
        <v xml:space="preserve"> </v>
      </c>
    </row>
    <row r="434" spans="1:92">
      <c r="A434" s="598">
        <v>57</v>
      </c>
      <c r="B434" s="598" t="str">
        <f t="shared" si="855"/>
        <v xml:space="preserve"> </v>
      </c>
      <c r="C434" s="598" t="str">
        <f t="shared" si="855"/>
        <v xml:space="preserve"> </v>
      </c>
      <c r="D434" s="598" t="str">
        <f t="shared" si="855"/>
        <v xml:space="preserve"> </v>
      </c>
      <c r="E434" s="598" t="str">
        <f t="shared" si="855"/>
        <v xml:space="preserve"> </v>
      </c>
      <c r="F434" s="598" t="str">
        <f t="shared" si="855"/>
        <v xml:space="preserve"> </v>
      </c>
      <c r="G434" s="598" t="str">
        <f t="shared" si="855"/>
        <v xml:space="preserve"> </v>
      </c>
      <c r="H434" s="598" t="str">
        <f t="shared" si="855"/>
        <v xml:space="preserve"> </v>
      </c>
      <c r="I434" s="598" t="str">
        <f t="shared" si="855"/>
        <v xml:space="preserve"> </v>
      </c>
      <c r="J434" s="598" t="str">
        <f t="shared" si="855"/>
        <v xml:space="preserve"> </v>
      </c>
      <c r="K434" s="598" t="str">
        <f t="shared" si="855"/>
        <v xml:space="preserve"> </v>
      </c>
      <c r="L434" s="598" t="str">
        <f t="shared" si="856"/>
        <v xml:space="preserve"> </v>
      </c>
      <c r="M434" s="598" t="str">
        <f t="shared" si="856"/>
        <v xml:space="preserve"> </v>
      </c>
      <c r="N434" s="598" t="str">
        <f t="shared" si="856"/>
        <v xml:space="preserve"> </v>
      </c>
      <c r="O434" s="598" t="str">
        <f t="shared" si="856"/>
        <v xml:space="preserve"> </v>
      </c>
      <c r="P434" s="598" t="str">
        <f t="shared" si="856"/>
        <v xml:space="preserve"> </v>
      </c>
      <c r="Q434" s="598" t="str">
        <f t="shared" si="856"/>
        <v xml:space="preserve"> </v>
      </c>
      <c r="R434" s="598" t="str">
        <f t="shared" si="856"/>
        <v xml:space="preserve"> </v>
      </c>
      <c r="S434" s="598" t="str">
        <f t="shared" si="856"/>
        <v xml:space="preserve"> </v>
      </c>
      <c r="T434" s="598" t="str">
        <f t="shared" si="856"/>
        <v xml:space="preserve"> </v>
      </c>
      <c r="U434" s="598" t="str">
        <f t="shared" si="856"/>
        <v xml:space="preserve"> </v>
      </c>
      <c r="V434" s="598" t="str">
        <f t="shared" si="857"/>
        <v xml:space="preserve"> </v>
      </c>
      <c r="W434" s="598" t="str">
        <f t="shared" si="857"/>
        <v xml:space="preserve"> </v>
      </c>
      <c r="X434" s="598" t="str">
        <f t="shared" si="857"/>
        <v xml:space="preserve"> </v>
      </c>
      <c r="Y434" s="598" t="str">
        <f t="shared" si="857"/>
        <v xml:space="preserve"> </v>
      </c>
      <c r="Z434" s="598" t="str">
        <f t="shared" si="857"/>
        <v xml:space="preserve"> </v>
      </c>
      <c r="AA434" s="598" t="str">
        <f t="shared" si="857"/>
        <v xml:space="preserve"> </v>
      </c>
      <c r="AB434" s="598" t="str">
        <f t="shared" si="857"/>
        <v xml:space="preserve"> </v>
      </c>
      <c r="AC434" s="598" t="str">
        <f t="shared" si="857"/>
        <v xml:space="preserve"> </v>
      </c>
      <c r="AD434" s="598" t="str">
        <f t="shared" si="857"/>
        <v xml:space="preserve"> </v>
      </c>
      <c r="AE434" s="598" t="str">
        <f t="shared" si="857"/>
        <v xml:space="preserve"> </v>
      </c>
      <c r="AF434" s="598" t="str">
        <f t="shared" si="858"/>
        <v xml:space="preserve"> </v>
      </c>
      <c r="AG434" s="598" t="str">
        <f t="shared" si="858"/>
        <v xml:space="preserve"> </v>
      </c>
      <c r="AH434" s="598" t="str">
        <f t="shared" si="858"/>
        <v xml:space="preserve"> </v>
      </c>
      <c r="AI434" s="598" t="str">
        <f t="shared" si="858"/>
        <v xml:space="preserve"> </v>
      </c>
      <c r="AJ434" s="598" t="str">
        <f t="shared" si="858"/>
        <v xml:space="preserve"> </v>
      </c>
      <c r="AK434" s="598" t="str">
        <f t="shared" si="858"/>
        <v xml:space="preserve"> </v>
      </c>
      <c r="AL434" s="598" t="str">
        <f t="shared" si="858"/>
        <v xml:space="preserve"> </v>
      </c>
      <c r="AM434" s="598" t="str">
        <f t="shared" si="858"/>
        <v xml:space="preserve"> </v>
      </c>
      <c r="AN434" s="598" t="str">
        <f t="shared" si="858"/>
        <v xml:space="preserve"> </v>
      </c>
      <c r="AO434" s="598" t="str">
        <f t="shared" si="858"/>
        <v xml:space="preserve"> </v>
      </c>
      <c r="AP434" s="598" t="str">
        <f t="shared" si="858"/>
        <v xml:space="preserve"> </v>
      </c>
      <c r="AQ434" s="598" t="str">
        <f t="shared" si="858"/>
        <v xml:space="preserve"> </v>
      </c>
      <c r="AR434" s="598" t="str">
        <f t="shared" si="858"/>
        <v xml:space="preserve"> </v>
      </c>
      <c r="AS434" s="598" t="str">
        <f t="shared" si="858"/>
        <v xml:space="preserve"> </v>
      </c>
      <c r="AT434" s="598" t="str">
        <f t="shared" si="858"/>
        <v xml:space="preserve"> </v>
      </c>
      <c r="AV434" s="598" t="str">
        <f t="shared" si="859"/>
        <v xml:space="preserve"> </v>
      </c>
      <c r="AW434" s="598" t="str">
        <f t="shared" si="859"/>
        <v xml:space="preserve"> </v>
      </c>
      <c r="AX434" s="598" t="str">
        <f t="shared" si="859"/>
        <v xml:space="preserve"> </v>
      </c>
      <c r="AY434" s="598" t="str">
        <f t="shared" si="859"/>
        <v xml:space="preserve"> </v>
      </c>
      <c r="AZ434" s="598" t="str">
        <f t="shared" si="859"/>
        <v xml:space="preserve"> </v>
      </c>
      <c r="BA434" s="598" t="str">
        <f t="shared" si="859"/>
        <v xml:space="preserve"> </v>
      </c>
      <c r="BB434" s="598" t="str">
        <f t="shared" si="859"/>
        <v xml:space="preserve"> </v>
      </c>
      <c r="BC434" s="598" t="str">
        <f t="shared" si="859"/>
        <v xml:space="preserve"> </v>
      </c>
      <c r="BD434" s="598" t="str">
        <f t="shared" si="859"/>
        <v xml:space="preserve"> </v>
      </c>
      <c r="BE434" s="598" t="str">
        <f t="shared" si="859"/>
        <v xml:space="preserve"> </v>
      </c>
      <c r="BF434" s="598" t="str">
        <f t="shared" si="860"/>
        <v xml:space="preserve"> </v>
      </c>
      <c r="BG434" s="598" t="str">
        <f t="shared" si="860"/>
        <v xml:space="preserve"> </v>
      </c>
      <c r="BH434" s="598" t="str">
        <f t="shared" si="860"/>
        <v xml:space="preserve"> </v>
      </c>
      <c r="BI434" s="598" t="str">
        <f t="shared" si="860"/>
        <v xml:space="preserve"> </v>
      </c>
      <c r="BJ434" s="598" t="str">
        <f t="shared" si="860"/>
        <v xml:space="preserve"> </v>
      </c>
      <c r="BK434" s="598" t="str">
        <f t="shared" si="860"/>
        <v xml:space="preserve"> </v>
      </c>
      <c r="BL434" s="598" t="str">
        <f t="shared" si="860"/>
        <v xml:space="preserve"> </v>
      </c>
      <c r="BM434" s="598" t="str">
        <f t="shared" si="860"/>
        <v xml:space="preserve"> </v>
      </c>
      <c r="BN434" s="598" t="str">
        <f t="shared" si="860"/>
        <v xml:space="preserve"> </v>
      </c>
      <c r="BO434" s="598" t="str">
        <f t="shared" si="860"/>
        <v xml:space="preserve"> </v>
      </c>
      <c r="BP434" s="598" t="str">
        <f t="shared" si="861"/>
        <v xml:space="preserve"> </v>
      </c>
      <c r="BQ434" s="598" t="str">
        <f t="shared" si="861"/>
        <v xml:space="preserve"> </v>
      </c>
      <c r="BR434" s="598" t="str">
        <f t="shared" si="861"/>
        <v xml:space="preserve"> </v>
      </c>
      <c r="BS434" s="598" t="str">
        <f t="shared" si="861"/>
        <v xml:space="preserve"> </v>
      </c>
      <c r="BT434" s="598" t="str">
        <f t="shared" si="861"/>
        <v xml:space="preserve"> </v>
      </c>
      <c r="BU434" s="598" t="str">
        <f t="shared" si="861"/>
        <v xml:space="preserve"> </v>
      </c>
      <c r="BV434" s="598" t="str">
        <f t="shared" si="861"/>
        <v xml:space="preserve"> </v>
      </c>
      <c r="BW434" s="598" t="str">
        <f t="shared" si="861"/>
        <v xml:space="preserve"> </v>
      </c>
      <c r="BX434" s="598" t="str">
        <f t="shared" si="861"/>
        <v xml:space="preserve"> </v>
      </c>
      <c r="BY434" s="598" t="str">
        <f t="shared" si="861"/>
        <v xml:space="preserve"> </v>
      </c>
      <c r="BZ434" s="598" t="str">
        <f t="shared" si="862"/>
        <v xml:space="preserve"> </v>
      </c>
      <c r="CA434" s="598" t="str">
        <f t="shared" si="862"/>
        <v xml:space="preserve"> </v>
      </c>
      <c r="CB434" s="598" t="str">
        <f t="shared" si="862"/>
        <v xml:space="preserve"> </v>
      </c>
      <c r="CC434" s="598" t="str">
        <f t="shared" si="862"/>
        <v xml:space="preserve"> </v>
      </c>
      <c r="CD434" s="598" t="str">
        <f t="shared" si="862"/>
        <v xml:space="preserve"> </v>
      </c>
      <c r="CE434" s="598" t="str">
        <f t="shared" si="862"/>
        <v xml:space="preserve"> </v>
      </c>
      <c r="CF434" s="598" t="str">
        <f t="shared" si="862"/>
        <v xml:space="preserve"> </v>
      </c>
      <c r="CG434" s="598" t="str">
        <f t="shared" si="862"/>
        <v xml:space="preserve"> </v>
      </c>
      <c r="CH434" s="598" t="str">
        <f t="shared" si="862"/>
        <v xml:space="preserve"> </v>
      </c>
      <c r="CI434" s="598" t="str">
        <f t="shared" si="862"/>
        <v xml:space="preserve"> </v>
      </c>
      <c r="CJ434" s="598" t="str">
        <f t="shared" si="862"/>
        <v xml:space="preserve"> </v>
      </c>
      <c r="CK434" s="598" t="str">
        <f t="shared" si="862"/>
        <v xml:space="preserve"> </v>
      </c>
      <c r="CL434" s="598" t="str">
        <f t="shared" si="862"/>
        <v xml:space="preserve"> </v>
      </c>
      <c r="CM434" s="598" t="str">
        <f t="shared" si="862"/>
        <v xml:space="preserve"> </v>
      </c>
      <c r="CN434" s="598" t="str">
        <f t="shared" si="862"/>
        <v xml:space="preserve"> </v>
      </c>
    </row>
    <row r="435" spans="1:92">
      <c r="A435" s="598">
        <v>58</v>
      </c>
      <c r="B435" s="598" t="str">
        <f t="shared" si="855"/>
        <v xml:space="preserve"> </v>
      </c>
      <c r="C435" s="598" t="str">
        <f t="shared" si="855"/>
        <v xml:space="preserve"> </v>
      </c>
      <c r="D435" s="598" t="str">
        <f t="shared" si="855"/>
        <v xml:space="preserve"> </v>
      </c>
      <c r="E435" s="598" t="str">
        <f t="shared" si="855"/>
        <v xml:space="preserve"> </v>
      </c>
      <c r="F435" s="598" t="str">
        <f t="shared" si="855"/>
        <v xml:space="preserve"> </v>
      </c>
      <c r="G435" s="598" t="str">
        <f t="shared" si="855"/>
        <v xml:space="preserve"> </v>
      </c>
      <c r="H435" s="598" t="str">
        <f t="shared" si="855"/>
        <v xml:space="preserve"> </v>
      </c>
      <c r="I435" s="598" t="str">
        <f t="shared" si="855"/>
        <v xml:space="preserve"> </v>
      </c>
      <c r="J435" s="598" t="str">
        <f t="shared" si="855"/>
        <v xml:space="preserve"> </v>
      </c>
      <c r="K435" s="598" t="str">
        <f t="shared" si="855"/>
        <v xml:space="preserve"> </v>
      </c>
      <c r="L435" s="598" t="str">
        <f t="shared" si="856"/>
        <v xml:space="preserve"> </v>
      </c>
      <c r="M435" s="598" t="str">
        <f t="shared" si="856"/>
        <v xml:space="preserve"> </v>
      </c>
      <c r="N435" s="598" t="str">
        <f t="shared" si="856"/>
        <v xml:space="preserve"> </v>
      </c>
      <c r="O435" s="598" t="str">
        <f t="shared" si="856"/>
        <v xml:space="preserve"> </v>
      </c>
      <c r="P435" s="598" t="str">
        <f t="shared" si="856"/>
        <v xml:space="preserve"> </v>
      </c>
      <c r="Q435" s="598" t="str">
        <f t="shared" si="856"/>
        <v xml:space="preserve"> </v>
      </c>
      <c r="R435" s="598" t="str">
        <f t="shared" si="856"/>
        <v xml:space="preserve"> </v>
      </c>
      <c r="S435" s="598" t="str">
        <f t="shared" si="856"/>
        <v xml:space="preserve"> </v>
      </c>
      <c r="T435" s="598" t="str">
        <f t="shared" si="856"/>
        <v xml:space="preserve"> </v>
      </c>
      <c r="U435" s="598" t="str">
        <f t="shared" si="856"/>
        <v xml:space="preserve"> </v>
      </c>
      <c r="V435" s="598" t="str">
        <f t="shared" si="857"/>
        <v xml:space="preserve"> </v>
      </c>
      <c r="W435" s="598" t="str">
        <f t="shared" si="857"/>
        <v xml:space="preserve"> </v>
      </c>
      <c r="X435" s="598" t="str">
        <f t="shared" si="857"/>
        <v xml:space="preserve"> </v>
      </c>
      <c r="Y435" s="598" t="str">
        <f t="shared" si="857"/>
        <v xml:space="preserve"> </v>
      </c>
      <c r="Z435" s="598" t="str">
        <f t="shared" si="857"/>
        <v xml:space="preserve"> </v>
      </c>
      <c r="AA435" s="598" t="str">
        <f t="shared" si="857"/>
        <v xml:space="preserve"> </v>
      </c>
      <c r="AB435" s="598" t="str">
        <f t="shared" si="857"/>
        <v xml:space="preserve"> </v>
      </c>
      <c r="AC435" s="598" t="str">
        <f t="shared" si="857"/>
        <v xml:space="preserve"> </v>
      </c>
      <c r="AD435" s="598" t="str">
        <f t="shared" si="857"/>
        <v xml:space="preserve"> </v>
      </c>
      <c r="AE435" s="598" t="str">
        <f t="shared" si="857"/>
        <v xml:space="preserve"> </v>
      </c>
      <c r="AF435" s="598" t="str">
        <f t="shared" si="858"/>
        <v xml:space="preserve"> </v>
      </c>
      <c r="AG435" s="598" t="str">
        <f t="shared" si="858"/>
        <v xml:space="preserve"> </v>
      </c>
      <c r="AH435" s="598" t="str">
        <f t="shared" si="858"/>
        <v xml:space="preserve"> </v>
      </c>
      <c r="AI435" s="598" t="str">
        <f t="shared" si="858"/>
        <v xml:space="preserve"> </v>
      </c>
      <c r="AJ435" s="598" t="str">
        <f t="shared" si="858"/>
        <v xml:space="preserve"> </v>
      </c>
      <c r="AK435" s="598" t="str">
        <f t="shared" si="858"/>
        <v xml:space="preserve"> </v>
      </c>
      <c r="AL435" s="598" t="str">
        <f t="shared" si="858"/>
        <v xml:space="preserve"> </v>
      </c>
      <c r="AM435" s="598" t="str">
        <f t="shared" si="858"/>
        <v xml:space="preserve"> </v>
      </c>
      <c r="AN435" s="598" t="str">
        <f t="shared" si="858"/>
        <v xml:space="preserve"> </v>
      </c>
      <c r="AO435" s="598" t="str">
        <f t="shared" si="858"/>
        <v xml:space="preserve"> </v>
      </c>
      <c r="AP435" s="598" t="str">
        <f t="shared" si="858"/>
        <v xml:space="preserve"> </v>
      </c>
      <c r="AQ435" s="598" t="str">
        <f t="shared" si="858"/>
        <v xml:space="preserve"> </v>
      </c>
      <c r="AR435" s="598" t="str">
        <f t="shared" si="858"/>
        <v xml:space="preserve"> </v>
      </c>
      <c r="AS435" s="598" t="str">
        <f t="shared" si="858"/>
        <v xml:space="preserve"> </v>
      </c>
      <c r="AT435" s="598" t="str">
        <f t="shared" si="858"/>
        <v xml:space="preserve"> </v>
      </c>
      <c r="AV435" s="598" t="str">
        <f t="shared" si="859"/>
        <v xml:space="preserve"> </v>
      </c>
      <c r="AW435" s="598" t="str">
        <f t="shared" si="859"/>
        <v xml:space="preserve"> </v>
      </c>
      <c r="AX435" s="598" t="str">
        <f t="shared" si="859"/>
        <v xml:space="preserve"> </v>
      </c>
      <c r="AY435" s="598" t="str">
        <f t="shared" si="859"/>
        <v xml:space="preserve"> </v>
      </c>
      <c r="AZ435" s="598" t="str">
        <f t="shared" si="859"/>
        <v xml:space="preserve"> </v>
      </c>
      <c r="BA435" s="598" t="str">
        <f t="shared" si="859"/>
        <v xml:space="preserve"> </v>
      </c>
      <c r="BB435" s="598" t="str">
        <f t="shared" si="859"/>
        <v xml:space="preserve"> </v>
      </c>
      <c r="BC435" s="598" t="str">
        <f t="shared" si="859"/>
        <v xml:space="preserve"> </v>
      </c>
      <c r="BD435" s="598" t="str">
        <f t="shared" si="859"/>
        <v xml:space="preserve"> </v>
      </c>
      <c r="BE435" s="598" t="str">
        <f t="shared" si="859"/>
        <v xml:space="preserve"> </v>
      </c>
      <c r="BF435" s="598" t="str">
        <f t="shared" si="860"/>
        <v xml:space="preserve"> </v>
      </c>
      <c r="BG435" s="598" t="str">
        <f t="shared" si="860"/>
        <v xml:space="preserve"> </v>
      </c>
      <c r="BH435" s="598" t="str">
        <f t="shared" si="860"/>
        <v xml:space="preserve"> </v>
      </c>
      <c r="BI435" s="598" t="str">
        <f t="shared" si="860"/>
        <v xml:space="preserve"> </v>
      </c>
      <c r="BJ435" s="598" t="str">
        <f t="shared" si="860"/>
        <v xml:space="preserve"> </v>
      </c>
      <c r="BK435" s="598" t="str">
        <f t="shared" si="860"/>
        <v xml:space="preserve"> </v>
      </c>
      <c r="BL435" s="598" t="str">
        <f t="shared" si="860"/>
        <v xml:space="preserve"> </v>
      </c>
      <c r="BM435" s="598" t="str">
        <f t="shared" si="860"/>
        <v xml:space="preserve"> </v>
      </c>
      <c r="BN435" s="598" t="str">
        <f t="shared" si="860"/>
        <v xml:space="preserve"> </v>
      </c>
      <c r="BO435" s="598" t="str">
        <f t="shared" si="860"/>
        <v xml:space="preserve"> </v>
      </c>
      <c r="BP435" s="598" t="str">
        <f t="shared" si="861"/>
        <v xml:space="preserve"> </v>
      </c>
      <c r="BQ435" s="598" t="str">
        <f t="shared" si="861"/>
        <v xml:space="preserve"> </v>
      </c>
      <c r="BR435" s="598" t="str">
        <f t="shared" si="861"/>
        <v xml:space="preserve"> </v>
      </c>
      <c r="BS435" s="598" t="str">
        <f t="shared" si="861"/>
        <v xml:space="preserve"> </v>
      </c>
      <c r="BT435" s="598" t="str">
        <f t="shared" si="861"/>
        <v xml:space="preserve"> </v>
      </c>
      <c r="BU435" s="598" t="str">
        <f t="shared" si="861"/>
        <v xml:space="preserve"> </v>
      </c>
      <c r="BV435" s="598" t="str">
        <f t="shared" si="861"/>
        <v xml:space="preserve"> </v>
      </c>
      <c r="BW435" s="598" t="str">
        <f t="shared" si="861"/>
        <v xml:space="preserve"> </v>
      </c>
      <c r="BX435" s="598" t="str">
        <f t="shared" si="861"/>
        <v xml:space="preserve"> </v>
      </c>
      <c r="BY435" s="598" t="str">
        <f t="shared" si="861"/>
        <v xml:space="preserve"> </v>
      </c>
      <c r="BZ435" s="598" t="str">
        <f t="shared" si="862"/>
        <v xml:space="preserve"> </v>
      </c>
      <c r="CA435" s="598" t="str">
        <f t="shared" si="862"/>
        <v xml:space="preserve"> </v>
      </c>
      <c r="CB435" s="598" t="str">
        <f t="shared" si="862"/>
        <v xml:space="preserve"> </v>
      </c>
      <c r="CC435" s="598" t="str">
        <f t="shared" si="862"/>
        <v xml:space="preserve"> </v>
      </c>
      <c r="CD435" s="598" t="str">
        <f t="shared" si="862"/>
        <v xml:space="preserve"> </v>
      </c>
      <c r="CE435" s="598" t="str">
        <f t="shared" si="862"/>
        <v xml:space="preserve"> </v>
      </c>
      <c r="CF435" s="598" t="str">
        <f t="shared" si="862"/>
        <v xml:space="preserve"> </v>
      </c>
      <c r="CG435" s="598" t="str">
        <f t="shared" si="862"/>
        <v xml:space="preserve"> </v>
      </c>
      <c r="CH435" s="598" t="str">
        <f t="shared" si="862"/>
        <v xml:space="preserve"> </v>
      </c>
      <c r="CI435" s="598" t="str">
        <f t="shared" si="862"/>
        <v xml:space="preserve"> </v>
      </c>
      <c r="CJ435" s="598" t="str">
        <f t="shared" si="862"/>
        <v xml:space="preserve"> </v>
      </c>
      <c r="CK435" s="598" t="str">
        <f t="shared" si="862"/>
        <v xml:space="preserve"> </v>
      </c>
      <c r="CL435" s="598" t="str">
        <f t="shared" si="862"/>
        <v xml:space="preserve"> </v>
      </c>
      <c r="CM435" s="598" t="str">
        <f t="shared" si="862"/>
        <v xml:space="preserve"> </v>
      </c>
      <c r="CN435" s="598" t="str">
        <f t="shared" si="862"/>
        <v xml:space="preserve"> </v>
      </c>
    </row>
    <row r="436" spans="1:92">
      <c r="A436" s="598">
        <v>59</v>
      </c>
      <c r="B436" s="598" t="str">
        <f t="shared" si="855"/>
        <v xml:space="preserve"> </v>
      </c>
      <c r="C436" s="598" t="str">
        <f t="shared" si="855"/>
        <v xml:space="preserve"> </v>
      </c>
      <c r="D436" s="598" t="str">
        <f t="shared" si="855"/>
        <v xml:space="preserve"> </v>
      </c>
      <c r="E436" s="598" t="str">
        <f t="shared" si="855"/>
        <v xml:space="preserve"> </v>
      </c>
      <c r="F436" s="598" t="str">
        <f t="shared" si="855"/>
        <v xml:space="preserve"> </v>
      </c>
      <c r="G436" s="598" t="str">
        <f t="shared" si="855"/>
        <v xml:space="preserve"> </v>
      </c>
      <c r="H436" s="598" t="str">
        <f t="shared" si="855"/>
        <v xml:space="preserve"> </v>
      </c>
      <c r="I436" s="598" t="str">
        <f t="shared" si="855"/>
        <v xml:space="preserve"> </v>
      </c>
      <c r="J436" s="598" t="str">
        <f t="shared" si="855"/>
        <v xml:space="preserve"> </v>
      </c>
      <c r="K436" s="598" t="str">
        <f t="shared" si="855"/>
        <v xml:space="preserve"> </v>
      </c>
      <c r="L436" s="598" t="str">
        <f t="shared" si="856"/>
        <v xml:space="preserve"> </v>
      </c>
      <c r="M436" s="598" t="str">
        <f t="shared" si="856"/>
        <v xml:space="preserve"> </v>
      </c>
      <c r="N436" s="598" t="str">
        <f t="shared" si="856"/>
        <v xml:space="preserve"> </v>
      </c>
      <c r="O436" s="598" t="str">
        <f t="shared" si="856"/>
        <v xml:space="preserve"> </v>
      </c>
      <c r="P436" s="598" t="str">
        <f t="shared" si="856"/>
        <v xml:space="preserve"> </v>
      </c>
      <c r="Q436" s="598" t="str">
        <f t="shared" si="856"/>
        <v xml:space="preserve"> </v>
      </c>
      <c r="R436" s="598" t="str">
        <f t="shared" si="856"/>
        <v xml:space="preserve"> </v>
      </c>
      <c r="S436" s="598" t="str">
        <f t="shared" si="856"/>
        <v xml:space="preserve"> </v>
      </c>
      <c r="T436" s="598" t="str">
        <f t="shared" si="856"/>
        <v xml:space="preserve"> </v>
      </c>
      <c r="U436" s="598" t="str">
        <f t="shared" si="856"/>
        <v xml:space="preserve"> </v>
      </c>
      <c r="V436" s="598" t="str">
        <f t="shared" si="857"/>
        <v xml:space="preserve"> </v>
      </c>
      <c r="W436" s="598" t="str">
        <f t="shared" si="857"/>
        <v xml:space="preserve"> </v>
      </c>
      <c r="X436" s="598" t="str">
        <f t="shared" si="857"/>
        <v xml:space="preserve"> </v>
      </c>
      <c r="Y436" s="598" t="str">
        <f t="shared" si="857"/>
        <v xml:space="preserve"> </v>
      </c>
      <c r="Z436" s="598" t="str">
        <f t="shared" si="857"/>
        <v xml:space="preserve"> </v>
      </c>
      <c r="AA436" s="598" t="str">
        <f t="shared" si="857"/>
        <v xml:space="preserve"> </v>
      </c>
      <c r="AB436" s="598" t="str">
        <f t="shared" si="857"/>
        <v xml:space="preserve"> </v>
      </c>
      <c r="AC436" s="598" t="str">
        <f t="shared" si="857"/>
        <v xml:space="preserve"> </v>
      </c>
      <c r="AD436" s="598" t="str">
        <f t="shared" si="857"/>
        <v xml:space="preserve"> </v>
      </c>
      <c r="AE436" s="598" t="str">
        <f t="shared" si="857"/>
        <v xml:space="preserve"> </v>
      </c>
      <c r="AF436" s="598" t="str">
        <f t="shared" si="858"/>
        <v xml:space="preserve"> </v>
      </c>
      <c r="AG436" s="598" t="str">
        <f t="shared" si="858"/>
        <v xml:space="preserve"> </v>
      </c>
      <c r="AH436" s="598" t="str">
        <f t="shared" si="858"/>
        <v xml:space="preserve"> </v>
      </c>
      <c r="AI436" s="598" t="str">
        <f t="shared" si="858"/>
        <v xml:space="preserve"> </v>
      </c>
      <c r="AJ436" s="598" t="str">
        <f t="shared" si="858"/>
        <v xml:space="preserve"> </v>
      </c>
      <c r="AK436" s="598" t="str">
        <f t="shared" si="858"/>
        <v xml:space="preserve"> </v>
      </c>
      <c r="AL436" s="598" t="str">
        <f t="shared" si="858"/>
        <v xml:space="preserve"> </v>
      </c>
      <c r="AM436" s="598" t="str">
        <f t="shared" si="858"/>
        <v xml:space="preserve"> </v>
      </c>
      <c r="AN436" s="598" t="str">
        <f t="shared" si="858"/>
        <v xml:space="preserve"> </v>
      </c>
      <c r="AO436" s="598" t="str">
        <f t="shared" si="858"/>
        <v xml:space="preserve"> </v>
      </c>
      <c r="AP436" s="598" t="str">
        <f t="shared" si="858"/>
        <v xml:space="preserve"> </v>
      </c>
      <c r="AQ436" s="598" t="str">
        <f t="shared" si="858"/>
        <v xml:space="preserve"> </v>
      </c>
      <c r="AR436" s="598" t="str">
        <f t="shared" si="858"/>
        <v xml:space="preserve"> </v>
      </c>
      <c r="AS436" s="598" t="str">
        <f t="shared" si="858"/>
        <v xml:space="preserve"> </v>
      </c>
      <c r="AT436" s="598" t="str">
        <f t="shared" si="858"/>
        <v xml:space="preserve"> </v>
      </c>
      <c r="AV436" s="598" t="str">
        <f t="shared" si="859"/>
        <v xml:space="preserve"> </v>
      </c>
      <c r="AW436" s="598" t="str">
        <f t="shared" si="859"/>
        <v xml:space="preserve"> </v>
      </c>
      <c r="AX436" s="598" t="str">
        <f t="shared" si="859"/>
        <v xml:space="preserve"> </v>
      </c>
      <c r="AY436" s="598" t="str">
        <f t="shared" si="859"/>
        <v xml:space="preserve"> </v>
      </c>
      <c r="AZ436" s="598" t="str">
        <f t="shared" si="859"/>
        <v xml:space="preserve"> </v>
      </c>
      <c r="BA436" s="598" t="str">
        <f t="shared" si="859"/>
        <v xml:space="preserve"> </v>
      </c>
      <c r="BB436" s="598" t="str">
        <f t="shared" si="859"/>
        <v xml:space="preserve"> </v>
      </c>
      <c r="BC436" s="598" t="str">
        <f t="shared" si="859"/>
        <v xml:space="preserve"> </v>
      </c>
      <c r="BD436" s="598" t="str">
        <f t="shared" si="859"/>
        <v xml:space="preserve"> </v>
      </c>
      <c r="BE436" s="598" t="str">
        <f t="shared" si="859"/>
        <v xml:space="preserve"> </v>
      </c>
      <c r="BF436" s="598" t="str">
        <f t="shared" si="860"/>
        <v xml:space="preserve"> </v>
      </c>
      <c r="BG436" s="598" t="str">
        <f t="shared" si="860"/>
        <v xml:space="preserve"> </v>
      </c>
      <c r="BH436" s="598" t="str">
        <f t="shared" si="860"/>
        <v xml:space="preserve"> </v>
      </c>
      <c r="BI436" s="598" t="str">
        <f t="shared" si="860"/>
        <v xml:space="preserve"> </v>
      </c>
      <c r="BJ436" s="598" t="str">
        <f t="shared" si="860"/>
        <v xml:space="preserve"> </v>
      </c>
      <c r="BK436" s="598" t="str">
        <f t="shared" si="860"/>
        <v xml:space="preserve"> </v>
      </c>
      <c r="BL436" s="598" t="str">
        <f t="shared" si="860"/>
        <v xml:space="preserve"> </v>
      </c>
      <c r="BM436" s="598" t="str">
        <f t="shared" si="860"/>
        <v xml:space="preserve"> </v>
      </c>
      <c r="BN436" s="598" t="str">
        <f t="shared" si="860"/>
        <v xml:space="preserve"> </v>
      </c>
      <c r="BO436" s="598" t="str">
        <f t="shared" si="860"/>
        <v xml:space="preserve"> </v>
      </c>
      <c r="BP436" s="598" t="str">
        <f t="shared" si="861"/>
        <v xml:space="preserve"> </v>
      </c>
      <c r="BQ436" s="598" t="str">
        <f t="shared" si="861"/>
        <v xml:space="preserve"> </v>
      </c>
      <c r="BR436" s="598" t="str">
        <f t="shared" si="861"/>
        <v xml:space="preserve"> </v>
      </c>
      <c r="BS436" s="598" t="str">
        <f t="shared" si="861"/>
        <v xml:space="preserve"> </v>
      </c>
      <c r="BT436" s="598" t="str">
        <f t="shared" si="861"/>
        <v xml:space="preserve"> </v>
      </c>
      <c r="BU436" s="598" t="str">
        <f t="shared" si="861"/>
        <v xml:space="preserve"> </v>
      </c>
      <c r="BV436" s="598" t="str">
        <f t="shared" si="861"/>
        <v xml:space="preserve"> </v>
      </c>
      <c r="BW436" s="598" t="str">
        <f t="shared" si="861"/>
        <v xml:space="preserve"> </v>
      </c>
      <c r="BX436" s="598" t="str">
        <f t="shared" si="861"/>
        <v xml:space="preserve"> </v>
      </c>
      <c r="BY436" s="598" t="str">
        <f t="shared" si="861"/>
        <v xml:space="preserve"> </v>
      </c>
      <c r="BZ436" s="598" t="str">
        <f t="shared" si="862"/>
        <v xml:space="preserve"> </v>
      </c>
      <c r="CA436" s="598" t="str">
        <f t="shared" si="862"/>
        <v xml:space="preserve"> </v>
      </c>
      <c r="CB436" s="598" t="str">
        <f t="shared" si="862"/>
        <v xml:space="preserve"> </v>
      </c>
      <c r="CC436" s="598" t="str">
        <f t="shared" si="862"/>
        <v xml:space="preserve"> </v>
      </c>
      <c r="CD436" s="598" t="str">
        <f t="shared" si="862"/>
        <v xml:space="preserve"> </v>
      </c>
      <c r="CE436" s="598" t="str">
        <f t="shared" si="862"/>
        <v xml:space="preserve"> </v>
      </c>
      <c r="CF436" s="598" t="str">
        <f t="shared" si="862"/>
        <v xml:space="preserve"> </v>
      </c>
      <c r="CG436" s="598" t="str">
        <f t="shared" si="862"/>
        <v xml:space="preserve"> </v>
      </c>
      <c r="CH436" s="598" t="str">
        <f t="shared" si="862"/>
        <v xml:space="preserve"> </v>
      </c>
      <c r="CI436" s="598" t="str">
        <f t="shared" si="862"/>
        <v xml:space="preserve"> </v>
      </c>
      <c r="CJ436" s="598" t="str">
        <f t="shared" si="862"/>
        <v xml:space="preserve"> </v>
      </c>
      <c r="CK436" s="598" t="str">
        <f t="shared" si="862"/>
        <v xml:space="preserve"> </v>
      </c>
      <c r="CL436" s="598" t="str">
        <f t="shared" si="862"/>
        <v xml:space="preserve"> </v>
      </c>
      <c r="CM436" s="598" t="str">
        <f t="shared" si="862"/>
        <v xml:space="preserve"> </v>
      </c>
      <c r="CN436" s="598" t="str">
        <f t="shared" si="862"/>
        <v xml:space="preserve"> </v>
      </c>
    </row>
    <row r="437" spans="1:92">
      <c r="A437" s="598">
        <v>60</v>
      </c>
      <c r="B437" s="598" t="str">
        <f t="shared" si="855"/>
        <v xml:space="preserve"> </v>
      </c>
      <c r="C437" s="598" t="str">
        <f t="shared" si="855"/>
        <v xml:space="preserve"> </v>
      </c>
      <c r="D437" s="598" t="str">
        <f t="shared" si="855"/>
        <v xml:space="preserve"> </v>
      </c>
      <c r="E437" s="598" t="str">
        <f t="shared" si="855"/>
        <v xml:space="preserve"> </v>
      </c>
      <c r="F437" s="598" t="str">
        <f t="shared" si="855"/>
        <v xml:space="preserve"> </v>
      </c>
      <c r="G437" s="598" t="str">
        <f t="shared" si="855"/>
        <v xml:space="preserve"> </v>
      </c>
      <c r="H437" s="598" t="str">
        <f t="shared" si="855"/>
        <v xml:space="preserve"> </v>
      </c>
      <c r="I437" s="598" t="str">
        <f t="shared" si="855"/>
        <v xml:space="preserve"> </v>
      </c>
      <c r="J437" s="598" t="str">
        <f t="shared" si="855"/>
        <v xml:space="preserve"> </v>
      </c>
      <c r="K437" s="598" t="str">
        <f t="shared" si="855"/>
        <v xml:space="preserve"> </v>
      </c>
      <c r="L437" s="598" t="str">
        <f t="shared" si="856"/>
        <v xml:space="preserve"> </v>
      </c>
      <c r="M437" s="598" t="str">
        <f t="shared" si="856"/>
        <v xml:space="preserve"> </v>
      </c>
      <c r="N437" s="598" t="str">
        <f t="shared" si="856"/>
        <v xml:space="preserve"> </v>
      </c>
      <c r="O437" s="598" t="str">
        <f t="shared" si="856"/>
        <v xml:space="preserve"> </v>
      </c>
      <c r="P437" s="598" t="str">
        <f t="shared" si="856"/>
        <v xml:space="preserve"> </v>
      </c>
      <c r="Q437" s="598" t="str">
        <f t="shared" si="856"/>
        <v xml:space="preserve"> </v>
      </c>
      <c r="R437" s="598" t="str">
        <f t="shared" si="856"/>
        <v xml:space="preserve"> </v>
      </c>
      <c r="S437" s="598" t="str">
        <f t="shared" si="856"/>
        <v xml:space="preserve"> </v>
      </c>
      <c r="T437" s="598" t="str">
        <f t="shared" si="856"/>
        <v xml:space="preserve"> </v>
      </c>
      <c r="U437" s="598" t="str">
        <f t="shared" si="856"/>
        <v xml:space="preserve"> </v>
      </c>
      <c r="V437" s="598" t="str">
        <f t="shared" si="857"/>
        <v xml:space="preserve"> </v>
      </c>
      <c r="W437" s="598" t="str">
        <f t="shared" si="857"/>
        <v xml:space="preserve"> </v>
      </c>
      <c r="X437" s="598" t="str">
        <f t="shared" si="857"/>
        <v xml:space="preserve"> </v>
      </c>
      <c r="Y437" s="598" t="str">
        <f t="shared" si="857"/>
        <v xml:space="preserve"> </v>
      </c>
      <c r="Z437" s="598" t="str">
        <f t="shared" si="857"/>
        <v xml:space="preserve"> </v>
      </c>
      <c r="AA437" s="598" t="str">
        <f t="shared" si="857"/>
        <v xml:space="preserve"> </v>
      </c>
      <c r="AB437" s="598" t="str">
        <f t="shared" si="857"/>
        <v xml:space="preserve"> </v>
      </c>
      <c r="AC437" s="598" t="str">
        <f t="shared" si="857"/>
        <v xml:space="preserve"> </v>
      </c>
      <c r="AD437" s="598" t="str">
        <f t="shared" si="857"/>
        <v xml:space="preserve"> </v>
      </c>
      <c r="AE437" s="598" t="str">
        <f t="shared" si="857"/>
        <v xml:space="preserve"> </v>
      </c>
      <c r="AF437" s="598" t="str">
        <f t="shared" si="858"/>
        <v xml:space="preserve"> </v>
      </c>
      <c r="AG437" s="598" t="str">
        <f t="shared" si="858"/>
        <v xml:space="preserve"> </v>
      </c>
      <c r="AH437" s="598" t="str">
        <f t="shared" si="858"/>
        <v xml:space="preserve"> </v>
      </c>
      <c r="AI437" s="598" t="str">
        <f t="shared" si="858"/>
        <v xml:space="preserve"> </v>
      </c>
      <c r="AJ437" s="598" t="str">
        <f t="shared" si="858"/>
        <v xml:space="preserve"> </v>
      </c>
      <c r="AK437" s="598" t="str">
        <f t="shared" si="858"/>
        <v xml:space="preserve"> </v>
      </c>
      <c r="AL437" s="598" t="str">
        <f t="shared" si="858"/>
        <v xml:space="preserve"> </v>
      </c>
      <c r="AM437" s="598" t="str">
        <f t="shared" si="858"/>
        <v xml:space="preserve"> </v>
      </c>
      <c r="AN437" s="598" t="str">
        <f t="shared" si="858"/>
        <v xml:space="preserve"> </v>
      </c>
      <c r="AO437" s="598" t="str">
        <f t="shared" si="858"/>
        <v xml:space="preserve"> </v>
      </c>
      <c r="AP437" s="598" t="str">
        <f t="shared" si="858"/>
        <v xml:space="preserve"> </v>
      </c>
      <c r="AQ437" s="598" t="str">
        <f t="shared" si="858"/>
        <v xml:space="preserve"> </v>
      </c>
      <c r="AR437" s="598" t="str">
        <f t="shared" si="858"/>
        <v xml:space="preserve"> </v>
      </c>
      <c r="AS437" s="598" t="str">
        <f t="shared" si="858"/>
        <v xml:space="preserve"> </v>
      </c>
      <c r="AT437" s="598" t="str">
        <f t="shared" si="858"/>
        <v xml:space="preserve"> </v>
      </c>
      <c r="AV437" s="598" t="str">
        <f t="shared" si="859"/>
        <v xml:space="preserve"> </v>
      </c>
      <c r="AW437" s="598" t="str">
        <f t="shared" si="859"/>
        <v xml:space="preserve"> </v>
      </c>
      <c r="AX437" s="598" t="str">
        <f t="shared" si="859"/>
        <v xml:space="preserve"> </v>
      </c>
      <c r="AY437" s="598" t="str">
        <f t="shared" si="859"/>
        <v xml:space="preserve"> </v>
      </c>
      <c r="AZ437" s="598" t="str">
        <f t="shared" si="859"/>
        <v xml:space="preserve"> </v>
      </c>
      <c r="BA437" s="598" t="str">
        <f t="shared" si="859"/>
        <v xml:space="preserve"> </v>
      </c>
      <c r="BB437" s="598" t="str">
        <f t="shared" si="859"/>
        <v xml:space="preserve"> </v>
      </c>
      <c r="BC437" s="598" t="str">
        <f t="shared" si="859"/>
        <v xml:space="preserve"> </v>
      </c>
      <c r="BD437" s="598" t="str">
        <f t="shared" si="859"/>
        <v xml:space="preserve"> </v>
      </c>
      <c r="BE437" s="598" t="str">
        <f t="shared" si="859"/>
        <v xml:space="preserve"> </v>
      </c>
      <c r="BF437" s="598" t="str">
        <f t="shared" si="860"/>
        <v xml:space="preserve"> </v>
      </c>
      <c r="BG437" s="598" t="str">
        <f t="shared" si="860"/>
        <v xml:space="preserve"> </v>
      </c>
      <c r="BH437" s="598" t="str">
        <f t="shared" si="860"/>
        <v xml:space="preserve"> </v>
      </c>
      <c r="BI437" s="598" t="str">
        <f t="shared" si="860"/>
        <v xml:space="preserve"> </v>
      </c>
      <c r="BJ437" s="598" t="str">
        <f t="shared" si="860"/>
        <v xml:space="preserve"> </v>
      </c>
      <c r="BK437" s="598" t="str">
        <f t="shared" si="860"/>
        <v xml:space="preserve"> </v>
      </c>
      <c r="BL437" s="598" t="str">
        <f t="shared" si="860"/>
        <v xml:space="preserve"> </v>
      </c>
      <c r="BM437" s="598" t="str">
        <f t="shared" si="860"/>
        <v xml:space="preserve"> </v>
      </c>
      <c r="BN437" s="598" t="str">
        <f t="shared" si="860"/>
        <v xml:space="preserve"> </v>
      </c>
      <c r="BO437" s="598" t="str">
        <f t="shared" si="860"/>
        <v xml:space="preserve"> </v>
      </c>
      <c r="BP437" s="598" t="str">
        <f t="shared" si="861"/>
        <v xml:space="preserve"> </v>
      </c>
      <c r="BQ437" s="598" t="str">
        <f t="shared" si="861"/>
        <v xml:space="preserve"> </v>
      </c>
      <c r="BR437" s="598" t="str">
        <f t="shared" si="861"/>
        <v xml:space="preserve"> </v>
      </c>
      <c r="BS437" s="598" t="str">
        <f t="shared" si="861"/>
        <v xml:space="preserve"> </v>
      </c>
      <c r="BT437" s="598" t="str">
        <f t="shared" si="861"/>
        <v xml:space="preserve"> </v>
      </c>
      <c r="BU437" s="598" t="str">
        <f t="shared" si="861"/>
        <v xml:space="preserve"> </v>
      </c>
      <c r="BV437" s="598" t="str">
        <f t="shared" si="861"/>
        <v xml:space="preserve"> </v>
      </c>
      <c r="BW437" s="598" t="str">
        <f t="shared" si="861"/>
        <v xml:space="preserve"> </v>
      </c>
      <c r="BX437" s="598" t="str">
        <f t="shared" si="861"/>
        <v xml:space="preserve"> </v>
      </c>
      <c r="BY437" s="598" t="str">
        <f t="shared" si="861"/>
        <v xml:space="preserve"> </v>
      </c>
      <c r="BZ437" s="598" t="str">
        <f t="shared" si="862"/>
        <v xml:space="preserve"> </v>
      </c>
      <c r="CA437" s="598" t="str">
        <f t="shared" si="862"/>
        <v xml:space="preserve"> </v>
      </c>
      <c r="CB437" s="598" t="str">
        <f t="shared" si="862"/>
        <v xml:space="preserve"> </v>
      </c>
      <c r="CC437" s="598" t="str">
        <f t="shared" si="862"/>
        <v xml:space="preserve"> </v>
      </c>
      <c r="CD437" s="598" t="str">
        <f t="shared" si="862"/>
        <v xml:space="preserve"> </v>
      </c>
      <c r="CE437" s="598" t="str">
        <f t="shared" si="862"/>
        <v xml:space="preserve"> </v>
      </c>
      <c r="CF437" s="598" t="str">
        <f t="shared" si="862"/>
        <v xml:space="preserve"> </v>
      </c>
      <c r="CG437" s="598" t="str">
        <f t="shared" si="862"/>
        <v xml:space="preserve"> </v>
      </c>
      <c r="CH437" s="598" t="str">
        <f t="shared" si="862"/>
        <v xml:space="preserve"> </v>
      </c>
      <c r="CI437" s="598" t="str">
        <f t="shared" si="862"/>
        <v xml:space="preserve"> </v>
      </c>
      <c r="CJ437" s="598" t="str">
        <f t="shared" si="862"/>
        <v xml:space="preserve"> </v>
      </c>
      <c r="CK437" s="598" t="str">
        <f t="shared" si="862"/>
        <v xml:space="preserve"> </v>
      </c>
      <c r="CL437" s="598" t="str">
        <f t="shared" si="862"/>
        <v xml:space="preserve"> </v>
      </c>
      <c r="CM437" s="598" t="str">
        <f t="shared" si="862"/>
        <v xml:space="preserve"> </v>
      </c>
      <c r="CN437" s="598" t="str">
        <f t="shared" si="862"/>
        <v xml:space="preserve"> </v>
      </c>
    </row>
    <row r="438" spans="1:92">
      <c r="A438" s="598">
        <v>61</v>
      </c>
      <c r="B438" s="598" t="str">
        <f t="shared" si="855"/>
        <v xml:space="preserve"> </v>
      </c>
      <c r="C438" s="598" t="str">
        <f t="shared" si="855"/>
        <v xml:space="preserve"> </v>
      </c>
      <c r="D438" s="598" t="str">
        <f t="shared" si="855"/>
        <v xml:space="preserve"> </v>
      </c>
      <c r="E438" s="598" t="str">
        <f t="shared" si="855"/>
        <v xml:space="preserve"> </v>
      </c>
      <c r="F438" s="598" t="str">
        <f t="shared" si="855"/>
        <v xml:space="preserve"> </v>
      </c>
      <c r="G438" s="598" t="str">
        <f t="shared" si="855"/>
        <v xml:space="preserve"> </v>
      </c>
      <c r="H438" s="598" t="str">
        <f t="shared" si="855"/>
        <v xml:space="preserve"> </v>
      </c>
      <c r="I438" s="598" t="str">
        <f t="shared" si="855"/>
        <v xml:space="preserve"> </v>
      </c>
      <c r="J438" s="598" t="str">
        <f t="shared" si="855"/>
        <v xml:space="preserve"> </v>
      </c>
      <c r="K438" s="598" t="str">
        <f t="shared" si="855"/>
        <v xml:space="preserve"> </v>
      </c>
      <c r="L438" s="598" t="str">
        <f t="shared" si="856"/>
        <v xml:space="preserve"> </v>
      </c>
      <c r="M438" s="598" t="str">
        <f t="shared" si="856"/>
        <v xml:space="preserve"> </v>
      </c>
      <c r="N438" s="598" t="str">
        <f t="shared" si="856"/>
        <v xml:space="preserve"> </v>
      </c>
      <c r="O438" s="598" t="str">
        <f t="shared" si="856"/>
        <v xml:space="preserve"> </v>
      </c>
      <c r="P438" s="598" t="str">
        <f t="shared" si="856"/>
        <v xml:space="preserve"> </v>
      </c>
      <c r="Q438" s="598" t="str">
        <f t="shared" si="856"/>
        <v xml:space="preserve"> </v>
      </c>
      <c r="R438" s="598" t="str">
        <f t="shared" si="856"/>
        <v xml:space="preserve"> </v>
      </c>
      <c r="S438" s="598" t="str">
        <f t="shared" si="856"/>
        <v xml:space="preserve"> </v>
      </c>
      <c r="T438" s="598" t="str">
        <f t="shared" si="856"/>
        <v xml:space="preserve"> </v>
      </c>
      <c r="U438" s="598" t="str">
        <f t="shared" si="856"/>
        <v xml:space="preserve"> </v>
      </c>
      <c r="V438" s="598" t="str">
        <f t="shared" si="857"/>
        <v xml:space="preserve"> </v>
      </c>
      <c r="W438" s="598" t="str">
        <f t="shared" si="857"/>
        <v xml:space="preserve"> </v>
      </c>
      <c r="X438" s="598" t="str">
        <f t="shared" si="857"/>
        <v xml:space="preserve"> </v>
      </c>
      <c r="Y438" s="598" t="str">
        <f t="shared" si="857"/>
        <v xml:space="preserve"> </v>
      </c>
      <c r="Z438" s="598" t="str">
        <f t="shared" si="857"/>
        <v xml:space="preserve"> </v>
      </c>
      <c r="AA438" s="598" t="str">
        <f t="shared" si="857"/>
        <v xml:space="preserve"> </v>
      </c>
      <c r="AB438" s="598" t="str">
        <f t="shared" si="857"/>
        <v xml:space="preserve"> </v>
      </c>
      <c r="AC438" s="598" t="str">
        <f t="shared" si="857"/>
        <v xml:space="preserve"> </v>
      </c>
      <c r="AD438" s="598" t="str">
        <f t="shared" si="857"/>
        <v xml:space="preserve"> </v>
      </c>
      <c r="AE438" s="598" t="str">
        <f t="shared" si="857"/>
        <v xml:space="preserve"> </v>
      </c>
      <c r="AF438" s="598" t="str">
        <f t="shared" si="858"/>
        <v xml:space="preserve"> </v>
      </c>
      <c r="AG438" s="598" t="str">
        <f t="shared" si="858"/>
        <v xml:space="preserve"> </v>
      </c>
      <c r="AH438" s="598" t="str">
        <f t="shared" si="858"/>
        <v xml:space="preserve"> </v>
      </c>
      <c r="AI438" s="598" t="str">
        <f t="shared" si="858"/>
        <v xml:space="preserve"> </v>
      </c>
      <c r="AJ438" s="598" t="str">
        <f t="shared" si="858"/>
        <v xml:space="preserve"> </v>
      </c>
      <c r="AK438" s="598" t="str">
        <f t="shared" si="858"/>
        <v xml:space="preserve"> </v>
      </c>
      <c r="AL438" s="598" t="str">
        <f t="shared" si="858"/>
        <v xml:space="preserve"> </v>
      </c>
      <c r="AM438" s="598" t="str">
        <f t="shared" si="858"/>
        <v xml:space="preserve"> </v>
      </c>
      <c r="AN438" s="598" t="str">
        <f t="shared" si="858"/>
        <v xml:space="preserve"> </v>
      </c>
      <c r="AO438" s="598" t="str">
        <f t="shared" si="858"/>
        <v xml:space="preserve"> </v>
      </c>
      <c r="AP438" s="598" t="str">
        <f t="shared" si="858"/>
        <v xml:space="preserve"> </v>
      </c>
      <c r="AQ438" s="598" t="str">
        <f t="shared" si="858"/>
        <v xml:space="preserve"> </v>
      </c>
      <c r="AR438" s="598" t="str">
        <f t="shared" si="858"/>
        <v xml:space="preserve"> </v>
      </c>
      <c r="AS438" s="598" t="str">
        <f t="shared" si="858"/>
        <v xml:space="preserve"> </v>
      </c>
      <c r="AT438" s="598" t="str">
        <f t="shared" si="858"/>
        <v xml:space="preserve"> </v>
      </c>
      <c r="AV438" s="598" t="str">
        <f t="shared" si="859"/>
        <v xml:space="preserve"> </v>
      </c>
      <c r="AW438" s="598" t="str">
        <f t="shared" si="859"/>
        <v xml:space="preserve"> </v>
      </c>
      <c r="AX438" s="598" t="str">
        <f t="shared" si="859"/>
        <v xml:space="preserve"> </v>
      </c>
      <c r="AY438" s="598" t="str">
        <f t="shared" si="859"/>
        <v xml:space="preserve"> </v>
      </c>
      <c r="AZ438" s="598" t="str">
        <f t="shared" si="859"/>
        <v xml:space="preserve"> </v>
      </c>
      <c r="BA438" s="598" t="str">
        <f t="shared" si="859"/>
        <v xml:space="preserve"> </v>
      </c>
      <c r="BB438" s="598" t="str">
        <f t="shared" si="859"/>
        <v xml:space="preserve"> </v>
      </c>
      <c r="BC438" s="598" t="str">
        <f t="shared" si="859"/>
        <v xml:space="preserve"> </v>
      </c>
      <c r="BD438" s="598" t="str">
        <f t="shared" si="859"/>
        <v xml:space="preserve"> </v>
      </c>
      <c r="BE438" s="598" t="str">
        <f t="shared" si="859"/>
        <v xml:space="preserve"> </v>
      </c>
      <c r="BF438" s="598" t="str">
        <f t="shared" si="860"/>
        <v xml:space="preserve"> </v>
      </c>
      <c r="BG438" s="598" t="str">
        <f t="shared" si="860"/>
        <v xml:space="preserve"> </v>
      </c>
      <c r="BH438" s="598" t="str">
        <f t="shared" si="860"/>
        <v xml:space="preserve"> </v>
      </c>
      <c r="BI438" s="598" t="str">
        <f t="shared" si="860"/>
        <v xml:space="preserve"> </v>
      </c>
      <c r="BJ438" s="598" t="str">
        <f t="shared" si="860"/>
        <v xml:space="preserve"> </v>
      </c>
      <c r="BK438" s="598" t="str">
        <f t="shared" si="860"/>
        <v xml:space="preserve"> </v>
      </c>
      <c r="BL438" s="598" t="str">
        <f t="shared" si="860"/>
        <v xml:space="preserve"> </v>
      </c>
      <c r="BM438" s="598" t="str">
        <f t="shared" si="860"/>
        <v xml:space="preserve"> </v>
      </c>
      <c r="BN438" s="598" t="str">
        <f t="shared" si="860"/>
        <v xml:space="preserve"> </v>
      </c>
      <c r="BO438" s="598" t="str">
        <f t="shared" si="860"/>
        <v xml:space="preserve"> </v>
      </c>
      <c r="BP438" s="598" t="str">
        <f t="shared" si="861"/>
        <v xml:space="preserve"> </v>
      </c>
      <c r="BQ438" s="598" t="str">
        <f t="shared" si="861"/>
        <v xml:space="preserve"> </v>
      </c>
      <c r="BR438" s="598" t="str">
        <f t="shared" si="861"/>
        <v xml:space="preserve"> </v>
      </c>
      <c r="BS438" s="598" t="str">
        <f t="shared" si="861"/>
        <v xml:space="preserve"> </v>
      </c>
      <c r="BT438" s="598" t="str">
        <f t="shared" si="861"/>
        <v xml:space="preserve"> </v>
      </c>
      <c r="BU438" s="598" t="str">
        <f t="shared" si="861"/>
        <v xml:space="preserve"> </v>
      </c>
      <c r="BV438" s="598" t="str">
        <f t="shared" si="861"/>
        <v xml:space="preserve"> </v>
      </c>
      <c r="BW438" s="598" t="str">
        <f t="shared" si="861"/>
        <v xml:space="preserve"> </v>
      </c>
      <c r="BX438" s="598" t="str">
        <f t="shared" si="861"/>
        <v xml:space="preserve"> </v>
      </c>
      <c r="BY438" s="598" t="str">
        <f t="shared" si="861"/>
        <v xml:space="preserve"> </v>
      </c>
      <c r="BZ438" s="598" t="str">
        <f t="shared" si="862"/>
        <v xml:space="preserve"> </v>
      </c>
      <c r="CA438" s="598" t="str">
        <f t="shared" si="862"/>
        <v xml:space="preserve"> </v>
      </c>
      <c r="CB438" s="598" t="str">
        <f t="shared" si="862"/>
        <v xml:space="preserve"> </v>
      </c>
      <c r="CC438" s="598" t="str">
        <f t="shared" si="862"/>
        <v xml:space="preserve"> </v>
      </c>
      <c r="CD438" s="598" t="str">
        <f t="shared" si="862"/>
        <v xml:space="preserve"> </v>
      </c>
      <c r="CE438" s="598" t="str">
        <f t="shared" si="862"/>
        <v xml:space="preserve"> </v>
      </c>
      <c r="CF438" s="598" t="str">
        <f t="shared" si="862"/>
        <v xml:space="preserve"> </v>
      </c>
      <c r="CG438" s="598" t="str">
        <f t="shared" si="862"/>
        <v xml:space="preserve"> </v>
      </c>
      <c r="CH438" s="598" t="str">
        <f t="shared" si="862"/>
        <v xml:space="preserve"> </v>
      </c>
      <c r="CI438" s="598" t="str">
        <f t="shared" si="862"/>
        <v xml:space="preserve"> </v>
      </c>
      <c r="CJ438" s="598" t="str">
        <f t="shared" si="862"/>
        <v xml:space="preserve"> </v>
      </c>
      <c r="CK438" s="598" t="str">
        <f t="shared" si="862"/>
        <v xml:space="preserve"> </v>
      </c>
      <c r="CL438" s="598" t="str">
        <f t="shared" si="862"/>
        <v xml:space="preserve"> </v>
      </c>
      <c r="CM438" s="598" t="str">
        <f t="shared" si="862"/>
        <v xml:space="preserve"> </v>
      </c>
      <c r="CN438" s="598" t="str">
        <f t="shared" si="862"/>
        <v xml:space="preserve"> </v>
      </c>
    </row>
    <row r="439" spans="1:92">
      <c r="A439" s="598">
        <v>62</v>
      </c>
      <c r="B439" s="598" t="str">
        <f t="shared" ref="B439:K448" si="863">HLOOKUP(B$376,$C$255:$S$372,$A439+1)</f>
        <v xml:space="preserve"> </v>
      </c>
      <c r="C439" s="598" t="str">
        <f t="shared" si="863"/>
        <v xml:space="preserve"> </v>
      </c>
      <c r="D439" s="598" t="str">
        <f t="shared" si="863"/>
        <v xml:space="preserve"> </v>
      </c>
      <c r="E439" s="598" t="str">
        <f t="shared" si="863"/>
        <v xml:space="preserve"> </v>
      </c>
      <c r="F439" s="598" t="str">
        <f t="shared" si="863"/>
        <v xml:space="preserve"> </v>
      </c>
      <c r="G439" s="598" t="str">
        <f t="shared" si="863"/>
        <v xml:space="preserve"> </v>
      </c>
      <c r="H439" s="598" t="str">
        <f t="shared" si="863"/>
        <v xml:space="preserve"> </v>
      </c>
      <c r="I439" s="598" t="str">
        <f t="shared" si="863"/>
        <v xml:space="preserve"> </v>
      </c>
      <c r="J439" s="598" t="str">
        <f t="shared" si="863"/>
        <v xml:space="preserve"> </v>
      </c>
      <c r="K439" s="598" t="str">
        <f t="shared" si="863"/>
        <v xml:space="preserve"> </v>
      </c>
      <c r="L439" s="598" t="str">
        <f t="shared" ref="L439:U448" si="864">HLOOKUP(L$376,$C$255:$S$372,$A439+1)</f>
        <v xml:space="preserve"> </v>
      </c>
      <c r="M439" s="598" t="str">
        <f t="shared" si="864"/>
        <v xml:space="preserve"> </v>
      </c>
      <c r="N439" s="598" t="str">
        <f t="shared" si="864"/>
        <v xml:space="preserve"> </v>
      </c>
      <c r="O439" s="598" t="str">
        <f t="shared" si="864"/>
        <v xml:space="preserve"> </v>
      </c>
      <c r="P439" s="598" t="str">
        <f t="shared" si="864"/>
        <v xml:space="preserve"> </v>
      </c>
      <c r="Q439" s="598" t="str">
        <f t="shared" si="864"/>
        <v xml:space="preserve"> </v>
      </c>
      <c r="R439" s="598" t="str">
        <f t="shared" si="864"/>
        <v xml:space="preserve"> </v>
      </c>
      <c r="S439" s="598" t="str">
        <f t="shared" si="864"/>
        <v xml:space="preserve"> </v>
      </c>
      <c r="T439" s="598" t="str">
        <f t="shared" si="864"/>
        <v xml:space="preserve"> </v>
      </c>
      <c r="U439" s="598" t="str">
        <f t="shared" si="864"/>
        <v xml:space="preserve"> </v>
      </c>
      <c r="V439" s="598" t="str">
        <f t="shared" ref="V439:AE448" si="865">HLOOKUP(V$376,$C$255:$S$372,$A439+1)</f>
        <v xml:space="preserve"> </v>
      </c>
      <c r="W439" s="598" t="str">
        <f t="shared" si="865"/>
        <v xml:space="preserve"> </v>
      </c>
      <c r="X439" s="598" t="str">
        <f t="shared" si="865"/>
        <v xml:space="preserve"> </v>
      </c>
      <c r="Y439" s="598" t="str">
        <f t="shared" si="865"/>
        <v xml:space="preserve"> </v>
      </c>
      <c r="Z439" s="598" t="str">
        <f t="shared" si="865"/>
        <v xml:space="preserve"> </v>
      </c>
      <c r="AA439" s="598" t="str">
        <f t="shared" si="865"/>
        <v xml:space="preserve"> </v>
      </c>
      <c r="AB439" s="598" t="str">
        <f t="shared" si="865"/>
        <v xml:space="preserve"> </v>
      </c>
      <c r="AC439" s="598" t="str">
        <f t="shared" si="865"/>
        <v xml:space="preserve"> </v>
      </c>
      <c r="AD439" s="598" t="str">
        <f t="shared" si="865"/>
        <v xml:space="preserve"> </v>
      </c>
      <c r="AE439" s="598" t="str">
        <f t="shared" si="865"/>
        <v xml:space="preserve"> </v>
      </c>
      <c r="AF439" s="598" t="str">
        <f t="shared" ref="AF439:AT448" si="866">HLOOKUP(AF$376,$C$255:$S$372,$A439+1)</f>
        <v xml:space="preserve"> </v>
      </c>
      <c r="AG439" s="598" t="str">
        <f t="shared" si="866"/>
        <v xml:space="preserve"> </v>
      </c>
      <c r="AH439" s="598" t="str">
        <f t="shared" si="866"/>
        <v xml:space="preserve"> </v>
      </c>
      <c r="AI439" s="598" t="str">
        <f t="shared" si="866"/>
        <v xml:space="preserve"> </v>
      </c>
      <c r="AJ439" s="598" t="str">
        <f t="shared" si="866"/>
        <v xml:space="preserve"> </v>
      </c>
      <c r="AK439" s="598" t="str">
        <f t="shared" si="866"/>
        <v xml:space="preserve"> </v>
      </c>
      <c r="AL439" s="598" t="str">
        <f t="shared" si="866"/>
        <v xml:space="preserve"> </v>
      </c>
      <c r="AM439" s="598" t="str">
        <f t="shared" si="866"/>
        <v xml:space="preserve"> </v>
      </c>
      <c r="AN439" s="598" t="str">
        <f t="shared" si="866"/>
        <v xml:space="preserve"> </v>
      </c>
      <c r="AO439" s="598" t="str">
        <f t="shared" si="866"/>
        <v xml:space="preserve"> </v>
      </c>
      <c r="AP439" s="598" t="str">
        <f t="shared" si="866"/>
        <v xml:space="preserve"> </v>
      </c>
      <c r="AQ439" s="598" t="str">
        <f t="shared" si="866"/>
        <v xml:space="preserve"> </v>
      </c>
      <c r="AR439" s="598" t="str">
        <f t="shared" si="866"/>
        <v xml:space="preserve"> </v>
      </c>
      <c r="AS439" s="598" t="str">
        <f t="shared" si="866"/>
        <v xml:space="preserve"> </v>
      </c>
      <c r="AT439" s="598" t="str">
        <f t="shared" si="866"/>
        <v xml:space="preserve"> </v>
      </c>
      <c r="AV439" s="598" t="str">
        <f t="shared" ref="AV439:BE448" si="867">HLOOKUP(AV$376,$C$255:$S$372,$A439+1)</f>
        <v xml:space="preserve"> </v>
      </c>
      <c r="AW439" s="598" t="str">
        <f t="shared" si="867"/>
        <v xml:space="preserve"> </v>
      </c>
      <c r="AX439" s="598" t="str">
        <f t="shared" si="867"/>
        <v xml:space="preserve"> </v>
      </c>
      <c r="AY439" s="598" t="str">
        <f t="shared" si="867"/>
        <v xml:space="preserve"> </v>
      </c>
      <c r="AZ439" s="598" t="str">
        <f t="shared" si="867"/>
        <v xml:space="preserve"> </v>
      </c>
      <c r="BA439" s="598" t="str">
        <f t="shared" si="867"/>
        <v xml:space="preserve"> </v>
      </c>
      <c r="BB439" s="598" t="str">
        <f t="shared" si="867"/>
        <v xml:space="preserve"> </v>
      </c>
      <c r="BC439" s="598" t="str">
        <f t="shared" si="867"/>
        <v xml:space="preserve"> </v>
      </c>
      <c r="BD439" s="598" t="str">
        <f t="shared" si="867"/>
        <v xml:space="preserve"> </v>
      </c>
      <c r="BE439" s="598" t="str">
        <f t="shared" si="867"/>
        <v xml:space="preserve"> </v>
      </c>
      <c r="BF439" s="598" t="str">
        <f t="shared" ref="BF439:BO448" si="868">HLOOKUP(BF$376,$C$255:$S$372,$A439+1)</f>
        <v xml:space="preserve"> </v>
      </c>
      <c r="BG439" s="598" t="str">
        <f t="shared" si="868"/>
        <v xml:space="preserve"> </v>
      </c>
      <c r="BH439" s="598" t="str">
        <f t="shared" si="868"/>
        <v xml:space="preserve"> </v>
      </c>
      <c r="BI439" s="598" t="str">
        <f t="shared" si="868"/>
        <v xml:space="preserve"> </v>
      </c>
      <c r="BJ439" s="598" t="str">
        <f t="shared" si="868"/>
        <v xml:space="preserve"> </v>
      </c>
      <c r="BK439" s="598" t="str">
        <f t="shared" si="868"/>
        <v xml:space="preserve"> </v>
      </c>
      <c r="BL439" s="598" t="str">
        <f t="shared" si="868"/>
        <v xml:space="preserve"> </v>
      </c>
      <c r="BM439" s="598" t="str">
        <f t="shared" si="868"/>
        <v xml:space="preserve"> </v>
      </c>
      <c r="BN439" s="598" t="str">
        <f t="shared" si="868"/>
        <v xml:space="preserve"> </v>
      </c>
      <c r="BO439" s="598" t="str">
        <f t="shared" si="868"/>
        <v xml:space="preserve"> </v>
      </c>
      <c r="BP439" s="598" t="str">
        <f t="shared" ref="BP439:BY448" si="869">HLOOKUP(BP$376,$C$255:$S$372,$A439+1)</f>
        <v xml:space="preserve"> </v>
      </c>
      <c r="BQ439" s="598" t="str">
        <f t="shared" si="869"/>
        <v xml:space="preserve"> </v>
      </c>
      <c r="BR439" s="598" t="str">
        <f t="shared" si="869"/>
        <v xml:space="preserve"> </v>
      </c>
      <c r="BS439" s="598" t="str">
        <f t="shared" si="869"/>
        <v xml:space="preserve"> </v>
      </c>
      <c r="BT439" s="598" t="str">
        <f t="shared" si="869"/>
        <v xml:space="preserve"> </v>
      </c>
      <c r="BU439" s="598" t="str">
        <f t="shared" si="869"/>
        <v xml:space="preserve"> </v>
      </c>
      <c r="BV439" s="598" t="str">
        <f t="shared" si="869"/>
        <v xml:space="preserve"> </v>
      </c>
      <c r="BW439" s="598" t="str">
        <f t="shared" si="869"/>
        <v xml:space="preserve"> </v>
      </c>
      <c r="BX439" s="598" t="str">
        <f t="shared" si="869"/>
        <v xml:space="preserve"> </v>
      </c>
      <c r="BY439" s="598" t="str">
        <f t="shared" si="869"/>
        <v xml:space="preserve"> </v>
      </c>
      <c r="BZ439" s="598" t="str">
        <f t="shared" ref="BZ439:CN448" si="870">HLOOKUP(BZ$376,$C$255:$S$372,$A439+1)</f>
        <v xml:space="preserve"> </v>
      </c>
      <c r="CA439" s="598" t="str">
        <f t="shared" si="870"/>
        <v xml:space="preserve"> </v>
      </c>
      <c r="CB439" s="598" t="str">
        <f t="shared" si="870"/>
        <v xml:space="preserve"> </v>
      </c>
      <c r="CC439" s="598" t="str">
        <f t="shared" si="870"/>
        <v xml:space="preserve"> </v>
      </c>
      <c r="CD439" s="598" t="str">
        <f t="shared" si="870"/>
        <v xml:space="preserve"> </v>
      </c>
      <c r="CE439" s="598" t="str">
        <f t="shared" si="870"/>
        <v xml:space="preserve"> </v>
      </c>
      <c r="CF439" s="598" t="str">
        <f t="shared" si="870"/>
        <v xml:space="preserve"> </v>
      </c>
      <c r="CG439" s="598" t="str">
        <f t="shared" si="870"/>
        <v xml:space="preserve"> </v>
      </c>
      <c r="CH439" s="598" t="str">
        <f t="shared" si="870"/>
        <v xml:space="preserve"> </v>
      </c>
      <c r="CI439" s="598" t="str">
        <f t="shared" si="870"/>
        <v xml:space="preserve"> </v>
      </c>
      <c r="CJ439" s="598" t="str">
        <f t="shared" si="870"/>
        <v xml:space="preserve"> </v>
      </c>
      <c r="CK439" s="598" t="str">
        <f t="shared" si="870"/>
        <v xml:space="preserve"> </v>
      </c>
      <c r="CL439" s="598" t="str">
        <f t="shared" si="870"/>
        <v xml:space="preserve"> </v>
      </c>
      <c r="CM439" s="598" t="str">
        <f t="shared" si="870"/>
        <v xml:space="preserve"> </v>
      </c>
      <c r="CN439" s="598" t="str">
        <f t="shared" si="870"/>
        <v xml:space="preserve"> </v>
      </c>
    </row>
    <row r="440" spans="1:92">
      <c r="A440" s="598">
        <v>63</v>
      </c>
      <c r="B440" s="598" t="str">
        <f t="shared" si="863"/>
        <v xml:space="preserve"> </v>
      </c>
      <c r="C440" s="598" t="str">
        <f t="shared" si="863"/>
        <v xml:space="preserve"> </v>
      </c>
      <c r="D440" s="598" t="str">
        <f t="shared" si="863"/>
        <v xml:space="preserve"> </v>
      </c>
      <c r="E440" s="598" t="str">
        <f t="shared" si="863"/>
        <v xml:space="preserve"> </v>
      </c>
      <c r="F440" s="598" t="str">
        <f t="shared" si="863"/>
        <v xml:space="preserve"> </v>
      </c>
      <c r="G440" s="598" t="str">
        <f t="shared" si="863"/>
        <v xml:space="preserve"> </v>
      </c>
      <c r="H440" s="598" t="str">
        <f t="shared" si="863"/>
        <v xml:space="preserve"> </v>
      </c>
      <c r="I440" s="598" t="str">
        <f t="shared" si="863"/>
        <v xml:space="preserve"> </v>
      </c>
      <c r="J440" s="598" t="str">
        <f t="shared" si="863"/>
        <v xml:space="preserve"> </v>
      </c>
      <c r="K440" s="598" t="str">
        <f t="shared" si="863"/>
        <v xml:space="preserve"> </v>
      </c>
      <c r="L440" s="598" t="str">
        <f t="shared" si="864"/>
        <v xml:space="preserve"> </v>
      </c>
      <c r="M440" s="598" t="str">
        <f t="shared" si="864"/>
        <v xml:space="preserve"> </v>
      </c>
      <c r="N440" s="598" t="str">
        <f t="shared" si="864"/>
        <v xml:space="preserve"> </v>
      </c>
      <c r="O440" s="598" t="str">
        <f t="shared" si="864"/>
        <v xml:space="preserve"> </v>
      </c>
      <c r="P440" s="598" t="str">
        <f t="shared" si="864"/>
        <v xml:space="preserve"> </v>
      </c>
      <c r="Q440" s="598" t="str">
        <f t="shared" si="864"/>
        <v xml:space="preserve"> </v>
      </c>
      <c r="R440" s="598" t="str">
        <f t="shared" si="864"/>
        <v xml:space="preserve"> </v>
      </c>
      <c r="S440" s="598" t="str">
        <f t="shared" si="864"/>
        <v xml:space="preserve"> </v>
      </c>
      <c r="T440" s="598" t="str">
        <f t="shared" si="864"/>
        <v xml:space="preserve"> </v>
      </c>
      <c r="U440" s="598" t="str">
        <f t="shared" si="864"/>
        <v xml:space="preserve"> </v>
      </c>
      <c r="V440" s="598" t="str">
        <f t="shared" si="865"/>
        <v xml:space="preserve"> </v>
      </c>
      <c r="W440" s="598" t="str">
        <f t="shared" si="865"/>
        <v xml:space="preserve"> </v>
      </c>
      <c r="X440" s="598" t="str">
        <f t="shared" si="865"/>
        <v xml:space="preserve"> </v>
      </c>
      <c r="Y440" s="598" t="str">
        <f t="shared" si="865"/>
        <v xml:space="preserve"> </v>
      </c>
      <c r="Z440" s="598" t="str">
        <f t="shared" si="865"/>
        <v xml:space="preserve"> </v>
      </c>
      <c r="AA440" s="598" t="str">
        <f t="shared" si="865"/>
        <v xml:space="preserve"> </v>
      </c>
      <c r="AB440" s="598" t="str">
        <f t="shared" si="865"/>
        <v xml:space="preserve"> </v>
      </c>
      <c r="AC440" s="598" t="str">
        <f t="shared" si="865"/>
        <v xml:space="preserve"> </v>
      </c>
      <c r="AD440" s="598" t="str">
        <f t="shared" si="865"/>
        <v xml:space="preserve"> </v>
      </c>
      <c r="AE440" s="598" t="str">
        <f t="shared" si="865"/>
        <v xml:space="preserve"> </v>
      </c>
      <c r="AF440" s="598" t="str">
        <f t="shared" si="866"/>
        <v xml:space="preserve"> </v>
      </c>
      <c r="AG440" s="598" t="str">
        <f t="shared" si="866"/>
        <v xml:space="preserve"> </v>
      </c>
      <c r="AH440" s="598" t="str">
        <f t="shared" si="866"/>
        <v xml:space="preserve"> </v>
      </c>
      <c r="AI440" s="598" t="str">
        <f t="shared" si="866"/>
        <v xml:space="preserve"> </v>
      </c>
      <c r="AJ440" s="598" t="str">
        <f t="shared" si="866"/>
        <v xml:space="preserve"> </v>
      </c>
      <c r="AK440" s="598" t="str">
        <f t="shared" si="866"/>
        <v xml:space="preserve"> </v>
      </c>
      <c r="AL440" s="598" t="str">
        <f t="shared" si="866"/>
        <v xml:space="preserve"> </v>
      </c>
      <c r="AM440" s="598" t="str">
        <f t="shared" si="866"/>
        <v xml:space="preserve"> </v>
      </c>
      <c r="AN440" s="598" t="str">
        <f t="shared" si="866"/>
        <v xml:space="preserve"> </v>
      </c>
      <c r="AO440" s="598" t="str">
        <f t="shared" si="866"/>
        <v xml:space="preserve"> </v>
      </c>
      <c r="AP440" s="598" t="str">
        <f t="shared" si="866"/>
        <v xml:space="preserve"> </v>
      </c>
      <c r="AQ440" s="598" t="str">
        <f t="shared" si="866"/>
        <v xml:space="preserve"> </v>
      </c>
      <c r="AR440" s="598" t="str">
        <f t="shared" si="866"/>
        <v xml:space="preserve"> </v>
      </c>
      <c r="AS440" s="598" t="str">
        <f t="shared" si="866"/>
        <v xml:space="preserve"> </v>
      </c>
      <c r="AT440" s="598" t="str">
        <f t="shared" si="866"/>
        <v xml:space="preserve"> </v>
      </c>
      <c r="AV440" s="598" t="str">
        <f t="shared" si="867"/>
        <v xml:space="preserve"> </v>
      </c>
      <c r="AW440" s="598" t="str">
        <f t="shared" si="867"/>
        <v xml:space="preserve"> </v>
      </c>
      <c r="AX440" s="598" t="str">
        <f t="shared" si="867"/>
        <v xml:space="preserve"> </v>
      </c>
      <c r="AY440" s="598" t="str">
        <f t="shared" si="867"/>
        <v xml:space="preserve"> </v>
      </c>
      <c r="AZ440" s="598" t="str">
        <f t="shared" si="867"/>
        <v xml:space="preserve"> </v>
      </c>
      <c r="BA440" s="598" t="str">
        <f t="shared" si="867"/>
        <v xml:space="preserve"> </v>
      </c>
      <c r="BB440" s="598" t="str">
        <f t="shared" si="867"/>
        <v xml:space="preserve"> </v>
      </c>
      <c r="BC440" s="598" t="str">
        <f t="shared" si="867"/>
        <v xml:space="preserve"> </v>
      </c>
      <c r="BD440" s="598" t="str">
        <f t="shared" si="867"/>
        <v xml:space="preserve"> </v>
      </c>
      <c r="BE440" s="598" t="str">
        <f t="shared" si="867"/>
        <v xml:space="preserve"> </v>
      </c>
      <c r="BF440" s="598" t="str">
        <f t="shared" si="868"/>
        <v xml:space="preserve"> </v>
      </c>
      <c r="BG440" s="598" t="str">
        <f t="shared" si="868"/>
        <v xml:space="preserve"> </v>
      </c>
      <c r="BH440" s="598" t="str">
        <f t="shared" si="868"/>
        <v xml:space="preserve"> </v>
      </c>
      <c r="BI440" s="598" t="str">
        <f t="shared" si="868"/>
        <v xml:space="preserve"> </v>
      </c>
      <c r="BJ440" s="598" t="str">
        <f t="shared" si="868"/>
        <v xml:space="preserve"> </v>
      </c>
      <c r="BK440" s="598" t="str">
        <f t="shared" si="868"/>
        <v xml:space="preserve"> </v>
      </c>
      <c r="BL440" s="598" t="str">
        <f t="shared" si="868"/>
        <v xml:space="preserve"> </v>
      </c>
      <c r="BM440" s="598" t="str">
        <f t="shared" si="868"/>
        <v xml:space="preserve"> </v>
      </c>
      <c r="BN440" s="598" t="str">
        <f t="shared" si="868"/>
        <v xml:space="preserve"> </v>
      </c>
      <c r="BO440" s="598" t="str">
        <f t="shared" si="868"/>
        <v xml:space="preserve"> </v>
      </c>
      <c r="BP440" s="598" t="str">
        <f t="shared" si="869"/>
        <v xml:space="preserve"> </v>
      </c>
      <c r="BQ440" s="598" t="str">
        <f t="shared" si="869"/>
        <v xml:space="preserve"> </v>
      </c>
      <c r="BR440" s="598" t="str">
        <f t="shared" si="869"/>
        <v xml:space="preserve"> </v>
      </c>
      <c r="BS440" s="598" t="str">
        <f t="shared" si="869"/>
        <v xml:space="preserve"> </v>
      </c>
      <c r="BT440" s="598" t="str">
        <f t="shared" si="869"/>
        <v xml:space="preserve"> </v>
      </c>
      <c r="BU440" s="598" t="str">
        <f t="shared" si="869"/>
        <v xml:space="preserve"> </v>
      </c>
      <c r="BV440" s="598" t="str">
        <f t="shared" si="869"/>
        <v xml:space="preserve"> </v>
      </c>
      <c r="BW440" s="598" t="str">
        <f t="shared" si="869"/>
        <v xml:space="preserve"> </v>
      </c>
      <c r="BX440" s="598" t="str">
        <f t="shared" si="869"/>
        <v xml:space="preserve"> </v>
      </c>
      <c r="BY440" s="598" t="str">
        <f t="shared" si="869"/>
        <v xml:space="preserve"> </v>
      </c>
      <c r="BZ440" s="598" t="str">
        <f t="shared" si="870"/>
        <v xml:space="preserve"> </v>
      </c>
      <c r="CA440" s="598" t="str">
        <f t="shared" si="870"/>
        <v xml:space="preserve"> </v>
      </c>
      <c r="CB440" s="598" t="str">
        <f t="shared" si="870"/>
        <v xml:space="preserve"> </v>
      </c>
      <c r="CC440" s="598" t="str">
        <f t="shared" si="870"/>
        <v xml:space="preserve"> </v>
      </c>
      <c r="CD440" s="598" t="str">
        <f t="shared" si="870"/>
        <v xml:space="preserve"> </v>
      </c>
      <c r="CE440" s="598" t="str">
        <f t="shared" si="870"/>
        <v xml:space="preserve"> </v>
      </c>
      <c r="CF440" s="598" t="str">
        <f t="shared" si="870"/>
        <v xml:space="preserve"> </v>
      </c>
      <c r="CG440" s="598" t="str">
        <f t="shared" si="870"/>
        <v xml:space="preserve"> </v>
      </c>
      <c r="CH440" s="598" t="str">
        <f t="shared" si="870"/>
        <v xml:space="preserve"> </v>
      </c>
      <c r="CI440" s="598" t="str">
        <f t="shared" si="870"/>
        <v xml:space="preserve"> </v>
      </c>
      <c r="CJ440" s="598" t="str">
        <f t="shared" si="870"/>
        <v xml:space="preserve"> </v>
      </c>
      <c r="CK440" s="598" t="str">
        <f t="shared" si="870"/>
        <v xml:space="preserve"> </v>
      </c>
      <c r="CL440" s="598" t="str">
        <f t="shared" si="870"/>
        <v xml:space="preserve"> </v>
      </c>
      <c r="CM440" s="598" t="str">
        <f t="shared" si="870"/>
        <v xml:space="preserve"> </v>
      </c>
      <c r="CN440" s="598" t="str">
        <f t="shared" si="870"/>
        <v xml:space="preserve"> </v>
      </c>
    </row>
    <row r="441" spans="1:92">
      <c r="A441" s="598">
        <v>64</v>
      </c>
      <c r="B441" s="598" t="str">
        <f t="shared" si="863"/>
        <v xml:space="preserve"> </v>
      </c>
      <c r="C441" s="598" t="str">
        <f t="shared" si="863"/>
        <v xml:space="preserve"> </v>
      </c>
      <c r="D441" s="598" t="str">
        <f t="shared" si="863"/>
        <v xml:space="preserve"> </v>
      </c>
      <c r="E441" s="598" t="str">
        <f t="shared" si="863"/>
        <v xml:space="preserve"> </v>
      </c>
      <c r="F441" s="598" t="str">
        <f t="shared" si="863"/>
        <v xml:space="preserve"> </v>
      </c>
      <c r="G441" s="598" t="str">
        <f t="shared" si="863"/>
        <v xml:space="preserve"> </v>
      </c>
      <c r="H441" s="598" t="str">
        <f t="shared" si="863"/>
        <v xml:space="preserve"> </v>
      </c>
      <c r="I441" s="598" t="str">
        <f t="shared" si="863"/>
        <v xml:space="preserve"> </v>
      </c>
      <c r="J441" s="598" t="str">
        <f t="shared" si="863"/>
        <v xml:space="preserve"> </v>
      </c>
      <c r="K441" s="598" t="str">
        <f t="shared" si="863"/>
        <v xml:space="preserve"> </v>
      </c>
      <c r="L441" s="598" t="str">
        <f t="shared" si="864"/>
        <v xml:space="preserve"> </v>
      </c>
      <c r="M441" s="598" t="str">
        <f t="shared" si="864"/>
        <v xml:space="preserve"> </v>
      </c>
      <c r="N441" s="598" t="str">
        <f t="shared" si="864"/>
        <v xml:space="preserve"> </v>
      </c>
      <c r="O441" s="598" t="str">
        <f t="shared" si="864"/>
        <v xml:space="preserve"> </v>
      </c>
      <c r="P441" s="598" t="str">
        <f t="shared" si="864"/>
        <v xml:space="preserve"> </v>
      </c>
      <c r="Q441" s="598" t="str">
        <f t="shared" si="864"/>
        <v xml:space="preserve"> </v>
      </c>
      <c r="R441" s="598" t="str">
        <f t="shared" si="864"/>
        <v xml:space="preserve"> </v>
      </c>
      <c r="S441" s="598" t="str">
        <f t="shared" si="864"/>
        <v xml:space="preserve"> </v>
      </c>
      <c r="T441" s="598" t="str">
        <f t="shared" si="864"/>
        <v xml:space="preserve"> </v>
      </c>
      <c r="U441" s="598" t="str">
        <f t="shared" si="864"/>
        <v xml:space="preserve"> </v>
      </c>
      <c r="V441" s="598" t="str">
        <f t="shared" si="865"/>
        <v xml:space="preserve"> </v>
      </c>
      <c r="W441" s="598" t="str">
        <f t="shared" si="865"/>
        <v xml:space="preserve"> </v>
      </c>
      <c r="X441" s="598" t="str">
        <f t="shared" si="865"/>
        <v xml:space="preserve"> </v>
      </c>
      <c r="Y441" s="598" t="str">
        <f t="shared" si="865"/>
        <v xml:space="preserve"> </v>
      </c>
      <c r="Z441" s="598" t="str">
        <f t="shared" si="865"/>
        <v xml:space="preserve"> </v>
      </c>
      <c r="AA441" s="598" t="str">
        <f t="shared" si="865"/>
        <v xml:space="preserve"> </v>
      </c>
      <c r="AB441" s="598" t="str">
        <f t="shared" si="865"/>
        <v xml:space="preserve"> </v>
      </c>
      <c r="AC441" s="598" t="str">
        <f t="shared" si="865"/>
        <v xml:space="preserve"> </v>
      </c>
      <c r="AD441" s="598" t="str">
        <f t="shared" si="865"/>
        <v xml:space="preserve"> </v>
      </c>
      <c r="AE441" s="598" t="str">
        <f t="shared" si="865"/>
        <v xml:space="preserve"> </v>
      </c>
      <c r="AF441" s="598" t="str">
        <f t="shared" si="866"/>
        <v xml:space="preserve"> </v>
      </c>
      <c r="AG441" s="598" t="str">
        <f t="shared" si="866"/>
        <v xml:space="preserve"> </v>
      </c>
      <c r="AH441" s="598" t="str">
        <f t="shared" si="866"/>
        <v xml:space="preserve"> </v>
      </c>
      <c r="AI441" s="598" t="str">
        <f t="shared" si="866"/>
        <v xml:space="preserve"> </v>
      </c>
      <c r="AJ441" s="598" t="str">
        <f t="shared" si="866"/>
        <v xml:space="preserve"> </v>
      </c>
      <c r="AK441" s="598" t="str">
        <f t="shared" si="866"/>
        <v xml:space="preserve"> </v>
      </c>
      <c r="AL441" s="598" t="str">
        <f t="shared" si="866"/>
        <v xml:space="preserve"> </v>
      </c>
      <c r="AM441" s="598" t="str">
        <f t="shared" si="866"/>
        <v xml:space="preserve"> </v>
      </c>
      <c r="AN441" s="598" t="str">
        <f t="shared" si="866"/>
        <v xml:space="preserve"> </v>
      </c>
      <c r="AO441" s="598" t="str">
        <f t="shared" si="866"/>
        <v xml:space="preserve"> </v>
      </c>
      <c r="AP441" s="598" t="str">
        <f t="shared" si="866"/>
        <v xml:space="preserve"> </v>
      </c>
      <c r="AQ441" s="598" t="str">
        <f t="shared" si="866"/>
        <v xml:space="preserve"> </v>
      </c>
      <c r="AR441" s="598" t="str">
        <f t="shared" si="866"/>
        <v xml:space="preserve"> </v>
      </c>
      <c r="AS441" s="598" t="str">
        <f t="shared" si="866"/>
        <v xml:space="preserve"> </v>
      </c>
      <c r="AT441" s="598" t="str">
        <f t="shared" si="866"/>
        <v xml:space="preserve"> </v>
      </c>
      <c r="AV441" s="598" t="str">
        <f t="shared" si="867"/>
        <v xml:space="preserve"> </v>
      </c>
      <c r="AW441" s="598" t="str">
        <f t="shared" si="867"/>
        <v xml:space="preserve"> </v>
      </c>
      <c r="AX441" s="598" t="str">
        <f t="shared" si="867"/>
        <v xml:space="preserve"> </v>
      </c>
      <c r="AY441" s="598" t="str">
        <f t="shared" si="867"/>
        <v xml:space="preserve"> </v>
      </c>
      <c r="AZ441" s="598" t="str">
        <f t="shared" si="867"/>
        <v xml:space="preserve"> </v>
      </c>
      <c r="BA441" s="598" t="str">
        <f t="shared" si="867"/>
        <v xml:space="preserve"> </v>
      </c>
      <c r="BB441" s="598" t="str">
        <f t="shared" si="867"/>
        <v xml:space="preserve"> </v>
      </c>
      <c r="BC441" s="598" t="str">
        <f t="shared" si="867"/>
        <v xml:space="preserve"> </v>
      </c>
      <c r="BD441" s="598" t="str">
        <f t="shared" si="867"/>
        <v xml:space="preserve"> </v>
      </c>
      <c r="BE441" s="598" t="str">
        <f t="shared" si="867"/>
        <v xml:space="preserve"> </v>
      </c>
      <c r="BF441" s="598" t="str">
        <f t="shared" si="868"/>
        <v xml:space="preserve"> </v>
      </c>
      <c r="BG441" s="598" t="str">
        <f t="shared" si="868"/>
        <v xml:space="preserve"> </v>
      </c>
      <c r="BH441" s="598" t="str">
        <f t="shared" si="868"/>
        <v xml:space="preserve"> </v>
      </c>
      <c r="BI441" s="598" t="str">
        <f t="shared" si="868"/>
        <v xml:space="preserve"> </v>
      </c>
      <c r="BJ441" s="598" t="str">
        <f t="shared" si="868"/>
        <v xml:space="preserve"> </v>
      </c>
      <c r="BK441" s="598" t="str">
        <f t="shared" si="868"/>
        <v xml:space="preserve"> </v>
      </c>
      <c r="BL441" s="598" t="str">
        <f t="shared" si="868"/>
        <v xml:space="preserve"> </v>
      </c>
      <c r="BM441" s="598" t="str">
        <f t="shared" si="868"/>
        <v xml:space="preserve"> </v>
      </c>
      <c r="BN441" s="598" t="str">
        <f t="shared" si="868"/>
        <v xml:space="preserve"> </v>
      </c>
      <c r="BO441" s="598" t="str">
        <f t="shared" si="868"/>
        <v xml:space="preserve"> </v>
      </c>
      <c r="BP441" s="598" t="str">
        <f t="shared" si="869"/>
        <v xml:space="preserve"> </v>
      </c>
      <c r="BQ441" s="598" t="str">
        <f t="shared" si="869"/>
        <v xml:space="preserve"> </v>
      </c>
      <c r="BR441" s="598" t="str">
        <f t="shared" si="869"/>
        <v xml:space="preserve"> </v>
      </c>
      <c r="BS441" s="598" t="str">
        <f t="shared" si="869"/>
        <v xml:space="preserve"> </v>
      </c>
      <c r="BT441" s="598" t="str">
        <f t="shared" si="869"/>
        <v xml:space="preserve"> </v>
      </c>
      <c r="BU441" s="598" t="str">
        <f t="shared" si="869"/>
        <v xml:space="preserve"> </v>
      </c>
      <c r="BV441" s="598" t="str">
        <f t="shared" si="869"/>
        <v xml:space="preserve"> </v>
      </c>
      <c r="BW441" s="598" t="str">
        <f t="shared" si="869"/>
        <v xml:space="preserve"> </v>
      </c>
      <c r="BX441" s="598" t="str">
        <f t="shared" si="869"/>
        <v xml:space="preserve"> </v>
      </c>
      <c r="BY441" s="598" t="str">
        <f t="shared" si="869"/>
        <v xml:space="preserve"> </v>
      </c>
      <c r="BZ441" s="598" t="str">
        <f t="shared" si="870"/>
        <v xml:space="preserve"> </v>
      </c>
      <c r="CA441" s="598" t="str">
        <f t="shared" si="870"/>
        <v xml:space="preserve"> </v>
      </c>
      <c r="CB441" s="598" t="str">
        <f t="shared" si="870"/>
        <v xml:space="preserve"> </v>
      </c>
      <c r="CC441" s="598" t="str">
        <f t="shared" si="870"/>
        <v xml:space="preserve"> </v>
      </c>
      <c r="CD441" s="598" t="str">
        <f t="shared" si="870"/>
        <v xml:space="preserve"> </v>
      </c>
      <c r="CE441" s="598" t="str">
        <f t="shared" si="870"/>
        <v xml:space="preserve"> </v>
      </c>
      <c r="CF441" s="598" t="str">
        <f t="shared" si="870"/>
        <v xml:space="preserve"> </v>
      </c>
      <c r="CG441" s="598" t="str">
        <f t="shared" si="870"/>
        <v xml:space="preserve"> </v>
      </c>
      <c r="CH441" s="598" t="str">
        <f t="shared" si="870"/>
        <v xml:space="preserve"> </v>
      </c>
      <c r="CI441" s="598" t="str">
        <f t="shared" si="870"/>
        <v xml:space="preserve"> </v>
      </c>
      <c r="CJ441" s="598" t="str">
        <f t="shared" si="870"/>
        <v xml:space="preserve"> </v>
      </c>
      <c r="CK441" s="598" t="str">
        <f t="shared" si="870"/>
        <v xml:space="preserve"> </v>
      </c>
      <c r="CL441" s="598" t="str">
        <f t="shared" si="870"/>
        <v xml:space="preserve"> </v>
      </c>
      <c r="CM441" s="598" t="str">
        <f t="shared" si="870"/>
        <v xml:space="preserve"> </v>
      </c>
      <c r="CN441" s="598" t="str">
        <f t="shared" si="870"/>
        <v xml:space="preserve"> </v>
      </c>
    </row>
    <row r="442" spans="1:92">
      <c r="A442" s="598">
        <v>65</v>
      </c>
      <c r="B442" s="598" t="str">
        <f t="shared" si="863"/>
        <v xml:space="preserve"> </v>
      </c>
      <c r="C442" s="598" t="str">
        <f t="shared" si="863"/>
        <v xml:space="preserve"> </v>
      </c>
      <c r="D442" s="598" t="str">
        <f t="shared" si="863"/>
        <v xml:space="preserve"> </v>
      </c>
      <c r="E442" s="598" t="str">
        <f t="shared" si="863"/>
        <v xml:space="preserve"> </v>
      </c>
      <c r="F442" s="598" t="str">
        <f t="shared" si="863"/>
        <v xml:space="preserve"> </v>
      </c>
      <c r="G442" s="598" t="str">
        <f t="shared" si="863"/>
        <v xml:space="preserve"> </v>
      </c>
      <c r="H442" s="598" t="str">
        <f t="shared" si="863"/>
        <v xml:space="preserve"> </v>
      </c>
      <c r="I442" s="598" t="str">
        <f t="shared" si="863"/>
        <v xml:space="preserve"> </v>
      </c>
      <c r="J442" s="598" t="str">
        <f t="shared" si="863"/>
        <v xml:space="preserve"> </v>
      </c>
      <c r="K442" s="598" t="str">
        <f t="shared" si="863"/>
        <v xml:space="preserve"> </v>
      </c>
      <c r="L442" s="598" t="str">
        <f t="shared" si="864"/>
        <v xml:space="preserve"> </v>
      </c>
      <c r="M442" s="598" t="str">
        <f t="shared" si="864"/>
        <v xml:space="preserve"> </v>
      </c>
      <c r="N442" s="598" t="str">
        <f t="shared" si="864"/>
        <v xml:space="preserve"> </v>
      </c>
      <c r="O442" s="598" t="str">
        <f t="shared" si="864"/>
        <v xml:space="preserve"> </v>
      </c>
      <c r="P442" s="598" t="str">
        <f t="shared" si="864"/>
        <v xml:space="preserve"> </v>
      </c>
      <c r="Q442" s="598" t="str">
        <f t="shared" si="864"/>
        <v xml:space="preserve"> </v>
      </c>
      <c r="R442" s="598" t="str">
        <f t="shared" si="864"/>
        <v xml:space="preserve"> </v>
      </c>
      <c r="S442" s="598" t="str">
        <f t="shared" si="864"/>
        <v xml:space="preserve"> </v>
      </c>
      <c r="T442" s="598" t="str">
        <f t="shared" si="864"/>
        <v xml:space="preserve"> </v>
      </c>
      <c r="U442" s="598" t="str">
        <f t="shared" si="864"/>
        <v xml:space="preserve"> </v>
      </c>
      <c r="V442" s="598" t="str">
        <f t="shared" si="865"/>
        <v xml:space="preserve"> </v>
      </c>
      <c r="W442" s="598" t="str">
        <f t="shared" si="865"/>
        <v xml:space="preserve"> </v>
      </c>
      <c r="X442" s="598" t="str">
        <f t="shared" si="865"/>
        <v xml:space="preserve"> </v>
      </c>
      <c r="Y442" s="598" t="str">
        <f t="shared" si="865"/>
        <v xml:space="preserve"> </v>
      </c>
      <c r="Z442" s="598" t="str">
        <f t="shared" si="865"/>
        <v xml:space="preserve"> </v>
      </c>
      <c r="AA442" s="598" t="str">
        <f t="shared" si="865"/>
        <v xml:space="preserve"> </v>
      </c>
      <c r="AB442" s="598" t="str">
        <f t="shared" si="865"/>
        <v xml:space="preserve"> </v>
      </c>
      <c r="AC442" s="598" t="str">
        <f t="shared" si="865"/>
        <v xml:space="preserve"> </v>
      </c>
      <c r="AD442" s="598" t="str">
        <f t="shared" si="865"/>
        <v xml:space="preserve"> </v>
      </c>
      <c r="AE442" s="598" t="str">
        <f t="shared" si="865"/>
        <v xml:space="preserve"> </v>
      </c>
      <c r="AF442" s="598" t="str">
        <f t="shared" si="866"/>
        <v xml:space="preserve"> </v>
      </c>
      <c r="AG442" s="598" t="str">
        <f t="shared" si="866"/>
        <v xml:space="preserve"> </v>
      </c>
      <c r="AH442" s="598" t="str">
        <f t="shared" si="866"/>
        <v xml:space="preserve"> </v>
      </c>
      <c r="AI442" s="598" t="str">
        <f t="shared" si="866"/>
        <v xml:space="preserve"> </v>
      </c>
      <c r="AJ442" s="598" t="str">
        <f t="shared" si="866"/>
        <v xml:space="preserve"> </v>
      </c>
      <c r="AK442" s="598" t="str">
        <f t="shared" si="866"/>
        <v xml:space="preserve"> </v>
      </c>
      <c r="AL442" s="598" t="str">
        <f t="shared" si="866"/>
        <v xml:space="preserve"> </v>
      </c>
      <c r="AM442" s="598" t="str">
        <f t="shared" si="866"/>
        <v xml:space="preserve"> </v>
      </c>
      <c r="AN442" s="598" t="str">
        <f t="shared" si="866"/>
        <v xml:space="preserve"> </v>
      </c>
      <c r="AO442" s="598" t="str">
        <f t="shared" si="866"/>
        <v xml:space="preserve"> </v>
      </c>
      <c r="AP442" s="598" t="str">
        <f t="shared" si="866"/>
        <v xml:space="preserve"> </v>
      </c>
      <c r="AQ442" s="598" t="str">
        <f t="shared" si="866"/>
        <v xml:space="preserve"> </v>
      </c>
      <c r="AR442" s="598" t="str">
        <f t="shared" si="866"/>
        <v xml:space="preserve"> </v>
      </c>
      <c r="AS442" s="598" t="str">
        <f t="shared" si="866"/>
        <v xml:space="preserve"> </v>
      </c>
      <c r="AT442" s="598" t="str">
        <f t="shared" si="866"/>
        <v xml:space="preserve"> </v>
      </c>
      <c r="AV442" s="598" t="str">
        <f t="shared" si="867"/>
        <v xml:space="preserve"> </v>
      </c>
      <c r="AW442" s="598" t="str">
        <f t="shared" si="867"/>
        <v xml:space="preserve"> </v>
      </c>
      <c r="AX442" s="598" t="str">
        <f t="shared" si="867"/>
        <v xml:space="preserve"> </v>
      </c>
      <c r="AY442" s="598" t="str">
        <f t="shared" si="867"/>
        <v xml:space="preserve"> </v>
      </c>
      <c r="AZ442" s="598" t="str">
        <f t="shared" si="867"/>
        <v xml:space="preserve"> </v>
      </c>
      <c r="BA442" s="598" t="str">
        <f t="shared" si="867"/>
        <v xml:space="preserve"> </v>
      </c>
      <c r="BB442" s="598" t="str">
        <f t="shared" si="867"/>
        <v xml:space="preserve"> </v>
      </c>
      <c r="BC442" s="598" t="str">
        <f t="shared" si="867"/>
        <v xml:space="preserve"> </v>
      </c>
      <c r="BD442" s="598" t="str">
        <f t="shared" si="867"/>
        <v xml:space="preserve"> </v>
      </c>
      <c r="BE442" s="598" t="str">
        <f t="shared" si="867"/>
        <v xml:space="preserve"> </v>
      </c>
      <c r="BF442" s="598" t="str">
        <f t="shared" si="868"/>
        <v xml:space="preserve"> </v>
      </c>
      <c r="BG442" s="598" t="str">
        <f t="shared" si="868"/>
        <v xml:space="preserve"> </v>
      </c>
      <c r="BH442" s="598" t="str">
        <f t="shared" si="868"/>
        <v xml:space="preserve"> </v>
      </c>
      <c r="BI442" s="598" t="str">
        <f t="shared" si="868"/>
        <v xml:space="preserve"> </v>
      </c>
      <c r="BJ442" s="598" t="str">
        <f t="shared" si="868"/>
        <v xml:space="preserve"> </v>
      </c>
      <c r="BK442" s="598" t="str">
        <f t="shared" si="868"/>
        <v xml:space="preserve"> </v>
      </c>
      <c r="BL442" s="598" t="str">
        <f t="shared" si="868"/>
        <v xml:space="preserve"> </v>
      </c>
      <c r="BM442" s="598" t="str">
        <f t="shared" si="868"/>
        <v xml:space="preserve"> </v>
      </c>
      <c r="BN442" s="598" t="str">
        <f t="shared" si="868"/>
        <v xml:space="preserve"> </v>
      </c>
      <c r="BO442" s="598" t="str">
        <f t="shared" si="868"/>
        <v xml:space="preserve"> </v>
      </c>
      <c r="BP442" s="598" t="str">
        <f t="shared" si="869"/>
        <v xml:space="preserve"> </v>
      </c>
      <c r="BQ442" s="598" t="str">
        <f t="shared" si="869"/>
        <v xml:space="preserve"> </v>
      </c>
      <c r="BR442" s="598" t="str">
        <f t="shared" si="869"/>
        <v xml:space="preserve"> </v>
      </c>
      <c r="BS442" s="598" t="str">
        <f t="shared" si="869"/>
        <v xml:space="preserve"> </v>
      </c>
      <c r="BT442" s="598" t="str">
        <f t="shared" si="869"/>
        <v xml:space="preserve"> </v>
      </c>
      <c r="BU442" s="598" t="str">
        <f t="shared" si="869"/>
        <v xml:space="preserve"> </v>
      </c>
      <c r="BV442" s="598" t="str">
        <f t="shared" si="869"/>
        <v xml:space="preserve"> </v>
      </c>
      <c r="BW442" s="598" t="str">
        <f t="shared" si="869"/>
        <v xml:space="preserve"> </v>
      </c>
      <c r="BX442" s="598" t="str">
        <f t="shared" si="869"/>
        <v xml:space="preserve"> </v>
      </c>
      <c r="BY442" s="598" t="str">
        <f t="shared" si="869"/>
        <v xml:space="preserve"> </v>
      </c>
      <c r="BZ442" s="598" t="str">
        <f t="shared" si="870"/>
        <v xml:space="preserve"> </v>
      </c>
      <c r="CA442" s="598" t="str">
        <f t="shared" si="870"/>
        <v xml:space="preserve"> </v>
      </c>
      <c r="CB442" s="598" t="str">
        <f t="shared" si="870"/>
        <v xml:space="preserve"> </v>
      </c>
      <c r="CC442" s="598" t="str">
        <f t="shared" si="870"/>
        <v xml:space="preserve"> </v>
      </c>
      <c r="CD442" s="598" t="str">
        <f t="shared" si="870"/>
        <v xml:space="preserve"> </v>
      </c>
      <c r="CE442" s="598" t="str">
        <f t="shared" si="870"/>
        <v xml:space="preserve"> </v>
      </c>
      <c r="CF442" s="598" t="str">
        <f t="shared" si="870"/>
        <v xml:space="preserve"> </v>
      </c>
      <c r="CG442" s="598" t="str">
        <f t="shared" si="870"/>
        <v xml:space="preserve"> </v>
      </c>
      <c r="CH442" s="598" t="str">
        <f t="shared" si="870"/>
        <v xml:space="preserve"> </v>
      </c>
      <c r="CI442" s="598" t="str">
        <f t="shared" si="870"/>
        <v xml:space="preserve"> </v>
      </c>
      <c r="CJ442" s="598" t="str">
        <f t="shared" si="870"/>
        <v xml:space="preserve"> </v>
      </c>
      <c r="CK442" s="598" t="str">
        <f t="shared" si="870"/>
        <v xml:space="preserve"> </v>
      </c>
      <c r="CL442" s="598" t="str">
        <f t="shared" si="870"/>
        <v xml:space="preserve"> </v>
      </c>
      <c r="CM442" s="598" t="str">
        <f t="shared" si="870"/>
        <v xml:space="preserve"> </v>
      </c>
      <c r="CN442" s="598" t="str">
        <f t="shared" si="870"/>
        <v xml:space="preserve"> </v>
      </c>
    </row>
    <row r="443" spans="1:92">
      <c r="A443" s="598">
        <v>66</v>
      </c>
      <c r="B443" s="598" t="str">
        <f t="shared" si="863"/>
        <v xml:space="preserve"> </v>
      </c>
      <c r="C443" s="598" t="str">
        <f t="shared" si="863"/>
        <v xml:space="preserve"> </v>
      </c>
      <c r="D443" s="598" t="str">
        <f t="shared" si="863"/>
        <v xml:space="preserve"> </v>
      </c>
      <c r="E443" s="598" t="str">
        <f t="shared" si="863"/>
        <v xml:space="preserve"> </v>
      </c>
      <c r="F443" s="598" t="str">
        <f t="shared" si="863"/>
        <v xml:space="preserve"> </v>
      </c>
      <c r="G443" s="598" t="str">
        <f t="shared" si="863"/>
        <v xml:space="preserve"> </v>
      </c>
      <c r="H443" s="598" t="str">
        <f t="shared" si="863"/>
        <v xml:space="preserve"> </v>
      </c>
      <c r="I443" s="598" t="str">
        <f t="shared" si="863"/>
        <v xml:space="preserve"> </v>
      </c>
      <c r="J443" s="598" t="str">
        <f t="shared" si="863"/>
        <v xml:space="preserve"> </v>
      </c>
      <c r="K443" s="598" t="str">
        <f t="shared" si="863"/>
        <v xml:space="preserve"> </v>
      </c>
      <c r="L443" s="598" t="str">
        <f t="shared" si="864"/>
        <v xml:space="preserve"> </v>
      </c>
      <c r="M443" s="598" t="str">
        <f t="shared" si="864"/>
        <v xml:space="preserve"> </v>
      </c>
      <c r="N443" s="598" t="str">
        <f t="shared" si="864"/>
        <v xml:space="preserve"> </v>
      </c>
      <c r="O443" s="598" t="str">
        <f t="shared" si="864"/>
        <v xml:space="preserve"> </v>
      </c>
      <c r="P443" s="598" t="str">
        <f t="shared" si="864"/>
        <v xml:space="preserve"> </v>
      </c>
      <c r="Q443" s="598" t="str">
        <f t="shared" si="864"/>
        <v xml:space="preserve"> </v>
      </c>
      <c r="R443" s="598" t="str">
        <f t="shared" si="864"/>
        <v xml:space="preserve"> </v>
      </c>
      <c r="S443" s="598" t="str">
        <f t="shared" si="864"/>
        <v xml:space="preserve"> </v>
      </c>
      <c r="T443" s="598" t="str">
        <f t="shared" si="864"/>
        <v xml:space="preserve"> </v>
      </c>
      <c r="U443" s="598" t="str">
        <f t="shared" si="864"/>
        <v xml:space="preserve"> </v>
      </c>
      <c r="V443" s="598" t="str">
        <f t="shared" si="865"/>
        <v xml:space="preserve"> </v>
      </c>
      <c r="W443" s="598" t="str">
        <f t="shared" si="865"/>
        <v xml:space="preserve"> </v>
      </c>
      <c r="X443" s="598" t="str">
        <f t="shared" si="865"/>
        <v xml:space="preserve"> </v>
      </c>
      <c r="Y443" s="598" t="str">
        <f t="shared" si="865"/>
        <v xml:space="preserve"> </v>
      </c>
      <c r="Z443" s="598" t="str">
        <f t="shared" si="865"/>
        <v xml:space="preserve"> </v>
      </c>
      <c r="AA443" s="598" t="str">
        <f t="shared" si="865"/>
        <v xml:space="preserve"> </v>
      </c>
      <c r="AB443" s="598" t="str">
        <f t="shared" si="865"/>
        <v xml:space="preserve"> </v>
      </c>
      <c r="AC443" s="598" t="str">
        <f t="shared" si="865"/>
        <v xml:space="preserve"> </v>
      </c>
      <c r="AD443" s="598" t="str">
        <f t="shared" si="865"/>
        <v xml:space="preserve"> </v>
      </c>
      <c r="AE443" s="598" t="str">
        <f t="shared" si="865"/>
        <v xml:space="preserve"> </v>
      </c>
      <c r="AF443" s="598" t="str">
        <f t="shared" si="866"/>
        <v xml:space="preserve"> </v>
      </c>
      <c r="AG443" s="598" t="str">
        <f t="shared" si="866"/>
        <v xml:space="preserve"> </v>
      </c>
      <c r="AH443" s="598" t="str">
        <f t="shared" si="866"/>
        <v xml:space="preserve"> </v>
      </c>
      <c r="AI443" s="598" t="str">
        <f t="shared" si="866"/>
        <v xml:space="preserve"> </v>
      </c>
      <c r="AJ443" s="598" t="str">
        <f t="shared" si="866"/>
        <v xml:space="preserve"> </v>
      </c>
      <c r="AK443" s="598" t="str">
        <f t="shared" si="866"/>
        <v xml:space="preserve"> </v>
      </c>
      <c r="AL443" s="598" t="str">
        <f t="shared" si="866"/>
        <v xml:space="preserve"> </v>
      </c>
      <c r="AM443" s="598" t="str">
        <f t="shared" si="866"/>
        <v xml:space="preserve"> </v>
      </c>
      <c r="AN443" s="598" t="str">
        <f t="shared" si="866"/>
        <v xml:space="preserve"> </v>
      </c>
      <c r="AO443" s="598" t="str">
        <f t="shared" si="866"/>
        <v xml:space="preserve"> </v>
      </c>
      <c r="AP443" s="598" t="str">
        <f t="shared" si="866"/>
        <v xml:space="preserve"> </v>
      </c>
      <c r="AQ443" s="598" t="str">
        <f t="shared" si="866"/>
        <v xml:space="preserve"> </v>
      </c>
      <c r="AR443" s="598" t="str">
        <f t="shared" si="866"/>
        <v xml:space="preserve"> </v>
      </c>
      <c r="AS443" s="598" t="str">
        <f t="shared" si="866"/>
        <v xml:space="preserve"> </v>
      </c>
      <c r="AT443" s="598" t="str">
        <f t="shared" si="866"/>
        <v xml:space="preserve"> </v>
      </c>
      <c r="AV443" s="598" t="str">
        <f t="shared" si="867"/>
        <v xml:space="preserve"> </v>
      </c>
      <c r="AW443" s="598" t="str">
        <f t="shared" si="867"/>
        <v xml:space="preserve"> </v>
      </c>
      <c r="AX443" s="598" t="str">
        <f t="shared" si="867"/>
        <v xml:space="preserve"> </v>
      </c>
      <c r="AY443" s="598" t="str">
        <f t="shared" si="867"/>
        <v xml:space="preserve"> </v>
      </c>
      <c r="AZ443" s="598" t="str">
        <f t="shared" si="867"/>
        <v xml:space="preserve"> </v>
      </c>
      <c r="BA443" s="598" t="str">
        <f t="shared" si="867"/>
        <v xml:space="preserve"> </v>
      </c>
      <c r="BB443" s="598" t="str">
        <f t="shared" si="867"/>
        <v xml:space="preserve"> </v>
      </c>
      <c r="BC443" s="598" t="str">
        <f t="shared" si="867"/>
        <v xml:space="preserve"> </v>
      </c>
      <c r="BD443" s="598" t="str">
        <f t="shared" si="867"/>
        <v xml:space="preserve"> </v>
      </c>
      <c r="BE443" s="598" t="str">
        <f t="shared" si="867"/>
        <v xml:space="preserve"> </v>
      </c>
      <c r="BF443" s="598" t="str">
        <f t="shared" si="868"/>
        <v xml:space="preserve"> </v>
      </c>
      <c r="BG443" s="598" t="str">
        <f t="shared" si="868"/>
        <v xml:space="preserve"> </v>
      </c>
      <c r="BH443" s="598" t="str">
        <f t="shared" si="868"/>
        <v xml:space="preserve"> </v>
      </c>
      <c r="BI443" s="598" t="str">
        <f t="shared" si="868"/>
        <v xml:space="preserve"> </v>
      </c>
      <c r="BJ443" s="598" t="str">
        <f t="shared" si="868"/>
        <v xml:space="preserve"> </v>
      </c>
      <c r="BK443" s="598" t="str">
        <f t="shared" si="868"/>
        <v xml:space="preserve"> </v>
      </c>
      <c r="BL443" s="598" t="str">
        <f t="shared" si="868"/>
        <v xml:space="preserve"> </v>
      </c>
      <c r="BM443" s="598" t="str">
        <f t="shared" si="868"/>
        <v xml:space="preserve"> </v>
      </c>
      <c r="BN443" s="598" t="str">
        <f t="shared" si="868"/>
        <v xml:space="preserve"> </v>
      </c>
      <c r="BO443" s="598" t="str">
        <f t="shared" si="868"/>
        <v xml:space="preserve"> </v>
      </c>
      <c r="BP443" s="598" t="str">
        <f t="shared" si="869"/>
        <v xml:space="preserve"> </v>
      </c>
      <c r="BQ443" s="598" t="str">
        <f t="shared" si="869"/>
        <v xml:space="preserve"> </v>
      </c>
      <c r="BR443" s="598" t="str">
        <f t="shared" si="869"/>
        <v xml:space="preserve"> </v>
      </c>
      <c r="BS443" s="598" t="str">
        <f t="shared" si="869"/>
        <v xml:space="preserve"> </v>
      </c>
      <c r="BT443" s="598" t="str">
        <f t="shared" si="869"/>
        <v xml:space="preserve"> </v>
      </c>
      <c r="BU443" s="598" t="str">
        <f t="shared" si="869"/>
        <v xml:space="preserve"> </v>
      </c>
      <c r="BV443" s="598" t="str">
        <f t="shared" si="869"/>
        <v xml:space="preserve"> </v>
      </c>
      <c r="BW443" s="598" t="str">
        <f t="shared" si="869"/>
        <v xml:space="preserve"> </v>
      </c>
      <c r="BX443" s="598" t="str">
        <f t="shared" si="869"/>
        <v xml:space="preserve"> </v>
      </c>
      <c r="BY443" s="598" t="str">
        <f t="shared" si="869"/>
        <v xml:space="preserve"> </v>
      </c>
      <c r="BZ443" s="598" t="str">
        <f t="shared" si="870"/>
        <v xml:space="preserve"> </v>
      </c>
      <c r="CA443" s="598" t="str">
        <f t="shared" si="870"/>
        <v xml:space="preserve"> </v>
      </c>
      <c r="CB443" s="598" t="str">
        <f t="shared" si="870"/>
        <v xml:space="preserve"> </v>
      </c>
      <c r="CC443" s="598" t="str">
        <f t="shared" si="870"/>
        <v xml:space="preserve"> </v>
      </c>
      <c r="CD443" s="598" t="str">
        <f t="shared" si="870"/>
        <v xml:space="preserve"> </v>
      </c>
      <c r="CE443" s="598" t="str">
        <f t="shared" si="870"/>
        <v xml:space="preserve"> </v>
      </c>
      <c r="CF443" s="598" t="str">
        <f t="shared" si="870"/>
        <v xml:space="preserve"> </v>
      </c>
      <c r="CG443" s="598" t="str">
        <f t="shared" si="870"/>
        <v xml:space="preserve"> </v>
      </c>
      <c r="CH443" s="598" t="str">
        <f t="shared" si="870"/>
        <v xml:space="preserve"> </v>
      </c>
      <c r="CI443" s="598" t="str">
        <f t="shared" si="870"/>
        <v xml:space="preserve"> </v>
      </c>
      <c r="CJ443" s="598" t="str">
        <f t="shared" si="870"/>
        <v xml:space="preserve"> </v>
      </c>
      <c r="CK443" s="598" t="str">
        <f t="shared" si="870"/>
        <v xml:space="preserve"> </v>
      </c>
      <c r="CL443" s="598" t="str">
        <f t="shared" si="870"/>
        <v xml:space="preserve"> </v>
      </c>
      <c r="CM443" s="598" t="str">
        <f t="shared" si="870"/>
        <v xml:space="preserve"> </v>
      </c>
      <c r="CN443" s="598" t="str">
        <f t="shared" si="870"/>
        <v xml:space="preserve"> </v>
      </c>
    </row>
    <row r="444" spans="1:92">
      <c r="A444" s="598">
        <v>67</v>
      </c>
      <c r="B444" s="598" t="str">
        <f t="shared" si="863"/>
        <v xml:space="preserve"> </v>
      </c>
      <c r="C444" s="598" t="str">
        <f t="shared" si="863"/>
        <v xml:space="preserve"> </v>
      </c>
      <c r="D444" s="598" t="str">
        <f t="shared" si="863"/>
        <v xml:space="preserve"> </v>
      </c>
      <c r="E444" s="598" t="str">
        <f t="shared" si="863"/>
        <v xml:space="preserve"> </v>
      </c>
      <c r="F444" s="598" t="str">
        <f t="shared" si="863"/>
        <v xml:space="preserve"> </v>
      </c>
      <c r="G444" s="598" t="str">
        <f t="shared" si="863"/>
        <v xml:space="preserve"> </v>
      </c>
      <c r="H444" s="598" t="str">
        <f t="shared" si="863"/>
        <v xml:space="preserve"> </v>
      </c>
      <c r="I444" s="598" t="str">
        <f t="shared" si="863"/>
        <v xml:space="preserve"> </v>
      </c>
      <c r="J444" s="598" t="str">
        <f t="shared" si="863"/>
        <v xml:space="preserve"> </v>
      </c>
      <c r="K444" s="598" t="str">
        <f t="shared" si="863"/>
        <v xml:space="preserve"> </v>
      </c>
      <c r="L444" s="598" t="str">
        <f t="shared" si="864"/>
        <v xml:space="preserve"> </v>
      </c>
      <c r="M444" s="598" t="str">
        <f t="shared" si="864"/>
        <v xml:space="preserve"> </v>
      </c>
      <c r="N444" s="598" t="str">
        <f t="shared" si="864"/>
        <v xml:space="preserve"> </v>
      </c>
      <c r="O444" s="598" t="str">
        <f t="shared" si="864"/>
        <v xml:space="preserve"> </v>
      </c>
      <c r="P444" s="598" t="str">
        <f t="shared" si="864"/>
        <v xml:space="preserve"> </v>
      </c>
      <c r="Q444" s="598" t="str">
        <f t="shared" si="864"/>
        <v xml:space="preserve"> </v>
      </c>
      <c r="R444" s="598" t="str">
        <f t="shared" si="864"/>
        <v xml:space="preserve"> </v>
      </c>
      <c r="S444" s="598" t="str">
        <f t="shared" si="864"/>
        <v xml:space="preserve"> </v>
      </c>
      <c r="T444" s="598" t="str">
        <f t="shared" si="864"/>
        <v xml:space="preserve"> </v>
      </c>
      <c r="U444" s="598" t="str">
        <f t="shared" si="864"/>
        <v xml:space="preserve"> </v>
      </c>
      <c r="V444" s="598" t="str">
        <f t="shared" si="865"/>
        <v xml:space="preserve"> </v>
      </c>
      <c r="W444" s="598" t="str">
        <f t="shared" si="865"/>
        <v xml:space="preserve"> </v>
      </c>
      <c r="X444" s="598" t="str">
        <f t="shared" si="865"/>
        <v xml:space="preserve"> </v>
      </c>
      <c r="Y444" s="598" t="str">
        <f t="shared" si="865"/>
        <v xml:space="preserve"> </v>
      </c>
      <c r="Z444" s="598" t="str">
        <f t="shared" si="865"/>
        <v xml:space="preserve"> </v>
      </c>
      <c r="AA444" s="598" t="str">
        <f t="shared" si="865"/>
        <v xml:space="preserve"> </v>
      </c>
      <c r="AB444" s="598" t="str">
        <f t="shared" si="865"/>
        <v xml:space="preserve"> </v>
      </c>
      <c r="AC444" s="598" t="str">
        <f t="shared" si="865"/>
        <v xml:space="preserve"> </v>
      </c>
      <c r="AD444" s="598" t="str">
        <f t="shared" si="865"/>
        <v xml:space="preserve"> </v>
      </c>
      <c r="AE444" s="598" t="str">
        <f t="shared" si="865"/>
        <v xml:space="preserve"> </v>
      </c>
      <c r="AF444" s="598" t="str">
        <f t="shared" si="866"/>
        <v xml:space="preserve"> </v>
      </c>
      <c r="AG444" s="598" t="str">
        <f t="shared" si="866"/>
        <v xml:space="preserve"> </v>
      </c>
      <c r="AH444" s="598" t="str">
        <f t="shared" si="866"/>
        <v xml:space="preserve"> </v>
      </c>
      <c r="AI444" s="598" t="str">
        <f t="shared" si="866"/>
        <v xml:space="preserve"> </v>
      </c>
      <c r="AJ444" s="598" t="str">
        <f t="shared" si="866"/>
        <v xml:space="preserve"> </v>
      </c>
      <c r="AK444" s="598" t="str">
        <f t="shared" si="866"/>
        <v xml:space="preserve"> </v>
      </c>
      <c r="AL444" s="598" t="str">
        <f t="shared" si="866"/>
        <v xml:space="preserve"> </v>
      </c>
      <c r="AM444" s="598" t="str">
        <f t="shared" si="866"/>
        <v xml:space="preserve"> </v>
      </c>
      <c r="AN444" s="598" t="str">
        <f t="shared" si="866"/>
        <v xml:space="preserve"> </v>
      </c>
      <c r="AO444" s="598" t="str">
        <f t="shared" si="866"/>
        <v xml:space="preserve"> </v>
      </c>
      <c r="AP444" s="598" t="str">
        <f t="shared" si="866"/>
        <v xml:space="preserve"> </v>
      </c>
      <c r="AQ444" s="598" t="str">
        <f t="shared" si="866"/>
        <v xml:space="preserve"> </v>
      </c>
      <c r="AR444" s="598" t="str">
        <f t="shared" si="866"/>
        <v xml:space="preserve"> </v>
      </c>
      <c r="AS444" s="598" t="str">
        <f t="shared" si="866"/>
        <v xml:space="preserve"> </v>
      </c>
      <c r="AT444" s="598" t="str">
        <f t="shared" si="866"/>
        <v xml:space="preserve"> </v>
      </c>
      <c r="AV444" s="598" t="str">
        <f t="shared" si="867"/>
        <v xml:space="preserve"> </v>
      </c>
      <c r="AW444" s="598" t="str">
        <f t="shared" si="867"/>
        <v xml:space="preserve"> </v>
      </c>
      <c r="AX444" s="598" t="str">
        <f t="shared" si="867"/>
        <v xml:space="preserve"> </v>
      </c>
      <c r="AY444" s="598" t="str">
        <f t="shared" si="867"/>
        <v xml:space="preserve"> </v>
      </c>
      <c r="AZ444" s="598" t="str">
        <f t="shared" si="867"/>
        <v xml:space="preserve"> </v>
      </c>
      <c r="BA444" s="598" t="str">
        <f t="shared" si="867"/>
        <v xml:space="preserve"> </v>
      </c>
      <c r="BB444" s="598" t="str">
        <f t="shared" si="867"/>
        <v xml:space="preserve"> </v>
      </c>
      <c r="BC444" s="598" t="str">
        <f t="shared" si="867"/>
        <v xml:space="preserve"> </v>
      </c>
      <c r="BD444" s="598" t="str">
        <f t="shared" si="867"/>
        <v xml:space="preserve"> </v>
      </c>
      <c r="BE444" s="598" t="str">
        <f t="shared" si="867"/>
        <v xml:space="preserve"> </v>
      </c>
      <c r="BF444" s="598" t="str">
        <f t="shared" si="868"/>
        <v xml:space="preserve"> </v>
      </c>
      <c r="BG444" s="598" t="str">
        <f t="shared" si="868"/>
        <v xml:space="preserve"> </v>
      </c>
      <c r="BH444" s="598" t="str">
        <f t="shared" si="868"/>
        <v xml:space="preserve"> </v>
      </c>
      <c r="BI444" s="598" t="str">
        <f t="shared" si="868"/>
        <v xml:space="preserve"> </v>
      </c>
      <c r="BJ444" s="598" t="str">
        <f t="shared" si="868"/>
        <v xml:space="preserve"> </v>
      </c>
      <c r="BK444" s="598" t="str">
        <f t="shared" si="868"/>
        <v xml:space="preserve"> </v>
      </c>
      <c r="BL444" s="598" t="str">
        <f t="shared" si="868"/>
        <v xml:space="preserve"> </v>
      </c>
      <c r="BM444" s="598" t="str">
        <f t="shared" si="868"/>
        <v xml:space="preserve"> </v>
      </c>
      <c r="BN444" s="598" t="str">
        <f t="shared" si="868"/>
        <v xml:space="preserve"> </v>
      </c>
      <c r="BO444" s="598" t="str">
        <f t="shared" si="868"/>
        <v xml:space="preserve"> </v>
      </c>
      <c r="BP444" s="598" t="str">
        <f t="shared" si="869"/>
        <v xml:space="preserve"> </v>
      </c>
      <c r="BQ444" s="598" t="str">
        <f t="shared" si="869"/>
        <v xml:space="preserve"> </v>
      </c>
      <c r="BR444" s="598" t="str">
        <f t="shared" si="869"/>
        <v xml:space="preserve"> </v>
      </c>
      <c r="BS444" s="598" t="str">
        <f t="shared" si="869"/>
        <v xml:space="preserve"> </v>
      </c>
      <c r="BT444" s="598" t="str">
        <f t="shared" si="869"/>
        <v xml:space="preserve"> </v>
      </c>
      <c r="BU444" s="598" t="str">
        <f t="shared" si="869"/>
        <v xml:space="preserve"> </v>
      </c>
      <c r="BV444" s="598" t="str">
        <f t="shared" si="869"/>
        <v xml:space="preserve"> </v>
      </c>
      <c r="BW444" s="598" t="str">
        <f t="shared" si="869"/>
        <v xml:space="preserve"> </v>
      </c>
      <c r="BX444" s="598" t="str">
        <f t="shared" si="869"/>
        <v xml:space="preserve"> </v>
      </c>
      <c r="BY444" s="598" t="str">
        <f t="shared" si="869"/>
        <v xml:space="preserve"> </v>
      </c>
      <c r="BZ444" s="598" t="str">
        <f t="shared" si="870"/>
        <v xml:space="preserve"> </v>
      </c>
      <c r="CA444" s="598" t="str">
        <f t="shared" si="870"/>
        <v xml:space="preserve"> </v>
      </c>
      <c r="CB444" s="598" t="str">
        <f t="shared" si="870"/>
        <v xml:space="preserve"> </v>
      </c>
      <c r="CC444" s="598" t="str">
        <f t="shared" si="870"/>
        <v xml:space="preserve"> </v>
      </c>
      <c r="CD444" s="598" t="str">
        <f t="shared" si="870"/>
        <v xml:space="preserve"> </v>
      </c>
      <c r="CE444" s="598" t="str">
        <f t="shared" si="870"/>
        <v xml:space="preserve"> </v>
      </c>
      <c r="CF444" s="598" t="str">
        <f t="shared" si="870"/>
        <v xml:space="preserve"> </v>
      </c>
      <c r="CG444" s="598" t="str">
        <f t="shared" si="870"/>
        <v xml:space="preserve"> </v>
      </c>
      <c r="CH444" s="598" t="str">
        <f t="shared" si="870"/>
        <v xml:space="preserve"> </v>
      </c>
      <c r="CI444" s="598" t="str">
        <f t="shared" si="870"/>
        <v xml:space="preserve"> </v>
      </c>
      <c r="CJ444" s="598" t="str">
        <f t="shared" si="870"/>
        <v xml:space="preserve"> </v>
      </c>
      <c r="CK444" s="598" t="str">
        <f t="shared" si="870"/>
        <v xml:space="preserve"> </v>
      </c>
      <c r="CL444" s="598" t="str">
        <f t="shared" si="870"/>
        <v xml:space="preserve"> </v>
      </c>
      <c r="CM444" s="598" t="str">
        <f t="shared" si="870"/>
        <v xml:space="preserve"> </v>
      </c>
      <c r="CN444" s="598" t="str">
        <f t="shared" si="870"/>
        <v xml:space="preserve"> </v>
      </c>
    </row>
    <row r="445" spans="1:92">
      <c r="A445" s="598">
        <v>68</v>
      </c>
      <c r="B445" s="598" t="str">
        <f t="shared" si="863"/>
        <v xml:space="preserve"> </v>
      </c>
      <c r="C445" s="598" t="str">
        <f t="shared" si="863"/>
        <v xml:space="preserve"> </v>
      </c>
      <c r="D445" s="598" t="str">
        <f t="shared" si="863"/>
        <v xml:space="preserve"> </v>
      </c>
      <c r="E445" s="598" t="str">
        <f t="shared" si="863"/>
        <v xml:space="preserve"> </v>
      </c>
      <c r="F445" s="598" t="str">
        <f t="shared" si="863"/>
        <v xml:space="preserve"> </v>
      </c>
      <c r="G445" s="598" t="str">
        <f t="shared" si="863"/>
        <v xml:space="preserve"> </v>
      </c>
      <c r="H445" s="598" t="str">
        <f t="shared" si="863"/>
        <v xml:space="preserve"> </v>
      </c>
      <c r="I445" s="598" t="str">
        <f t="shared" si="863"/>
        <v xml:space="preserve"> </v>
      </c>
      <c r="J445" s="598" t="str">
        <f t="shared" si="863"/>
        <v xml:space="preserve"> </v>
      </c>
      <c r="K445" s="598" t="str">
        <f t="shared" si="863"/>
        <v xml:space="preserve"> </v>
      </c>
      <c r="L445" s="598" t="str">
        <f t="shared" si="864"/>
        <v xml:space="preserve"> </v>
      </c>
      <c r="M445" s="598" t="str">
        <f t="shared" si="864"/>
        <v xml:space="preserve"> </v>
      </c>
      <c r="N445" s="598" t="str">
        <f t="shared" si="864"/>
        <v xml:space="preserve"> </v>
      </c>
      <c r="O445" s="598" t="str">
        <f t="shared" si="864"/>
        <v xml:space="preserve"> </v>
      </c>
      <c r="P445" s="598" t="str">
        <f t="shared" si="864"/>
        <v xml:space="preserve"> </v>
      </c>
      <c r="Q445" s="598" t="str">
        <f t="shared" si="864"/>
        <v xml:space="preserve"> </v>
      </c>
      <c r="R445" s="598" t="str">
        <f t="shared" si="864"/>
        <v xml:space="preserve"> </v>
      </c>
      <c r="S445" s="598" t="str">
        <f t="shared" si="864"/>
        <v xml:space="preserve"> </v>
      </c>
      <c r="T445" s="598" t="str">
        <f t="shared" si="864"/>
        <v xml:space="preserve"> </v>
      </c>
      <c r="U445" s="598" t="str">
        <f t="shared" si="864"/>
        <v xml:space="preserve"> </v>
      </c>
      <c r="V445" s="598" t="str">
        <f t="shared" si="865"/>
        <v xml:space="preserve"> </v>
      </c>
      <c r="W445" s="598" t="str">
        <f t="shared" si="865"/>
        <v xml:space="preserve"> </v>
      </c>
      <c r="X445" s="598" t="str">
        <f t="shared" si="865"/>
        <v xml:space="preserve"> </v>
      </c>
      <c r="Y445" s="598" t="str">
        <f t="shared" si="865"/>
        <v xml:space="preserve"> </v>
      </c>
      <c r="Z445" s="598" t="str">
        <f t="shared" si="865"/>
        <v xml:space="preserve"> </v>
      </c>
      <c r="AA445" s="598" t="str">
        <f t="shared" si="865"/>
        <v xml:space="preserve"> </v>
      </c>
      <c r="AB445" s="598" t="str">
        <f t="shared" si="865"/>
        <v xml:space="preserve"> </v>
      </c>
      <c r="AC445" s="598" t="str">
        <f t="shared" si="865"/>
        <v xml:space="preserve"> </v>
      </c>
      <c r="AD445" s="598" t="str">
        <f t="shared" si="865"/>
        <v xml:space="preserve"> </v>
      </c>
      <c r="AE445" s="598" t="str">
        <f t="shared" si="865"/>
        <v xml:space="preserve"> </v>
      </c>
      <c r="AF445" s="598" t="str">
        <f t="shared" si="866"/>
        <v xml:space="preserve"> </v>
      </c>
      <c r="AG445" s="598" t="str">
        <f t="shared" si="866"/>
        <v xml:space="preserve"> </v>
      </c>
      <c r="AH445" s="598" t="str">
        <f t="shared" si="866"/>
        <v xml:space="preserve"> </v>
      </c>
      <c r="AI445" s="598" t="str">
        <f t="shared" si="866"/>
        <v xml:space="preserve"> </v>
      </c>
      <c r="AJ445" s="598" t="str">
        <f t="shared" si="866"/>
        <v xml:space="preserve"> </v>
      </c>
      <c r="AK445" s="598" t="str">
        <f t="shared" si="866"/>
        <v xml:space="preserve"> </v>
      </c>
      <c r="AL445" s="598" t="str">
        <f t="shared" si="866"/>
        <v xml:space="preserve"> </v>
      </c>
      <c r="AM445" s="598" t="str">
        <f t="shared" si="866"/>
        <v xml:space="preserve"> </v>
      </c>
      <c r="AN445" s="598" t="str">
        <f t="shared" si="866"/>
        <v xml:space="preserve"> </v>
      </c>
      <c r="AO445" s="598" t="str">
        <f t="shared" si="866"/>
        <v xml:space="preserve"> </v>
      </c>
      <c r="AP445" s="598" t="str">
        <f t="shared" si="866"/>
        <v xml:space="preserve"> </v>
      </c>
      <c r="AQ445" s="598" t="str">
        <f t="shared" si="866"/>
        <v xml:space="preserve"> </v>
      </c>
      <c r="AR445" s="598" t="str">
        <f t="shared" si="866"/>
        <v xml:space="preserve"> </v>
      </c>
      <c r="AS445" s="598" t="str">
        <f t="shared" si="866"/>
        <v xml:space="preserve"> </v>
      </c>
      <c r="AT445" s="598" t="str">
        <f t="shared" si="866"/>
        <v xml:space="preserve"> </v>
      </c>
      <c r="AV445" s="598" t="str">
        <f t="shared" si="867"/>
        <v xml:space="preserve"> </v>
      </c>
      <c r="AW445" s="598" t="str">
        <f t="shared" si="867"/>
        <v xml:space="preserve"> </v>
      </c>
      <c r="AX445" s="598" t="str">
        <f t="shared" si="867"/>
        <v xml:space="preserve"> </v>
      </c>
      <c r="AY445" s="598" t="str">
        <f t="shared" si="867"/>
        <v xml:space="preserve"> </v>
      </c>
      <c r="AZ445" s="598" t="str">
        <f t="shared" si="867"/>
        <v xml:space="preserve"> </v>
      </c>
      <c r="BA445" s="598" t="str">
        <f t="shared" si="867"/>
        <v xml:space="preserve"> </v>
      </c>
      <c r="BB445" s="598" t="str">
        <f t="shared" si="867"/>
        <v xml:space="preserve"> </v>
      </c>
      <c r="BC445" s="598" t="str">
        <f t="shared" si="867"/>
        <v xml:space="preserve"> </v>
      </c>
      <c r="BD445" s="598" t="str">
        <f t="shared" si="867"/>
        <v xml:space="preserve"> </v>
      </c>
      <c r="BE445" s="598" t="str">
        <f t="shared" si="867"/>
        <v xml:space="preserve"> </v>
      </c>
      <c r="BF445" s="598" t="str">
        <f t="shared" si="868"/>
        <v xml:space="preserve"> </v>
      </c>
      <c r="BG445" s="598" t="str">
        <f t="shared" si="868"/>
        <v xml:space="preserve"> </v>
      </c>
      <c r="BH445" s="598" t="str">
        <f t="shared" si="868"/>
        <v xml:space="preserve"> </v>
      </c>
      <c r="BI445" s="598" t="str">
        <f t="shared" si="868"/>
        <v xml:space="preserve"> </v>
      </c>
      <c r="BJ445" s="598" t="str">
        <f t="shared" si="868"/>
        <v xml:space="preserve"> </v>
      </c>
      <c r="BK445" s="598" t="str">
        <f t="shared" si="868"/>
        <v xml:space="preserve"> </v>
      </c>
      <c r="BL445" s="598" t="str">
        <f t="shared" si="868"/>
        <v xml:space="preserve"> </v>
      </c>
      <c r="BM445" s="598" t="str">
        <f t="shared" si="868"/>
        <v xml:space="preserve"> </v>
      </c>
      <c r="BN445" s="598" t="str">
        <f t="shared" si="868"/>
        <v xml:space="preserve"> </v>
      </c>
      <c r="BO445" s="598" t="str">
        <f t="shared" si="868"/>
        <v xml:space="preserve"> </v>
      </c>
      <c r="BP445" s="598" t="str">
        <f t="shared" si="869"/>
        <v xml:space="preserve"> </v>
      </c>
      <c r="BQ445" s="598" t="str">
        <f t="shared" si="869"/>
        <v xml:space="preserve"> </v>
      </c>
      <c r="BR445" s="598" t="str">
        <f t="shared" si="869"/>
        <v xml:space="preserve"> </v>
      </c>
      <c r="BS445" s="598" t="str">
        <f t="shared" si="869"/>
        <v xml:space="preserve"> </v>
      </c>
      <c r="BT445" s="598" t="str">
        <f t="shared" si="869"/>
        <v xml:space="preserve"> </v>
      </c>
      <c r="BU445" s="598" t="str">
        <f t="shared" si="869"/>
        <v xml:space="preserve"> </v>
      </c>
      <c r="BV445" s="598" t="str">
        <f t="shared" si="869"/>
        <v xml:space="preserve"> </v>
      </c>
      <c r="BW445" s="598" t="str">
        <f t="shared" si="869"/>
        <v xml:space="preserve"> </v>
      </c>
      <c r="BX445" s="598" t="str">
        <f t="shared" si="869"/>
        <v xml:space="preserve"> </v>
      </c>
      <c r="BY445" s="598" t="str">
        <f t="shared" si="869"/>
        <v xml:space="preserve"> </v>
      </c>
      <c r="BZ445" s="598" t="str">
        <f t="shared" si="870"/>
        <v xml:space="preserve"> </v>
      </c>
      <c r="CA445" s="598" t="str">
        <f t="shared" si="870"/>
        <v xml:space="preserve"> </v>
      </c>
      <c r="CB445" s="598" t="str">
        <f t="shared" si="870"/>
        <v xml:space="preserve"> </v>
      </c>
      <c r="CC445" s="598" t="str">
        <f t="shared" si="870"/>
        <v xml:space="preserve"> </v>
      </c>
      <c r="CD445" s="598" t="str">
        <f t="shared" si="870"/>
        <v xml:space="preserve"> </v>
      </c>
      <c r="CE445" s="598" t="str">
        <f t="shared" si="870"/>
        <v xml:space="preserve"> </v>
      </c>
      <c r="CF445" s="598" t="str">
        <f t="shared" si="870"/>
        <v xml:space="preserve"> </v>
      </c>
      <c r="CG445" s="598" t="str">
        <f t="shared" si="870"/>
        <v xml:space="preserve"> </v>
      </c>
      <c r="CH445" s="598" t="str">
        <f t="shared" si="870"/>
        <v xml:space="preserve"> </v>
      </c>
      <c r="CI445" s="598" t="str">
        <f t="shared" si="870"/>
        <v xml:space="preserve"> </v>
      </c>
      <c r="CJ445" s="598" t="str">
        <f t="shared" si="870"/>
        <v xml:space="preserve"> </v>
      </c>
      <c r="CK445" s="598" t="str">
        <f t="shared" si="870"/>
        <v xml:space="preserve"> </v>
      </c>
      <c r="CL445" s="598" t="str">
        <f t="shared" si="870"/>
        <v xml:space="preserve"> </v>
      </c>
      <c r="CM445" s="598" t="str">
        <f t="shared" si="870"/>
        <v xml:space="preserve"> </v>
      </c>
      <c r="CN445" s="598" t="str">
        <f t="shared" si="870"/>
        <v xml:space="preserve"> </v>
      </c>
    </row>
    <row r="446" spans="1:92">
      <c r="A446" s="598">
        <v>69</v>
      </c>
      <c r="B446" s="598" t="str">
        <f t="shared" si="863"/>
        <v xml:space="preserve"> </v>
      </c>
      <c r="C446" s="598" t="str">
        <f t="shared" si="863"/>
        <v xml:space="preserve"> </v>
      </c>
      <c r="D446" s="598" t="str">
        <f t="shared" si="863"/>
        <v xml:space="preserve"> </v>
      </c>
      <c r="E446" s="598" t="str">
        <f t="shared" si="863"/>
        <v xml:space="preserve"> </v>
      </c>
      <c r="F446" s="598" t="str">
        <f t="shared" si="863"/>
        <v xml:space="preserve"> </v>
      </c>
      <c r="G446" s="598" t="str">
        <f t="shared" si="863"/>
        <v xml:space="preserve"> </v>
      </c>
      <c r="H446" s="598" t="str">
        <f t="shared" si="863"/>
        <v xml:space="preserve"> </v>
      </c>
      <c r="I446" s="598" t="str">
        <f t="shared" si="863"/>
        <v xml:space="preserve"> </v>
      </c>
      <c r="J446" s="598" t="str">
        <f t="shared" si="863"/>
        <v xml:space="preserve"> </v>
      </c>
      <c r="K446" s="598" t="str">
        <f t="shared" si="863"/>
        <v xml:space="preserve"> </v>
      </c>
      <c r="L446" s="598" t="str">
        <f t="shared" si="864"/>
        <v xml:space="preserve"> </v>
      </c>
      <c r="M446" s="598" t="str">
        <f t="shared" si="864"/>
        <v xml:space="preserve"> </v>
      </c>
      <c r="N446" s="598" t="str">
        <f t="shared" si="864"/>
        <v xml:space="preserve"> </v>
      </c>
      <c r="O446" s="598" t="str">
        <f t="shared" si="864"/>
        <v xml:space="preserve"> </v>
      </c>
      <c r="P446" s="598" t="str">
        <f t="shared" si="864"/>
        <v xml:space="preserve"> </v>
      </c>
      <c r="Q446" s="598" t="str">
        <f t="shared" si="864"/>
        <v xml:space="preserve"> </v>
      </c>
      <c r="R446" s="598" t="str">
        <f t="shared" si="864"/>
        <v xml:space="preserve"> </v>
      </c>
      <c r="S446" s="598" t="str">
        <f t="shared" si="864"/>
        <v xml:space="preserve"> </v>
      </c>
      <c r="T446" s="598" t="str">
        <f t="shared" si="864"/>
        <v xml:space="preserve"> </v>
      </c>
      <c r="U446" s="598" t="str">
        <f t="shared" si="864"/>
        <v xml:space="preserve"> </v>
      </c>
      <c r="V446" s="598" t="str">
        <f t="shared" si="865"/>
        <v xml:space="preserve"> </v>
      </c>
      <c r="W446" s="598" t="str">
        <f t="shared" si="865"/>
        <v xml:space="preserve"> </v>
      </c>
      <c r="X446" s="598" t="str">
        <f t="shared" si="865"/>
        <v xml:space="preserve"> </v>
      </c>
      <c r="Y446" s="598" t="str">
        <f t="shared" si="865"/>
        <v xml:space="preserve"> </v>
      </c>
      <c r="Z446" s="598" t="str">
        <f t="shared" si="865"/>
        <v xml:space="preserve"> </v>
      </c>
      <c r="AA446" s="598" t="str">
        <f t="shared" si="865"/>
        <v xml:space="preserve"> </v>
      </c>
      <c r="AB446" s="598" t="str">
        <f t="shared" si="865"/>
        <v xml:space="preserve"> </v>
      </c>
      <c r="AC446" s="598" t="str">
        <f t="shared" si="865"/>
        <v xml:space="preserve"> </v>
      </c>
      <c r="AD446" s="598" t="str">
        <f t="shared" si="865"/>
        <v xml:space="preserve"> </v>
      </c>
      <c r="AE446" s="598" t="str">
        <f t="shared" si="865"/>
        <v xml:space="preserve"> </v>
      </c>
      <c r="AF446" s="598" t="str">
        <f t="shared" si="866"/>
        <v xml:space="preserve"> </v>
      </c>
      <c r="AG446" s="598" t="str">
        <f t="shared" si="866"/>
        <v xml:space="preserve"> </v>
      </c>
      <c r="AH446" s="598" t="str">
        <f t="shared" si="866"/>
        <v xml:space="preserve"> </v>
      </c>
      <c r="AI446" s="598" t="str">
        <f t="shared" si="866"/>
        <v xml:space="preserve"> </v>
      </c>
      <c r="AJ446" s="598" t="str">
        <f t="shared" si="866"/>
        <v xml:space="preserve"> </v>
      </c>
      <c r="AK446" s="598" t="str">
        <f t="shared" si="866"/>
        <v xml:space="preserve"> </v>
      </c>
      <c r="AL446" s="598" t="str">
        <f t="shared" si="866"/>
        <v xml:space="preserve"> </v>
      </c>
      <c r="AM446" s="598" t="str">
        <f t="shared" si="866"/>
        <v xml:space="preserve"> </v>
      </c>
      <c r="AN446" s="598" t="str">
        <f t="shared" si="866"/>
        <v xml:space="preserve"> </v>
      </c>
      <c r="AO446" s="598" t="str">
        <f t="shared" si="866"/>
        <v xml:space="preserve"> </v>
      </c>
      <c r="AP446" s="598" t="str">
        <f t="shared" si="866"/>
        <v xml:space="preserve"> </v>
      </c>
      <c r="AQ446" s="598" t="str">
        <f t="shared" si="866"/>
        <v xml:space="preserve"> </v>
      </c>
      <c r="AR446" s="598" t="str">
        <f t="shared" si="866"/>
        <v xml:space="preserve"> </v>
      </c>
      <c r="AS446" s="598" t="str">
        <f t="shared" si="866"/>
        <v xml:space="preserve"> </v>
      </c>
      <c r="AT446" s="598" t="str">
        <f t="shared" si="866"/>
        <v xml:space="preserve"> </v>
      </c>
      <c r="AV446" s="598" t="str">
        <f t="shared" si="867"/>
        <v xml:space="preserve"> </v>
      </c>
      <c r="AW446" s="598" t="str">
        <f t="shared" si="867"/>
        <v xml:space="preserve"> </v>
      </c>
      <c r="AX446" s="598" t="str">
        <f t="shared" si="867"/>
        <v xml:space="preserve"> </v>
      </c>
      <c r="AY446" s="598" t="str">
        <f t="shared" si="867"/>
        <v xml:space="preserve"> </v>
      </c>
      <c r="AZ446" s="598" t="str">
        <f t="shared" si="867"/>
        <v xml:space="preserve"> </v>
      </c>
      <c r="BA446" s="598" t="str">
        <f t="shared" si="867"/>
        <v xml:space="preserve"> </v>
      </c>
      <c r="BB446" s="598" t="str">
        <f t="shared" si="867"/>
        <v xml:space="preserve"> </v>
      </c>
      <c r="BC446" s="598" t="str">
        <f t="shared" si="867"/>
        <v xml:space="preserve"> </v>
      </c>
      <c r="BD446" s="598" t="str">
        <f t="shared" si="867"/>
        <v xml:space="preserve"> </v>
      </c>
      <c r="BE446" s="598" t="str">
        <f t="shared" si="867"/>
        <v xml:space="preserve"> </v>
      </c>
      <c r="BF446" s="598" t="str">
        <f t="shared" si="868"/>
        <v xml:space="preserve"> </v>
      </c>
      <c r="BG446" s="598" t="str">
        <f t="shared" si="868"/>
        <v xml:space="preserve"> </v>
      </c>
      <c r="BH446" s="598" t="str">
        <f t="shared" si="868"/>
        <v xml:space="preserve"> </v>
      </c>
      <c r="BI446" s="598" t="str">
        <f t="shared" si="868"/>
        <v xml:space="preserve"> </v>
      </c>
      <c r="BJ446" s="598" t="str">
        <f t="shared" si="868"/>
        <v xml:space="preserve"> </v>
      </c>
      <c r="BK446" s="598" t="str">
        <f t="shared" si="868"/>
        <v xml:space="preserve"> </v>
      </c>
      <c r="BL446" s="598" t="str">
        <f t="shared" si="868"/>
        <v xml:space="preserve"> </v>
      </c>
      <c r="BM446" s="598" t="str">
        <f t="shared" si="868"/>
        <v xml:space="preserve"> </v>
      </c>
      <c r="BN446" s="598" t="str">
        <f t="shared" si="868"/>
        <v xml:space="preserve"> </v>
      </c>
      <c r="BO446" s="598" t="str">
        <f t="shared" si="868"/>
        <v xml:space="preserve"> </v>
      </c>
      <c r="BP446" s="598" t="str">
        <f t="shared" si="869"/>
        <v xml:space="preserve"> </v>
      </c>
      <c r="BQ446" s="598" t="str">
        <f t="shared" si="869"/>
        <v xml:space="preserve"> </v>
      </c>
      <c r="BR446" s="598" t="str">
        <f t="shared" si="869"/>
        <v xml:space="preserve"> </v>
      </c>
      <c r="BS446" s="598" t="str">
        <f t="shared" si="869"/>
        <v xml:space="preserve"> </v>
      </c>
      <c r="BT446" s="598" t="str">
        <f t="shared" si="869"/>
        <v xml:space="preserve"> </v>
      </c>
      <c r="BU446" s="598" t="str">
        <f t="shared" si="869"/>
        <v xml:space="preserve"> </v>
      </c>
      <c r="BV446" s="598" t="str">
        <f t="shared" si="869"/>
        <v xml:space="preserve"> </v>
      </c>
      <c r="BW446" s="598" t="str">
        <f t="shared" si="869"/>
        <v xml:space="preserve"> </v>
      </c>
      <c r="BX446" s="598" t="str">
        <f t="shared" si="869"/>
        <v xml:space="preserve"> </v>
      </c>
      <c r="BY446" s="598" t="str">
        <f t="shared" si="869"/>
        <v xml:space="preserve"> </v>
      </c>
      <c r="BZ446" s="598" t="str">
        <f t="shared" si="870"/>
        <v xml:space="preserve"> </v>
      </c>
      <c r="CA446" s="598" t="str">
        <f t="shared" si="870"/>
        <v xml:space="preserve"> </v>
      </c>
      <c r="CB446" s="598" t="str">
        <f t="shared" si="870"/>
        <v xml:space="preserve"> </v>
      </c>
      <c r="CC446" s="598" t="str">
        <f t="shared" si="870"/>
        <v xml:space="preserve"> </v>
      </c>
      <c r="CD446" s="598" t="str">
        <f t="shared" si="870"/>
        <v xml:space="preserve"> </v>
      </c>
      <c r="CE446" s="598" t="str">
        <f t="shared" si="870"/>
        <v xml:space="preserve"> </v>
      </c>
      <c r="CF446" s="598" t="str">
        <f t="shared" si="870"/>
        <v xml:space="preserve"> </v>
      </c>
      <c r="CG446" s="598" t="str">
        <f t="shared" si="870"/>
        <v xml:space="preserve"> </v>
      </c>
      <c r="CH446" s="598" t="str">
        <f t="shared" si="870"/>
        <v xml:space="preserve"> </v>
      </c>
      <c r="CI446" s="598" t="str">
        <f t="shared" si="870"/>
        <v xml:space="preserve"> </v>
      </c>
      <c r="CJ446" s="598" t="str">
        <f t="shared" si="870"/>
        <v xml:space="preserve"> </v>
      </c>
      <c r="CK446" s="598" t="str">
        <f t="shared" si="870"/>
        <v xml:space="preserve"> </v>
      </c>
      <c r="CL446" s="598" t="str">
        <f t="shared" si="870"/>
        <v xml:space="preserve"> </v>
      </c>
      <c r="CM446" s="598" t="str">
        <f t="shared" si="870"/>
        <v xml:space="preserve"> </v>
      </c>
      <c r="CN446" s="598" t="str">
        <f t="shared" si="870"/>
        <v xml:space="preserve"> </v>
      </c>
    </row>
    <row r="447" spans="1:92">
      <c r="A447" s="598">
        <v>70</v>
      </c>
      <c r="B447" s="598" t="str">
        <f t="shared" si="863"/>
        <v xml:space="preserve"> </v>
      </c>
      <c r="C447" s="598" t="str">
        <f t="shared" si="863"/>
        <v xml:space="preserve"> </v>
      </c>
      <c r="D447" s="598" t="str">
        <f t="shared" si="863"/>
        <v xml:space="preserve"> </v>
      </c>
      <c r="E447" s="598" t="str">
        <f t="shared" si="863"/>
        <v xml:space="preserve"> </v>
      </c>
      <c r="F447" s="598" t="str">
        <f t="shared" si="863"/>
        <v xml:space="preserve"> </v>
      </c>
      <c r="G447" s="598" t="str">
        <f t="shared" si="863"/>
        <v xml:space="preserve"> </v>
      </c>
      <c r="H447" s="598" t="str">
        <f t="shared" si="863"/>
        <v xml:space="preserve"> </v>
      </c>
      <c r="I447" s="598" t="str">
        <f t="shared" si="863"/>
        <v xml:space="preserve"> </v>
      </c>
      <c r="J447" s="598" t="str">
        <f t="shared" si="863"/>
        <v xml:space="preserve"> </v>
      </c>
      <c r="K447" s="598" t="str">
        <f t="shared" si="863"/>
        <v xml:space="preserve"> </v>
      </c>
      <c r="L447" s="598" t="str">
        <f t="shared" si="864"/>
        <v xml:space="preserve"> </v>
      </c>
      <c r="M447" s="598" t="str">
        <f t="shared" si="864"/>
        <v xml:space="preserve"> </v>
      </c>
      <c r="N447" s="598" t="str">
        <f t="shared" si="864"/>
        <v xml:space="preserve"> </v>
      </c>
      <c r="O447" s="598" t="str">
        <f t="shared" si="864"/>
        <v xml:space="preserve"> </v>
      </c>
      <c r="P447" s="598" t="str">
        <f t="shared" si="864"/>
        <v xml:space="preserve"> </v>
      </c>
      <c r="Q447" s="598" t="str">
        <f t="shared" si="864"/>
        <v xml:space="preserve"> </v>
      </c>
      <c r="R447" s="598" t="str">
        <f t="shared" si="864"/>
        <v xml:space="preserve"> </v>
      </c>
      <c r="S447" s="598" t="str">
        <f t="shared" si="864"/>
        <v xml:space="preserve"> </v>
      </c>
      <c r="T447" s="598" t="str">
        <f t="shared" si="864"/>
        <v xml:space="preserve"> </v>
      </c>
      <c r="U447" s="598" t="str">
        <f t="shared" si="864"/>
        <v xml:space="preserve"> </v>
      </c>
      <c r="V447" s="598" t="str">
        <f t="shared" si="865"/>
        <v xml:space="preserve"> </v>
      </c>
      <c r="W447" s="598" t="str">
        <f t="shared" si="865"/>
        <v xml:space="preserve"> </v>
      </c>
      <c r="X447" s="598" t="str">
        <f t="shared" si="865"/>
        <v xml:space="preserve"> </v>
      </c>
      <c r="Y447" s="598" t="str">
        <f t="shared" si="865"/>
        <v xml:space="preserve"> </v>
      </c>
      <c r="Z447" s="598" t="str">
        <f t="shared" si="865"/>
        <v xml:space="preserve"> </v>
      </c>
      <c r="AA447" s="598" t="str">
        <f t="shared" si="865"/>
        <v xml:space="preserve"> </v>
      </c>
      <c r="AB447" s="598" t="str">
        <f t="shared" si="865"/>
        <v xml:space="preserve"> </v>
      </c>
      <c r="AC447" s="598" t="str">
        <f t="shared" si="865"/>
        <v xml:space="preserve"> </v>
      </c>
      <c r="AD447" s="598" t="str">
        <f t="shared" si="865"/>
        <v xml:space="preserve"> </v>
      </c>
      <c r="AE447" s="598" t="str">
        <f t="shared" si="865"/>
        <v xml:space="preserve"> </v>
      </c>
      <c r="AF447" s="598" t="str">
        <f t="shared" si="866"/>
        <v xml:space="preserve"> </v>
      </c>
      <c r="AG447" s="598" t="str">
        <f t="shared" si="866"/>
        <v xml:space="preserve"> </v>
      </c>
      <c r="AH447" s="598" t="str">
        <f t="shared" si="866"/>
        <v xml:space="preserve"> </v>
      </c>
      <c r="AI447" s="598" t="str">
        <f t="shared" si="866"/>
        <v xml:space="preserve"> </v>
      </c>
      <c r="AJ447" s="598" t="str">
        <f t="shared" si="866"/>
        <v xml:space="preserve"> </v>
      </c>
      <c r="AK447" s="598" t="str">
        <f t="shared" si="866"/>
        <v xml:space="preserve"> </v>
      </c>
      <c r="AL447" s="598" t="str">
        <f t="shared" si="866"/>
        <v xml:space="preserve"> </v>
      </c>
      <c r="AM447" s="598" t="str">
        <f t="shared" si="866"/>
        <v xml:space="preserve"> </v>
      </c>
      <c r="AN447" s="598" t="str">
        <f t="shared" si="866"/>
        <v xml:space="preserve"> </v>
      </c>
      <c r="AO447" s="598" t="str">
        <f t="shared" si="866"/>
        <v xml:space="preserve"> </v>
      </c>
      <c r="AP447" s="598" t="str">
        <f t="shared" si="866"/>
        <v xml:space="preserve"> </v>
      </c>
      <c r="AQ447" s="598" t="str">
        <f t="shared" si="866"/>
        <v xml:space="preserve"> </v>
      </c>
      <c r="AR447" s="598" t="str">
        <f t="shared" si="866"/>
        <v xml:space="preserve"> </v>
      </c>
      <c r="AS447" s="598" t="str">
        <f t="shared" si="866"/>
        <v xml:space="preserve"> </v>
      </c>
      <c r="AT447" s="598" t="str">
        <f t="shared" si="866"/>
        <v xml:space="preserve"> </v>
      </c>
      <c r="AV447" s="598" t="str">
        <f t="shared" si="867"/>
        <v xml:space="preserve"> </v>
      </c>
      <c r="AW447" s="598" t="str">
        <f t="shared" si="867"/>
        <v xml:space="preserve"> </v>
      </c>
      <c r="AX447" s="598" t="str">
        <f t="shared" si="867"/>
        <v xml:space="preserve"> </v>
      </c>
      <c r="AY447" s="598" t="str">
        <f t="shared" si="867"/>
        <v xml:space="preserve"> </v>
      </c>
      <c r="AZ447" s="598" t="str">
        <f t="shared" si="867"/>
        <v xml:space="preserve"> </v>
      </c>
      <c r="BA447" s="598" t="str">
        <f t="shared" si="867"/>
        <v xml:space="preserve"> </v>
      </c>
      <c r="BB447" s="598" t="str">
        <f t="shared" si="867"/>
        <v xml:space="preserve"> </v>
      </c>
      <c r="BC447" s="598" t="str">
        <f t="shared" si="867"/>
        <v xml:space="preserve"> </v>
      </c>
      <c r="BD447" s="598" t="str">
        <f t="shared" si="867"/>
        <v xml:space="preserve"> </v>
      </c>
      <c r="BE447" s="598" t="str">
        <f t="shared" si="867"/>
        <v xml:space="preserve"> </v>
      </c>
      <c r="BF447" s="598" t="str">
        <f t="shared" si="868"/>
        <v xml:space="preserve"> </v>
      </c>
      <c r="BG447" s="598" t="str">
        <f t="shared" si="868"/>
        <v xml:space="preserve"> </v>
      </c>
      <c r="BH447" s="598" t="str">
        <f t="shared" si="868"/>
        <v xml:space="preserve"> </v>
      </c>
      <c r="BI447" s="598" t="str">
        <f t="shared" si="868"/>
        <v xml:space="preserve"> </v>
      </c>
      <c r="BJ447" s="598" t="str">
        <f t="shared" si="868"/>
        <v xml:space="preserve"> </v>
      </c>
      <c r="BK447" s="598" t="str">
        <f t="shared" si="868"/>
        <v xml:space="preserve"> </v>
      </c>
      <c r="BL447" s="598" t="str">
        <f t="shared" si="868"/>
        <v xml:space="preserve"> </v>
      </c>
      <c r="BM447" s="598" t="str">
        <f t="shared" si="868"/>
        <v xml:space="preserve"> </v>
      </c>
      <c r="BN447" s="598" t="str">
        <f t="shared" si="868"/>
        <v xml:space="preserve"> </v>
      </c>
      <c r="BO447" s="598" t="str">
        <f t="shared" si="868"/>
        <v xml:space="preserve"> </v>
      </c>
      <c r="BP447" s="598" t="str">
        <f t="shared" si="869"/>
        <v xml:space="preserve"> </v>
      </c>
      <c r="BQ447" s="598" t="str">
        <f t="shared" si="869"/>
        <v xml:space="preserve"> </v>
      </c>
      <c r="BR447" s="598" t="str">
        <f t="shared" si="869"/>
        <v xml:space="preserve"> </v>
      </c>
      <c r="BS447" s="598" t="str">
        <f t="shared" si="869"/>
        <v xml:space="preserve"> </v>
      </c>
      <c r="BT447" s="598" t="str">
        <f t="shared" si="869"/>
        <v xml:space="preserve"> </v>
      </c>
      <c r="BU447" s="598" t="str">
        <f t="shared" si="869"/>
        <v xml:space="preserve"> </v>
      </c>
      <c r="BV447" s="598" t="str">
        <f t="shared" si="869"/>
        <v xml:space="preserve"> </v>
      </c>
      <c r="BW447" s="598" t="str">
        <f t="shared" si="869"/>
        <v xml:space="preserve"> </v>
      </c>
      <c r="BX447" s="598" t="str">
        <f t="shared" si="869"/>
        <v xml:space="preserve"> </v>
      </c>
      <c r="BY447" s="598" t="str">
        <f t="shared" si="869"/>
        <v xml:space="preserve"> </v>
      </c>
      <c r="BZ447" s="598" t="str">
        <f t="shared" si="870"/>
        <v xml:space="preserve"> </v>
      </c>
      <c r="CA447" s="598" t="str">
        <f t="shared" si="870"/>
        <v xml:space="preserve"> </v>
      </c>
      <c r="CB447" s="598" t="str">
        <f t="shared" si="870"/>
        <v xml:space="preserve"> </v>
      </c>
      <c r="CC447" s="598" t="str">
        <f t="shared" si="870"/>
        <v xml:space="preserve"> </v>
      </c>
      <c r="CD447" s="598" t="str">
        <f t="shared" si="870"/>
        <v xml:space="preserve"> </v>
      </c>
      <c r="CE447" s="598" t="str">
        <f t="shared" si="870"/>
        <v xml:space="preserve"> </v>
      </c>
      <c r="CF447" s="598" t="str">
        <f t="shared" si="870"/>
        <v xml:space="preserve"> </v>
      </c>
      <c r="CG447" s="598" t="str">
        <f t="shared" si="870"/>
        <v xml:space="preserve"> </v>
      </c>
      <c r="CH447" s="598" t="str">
        <f t="shared" si="870"/>
        <v xml:space="preserve"> </v>
      </c>
      <c r="CI447" s="598" t="str">
        <f t="shared" si="870"/>
        <v xml:space="preserve"> </v>
      </c>
      <c r="CJ447" s="598" t="str">
        <f t="shared" si="870"/>
        <v xml:space="preserve"> </v>
      </c>
      <c r="CK447" s="598" t="str">
        <f t="shared" si="870"/>
        <v xml:space="preserve"> </v>
      </c>
      <c r="CL447" s="598" t="str">
        <f t="shared" si="870"/>
        <v xml:space="preserve"> </v>
      </c>
      <c r="CM447" s="598" t="str">
        <f t="shared" si="870"/>
        <v xml:space="preserve"> </v>
      </c>
      <c r="CN447" s="598" t="str">
        <f t="shared" si="870"/>
        <v xml:space="preserve"> </v>
      </c>
    </row>
    <row r="448" spans="1:92">
      <c r="A448" s="598">
        <v>71</v>
      </c>
      <c r="B448" s="598" t="str">
        <f t="shared" si="863"/>
        <v xml:space="preserve"> </v>
      </c>
      <c r="C448" s="598" t="str">
        <f t="shared" si="863"/>
        <v xml:space="preserve"> </v>
      </c>
      <c r="D448" s="598" t="str">
        <f t="shared" si="863"/>
        <v xml:space="preserve"> </v>
      </c>
      <c r="E448" s="598" t="str">
        <f t="shared" si="863"/>
        <v xml:space="preserve"> </v>
      </c>
      <c r="F448" s="598" t="str">
        <f t="shared" si="863"/>
        <v xml:space="preserve"> </v>
      </c>
      <c r="G448" s="598" t="str">
        <f t="shared" si="863"/>
        <v xml:space="preserve"> </v>
      </c>
      <c r="H448" s="598" t="str">
        <f t="shared" si="863"/>
        <v xml:space="preserve"> </v>
      </c>
      <c r="I448" s="598" t="str">
        <f t="shared" si="863"/>
        <v xml:space="preserve"> </v>
      </c>
      <c r="J448" s="598" t="str">
        <f t="shared" si="863"/>
        <v xml:space="preserve"> </v>
      </c>
      <c r="K448" s="598" t="str">
        <f t="shared" si="863"/>
        <v xml:space="preserve"> </v>
      </c>
      <c r="L448" s="598" t="str">
        <f t="shared" si="864"/>
        <v xml:space="preserve"> </v>
      </c>
      <c r="M448" s="598" t="str">
        <f t="shared" si="864"/>
        <v xml:space="preserve"> </v>
      </c>
      <c r="N448" s="598" t="str">
        <f t="shared" si="864"/>
        <v xml:space="preserve"> </v>
      </c>
      <c r="O448" s="598" t="str">
        <f t="shared" si="864"/>
        <v xml:space="preserve"> </v>
      </c>
      <c r="P448" s="598" t="str">
        <f t="shared" si="864"/>
        <v xml:space="preserve"> </v>
      </c>
      <c r="Q448" s="598" t="str">
        <f t="shared" si="864"/>
        <v xml:space="preserve"> </v>
      </c>
      <c r="R448" s="598" t="str">
        <f t="shared" si="864"/>
        <v xml:space="preserve"> </v>
      </c>
      <c r="S448" s="598" t="str">
        <f t="shared" si="864"/>
        <v xml:space="preserve"> </v>
      </c>
      <c r="T448" s="598" t="str">
        <f t="shared" si="864"/>
        <v xml:space="preserve"> </v>
      </c>
      <c r="U448" s="598" t="str">
        <f t="shared" si="864"/>
        <v xml:space="preserve"> </v>
      </c>
      <c r="V448" s="598" t="str">
        <f t="shared" si="865"/>
        <v xml:space="preserve"> </v>
      </c>
      <c r="W448" s="598" t="str">
        <f t="shared" si="865"/>
        <v xml:space="preserve"> </v>
      </c>
      <c r="X448" s="598" t="str">
        <f t="shared" si="865"/>
        <v xml:space="preserve"> </v>
      </c>
      <c r="Y448" s="598" t="str">
        <f t="shared" si="865"/>
        <v xml:space="preserve"> </v>
      </c>
      <c r="Z448" s="598" t="str">
        <f t="shared" si="865"/>
        <v xml:space="preserve"> </v>
      </c>
      <c r="AA448" s="598" t="str">
        <f t="shared" si="865"/>
        <v xml:space="preserve"> </v>
      </c>
      <c r="AB448" s="598" t="str">
        <f t="shared" si="865"/>
        <v xml:space="preserve"> </v>
      </c>
      <c r="AC448" s="598" t="str">
        <f t="shared" si="865"/>
        <v xml:space="preserve"> </v>
      </c>
      <c r="AD448" s="598" t="str">
        <f t="shared" si="865"/>
        <v xml:space="preserve"> </v>
      </c>
      <c r="AE448" s="598" t="str">
        <f t="shared" si="865"/>
        <v xml:space="preserve"> </v>
      </c>
      <c r="AF448" s="598" t="str">
        <f t="shared" si="866"/>
        <v xml:space="preserve"> </v>
      </c>
      <c r="AG448" s="598" t="str">
        <f t="shared" si="866"/>
        <v xml:space="preserve"> </v>
      </c>
      <c r="AH448" s="598" t="str">
        <f t="shared" si="866"/>
        <v xml:space="preserve"> </v>
      </c>
      <c r="AI448" s="598" t="str">
        <f t="shared" si="866"/>
        <v xml:space="preserve"> </v>
      </c>
      <c r="AJ448" s="598" t="str">
        <f t="shared" si="866"/>
        <v xml:space="preserve"> </v>
      </c>
      <c r="AK448" s="598" t="str">
        <f t="shared" si="866"/>
        <v xml:space="preserve"> </v>
      </c>
      <c r="AL448" s="598" t="str">
        <f t="shared" si="866"/>
        <v xml:space="preserve"> </v>
      </c>
      <c r="AM448" s="598" t="str">
        <f t="shared" si="866"/>
        <v xml:space="preserve"> </v>
      </c>
      <c r="AN448" s="598" t="str">
        <f t="shared" si="866"/>
        <v xml:space="preserve"> </v>
      </c>
      <c r="AO448" s="598" t="str">
        <f t="shared" si="866"/>
        <v xml:space="preserve"> </v>
      </c>
      <c r="AP448" s="598" t="str">
        <f t="shared" si="866"/>
        <v xml:space="preserve"> </v>
      </c>
      <c r="AQ448" s="598" t="str">
        <f t="shared" si="866"/>
        <v xml:space="preserve"> </v>
      </c>
      <c r="AR448" s="598" t="str">
        <f t="shared" si="866"/>
        <v xml:space="preserve"> </v>
      </c>
      <c r="AS448" s="598" t="str">
        <f t="shared" si="866"/>
        <v xml:space="preserve"> </v>
      </c>
      <c r="AT448" s="598" t="str">
        <f t="shared" si="866"/>
        <v xml:space="preserve"> </v>
      </c>
      <c r="AV448" s="598" t="str">
        <f t="shared" si="867"/>
        <v xml:space="preserve"> </v>
      </c>
      <c r="AW448" s="598" t="str">
        <f t="shared" si="867"/>
        <v xml:space="preserve"> </v>
      </c>
      <c r="AX448" s="598" t="str">
        <f t="shared" si="867"/>
        <v xml:space="preserve"> </v>
      </c>
      <c r="AY448" s="598" t="str">
        <f t="shared" si="867"/>
        <v xml:space="preserve"> </v>
      </c>
      <c r="AZ448" s="598" t="str">
        <f t="shared" si="867"/>
        <v xml:space="preserve"> </v>
      </c>
      <c r="BA448" s="598" t="str">
        <f t="shared" si="867"/>
        <v xml:space="preserve"> </v>
      </c>
      <c r="BB448" s="598" t="str">
        <f t="shared" si="867"/>
        <v xml:space="preserve"> </v>
      </c>
      <c r="BC448" s="598" t="str">
        <f t="shared" si="867"/>
        <v xml:space="preserve"> </v>
      </c>
      <c r="BD448" s="598" t="str">
        <f t="shared" si="867"/>
        <v xml:space="preserve"> </v>
      </c>
      <c r="BE448" s="598" t="str">
        <f t="shared" si="867"/>
        <v xml:space="preserve"> </v>
      </c>
      <c r="BF448" s="598" t="str">
        <f t="shared" si="868"/>
        <v xml:space="preserve"> </v>
      </c>
      <c r="BG448" s="598" t="str">
        <f t="shared" si="868"/>
        <v xml:space="preserve"> </v>
      </c>
      <c r="BH448" s="598" t="str">
        <f t="shared" si="868"/>
        <v xml:space="preserve"> </v>
      </c>
      <c r="BI448" s="598" t="str">
        <f t="shared" si="868"/>
        <v xml:space="preserve"> </v>
      </c>
      <c r="BJ448" s="598" t="str">
        <f t="shared" si="868"/>
        <v xml:space="preserve"> </v>
      </c>
      <c r="BK448" s="598" t="str">
        <f t="shared" si="868"/>
        <v xml:space="preserve"> </v>
      </c>
      <c r="BL448" s="598" t="str">
        <f t="shared" si="868"/>
        <v xml:space="preserve"> </v>
      </c>
      <c r="BM448" s="598" t="str">
        <f t="shared" si="868"/>
        <v xml:space="preserve"> </v>
      </c>
      <c r="BN448" s="598" t="str">
        <f t="shared" si="868"/>
        <v xml:space="preserve"> </v>
      </c>
      <c r="BO448" s="598" t="str">
        <f t="shared" si="868"/>
        <v xml:space="preserve"> </v>
      </c>
      <c r="BP448" s="598" t="str">
        <f t="shared" si="869"/>
        <v xml:space="preserve"> </v>
      </c>
      <c r="BQ448" s="598" t="str">
        <f t="shared" si="869"/>
        <v xml:space="preserve"> </v>
      </c>
      <c r="BR448" s="598" t="str">
        <f t="shared" si="869"/>
        <v xml:space="preserve"> </v>
      </c>
      <c r="BS448" s="598" t="str">
        <f t="shared" si="869"/>
        <v xml:space="preserve"> </v>
      </c>
      <c r="BT448" s="598" t="str">
        <f t="shared" si="869"/>
        <v xml:space="preserve"> </v>
      </c>
      <c r="BU448" s="598" t="str">
        <f t="shared" si="869"/>
        <v xml:space="preserve"> </v>
      </c>
      <c r="BV448" s="598" t="str">
        <f t="shared" si="869"/>
        <v xml:space="preserve"> </v>
      </c>
      <c r="BW448" s="598" t="str">
        <f t="shared" si="869"/>
        <v xml:space="preserve"> </v>
      </c>
      <c r="BX448" s="598" t="str">
        <f t="shared" si="869"/>
        <v xml:space="preserve"> </v>
      </c>
      <c r="BY448" s="598" t="str">
        <f t="shared" si="869"/>
        <v xml:space="preserve"> </v>
      </c>
      <c r="BZ448" s="598" t="str">
        <f t="shared" si="870"/>
        <v xml:space="preserve"> </v>
      </c>
      <c r="CA448" s="598" t="str">
        <f t="shared" si="870"/>
        <v xml:space="preserve"> </v>
      </c>
      <c r="CB448" s="598" t="str">
        <f t="shared" si="870"/>
        <v xml:space="preserve"> </v>
      </c>
      <c r="CC448" s="598" t="str">
        <f t="shared" si="870"/>
        <v xml:space="preserve"> </v>
      </c>
      <c r="CD448" s="598" t="str">
        <f t="shared" si="870"/>
        <v xml:space="preserve"> </v>
      </c>
      <c r="CE448" s="598" t="str">
        <f t="shared" si="870"/>
        <v xml:space="preserve"> </v>
      </c>
      <c r="CF448" s="598" t="str">
        <f t="shared" si="870"/>
        <v xml:space="preserve"> </v>
      </c>
      <c r="CG448" s="598" t="str">
        <f t="shared" si="870"/>
        <v xml:space="preserve"> </v>
      </c>
      <c r="CH448" s="598" t="str">
        <f t="shared" si="870"/>
        <v xml:space="preserve"> </v>
      </c>
      <c r="CI448" s="598" t="str">
        <f t="shared" si="870"/>
        <v xml:space="preserve"> </v>
      </c>
      <c r="CJ448" s="598" t="str">
        <f t="shared" si="870"/>
        <v xml:space="preserve"> </v>
      </c>
      <c r="CK448" s="598" t="str">
        <f t="shared" si="870"/>
        <v xml:space="preserve"> </v>
      </c>
      <c r="CL448" s="598" t="str">
        <f t="shared" si="870"/>
        <v xml:space="preserve"> </v>
      </c>
      <c r="CM448" s="598" t="str">
        <f t="shared" si="870"/>
        <v xml:space="preserve"> </v>
      </c>
      <c r="CN448" s="598" t="str">
        <f t="shared" si="870"/>
        <v xml:space="preserve"> </v>
      </c>
    </row>
    <row r="449" spans="1:92">
      <c r="A449" s="598">
        <v>72</v>
      </c>
      <c r="B449" s="598" t="str">
        <f t="shared" ref="B449:K458" si="871">HLOOKUP(B$376,$C$255:$S$372,$A449+1)</f>
        <v xml:space="preserve"> </v>
      </c>
      <c r="C449" s="598" t="str">
        <f t="shared" si="871"/>
        <v xml:space="preserve"> </v>
      </c>
      <c r="D449" s="598" t="str">
        <f t="shared" si="871"/>
        <v xml:space="preserve"> </v>
      </c>
      <c r="E449" s="598" t="str">
        <f t="shared" si="871"/>
        <v xml:space="preserve"> </v>
      </c>
      <c r="F449" s="598" t="str">
        <f t="shared" si="871"/>
        <v xml:space="preserve"> </v>
      </c>
      <c r="G449" s="598" t="str">
        <f t="shared" si="871"/>
        <v xml:space="preserve"> </v>
      </c>
      <c r="H449" s="598" t="str">
        <f t="shared" si="871"/>
        <v xml:space="preserve"> </v>
      </c>
      <c r="I449" s="598" t="str">
        <f t="shared" si="871"/>
        <v xml:space="preserve"> </v>
      </c>
      <c r="J449" s="598" t="str">
        <f t="shared" si="871"/>
        <v xml:space="preserve"> </v>
      </c>
      <c r="K449" s="598" t="str">
        <f t="shared" si="871"/>
        <v xml:space="preserve"> </v>
      </c>
      <c r="L449" s="598" t="str">
        <f t="shared" ref="L449:U458" si="872">HLOOKUP(L$376,$C$255:$S$372,$A449+1)</f>
        <v xml:space="preserve"> </v>
      </c>
      <c r="M449" s="598" t="str">
        <f t="shared" si="872"/>
        <v xml:space="preserve"> </v>
      </c>
      <c r="N449" s="598" t="str">
        <f t="shared" si="872"/>
        <v xml:space="preserve"> </v>
      </c>
      <c r="O449" s="598" t="str">
        <f t="shared" si="872"/>
        <v xml:space="preserve"> </v>
      </c>
      <c r="P449" s="598" t="str">
        <f t="shared" si="872"/>
        <v xml:space="preserve"> </v>
      </c>
      <c r="Q449" s="598" t="str">
        <f t="shared" si="872"/>
        <v xml:space="preserve"> </v>
      </c>
      <c r="R449" s="598" t="str">
        <f t="shared" si="872"/>
        <v xml:space="preserve"> </v>
      </c>
      <c r="S449" s="598" t="str">
        <f t="shared" si="872"/>
        <v xml:space="preserve"> </v>
      </c>
      <c r="T449" s="598" t="str">
        <f t="shared" si="872"/>
        <v xml:space="preserve"> </v>
      </c>
      <c r="U449" s="598" t="str">
        <f t="shared" si="872"/>
        <v xml:space="preserve"> </v>
      </c>
      <c r="V449" s="598" t="str">
        <f t="shared" ref="V449:AE458" si="873">HLOOKUP(V$376,$C$255:$S$372,$A449+1)</f>
        <v xml:space="preserve"> </v>
      </c>
      <c r="W449" s="598" t="str">
        <f t="shared" si="873"/>
        <v xml:space="preserve"> </v>
      </c>
      <c r="X449" s="598" t="str">
        <f t="shared" si="873"/>
        <v xml:space="preserve"> </v>
      </c>
      <c r="Y449" s="598" t="str">
        <f t="shared" si="873"/>
        <v xml:space="preserve"> </v>
      </c>
      <c r="Z449" s="598" t="str">
        <f t="shared" si="873"/>
        <v xml:space="preserve"> </v>
      </c>
      <c r="AA449" s="598" t="str">
        <f t="shared" si="873"/>
        <v xml:space="preserve"> </v>
      </c>
      <c r="AB449" s="598" t="str">
        <f t="shared" si="873"/>
        <v xml:space="preserve"> </v>
      </c>
      <c r="AC449" s="598" t="str">
        <f t="shared" si="873"/>
        <v xml:space="preserve"> </v>
      </c>
      <c r="AD449" s="598" t="str">
        <f t="shared" si="873"/>
        <v xml:space="preserve"> </v>
      </c>
      <c r="AE449" s="598" t="str">
        <f t="shared" si="873"/>
        <v xml:space="preserve"> </v>
      </c>
      <c r="AF449" s="598" t="str">
        <f t="shared" ref="AF449:AT458" si="874">HLOOKUP(AF$376,$C$255:$S$372,$A449+1)</f>
        <v xml:space="preserve"> </v>
      </c>
      <c r="AG449" s="598" t="str">
        <f t="shared" si="874"/>
        <v xml:space="preserve"> </v>
      </c>
      <c r="AH449" s="598" t="str">
        <f t="shared" si="874"/>
        <v xml:space="preserve"> </v>
      </c>
      <c r="AI449" s="598" t="str">
        <f t="shared" si="874"/>
        <v xml:space="preserve"> </v>
      </c>
      <c r="AJ449" s="598" t="str">
        <f t="shared" si="874"/>
        <v xml:space="preserve"> </v>
      </c>
      <c r="AK449" s="598" t="str">
        <f t="shared" si="874"/>
        <v xml:space="preserve"> </v>
      </c>
      <c r="AL449" s="598" t="str">
        <f t="shared" si="874"/>
        <v xml:space="preserve"> </v>
      </c>
      <c r="AM449" s="598" t="str">
        <f t="shared" si="874"/>
        <v xml:space="preserve"> </v>
      </c>
      <c r="AN449" s="598" t="str">
        <f t="shared" si="874"/>
        <v xml:space="preserve"> </v>
      </c>
      <c r="AO449" s="598" t="str">
        <f t="shared" si="874"/>
        <v xml:space="preserve"> </v>
      </c>
      <c r="AP449" s="598" t="str">
        <f t="shared" si="874"/>
        <v xml:space="preserve"> </v>
      </c>
      <c r="AQ449" s="598" t="str">
        <f t="shared" si="874"/>
        <v xml:space="preserve"> </v>
      </c>
      <c r="AR449" s="598" t="str">
        <f t="shared" si="874"/>
        <v xml:space="preserve"> </v>
      </c>
      <c r="AS449" s="598" t="str">
        <f t="shared" si="874"/>
        <v xml:space="preserve"> </v>
      </c>
      <c r="AT449" s="598" t="str">
        <f t="shared" si="874"/>
        <v xml:space="preserve"> </v>
      </c>
      <c r="AV449" s="598" t="str">
        <f t="shared" ref="AV449:BE458" si="875">HLOOKUP(AV$376,$C$255:$S$372,$A449+1)</f>
        <v xml:space="preserve"> </v>
      </c>
      <c r="AW449" s="598" t="str">
        <f t="shared" si="875"/>
        <v xml:space="preserve"> </v>
      </c>
      <c r="AX449" s="598" t="str">
        <f t="shared" si="875"/>
        <v xml:space="preserve"> </v>
      </c>
      <c r="AY449" s="598" t="str">
        <f t="shared" si="875"/>
        <v xml:space="preserve"> </v>
      </c>
      <c r="AZ449" s="598" t="str">
        <f t="shared" si="875"/>
        <v xml:space="preserve"> </v>
      </c>
      <c r="BA449" s="598" t="str">
        <f t="shared" si="875"/>
        <v xml:space="preserve"> </v>
      </c>
      <c r="BB449" s="598" t="str">
        <f t="shared" si="875"/>
        <v xml:space="preserve"> </v>
      </c>
      <c r="BC449" s="598" t="str">
        <f t="shared" si="875"/>
        <v xml:space="preserve"> </v>
      </c>
      <c r="BD449" s="598" t="str">
        <f t="shared" si="875"/>
        <v xml:space="preserve"> </v>
      </c>
      <c r="BE449" s="598" t="str">
        <f t="shared" si="875"/>
        <v xml:space="preserve"> </v>
      </c>
      <c r="BF449" s="598" t="str">
        <f t="shared" ref="BF449:BO458" si="876">HLOOKUP(BF$376,$C$255:$S$372,$A449+1)</f>
        <v xml:space="preserve"> </v>
      </c>
      <c r="BG449" s="598" t="str">
        <f t="shared" si="876"/>
        <v xml:space="preserve"> </v>
      </c>
      <c r="BH449" s="598" t="str">
        <f t="shared" si="876"/>
        <v xml:space="preserve"> </v>
      </c>
      <c r="BI449" s="598" t="str">
        <f t="shared" si="876"/>
        <v xml:space="preserve"> </v>
      </c>
      <c r="BJ449" s="598" t="str">
        <f t="shared" si="876"/>
        <v xml:space="preserve"> </v>
      </c>
      <c r="BK449" s="598" t="str">
        <f t="shared" si="876"/>
        <v xml:space="preserve"> </v>
      </c>
      <c r="BL449" s="598" t="str">
        <f t="shared" si="876"/>
        <v xml:space="preserve"> </v>
      </c>
      <c r="BM449" s="598" t="str">
        <f t="shared" si="876"/>
        <v xml:space="preserve"> </v>
      </c>
      <c r="BN449" s="598" t="str">
        <f t="shared" si="876"/>
        <v xml:space="preserve"> </v>
      </c>
      <c r="BO449" s="598" t="str">
        <f t="shared" si="876"/>
        <v xml:space="preserve"> </v>
      </c>
      <c r="BP449" s="598" t="str">
        <f t="shared" ref="BP449:BY458" si="877">HLOOKUP(BP$376,$C$255:$S$372,$A449+1)</f>
        <v xml:space="preserve"> </v>
      </c>
      <c r="BQ449" s="598" t="str">
        <f t="shared" si="877"/>
        <v xml:space="preserve"> </v>
      </c>
      <c r="BR449" s="598" t="str">
        <f t="shared" si="877"/>
        <v xml:space="preserve"> </v>
      </c>
      <c r="BS449" s="598" t="str">
        <f t="shared" si="877"/>
        <v xml:space="preserve"> </v>
      </c>
      <c r="BT449" s="598" t="str">
        <f t="shared" si="877"/>
        <v xml:space="preserve"> </v>
      </c>
      <c r="BU449" s="598" t="str">
        <f t="shared" si="877"/>
        <v xml:space="preserve"> </v>
      </c>
      <c r="BV449" s="598" t="str">
        <f t="shared" si="877"/>
        <v xml:space="preserve"> </v>
      </c>
      <c r="BW449" s="598" t="str">
        <f t="shared" si="877"/>
        <v xml:space="preserve"> </v>
      </c>
      <c r="BX449" s="598" t="str">
        <f t="shared" si="877"/>
        <v xml:space="preserve"> </v>
      </c>
      <c r="BY449" s="598" t="str">
        <f t="shared" si="877"/>
        <v xml:space="preserve"> </v>
      </c>
      <c r="BZ449" s="598" t="str">
        <f t="shared" ref="BZ449:CN458" si="878">HLOOKUP(BZ$376,$C$255:$S$372,$A449+1)</f>
        <v xml:space="preserve"> </v>
      </c>
      <c r="CA449" s="598" t="str">
        <f t="shared" si="878"/>
        <v xml:space="preserve"> </v>
      </c>
      <c r="CB449" s="598" t="str">
        <f t="shared" si="878"/>
        <v xml:space="preserve"> </v>
      </c>
      <c r="CC449" s="598" t="str">
        <f t="shared" si="878"/>
        <v xml:space="preserve"> </v>
      </c>
      <c r="CD449" s="598" t="str">
        <f t="shared" si="878"/>
        <v xml:space="preserve"> </v>
      </c>
      <c r="CE449" s="598" t="str">
        <f t="shared" si="878"/>
        <v xml:space="preserve"> </v>
      </c>
      <c r="CF449" s="598" t="str">
        <f t="shared" si="878"/>
        <v xml:space="preserve"> </v>
      </c>
      <c r="CG449" s="598" t="str">
        <f t="shared" si="878"/>
        <v xml:space="preserve"> </v>
      </c>
      <c r="CH449" s="598" t="str">
        <f t="shared" si="878"/>
        <v xml:space="preserve"> </v>
      </c>
      <c r="CI449" s="598" t="str">
        <f t="shared" si="878"/>
        <v xml:space="preserve"> </v>
      </c>
      <c r="CJ449" s="598" t="str">
        <f t="shared" si="878"/>
        <v xml:space="preserve"> </v>
      </c>
      <c r="CK449" s="598" t="str">
        <f t="shared" si="878"/>
        <v xml:space="preserve"> </v>
      </c>
      <c r="CL449" s="598" t="str">
        <f t="shared" si="878"/>
        <v xml:space="preserve"> </v>
      </c>
      <c r="CM449" s="598" t="str">
        <f t="shared" si="878"/>
        <v xml:space="preserve"> </v>
      </c>
      <c r="CN449" s="598" t="str">
        <f t="shared" si="878"/>
        <v xml:space="preserve"> </v>
      </c>
    </row>
    <row r="450" spans="1:92">
      <c r="A450" s="598">
        <v>73</v>
      </c>
      <c r="B450" s="598" t="str">
        <f t="shared" si="871"/>
        <v xml:space="preserve"> </v>
      </c>
      <c r="C450" s="598" t="str">
        <f t="shared" si="871"/>
        <v xml:space="preserve"> </v>
      </c>
      <c r="D450" s="598" t="str">
        <f t="shared" si="871"/>
        <v xml:space="preserve"> </v>
      </c>
      <c r="E450" s="598" t="str">
        <f t="shared" si="871"/>
        <v xml:space="preserve"> </v>
      </c>
      <c r="F450" s="598" t="str">
        <f t="shared" si="871"/>
        <v xml:space="preserve"> </v>
      </c>
      <c r="G450" s="598" t="str">
        <f t="shared" si="871"/>
        <v xml:space="preserve"> </v>
      </c>
      <c r="H450" s="598" t="str">
        <f t="shared" si="871"/>
        <v xml:space="preserve"> </v>
      </c>
      <c r="I450" s="598" t="str">
        <f t="shared" si="871"/>
        <v xml:space="preserve"> </v>
      </c>
      <c r="J450" s="598" t="str">
        <f t="shared" si="871"/>
        <v xml:space="preserve"> </v>
      </c>
      <c r="K450" s="598" t="str">
        <f t="shared" si="871"/>
        <v xml:space="preserve"> </v>
      </c>
      <c r="L450" s="598" t="str">
        <f t="shared" si="872"/>
        <v xml:space="preserve"> </v>
      </c>
      <c r="M450" s="598" t="str">
        <f t="shared" si="872"/>
        <v xml:space="preserve"> </v>
      </c>
      <c r="N450" s="598" t="str">
        <f t="shared" si="872"/>
        <v xml:space="preserve"> </v>
      </c>
      <c r="O450" s="598" t="str">
        <f t="shared" si="872"/>
        <v xml:space="preserve"> </v>
      </c>
      <c r="P450" s="598" t="str">
        <f t="shared" si="872"/>
        <v xml:space="preserve"> </v>
      </c>
      <c r="Q450" s="598" t="str">
        <f t="shared" si="872"/>
        <v xml:space="preserve"> </v>
      </c>
      <c r="R450" s="598" t="str">
        <f t="shared" si="872"/>
        <v xml:space="preserve"> </v>
      </c>
      <c r="S450" s="598" t="str">
        <f t="shared" si="872"/>
        <v xml:space="preserve"> </v>
      </c>
      <c r="T450" s="598" t="str">
        <f t="shared" si="872"/>
        <v xml:space="preserve"> </v>
      </c>
      <c r="U450" s="598" t="str">
        <f t="shared" si="872"/>
        <v xml:space="preserve"> </v>
      </c>
      <c r="V450" s="598" t="str">
        <f t="shared" si="873"/>
        <v xml:space="preserve"> </v>
      </c>
      <c r="W450" s="598" t="str">
        <f t="shared" si="873"/>
        <v xml:space="preserve"> </v>
      </c>
      <c r="X450" s="598" t="str">
        <f t="shared" si="873"/>
        <v xml:space="preserve"> </v>
      </c>
      <c r="Y450" s="598" t="str">
        <f t="shared" si="873"/>
        <v xml:space="preserve"> </v>
      </c>
      <c r="Z450" s="598" t="str">
        <f t="shared" si="873"/>
        <v xml:space="preserve"> </v>
      </c>
      <c r="AA450" s="598" t="str">
        <f t="shared" si="873"/>
        <v xml:space="preserve"> </v>
      </c>
      <c r="AB450" s="598" t="str">
        <f t="shared" si="873"/>
        <v xml:space="preserve"> </v>
      </c>
      <c r="AC450" s="598" t="str">
        <f t="shared" si="873"/>
        <v xml:space="preserve"> </v>
      </c>
      <c r="AD450" s="598" t="str">
        <f t="shared" si="873"/>
        <v xml:space="preserve"> </v>
      </c>
      <c r="AE450" s="598" t="str">
        <f t="shared" si="873"/>
        <v xml:space="preserve"> </v>
      </c>
      <c r="AF450" s="598" t="str">
        <f t="shared" si="874"/>
        <v xml:space="preserve"> </v>
      </c>
      <c r="AG450" s="598" t="str">
        <f t="shared" si="874"/>
        <v xml:space="preserve"> </v>
      </c>
      <c r="AH450" s="598" t="str">
        <f t="shared" si="874"/>
        <v xml:space="preserve"> </v>
      </c>
      <c r="AI450" s="598" t="str">
        <f t="shared" si="874"/>
        <v xml:space="preserve"> </v>
      </c>
      <c r="AJ450" s="598" t="str">
        <f t="shared" si="874"/>
        <v xml:space="preserve"> </v>
      </c>
      <c r="AK450" s="598" t="str">
        <f t="shared" si="874"/>
        <v xml:space="preserve"> </v>
      </c>
      <c r="AL450" s="598" t="str">
        <f t="shared" si="874"/>
        <v xml:space="preserve"> </v>
      </c>
      <c r="AM450" s="598" t="str">
        <f t="shared" si="874"/>
        <v xml:space="preserve"> </v>
      </c>
      <c r="AN450" s="598" t="str">
        <f t="shared" si="874"/>
        <v xml:space="preserve"> </v>
      </c>
      <c r="AO450" s="598" t="str">
        <f t="shared" si="874"/>
        <v xml:space="preserve"> </v>
      </c>
      <c r="AP450" s="598" t="str">
        <f t="shared" si="874"/>
        <v xml:space="preserve"> </v>
      </c>
      <c r="AQ450" s="598" t="str">
        <f t="shared" si="874"/>
        <v xml:space="preserve"> </v>
      </c>
      <c r="AR450" s="598" t="str">
        <f t="shared" si="874"/>
        <v xml:space="preserve"> </v>
      </c>
      <c r="AS450" s="598" t="str">
        <f t="shared" si="874"/>
        <v xml:space="preserve"> </v>
      </c>
      <c r="AT450" s="598" t="str">
        <f t="shared" si="874"/>
        <v xml:space="preserve"> </v>
      </c>
      <c r="AV450" s="598" t="str">
        <f t="shared" si="875"/>
        <v xml:space="preserve"> </v>
      </c>
      <c r="AW450" s="598" t="str">
        <f t="shared" si="875"/>
        <v xml:space="preserve"> </v>
      </c>
      <c r="AX450" s="598" t="str">
        <f t="shared" si="875"/>
        <v xml:space="preserve"> </v>
      </c>
      <c r="AY450" s="598" t="str">
        <f t="shared" si="875"/>
        <v xml:space="preserve"> </v>
      </c>
      <c r="AZ450" s="598" t="str">
        <f t="shared" si="875"/>
        <v xml:space="preserve"> </v>
      </c>
      <c r="BA450" s="598" t="str">
        <f t="shared" si="875"/>
        <v xml:space="preserve"> </v>
      </c>
      <c r="BB450" s="598" t="str">
        <f t="shared" si="875"/>
        <v xml:space="preserve"> </v>
      </c>
      <c r="BC450" s="598" t="str">
        <f t="shared" si="875"/>
        <v xml:space="preserve"> </v>
      </c>
      <c r="BD450" s="598" t="str">
        <f t="shared" si="875"/>
        <v xml:space="preserve"> </v>
      </c>
      <c r="BE450" s="598" t="str">
        <f t="shared" si="875"/>
        <v xml:space="preserve"> </v>
      </c>
      <c r="BF450" s="598" t="str">
        <f t="shared" si="876"/>
        <v xml:space="preserve"> </v>
      </c>
      <c r="BG450" s="598" t="str">
        <f t="shared" si="876"/>
        <v xml:space="preserve"> </v>
      </c>
      <c r="BH450" s="598" t="str">
        <f t="shared" si="876"/>
        <v xml:space="preserve"> </v>
      </c>
      <c r="BI450" s="598" t="str">
        <f t="shared" si="876"/>
        <v xml:space="preserve"> </v>
      </c>
      <c r="BJ450" s="598" t="str">
        <f t="shared" si="876"/>
        <v xml:space="preserve"> </v>
      </c>
      <c r="BK450" s="598" t="str">
        <f t="shared" si="876"/>
        <v xml:space="preserve"> </v>
      </c>
      <c r="BL450" s="598" t="str">
        <f t="shared" si="876"/>
        <v xml:space="preserve"> </v>
      </c>
      <c r="BM450" s="598" t="str">
        <f t="shared" si="876"/>
        <v xml:space="preserve"> </v>
      </c>
      <c r="BN450" s="598" t="str">
        <f t="shared" si="876"/>
        <v xml:space="preserve"> </v>
      </c>
      <c r="BO450" s="598" t="str">
        <f t="shared" si="876"/>
        <v xml:space="preserve"> </v>
      </c>
      <c r="BP450" s="598" t="str">
        <f t="shared" si="877"/>
        <v xml:space="preserve"> </v>
      </c>
      <c r="BQ450" s="598" t="str">
        <f t="shared" si="877"/>
        <v xml:space="preserve"> </v>
      </c>
      <c r="BR450" s="598" t="str">
        <f t="shared" si="877"/>
        <v xml:space="preserve"> </v>
      </c>
      <c r="BS450" s="598" t="str">
        <f t="shared" si="877"/>
        <v xml:space="preserve"> </v>
      </c>
      <c r="BT450" s="598" t="str">
        <f t="shared" si="877"/>
        <v xml:space="preserve"> </v>
      </c>
      <c r="BU450" s="598" t="str">
        <f t="shared" si="877"/>
        <v xml:space="preserve"> </v>
      </c>
      <c r="BV450" s="598" t="str">
        <f t="shared" si="877"/>
        <v xml:space="preserve"> </v>
      </c>
      <c r="BW450" s="598" t="str">
        <f t="shared" si="877"/>
        <v xml:space="preserve"> </v>
      </c>
      <c r="BX450" s="598" t="str">
        <f t="shared" si="877"/>
        <v xml:space="preserve"> </v>
      </c>
      <c r="BY450" s="598" t="str">
        <f t="shared" si="877"/>
        <v xml:space="preserve"> </v>
      </c>
      <c r="BZ450" s="598" t="str">
        <f t="shared" si="878"/>
        <v xml:space="preserve"> </v>
      </c>
      <c r="CA450" s="598" t="str">
        <f t="shared" si="878"/>
        <v xml:space="preserve"> </v>
      </c>
      <c r="CB450" s="598" t="str">
        <f t="shared" si="878"/>
        <v xml:space="preserve"> </v>
      </c>
      <c r="CC450" s="598" t="str">
        <f t="shared" si="878"/>
        <v xml:space="preserve"> </v>
      </c>
      <c r="CD450" s="598" t="str">
        <f t="shared" si="878"/>
        <v xml:space="preserve"> </v>
      </c>
      <c r="CE450" s="598" t="str">
        <f t="shared" si="878"/>
        <v xml:space="preserve"> </v>
      </c>
      <c r="CF450" s="598" t="str">
        <f t="shared" si="878"/>
        <v xml:space="preserve"> </v>
      </c>
      <c r="CG450" s="598" t="str">
        <f t="shared" si="878"/>
        <v xml:space="preserve"> </v>
      </c>
      <c r="CH450" s="598" t="str">
        <f t="shared" si="878"/>
        <v xml:space="preserve"> </v>
      </c>
      <c r="CI450" s="598" t="str">
        <f t="shared" si="878"/>
        <v xml:space="preserve"> </v>
      </c>
      <c r="CJ450" s="598" t="str">
        <f t="shared" si="878"/>
        <v xml:space="preserve"> </v>
      </c>
      <c r="CK450" s="598" t="str">
        <f t="shared" si="878"/>
        <v xml:space="preserve"> </v>
      </c>
      <c r="CL450" s="598" t="str">
        <f t="shared" si="878"/>
        <v xml:space="preserve"> </v>
      </c>
      <c r="CM450" s="598" t="str">
        <f t="shared" si="878"/>
        <v xml:space="preserve"> </v>
      </c>
      <c r="CN450" s="598" t="str">
        <f t="shared" si="878"/>
        <v xml:space="preserve"> </v>
      </c>
    </row>
    <row r="451" spans="1:92">
      <c r="A451" s="598">
        <v>74</v>
      </c>
      <c r="B451" s="598" t="str">
        <f t="shared" si="871"/>
        <v xml:space="preserve"> </v>
      </c>
      <c r="C451" s="598" t="str">
        <f t="shared" si="871"/>
        <v xml:space="preserve"> </v>
      </c>
      <c r="D451" s="598" t="str">
        <f t="shared" si="871"/>
        <v xml:space="preserve"> </v>
      </c>
      <c r="E451" s="598" t="str">
        <f t="shared" si="871"/>
        <v xml:space="preserve"> </v>
      </c>
      <c r="F451" s="598" t="str">
        <f t="shared" si="871"/>
        <v xml:space="preserve"> </v>
      </c>
      <c r="G451" s="598" t="str">
        <f t="shared" si="871"/>
        <v xml:space="preserve"> </v>
      </c>
      <c r="H451" s="598" t="str">
        <f t="shared" si="871"/>
        <v xml:space="preserve"> </v>
      </c>
      <c r="I451" s="598" t="str">
        <f t="shared" si="871"/>
        <v xml:space="preserve"> </v>
      </c>
      <c r="J451" s="598" t="str">
        <f t="shared" si="871"/>
        <v xml:space="preserve"> </v>
      </c>
      <c r="K451" s="598" t="str">
        <f t="shared" si="871"/>
        <v xml:space="preserve"> </v>
      </c>
      <c r="L451" s="598" t="str">
        <f t="shared" si="872"/>
        <v xml:space="preserve"> </v>
      </c>
      <c r="M451" s="598" t="str">
        <f t="shared" si="872"/>
        <v xml:space="preserve"> </v>
      </c>
      <c r="N451" s="598" t="str">
        <f t="shared" si="872"/>
        <v xml:space="preserve"> </v>
      </c>
      <c r="O451" s="598" t="str">
        <f t="shared" si="872"/>
        <v xml:space="preserve"> </v>
      </c>
      <c r="P451" s="598" t="str">
        <f t="shared" si="872"/>
        <v xml:space="preserve"> </v>
      </c>
      <c r="Q451" s="598" t="str">
        <f t="shared" si="872"/>
        <v xml:space="preserve"> </v>
      </c>
      <c r="R451" s="598" t="str">
        <f t="shared" si="872"/>
        <v xml:space="preserve"> </v>
      </c>
      <c r="S451" s="598" t="str">
        <f t="shared" si="872"/>
        <v xml:space="preserve"> </v>
      </c>
      <c r="T451" s="598" t="str">
        <f t="shared" si="872"/>
        <v xml:space="preserve"> </v>
      </c>
      <c r="U451" s="598" t="str">
        <f t="shared" si="872"/>
        <v xml:space="preserve"> </v>
      </c>
      <c r="V451" s="598" t="str">
        <f t="shared" si="873"/>
        <v xml:space="preserve"> </v>
      </c>
      <c r="W451" s="598" t="str">
        <f t="shared" si="873"/>
        <v xml:space="preserve"> </v>
      </c>
      <c r="X451" s="598" t="str">
        <f t="shared" si="873"/>
        <v xml:space="preserve"> </v>
      </c>
      <c r="Y451" s="598" t="str">
        <f t="shared" si="873"/>
        <v xml:space="preserve"> </v>
      </c>
      <c r="Z451" s="598" t="str">
        <f t="shared" si="873"/>
        <v xml:space="preserve"> </v>
      </c>
      <c r="AA451" s="598" t="str">
        <f t="shared" si="873"/>
        <v xml:space="preserve"> </v>
      </c>
      <c r="AB451" s="598" t="str">
        <f t="shared" si="873"/>
        <v xml:space="preserve"> </v>
      </c>
      <c r="AC451" s="598" t="str">
        <f t="shared" si="873"/>
        <v xml:space="preserve"> </v>
      </c>
      <c r="AD451" s="598" t="str">
        <f t="shared" si="873"/>
        <v xml:space="preserve"> </v>
      </c>
      <c r="AE451" s="598" t="str">
        <f t="shared" si="873"/>
        <v xml:space="preserve"> </v>
      </c>
      <c r="AF451" s="598" t="str">
        <f t="shared" si="874"/>
        <v xml:space="preserve"> </v>
      </c>
      <c r="AG451" s="598" t="str">
        <f t="shared" si="874"/>
        <v xml:space="preserve"> </v>
      </c>
      <c r="AH451" s="598" t="str">
        <f t="shared" si="874"/>
        <v xml:space="preserve"> </v>
      </c>
      <c r="AI451" s="598" t="str">
        <f t="shared" si="874"/>
        <v xml:space="preserve"> </v>
      </c>
      <c r="AJ451" s="598" t="str">
        <f t="shared" si="874"/>
        <v xml:space="preserve"> </v>
      </c>
      <c r="AK451" s="598" t="str">
        <f t="shared" si="874"/>
        <v xml:space="preserve"> </v>
      </c>
      <c r="AL451" s="598" t="str">
        <f t="shared" si="874"/>
        <v xml:space="preserve"> </v>
      </c>
      <c r="AM451" s="598" t="str">
        <f t="shared" si="874"/>
        <v xml:space="preserve"> </v>
      </c>
      <c r="AN451" s="598" t="str">
        <f t="shared" si="874"/>
        <v xml:space="preserve"> </v>
      </c>
      <c r="AO451" s="598" t="str">
        <f t="shared" si="874"/>
        <v xml:space="preserve"> </v>
      </c>
      <c r="AP451" s="598" t="str">
        <f t="shared" si="874"/>
        <v xml:space="preserve"> </v>
      </c>
      <c r="AQ451" s="598" t="str">
        <f t="shared" si="874"/>
        <v xml:space="preserve"> </v>
      </c>
      <c r="AR451" s="598" t="str">
        <f t="shared" si="874"/>
        <v xml:space="preserve"> </v>
      </c>
      <c r="AS451" s="598" t="str">
        <f t="shared" si="874"/>
        <v xml:space="preserve"> </v>
      </c>
      <c r="AT451" s="598" t="str">
        <f t="shared" si="874"/>
        <v xml:space="preserve"> </v>
      </c>
      <c r="AV451" s="598" t="str">
        <f t="shared" si="875"/>
        <v xml:space="preserve"> </v>
      </c>
      <c r="AW451" s="598" t="str">
        <f t="shared" si="875"/>
        <v xml:space="preserve"> </v>
      </c>
      <c r="AX451" s="598" t="str">
        <f t="shared" si="875"/>
        <v xml:space="preserve"> </v>
      </c>
      <c r="AY451" s="598" t="str">
        <f t="shared" si="875"/>
        <v xml:space="preserve"> </v>
      </c>
      <c r="AZ451" s="598" t="str">
        <f t="shared" si="875"/>
        <v xml:space="preserve"> </v>
      </c>
      <c r="BA451" s="598" t="str">
        <f t="shared" si="875"/>
        <v xml:space="preserve"> </v>
      </c>
      <c r="BB451" s="598" t="str">
        <f t="shared" si="875"/>
        <v xml:space="preserve"> </v>
      </c>
      <c r="BC451" s="598" t="str">
        <f t="shared" si="875"/>
        <v xml:space="preserve"> </v>
      </c>
      <c r="BD451" s="598" t="str">
        <f t="shared" si="875"/>
        <v xml:space="preserve"> </v>
      </c>
      <c r="BE451" s="598" t="str">
        <f t="shared" si="875"/>
        <v xml:space="preserve"> </v>
      </c>
      <c r="BF451" s="598" t="str">
        <f t="shared" si="876"/>
        <v xml:space="preserve"> </v>
      </c>
      <c r="BG451" s="598" t="str">
        <f t="shared" si="876"/>
        <v xml:space="preserve"> </v>
      </c>
      <c r="BH451" s="598" t="str">
        <f t="shared" si="876"/>
        <v xml:space="preserve"> </v>
      </c>
      <c r="BI451" s="598" t="str">
        <f t="shared" si="876"/>
        <v xml:space="preserve"> </v>
      </c>
      <c r="BJ451" s="598" t="str">
        <f t="shared" si="876"/>
        <v xml:space="preserve"> </v>
      </c>
      <c r="BK451" s="598" t="str">
        <f t="shared" si="876"/>
        <v xml:space="preserve"> </v>
      </c>
      <c r="BL451" s="598" t="str">
        <f t="shared" si="876"/>
        <v xml:space="preserve"> </v>
      </c>
      <c r="BM451" s="598" t="str">
        <f t="shared" si="876"/>
        <v xml:space="preserve"> </v>
      </c>
      <c r="BN451" s="598" t="str">
        <f t="shared" si="876"/>
        <v xml:space="preserve"> </v>
      </c>
      <c r="BO451" s="598" t="str">
        <f t="shared" si="876"/>
        <v xml:space="preserve"> </v>
      </c>
      <c r="BP451" s="598" t="str">
        <f t="shared" si="877"/>
        <v xml:space="preserve"> </v>
      </c>
      <c r="BQ451" s="598" t="str">
        <f t="shared" si="877"/>
        <v xml:space="preserve"> </v>
      </c>
      <c r="BR451" s="598" t="str">
        <f t="shared" si="877"/>
        <v xml:space="preserve"> </v>
      </c>
      <c r="BS451" s="598" t="str">
        <f t="shared" si="877"/>
        <v xml:space="preserve"> </v>
      </c>
      <c r="BT451" s="598" t="str">
        <f t="shared" si="877"/>
        <v xml:space="preserve"> </v>
      </c>
      <c r="BU451" s="598" t="str">
        <f t="shared" si="877"/>
        <v xml:space="preserve"> </v>
      </c>
      <c r="BV451" s="598" t="str">
        <f t="shared" si="877"/>
        <v xml:space="preserve"> </v>
      </c>
      <c r="BW451" s="598" t="str">
        <f t="shared" si="877"/>
        <v xml:space="preserve"> </v>
      </c>
      <c r="BX451" s="598" t="str">
        <f t="shared" si="877"/>
        <v xml:space="preserve"> </v>
      </c>
      <c r="BY451" s="598" t="str">
        <f t="shared" si="877"/>
        <v xml:space="preserve"> </v>
      </c>
      <c r="BZ451" s="598" t="str">
        <f t="shared" si="878"/>
        <v xml:space="preserve"> </v>
      </c>
      <c r="CA451" s="598" t="str">
        <f t="shared" si="878"/>
        <v xml:space="preserve"> </v>
      </c>
      <c r="CB451" s="598" t="str">
        <f t="shared" si="878"/>
        <v xml:space="preserve"> </v>
      </c>
      <c r="CC451" s="598" t="str">
        <f t="shared" si="878"/>
        <v xml:space="preserve"> </v>
      </c>
      <c r="CD451" s="598" t="str">
        <f t="shared" si="878"/>
        <v xml:space="preserve"> </v>
      </c>
      <c r="CE451" s="598" t="str">
        <f t="shared" si="878"/>
        <v xml:space="preserve"> </v>
      </c>
      <c r="CF451" s="598" t="str">
        <f t="shared" si="878"/>
        <v xml:space="preserve"> </v>
      </c>
      <c r="CG451" s="598" t="str">
        <f t="shared" si="878"/>
        <v xml:space="preserve"> </v>
      </c>
      <c r="CH451" s="598" t="str">
        <f t="shared" si="878"/>
        <v xml:space="preserve"> </v>
      </c>
      <c r="CI451" s="598" t="str">
        <f t="shared" si="878"/>
        <v xml:space="preserve"> </v>
      </c>
      <c r="CJ451" s="598" t="str">
        <f t="shared" si="878"/>
        <v xml:space="preserve"> </v>
      </c>
      <c r="CK451" s="598" t="str">
        <f t="shared" si="878"/>
        <v xml:space="preserve"> </v>
      </c>
      <c r="CL451" s="598" t="str">
        <f t="shared" si="878"/>
        <v xml:space="preserve"> </v>
      </c>
      <c r="CM451" s="598" t="str">
        <f t="shared" si="878"/>
        <v xml:space="preserve"> </v>
      </c>
      <c r="CN451" s="598" t="str">
        <f t="shared" si="878"/>
        <v xml:space="preserve"> </v>
      </c>
    </row>
    <row r="452" spans="1:92">
      <c r="A452" s="598">
        <v>75</v>
      </c>
      <c r="B452" s="598" t="str">
        <f t="shared" si="871"/>
        <v xml:space="preserve"> </v>
      </c>
      <c r="C452" s="598" t="str">
        <f t="shared" si="871"/>
        <v xml:space="preserve"> </v>
      </c>
      <c r="D452" s="598" t="str">
        <f t="shared" si="871"/>
        <v xml:space="preserve"> </v>
      </c>
      <c r="E452" s="598" t="str">
        <f t="shared" si="871"/>
        <v xml:space="preserve"> </v>
      </c>
      <c r="F452" s="598" t="str">
        <f t="shared" si="871"/>
        <v xml:space="preserve"> </v>
      </c>
      <c r="G452" s="598" t="str">
        <f t="shared" si="871"/>
        <v xml:space="preserve"> </v>
      </c>
      <c r="H452" s="598" t="str">
        <f t="shared" si="871"/>
        <v xml:space="preserve"> </v>
      </c>
      <c r="I452" s="598" t="str">
        <f t="shared" si="871"/>
        <v xml:space="preserve"> </v>
      </c>
      <c r="J452" s="598" t="str">
        <f t="shared" si="871"/>
        <v xml:space="preserve"> </v>
      </c>
      <c r="K452" s="598" t="str">
        <f t="shared" si="871"/>
        <v xml:space="preserve"> </v>
      </c>
      <c r="L452" s="598" t="str">
        <f t="shared" si="872"/>
        <v xml:space="preserve"> </v>
      </c>
      <c r="M452" s="598" t="str">
        <f t="shared" si="872"/>
        <v xml:space="preserve"> </v>
      </c>
      <c r="N452" s="598" t="str">
        <f t="shared" si="872"/>
        <v xml:space="preserve"> </v>
      </c>
      <c r="O452" s="598" t="str">
        <f t="shared" si="872"/>
        <v xml:space="preserve"> </v>
      </c>
      <c r="P452" s="598" t="str">
        <f t="shared" si="872"/>
        <v xml:space="preserve"> </v>
      </c>
      <c r="Q452" s="598" t="str">
        <f t="shared" si="872"/>
        <v xml:space="preserve"> </v>
      </c>
      <c r="R452" s="598" t="str">
        <f t="shared" si="872"/>
        <v xml:space="preserve"> </v>
      </c>
      <c r="S452" s="598" t="str">
        <f t="shared" si="872"/>
        <v xml:space="preserve"> </v>
      </c>
      <c r="T452" s="598" t="str">
        <f t="shared" si="872"/>
        <v xml:space="preserve"> </v>
      </c>
      <c r="U452" s="598" t="str">
        <f t="shared" si="872"/>
        <v xml:space="preserve"> </v>
      </c>
      <c r="V452" s="598" t="str">
        <f t="shared" si="873"/>
        <v xml:space="preserve"> </v>
      </c>
      <c r="W452" s="598" t="str">
        <f t="shared" si="873"/>
        <v xml:space="preserve"> </v>
      </c>
      <c r="X452" s="598" t="str">
        <f t="shared" si="873"/>
        <v xml:space="preserve"> </v>
      </c>
      <c r="Y452" s="598" t="str">
        <f t="shared" si="873"/>
        <v xml:space="preserve"> </v>
      </c>
      <c r="Z452" s="598" t="str">
        <f t="shared" si="873"/>
        <v xml:space="preserve"> </v>
      </c>
      <c r="AA452" s="598" t="str">
        <f t="shared" si="873"/>
        <v xml:space="preserve"> </v>
      </c>
      <c r="AB452" s="598" t="str">
        <f t="shared" si="873"/>
        <v xml:space="preserve"> </v>
      </c>
      <c r="AC452" s="598" t="str">
        <f t="shared" si="873"/>
        <v xml:space="preserve"> </v>
      </c>
      <c r="AD452" s="598" t="str">
        <f t="shared" si="873"/>
        <v xml:space="preserve"> </v>
      </c>
      <c r="AE452" s="598" t="str">
        <f t="shared" si="873"/>
        <v xml:space="preserve"> </v>
      </c>
      <c r="AF452" s="598" t="str">
        <f t="shared" si="874"/>
        <v xml:space="preserve"> </v>
      </c>
      <c r="AG452" s="598" t="str">
        <f t="shared" si="874"/>
        <v xml:space="preserve"> </v>
      </c>
      <c r="AH452" s="598" t="str">
        <f t="shared" si="874"/>
        <v xml:space="preserve"> </v>
      </c>
      <c r="AI452" s="598" t="str">
        <f t="shared" si="874"/>
        <v xml:space="preserve"> </v>
      </c>
      <c r="AJ452" s="598" t="str">
        <f t="shared" si="874"/>
        <v xml:space="preserve"> </v>
      </c>
      <c r="AK452" s="598" t="str">
        <f t="shared" si="874"/>
        <v xml:space="preserve"> </v>
      </c>
      <c r="AL452" s="598" t="str">
        <f t="shared" si="874"/>
        <v xml:space="preserve"> </v>
      </c>
      <c r="AM452" s="598" t="str">
        <f t="shared" si="874"/>
        <v xml:space="preserve"> </v>
      </c>
      <c r="AN452" s="598" t="str">
        <f t="shared" si="874"/>
        <v xml:space="preserve"> </v>
      </c>
      <c r="AO452" s="598" t="str">
        <f t="shared" si="874"/>
        <v xml:space="preserve"> </v>
      </c>
      <c r="AP452" s="598" t="str">
        <f t="shared" si="874"/>
        <v xml:space="preserve"> </v>
      </c>
      <c r="AQ452" s="598" t="str">
        <f t="shared" si="874"/>
        <v xml:space="preserve"> </v>
      </c>
      <c r="AR452" s="598" t="str">
        <f t="shared" si="874"/>
        <v xml:space="preserve"> </v>
      </c>
      <c r="AS452" s="598" t="str">
        <f t="shared" si="874"/>
        <v xml:space="preserve"> </v>
      </c>
      <c r="AT452" s="598" t="str">
        <f t="shared" si="874"/>
        <v xml:space="preserve"> </v>
      </c>
      <c r="AV452" s="598" t="str">
        <f t="shared" si="875"/>
        <v xml:space="preserve"> </v>
      </c>
      <c r="AW452" s="598" t="str">
        <f t="shared" si="875"/>
        <v xml:space="preserve"> </v>
      </c>
      <c r="AX452" s="598" t="str">
        <f t="shared" si="875"/>
        <v xml:space="preserve"> </v>
      </c>
      <c r="AY452" s="598" t="str">
        <f t="shared" si="875"/>
        <v xml:space="preserve"> </v>
      </c>
      <c r="AZ452" s="598" t="str">
        <f t="shared" si="875"/>
        <v xml:space="preserve"> </v>
      </c>
      <c r="BA452" s="598" t="str">
        <f t="shared" si="875"/>
        <v xml:space="preserve"> </v>
      </c>
      <c r="BB452" s="598" t="str">
        <f t="shared" si="875"/>
        <v xml:space="preserve"> </v>
      </c>
      <c r="BC452" s="598" t="str">
        <f t="shared" si="875"/>
        <v xml:space="preserve"> </v>
      </c>
      <c r="BD452" s="598" t="str">
        <f t="shared" si="875"/>
        <v xml:space="preserve"> </v>
      </c>
      <c r="BE452" s="598" t="str">
        <f t="shared" si="875"/>
        <v xml:space="preserve"> </v>
      </c>
      <c r="BF452" s="598" t="str">
        <f t="shared" si="876"/>
        <v xml:space="preserve"> </v>
      </c>
      <c r="BG452" s="598" t="str">
        <f t="shared" si="876"/>
        <v xml:space="preserve"> </v>
      </c>
      <c r="BH452" s="598" t="str">
        <f t="shared" si="876"/>
        <v xml:space="preserve"> </v>
      </c>
      <c r="BI452" s="598" t="str">
        <f t="shared" si="876"/>
        <v xml:space="preserve"> </v>
      </c>
      <c r="BJ452" s="598" t="str">
        <f t="shared" si="876"/>
        <v xml:space="preserve"> </v>
      </c>
      <c r="BK452" s="598" t="str">
        <f t="shared" si="876"/>
        <v xml:space="preserve"> </v>
      </c>
      <c r="BL452" s="598" t="str">
        <f t="shared" si="876"/>
        <v xml:space="preserve"> </v>
      </c>
      <c r="BM452" s="598" t="str">
        <f t="shared" si="876"/>
        <v xml:space="preserve"> </v>
      </c>
      <c r="BN452" s="598" t="str">
        <f t="shared" si="876"/>
        <v xml:space="preserve"> </v>
      </c>
      <c r="BO452" s="598" t="str">
        <f t="shared" si="876"/>
        <v xml:space="preserve"> </v>
      </c>
      <c r="BP452" s="598" t="str">
        <f t="shared" si="877"/>
        <v xml:space="preserve"> </v>
      </c>
      <c r="BQ452" s="598" t="str">
        <f t="shared" si="877"/>
        <v xml:space="preserve"> </v>
      </c>
      <c r="BR452" s="598" t="str">
        <f t="shared" si="877"/>
        <v xml:space="preserve"> </v>
      </c>
      <c r="BS452" s="598" t="str">
        <f t="shared" si="877"/>
        <v xml:space="preserve"> </v>
      </c>
      <c r="BT452" s="598" t="str">
        <f t="shared" si="877"/>
        <v xml:space="preserve"> </v>
      </c>
      <c r="BU452" s="598" t="str">
        <f t="shared" si="877"/>
        <v xml:space="preserve"> </v>
      </c>
      <c r="BV452" s="598" t="str">
        <f t="shared" si="877"/>
        <v xml:space="preserve"> </v>
      </c>
      <c r="BW452" s="598" t="str">
        <f t="shared" si="877"/>
        <v xml:space="preserve"> </v>
      </c>
      <c r="BX452" s="598" t="str">
        <f t="shared" si="877"/>
        <v xml:space="preserve"> </v>
      </c>
      <c r="BY452" s="598" t="str">
        <f t="shared" si="877"/>
        <v xml:space="preserve"> </v>
      </c>
      <c r="BZ452" s="598" t="str">
        <f t="shared" si="878"/>
        <v xml:space="preserve"> </v>
      </c>
      <c r="CA452" s="598" t="str">
        <f t="shared" si="878"/>
        <v xml:space="preserve"> </v>
      </c>
      <c r="CB452" s="598" t="str">
        <f t="shared" si="878"/>
        <v xml:space="preserve"> </v>
      </c>
      <c r="CC452" s="598" t="str">
        <f t="shared" si="878"/>
        <v xml:space="preserve"> </v>
      </c>
      <c r="CD452" s="598" t="str">
        <f t="shared" si="878"/>
        <v xml:space="preserve"> </v>
      </c>
      <c r="CE452" s="598" t="str">
        <f t="shared" si="878"/>
        <v xml:space="preserve"> </v>
      </c>
      <c r="CF452" s="598" t="str">
        <f t="shared" si="878"/>
        <v xml:space="preserve"> </v>
      </c>
      <c r="CG452" s="598" t="str">
        <f t="shared" si="878"/>
        <v xml:space="preserve"> </v>
      </c>
      <c r="CH452" s="598" t="str">
        <f t="shared" si="878"/>
        <v xml:space="preserve"> </v>
      </c>
      <c r="CI452" s="598" t="str">
        <f t="shared" si="878"/>
        <v xml:space="preserve"> </v>
      </c>
      <c r="CJ452" s="598" t="str">
        <f t="shared" si="878"/>
        <v xml:space="preserve"> </v>
      </c>
      <c r="CK452" s="598" t="str">
        <f t="shared" si="878"/>
        <v xml:space="preserve"> </v>
      </c>
      <c r="CL452" s="598" t="str">
        <f t="shared" si="878"/>
        <v xml:space="preserve"> </v>
      </c>
      <c r="CM452" s="598" t="str">
        <f t="shared" si="878"/>
        <v xml:space="preserve"> </v>
      </c>
      <c r="CN452" s="598" t="str">
        <f t="shared" si="878"/>
        <v xml:space="preserve"> </v>
      </c>
    </row>
    <row r="453" spans="1:92">
      <c r="A453" s="598">
        <v>76</v>
      </c>
      <c r="B453" s="598" t="str">
        <f t="shared" si="871"/>
        <v xml:space="preserve"> </v>
      </c>
      <c r="C453" s="598" t="str">
        <f t="shared" si="871"/>
        <v xml:space="preserve"> </v>
      </c>
      <c r="D453" s="598" t="str">
        <f t="shared" si="871"/>
        <v xml:space="preserve"> </v>
      </c>
      <c r="E453" s="598" t="str">
        <f t="shared" si="871"/>
        <v xml:space="preserve"> </v>
      </c>
      <c r="F453" s="598" t="str">
        <f t="shared" si="871"/>
        <v xml:space="preserve"> </v>
      </c>
      <c r="G453" s="598" t="str">
        <f t="shared" si="871"/>
        <v xml:space="preserve"> </v>
      </c>
      <c r="H453" s="598" t="str">
        <f t="shared" si="871"/>
        <v xml:space="preserve"> </v>
      </c>
      <c r="I453" s="598" t="str">
        <f t="shared" si="871"/>
        <v xml:space="preserve"> </v>
      </c>
      <c r="J453" s="598" t="str">
        <f t="shared" si="871"/>
        <v xml:space="preserve"> </v>
      </c>
      <c r="K453" s="598" t="str">
        <f t="shared" si="871"/>
        <v xml:space="preserve"> </v>
      </c>
      <c r="L453" s="598" t="str">
        <f t="shared" si="872"/>
        <v xml:space="preserve"> </v>
      </c>
      <c r="M453" s="598" t="str">
        <f t="shared" si="872"/>
        <v xml:space="preserve"> </v>
      </c>
      <c r="N453" s="598" t="str">
        <f t="shared" si="872"/>
        <v xml:space="preserve"> </v>
      </c>
      <c r="O453" s="598" t="str">
        <f t="shared" si="872"/>
        <v xml:space="preserve"> </v>
      </c>
      <c r="P453" s="598" t="str">
        <f t="shared" si="872"/>
        <v xml:space="preserve"> </v>
      </c>
      <c r="Q453" s="598" t="str">
        <f t="shared" si="872"/>
        <v xml:space="preserve"> </v>
      </c>
      <c r="R453" s="598" t="str">
        <f t="shared" si="872"/>
        <v xml:space="preserve"> </v>
      </c>
      <c r="S453" s="598" t="str">
        <f t="shared" si="872"/>
        <v xml:space="preserve"> </v>
      </c>
      <c r="T453" s="598" t="str">
        <f t="shared" si="872"/>
        <v xml:space="preserve"> </v>
      </c>
      <c r="U453" s="598" t="str">
        <f t="shared" si="872"/>
        <v xml:space="preserve"> </v>
      </c>
      <c r="V453" s="598" t="str">
        <f t="shared" si="873"/>
        <v xml:space="preserve"> </v>
      </c>
      <c r="W453" s="598" t="str">
        <f t="shared" si="873"/>
        <v xml:space="preserve"> </v>
      </c>
      <c r="X453" s="598" t="str">
        <f t="shared" si="873"/>
        <v xml:space="preserve"> </v>
      </c>
      <c r="Y453" s="598" t="str">
        <f t="shared" si="873"/>
        <v xml:space="preserve"> </v>
      </c>
      <c r="Z453" s="598" t="str">
        <f t="shared" si="873"/>
        <v xml:space="preserve"> </v>
      </c>
      <c r="AA453" s="598" t="str">
        <f t="shared" si="873"/>
        <v xml:space="preserve"> </v>
      </c>
      <c r="AB453" s="598" t="str">
        <f t="shared" si="873"/>
        <v xml:space="preserve"> </v>
      </c>
      <c r="AC453" s="598" t="str">
        <f t="shared" si="873"/>
        <v xml:space="preserve"> </v>
      </c>
      <c r="AD453" s="598" t="str">
        <f t="shared" si="873"/>
        <v xml:space="preserve"> </v>
      </c>
      <c r="AE453" s="598" t="str">
        <f t="shared" si="873"/>
        <v xml:space="preserve"> </v>
      </c>
      <c r="AF453" s="598" t="str">
        <f t="shared" si="874"/>
        <v xml:space="preserve"> </v>
      </c>
      <c r="AG453" s="598" t="str">
        <f t="shared" si="874"/>
        <v xml:space="preserve"> </v>
      </c>
      <c r="AH453" s="598" t="str">
        <f t="shared" si="874"/>
        <v xml:space="preserve"> </v>
      </c>
      <c r="AI453" s="598" t="str">
        <f t="shared" si="874"/>
        <v xml:space="preserve"> </v>
      </c>
      <c r="AJ453" s="598" t="str">
        <f t="shared" si="874"/>
        <v xml:space="preserve"> </v>
      </c>
      <c r="AK453" s="598" t="str">
        <f t="shared" si="874"/>
        <v xml:space="preserve"> </v>
      </c>
      <c r="AL453" s="598" t="str">
        <f t="shared" si="874"/>
        <v xml:space="preserve"> </v>
      </c>
      <c r="AM453" s="598" t="str">
        <f t="shared" si="874"/>
        <v xml:space="preserve"> </v>
      </c>
      <c r="AN453" s="598" t="str">
        <f t="shared" si="874"/>
        <v xml:space="preserve"> </v>
      </c>
      <c r="AO453" s="598" t="str">
        <f t="shared" si="874"/>
        <v xml:space="preserve"> </v>
      </c>
      <c r="AP453" s="598" t="str">
        <f t="shared" si="874"/>
        <v xml:space="preserve"> </v>
      </c>
      <c r="AQ453" s="598" t="str">
        <f t="shared" si="874"/>
        <v xml:space="preserve"> </v>
      </c>
      <c r="AR453" s="598" t="str">
        <f t="shared" si="874"/>
        <v xml:space="preserve"> </v>
      </c>
      <c r="AS453" s="598" t="str">
        <f t="shared" si="874"/>
        <v xml:space="preserve"> </v>
      </c>
      <c r="AT453" s="598" t="str">
        <f t="shared" si="874"/>
        <v xml:space="preserve"> </v>
      </c>
      <c r="AV453" s="598" t="str">
        <f t="shared" si="875"/>
        <v xml:space="preserve"> </v>
      </c>
      <c r="AW453" s="598" t="str">
        <f t="shared" si="875"/>
        <v xml:space="preserve"> </v>
      </c>
      <c r="AX453" s="598" t="str">
        <f t="shared" si="875"/>
        <v xml:space="preserve"> </v>
      </c>
      <c r="AY453" s="598" t="str">
        <f t="shared" si="875"/>
        <v xml:space="preserve"> </v>
      </c>
      <c r="AZ453" s="598" t="str">
        <f t="shared" si="875"/>
        <v xml:space="preserve"> </v>
      </c>
      <c r="BA453" s="598" t="str">
        <f t="shared" si="875"/>
        <v xml:space="preserve"> </v>
      </c>
      <c r="BB453" s="598" t="str">
        <f t="shared" si="875"/>
        <v xml:space="preserve"> </v>
      </c>
      <c r="BC453" s="598" t="str">
        <f t="shared" si="875"/>
        <v xml:space="preserve"> </v>
      </c>
      <c r="BD453" s="598" t="str">
        <f t="shared" si="875"/>
        <v xml:space="preserve"> </v>
      </c>
      <c r="BE453" s="598" t="str">
        <f t="shared" si="875"/>
        <v xml:space="preserve"> </v>
      </c>
      <c r="BF453" s="598" t="str">
        <f t="shared" si="876"/>
        <v xml:space="preserve"> </v>
      </c>
      <c r="BG453" s="598" t="str">
        <f t="shared" si="876"/>
        <v xml:space="preserve"> </v>
      </c>
      <c r="BH453" s="598" t="str">
        <f t="shared" si="876"/>
        <v xml:space="preserve"> </v>
      </c>
      <c r="BI453" s="598" t="str">
        <f t="shared" si="876"/>
        <v xml:space="preserve"> </v>
      </c>
      <c r="BJ453" s="598" t="str">
        <f t="shared" si="876"/>
        <v xml:space="preserve"> </v>
      </c>
      <c r="BK453" s="598" t="str">
        <f t="shared" si="876"/>
        <v xml:space="preserve"> </v>
      </c>
      <c r="BL453" s="598" t="str">
        <f t="shared" si="876"/>
        <v xml:space="preserve"> </v>
      </c>
      <c r="BM453" s="598" t="str">
        <f t="shared" si="876"/>
        <v xml:space="preserve"> </v>
      </c>
      <c r="BN453" s="598" t="str">
        <f t="shared" si="876"/>
        <v xml:space="preserve"> </v>
      </c>
      <c r="BO453" s="598" t="str">
        <f t="shared" si="876"/>
        <v xml:space="preserve"> </v>
      </c>
      <c r="BP453" s="598" t="str">
        <f t="shared" si="877"/>
        <v xml:space="preserve"> </v>
      </c>
      <c r="BQ453" s="598" t="str">
        <f t="shared" si="877"/>
        <v xml:space="preserve"> </v>
      </c>
      <c r="BR453" s="598" t="str">
        <f t="shared" si="877"/>
        <v xml:space="preserve"> </v>
      </c>
      <c r="BS453" s="598" t="str">
        <f t="shared" si="877"/>
        <v xml:space="preserve"> </v>
      </c>
      <c r="BT453" s="598" t="str">
        <f t="shared" si="877"/>
        <v xml:space="preserve"> </v>
      </c>
      <c r="BU453" s="598" t="str">
        <f t="shared" si="877"/>
        <v xml:space="preserve"> </v>
      </c>
      <c r="BV453" s="598" t="str">
        <f t="shared" si="877"/>
        <v xml:space="preserve"> </v>
      </c>
      <c r="BW453" s="598" t="str">
        <f t="shared" si="877"/>
        <v xml:space="preserve"> </v>
      </c>
      <c r="BX453" s="598" t="str">
        <f t="shared" si="877"/>
        <v xml:space="preserve"> </v>
      </c>
      <c r="BY453" s="598" t="str">
        <f t="shared" si="877"/>
        <v xml:space="preserve"> </v>
      </c>
      <c r="BZ453" s="598" t="str">
        <f t="shared" si="878"/>
        <v xml:space="preserve"> </v>
      </c>
      <c r="CA453" s="598" t="str">
        <f t="shared" si="878"/>
        <v xml:space="preserve"> </v>
      </c>
      <c r="CB453" s="598" t="str">
        <f t="shared" si="878"/>
        <v xml:space="preserve"> </v>
      </c>
      <c r="CC453" s="598" t="str">
        <f t="shared" si="878"/>
        <v xml:space="preserve"> </v>
      </c>
      <c r="CD453" s="598" t="str">
        <f t="shared" si="878"/>
        <v xml:space="preserve"> </v>
      </c>
      <c r="CE453" s="598" t="str">
        <f t="shared" si="878"/>
        <v xml:space="preserve"> </v>
      </c>
      <c r="CF453" s="598" t="str">
        <f t="shared" si="878"/>
        <v xml:space="preserve"> </v>
      </c>
      <c r="CG453" s="598" t="str">
        <f t="shared" si="878"/>
        <v xml:space="preserve"> </v>
      </c>
      <c r="CH453" s="598" t="str">
        <f t="shared" si="878"/>
        <v xml:space="preserve"> </v>
      </c>
      <c r="CI453" s="598" t="str">
        <f t="shared" si="878"/>
        <v xml:space="preserve"> </v>
      </c>
      <c r="CJ453" s="598" t="str">
        <f t="shared" si="878"/>
        <v xml:space="preserve"> </v>
      </c>
      <c r="CK453" s="598" t="str">
        <f t="shared" si="878"/>
        <v xml:space="preserve"> </v>
      </c>
      <c r="CL453" s="598" t="str">
        <f t="shared" si="878"/>
        <v xml:space="preserve"> </v>
      </c>
      <c r="CM453" s="598" t="str">
        <f t="shared" si="878"/>
        <v xml:space="preserve"> </v>
      </c>
      <c r="CN453" s="598" t="str">
        <f t="shared" si="878"/>
        <v xml:space="preserve"> </v>
      </c>
    </row>
    <row r="454" spans="1:92">
      <c r="A454" s="598">
        <v>77</v>
      </c>
      <c r="B454" s="598" t="str">
        <f t="shared" si="871"/>
        <v xml:space="preserve"> </v>
      </c>
      <c r="C454" s="598" t="str">
        <f t="shared" si="871"/>
        <v xml:space="preserve"> </v>
      </c>
      <c r="D454" s="598" t="str">
        <f t="shared" si="871"/>
        <v xml:space="preserve"> </v>
      </c>
      <c r="E454" s="598" t="str">
        <f t="shared" si="871"/>
        <v xml:space="preserve"> </v>
      </c>
      <c r="F454" s="598" t="str">
        <f t="shared" si="871"/>
        <v xml:space="preserve"> </v>
      </c>
      <c r="G454" s="598" t="str">
        <f t="shared" si="871"/>
        <v xml:space="preserve"> </v>
      </c>
      <c r="H454" s="598" t="str">
        <f t="shared" si="871"/>
        <v xml:space="preserve"> </v>
      </c>
      <c r="I454" s="598" t="str">
        <f t="shared" si="871"/>
        <v xml:space="preserve"> </v>
      </c>
      <c r="J454" s="598" t="str">
        <f t="shared" si="871"/>
        <v xml:space="preserve"> </v>
      </c>
      <c r="K454" s="598" t="str">
        <f t="shared" si="871"/>
        <v xml:space="preserve"> </v>
      </c>
      <c r="L454" s="598" t="str">
        <f t="shared" si="872"/>
        <v xml:space="preserve"> </v>
      </c>
      <c r="M454" s="598" t="str">
        <f t="shared" si="872"/>
        <v xml:space="preserve"> </v>
      </c>
      <c r="N454" s="598" t="str">
        <f t="shared" si="872"/>
        <v xml:space="preserve"> </v>
      </c>
      <c r="O454" s="598" t="str">
        <f t="shared" si="872"/>
        <v xml:space="preserve"> </v>
      </c>
      <c r="P454" s="598" t="str">
        <f t="shared" si="872"/>
        <v xml:space="preserve"> </v>
      </c>
      <c r="Q454" s="598" t="str">
        <f t="shared" si="872"/>
        <v xml:space="preserve"> </v>
      </c>
      <c r="R454" s="598" t="str">
        <f t="shared" si="872"/>
        <v xml:space="preserve"> </v>
      </c>
      <c r="S454" s="598" t="str">
        <f t="shared" si="872"/>
        <v xml:space="preserve"> </v>
      </c>
      <c r="T454" s="598" t="str">
        <f t="shared" si="872"/>
        <v xml:space="preserve"> </v>
      </c>
      <c r="U454" s="598" t="str">
        <f t="shared" si="872"/>
        <v xml:space="preserve"> </v>
      </c>
      <c r="V454" s="598" t="str">
        <f t="shared" si="873"/>
        <v xml:space="preserve"> </v>
      </c>
      <c r="W454" s="598" t="str">
        <f t="shared" si="873"/>
        <v xml:space="preserve"> </v>
      </c>
      <c r="X454" s="598" t="str">
        <f t="shared" si="873"/>
        <v xml:space="preserve"> </v>
      </c>
      <c r="Y454" s="598" t="str">
        <f t="shared" si="873"/>
        <v xml:space="preserve"> </v>
      </c>
      <c r="Z454" s="598" t="str">
        <f t="shared" si="873"/>
        <v xml:space="preserve"> </v>
      </c>
      <c r="AA454" s="598" t="str">
        <f t="shared" si="873"/>
        <v xml:space="preserve"> </v>
      </c>
      <c r="AB454" s="598" t="str">
        <f t="shared" si="873"/>
        <v xml:space="preserve"> </v>
      </c>
      <c r="AC454" s="598" t="str">
        <f t="shared" si="873"/>
        <v xml:space="preserve"> </v>
      </c>
      <c r="AD454" s="598" t="str">
        <f t="shared" si="873"/>
        <v xml:space="preserve"> </v>
      </c>
      <c r="AE454" s="598" t="str">
        <f t="shared" si="873"/>
        <v xml:space="preserve"> </v>
      </c>
      <c r="AF454" s="598" t="str">
        <f t="shared" si="874"/>
        <v xml:space="preserve"> </v>
      </c>
      <c r="AG454" s="598" t="str">
        <f t="shared" si="874"/>
        <v xml:space="preserve"> </v>
      </c>
      <c r="AH454" s="598" t="str">
        <f t="shared" si="874"/>
        <v xml:space="preserve"> </v>
      </c>
      <c r="AI454" s="598" t="str">
        <f t="shared" si="874"/>
        <v xml:space="preserve"> </v>
      </c>
      <c r="AJ454" s="598" t="str">
        <f t="shared" si="874"/>
        <v xml:space="preserve"> </v>
      </c>
      <c r="AK454" s="598" t="str">
        <f t="shared" si="874"/>
        <v xml:space="preserve"> </v>
      </c>
      <c r="AL454" s="598" t="str">
        <f t="shared" si="874"/>
        <v xml:space="preserve"> </v>
      </c>
      <c r="AM454" s="598" t="str">
        <f t="shared" si="874"/>
        <v xml:space="preserve"> </v>
      </c>
      <c r="AN454" s="598" t="str">
        <f t="shared" si="874"/>
        <v xml:space="preserve"> </v>
      </c>
      <c r="AO454" s="598" t="str">
        <f t="shared" si="874"/>
        <v xml:space="preserve"> </v>
      </c>
      <c r="AP454" s="598" t="str">
        <f t="shared" si="874"/>
        <v xml:space="preserve"> </v>
      </c>
      <c r="AQ454" s="598" t="str">
        <f t="shared" si="874"/>
        <v xml:space="preserve"> </v>
      </c>
      <c r="AR454" s="598" t="str">
        <f t="shared" si="874"/>
        <v xml:space="preserve"> </v>
      </c>
      <c r="AS454" s="598" t="str">
        <f t="shared" si="874"/>
        <v xml:space="preserve"> </v>
      </c>
      <c r="AT454" s="598" t="str">
        <f t="shared" si="874"/>
        <v xml:space="preserve"> </v>
      </c>
      <c r="AV454" s="598" t="str">
        <f t="shared" si="875"/>
        <v xml:space="preserve"> </v>
      </c>
      <c r="AW454" s="598" t="str">
        <f t="shared" si="875"/>
        <v xml:space="preserve"> </v>
      </c>
      <c r="AX454" s="598" t="str">
        <f t="shared" si="875"/>
        <v xml:space="preserve"> </v>
      </c>
      <c r="AY454" s="598" t="str">
        <f t="shared" si="875"/>
        <v xml:space="preserve"> </v>
      </c>
      <c r="AZ454" s="598" t="str">
        <f t="shared" si="875"/>
        <v xml:space="preserve"> </v>
      </c>
      <c r="BA454" s="598" t="str">
        <f t="shared" si="875"/>
        <v xml:space="preserve"> </v>
      </c>
      <c r="BB454" s="598" t="str">
        <f t="shared" si="875"/>
        <v xml:space="preserve"> </v>
      </c>
      <c r="BC454" s="598" t="str">
        <f t="shared" si="875"/>
        <v xml:space="preserve"> </v>
      </c>
      <c r="BD454" s="598" t="str">
        <f t="shared" si="875"/>
        <v xml:space="preserve"> </v>
      </c>
      <c r="BE454" s="598" t="str">
        <f t="shared" si="875"/>
        <v xml:space="preserve"> </v>
      </c>
      <c r="BF454" s="598" t="str">
        <f t="shared" si="876"/>
        <v xml:space="preserve"> </v>
      </c>
      <c r="BG454" s="598" t="str">
        <f t="shared" si="876"/>
        <v xml:space="preserve"> </v>
      </c>
      <c r="BH454" s="598" t="str">
        <f t="shared" si="876"/>
        <v xml:space="preserve"> </v>
      </c>
      <c r="BI454" s="598" t="str">
        <f t="shared" si="876"/>
        <v xml:space="preserve"> </v>
      </c>
      <c r="BJ454" s="598" t="str">
        <f t="shared" si="876"/>
        <v xml:space="preserve"> </v>
      </c>
      <c r="BK454" s="598" t="str">
        <f t="shared" si="876"/>
        <v xml:space="preserve"> </v>
      </c>
      <c r="BL454" s="598" t="str">
        <f t="shared" si="876"/>
        <v xml:space="preserve"> </v>
      </c>
      <c r="BM454" s="598" t="str">
        <f t="shared" si="876"/>
        <v xml:space="preserve"> </v>
      </c>
      <c r="BN454" s="598" t="str">
        <f t="shared" si="876"/>
        <v xml:space="preserve"> </v>
      </c>
      <c r="BO454" s="598" t="str">
        <f t="shared" si="876"/>
        <v xml:space="preserve"> </v>
      </c>
      <c r="BP454" s="598" t="str">
        <f t="shared" si="877"/>
        <v xml:space="preserve"> </v>
      </c>
      <c r="BQ454" s="598" t="str">
        <f t="shared" si="877"/>
        <v xml:space="preserve"> </v>
      </c>
      <c r="BR454" s="598" t="str">
        <f t="shared" si="877"/>
        <v xml:space="preserve"> </v>
      </c>
      <c r="BS454" s="598" t="str">
        <f t="shared" si="877"/>
        <v xml:space="preserve"> </v>
      </c>
      <c r="BT454" s="598" t="str">
        <f t="shared" si="877"/>
        <v xml:space="preserve"> </v>
      </c>
      <c r="BU454" s="598" t="str">
        <f t="shared" si="877"/>
        <v xml:space="preserve"> </v>
      </c>
      <c r="BV454" s="598" t="str">
        <f t="shared" si="877"/>
        <v xml:space="preserve"> </v>
      </c>
      <c r="BW454" s="598" t="str">
        <f t="shared" si="877"/>
        <v xml:space="preserve"> </v>
      </c>
      <c r="BX454" s="598" t="str">
        <f t="shared" si="877"/>
        <v xml:space="preserve"> </v>
      </c>
      <c r="BY454" s="598" t="str">
        <f t="shared" si="877"/>
        <v xml:space="preserve"> </v>
      </c>
      <c r="BZ454" s="598" t="str">
        <f t="shared" si="878"/>
        <v xml:space="preserve"> </v>
      </c>
      <c r="CA454" s="598" t="str">
        <f t="shared" si="878"/>
        <v xml:space="preserve"> </v>
      </c>
      <c r="CB454" s="598" t="str">
        <f t="shared" si="878"/>
        <v xml:space="preserve"> </v>
      </c>
      <c r="CC454" s="598" t="str">
        <f t="shared" si="878"/>
        <v xml:space="preserve"> </v>
      </c>
      <c r="CD454" s="598" t="str">
        <f t="shared" si="878"/>
        <v xml:space="preserve"> </v>
      </c>
      <c r="CE454" s="598" t="str">
        <f t="shared" si="878"/>
        <v xml:space="preserve"> </v>
      </c>
      <c r="CF454" s="598" t="str">
        <f t="shared" si="878"/>
        <v xml:space="preserve"> </v>
      </c>
      <c r="CG454" s="598" t="str">
        <f t="shared" si="878"/>
        <v xml:space="preserve"> </v>
      </c>
      <c r="CH454" s="598" t="str">
        <f t="shared" si="878"/>
        <v xml:space="preserve"> </v>
      </c>
      <c r="CI454" s="598" t="str">
        <f t="shared" si="878"/>
        <v xml:space="preserve"> </v>
      </c>
      <c r="CJ454" s="598" t="str">
        <f t="shared" si="878"/>
        <v xml:space="preserve"> </v>
      </c>
      <c r="CK454" s="598" t="str">
        <f t="shared" si="878"/>
        <v xml:space="preserve"> </v>
      </c>
      <c r="CL454" s="598" t="str">
        <f t="shared" si="878"/>
        <v xml:space="preserve"> </v>
      </c>
      <c r="CM454" s="598" t="str">
        <f t="shared" si="878"/>
        <v xml:space="preserve"> </v>
      </c>
      <c r="CN454" s="598" t="str">
        <f t="shared" si="878"/>
        <v xml:space="preserve"> </v>
      </c>
    </row>
    <row r="455" spans="1:92">
      <c r="A455" s="598">
        <v>78</v>
      </c>
      <c r="B455" s="598" t="str">
        <f t="shared" si="871"/>
        <v xml:space="preserve"> </v>
      </c>
      <c r="C455" s="598" t="str">
        <f t="shared" si="871"/>
        <v xml:space="preserve"> </v>
      </c>
      <c r="D455" s="598" t="str">
        <f t="shared" si="871"/>
        <v xml:space="preserve"> </v>
      </c>
      <c r="E455" s="598" t="str">
        <f t="shared" si="871"/>
        <v xml:space="preserve"> </v>
      </c>
      <c r="F455" s="598" t="str">
        <f t="shared" si="871"/>
        <v xml:space="preserve"> </v>
      </c>
      <c r="G455" s="598" t="str">
        <f t="shared" si="871"/>
        <v xml:space="preserve"> </v>
      </c>
      <c r="H455" s="598" t="str">
        <f t="shared" si="871"/>
        <v xml:space="preserve"> </v>
      </c>
      <c r="I455" s="598" t="str">
        <f t="shared" si="871"/>
        <v xml:space="preserve"> </v>
      </c>
      <c r="J455" s="598" t="str">
        <f t="shared" si="871"/>
        <v xml:space="preserve"> </v>
      </c>
      <c r="K455" s="598" t="str">
        <f t="shared" si="871"/>
        <v xml:space="preserve"> </v>
      </c>
      <c r="L455" s="598" t="str">
        <f t="shared" si="872"/>
        <v xml:space="preserve"> </v>
      </c>
      <c r="M455" s="598" t="str">
        <f t="shared" si="872"/>
        <v xml:space="preserve"> </v>
      </c>
      <c r="N455" s="598" t="str">
        <f t="shared" si="872"/>
        <v xml:space="preserve"> </v>
      </c>
      <c r="O455" s="598" t="str">
        <f t="shared" si="872"/>
        <v xml:space="preserve"> </v>
      </c>
      <c r="P455" s="598" t="str">
        <f t="shared" si="872"/>
        <v xml:space="preserve"> </v>
      </c>
      <c r="Q455" s="598" t="str">
        <f t="shared" si="872"/>
        <v xml:space="preserve"> </v>
      </c>
      <c r="R455" s="598" t="str">
        <f t="shared" si="872"/>
        <v xml:space="preserve"> </v>
      </c>
      <c r="S455" s="598" t="str">
        <f t="shared" si="872"/>
        <v xml:space="preserve"> </v>
      </c>
      <c r="T455" s="598" t="str">
        <f t="shared" si="872"/>
        <v xml:space="preserve"> </v>
      </c>
      <c r="U455" s="598" t="str">
        <f t="shared" si="872"/>
        <v xml:space="preserve"> </v>
      </c>
      <c r="V455" s="598" t="str">
        <f t="shared" si="873"/>
        <v xml:space="preserve"> </v>
      </c>
      <c r="W455" s="598" t="str">
        <f t="shared" si="873"/>
        <v xml:space="preserve"> </v>
      </c>
      <c r="X455" s="598" t="str">
        <f t="shared" si="873"/>
        <v xml:space="preserve"> </v>
      </c>
      <c r="Y455" s="598" t="str">
        <f t="shared" si="873"/>
        <v xml:space="preserve"> </v>
      </c>
      <c r="Z455" s="598" t="str">
        <f t="shared" si="873"/>
        <v xml:space="preserve"> </v>
      </c>
      <c r="AA455" s="598" t="str">
        <f t="shared" si="873"/>
        <v xml:space="preserve"> </v>
      </c>
      <c r="AB455" s="598" t="str">
        <f t="shared" si="873"/>
        <v xml:space="preserve"> </v>
      </c>
      <c r="AC455" s="598" t="str">
        <f t="shared" si="873"/>
        <v xml:space="preserve"> </v>
      </c>
      <c r="AD455" s="598" t="str">
        <f t="shared" si="873"/>
        <v xml:space="preserve"> </v>
      </c>
      <c r="AE455" s="598" t="str">
        <f t="shared" si="873"/>
        <v xml:space="preserve"> </v>
      </c>
      <c r="AF455" s="598" t="str">
        <f t="shared" si="874"/>
        <v xml:space="preserve"> </v>
      </c>
      <c r="AG455" s="598" t="str">
        <f t="shared" si="874"/>
        <v xml:space="preserve"> </v>
      </c>
      <c r="AH455" s="598" t="str">
        <f t="shared" si="874"/>
        <v xml:space="preserve"> </v>
      </c>
      <c r="AI455" s="598" t="str">
        <f t="shared" si="874"/>
        <v xml:space="preserve"> </v>
      </c>
      <c r="AJ455" s="598" t="str">
        <f t="shared" si="874"/>
        <v xml:space="preserve"> </v>
      </c>
      <c r="AK455" s="598" t="str">
        <f t="shared" si="874"/>
        <v xml:space="preserve"> </v>
      </c>
      <c r="AL455" s="598" t="str">
        <f t="shared" si="874"/>
        <v xml:space="preserve"> </v>
      </c>
      <c r="AM455" s="598" t="str">
        <f t="shared" si="874"/>
        <v xml:space="preserve"> </v>
      </c>
      <c r="AN455" s="598" t="str">
        <f t="shared" si="874"/>
        <v xml:space="preserve"> </v>
      </c>
      <c r="AO455" s="598" t="str">
        <f t="shared" si="874"/>
        <v xml:space="preserve"> </v>
      </c>
      <c r="AP455" s="598" t="str">
        <f t="shared" si="874"/>
        <v xml:space="preserve"> </v>
      </c>
      <c r="AQ455" s="598" t="str">
        <f t="shared" si="874"/>
        <v xml:space="preserve"> </v>
      </c>
      <c r="AR455" s="598" t="str">
        <f t="shared" si="874"/>
        <v xml:space="preserve"> </v>
      </c>
      <c r="AS455" s="598" t="str">
        <f t="shared" si="874"/>
        <v xml:space="preserve"> </v>
      </c>
      <c r="AT455" s="598" t="str">
        <f t="shared" si="874"/>
        <v xml:space="preserve"> </v>
      </c>
      <c r="AV455" s="598" t="str">
        <f t="shared" si="875"/>
        <v xml:space="preserve"> </v>
      </c>
      <c r="AW455" s="598" t="str">
        <f t="shared" si="875"/>
        <v xml:space="preserve"> </v>
      </c>
      <c r="AX455" s="598" t="str">
        <f t="shared" si="875"/>
        <v xml:space="preserve"> </v>
      </c>
      <c r="AY455" s="598" t="str">
        <f t="shared" si="875"/>
        <v xml:space="preserve"> </v>
      </c>
      <c r="AZ455" s="598" t="str">
        <f t="shared" si="875"/>
        <v xml:space="preserve"> </v>
      </c>
      <c r="BA455" s="598" t="str">
        <f t="shared" si="875"/>
        <v xml:space="preserve"> </v>
      </c>
      <c r="BB455" s="598" t="str">
        <f t="shared" si="875"/>
        <v xml:space="preserve"> </v>
      </c>
      <c r="BC455" s="598" t="str">
        <f t="shared" si="875"/>
        <v xml:space="preserve"> </v>
      </c>
      <c r="BD455" s="598" t="str">
        <f t="shared" si="875"/>
        <v xml:space="preserve"> </v>
      </c>
      <c r="BE455" s="598" t="str">
        <f t="shared" si="875"/>
        <v xml:space="preserve"> </v>
      </c>
      <c r="BF455" s="598" t="str">
        <f t="shared" si="876"/>
        <v xml:space="preserve"> </v>
      </c>
      <c r="BG455" s="598" t="str">
        <f t="shared" si="876"/>
        <v xml:space="preserve"> </v>
      </c>
      <c r="BH455" s="598" t="str">
        <f t="shared" si="876"/>
        <v xml:space="preserve"> </v>
      </c>
      <c r="BI455" s="598" t="str">
        <f t="shared" si="876"/>
        <v xml:space="preserve"> </v>
      </c>
      <c r="BJ455" s="598" t="str">
        <f t="shared" si="876"/>
        <v xml:space="preserve"> </v>
      </c>
      <c r="BK455" s="598" t="str">
        <f t="shared" si="876"/>
        <v xml:space="preserve"> </v>
      </c>
      <c r="BL455" s="598" t="str">
        <f t="shared" si="876"/>
        <v xml:space="preserve"> </v>
      </c>
      <c r="BM455" s="598" t="str">
        <f t="shared" si="876"/>
        <v xml:space="preserve"> </v>
      </c>
      <c r="BN455" s="598" t="str">
        <f t="shared" si="876"/>
        <v xml:space="preserve"> </v>
      </c>
      <c r="BO455" s="598" t="str">
        <f t="shared" si="876"/>
        <v xml:space="preserve"> </v>
      </c>
      <c r="BP455" s="598" t="str">
        <f t="shared" si="877"/>
        <v xml:space="preserve"> </v>
      </c>
      <c r="BQ455" s="598" t="str">
        <f t="shared" si="877"/>
        <v xml:space="preserve"> </v>
      </c>
      <c r="BR455" s="598" t="str">
        <f t="shared" si="877"/>
        <v xml:space="preserve"> </v>
      </c>
      <c r="BS455" s="598" t="str">
        <f t="shared" si="877"/>
        <v xml:space="preserve"> </v>
      </c>
      <c r="BT455" s="598" t="str">
        <f t="shared" si="877"/>
        <v xml:space="preserve"> </v>
      </c>
      <c r="BU455" s="598" t="str">
        <f t="shared" si="877"/>
        <v xml:space="preserve"> </v>
      </c>
      <c r="BV455" s="598" t="str">
        <f t="shared" si="877"/>
        <v xml:space="preserve"> </v>
      </c>
      <c r="BW455" s="598" t="str">
        <f t="shared" si="877"/>
        <v xml:space="preserve"> </v>
      </c>
      <c r="BX455" s="598" t="str">
        <f t="shared" si="877"/>
        <v xml:space="preserve"> </v>
      </c>
      <c r="BY455" s="598" t="str">
        <f t="shared" si="877"/>
        <v xml:space="preserve"> </v>
      </c>
      <c r="BZ455" s="598" t="str">
        <f t="shared" si="878"/>
        <v xml:space="preserve"> </v>
      </c>
      <c r="CA455" s="598" t="str">
        <f t="shared" si="878"/>
        <v xml:space="preserve"> </v>
      </c>
      <c r="CB455" s="598" t="str">
        <f t="shared" si="878"/>
        <v xml:space="preserve"> </v>
      </c>
      <c r="CC455" s="598" t="str">
        <f t="shared" si="878"/>
        <v xml:space="preserve"> </v>
      </c>
      <c r="CD455" s="598" t="str">
        <f t="shared" si="878"/>
        <v xml:space="preserve"> </v>
      </c>
      <c r="CE455" s="598" t="str">
        <f t="shared" si="878"/>
        <v xml:space="preserve"> </v>
      </c>
      <c r="CF455" s="598" t="str">
        <f t="shared" si="878"/>
        <v xml:space="preserve"> </v>
      </c>
      <c r="CG455" s="598" t="str">
        <f t="shared" si="878"/>
        <v xml:space="preserve"> </v>
      </c>
      <c r="CH455" s="598" t="str">
        <f t="shared" si="878"/>
        <v xml:space="preserve"> </v>
      </c>
      <c r="CI455" s="598" t="str">
        <f t="shared" si="878"/>
        <v xml:space="preserve"> </v>
      </c>
      <c r="CJ455" s="598" t="str">
        <f t="shared" si="878"/>
        <v xml:space="preserve"> </v>
      </c>
      <c r="CK455" s="598" t="str">
        <f t="shared" si="878"/>
        <v xml:space="preserve"> </v>
      </c>
      <c r="CL455" s="598" t="str">
        <f t="shared" si="878"/>
        <v xml:space="preserve"> </v>
      </c>
      <c r="CM455" s="598" t="str">
        <f t="shared" si="878"/>
        <v xml:space="preserve"> </v>
      </c>
      <c r="CN455" s="598" t="str">
        <f t="shared" si="878"/>
        <v xml:space="preserve"> </v>
      </c>
    </row>
    <row r="456" spans="1:92">
      <c r="A456" s="598">
        <v>79</v>
      </c>
      <c r="B456" s="598" t="str">
        <f t="shared" si="871"/>
        <v xml:space="preserve"> </v>
      </c>
      <c r="C456" s="598" t="str">
        <f t="shared" si="871"/>
        <v xml:space="preserve"> </v>
      </c>
      <c r="D456" s="598" t="str">
        <f t="shared" si="871"/>
        <v xml:space="preserve"> </v>
      </c>
      <c r="E456" s="598" t="str">
        <f t="shared" si="871"/>
        <v xml:space="preserve"> </v>
      </c>
      <c r="F456" s="598" t="str">
        <f t="shared" si="871"/>
        <v xml:space="preserve"> </v>
      </c>
      <c r="G456" s="598" t="str">
        <f t="shared" si="871"/>
        <v xml:space="preserve"> </v>
      </c>
      <c r="H456" s="598" t="str">
        <f t="shared" si="871"/>
        <v xml:space="preserve"> </v>
      </c>
      <c r="I456" s="598" t="str">
        <f t="shared" si="871"/>
        <v xml:space="preserve"> </v>
      </c>
      <c r="J456" s="598" t="str">
        <f t="shared" si="871"/>
        <v xml:space="preserve"> </v>
      </c>
      <c r="K456" s="598" t="str">
        <f t="shared" si="871"/>
        <v xml:space="preserve"> </v>
      </c>
      <c r="L456" s="598" t="str">
        <f t="shared" si="872"/>
        <v xml:space="preserve"> </v>
      </c>
      <c r="M456" s="598" t="str">
        <f t="shared" si="872"/>
        <v xml:space="preserve"> </v>
      </c>
      <c r="N456" s="598" t="str">
        <f t="shared" si="872"/>
        <v xml:space="preserve"> </v>
      </c>
      <c r="O456" s="598" t="str">
        <f t="shared" si="872"/>
        <v xml:space="preserve"> </v>
      </c>
      <c r="P456" s="598" t="str">
        <f t="shared" si="872"/>
        <v xml:space="preserve"> </v>
      </c>
      <c r="Q456" s="598" t="str">
        <f t="shared" si="872"/>
        <v xml:space="preserve"> </v>
      </c>
      <c r="R456" s="598" t="str">
        <f t="shared" si="872"/>
        <v xml:space="preserve"> </v>
      </c>
      <c r="S456" s="598" t="str">
        <f t="shared" si="872"/>
        <v xml:space="preserve"> </v>
      </c>
      <c r="T456" s="598" t="str">
        <f t="shared" si="872"/>
        <v xml:space="preserve"> </v>
      </c>
      <c r="U456" s="598" t="str">
        <f t="shared" si="872"/>
        <v xml:space="preserve"> </v>
      </c>
      <c r="V456" s="598" t="str">
        <f t="shared" si="873"/>
        <v xml:space="preserve"> </v>
      </c>
      <c r="W456" s="598" t="str">
        <f t="shared" si="873"/>
        <v xml:space="preserve"> </v>
      </c>
      <c r="X456" s="598" t="str">
        <f t="shared" si="873"/>
        <v xml:space="preserve"> </v>
      </c>
      <c r="Y456" s="598" t="str">
        <f t="shared" si="873"/>
        <v xml:space="preserve"> </v>
      </c>
      <c r="Z456" s="598" t="str">
        <f t="shared" si="873"/>
        <v xml:space="preserve"> </v>
      </c>
      <c r="AA456" s="598" t="str">
        <f t="shared" si="873"/>
        <v xml:space="preserve"> </v>
      </c>
      <c r="AB456" s="598" t="str">
        <f t="shared" si="873"/>
        <v xml:space="preserve"> </v>
      </c>
      <c r="AC456" s="598" t="str">
        <f t="shared" si="873"/>
        <v xml:space="preserve"> </v>
      </c>
      <c r="AD456" s="598" t="str">
        <f t="shared" si="873"/>
        <v xml:space="preserve"> </v>
      </c>
      <c r="AE456" s="598" t="str">
        <f t="shared" si="873"/>
        <v xml:space="preserve"> </v>
      </c>
      <c r="AF456" s="598" t="str">
        <f t="shared" si="874"/>
        <v xml:space="preserve"> </v>
      </c>
      <c r="AG456" s="598" t="str">
        <f t="shared" si="874"/>
        <v xml:space="preserve"> </v>
      </c>
      <c r="AH456" s="598" t="str">
        <f t="shared" si="874"/>
        <v xml:space="preserve"> </v>
      </c>
      <c r="AI456" s="598" t="str">
        <f t="shared" si="874"/>
        <v xml:space="preserve"> </v>
      </c>
      <c r="AJ456" s="598" t="str">
        <f t="shared" si="874"/>
        <v xml:space="preserve"> </v>
      </c>
      <c r="AK456" s="598" t="str">
        <f t="shared" si="874"/>
        <v xml:space="preserve"> </v>
      </c>
      <c r="AL456" s="598" t="str">
        <f t="shared" si="874"/>
        <v xml:space="preserve"> </v>
      </c>
      <c r="AM456" s="598" t="str">
        <f t="shared" si="874"/>
        <v xml:space="preserve"> </v>
      </c>
      <c r="AN456" s="598" t="str">
        <f t="shared" si="874"/>
        <v xml:space="preserve"> </v>
      </c>
      <c r="AO456" s="598" t="str">
        <f t="shared" si="874"/>
        <v xml:space="preserve"> </v>
      </c>
      <c r="AP456" s="598" t="str">
        <f t="shared" si="874"/>
        <v xml:space="preserve"> </v>
      </c>
      <c r="AQ456" s="598" t="str">
        <f t="shared" si="874"/>
        <v xml:space="preserve"> </v>
      </c>
      <c r="AR456" s="598" t="str">
        <f t="shared" si="874"/>
        <v xml:space="preserve"> </v>
      </c>
      <c r="AS456" s="598" t="str">
        <f t="shared" si="874"/>
        <v xml:space="preserve"> </v>
      </c>
      <c r="AT456" s="598" t="str">
        <f t="shared" si="874"/>
        <v xml:space="preserve"> </v>
      </c>
      <c r="AV456" s="598" t="str">
        <f t="shared" si="875"/>
        <v xml:space="preserve"> </v>
      </c>
      <c r="AW456" s="598" t="str">
        <f t="shared" si="875"/>
        <v xml:space="preserve"> </v>
      </c>
      <c r="AX456" s="598" t="str">
        <f t="shared" si="875"/>
        <v xml:space="preserve"> </v>
      </c>
      <c r="AY456" s="598" t="str">
        <f t="shared" si="875"/>
        <v xml:space="preserve"> </v>
      </c>
      <c r="AZ456" s="598" t="str">
        <f t="shared" si="875"/>
        <v xml:space="preserve"> </v>
      </c>
      <c r="BA456" s="598" t="str">
        <f t="shared" si="875"/>
        <v xml:space="preserve"> </v>
      </c>
      <c r="BB456" s="598" t="str">
        <f t="shared" si="875"/>
        <v xml:space="preserve"> </v>
      </c>
      <c r="BC456" s="598" t="str">
        <f t="shared" si="875"/>
        <v xml:space="preserve"> </v>
      </c>
      <c r="BD456" s="598" t="str">
        <f t="shared" si="875"/>
        <v xml:space="preserve"> </v>
      </c>
      <c r="BE456" s="598" t="str">
        <f t="shared" si="875"/>
        <v xml:space="preserve"> </v>
      </c>
      <c r="BF456" s="598" t="str">
        <f t="shared" si="876"/>
        <v xml:space="preserve"> </v>
      </c>
      <c r="BG456" s="598" t="str">
        <f t="shared" si="876"/>
        <v xml:space="preserve"> </v>
      </c>
      <c r="BH456" s="598" t="str">
        <f t="shared" si="876"/>
        <v xml:space="preserve"> </v>
      </c>
      <c r="BI456" s="598" t="str">
        <f t="shared" si="876"/>
        <v xml:space="preserve"> </v>
      </c>
      <c r="BJ456" s="598" t="str">
        <f t="shared" si="876"/>
        <v xml:space="preserve"> </v>
      </c>
      <c r="BK456" s="598" t="str">
        <f t="shared" si="876"/>
        <v xml:space="preserve"> </v>
      </c>
      <c r="BL456" s="598" t="str">
        <f t="shared" si="876"/>
        <v xml:space="preserve"> </v>
      </c>
      <c r="BM456" s="598" t="str">
        <f t="shared" si="876"/>
        <v xml:space="preserve"> </v>
      </c>
      <c r="BN456" s="598" t="str">
        <f t="shared" si="876"/>
        <v xml:space="preserve"> </v>
      </c>
      <c r="BO456" s="598" t="str">
        <f t="shared" si="876"/>
        <v xml:space="preserve"> </v>
      </c>
      <c r="BP456" s="598" t="str">
        <f t="shared" si="877"/>
        <v xml:space="preserve"> </v>
      </c>
      <c r="BQ456" s="598" t="str">
        <f t="shared" si="877"/>
        <v xml:space="preserve"> </v>
      </c>
      <c r="BR456" s="598" t="str">
        <f t="shared" si="877"/>
        <v xml:space="preserve"> </v>
      </c>
      <c r="BS456" s="598" t="str">
        <f t="shared" si="877"/>
        <v xml:space="preserve"> </v>
      </c>
      <c r="BT456" s="598" t="str">
        <f t="shared" si="877"/>
        <v xml:space="preserve"> </v>
      </c>
      <c r="BU456" s="598" t="str">
        <f t="shared" si="877"/>
        <v xml:space="preserve"> </v>
      </c>
      <c r="BV456" s="598" t="str">
        <f t="shared" si="877"/>
        <v xml:space="preserve"> </v>
      </c>
      <c r="BW456" s="598" t="str">
        <f t="shared" si="877"/>
        <v xml:space="preserve"> </v>
      </c>
      <c r="BX456" s="598" t="str">
        <f t="shared" si="877"/>
        <v xml:space="preserve"> </v>
      </c>
      <c r="BY456" s="598" t="str">
        <f t="shared" si="877"/>
        <v xml:space="preserve"> </v>
      </c>
      <c r="BZ456" s="598" t="str">
        <f t="shared" si="878"/>
        <v xml:space="preserve"> </v>
      </c>
      <c r="CA456" s="598" t="str">
        <f t="shared" si="878"/>
        <v xml:space="preserve"> </v>
      </c>
      <c r="CB456" s="598" t="str">
        <f t="shared" si="878"/>
        <v xml:space="preserve"> </v>
      </c>
      <c r="CC456" s="598" t="str">
        <f t="shared" si="878"/>
        <v xml:space="preserve"> </v>
      </c>
      <c r="CD456" s="598" t="str">
        <f t="shared" si="878"/>
        <v xml:space="preserve"> </v>
      </c>
      <c r="CE456" s="598" t="str">
        <f t="shared" si="878"/>
        <v xml:space="preserve"> </v>
      </c>
      <c r="CF456" s="598" t="str">
        <f t="shared" si="878"/>
        <v xml:space="preserve"> </v>
      </c>
      <c r="CG456" s="598" t="str">
        <f t="shared" si="878"/>
        <v xml:space="preserve"> </v>
      </c>
      <c r="CH456" s="598" t="str">
        <f t="shared" si="878"/>
        <v xml:space="preserve"> </v>
      </c>
      <c r="CI456" s="598" t="str">
        <f t="shared" si="878"/>
        <v xml:space="preserve"> </v>
      </c>
      <c r="CJ456" s="598" t="str">
        <f t="shared" si="878"/>
        <v xml:space="preserve"> </v>
      </c>
      <c r="CK456" s="598" t="str">
        <f t="shared" si="878"/>
        <v xml:space="preserve"> </v>
      </c>
      <c r="CL456" s="598" t="str">
        <f t="shared" si="878"/>
        <v xml:space="preserve"> </v>
      </c>
      <c r="CM456" s="598" t="str">
        <f t="shared" si="878"/>
        <v xml:space="preserve"> </v>
      </c>
      <c r="CN456" s="598" t="str">
        <f t="shared" si="878"/>
        <v xml:space="preserve"> </v>
      </c>
    </row>
    <row r="457" spans="1:92">
      <c r="A457" s="598">
        <v>80</v>
      </c>
      <c r="B457" s="598" t="str">
        <f t="shared" si="871"/>
        <v xml:space="preserve"> </v>
      </c>
      <c r="C457" s="598" t="str">
        <f t="shared" si="871"/>
        <v xml:space="preserve"> </v>
      </c>
      <c r="D457" s="598" t="str">
        <f t="shared" si="871"/>
        <v xml:space="preserve"> </v>
      </c>
      <c r="E457" s="598" t="str">
        <f t="shared" si="871"/>
        <v xml:space="preserve"> </v>
      </c>
      <c r="F457" s="598" t="str">
        <f t="shared" si="871"/>
        <v xml:space="preserve"> </v>
      </c>
      <c r="G457" s="598" t="str">
        <f t="shared" si="871"/>
        <v xml:space="preserve"> </v>
      </c>
      <c r="H457" s="598" t="str">
        <f t="shared" si="871"/>
        <v xml:space="preserve"> </v>
      </c>
      <c r="I457" s="598" t="str">
        <f t="shared" si="871"/>
        <v xml:space="preserve"> </v>
      </c>
      <c r="J457" s="598" t="str">
        <f t="shared" si="871"/>
        <v xml:space="preserve"> </v>
      </c>
      <c r="K457" s="598" t="str">
        <f t="shared" si="871"/>
        <v xml:space="preserve"> </v>
      </c>
      <c r="L457" s="598" t="str">
        <f t="shared" si="872"/>
        <v xml:space="preserve"> </v>
      </c>
      <c r="M457" s="598" t="str">
        <f t="shared" si="872"/>
        <v xml:space="preserve"> </v>
      </c>
      <c r="N457" s="598" t="str">
        <f t="shared" si="872"/>
        <v xml:space="preserve"> </v>
      </c>
      <c r="O457" s="598" t="str">
        <f t="shared" si="872"/>
        <v xml:space="preserve"> </v>
      </c>
      <c r="P457" s="598" t="str">
        <f t="shared" si="872"/>
        <v xml:space="preserve"> </v>
      </c>
      <c r="Q457" s="598" t="str">
        <f t="shared" si="872"/>
        <v xml:space="preserve"> </v>
      </c>
      <c r="R457" s="598" t="str">
        <f t="shared" si="872"/>
        <v xml:space="preserve"> </v>
      </c>
      <c r="S457" s="598" t="str">
        <f t="shared" si="872"/>
        <v xml:space="preserve"> </v>
      </c>
      <c r="T457" s="598" t="str">
        <f t="shared" si="872"/>
        <v xml:space="preserve"> </v>
      </c>
      <c r="U457" s="598" t="str">
        <f t="shared" si="872"/>
        <v xml:space="preserve"> </v>
      </c>
      <c r="V457" s="598" t="str">
        <f t="shared" si="873"/>
        <v xml:space="preserve"> </v>
      </c>
      <c r="W457" s="598" t="str">
        <f t="shared" si="873"/>
        <v xml:space="preserve"> </v>
      </c>
      <c r="X457" s="598" t="str">
        <f t="shared" si="873"/>
        <v xml:space="preserve"> </v>
      </c>
      <c r="Y457" s="598" t="str">
        <f t="shared" si="873"/>
        <v xml:space="preserve"> </v>
      </c>
      <c r="Z457" s="598" t="str">
        <f t="shared" si="873"/>
        <v xml:space="preserve"> </v>
      </c>
      <c r="AA457" s="598" t="str">
        <f t="shared" si="873"/>
        <v xml:space="preserve"> </v>
      </c>
      <c r="AB457" s="598" t="str">
        <f t="shared" si="873"/>
        <v xml:space="preserve"> </v>
      </c>
      <c r="AC457" s="598" t="str">
        <f t="shared" si="873"/>
        <v xml:space="preserve"> </v>
      </c>
      <c r="AD457" s="598" t="str">
        <f t="shared" si="873"/>
        <v xml:space="preserve"> </v>
      </c>
      <c r="AE457" s="598" t="str">
        <f t="shared" si="873"/>
        <v xml:space="preserve"> </v>
      </c>
      <c r="AF457" s="598" t="str">
        <f t="shared" si="874"/>
        <v xml:space="preserve"> </v>
      </c>
      <c r="AG457" s="598" t="str">
        <f t="shared" si="874"/>
        <v xml:space="preserve"> </v>
      </c>
      <c r="AH457" s="598" t="str">
        <f t="shared" si="874"/>
        <v xml:space="preserve"> </v>
      </c>
      <c r="AI457" s="598" t="str">
        <f t="shared" si="874"/>
        <v xml:space="preserve"> </v>
      </c>
      <c r="AJ457" s="598" t="str">
        <f t="shared" si="874"/>
        <v xml:space="preserve"> </v>
      </c>
      <c r="AK457" s="598" t="str">
        <f t="shared" si="874"/>
        <v xml:space="preserve"> </v>
      </c>
      <c r="AL457" s="598" t="str">
        <f t="shared" si="874"/>
        <v xml:space="preserve"> </v>
      </c>
      <c r="AM457" s="598" t="str">
        <f t="shared" si="874"/>
        <v xml:space="preserve"> </v>
      </c>
      <c r="AN457" s="598" t="str">
        <f t="shared" si="874"/>
        <v xml:space="preserve"> </v>
      </c>
      <c r="AO457" s="598" t="str">
        <f t="shared" si="874"/>
        <v xml:space="preserve"> </v>
      </c>
      <c r="AP457" s="598" t="str">
        <f t="shared" si="874"/>
        <v xml:space="preserve"> </v>
      </c>
      <c r="AQ457" s="598" t="str">
        <f t="shared" si="874"/>
        <v xml:space="preserve"> </v>
      </c>
      <c r="AR457" s="598" t="str">
        <f t="shared" si="874"/>
        <v xml:space="preserve"> </v>
      </c>
      <c r="AS457" s="598" t="str">
        <f t="shared" si="874"/>
        <v xml:space="preserve"> </v>
      </c>
      <c r="AT457" s="598" t="str">
        <f t="shared" si="874"/>
        <v xml:space="preserve"> </v>
      </c>
      <c r="AV457" s="598" t="str">
        <f t="shared" si="875"/>
        <v xml:space="preserve"> </v>
      </c>
      <c r="AW457" s="598" t="str">
        <f t="shared" si="875"/>
        <v xml:space="preserve"> </v>
      </c>
      <c r="AX457" s="598" t="str">
        <f t="shared" si="875"/>
        <v xml:space="preserve"> </v>
      </c>
      <c r="AY457" s="598" t="str">
        <f t="shared" si="875"/>
        <v xml:space="preserve"> </v>
      </c>
      <c r="AZ457" s="598" t="str">
        <f t="shared" si="875"/>
        <v xml:space="preserve"> </v>
      </c>
      <c r="BA457" s="598" t="str">
        <f t="shared" si="875"/>
        <v xml:space="preserve"> </v>
      </c>
      <c r="BB457" s="598" t="str">
        <f t="shared" si="875"/>
        <v xml:space="preserve"> </v>
      </c>
      <c r="BC457" s="598" t="str">
        <f t="shared" si="875"/>
        <v xml:space="preserve"> </v>
      </c>
      <c r="BD457" s="598" t="str">
        <f t="shared" si="875"/>
        <v xml:space="preserve"> </v>
      </c>
      <c r="BE457" s="598" t="str">
        <f t="shared" si="875"/>
        <v xml:space="preserve"> </v>
      </c>
      <c r="BF457" s="598" t="str">
        <f t="shared" si="876"/>
        <v xml:space="preserve"> </v>
      </c>
      <c r="BG457" s="598" t="str">
        <f t="shared" si="876"/>
        <v xml:space="preserve"> </v>
      </c>
      <c r="BH457" s="598" t="str">
        <f t="shared" si="876"/>
        <v xml:space="preserve"> </v>
      </c>
      <c r="BI457" s="598" t="str">
        <f t="shared" si="876"/>
        <v xml:space="preserve"> </v>
      </c>
      <c r="BJ457" s="598" t="str">
        <f t="shared" si="876"/>
        <v xml:space="preserve"> </v>
      </c>
      <c r="BK457" s="598" t="str">
        <f t="shared" si="876"/>
        <v xml:space="preserve"> </v>
      </c>
      <c r="BL457" s="598" t="str">
        <f t="shared" si="876"/>
        <v xml:space="preserve"> </v>
      </c>
      <c r="BM457" s="598" t="str">
        <f t="shared" si="876"/>
        <v xml:space="preserve"> </v>
      </c>
      <c r="BN457" s="598" t="str">
        <f t="shared" si="876"/>
        <v xml:space="preserve"> </v>
      </c>
      <c r="BO457" s="598" t="str">
        <f t="shared" si="876"/>
        <v xml:space="preserve"> </v>
      </c>
      <c r="BP457" s="598" t="str">
        <f t="shared" si="877"/>
        <v xml:space="preserve"> </v>
      </c>
      <c r="BQ457" s="598" t="str">
        <f t="shared" si="877"/>
        <v xml:space="preserve"> </v>
      </c>
      <c r="BR457" s="598" t="str">
        <f t="shared" si="877"/>
        <v xml:space="preserve"> </v>
      </c>
      <c r="BS457" s="598" t="str">
        <f t="shared" si="877"/>
        <v xml:space="preserve"> </v>
      </c>
      <c r="BT457" s="598" t="str">
        <f t="shared" si="877"/>
        <v xml:space="preserve"> </v>
      </c>
      <c r="BU457" s="598" t="str">
        <f t="shared" si="877"/>
        <v xml:space="preserve"> </v>
      </c>
      <c r="BV457" s="598" t="str">
        <f t="shared" si="877"/>
        <v xml:space="preserve"> </v>
      </c>
      <c r="BW457" s="598" t="str">
        <f t="shared" si="877"/>
        <v xml:space="preserve"> </v>
      </c>
      <c r="BX457" s="598" t="str">
        <f t="shared" si="877"/>
        <v xml:space="preserve"> </v>
      </c>
      <c r="BY457" s="598" t="str">
        <f t="shared" si="877"/>
        <v xml:space="preserve"> </v>
      </c>
      <c r="BZ457" s="598" t="str">
        <f t="shared" si="878"/>
        <v xml:space="preserve"> </v>
      </c>
      <c r="CA457" s="598" t="str">
        <f t="shared" si="878"/>
        <v xml:space="preserve"> </v>
      </c>
      <c r="CB457" s="598" t="str">
        <f t="shared" si="878"/>
        <v xml:space="preserve"> </v>
      </c>
      <c r="CC457" s="598" t="str">
        <f t="shared" si="878"/>
        <v xml:space="preserve"> </v>
      </c>
      <c r="CD457" s="598" t="str">
        <f t="shared" si="878"/>
        <v xml:space="preserve"> </v>
      </c>
      <c r="CE457" s="598" t="str">
        <f t="shared" si="878"/>
        <v xml:space="preserve"> </v>
      </c>
      <c r="CF457" s="598" t="str">
        <f t="shared" si="878"/>
        <v xml:space="preserve"> </v>
      </c>
      <c r="CG457" s="598" t="str">
        <f t="shared" si="878"/>
        <v xml:space="preserve"> </v>
      </c>
      <c r="CH457" s="598" t="str">
        <f t="shared" si="878"/>
        <v xml:space="preserve"> </v>
      </c>
      <c r="CI457" s="598" t="str">
        <f t="shared" si="878"/>
        <v xml:space="preserve"> </v>
      </c>
      <c r="CJ457" s="598" t="str">
        <f t="shared" si="878"/>
        <v xml:space="preserve"> </v>
      </c>
      <c r="CK457" s="598" t="str">
        <f t="shared" si="878"/>
        <v xml:space="preserve"> </v>
      </c>
      <c r="CL457" s="598" t="str">
        <f t="shared" si="878"/>
        <v xml:space="preserve"> </v>
      </c>
      <c r="CM457" s="598" t="str">
        <f t="shared" si="878"/>
        <v xml:space="preserve"> </v>
      </c>
      <c r="CN457" s="598" t="str">
        <f t="shared" si="878"/>
        <v xml:space="preserve"> </v>
      </c>
    </row>
    <row r="458" spans="1:92">
      <c r="A458" s="598">
        <v>81</v>
      </c>
      <c r="B458" s="598" t="str">
        <f t="shared" si="871"/>
        <v xml:space="preserve"> </v>
      </c>
      <c r="C458" s="598" t="str">
        <f t="shared" si="871"/>
        <v xml:space="preserve"> </v>
      </c>
      <c r="D458" s="598" t="str">
        <f t="shared" si="871"/>
        <v xml:space="preserve"> </v>
      </c>
      <c r="E458" s="598" t="str">
        <f t="shared" si="871"/>
        <v xml:space="preserve"> </v>
      </c>
      <c r="F458" s="598" t="str">
        <f t="shared" si="871"/>
        <v xml:space="preserve"> </v>
      </c>
      <c r="G458" s="598" t="str">
        <f t="shared" si="871"/>
        <v xml:space="preserve"> </v>
      </c>
      <c r="H458" s="598" t="str">
        <f t="shared" si="871"/>
        <v xml:space="preserve"> </v>
      </c>
      <c r="I458" s="598" t="str">
        <f t="shared" si="871"/>
        <v xml:space="preserve"> </v>
      </c>
      <c r="J458" s="598" t="str">
        <f t="shared" si="871"/>
        <v xml:space="preserve"> </v>
      </c>
      <c r="K458" s="598" t="str">
        <f t="shared" si="871"/>
        <v xml:space="preserve"> </v>
      </c>
      <c r="L458" s="598" t="str">
        <f t="shared" si="872"/>
        <v xml:space="preserve"> </v>
      </c>
      <c r="M458" s="598" t="str">
        <f t="shared" si="872"/>
        <v xml:space="preserve"> </v>
      </c>
      <c r="N458" s="598" t="str">
        <f t="shared" si="872"/>
        <v xml:space="preserve"> </v>
      </c>
      <c r="O458" s="598" t="str">
        <f t="shared" si="872"/>
        <v xml:space="preserve"> </v>
      </c>
      <c r="P458" s="598" t="str">
        <f t="shared" si="872"/>
        <v xml:space="preserve"> </v>
      </c>
      <c r="Q458" s="598" t="str">
        <f t="shared" si="872"/>
        <v xml:space="preserve"> </v>
      </c>
      <c r="R458" s="598" t="str">
        <f t="shared" si="872"/>
        <v xml:space="preserve"> </v>
      </c>
      <c r="S458" s="598" t="str">
        <f t="shared" si="872"/>
        <v xml:space="preserve"> </v>
      </c>
      <c r="T458" s="598" t="str">
        <f t="shared" si="872"/>
        <v xml:space="preserve"> </v>
      </c>
      <c r="U458" s="598" t="str">
        <f t="shared" si="872"/>
        <v xml:space="preserve"> </v>
      </c>
      <c r="V458" s="598" t="str">
        <f t="shared" si="873"/>
        <v xml:space="preserve"> </v>
      </c>
      <c r="W458" s="598" t="str">
        <f t="shared" si="873"/>
        <v xml:space="preserve"> </v>
      </c>
      <c r="X458" s="598" t="str">
        <f t="shared" si="873"/>
        <v xml:space="preserve"> </v>
      </c>
      <c r="Y458" s="598" t="str">
        <f t="shared" si="873"/>
        <v xml:space="preserve"> </v>
      </c>
      <c r="Z458" s="598" t="str">
        <f t="shared" si="873"/>
        <v xml:space="preserve"> </v>
      </c>
      <c r="AA458" s="598" t="str">
        <f t="shared" si="873"/>
        <v xml:space="preserve"> </v>
      </c>
      <c r="AB458" s="598" t="str">
        <f t="shared" si="873"/>
        <v xml:space="preserve"> </v>
      </c>
      <c r="AC458" s="598" t="str">
        <f t="shared" si="873"/>
        <v xml:space="preserve"> </v>
      </c>
      <c r="AD458" s="598" t="str">
        <f t="shared" si="873"/>
        <v xml:space="preserve"> </v>
      </c>
      <c r="AE458" s="598" t="str">
        <f t="shared" si="873"/>
        <v xml:space="preserve"> </v>
      </c>
      <c r="AF458" s="598" t="str">
        <f t="shared" si="874"/>
        <v xml:space="preserve"> </v>
      </c>
      <c r="AG458" s="598" t="str">
        <f t="shared" si="874"/>
        <v xml:space="preserve"> </v>
      </c>
      <c r="AH458" s="598" t="str">
        <f t="shared" si="874"/>
        <v xml:space="preserve"> </v>
      </c>
      <c r="AI458" s="598" t="str">
        <f t="shared" si="874"/>
        <v xml:space="preserve"> </v>
      </c>
      <c r="AJ458" s="598" t="str">
        <f t="shared" si="874"/>
        <v xml:space="preserve"> </v>
      </c>
      <c r="AK458" s="598" t="str">
        <f t="shared" si="874"/>
        <v xml:space="preserve"> </v>
      </c>
      <c r="AL458" s="598" t="str">
        <f t="shared" si="874"/>
        <v xml:space="preserve"> </v>
      </c>
      <c r="AM458" s="598" t="str">
        <f t="shared" si="874"/>
        <v xml:space="preserve"> </v>
      </c>
      <c r="AN458" s="598" t="str">
        <f t="shared" si="874"/>
        <v xml:space="preserve"> </v>
      </c>
      <c r="AO458" s="598" t="str">
        <f t="shared" si="874"/>
        <v xml:space="preserve"> </v>
      </c>
      <c r="AP458" s="598" t="str">
        <f t="shared" si="874"/>
        <v xml:space="preserve"> </v>
      </c>
      <c r="AQ458" s="598" t="str">
        <f t="shared" si="874"/>
        <v xml:space="preserve"> </v>
      </c>
      <c r="AR458" s="598" t="str">
        <f t="shared" si="874"/>
        <v xml:space="preserve"> </v>
      </c>
      <c r="AS458" s="598" t="str">
        <f t="shared" si="874"/>
        <v xml:space="preserve"> </v>
      </c>
      <c r="AT458" s="598" t="str">
        <f t="shared" si="874"/>
        <v xml:space="preserve"> </v>
      </c>
      <c r="AV458" s="598" t="str">
        <f t="shared" si="875"/>
        <v xml:space="preserve"> </v>
      </c>
      <c r="AW458" s="598" t="str">
        <f t="shared" si="875"/>
        <v xml:space="preserve"> </v>
      </c>
      <c r="AX458" s="598" t="str">
        <f t="shared" si="875"/>
        <v xml:space="preserve"> </v>
      </c>
      <c r="AY458" s="598" t="str">
        <f t="shared" si="875"/>
        <v xml:space="preserve"> </v>
      </c>
      <c r="AZ458" s="598" t="str">
        <f t="shared" si="875"/>
        <v xml:space="preserve"> </v>
      </c>
      <c r="BA458" s="598" t="str">
        <f t="shared" si="875"/>
        <v xml:space="preserve"> </v>
      </c>
      <c r="BB458" s="598" t="str">
        <f t="shared" si="875"/>
        <v xml:space="preserve"> </v>
      </c>
      <c r="BC458" s="598" t="str">
        <f t="shared" si="875"/>
        <v xml:space="preserve"> </v>
      </c>
      <c r="BD458" s="598" t="str">
        <f t="shared" si="875"/>
        <v xml:space="preserve"> </v>
      </c>
      <c r="BE458" s="598" t="str">
        <f t="shared" si="875"/>
        <v xml:space="preserve"> </v>
      </c>
      <c r="BF458" s="598" t="str">
        <f t="shared" si="876"/>
        <v xml:space="preserve"> </v>
      </c>
      <c r="BG458" s="598" t="str">
        <f t="shared" si="876"/>
        <v xml:space="preserve"> </v>
      </c>
      <c r="BH458" s="598" t="str">
        <f t="shared" si="876"/>
        <v xml:space="preserve"> </v>
      </c>
      <c r="BI458" s="598" t="str">
        <f t="shared" si="876"/>
        <v xml:space="preserve"> </v>
      </c>
      <c r="BJ458" s="598" t="str">
        <f t="shared" si="876"/>
        <v xml:space="preserve"> </v>
      </c>
      <c r="BK458" s="598" t="str">
        <f t="shared" si="876"/>
        <v xml:space="preserve"> </v>
      </c>
      <c r="BL458" s="598" t="str">
        <f t="shared" si="876"/>
        <v xml:space="preserve"> </v>
      </c>
      <c r="BM458" s="598" t="str">
        <f t="shared" si="876"/>
        <v xml:space="preserve"> </v>
      </c>
      <c r="BN458" s="598" t="str">
        <f t="shared" si="876"/>
        <v xml:space="preserve"> </v>
      </c>
      <c r="BO458" s="598" t="str">
        <f t="shared" si="876"/>
        <v xml:space="preserve"> </v>
      </c>
      <c r="BP458" s="598" t="str">
        <f t="shared" si="877"/>
        <v xml:space="preserve"> </v>
      </c>
      <c r="BQ458" s="598" t="str">
        <f t="shared" si="877"/>
        <v xml:space="preserve"> </v>
      </c>
      <c r="BR458" s="598" t="str">
        <f t="shared" si="877"/>
        <v xml:space="preserve"> </v>
      </c>
      <c r="BS458" s="598" t="str">
        <f t="shared" si="877"/>
        <v xml:space="preserve"> </v>
      </c>
      <c r="BT458" s="598" t="str">
        <f t="shared" si="877"/>
        <v xml:space="preserve"> </v>
      </c>
      <c r="BU458" s="598" t="str">
        <f t="shared" si="877"/>
        <v xml:space="preserve"> </v>
      </c>
      <c r="BV458" s="598" t="str">
        <f t="shared" si="877"/>
        <v xml:space="preserve"> </v>
      </c>
      <c r="BW458" s="598" t="str">
        <f t="shared" si="877"/>
        <v xml:space="preserve"> </v>
      </c>
      <c r="BX458" s="598" t="str">
        <f t="shared" si="877"/>
        <v xml:space="preserve"> </v>
      </c>
      <c r="BY458" s="598" t="str">
        <f t="shared" si="877"/>
        <v xml:space="preserve"> </v>
      </c>
      <c r="BZ458" s="598" t="str">
        <f t="shared" si="878"/>
        <v xml:space="preserve"> </v>
      </c>
      <c r="CA458" s="598" t="str">
        <f t="shared" si="878"/>
        <v xml:space="preserve"> </v>
      </c>
      <c r="CB458" s="598" t="str">
        <f t="shared" si="878"/>
        <v xml:space="preserve"> </v>
      </c>
      <c r="CC458" s="598" t="str">
        <f t="shared" si="878"/>
        <v xml:space="preserve"> </v>
      </c>
      <c r="CD458" s="598" t="str">
        <f t="shared" si="878"/>
        <v xml:space="preserve"> </v>
      </c>
      <c r="CE458" s="598" t="str">
        <f t="shared" si="878"/>
        <v xml:space="preserve"> </v>
      </c>
      <c r="CF458" s="598" t="str">
        <f t="shared" si="878"/>
        <v xml:space="preserve"> </v>
      </c>
      <c r="CG458" s="598" t="str">
        <f t="shared" si="878"/>
        <v xml:space="preserve"> </v>
      </c>
      <c r="CH458" s="598" t="str">
        <f t="shared" si="878"/>
        <v xml:space="preserve"> </v>
      </c>
      <c r="CI458" s="598" t="str">
        <f t="shared" si="878"/>
        <v xml:space="preserve"> </v>
      </c>
      <c r="CJ458" s="598" t="str">
        <f t="shared" si="878"/>
        <v xml:space="preserve"> </v>
      </c>
      <c r="CK458" s="598" t="str">
        <f t="shared" si="878"/>
        <v xml:space="preserve"> </v>
      </c>
      <c r="CL458" s="598" t="str">
        <f t="shared" si="878"/>
        <v xml:space="preserve"> </v>
      </c>
      <c r="CM458" s="598" t="str">
        <f t="shared" si="878"/>
        <v xml:space="preserve"> </v>
      </c>
      <c r="CN458" s="598" t="str">
        <f t="shared" si="878"/>
        <v xml:space="preserve"> </v>
      </c>
    </row>
    <row r="459" spans="1:92">
      <c r="A459" s="598">
        <v>82</v>
      </c>
      <c r="B459" s="598" t="str">
        <f t="shared" ref="B459:K468" si="879">HLOOKUP(B$376,$C$255:$S$372,$A459+1)</f>
        <v xml:space="preserve"> </v>
      </c>
      <c r="C459" s="598" t="str">
        <f t="shared" si="879"/>
        <v xml:space="preserve"> </v>
      </c>
      <c r="D459" s="598" t="str">
        <f t="shared" si="879"/>
        <v xml:space="preserve"> </v>
      </c>
      <c r="E459" s="598" t="str">
        <f t="shared" si="879"/>
        <v xml:space="preserve"> </v>
      </c>
      <c r="F459" s="598" t="str">
        <f t="shared" si="879"/>
        <v xml:space="preserve"> </v>
      </c>
      <c r="G459" s="598" t="str">
        <f t="shared" si="879"/>
        <v xml:space="preserve"> </v>
      </c>
      <c r="H459" s="598" t="str">
        <f t="shared" si="879"/>
        <v xml:space="preserve"> </v>
      </c>
      <c r="I459" s="598" t="str">
        <f t="shared" si="879"/>
        <v xml:space="preserve"> </v>
      </c>
      <c r="J459" s="598" t="str">
        <f t="shared" si="879"/>
        <v xml:space="preserve"> </v>
      </c>
      <c r="K459" s="598" t="str">
        <f t="shared" si="879"/>
        <v xml:space="preserve"> </v>
      </c>
      <c r="L459" s="598" t="str">
        <f t="shared" ref="L459:U468" si="880">HLOOKUP(L$376,$C$255:$S$372,$A459+1)</f>
        <v xml:space="preserve"> </v>
      </c>
      <c r="M459" s="598" t="str">
        <f t="shared" si="880"/>
        <v xml:space="preserve"> </v>
      </c>
      <c r="N459" s="598" t="str">
        <f t="shared" si="880"/>
        <v xml:space="preserve"> </v>
      </c>
      <c r="O459" s="598" t="str">
        <f t="shared" si="880"/>
        <v xml:space="preserve"> </v>
      </c>
      <c r="P459" s="598" t="str">
        <f t="shared" si="880"/>
        <v xml:space="preserve"> </v>
      </c>
      <c r="Q459" s="598" t="str">
        <f t="shared" si="880"/>
        <v xml:space="preserve"> </v>
      </c>
      <c r="R459" s="598" t="str">
        <f t="shared" si="880"/>
        <v xml:space="preserve"> </v>
      </c>
      <c r="S459" s="598" t="str">
        <f t="shared" si="880"/>
        <v xml:space="preserve"> </v>
      </c>
      <c r="T459" s="598" t="str">
        <f t="shared" si="880"/>
        <v xml:space="preserve"> </v>
      </c>
      <c r="U459" s="598" t="str">
        <f t="shared" si="880"/>
        <v xml:space="preserve"> </v>
      </c>
      <c r="V459" s="598" t="str">
        <f t="shared" ref="V459:AE468" si="881">HLOOKUP(V$376,$C$255:$S$372,$A459+1)</f>
        <v xml:space="preserve"> </v>
      </c>
      <c r="W459" s="598" t="str">
        <f t="shared" si="881"/>
        <v xml:space="preserve"> </v>
      </c>
      <c r="X459" s="598" t="str">
        <f t="shared" si="881"/>
        <v xml:space="preserve"> </v>
      </c>
      <c r="Y459" s="598" t="str">
        <f t="shared" si="881"/>
        <v xml:space="preserve"> </v>
      </c>
      <c r="Z459" s="598" t="str">
        <f t="shared" si="881"/>
        <v xml:space="preserve"> </v>
      </c>
      <c r="AA459" s="598" t="str">
        <f t="shared" si="881"/>
        <v xml:space="preserve"> </v>
      </c>
      <c r="AB459" s="598" t="str">
        <f t="shared" si="881"/>
        <v xml:space="preserve"> </v>
      </c>
      <c r="AC459" s="598" t="str">
        <f t="shared" si="881"/>
        <v xml:space="preserve"> </v>
      </c>
      <c r="AD459" s="598" t="str">
        <f t="shared" si="881"/>
        <v xml:space="preserve"> </v>
      </c>
      <c r="AE459" s="598" t="str">
        <f t="shared" si="881"/>
        <v xml:space="preserve"> </v>
      </c>
      <c r="AF459" s="598" t="str">
        <f t="shared" ref="AF459:AT468" si="882">HLOOKUP(AF$376,$C$255:$S$372,$A459+1)</f>
        <v xml:space="preserve"> </v>
      </c>
      <c r="AG459" s="598" t="str">
        <f t="shared" si="882"/>
        <v xml:space="preserve"> </v>
      </c>
      <c r="AH459" s="598" t="str">
        <f t="shared" si="882"/>
        <v xml:space="preserve"> </v>
      </c>
      <c r="AI459" s="598" t="str">
        <f t="shared" si="882"/>
        <v xml:space="preserve"> </v>
      </c>
      <c r="AJ459" s="598" t="str">
        <f t="shared" si="882"/>
        <v xml:space="preserve"> </v>
      </c>
      <c r="AK459" s="598" t="str">
        <f t="shared" si="882"/>
        <v xml:space="preserve"> </v>
      </c>
      <c r="AL459" s="598" t="str">
        <f t="shared" si="882"/>
        <v xml:space="preserve"> </v>
      </c>
      <c r="AM459" s="598" t="str">
        <f t="shared" si="882"/>
        <v xml:space="preserve"> </v>
      </c>
      <c r="AN459" s="598" t="str">
        <f t="shared" si="882"/>
        <v xml:space="preserve"> </v>
      </c>
      <c r="AO459" s="598" t="str">
        <f t="shared" si="882"/>
        <v xml:space="preserve"> </v>
      </c>
      <c r="AP459" s="598" t="str">
        <f t="shared" si="882"/>
        <v xml:space="preserve"> </v>
      </c>
      <c r="AQ459" s="598" t="str">
        <f t="shared" si="882"/>
        <v xml:space="preserve"> </v>
      </c>
      <c r="AR459" s="598" t="str">
        <f t="shared" si="882"/>
        <v xml:space="preserve"> </v>
      </c>
      <c r="AS459" s="598" t="str">
        <f t="shared" si="882"/>
        <v xml:space="preserve"> </v>
      </c>
      <c r="AT459" s="598" t="str">
        <f t="shared" si="882"/>
        <v xml:space="preserve"> </v>
      </c>
      <c r="AV459" s="598" t="str">
        <f t="shared" ref="AV459:BE468" si="883">HLOOKUP(AV$376,$C$255:$S$372,$A459+1)</f>
        <v xml:space="preserve"> </v>
      </c>
      <c r="AW459" s="598" t="str">
        <f t="shared" si="883"/>
        <v xml:space="preserve"> </v>
      </c>
      <c r="AX459" s="598" t="str">
        <f t="shared" si="883"/>
        <v xml:space="preserve"> </v>
      </c>
      <c r="AY459" s="598" t="str">
        <f t="shared" si="883"/>
        <v xml:space="preserve"> </v>
      </c>
      <c r="AZ459" s="598" t="str">
        <f t="shared" si="883"/>
        <v xml:space="preserve"> </v>
      </c>
      <c r="BA459" s="598" t="str">
        <f t="shared" si="883"/>
        <v xml:space="preserve"> </v>
      </c>
      <c r="BB459" s="598" t="str">
        <f t="shared" si="883"/>
        <v xml:space="preserve"> </v>
      </c>
      <c r="BC459" s="598" t="str">
        <f t="shared" si="883"/>
        <v xml:space="preserve"> </v>
      </c>
      <c r="BD459" s="598" t="str">
        <f t="shared" si="883"/>
        <v xml:space="preserve"> </v>
      </c>
      <c r="BE459" s="598" t="str">
        <f t="shared" si="883"/>
        <v xml:space="preserve"> </v>
      </c>
      <c r="BF459" s="598" t="str">
        <f t="shared" ref="BF459:BO468" si="884">HLOOKUP(BF$376,$C$255:$S$372,$A459+1)</f>
        <v xml:space="preserve"> </v>
      </c>
      <c r="BG459" s="598" t="str">
        <f t="shared" si="884"/>
        <v xml:space="preserve"> </v>
      </c>
      <c r="BH459" s="598" t="str">
        <f t="shared" si="884"/>
        <v xml:space="preserve"> </v>
      </c>
      <c r="BI459" s="598" t="str">
        <f t="shared" si="884"/>
        <v xml:space="preserve"> </v>
      </c>
      <c r="BJ459" s="598" t="str">
        <f t="shared" si="884"/>
        <v xml:space="preserve"> </v>
      </c>
      <c r="BK459" s="598" t="str">
        <f t="shared" si="884"/>
        <v xml:space="preserve"> </v>
      </c>
      <c r="BL459" s="598" t="str">
        <f t="shared" si="884"/>
        <v xml:space="preserve"> </v>
      </c>
      <c r="BM459" s="598" t="str">
        <f t="shared" si="884"/>
        <v xml:space="preserve"> </v>
      </c>
      <c r="BN459" s="598" t="str">
        <f t="shared" si="884"/>
        <v xml:space="preserve"> </v>
      </c>
      <c r="BO459" s="598" t="str">
        <f t="shared" si="884"/>
        <v xml:space="preserve"> </v>
      </c>
      <c r="BP459" s="598" t="str">
        <f t="shared" ref="BP459:BY468" si="885">HLOOKUP(BP$376,$C$255:$S$372,$A459+1)</f>
        <v xml:space="preserve"> </v>
      </c>
      <c r="BQ459" s="598" t="str">
        <f t="shared" si="885"/>
        <v xml:space="preserve"> </v>
      </c>
      <c r="BR459" s="598" t="str">
        <f t="shared" si="885"/>
        <v xml:space="preserve"> </v>
      </c>
      <c r="BS459" s="598" t="str">
        <f t="shared" si="885"/>
        <v xml:space="preserve"> </v>
      </c>
      <c r="BT459" s="598" t="str">
        <f t="shared" si="885"/>
        <v xml:space="preserve"> </v>
      </c>
      <c r="BU459" s="598" t="str">
        <f t="shared" si="885"/>
        <v xml:space="preserve"> </v>
      </c>
      <c r="BV459" s="598" t="str">
        <f t="shared" si="885"/>
        <v xml:space="preserve"> </v>
      </c>
      <c r="BW459" s="598" t="str">
        <f t="shared" si="885"/>
        <v xml:space="preserve"> </v>
      </c>
      <c r="BX459" s="598" t="str">
        <f t="shared" si="885"/>
        <v xml:space="preserve"> </v>
      </c>
      <c r="BY459" s="598" t="str">
        <f t="shared" si="885"/>
        <v xml:space="preserve"> </v>
      </c>
      <c r="BZ459" s="598" t="str">
        <f t="shared" ref="BZ459:CN468" si="886">HLOOKUP(BZ$376,$C$255:$S$372,$A459+1)</f>
        <v xml:space="preserve"> </v>
      </c>
      <c r="CA459" s="598" t="str">
        <f t="shared" si="886"/>
        <v xml:space="preserve"> </v>
      </c>
      <c r="CB459" s="598" t="str">
        <f t="shared" si="886"/>
        <v xml:space="preserve"> </v>
      </c>
      <c r="CC459" s="598" t="str">
        <f t="shared" si="886"/>
        <v xml:space="preserve"> </v>
      </c>
      <c r="CD459" s="598" t="str">
        <f t="shared" si="886"/>
        <v xml:space="preserve"> </v>
      </c>
      <c r="CE459" s="598" t="str">
        <f t="shared" si="886"/>
        <v xml:space="preserve"> </v>
      </c>
      <c r="CF459" s="598" t="str">
        <f t="shared" si="886"/>
        <v xml:space="preserve"> </v>
      </c>
      <c r="CG459" s="598" t="str">
        <f t="shared" si="886"/>
        <v xml:space="preserve"> </v>
      </c>
      <c r="CH459" s="598" t="str">
        <f t="shared" si="886"/>
        <v xml:space="preserve"> </v>
      </c>
      <c r="CI459" s="598" t="str">
        <f t="shared" si="886"/>
        <v xml:space="preserve"> </v>
      </c>
      <c r="CJ459" s="598" t="str">
        <f t="shared" si="886"/>
        <v xml:space="preserve"> </v>
      </c>
      <c r="CK459" s="598" t="str">
        <f t="shared" si="886"/>
        <v xml:space="preserve"> </v>
      </c>
      <c r="CL459" s="598" t="str">
        <f t="shared" si="886"/>
        <v xml:space="preserve"> </v>
      </c>
      <c r="CM459" s="598" t="str">
        <f t="shared" si="886"/>
        <v xml:space="preserve"> </v>
      </c>
      <c r="CN459" s="598" t="str">
        <f t="shared" si="886"/>
        <v xml:space="preserve"> </v>
      </c>
    </row>
    <row r="460" spans="1:92">
      <c r="A460" s="598">
        <v>83</v>
      </c>
      <c r="B460" s="598" t="str">
        <f t="shared" si="879"/>
        <v xml:space="preserve"> </v>
      </c>
      <c r="C460" s="598" t="str">
        <f t="shared" si="879"/>
        <v xml:space="preserve"> </v>
      </c>
      <c r="D460" s="598" t="str">
        <f t="shared" si="879"/>
        <v xml:space="preserve"> </v>
      </c>
      <c r="E460" s="598" t="str">
        <f t="shared" si="879"/>
        <v xml:space="preserve"> </v>
      </c>
      <c r="F460" s="598" t="str">
        <f t="shared" si="879"/>
        <v xml:space="preserve"> </v>
      </c>
      <c r="G460" s="598" t="str">
        <f t="shared" si="879"/>
        <v xml:space="preserve"> </v>
      </c>
      <c r="H460" s="598" t="str">
        <f t="shared" si="879"/>
        <v xml:space="preserve"> </v>
      </c>
      <c r="I460" s="598" t="str">
        <f t="shared" si="879"/>
        <v xml:space="preserve"> </v>
      </c>
      <c r="J460" s="598" t="str">
        <f t="shared" si="879"/>
        <v xml:space="preserve"> </v>
      </c>
      <c r="K460" s="598" t="str">
        <f t="shared" si="879"/>
        <v xml:space="preserve"> </v>
      </c>
      <c r="L460" s="598" t="str">
        <f t="shared" si="880"/>
        <v xml:space="preserve"> </v>
      </c>
      <c r="M460" s="598" t="str">
        <f t="shared" si="880"/>
        <v xml:space="preserve"> </v>
      </c>
      <c r="N460" s="598" t="str">
        <f t="shared" si="880"/>
        <v xml:space="preserve"> </v>
      </c>
      <c r="O460" s="598" t="str">
        <f t="shared" si="880"/>
        <v xml:space="preserve"> </v>
      </c>
      <c r="P460" s="598" t="str">
        <f t="shared" si="880"/>
        <v xml:space="preserve"> </v>
      </c>
      <c r="Q460" s="598" t="str">
        <f t="shared" si="880"/>
        <v xml:space="preserve"> </v>
      </c>
      <c r="R460" s="598" t="str">
        <f t="shared" si="880"/>
        <v xml:space="preserve"> </v>
      </c>
      <c r="S460" s="598" t="str">
        <f t="shared" si="880"/>
        <v xml:space="preserve"> </v>
      </c>
      <c r="T460" s="598" t="str">
        <f t="shared" si="880"/>
        <v xml:space="preserve"> </v>
      </c>
      <c r="U460" s="598" t="str">
        <f t="shared" si="880"/>
        <v xml:space="preserve"> </v>
      </c>
      <c r="V460" s="598" t="str">
        <f t="shared" si="881"/>
        <v xml:space="preserve"> </v>
      </c>
      <c r="W460" s="598" t="str">
        <f t="shared" si="881"/>
        <v xml:space="preserve"> </v>
      </c>
      <c r="X460" s="598" t="str">
        <f t="shared" si="881"/>
        <v xml:space="preserve"> </v>
      </c>
      <c r="Y460" s="598" t="str">
        <f t="shared" si="881"/>
        <v xml:space="preserve"> </v>
      </c>
      <c r="Z460" s="598" t="str">
        <f t="shared" si="881"/>
        <v xml:space="preserve"> </v>
      </c>
      <c r="AA460" s="598" t="str">
        <f t="shared" si="881"/>
        <v xml:space="preserve"> </v>
      </c>
      <c r="AB460" s="598" t="str">
        <f t="shared" si="881"/>
        <v xml:space="preserve"> </v>
      </c>
      <c r="AC460" s="598" t="str">
        <f t="shared" si="881"/>
        <v xml:space="preserve"> </v>
      </c>
      <c r="AD460" s="598" t="str">
        <f t="shared" si="881"/>
        <v xml:space="preserve"> </v>
      </c>
      <c r="AE460" s="598" t="str">
        <f t="shared" si="881"/>
        <v xml:space="preserve"> </v>
      </c>
      <c r="AF460" s="598" t="str">
        <f t="shared" si="882"/>
        <v xml:space="preserve"> </v>
      </c>
      <c r="AG460" s="598" t="str">
        <f t="shared" si="882"/>
        <v xml:space="preserve"> </v>
      </c>
      <c r="AH460" s="598" t="str">
        <f t="shared" si="882"/>
        <v xml:space="preserve"> </v>
      </c>
      <c r="AI460" s="598" t="str">
        <f t="shared" si="882"/>
        <v xml:space="preserve"> </v>
      </c>
      <c r="AJ460" s="598" t="str">
        <f t="shared" si="882"/>
        <v xml:space="preserve"> </v>
      </c>
      <c r="AK460" s="598" t="str">
        <f t="shared" si="882"/>
        <v xml:space="preserve"> </v>
      </c>
      <c r="AL460" s="598" t="str">
        <f t="shared" si="882"/>
        <v xml:space="preserve"> </v>
      </c>
      <c r="AM460" s="598" t="str">
        <f t="shared" si="882"/>
        <v xml:space="preserve"> </v>
      </c>
      <c r="AN460" s="598" t="str">
        <f t="shared" si="882"/>
        <v xml:space="preserve"> </v>
      </c>
      <c r="AO460" s="598" t="str">
        <f t="shared" si="882"/>
        <v xml:space="preserve"> </v>
      </c>
      <c r="AP460" s="598" t="str">
        <f t="shared" si="882"/>
        <v xml:space="preserve"> </v>
      </c>
      <c r="AQ460" s="598" t="str">
        <f t="shared" si="882"/>
        <v xml:space="preserve"> </v>
      </c>
      <c r="AR460" s="598" t="str">
        <f t="shared" si="882"/>
        <v xml:space="preserve"> </v>
      </c>
      <c r="AS460" s="598" t="str">
        <f t="shared" si="882"/>
        <v xml:space="preserve"> </v>
      </c>
      <c r="AT460" s="598" t="str">
        <f t="shared" si="882"/>
        <v xml:space="preserve"> </v>
      </c>
      <c r="AV460" s="598" t="str">
        <f t="shared" si="883"/>
        <v xml:space="preserve"> </v>
      </c>
      <c r="AW460" s="598" t="str">
        <f t="shared" si="883"/>
        <v xml:space="preserve"> </v>
      </c>
      <c r="AX460" s="598" t="str">
        <f t="shared" si="883"/>
        <v xml:space="preserve"> </v>
      </c>
      <c r="AY460" s="598" t="str">
        <f t="shared" si="883"/>
        <v xml:space="preserve"> </v>
      </c>
      <c r="AZ460" s="598" t="str">
        <f t="shared" si="883"/>
        <v xml:space="preserve"> </v>
      </c>
      <c r="BA460" s="598" t="str">
        <f t="shared" si="883"/>
        <v xml:space="preserve"> </v>
      </c>
      <c r="BB460" s="598" t="str">
        <f t="shared" si="883"/>
        <v xml:space="preserve"> </v>
      </c>
      <c r="BC460" s="598" t="str">
        <f t="shared" si="883"/>
        <v xml:space="preserve"> </v>
      </c>
      <c r="BD460" s="598" t="str">
        <f t="shared" si="883"/>
        <v xml:space="preserve"> </v>
      </c>
      <c r="BE460" s="598" t="str">
        <f t="shared" si="883"/>
        <v xml:space="preserve"> </v>
      </c>
      <c r="BF460" s="598" t="str">
        <f t="shared" si="884"/>
        <v xml:space="preserve"> </v>
      </c>
      <c r="BG460" s="598" t="str">
        <f t="shared" si="884"/>
        <v xml:space="preserve"> </v>
      </c>
      <c r="BH460" s="598" t="str">
        <f t="shared" si="884"/>
        <v xml:space="preserve"> </v>
      </c>
      <c r="BI460" s="598" t="str">
        <f t="shared" si="884"/>
        <v xml:space="preserve"> </v>
      </c>
      <c r="BJ460" s="598" t="str">
        <f t="shared" si="884"/>
        <v xml:space="preserve"> </v>
      </c>
      <c r="BK460" s="598" t="str">
        <f t="shared" si="884"/>
        <v xml:space="preserve"> </v>
      </c>
      <c r="BL460" s="598" t="str">
        <f t="shared" si="884"/>
        <v xml:space="preserve"> </v>
      </c>
      <c r="BM460" s="598" t="str">
        <f t="shared" si="884"/>
        <v xml:space="preserve"> </v>
      </c>
      <c r="BN460" s="598" t="str">
        <f t="shared" si="884"/>
        <v xml:space="preserve"> </v>
      </c>
      <c r="BO460" s="598" t="str">
        <f t="shared" si="884"/>
        <v xml:space="preserve"> </v>
      </c>
      <c r="BP460" s="598" t="str">
        <f t="shared" si="885"/>
        <v xml:space="preserve"> </v>
      </c>
      <c r="BQ460" s="598" t="str">
        <f t="shared" si="885"/>
        <v xml:space="preserve"> </v>
      </c>
      <c r="BR460" s="598" t="str">
        <f t="shared" si="885"/>
        <v xml:space="preserve"> </v>
      </c>
      <c r="BS460" s="598" t="str">
        <f t="shared" si="885"/>
        <v xml:space="preserve"> </v>
      </c>
      <c r="BT460" s="598" t="str">
        <f t="shared" si="885"/>
        <v xml:space="preserve"> </v>
      </c>
      <c r="BU460" s="598" t="str">
        <f t="shared" si="885"/>
        <v xml:space="preserve"> </v>
      </c>
      <c r="BV460" s="598" t="str">
        <f t="shared" si="885"/>
        <v xml:space="preserve"> </v>
      </c>
      <c r="BW460" s="598" t="str">
        <f t="shared" si="885"/>
        <v xml:space="preserve"> </v>
      </c>
      <c r="BX460" s="598" t="str">
        <f t="shared" si="885"/>
        <v xml:space="preserve"> </v>
      </c>
      <c r="BY460" s="598" t="str">
        <f t="shared" si="885"/>
        <v xml:space="preserve"> </v>
      </c>
      <c r="BZ460" s="598" t="str">
        <f t="shared" si="886"/>
        <v xml:space="preserve"> </v>
      </c>
      <c r="CA460" s="598" t="str">
        <f t="shared" si="886"/>
        <v xml:space="preserve"> </v>
      </c>
      <c r="CB460" s="598" t="str">
        <f t="shared" si="886"/>
        <v xml:space="preserve"> </v>
      </c>
      <c r="CC460" s="598" t="str">
        <f t="shared" si="886"/>
        <v xml:space="preserve"> </v>
      </c>
      <c r="CD460" s="598" t="str">
        <f t="shared" si="886"/>
        <v xml:space="preserve"> </v>
      </c>
      <c r="CE460" s="598" t="str">
        <f t="shared" si="886"/>
        <v xml:space="preserve"> </v>
      </c>
      <c r="CF460" s="598" t="str">
        <f t="shared" si="886"/>
        <v xml:space="preserve"> </v>
      </c>
      <c r="CG460" s="598" t="str">
        <f t="shared" si="886"/>
        <v xml:space="preserve"> </v>
      </c>
      <c r="CH460" s="598" t="str">
        <f t="shared" si="886"/>
        <v xml:space="preserve"> </v>
      </c>
      <c r="CI460" s="598" t="str">
        <f t="shared" si="886"/>
        <v xml:space="preserve"> </v>
      </c>
      <c r="CJ460" s="598" t="str">
        <f t="shared" si="886"/>
        <v xml:space="preserve"> </v>
      </c>
      <c r="CK460" s="598" t="str">
        <f t="shared" si="886"/>
        <v xml:space="preserve"> </v>
      </c>
      <c r="CL460" s="598" t="str">
        <f t="shared" si="886"/>
        <v xml:space="preserve"> </v>
      </c>
      <c r="CM460" s="598" t="str">
        <f t="shared" si="886"/>
        <v xml:space="preserve"> </v>
      </c>
      <c r="CN460" s="598" t="str">
        <f t="shared" si="886"/>
        <v xml:space="preserve"> </v>
      </c>
    </row>
    <row r="461" spans="1:92">
      <c r="A461" s="598">
        <v>84</v>
      </c>
      <c r="B461" s="598" t="str">
        <f t="shared" si="879"/>
        <v xml:space="preserve"> </v>
      </c>
      <c r="C461" s="598" t="str">
        <f t="shared" si="879"/>
        <v xml:space="preserve"> </v>
      </c>
      <c r="D461" s="598" t="str">
        <f t="shared" si="879"/>
        <v xml:space="preserve"> </v>
      </c>
      <c r="E461" s="598" t="str">
        <f t="shared" si="879"/>
        <v xml:space="preserve"> </v>
      </c>
      <c r="F461" s="598" t="str">
        <f t="shared" si="879"/>
        <v xml:space="preserve"> </v>
      </c>
      <c r="G461" s="598" t="str">
        <f t="shared" si="879"/>
        <v xml:space="preserve"> </v>
      </c>
      <c r="H461" s="598" t="str">
        <f t="shared" si="879"/>
        <v xml:space="preserve"> </v>
      </c>
      <c r="I461" s="598" t="str">
        <f t="shared" si="879"/>
        <v xml:space="preserve"> </v>
      </c>
      <c r="J461" s="598" t="str">
        <f t="shared" si="879"/>
        <v xml:space="preserve"> </v>
      </c>
      <c r="K461" s="598" t="str">
        <f t="shared" si="879"/>
        <v xml:space="preserve"> </v>
      </c>
      <c r="L461" s="598" t="str">
        <f t="shared" si="880"/>
        <v xml:space="preserve"> </v>
      </c>
      <c r="M461" s="598" t="str">
        <f t="shared" si="880"/>
        <v xml:space="preserve"> </v>
      </c>
      <c r="N461" s="598" t="str">
        <f t="shared" si="880"/>
        <v xml:space="preserve"> </v>
      </c>
      <c r="O461" s="598" t="str">
        <f t="shared" si="880"/>
        <v xml:space="preserve"> </v>
      </c>
      <c r="P461" s="598" t="str">
        <f t="shared" si="880"/>
        <v xml:space="preserve"> </v>
      </c>
      <c r="Q461" s="598" t="str">
        <f t="shared" si="880"/>
        <v xml:space="preserve"> </v>
      </c>
      <c r="R461" s="598" t="str">
        <f t="shared" si="880"/>
        <v xml:space="preserve"> </v>
      </c>
      <c r="S461" s="598" t="str">
        <f t="shared" si="880"/>
        <v xml:space="preserve"> </v>
      </c>
      <c r="T461" s="598" t="str">
        <f t="shared" si="880"/>
        <v xml:space="preserve"> </v>
      </c>
      <c r="U461" s="598" t="str">
        <f t="shared" si="880"/>
        <v xml:space="preserve"> </v>
      </c>
      <c r="V461" s="598" t="str">
        <f t="shared" si="881"/>
        <v xml:space="preserve"> </v>
      </c>
      <c r="W461" s="598" t="str">
        <f t="shared" si="881"/>
        <v xml:space="preserve"> </v>
      </c>
      <c r="X461" s="598" t="str">
        <f t="shared" si="881"/>
        <v xml:space="preserve"> </v>
      </c>
      <c r="Y461" s="598" t="str">
        <f t="shared" si="881"/>
        <v xml:space="preserve"> </v>
      </c>
      <c r="Z461" s="598" t="str">
        <f t="shared" si="881"/>
        <v xml:space="preserve"> </v>
      </c>
      <c r="AA461" s="598" t="str">
        <f t="shared" si="881"/>
        <v xml:space="preserve"> </v>
      </c>
      <c r="AB461" s="598" t="str">
        <f t="shared" si="881"/>
        <v xml:space="preserve"> </v>
      </c>
      <c r="AC461" s="598" t="str">
        <f t="shared" si="881"/>
        <v xml:space="preserve"> </v>
      </c>
      <c r="AD461" s="598" t="str">
        <f t="shared" si="881"/>
        <v xml:space="preserve"> </v>
      </c>
      <c r="AE461" s="598" t="str">
        <f t="shared" si="881"/>
        <v xml:space="preserve"> </v>
      </c>
      <c r="AF461" s="598" t="str">
        <f t="shared" si="882"/>
        <v xml:space="preserve"> </v>
      </c>
      <c r="AG461" s="598" t="str">
        <f t="shared" si="882"/>
        <v xml:space="preserve"> </v>
      </c>
      <c r="AH461" s="598" t="str">
        <f t="shared" si="882"/>
        <v xml:space="preserve"> </v>
      </c>
      <c r="AI461" s="598" t="str">
        <f t="shared" si="882"/>
        <v xml:space="preserve"> </v>
      </c>
      <c r="AJ461" s="598" t="str">
        <f t="shared" si="882"/>
        <v xml:space="preserve"> </v>
      </c>
      <c r="AK461" s="598" t="str">
        <f t="shared" si="882"/>
        <v xml:space="preserve"> </v>
      </c>
      <c r="AL461" s="598" t="str">
        <f t="shared" si="882"/>
        <v xml:space="preserve"> </v>
      </c>
      <c r="AM461" s="598" t="str">
        <f t="shared" si="882"/>
        <v xml:space="preserve"> </v>
      </c>
      <c r="AN461" s="598" t="str">
        <f t="shared" si="882"/>
        <v xml:space="preserve"> </v>
      </c>
      <c r="AO461" s="598" t="str">
        <f t="shared" si="882"/>
        <v xml:space="preserve"> </v>
      </c>
      <c r="AP461" s="598" t="str">
        <f t="shared" si="882"/>
        <v xml:space="preserve"> </v>
      </c>
      <c r="AQ461" s="598" t="str">
        <f t="shared" si="882"/>
        <v xml:space="preserve"> </v>
      </c>
      <c r="AR461" s="598" t="str">
        <f t="shared" si="882"/>
        <v xml:space="preserve"> </v>
      </c>
      <c r="AS461" s="598" t="str">
        <f t="shared" si="882"/>
        <v xml:space="preserve"> </v>
      </c>
      <c r="AT461" s="598" t="str">
        <f t="shared" si="882"/>
        <v xml:space="preserve"> </v>
      </c>
      <c r="AV461" s="598" t="str">
        <f t="shared" si="883"/>
        <v xml:space="preserve"> </v>
      </c>
      <c r="AW461" s="598" t="str">
        <f t="shared" si="883"/>
        <v xml:space="preserve"> </v>
      </c>
      <c r="AX461" s="598" t="str">
        <f t="shared" si="883"/>
        <v xml:space="preserve"> </v>
      </c>
      <c r="AY461" s="598" t="str">
        <f t="shared" si="883"/>
        <v xml:space="preserve"> </v>
      </c>
      <c r="AZ461" s="598" t="str">
        <f t="shared" si="883"/>
        <v xml:space="preserve"> </v>
      </c>
      <c r="BA461" s="598" t="str">
        <f t="shared" si="883"/>
        <v xml:space="preserve"> </v>
      </c>
      <c r="BB461" s="598" t="str">
        <f t="shared" si="883"/>
        <v xml:space="preserve"> </v>
      </c>
      <c r="BC461" s="598" t="str">
        <f t="shared" si="883"/>
        <v xml:space="preserve"> </v>
      </c>
      <c r="BD461" s="598" t="str">
        <f t="shared" si="883"/>
        <v xml:space="preserve"> </v>
      </c>
      <c r="BE461" s="598" t="str">
        <f t="shared" si="883"/>
        <v xml:space="preserve"> </v>
      </c>
      <c r="BF461" s="598" t="str">
        <f t="shared" si="884"/>
        <v xml:space="preserve"> </v>
      </c>
      <c r="BG461" s="598" t="str">
        <f t="shared" si="884"/>
        <v xml:space="preserve"> </v>
      </c>
      <c r="BH461" s="598" t="str">
        <f t="shared" si="884"/>
        <v xml:space="preserve"> </v>
      </c>
      <c r="BI461" s="598" t="str">
        <f t="shared" si="884"/>
        <v xml:space="preserve"> </v>
      </c>
      <c r="BJ461" s="598" t="str">
        <f t="shared" si="884"/>
        <v xml:space="preserve"> </v>
      </c>
      <c r="BK461" s="598" t="str">
        <f t="shared" si="884"/>
        <v xml:space="preserve"> </v>
      </c>
      <c r="BL461" s="598" t="str">
        <f t="shared" si="884"/>
        <v xml:space="preserve"> </v>
      </c>
      <c r="BM461" s="598" t="str">
        <f t="shared" si="884"/>
        <v xml:space="preserve"> </v>
      </c>
      <c r="BN461" s="598" t="str">
        <f t="shared" si="884"/>
        <v xml:space="preserve"> </v>
      </c>
      <c r="BO461" s="598" t="str">
        <f t="shared" si="884"/>
        <v xml:space="preserve"> </v>
      </c>
      <c r="BP461" s="598" t="str">
        <f t="shared" si="885"/>
        <v xml:space="preserve"> </v>
      </c>
      <c r="BQ461" s="598" t="str">
        <f t="shared" si="885"/>
        <v xml:space="preserve"> </v>
      </c>
      <c r="BR461" s="598" t="str">
        <f t="shared" si="885"/>
        <v xml:space="preserve"> </v>
      </c>
      <c r="BS461" s="598" t="str">
        <f t="shared" si="885"/>
        <v xml:space="preserve"> </v>
      </c>
      <c r="BT461" s="598" t="str">
        <f t="shared" si="885"/>
        <v xml:space="preserve"> </v>
      </c>
      <c r="BU461" s="598" t="str">
        <f t="shared" si="885"/>
        <v xml:space="preserve"> </v>
      </c>
      <c r="BV461" s="598" t="str">
        <f t="shared" si="885"/>
        <v xml:space="preserve"> </v>
      </c>
      <c r="BW461" s="598" t="str">
        <f t="shared" si="885"/>
        <v xml:space="preserve"> </v>
      </c>
      <c r="BX461" s="598" t="str">
        <f t="shared" si="885"/>
        <v xml:space="preserve"> </v>
      </c>
      <c r="BY461" s="598" t="str">
        <f t="shared" si="885"/>
        <v xml:space="preserve"> </v>
      </c>
      <c r="BZ461" s="598" t="str">
        <f t="shared" si="886"/>
        <v xml:space="preserve"> </v>
      </c>
      <c r="CA461" s="598" t="str">
        <f t="shared" si="886"/>
        <v xml:space="preserve"> </v>
      </c>
      <c r="CB461" s="598" t="str">
        <f t="shared" si="886"/>
        <v xml:space="preserve"> </v>
      </c>
      <c r="CC461" s="598" t="str">
        <f t="shared" si="886"/>
        <v xml:space="preserve"> </v>
      </c>
      <c r="CD461" s="598" t="str">
        <f t="shared" si="886"/>
        <v xml:space="preserve"> </v>
      </c>
      <c r="CE461" s="598" t="str">
        <f t="shared" si="886"/>
        <v xml:space="preserve"> </v>
      </c>
      <c r="CF461" s="598" t="str">
        <f t="shared" si="886"/>
        <v xml:space="preserve"> </v>
      </c>
      <c r="CG461" s="598" t="str">
        <f t="shared" si="886"/>
        <v xml:space="preserve"> </v>
      </c>
      <c r="CH461" s="598" t="str">
        <f t="shared" si="886"/>
        <v xml:space="preserve"> </v>
      </c>
      <c r="CI461" s="598" t="str">
        <f t="shared" si="886"/>
        <v xml:space="preserve"> </v>
      </c>
      <c r="CJ461" s="598" t="str">
        <f t="shared" si="886"/>
        <v xml:space="preserve"> </v>
      </c>
      <c r="CK461" s="598" t="str">
        <f t="shared" si="886"/>
        <v xml:space="preserve"> </v>
      </c>
      <c r="CL461" s="598" t="str">
        <f t="shared" si="886"/>
        <v xml:space="preserve"> </v>
      </c>
      <c r="CM461" s="598" t="str">
        <f t="shared" si="886"/>
        <v xml:space="preserve"> </v>
      </c>
      <c r="CN461" s="598" t="str">
        <f t="shared" si="886"/>
        <v xml:space="preserve"> </v>
      </c>
    </row>
    <row r="462" spans="1:92">
      <c r="A462" s="598">
        <v>85</v>
      </c>
      <c r="B462" s="598" t="str">
        <f t="shared" si="879"/>
        <v xml:space="preserve"> </v>
      </c>
      <c r="C462" s="598" t="str">
        <f t="shared" si="879"/>
        <v xml:space="preserve"> </v>
      </c>
      <c r="D462" s="598" t="str">
        <f t="shared" si="879"/>
        <v xml:space="preserve"> </v>
      </c>
      <c r="E462" s="598" t="str">
        <f t="shared" si="879"/>
        <v xml:space="preserve"> </v>
      </c>
      <c r="F462" s="598" t="str">
        <f t="shared" si="879"/>
        <v xml:space="preserve"> </v>
      </c>
      <c r="G462" s="598" t="str">
        <f t="shared" si="879"/>
        <v xml:space="preserve"> </v>
      </c>
      <c r="H462" s="598" t="str">
        <f t="shared" si="879"/>
        <v xml:space="preserve"> </v>
      </c>
      <c r="I462" s="598" t="str">
        <f t="shared" si="879"/>
        <v xml:space="preserve"> </v>
      </c>
      <c r="J462" s="598" t="str">
        <f t="shared" si="879"/>
        <v xml:space="preserve"> </v>
      </c>
      <c r="K462" s="598" t="str">
        <f t="shared" si="879"/>
        <v xml:space="preserve"> </v>
      </c>
      <c r="L462" s="598" t="str">
        <f t="shared" si="880"/>
        <v xml:space="preserve"> </v>
      </c>
      <c r="M462" s="598" t="str">
        <f t="shared" si="880"/>
        <v xml:space="preserve"> </v>
      </c>
      <c r="N462" s="598" t="str">
        <f t="shared" si="880"/>
        <v xml:space="preserve"> </v>
      </c>
      <c r="O462" s="598" t="str">
        <f t="shared" si="880"/>
        <v xml:space="preserve"> </v>
      </c>
      <c r="P462" s="598" t="str">
        <f t="shared" si="880"/>
        <v xml:space="preserve"> </v>
      </c>
      <c r="Q462" s="598" t="str">
        <f t="shared" si="880"/>
        <v xml:space="preserve"> </v>
      </c>
      <c r="R462" s="598" t="str">
        <f t="shared" si="880"/>
        <v xml:space="preserve"> </v>
      </c>
      <c r="S462" s="598" t="str">
        <f t="shared" si="880"/>
        <v xml:space="preserve"> </v>
      </c>
      <c r="T462" s="598" t="str">
        <f t="shared" si="880"/>
        <v xml:space="preserve"> </v>
      </c>
      <c r="U462" s="598" t="str">
        <f t="shared" si="880"/>
        <v xml:space="preserve"> </v>
      </c>
      <c r="V462" s="598" t="str">
        <f t="shared" si="881"/>
        <v xml:space="preserve"> </v>
      </c>
      <c r="W462" s="598" t="str">
        <f t="shared" si="881"/>
        <v xml:space="preserve"> </v>
      </c>
      <c r="X462" s="598" t="str">
        <f t="shared" si="881"/>
        <v xml:space="preserve"> </v>
      </c>
      <c r="Y462" s="598" t="str">
        <f t="shared" si="881"/>
        <v xml:space="preserve"> </v>
      </c>
      <c r="Z462" s="598" t="str">
        <f t="shared" si="881"/>
        <v xml:space="preserve"> </v>
      </c>
      <c r="AA462" s="598" t="str">
        <f t="shared" si="881"/>
        <v xml:space="preserve"> </v>
      </c>
      <c r="AB462" s="598" t="str">
        <f t="shared" si="881"/>
        <v xml:space="preserve"> </v>
      </c>
      <c r="AC462" s="598" t="str">
        <f t="shared" si="881"/>
        <v xml:space="preserve"> </v>
      </c>
      <c r="AD462" s="598" t="str">
        <f t="shared" si="881"/>
        <v xml:space="preserve"> </v>
      </c>
      <c r="AE462" s="598" t="str">
        <f t="shared" si="881"/>
        <v xml:space="preserve"> </v>
      </c>
      <c r="AF462" s="598" t="str">
        <f t="shared" si="882"/>
        <v xml:space="preserve"> </v>
      </c>
      <c r="AG462" s="598" t="str">
        <f t="shared" si="882"/>
        <v xml:space="preserve"> </v>
      </c>
      <c r="AH462" s="598" t="str">
        <f t="shared" si="882"/>
        <v xml:space="preserve"> </v>
      </c>
      <c r="AI462" s="598" t="str">
        <f t="shared" si="882"/>
        <v xml:space="preserve"> </v>
      </c>
      <c r="AJ462" s="598" t="str">
        <f t="shared" si="882"/>
        <v xml:space="preserve"> </v>
      </c>
      <c r="AK462" s="598" t="str">
        <f t="shared" si="882"/>
        <v xml:space="preserve"> </v>
      </c>
      <c r="AL462" s="598" t="str">
        <f t="shared" si="882"/>
        <v xml:space="preserve"> </v>
      </c>
      <c r="AM462" s="598" t="str">
        <f t="shared" si="882"/>
        <v xml:space="preserve"> </v>
      </c>
      <c r="AN462" s="598" t="str">
        <f t="shared" si="882"/>
        <v xml:space="preserve"> </v>
      </c>
      <c r="AO462" s="598" t="str">
        <f t="shared" si="882"/>
        <v xml:space="preserve"> </v>
      </c>
      <c r="AP462" s="598" t="str">
        <f t="shared" si="882"/>
        <v xml:space="preserve"> </v>
      </c>
      <c r="AQ462" s="598" t="str">
        <f t="shared" si="882"/>
        <v xml:space="preserve"> </v>
      </c>
      <c r="AR462" s="598" t="str">
        <f t="shared" si="882"/>
        <v xml:space="preserve"> </v>
      </c>
      <c r="AS462" s="598" t="str">
        <f t="shared" si="882"/>
        <v xml:space="preserve"> </v>
      </c>
      <c r="AT462" s="598" t="str">
        <f t="shared" si="882"/>
        <v xml:space="preserve"> </v>
      </c>
      <c r="AV462" s="598" t="str">
        <f t="shared" si="883"/>
        <v xml:space="preserve"> </v>
      </c>
      <c r="AW462" s="598" t="str">
        <f t="shared" si="883"/>
        <v xml:space="preserve"> </v>
      </c>
      <c r="AX462" s="598" t="str">
        <f t="shared" si="883"/>
        <v xml:space="preserve"> </v>
      </c>
      <c r="AY462" s="598" t="str">
        <f t="shared" si="883"/>
        <v xml:space="preserve"> </v>
      </c>
      <c r="AZ462" s="598" t="str">
        <f t="shared" si="883"/>
        <v xml:space="preserve"> </v>
      </c>
      <c r="BA462" s="598" t="str">
        <f t="shared" si="883"/>
        <v xml:space="preserve"> </v>
      </c>
      <c r="BB462" s="598" t="str">
        <f t="shared" si="883"/>
        <v xml:space="preserve"> </v>
      </c>
      <c r="BC462" s="598" t="str">
        <f t="shared" si="883"/>
        <v xml:space="preserve"> </v>
      </c>
      <c r="BD462" s="598" t="str">
        <f t="shared" si="883"/>
        <v xml:space="preserve"> </v>
      </c>
      <c r="BE462" s="598" t="str">
        <f t="shared" si="883"/>
        <v xml:space="preserve"> </v>
      </c>
      <c r="BF462" s="598" t="str">
        <f t="shared" si="884"/>
        <v xml:space="preserve"> </v>
      </c>
      <c r="BG462" s="598" t="str">
        <f t="shared" si="884"/>
        <v xml:space="preserve"> </v>
      </c>
      <c r="BH462" s="598" t="str">
        <f t="shared" si="884"/>
        <v xml:space="preserve"> </v>
      </c>
      <c r="BI462" s="598" t="str">
        <f t="shared" si="884"/>
        <v xml:space="preserve"> </v>
      </c>
      <c r="BJ462" s="598" t="str">
        <f t="shared" si="884"/>
        <v xml:space="preserve"> </v>
      </c>
      <c r="BK462" s="598" t="str">
        <f t="shared" si="884"/>
        <v xml:space="preserve"> </v>
      </c>
      <c r="BL462" s="598" t="str">
        <f t="shared" si="884"/>
        <v xml:space="preserve"> </v>
      </c>
      <c r="BM462" s="598" t="str">
        <f t="shared" si="884"/>
        <v xml:space="preserve"> </v>
      </c>
      <c r="BN462" s="598" t="str">
        <f t="shared" si="884"/>
        <v xml:space="preserve"> </v>
      </c>
      <c r="BO462" s="598" t="str">
        <f t="shared" si="884"/>
        <v xml:space="preserve"> </v>
      </c>
      <c r="BP462" s="598" t="str">
        <f t="shared" si="885"/>
        <v xml:space="preserve"> </v>
      </c>
      <c r="BQ462" s="598" t="str">
        <f t="shared" si="885"/>
        <v xml:space="preserve"> </v>
      </c>
      <c r="BR462" s="598" t="str">
        <f t="shared" si="885"/>
        <v xml:space="preserve"> </v>
      </c>
      <c r="BS462" s="598" t="str">
        <f t="shared" si="885"/>
        <v xml:space="preserve"> </v>
      </c>
      <c r="BT462" s="598" t="str">
        <f t="shared" si="885"/>
        <v xml:space="preserve"> </v>
      </c>
      <c r="BU462" s="598" t="str">
        <f t="shared" si="885"/>
        <v xml:space="preserve"> </v>
      </c>
      <c r="BV462" s="598" t="str">
        <f t="shared" si="885"/>
        <v xml:space="preserve"> </v>
      </c>
      <c r="BW462" s="598" t="str">
        <f t="shared" si="885"/>
        <v xml:space="preserve"> </v>
      </c>
      <c r="BX462" s="598" t="str">
        <f t="shared" si="885"/>
        <v xml:space="preserve"> </v>
      </c>
      <c r="BY462" s="598" t="str">
        <f t="shared" si="885"/>
        <v xml:space="preserve"> </v>
      </c>
      <c r="BZ462" s="598" t="str">
        <f t="shared" si="886"/>
        <v xml:space="preserve"> </v>
      </c>
      <c r="CA462" s="598" t="str">
        <f t="shared" si="886"/>
        <v xml:space="preserve"> </v>
      </c>
      <c r="CB462" s="598" t="str">
        <f t="shared" si="886"/>
        <v xml:space="preserve"> </v>
      </c>
      <c r="CC462" s="598" t="str">
        <f t="shared" si="886"/>
        <v xml:space="preserve"> </v>
      </c>
      <c r="CD462" s="598" t="str">
        <f t="shared" si="886"/>
        <v xml:space="preserve"> </v>
      </c>
      <c r="CE462" s="598" t="str">
        <f t="shared" si="886"/>
        <v xml:space="preserve"> </v>
      </c>
      <c r="CF462" s="598" t="str">
        <f t="shared" si="886"/>
        <v xml:space="preserve"> </v>
      </c>
      <c r="CG462" s="598" t="str">
        <f t="shared" si="886"/>
        <v xml:space="preserve"> </v>
      </c>
      <c r="CH462" s="598" t="str">
        <f t="shared" si="886"/>
        <v xml:space="preserve"> </v>
      </c>
      <c r="CI462" s="598" t="str">
        <f t="shared" si="886"/>
        <v xml:space="preserve"> </v>
      </c>
      <c r="CJ462" s="598" t="str">
        <f t="shared" si="886"/>
        <v xml:space="preserve"> </v>
      </c>
      <c r="CK462" s="598" t="str">
        <f t="shared" si="886"/>
        <v xml:space="preserve"> </v>
      </c>
      <c r="CL462" s="598" t="str">
        <f t="shared" si="886"/>
        <v xml:space="preserve"> </v>
      </c>
      <c r="CM462" s="598" t="str">
        <f t="shared" si="886"/>
        <v xml:space="preserve"> </v>
      </c>
      <c r="CN462" s="598" t="str">
        <f t="shared" si="886"/>
        <v xml:space="preserve"> </v>
      </c>
    </row>
    <row r="463" spans="1:92">
      <c r="A463" s="598">
        <v>86</v>
      </c>
      <c r="B463" s="598" t="str">
        <f t="shared" si="879"/>
        <v xml:space="preserve"> </v>
      </c>
      <c r="C463" s="598" t="str">
        <f t="shared" si="879"/>
        <v xml:space="preserve"> </v>
      </c>
      <c r="D463" s="598" t="str">
        <f t="shared" si="879"/>
        <v xml:space="preserve"> </v>
      </c>
      <c r="E463" s="598" t="str">
        <f t="shared" si="879"/>
        <v xml:space="preserve"> </v>
      </c>
      <c r="F463" s="598" t="str">
        <f t="shared" si="879"/>
        <v xml:space="preserve"> </v>
      </c>
      <c r="G463" s="598" t="str">
        <f t="shared" si="879"/>
        <v xml:space="preserve"> </v>
      </c>
      <c r="H463" s="598" t="str">
        <f t="shared" si="879"/>
        <v xml:space="preserve"> </v>
      </c>
      <c r="I463" s="598" t="str">
        <f t="shared" si="879"/>
        <v xml:space="preserve"> </v>
      </c>
      <c r="J463" s="598" t="str">
        <f t="shared" si="879"/>
        <v xml:space="preserve"> </v>
      </c>
      <c r="K463" s="598" t="str">
        <f t="shared" si="879"/>
        <v xml:space="preserve"> </v>
      </c>
      <c r="L463" s="598" t="str">
        <f t="shared" si="880"/>
        <v xml:space="preserve"> </v>
      </c>
      <c r="M463" s="598" t="str">
        <f t="shared" si="880"/>
        <v xml:space="preserve"> </v>
      </c>
      <c r="N463" s="598" t="str">
        <f t="shared" si="880"/>
        <v xml:space="preserve"> </v>
      </c>
      <c r="O463" s="598" t="str">
        <f t="shared" si="880"/>
        <v xml:space="preserve"> </v>
      </c>
      <c r="P463" s="598" t="str">
        <f t="shared" si="880"/>
        <v xml:space="preserve"> </v>
      </c>
      <c r="Q463" s="598" t="str">
        <f t="shared" si="880"/>
        <v xml:space="preserve"> </v>
      </c>
      <c r="R463" s="598" t="str">
        <f t="shared" si="880"/>
        <v xml:space="preserve"> </v>
      </c>
      <c r="S463" s="598" t="str">
        <f t="shared" si="880"/>
        <v xml:space="preserve"> </v>
      </c>
      <c r="T463" s="598" t="str">
        <f t="shared" si="880"/>
        <v xml:space="preserve"> </v>
      </c>
      <c r="U463" s="598" t="str">
        <f t="shared" si="880"/>
        <v xml:space="preserve"> </v>
      </c>
      <c r="V463" s="598" t="str">
        <f t="shared" si="881"/>
        <v xml:space="preserve"> </v>
      </c>
      <c r="W463" s="598" t="str">
        <f t="shared" si="881"/>
        <v xml:space="preserve"> </v>
      </c>
      <c r="X463" s="598" t="str">
        <f t="shared" si="881"/>
        <v xml:space="preserve"> </v>
      </c>
      <c r="Y463" s="598" t="str">
        <f t="shared" si="881"/>
        <v xml:space="preserve"> </v>
      </c>
      <c r="Z463" s="598" t="str">
        <f t="shared" si="881"/>
        <v xml:space="preserve"> </v>
      </c>
      <c r="AA463" s="598" t="str">
        <f t="shared" si="881"/>
        <v xml:space="preserve"> </v>
      </c>
      <c r="AB463" s="598" t="str">
        <f t="shared" si="881"/>
        <v xml:space="preserve"> </v>
      </c>
      <c r="AC463" s="598" t="str">
        <f t="shared" si="881"/>
        <v xml:space="preserve"> </v>
      </c>
      <c r="AD463" s="598" t="str">
        <f t="shared" si="881"/>
        <v xml:space="preserve"> </v>
      </c>
      <c r="AE463" s="598" t="str">
        <f t="shared" si="881"/>
        <v xml:space="preserve"> </v>
      </c>
      <c r="AF463" s="598" t="str">
        <f t="shared" si="882"/>
        <v xml:space="preserve"> </v>
      </c>
      <c r="AG463" s="598" t="str">
        <f t="shared" si="882"/>
        <v xml:space="preserve"> </v>
      </c>
      <c r="AH463" s="598" t="str">
        <f t="shared" si="882"/>
        <v xml:space="preserve"> </v>
      </c>
      <c r="AI463" s="598" t="str">
        <f t="shared" si="882"/>
        <v xml:space="preserve"> </v>
      </c>
      <c r="AJ463" s="598" t="str">
        <f t="shared" si="882"/>
        <v xml:space="preserve"> </v>
      </c>
      <c r="AK463" s="598" t="str">
        <f t="shared" si="882"/>
        <v xml:space="preserve"> </v>
      </c>
      <c r="AL463" s="598" t="str">
        <f t="shared" si="882"/>
        <v xml:space="preserve"> </v>
      </c>
      <c r="AM463" s="598" t="str">
        <f t="shared" si="882"/>
        <v xml:space="preserve"> </v>
      </c>
      <c r="AN463" s="598" t="str">
        <f t="shared" si="882"/>
        <v xml:space="preserve"> </v>
      </c>
      <c r="AO463" s="598" t="str">
        <f t="shared" si="882"/>
        <v xml:space="preserve"> </v>
      </c>
      <c r="AP463" s="598" t="str">
        <f t="shared" si="882"/>
        <v xml:space="preserve"> </v>
      </c>
      <c r="AQ463" s="598" t="str">
        <f t="shared" si="882"/>
        <v xml:space="preserve"> </v>
      </c>
      <c r="AR463" s="598" t="str">
        <f t="shared" si="882"/>
        <v xml:space="preserve"> </v>
      </c>
      <c r="AS463" s="598" t="str">
        <f t="shared" si="882"/>
        <v xml:space="preserve"> </v>
      </c>
      <c r="AT463" s="598" t="str">
        <f t="shared" si="882"/>
        <v xml:space="preserve"> </v>
      </c>
      <c r="AV463" s="598" t="str">
        <f t="shared" si="883"/>
        <v xml:space="preserve"> </v>
      </c>
      <c r="AW463" s="598" t="str">
        <f t="shared" si="883"/>
        <v xml:space="preserve"> </v>
      </c>
      <c r="AX463" s="598" t="str">
        <f t="shared" si="883"/>
        <v xml:space="preserve"> </v>
      </c>
      <c r="AY463" s="598" t="str">
        <f t="shared" si="883"/>
        <v xml:space="preserve"> </v>
      </c>
      <c r="AZ463" s="598" t="str">
        <f t="shared" si="883"/>
        <v xml:space="preserve"> </v>
      </c>
      <c r="BA463" s="598" t="str">
        <f t="shared" si="883"/>
        <v xml:space="preserve"> </v>
      </c>
      <c r="BB463" s="598" t="str">
        <f t="shared" si="883"/>
        <v xml:space="preserve"> </v>
      </c>
      <c r="BC463" s="598" t="str">
        <f t="shared" si="883"/>
        <v xml:space="preserve"> </v>
      </c>
      <c r="BD463" s="598" t="str">
        <f t="shared" si="883"/>
        <v xml:space="preserve"> </v>
      </c>
      <c r="BE463" s="598" t="str">
        <f t="shared" si="883"/>
        <v xml:space="preserve"> </v>
      </c>
      <c r="BF463" s="598" t="str">
        <f t="shared" si="884"/>
        <v xml:space="preserve"> </v>
      </c>
      <c r="BG463" s="598" t="str">
        <f t="shared" si="884"/>
        <v xml:space="preserve"> </v>
      </c>
      <c r="BH463" s="598" t="str">
        <f t="shared" si="884"/>
        <v xml:space="preserve"> </v>
      </c>
      <c r="BI463" s="598" t="str">
        <f t="shared" si="884"/>
        <v xml:space="preserve"> </v>
      </c>
      <c r="BJ463" s="598" t="str">
        <f t="shared" si="884"/>
        <v xml:space="preserve"> </v>
      </c>
      <c r="BK463" s="598" t="str">
        <f t="shared" si="884"/>
        <v xml:space="preserve"> </v>
      </c>
      <c r="BL463" s="598" t="str">
        <f t="shared" si="884"/>
        <v xml:space="preserve"> </v>
      </c>
      <c r="BM463" s="598" t="str">
        <f t="shared" si="884"/>
        <v xml:space="preserve"> </v>
      </c>
      <c r="BN463" s="598" t="str">
        <f t="shared" si="884"/>
        <v xml:space="preserve"> </v>
      </c>
      <c r="BO463" s="598" t="str">
        <f t="shared" si="884"/>
        <v xml:space="preserve"> </v>
      </c>
      <c r="BP463" s="598" t="str">
        <f t="shared" si="885"/>
        <v xml:space="preserve"> </v>
      </c>
      <c r="BQ463" s="598" t="str">
        <f t="shared" si="885"/>
        <v xml:space="preserve"> </v>
      </c>
      <c r="BR463" s="598" t="str">
        <f t="shared" si="885"/>
        <v xml:space="preserve"> </v>
      </c>
      <c r="BS463" s="598" t="str">
        <f t="shared" si="885"/>
        <v xml:space="preserve"> </v>
      </c>
      <c r="BT463" s="598" t="str">
        <f t="shared" si="885"/>
        <v xml:space="preserve"> </v>
      </c>
      <c r="BU463" s="598" t="str">
        <f t="shared" si="885"/>
        <v xml:space="preserve"> </v>
      </c>
      <c r="BV463" s="598" t="str">
        <f t="shared" si="885"/>
        <v xml:space="preserve"> </v>
      </c>
      <c r="BW463" s="598" t="str">
        <f t="shared" si="885"/>
        <v xml:space="preserve"> </v>
      </c>
      <c r="BX463" s="598" t="str">
        <f t="shared" si="885"/>
        <v xml:space="preserve"> </v>
      </c>
      <c r="BY463" s="598" t="str">
        <f t="shared" si="885"/>
        <v xml:space="preserve"> </v>
      </c>
      <c r="BZ463" s="598" t="str">
        <f t="shared" si="886"/>
        <v xml:space="preserve"> </v>
      </c>
      <c r="CA463" s="598" t="str">
        <f t="shared" si="886"/>
        <v xml:space="preserve"> </v>
      </c>
      <c r="CB463" s="598" t="str">
        <f t="shared" si="886"/>
        <v xml:space="preserve"> </v>
      </c>
      <c r="CC463" s="598" t="str">
        <f t="shared" si="886"/>
        <v xml:space="preserve"> </v>
      </c>
      <c r="CD463" s="598" t="str">
        <f t="shared" si="886"/>
        <v xml:space="preserve"> </v>
      </c>
      <c r="CE463" s="598" t="str">
        <f t="shared" si="886"/>
        <v xml:space="preserve"> </v>
      </c>
      <c r="CF463" s="598" t="str">
        <f t="shared" si="886"/>
        <v xml:space="preserve"> </v>
      </c>
      <c r="CG463" s="598" t="str">
        <f t="shared" si="886"/>
        <v xml:space="preserve"> </v>
      </c>
      <c r="CH463" s="598" t="str">
        <f t="shared" si="886"/>
        <v xml:space="preserve"> </v>
      </c>
      <c r="CI463" s="598" t="str">
        <f t="shared" si="886"/>
        <v xml:space="preserve"> </v>
      </c>
      <c r="CJ463" s="598" t="str">
        <f t="shared" si="886"/>
        <v xml:space="preserve"> </v>
      </c>
      <c r="CK463" s="598" t="str">
        <f t="shared" si="886"/>
        <v xml:space="preserve"> </v>
      </c>
      <c r="CL463" s="598" t="str">
        <f t="shared" si="886"/>
        <v xml:space="preserve"> </v>
      </c>
      <c r="CM463" s="598" t="str">
        <f t="shared" si="886"/>
        <v xml:space="preserve"> </v>
      </c>
      <c r="CN463" s="598" t="str">
        <f t="shared" si="886"/>
        <v xml:space="preserve"> </v>
      </c>
    </row>
    <row r="464" spans="1:92">
      <c r="A464" s="598">
        <v>87</v>
      </c>
      <c r="B464" s="598" t="str">
        <f t="shared" si="879"/>
        <v xml:space="preserve"> </v>
      </c>
      <c r="C464" s="598" t="str">
        <f t="shared" si="879"/>
        <v xml:space="preserve"> </v>
      </c>
      <c r="D464" s="598" t="str">
        <f t="shared" si="879"/>
        <v xml:space="preserve"> </v>
      </c>
      <c r="E464" s="598" t="str">
        <f t="shared" si="879"/>
        <v xml:space="preserve"> </v>
      </c>
      <c r="F464" s="598" t="str">
        <f t="shared" si="879"/>
        <v xml:space="preserve"> </v>
      </c>
      <c r="G464" s="598" t="str">
        <f t="shared" si="879"/>
        <v xml:space="preserve"> </v>
      </c>
      <c r="H464" s="598" t="str">
        <f t="shared" si="879"/>
        <v xml:space="preserve"> </v>
      </c>
      <c r="I464" s="598" t="str">
        <f t="shared" si="879"/>
        <v xml:space="preserve"> </v>
      </c>
      <c r="J464" s="598" t="str">
        <f t="shared" si="879"/>
        <v xml:space="preserve"> </v>
      </c>
      <c r="K464" s="598" t="str">
        <f t="shared" si="879"/>
        <v xml:space="preserve"> </v>
      </c>
      <c r="L464" s="598" t="str">
        <f t="shared" si="880"/>
        <v xml:space="preserve"> </v>
      </c>
      <c r="M464" s="598" t="str">
        <f t="shared" si="880"/>
        <v xml:space="preserve"> </v>
      </c>
      <c r="N464" s="598" t="str">
        <f t="shared" si="880"/>
        <v xml:space="preserve"> </v>
      </c>
      <c r="O464" s="598" t="str">
        <f t="shared" si="880"/>
        <v xml:space="preserve"> </v>
      </c>
      <c r="P464" s="598" t="str">
        <f t="shared" si="880"/>
        <v xml:space="preserve"> </v>
      </c>
      <c r="Q464" s="598" t="str">
        <f t="shared" si="880"/>
        <v xml:space="preserve"> </v>
      </c>
      <c r="R464" s="598" t="str">
        <f t="shared" si="880"/>
        <v xml:space="preserve"> </v>
      </c>
      <c r="S464" s="598" t="str">
        <f t="shared" si="880"/>
        <v xml:space="preserve"> </v>
      </c>
      <c r="T464" s="598" t="str">
        <f t="shared" si="880"/>
        <v xml:space="preserve"> </v>
      </c>
      <c r="U464" s="598" t="str">
        <f t="shared" si="880"/>
        <v xml:space="preserve"> </v>
      </c>
      <c r="V464" s="598" t="str">
        <f t="shared" si="881"/>
        <v xml:space="preserve"> </v>
      </c>
      <c r="W464" s="598" t="str">
        <f t="shared" si="881"/>
        <v xml:space="preserve"> </v>
      </c>
      <c r="X464" s="598" t="str">
        <f t="shared" si="881"/>
        <v xml:space="preserve"> </v>
      </c>
      <c r="Y464" s="598" t="str">
        <f t="shared" si="881"/>
        <v xml:space="preserve"> </v>
      </c>
      <c r="Z464" s="598" t="str">
        <f t="shared" si="881"/>
        <v xml:space="preserve"> </v>
      </c>
      <c r="AA464" s="598" t="str">
        <f t="shared" si="881"/>
        <v xml:space="preserve"> </v>
      </c>
      <c r="AB464" s="598" t="str">
        <f t="shared" si="881"/>
        <v xml:space="preserve"> </v>
      </c>
      <c r="AC464" s="598" t="str">
        <f t="shared" si="881"/>
        <v xml:space="preserve"> </v>
      </c>
      <c r="AD464" s="598" t="str">
        <f t="shared" si="881"/>
        <v xml:space="preserve"> </v>
      </c>
      <c r="AE464" s="598" t="str">
        <f t="shared" si="881"/>
        <v xml:space="preserve"> </v>
      </c>
      <c r="AF464" s="598" t="str">
        <f t="shared" si="882"/>
        <v xml:space="preserve"> </v>
      </c>
      <c r="AG464" s="598" t="str">
        <f t="shared" si="882"/>
        <v xml:space="preserve"> </v>
      </c>
      <c r="AH464" s="598" t="str">
        <f t="shared" si="882"/>
        <v xml:space="preserve"> </v>
      </c>
      <c r="AI464" s="598" t="str">
        <f t="shared" si="882"/>
        <v xml:space="preserve"> </v>
      </c>
      <c r="AJ464" s="598" t="str">
        <f t="shared" si="882"/>
        <v xml:space="preserve"> </v>
      </c>
      <c r="AK464" s="598" t="str">
        <f t="shared" si="882"/>
        <v xml:space="preserve"> </v>
      </c>
      <c r="AL464" s="598" t="str">
        <f t="shared" si="882"/>
        <v xml:space="preserve"> </v>
      </c>
      <c r="AM464" s="598" t="str">
        <f t="shared" si="882"/>
        <v xml:space="preserve"> </v>
      </c>
      <c r="AN464" s="598" t="str">
        <f t="shared" si="882"/>
        <v xml:space="preserve"> </v>
      </c>
      <c r="AO464" s="598" t="str">
        <f t="shared" si="882"/>
        <v xml:space="preserve"> </v>
      </c>
      <c r="AP464" s="598" t="str">
        <f t="shared" si="882"/>
        <v xml:space="preserve"> </v>
      </c>
      <c r="AQ464" s="598" t="str">
        <f t="shared" si="882"/>
        <v xml:space="preserve"> </v>
      </c>
      <c r="AR464" s="598" t="str">
        <f t="shared" si="882"/>
        <v xml:space="preserve"> </v>
      </c>
      <c r="AS464" s="598" t="str">
        <f t="shared" si="882"/>
        <v xml:space="preserve"> </v>
      </c>
      <c r="AT464" s="598" t="str">
        <f t="shared" si="882"/>
        <v xml:space="preserve"> </v>
      </c>
      <c r="AV464" s="598" t="str">
        <f t="shared" si="883"/>
        <v xml:space="preserve"> </v>
      </c>
      <c r="AW464" s="598" t="str">
        <f t="shared" si="883"/>
        <v xml:space="preserve"> </v>
      </c>
      <c r="AX464" s="598" t="str">
        <f t="shared" si="883"/>
        <v xml:space="preserve"> </v>
      </c>
      <c r="AY464" s="598" t="str">
        <f t="shared" si="883"/>
        <v xml:space="preserve"> </v>
      </c>
      <c r="AZ464" s="598" t="str">
        <f t="shared" si="883"/>
        <v xml:space="preserve"> </v>
      </c>
      <c r="BA464" s="598" t="str">
        <f t="shared" si="883"/>
        <v xml:space="preserve"> </v>
      </c>
      <c r="BB464" s="598" t="str">
        <f t="shared" si="883"/>
        <v xml:space="preserve"> </v>
      </c>
      <c r="BC464" s="598" t="str">
        <f t="shared" si="883"/>
        <v xml:space="preserve"> </v>
      </c>
      <c r="BD464" s="598" t="str">
        <f t="shared" si="883"/>
        <v xml:space="preserve"> </v>
      </c>
      <c r="BE464" s="598" t="str">
        <f t="shared" si="883"/>
        <v xml:space="preserve"> </v>
      </c>
      <c r="BF464" s="598" t="str">
        <f t="shared" si="884"/>
        <v xml:space="preserve"> </v>
      </c>
      <c r="BG464" s="598" t="str">
        <f t="shared" si="884"/>
        <v xml:space="preserve"> </v>
      </c>
      <c r="BH464" s="598" t="str">
        <f t="shared" si="884"/>
        <v xml:space="preserve"> </v>
      </c>
      <c r="BI464" s="598" t="str">
        <f t="shared" si="884"/>
        <v xml:space="preserve"> </v>
      </c>
      <c r="BJ464" s="598" t="str">
        <f t="shared" si="884"/>
        <v xml:space="preserve"> </v>
      </c>
      <c r="BK464" s="598" t="str">
        <f t="shared" si="884"/>
        <v xml:space="preserve"> </v>
      </c>
      <c r="BL464" s="598" t="str">
        <f t="shared" si="884"/>
        <v xml:space="preserve"> </v>
      </c>
      <c r="BM464" s="598" t="str">
        <f t="shared" si="884"/>
        <v xml:space="preserve"> </v>
      </c>
      <c r="BN464" s="598" t="str">
        <f t="shared" si="884"/>
        <v xml:space="preserve"> </v>
      </c>
      <c r="BO464" s="598" t="str">
        <f t="shared" si="884"/>
        <v xml:space="preserve"> </v>
      </c>
      <c r="BP464" s="598" t="str">
        <f t="shared" si="885"/>
        <v xml:space="preserve"> </v>
      </c>
      <c r="BQ464" s="598" t="str">
        <f t="shared" si="885"/>
        <v xml:space="preserve"> </v>
      </c>
      <c r="BR464" s="598" t="str">
        <f t="shared" si="885"/>
        <v xml:space="preserve"> </v>
      </c>
      <c r="BS464" s="598" t="str">
        <f t="shared" si="885"/>
        <v xml:space="preserve"> </v>
      </c>
      <c r="BT464" s="598" t="str">
        <f t="shared" si="885"/>
        <v xml:space="preserve"> </v>
      </c>
      <c r="BU464" s="598" t="str">
        <f t="shared" si="885"/>
        <v xml:space="preserve"> </v>
      </c>
      <c r="BV464" s="598" t="str">
        <f t="shared" si="885"/>
        <v xml:space="preserve"> </v>
      </c>
      <c r="BW464" s="598" t="str">
        <f t="shared" si="885"/>
        <v xml:space="preserve"> </v>
      </c>
      <c r="BX464" s="598" t="str">
        <f t="shared" si="885"/>
        <v xml:space="preserve"> </v>
      </c>
      <c r="BY464" s="598" t="str">
        <f t="shared" si="885"/>
        <v xml:space="preserve"> </v>
      </c>
      <c r="BZ464" s="598" t="str">
        <f t="shared" si="886"/>
        <v xml:space="preserve"> </v>
      </c>
      <c r="CA464" s="598" t="str">
        <f t="shared" si="886"/>
        <v xml:space="preserve"> </v>
      </c>
      <c r="CB464" s="598" t="str">
        <f t="shared" si="886"/>
        <v xml:space="preserve"> </v>
      </c>
      <c r="CC464" s="598" t="str">
        <f t="shared" si="886"/>
        <v xml:space="preserve"> </v>
      </c>
      <c r="CD464" s="598" t="str">
        <f t="shared" si="886"/>
        <v xml:space="preserve"> </v>
      </c>
      <c r="CE464" s="598" t="str">
        <f t="shared" si="886"/>
        <v xml:space="preserve"> </v>
      </c>
      <c r="CF464" s="598" t="str">
        <f t="shared" si="886"/>
        <v xml:space="preserve"> </v>
      </c>
      <c r="CG464" s="598" t="str">
        <f t="shared" si="886"/>
        <v xml:space="preserve"> </v>
      </c>
      <c r="CH464" s="598" t="str">
        <f t="shared" si="886"/>
        <v xml:space="preserve"> </v>
      </c>
      <c r="CI464" s="598" t="str">
        <f t="shared" si="886"/>
        <v xml:space="preserve"> </v>
      </c>
      <c r="CJ464" s="598" t="str">
        <f t="shared" si="886"/>
        <v xml:space="preserve"> </v>
      </c>
      <c r="CK464" s="598" t="str">
        <f t="shared" si="886"/>
        <v xml:space="preserve"> </v>
      </c>
      <c r="CL464" s="598" t="str">
        <f t="shared" si="886"/>
        <v xml:space="preserve"> </v>
      </c>
      <c r="CM464" s="598" t="str">
        <f t="shared" si="886"/>
        <v xml:space="preserve"> </v>
      </c>
      <c r="CN464" s="598" t="str">
        <f t="shared" si="886"/>
        <v xml:space="preserve"> </v>
      </c>
    </row>
    <row r="465" spans="1:92">
      <c r="A465" s="598">
        <v>88</v>
      </c>
      <c r="B465" s="598" t="str">
        <f t="shared" si="879"/>
        <v xml:space="preserve"> </v>
      </c>
      <c r="C465" s="598" t="str">
        <f t="shared" si="879"/>
        <v xml:space="preserve"> </v>
      </c>
      <c r="D465" s="598" t="str">
        <f t="shared" si="879"/>
        <v xml:space="preserve"> </v>
      </c>
      <c r="E465" s="598" t="str">
        <f t="shared" si="879"/>
        <v xml:space="preserve"> </v>
      </c>
      <c r="F465" s="598" t="str">
        <f t="shared" si="879"/>
        <v xml:space="preserve"> </v>
      </c>
      <c r="G465" s="598" t="str">
        <f t="shared" si="879"/>
        <v xml:space="preserve"> </v>
      </c>
      <c r="H465" s="598" t="str">
        <f t="shared" si="879"/>
        <v xml:space="preserve"> </v>
      </c>
      <c r="I465" s="598" t="str">
        <f t="shared" si="879"/>
        <v xml:space="preserve"> </v>
      </c>
      <c r="J465" s="598" t="str">
        <f t="shared" si="879"/>
        <v xml:space="preserve"> </v>
      </c>
      <c r="K465" s="598" t="str">
        <f t="shared" si="879"/>
        <v xml:space="preserve"> </v>
      </c>
      <c r="L465" s="598" t="str">
        <f t="shared" si="880"/>
        <v xml:space="preserve"> </v>
      </c>
      <c r="M465" s="598" t="str">
        <f t="shared" si="880"/>
        <v xml:space="preserve"> </v>
      </c>
      <c r="N465" s="598" t="str">
        <f t="shared" si="880"/>
        <v xml:space="preserve"> </v>
      </c>
      <c r="O465" s="598" t="str">
        <f t="shared" si="880"/>
        <v xml:space="preserve"> </v>
      </c>
      <c r="P465" s="598" t="str">
        <f t="shared" si="880"/>
        <v xml:space="preserve"> </v>
      </c>
      <c r="Q465" s="598" t="str">
        <f t="shared" si="880"/>
        <v xml:space="preserve"> </v>
      </c>
      <c r="R465" s="598" t="str">
        <f t="shared" si="880"/>
        <v xml:space="preserve"> </v>
      </c>
      <c r="S465" s="598" t="str">
        <f t="shared" si="880"/>
        <v xml:space="preserve"> </v>
      </c>
      <c r="T465" s="598" t="str">
        <f t="shared" si="880"/>
        <v xml:space="preserve"> </v>
      </c>
      <c r="U465" s="598" t="str">
        <f t="shared" si="880"/>
        <v xml:space="preserve"> </v>
      </c>
      <c r="V465" s="598" t="str">
        <f t="shared" si="881"/>
        <v xml:space="preserve"> </v>
      </c>
      <c r="W465" s="598" t="str">
        <f t="shared" si="881"/>
        <v xml:space="preserve"> </v>
      </c>
      <c r="X465" s="598" t="str">
        <f t="shared" si="881"/>
        <v xml:space="preserve"> </v>
      </c>
      <c r="Y465" s="598" t="str">
        <f t="shared" si="881"/>
        <v xml:space="preserve"> </v>
      </c>
      <c r="Z465" s="598" t="str">
        <f t="shared" si="881"/>
        <v xml:space="preserve"> </v>
      </c>
      <c r="AA465" s="598" t="str">
        <f t="shared" si="881"/>
        <v xml:space="preserve"> </v>
      </c>
      <c r="AB465" s="598" t="str">
        <f t="shared" si="881"/>
        <v xml:space="preserve"> </v>
      </c>
      <c r="AC465" s="598" t="str">
        <f t="shared" si="881"/>
        <v xml:space="preserve"> </v>
      </c>
      <c r="AD465" s="598" t="str">
        <f t="shared" si="881"/>
        <v xml:space="preserve"> </v>
      </c>
      <c r="AE465" s="598" t="str">
        <f t="shared" si="881"/>
        <v xml:space="preserve"> </v>
      </c>
      <c r="AF465" s="598" t="str">
        <f t="shared" si="882"/>
        <v xml:space="preserve"> </v>
      </c>
      <c r="AG465" s="598" t="str">
        <f t="shared" si="882"/>
        <v xml:space="preserve"> </v>
      </c>
      <c r="AH465" s="598" t="str">
        <f t="shared" si="882"/>
        <v xml:space="preserve"> </v>
      </c>
      <c r="AI465" s="598" t="str">
        <f t="shared" si="882"/>
        <v xml:space="preserve"> </v>
      </c>
      <c r="AJ465" s="598" t="str">
        <f t="shared" si="882"/>
        <v xml:space="preserve"> </v>
      </c>
      <c r="AK465" s="598" t="str">
        <f t="shared" si="882"/>
        <v xml:space="preserve"> </v>
      </c>
      <c r="AL465" s="598" t="str">
        <f t="shared" si="882"/>
        <v xml:space="preserve"> </v>
      </c>
      <c r="AM465" s="598" t="str">
        <f t="shared" si="882"/>
        <v xml:space="preserve"> </v>
      </c>
      <c r="AN465" s="598" t="str">
        <f t="shared" si="882"/>
        <v xml:space="preserve"> </v>
      </c>
      <c r="AO465" s="598" t="str">
        <f t="shared" si="882"/>
        <v xml:space="preserve"> </v>
      </c>
      <c r="AP465" s="598" t="str">
        <f t="shared" si="882"/>
        <v xml:space="preserve"> </v>
      </c>
      <c r="AQ465" s="598" t="str">
        <f t="shared" si="882"/>
        <v xml:space="preserve"> </v>
      </c>
      <c r="AR465" s="598" t="str">
        <f t="shared" si="882"/>
        <v xml:space="preserve"> </v>
      </c>
      <c r="AS465" s="598" t="str">
        <f t="shared" si="882"/>
        <v xml:space="preserve"> </v>
      </c>
      <c r="AT465" s="598" t="str">
        <f t="shared" si="882"/>
        <v xml:space="preserve"> </v>
      </c>
      <c r="AV465" s="598" t="str">
        <f t="shared" si="883"/>
        <v xml:space="preserve"> </v>
      </c>
      <c r="AW465" s="598" t="str">
        <f t="shared" si="883"/>
        <v xml:space="preserve"> </v>
      </c>
      <c r="AX465" s="598" t="str">
        <f t="shared" si="883"/>
        <v xml:space="preserve"> </v>
      </c>
      <c r="AY465" s="598" t="str">
        <f t="shared" si="883"/>
        <v xml:space="preserve"> </v>
      </c>
      <c r="AZ465" s="598" t="str">
        <f t="shared" si="883"/>
        <v xml:space="preserve"> </v>
      </c>
      <c r="BA465" s="598" t="str">
        <f t="shared" si="883"/>
        <v xml:space="preserve"> </v>
      </c>
      <c r="BB465" s="598" t="str">
        <f t="shared" si="883"/>
        <v xml:space="preserve"> </v>
      </c>
      <c r="BC465" s="598" t="str">
        <f t="shared" si="883"/>
        <v xml:space="preserve"> </v>
      </c>
      <c r="BD465" s="598" t="str">
        <f t="shared" si="883"/>
        <v xml:space="preserve"> </v>
      </c>
      <c r="BE465" s="598" t="str">
        <f t="shared" si="883"/>
        <v xml:space="preserve"> </v>
      </c>
      <c r="BF465" s="598" t="str">
        <f t="shared" si="884"/>
        <v xml:space="preserve"> </v>
      </c>
      <c r="BG465" s="598" t="str">
        <f t="shared" si="884"/>
        <v xml:space="preserve"> </v>
      </c>
      <c r="BH465" s="598" t="str">
        <f t="shared" si="884"/>
        <v xml:space="preserve"> </v>
      </c>
      <c r="BI465" s="598" t="str">
        <f t="shared" si="884"/>
        <v xml:space="preserve"> </v>
      </c>
      <c r="BJ465" s="598" t="str">
        <f t="shared" si="884"/>
        <v xml:space="preserve"> </v>
      </c>
      <c r="BK465" s="598" t="str">
        <f t="shared" si="884"/>
        <v xml:space="preserve"> </v>
      </c>
      <c r="BL465" s="598" t="str">
        <f t="shared" si="884"/>
        <v xml:space="preserve"> </v>
      </c>
      <c r="BM465" s="598" t="str">
        <f t="shared" si="884"/>
        <v xml:space="preserve"> </v>
      </c>
      <c r="BN465" s="598" t="str">
        <f t="shared" si="884"/>
        <v xml:space="preserve"> </v>
      </c>
      <c r="BO465" s="598" t="str">
        <f t="shared" si="884"/>
        <v xml:space="preserve"> </v>
      </c>
      <c r="BP465" s="598" t="str">
        <f t="shared" si="885"/>
        <v xml:space="preserve"> </v>
      </c>
      <c r="BQ465" s="598" t="str">
        <f t="shared" si="885"/>
        <v xml:space="preserve"> </v>
      </c>
      <c r="BR465" s="598" t="str">
        <f t="shared" si="885"/>
        <v xml:space="preserve"> </v>
      </c>
      <c r="BS465" s="598" t="str">
        <f t="shared" si="885"/>
        <v xml:space="preserve"> </v>
      </c>
      <c r="BT465" s="598" t="str">
        <f t="shared" si="885"/>
        <v xml:space="preserve"> </v>
      </c>
      <c r="BU465" s="598" t="str">
        <f t="shared" si="885"/>
        <v xml:space="preserve"> </v>
      </c>
      <c r="BV465" s="598" t="str">
        <f t="shared" si="885"/>
        <v xml:space="preserve"> </v>
      </c>
      <c r="BW465" s="598" t="str">
        <f t="shared" si="885"/>
        <v xml:space="preserve"> </v>
      </c>
      <c r="BX465" s="598" t="str">
        <f t="shared" si="885"/>
        <v xml:space="preserve"> </v>
      </c>
      <c r="BY465" s="598" t="str">
        <f t="shared" si="885"/>
        <v xml:space="preserve"> </v>
      </c>
      <c r="BZ465" s="598" t="str">
        <f t="shared" si="886"/>
        <v xml:space="preserve"> </v>
      </c>
      <c r="CA465" s="598" t="str">
        <f t="shared" si="886"/>
        <v xml:space="preserve"> </v>
      </c>
      <c r="CB465" s="598" t="str">
        <f t="shared" si="886"/>
        <v xml:space="preserve"> </v>
      </c>
      <c r="CC465" s="598" t="str">
        <f t="shared" si="886"/>
        <v xml:space="preserve"> </v>
      </c>
      <c r="CD465" s="598" t="str">
        <f t="shared" si="886"/>
        <v xml:space="preserve"> </v>
      </c>
      <c r="CE465" s="598" t="str">
        <f t="shared" si="886"/>
        <v xml:space="preserve"> </v>
      </c>
      <c r="CF465" s="598" t="str">
        <f t="shared" si="886"/>
        <v xml:space="preserve"> </v>
      </c>
      <c r="CG465" s="598" t="str">
        <f t="shared" si="886"/>
        <v xml:space="preserve"> </v>
      </c>
      <c r="CH465" s="598" t="str">
        <f t="shared" si="886"/>
        <v xml:space="preserve"> </v>
      </c>
      <c r="CI465" s="598" t="str">
        <f t="shared" si="886"/>
        <v xml:space="preserve"> </v>
      </c>
      <c r="CJ465" s="598" t="str">
        <f t="shared" si="886"/>
        <v xml:space="preserve"> </v>
      </c>
      <c r="CK465" s="598" t="str">
        <f t="shared" si="886"/>
        <v xml:space="preserve"> </v>
      </c>
      <c r="CL465" s="598" t="str">
        <f t="shared" si="886"/>
        <v xml:space="preserve"> </v>
      </c>
      <c r="CM465" s="598" t="str">
        <f t="shared" si="886"/>
        <v xml:space="preserve"> </v>
      </c>
      <c r="CN465" s="598" t="str">
        <f t="shared" si="886"/>
        <v xml:space="preserve"> </v>
      </c>
    </row>
    <row r="466" spans="1:92">
      <c r="A466" s="598">
        <v>89</v>
      </c>
      <c r="B466" s="598" t="str">
        <f t="shared" si="879"/>
        <v xml:space="preserve"> </v>
      </c>
      <c r="C466" s="598" t="str">
        <f t="shared" si="879"/>
        <v xml:space="preserve"> </v>
      </c>
      <c r="D466" s="598" t="str">
        <f t="shared" si="879"/>
        <v xml:space="preserve"> </v>
      </c>
      <c r="E466" s="598" t="str">
        <f t="shared" si="879"/>
        <v xml:space="preserve"> </v>
      </c>
      <c r="F466" s="598" t="str">
        <f t="shared" si="879"/>
        <v xml:space="preserve"> </v>
      </c>
      <c r="G466" s="598" t="str">
        <f t="shared" si="879"/>
        <v xml:space="preserve"> </v>
      </c>
      <c r="H466" s="598" t="str">
        <f t="shared" si="879"/>
        <v xml:space="preserve"> </v>
      </c>
      <c r="I466" s="598" t="str">
        <f t="shared" si="879"/>
        <v xml:space="preserve"> </v>
      </c>
      <c r="J466" s="598" t="str">
        <f t="shared" si="879"/>
        <v xml:space="preserve"> </v>
      </c>
      <c r="K466" s="598" t="str">
        <f t="shared" si="879"/>
        <v xml:space="preserve"> </v>
      </c>
      <c r="L466" s="598" t="str">
        <f t="shared" si="880"/>
        <v xml:space="preserve"> </v>
      </c>
      <c r="M466" s="598" t="str">
        <f t="shared" si="880"/>
        <v xml:space="preserve"> </v>
      </c>
      <c r="N466" s="598" t="str">
        <f t="shared" si="880"/>
        <v xml:space="preserve"> </v>
      </c>
      <c r="O466" s="598" t="str">
        <f t="shared" si="880"/>
        <v xml:space="preserve"> </v>
      </c>
      <c r="P466" s="598" t="str">
        <f t="shared" si="880"/>
        <v xml:space="preserve"> </v>
      </c>
      <c r="Q466" s="598" t="str">
        <f t="shared" si="880"/>
        <v xml:space="preserve"> </v>
      </c>
      <c r="R466" s="598" t="str">
        <f t="shared" si="880"/>
        <v xml:space="preserve"> </v>
      </c>
      <c r="S466" s="598" t="str">
        <f t="shared" si="880"/>
        <v xml:space="preserve"> </v>
      </c>
      <c r="T466" s="598" t="str">
        <f t="shared" si="880"/>
        <v xml:space="preserve"> </v>
      </c>
      <c r="U466" s="598" t="str">
        <f t="shared" si="880"/>
        <v xml:space="preserve"> </v>
      </c>
      <c r="V466" s="598" t="str">
        <f t="shared" si="881"/>
        <v xml:space="preserve"> </v>
      </c>
      <c r="W466" s="598" t="str">
        <f t="shared" si="881"/>
        <v xml:space="preserve"> </v>
      </c>
      <c r="X466" s="598" t="str">
        <f t="shared" si="881"/>
        <v xml:space="preserve"> </v>
      </c>
      <c r="Y466" s="598" t="str">
        <f t="shared" si="881"/>
        <v xml:space="preserve"> </v>
      </c>
      <c r="Z466" s="598" t="str">
        <f t="shared" si="881"/>
        <v xml:space="preserve"> </v>
      </c>
      <c r="AA466" s="598" t="str">
        <f t="shared" si="881"/>
        <v xml:space="preserve"> </v>
      </c>
      <c r="AB466" s="598" t="str">
        <f t="shared" si="881"/>
        <v xml:space="preserve"> </v>
      </c>
      <c r="AC466" s="598" t="str">
        <f t="shared" si="881"/>
        <v xml:space="preserve"> </v>
      </c>
      <c r="AD466" s="598" t="str">
        <f t="shared" si="881"/>
        <v xml:space="preserve"> </v>
      </c>
      <c r="AE466" s="598" t="str">
        <f t="shared" si="881"/>
        <v xml:space="preserve"> </v>
      </c>
      <c r="AF466" s="598" t="str">
        <f t="shared" si="882"/>
        <v xml:space="preserve"> </v>
      </c>
      <c r="AG466" s="598" t="str">
        <f t="shared" si="882"/>
        <v xml:space="preserve"> </v>
      </c>
      <c r="AH466" s="598" t="str">
        <f t="shared" si="882"/>
        <v xml:space="preserve"> </v>
      </c>
      <c r="AI466" s="598" t="str">
        <f t="shared" si="882"/>
        <v xml:space="preserve"> </v>
      </c>
      <c r="AJ466" s="598" t="str">
        <f t="shared" si="882"/>
        <v xml:space="preserve"> </v>
      </c>
      <c r="AK466" s="598" t="str">
        <f t="shared" si="882"/>
        <v xml:space="preserve"> </v>
      </c>
      <c r="AL466" s="598" t="str">
        <f t="shared" si="882"/>
        <v xml:space="preserve"> </v>
      </c>
      <c r="AM466" s="598" t="str">
        <f t="shared" si="882"/>
        <v xml:space="preserve"> </v>
      </c>
      <c r="AN466" s="598" t="str">
        <f t="shared" si="882"/>
        <v xml:space="preserve"> </v>
      </c>
      <c r="AO466" s="598" t="str">
        <f t="shared" si="882"/>
        <v xml:space="preserve"> </v>
      </c>
      <c r="AP466" s="598" t="str">
        <f t="shared" si="882"/>
        <v xml:space="preserve"> </v>
      </c>
      <c r="AQ466" s="598" t="str">
        <f t="shared" si="882"/>
        <v xml:space="preserve"> </v>
      </c>
      <c r="AR466" s="598" t="str">
        <f t="shared" si="882"/>
        <v xml:space="preserve"> </v>
      </c>
      <c r="AS466" s="598" t="str">
        <f t="shared" si="882"/>
        <v xml:space="preserve"> </v>
      </c>
      <c r="AT466" s="598" t="str">
        <f t="shared" si="882"/>
        <v xml:space="preserve"> </v>
      </c>
      <c r="AV466" s="598" t="str">
        <f t="shared" si="883"/>
        <v xml:space="preserve"> </v>
      </c>
      <c r="AW466" s="598" t="str">
        <f t="shared" si="883"/>
        <v xml:space="preserve"> </v>
      </c>
      <c r="AX466" s="598" t="str">
        <f t="shared" si="883"/>
        <v xml:space="preserve"> </v>
      </c>
      <c r="AY466" s="598" t="str">
        <f t="shared" si="883"/>
        <v xml:space="preserve"> </v>
      </c>
      <c r="AZ466" s="598" t="str">
        <f t="shared" si="883"/>
        <v xml:space="preserve"> </v>
      </c>
      <c r="BA466" s="598" t="str">
        <f t="shared" si="883"/>
        <v xml:space="preserve"> </v>
      </c>
      <c r="BB466" s="598" t="str">
        <f t="shared" si="883"/>
        <v xml:space="preserve"> </v>
      </c>
      <c r="BC466" s="598" t="str">
        <f t="shared" si="883"/>
        <v xml:space="preserve"> </v>
      </c>
      <c r="BD466" s="598" t="str">
        <f t="shared" si="883"/>
        <v xml:space="preserve"> </v>
      </c>
      <c r="BE466" s="598" t="str">
        <f t="shared" si="883"/>
        <v xml:space="preserve"> </v>
      </c>
      <c r="BF466" s="598" t="str">
        <f t="shared" si="884"/>
        <v xml:space="preserve"> </v>
      </c>
      <c r="BG466" s="598" t="str">
        <f t="shared" si="884"/>
        <v xml:space="preserve"> </v>
      </c>
      <c r="BH466" s="598" t="str">
        <f t="shared" si="884"/>
        <v xml:space="preserve"> </v>
      </c>
      <c r="BI466" s="598" t="str">
        <f t="shared" si="884"/>
        <v xml:space="preserve"> </v>
      </c>
      <c r="BJ466" s="598" t="str">
        <f t="shared" si="884"/>
        <v xml:space="preserve"> </v>
      </c>
      <c r="BK466" s="598" t="str">
        <f t="shared" si="884"/>
        <v xml:space="preserve"> </v>
      </c>
      <c r="BL466" s="598" t="str">
        <f t="shared" si="884"/>
        <v xml:space="preserve"> </v>
      </c>
      <c r="BM466" s="598" t="str">
        <f t="shared" si="884"/>
        <v xml:space="preserve"> </v>
      </c>
      <c r="BN466" s="598" t="str">
        <f t="shared" si="884"/>
        <v xml:space="preserve"> </v>
      </c>
      <c r="BO466" s="598" t="str">
        <f t="shared" si="884"/>
        <v xml:space="preserve"> </v>
      </c>
      <c r="BP466" s="598" t="str">
        <f t="shared" si="885"/>
        <v xml:space="preserve"> </v>
      </c>
      <c r="BQ466" s="598" t="str">
        <f t="shared" si="885"/>
        <v xml:space="preserve"> </v>
      </c>
      <c r="BR466" s="598" t="str">
        <f t="shared" si="885"/>
        <v xml:space="preserve"> </v>
      </c>
      <c r="BS466" s="598" t="str">
        <f t="shared" si="885"/>
        <v xml:space="preserve"> </v>
      </c>
      <c r="BT466" s="598" t="str">
        <f t="shared" si="885"/>
        <v xml:space="preserve"> </v>
      </c>
      <c r="BU466" s="598" t="str">
        <f t="shared" si="885"/>
        <v xml:space="preserve"> </v>
      </c>
      <c r="BV466" s="598" t="str">
        <f t="shared" si="885"/>
        <v xml:space="preserve"> </v>
      </c>
      <c r="BW466" s="598" t="str">
        <f t="shared" si="885"/>
        <v xml:space="preserve"> </v>
      </c>
      <c r="BX466" s="598" t="str">
        <f t="shared" si="885"/>
        <v xml:space="preserve"> </v>
      </c>
      <c r="BY466" s="598" t="str">
        <f t="shared" si="885"/>
        <v xml:space="preserve"> </v>
      </c>
      <c r="BZ466" s="598" t="str">
        <f t="shared" si="886"/>
        <v xml:space="preserve"> </v>
      </c>
      <c r="CA466" s="598" t="str">
        <f t="shared" si="886"/>
        <v xml:space="preserve"> </v>
      </c>
      <c r="CB466" s="598" t="str">
        <f t="shared" si="886"/>
        <v xml:space="preserve"> </v>
      </c>
      <c r="CC466" s="598" t="str">
        <f t="shared" si="886"/>
        <v xml:space="preserve"> </v>
      </c>
      <c r="CD466" s="598" t="str">
        <f t="shared" si="886"/>
        <v xml:space="preserve"> </v>
      </c>
      <c r="CE466" s="598" t="str">
        <f t="shared" si="886"/>
        <v xml:space="preserve"> </v>
      </c>
      <c r="CF466" s="598" t="str">
        <f t="shared" si="886"/>
        <v xml:space="preserve"> </v>
      </c>
      <c r="CG466" s="598" t="str">
        <f t="shared" si="886"/>
        <v xml:space="preserve"> </v>
      </c>
      <c r="CH466" s="598" t="str">
        <f t="shared" si="886"/>
        <v xml:space="preserve"> </v>
      </c>
      <c r="CI466" s="598" t="str">
        <f t="shared" si="886"/>
        <v xml:space="preserve"> </v>
      </c>
      <c r="CJ466" s="598" t="str">
        <f t="shared" si="886"/>
        <v xml:space="preserve"> </v>
      </c>
      <c r="CK466" s="598" t="str">
        <f t="shared" si="886"/>
        <v xml:space="preserve"> </v>
      </c>
      <c r="CL466" s="598" t="str">
        <f t="shared" si="886"/>
        <v xml:space="preserve"> </v>
      </c>
      <c r="CM466" s="598" t="str">
        <f t="shared" si="886"/>
        <v xml:space="preserve"> </v>
      </c>
      <c r="CN466" s="598" t="str">
        <f t="shared" si="886"/>
        <v xml:space="preserve"> </v>
      </c>
    </row>
    <row r="467" spans="1:92">
      <c r="A467" s="598">
        <v>90</v>
      </c>
      <c r="B467" s="598" t="str">
        <f t="shared" si="879"/>
        <v xml:space="preserve"> </v>
      </c>
      <c r="C467" s="598" t="str">
        <f t="shared" si="879"/>
        <v xml:space="preserve"> </v>
      </c>
      <c r="D467" s="598" t="str">
        <f t="shared" si="879"/>
        <v xml:space="preserve"> </v>
      </c>
      <c r="E467" s="598" t="str">
        <f t="shared" si="879"/>
        <v xml:space="preserve"> </v>
      </c>
      <c r="F467" s="598" t="str">
        <f t="shared" si="879"/>
        <v xml:space="preserve"> </v>
      </c>
      <c r="G467" s="598" t="str">
        <f t="shared" si="879"/>
        <v xml:space="preserve"> </v>
      </c>
      <c r="H467" s="598" t="str">
        <f t="shared" si="879"/>
        <v xml:space="preserve"> </v>
      </c>
      <c r="I467" s="598" t="str">
        <f t="shared" si="879"/>
        <v xml:space="preserve"> </v>
      </c>
      <c r="J467" s="598" t="str">
        <f t="shared" si="879"/>
        <v xml:space="preserve"> </v>
      </c>
      <c r="K467" s="598" t="str">
        <f t="shared" si="879"/>
        <v xml:space="preserve"> </v>
      </c>
      <c r="L467" s="598" t="str">
        <f t="shared" si="880"/>
        <v xml:space="preserve"> </v>
      </c>
      <c r="M467" s="598" t="str">
        <f t="shared" si="880"/>
        <v xml:space="preserve"> </v>
      </c>
      <c r="N467" s="598" t="str">
        <f t="shared" si="880"/>
        <v xml:space="preserve"> </v>
      </c>
      <c r="O467" s="598" t="str">
        <f t="shared" si="880"/>
        <v xml:space="preserve"> </v>
      </c>
      <c r="P467" s="598" t="str">
        <f t="shared" si="880"/>
        <v xml:space="preserve"> </v>
      </c>
      <c r="Q467" s="598" t="str">
        <f t="shared" si="880"/>
        <v xml:space="preserve"> </v>
      </c>
      <c r="R467" s="598" t="str">
        <f t="shared" si="880"/>
        <v xml:space="preserve"> </v>
      </c>
      <c r="S467" s="598" t="str">
        <f t="shared" si="880"/>
        <v xml:space="preserve"> </v>
      </c>
      <c r="T467" s="598" t="str">
        <f t="shared" si="880"/>
        <v xml:space="preserve"> </v>
      </c>
      <c r="U467" s="598" t="str">
        <f t="shared" si="880"/>
        <v xml:space="preserve"> </v>
      </c>
      <c r="V467" s="598" t="str">
        <f t="shared" si="881"/>
        <v xml:space="preserve"> </v>
      </c>
      <c r="W467" s="598" t="str">
        <f t="shared" si="881"/>
        <v xml:space="preserve"> </v>
      </c>
      <c r="X467" s="598" t="str">
        <f t="shared" si="881"/>
        <v xml:space="preserve"> </v>
      </c>
      <c r="Y467" s="598" t="str">
        <f t="shared" si="881"/>
        <v xml:space="preserve"> </v>
      </c>
      <c r="Z467" s="598" t="str">
        <f t="shared" si="881"/>
        <v xml:space="preserve"> </v>
      </c>
      <c r="AA467" s="598" t="str">
        <f t="shared" si="881"/>
        <v xml:space="preserve"> </v>
      </c>
      <c r="AB467" s="598" t="str">
        <f t="shared" si="881"/>
        <v xml:space="preserve"> </v>
      </c>
      <c r="AC467" s="598" t="str">
        <f t="shared" si="881"/>
        <v xml:space="preserve"> </v>
      </c>
      <c r="AD467" s="598" t="str">
        <f t="shared" si="881"/>
        <v xml:space="preserve"> </v>
      </c>
      <c r="AE467" s="598" t="str">
        <f t="shared" si="881"/>
        <v xml:space="preserve"> </v>
      </c>
      <c r="AF467" s="598" t="str">
        <f t="shared" si="882"/>
        <v xml:space="preserve"> </v>
      </c>
      <c r="AG467" s="598" t="str">
        <f t="shared" si="882"/>
        <v xml:space="preserve"> </v>
      </c>
      <c r="AH467" s="598" t="str">
        <f t="shared" si="882"/>
        <v xml:space="preserve"> </v>
      </c>
      <c r="AI467" s="598" t="str">
        <f t="shared" si="882"/>
        <v xml:space="preserve"> </v>
      </c>
      <c r="AJ467" s="598" t="str">
        <f t="shared" si="882"/>
        <v xml:space="preserve"> </v>
      </c>
      <c r="AK467" s="598" t="str">
        <f t="shared" si="882"/>
        <v xml:space="preserve"> </v>
      </c>
      <c r="AL467" s="598" t="str">
        <f t="shared" si="882"/>
        <v xml:space="preserve"> </v>
      </c>
      <c r="AM467" s="598" t="str">
        <f t="shared" si="882"/>
        <v xml:space="preserve"> </v>
      </c>
      <c r="AN467" s="598" t="str">
        <f t="shared" si="882"/>
        <v xml:space="preserve"> </v>
      </c>
      <c r="AO467" s="598" t="str">
        <f t="shared" si="882"/>
        <v xml:space="preserve"> </v>
      </c>
      <c r="AP467" s="598" t="str">
        <f t="shared" si="882"/>
        <v xml:space="preserve"> </v>
      </c>
      <c r="AQ467" s="598" t="str">
        <f t="shared" si="882"/>
        <v xml:space="preserve"> </v>
      </c>
      <c r="AR467" s="598" t="str">
        <f t="shared" si="882"/>
        <v xml:space="preserve"> </v>
      </c>
      <c r="AS467" s="598" t="str">
        <f t="shared" si="882"/>
        <v xml:space="preserve"> </v>
      </c>
      <c r="AT467" s="598" t="str">
        <f t="shared" si="882"/>
        <v xml:space="preserve"> </v>
      </c>
      <c r="AV467" s="598" t="str">
        <f t="shared" si="883"/>
        <v xml:space="preserve"> </v>
      </c>
      <c r="AW467" s="598" t="str">
        <f t="shared" si="883"/>
        <v xml:space="preserve"> </v>
      </c>
      <c r="AX467" s="598" t="str">
        <f t="shared" si="883"/>
        <v xml:space="preserve"> </v>
      </c>
      <c r="AY467" s="598" t="str">
        <f t="shared" si="883"/>
        <v xml:space="preserve"> </v>
      </c>
      <c r="AZ467" s="598" t="str">
        <f t="shared" si="883"/>
        <v xml:space="preserve"> </v>
      </c>
      <c r="BA467" s="598" t="str">
        <f t="shared" si="883"/>
        <v xml:space="preserve"> </v>
      </c>
      <c r="BB467" s="598" t="str">
        <f t="shared" si="883"/>
        <v xml:space="preserve"> </v>
      </c>
      <c r="BC467" s="598" t="str">
        <f t="shared" si="883"/>
        <v xml:space="preserve"> </v>
      </c>
      <c r="BD467" s="598" t="str">
        <f t="shared" si="883"/>
        <v xml:space="preserve"> </v>
      </c>
      <c r="BE467" s="598" t="str">
        <f t="shared" si="883"/>
        <v xml:space="preserve"> </v>
      </c>
      <c r="BF467" s="598" t="str">
        <f t="shared" si="884"/>
        <v xml:space="preserve"> </v>
      </c>
      <c r="BG467" s="598" t="str">
        <f t="shared" si="884"/>
        <v xml:space="preserve"> </v>
      </c>
      <c r="BH467" s="598" t="str">
        <f t="shared" si="884"/>
        <v xml:space="preserve"> </v>
      </c>
      <c r="BI467" s="598" t="str">
        <f t="shared" si="884"/>
        <v xml:space="preserve"> </v>
      </c>
      <c r="BJ467" s="598" t="str">
        <f t="shared" si="884"/>
        <v xml:space="preserve"> </v>
      </c>
      <c r="BK467" s="598" t="str">
        <f t="shared" si="884"/>
        <v xml:space="preserve"> </v>
      </c>
      <c r="BL467" s="598" t="str">
        <f t="shared" si="884"/>
        <v xml:space="preserve"> </v>
      </c>
      <c r="BM467" s="598" t="str">
        <f t="shared" si="884"/>
        <v xml:space="preserve"> </v>
      </c>
      <c r="BN467" s="598" t="str">
        <f t="shared" si="884"/>
        <v xml:space="preserve"> </v>
      </c>
      <c r="BO467" s="598" t="str">
        <f t="shared" si="884"/>
        <v xml:space="preserve"> </v>
      </c>
      <c r="BP467" s="598" t="str">
        <f t="shared" si="885"/>
        <v xml:space="preserve"> </v>
      </c>
      <c r="BQ467" s="598" t="str">
        <f t="shared" si="885"/>
        <v xml:space="preserve"> </v>
      </c>
      <c r="BR467" s="598" t="str">
        <f t="shared" si="885"/>
        <v xml:space="preserve"> </v>
      </c>
      <c r="BS467" s="598" t="str">
        <f t="shared" si="885"/>
        <v xml:space="preserve"> </v>
      </c>
      <c r="BT467" s="598" t="str">
        <f t="shared" si="885"/>
        <v xml:space="preserve"> </v>
      </c>
      <c r="BU467" s="598" t="str">
        <f t="shared" si="885"/>
        <v xml:space="preserve"> </v>
      </c>
      <c r="BV467" s="598" t="str">
        <f t="shared" si="885"/>
        <v xml:space="preserve"> </v>
      </c>
      <c r="BW467" s="598" t="str">
        <f t="shared" si="885"/>
        <v xml:space="preserve"> </v>
      </c>
      <c r="BX467" s="598" t="str">
        <f t="shared" si="885"/>
        <v xml:space="preserve"> </v>
      </c>
      <c r="BY467" s="598" t="str">
        <f t="shared" si="885"/>
        <v xml:space="preserve"> </v>
      </c>
      <c r="BZ467" s="598" t="str">
        <f t="shared" si="886"/>
        <v xml:space="preserve"> </v>
      </c>
      <c r="CA467" s="598" t="str">
        <f t="shared" si="886"/>
        <v xml:space="preserve"> </v>
      </c>
      <c r="CB467" s="598" t="str">
        <f t="shared" si="886"/>
        <v xml:space="preserve"> </v>
      </c>
      <c r="CC467" s="598" t="str">
        <f t="shared" si="886"/>
        <v xml:space="preserve"> </v>
      </c>
      <c r="CD467" s="598" t="str">
        <f t="shared" si="886"/>
        <v xml:space="preserve"> </v>
      </c>
      <c r="CE467" s="598" t="str">
        <f t="shared" si="886"/>
        <v xml:space="preserve"> </v>
      </c>
      <c r="CF467" s="598" t="str">
        <f t="shared" si="886"/>
        <v xml:space="preserve"> </v>
      </c>
      <c r="CG467" s="598" t="str">
        <f t="shared" si="886"/>
        <v xml:space="preserve"> </v>
      </c>
      <c r="CH467" s="598" t="str">
        <f t="shared" si="886"/>
        <v xml:space="preserve"> </v>
      </c>
      <c r="CI467" s="598" t="str">
        <f t="shared" si="886"/>
        <v xml:space="preserve"> </v>
      </c>
      <c r="CJ467" s="598" t="str">
        <f t="shared" si="886"/>
        <v xml:space="preserve"> </v>
      </c>
      <c r="CK467" s="598" t="str">
        <f t="shared" si="886"/>
        <v xml:space="preserve"> </v>
      </c>
      <c r="CL467" s="598" t="str">
        <f t="shared" si="886"/>
        <v xml:space="preserve"> </v>
      </c>
      <c r="CM467" s="598" t="str">
        <f t="shared" si="886"/>
        <v xml:space="preserve"> </v>
      </c>
      <c r="CN467" s="598" t="str">
        <f t="shared" si="886"/>
        <v xml:space="preserve"> </v>
      </c>
    </row>
    <row r="468" spans="1:92">
      <c r="A468" s="598">
        <v>91</v>
      </c>
      <c r="B468" s="598" t="str">
        <f t="shared" si="879"/>
        <v xml:space="preserve"> </v>
      </c>
      <c r="C468" s="598" t="str">
        <f t="shared" si="879"/>
        <v xml:space="preserve"> </v>
      </c>
      <c r="D468" s="598" t="str">
        <f t="shared" si="879"/>
        <v xml:space="preserve"> </v>
      </c>
      <c r="E468" s="598" t="str">
        <f t="shared" si="879"/>
        <v xml:space="preserve"> </v>
      </c>
      <c r="F468" s="598" t="str">
        <f t="shared" si="879"/>
        <v xml:space="preserve"> </v>
      </c>
      <c r="G468" s="598" t="str">
        <f t="shared" si="879"/>
        <v xml:space="preserve"> </v>
      </c>
      <c r="H468" s="598" t="str">
        <f t="shared" si="879"/>
        <v xml:space="preserve"> </v>
      </c>
      <c r="I468" s="598" t="str">
        <f t="shared" si="879"/>
        <v xml:space="preserve"> </v>
      </c>
      <c r="J468" s="598" t="str">
        <f t="shared" si="879"/>
        <v xml:space="preserve"> </v>
      </c>
      <c r="K468" s="598" t="str">
        <f t="shared" si="879"/>
        <v xml:space="preserve"> </v>
      </c>
      <c r="L468" s="598" t="str">
        <f t="shared" si="880"/>
        <v xml:space="preserve"> </v>
      </c>
      <c r="M468" s="598" t="str">
        <f t="shared" si="880"/>
        <v xml:space="preserve"> </v>
      </c>
      <c r="N468" s="598" t="str">
        <f t="shared" si="880"/>
        <v xml:space="preserve"> </v>
      </c>
      <c r="O468" s="598" t="str">
        <f t="shared" si="880"/>
        <v xml:space="preserve"> </v>
      </c>
      <c r="P468" s="598" t="str">
        <f t="shared" si="880"/>
        <v xml:space="preserve"> </v>
      </c>
      <c r="Q468" s="598" t="str">
        <f t="shared" si="880"/>
        <v xml:space="preserve"> </v>
      </c>
      <c r="R468" s="598" t="str">
        <f t="shared" si="880"/>
        <v xml:space="preserve"> </v>
      </c>
      <c r="S468" s="598" t="str">
        <f t="shared" si="880"/>
        <v xml:space="preserve"> </v>
      </c>
      <c r="T468" s="598" t="str">
        <f t="shared" si="880"/>
        <v xml:space="preserve"> </v>
      </c>
      <c r="U468" s="598" t="str">
        <f t="shared" si="880"/>
        <v xml:space="preserve"> </v>
      </c>
      <c r="V468" s="598" t="str">
        <f t="shared" si="881"/>
        <v xml:space="preserve"> </v>
      </c>
      <c r="W468" s="598" t="str">
        <f t="shared" si="881"/>
        <v xml:space="preserve"> </v>
      </c>
      <c r="X468" s="598" t="str">
        <f t="shared" si="881"/>
        <v xml:space="preserve"> </v>
      </c>
      <c r="Y468" s="598" t="str">
        <f t="shared" si="881"/>
        <v xml:space="preserve"> </v>
      </c>
      <c r="Z468" s="598" t="str">
        <f t="shared" si="881"/>
        <v xml:space="preserve"> </v>
      </c>
      <c r="AA468" s="598" t="str">
        <f t="shared" si="881"/>
        <v xml:space="preserve"> </v>
      </c>
      <c r="AB468" s="598" t="str">
        <f t="shared" si="881"/>
        <v xml:space="preserve"> </v>
      </c>
      <c r="AC468" s="598" t="str">
        <f t="shared" si="881"/>
        <v xml:space="preserve"> </v>
      </c>
      <c r="AD468" s="598" t="str">
        <f t="shared" si="881"/>
        <v xml:space="preserve"> </v>
      </c>
      <c r="AE468" s="598" t="str">
        <f t="shared" si="881"/>
        <v xml:space="preserve"> </v>
      </c>
      <c r="AF468" s="598" t="str">
        <f t="shared" si="882"/>
        <v xml:space="preserve"> </v>
      </c>
      <c r="AG468" s="598" t="str">
        <f t="shared" si="882"/>
        <v xml:space="preserve"> </v>
      </c>
      <c r="AH468" s="598" t="str">
        <f t="shared" si="882"/>
        <v xml:space="preserve"> </v>
      </c>
      <c r="AI468" s="598" t="str">
        <f t="shared" si="882"/>
        <v xml:space="preserve"> </v>
      </c>
      <c r="AJ468" s="598" t="str">
        <f t="shared" si="882"/>
        <v xml:space="preserve"> </v>
      </c>
      <c r="AK468" s="598" t="str">
        <f t="shared" si="882"/>
        <v xml:space="preserve"> </v>
      </c>
      <c r="AL468" s="598" t="str">
        <f t="shared" si="882"/>
        <v xml:space="preserve"> </v>
      </c>
      <c r="AM468" s="598" t="str">
        <f t="shared" si="882"/>
        <v xml:space="preserve"> </v>
      </c>
      <c r="AN468" s="598" t="str">
        <f t="shared" si="882"/>
        <v xml:space="preserve"> </v>
      </c>
      <c r="AO468" s="598" t="str">
        <f t="shared" si="882"/>
        <v xml:space="preserve"> </v>
      </c>
      <c r="AP468" s="598" t="str">
        <f t="shared" si="882"/>
        <v xml:space="preserve"> </v>
      </c>
      <c r="AQ468" s="598" t="str">
        <f t="shared" si="882"/>
        <v xml:space="preserve"> </v>
      </c>
      <c r="AR468" s="598" t="str">
        <f t="shared" si="882"/>
        <v xml:space="preserve"> </v>
      </c>
      <c r="AS468" s="598" t="str">
        <f t="shared" si="882"/>
        <v xml:space="preserve"> </v>
      </c>
      <c r="AT468" s="598" t="str">
        <f t="shared" si="882"/>
        <v xml:space="preserve"> </v>
      </c>
      <c r="AV468" s="598" t="str">
        <f t="shared" si="883"/>
        <v xml:space="preserve"> </v>
      </c>
      <c r="AW468" s="598" t="str">
        <f t="shared" si="883"/>
        <v xml:space="preserve"> </v>
      </c>
      <c r="AX468" s="598" t="str">
        <f t="shared" si="883"/>
        <v xml:space="preserve"> </v>
      </c>
      <c r="AY468" s="598" t="str">
        <f t="shared" si="883"/>
        <v xml:space="preserve"> </v>
      </c>
      <c r="AZ468" s="598" t="str">
        <f t="shared" si="883"/>
        <v xml:space="preserve"> </v>
      </c>
      <c r="BA468" s="598" t="str">
        <f t="shared" si="883"/>
        <v xml:space="preserve"> </v>
      </c>
      <c r="BB468" s="598" t="str">
        <f t="shared" si="883"/>
        <v xml:space="preserve"> </v>
      </c>
      <c r="BC468" s="598" t="str">
        <f t="shared" si="883"/>
        <v xml:space="preserve"> </v>
      </c>
      <c r="BD468" s="598" t="str">
        <f t="shared" si="883"/>
        <v xml:space="preserve"> </v>
      </c>
      <c r="BE468" s="598" t="str">
        <f t="shared" si="883"/>
        <v xml:space="preserve"> </v>
      </c>
      <c r="BF468" s="598" t="str">
        <f t="shared" si="884"/>
        <v xml:space="preserve"> </v>
      </c>
      <c r="BG468" s="598" t="str">
        <f t="shared" si="884"/>
        <v xml:space="preserve"> </v>
      </c>
      <c r="BH468" s="598" t="str">
        <f t="shared" si="884"/>
        <v xml:space="preserve"> </v>
      </c>
      <c r="BI468" s="598" t="str">
        <f t="shared" si="884"/>
        <v xml:space="preserve"> </v>
      </c>
      <c r="BJ468" s="598" t="str">
        <f t="shared" si="884"/>
        <v xml:space="preserve"> </v>
      </c>
      <c r="BK468" s="598" t="str">
        <f t="shared" si="884"/>
        <v xml:space="preserve"> </v>
      </c>
      <c r="BL468" s="598" t="str">
        <f t="shared" si="884"/>
        <v xml:space="preserve"> </v>
      </c>
      <c r="BM468" s="598" t="str">
        <f t="shared" si="884"/>
        <v xml:space="preserve"> </v>
      </c>
      <c r="BN468" s="598" t="str">
        <f t="shared" si="884"/>
        <v xml:space="preserve"> </v>
      </c>
      <c r="BO468" s="598" t="str">
        <f t="shared" si="884"/>
        <v xml:space="preserve"> </v>
      </c>
      <c r="BP468" s="598" t="str">
        <f t="shared" si="885"/>
        <v xml:space="preserve"> </v>
      </c>
      <c r="BQ468" s="598" t="str">
        <f t="shared" si="885"/>
        <v xml:space="preserve"> </v>
      </c>
      <c r="BR468" s="598" t="str">
        <f t="shared" si="885"/>
        <v xml:space="preserve"> </v>
      </c>
      <c r="BS468" s="598" t="str">
        <f t="shared" si="885"/>
        <v xml:space="preserve"> </v>
      </c>
      <c r="BT468" s="598" t="str">
        <f t="shared" si="885"/>
        <v xml:space="preserve"> </v>
      </c>
      <c r="BU468" s="598" t="str">
        <f t="shared" si="885"/>
        <v xml:space="preserve"> </v>
      </c>
      <c r="BV468" s="598" t="str">
        <f t="shared" si="885"/>
        <v xml:space="preserve"> </v>
      </c>
      <c r="BW468" s="598" t="str">
        <f t="shared" si="885"/>
        <v xml:space="preserve"> </v>
      </c>
      <c r="BX468" s="598" t="str">
        <f t="shared" si="885"/>
        <v xml:space="preserve"> </v>
      </c>
      <c r="BY468" s="598" t="str">
        <f t="shared" si="885"/>
        <v xml:space="preserve"> </v>
      </c>
      <c r="BZ468" s="598" t="str">
        <f t="shared" si="886"/>
        <v xml:space="preserve"> </v>
      </c>
      <c r="CA468" s="598" t="str">
        <f t="shared" si="886"/>
        <v xml:space="preserve"> </v>
      </c>
      <c r="CB468" s="598" t="str">
        <f t="shared" si="886"/>
        <v xml:space="preserve"> </v>
      </c>
      <c r="CC468" s="598" t="str">
        <f t="shared" si="886"/>
        <v xml:space="preserve"> </v>
      </c>
      <c r="CD468" s="598" t="str">
        <f t="shared" si="886"/>
        <v xml:space="preserve"> </v>
      </c>
      <c r="CE468" s="598" t="str">
        <f t="shared" si="886"/>
        <v xml:space="preserve"> </v>
      </c>
      <c r="CF468" s="598" t="str">
        <f t="shared" si="886"/>
        <v xml:space="preserve"> </v>
      </c>
      <c r="CG468" s="598" t="str">
        <f t="shared" si="886"/>
        <v xml:space="preserve"> </v>
      </c>
      <c r="CH468" s="598" t="str">
        <f t="shared" si="886"/>
        <v xml:space="preserve"> </v>
      </c>
      <c r="CI468" s="598" t="str">
        <f t="shared" si="886"/>
        <v xml:space="preserve"> </v>
      </c>
      <c r="CJ468" s="598" t="str">
        <f t="shared" si="886"/>
        <v xml:space="preserve"> </v>
      </c>
      <c r="CK468" s="598" t="str">
        <f t="shared" si="886"/>
        <v xml:space="preserve"> </v>
      </c>
      <c r="CL468" s="598" t="str">
        <f t="shared" si="886"/>
        <v xml:space="preserve"> </v>
      </c>
      <c r="CM468" s="598" t="str">
        <f t="shared" si="886"/>
        <v xml:space="preserve"> </v>
      </c>
      <c r="CN468" s="598" t="str">
        <f t="shared" si="886"/>
        <v xml:space="preserve"> </v>
      </c>
    </row>
    <row r="469" spans="1:92">
      <c r="A469" s="598">
        <v>92</v>
      </c>
      <c r="B469" s="598" t="str">
        <f t="shared" ref="B469:K478" si="887">HLOOKUP(B$376,$C$255:$S$372,$A469+1)</f>
        <v xml:space="preserve"> </v>
      </c>
      <c r="C469" s="598" t="str">
        <f t="shared" si="887"/>
        <v xml:space="preserve"> </v>
      </c>
      <c r="D469" s="598" t="str">
        <f t="shared" si="887"/>
        <v xml:space="preserve"> </v>
      </c>
      <c r="E469" s="598" t="str">
        <f t="shared" si="887"/>
        <v xml:space="preserve"> </v>
      </c>
      <c r="F469" s="598" t="str">
        <f t="shared" si="887"/>
        <v xml:space="preserve"> </v>
      </c>
      <c r="G469" s="598" t="str">
        <f t="shared" si="887"/>
        <v xml:space="preserve"> </v>
      </c>
      <c r="H469" s="598" t="str">
        <f t="shared" si="887"/>
        <v xml:space="preserve"> </v>
      </c>
      <c r="I469" s="598" t="str">
        <f t="shared" si="887"/>
        <v xml:space="preserve"> </v>
      </c>
      <c r="J469" s="598" t="str">
        <f t="shared" si="887"/>
        <v xml:space="preserve"> </v>
      </c>
      <c r="K469" s="598" t="str">
        <f t="shared" si="887"/>
        <v xml:space="preserve"> </v>
      </c>
      <c r="L469" s="598" t="str">
        <f t="shared" ref="L469:U478" si="888">HLOOKUP(L$376,$C$255:$S$372,$A469+1)</f>
        <v xml:space="preserve"> </v>
      </c>
      <c r="M469" s="598" t="str">
        <f t="shared" si="888"/>
        <v xml:space="preserve"> </v>
      </c>
      <c r="N469" s="598" t="str">
        <f t="shared" si="888"/>
        <v xml:space="preserve"> </v>
      </c>
      <c r="O469" s="598" t="str">
        <f t="shared" si="888"/>
        <v xml:space="preserve"> </v>
      </c>
      <c r="P469" s="598" t="str">
        <f t="shared" si="888"/>
        <v xml:space="preserve"> </v>
      </c>
      <c r="Q469" s="598" t="str">
        <f t="shared" si="888"/>
        <v xml:space="preserve"> </v>
      </c>
      <c r="R469" s="598" t="str">
        <f t="shared" si="888"/>
        <v xml:space="preserve"> </v>
      </c>
      <c r="S469" s="598" t="str">
        <f t="shared" si="888"/>
        <v xml:space="preserve"> </v>
      </c>
      <c r="T469" s="598" t="str">
        <f t="shared" si="888"/>
        <v xml:space="preserve"> </v>
      </c>
      <c r="U469" s="598" t="str">
        <f t="shared" si="888"/>
        <v xml:space="preserve"> </v>
      </c>
      <c r="V469" s="598" t="str">
        <f t="shared" ref="V469:AE478" si="889">HLOOKUP(V$376,$C$255:$S$372,$A469+1)</f>
        <v xml:space="preserve"> </v>
      </c>
      <c r="W469" s="598" t="str">
        <f t="shared" si="889"/>
        <v xml:space="preserve"> </v>
      </c>
      <c r="X469" s="598" t="str">
        <f t="shared" si="889"/>
        <v xml:space="preserve"> </v>
      </c>
      <c r="Y469" s="598" t="str">
        <f t="shared" si="889"/>
        <v xml:space="preserve"> </v>
      </c>
      <c r="Z469" s="598" t="str">
        <f t="shared" si="889"/>
        <v xml:space="preserve"> </v>
      </c>
      <c r="AA469" s="598" t="str">
        <f t="shared" si="889"/>
        <v xml:space="preserve"> </v>
      </c>
      <c r="AB469" s="598" t="str">
        <f t="shared" si="889"/>
        <v xml:space="preserve"> </v>
      </c>
      <c r="AC469" s="598" t="str">
        <f t="shared" si="889"/>
        <v xml:space="preserve"> </v>
      </c>
      <c r="AD469" s="598" t="str">
        <f t="shared" si="889"/>
        <v xml:space="preserve"> </v>
      </c>
      <c r="AE469" s="598" t="str">
        <f t="shared" si="889"/>
        <v xml:space="preserve"> </v>
      </c>
      <c r="AF469" s="598" t="str">
        <f t="shared" ref="AF469:AT478" si="890">HLOOKUP(AF$376,$C$255:$S$372,$A469+1)</f>
        <v xml:space="preserve"> </v>
      </c>
      <c r="AG469" s="598" t="str">
        <f t="shared" si="890"/>
        <v xml:space="preserve"> </v>
      </c>
      <c r="AH469" s="598" t="str">
        <f t="shared" si="890"/>
        <v xml:space="preserve"> </v>
      </c>
      <c r="AI469" s="598" t="str">
        <f t="shared" si="890"/>
        <v xml:space="preserve"> </v>
      </c>
      <c r="AJ469" s="598" t="str">
        <f t="shared" si="890"/>
        <v xml:space="preserve"> </v>
      </c>
      <c r="AK469" s="598" t="str">
        <f t="shared" si="890"/>
        <v xml:space="preserve"> </v>
      </c>
      <c r="AL469" s="598" t="str">
        <f t="shared" si="890"/>
        <v xml:space="preserve"> </v>
      </c>
      <c r="AM469" s="598" t="str">
        <f t="shared" si="890"/>
        <v xml:space="preserve"> </v>
      </c>
      <c r="AN469" s="598" t="str">
        <f t="shared" si="890"/>
        <v xml:space="preserve"> </v>
      </c>
      <c r="AO469" s="598" t="str">
        <f t="shared" si="890"/>
        <v xml:space="preserve"> </v>
      </c>
      <c r="AP469" s="598" t="str">
        <f t="shared" si="890"/>
        <v xml:space="preserve"> </v>
      </c>
      <c r="AQ469" s="598" t="str">
        <f t="shared" si="890"/>
        <v xml:space="preserve"> </v>
      </c>
      <c r="AR469" s="598" t="str">
        <f t="shared" si="890"/>
        <v xml:space="preserve"> </v>
      </c>
      <c r="AS469" s="598" t="str">
        <f t="shared" si="890"/>
        <v xml:space="preserve"> </v>
      </c>
      <c r="AT469" s="598" t="str">
        <f t="shared" si="890"/>
        <v xml:space="preserve"> </v>
      </c>
      <c r="AV469" s="598" t="str">
        <f t="shared" ref="AV469:BE478" si="891">HLOOKUP(AV$376,$C$255:$S$372,$A469+1)</f>
        <v xml:space="preserve"> </v>
      </c>
      <c r="AW469" s="598" t="str">
        <f t="shared" si="891"/>
        <v xml:space="preserve"> </v>
      </c>
      <c r="AX469" s="598" t="str">
        <f t="shared" si="891"/>
        <v xml:space="preserve"> </v>
      </c>
      <c r="AY469" s="598" t="str">
        <f t="shared" si="891"/>
        <v xml:space="preserve"> </v>
      </c>
      <c r="AZ469" s="598" t="str">
        <f t="shared" si="891"/>
        <v xml:space="preserve"> </v>
      </c>
      <c r="BA469" s="598" t="str">
        <f t="shared" si="891"/>
        <v xml:space="preserve"> </v>
      </c>
      <c r="BB469" s="598" t="str">
        <f t="shared" si="891"/>
        <v xml:space="preserve"> </v>
      </c>
      <c r="BC469" s="598" t="str">
        <f t="shared" si="891"/>
        <v xml:space="preserve"> </v>
      </c>
      <c r="BD469" s="598" t="str">
        <f t="shared" si="891"/>
        <v xml:space="preserve"> </v>
      </c>
      <c r="BE469" s="598" t="str">
        <f t="shared" si="891"/>
        <v xml:space="preserve"> </v>
      </c>
      <c r="BF469" s="598" t="str">
        <f t="shared" ref="BF469:BO478" si="892">HLOOKUP(BF$376,$C$255:$S$372,$A469+1)</f>
        <v xml:space="preserve"> </v>
      </c>
      <c r="BG469" s="598" t="str">
        <f t="shared" si="892"/>
        <v xml:space="preserve"> </v>
      </c>
      <c r="BH469" s="598" t="str">
        <f t="shared" si="892"/>
        <v xml:space="preserve"> </v>
      </c>
      <c r="BI469" s="598" t="str">
        <f t="shared" si="892"/>
        <v xml:space="preserve"> </v>
      </c>
      <c r="BJ469" s="598" t="str">
        <f t="shared" si="892"/>
        <v xml:space="preserve"> </v>
      </c>
      <c r="BK469" s="598" t="str">
        <f t="shared" si="892"/>
        <v xml:space="preserve"> </v>
      </c>
      <c r="BL469" s="598" t="str">
        <f t="shared" si="892"/>
        <v xml:space="preserve"> </v>
      </c>
      <c r="BM469" s="598" t="str">
        <f t="shared" si="892"/>
        <v xml:space="preserve"> </v>
      </c>
      <c r="BN469" s="598" t="str">
        <f t="shared" si="892"/>
        <v xml:space="preserve"> </v>
      </c>
      <c r="BO469" s="598" t="str">
        <f t="shared" si="892"/>
        <v xml:space="preserve"> </v>
      </c>
      <c r="BP469" s="598" t="str">
        <f t="shared" ref="BP469:BY478" si="893">HLOOKUP(BP$376,$C$255:$S$372,$A469+1)</f>
        <v xml:space="preserve"> </v>
      </c>
      <c r="BQ469" s="598" t="str">
        <f t="shared" si="893"/>
        <v xml:space="preserve"> </v>
      </c>
      <c r="BR469" s="598" t="str">
        <f t="shared" si="893"/>
        <v xml:space="preserve"> </v>
      </c>
      <c r="BS469" s="598" t="str">
        <f t="shared" si="893"/>
        <v xml:space="preserve"> </v>
      </c>
      <c r="BT469" s="598" t="str">
        <f t="shared" si="893"/>
        <v xml:space="preserve"> </v>
      </c>
      <c r="BU469" s="598" t="str">
        <f t="shared" si="893"/>
        <v xml:space="preserve"> </v>
      </c>
      <c r="BV469" s="598" t="str">
        <f t="shared" si="893"/>
        <v xml:space="preserve"> </v>
      </c>
      <c r="BW469" s="598" t="str">
        <f t="shared" si="893"/>
        <v xml:space="preserve"> </v>
      </c>
      <c r="BX469" s="598" t="str">
        <f t="shared" si="893"/>
        <v xml:space="preserve"> </v>
      </c>
      <c r="BY469" s="598" t="str">
        <f t="shared" si="893"/>
        <v xml:space="preserve"> </v>
      </c>
      <c r="BZ469" s="598" t="str">
        <f t="shared" ref="BZ469:CN478" si="894">HLOOKUP(BZ$376,$C$255:$S$372,$A469+1)</f>
        <v xml:space="preserve"> </v>
      </c>
      <c r="CA469" s="598" t="str">
        <f t="shared" si="894"/>
        <v xml:space="preserve"> </v>
      </c>
      <c r="CB469" s="598" t="str">
        <f t="shared" si="894"/>
        <v xml:space="preserve"> </v>
      </c>
      <c r="CC469" s="598" t="str">
        <f t="shared" si="894"/>
        <v xml:space="preserve"> </v>
      </c>
      <c r="CD469" s="598" t="str">
        <f t="shared" si="894"/>
        <v xml:space="preserve"> </v>
      </c>
      <c r="CE469" s="598" t="str">
        <f t="shared" si="894"/>
        <v xml:space="preserve"> </v>
      </c>
      <c r="CF469" s="598" t="str">
        <f t="shared" si="894"/>
        <v xml:space="preserve"> </v>
      </c>
      <c r="CG469" s="598" t="str">
        <f t="shared" si="894"/>
        <v xml:space="preserve"> </v>
      </c>
      <c r="CH469" s="598" t="str">
        <f t="shared" si="894"/>
        <v xml:space="preserve"> </v>
      </c>
      <c r="CI469" s="598" t="str">
        <f t="shared" si="894"/>
        <v xml:space="preserve"> </v>
      </c>
      <c r="CJ469" s="598" t="str">
        <f t="shared" si="894"/>
        <v xml:space="preserve"> </v>
      </c>
      <c r="CK469" s="598" t="str">
        <f t="shared" si="894"/>
        <v xml:space="preserve"> </v>
      </c>
      <c r="CL469" s="598" t="str">
        <f t="shared" si="894"/>
        <v xml:space="preserve"> </v>
      </c>
      <c r="CM469" s="598" t="str">
        <f t="shared" si="894"/>
        <v xml:space="preserve"> </v>
      </c>
      <c r="CN469" s="598" t="str">
        <f t="shared" si="894"/>
        <v xml:space="preserve"> </v>
      </c>
    </row>
    <row r="470" spans="1:92">
      <c r="A470" s="598">
        <v>93</v>
      </c>
      <c r="B470" s="598" t="str">
        <f t="shared" si="887"/>
        <v xml:space="preserve"> </v>
      </c>
      <c r="C470" s="598" t="str">
        <f t="shared" si="887"/>
        <v xml:space="preserve"> </v>
      </c>
      <c r="D470" s="598" t="str">
        <f t="shared" si="887"/>
        <v xml:space="preserve"> </v>
      </c>
      <c r="E470" s="598" t="str">
        <f t="shared" si="887"/>
        <v xml:space="preserve"> </v>
      </c>
      <c r="F470" s="598" t="str">
        <f t="shared" si="887"/>
        <v xml:space="preserve"> </v>
      </c>
      <c r="G470" s="598" t="str">
        <f t="shared" si="887"/>
        <v xml:space="preserve"> </v>
      </c>
      <c r="H470" s="598" t="str">
        <f t="shared" si="887"/>
        <v xml:space="preserve"> </v>
      </c>
      <c r="I470" s="598" t="str">
        <f t="shared" si="887"/>
        <v xml:space="preserve"> </v>
      </c>
      <c r="J470" s="598" t="str">
        <f t="shared" si="887"/>
        <v xml:space="preserve"> </v>
      </c>
      <c r="K470" s="598" t="str">
        <f t="shared" si="887"/>
        <v xml:space="preserve"> </v>
      </c>
      <c r="L470" s="598" t="str">
        <f t="shared" si="888"/>
        <v xml:space="preserve"> </v>
      </c>
      <c r="M470" s="598" t="str">
        <f t="shared" si="888"/>
        <v xml:space="preserve"> </v>
      </c>
      <c r="N470" s="598" t="str">
        <f t="shared" si="888"/>
        <v xml:space="preserve"> </v>
      </c>
      <c r="O470" s="598" t="str">
        <f t="shared" si="888"/>
        <v xml:space="preserve"> </v>
      </c>
      <c r="P470" s="598" t="str">
        <f t="shared" si="888"/>
        <v xml:space="preserve"> </v>
      </c>
      <c r="Q470" s="598" t="str">
        <f t="shared" si="888"/>
        <v xml:space="preserve"> </v>
      </c>
      <c r="R470" s="598" t="str">
        <f t="shared" si="888"/>
        <v xml:space="preserve"> </v>
      </c>
      <c r="S470" s="598" t="str">
        <f t="shared" si="888"/>
        <v xml:space="preserve"> </v>
      </c>
      <c r="T470" s="598" t="str">
        <f t="shared" si="888"/>
        <v xml:space="preserve"> </v>
      </c>
      <c r="U470" s="598" t="str">
        <f t="shared" si="888"/>
        <v xml:space="preserve"> </v>
      </c>
      <c r="V470" s="598" t="str">
        <f t="shared" si="889"/>
        <v xml:space="preserve"> </v>
      </c>
      <c r="W470" s="598" t="str">
        <f t="shared" si="889"/>
        <v xml:space="preserve"> </v>
      </c>
      <c r="X470" s="598" t="str">
        <f t="shared" si="889"/>
        <v xml:space="preserve"> </v>
      </c>
      <c r="Y470" s="598" t="str">
        <f t="shared" si="889"/>
        <v xml:space="preserve"> </v>
      </c>
      <c r="Z470" s="598" t="str">
        <f t="shared" si="889"/>
        <v xml:space="preserve"> </v>
      </c>
      <c r="AA470" s="598" t="str">
        <f t="shared" si="889"/>
        <v xml:space="preserve"> </v>
      </c>
      <c r="AB470" s="598" t="str">
        <f t="shared" si="889"/>
        <v xml:space="preserve"> </v>
      </c>
      <c r="AC470" s="598" t="str">
        <f t="shared" si="889"/>
        <v xml:space="preserve"> </v>
      </c>
      <c r="AD470" s="598" t="str">
        <f t="shared" si="889"/>
        <v xml:space="preserve"> </v>
      </c>
      <c r="AE470" s="598" t="str">
        <f t="shared" si="889"/>
        <v xml:space="preserve"> </v>
      </c>
      <c r="AF470" s="598" t="str">
        <f t="shared" si="890"/>
        <v xml:space="preserve"> </v>
      </c>
      <c r="AG470" s="598" t="str">
        <f t="shared" si="890"/>
        <v xml:space="preserve"> </v>
      </c>
      <c r="AH470" s="598" t="str">
        <f t="shared" si="890"/>
        <v xml:space="preserve"> </v>
      </c>
      <c r="AI470" s="598" t="str">
        <f t="shared" si="890"/>
        <v xml:space="preserve"> </v>
      </c>
      <c r="AJ470" s="598" t="str">
        <f t="shared" si="890"/>
        <v xml:space="preserve"> </v>
      </c>
      <c r="AK470" s="598" t="str">
        <f t="shared" si="890"/>
        <v xml:space="preserve"> </v>
      </c>
      <c r="AL470" s="598" t="str">
        <f t="shared" si="890"/>
        <v xml:space="preserve"> </v>
      </c>
      <c r="AM470" s="598" t="str">
        <f t="shared" si="890"/>
        <v xml:space="preserve"> </v>
      </c>
      <c r="AN470" s="598" t="str">
        <f t="shared" si="890"/>
        <v xml:space="preserve"> </v>
      </c>
      <c r="AO470" s="598" t="str">
        <f t="shared" si="890"/>
        <v xml:space="preserve"> </v>
      </c>
      <c r="AP470" s="598" t="str">
        <f t="shared" si="890"/>
        <v xml:space="preserve"> </v>
      </c>
      <c r="AQ470" s="598" t="str">
        <f t="shared" si="890"/>
        <v xml:space="preserve"> </v>
      </c>
      <c r="AR470" s="598" t="str">
        <f t="shared" si="890"/>
        <v xml:space="preserve"> </v>
      </c>
      <c r="AS470" s="598" t="str">
        <f t="shared" si="890"/>
        <v xml:space="preserve"> </v>
      </c>
      <c r="AT470" s="598" t="str">
        <f t="shared" si="890"/>
        <v xml:space="preserve"> </v>
      </c>
      <c r="AV470" s="598" t="str">
        <f t="shared" si="891"/>
        <v xml:space="preserve"> </v>
      </c>
      <c r="AW470" s="598" t="str">
        <f t="shared" si="891"/>
        <v xml:space="preserve"> </v>
      </c>
      <c r="AX470" s="598" t="str">
        <f t="shared" si="891"/>
        <v xml:space="preserve"> </v>
      </c>
      <c r="AY470" s="598" t="str">
        <f t="shared" si="891"/>
        <v xml:space="preserve"> </v>
      </c>
      <c r="AZ470" s="598" t="str">
        <f t="shared" si="891"/>
        <v xml:space="preserve"> </v>
      </c>
      <c r="BA470" s="598" t="str">
        <f t="shared" si="891"/>
        <v xml:space="preserve"> </v>
      </c>
      <c r="BB470" s="598" t="str">
        <f t="shared" si="891"/>
        <v xml:space="preserve"> </v>
      </c>
      <c r="BC470" s="598" t="str">
        <f t="shared" si="891"/>
        <v xml:space="preserve"> </v>
      </c>
      <c r="BD470" s="598" t="str">
        <f t="shared" si="891"/>
        <v xml:space="preserve"> </v>
      </c>
      <c r="BE470" s="598" t="str">
        <f t="shared" si="891"/>
        <v xml:space="preserve"> </v>
      </c>
      <c r="BF470" s="598" t="str">
        <f t="shared" si="892"/>
        <v xml:space="preserve"> </v>
      </c>
      <c r="BG470" s="598" t="str">
        <f t="shared" si="892"/>
        <v xml:space="preserve"> </v>
      </c>
      <c r="BH470" s="598" t="str">
        <f t="shared" si="892"/>
        <v xml:space="preserve"> </v>
      </c>
      <c r="BI470" s="598" t="str">
        <f t="shared" si="892"/>
        <v xml:space="preserve"> </v>
      </c>
      <c r="BJ470" s="598" t="str">
        <f t="shared" si="892"/>
        <v xml:space="preserve"> </v>
      </c>
      <c r="BK470" s="598" t="str">
        <f t="shared" si="892"/>
        <v xml:space="preserve"> </v>
      </c>
      <c r="BL470" s="598" t="str">
        <f t="shared" si="892"/>
        <v xml:space="preserve"> </v>
      </c>
      <c r="BM470" s="598" t="str">
        <f t="shared" si="892"/>
        <v xml:space="preserve"> </v>
      </c>
      <c r="BN470" s="598" t="str">
        <f t="shared" si="892"/>
        <v xml:space="preserve"> </v>
      </c>
      <c r="BO470" s="598" t="str">
        <f t="shared" si="892"/>
        <v xml:space="preserve"> </v>
      </c>
      <c r="BP470" s="598" t="str">
        <f t="shared" si="893"/>
        <v xml:space="preserve"> </v>
      </c>
      <c r="BQ470" s="598" t="str">
        <f t="shared" si="893"/>
        <v xml:space="preserve"> </v>
      </c>
      <c r="BR470" s="598" t="str">
        <f t="shared" si="893"/>
        <v xml:space="preserve"> </v>
      </c>
      <c r="BS470" s="598" t="str">
        <f t="shared" si="893"/>
        <v xml:space="preserve"> </v>
      </c>
      <c r="BT470" s="598" t="str">
        <f t="shared" si="893"/>
        <v xml:space="preserve"> </v>
      </c>
      <c r="BU470" s="598" t="str">
        <f t="shared" si="893"/>
        <v xml:space="preserve"> </v>
      </c>
      <c r="BV470" s="598" t="str">
        <f t="shared" si="893"/>
        <v xml:space="preserve"> </v>
      </c>
      <c r="BW470" s="598" t="str">
        <f t="shared" si="893"/>
        <v xml:space="preserve"> </v>
      </c>
      <c r="BX470" s="598" t="str">
        <f t="shared" si="893"/>
        <v xml:space="preserve"> </v>
      </c>
      <c r="BY470" s="598" t="str">
        <f t="shared" si="893"/>
        <v xml:space="preserve"> </v>
      </c>
      <c r="BZ470" s="598" t="str">
        <f t="shared" si="894"/>
        <v xml:space="preserve"> </v>
      </c>
      <c r="CA470" s="598" t="str">
        <f t="shared" si="894"/>
        <v xml:space="preserve"> </v>
      </c>
      <c r="CB470" s="598" t="str">
        <f t="shared" si="894"/>
        <v xml:space="preserve"> </v>
      </c>
      <c r="CC470" s="598" t="str">
        <f t="shared" si="894"/>
        <v xml:space="preserve"> </v>
      </c>
      <c r="CD470" s="598" t="str">
        <f t="shared" si="894"/>
        <v xml:space="preserve"> </v>
      </c>
      <c r="CE470" s="598" t="str">
        <f t="shared" si="894"/>
        <v xml:space="preserve"> </v>
      </c>
      <c r="CF470" s="598" t="str">
        <f t="shared" si="894"/>
        <v xml:space="preserve"> </v>
      </c>
      <c r="CG470" s="598" t="str">
        <f t="shared" si="894"/>
        <v xml:space="preserve"> </v>
      </c>
      <c r="CH470" s="598" t="str">
        <f t="shared" si="894"/>
        <v xml:space="preserve"> </v>
      </c>
      <c r="CI470" s="598" t="str">
        <f t="shared" si="894"/>
        <v xml:space="preserve"> </v>
      </c>
      <c r="CJ470" s="598" t="str">
        <f t="shared" si="894"/>
        <v xml:space="preserve"> </v>
      </c>
      <c r="CK470" s="598" t="str">
        <f t="shared" si="894"/>
        <v xml:space="preserve"> </v>
      </c>
      <c r="CL470" s="598" t="str">
        <f t="shared" si="894"/>
        <v xml:space="preserve"> </v>
      </c>
      <c r="CM470" s="598" t="str">
        <f t="shared" si="894"/>
        <v xml:space="preserve"> </v>
      </c>
      <c r="CN470" s="598" t="str">
        <f t="shared" si="894"/>
        <v xml:space="preserve"> </v>
      </c>
    </row>
    <row r="471" spans="1:92">
      <c r="A471" s="598">
        <v>94</v>
      </c>
      <c r="B471" s="598" t="str">
        <f t="shared" si="887"/>
        <v xml:space="preserve"> </v>
      </c>
      <c r="C471" s="598" t="str">
        <f t="shared" si="887"/>
        <v xml:space="preserve"> </v>
      </c>
      <c r="D471" s="598" t="str">
        <f t="shared" si="887"/>
        <v xml:space="preserve"> </v>
      </c>
      <c r="E471" s="598" t="str">
        <f t="shared" si="887"/>
        <v xml:space="preserve"> </v>
      </c>
      <c r="F471" s="598" t="str">
        <f t="shared" si="887"/>
        <v xml:space="preserve"> </v>
      </c>
      <c r="G471" s="598" t="str">
        <f t="shared" si="887"/>
        <v xml:space="preserve"> </v>
      </c>
      <c r="H471" s="598" t="str">
        <f t="shared" si="887"/>
        <v xml:space="preserve"> </v>
      </c>
      <c r="I471" s="598" t="str">
        <f t="shared" si="887"/>
        <v xml:space="preserve"> </v>
      </c>
      <c r="J471" s="598" t="str">
        <f t="shared" si="887"/>
        <v xml:space="preserve"> </v>
      </c>
      <c r="K471" s="598" t="str">
        <f t="shared" si="887"/>
        <v xml:space="preserve"> </v>
      </c>
      <c r="L471" s="598" t="str">
        <f t="shared" si="888"/>
        <v xml:space="preserve"> </v>
      </c>
      <c r="M471" s="598" t="str">
        <f t="shared" si="888"/>
        <v xml:space="preserve"> </v>
      </c>
      <c r="N471" s="598" t="str">
        <f t="shared" si="888"/>
        <v xml:space="preserve"> </v>
      </c>
      <c r="O471" s="598" t="str">
        <f t="shared" si="888"/>
        <v xml:space="preserve"> </v>
      </c>
      <c r="P471" s="598" t="str">
        <f t="shared" si="888"/>
        <v xml:space="preserve"> </v>
      </c>
      <c r="Q471" s="598" t="str">
        <f t="shared" si="888"/>
        <v xml:space="preserve"> </v>
      </c>
      <c r="R471" s="598" t="str">
        <f t="shared" si="888"/>
        <v xml:space="preserve"> </v>
      </c>
      <c r="S471" s="598" t="str">
        <f t="shared" si="888"/>
        <v xml:space="preserve"> </v>
      </c>
      <c r="T471" s="598" t="str">
        <f t="shared" si="888"/>
        <v xml:space="preserve"> </v>
      </c>
      <c r="U471" s="598" t="str">
        <f t="shared" si="888"/>
        <v xml:space="preserve"> </v>
      </c>
      <c r="V471" s="598" t="str">
        <f t="shared" si="889"/>
        <v xml:space="preserve"> </v>
      </c>
      <c r="W471" s="598" t="str">
        <f t="shared" si="889"/>
        <v xml:space="preserve"> </v>
      </c>
      <c r="X471" s="598" t="str">
        <f t="shared" si="889"/>
        <v xml:space="preserve"> </v>
      </c>
      <c r="Y471" s="598" t="str">
        <f t="shared" si="889"/>
        <v xml:space="preserve"> </v>
      </c>
      <c r="Z471" s="598" t="str">
        <f t="shared" si="889"/>
        <v xml:space="preserve"> </v>
      </c>
      <c r="AA471" s="598" t="str">
        <f t="shared" si="889"/>
        <v xml:space="preserve"> </v>
      </c>
      <c r="AB471" s="598" t="str">
        <f t="shared" si="889"/>
        <v xml:space="preserve"> </v>
      </c>
      <c r="AC471" s="598" t="str">
        <f t="shared" si="889"/>
        <v xml:space="preserve"> </v>
      </c>
      <c r="AD471" s="598" t="str">
        <f t="shared" si="889"/>
        <v xml:space="preserve"> </v>
      </c>
      <c r="AE471" s="598" t="str">
        <f t="shared" si="889"/>
        <v xml:space="preserve"> </v>
      </c>
      <c r="AF471" s="598" t="str">
        <f t="shared" si="890"/>
        <v xml:space="preserve"> </v>
      </c>
      <c r="AG471" s="598" t="str">
        <f t="shared" si="890"/>
        <v xml:space="preserve"> </v>
      </c>
      <c r="AH471" s="598" t="str">
        <f t="shared" si="890"/>
        <v xml:space="preserve"> </v>
      </c>
      <c r="AI471" s="598" t="str">
        <f t="shared" si="890"/>
        <v xml:space="preserve"> </v>
      </c>
      <c r="AJ471" s="598" t="str">
        <f t="shared" si="890"/>
        <v xml:space="preserve"> </v>
      </c>
      <c r="AK471" s="598" t="str">
        <f t="shared" si="890"/>
        <v xml:space="preserve"> </v>
      </c>
      <c r="AL471" s="598" t="str">
        <f t="shared" si="890"/>
        <v xml:space="preserve"> </v>
      </c>
      <c r="AM471" s="598" t="str">
        <f t="shared" si="890"/>
        <v xml:space="preserve"> </v>
      </c>
      <c r="AN471" s="598" t="str">
        <f t="shared" si="890"/>
        <v xml:space="preserve"> </v>
      </c>
      <c r="AO471" s="598" t="str">
        <f t="shared" si="890"/>
        <v xml:space="preserve"> </v>
      </c>
      <c r="AP471" s="598" t="str">
        <f t="shared" si="890"/>
        <v xml:space="preserve"> </v>
      </c>
      <c r="AQ471" s="598" t="str">
        <f t="shared" si="890"/>
        <v xml:space="preserve"> </v>
      </c>
      <c r="AR471" s="598" t="str">
        <f t="shared" si="890"/>
        <v xml:space="preserve"> </v>
      </c>
      <c r="AS471" s="598" t="str">
        <f t="shared" si="890"/>
        <v xml:space="preserve"> </v>
      </c>
      <c r="AT471" s="598" t="str">
        <f t="shared" si="890"/>
        <v xml:space="preserve"> </v>
      </c>
      <c r="AV471" s="598" t="str">
        <f t="shared" si="891"/>
        <v xml:space="preserve"> </v>
      </c>
      <c r="AW471" s="598" t="str">
        <f t="shared" si="891"/>
        <v xml:space="preserve"> </v>
      </c>
      <c r="AX471" s="598" t="str">
        <f t="shared" si="891"/>
        <v xml:space="preserve"> </v>
      </c>
      <c r="AY471" s="598" t="str">
        <f t="shared" si="891"/>
        <v xml:space="preserve"> </v>
      </c>
      <c r="AZ471" s="598" t="str">
        <f t="shared" si="891"/>
        <v xml:space="preserve"> </v>
      </c>
      <c r="BA471" s="598" t="str">
        <f t="shared" si="891"/>
        <v xml:space="preserve"> </v>
      </c>
      <c r="BB471" s="598" t="str">
        <f t="shared" si="891"/>
        <v xml:space="preserve"> </v>
      </c>
      <c r="BC471" s="598" t="str">
        <f t="shared" si="891"/>
        <v xml:space="preserve"> </v>
      </c>
      <c r="BD471" s="598" t="str">
        <f t="shared" si="891"/>
        <v xml:space="preserve"> </v>
      </c>
      <c r="BE471" s="598" t="str">
        <f t="shared" si="891"/>
        <v xml:space="preserve"> </v>
      </c>
      <c r="BF471" s="598" t="str">
        <f t="shared" si="892"/>
        <v xml:space="preserve"> </v>
      </c>
      <c r="BG471" s="598" t="str">
        <f t="shared" si="892"/>
        <v xml:space="preserve"> </v>
      </c>
      <c r="BH471" s="598" t="str">
        <f t="shared" si="892"/>
        <v xml:space="preserve"> </v>
      </c>
      <c r="BI471" s="598" t="str">
        <f t="shared" si="892"/>
        <v xml:space="preserve"> </v>
      </c>
      <c r="BJ471" s="598" t="str">
        <f t="shared" si="892"/>
        <v xml:space="preserve"> </v>
      </c>
      <c r="BK471" s="598" t="str">
        <f t="shared" si="892"/>
        <v xml:space="preserve"> </v>
      </c>
      <c r="BL471" s="598" t="str">
        <f t="shared" si="892"/>
        <v xml:space="preserve"> </v>
      </c>
      <c r="BM471" s="598" t="str">
        <f t="shared" si="892"/>
        <v xml:space="preserve"> </v>
      </c>
      <c r="BN471" s="598" t="str">
        <f t="shared" si="892"/>
        <v xml:space="preserve"> </v>
      </c>
      <c r="BO471" s="598" t="str">
        <f t="shared" si="892"/>
        <v xml:space="preserve"> </v>
      </c>
      <c r="BP471" s="598" t="str">
        <f t="shared" si="893"/>
        <v xml:space="preserve"> </v>
      </c>
      <c r="BQ471" s="598" t="str">
        <f t="shared" si="893"/>
        <v xml:space="preserve"> </v>
      </c>
      <c r="BR471" s="598" t="str">
        <f t="shared" si="893"/>
        <v xml:space="preserve"> </v>
      </c>
      <c r="BS471" s="598" t="str">
        <f t="shared" si="893"/>
        <v xml:space="preserve"> </v>
      </c>
      <c r="BT471" s="598" t="str">
        <f t="shared" si="893"/>
        <v xml:space="preserve"> </v>
      </c>
      <c r="BU471" s="598" t="str">
        <f t="shared" si="893"/>
        <v xml:space="preserve"> </v>
      </c>
      <c r="BV471" s="598" t="str">
        <f t="shared" si="893"/>
        <v xml:space="preserve"> </v>
      </c>
      <c r="BW471" s="598" t="str">
        <f t="shared" si="893"/>
        <v xml:space="preserve"> </v>
      </c>
      <c r="BX471" s="598" t="str">
        <f t="shared" si="893"/>
        <v xml:space="preserve"> </v>
      </c>
      <c r="BY471" s="598" t="str">
        <f t="shared" si="893"/>
        <v xml:space="preserve"> </v>
      </c>
      <c r="BZ471" s="598" t="str">
        <f t="shared" si="894"/>
        <v xml:space="preserve"> </v>
      </c>
      <c r="CA471" s="598" t="str">
        <f t="shared" si="894"/>
        <v xml:space="preserve"> </v>
      </c>
      <c r="CB471" s="598" t="str">
        <f t="shared" si="894"/>
        <v xml:space="preserve"> </v>
      </c>
      <c r="CC471" s="598" t="str">
        <f t="shared" si="894"/>
        <v xml:space="preserve"> </v>
      </c>
      <c r="CD471" s="598" t="str">
        <f t="shared" si="894"/>
        <v xml:space="preserve"> </v>
      </c>
      <c r="CE471" s="598" t="str">
        <f t="shared" si="894"/>
        <v xml:space="preserve"> </v>
      </c>
      <c r="CF471" s="598" t="str">
        <f t="shared" si="894"/>
        <v xml:space="preserve"> </v>
      </c>
      <c r="CG471" s="598" t="str">
        <f t="shared" si="894"/>
        <v xml:space="preserve"> </v>
      </c>
      <c r="CH471" s="598" t="str">
        <f t="shared" si="894"/>
        <v xml:space="preserve"> </v>
      </c>
      <c r="CI471" s="598" t="str">
        <f t="shared" si="894"/>
        <v xml:space="preserve"> </v>
      </c>
      <c r="CJ471" s="598" t="str">
        <f t="shared" si="894"/>
        <v xml:space="preserve"> </v>
      </c>
      <c r="CK471" s="598" t="str">
        <f t="shared" si="894"/>
        <v xml:space="preserve"> </v>
      </c>
      <c r="CL471" s="598" t="str">
        <f t="shared" si="894"/>
        <v xml:space="preserve"> </v>
      </c>
      <c r="CM471" s="598" t="str">
        <f t="shared" si="894"/>
        <v xml:space="preserve"> </v>
      </c>
      <c r="CN471" s="598" t="str">
        <f t="shared" si="894"/>
        <v xml:space="preserve"> </v>
      </c>
    </row>
    <row r="472" spans="1:92">
      <c r="A472" s="598">
        <v>95</v>
      </c>
      <c r="B472" s="598" t="str">
        <f t="shared" si="887"/>
        <v xml:space="preserve"> </v>
      </c>
      <c r="C472" s="598" t="str">
        <f t="shared" si="887"/>
        <v xml:space="preserve"> </v>
      </c>
      <c r="D472" s="598" t="str">
        <f t="shared" si="887"/>
        <v xml:space="preserve"> </v>
      </c>
      <c r="E472" s="598" t="str">
        <f t="shared" si="887"/>
        <v xml:space="preserve"> </v>
      </c>
      <c r="F472" s="598" t="str">
        <f t="shared" si="887"/>
        <v xml:space="preserve"> </v>
      </c>
      <c r="G472" s="598" t="str">
        <f t="shared" si="887"/>
        <v xml:space="preserve"> </v>
      </c>
      <c r="H472" s="598" t="str">
        <f t="shared" si="887"/>
        <v xml:space="preserve"> </v>
      </c>
      <c r="I472" s="598" t="str">
        <f t="shared" si="887"/>
        <v xml:space="preserve"> </v>
      </c>
      <c r="J472" s="598" t="str">
        <f t="shared" si="887"/>
        <v xml:space="preserve"> </v>
      </c>
      <c r="K472" s="598" t="str">
        <f t="shared" si="887"/>
        <v xml:space="preserve"> </v>
      </c>
      <c r="L472" s="598" t="str">
        <f t="shared" si="888"/>
        <v xml:space="preserve"> </v>
      </c>
      <c r="M472" s="598" t="str">
        <f t="shared" si="888"/>
        <v xml:space="preserve"> </v>
      </c>
      <c r="N472" s="598" t="str">
        <f t="shared" si="888"/>
        <v xml:space="preserve"> </v>
      </c>
      <c r="O472" s="598" t="str">
        <f t="shared" si="888"/>
        <v xml:space="preserve"> </v>
      </c>
      <c r="P472" s="598" t="str">
        <f t="shared" si="888"/>
        <v xml:space="preserve"> </v>
      </c>
      <c r="Q472" s="598" t="str">
        <f t="shared" si="888"/>
        <v xml:space="preserve"> </v>
      </c>
      <c r="R472" s="598" t="str">
        <f t="shared" si="888"/>
        <v xml:space="preserve"> </v>
      </c>
      <c r="S472" s="598" t="str">
        <f t="shared" si="888"/>
        <v xml:space="preserve"> </v>
      </c>
      <c r="T472" s="598" t="str">
        <f t="shared" si="888"/>
        <v xml:space="preserve"> </v>
      </c>
      <c r="U472" s="598" t="str">
        <f t="shared" si="888"/>
        <v xml:space="preserve"> </v>
      </c>
      <c r="V472" s="598" t="str">
        <f t="shared" si="889"/>
        <v xml:space="preserve"> </v>
      </c>
      <c r="W472" s="598" t="str">
        <f t="shared" si="889"/>
        <v xml:space="preserve"> </v>
      </c>
      <c r="X472" s="598" t="str">
        <f t="shared" si="889"/>
        <v xml:space="preserve"> </v>
      </c>
      <c r="Y472" s="598" t="str">
        <f t="shared" si="889"/>
        <v xml:space="preserve"> </v>
      </c>
      <c r="Z472" s="598" t="str">
        <f t="shared" si="889"/>
        <v xml:space="preserve"> </v>
      </c>
      <c r="AA472" s="598" t="str">
        <f t="shared" si="889"/>
        <v xml:space="preserve"> </v>
      </c>
      <c r="AB472" s="598" t="str">
        <f t="shared" si="889"/>
        <v xml:space="preserve"> </v>
      </c>
      <c r="AC472" s="598" t="str">
        <f t="shared" si="889"/>
        <v xml:space="preserve"> </v>
      </c>
      <c r="AD472" s="598" t="str">
        <f t="shared" si="889"/>
        <v xml:space="preserve"> </v>
      </c>
      <c r="AE472" s="598" t="str">
        <f t="shared" si="889"/>
        <v xml:space="preserve"> </v>
      </c>
      <c r="AF472" s="598" t="str">
        <f t="shared" si="890"/>
        <v xml:space="preserve"> </v>
      </c>
      <c r="AG472" s="598" t="str">
        <f t="shared" si="890"/>
        <v xml:space="preserve"> </v>
      </c>
      <c r="AH472" s="598" t="str">
        <f t="shared" si="890"/>
        <v xml:space="preserve"> </v>
      </c>
      <c r="AI472" s="598" t="str">
        <f t="shared" si="890"/>
        <v xml:space="preserve"> </v>
      </c>
      <c r="AJ472" s="598" t="str">
        <f t="shared" si="890"/>
        <v xml:space="preserve"> </v>
      </c>
      <c r="AK472" s="598" t="str">
        <f t="shared" si="890"/>
        <v xml:space="preserve"> </v>
      </c>
      <c r="AL472" s="598" t="str">
        <f t="shared" si="890"/>
        <v xml:space="preserve"> </v>
      </c>
      <c r="AM472" s="598" t="str">
        <f t="shared" si="890"/>
        <v xml:space="preserve"> </v>
      </c>
      <c r="AN472" s="598" t="str">
        <f t="shared" si="890"/>
        <v xml:space="preserve"> </v>
      </c>
      <c r="AO472" s="598" t="str">
        <f t="shared" si="890"/>
        <v xml:space="preserve"> </v>
      </c>
      <c r="AP472" s="598" t="str">
        <f t="shared" si="890"/>
        <v xml:space="preserve"> </v>
      </c>
      <c r="AQ472" s="598" t="str">
        <f t="shared" si="890"/>
        <v xml:space="preserve"> </v>
      </c>
      <c r="AR472" s="598" t="str">
        <f t="shared" si="890"/>
        <v xml:space="preserve"> </v>
      </c>
      <c r="AS472" s="598" t="str">
        <f t="shared" si="890"/>
        <v xml:space="preserve"> </v>
      </c>
      <c r="AT472" s="598" t="str">
        <f t="shared" si="890"/>
        <v xml:space="preserve"> </v>
      </c>
      <c r="AV472" s="598" t="str">
        <f t="shared" si="891"/>
        <v xml:space="preserve"> </v>
      </c>
      <c r="AW472" s="598" t="str">
        <f t="shared" si="891"/>
        <v xml:space="preserve"> </v>
      </c>
      <c r="AX472" s="598" t="str">
        <f t="shared" si="891"/>
        <v xml:space="preserve"> </v>
      </c>
      <c r="AY472" s="598" t="str">
        <f t="shared" si="891"/>
        <v xml:space="preserve"> </v>
      </c>
      <c r="AZ472" s="598" t="str">
        <f t="shared" si="891"/>
        <v xml:space="preserve"> </v>
      </c>
      <c r="BA472" s="598" t="str">
        <f t="shared" si="891"/>
        <v xml:space="preserve"> </v>
      </c>
      <c r="BB472" s="598" t="str">
        <f t="shared" si="891"/>
        <v xml:space="preserve"> </v>
      </c>
      <c r="BC472" s="598" t="str">
        <f t="shared" si="891"/>
        <v xml:space="preserve"> </v>
      </c>
      <c r="BD472" s="598" t="str">
        <f t="shared" si="891"/>
        <v xml:space="preserve"> </v>
      </c>
      <c r="BE472" s="598" t="str">
        <f t="shared" si="891"/>
        <v xml:space="preserve"> </v>
      </c>
      <c r="BF472" s="598" t="str">
        <f t="shared" si="892"/>
        <v xml:space="preserve"> </v>
      </c>
      <c r="BG472" s="598" t="str">
        <f t="shared" si="892"/>
        <v xml:space="preserve"> </v>
      </c>
      <c r="BH472" s="598" t="str">
        <f t="shared" si="892"/>
        <v xml:space="preserve"> </v>
      </c>
      <c r="BI472" s="598" t="str">
        <f t="shared" si="892"/>
        <v xml:space="preserve"> </v>
      </c>
      <c r="BJ472" s="598" t="str">
        <f t="shared" si="892"/>
        <v xml:space="preserve"> </v>
      </c>
      <c r="BK472" s="598" t="str">
        <f t="shared" si="892"/>
        <v xml:space="preserve"> </v>
      </c>
      <c r="BL472" s="598" t="str">
        <f t="shared" si="892"/>
        <v xml:space="preserve"> </v>
      </c>
      <c r="BM472" s="598" t="str">
        <f t="shared" si="892"/>
        <v xml:space="preserve"> </v>
      </c>
      <c r="BN472" s="598" t="str">
        <f t="shared" si="892"/>
        <v xml:space="preserve"> </v>
      </c>
      <c r="BO472" s="598" t="str">
        <f t="shared" si="892"/>
        <v xml:space="preserve"> </v>
      </c>
      <c r="BP472" s="598" t="str">
        <f t="shared" si="893"/>
        <v xml:space="preserve"> </v>
      </c>
      <c r="BQ472" s="598" t="str">
        <f t="shared" si="893"/>
        <v xml:space="preserve"> </v>
      </c>
      <c r="BR472" s="598" t="str">
        <f t="shared" si="893"/>
        <v xml:space="preserve"> </v>
      </c>
      <c r="BS472" s="598" t="str">
        <f t="shared" si="893"/>
        <v xml:space="preserve"> </v>
      </c>
      <c r="BT472" s="598" t="str">
        <f t="shared" si="893"/>
        <v xml:space="preserve"> </v>
      </c>
      <c r="BU472" s="598" t="str">
        <f t="shared" si="893"/>
        <v xml:space="preserve"> </v>
      </c>
      <c r="BV472" s="598" t="str">
        <f t="shared" si="893"/>
        <v xml:space="preserve"> </v>
      </c>
      <c r="BW472" s="598" t="str">
        <f t="shared" si="893"/>
        <v xml:space="preserve"> </v>
      </c>
      <c r="BX472" s="598" t="str">
        <f t="shared" si="893"/>
        <v xml:space="preserve"> </v>
      </c>
      <c r="BY472" s="598" t="str">
        <f t="shared" si="893"/>
        <v xml:space="preserve"> </v>
      </c>
      <c r="BZ472" s="598" t="str">
        <f t="shared" si="894"/>
        <v xml:space="preserve"> </v>
      </c>
      <c r="CA472" s="598" t="str">
        <f t="shared" si="894"/>
        <v xml:space="preserve"> </v>
      </c>
      <c r="CB472" s="598" t="str">
        <f t="shared" si="894"/>
        <v xml:space="preserve"> </v>
      </c>
      <c r="CC472" s="598" t="str">
        <f t="shared" si="894"/>
        <v xml:space="preserve"> </v>
      </c>
      <c r="CD472" s="598" t="str">
        <f t="shared" si="894"/>
        <v xml:space="preserve"> </v>
      </c>
      <c r="CE472" s="598" t="str">
        <f t="shared" si="894"/>
        <v xml:space="preserve"> </v>
      </c>
      <c r="CF472" s="598" t="str">
        <f t="shared" si="894"/>
        <v xml:space="preserve"> </v>
      </c>
      <c r="CG472" s="598" t="str">
        <f t="shared" si="894"/>
        <v xml:space="preserve"> </v>
      </c>
      <c r="CH472" s="598" t="str">
        <f t="shared" si="894"/>
        <v xml:space="preserve"> </v>
      </c>
      <c r="CI472" s="598" t="str">
        <f t="shared" si="894"/>
        <v xml:space="preserve"> </v>
      </c>
      <c r="CJ472" s="598" t="str">
        <f t="shared" si="894"/>
        <v xml:space="preserve"> </v>
      </c>
      <c r="CK472" s="598" t="str">
        <f t="shared" si="894"/>
        <v xml:space="preserve"> </v>
      </c>
      <c r="CL472" s="598" t="str">
        <f t="shared" si="894"/>
        <v xml:space="preserve"> </v>
      </c>
      <c r="CM472" s="598" t="str">
        <f t="shared" si="894"/>
        <v xml:space="preserve"> </v>
      </c>
      <c r="CN472" s="598" t="str">
        <f t="shared" si="894"/>
        <v xml:space="preserve"> </v>
      </c>
    </row>
    <row r="473" spans="1:92">
      <c r="A473" s="598">
        <v>96</v>
      </c>
      <c r="B473" s="598" t="str">
        <f t="shared" si="887"/>
        <v xml:space="preserve"> </v>
      </c>
      <c r="C473" s="598" t="str">
        <f t="shared" si="887"/>
        <v xml:space="preserve"> </v>
      </c>
      <c r="D473" s="598" t="str">
        <f t="shared" si="887"/>
        <v xml:space="preserve"> </v>
      </c>
      <c r="E473" s="598" t="str">
        <f t="shared" si="887"/>
        <v xml:space="preserve"> </v>
      </c>
      <c r="F473" s="598" t="str">
        <f t="shared" si="887"/>
        <v xml:space="preserve"> </v>
      </c>
      <c r="G473" s="598" t="str">
        <f t="shared" si="887"/>
        <v xml:space="preserve"> </v>
      </c>
      <c r="H473" s="598" t="str">
        <f t="shared" si="887"/>
        <v xml:space="preserve"> </v>
      </c>
      <c r="I473" s="598" t="str">
        <f t="shared" si="887"/>
        <v xml:space="preserve"> </v>
      </c>
      <c r="J473" s="598" t="str">
        <f t="shared" si="887"/>
        <v xml:space="preserve"> </v>
      </c>
      <c r="K473" s="598" t="str">
        <f t="shared" si="887"/>
        <v xml:space="preserve"> </v>
      </c>
      <c r="L473" s="598" t="str">
        <f t="shared" si="888"/>
        <v xml:space="preserve"> </v>
      </c>
      <c r="M473" s="598" t="str">
        <f t="shared" si="888"/>
        <v xml:space="preserve"> </v>
      </c>
      <c r="N473" s="598" t="str">
        <f t="shared" si="888"/>
        <v xml:space="preserve"> </v>
      </c>
      <c r="O473" s="598" t="str">
        <f t="shared" si="888"/>
        <v xml:space="preserve"> </v>
      </c>
      <c r="P473" s="598" t="str">
        <f t="shared" si="888"/>
        <v xml:space="preserve"> </v>
      </c>
      <c r="Q473" s="598" t="str">
        <f t="shared" si="888"/>
        <v xml:space="preserve"> </v>
      </c>
      <c r="R473" s="598" t="str">
        <f t="shared" si="888"/>
        <v xml:space="preserve"> </v>
      </c>
      <c r="S473" s="598" t="str">
        <f t="shared" si="888"/>
        <v xml:space="preserve"> </v>
      </c>
      <c r="T473" s="598" t="str">
        <f t="shared" si="888"/>
        <v xml:space="preserve"> </v>
      </c>
      <c r="U473" s="598" t="str">
        <f t="shared" si="888"/>
        <v xml:space="preserve"> </v>
      </c>
      <c r="V473" s="598" t="str">
        <f t="shared" si="889"/>
        <v xml:space="preserve"> </v>
      </c>
      <c r="W473" s="598" t="str">
        <f t="shared" si="889"/>
        <v xml:space="preserve"> </v>
      </c>
      <c r="X473" s="598" t="str">
        <f t="shared" si="889"/>
        <v xml:space="preserve"> </v>
      </c>
      <c r="Y473" s="598" t="str">
        <f t="shared" si="889"/>
        <v xml:space="preserve"> </v>
      </c>
      <c r="Z473" s="598" t="str">
        <f t="shared" si="889"/>
        <v xml:space="preserve"> </v>
      </c>
      <c r="AA473" s="598" t="str">
        <f t="shared" si="889"/>
        <v xml:space="preserve"> </v>
      </c>
      <c r="AB473" s="598" t="str">
        <f t="shared" si="889"/>
        <v xml:space="preserve"> </v>
      </c>
      <c r="AC473" s="598" t="str">
        <f t="shared" si="889"/>
        <v xml:space="preserve"> </v>
      </c>
      <c r="AD473" s="598" t="str">
        <f t="shared" si="889"/>
        <v xml:space="preserve"> </v>
      </c>
      <c r="AE473" s="598" t="str">
        <f t="shared" si="889"/>
        <v xml:space="preserve"> </v>
      </c>
      <c r="AF473" s="598" t="str">
        <f t="shared" si="890"/>
        <v xml:space="preserve"> </v>
      </c>
      <c r="AG473" s="598" t="str">
        <f t="shared" si="890"/>
        <v xml:space="preserve"> </v>
      </c>
      <c r="AH473" s="598" t="str">
        <f t="shared" si="890"/>
        <v xml:space="preserve"> </v>
      </c>
      <c r="AI473" s="598" t="str">
        <f t="shared" si="890"/>
        <v xml:space="preserve"> </v>
      </c>
      <c r="AJ473" s="598" t="str">
        <f t="shared" si="890"/>
        <v xml:space="preserve"> </v>
      </c>
      <c r="AK473" s="598" t="str">
        <f t="shared" si="890"/>
        <v xml:space="preserve"> </v>
      </c>
      <c r="AL473" s="598" t="str">
        <f t="shared" si="890"/>
        <v xml:space="preserve"> </v>
      </c>
      <c r="AM473" s="598" t="str">
        <f t="shared" si="890"/>
        <v xml:space="preserve"> </v>
      </c>
      <c r="AN473" s="598" t="str">
        <f t="shared" si="890"/>
        <v xml:space="preserve"> </v>
      </c>
      <c r="AO473" s="598" t="str">
        <f t="shared" si="890"/>
        <v xml:space="preserve"> </v>
      </c>
      <c r="AP473" s="598" t="str">
        <f t="shared" si="890"/>
        <v xml:space="preserve"> </v>
      </c>
      <c r="AQ473" s="598" t="str">
        <f t="shared" si="890"/>
        <v xml:space="preserve"> </v>
      </c>
      <c r="AR473" s="598" t="str">
        <f t="shared" si="890"/>
        <v xml:space="preserve"> </v>
      </c>
      <c r="AS473" s="598" t="str">
        <f t="shared" si="890"/>
        <v xml:space="preserve"> </v>
      </c>
      <c r="AT473" s="598" t="str">
        <f t="shared" si="890"/>
        <v xml:space="preserve"> </v>
      </c>
      <c r="AV473" s="598" t="str">
        <f t="shared" si="891"/>
        <v xml:space="preserve"> </v>
      </c>
      <c r="AW473" s="598" t="str">
        <f t="shared" si="891"/>
        <v xml:space="preserve"> </v>
      </c>
      <c r="AX473" s="598" t="str">
        <f t="shared" si="891"/>
        <v xml:space="preserve"> </v>
      </c>
      <c r="AY473" s="598" t="str">
        <f t="shared" si="891"/>
        <v xml:space="preserve"> </v>
      </c>
      <c r="AZ473" s="598" t="str">
        <f t="shared" si="891"/>
        <v xml:space="preserve"> </v>
      </c>
      <c r="BA473" s="598" t="str">
        <f t="shared" si="891"/>
        <v xml:space="preserve"> </v>
      </c>
      <c r="BB473" s="598" t="str">
        <f t="shared" si="891"/>
        <v xml:space="preserve"> </v>
      </c>
      <c r="BC473" s="598" t="str">
        <f t="shared" si="891"/>
        <v xml:space="preserve"> </v>
      </c>
      <c r="BD473" s="598" t="str">
        <f t="shared" si="891"/>
        <v xml:space="preserve"> </v>
      </c>
      <c r="BE473" s="598" t="str">
        <f t="shared" si="891"/>
        <v xml:space="preserve"> </v>
      </c>
      <c r="BF473" s="598" t="str">
        <f t="shared" si="892"/>
        <v xml:space="preserve"> </v>
      </c>
      <c r="BG473" s="598" t="str">
        <f t="shared" si="892"/>
        <v xml:space="preserve"> </v>
      </c>
      <c r="BH473" s="598" t="str">
        <f t="shared" si="892"/>
        <v xml:space="preserve"> </v>
      </c>
      <c r="BI473" s="598" t="str">
        <f t="shared" si="892"/>
        <v xml:space="preserve"> </v>
      </c>
      <c r="BJ473" s="598" t="str">
        <f t="shared" si="892"/>
        <v xml:space="preserve"> </v>
      </c>
      <c r="BK473" s="598" t="str">
        <f t="shared" si="892"/>
        <v xml:space="preserve"> </v>
      </c>
      <c r="BL473" s="598" t="str">
        <f t="shared" si="892"/>
        <v xml:space="preserve"> </v>
      </c>
      <c r="BM473" s="598" t="str">
        <f t="shared" si="892"/>
        <v xml:space="preserve"> </v>
      </c>
      <c r="BN473" s="598" t="str">
        <f t="shared" si="892"/>
        <v xml:space="preserve"> </v>
      </c>
      <c r="BO473" s="598" t="str">
        <f t="shared" si="892"/>
        <v xml:space="preserve"> </v>
      </c>
      <c r="BP473" s="598" t="str">
        <f t="shared" si="893"/>
        <v xml:space="preserve"> </v>
      </c>
      <c r="BQ473" s="598" t="str">
        <f t="shared" si="893"/>
        <v xml:space="preserve"> </v>
      </c>
      <c r="BR473" s="598" t="str">
        <f t="shared" si="893"/>
        <v xml:space="preserve"> </v>
      </c>
      <c r="BS473" s="598" t="str">
        <f t="shared" si="893"/>
        <v xml:space="preserve"> </v>
      </c>
      <c r="BT473" s="598" t="str">
        <f t="shared" si="893"/>
        <v xml:space="preserve"> </v>
      </c>
      <c r="BU473" s="598" t="str">
        <f t="shared" si="893"/>
        <v xml:space="preserve"> </v>
      </c>
      <c r="BV473" s="598" t="str">
        <f t="shared" si="893"/>
        <v xml:space="preserve"> </v>
      </c>
      <c r="BW473" s="598" t="str">
        <f t="shared" si="893"/>
        <v xml:space="preserve"> </v>
      </c>
      <c r="BX473" s="598" t="str">
        <f t="shared" si="893"/>
        <v xml:space="preserve"> </v>
      </c>
      <c r="BY473" s="598" t="str">
        <f t="shared" si="893"/>
        <v xml:space="preserve"> </v>
      </c>
      <c r="BZ473" s="598" t="str">
        <f t="shared" si="894"/>
        <v xml:space="preserve"> </v>
      </c>
      <c r="CA473" s="598" t="str">
        <f t="shared" si="894"/>
        <v xml:space="preserve"> </v>
      </c>
      <c r="CB473" s="598" t="str">
        <f t="shared" si="894"/>
        <v xml:space="preserve"> </v>
      </c>
      <c r="CC473" s="598" t="str">
        <f t="shared" si="894"/>
        <v xml:space="preserve"> </v>
      </c>
      <c r="CD473" s="598" t="str">
        <f t="shared" si="894"/>
        <v xml:space="preserve"> </v>
      </c>
      <c r="CE473" s="598" t="str">
        <f t="shared" si="894"/>
        <v xml:space="preserve"> </v>
      </c>
      <c r="CF473" s="598" t="str">
        <f t="shared" si="894"/>
        <v xml:space="preserve"> </v>
      </c>
      <c r="CG473" s="598" t="str">
        <f t="shared" si="894"/>
        <v xml:space="preserve"> </v>
      </c>
      <c r="CH473" s="598" t="str">
        <f t="shared" si="894"/>
        <v xml:space="preserve"> </v>
      </c>
      <c r="CI473" s="598" t="str">
        <f t="shared" si="894"/>
        <v xml:space="preserve"> </v>
      </c>
      <c r="CJ473" s="598" t="str">
        <f t="shared" si="894"/>
        <v xml:space="preserve"> </v>
      </c>
      <c r="CK473" s="598" t="str">
        <f t="shared" si="894"/>
        <v xml:space="preserve"> </v>
      </c>
      <c r="CL473" s="598" t="str">
        <f t="shared" si="894"/>
        <v xml:space="preserve"> </v>
      </c>
      <c r="CM473" s="598" t="str">
        <f t="shared" si="894"/>
        <v xml:space="preserve"> </v>
      </c>
      <c r="CN473" s="598" t="str">
        <f t="shared" si="894"/>
        <v xml:space="preserve"> </v>
      </c>
    </row>
    <row r="474" spans="1:92">
      <c r="A474" s="598">
        <v>97</v>
      </c>
      <c r="B474" s="598" t="str">
        <f t="shared" si="887"/>
        <v xml:space="preserve"> </v>
      </c>
      <c r="C474" s="598" t="str">
        <f t="shared" si="887"/>
        <v xml:space="preserve"> </v>
      </c>
      <c r="D474" s="598" t="str">
        <f t="shared" si="887"/>
        <v xml:space="preserve"> </v>
      </c>
      <c r="E474" s="598" t="str">
        <f t="shared" si="887"/>
        <v xml:space="preserve"> </v>
      </c>
      <c r="F474" s="598" t="str">
        <f t="shared" si="887"/>
        <v xml:space="preserve"> </v>
      </c>
      <c r="G474" s="598" t="str">
        <f t="shared" si="887"/>
        <v xml:space="preserve"> </v>
      </c>
      <c r="H474" s="598" t="str">
        <f t="shared" si="887"/>
        <v xml:space="preserve"> </v>
      </c>
      <c r="I474" s="598" t="str">
        <f t="shared" si="887"/>
        <v xml:space="preserve"> </v>
      </c>
      <c r="J474" s="598" t="str">
        <f t="shared" si="887"/>
        <v xml:space="preserve"> </v>
      </c>
      <c r="K474" s="598" t="str">
        <f t="shared" si="887"/>
        <v xml:space="preserve"> </v>
      </c>
      <c r="L474" s="598" t="str">
        <f t="shared" si="888"/>
        <v xml:space="preserve"> </v>
      </c>
      <c r="M474" s="598" t="str">
        <f t="shared" si="888"/>
        <v xml:space="preserve"> </v>
      </c>
      <c r="N474" s="598" t="str">
        <f t="shared" si="888"/>
        <v xml:space="preserve"> </v>
      </c>
      <c r="O474" s="598" t="str">
        <f t="shared" si="888"/>
        <v xml:space="preserve"> </v>
      </c>
      <c r="P474" s="598" t="str">
        <f t="shared" si="888"/>
        <v xml:space="preserve"> </v>
      </c>
      <c r="Q474" s="598" t="str">
        <f t="shared" si="888"/>
        <v xml:space="preserve"> </v>
      </c>
      <c r="R474" s="598" t="str">
        <f t="shared" si="888"/>
        <v xml:space="preserve"> </v>
      </c>
      <c r="S474" s="598" t="str">
        <f t="shared" si="888"/>
        <v xml:space="preserve"> </v>
      </c>
      <c r="T474" s="598" t="str">
        <f t="shared" si="888"/>
        <v xml:space="preserve"> </v>
      </c>
      <c r="U474" s="598" t="str">
        <f t="shared" si="888"/>
        <v xml:space="preserve"> </v>
      </c>
      <c r="V474" s="598" t="str">
        <f t="shared" si="889"/>
        <v xml:space="preserve"> </v>
      </c>
      <c r="W474" s="598" t="str">
        <f t="shared" si="889"/>
        <v xml:space="preserve"> </v>
      </c>
      <c r="X474" s="598" t="str">
        <f t="shared" si="889"/>
        <v xml:space="preserve"> </v>
      </c>
      <c r="Y474" s="598" t="str">
        <f t="shared" si="889"/>
        <v xml:space="preserve"> </v>
      </c>
      <c r="Z474" s="598" t="str">
        <f t="shared" si="889"/>
        <v xml:space="preserve"> </v>
      </c>
      <c r="AA474" s="598" t="str">
        <f t="shared" si="889"/>
        <v xml:space="preserve"> </v>
      </c>
      <c r="AB474" s="598" t="str">
        <f t="shared" si="889"/>
        <v xml:space="preserve"> </v>
      </c>
      <c r="AC474" s="598" t="str">
        <f t="shared" si="889"/>
        <v xml:space="preserve"> </v>
      </c>
      <c r="AD474" s="598" t="str">
        <f t="shared" si="889"/>
        <v xml:space="preserve"> </v>
      </c>
      <c r="AE474" s="598" t="str">
        <f t="shared" si="889"/>
        <v xml:space="preserve"> </v>
      </c>
      <c r="AF474" s="598" t="str">
        <f t="shared" si="890"/>
        <v xml:space="preserve"> </v>
      </c>
      <c r="AG474" s="598" t="str">
        <f t="shared" si="890"/>
        <v xml:space="preserve"> </v>
      </c>
      <c r="AH474" s="598" t="str">
        <f t="shared" si="890"/>
        <v xml:space="preserve"> </v>
      </c>
      <c r="AI474" s="598" t="str">
        <f t="shared" si="890"/>
        <v xml:space="preserve"> </v>
      </c>
      <c r="AJ474" s="598" t="str">
        <f t="shared" si="890"/>
        <v xml:space="preserve"> </v>
      </c>
      <c r="AK474" s="598" t="str">
        <f t="shared" si="890"/>
        <v xml:space="preserve"> </v>
      </c>
      <c r="AL474" s="598" t="str">
        <f t="shared" si="890"/>
        <v xml:space="preserve"> </v>
      </c>
      <c r="AM474" s="598" t="str">
        <f t="shared" si="890"/>
        <v xml:space="preserve"> </v>
      </c>
      <c r="AN474" s="598" t="str">
        <f t="shared" si="890"/>
        <v xml:space="preserve"> </v>
      </c>
      <c r="AO474" s="598" t="str">
        <f t="shared" si="890"/>
        <v xml:space="preserve"> </v>
      </c>
      <c r="AP474" s="598" t="str">
        <f t="shared" si="890"/>
        <v xml:space="preserve"> </v>
      </c>
      <c r="AQ474" s="598" t="str">
        <f t="shared" si="890"/>
        <v xml:space="preserve"> </v>
      </c>
      <c r="AR474" s="598" t="str">
        <f t="shared" si="890"/>
        <v xml:space="preserve"> </v>
      </c>
      <c r="AS474" s="598" t="str">
        <f t="shared" si="890"/>
        <v xml:space="preserve"> </v>
      </c>
      <c r="AT474" s="598" t="str">
        <f t="shared" si="890"/>
        <v xml:space="preserve"> </v>
      </c>
      <c r="AV474" s="598" t="str">
        <f t="shared" si="891"/>
        <v xml:space="preserve"> </v>
      </c>
      <c r="AW474" s="598" t="str">
        <f t="shared" si="891"/>
        <v xml:space="preserve"> </v>
      </c>
      <c r="AX474" s="598" t="str">
        <f t="shared" si="891"/>
        <v xml:space="preserve"> </v>
      </c>
      <c r="AY474" s="598" t="str">
        <f t="shared" si="891"/>
        <v xml:space="preserve"> </v>
      </c>
      <c r="AZ474" s="598" t="str">
        <f t="shared" si="891"/>
        <v xml:space="preserve"> </v>
      </c>
      <c r="BA474" s="598" t="str">
        <f t="shared" si="891"/>
        <v xml:space="preserve"> </v>
      </c>
      <c r="BB474" s="598" t="str">
        <f t="shared" si="891"/>
        <v xml:space="preserve"> </v>
      </c>
      <c r="BC474" s="598" t="str">
        <f t="shared" si="891"/>
        <v xml:space="preserve"> </v>
      </c>
      <c r="BD474" s="598" t="str">
        <f t="shared" si="891"/>
        <v xml:space="preserve"> </v>
      </c>
      <c r="BE474" s="598" t="str">
        <f t="shared" si="891"/>
        <v xml:space="preserve"> </v>
      </c>
      <c r="BF474" s="598" t="str">
        <f t="shared" si="892"/>
        <v xml:space="preserve"> </v>
      </c>
      <c r="BG474" s="598" t="str">
        <f t="shared" si="892"/>
        <v xml:space="preserve"> </v>
      </c>
      <c r="BH474" s="598" t="str">
        <f t="shared" si="892"/>
        <v xml:space="preserve"> </v>
      </c>
      <c r="BI474" s="598" t="str">
        <f t="shared" si="892"/>
        <v xml:space="preserve"> </v>
      </c>
      <c r="BJ474" s="598" t="str">
        <f t="shared" si="892"/>
        <v xml:space="preserve"> </v>
      </c>
      <c r="BK474" s="598" t="str">
        <f t="shared" si="892"/>
        <v xml:space="preserve"> </v>
      </c>
      <c r="BL474" s="598" t="str">
        <f t="shared" si="892"/>
        <v xml:space="preserve"> </v>
      </c>
      <c r="BM474" s="598" t="str">
        <f t="shared" si="892"/>
        <v xml:space="preserve"> </v>
      </c>
      <c r="BN474" s="598" t="str">
        <f t="shared" si="892"/>
        <v xml:space="preserve"> </v>
      </c>
      <c r="BO474" s="598" t="str">
        <f t="shared" si="892"/>
        <v xml:space="preserve"> </v>
      </c>
      <c r="BP474" s="598" t="str">
        <f t="shared" si="893"/>
        <v xml:space="preserve"> </v>
      </c>
      <c r="BQ474" s="598" t="str">
        <f t="shared" si="893"/>
        <v xml:space="preserve"> </v>
      </c>
      <c r="BR474" s="598" t="str">
        <f t="shared" si="893"/>
        <v xml:space="preserve"> </v>
      </c>
      <c r="BS474" s="598" t="str">
        <f t="shared" si="893"/>
        <v xml:space="preserve"> </v>
      </c>
      <c r="BT474" s="598" t="str">
        <f t="shared" si="893"/>
        <v xml:space="preserve"> </v>
      </c>
      <c r="BU474" s="598" t="str">
        <f t="shared" si="893"/>
        <v xml:space="preserve"> </v>
      </c>
      <c r="BV474" s="598" t="str">
        <f t="shared" si="893"/>
        <v xml:space="preserve"> </v>
      </c>
      <c r="BW474" s="598" t="str">
        <f t="shared" si="893"/>
        <v xml:space="preserve"> </v>
      </c>
      <c r="BX474" s="598" t="str">
        <f t="shared" si="893"/>
        <v xml:space="preserve"> </v>
      </c>
      <c r="BY474" s="598" t="str">
        <f t="shared" si="893"/>
        <v xml:space="preserve"> </v>
      </c>
      <c r="BZ474" s="598" t="str">
        <f t="shared" si="894"/>
        <v xml:space="preserve"> </v>
      </c>
      <c r="CA474" s="598" t="str">
        <f t="shared" si="894"/>
        <v xml:space="preserve"> </v>
      </c>
      <c r="CB474" s="598" t="str">
        <f t="shared" si="894"/>
        <v xml:space="preserve"> </v>
      </c>
      <c r="CC474" s="598" t="str">
        <f t="shared" si="894"/>
        <v xml:space="preserve"> </v>
      </c>
      <c r="CD474" s="598" t="str">
        <f t="shared" si="894"/>
        <v xml:space="preserve"> </v>
      </c>
      <c r="CE474" s="598" t="str">
        <f t="shared" si="894"/>
        <v xml:space="preserve"> </v>
      </c>
      <c r="CF474" s="598" t="str">
        <f t="shared" si="894"/>
        <v xml:space="preserve"> </v>
      </c>
      <c r="CG474" s="598" t="str">
        <f t="shared" si="894"/>
        <v xml:space="preserve"> </v>
      </c>
      <c r="CH474" s="598" t="str">
        <f t="shared" si="894"/>
        <v xml:space="preserve"> </v>
      </c>
      <c r="CI474" s="598" t="str">
        <f t="shared" si="894"/>
        <v xml:space="preserve"> </v>
      </c>
      <c r="CJ474" s="598" t="str">
        <f t="shared" si="894"/>
        <v xml:space="preserve"> </v>
      </c>
      <c r="CK474" s="598" t="str">
        <f t="shared" si="894"/>
        <v xml:space="preserve"> </v>
      </c>
      <c r="CL474" s="598" t="str">
        <f t="shared" si="894"/>
        <v xml:space="preserve"> </v>
      </c>
      <c r="CM474" s="598" t="str">
        <f t="shared" si="894"/>
        <v xml:space="preserve"> </v>
      </c>
      <c r="CN474" s="598" t="str">
        <f t="shared" si="894"/>
        <v xml:space="preserve"> </v>
      </c>
    </row>
    <row r="475" spans="1:92">
      <c r="A475" s="598">
        <v>98</v>
      </c>
      <c r="B475" s="598" t="str">
        <f t="shared" si="887"/>
        <v xml:space="preserve"> </v>
      </c>
      <c r="C475" s="598" t="str">
        <f t="shared" si="887"/>
        <v xml:space="preserve"> </v>
      </c>
      <c r="D475" s="598" t="str">
        <f t="shared" si="887"/>
        <v xml:space="preserve"> </v>
      </c>
      <c r="E475" s="598" t="str">
        <f t="shared" si="887"/>
        <v xml:space="preserve"> </v>
      </c>
      <c r="F475" s="598" t="str">
        <f t="shared" si="887"/>
        <v xml:space="preserve"> </v>
      </c>
      <c r="G475" s="598" t="str">
        <f t="shared" si="887"/>
        <v xml:space="preserve"> </v>
      </c>
      <c r="H475" s="598" t="str">
        <f t="shared" si="887"/>
        <v xml:space="preserve"> </v>
      </c>
      <c r="I475" s="598" t="str">
        <f t="shared" si="887"/>
        <v xml:space="preserve"> </v>
      </c>
      <c r="J475" s="598" t="str">
        <f t="shared" si="887"/>
        <v xml:space="preserve"> </v>
      </c>
      <c r="K475" s="598" t="str">
        <f t="shared" si="887"/>
        <v xml:space="preserve"> </v>
      </c>
      <c r="L475" s="598" t="str">
        <f t="shared" si="888"/>
        <v xml:space="preserve"> </v>
      </c>
      <c r="M475" s="598" t="str">
        <f t="shared" si="888"/>
        <v xml:space="preserve"> </v>
      </c>
      <c r="N475" s="598" t="str">
        <f t="shared" si="888"/>
        <v xml:space="preserve"> </v>
      </c>
      <c r="O475" s="598" t="str">
        <f t="shared" si="888"/>
        <v xml:space="preserve"> </v>
      </c>
      <c r="P475" s="598" t="str">
        <f t="shared" si="888"/>
        <v xml:space="preserve"> </v>
      </c>
      <c r="Q475" s="598" t="str">
        <f t="shared" si="888"/>
        <v xml:space="preserve"> </v>
      </c>
      <c r="R475" s="598" t="str">
        <f t="shared" si="888"/>
        <v xml:space="preserve"> </v>
      </c>
      <c r="S475" s="598" t="str">
        <f t="shared" si="888"/>
        <v xml:space="preserve"> </v>
      </c>
      <c r="T475" s="598" t="str">
        <f t="shared" si="888"/>
        <v xml:space="preserve"> </v>
      </c>
      <c r="U475" s="598" t="str">
        <f t="shared" si="888"/>
        <v xml:space="preserve"> </v>
      </c>
      <c r="V475" s="598" t="str">
        <f t="shared" si="889"/>
        <v xml:space="preserve"> </v>
      </c>
      <c r="W475" s="598" t="str">
        <f t="shared" si="889"/>
        <v xml:space="preserve"> </v>
      </c>
      <c r="X475" s="598" t="str">
        <f t="shared" si="889"/>
        <v xml:space="preserve"> </v>
      </c>
      <c r="Y475" s="598" t="str">
        <f t="shared" si="889"/>
        <v xml:space="preserve"> </v>
      </c>
      <c r="Z475" s="598" t="str">
        <f t="shared" si="889"/>
        <v xml:space="preserve"> </v>
      </c>
      <c r="AA475" s="598" t="str">
        <f t="shared" si="889"/>
        <v xml:space="preserve"> </v>
      </c>
      <c r="AB475" s="598" t="str">
        <f t="shared" si="889"/>
        <v xml:space="preserve"> </v>
      </c>
      <c r="AC475" s="598" t="str">
        <f t="shared" si="889"/>
        <v xml:space="preserve"> </v>
      </c>
      <c r="AD475" s="598" t="str">
        <f t="shared" si="889"/>
        <v xml:space="preserve"> </v>
      </c>
      <c r="AE475" s="598" t="str">
        <f t="shared" si="889"/>
        <v xml:space="preserve"> </v>
      </c>
      <c r="AF475" s="598" t="str">
        <f t="shared" si="890"/>
        <v xml:space="preserve"> </v>
      </c>
      <c r="AG475" s="598" t="str">
        <f t="shared" si="890"/>
        <v xml:space="preserve"> </v>
      </c>
      <c r="AH475" s="598" t="str">
        <f t="shared" si="890"/>
        <v xml:space="preserve"> </v>
      </c>
      <c r="AI475" s="598" t="str">
        <f t="shared" si="890"/>
        <v xml:space="preserve"> </v>
      </c>
      <c r="AJ475" s="598" t="str">
        <f t="shared" si="890"/>
        <v xml:space="preserve"> </v>
      </c>
      <c r="AK475" s="598" t="str">
        <f t="shared" si="890"/>
        <v xml:space="preserve"> </v>
      </c>
      <c r="AL475" s="598" t="str">
        <f t="shared" si="890"/>
        <v xml:space="preserve"> </v>
      </c>
      <c r="AM475" s="598" t="str">
        <f t="shared" si="890"/>
        <v xml:space="preserve"> </v>
      </c>
      <c r="AN475" s="598" t="str">
        <f t="shared" si="890"/>
        <v xml:space="preserve"> </v>
      </c>
      <c r="AO475" s="598" t="str">
        <f t="shared" si="890"/>
        <v xml:space="preserve"> </v>
      </c>
      <c r="AP475" s="598" t="str">
        <f t="shared" si="890"/>
        <v xml:space="preserve"> </v>
      </c>
      <c r="AQ475" s="598" t="str">
        <f t="shared" si="890"/>
        <v xml:space="preserve"> </v>
      </c>
      <c r="AR475" s="598" t="str">
        <f t="shared" si="890"/>
        <v xml:space="preserve"> </v>
      </c>
      <c r="AS475" s="598" t="str">
        <f t="shared" si="890"/>
        <v xml:space="preserve"> </v>
      </c>
      <c r="AT475" s="598" t="str">
        <f t="shared" si="890"/>
        <v xml:space="preserve"> </v>
      </c>
      <c r="AV475" s="598" t="str">
        <f t="shared" si="891"/>
        <v xml:space="preserve"> </v>
      </c>
      <c r="AW475" s="598" t="str">
        <f t="shared" si="891"/>
        <v xml:space="preserve"> </v>
      </c>
      <c r="AX475" s="598" t="str">
        <f t="shared" si="891"/>
        <v xml:space="preserve"> </v>
      </c>
      <c r="AY475" s="598" t="str">
        <f t="shared" si="891"/>
        <v xml:space="preserve"> </v>
      </c>
      <c r="AZ475" s="598" t="str">
        <f t="shared" si="891"/>
        <v xml:space="preserve"> </v>
      </c>
      <c r="BA475" s="598" t="str">
        <f t="shared" si="891"/>
        <v xml:space="preserve"> </v>
      </c>
      <c r="BB475" s="598" t="str">
        <f t="shared" si="891"/>
        <v xml:space="preserve"> </v>
      </c>
      <c r="BC475" s="598" t="str">
        <f t="shared" si="891"/>
        <v xml:space="preserve"> </v>
      </c>
      <c r="BD475" s="598" t="str">
        <f t="shared" si="891"/>
        <v xml:space="preserve"> </v>
      </c>
      <c r="BE475" s="598" t="str">
        <f t="shared" si="891"/>
        <v xml:space="preserve"> </v>
      </c>
      <c r="BF475" s="598" t="str">
        <f t="shared" si="892"/>
        <v xml:space="preserve"> </v>
      </c>
      <c r="BG475" s="598" t="str">
        <f t="shared" si="892"/>
        <v xml:space="preserve"> </v>
      </c>
      <c r="BH475" s="598" t="str">
        <f t="shared" si="892"/>
        <v xml:space="preserve"> </v>
      </c>
      <c r="BI475" s="598" t="str">
        <f t="shared" si="892"/>
        <v xml:space="preserve"> </v>
      </c>
      <c r="BJ475" s="598" t="str">
        <f t="shared" si="892"/>
        <v xml:space="preserve"> </v>
      </c>
      <c r="BK475" s="598" t="str">
        <f t="shared" si="892"/>
        <v xml:space="preserve"> </v>
      </c>
      <c r="BL475" s="598" t="str">
        <f t="shared" si="892"/>
        <v xml:space="preserve"> </v>
      </c>
      <c r="BM475" s="598" t="str">
        <f t="shared" si="892"/>
        <v xml:space="preserve"> </v>
      </c>
      <c r="BN475" s="598" t="str">
        <f t="shared" si="892"/>
        <v xml:space="preserve"> </v>
      </c>
      <c r="BO475" s="598" t="str">
        <f t="shared" si="892"/>
        <v xml:space="preserve"> </v>
      </c>
      <c r="BP475" s="598" t="str">
        <f t="shared" si="893"/>
        <v xml:space="preserve"> </v>
      </c>
      <c r="BQ475" s="598" t="str">
        <f t="shared" si="893"/>
        <v xml:space="preserve"> </v>
      </c>
      <c r="BR475" s="598" t="str">
        <f t="shared" si="893"/>
        <v xml:space="preserve"> </v>
      </c>
      <c r="BS475" s="598" t="str">
        <f t="shared" si="893"/>
        <v xml:space="preserve"> </v>
      </c>
      <c r="BT475" s="598" t="str">
        <f t="shared" si="893"/>
        <v xml:space="preserve"> </v>
      </c>
      <c r="BU475" s="598" t="str">
        <f t="shared" si="893"/>
        <v xml:space="preserve"> </v>
      </c>
      <c r="BV475" s="598" t="str">
        <f t="shared" si="893"/>
        <v xml:space="preserve"> </v>
      </c>
      <c r="BW475" s="598" t="str">
        <f t="shared" si="893"/>
        <v xml:space="preserve"> </v>
      </c>
      <c r="BX475" s="598" t="str">
        <f t="shared" si="893"/>
        <v xml:space="preserve"> </v>
      </c>
      <c r="BY475" s="598" t="str">
        <f t="shared" si="893"/>
        <v xml:space="preserve"> </v>
      </c>
      <c r="BZ475" s="598" t="str">
        <f t="shared" si="894"/>
        <v xml:space="preserve"> </v>
      </c>
      <c r="CA475" s="598" t="str">
        <f t="shared" si="894"/>
        <v xml:space="preserve"> </v>
      </c>
      <c r="CB475" s="598" t="str">
        <f t="shared" si="894"/>
        <v xml:space="preserve"> </v>
      </c>
      <c r="CC475" s="598" t="str">
        <f t="shared" si="894"/>
        <v xml:space="preserve"> </v>
      </c>
      <c r="CD475" s="598" t="str">
        <f t="shared" si="894"/>
        <v xml:space="preserve"> </v>
      </c>
      <c r="CE475" s="598" t="str">
        <f t="shared" si="894"/>
        <v xml:space="preserve"> </v>
      </c>
      <c r="CF475" s="598" t="str">
        <f t="shared" si="894"/>
        <v xml:space="preserve"> </v>
      </c>
      <c r="CG475" s="598" t="str">
        <f t="shared" si="894"/>
        <v xml:space="preserve"> </v>
      </c>
      <c r="CH475" s="598" t="str">
        <f t="shared" si="894"/>
        <v xml:space="preserve"> </v>
      </c>
      <c r="CI475" s="598" t="str">
        <f t="shared" si="894"/>
        <v xml:space="preserve"> </v>
      </c>
      <c r="CJ475" s="598" t="str">
        <f t="shared" si="894"/>
        <v xml:space="preserve"> </v>
      </c>
      <c r="CK475" s="598" t="str">
        <f t="shared" si="894"/>
        <v xml:space="preserve"> </v>
      </c>
      <c r="CL475" s="598" t="str">
        <f t="shared" si="894"/>
        <v xml:space="preserve"> </v>
      </c>
      <c r="CM475" s="598" t="str">
        <f t="shared" si="894"/>
        <v xml:space="preserve"> </v>
      </c>
      <c r="CN475" s="598" t="str">
        <f t="shared" si="894"/>
        <v xml:space="preserve"> </v>
      </c>
    </row>
    <row r="476" spans="1:92">
      <c r="A476" s="598">
        <v>99</v>
      </c>
      <c r="B476" s="598" t="str">
        <f t="shared" si="887"/>
        <v xml:space="preserve"> </v>
      </c>
      <c r="C476" s="598" t="str">
        <f t="shared" si="887"/>
        <v xml:space="preserve"> </v>
      </c>
      <c r="D476" s="598" t="str">
        <f t="shared" si="887"/>
        <v xml:space="preserve"> </v>
      </c>
      <c r="E476" s="598" t="str">
        <f t="shared" si="887"/>
        <v xml:space="preserve"> </v>
      </c>
      <c r="F476" s="598" t="str">
        <f t="shared" si="887"/>
        <v xml:space="preserve"> </v>
      </c>
      <c r="G476" s="598" t="str">
        <f t="shared" si="887"/>
        <v xml:space="preserve"> </v>
      </c>
      <c r="H476" s="598" t="str">
        <f t="shared" si="887"/>
        <v xml:space="preserve"> </v>
      </c>
      <c r="I476" s="598" t="str">
        <f t="shared" si="887"/>
        <v xml:space="preserve"> </v>
      </c>
      <c r="J476" s="598" t="str">
        <f t="shared" si="887"/>
        <v xml:space="preserve"> </v>
      </c>
      <c r="K476" s="598" t="str">
        <f t="shared" si="887"/>
        <v xml:space="preserve"> </v>
      </c>
      <c r="L476" s="598" t="str">
        <f t="shared" si="888"/>
        <v xml:space="preserve"> </v>
      </c>
      <c r="M476" s="598" t="str">
        <f t="shared" si="888"/>
        <v xml:space="preserve"> </v>
      </c>
      <c r="N476" s="598" t="str">
        <f t="shared" si="888"/>
        <v xml:space="preserve"> </v>
      </c>
      <c r="O476" s="598" t="str">
        <f t="shared" si="888"/>
        <v xml:space="preserve"> </v>
      </c>
      <c r="P476" s="598" t="str">
        <f t="shared" si="888"/>
        <v xml:space="preserve"> </v>
      </c>
      <c r="Q476" s="598" t="str">
        <f t="shared" si="888"/>
        <v xml:space="preserve"> </v>
      </c>
      <c r="R476" s="598" t="str">
        <f t="shared" si="888"/>
        <v xml:space="preserve"> </v>
      </c>
      <c r="S476" s="598" t="str">
        <f t="shared" si="888"/>
        <v xml:space="preserve"> </v>
      </c>
      <c r="T476" s="598" t="str">
        <f t="shared" si="888"/>
        <v xml:space="preserve"> </v>
      </c>
      <c r="U476" s="598" t="str">
        <f t="shared" si="888"/>
        <v xml:space="preserve"> </v>
      </c>
      <c r="V476" s="598" t="str">
        <f t="shared" si="889"/>
        <v xml:space="preserve"> </v>
      </c>
      <c r="W476" s="598" t="str">
        <f t="shared" si="889"/>
        <v xml:space="preserve"> </v>
      </c>
      <c r="X476" s="598" t="str">
        <f t="shared" si="889"/>
        <v xml:space="preserve"> </v>
      </c>
      <c r="Y476" s="598" t="str">
        <f t="shared" si="889"/>
        <v xml:space="preserve"> </v>
      </c>
      <c r="Z476" s="598" t="str">
        <f t="shared" si="889"/>
        <v xml:space="preserve"> </v>
      </c>
      <c r="AA476" s="598" t="str">
        <f t="shared" si="889"/>
        <v xml:space="preserve"> </v>
      </c>
      <c r="AB476" s="598" t="str">
        <f t="shared" si="889"/>
        <v xml:space="preserve"> </v>
      </c>
      <c r="AC476" s="598" t="str">
        <f t="shared" si="889"/>
        <v xml:space="preserve"> </v>
      </c>
      <c r="AD476" s="598" t="str">
        <f t="shared" si="889"/>
        <v xml:space="preserve"> </v>
      </c>
      <c r="AE476" s="598" t="str">
        <f t="shared" si="889"/>
        <v xml:space="preserve"> </v>
      </c>
      <c r="AF476" s="598" t="str">
        <f t="shared" si="890"/>
        <v xml:space="preserve"> </v>
      </c>
      <c r="AG476" s="598" t="str">
        <f t="shared" si="890"/>
        <v xml:space="preserve"> </v>
      </c>
      <c r="AH476" s="598" t="str">
        <f t="shared" si="890"/>
        <v xml:space="preserve"> </v>
      </c>
      <c r="AI476" s="598" t="str">
        <f t="shared" si="890"/>
        <v xml:space="preserve"> </v>
      </c>
      <c r="AJ476" s="598" t="str">
        <f t="shared" si="890"/>
        <v xml:space="preserve"> </v>
      </c>
      <c r="AK476" s="598" t="str">
        <f t="shared" si="890"/>
        <v xml:space="preserve"> </v>
      </c>
      <c r="AL476" s="598" t="str">
        <f t="shared" si="890"/>
        <v xml:space="preserve"> </v>
      </c>
      <c r="AM476" s="598" t="str">
        <f t="shared" si="890"/>
        <v xml:space="preserve"> </v>
      </c>
      <c r="AN476" s="598" t="str">
        <f t="shared" si="890"/>
        <v xml:space="preserve"> </v>
      </c>
      <c r="AO476" s="598" t="str">
        <f t="shared" si="890"/>
        <v xml:space="preserve"> </v>
      </c>
      <c r="AP476" s="598" t="str">
        <f t="shared" si="890"/>
        <v xml:space="preserve"> </v>
      </c>
      <c r="AQ476" s="598" t="str">
        <f t="shared" si="890"/>
        <v xml:space="preserve"> </v>
      </c>
      <c r="AR476" s="598" t="str">
        <f t="shared" si="890"/>
        <v xml:space="preserve"> </v>
      </c>
      <c r="AS476" s="598" t="str">
        <f t="shared" si="890"/>
        <v xml:space="preserve"> </v>
      </c>
      <c r="AT476" s="598" t="str">
        <f t="shared" si="890"/>
        <v xml:space="preserve"> </v>
      </c>
      <c r="AV476" s="598" t="str">
        <f t="shared" si="891"/>
        <v xml:space="preserve"> </v>
      </c>
      <c r="AW476" s="598" t="str">
        <f t="shared" si="891"/>
        <v xml:space="preserve"> </v>
      </c>
      <c r="AX476" s="598" t="str">
        <f t="shared" si="891"/>
        <v xml:space="preserve"> </v>
      </c>
      <c r="AY476" s="598" t="str">
        <f t="shared" si="891"/>
        <v xml:space="preserve"> </v>
      </c>
      <c r="AZ476" s="598" t="str">
        <f t="shared" si="891"/>
        <v xml:space="preserve"> </v>
      </c>
      <c r="BA476" s="598" t="str">
        <f t="shared" si="891"/>
        <v xml:space="preserve"> </v>
      </c>
      <c r="BB476" s="598" t="str">
        <f t="shared" si="891"/>
        <v xml:space="preserve"> </v>
      </c>
      <c r="BC476" s="598" t="str">
        <f t="shared" si="891"/>
        <v xml:space="preserve"> </v>
      </c>
      <c r="BD476" s="598" t="str">
        <f t="shared" si="891"/>
        <v xml:space="preserve"> </v>
      </c>
      <c r="BE476" s="598" t="str">
        <f t="shared" si="891"/>
        <v xml:space="preserve"> </v>
      </c>
      <c r="BF476" s="598" t="str">
        <f t="shared" si="892"/>
        <v xml:space="preserve"> </v>
      </c>
      <c r="BG476" s="598" t="str">
        <f t="shared" si="892"/>
        <v xml:space="preserve"> </v>
      </c>
      <c r="BH476" s="598" t="str">
        <f t="shared" si="892"/>
        <v xml:space="preserve"> </v>
      </c>
      <c r="BI476" s="598" t="str">
        <f t="shared" si="892"/>
        <v xml:space="preserve"> </v>
      </c>
      <c r="BJ476" s="598" t="str">
        <f t="shared" si="892"/>
        <v xml:space="preserve"> </v>
      </c>
      <c r="BK476" s="598" t="str">
        <f t="shared" si="892"/>
        <v xml:space="preserve"> </v>
      </c>
      <c r="BL476" s="598" t="str">
        <f t="shared" si="892"/>
        <v xml:space="preserve"> </v>
      </c>
      <c r="BM476" s="598" t="str">
        <f t="shared" si="892"/>
        <v xml:space="preserve"> </v>
      </c>
      <c r="BN476" s="598" t="str">
        <f t="shared" si="892"/>
        <v xml:space="preserve"> </v>
      </c>
      <c r="BO476" s="598" t="str">
        <f t="shared" si="892"/>
        <v xml:space="preserve"> </v>
      </c>
      <c r="BP476" s="598" t="str">
        <f t="shared" si="893"/>
        <v xml:space="preserve"> </v>
      </c>
      <c r="BQ476" s="598" t="str">
        <f t="shared" si="893"/>
        <v xml:space="preserve"> </v>
      </c>
      <c r="BR476" s="598" t="str">
        <f t="shared" si="893"/>
        <v xml:space="preserve"> </v>
      </c>
      <c r="BS476" s="598" t="str">
        <f t="shared" si="893"/>
        <v xml:space="preserve"> </v>
      </c>
      <c r="BT476" s="598" t="str">
        <f t="shared" si="893"/>
        <v xml:space="preserve"> </v>
      </c>
      <c r="BU476" s="598" t="str">
        <f t="shared" si="893"/>
        <v xml:space="preserve"> </v>
      </c>
      <c r="BV476" s="598" t="str">
        <f t="shared" si="893"/>
        <v xml:space="preserve"> </v>
      </c>
      <c r="BW476" s="598" t="str">
        <f t="shared" si="893"/>
        <v xml:space="preserve"> </v>
      </c>
      <c r="BX476" s="598" t="str">
        <f t="shared" si="893"/>
        <v xml:space="preserve"> </v>
      </c>
      <c r="BY476" s="598" t="str">
        <f t="shared" si="893"/>
        <v xml:space="preserve"> </v>
      </c>
      <c r="BZ476" s="598" t="str">
        <f t="shared" si="894"/>
        <v xml:space="preserve"> </v>
      </c>
      <c r="CA476" s="598" t="str">
        <f t="shared" si="894"/>
        <v xml:space="preserve"> </v>
      </c>
      <c r="CB476" s="598" t="str">
        <f t="shared" si="894"/>
        <v xml:space="preserve"> </v>
      </c>
      <c r="CC476" s="598" t="str">
        <f t="shared" si="894"/>
        <v xml:space="preserve"> </v>
      </c>
      <c r="CD476" s="598" t="str">
        <f t="shared" si="894"/>
        <v xml:space="preserve"> </v>
      </c>
      <c r="CE476" s="598" t="str">
        <f t="shared" si="894"/>
        <v xml:space="preserve"> </v>
      </c>
      <c r="CF476" s="598" t="str">
        <f t="shared" si="894"/>
        <v xml:space="preserve"> </v>
      </c>
      <c r="CG476" s="598" t="str">
        <f t="shared" si="894"/>
        <v xml:space="preserve"> </v>
      </c>
      <c r="CH476" s="598" t="str">
        <f t="shared" si="894"/>
        <v xml:space="preserve"> </v>
      </c>
      <c r="CI476" s="598" t="str">
        <f t="shared" si="894"/>
        <v xml:space="preserve"> </v>
      </c>
      <c r="CJ476" s="598" t="str">
        <f t="shared" si="894"/>
        <v xml:space="preserve"> </v>
      </c>
      <c r="CK476" s="598" t="str">
        <f t="shared" si="894"/>
        <v xml:space="preserve"> </v>
      </c>
      <c r="CL476" s="598" t="str">
        <f t="shared" si="894"/>
        <v xml:space="preserve"> </v>
      </c>
      <c r="CM476" s="598" t="str">
        <f t="shared" si="894"/>
        <v xml:space="preserve"> </v>
      </c>
      <c r="CN476" s="598" t="str">
        <f t="shared" si="894"/>
        <v xml:space="preserve"> </v>
      </c>
    </row>
    <row r="477" spans="1:92">
      <c r="A477" s="598">
        <v>100</v>
      </c>
      <c r="B477" s="598" t="str">
        <f t="shared" si="887"/>
        <v xml:space="preserve"> </v>
      </c>
      <c r="C477" s="598" t="str">
        <f t="shared" si="887"/>
        <v xml:space="preserve"> </v>
      </c>
      <c r="D477" s="598" t="str">
        <f t="shared" si="887"/>
        <v xml:space="preserve"> </v>
      </c>
      <c r="E477" s="598" t="str">
        <f t="shared" si="887"/>
        <v xml:space="preserve"> </v>
      </c>
      <c r="F477" s="598" t="str">
        <f t="shared" si="887"/>
        <v xml:space="preserve"> </v>
      </c>
      <c r="G477" s="598" t="str">
        <f t="shared" si="887"/>
        <v xml:space="preserve"> </v>
      </c>
      <c r="H477" s="598" t="str">
        <f t="shared" si="887"/>
        <v xml:space="preserve"> </v>
      </c>
      <c r="I477" s="598" t="str">
        <f t="shared" si="887"/>
        <v xml:space="preserve"> </v>
      </c>
      <c r="J477" s="598" t="str">
        <f t="shared" si="887"/>
        <v xml:space="preserve"> </v>
      </c>
      <c r="K477" s="598" t="str">
        <f t="shared" si="887"/>
        <v xml:space="preserve"> </v>
      </c>
      <c r="L477" s="598" t="str">
        <f t="shared" si="888"/>
        <v xml:space="preserve"> </v>
      </c>
      <c r="M477" s="598" t="str">
        <f t="shared" si="888"/>
        <v xml:space="preserve"> </v>
      </c>
      <c r="N477" s="598" t="str">
        <f t="shared" si="888"/>
        <v xml:space="preserve"> </v>
      </c>
      <c r="O477" s="598" t="str">
        <f t="shared" si="888"/>
        <v xml:space="preserve"> </v>
      </c>
      <c r="P477" s="598" t="str">
        <f t="shared" si="888"/>
        <v xml:space="preserve"> </v>
      </c>
      <c r="Q477" s="598" t="str">
        <f t="shared" si="888"/>
        <v xml:space="preserve"> </v>
      </c>
      <c r="R477" s="598" t="str">
        <f t="shared" si="888"/>
        <v xml:space="preserve"> </v>
      </c>
      <c r="S477" s="598" t="str">
        <f t="shared" si="888"/>
        <v xml:space="preserve"> </v>
      </c>
      <c r="T477" s="598" t="str">
        <f t="shared" si="888"/>
        <v xml:space="preserve"> </v>
      </c>
      <c r="U477" s="598" t="str">
        <f t="shared" si="888"/>
        <v xml:space="preserve"> </v>
      </c>
      <c r="V477" s="598" t="str">
        <f t="shared" si="889"/>
        <v xml:space="preserve"> </v>
      </c>
      <c r="W477" s="598" t="str">
        <f t="shared" si="889"/>
        <v xml:space="preserve"> </v>
      </c>
      <c r="X477" s="598" t="str">
        <f t="shared" si="889"/>
        <v xml:space="preserve"> </v>
      </c>
      <c r="Y477" s="598" t="str">
        <f t="shared" si="889"/>
        <v xml:space="preserve"> </v>
      </c>
      <c r="Z477" s="598" t="str">
        <f t="shared" si="889"/>
        <v xml:space="preserve"> </v>
      </c>
      <c r="AA477" s="598" t="str">
        <f t="shared" si="889"/>
        <v xml:space="preserve"> </v>
      </c>
      <c r="AB477" s="598" t="str">
        <f t="shared" si="889"/>
        <v xml:space="preserve"> </v>
      </c>
      <c r="AC477" s="598" t="str">
        <f t="shared" si="889"/>
        <v xml:space="preserve"> </v>
      </c>
      <c r="AD477" s="598" t="str">
        <f t="shared" si="889"/>
        <v xml:space="preserve"> </v>
      </c>
      <c r="AE477" s="598" t="str">
        <f t="shared" si="889"/>
        <v xml:space="preserve"> </v>
      </c>
      <c r="AF477" s="598" t="str">
        <f t="shared" si="890"/>
        <v xml:space="preserve"> </v>
      </c>
      <c r="AG477" s="598" t="str">
        <f t="shared" si="890"/>
        <v xml:space="preserve"> </v>
      </c>
      <c r="AH477" s="598" t="str">
        <f t="shared" si="890"/>
        <v xml:space="preserve"> </v>
      </c>
      <c r="AI477" s="598" t="str">
        <f t="shared" si="890"/>
        <v xml:space="preserve"> </v>
      </c>
      <c r="AJ477" s="598" t="str">
        <f t="shared" si="890"/>
        <v xml:space="preserve"> </v>
      </c>
      <c r="AK477" s="598" t="str">
        <f t="shared" si="890"/>
        <v xml:space="preserve"> </v>
      </c>
      <c r="AL477" s="598" t="str">
        <f t="shared" si="890"/>
        <v xml:space="preserve"> </v>
      </c>
      <c r="AM477" s="598" t="str">
        <f t="shared" si="890"/>
        <v xml:space="preserve"> </v>
      </c>
      <c r="AN477" s="598" t="str">
        <f t="shared" si="890"/>
        <v xml:space="preserve"> </v>
      </c>
      <c r="AO477" s="598" t="str">
        <f t="shared" si="890"/>
        <v xml:space="preserve"> </v>
      </c>
      <c r="AP477" s="598" t="str">
        <f t="shared" si="890"/>
        <v xml:space="preserve"> </v>
      </c>
      <c r="AQ477" s="598" t="str">
        <f t="shared" si="890"/>
        <v xml:space="preserve"> </v>
      </c>
      <c r="AR477" s="598" t="str">
        <f t="shared" si="890"/>
        <v xml:space="preserve"> </v>
      </c>
      <c r="AS477" s="598" t="str">
        <f t="shared" si="890"/>
        <v xml:space="preserve"> </v>
      </c>
      <c r="AT477" s="598" t="str">
        <f t="shared" si="890"/>
        <v xml:space="preserve"> </v>
      </c>
      <c r="AV477" s="598" t="str">
        <f t="shared" si="891"/>
        <v xml:space="preserve"> </v>
      </c>
      <c r="AW477" s="598" t="str">
        <f t="shared" si="891"/>
        <v xml:space="preserve"> </v>
      </c>
      <c r="AX477" s="598" t="str">
        <f t="shared" si="891"/>
        <v xml:space="preserve"> </v>
      </c>
      <c r="AY477" s="598" t="str">
        <f t="shared" si="891"/>
        <v xml:space="preserve"> </v>
      </c>
      <c r="AZ477" s="598" t="str">
        <f t="shared" si="891"/>
        <v xml:space="preserve"> </v>
      </c>
      <c r="BA477" s="598" t="str">
        <f t="shared" si="891"/>
        <v xml:space="preserve"> </v>
      </c>
      <c r="BB477" s="598" t="str">
        <f t="shared" si="891"/>
        <v xml:space="preserve"> </v>
      </c>
      <c r="BC477" s="598" t="str">
        <f t="shared" si="891"/>
        <v xml:space="preserve"> </v>
      </c>
      <c r="BD477" s="598" t="str">
        <f t="shared" si="891"/>
        <v xml:space="preserve"> </v>
      </c>
      <c r="BE477" s="598" t="str">
        <f t="shared" si="891"/>
        <v xml:space="preserve"> </v>
      </c>
      <c r="BF477" s="598" t="str">
        <f t="shared" si="892"/>
        <v xml:space="preserve"> </v>
      </c>
      <c r="BG477" s="598" t="str">
        <f t="shared" si="892"/>
        <v xml:space="preserve"> </v>
      </c>
      <c r="BH477" s="598" t="str">
        <f t="shared" si="892"/>
        <v xml:space="preserve"> </v>
      </c>
      <c r="BI477" s="598" t="str">
        <f t="shared" si="892"/>
        <v xml:space="preserve"> </v>
      </c>
      <c r="BJ477" s="598" t="str">
        <f t="shared" si="892"/>
        <v xml:space="preserve"> </v>
      </c>
      <c r="BK477" s="598" t="str">
        <f t="shared" si="892"/>
        <v xml:space="preserve"> </v>
      </c>
      <c r="BL477" s="598" t="str">
        <f t="shared" si="892"/>
        <v xml:space="preserve"> </v>
      </c>
      <c r="BM477" s="598" t="str">
        <f t="shared" si="892"/>
        <v xml:space="preserve"> </v>
      </c>
      <c r="BN477" s="598" t="str">
        <f t="shared" si="892"/>
        <v xml:space="preserve"> </v>
      </c>
      <c r="BO477" s="598" t="str">
        <f t="shared" si="892"/>
        <v xml:space="preserve"> </v>
      </c>
      <c r="BP477" s="598" t="str">
        <f t="shared" si="893"/>
        <v xml:space="preserve"> </v>
      </c>
      <c r="BQ477" s="598" t="str">
        <f t="shared" si="893"/>
        <v xml:space="preserve"> </v>
      </c>
      <c r="BR477" s="598" t="str">
        <f t="shared" si="893"/>
        <v xml:space="preserve"> </v>
      </c>
      <c r="BS477" s="598" t="str">
        <f t="shared" si="893"/>
        <v xml:space="preserve"> </v>
      </c>
      <c r="BT477" s="598" t="str">
        <f t="shared" si="893"/>
        <v xml:space="preserve"> </v>
      </c>
      <c r="BU477" s="598" t="str">
        <f t="shared" si="893"/>
        <v xml:space="preserve"> </v>
      </c>
      <c r="BV477" s="598" t="str">
        <f t="shared" si="893"/>
        <v xml:space="preserve"> </v>
      </c>
      <c r="BW477" s="598" t="str">
        <f t="shared" si="893"/>
        <v xml:space="preserve"> </v>
      </c>
      <c r="BX477" s="598" t="str">
        <f t="shared" si="893"/>
        <v xml:space="preserve"> </v>
      </c>
      <c r="BY477" s="598" t="str">
        <f t="shared" si="893"/>
        <v xml:space="preserve"> </v>
      </c>
      <c r="BZ477" s="598" t="str">
        <f t="shared" si="894"/>
        <v xml:space="preserve"> </v>
      </c>
      <c r="CA477" s="598" t="str">
        <f t="shared" si="894"/>
        <v xml:space="preserve"> </v>
      </c>
      <c r="CB477" s="598" t="str">
        <f t="shared" si="894"/>
        <v xml:space="preserve"> </v>
      </c>
      <c r="CC477" s="598" t="str">
        <f t="shared" si="894"/>
        <v xml:space="preserve"> </v>
      </c>
      <c r="CD477" s="598" t="str">
        <f t="shared" si="894"/>
        <v xml:space="preserve"> </v>
      </c>
      <c r="CE477" s="598" t="str">
        <f t="shared" si="894"/>
        <v xml:space="preserve"> </v>
      </c>
      <c r="CF477" s="598" t="str">
        <f t="shared" si="894"/>
        <v xml:space="preserve"> </v>
      </c>
      <c r="CG477" s="598" t="str">
        <f t="shared" si="894"/>
        <v xml:space="preserve"> </v>
      </c>
      <c r="CH477" s="598" t="str">
        <f t="shared" si="894"/>
        <v xml:space="preserve"> </v>
      </c>
      <c r="CI477" s="598" t="str">
        <f t="shared" si="894"/>
        <v xml:space="preserve"> </v>
      </c>
      <c r="CJ477" s="598" t="str">
        <f t="shared" si="894"/>
        <v xml:space="preserve"> </v>
      </c>
      <c r="CK477" s="598" t="str">
        <f t="shared" si="894"/>
        <v xml:space="preserve"> </v>
      </c>
      <c r="CL477" s="598" t="str">
        <f t="shared" si="894"/>
        <v xml:space="preserve"> </v>
      </c>
      <c r="CM477" s="598" t="str">
        <f t="shared" si="894"/>
        <v xml:space="preserve"> </v>
      </c>
      <c r="CN477" s="598" t="str">
        <f t="shared" si="894"/>
        <v xml:space="preserve"> </v>
      </c>
    </row>
    <row r="478" spans="1:92">
      <c r="A478" s="598">
        <v>101</v>
      </c>
      <c r="B478" s="598" t="str">
        <f t="shared" si="887"/>
        <v xml:space="preserve"> </v>
      </c>
      <c r="C478" s="598" t="str">
        <f t="shared" si="887"/>
        <v xml:space="preserve"> </v>
      </c>
      <c r="D478" s="598" t="str">
        <f t="shared" si="887"/>
        <v xml:space="preserve"> </v>
      </c>
      <c r="E478" s="598" t="str">
        <f t="shared" si="887"/>
        <v xml:space="preserve"> </v>
      </c>
      <c r="F478" s="598" t="str">
        <f t="shared" si="887"/>
        <v xml:space="preserve"> </v>
      </c>
      <c r="G478" s="598" t="str">
        <f t="shared" si="887"/>
        <v xml:space="preserve"> </v>
      </c>
      <c r="H478" s="598" t="str">
        <f t="shared" si="887"/>
        <v xml:space="preserve"> </v>
      </c>
      <c r="I478" s="598" t="str">
        <f t="shared" si="887"/>
        <v xml:space="preserve"> </v>
      </c>
      <c r="J478" s="598" t="str">
        <f t="shared" si="887"/>
        <v xml:space="preserve"> </v>
      </c>
      <c r="K478" s="598" t="str">
        <f t="shared" si="887"/>
        <v xml:space="preserve"> </v>
      </c>
      <c r="L478" s="598" t="str">
        <f t="shared" si="888"/>
        <v xml:space="preserve"> </v>
      </c>
      <c r="M478" s="598" t="str">
        <f t="shared" si="888"/>
        <v xml:space="preserve"> </v>
      </c>
      <c r="N478" s="598" t="str">
        <f t="shared" si="888"/>
        <v xml:space="preserve"> </v>
      </c>
      <c r="O478" s="598" t="str">
        <f t="shared" si="888"/>
        <v xml:space="preserve"> </v>
      </c>
      <c r="P478" s="598" t="str">
        <f t="shared" si="888"/>
        <v xml:space="preserve"> </v>
      </c>
      <c r="Q478" s="598" t="str">
        <f t="shared" si="888"/>
        <v xml:space="preserve"> </v>
      </c>
      <c r="R478" s="598" t="str">
        <f t="shared" si="888"/>
        <v xml:space="preserve"> </v>
      </c>
      <c r="S478" s="598" t="str">
        <f t="shared" si="888"/>
        <v xml:space="preserve"> </v>
      </c>
      <c r="T478" s="598" t="str">
        <f t="shared" si="888"/>
        <v xml:space="preserve"> </v>
      </c>
      <c r="U478" s="598" t="str">
        <f t="shared" si="888"/>
        <v xml:space="preserve"> </v>
      </c>
      <c r="V478" s="598" t="str">
        <f t="shared" si="889"/>
        <v xml:space="preserve"> </v>
      </c>
      <c r="W478" s="598" t="str">
        <f t="shared" si="889"/>
        <v xml:space="preserve"> </v>
      </c>
      <c r="X478" s="598" t="str">
        <f t="shared" si="889"/>
        <v xml:space="preserve"> </v>
      </c>
      <c r="Y478" s="598" t="str">
        <f t="shared" si="889"/>
        <v xml:space="preserve"> </v>
      </c>
      <c r="Z478" s="598" t="str">
        <f t="shared" si="889"/>
        <v xml:space="preserve"> </v>
      </c>
      <c r="AA478" s="598" t="str">
        <f t="shared" si="889"/>
        <v xml:space="preserve"> </v>
      </c>
      <c r="AB478" s="598" t="str">
        <f t="shared" si="889"/>
        <v xml:space="preserve"> </v>
      </c>
      <c r="AC478" s="598" t="str">
        <f t="shared" si="889"/>
        <v xml:space="preserve"> </v>
      </c>
      <c r="AD478" s="598" t="str">
        <f t="shared" si="889"/>
        <v xml:space="preserve"> </v>
      </c>
      <c r="AE478" s="598" t="str">
        <f t="shared" si="889"/>
        <v xml:space="preserve"> </v>
      </c>
      <c r="AF478" s="598" t="str">
        <f t="shared" si="890"/>
        <v xml:space="preserve"> </v>
      </c>
      <c r="AG478" s="598" t="str">
        <f t="shared" si="890"/>
        <v xml:space="preserve"> </v>
      </c>
      <c r="AH478" s="598" t="str">
        <f t="shared" si="890"/>
        <v xml:space="preserve"> </v>
      </c>
      <c r="AI478" s="598" t="str">
        <f t="shared" si="890"/>
        <v xml:space="preserve"> </v>
      </c>
      <c r="AJ478" s="598" t="str">
        <f t="shared" si="890"/>
        <v xml:space="preserve"> </v>
      </c>
      <c r="AK478" s="598" t="str">
        <f t="shared" si="890"/>
        <v xml:space="preserve"> </v>
      </c>
      <c r="AL478" s="598" t="str">
        <f t="shared" si="890"/>
        <v xml:space="preserve"> </v>
      </c>
      <c r="AM478" s="598" t="str">
        <f t="shared" si="890"/>
        <v xml:space="preserve"> </v>
      </c>
      <c r="AN478" s="598" t="str">
        <f t="shared" si="890"/>
        <v xml:space="preserve"> </v>
      </c>
      <c r="AO478" s="598" t="str">
        <f t="shared" si="890"/>
        <v xml:space="preserve"> </v>
      </c>
      <c r="AP478" s="598" t="str">
        <f t="shared" si="890"/>
        <v xml:space="preserve"> </v>
      </c>
      <c r="AQ478" s="598" t="str">
        <f t="shared" si="890"/>
        <v xml:space="preserve"> </v>
      </c>
      <c r="AR478" s="598" t="str">
        <f t="shared" si="890"/>
        <v xml:space="preserve"> </v>
      </c>
      <c r="AS478" s="598" t="str">
        <f t="shared" si="890"/>
        <v xml:space="preserve"> </v>
      </c>
      <c r="AT478" s="598" t="str">
        <f t="shared" si="890"/>
        <v xml:space="preserve"> </v>
      </c>
      <c r="AV478" s="598" t="str">
        <f t="shared" si="891"/>
        <v xml:space="preserve"> </v>
      </c>
      <c r="AW478" s="598" t="str">
        <f t="shared" si="891"/>
        <v xml:space="preserve"> </v>
      </c>
      <c r="AX478" s="598" t="str">
        <f t="shared" si="891"/>
        <v xml:space="preserve"> </v>
      </c>
      <c r="AY478" s="598" t="str">
        <f t="shared" si="891"/>
        <v xml:space="preserve"> </v>
      </c>
      <c r="AZ478" s="598" t="str">
        <f t="shared" si="891"/>
        <v xml:space="preserve"> </v>
      </c>
      <c r="BA478" s="598" t="str">
        <f t="shared" si="891"/>
        <v xml:space="preserve"> </v>
      </c>
      <c r="BB478" s="598" t="str">
        <f t="shared" si="891"/>
        <v xml:space="preserve"> </v>
      </c>
      <c r="BC478" s="598" t="str">
        <f t="shared" si="891"/>
        <v xml:space="preserve"> </v>
      </c>
      <c r="BD478" s="598" t="str">
        <f t="shared" si="891"/>
        <v xml:space="preserve"> </v>
      </c>
      <c r="BE478" s="598" t="str">
        <f t="shared" si="891"/>
        <v xml:space="preserve"> </v>
      </c>
      <c r="BF478" s="598" t="str">
        <f t="shared" si="892"/>
        <v xml:space="preserve"> </v>
      </c>
      <c r="BG478" s="598" t="str">
        <f t="shared" si="892"/>
        <v xml:space="preserve"> </v>
      </c>
      <c r="BH478" s="598" t="str">
        <f t="shared" si="892"/>
        <v xml:space="preserve"> </v>
      </c>
      <c r="BI478" s="598" t="str">
        <f t="shared" si="892"/>
        <v xml:space="preserve"> </v>
      </c>
      <c r="BJ478" s="598" t="str">
        <f t="shared" si="892"/>
        <v xml:space="preserve"> </v>
      </c>
      <c r="BK478" s="598" t="str">
        <f t="shared" si="892"/>
        <v xml:space="preserve"> </v>
      </c>
      <c r="BL478" s="598" t="str">
        <f t="shared" si="892"/>
        <v xml:space="preserve"> </v>
      </c>
      <c r="BM478" s="598" t="str">
        <f t="shared" si="892"/>
        <v xml:space="preserve"> </v>
      </c>
      <c r="BN478" s="598" t="str">
        <f t="shared" si="892"/>
        <v xml:space="preserve"> </v>
      </c>
      <c r="BO478" s="598" t="str">
        <f t="shared" si="892"/>
        <v xml:space="preserve"> </v>
      </c>
      <c r="BP478" s="598" t="str">
        <f t="shared" si="893"/>
        <v xml:space="preserve"> </v>
      </c>
      <c r="BQ478" s="598" t="str">
        <f t="shared" si="893"/>
        <v xml:space="preserve"> </v>
      </c>
      <c r="BR478" s="598" t="str">
        <f t="shared" si="893"/>
        <v xml:space="preserve"> </v>
      </c>
      <c r="BS478" s="598" t="str">
        <f t="shared" si="893"/>
        <v xml:space="preserve"> </v>
      </c>
      <c r="BT478" s="598" t="str">
        <f t="shared" si="893"/>
        <v xml:space="preserve"> </v>
      </c>
      <c r="BU478" s="598" t="str">
        <f t="shared" si="893"/>
        <v xml:space="preserve"> </v>
      </c>
      <c r="BV478" s="598" t="str">
        <f t="shared" si="893"/>
        <v xml:space="preserve"> </v>
      </c>
      <c r="BW478" s="598" t="str">
        <f t="shared" si="893"/>
        <v xml:space="preserve"> </v>
      </c>
      <c r="BX478" s="598" t="str">
        <f t="shared" si="893"/>
        <v xml:space="preserve"> </v>
      </c>
      <c r="BY478" s="598" t="str">
        <f t="shared" si="893"/>
        <v xml:space="preserve"> </v>
      </c>
      <c r="BZ478" s="598" t="str">
        <f t="shared" si="894"/>
        <v xml:space="preserve"> </v>
      </c>
      <c r="CA478" s="598" t="str">
        <f t="shared" si="894"/>
        <v xml:space="preserve"> </v>
      </c>
      <c r="CB478" s="598" t="str">
        <f t="shared" si="894"/>
        <v xml:space="preserve"> </v>
      </c>
      <c r="CC478" s="598" t="str">
        <f t="shared" si="894"/>
        <v xml:space="preserve"> </v>
      </c>
      <c r="CD478" s="598" t="str">
        <f t="shared" si="894"/>
        <v xml:space="preserve"> </v>
      </c>
      <c r="CE478" s="598" t="str">
        <f t="shared" si="894"/>
        <v xml:space="preserve"> </v>
      </c>
      <c r="CF478" s="598" t="str">
        <f t="shared" si="894"/>
        <v xml:space="preserve"> </v>
      </c>
      <c r="CG478" s="598" t="str">
        <f t="shared" si="894"/>
        <v xml:space="preserve"> </v>
      </c>
      <c r="CH478" s="598" t="str">
        <f t="shared" si="894"/>
        <v xml:space="preserve"> </v>
      </c>
      <c r="CI478" s="598" t="str">
        <f t="shared" si="894"/>
        <v xml:space="preserve"> </v>
      </c>
      <c r="CJ478" s="598" t="str">
        <f t="shared" si="894"/>
        <v xml:space="preserve"> </v>
      </c>
      <c r="CK478" s="598" t="str">
        <f t="shared" si="894"/>
        <v xml:space="preserve"> </v>
      </c>
      <c r="CL478" s="598" t="str">
        <f t="shared" si="894"/>
        <v xml:space="preserve"> </v>
      </c>
      <c r="CM478" s="598" t="str">
        <f t="shared" si="894"/>
        <v xml:space="preserve"> </v>
      </c>
      <c r="CN478" s="598" t="str">
        <f t="shared" si="894"/>
        <v xml:space="preserve"> </v>
      </c>
    </row>
    <row r="479" spans="1:92">
      <c r="A479" s="598">
        <v>102</v>
      </c>
      <c r="B479" s="598" t="str">
        <f t="shared" ref="B479:K488" si="895">HLOOKUP(B$376,$C$255:$S$372,$A479+1)</f>
        <v xml:space="preserve"> </v>
      </c>
      <c r="C479" s="598" t="str">
        <f t="shared" si="895"/>
        <v xml:space="preserve"> </v>
      </c>
      <c r="D479" s="598" t="str">
        <f t="shared" si="895"/>
        <v xml:space="preserve"> </v>
      </c>
      <c r="E479" s="598" t="str">
        <f t="shared" si="895"/>
        <v xml:space="preserve"> </v>
      </c>
      <c r="F479" s="598" t="str">
        <f t="shared" si="895"/>
        <v xml:space="preserve"> </v>
      </c>
      <c r="G479" s="598" t="str">
        <f t="shared" si="895"/>
        <v xml:space="preserve"> </v>
      </c>
      <c r="H479" s="598" t="str">
        <f t="shared" si="895"/>
        <v xml:space="preserve"> </v>
      </c>
      <c r="I479" s="598" t="str">
        <f t="shared" si="895"/>
        <v xml:space="preserve"> </v>
      </c>
      <c r="J479" s="598" t="str">
        <f t="shared" si="895"/>
        <v xml:space="preserve"> </v>
      </c>
      <c r="K479" s="598" t="str">
        <f t="shared" si="895"/>
        <v xml:space="preserve"> </v>
      </c>
      <c r="L479" s="598" t="str">
        <f t="shared" ref="L479:U488" si="896">HLOOKUP(L$376,$C$255:$S$372,$A479+1)</f>
        <v xml:space="preserve"> </v>
      </c>
      <c r="M479" s="598" t="str">
        <f t="shared" si="896"/>
        <v xml:space="preserve"> </v>
      </c>
      <c r="N479" s="598" t="str">
        <f t="shared" si="896"/>
        <v xml:space="preserve"> </v>
      </c>
      <c r="O479" s="598" t="str">
        <f t="shared" si="896"/>
        <v xml:space="preserve"> </v>
      </c>
      <c r="P479" s="598" t="str">
        <f t="shared" si="896"/>
        <v xml:space="preserve"> </v>
      </c>
      <c r="Q479" s="598" t="str">
        <f t="shared" si="896"/>
        <v xml:space="preserve"> </v>
      </c>
      <c r="R479" s="598" t="str">
        <f t="shared" si="896"/>
        <v xml:space="preserve"> </v>
      </c>
      <c r="S479" s="598" t="str">
        <f t="shared" si="896"/>
        <v xml:space="preserve"> </v>
      </c>
      <c r="T479" s="598" t="str">
        <f t="shared" si="896"/>
        <v xml:space="preserve"> </v>
      </c>
      <c r="U479" s="598" t="str">
        <f t="shared" si="896"/>
        <v xml:space="preserve"> </v>
      </c>
      <c r="V479" s="598" t="str">
        <f t="shared" ref="V479:AE488" si="897">HLOOKUP(V$376,$C$255:$S$372,$A479+1)</f>
        <v xml:space="preserve"> </v>
      </c>
      <c r="W479" s="598" t="str">
        <f t="shared" si="897"/>
        <v xml:space="preserve"> </v>
      </c>
      <c r="X479" s="598" t="str">
        <f t="shared" si="897"/>
        <v xml:space="preserve"> </v>
      </c>
      <c r="Y479" s="598" t="str">
        <f t="shared" si="897"/>
        <v xml:space="preserve"> </v>
      </c>
      <c r="Z479" s="598" t="str">
        <f t="shared" si="897"/>
        <v xml:space="preserve"> </v>
      </c>
      <c r="AA479" s="598" t="str">
        <f t="shared" si="897"/>
        <v xml:space="preserve"> </v>
      </c>
      <c r="AB479" s="598" t="str">
        <f t="shared" si="897"/>
        <v xml:space="preserve"> </v>
      </c>
      <c r="AC479" s="598" t="str">
        <f t="shared" si="897"/>
        <v xml:space="preserve"> </v>
      </c>
      <c r="AD479" s="598" t="str">
        <f t="shared" si="897"/>
        <v xml:space="preserve"> </v>
      </c>
      <c r="AE479" s="598" t="str">
        <f t="shared" si="897"/>
        <v xml:space="preserve"> </v>
      </c>
      <c r="AF479" s="598" t="str">
        <f t="shared" ref="AF479:AT488" si="898">HLOOKUP(AF$376,$C$255:$S$372,$A479+1)</f>
        <v xml:space="preserve"> </v>
      </c>
      <c r="AG479" s="598" t="str">
        <f t="shared" si="898"/>
        <v xml:space="preserve"> </v>
      </c>
      <c r="AH479" s="598" t="str">
        <f t="shared" si="898"/>
        <v xml:space="preserve"> </v>
      </c>
      <c r="AI479" s="598" t="str">
        <f t="shared" si="898"/>
        <v xml:space="preserve"> </v>
      </c>
      <c r="AJ479" s="598" t="str">
        <f t="shared" si="898"/>
        <v xml:space="preserve"> </v>
      </c>
      <c r="AK479" s="598" t="str">
        <f t="shared" si="898"/>
        <v xml:space="preserve"> </v>
      </c>
      <c r="AL479" s="598" t="str">
        <f t="shared" si="898"/>
        <v xml:space="preserve"> </v>
      </c>
      <c r="AM479" s="598" t="str">
        <f t="shared" si="898"/>
        <v xml:space="preserve"> </v>
      </c>
      <c r="AN479" s="598" t="str">
        <f t="shared" si="898"/>
        <v xml:space="preserve"> </v>
      </c>
      <c r="AO479" s="598" t="str">
        <f t="shared" si="898"/>
        <v xml:space="preserve"> </v>
      </c>
      <c r="AP479" s="598" t="str">
        <f t="shared" si="898"/>
        <v xml:space="preserve"> </v>
      </c>
      <c r="AQ479" s="598" t="str">
        <f t="shared" si="898"/>
        <v xml:space="preserve"> </v>
      </c>
      <c r="AR479" s="598" t="str">
        <f t="shared" si="898"/>
        <v xml:space="preserve"> </v>
      </c>
      <c r="AS479" s="598" t="str">
        <f t="shared" si="898"/>
        <v xml:space="preserve"> </v>
      </c>
      <c r="AT479" s="598" t="str">
        <f t="shared" si="898"/>
        <v xml:space="preserve"> </v>
      </c>
      <c r="AV479" s="598" t="str">
        <f t="shared" ref="AV479:BE488" si="899">HLOOKUP(AV$376,$C$255:$S$372,$A479+1)</f>
        <v xml:space="preserve"> </v>
      </c>
      <c r="AW479" s="598" t="str">
        <f t="shared" si="899"/>
        <v xml:space="preserve"> </v>
      </c>
      <c r="AX479" s="598" t="str">
        <f t="shared" si="899"/>
        <v xml:space="preserve"> </v>
      </c>
      <c r="AY479" s="598" t="str">
        <f t="shared" si="899"/>
        <v xml:space="preserve"> </v>
      </c>
      <c r="AZ479" s="598" t="str">
        <f t="shared" si="899"/>
        <v xml:space="preserve"> </v>
      </c>
      <c r="BA479" s="598" t="str">
        <f t="shared" si="899"/>
        <v xml:space="preserve"> </v>
      </c>
      <c r="BB479" s="598" t="str">
        <f t="shared" si="899"/>
        <v xml:space="preserve"> </v>
      </c>
      <c r="BC479" s="598" t="str">
        <f t="shared" si="899"/>
        <v xml:space="preserve"> </v>
      </c>
      <c r="BD479" s="598" t="str">
        <f t="shared" si="899"/>
        <v xml:space="preserve"> </v>
      </c>
      <c r="BE479" s="598" t="str">
        <f t="shared" si="899"/>
        <v xml:space="preserve"> </v>
      </c>
      <c r="BF479" s="598" t="str">
        <f t="shared" ref="BF479:BO488" si="900">HLOOKUP(BF$376,$C$255:$S$372,$A479+1)</f>
        <v xml:space="preserve"> </v>
      </c>
      <c r="BG479" s="598" t="str">
        <f t="shared" si="900"/>
        <v xml:space="preserve"> </v>
      </c>
      <c r="BH479" s="598" t="str">
        <f t="shared" si="900"/>
        <v xml:space="preserve"> </v>
      </c>
      <c r="BI479" s="598" t="str">
        <f t="shared" si="900"/>
        <v xml:space="preserve"> </v>
      </c>
      <c r="BJ479" s="598" t="str">
        <f t="shared" si="900"/>
        <v xml:space="preserve"> </v>
      </c>
      <c r="BK479" s="598" t="str">
        <f t="shared" si="900"/>
        <v xml:space="preserve"> </v>
      </c>
      <c r="BL479" s="598" t="str">
        <f t="shared" si="900"/>
        <v xml:space="preserve"> </v>
      </c>
      <c r="BM479" s="598" t="str">
        <f t="shared" si="900"/>
        <v xml:space="preserve"> </v>
      </c>
      <c r="BN479" s="598" t="str">
        <f t="shared" si="900"/>
        <v xml:space="preserve"> </v>
      </c>
      <c r="BO479" s="598" t="str">
        <f t="shared" si="900"/>
        <v xml:space="preserve"> </v>
      </c>
      <c r="BP479" s="598" t="str">
        <f t="shared" ref="BP479:BY488" si="901">HLOOKUP(BP$376,$C$255:$S$372,$A479+1)</f>
        <v xml:space="preserve"> </v>
      </c>
      <c r="BQ479" s="598" t="str">
        <f t="shared" si="901"/>
        <v xml:space="preserve"> </v>
      </c>
      <c r="BR479" s="598" t="str">
        <f t="shared" si="901"/>
        <v xml:space="preserve"> </v>
      </c>
      <c r="BS479" s="598" t="str">
        <f t="shared" si="901"/>
        <v xml:space="preserve"> </v>
      </c>
      <c r="BT479" s="598" t="str">
        <f t="shared" si="901"/>
        <v xml:space="preserve"> </v>
      </c>
      <c r="BU479" s="598" t="str">
        <f t="shared" si="901"/>
        <v xml:space="preserve"> </v>
      </c>
      <c r="BV479" s="598" t="str">
        <f t="shared" si="901"/>
        <v xml:space="preserve"> </v>
      </c>
      <c r="BW479" s="598" t="str">
        <f t="shared" si="901"/>
        <v xml:space="preserve"> </v>
      </c>
      <c r="BX479" s="598" t="str">
        <f t="shared" si="901"/>
        <v xml:space="preserve"> </v>
      </c>
      <c r="BY479" s="598" t="str">
        <f t="shared" si="901"/>
        <v xml:space="preserve"> </v>
      </c>
      <c r="BZ479" s="598" t="str">
        <f t="shared" ref="BZ479:CN488" si="902">HLOOKUP(BZ$376,$C$255:$S$372,$A479+1)</f>
        <v xml:space="preserve"> </v>
      </c>
      <c r="CA479" s="598" t="str">
        <f t="shared" si="902"/>
        <v xml:space="preserve"> </v>
      </c>
      <c r="CB479" s="598" t="str">
        <f t="shared" si="902"/>
        <v xml:space="preserve"> </v>
      </c>
      <c r="CC479" s="598" t="str">
        <f t="shared" si="902"/>
        <v xml:space="preserve"> </v>
      </c>
      <c r="CD479" s="598" t="str">
        <f t="shared" si="902"/>
        <v xml:space="preserve"> </v>
      </c>
      <c r="CE479" s="598" t="str">
        <f t="shared" si="902"/>
        <v xml:space="preserve"> </v>
      </c>
      <c r="CF479" s="598" t="str">
        <f t="shared" si="902"/>
        <v xml:space="preserve"> </v>
      </c>
      <c r="CG479" s="598" t="str">
        <f t="shared" si="902"/>
        <v xml:space="preserve"> </v>
      </c>
      <c r="CH479" s="598" t="str">
        <f t="shared" si="902"/>
        <v xml:space="preserve"> </v>
      </c>
      <c r="CI479" s="598" t="str">
        <f t="shared" si="902"/>
        <v xml:space="preserve"> </v>
      </c>
      <c r="CJ479" s="598" t="str">
        <f t="shared" si="902"/>
        <v xml:space="preserve"> </v>
      </c>
      <c r="CK479" s="598" t="str">
        <f t="shared" si="902"/>
        <v xml:space="preserve"> </v>
      </c>
      <c r="CL479" s="598" t="str">
        <f t="shared" si="902"/>
        <v xml:space="preserve"> </v>
      </c>
      <c r="CM479" s="598" t="str">
        <f t="shared" si="902"/>
        <v xml:space="preserve"> </v>
      </c>
      <c r="CN479" s="598" t="str">
        <f t="shared" si="902"/>
        <v xml:space="preserve"> </v>
      </c>
    </row>
    <row r="480" spans="1:92">
      <c r="A480" s="598">
        <v>103</v>
      </c>
      <c r="B480" s="598" t="str">
        <f t="shared" si="895"/>
        <v xml:space="preserve"> </v>
      </c>
      <c r="C480" s="598" t="str">
        <f t="shared" si="895"/>
        <v xml:space="preserve"> </v>
      </c>
      <c r="D480" s="598" t="str">
        <f t="shared" si="895"/>
        <v xml:space="preserve"> </v>
      </c>
      <c r="E480" s="598" t="str">
        <f t="shared" si="895"/>
        <v xml:space="preserve"> </v>
      </c>
      <c r="F480" s="598" t="str">
        <f t="shared" si="895"/>
        <v xml:space="preserve"> </v>
      </c>
      <c r="G480" s="598" t="str">
        <f t="shared" si="895"/>
        <v xml:space="preserve"> </v>
      </c>
      <c r="H480" s="598" t="str">
        <f t="shared" si="895"/>
        <v xml:space="preserve"> </v>
      </c>
      <c r="I480" s="598" t="str">
        <f t="shared" si="895"/>
        <v xml:space="preserve"> </v>
      </c>
      <c r="J480" s="598" t="str">
        <f t="shared" si="895"/>
        <v xml:space="preserve"> </v>
      </c>
      <c r="K480" s="598" t="str">
        <f t="shared" si="895"/>
        <v xml:space="preserve"> </v>
      </c>
      <c r="L480" s="598" t="str">
        <f t="shared" si="896"/>
        <v xml:space="preserve"> </v>
      </c>
      <c r="M480" s="598" t="str">
        <f t="shared" si="896"/>
        <v xml:space="preserve"> </v>
      </c>
      <c r="N480" s="598" t="str">
        <f t="shared" si="896"/>
        <v xml:space="preserve"> </v>
      </c>
      <c r="O480" s="598" t="str">
        <f t="shared" si="896"/>
        <v xml:space="preserve"> </v>
      </c>
      <c r="P480" s="598" t="str">
        <f t="shared" si="896"/>
        <v xml:space="preserve"> </v>
      </c>
      <c r="Q480" s="598" t="str">
        <f t="shared" si="896"/>
        <v xml:space="preserve"> </v>
      </c>
      <c r="R480" s="598" t="str">
        <f t="shared" si="896"/>
        <v xml:space="preserve"> </v>
      </c>
      <c r="S480" s="598" t="str">
        <f t="shared" si="896"/>
        <v xml:space="preserve"> </v>
      </c>
      <c r="T480" s="598" t="str">
        <f t="shared" si="896"/>
        <v xml:space="preserve"> </v>
      </c>
      <c r="U480" s="598" t="str">
        <f t="shared" si="896"/>
        <v xml:space="preserve"> </v>
      </c>
      <c r="V480" s="598" t="str">
        <f t="shared" si="897"/>
        <v xml:space="preserve"> </v>
      </c>
      <c r="W480" s="598" t="str">
        <f t="shared" si="897"/>
        <v xml:space="preserve"> </v>
      </c>
      <c r="X480" s="598" t="str">
        <f t="shared" si="897"/>
        <v xml:space="preserve"> </v>
      </c>
      <c r="Y480" s="598" t="str">
        <f t="shared" si="897"/>
        <v xml:space="preserve"> </v>
      </c>
      <c r="Z480" s="598" t="str">
        <f t="shared" si="897"/>
        <v xml:space="preserve"> </v>
      </c>
      <c r="AA480" s="598" t="str">
        <f t="shared" si="897"/>
        <v xml:space="preserve"> </v>
      </c>
      <c r="AB480" s="598" t="str">
        <f t="shared" si="897"/>
        <v xml:space="preserve"> </v>
      </c>
      <c r="AC480" s="598" t="str">
        <f t="shared" si="897"/>
        <v xml:space="preserve"> </v>
      </c>
      <c r="AD480" s="598" t="str">
        <f t="shared" si="897"/>
        <v xml:space="preserve"> </v>
      </c>
      <c r="AE480" s="598" t="str">
        <f t="shared" si="897"/>
        <v xml:space="preserve"> </v>
      </c>
      <c r="AF480" s="598" t="str">
        <f t="shared" si="898"/>
        <v xml:space="preserve"> </v>
      </c>
      <c r="AG480" s="598" t="str">
        <f t="shared" si="898"/>
        <v xml:space="preserve"> </v>
      </c>
      <c r="AH480" s="598" t="str">
        <f t="shared" si="898"/>
        <v xml:space="preserve"> </v>
      </c>
      <c r="AI480" s="598" t="str">
        <f t="shared" si="898"/>
        <v xml:space="preserve"> </v>
      </c>
      <c r="AJ480" s="598" t="str">
        <f t="shared" si="898"/>
        <v xml:space="preserve"> </v>
      </c>
      <c r="AK480" s="598" t="str">
        <f t="shared" si="898"/>
        <v xml:space="preserve"> </v>
      </c>
      <c r="AL480" s="598" t="str">
        <f t="shared" si="898"/>
        <v xml:space="preserve"> </v>
      </c>
      <c r="AM480" s="598" t="str">
        <f t="shared" si="898"/>
        <v xml:space="preserve"> </v>
      </c>
      <c r="AN480" s="598" t="str">
        <f t="shared" si="898"/>
        <v xml:space="preserve"> </v>
      </c>
      <c r="AO480" s="598" t="str">
        <f t="shared" si="898"/>
        <v xml:space="preserve"> </v>
      </c>
      <c r="AP480" s="598" t="str">
        <f t="shared" si="898"/>
        <v xml:space="preserve"> </v>
      </c>
      <c r="AQ480" s="598" t="str">
        <f t="shared" si="898"/>
        <v xml:space="preserve"> </v>
      </c>
      <c r="AR480" s="598" t="str">
        <f t="shared" si="898"/>
        <v xml:space="preserve"> </v>
      </c>
      <c r="AS480" s="598" t="str">
        <f t="shared" si="898"/>
        <v xml:space="preserve"> </v>
      </c>
      <c r="AT480" s="598" t="str">
        <f t="shared" si="898"/>
        <v xml:space="preserve"> </v>
      </c>
      <c r="AV480" s="598" t="str">
        <f t="shared" si="899"/>
        <v xml:space="preserve"> </v>
      </c>
      <c r="AW480" s="598" t="str">
        <f t="shared" si="899"/>
        <v xml:space="preserve"> </v>
      </c>
      <c r="AX480" s="598" t="str">
        <f t="shared" si="899"/>
        <v xml:space="preserve"> </v>
      </c>
      <c r="AY480" s="598" t="str">
        <f t="shared" si="899"/>
        <v xml:space="preserve"> </v>
      </c>
      <c r="AZ480" s="598" t="str">
        <f t="shared" si="899"/>
        <v xml:space="preserve"> </v>
      </c>
      <c r="BA480" s="598" t="str">
        <f t="shared" si="899"/>
        <v xml:space="preserve"> </v>
      </c>
      <c r="BB480" s="598" t="str">
        <f t="shared" si="899"/>
        <v xml:space="preserve"> </v>
      </c>
      <c r="BC480" s="598" t="str">
        <f t="shared" si="899"/>
        <v xml:space="preserve"> </v>
      </c>
      <c r="BD480" s="598" t="str">
        <f t="shared" si="899"/>
        <v xml:space="preserve"> </v>
      </c>
      <c r="BE480" s="598" t="str">
        <f t="shared" si="899"/>
        <v xml:space="preserve"> </v>
      </c>
      <c r="BF480" s="598" t="str">
        <f t="shared" si="900"/>
        <v xml:space="preserve"> </v>
      </c>
      <c r="BG480" s="598" t="str">
        <f t="shared" si="900"/>
        <v xml:space="preserve"> </v>
      </c>
      <c r="BH480" s="598" t="str">
        <f t="shared" si="900"/>
        <v xml:space="preserve"> </v>
      </c>
      <c r="BI480" s="598" t="str">
        <f t="shared" si="900"/>
        <v xml:space="preserve"> </v>
      </c>
      <c r="BJ480" s="598" t="str">
        <f t="shared" si="900"/>
        <v xml:space="preserve"> </v>
      </c>
      <c r="BK480" s="598" t="str">
        <f t="shared" si="900"/>
        <v xml:space="preserve"> </v>
      </c>
      <c r="BL480" s="598" t="str">
        <f t="shared" si="900"/>
        <v xml:space="preserve"> </v>
      </c>
      <c r="BM480" s="598" t="str">
        <f t="shared" si="900"/>
        <v xml:space="preserve"> </v>
      </c>
      <c r="BN480" s="598" t="str">
        <f t="shared" si="900"/>
        <v xml:space="preserve"> </v>
      </c>
      <c r="BO480" s="598" t="str">
        <f t="shared" si="900"/>
        <v xml:space="preserve"> </v>
      </c>
      <c r="BP480" s="598" t="str">
        <f t="shared" si="901"/>
        <v xml:space="preserve"> </v>
      </c>
      <c r="BQ480" s="598" t="str">
        <f t="shared" si="901"/>
        <v xml:space="preserve"> </v>
      </c>
      <c r="BR480" s="598" t="str">
        <f t="shared" si="901"/>
        <v xml:space="preserve"> </v>
      </c>
      <c r="BS480" s="598" t="str">
        <f t="shared" si="901"/>
        <v xml:space="preserve"> </v>
      </c>
      <c r="BT480" s="598" t="str">
        <f t="shared" si="901"/>
        <v xml:space="preserve"> </v>
      </c>
      <c r="BU480" s="598" t="str">
        <f t="shared" si="901"/>
        <v xml:space="preserve"> </v>
      </c>
      <c r="BV480" s="598" t="str">
        <f t="shared" si="901"/>
        <v xml:space="preserve"> </v>
      </c>
      <c r="BW480" s="598" t="str">
        <f t="shared" si="901"/>
        <v xml:space="preserve"> </v>
      </c>
      <c r="BX480" s="598" t="str">
        <f t="shared" si="901"/>
        <v xml:space="preserve"> </v>
      </c>
      <c r="BY480" s="598" t="str">
        <f t="shared" si="901"/>
        <v xml:space="preserve"> </v>
      </c>
      <c r="BZ480" s="598" t="str">
        <f t="shared" si="902"/>
        <v xml:space="preserve"> </v>
      </c>
      <c r="CA480" s="598" t="str">
        <f t="shared" si="902"/>
        <v xml:space="preserve"> </v>
      </c>
      <c r="CB480" s="598" t="str">
        <f t="shared" si="902"/>
        <v xml:space="preserve"> </v>
      </c>
      <c r="CC480" s="598" t="str">
        <f t="shared" si="902"/>
        <v xml:space="preserve"> </v>
      </c>
      <c r="CD480" s="598" t="str">
        <f t="shared" si="902"/>
        <v xml:space="preserve"> </v>
      </c>
      <c r="CE480" s="598" t="str">
        <f t="shared" si="902"/>
        <v xml:space="preserve"> </v>
      </c>
      <c r="CF480" s="598" t="str">
        <f t="shared" si="902"/>
        <v xml:space="preserve"> </v>
      </c>
      <c r="CG480" s="598" t="str">
        <f t="shared" si="902"/>
        <v xml:space="preserve"> </v>
      </c>
      <c r="CH480" s="598" t="str">
        <f t="shared" si="902"/>
        <v xml:space="preserve"> </v>
      </c>
      <c r="CI480" s="598" t="str">
        <f t="shared" si="902"/>
        <v xml:space="preserve"> </v>
      </c>
      <c r="CJ480" s="598" t="str">
        <f t="shared" si="902"/>
        <v xml:space="preserve"> </v>
      </c>
      <c r="CK480" s="598" t="str">
        <f t="shared" si="902"/>
        <v xml:space="preserve"> </v>
      </c>
      <c r="CL480" s="598" t="str">
        <f t="shared" si="902"/>
        <v xml:space="preserve"> </v>
      </c>
      <c r="CM480" s="598" t="str">
        <f t="shared" si="902"/>
        <v xml:space="preserve"> </v>
      </c>
      <c r="CN480" s="598" t="str">
        <f t="shared" si="902"/>
        <v xml:space="preserve"> </v>
      </c>
    </row>
    <row r="481" spans="1:92">
      <c r="A481" s="598">
        <v>104</v>
      </c>
      <c r="B481" s="598" t="str">
        <f t="shared" si="895"/>
        <v xml:space="preserve"> </v>
      </c>
      <c r="C481" s="598" t="str">
        <f t="shared" si="895"/>
        <v xml:space="preserve"> </v>
      </c>
      <c r="D481" s="598" t="str">
        <f t="shared" si="895"/>
        <v xml:space="preserve"> </v>
      </c>
      <c r="E481" s="598" t="str">
        <f t="shared" si="895"/>
        <v xml:space="preserve"> </v>
      </c>
      <c r="F481" s="598" t="str">
        <f t="shared" si="895"/>
        <v xml:space="preserve"> </v>
      </c>
      <c r="G481" s="598" t="str">
        <f t="shared" si="895"/>
        <v xml:space="preserve"> </v>
      </c>
      <c r="H481" s="598" t="str">
        <f t="shared" si="895"/>
        <v xml:space="preserve"> </v>
      </c>
      <c r="I481" s="598" t="str">
        <f t="shared" si="895"/>
        <v xml:space="preserve"> </v>
      </c>
      <c r="J481" s="598" t="str">
        <f t="shared" si="895"/>
        <v xml:space="preserve"> </v>
      </c>
      <c r="K481" s="598" t="str">
        <f t="shared" si="895"/>
        <v xml:space="preserve"> </v>
      </c>
      <c r="L481" s="598" t="str">
        <f t="shared" si="896"/>
        <v xml:space="preserve"> </v>
      </c>
      <c r="M481" s="598" t="str">
        <f t="shared" si="896"/>
        <v xml:space="preserve"> </v>
      </c>
      <c r="N481" s="598" t="str">
        <f t="shared" si="896"/>
        <v xml:space="preserve"> </v>
      </c>
      <c r="O481" s="598" t="str">
        <f t="shared" si="896"/>
        <v xml:space="preserve"> </v>
      </c>
      <c r="P481" s="598" t="str">
        <f t="shared" si="896"/>
        <v xml:space="preserve"> </v>
      </c>
      <c r="Q481" s="598" t="str">
        <f t="shared" si="896"/>
        <v xml:space="preserve"> </v>
      </c>
      <c r="R481" s="598" t="str">
        <f t="shared" si="896"/>
        <v xml:space="preserve"> </v>
      </c>
      <c r="S481" s="598" t="str">
        <f t="shared" si="896"/>
        <v xml:space="preserve"> </v>
      </c>
      <c r="T481" s="598" t="str">
        <f t="shared" si="896"/>
        <v xml:space="preserve"> </v>
      </c>
      <c r="U481" s="598" t="str">
        <f t="shared" si="896"/>
        <v xml:space="preserve"> </v>
      </c>
      <c r="V481" s="598" t="str">
        <f t="shared" si="897"/>
        <v xml:space="preserve"> </v>
      </c>
      <c r="W481" s="598" t="str">
        <f t="shared" si="897"/>
        <v xml:space="preserve"> </v>
      </c>
      <c r="X481" s="598" t="str">
        <f t="shared" si="897"/>
        <v xml:space="preserve"> </v>
      </c>
      <c r="Y481" s="598" t="str">
        <f t="shared" si="897"/>
        <v xml:space="preserve"> </v>
      </c>
      <c r="Z481" s="598" t="str">
        <f t="shared" si="897"/>
        <v xml:space="preserve"> </v>
      </c>
      <c r="AA481" s="598" t="str">
        <f t="shared" si="897"/>
        <v xml:space="preserve"> </v>
      </c>
      <c r="AB481" s="598" t="str">
        <f t="shared" si="897"/>
        <v xml:space="preserve"> </v>
      </c>
      <c r="AC481" s="598" t="str">
        <f t="shared" si="897"/>
        <v xml:space="preserve"> </v>
      </c>
      <c r="AD481" s="598" t="str">
        <f t="shared" si="897"/>
        <v xml:space="preserve"> </v>
      </c>
      <c r="AE481" s="598" t="str">
        <f t="shared" si="897"/>
        <v xml:space="preserve"> </v>
      </c>
      <c r="AF481" s="598" t="str">
        <f t="shared" si="898"/>
        <v xml:space="preserve"> </v>
      </c>
      <c r="AG481" s="598" t="str">
        <f t="shared" si="898"/>
        <v xml:space="preserve"> </v>
      </c>
      <c r="AH481" s="598" t="str">
        <f t="shared" si="898"/>
        <v xml:space="preserve"> </v>
      </c>
      <c r="AI481" s="598" t="str">
        <f t="shared" si="898"/>
        <v xml:space="preserve"> </v>
      </c>
      <c r="AJ481" s="598" t="str">
        <f t="shared" si="898"/>
        <v xml:space="preserve"> </v>
      </c>
      <c r="AK481" s="598" t="str">
        <f t="shared" si="898"/>
        <v xml:space="preserve"> </v>
      </c>
      <c r="AL481" s="598" t="str">
        <f t="shared" si="898"/>
        <v xml:space="preserve"> </v>
      </c>
      <c r="AM481" s="598" t="str">
        <f t="shared" si="898"/>
        <v xml:space="preserve"> </v>
      </c>
      <c r="AN481" s="598" t="str">
        <f t="shared" si="898"/>
        <v xml:space="preserve"> </v>
      </c>
      <c r="AO481" s="598" t="str">
        <f t="shared" si="898"/>
        <v xml:space="preserve"> </v>
      </c>
      <c r="AP481" s="598" t="str">
        <f t="shared" si="898"/>
        <v xml:space="preserve"> </v>
      </c>
      <c r="AQ481" s="598" t="str">
        <f t="shared" si="898"/>
        <v xml:space="preserve"> </v>
      </c>
      <c r="AR481" s="598" t="str">
        <f t="shared" si="898"/>
        <v xml:space="preserve"> </v>
      </c>
      <c r="AS481" s="598" t="str">
        <f t="shared" si="898"/>
        <v xml:space="preserve"> </v>
      </c>
      <c r="AT481" s="598" t="str">
        <f t="shared" si="898"/>
        <v xml:space="preserve"> </v>
      </c>
      <c r="AV481" s="598" t="str">
        <f t="shared" si="899"/>
        <v xml:space="preserve"> </v>
      </c>
      <c r="AW481" s="598" t="str">
        <f t="shared" si="899"/>
        <v xml:space="preserve"> </v>
      </c>
      <c r="AX481" s="598" t="str">
        <f t="shared" si="899"/>
        <v xml:space="preserve"> </v>
      </c>
      <c r="AY481" s="598" t="str">
        <f t="shared" si="899"/>
        <v xml:space="preserve"> </v>
      </c>
      <c r="AZ481" s="598" t="str">
        <f t="shared" si="899"/>
        <v xml:space="preserve"> </v>
      </c>
      <c r="BA481" s="598" t="str">
        <f t="shared" si="899"/>
        <v xml:space="preserve"> </v>
      </c>
      <c r="BB481" s="598" t="str">
        <f t="shared" si="899"/>
        <v xml:space="preserve"> </v>
      </c>
      <c r="BC481" s="598" t="str">
        <f t="shared" si="899"/>
        <v xml:space="preserve"> </v>
      </c>
      <c r="BD481" s="598" t="str">
        <f t="shared" si="899"/>
        <v xml:space="preserve"> </v>
      </c>
      <c r="BE481" s="598" t="str">
        <f t="shared" si="899"/>
        <v xml:space="preserve"> </v>
      </c>
      <c r="BF481" s="598" t="str">
        <f t="shared" si="900"/>
        <v xml:space="preserve"> </v>
      </c>
      <c r="BG481" s="598" t="str">
        <f t="shared" si="900"/>
        <v xml:space="preserve"> </v>
      </c>
      <c r="BH481" s="598" t="str">
        <f t="shared" si="900"/>
        <v xml:space="preserve"> </v>
      </c>
      <c r="BI481" s="598" t="str">
        <f t="shared" si="900"/>
        <v xml:space="preserve"> </v>
      </c>
      <c r="BJ481" s="598" t="str">
        <f t="shared" si="900"/>
        <v xml:space="preserve"> </v>
      </c>
      <c r="BK481" s="598" t="str">
        <f t="shared" si="900"/>
        <v xml:space="preserve"> </v>
      </c>
      <c r="BL481" s="598" t="str">
        <f t="shared" si="900"/>
        <v xml:space="preserve"> </v>
      </c>
      <c r="BM481" s="598" t="str">
        <f t="shared" si="900"/>
        <v xml:space="preserve"> </v>
      </c>
      <c r="BN481" s="598" t="str">
        <f t="shared" si="900"/>
        <v xml:space="preserve"> </v>
      </c>
      <c r="BO481" s="598" t="str">
        <f t="shared" si="900"/>
        <v xml:space="preserve"> </v>
      </c>
      <c r="BP481" s="598" t="str">
        <f t="shared" si="901"/>
        <v xml:space="preserve"> </v>
      </c>
      <c r="BQ481" s="598" t="str">
        <f t="shared" si="901"/>
        <v xml:space="preserve"> </v>
      </c>
      <c r="BR481" s="598" t="str">
        <f t="shared" si="901"/>
        <v xml:space="preserve"> </v>
      </c>
      <c r="BS481" s="598" t="str">
        <f t="shared" si="901"/>
        <v xml:space="preserve"> </v>
      </c>
      <c r="BT481" s="598" t="str">
        <f t="shared" si="901"/>
        <v xml:space="preserve"> </v>
      </c>
      <c r="BU481" s="598" t="str">
        <f t="shared" si="901"/>
        <v xml:space="preserve"> </v>
      </c>
      <c r="BV481" s="598" t="str">
        <f t="shared" si="901"/>
        <v xml:space="preserve"> </v>
      </c>
      <c r="BW481" s="598" t="str">
        <f t="shared" si="901"/>
        <v xml:space="preserve"> </v>
      </c>
      <c r="BX481" s="598" t="str">
        <f t="shared" si="901"/>
        <v xml:space="preserve"> </v>
      </c>
      <c r="BY481" s="598" t="str">
        <f t="shared" si="901"/>
        <v xml:space="preserve"> </v>
      </c>
      <c r="BZ481" s="598" t="str">
        <f t="shared" si="902"/>
        <v xml:space="preserve"> </v>
      </c>
      <c r="CA481" s="598" t="str">
        <f t="shared" si="902"/>
        <v xml:space="preserve"> </v>
      </c>
      <c r="CB481" s="598" t="str">
        <f t="shared" si="902"/>
        <v xml:space="preserve"> </v>
      </c>
      <c r="CC481" s="598" t="str">
        <f t="shared" si="902"/>
        <v xml:space="preserve"> </v>
      </c>
      <c r="CD481" s="598" t="str">
        <f t="shared" si="902"/>
        <v xml:space="preserve"> </v>
      </c>
      <c r="CE481" s="598" t="str">
        <f t="shared" si="902"/>
        <v xml:space="preserve"> </v>
      </c>
      <c r="CF481" s="598" t="str">
        <f t="shared" si="902"/>
        <v xml:space="preserve"> </v>
      </c>
      <c r="CG481" s="598" t="str">
        <f t="shared" si="902"/>
        <v xml:space="preserve"> </v>
      </c>
      <c r="CH481" s="598" t="str">
        <f t="shared" si="902"/>
        <v xml:space="preserve"> </v>
      </c>
      <c r="CI481" s="598" t="str">
        <f t="shared" si="902"/>
        <v xml:space="preserve"> </v>
      </c>
      <c r="CJ481" s="598" t="str">
        <f t="shared" si="902"/>
        <v xml:space="preserve"> </v>
      </c>
      <c r="CK481" s="598" t="str">
        <f t="shared" si="902"/>
        <v xml:space="preserve"> </v>
      </c>
      <c r="CL481" s="598" t="str">
        <f t="shared" si="902"/>
        <v xml:space="preserve"> </v>
      </c>
      <c r="CM481" s="598" t="str">
        <f t="shared" si="902"/>
        <v xml:space="preserve"> </v>
      </c>
      <c r="CN481" s="598" t="str">
        <f t="shared" si="902"/>
        <v xml:space="preserve"> </v>
      </c>
    </row>
    <row r="482" spans="1:92">
      <c r="A482" s="598">
        <v>105</v>
      </c>
      <c r="B482" s="598" t="str">
        <f t="shared" si="895"/>
        <v xml:space="preserve"> </v>
      </c>
      <c r="C482" s="598" t="str">
        <f t="shared" si="895"/>
        <v xml:space="preserve"> </v>
      </c>
      <c r="D482" s="598" t="str">
        <f t="shared" si="895"/>
        <v xml:space="preserve"> </v>
      </c>
      <c r="E482" s="598" t="str">
        <f t="shared" si="895"/>
        <v xml:space="preserve"> </v>
      </c>
      <c r="F482" s="598" t="str">
        <f t="shared" si="895"/>
        <v xml:space="preserve"> </v>
      </c>
      <c r="G482" s="598" t="str">
        <f t="shared" si="895"/>
        <v xml:space="preserve"> </v>
      </c>
      <c r="H482" s="598" t="str">
        <f t="shared" si="895"/>
        <v xml:space="preserve"> </v>
      </c>
      <c r="I482" s="598" t="str">
        <f t="shared" si="895"/>
        <v xml:space="preserve"> </v>
      </c>
      <c r="J482" s="598" t="str">
        <f t="shared" si="895"/>
        <v xml:space="preserve"> </v>
      </c>
      <c r="K482" s="598" t="str">
        <f t="shared" si="895"/>
        <v xml:space="preserve"> </v>
      </c>
      <c r="L482" s="598" t="str">
        <f t="shared" si="896"/>
        <v xml:space="preserve"> </v>
      </c>
      <c r="M482" s="598" t="str">
        <f t="shared" si="896"/>
        <v xml:space="preserve"> </v>
      </c>
      <c r="N482" s="598" t="str">
        <f t="shared" si="896"/>
        <v xml:space="preserve"> </v>
      </c>
      <c r="O482" s="598" t="str">
        <f t="shared" si="896"/>
        <v xml:space="preserve"> </v>
      </c>
      <c r="P482" s="598" t="str">
        <f t="shared" si="896"/>
        <v xml:space="preserve"> </v>
      </c>
      <c r="Q482" s="598" t="str">
        <f t="shared" si="896"/>
        <v xml:space="preserve"> </v>
      </c>
      <c r="R482" s="598" t="str">
        <f t="shared" si="896"/>
        <v xml:space="preserve"> </v>
      </c>
      <c r="S482" s="598" t="str">
        <f t="shared" si="896"/>
        <v xml:space="preserve"> </v>
      </c>
      <c r="T482" s="598" t="str">
        <f t="shared" si="896"/>
        <v xml:space="preserve"> </v>
      </c>
      <c r="U482" s="598" t="str">
        <f t="shared" si="896"/>
        <v xml:space="preserve"> </v>
      </c>
      <c r="V482" s="598" t="str">
        <f t="shared" si="897"/>
        <v xml:space="preserve"> </v>
      </c>
      <c r="W482" s="598" t="str">
        <f t="shared" si="897"/>
        <v xml:space="preserve"> </v>
      </c>
      <c r="X482" s="598" t="str">
        <f t="shared" si="897"/>
        <v xml:space="preserve"> </v>
      </c>
      <c r="Y482" s="598" t="str">
        <f t="shared" si="897"/>
        <v xml:space="preserve"> </v>
      </c>
      <c r="Z482" s="598" t="str">
        <f t="shared" si="897"/>
        <v xml:space="preserve"> </v>
      </c>
      <c r="AA482" s="598" t="str">
        <f t="shared" si="897"/>
        <v xml:space="preserve"> </v>
      </c>
      <c r="AB482" s="598" t="str">
        <f t="shared" si="897"/>
        <v xml:space="preserve"> </v>
      </c>
      <c r="AC482" s="598" t="str">
        <f t="shared" si="897"/>
        <v xml:space="preserve"> </v>
      </c>
      <c r="AD482" s="598" t="str">
        <f t="shared" si="897"/>
        <v xml:space="preserve"> </v>
      </c>
      <c r="AE482" s="598" t="str">
        <f t="shared" si="897"/>
        <v xml:space="preserve"> </v>
      </c>
      <c r="AF482" s="598" t="str">
        <f t="shared" si="898"/>
        <v xml:space="preserve"> </v>
      </c>
      <c r="AG482" s="598" t="str">
        <f t="shared" si="898"/>
        <v xml:space="preserve"> </v>
      </c>
      <c r="AH482" s="598" t="str">
        <f t="shared" si="898"/>
        <v xml:space="preserve"> </v>
      </c>
      <c r="AI482" s="598" t="str">
        <f t="shared" si="898"/>
        <v xml:space="preserve"> </v>
      </c>
      <c r="AJ482" s="598" t="str">
        <f t="shared" si="898"/>
        <v xml:space="preserve"> </v>
      </c>
      <c r="AK482" s="598" t="str">
        <f t="shared" si="898"/>
        <v xml:space="preserve"> </v>
      </c>
      <c r="AL482" s="598" t="str">
        <f t="shared" si="898"/>
        <v xml:space="preserve"> </v>
      </c>
      <c r="AM482" s="598" t="str">
        <f t="shared" si="898"/>
        <v xml:space="preserve"> </v>
      </c>
      <c r="AN482" s="598" t="str">
        <f t="shared" si="898"/>
        <v xml:space="preserve"> </v>
      </c>
      <c r="AO482" s="598" t="str">
        <f t="shared" si="898"/>
        <v xml:space="preserve"> </v>
      </c>
      <c r="AP482" s="598" t="str">
        <f t="shared" si="898"/>
        <v xml:space="preserve"> </v>
      </c>
      <c r="AQ482" s="598" t="str">
        <f t="shared" si="898"/>
        <v xml:space="preserve"> </v>
      </c>
      <c r="AR482" s="598" t="str">
        <f t="shared" si="898"/>
        <v xml:space="preserve"> </v>
      </c>
      <c r="AS482" s="598" t="str">
        <f t="shared" si="898"/>
        <v xml:space="preserve"> </v>
      </c>
      <c r="AT482" s="598" t="str">
        <f t="shared" si="898"/>
        <v xml:space="preserve"> </v>
      </c>
      <c r="AV482" s="598" t="str">
        <f t="shared" si="899"/>
        <v xml:space="preserve"> </v>
      </c>
      <c r="AW482" s="598" t="str">
        <f t="shared" si="899"/>
        <v xml:space="preserve"> </v>
      </c>
      <c r="AX482" s="598" t="str">
        <f t="shared" si="899"/>
        <v xml:space="preserve"> </v>
      </c>
      <c r="AY482" s="598" t="str">
        <f t="shared" si="899"/>
        <v xml:space="preserve"> </v>
      </c>
      <c r="AZ482" s="598" t="str">
        <f t="shared" si="899"/>
        <v xml:space="preserve"> </v>
      </c>
      <c r="BA482" s="598" t="str">
        <f t="shared" si="899"/>
        <v xml:space="preserve"> </v>
      </c>
      <c r="BB482" s="598" t="str">
        <f t="shared" si="899"/>
        <v xml:space="preserve"> </v>
      </c>
      <c r="BC482" s="598" t="str">
        <f t="shared" si="899"/>
        <v xml:space="preserve"> </v>
      </c>
      <c r="BD482" s="598" t="str">
        <f t="shared" si="899"/>
        <v xml:space="preserve"> </v>
      </c>
      <c r="BE482" s="598" t="str">
        <f t="shared" si="899"/>
        <v xml:space="preserve"> </v>
      </c>
      <c r="BF482" s="598" t="str">
        <f t="shared" si="900"/>
        <v xml:space="preserve"> </v>
      </c>
      <c r="BG482" s="598" t="str">
        <f t="shared" si="900"/>
        <v xml:space="preserve"> </v>
      </c>
      <c r="BH482" s="598" t="str">
        <f t="shared" si="900"/>
        <v xml:space="preserve"> </v>
      </c>
      <c r="BI482" s="598" t="str">
        <f t="shared" si="900"/>
        <v xml:space="preserve"> </v>
      </c>
      <c r="BJ482" s="598" t="str">
        <f t="shared" si="900"/>
        <v xml:space="preserve"> </v>
      </c>
      <c r="BK482" s="598" t="str">
        <f t="shared" si="900"/>
        <v xml:space="preserve"> </v>
      </c>
      <c r="BL482" s="598" t="str">
        <f t="shared" si="900"/>
        <v xml:space="preserve"> </v>
      </c>
      <c r="BM482" s="598" t="str">
        <f t="shared" si="900"/>
        <v xml:space="preserve"> </v>
      </c>
      <c r="BN482" s="598" t="str">
        <f t="shared" si="900"/>
        <v xml:space="preserve"> </v>
      </c>
      <c r="BO482" s="598" t="str">
        <f t="shared" si="900"/>
        <v xml:space="preserve"> </v>
      </c>
      <c r="BP482" s="598" t="str">
        <f t="shared" si="901"/>
        <v xml:space="preserve"> </v>
      </c>
      <c r="BQ482" s="598" t="str">
        <f t="shared" si="901"/>
        <v xml:space="preserve"> </v>
      </c>
      <c r="BR482" s="598" t="str">
        <f t="shared" si="901"/>
        <v xml:space="preserve"> </v>
      </c>
      <c r="BS482" s="598" t="str">
        <f t="shared" si="901"/>
        <v xml:space="preserve"> </v>
      </c>
      <c r="BT482" s="598" t="str">
        <f t="shared" si="901"/>
        <v xml:space="preserve"> </v>
      </c>
      <c r="BU482" s="598" t="str">
        <f t="shared" si="901"/>
        <v xml:space="preserve"> </v>
      </c>
      <c r="BV482" s="598" t="str">
        <f t="shared" si="901"/>
        <v xml:space="preserve"> </v>
      </c>
      <c r="BW482" s="598" t="str">
        <f t="shared" si="901"/>
        <v xml:space="preserve"> </v>
      </c>
      <c r="BX482" s="598" t="str">
        <f t="shared" si="901"/>
        <v xml:space="preserve"> </v>
      </c>
      <c r="BY482" s="598" t="str">
        <f t="shared" si="901"/>
        <v xml:space="preserve"> </v>
      </c>
      <c r="BZ482" s="598" t="str">
        <f t="shared" si="902"/>
        <v xml:space="preserve"> </v>
      </c>
      <c r="CA482" s="598" t="str">
        <f t="shared" si="902"/>
        <v xml:space="preserve"> </v>
      </c>
      <c r="CB482" s="598" t="str">
        <f t="shared" si="902"/>
        <v xml:space="preserve"> </v>
      </c>
      <c r="CC482" s="598" t="str">
        <f t="shared" si="902"/>
        <v xml:space="preserve"> </v>
      </c>
      <c r="CD482" s="598" t="str">
        <f t="shared" si="902"/>
        <v xml:space="preserve"> </v>
      </c>
      <c r="CE482" s="598" t="str">
        <f t="shared" si="902"/>
        <v xml:space="preserve"> </v>
      </c>
      <c r="CF482" s="598" t="str">
        <f t="shared" si="902"/>
        <v xml:space="preserve"> </v>
      </c>
      <c r="CG482" s="598" t="str">
        <f t="shared" si="902"/>
        <v xml:space="preserve"> </v>
      </c>
      <c r="CH482" s="598" t="str">
        <f t="shared" si="902"/>
        <v xml:space="preserve"> </v>
      </c>
      <c r="CI482" s="598" t="str">
        <f t="shared" si="902"/>
        <v xml:space="preserve"> </v>
      </c>
      <c r="CJ482" s="598" t="str">
        <f t="shared" si="902"/>
        <v xml:space="preserve"> </v>
      </c>
      <c r="CK482" s="598" t="str">
        <f t="shared" si="902"/>
        <v xml:space="preserve"> </v>
      </c>
      <c r="CL482" s="598" t="str">
        <f t="shared" si="902"/>
        <v xml:space="preserve"> </v>
      </c>
      <c r="CM482" s="598" t="str">
        <f t="shared" si="902"/>
        <v xml:space="preserve"> </v>
      </c>
      <c r="CN482" s="598" t="str">
        <f t="shared" si="902"/>
        <v xml:space="preserve"> </v>
      </c>
    </row>
    <row r="483" spans="1:92">
      <c r="A483" s="598">
        <v>106</v>
      </c>
      <c r="B483" s="598" t="str">
        <f t="shared" si="895"/>
        <v xml:space="preserve"> </v>
      </c>
      <c r="C483" s="598" t="str">
        <f t="shared" si="895"/>
        <v xml:space="preserve"> </v>
      </c>
      <c r="D483" s="598" t="str">
        <f t="shared" si="895"/>
        <v xml:space="preserve"> </v>
      </c>
      <c r="E483" s="598" t="str">
        <f t="shared" si="895"/>
        <v xml:space="preserve"> </v>
      </c>
      <c r="F483" s="598" t="str">
        <f t="shared" si="895"/>
        <v xml:space="preserve"> </v>
      </c>
      <c r="G483" s="598" t="str">
        <f t="shared" si="895"/>
        <v xml:space="preserve"> </v>
      </c>
      <c r="H483" s="598" t="str">
        <f t="shared" si="895"/>
        <v xml:space="preserve"> </v>
      </c>
      <c r="I483" s="598" t="str">
        <f t="shared" si="895"/>
        <v xml:space="preserve"> </v>
      </c>
      <c r="J483" s="598" t="str">
        <f t="shared" si="895"/>
        <v xml:space="preserve"> </v>
      </c>
      <c r="K483" s="598" t="str">
        <f t="shared" si="895"/>
        <v xml:space="preserve"> </v>
      </c>
      <c r="L483" s="598" t="str">
        <f t="shared" si="896"/>
        <v xml:space="preserve"> </v>
      </c>
      <c r="M483" s="598" t="str">
        <f t="shared" si="896"/>
        <v xml:space="preserve"> </v>
      </c>
      <c r="N483" s="598" t="str">
        <f t="shared" si="896"/>
        <v xml:space="preserve"> </v>
      </c>
      <c r="O483" s="598" t="str">
        <f t="shared" si="896"/>
        <v xml:space="preserve"> </v>
      </c>
      <c r="P483" s="598" t="str">
        <f t="shared" si="896"/>
        <v xml:space="preserve"> </v>
      </c>
      <c r="Q483" s="598" t="str">
        <f t="shared" si="896"/>
        <v xml:space="preserve"> </v>
      </c>
      <c r="R483" s="598" t="str">
        <f t="shared" si="896"/>
        <v xml:space="preserve"> </v>
      </c>
      <c r="S483" s="598" t="str">
        <f t="shared" si="896"/>
        <v xml:space="preserve"> </v>
      </c>
      <c r="T483" s="598" t="str">
        <f t="shared" si="896"/>
        <v xml:space="preserve"> </v>
      </c>
      <c r="U483" s="598" t="str">
        <f t="shared" si="896"/>
        <v xml:space="preserve"> </v>
      </c>
      <c r="V483" s="598" t="str">
        <f t="shared" si="897"/>
        <v xml:space="preserve"> </v>
      </c>
      <c r="W483" s="598" t="str">
        <f t="shared" si="897"/>
        <v xml:space="preserve"> </v>
      </c>
      <c r="X483" s="598" t="str">
        <f t="shared" si="897"/>
        <v xml:space="preserve"> </v>
      </c>
      <c r="Y483" s="598" t="str">
        <f t="shared" si="897"/>
        <v xml:space="preserve"> </v>
      </c>
      <c r="Z483" s="598" t="str">
        <f t="shared" si="897"/>
        <v xml:space="preserve"> </v>
      </c>
      <c r="AA483" s="598" t="str">
        <f t="shared" si="897"/>
        <v xml:space="preserve"> </v>
      </c>
      <c r="AB483" s="598" t="str">
        <f t="shared" si="897"/>
        <v xml:space="preserve"> </v>
      </c>
      <c r="AC483" s="598" t="str">
        <f t="shared" si="897"/>
        <v xml:space="preserve"> </v>
      </c>
      <c r="AD483" s="598" t="str">
        <f t="shared" si="897"/>
        <v xml:space="preserve"> </v>
      </c>
      <c r="AE483" s="598" t="str">
        <f t="shared" si="897"/>
        <v xml:space="preserve"> </v>
      </c>
      <c r="AF483" s="598" t="str">
        <f t="shared" si="898"/>
        <v xml:space="preserve"> </v>
      </c>
      <c r="AG483" s="598" t="str">
        <f t="shared" si="898"/>
        <v xml:space="preserve"> </v>
      </c>
      <c r="AH483" s="598" t="str">
        <f t="shared" si="898"/>
        <v xml:space="preserve"> </v>
      </c>
      <c r="AI483" s="598" t="str">
        <f t="shared" si="898"/>
        <v xml:space="preserve"> </v>
      </c>
      <c r="AJ483" s="598" t="str">
        <f t="shared" si="898"/>
        <v xml:space="preserve"> </v>
      </c>
      <c r="AK483" s="598" t="str">
        <f t="shared" si="898"/>
        <v xml:space="preserve"> </v>
      </c>
      <c r="AL483" s="598" t="str">
        <f t="shared" si="898"/>
        <v xml:space="preserve"> </v>
      </c>
      <c r="AM483" s="598" t="str">
        <f t="shared" si="898"/>
        <v xml:space="preserve"> </v>
      </c>
      <c r="AN483" s="598" t="str">
        <f t="shared" si="898"/>
        <v xml:space="preserve"> </v>
      </c>
      <c r="AO483" s="598" t="str">
        <f t="shared" si="898"/>
        <v xml:space="preserve"> </v>
      </c>
      <c r="AP483" s="598" t="str">
        <f t="shared" si="898"/>
        <v xml:space="preserve"> </v>
      </c>
      <c r="AQ483" s="598" t="str">
        <f t="shared" si="898"/>
        <v xml:space="preserve"> </v>
      </c>
      <c r="AR483" s="598" t="str">
        <f t="shared" si="898"/>
        <v xml:space="preserve"> </v>
      </c>
      <c r="AS483" s="598" t="str">
        <f t="shared" si="898"/>
        <v xml:space="preserve"> </v>
      </c>
      <c r="AT483" s="598" t="str">
        <f t="shared" si="898"/>
        <v xml:space="preserve"> </v>
      </c>
      <c r="AV483" s="598" t="str">
        <f t="shared" si="899"/>
        <v xml:space="preserve"> </v>
      </c>
      <c r="AW483" s="598" t="str">
        <f t="shared" si="899"/>
        <v xml:space="preserve"> </v>
      </c>
      <c r="AX483" s="598" t="str">
        <f t="shared" si="899"/>
        <v xml:space="preserve"> </v>
      </c>
      <c r="AY483" s="598" t="str">
        <f t="shared" si="899"/>
        <v xml:space="preserve"> </v>
      </c>
      <c r="AZ483" s="598" t="str">
        <f t="shared" si="899"/>
        <v xml:space="preserve"> </v>
      </c>
      <c r="BA483" s="598" t="str">
        <f t="shared" si="899"/>
        <v xml:space="preserve"> </v>
      </c>
      <c r="BB483" s="598" t="str">
        <f t="shared" si="899"/>
        <v xml:space="preserve"> </v>
      </c>
      <c r="BC483" s="598" t="str">
        <f t="shared" si="899"/>
        <v xml:space="preserve"> </v>
      </c>
      <c r="BD483" s="598" t="str">
        <f t="shared" si="899"/>
        <v xml:space="preserve"> </v>
      </c>
      <c r="BE483" s="598" t="str">
        <f t="shared" si="899"/>
        <v xml:space="preserve"> </v>
      </c>
      <c r="BF483" s="598" t="str">
        <f t="shared" si="900"/>
        <v xml:space="preserve"> </v>
      </c>
      <c r="BG483" s="598" t="str">
        <f t="shared" si="900"/>
        <v xml:space="preserve"> </v>
      </c>
      <c r="BH483" s="598" t="str">
        <f t="shared" si="900"/>
        <v xml:space="preserve"> </v>
      </c>
      <c r="BI483" s="598" t="str">
        <f t="shared" si="900"/>
        <v xml:space="preserve"> </v>
      </c>
      <c r="BJ483" s="598" t="str">
        <f t="shared" si="900"/>
        <v xml:space="preserve"> </v>
      </c>
      <c r="BK483" s="598" t="str">
        <f t="shared" si="900"/>
        <v xml:space="preserve"> </v>
      </c>
      <c r="BL483" s="598" t="str">
        <f t="shared" si="900"/>
        <v xml:space="preserve"> </v>
      </c>
      <c r="BM483" s="598" t="str">
        <f t="shared" si="900"/>
        <v xml:space="preserve"> </v>
      </c>
      <c r="BN483" s="598" t="str">
        <f t="shared" si="900"/>
        <v xml:space="preserve"> </v>
      </c>
      <c r="BO483" s="598" t="str">
        <f t="shared" si="900"/>
        <v xml:space="preserve"> </v>
      </c>
      <c r="BP483" s="598" t="str">
        <f t="shared" si="901"/>
        <v xml:space="preserve"> </v>
      </c>
      <c r="BQ483" s="598" t="str">
        <f t="shared" si="901"/>
        <v xml:space="preserve"> </v>
      </c>
      <c r="BR483" s="598" t="str">
        <f t="shared" si="901"/>
        <v xml:space="preserve"> </v>
      </c>
      <c r="BS483" s="598" t="str">
        <f t="shared" si="901"/>
        <v xml:space="preserve"> </v>
      </c>
      <c r="BT483" s="598" t="str">
        <f t="shared" si="901"/>
        <v xml:space="preserve"> </v>
      </c>
      <c r="BU483" s="598" t="str">
        <f t="shared" si="901"/>
        <v xml:space="preserve"> </v>
      </c>
      <c r="BV483" s="598" t="str">
        <f t="shared" si="901"/>
        <v xml:space="preserve"> </v>
      </c>
      <c r="BW483" s="598" t="str">
        <f t="shared" si="901"/>
        <v xml:space="preserve"> </v>
      </c>
      <c r="BX483" s="598" t="str">
        <f t="shared" si="901"/>
        <v xml:space="preserve"> </v>
      </c>
      <c r="BY483" s="598" t="str">
        <f t="shared" si="901"/>
        <v xml:space="preserve"> </v>
      </c>
      <c r="BZ483" s="598" t="str">
        <f t="shared" si="902"/>
        <v xml:space="preserve"> </v>
      </c>
      <c r="CA483" s="598" t="str">
        <f t="shared" si="902"/>
        <v xml:space="preserve"> </v>
      </c>
      <c r="CB483" s="598" t="str">
        <f t="shared" si="902"/>
        <v xml:space="preserve"> </v>
      </c>
      <c r="CC483" s="598" t="str">
        <f t="shared" si="902"/>
        <v xml:space="preserve"> </v>
      </c>
      <c r="CD483" s="598" t="str">
        <f t="shared" si="902"/>
        <v xml:space="preserve"> </v>
      </c>
      <c r="CE483" s="598" t="str">
        <f t="shared" si="902"/>
        <v xml:space="preserve"> </v>
      </c>
      <c r="CF483" s="598" t="str">
        <f t="shared" si="902"/>
        <v xml:space="preserve"> </v>
      </c>
      <c r="CG483" s="598" t="str">
        <f t="shared" si="902"/>
        <v xml:space="preserve"> </v>
      </c>
      <c r="CH483" s="598" t="str">
        <f t="shared" si="902"/>
        <v xml:space="preserve"> </v>
      </c>
      <c r="CI483" s="598" t="str">
        <f t="shared" si="902"/>
        <v xml:space="preserve"> </v>
      </c>
      <c r="CJ483" s="598" t="str">
        <f t="shared" si="902"/>
        <v xml:space="preserve"> </v>
      </c>
      <c r="CK483" s="598" t="str">
        <f t="shared" si="902"/>
        <v xml:space="preserve"> </v>
      </c>
      <c r="CL483" s="598" t="str">
        <f t="shared" si="902"/>
        <v xml:space="preserve"> </v>
      </c>
      <c r="CM483" s="598" t="str">
        <f t="shared" si="902"/>
        <v xml:space="preserve"> </v>
      </c>
      <c r="CN483" s="598" t="str">
        <f t="shared" si="902"/>
        <v xml:space="preserve"> </v>
      </c>
    </row>
    <row r="484" spans="1:92">
      <c r="A484" s="598">
        <v>107</v>
      </c>
      <c r="B484" s="598" t="str">
        <f t="shared" si="895"/>
        <v xml:space="preserve"> </v>
      </c>
      <c r="C484" s="598" t="str">
        <f t="shared" si="895"/>
        <v xml:space="preserve"> </v>
      </c>
      <c r="D484" s="598" t="str">
        <f t="shared" si="895"/>
        <v xml:space="preserve"> </v>
      </c>
      <c r="E484" s="598" t="str">
        <f t="shared" si="895"/>
        <v xml:space="preserve"> </v>
      </c>
      <c r="F484" s="598" t="str">
        <f t="shared" si="895"/>
        <v xml:space="preserve"> </v>
      </c>
      <c r="G484" s="598" t="str">
        <f t="shared" si="895"/>
        <v xml:space="preserve"> </v>
      </c>
      <c r="H484" s="598" t="str">
        <f t="shared" si="895"/>
        <v xml:space="preserve"> </v>
      </c>
      <c r="I484" s="598" t="str">
        <f t="shared" si="895"/>
        <v xml:space="preserve"> </v>
      </c>
      <c r="J484" s="598" t="str">
        <f t="shared" si="895"/>
        <v xml:space="preserve"> </v>
      </c>
      <c r="K484" s="598" t="str">
        <f t="shared" si="895"/>
        <v xml:space="preserve"> </v>
      </c>
      <c r="L484" s="598" t="str">
        <f t="shared" si="896"/>
        <v xml:space="preserve"> </v>
      </c>
      <c r="M484" s="598" t="str">
        <f t="shared" si="896"/>
        <v xml:space="preserve"> </v>
      </c>
      <c r="N484" s="598" t="str">
        <f t="shared" si="896"/>
        <v xml:space="preserve"> </v>
      </c>
      <c r="O484" s="598" t="str">
        <f t="shared" si="896"/>
        <v xml:space="preserve"> </v>
      </c>
      <c r="P484" s="598" t="str">
        <f t="shared" si="896"/>
        <v xml:space="preserve"> </v>
      </c>
      <c r="Q484" s="598" t="str">
        <f t="shared" si="896"/>
        <v xml:space="preserve"> </v>
      </c>
      <c r="R484" s="598" t="str">
        <f t="shared" si="896"/>
        <v xml:space="preserve"> </v>
      </c>
      <c r="S484" s="598" t="str">
        <f t="shared" si="896"/>
        <v xml:space="preserve"> </v>
      </c>
      <c r="T484" s="598" t="str">
        <f t="shared" si="896"/>
        <v xml:space="preserve"> </v>
      </c>
      <c r="U484" s="598" t="str">
        <f t="shared" si="896"/>
        <v xml:space="preserve"> </v>
      </c>
      <c r="V484" s="598" t="str">
        <f t="shared" si="897"/>
        <v xml:space="preserve"> </v>
      </c>
      <c r="W484" s="598" t="str">
        <f t="shared" si="897"/>
        <v xml:space="preserve"> </v>
      </c>
      <c r="X484" s="598" t="str">
        <f t="shared" si="897"/>
        <v xml:space="preserve"> </v>
      </c>
      <c r="Y484" s="598" t="str">
        <f t="shared" si="897"/>
        <v xml:space="preserve"> </v>
      </c>
      <c r="Z484" s="598" t="str">
        <f t="shared" si="897"/>
        <v xml:space="preserve"> </v>
      </c>
      <c r="AA484" s="598" t="str">
        <f t="shared" si="897"/>
        <v xml:space="preserve"> </v>
      </c>
      <c r="AB484" s="598" t="str">
        <f t="shared" si="897"/>
        <v xml:space="preserve"> </v>
      </c>
      <c r="AC484" s="598" t="str">
        <f t="shared" si="897"/>
        <v xml:space="preserve"> </v>
      </c>
      <c r="AD484" s="598" t="str">
        <f t="shared" si="897"/>
        <v xml:space="preserve"> </v>
      </c>
      <c r="AE484" s="598" t="str">
        <f t="shared" si="897"/>
        <v xml:space="preserve"> </v>
      </c>
      <c r="AF484" s="598" t="str">
        <f t="shared" si="898"/>
        <v xml:space="preserve"> </v>
      </c>
      <c r="AG484" s="598" t="str">
        <f t="shared" si="898"/>
        <v xml:space="preserve"> </v>
      </c>
      <c r="AH484" s="598" t="str">
        <f t="shared" si="898"/>
        <v xml:space="preserve"> </v>
      </c>
      <c r="AI484" s="598" t="str">
        <f t="shared" si="898"/>
        <v xml:space="preserve"> </v>
      </c>
      <c r="AJ484" s="598" t="str">
        <f t="shared" si="898"/>
        <v xml:space="preserve"> </v>
      </c>
      <c r="AK484" s="598" t="str">
        <f t="shared" si="898"/>
        <v xml:space="preserve"> </v>
      </c>
      <c r="AL484" s="598" t="str">
        <f t="shared" si="898"/>
        <v xml:space="preserve"> </v>
      </c>
      <c r="AM484" s="598" t="str">
        <f t="shared" si="898"/>
        <v xml:space="preserve"> </v>
      </c>
      <c r="AN484" s="598" t="str">
        <f t="shared" si="898"/>
        <v xml:space="preserve"> </v>
      </c>
      <c r="AO484" s="598" t="str">
        <f t="shared" si="898"/>
        <v xml:space="preserve"> </v>
      </c>
      <c r="AP484" s="598" t="str">
        <f t="shared" si="898"/>
        <v xml:space="preserve"> </v>
      </c>
      <c r="AQ484" s="598" t="str">
        <f t="shared" si="898"/>
        <v xml:space="preserve"> </v>
      </c>
      <c r="AR484" s="598" t="str">
        <f t="shared" si="898"/>
        <v xml:space="preserve"> </v>
      </c>
      <c r="AS484" s="598" t="str">
        <f t="shared" si="898"/>
        <v xml:space="preserve"> </v>
      </c>
      <c r="AT484" s="598" t="str">
        <f t="shared" si="898"/>
        <v xml:space="preserve"> </v>
      </c>
      <c r="AV484" s="598" t="str">
        <f t="shared" si="899"/>
        <v xml:space="preserve"> </v>
      </c>
      <c r="AW484" s="598" t="str">
        <f t="shared" si="899"/>
        <v xml:space="preserve"> </v>
      </c>
      <c r="AX484" s="598" t="str">
        <f t="shared" si="899"/>
        <v xml:space="preserve"> </v>
      </c>
      <c r="AY484" s="598" t="str">
        <f t="shared" si="899"/>
        <v xml:space="preserve"> </v>
      </c>
      <c r="AZ484" s="598" t="str">
        <f t="shared" si="899"/>
        <v xml:space="preserve"> </v>
      </c>
      <c r="BA484" s="598" t="str">
        <f t="shared" si="899"/>
        <v xml:space="preserve"> </v>
      </c>
      <c r="BB484" s="598" t="str">
        <f t="shared" si="899"/>
        <v xml:space="preserve"> </v>
      </c>
      <c r="BC484" s="598" t="str">
        <f t="shared" si="899"/>
        <v xml:space="preserve"> </v>
      </c>
      <c r="BD484" s="598" t="str">
        <f t="shared" si="899"/>
        <v xml:space="preserve"> </v>
      </c>
      <c r="BE484" s="598" t="str">
        <f t="shared" si="899"/>
        <v xml:space="preserve"> </v>
      </c>
      <c r="BF484" s="598" t="str">
        <f t="shared" si="900"/>
        <v xml:space="preserve"> </v>
      </c>
      <c r="BG484" s="598" t="str">
        <f t="shared" si="900"/>
        <v xml:space="preserve"> </v>
      </c>
      <c r="BH484" s="598" t="str">
        <f t="shared" si="900"/>
        <v xml:space="preserve"> </v>
      </c>
      <c r="BI484" s="598" t="str">
        <f t="shared" si="900"/>
        <v xml:space="preserve"> </v>
      </c>
      <c r="BJ484" s="598" t="str">
        <f t="shared" si="900"/>
        <v xml:space="preserve"> </v>
      </c>
      <c r="BK484" s="598" t="str">
        <f t="shared" si="900"/>
        <v xml:space="preserve"> </v>
      </c>
      <c r="BL484" s="598" t="str">
        <f t="shared" si="900"/>
        <v xml:space="preserve"> </v>
      </c>
      <c r="BM484" s="598" t="str">
        <f t="shared" si="900"/>
        <v xml:space="preserve"> </v>
      </c>
      <c r="BN484" s="598" t="str">
        <f t="shared" si="900"/>
        <v xml:space="preserve"> </v>
      </c>
      <c r="BO484" s="598" t="str">
        <f t="shared" si="900"/>
        <v xml:space="preserve"> </v>
      </c>
      <c r="BP484" s="598" t="str">
        <f t="shared" si="901"/>
        <v xml:space="preserve"> </v>
      </c>
      <c r="BQ484" s="598" t="str">
        <f t="shared" si="901"/>
        <v xml:space="preserve"> </v>
      </c>
      <c r="BR484" s="598" t="str">
        <f t="shared" si="901"/>
        <v xml:space="preserve"> </v>
      </c>
      <c r="BS484" s="598" t="str">
        <f t="shared" si="901"/>
        <v xml:space="preserve"> </v>
      </c>
      <c r="BT484" s="598" t="str">
        <f t="shared" si="901"/>
        <v xml:space="preserve"> </v>
      </c>
      <c r="BU484" s="598" t="str">
        <f t="shared" si="901"/>
        <v xml:space="preserve"> </v>
      </c>
      <c r="BV484" s="598" t="str">
        <f t="shared" si="901"/>
        <v xml:space="preserve"> </v>
      </c>
      <c r="BW484" s="598" t="str">
        <f t="shared" si="901"/>
        <v xml:space="preserve"> </v>
      </c>
      <c r="BX484" s="598" t="str">
        <f t="shared" si="901"/>
        <v xml:space="preserve"> </v>
      </c>
      <c r="BY484" s="598" t="str">
        <f t="shared" si="901"/>
        <v xml:space="preserve"> </v>
      </c>
      <c r="BZ484" s="598" t="str">
        <f t="shared" si="902"/>
        <v xml:space="preserve"> </v>
      </c>
      <c r="CA484" s="598" t="str">
        <f t="shared" si="902"/>
        <v xml:space="preserve"> </v>
      </c>
      <c r="CB484" s="598" t="str">
        <f t="shared" si="902"/>
        <v xml:space="preserve"> </v>
      </c>
      <c r="CC484" s="598" t="str">
        <f t="shared" si="902"/>
        <v xml:space="preserve"> </v>
      </c>
      <c r="CD484" s="598" t="str">
        <f t="shared" si="902"/>
        <v xml:space="preserve"> </v>
      </c>
      <c r="CE484" s="598" t="str">
        <f t="shared" si="902"/>
        <v xml:space="preserve"> </v>
      </c>
      <c r="CF484" s="598" t="str">
        <f t="shared" si="902"/>
        <v xml:space="preserve"> </v>
      </c>
      <c r="CG484" s="598" t="str">
        <f t="shared" si="902"/>
        <v xml:space="preserve"> </v>
      </c>
      <c r="CH484" s="598" t="str">
        <f t="shared" si="902"/>
        <v xml:space="preserve"> </v>
      </c>
      <c r="CI484" s="598" t="str">
        <f t="shared" si="902"/>
        <v xml:space="preserve"> </v>
      </c>
      <c r="CJ484" s="598" t="str">
        <f t="shared" si="902"/>
        <v xml:space="preserve"> </v>
      </c>
      <c r="CK484" s="598" t="str">
        <f t="shared" si="902"/>
        <v xml:space="preserve"> </v>
      </c>
      <c r="CL484" s="598" t="str">
        <f t="shared" si="902"/>
        <v xml:space="preserve"> </v>
      </c>
      <c r="CM484" s="598" t="str">
        <f t="shared" si="902"/>
        <v xml:space="preserve"> </v>
      </c>
      <c r="CN484" s="598" t="str">
        <f t="shared" si="902"/>
        <v xml:space="preserve"> </v>
      </c>
    </row>
    <row r="485" spans="1:92">
      <c r="A485" s="598">
        <v>108</v>
      </c>
      <c r="B485" s="598" t="str">
        <f t="shared" si="895"/>
        <v xml:space="preserve"> </v>
      </c>
      <c r="C485" s="598" t="str">
        <f t="shared" si="895"/>
        <v xml:space="preserve"> </v>
      </c>
      <c r="D485" s="598" t="str">
        <f t="shared" si="895"/>
        <v xml:space="preserve"> </v>
      </c>
      <c r="E485" s="598" t="str">
        <f t="shared" si="895"/>
        <v xml:space="preserve"> </v>
      </c>
      <c r="F485" s="598" t="str">
        <f t="shared" si="895"/>
        <v xml:space="preserve"> </v>
      </c>
      <c r="G485" s="598" t="str">
        <f t="shared" si="895"/>
        <v xml:space="preserve"> </v>
      </c>
      <c r="H485" s="598" t="str">
        <f t="shared" si="895"/>
        <v xml:space="preserve"> </v>
      </c>
      <c r="I485" s="598" t="str">
        <f t="shared" si="895"/>
        <v xml:space="preserve"> </v>
      </c>
      <c r="J485" s="598" t="str">
        <f t="shared" si="895"/>
        <v xml:space="preserve"> </v>
      </c>
      <c r="K485" s="598" t="str">
        <f t="shared" si="895"/>
        <v xml:space="preserve"> </v>
      </c>
      <c r="L485" s="598" t="str">
        <f t="shared" si="896"/>
        <v xml:space="preserve"> </v>
      </c>
      <c r="M485" s="598" t="str">
        <f t="shared" si="896"/>
        <v xml:space="preserve"> </v>
      </c>
      <c r="N485" s="598" t="str">
        <f t="shared" si="896"/>
        <v xml:space="preserve"> </v>
      </c>
      <c r="O485" s="598" t="str">
        <f t="shared" si="896"/>
        <v xml:space="preserve"> </v>
      </c>
      <c r="P485" s="598" t="str">
        <f t="shared" si="896"/>
        <v xml:space="preserve"> </v>
      </c>
      <c r="Q485" s="598" t="str">
        <f t="shared" si="896"/>
        <v xml:space="preserve"> </v>
      </c>
      <c r="R485" s="598" t="str">
        <f t="shared" si="896"/>
        <v xml:space="preserve"> </v>
      </c>
      <c r="S485" s="598" t="str">
        <f t="shared" si="896"/>
        <v xml:space="preserve"> </v>
      </c>
      <c r="T485" s="598" t="str">
        <f t="shared" si="896"/>
        <v xml:space="preserve"> </v>
      </c>
      <c r="U485" s="598" t="str">
        <f t="shared" si="896"/>
        <v xml:space="preserve"> </v>
      </c>
      <c r="V485" s="598" t="str">
        <f t="shared" si="897"/>
        <v xml:space="preserve"> </v>
      </c>
      <c r="W485" s="598" t="str">
        <f t="shared" si="897"/>
        <v xml:space="preserve"> </v>
      </c>
      <c r="X485" s="598" t="str">
        <f t="shared" si="897"/>
        <v xml:space="preserve"> </v>
      </c>
      <c r="Y485" s="598" t="str">
        <f t="shared" si="897"/>
        <v xml:space="preserve"> </v>
      </c>
      <c r="Z485" s="598" t="str">
        <f t="shared" si="897"/>
        <v xml:space="preserve"> </v>
      </c>
      <c r="AA485" s="598" t="str">
        <f t="shared" si="897"/>
        <v xml:space="preserve"> </v>
      </c>
      <c r="AB485" s="598" t="str">
        <f t="shared" si="897"/>
        <v xml:space="preserve"> </v>
      </c>
      <c r="AC485" s="598" t="str">
        <f t="shared" si="897"/>
        <v xml:space="preserve"> </v>
      </c>
      <c r="AD485" s="598" t="str">
        <f t="shared" si="897"/>
        <v xml:space="preserve"> </v>
      </c>
      <c r="AE485" s="598" t="str">
        <f t="shared" si="897"/>
        <v xml:space="preserve"> </v>
      </c>
      <c r="AF485" s="598" t="str">
        <f t="shared" si="898"/>
        <v xml:space="preserve"> </v>
      </c>
      <c r="AG485" s="598" t="str">
        <f t="shared" si="898"/>
        <v xml:space="preserve"> </v>
      </c>
      <c r="AH485" s="598" t="str">
        <f t="shared" si="898"/>
        <v xml:space="preserve"> </v>
      </c>
      <c r="AI485" s="598" t="str">
        <f t="shared" si="898"/>
        <v xml:space="preserve"> </v>
      </c>
      <c r="AJ485" s="598" t="str">
        <f t="shared" si="898"/>
        <v xml:space="preserve"> </v>
      </c>
      <c r="AK485" s="598" t="str">
        <f t="shared" si="898"/>
        <v xml:space="preserve"> </v>
      </c>
      <c r="AL485" s="598" t="str">
        <f t="shared" si="898"/>
        <v xml:space="preserve"> </v>
      </c>
      <c r="AM485" s="598" t="str">
        <f t="shared" si="898"/>
        <v xml:space="preserve"> </v>
      </c>
      <c r="AN485" s="598" t="str">
        <f t="shared" si="898"/>
        <v xml:space="preserve"> </v>
      </c>
      <c r="AO485" s="598" t="str">
        <f t="shared" si="898"/>
        <v xml:space="preserve"> </v>
      </c>
      <c r="AP485" s="598" t="str">
        <f t="shared" si="898"/>
        <v xml:space="preserve"> </v>
      </c>
      <c r="AQ485" s="598" t="str">
        <f t="shared" si="898"/>
        <v xml:space="preserve"> </v>
      </c>
      <c r="AR485" s="598" t="str">
        <f t="shared" si="898"/>
        <v xml:space="preserve"> </v>
      </c>
      <c r="AS485" s="598" t="str">
        <f t="shared" si="898"/>
        <v xml:space="preserve"> </v>
      </c>
      <c r="AT485" s="598" t="str">
        <f t="shared" si="898"/>
        <v xml:space="preserve"> </v>
      </c>
      <c r="AV485" s="598" t="str">
        <f t="shared" si="899"/>
        <v xml:space="preserve"> </v>
      </c>
      <c r="AW485" s="598" t="str">
        <f t="shared" si="899"/>
        <v xml:space="preserve"> </v>
      </c>
      <c r="AX485" s="598" t="str">
        <f t="shared" si="899"/>
        <v xml:space="preserve"> </v>
      </c>
      <c r="AY485" s="598" t="str">
        <f t="shared" si="899"/>
        <v xml:space="preserve"> </v>
      </c>
      <c r="AZ485" s="598" t="str">
        <f t="shared" si="899"/>
        <v xml:space="preserve"> </v>
      </c>
      <c r="BA485" s="598" t="str">
        <f t="shared" si="899"/>
        <v xml:space="preserve"> </v>
      </c>
      <c r="BB485" s="598" t="str">
        <f t="shared" si="899"/>
        <v xml:space="preserve"> </v>
      </c>
      <c r="BC485" s="598" t="str">
        <f t="shared" si="899"/>
        <v xml:space="preserve"> </v>
      </c>
      <c r="BD485" s="598" t="str">
        <f t="shared" si="899"/>
        <v xml:space="preserve"> </v>
      </c>
      <c r="BE485" s="598" t="str">
        <f t="shared" si="899"/>
        <v xml:space="preserve"> </v>
      </c>
      <c r="BF485" s="598" t="str">
        <f t="shared" si="900"/>
        <v xml:space="preserve"> </v>
      </c>
      <c r="BG485" s="598" t="str">
        <f t="shared" si="900"/>
        <v xml:space="preserve"> </v>
      </c>
      <c r="BH485" s="598" t="str">
        <f t="shared" si="900"/>
        <v xml:space="preserve"> </v>
      </c>
      <c r="BI485" s="598" t="str">
        <f t="shared" si="900"/>
        <v xml:space="preserve"> </v>
      </c>
      <c r="BJ485" s="598" t="str">
        <f t="shared" si="900"/>
        <v xml:space="preserve"> </v>
      </c>
      <c r="BK485" s="598" t="str">
        <f t="shared" si="900"/>
        <v xml:space="preserve"> </v>
      </c>
      <c r="BL485" s="598" t="str">
        <f t="shared" si="900"/>
        <v xml:space="preserve"> </v>
      </c>
      <c r="BM485" s="598" t="str">
        <f t="shared" si="900"/>
        <v xml:space="preserve"> </v>
      </c>
      <c r="BN485" s="598" t="str">
        <f t="shared" si="900"/>
        <v xml:space="preserve"> </v>
      </c>
      <c r="BO485" s="598" t="str">
        <f t="shared" si="900"/>
        <v xml:space="preserve"> </v>
      </c>
      <c r="BP485" s="598" t="str">
        <f t="shared" si="901"/>
        <v xml:space="preserve"> </v>
      </c>
      <c r="BQ485" s="598" t="str">
        <f t="shared" si="901"/>
        <v xml:space="preserve"> </v>
      </c>
      <c r="BR485" s="598" t="str">
        <f t="shared" si="901"/>
        <v xml:space="preserve"> </v>
      </c>
      <c r="BS485" s="598" t="str">
        <f t="shared" si="901"/>
        <v xml:space="preserve"> </v>
      </c>
      <c r="BT485" s="598" t="str">
        <f t="shared" si="901"/>
        <v xml:space="preserve"> </v>
      </c>
      <c r="BU485" s="598" t="str">
        <f t="shared" si="901"/>
        <v xml:space="preserve"> </v>
      </c>
      <c r="BV485" s="598" t="str">
        <f t="shared" si="901"/>
        <v xml:space="preserve"> </v>
      </c>
      <c r="BW485" s="598" t="str">
        <f t="shared" si="901"/>
        <v xml:space="preserve"> </v>
      </c>
      <c r="BX485" s="598" t="str">
        <f t="shared" si="901"/>
        <v xml:space="preserve"> </v>
      </c>
      <c r="BY485" s="598" t="str">
        <f t="shared" si="901"/>
        <v xml:space="preserve"> </v>
      </c>
      <c r="BZ485" s="598" t="str">
        <f t="shared" si="902"/>
        <v xml:space="preserve"> </v>
      </c>
      <c r="CA485" s="598" t="str">
        <f t="shared" si="902"/>
        <v xml:space="preserve"> </v>
      </c>
      <c r="CB485" s="598" t="str">
        <f t="shared" si="902"/>
        <v xml:space="preserve"> </v>
      </c>
      <c r="CC485" s="598" t="str">
        <f t="shared" si="902"/>
        <v xml:space="preserve"> </v>
      </c>
      <c r="CD485" s="598" t="str">
        <f t="shared" si="902"/>
        <v xml:space="preserve"> </v>
      </c>
      <c r="CE485" s="598" t="str">
        <f t="shared" si="902"/>
        <v xml:space="preserve"> </v>
      </c>
      <c r="CF485" s="598" t="str">
        <f t="shared" si="902"/>
        <v xml:space="preserve"> </v>
      </c>
      <c r="CG485" s="598" t="str">
        <f t="shared" si="902"/>
        <v xml:space="preserve"> </v>
      </c>
      <c r="CH485" s="598" t="str">
        <f t="shared" si="902"/>
        <v xml:space="preserve"> </v>
      </c>
      <c r="CI485" s="598" t="str">
        <f t="shared" si="902"/>
        <v xml:space="preserve"> </v>
      </c>
      <c r="CJ485" s="598" t="str">
        <f t="shared" si="902"/>
        <v xml:space="preserve"> </v>
      </c>
      <c r="CK485" s="598" t="str">
        <f t="shared" si="902"/>
        <v xml:space="preserve"> </v>
      </c>
      <c r="CL485" s="598" t="str">
        <f t="shared" si="902"/>
        <v xml:space="preserve"> </v>
      </c>
      <c r="CM485" s="598" t="str">
        <f t="shared" si="902"/>
        <v xml:space="preserve"> </v>
      </c>
      <c r="CN485" s="598" t="str">
        <f t="shared" si="902"/>
        <v xml:space="preserve"> </v>
      </c>
    </row>
    <row r="486" spans="1:92">
      <c r="A486" s="598">
        <v>109</v>
      </c>
      <c r="B486" s="598" t="str">
        <f t="shared" si="895"/>
        <v xml:space="preserve"> </v>
      </c>
      <c r="C486" s="598" t="str">
        <f t="shared" si="895"/>
        <v xml:space="preserve"> </v>
      </c>
      <c r="D486" s="598" t="str">
        <f t="shared" si="895"/>
        <v xml:space="preserve"> </v>
      </c>
      <c r="E486" s="598" t="str">
        <f t="shared" si="895"/>
        <v xml:space="preserve"> </v>
      </c>
      <c r="F486" s="598" t="str">
        <f t="shared" si="895"/>
        <v xml:space="preserve"> </v>
      </c>
      <c r="G486" s="598" t="str">
        <f t="shared" si="895"/>
        <v xml:space="preserve"> </v>
      </c>
      <c r="H486" s="598" t="str">
        <f t="shared" si="895"/>
        <v xml:space="preserve"> </v>
      </c>
      <c r="I486" s="598" t="str">
        <f t="shared" si="895"/>
        <v xml:space="preserve"> </v>
      </c>
      <c r="J486" s="598" t="str">
        <f t="shared" si="895"/>
        <v xml:space="preserve"> </v>
      </c>
      <c r="K486" s="598" t="str">
        <f t="shared" si="895"/>
        <v xml:space="preserve"> </v>
      </c>
      <c r="L486" s="598" t="str">
        <f t="shared" si="896"/>
        <v xml:space="preserve"> </v>
      </c>
      <c r="M486" s="598" t="str">
        <f t="shared" si="896"/>
        <v xml:space="preserve"> </v>
      </c>
      <c r="N486" s="598" t="str">
        <f t="shared" si="896"/>
        <v xml:space="preserve"> </v>
      </c>
      <c r="O486" s="598" t="str">
        <f t="shared" si="896"/>
        <v xml:space="preserve"> </v>
      </c>
      <c r="P486" s="598" t="str">
        <f t="shared" si="896"/>
        <v xml:space="preserve"> </v>
      </c>
      <c r="Q486" s="598" t="str">
        <f t="shared" si="896"/>
        <v xml:space="preserve"> </v>
      </c>
      <c r="R486" s="598" t="str">
        <f t="shared" si="896"/>
        <v xml:space="preserve"> </v>
      </c>
      <c r="S486" s="598" t="str">
        <f t="shared" si="896"/>
        <v xml:space="preserve"> </v>
      </c>
      <c r="T486" s="598" t="str">
        <f t="shared" si="896"/>
        <v xml:space="preserve"> </v>
      </c>
      <c r="U486" s="598" t="str">
        <f t="shared" si="896"/>
        <v xml:space="preserve"> </v>
      </c>
      <c r="V486" s="598" t="str">
        <f t="shared" si="897"/>
        <v xml:space="preserve"> </v>
      </c>
      <c r="W486" s="598" t="str">
        <f t="shared" si="897"/>
        <v xml:space="preserve"> </v>
      </c>
      <c r="X486" s="598" t="str">
        <f t="shared" si="897"/>
        <v xml:space="preserve"> </v>
      </c>
      <c r="Y486" s="598" t="str">
        <f t="shared" si="897"/>
        <v xml:space="preserve"> </v>
      </c>
      <c r="Z486" s="598" t="str">
        <f t="shared" si="897"/>
        <v xml:space="preserve"> </v>
      </c>
      <c r="AA486" s="598" t="str">
        <f t="shared" si="897"/>
        <v xml:space="preserve"> </v>
      </c>
      <c r="AB486" s="598" t="str">
        <f t="shared" si="897"/>
        <v xml:space="preserve"> </v>
      </c>
      <c r="AC486" s="598" t="str">
        <f t="shared" si="897"/>
        <v xml:space="preserve"> </v>
      </c>
      <c r="AD486" s="598" t="str">
        <f t="shared" si="897"/>
        <v xml:space="preserve"> </v>
      </c>
      <c r="AE486" s="598" t="str">
        <f t="shared" si="897"/>
        <v xml:space="preserve"> </v>
      </c>
      <c r="AF486" s="598" t="str">
        <f t="shared" si="898"/>
        <v xml:space="preserve"> </v>
      </c>
      <c r="AG486" s="598" t="str">
        <f t="shared" si="898"/>
        <v xml:space="preserve"> </v>
      </c>
      <c r="AH486" s="598" t="str">
        <f t="shared" si="898"/>
        <v xml:space="preserve"> </v>
      </c>
      <c r="AI486" s="598" t="str">
        <f t="shared" si="898"/>
        <v xml:space="preserve"> </v>
      </c>
      <c r="AJ486" s="598" t="str">
        <f t="shared" si="898"/>
        <v xml:space="preserve"> </v>
      </c>
      <c r="AK486" s="598" t="str">
        <f t="shared" si="898"/>
        <v xml:space="preserve"> </v>
      </c>
      <c r="AL486" s="598" t="str">
        <f t="shared" si="898"/>
        <v xml:space="preserve"> </v>
      </c>
      <c r="AM486" s="598" t="str">
        <f t="shared" si="898"/>
        <v xml:space="preserve"> </v>
      </c>
      <c r="AN486" s="598" t="str">
        <f t="shared" si="898"/>
        <v xml:space="preserve"> </v>
      </c>
      <c r="AO486" s="598" t="str">
        <f t="shared" si="898"/>
        <v xml:space="preserve"> </v>
      </c>
      <c r="AP486" s="598" t="str">
        <f t="shared" si="898"/>
        <v xml:space="preserve"> </v>
      </c>
      <c r="AQ486" s="598" t="str">
        <f t="shared" si="898"/>
        <v xml:space="preserve"> </v>
      </c>
      <c r="AR486" s="598" t="str">
        <f t="shared" si="898"/>
        <v xml:space="preserve"> </v>
      </c>
      <c r="AS486" s="598" t="str">
        <f t="shared" si="898"/>
        <v xml:space="preserve"> </v>
      </c>
      <c r="AT486" s="598" t="str">
        <f t="shared" si="898"/>
        <v xml:space="preserve"> </v>
      </c>
      <c r="AV486" s="598" t="str">
        <f t="shared" si="899"/>
        <v xml:space="preserve"> </v>
      </c>
      <c r="AW486" s="598" t="str">
        <f t="shared" si="899"/>
        <v xml:space="preserve"> </v>
      </c>
      <c r="AX486" s="598" t="str">
        <f t="shared" si="899"/>
        <v xml:space="preserve"> </v>
      </c>
      <c r="AY486" s="598" t="str">
        <f t="shared" si="899"/>
        <v xml:space="preserve"> </v>
      </c>
      <c r="AZ486" s="598" t="str">
        <f t="shared" si="899"/>
        <v xml:space="preserve"> </v>
      </c>
      <c r="BA486" s="598" t="str">
        <f t="shared" si="899"/>
        <v xml:space="preserve"> </v>
      </c>
      <c r="BB486" s="598" t="str">
        <f t="shared" si="899"/>
        <v xml:space="preserve"> </v>
      </c>
      <c r="BC486" s="598" t="str">
        <f t="shared" si="899"/>
        <v xml:space="preserve"> </v>
      </c>
      <c r="BD486" s="598" t="str">
        <f t="shared" si="899"/>
        <v xml:space="preserve"> </v>
      </c>
      <c r="BE486" s="598" t="str">
        <f t="shared" si="899"/>
        <v xml:space="preserve"> </v>
      </c>
      <c r="BF486" s="598" t="str">
        <f t="shared" si="900"/>
        <v xml:space="preserve"> </v>
      </c>
      <c r="BG486" s="598" t="str">
        <f t="shared" si="900"/>
        <v xml:space="preserve"> </v>
      </c>
      <c r="BH486" s="598" t="str">
        <f t="shared" si="900"/>
        <v xml:space="preserve"> </v>
      </c>
      <c r="BI486" s="598" t="str">
        <f t="shared" si="900"/>
        <v xml:space="preserve"> </v>
      </c>
      <c r="BJ486" s="598" t="str">
        <f t="shared" si="900"/>
        <v xml:space="preserve"> </v>
      </c>
      <c r="BK486" s="598" t="str">
        <f t="shared" si="900"/>
        <v xml:space="preserve"> </v>
      </c>
      <c r="BL486" s="598" t="str">
        <f t="shared" si="900"/>
        <v xml:space="preserve"> </v>
      </c>
      <c r="BM486" s="598" t="str">
        <f t="shared" si="900"/>
        <v xml:space="preserve"> </v>
      </c>
      <c r="BN486" s="598" t="str">
        <f t="shared" si="900"/>
        <v xml:space="preserve"> </v>
      </c>
      <c r="BO486" s="598" t="str">
        <f t="shared" si="900"/>
        <v xml:space="preserve"> </v>
      </c>
      <c r="BP486" s="598" t="str">
        <f t="shared" si="901"/>
        <v xml:space="preserve"> </v>
      </c>
      <c r="BQ486" s="598" t="str">
        <f t="shared" si="901"/>
        <v xml:space="preserve"> </v>
      </c>
      <c r="BR486" s="598" t="str">
        <f t="shared" si="901"/>
        <v xml:space="preserve"> </v>
      </c>
      <c r="BS486" s="598" t="str">
        <f t="shared" si="901"/>
        <v xml:space="preserve"> </v>
      </c>
      <c r="BT486" s="598" t="str">
        <f t="shared" si="901"/>
        <v xml:space="preserve"> </v>
      </c>
      <c r="BU486" s="598" t="str">
        <f t="shared" si="901"/>
        <v xml:space="preserve"> </v>
      </c>
      <c r="BV486" s="598" t="str">
        <f t="shared" si="901"/>
        <v xml:space="preserve"> </v>
      </c>
      <c r="BW486" s="598" t="str">
        <f t="shared" si="901"/>
        <v xml:space="preserve"> </v>
      </c>
      <c r="BX486" s="598" t="str">
        <f t="shared" si="901"/>
        <v xml:space="preserve"> </v>
      </c>
      <c r="BY486" s="598" t="str">
        <f t="shared" si="901"/>
        <v xml:space="preserve"> </v>
      </c>
      <c r="BZ486" s="598" t="str">
        <f t="shared" si="902"/>
        <v xml:space="preserve"> </v>
      </c>
      <c r="CA486" s="598" t="str">
        <f t="shared" si="902"/>
        <v xml:space="preserve"> </v>
      </c>
      <c r="CB486" s="598" t="str">
        <f t="shared" si="902"/>
        <v xml:space="preserve"> </v>
      </c>
      <c r="CC486" s="598" t="str">
        <f t="shared" si="902"/>
        <v xml:space="preserve"> </v>
      </c>
      <c r="CD486" s="598" t="str">
        <f t="shared" si="902"/>
        <v xml:space="preserve"> </v>
      </c>
      <c r="CE486" s="598" t="str">
        <f t="shared" si="902"/>
        <v xml:space="preserve"> </v>
      </c>
      <c r="CF486" s="598" t="str">
        <f t="shared" si="902"/>
        <v xml:space="preserve"> </v>
      </c>
      <c r="CG486" s="598" t="str">
        <f t="shared" si="902"/>
        <v xml:space="preserve"> </v>
      </c>
      <c r="CH486" s="598" t="str">
        <f t="shared" si="902"/>
        <v xml:space="preserve"> </v>
      </c>
      <c r="CI486" s="598" t="str">
        <f t="shared" si="902"/>
        <v xml:space="preserve"> </v>
      </c>
      <c r="CJ486" s="598" t="str">
        <f t="shared" si="902"/>
        <v xml:space="preserve"> </v>
      </c>
      <c r="CK486" s="598" t="str">
        <f t="shared" si="902"/>
        <v xml:space="preserve"> </v>
      </c>
      <c r="CL486" s="598" t="str">
        <f t="shared" si="902"/>
        <v xml:space="preserve"> </v>
      </c>
      <c r="CM486" s="598" t="str">
        <f t="shared" si="902"/>
        <v xml:space="preserve"> </v>
      </c>
      <c r="CN486" s="598" t="str">
        <f t="shared" si="902"/>
        <v xml:space="preserve"> </v>
      </c>
    </row>
    <row r="487" spans="1:92">
      <c r="A487" s="598">
        <v>110</v>
      </c>
      <c r="B487" s="598" t="str">
        <f t="shared" si="895"/>
        <v xml:space="preserve"> </v>
      </c>
      <c r="C487" s="598" t="str">
        <f t="shared" si="895"/>
        <v xml:space="preserve"> </v>
      </c>
      <c r="D487" s="598" t="str">
        <f t="shared" si="895"/>
        <v xml:space="preserve"> </v>
      </c>
      <c r="E487" s="598" t="str">
        <f t="shared" si="895"/>
        <v xml:space="preserve"> </v>
      </c>
      <c r="F487" s="598" t="str">
        <f t="shared" si="895"/>
        <v xml:space="preserve"> </v>
      </c>
      <c r="G487" s="598" t="str">
        <f t="shared" si="895"/>
        <v xml:space="preserve"> </v>
      </c>
      <c r="H487" s="598" t="str">
        <f t="shared" si="895"/>
        <v xml:space="preserve"> </v>
      </c>
      <c r="I487" s="598" t="str">
        <f t="shared" si="895"/>
        <v xml:space="preserve"> </v>
      </c>
      <c r="J487" s="598" t="str">
        <f t="shared" si="895"/>
        <v xml:space="preserve"> </v>
      </c>
      <c r="K487" s="598" t="str">
        <f t="shared" si="895"/>
        <v xml:space="preserve"> </v>
      </c>
      <c r="L487" s="598" t="str">
        <f t="shared" si="896"/>
        <v xml:space="preserve"> </v>
      </c>
      <c r="M487" s="598" t="str">
        <f t="shared" si="896"/>
        <v xml:space="preserve"> </v>
      </c>
      <c r="N487" s="598" t="str">
        <f t="shared" si="896"/>
        <v xml:space="preserve"> </v>
      </c>
      <c r="O487" s="598" t="str">
        <f t="shared" si="896"/>
        <v xml:space="preserve"> </v>
      </c>
      <c r="P487" s="598" t="str">
        <f t="shared" si="896"/>
        <v xml:space="preserve"> </v>
      </c>
      <c r="Q487" s="598" t="str">
        <f t="shared" si="896"/>
        <v xml:space="preserve"> </v>
      </c>
      <c r="R487" s="598" t="str">
        <f t="shared" si="896"/>
        <v xml:space="preserve"> </v>
      </c>
      <c r="S487" s="598" t="str">
        <f t="shared" si="896"/>
        <v xml:space="preserve"> </v>
      </c>
      <c r="T487" s="598" t="str">
        <f t="shared" si="896"/>
        <v xml:space="preserve"> </v>
      </c>
      <c r="U487" s="598" t="str">
        <f t="shared" si="896"/>
        <v xml:space="preserve"> </v>
      </c>
      <c r="V487" s="598" t="str">
        <f t="shared" si="897"/>
        <v xml:space="preserve"> </v>
      </c>
      <c r="W487" s="598" t="str">
        <f t="shared" si="897"/>
        <v xml:space="preserve"> </v>
      </c>
      <c r="X487" s="598" t="str">
        <f t="shared" si="897"/>
        <v xml:space="preserve"> </v>
      </c>
      <c r="Y487" s="598" t="str">
        <f t="shared" si="897"/>
        <v xml:space="preserve"> </v>
      </c>
      <c r="Z487" s="598" t="str">
        <f t="shared" si="897"/>
        <v xml:space="preserve"> </v>
      </c>
      <c r="AA487" s="598" t="str">
        <f t="shared" si="897"/>
        <v xml:space="preserve"> </v>
      </c>
      <c r="AB487" s="598" t="str">
        <f t="shared" si="897"/>
        <v xml:space="preserve"> </v>
      </c>
      <c r="AC487" s="598" t="str">
        <f t="shared" si="897"/>
        <v xml:space="preserve"> </v>
      </c>
      <c r="AD487" s="598" t="str">
        <f t="shared" si="897"/>
        <v xml:space="preserve"> </v>
      </c>
      <c r="AE487" s="598" t="str">
        <f t="shared" si="897"/>
        <v xml:space="preserve"> </v>
      </c>
      <c r="AF487" s="598" t="str">
        <f t="shared" si="898"/>
        <v xml:space="preserve"> </v>
      </c>
      <c r="AG487" s="598" t="str">
        <f t="shared" si="898"/>
        <v xml:space="preserve"> </v>
      </c>
      <c r="AH487" s="598" t="str">
        <f t="shared" si="898"/>
        <v xml:space="preserve"> </v>
      </c>
      <c r="AI487" s="598" t="str">
        <f t="shared" si="898"/>
        <v xml:space="preserve"> </v>
      </c>
      <c r="AJ487" s="598" t="str">
        <f t="shared" si="898"/>
        <v xml:space="preserve"> </v>
      </c>
      <c r="AK487" s="598" t="str">
        <f t="shared" si="898"/>
        <v xml:space="preserve"> </v>
      </c>
      <c r="AL487" s="598" t="str">
        <f t="shared" si="898"/>
        <v xml:space="preserve"> </v>
      </c>
      <c r="AM487" s="598" t="str">
        <f t="shared" si="898"/>
        <v xml:space="preserve"> </v>
      </c>
      <c r="AN487" s="598" t="str">
        <f t="shared" si="898"/>
        <v xml:space="preserve"> </v>
      </c>
      <c r="AO487" s="598" t="str">
        <f t="shared" si="898"/>
        <v xml:space="preserve"> </v>
      </c>
      <c r="AP487" s="598" t="str">
        <f t="shared" si="898"/>
        <v xml:space="preserve"> </v>
      </c>
      <c r="AQ487" s="598" t="str">
        <f t="shared" si="898"/>
        <v xml:space="preserve"> </v>
      </c>
      <c r="AR487" s="598" t="str">
        <f t="shared" si="898"/>
        <v xml:space="preserve"> </v>
      </c>
      <c r="AS487" s="598" t="str">
        <f t="shared" si="898"/>
        <v xml:space="preserve"> </v>
      </c>
      <c r="AT487" s="598" t="str">
        <f t="shared" si="898"/>
        <v xml:space="preserve"> </v>
      </c>
      <c r="AV487" s="598" t="str">
        <f t="shared" si="899"/>
        <v xml:space="preserve"> </v>
      </c>
      <c r="AW487" s="598" t="str">
        <f t="shared" si="899"/>
        <v xml:space="preserve"> </v>
      </c>
      <c r="AX487" s="598" t="str">
        <f t="shared" si="899"/>
        <v xml:space="preserve"> </v>
      </c>
      <c r="AY487" s="598" t="str">
        <f t="shared" si="899"/>
        <v xml:space="preserve"> </v>
      </c>
      <c r="AZ487" s="598" t="str">
        <f t="shared" si="899"/>
        <v xml:space="preserve"> </v>
      </c>
      <c r="BA487" s="598" t="str">
        <f t="shared" si="899"/>
        <v xml:space="preserve"> </v>
      </c>
      <c r="BB487" s="598" t="str">
        <f t="shared" si="899"/>
        <v xml:space="preserve"> </v>
      </c>
      <c r="BC487" s="598" t="str">
        <f t="shared" si="899"/>
        <v xml:space="preserve"> </v>
      </c>
      <c r="BD487" s="598" t="str">
        <f t="shared" si="899"/>
        <v xml:space="preserve"> </v>
      </c>
      <c r="BE487" s="598" t="str">
        <f t="shared" si="899"/>
        <v xml:space="preserve"> </v>
      </c>
      <c r="BF487" s="598" t="str">
        <f t="shared" si="900"/>
        <v xml:space="preserve"> </v>
      </c>
      <c r="BG487" s="598" t="str">
        <f t="shared" si="900"/>
        <v xml:space="preserve"> </v>
      </c>
      <c r="BH487" s="598" t="str">
        <f t="shared" si="900"/>
        <v xml:space="preserve"> </v>
      </c>
      <c r="BI487" s="598" t="str">
        <f t="shared" si="900"/>
        <v xml:space="preserve"> </v>
      </c>
      <c r="BJ487" s="598" t="str">
        <f t="shared" si="900"/>
        <v xml:space="preserve"> </v>
      </c>
      <c r="BK487" s="598" t="str">
        <f t="shared" si="900"/>
        <v xml:space="preserve"> </v>
      </c>
      <c r="BL487" s="598" t="str">
        <f t="shared" si="900"/>
        <v xml:space="preserve"> </v>
      </c>
      <c r="BM487" s="598" t="str">
        <f t="shared" si="900"/>
        <v xml:space="preserve"> </v>
      </c>
      <c r="BN487" s="598" t="str">
        <f t="shared" si="900"/>
        <v xml:space="preserve"> </v>
      </c>
      <c r="BO487" s="598" t="str">
        <f t="shared" si="900"/>
        <v xml:space="preserve"> </v>
      </c>
      <c r="BP487" s="598" t="str">
        <f t="shared" si="901"/>
        <v xml:space="preserve"> </v>
      </c>
      <c r="BQ487" s="598" t="str">
        <f t="shared" si="901"/>
        <v xml:space="preserve"> </v>
      </c>
      <c r="BR487" s="598" t="str">
        <f t="shared" si="901"/>
        <v xml:space="preserve"> </v>
      </c>
      <c r="BS487" s="598" t="str">
        <f t="shared" si="901"/>
        <v xml:space="preserve"> </v>
      </c>
      <c r="BT487" s="598" t="str">
        <f t="shared" si="901"/>
        <v xml:space="preserve"> </v>
      </c>
      <c r="BU487" s="598" t="str">
        <f t="shared" si="901"/>
        <v xml:space="preserve"> </v>
      </c>
      <c r="BV487" s="598" t="str">
        <f t="shared" si="901"/>
        <v xml:space="preserve"> </v>
      </c>
      <c r="BW487" s="598" t="str">
        <f t="shared" si="901"/>
        <v xml:space="preserve"> </v>
      </c>
      <c r="BX487" s="598" t="str">
        <f t="shared" si="901"/>
        <v xml:space="preserve"> </v>
      </c>
      <c r="BY487" s="598" t="str">
        <f t="shared" si="901"/>
        <v xml:space="preserve"> </v>
      </c>
      <c r="BZ487" s="598" t="str">
        <f t="shared" si="902"/>
        <v xml:space="preserve"> </v>
      </c>
      <c r="CA487" s="598" t="str">
        <f t="shared" si="902"/>
        <v xml:space="preserve"> </v>
      </c>
      <c r="CB487" s="598" t="str">
        <f t="shared" si="902"/>
        <v xml:space="preserve"> </v>
      </c>
      <c r="CC487" s="598" t="str">
        <f t="shared" si="902"/>
        <v xml:space="preserve"> </v>
      </c>
      <c r="CD487" s="598" t="str">
        <f t="shared" si="902"/>
        <v xml:space="preserve"> </v>
      </c>
      <c r="CE487" s="598" t="str">
        <f t="shared" si="902"/>
        <v xml:space="preserve"> </v>
      </c>
      <c r="CF487" s="598" t="str">
        <f t="shared" si="902"/>
        <v xml:space="preserve"> </v>
      </c>
      <c r="CG487" s="598" t="str">
        <f t="shared" si="902"/>
        <v xml:space="preserve"> </v>
      </c>
      <c r="CH487" s="598" t="str">
        <f t="shared" si="902"/>
        <v xml:space="preserve"> </v>
      </c>
      <c r="CI487" s="598" t="str">
        <f t="shared" si="902"/>
        <v xml:space="preserve"> </v>
      </c>
      <c r="CJ487" s="598" t="str">
        <f t="shared" si="902"/>
        <v xml:space="preserve"> </v>
      </c>
      <c r="CK487" s="598" t="str">
        <f t="shared" si="902"/>
        <v xml:space="preserve"> </v>
      </c>
      <c r="CL487" s="598" t="str">
        <f t="shared" si="902"/>
        <v xml:space="preserve"> </v>
      </c>
      <c r="CM487" s="598" t="str">
        <f t="shared" si="902"/>
        <v xml:space="preserve"> </v>
      </c>
      <c r="CN487" s="598" t="str">
        <f t="shared" si="902"/>
        <v xml:space="preserve"> </v>
      </c>
    </row>
    <row r="488" spans="1:92">
      <c r="A488" s="598">
        <v>111</v>
      </c>
      <c r="B488" s="598" t="str">
        <f t="shared" si="895"/>
        <v xml:space="preserve"> </v>
      </c>
      <c r="C488" s="598" t="str">
        <f t="shared" si="895"/>
        <v xml:space="preserve"> </v>
      </c>
      <c r="D488" s="598" t="str">
        <f t="shared" si="895"/>
        <v xml:space="preserve"> </v>
      </c>
      <c r="E488" s="598" t="str">
        <f t="shared" si="895"/>
        <v xml:space="preserve"> </v>
      </c>
      <c r="F488" s="598" t="str">
        <f t="shared" si="895"/>
        <v xml:space="preserve"> </v>
      </c>
      <c r="G488" s="598" t="str">
        <f t="shared" si="895"/>
        <v xml:space="preserve"> </v>
      </c>
      <c r="H488" s="598" t="str">
        <f t="shared" si="895"/>
        <v xml:space="preserve"> </v>
      </c>
      <c r="I488" s="598" t="str">
        <f t="shared" si="895"/>
        <v xml:space="preserve"> </v>
      </c>
      <c r="J488" s="598" t="str">
        <f t="shared" si="895"/>
        <v xml:space="preserve"> </v>
      </c>
      <c r="K488" s="598" t="str">
        <f t="shared" si="895"/>
        <v xml:space="preserve"> </v>
      </c>
      <c r="L488" s="598" t="str">
        <f t="shared" si="896"/>
        <v xml:space="preserve"> </v>
      </c>
      <c r="M488" s="598" t="str">
        <f t="shared" si="896"/>
        <v xml:space="preserve"> </v>
      </c>
      <c r="N488" s="598" t="str">
        <f t="shared" si="896"/>
        <v xml:space="preserve"> </v>
      </c>
      <c r="O488" s="598" t="str">
        <f t="shared" si="896"/>
        <v xml:space="preserve"> </v>
      </c>
      <c r="P488" s="598" t="str">
        <f t="shared" si="896"/>
        <v xml:space="preserve"> </v>
      </c>
      <c r="Q488" s="598" t="str">
        <f t="shared" si="896"/>
        <v xml:space="preserve"> </v>
      </c>
      <c r="R488" s="598" t="str">
        <f t="shared" si="896"/>
        <v xml:space="preserve"> </v>
      </c>
      <c r="S488" s="598" t="str">
        <f t="shared" si="896"/>
        <v xml:space="preserve"> </v>
      </c>
      <c r="T488" s="598" t="str">
        <f t="shared" si="896"/>
        <v xml:space="preserve"> </v>
      </c>
      <c r="U488" s="598" t="str">
        <f t="shared" si="896"/>
        <v xml:space="preserve"> </v>
      </c>
      <c r="V488" s="598" t="str">
        <f t="shared" si="897"/>
        <v xml:space="preserve"> </v>
      </c>
      <c r="W488" s="598" t="str">
        <f t="shared" si="897"/>
        <v xml:space="preserve"> </v>
      </c>
      <c r="X488" s="598" t="str">
        <f t="shared" si="897"/>
        <v xml:space="preserve"> </v>
      </c>
      <c r="Y488" s="598" t="str">
        <f t="shared" si="897"/>
        <v xml:space="preserve"> </v>
      </c>
      <c r="Z488" s="598" t="str">
        <f t="shared" si="897"/>
        <v xml:space="preserve"> </v>
      </c>
      <c r="AA488" s="598" t="str">
        <f t="shared" si="897"/>
        <v xml:space="preserve"> </v>
      </c>
      <c r="AB488" s="598" t="str">
        <f t="shared" si="897"/>
        <v xml:space="preserve"> </v>
      </c>
      <c r="AC488" s="598" t="str">
        <f t="shared" si="897"/>
        <v xml:space="preserve"> </v>
      </c>
      <c r="AD488" s="598" t="str">
        <f t="shared" si="897"/>
        <v xml:space="preserve"> </v>
      </c>
      <c r="AE488" s="598" t="str">
        <f t="shared" si="897"/>
        <v xml:space="preserve"> </v>
      </c>
      <c r="AF488" s="598" t="str">
        <f t="shared" si="898"/>
        <v xml:space="preserve"> </v>
      </c>
      <c r="AG488" s="598" t="str">
        <f t="shared" si="898"/>
        <v xml:space="preserve"> </v>
      </c>
      <c r="AH488" s="598" t="str">
        <f t="shared" si="898"/>
        <v xml:space="preserve"> </v>
      </c>
      <c r="AI488" s="598" t="str">
        <f t="shared" si="898"/>
        <v xml:space="preserve"> </v>
      </c>
      <c r="AJ488" s="598" t="str">
        <f t="shared" si="898"/>
        <v xml:space="preserve"> </v>
      </c>
      <c r="AK488" s="598" t="str">
        <f t="shared" si="898"/>
        <v xml:space="preserve"> </v>
      </c>
      <c r="AL488" s="598" t="str">
        <f t="shared" si="898"/>
        <v xml:space="preserve"> </v>
      </c>
      <c r="AM488" s="598" t="str">
        <f t="shared" si="898"/>
        <v xml:space="preserve"> </v>
      </c>
      <c r="AN488" s="598" t="str">
        <f t="shared" si="898"/>
        <v xml:space="preserve"> </v>
      </c>
      <c r="AO488" s="598" t="str">
        <f t="shared" si="898"/>
        <v xml:space="preserve"> </v>
      </c>
      <c r="AP488" s="598" t="str">
        <f t="shared" si="898"/>
        <v xml:space="preserve"> </v>
      </c>
      <c r="AQ488" s="598" t="str">
        <f t="shared" si="898"/>
        <v xml:space="preserve"> </v>
      </c>
      <c r="AR488" s="598" t="str">
        <f t="shared" si="898"/>
        <v xml:space="preserve"> </v>
      </c>
      <c r="AS488" s="598" t="str">
        <f t="shared" si="898"/>
        <v xml:space="preserve"> </v>
      </c>
      <c r="AT488" s="598" t="str">
        <f t="shared" si="898"/>
        <v xml:space="preserve"> </v>
      </c>
      <c r="AV488" s="598" t="str">
        <f t="shared" si="899"/>
        <v xml:space="preserve"> </v>
      </c>
      <c r="AW488" s="598" t="str">
        <f t="shared" si="899"/>
        <v xml:space="preserve"> </v>
      </c>
      <c r="AX488" s="598" t="str">
        <f t="shared" si="899"/>
        <v xml:space="preserve"> </v>
      </c>
      <c r="AY488" s="598" t="str">
        <f t="shared" si="899"/>
        <v xml:space="preserve"> </v>
      </c>
      <c r="AZ488" s="598" t="str">
        <f t="shared" si="899"/>
        <v xml:space="preserve"> </v>
      </c>
      <c r="BA488" s="598" t="str">
        <f t="shared" si="899"/>
        <v xml:space="preserve"> </v>
      </c>
      <c r="BB488" s="598" t="str">
        <f t="shared" si="899"/>
        <v xml:space="preserve"> </v>
      </c>
      <c r="BC488" s="598" t="str">
        <f t="shared" si="899"/>
        <v xml:space="preserve"> </v>
      </c>
      <c r="BD488" s="598" t="str">
        <f t="shared" si="899"/>
        <v xml:space="preserve"> </v>
      </c>
      <c r="BE488" s="598" t="str">
        <f t="shared" si="899"/>
        <v xml:space="preserve"> </v>
      </c>
      <c r="BF488" s="598" t="str">
        <f t="shared" si="900"/>
        <v xml:space="preserve"> </v>
      </c>
      <c r="BG488" s="598" t="str">
        <f t="shared" si="900"/>
        <v xml:space="preserve"> </v>
      </c>
      <c r="BH488" s="598" t="str">
        <f t="shared" si="900"/>
        <v xml:space="preserve"> </v>
      </c>
      <c r="BI488" s="598" t="str">
        <f t="shared" si="900"/>
        <v xml:space="preserve"> </v>
      </c>
      <c r="BJ488" s="598" t="str">
        <f t="shared" si="900"/>
        <v xml:space="preserve"> </v>
      </c>
      <c r="BK488" s="598" t="str">
        <f t="shared" si="900"/>
        <v xml:space="preserve"> </v>
      </c>
      <c r="BL488" s="598" t="str">
        <f t="shared" si="900"/>
        <v xml:space="preserve"> </v>
      </c>
      <c r="BM488" s="598" t="str">
        <f t="shared" si="900"/>
        <v xml:space="preserve"> </v>
      </c>
      <c r="BN488" s="598" t="str">
        <f t="shared" si="900"/>
        <v xml:space="preserve"> </v>
      </c>
      <c r="BO488" s="598" t="str">
        <f t="shared" si="900"/>
        <v xml:space="preserve"> </v>
      </c>
      <c r="BP488" s="598" t="str">
        <f t="shared" si="901"/>
        <v xml:space="preserve"> </v>
      </c>
      <c r="BQ488" s="598" t="str">
        <f t="shared" si="901"/>
        <v xml:space="preserve"> </v>
      </c>
      <c r="BR488" s="598" t="str">
        <f t="shared" si="901"/>
        <v xml:space="preserve"> </v>
      </c>
      <c r="BS488" s="598" t="str">
        <f t="shared" si="901"/>
        <v xml:space="preserve"> </v>
      </c>
      <c r="BT488" s="598" t="str">
        <f t="shared" si="901"/>
        <v xml:space="preserve"> </v>
      </c>
      <c r="BU488" s="598" t="str">
        <f t="shared" si="901"/>
        <v xml:space="preserve"> </v>
      </c>
      <c r="BV488" s="598" t="str">
        <f t="shared" si="901"/>
        <v xml:space="preserve"> </v>
      </c>
      <c r="BW488" s="598" t="str">
        <f t="shared" si="901"/>
        <v xml:space="preserve"> </v>
      </c>
      <c r="BX488" s="598" t="str">
        <f t="shared" si="901"/>
        <v xml:space="preserve"> </v>
      </c>
      <c r="BY488" s="598" t="str">
        <f t="shared" si="901"/>
        <v xml:space="preserve"> </v>
      </c>
      <c r="BZ488" s="598" t="str">
        <f t="shared" si="902"/>
        <v xml:space="preserve"> </v>
      </c>
      <c r="CA488" s="598" t="str">
        <f t="shared" si="902"/>
        <v xml:space="preserve"> </v>
      </c>
      <c r="CB488" s="598" t="str">
        <f t="shared" si="902"/>
        <v xml:space="preserve"> </v>
      </c>
      <c r="CC488" s="598" t="str">
        <f t="shared" si="902"/>
        <v xml:space="preserve"> </v>
      </c>
      <c r="CD488" s="598" t="str">
        <f t="shared" si="902"/>
        <v xml:space="preserve"> </v>
      </c>
      <c r="CE488" s="598" t="str">
        <f t="shared" si="902"/>
        <v xml:space="preserve"> </v>
      </c>
      <c r="CF488" s="598" t="str">
        <f t="shared" si="902"/>
        <v xml:space="preserve"> </v>
      </c>
      <c r="CG488" s="598" t="str">
        <f t="shared" si="902"/>
        <v xml:space="preserve"> </v>
      </c>
      <c r="CH488" s="598" t="str">
        <f t="shared" si="902"/>
        <v xml:space="preserve"> </v>
      </c>
      <c r="CI488" s="598" t="str">
        <f t="shared" si="902"/>
        <v xml:space="preserve"> </v>
      </c>
      <c r="CJ488" s="598" t="str">
        <f t="shared" si="902"/>
        <v xml:space="preserve"> </v>
      </c>
      <c r="CK488" s="598" t="str">
        <f t="shared" si="902"/>
        <v xml:space="preserve"> </v>
      </c>
      <c r="CL488" s="598" t="str">
        <f t="shared" si="902"/>
        <v xml:space="preserve"> </v>
      </c>
      <c r="CM488" s="598" t="str">
        <f t="shared" si="902"/>
        <v xml:space="preserve"> </v>
      </c>
      <c r="CN488" s="598" t="str">
        <f t="shared" si="902"/>
        <v xml:space="preserve"> </v>
      </c>
    </row>
    <row r="489" spans="1:92">
      <c r="A489" s="598">
        <v>112</v>
      </c>
      <c r="B489" s="598" t="str">
        <f t="shared" ref="B489:K494" si="903">HLOOKUP(B$376,$C$255:$S$372,$A489+1)</f>
        <v xml:space="preserve"> </v>
      </c>
      <c r="C489" s="598" t="str">
        <f t="shared" si="903"/>
        <v xml:space="preserve"> </v>
      </c>
      <c r="D489" s="598" t="str">
        <f t="shared" si="903"/>
        <v xml:space="preserve"> </v>
      </c>
      <c r="E489" s="598" t="str">
        <f t="shared" si="903"/>
        <v xml:space="preserve"> </v>
      </c>
      <c r="F489" s="598" t="str">
        <f t="shared" si="903"/>
        <v xml:space="preserve"> </v>
      </c>
      <c r="G489" s="598" t="str">
        <f t="shared" si="903"/>
        <v xml:space="preserve"> </v>
      </c>
      <c r="H489" s="598" t="str">
        <f t="shared" si="903"/>
        <v xml:space="preserve"> </v>
      </c>
      <c r="I489" s="598" t="str">
        <f t="shared" si="903"/>
        <v xml:space="preserve"> </v>
      </c>
      <c r="J489" s="598" t="str">
        <f t="shared" si="903"/>
        <v xml:space="preserve"> </v>
      </c>
      <c r="K489" s="598" t="str">
        <f t="shared" si="903"/>
        <v xml:space="preserve"> </v>
      </c>
      <c r="L489" s="598" t="str">
        <f t="shared" ref="L489:U494" si="904">HLOOKUP(L$376,$C$255:$S$372,$A489+1)</f>
        <v xml:space="preserve"> </v>
      </c>
      <c r="M489" s="598" t="str">
        <f t="shared" si="904"/>
        <v xml:space="preserve"> </v>
      </c>
      <c r="N489" s="598" t="str">
        <f t="shared" si="904"/>
        <v xml:space="preserve"> </v>
      </c>
      <c r="O489" s="598" t="str">
        <f t="shared" si="904"/>
        <v xml:space="preserve"> </v>
      </c>
      <c r="P489" s="598" t="str">
        <f t="shared" si="904"/>
        <v xml:space="preserve"> </v>
      </c>
      <c r="Q489" s="598" t="str">
        <f t="shared" si="904"/>
        <v xml:space="preserve"> </v>
      </c>
      <c r="R489" s="598" t="str">
        <f t="shared" si="904"/>
        <v xml:space="preserve"> </v>
      </c>
      <c r="S489" s="598" t="str">
        <f t="shared" si="904"/>
        <v xml:space="preserve"> </v>
      </c>
      <c r="T489" s="598" t="str">
        <f t="shared" si="904"/>
        <v xml:space="preserve"> </v>
      </c>
      <c r="U489" s="598" t="str">
        <f t="shared" si="904"/>
        <v xml:space="preserve"> </v>
      </c>
      <c r="V489" s="598" t="str">
        <f t="shared" ref="V489:AE494" si="905">HLOOKUP(V$376,$C$255:$S$372,$A489+1)</f>
        <v xml:space="preserve"> </v>
      </c>
      <c r="W489" s="598" t="str">
        <f t="shared" si="905"/>
        <v xml:space="preserve"> </v>
      </c>
      <c r="X489" s="598" t="str">
        <f t="shared" si="905"/>
        <v xml:space="preserve"> </v>
      </c>
      <c r="Y489" s="598" t="str">
        <f t="shared" si="905"/>
        <v xml:space="preserve"> </v>
      </c>
      <c r="Z489" s="598" t="str">
        <f t="shared" si="905"/>
        <v xml:space="preserve"> </v>
      </c>
      <c r="AA489" s="598" t="str">
        <f t="shared" si="905"/>
        <v xml:space="preserve"> </v>
      </c>
      <c r="AB489" s="598" t="str">
        <f t="shared" si="905"/>
        <v xml:space="preserve"> </v>
      </c>
      <c r="AC489" s="598" t="str">
        <f t="shared" si="905"/>
        <v xml:space="preserve"> </v>
      </c>
      <c r="AD489" s="598" t="str">
        <f t="shared" si="905"/>
        <v xml:space="preserve"> </v>
      </c>
      <c r="AE489" s="598" t="str">
        <f t="shared" si="905"/>
        <v xml:space="preserve"> </v>
      </c>
      <c r="AF489" s="598" t="str">
        <f t="shared" ref="AF489:AT494" si="906">HLOOKUP(AF$376,$C$255:$S$372,$A489+1)</f>
        <v xml:space="preserve"> </v>
      </c>
      <c r="AG489" s="598" t="str">
        <f t="shared" si="906"/>
        <v xml:space="preserve"> </v>
      </c>
      <c r="AH489" s="598" t="str">
        <f t="shared" si="906"/>
        <v xml:space="preserve"> </v>
      </c>
      <c r="AI489" s="598" t="str">
        <f t="shared" si="906"/>
        <v xml:space="preserve"> </v>
      </c>
      <c r="AJ489" s="598" t="str">
        <f t="shared" si="906"/>
        <v xml:space="preserve"> </v>
      </c>
      <c r="AK489" s="598" t="str">
        <f t="shared" si="906"/>
        <v xml:space="preserve"> </v>
      </c>
      <c r="AL489" s="598" t="str">
        <f t="shared" si="906"/>
        <v xml:space="preserve"> </v>
      </c>
      <c r="AM489" s="598" t="str">
        <f t="shared" si="906"/>
        <v xml:space="preserve"> </v>
      </c>
      <c r="AN489" s="598" t="str">
        <f t="shared" si="906"/>
        <v xml:space="preserve"> </v>
      </c>
      <c r="AO489" s="598" t="str">
        <f t="shared" si="906"/>
        <v xml:space="preserve"> </v>
      </c>
      <c r="AP489" s="598" t="str">
        <f t="shared" si="906"/>
        <v xml:space="preserve"> </v>
      </c>
      <c r="AQ489" s="598" t="str">
        <f t="shared" si="906"/>
        <v xml:space="preserve"> </v>
      </c>
      <c r="AR489" s="598" t="str">
        <f t="shared" si="906"/>
        <v xml:space="preserve"> </v>
      </c>
      <c r="AS489" s="598" t="str">
        <f t="shared" si="906"/>
        <v xml:space="preserve"> </v>
      </c>
      <c r="AT489" s="598" t="str">
        <f t="shared" si="906"/>
        <v xml:space="preserve"> </v>
      </c>
      <c r="AV489" s="598" t="str">
        <f t="shared" ref="AV489:BE494" si="907">HLOOKUP(AV$376,$C$255:$S$372,$A489+1)</f>
        <v xml:space="preserve"> </v>
      </c>
      <c r="AW489" s="598" t="str">
        <f t="shared" si="907"/>
        <v xml:space="preserve"> </v>
      </c>
      <c r="AX489" s="598" t="str">
        <f t="shared" si="907"/>
        <v xml:space="preserve"> </v>
      </c>
      <c r="AY489" s="598" t="str">
        <f t="shared" si="907"/>
        <v xml:space="preserve"> </v>
      </c>
      <c r="AZ489" s="598" t="str">
        <f t="shared" si="907"/>
        <v xml:space="preserve"> </v>
      </c>
      <c r="BA489" s="598" t="str">
        <f t="shared" si="907"/>
        <v xml:space="preserve"> </v>
      </c>
      <c r="BB489" s="598" t="str">
        <f t="shared" si="907"/>
        <v xml:space="preserve"> </v>
      </c>
      <c r="BC489" s="598" t="str">
        <f t="shared" si="907"/>
        <v xml:space="preserve"> </v>
      </c>
      <c r="BD489" s="598" t="str">
        <f t="shared" si="907"/>
        <v xml:space="preserve"> </v>
      </c>
      <c r="BE489" s="598" t="str">
        <f t="shared" si="907"/>
        <v xml:space="preserve"> </v>
      </c>
      <c r="BF489" s="598" t="str">
        <f t="shared" ref="BF489:BO494" si="908">HLOOKUP(BF$376,$C$255:$S$372,$A489+1)</f>
        <v xml:space="preserve"> </v>
      </c>
      <c r="BG489" s="598" t="str">
        <f t="shared" si="908"/>
        <v xml:space="preserve"> </v>
      </c>
      <c r="BH489" s="598" t="str">
        <f t="shared" si="908"/>
        <v xml:space="preserve"> </v>
      </c>
      <c r="BI489" s="598" t="str">
        <f t="shared" si="908"/>
        <v xml:space="preserve"> </v>
      </c>
      <c r="BJ489" s="598" t="str">
        <f t="shared" si="908"/>
        <v xml:space="preserve"> </v>
      </c>
      <c r="BK489" s="598" t="str">
        <f t="shared" si="908"/>
        <v xml:space="preserve"> </v>
      </c>
      <c r="BL489" s="598" t="str">
        <f t="shared" si="908"/>
        <v xml:space="preserve"> </v>
      </c>
      <c r="BM489" s="598" t="str">
        <f t="shared" si="908"/>
        <v xml:space="preserve"> </v>
      </c>
      <c r="BN489" s="598" t="str">
        <f t="shared" si="908"/>
        <v xml:space="preserve"> </v>
      </c>
      <c r="BO489" s="598" t="str">
        <f t="shared" si="908"/>
        <v xml:space="preserve"> </v>
      </c>
      <c r="BP489" s="598" t="str">
        <f t="shared" ref="BP489:BY494" si="909">HLOOKUP(BP$376,$C$255:$S$372,$A489+1)</f>
        <v xml:space="preserve"> </v>
      </c>
      <c r="BQ489" s="598" t="str">
        <f t="shared" si="909"/>
        <v xml:space="preserve"> </v>
      </c>
      <c r="BR489" s="598" t="str">
        <f t="shared" si="909"/>
        <v xml:space="preserve"> </v>
      </c>
      <c r="BS489" s="598" t="str">
        <f t="shared" si="909"/>
        <v xml:space="preserve"> </v>
      </c>
      <c r="BT489" s="598" t="str">
        <f t="shared" si="909"/>
        <v xml:space="preserve"> </v>
      </c>
      <c r="BU489" s="598" t="str">
        <f t="shared" si="909"/>
        <v xml:space="preserve"> </v>
      </c>
      <c r="BV489" s="598" t="str">
        <f t="shared" si="909"/>
        <v xml:space="preserve"> </v>
      </c>
      <c r="BW489" s="598" t="str">
        <f t="shared" si="909"/>
        <v xml:space="preserve"> </v>
      </c>
      <c r="BX489" s="598" t="str">
        <f t="shared" si="909"/>
        <v xml:space="preserve"> </v>
      </c>
      <c r="BY489" s="598" t="str">
        <f t="shared" si="909"/>
        <v xml:space="preserve"> </v>
      </c>
      <c r="BZ489" s="598" t="str">
        <f t="shared" ref="BZ489:CN494" si="910">HLOOKUP(BZ$376,$C$255:$S$372,$A489+1)</f>
        <v xml:space="preserve"> </v>
      </c>
      <c r="CA489" s="598" t="str">
        <f t="shared" si="910"/>
        <v xml:space="preserve"> </v>
      </c>
      <c r="CB489" s="598" t="str">
        <f t="shared" si="910"/>
        <v xml:space="preserve"> </v>
      </c>
      <c r="CC489" s="598" t="str">
        <f t="shared" si="910"/>
        <v xml:space="preserve"> </v>
      </c>
      <c r="CD489" s="598" t="str">
        <f t="shared" si="910"/>
        <v xml:space="preserve"> </v>
      </c>
      <c r="CE489" s="598" t="str">
        <f t="shared" si="910"/>
        <v xml:space="preserve"> </v>
      </c>
      <c r="CF489" s="598" t="str">
        <f t="shared" si="910"/>
        <v xml:space="preserve"> </v>
      </c>
      <c r="CG489" s="598" t="str">
        <f t="shared" si="910"/>
        <v xml:space="preserve"> </v>
      </c>
      <c r="CH489" s="598" t="str">
        <f t="shared" si="910"/>
        <v xml:space="preserve"> </v>
      </c>
      <c r="CI489" s="598" t="str">
        <f t="shared" si="910"/>
        <v xml:space="preserve"> </v>
      </c>
      <c r="CJ489" s="598" t="str">
        <f t="shared" si="910"/>
        <v xml:space="preserve"> </v>
      </c>
      <c r="CK489" s="598" t="str">
        <f t="shared" si="910"/>
        <v xml:space="preserve"> </v>
      </c>
      <c r="CL489" s="598" t="str">
        <f t="shared" si="910"/>
        <v xml:space="preserve"> </v>
      </c>
      <c r="CM489" s="598" t="str">
        <f t="shared" si="910"/>
        <v xml:space="preserve"> </v>
      </c>
      <c r="CN489" s="598" t="str">
        <f t="shared" si="910"/>
        <v xml:space="preserve"> </v>
      </c>
    </row>
    <row r="490" spans="1:92">
      <c r="A490" s="598">
        <v>113</v>
      </c>
      <c r="B490" s="598" t="str">
        <f t="shared" si="903"/>
        <v xml:space="preserve"> </v>
      </c>
      <c r="C490" s="598" t="str">
        <f t="shared" si="903"/>
        <v xml:space="preserve"> </v>
      </c>
      <c r="D490" s="598" t="str">
        <f t="shared" si="903"/>
        <v xml:space="preserve"> </v>
      </c>
      <c r="E490" s="598" t="str">
        <f t="shared" si="903"/>
        <v xml:space="preserve"> </v>
      </c>
      <c r="F490" s="598" t="str">
        <f t="shared" si="903"/>
        <v xml:space="preserve"> </v>
      </c>
      <c r="G490" s="598" t="str">
        <f t="shared" si="903"/>
        <v xml:space="preserve"> </v>
      </c>
      <c r="H490" s="598" t="str">
        <f t="shared" si="903"/>
        <v xml:space="preserve"> </v>
      </c>
      <c r="I490" s="598" t="str">
        <f t="shared" si="903"/>
        <v xml:space="preserve"> </v>
      </c>
      <c r="J490" s="598" t="str">
        <f t="shared" si="903"/>
        <v xml:space="preserve"> </v>
      </c>
      <c r="K490" s="598" t="str">
        <f t="shared" si="903"/>
        <v xml:space="preserve"> </v>
      </c>
      <c r="L490" s="598" t="str">
        <f t="shared" si="904"/>
        <v xml:space="preserve"> </v>
      </c>
      <c r="M490" s="598" t="str">
        <f t="shared" si="904"/>
        <v xml:space="preserve"> </v>
      </c>
      <c r="N490" s="598" t="str">
        <f t="shared" si="904"/>
        <v xml:space="preserve"> </v>
      </c>
      <c r="O490" s="598" t="str">
        <f t="shared" si="904"/>
        <v xml:space="preserve"> </v>
      </c>
      <c r="P490" s="598" t="str">
        <f t="shared" si="904"/>
        <v xml:space="preserve"> </v>
      </c>
      <c r="Q490" s="598" t="str">
        <f t="shared" si="904"/>
        <v xml:space="preserve"> </v>
      </c>
      <c r="R490" s="598" t="str">
        <f t="shared" si="904"/>
        <v xml:space="preserve"> </v>
      </c>
      <c r="S490" s="598" t="str">
        <f t="shared" si="904"/>
        <v xml:space="preserve"> </v>
      </c>
      <c r="T490" s="598" t="str">
        <f t="shared" si="904"/>
        <v xml:space="preserve"> </v>
      </c>
      <c r="U490" s="598" t="str">
        <f t="shared" si="904"/>
        <v xml:space="preserve"> </v>
      </c>
      <c r="V490" s="598" t="str">
        <f t="shared" si="905"/>
        <v xml:space="preserve"> </v>
      </c>
      <c r="W490" s="598" t="str">
        <f t="shared" si="905"/>
        <v xml:space="preserve"> </v>
      </c>
      <c r="X490" s="598" t="str">
        <f t="shared" si="905"/>
        <v xml:space="preserve"> </v>
      </c>
      <c r="Y490" s="598" t="str">
        <f t="shared" si="905"/>
        <v xml:space="preserve"> </v>
      </c>
      <c r="Z490" s="598" t="str">
        <f t="shared" si="905"/>
        <v xml:space="preserve"> </v>
      </c>
      <c r="AA490" s="598" t="str">
        <f t="shared" si="905"/>
        <v xml:space="preserve"> </v>
      </c>
      <c r="AB490" s="598" t="str">
        <f t="shared" si="905"/>
        <v xml:space="preserve"> </v>
      </c>
      <c r="AC490" s="598" t="str">
        <f t="shared" si="905"/>
        <v xml:space="preserve"> </v>
      </c>
      <c r="AD490" s="598" t="str">
        <f t="shared" si="905"/>
        <v xml:space="preserve"> </v>
      </c>
      <c r="AE490" s="598" t="str">
        <f t="shared" si="905"/>
        <v xml:space="preserve"> </v>
      </c>
      <c r="AF490" s="598" t="str">
        <f t="shared" si="906"/>
        <v xml:space="preserve"> </v>
      </c>
      <c r="AG490" s="598" t="str">
        <f t="shared" si="906"/>
        <v xml:space="preserve"> </v>
      </c>
      <c r="AH490" s="598" t="str">
        <f t="shared" si="906"/>
        <v xml:space="preserve"> </v>
      </c>
      <c r="AI490" s="598" t="str">
        <f t="shared" si="906"/>
        <v xml:space="preserve"> </v>
      </c>
      <c r="AJ490" s="598" t="str">
        <f t="shared" si="906"/>
        <v xml:space="preserve"> </v>
      </c>
      <c r="AK490" s="598" t="str">
        <f t="shared" si="906"/>
        <v xml:space="preserve"> </v>
      </c>
      <c r="AL490" s="598" t="str">
        <f t="shared" si="906"/>
        <v xml:space="preserve"> </v>
      </c>
      <c r="AM490" s="598" t="str">
        <f t="shared" si="906"/>
        <v xml:space="preserve"> </v>
      </c>
      <c r="AN490" s="598" t="str">
        <f t="shared" si="906"/>
        <v xml:space="preserve"> </v>
      </c>
      <c r="AO490" s="598" t="str">
        <f t="shared" si="906"/>
        <v xml:space="preserve"> </v>
      </c>
      <c r="AP490" s="598" t="str">
        <f t="shared" si="906"/>
        <v xml:space="preserve"> </v>
      </c>
      <c r="AQ490" s="598" t="str">
        <f t="shared" si="906"/>
        <v xml:space="preserve"> </v>
      </c>
      <c r="AR490" s="598" t="str">
        <f t="shared" si="906"/>
        <v xml:space="preserve"> </v>
      </c>
      <c r="AS490" s="598" t="str">
        <f t="shared" si="906"/>
        <v xml:space="preserve"> </v>
      </c>
      <c r="AT490" s="598" t="str">
        <f t="shared" si="906"/>
        <v xml:space="preserve"> </v>
      </c>
      <c r="AV490" s="598" t="str">
        <f t="shared" si="907"/>
        <v xml:space="preserve"> </v>
      </c>
      <c r="AW490" s="598" t="str">
        <f t="shared" si="907"/>
        <v xml:space="preserve"> </v>
      </c>
      <c r="AX490" s="598" t="str">
        <f t="shared" si="907"/>
        <v xml:space="preserve"> </v>
      </c>
      <c r="AY490" s="598" t="str">
        <f t="shared" si="907"/>
        <v xml:space="preserve"> </v>
      </c>
      <c r="AZ490" s="598" t="str">
        <f t="shared" si="907"/>
        <v xml:space="preserve"> </v>
      </c>
      <c r="BA490" s="598" t="str">
        <f t="shared" si="907"/>
        <v xml:space="preserve"> </v>
      </c>
      <c r="BB490" s="598" t="str">
        <f t="shared" si="907"/>
        <v xml:space="preserve"> </v>
      </c>
      <c r="BC490" s="598" t="str">
        <f t="shared" si="907"/>
        <v xml:space="preserve"> </v>
      </c>
      <c r="BD490" s="598" t="str">
        <f t="shared" si="907"/>
        <v xml:space="preserve"> </v>
      </c>
      <c r="BE490" s="598" t="str">
        <f t="shared" si="907"/>
        <v xml:space="preserve"> </v>
      </c>
      <c r="BF490" s="598" t="str">
        <f t="shared" si="908"/>
        <v xml:space="preserve"> </v>
      </c>
      <c r="BG490" s="598" t="str">
        <f t="shared" si="908"/>
        <v xml:space="preserve"> </v>
      </c>
      <c r="BH490" s="598" t="str">
        <f t="shared" si="908"/>
        <v xml:space="preserve"> </v>
      </c>
      <c r="BI490" s="598" t="str">
        <f t="shared" si="908"/>
        <v xml:space="preserve"> </v>
      </c>
      <c r="BJ490" s="598" t="str">
        <f t="shared" si="908"/>
        <v xml:space="preserve"> </v>
      </c>
      <c r="BK490" s="598" t="str">
        <f t="shared" si="908"/>
        <v xml:space="preserve"> </v>
      </c>
      <c r="BL490" s="598" t="str">
        <f t="shared" si="908"/>
        <v xml:space="preserve"> </v>
      </c>
      <c r="BM490" s="598" t="str">
        <f t="shared" si="908"/>
        <v xml:space="preserve"> </v>
      </c>
      <c r="BN490" s="598" t="str">
        <f t="shared" si="908"/>
        <v xml:space="preserve"> </v>
      </c>
      <c r="BO490" s="598" t="str">
        <f t="shared" si="908"/>
        <v xml:space="preserve"> </v>
      </c>
      <c r="BP490" s="598" t="str">
        <f t="shared" si="909"/>
        <v xml:space="preserve"> </v>
      </c>
      <c r="BQ490" s="598" t="str">
        <f t="shared" si="909"/>
        <v xml:space="preserve"> </v>
      </c>
      <c r="BR490" s="598" t="str">
        <f t="shared" si="909"/>
        <v xml:space="preserve"> </v>
      </c>
      <c r="BS490" s="598" t="str">
        <f t="shared" si="909"/>
        <v xml:space="preserve"> </v>
      </c>
      <c r="BT490" s="598" t="str">
        <f t="shared" si="909"/>
        <v xml:space="preserve"> </v>
      </c>
      <c r="BU490" s="598" t="str">
        <f t="shared" si="909"/>
        <v xml:space="preserve"> </v>
      </c>
      <c r="BV490" s="598" t="str">
        <f t="shared" si="909"/>
        <v xml:space="preserve"> </v>
      </c>
      <c r="BW490" s="598" t="str">
        <f t="shared" si="909"/>
        <v xml:space="preserve"> </v>
      </c>
      <c r="BX490" s="598" t="str">
        <f t="shared" si="909"/>
        <v xml:space="preserve"> </v>
      </c>
      <c r="BY490" s="598" t="str">
        <f t="shared" si="909"/>
        <v xml:space="preserve"> </v>
      </c>
      <c r="BZ490" s="598" t="str">
        <f t="shared" si="910"/>
        <v xml:space="preserve"> </v>
      </c>
      <c r="CA490" s="598" t="str">
        <f t="shared" si="910"/>
        <v xml:space="preserve"> </v>
      </c>
      <c r="CB490" s="598" t="str">
        <f t="shared" si="910"/>
        <v xml:space="preserve"> </v>
      </c>
      <c r="CC490" s="598" t="str">
        <f t="shared" si="910"/>
        <v xml:space="preserve"> </v>
      </c>
      <c r="CD490" s="598" t="str">
        <f t="shared" si="910"/>
        <v xml:space="preserve"> </v>
      </c>
      <c r="CE490" s="598" t="str">
        <f t="shared" si="910"/>
        <v xml:space="preserve"> </v>
      </c>
      <c r="CF490" s="598" t="str">
        <f t="shared" si="910"/>
        <v xml:space="preserve"> </v>
      </c>
      <c r="CG490" s="598" t="str">
        <f t="shared" si="910"/>
        <v xml:space="preserve"> </v>
      </c>
      <c r="CH490" s="598" t="str">
        <f t="shared" si="910"/>
        <v xml:space="preserve"> </v>
      </c>
      <c r="CI490" s="598" t="str">
        <f t="shared" si="910"/>
        <v xml:space="preserve"> </v>
      </c>
      <c r="CJ490" s="598" t="str">
        <f t="shared" si="910"/>
        <v xml:space="preserve"> </v>
      </c>
      <c r="CK490" s="598" t="str">
        <f t="shared" si="910"/>
        <v xml:space="preserve"> </v>
      </c>
      <c r="CL490" s="598" t="str">
        <f t="shared" si="910"/>
        <v xml:space="preserve"> </v>
      </c>
      <c r="CM490" s="598" t="str">
        <f t="shared" si="910"/>
        <v xml:space="preserve"> </v>
      </c>
      <c r="CN490" s="598" t="str">
        <f t="shared" si="910"/>
        <v xml:space="preserve"> </v>
      </c>
    </row>
    <row r="491" spans="1:92">
      <c r="A491" s="598">
        <v>114</v>
      </c>
      <c r="B491" s="598" t="str">
        <f t="shared" si="903"/>
        <v xml:space="preserve"> </v>
      </c>
      <c r="C491" s="598" t="str">
        <f t="shared" si="903"/>
        <v xml:space="preserve"> </v>
      </c>
      <c r="D491" s="598" t="str">
        <f t="shared" si="903"/>
        <v xml:space="preserve"> </v>
      </c>
      <c r="E491" s="598" t="str">
        <f t="shared" si="903"/>
        <v xml:space="preserve"> </v>
      </c>
      <c r="F491" s="598" t="str">
        <f t="shared" si="903"/>
        <v xml:space="preserve"> </v>
      </c>
      <c r="G491" s="598" t="str">
        <f t="shared" si="903"/>
        <v xml:space="preserve"> </v>
      </c>
      <c r="H491" s="598" t="str">
        <f t="shared" si="903"/>
        <v xml:space="preserve"> </v>
      </c>
      <c r="I491" s="598" t="str">
        <f t="shared" si="903"/>
        <v xml:space="preserve"> </v>
      </c>
      <c r="J491" s="598" t="str">
        <f t="shared" si="903"/>
        <v xml:space="preserve"> </v>
      </c>
      <c r="K491" s="598" t="str">
        <f t="shared" si="903"/>
        <v xml:space="preserve"> </v>
      </c>
      <c r="L491" s="598" t="str">
        <f t="shared" si="904"/>
        <v xml:space="preserve"> </v>
      </c>
      <c r="M491" s="598" t="str">
        <f t="shared" si="904"/>
        <v xml:space="preserve"> </v>
      </c>
      <c r="N491" s="598" t="str">
        <f t="shared" si="904"/>
        <v xml:space="preserve"> </v>
      </c>
      <c r="O491" s="598" t="str">
        <f t="shared" si="904"/>
        <v xml:space="preserve"> </v>
      </c>
      <c r="P491" s="598" t="str">
        <f t="shared" si="904"/>
        <v xml:space="preserve"> </v>
      </c>
      <c r="Q491" s="598" t="str">
        <f t="shared" si="904"/>
        <v xml:space="preserve"> </v>
      </c>
      <c r="R491" s="598" t="str">
        <f t="shared" si="904"/>
        <v xml:space="preserve"> </v>
      </c>
      <c r="S491" s="598" t="str">
        <f t="shared" si="904"/>
        <v xml:space="preserve"> </v>
      </c>
      <c r="T491" s="598" t="str">
        <f t="shared" si="904"/>
        <v xml:space="preserve"> </v>
      </c>
      <c r="U491" s="598" t="str">
        <f t="shared" si="904"/>
        <v xml:space="preserve"> </v>
      </c>
      <c r="V491" s="598" t="str">
        <f t="shared" si="905"/>
        <v xml:space="preserve"> </v>
      </c>
      <c r="W491" s="598" t="str">
        <f t="shared" si="905"/>
        <v xml:space="preserve"> </v>
      </c>
      <c r="X491" s="598" t="str">
        <f t="shared" si="905"/>
        <v xml:space="preserve"> </v>
      </c>
      <c r="Y491" s="598" t="str">
        <f t="shared" si="905"/>
        <v xml:space="preserve"> </v>
      </c>
      <c r="Z491" s="598" t="str">
        <f t="shared" si="905"/>
        <v xml:space="preserve"> </v>
      </c>
      <c r="AA491" s="598" t="str">
        <f t="shared" si="905"/>
        <v xml:space="preserve"> </v>
      </c>
      <c r="AB491" s="598" t="str">
        <f t="shared" si="905"/>
        <v xml:space="preserve"> </v>
      </c>
      <c r="AC491" s="598" t="str">
        <f t="shared" si="905"/>
        <v xml:space="preserve"> </v>
      </c>
      <c r="AD491" s="598" t="str">
        <f t="shared" si="905"/>
        <v xml:space="preserve"> </v>
      </c>
      <c r="AE491" s="598" t="str">
        <f t="shared" si="905"/>
        <v xml:space="preserve"> </v>
      </c>
      <c r="AF491" s="598" t="str">
        <f t="shared" si="906"/>
        <v xml:space="preserve"> </v>
      </c>
      <c r="AG491" s="598" t="str">
        <f t="shared" si="906"/>
        <v xml:space="preserve"> </v>
      </c>
      <c r="AH491" s="598" t="str">
        <f t="shared" si="906"/>
        <v xml:space="preserve"> </v>
      </c>
      <c r="AI491" s="598" t="str">
        <f t="shared" si="906"/>
        <v xml:space="preserve"> </v>
      </c>
      <c r="AJ491" s="598" t="str">
        <f t="shared" si="906"/>
        <v xml:space="preserve"> </v>
      </c>
      <c r="AK491" s="598" t="str">
        <f t="shared" si="906"/>
        <v xml:space="preserve"> </v>
      </c>
      <c r="AL491" s="598" t="str">
        <f t="shared" si="906"/>
        <v xml:space="preserve"> </v>
      </c>
      <c r="AM491" s="598" t="str">
        <f t="shared" si="906"/>
        <v xml:space="preserve"> </v>
      </c>
      <c r="AN491" s="598" t="str">
        <f t="shared" si="906"/>
        <v xml:space="preserve"> </v>
      </c>
      <c r="AO491" s="598" t="str">
        <f t="shared" si="906"/>
        <v xml:space="preserve"> </v>
      </c>
      <c r="AP491" s="598" t="str">
        <f t="shared" si="906"/>
        <v xml:space="preserve"> </v>
      </c>
      <c r="AQ491" s="598" t="str">
        <f t="shared" si="906"/>
        <v xml:space="preserve"> </v>
      </c>
      <c r="AR491" s="598" t="str">
        <f t="shared" si="906"/>
        <v xml:space="preserve"> </v>
      </c>
      <c r="AS491" s="598" t="str">
        <f t="shared" si="906"/>
        <v xml:space="preserve"> </v>
      </c>
      <c r="AT491" s="598" t="str">
        <f t="shared" si="906"/>
        <v xml:space="preserve"> </v>
      </c>
      <c r="AV491" s="598" t="str">
        <f t="shared" si="907"/>
        <v xml:space="preserve"> </v>
      </c>
      <c r="AW491" s="598" t="str">
        <f t="shared" si="907"/>
        <v xml:space="preserve"> </v>
      </c>
      <c r="AX491" s="598" t="str">
        <f t="shared" si="907"/>
        <v xml:space="preserve"> </v>
      </c>
      <c r="AY491" s="598" t="str">
        <f t="shared" si="907"/>
        <v xml:space="preserve"> </v>
      </c>
      <c r="AZ491" s="598" t="str">
        <f t="shared" si="907"/>
        <v xml:space="preserve"> </v>
      </c>
      <c r="BA491" s="598" t="str">
        <f t="shared" si="907"/>
        <v xml:space="preserve"> </v>
      </c>
      <c r="BB491" s="598" t="str">
        <f t="shared" si="907"/>
        <v xml:space="preserve"> </v>
      </c>
      <c r="BC491" s="598" t="str">
        <f t="shared" si="907"/>
        <v xml:space="preserve"> </v>
      </c>
      <c r="BD491" s="598" t="str">
        <f t="shared" si="907"/>
        <v xml:space="preserve"> </v>
      </c>
      <c r="BE491" s="598" t="str">
        <f t="shared" si="907"/>
        <v xml:space="preserve"> </v>
      </c>
      <c r="BF491" s="598" t="str">
        <f t="shared" si="908"/>
        <v xml:space="preserve"> </v>
      </c>
      <c r="BG491" s="598" t="str">
        <f t="shared" si="908"/>
        <v xml:space="preserve"> </v>
      </c>
      <c r="BH491" s="598" t="str">
        <f t="shared" si="908"/>
        <v xml:space="preserve"> </v>
      </c>
      <c r="BI491" s="598" t="str">
        <f t="shared" si="908"/>
        <v xml:space="preserve"> </v>
      </c>
      <c r="BJ491" s="598" t="str">
        <f t="shared" si="908"/>
        <v xml:space="preserve"> </v>
      </c>
      <c r="BK491" s="598" t="str">
        <f t="shared" si="908"/>
        <v xml:space="preserve"> </v>
      </c>
      <c r="BL491" s="598" t="str">
        <f t="shared" si="908"/>
        <v xml:space="preserve"> </v>
      </c>
      <c r="BM491" s="598" t="str">
        <f t="shared" si="908"/>
        <v xml:space="preserve"> </v>
      </c>
      <c r="BN491" s="598" t="str">
        <f t="shared" si="908"/>
        <v xml:space="preserve"> </v>
      </c>
      <c r="BO491" s="598" t="str">
        <f t="shared" si="908"/>
        <v xml:space="preserve"> </v>
      </c>
      <c r="BP491" s="598" t="str">
        <f t="shared" si="909"/>
        <v xml:space="preserve"> </v>
      </c>
      <c r="BQ491" s="598" t="str">
        <f t="shared" si="909"/>
        <v xml:space="preserve"> </v>
      </c>
      <c r="BR491" s="598" t="str">
        <f t="shared" si="909"/>
        <v xml:space="preserve"> </v>
      </c>
      <c r="BS491" s="598" t="str">
        <f t="shared" si="909"/>
        <v xml:space="preserve"> </v>
      </c>
      <c r="BT491" s="598" t="str">
        <f t="shared" si="909"/>
        <v xml:space="preserve"> </v>
      </c>
      <c r="BU491" s="598" t="str">
        <f t="shared" si="909"/>
        <v xml:space="preserve"> </v>
      </c>
      <c r="BV491" s="598" t="str">
        <f t="shared" si="909"/>
        <v xml:space="preserve"> </v>
      </c>
      <c r="BW491" s="598" t="str">
        <f t="shared" si="909"/>
        <v xml:space="preserve"> </v>
      </c>
      <c r="BX491" s="598" t="str">
        <f t="shared" si="909"/>
        <v xml:space="preserve"> </v>
      </c>
      <c r="BY491" s="598" t="str">
        <f t="shared" si="909"/>
        <v xml:space="preserve"> </v>
      </c>
      <c r="BZ491" s="598" t="str">
        <f t="shared" si="910"/>
        <v xml:space="preserve"> </v>
      </c>
      <c r="CA491" s="598" t="str">
        <f t="shared" si="910"/>
        <v xml:space="preserve"> </v>
      </c>
      <c r="CB491" s="598" t="str">
        <f t="shared" si="910"/>
        <v xml:space="preserve"> </v>
      </c>
      <c r="CC491" s="598" t="str">
        <f t="shared" si="910"/>
        <v xml:space="preserve"> </v>
      </c>
      <c r="CD491" s="598" t="str">
        <f t="shared" si="910"/>
        <v xml:space="preserve"> </v>
      </c>
      <c r="CE491" s="598" t="str">
        <f t="shared" si="910"/>
        <v xml:space="preserve"> </v>
      </c>
      <c r="CF491" s="598" t="str">
        <f t="shared" si="910"/>
        <v xml:space="preserve"> </v>
      </c>
      <c r="CG491" s="598" t="str">
        <f t="shared" si="910"/>
        <v xml:space="preserve"> </v>
      </c>
      <c r="CH491" s="598" t="str">
        <f t="shared" si="910"/>
        <v xml:space="preserve"> </v>
      </c>
      <c r="CI491" s="598" t="str">
        <f t="shared" si="910"/>
        <v xml:space="preserve"> </v>
      </c>
      <c r="CJ491" s="598" t="str">
        <f t="shared" si="910"/>
        <v xml:space="preserve"> </v>
      </c>
      <c r="CK491" s="598" t="str">
        <f t="shared" si="910"/>
        <v xml:space="preserve"> </v>
      </c>
      <c r="CL491" s="598" t="str">
        <f t="shared" si="910"/>
        <v xml:space="preserve"> </v>
      </c>
      <c r="CM491" s="598" t="str">
        <f t="shared" si="910"/>
        <v xml:space="preserve"> </v>
      </c>
      <c r="CN491" s="598" t="str">
        <f t="shared" si="910"/>
        <v xml:space="preserve"> </v>
      </c>
    </row>
    <row r="492" spans="1:92">
      <c r="A492" s="598">
        <v>115</v>
      </c>
      <c r="B492" s="598" t="str">
        <f t="shared" si="903"/>
        <v xml:space="preserve"> </v>
      </c>
      <c r="C492" s="598" t="str">
        <f t="shared" si="903"/>
        <v xml:space="preserve"> </v>
      </c>
      <c r="D492" s="598" t="str">
        <f t="shared" si="903"/>
        <v xml:space="preserve"> </v>
      </c>
      <c r="E492" s="598" t="str">
        <f t="shared" si="903"/>
        <v xml:space="preserve"> </v>
      </c>
      <c r="F492" s="598" t="str">
        <f t="shared" si="903"/>
        <v xml:space="preserve"> </v>
      </c>
      <c r="G492" s="598" t="str">
        <f t="shared" si="903"/>
        <v xml:space="preserve"> </v>
      </c>
      <c r="H492" s="598" t="str">
        <f t="shared" si="903"/>
        <v xml:space="preserve"> </v>
      </c>
      <c r="I492" s="598" t="str">
        <f t="shared" si="903"/>
        <v xml:space="preserve"> </v>
      </c>
      <c r="J492" s="598" t="str">
        <f t="shared" si="903"/>
        <v xml:space="preserve"> </v>
      </c>
      <c r="K492" s="598" t="str">
        <f t="shared" si="903"/>
        <v xml:space="preserve"> </v>
      </c>
      <c r="L492" s="598" t="str">
        <f t="shared" si="904"/>
        <v xml:space="preserve"> </v>
      </c>
      <c r="M492" s="598" t="str">
        <f t="shared" si="904"/>
        <v xml:space="preserve"> </v>
      </c>
      <c r="N492" s="598" t="str">
        <f t="shared" si="904"/>
        <v xml:space="preserve"> </v>
      </c>
      <c r="O492" s="598" t="str">
        <f t="shared" si="904"/>
        <v xml:space="preserve"> </v>
      </c>
      <c r="P492" s="598" t="str">
        <f t="shared" si="904"/>
        <v xml:space="preserve"> </v>
      </c>
      <c r="Q492" s="598" t="str">
        <f t="shared" si="904"/>
        <v xml:space="preserve"> </v>
      </c>
      <c r="R492" s="598" t="str">
        <f t="shared" si="904"/>
        <v xml:space="preserve"> </v>
      </c>
      <c r="S492" s="598" t="str">
        <f t="shared" si="904"/>
        <v xml:space="preserve"> </v>
      </c>
      <c r="T492" s="598" t="str">
        <f t="shared" si="904"/>
        <v xml:space="preserve"> </v>
      </c>
      <c r="U492" s="598" t="str">
        <f t="shared" si="904"/>
        <v xml:space="preserve"> </v>
      </c>
      <c r="V492" s="598" t="str">
        <f t="shared" si="905"/>
        <v xml:space="preserve"> </v>
      </c>
      <c r="W492" s="598" t="str">
        <f t="shared" si="905"/>
        <v xml:space="preserve"> </v>
      </c>
      <c r="X492" s="598" t="str">
        <f t="shared" si="905"/>
        <v xml:space="preserve"> </v>
      </c>
      <c r="Y492" s="598" t="str">
        <f t="shared" si="905"/>
        <v xml:space="preserve"> </v>
      </c>
      <c r="Z492" s="598" t="str">
        <f t="shared" si="905"/>
        <v xml:space="preserve"> </v>
      </c>
      <c r="AA492" s="598" t="str">
        <f t="shared" si="905"/>
        <v xml:space="preserve"> </v>
      </c>
      <c r="AB492" s="598" t="str">
        <f t="shared" si="905"/>
        <v xml:space="preserve"> </v>
      </c>
      <c r="AC492" s="598" t="str">
        <f t="shared" si="905"/>
        <v xml:space="preserve"> </v>
      </c>
      <c r="AD492" s="598" t="str">
        <f t="shared" si="905"/>
        <v xml:space="preserve"> </v>
      </c>
      <c r="AE492" s="598" t="str">
        <f t="shared" si="905"/>
        <v xml:space="preserve"> </v>
      </c>
      <c r="AF492" s="598" t="str">
        <f t="shared" si="906"/>
        <v xml:space="preserve"> </v>
      </c>
      <c r="AG492" s="598" t="str">
        <f t="shared" si="906"/>
        <v xml:space="preserve"> </v>
      </c>
      <c r="AH492" s="598" t="str">
        <f t="shared" si="906"/>
        <v xml:space="preserve"> </v>
      </c>
      <c r="AI492" s="598" t="str">
        <f t="shared" si="906"/>
        <v xml:space="preserve"> </v>
      </c>
      <c r="AJ492" s="598" t="str">
        <f t="shared" si="906"/>
        <v xml:space="preserve"> </v>
      </c>
      <c r="AK492" s="598" t="str">
        <f t="shared" si="906"/>
        <v xml:space="preserve"> </v>
      </c>
      <c r="AL492" s="598" t="str">
        <f t="shared" si="906"/>
        <v xml:space="preserve"> </v>
      </c>
      <c r="AM492" s="598" t="str">
        <f t="shared" si="906"/>
        <v xml:space="preserve"> </v>
      </c>
      <c r="AN492" s="598" t="str">
        <f t="shared" si="906"/>
        <v xml:space="preserve"> </v>
      </c>
      <c r="AO492" s="598" t="str">
        <f t="shared" si="906"/>
        <v xml:space="preserve"> </v>
      </c>
      <c r="AP492" s="598" t="str">
        <f t="shared" si="906"/>
        <v xml:space="preserve"> </v>
      </c>
      <c r="AQ492" s="598" t="str">
        <f t="shared" si="906"/>
        <v xml:space="preserve"> </v>
      </c>
      <c r="AR492" s="598" t="str">
        <f t="shared" si="906"/>
        <v xml:space="preserve"> </v>
      </c>
      <c r="AS492" s="598" t="str">
        <f t="shared" si="906"/>
        <v xml:space="preserve"> </v>
      </c>
      <c r="AT492" s="598" t="str">
        <f t="shared" si="906"/>
        <v xml:space="preserve"> </v>
      </c>
      <c r="AV492" s="598" t="str">
        <f t="shared" si="907"/>
        <v xml:space="preserve"> </v>
      </c>
      <c r="AW492" s="598" t="str">
        <f t="shared" si="907"/>
        <v xml:space="preserve"> </v>
      </c>
      <c r="AX492" s="598" t="str">
        <f t="shared" si="907"/>
        <v xml:space="preserve"> </v>
      </c>
      <c r="AY492" s="598" t="str">
        <f t="shared" si="907"/>
        <v xml:space="preserve"> </v>
      </c>
      <c r="AZ492" s="598" t="str">
        <f t="shared" si="907"/>
        <v xml:space="preserve"> </v>
      </c>
      <c r="BA492" s="598" t="str">
        <f t="shared" si="907"/>
        <v xml:space="preserve"> </v>
      </c>
      <c r="BB492" s="598" t="str">
        <f t="shared" si="907"/>
        <v xml:space="preserve"> </v>
      </c>
      <c r="BC492" s="598" t="str">
        <f t="shared" si="907"/>
        <v xml:space="preserve"> </v>
      </c>
      <c r="BD492" s="598" t="str">
        <f t="shared" si="907"/>
        <v xml:space="preserve"> </v>
      </c>
      <c r="BE492" s="598" t="str">
        <f t="shared" si="907"/>
        <v xml:space="preserve"> </v>
      </c>
      <c r="BF492" s="598" t="str">
        <f t="shared" si="908"/>
        <v xml:space="preserve"> </v>
      </c>
      <c r="BG492" s="598" t="str">
        <f t="shared" si="908"/>
        <v xml:space="preserve"> </v>
      </c>
      <c r="BH492" s="598" t="str">
        <f t="shared" si="908"/>
        <v xml:space="preserve"> </v>
      </c>
      <c r="BI492" s="598" t="str">
        <f t="shared" si="908"/>
        <v xml:space="preserve"> </v>
      </c>
      <c r="BJ492" s="598" t="str">
        <f t="shared" si="908"/>
        <v xml:space="preserve"> </v>
      </c>
      <c r="BK492" s="598" t="str">
        <f t="shared" si="908"/>
        <v xml:space="preserve"> </v>
      </c>
      <c r="BL492" s="598" t="str">
        <f t="shared" si="908"/>
        <v xml:space="preserve"> </v>
      </c>
      <c r="BM492" s="598" t="str">
        <f t="shared" si="908"/>
        <v xml:space="preserve"> </v>
      </c>
      <c r="BN492" s="598" t="str">
        <f t="shared" si="908"/>
        <v xml:space="preserve"> </v>
      </c>
      <c r="BO492" s="598" t="str">
        <f t="shared" si="908"/>
        <v xml:space="preserve"> </v>
      </c>
      <c r="BP492" s="598" t="str">
        <f t="shared" si="909"/>
        <v xml:space="preserve"> </v>
      </c>
      <c r="BQ492" s="598" t="str">
        <f t="shared" si="909"/>
        <v xml:space="preserve"> </v>
      </c>
      <c r="BR492" s="598" t="str">
        <f t="shared" si="909"/>
        <v xml:space="preserve"> </v>
      </c>
      <c r="BS492" s="598" t="str">
        <f t="shared" si="909"/>
        <v xml:space="preserve"> </v>
      </c>
      <c r="BT492" s="598" t="str">
        <f t="shared" si="909"/>
        <v xml:space="preserve"> </v>
      </c>
      <c r="BU492" s="598" t="str">
        <f t="shared" si="909"/>
        <v xml:space="preserve"> </v>
      </c>
      <c r="BV492" s="598" t="str">
        <f t="shared" si="909"/>
        <v xml:space="preserve"> </v>
      </c>
      <c r="BW492" s="598" t="str">
        <f t="shared" si="909"/>
        <v xml:space="preserve"> </v>
      </c>
      <c r="BX492" s="598" t="str">
        <f t="shared" si="909"/>
        <v xml:space="preserve"> </v>
      </c>
      <c r="BY492" s="598" t="str">
        <f t="shared" si="909"/>
        <v xml:space="preserve"> </v>
      </c>
      <c r="BZ492" s="598" t="str">
        <f t="shared" si="910"/>
        <v xml:space="preserve"> </v>
      </c>
      <c r="CA492" s="598" t="str">
        <f t="shared" si="910"/>
        <v xml:space="preserve"> </v>
      </c>
      <c r="CB492" s="598" t="str">
        <f t="shared" si="910"/>
        <v xml:space="preserve"> </v>
      </c>
      <c r="CC492" s="598" t="str">
        <f t="shared" si="910"/>
        <v xml:space="preserve"> </v>
      </c>
      <c r="CD492" s="598" t="str">
        <f t="shared" si="910"/>
        <v xml:space="preserve"> </v>
      </c>
      <c r="CE492" s="598" t="str">
        <f t="shared" si="910"/>
        <v xml:space="preserve"> </v>
      </c>
      <c r="CF492" s="598" t="str">
        <f t="shared" si="910"/>
        <v xml:space="preserve"> </v>
      </c>
      <c r="CG492" s="598" t="str">
        <f t="shared" si="910"/>
        <v xml:space="preserve"> </v>
      </c>
      <c r="CH492" s="598" t="str">
        <f t="shared" si="910"/>
        <v xml:space="preserve"> </v>
      </c>
      <c r="CI492" s="598" t="str">
        <f t="shared" si="910"/>
        <v xml:space="preserve"> </v>
      </c>
      <c r="CJ492" s="598" t="str">
        <f t="shared" si="910"/>
        <v xml:space="preserve"> </v>
      </c>
      <c r="CK492" s="598" t="str">
        <f t="shared" si="910"/>
        <v xml:space="preserve"> </v>
      </c>
      <c r="CL492" s="598" t="str">
        <f t="shared" si="910"/>
        <v xml:space="preserve"> </v>
      </c>
      <c r="CM492" s="598" t="str">
        <f t="shared" si="910"/>
        <v xml:space="preserve"> </v>
      </c>
      <c r="CN492" s="598" t="str">
        <f t="shared" si="910"/>
        <v xml:space="preserve"> </v>
      </c>
    </row>
    <row r="493" spans="1:92">
      <c r="A493" s="598">
        <v>116</v>
      </c>
      <c r="B493" s="598" t="str">
        <f t="shared" si="903"/>
        <v xml:space="preserve"> </v>
      </c>
      <c r="C493" s="598" t="str">
        <f t="shared" si="903"/>
        <v xml:space="preserve"> </v>
      </c>
      <c r="D493" s="598" t="str">
        <f t="shared" si="903"/>
        <v xml:space="preserve"> </v>
      </c>
      <c r="E493" s="598" t="str">
        <f t="shared" si="903"/>
        <v xml:space="preserve"> </v>
      </c>
      <c r="F493" s="598" t="str">
        <f t="shared" si="903"/>
        <v xml:space="preserve"> </v>
      </c>
      <c r="G493" s="598" t="str">
        <f t="shared" si="903"/>
        <v xml:space="preserve"> </v>
      </c>
      <c r="H493" s="598" t="str">
        <f t="shared" si="903"/>
        <v xml:space="preserve"> </v>
      </c>
      <c r="I493" s="598" t="str">
        <f t="shared" si="903"/>
        <v xml:space="preserve"> </v>
      </c>
      <c r="J493" s="598" t="str">
        <f t="shared" si="903"/>
        <v xml:space="preserve"> </v>
      </c>
      <c r="K493" s="598" t="str">
        <f t="shared" si="903"/>
        <v xml:space="preserve"> </v>
      </c>
      <c r="L493" s="598" t="str">
        <f t="shared" si="904"/>
        <v xml:space="preserve"> </v>
      </c>
      <c r="M493" s="598" t="str">
        <f t="shared" si="904"/>
        <v xml:space="preserve"> </v>
      </c>
      <c r="N493" s="598" t="str">
        <f t="shared" si="904"/>
        <v xml:space="preserve"> </v>
      </c>
      <c r="O493" s="598" t="str">
        <f t="shared" si="904"/>
        <v xml:space="preserve"> </v>
      </c>
      <c r="P493" s="598" t="str">
        <f t="shared" si="904"/>
        <v xml:space="preserve"> </v>
      </c>
      <c r="Q493" s="598" t="str">
        <f t="shared" si="904"/>
        <v xml:space="preserve"> </v>
      </c>
      <c r="R493" s="598" t="str">
        <f t="shared" si="904"/>
        <v xml:space="preserve"> </v>
      </c>
      <c r="S493" s="598" t="str">
        <f t="shared" si="904"/>
        <v xml:space="preserve"> </v>
      </c>
      <c r="T493" s="598" t="str">
        <f t="shared" si="904"/>
        <v xml:space="preserve"> </v>
      </c>
      <c r="U493" s="598" t="str">
        <f t="shared" si="904"/>
        <v xml:space="preserve"> </v>
      </c>
      <c r="V493" s="598" t="str">
        <f t="shared" si="905"/>
        <v xml:space="preserve"> </v>
      </c>
      <c r="W493" s="598" t="str">
        <f t="shared" si="905"/>
        <v xml:space="preserve"> </v>
      </c>
      <c r="X493" s="598" t="str">
        <f t="shared" si="905"/>
        <v xml:space="preserve"> </v>
      </c>
      <c r="Y493" s="598" t="str">
        <f t="shared" si="905"/>
        <v xml:space="preserve"> </v>
      </c>
      <c r="Z493" s="598" t="str">
        <f t="shared" si="905"/>
        <v xml:space="preserve"> </v>
      </c>
      <c r="AA493" s="598" t="str">
        <f t="shared" si="905"/>
        <v xml:space="preserve"> </v>
      </c>
      <c r="AB493" s="598" t="str">
        <f t="shared" si="905"/>
        <v xml:space="preserve"> </v>
      </c>
      <c r="AC493" s="598" t="str">
        <f t="shared" si="905"/>
        <v xml:space="preserve"> </v>
      </c>
      <c r="AD493" s="598" t="str">
        <f t="shared" si="905"/>
        <v xml:space="preserve"> </v>
      </c>
      <c r="AE493" s="598" t="str">
        <f t="shared" si="905"/>
        <v xml:space="preserve"> </v>
      </c>
      <c r="AF493" s="598" t="str">
        <f t="shared" si="906"/>
        <v xml:space="preserve"> </v>
      </c>
      <c r="AG493" s="598" t="str">
        <f t="shared" si="906"/>
        <v xml:space="preserve"> </v>
      </c>
      <c r="AH493" s="598" t="str">
        <f t="shared" si="906"/>
        <v xml:space="preserve"> </v>
      </c>
      <c r="AI493" s="598" t="str">
        <f t="shared" si="906"/>
        <v xml:space="preserve"> </v>
      </c>
      <c r="AJ493" s="598" t="str">
        <f t="shared" si="906"/>
        <v xml:space="preserve"> </v>
      </c>
      <c r="AK493" s="598" t="str">
        <f t="shared" si="906"/>
        <v xml:space="preserve"> </v>
      </c>
      <c r="AL493" s="598" t="str">
        <f t="shared" si="906"/>
        <v xml:space="preserve"> </v>
      </c>
      <c r="AM493" s="598" t="str">
        <f t="shared" si="906"/>
        <v xml:space="preserve"> </v>
      </c>
      <c r="AN493" s="598" t="str">
        <f t="shared" si="906"/>
        <v xml:space="preserve"> </v>
      </c>
      <c r="AO493" s="598" t="str">
        <f t="shared" si="906"/>
        <v xml:space="preserve"> </v>
      </c>
      <c r="AP493" s="598" t="str">
        <f t="shared" si="906"/>
        <v xml:space="preserve"> </v>
      </c>
      <c r="AQ493" s="598" t="str">
        <f t="shared" si="906"/>
        <v xml:space="preserve"> </v>
      </c>
      <c r="AR493" s="598" t="str">
        <f t="shared" si="906"/>
        <v xml:space="preserve"> </v>
      </c>
      <c r="AS493" s="598" t="str">
        <f t="shared" si="906"/>
        <v xml:space="preserve"> </v>
      </c>
      <c r="AT493" s="598" t="str">
        <f t="shared" si="906"/>
        <v xml:space="preserve"> </v>
      </c>
      <c r="AV493" s="598" t="str">
        <f t="shared" si="907"/>
        <v xml:space="preserve"> </v>
      </c>
      <c r="AW493" s="598" t="str">
        <f t="shared" si="907"/>
        <v xml:space="preserve"> </v>
      </c>
      <c r="AX493" s="598" t="str">
        <f t="shared" si="907"/>
        <v xml:space="preserve"> </v>
      </c>
      <c r="AY493" s="598" t="str">
        <f t="shared" si="907"/>
        <v xml:space="preserve"> </v>
      </c>
      <c r="AZ493" s="598" t="str">
        <f t="shared" si="907"/>
        <v xml:space="preserve"> </v>
      </c>
      <c r="BA493" s="598" t="str">
        <f t="shared" si="907"/>
        <v xml:space="preserve"> </v>
      </c>
      <c r="BB493" s="598" t="str">
        <f t="shared" si="907"/>
        <v xml:space="preserve"> </v>
      </c>
      <c r="BC493" s="598" t="str">
        <f t="shared" si="907"/>
        <v xml:space="preserve"> </v>
      </c>
      <c r="BD493" s="598" t="str">
        <f t="shared" si="907"/>
        <v xml:space="preserve"> </v>
      </c>
      <c r="BE493" s="598" t="str">
        <f t="shared" si="907"/>
        <v xml:space="preserve"> </v>
      </c>
      <c r="BF493" s="598" t="str">
        <f t="shared" si="908"/>
        <v xml:space="preserve"> </v>
      </c>
      <c r="BG493" s="598" t="str">
        <f t="shared" si="908"/>
        <v xml:space="preserve"> </v>
      </c>
      <c r="BH493" s="598" t="str">
        <f t="shared" si="908"/>
        <v xml:space="preserve"> </v>
      </c>
      <c r="BI493" s="598" t="str">
        <f t="shared" si="908"/>
        <v xml:space="preserve"> </v>
      </c>
      <c r="BJ493" s="598" t="str">
        <f t="shared" si="908"/>
        <v xml:space="preserve"> </v>
      </c>
      <c r="BK493" s="598" t="str">
        <f t="shared" si="908"/>
        <v xml:space="preserve"> </v>
      </c>
      <c r="BL493" s="598" t="str">
        <f t="shared" si="908"/>
        <v xml:space="preserve"> </v>
      </c>
      <c r="BM493" s="598" t="str">
        <f t="shared" si="908"/>
        <v xml:space="preserve"> </v>
      </c>
      <c r="BN493" s="598" t="str">
        <f t="shared" si="908"/>
        <v xml:space="preserve"> </v>
      </c>
      <c r="BO493" s="598" t="str">
        <f t="shared" si="908"/>
        <v xml:space="preserve"> </v>
      </c>
      <c r="BP493" s="598" t="str">
        <f t="shared" si="909"/>
        <v xml:space="preserve"> </v>
      </c>
      <c r="BQ493" s="598" t="str">
        <f t="shared" si="909"/>
        <v xml:space="preserve"> </v>
      </c>
      <c r="BR493" s="598" t="str">
        <f t="shared" si="909"/>
        <v xml:space="preserve"> </v>
      </c>
      <c r="BS493" s="598" t="str">
        <f t="shared" si="909"/>
        <v xml:space="preserve"> </v>
      </c>
      <c r="BT493" s="598" t="str">
        <f t="shared" si="909"/>
        <v xml:space="preserve"> </v>
      </c>
      <c r="BU493" s="598" t="str">
        <f t="shared" si="909"/>
        <v xml:space="preserve"> </v>
      </c>
      <c r="BV493" s="598" t="str">
        <f t="shared" si="909"/>
        <v xml:space="preserve"> </v>
      </c>
      <c r="BW493" s="598" t="str">
        <f t="shared" si="909"/>
        <v xml:space="preserve"> </v>
      </c>
      <c r="BX493" s="598" t="str">
        <f t="shared" si="909"/>
        <v xml:space="preserve"> </v>
      </c>
      <c r="BY493" s="598" t="str">
        <f t="shared" si="909"/>
        <v xml:space="preserve"> </v>
      </c>
      <c r="BZ493" s="598" t="str">
        <f t="shared" si="910"/>
        <v xml:space="preserve"> </v>
      </c>
      <c r="CA493" s="598" t="str">
        <f t="shared" si="910"/>
        <v xml:space="preserve"> </v>
      </c>
      <c r="CB493" s="598" t="str">
        <f t="shared" si="910"/>
        <v xml:space="preserve"> </v>
      </c>
      <c r="CC493" s="598" t="str">
        <f t="shared" si="910"/>
        <v xml:space="preserve"> </v>
      </c>
      <c r="CD493" s="598" t="str">
        <f t="shared" si="910"/>
        <v xml:space="preserve"> </v>
      </c>
      <c r="CE493" s="598" t="str">
        <f t="shared" si="910"/>
        <v xml:space="preserve"> </v>
      </c>
      <c r="CF493" s="598" t="str">
        <f t="shared" si="910"/>
        <v xml:space="preserve"> </v>
      </c>
      <c r="CG493" s="598" t="str">
        <f t="shared" si="910"/>
        <v xml:space="preserve"> </v>
      </c>
      <c r="CH493" s="598" t="str">
        <f t="shared" si="910"/>
        <v xml:space="preserve"> </v>
      </c>
      <c r="CI493" s="598" t="str">
        <f t="shared" si="910"/>
        <v xml:space="preserve"> </v>
      </c>
      <c r="CJ493" s="598" t="str">
        <f t="shared" si="910"/>
        <v xml:space="preserve"> </v>
      </c>
      <c r="CK493" s="598" t="str">
        <f t="shared" si="910"/>
        <v xml:space="preserve"> </v>
      </c>
      <c r="CL493" s="598" t="str">
        <f t="shared" si="910"/>
        <v xml:space="preserve"> </v>
      </c>
      <c r="CM493" s="598" t="str">
        <f t="shared" si="910"/>
        <v xml:space="preserve"> </v>
      </c>
      <c r="CN493" s="598" t="str">
        <f t="shared" si="910"/>
        <v xml:space="preserve"> </v>
      </c>
    </row>
    <row r="494" spans="1:92">
      <c r="A494" s="598">
        <v>117</v>
      </c>
      <c r="B494" s="598" t="str">
        <f t="shared" si="903"/>
        <v xml:space="preserve"> </v>
      </c>
      <c r="C494" s="598" t="str">
        <f t="shared" si="903"/>
        <v xml:space="preserve"> </v>
      </c>
      <c r="D494" s="598" t="str">
        <f t="shared" si="903"/>
        <v xml:space="preserve"> </v>
      </c>
      <c r="E494" s="598" t="str">
        <f t="shared" si="903"/>
        <v xml:space="preserve"> </v>
      </c>
      <c r="F494" s="598" t="str">
        <f t="shared" si="903"/>
        <v xml:space="preserve"> </v>
      </c>
      <c r="G494" s="598" t="str">
        <f t="shared" si="903"/>
        <v xml:space="preserve"> </v>
      </c>
      <c r="H494" s="598" t="str">
        <f t="shared" si="903"/>
        <v xml:space="preserve"> </v>
      </c>
      <c r="I494" s="598" t="str">
        <f t="shared" si="903"/>
        <v xml:space="preserve"> </v>
      </c>
      <c r="J494" s="598" t="str">
        <f t="shared" si="903"/>
        <v xml:space="preserve"> </v>
      </c>
      <c r="K494" s="598" t="str">
        <f t="shared" si="903"/>
        <v xml:space="preserve"> </v>
      </c>
      <c r="L494" s="598" t="str">
        <f t="shared" si="904"/>
        <v xml:space="preserve"> </v>
      </c>
      <c r="M494" s="598" t="str">
        <f t="shared" si="904"/>
        <v xml:space="preserve"> </v>
      </c>
      <c r="N494" s="598" t="str">
        <f t="shared" si="904"/>
        <v xml:space="preserve"> </v>
      </c>
      <c r="O494" s="598" t="str">
        <f t="shared" si="904"/>
        <v xml:space="preserve"> </v>
      </c>
      <c r="P494" s="598" t="str">
        <f t="shared" si="904"/>
        <v xml:space="preserve"> </v>
      </c>
      <c r="Q494" s="598" t="str">
        <f t="shared" si="904"/>
        <v xml:space="preserve"> </v>
      </c>
      <c r="R494" s="598" t="str">
        <f t="shared" si="904"/>
        <v xml:space="preserve"> </v>
      </c>
      <c r="S494" s="598" t="str">
        <f t="shared" si="904"/>
        <v xml:space="preserve"> </v>
      </c>
      <c r="T494" s="598" t="str">
        <f t="shared" si="904"/>
        <v xml:space="preserve"> </v>
      </c>
      <c r="U494" s="598" t="str">
        <f t="shared" si="904"/>
        <v xml:space="preserve"> </v>
      </c>
      <c r="V494" s="598" t="str">
        <f t="shared" si="905"/>
        <v xml:space="preserve"> </v>
      </c>
      <c r="W494" s="598" t="str">
        <f t="shared" si="905"/>
        <v xml:space="preserve"> </v>
      </c>
      <c r="X494" s="598" t="str">
        <f t="shared" si="905"/>
        <v xml:space="preserve"> </v>
      </c>
      <c r="Y494" s="598" t="str">
        <f t="shared" si="905"/>
        <v xml:space="preserve"> </v>
      </c>
      <c r="Z494" s="598" t="str">
        <f t="shared" si="905"/>
        <v xml:space="preserve"> </v>
      </c>
      <c r="AA494" s="598" t="str">
        <f t="shared" si="905"/>
        <v xml:space="preserve"> </v>
      </c>
      <c r="AB494" s="598" t="str">
        <f t="shared" si="905"/>
        <v xml:space="preserve"> </v>
      </c>
      <c r="AC494" s="598" t="str">
        <f t="shared" si="905"/>
        <v xml:space="preserve"> </v>
      </c>
      <c r="AD494" s="598" t="str">
        <f t="shared" si="905"/>
        <v xml:space="preserve"> </v>
      </c>
      <c r="AE494" s="598" t="str">
        <f t="shared" si="905"/>
        <v xml:space="preserve"> </v>
      </c>
      <c r="AF494" s="598" t="str">
        <f t="shared" si="906"/>
        <v xml:space="preserve"> </v>
      </c>
      <c r="AG494" s="598" t="str">
        <f t="shared" si="906"/>
        <v xml:space="preserve"> </v>
      </c>
      <c r="AH494" s="598" t="str">
        <f t="shared" si="906"/>
        <v xml:space="preserve"> </v>
      </c>
      <c r="AI494" s="598" t="str">
        <f t="shared" si="906"/>
        <v xml:space="preserve"> </v>
      </c>
      <c r="AJ494" s="598" t="str">
        <f t="shared" si="906"/>
        <v xml:space="preserve"> </v>
      </c>
      <c r="AK494" s="598" t="str">
        <f t="shared" si="906"/>
        <v xml:space="preserve"> </v>
      </c>
      <c r="AL494" s="598" t="str">
        <f t="shared" si="906"/>
        <v xml:space="preserve"> </v>
      </c>
      <c r="AM494" s="598" t="str">
        <f t="shared" si="906"/>
        <v xml:space="preserve"> </v>
      </c>
      <c r="AN494" s="598" t="str">
        <f t="shared" si="906"/>
        <v xml:space="preserve"> </v>
      </c>
      <c r="AO494" s="598" t="str">
        <f t="shared" si="906"/>
        <v xml:space="preserve"> </v>
      </c>
      <c r="AP494" s="598" t="str">
        <f t="shared" si="906"/>
        <v xml:space="preserve"> </v>
      </c>
      <c r="AQ494" s="598" t="str">
        <f t="shared" si="906"/>
        <v xml:space="preserve"> </v>
      </c>
      <c r="AR494" s="598" t="str">
        <f t="shared" si="906"/>
        <v xml:space="preserve"> </v>
      </c>
      <c r="AS494" s="598" t="str">
        <f t="shared" si="906"/>
        <v xml:space="preserve"> </v>
      </c>
      <c r="AT494" s="598" t="str">
        <f t="shared" si="906"/>
        <v xml:space="preserve"> </v>
      </c>
      <c r="AV494" s="598" t="str">
        <f t="shared" si="907"/>
        <v xml:space="preserve"> </v>
      </c>
      <c r="AW494" s="598" t="str">
        <f t="shared" si="907"/>
        <v xml:space="preserve"> </v>
      </c>
      <c r="AX494" s="598" t="str">
        <f t="shared" si="907"/>
        <v xml:space="preserve"> </v>
      </c>
      <c r="AY494" s="598" t="str">
        <f t="shared" si="907"/>
        <v xml:space="preserve"> </v>
      </c>
      <c r="AZ494" s="598" t="str">
        <f t="shared" si="907"/>
        <v xml:space="preserve"> </v>
      </c>
      <c r="BA494" s="598" t="str">
        <f t="shared" si="907"/>
        <v xml:space="preserve"> </v>
      </c>
      <c r="BB494" s="598" t="str">
        <f t="shared" si="907"/>
        <v xml:space="preserve"> </v>
      </c>
      <c r="BC494" s="598" t="str">
        <f t="shared" si="907"/>
        <v xml:space="preserve"> </v>
      </c>
      <c r="BD494" s="598" t="str">
        <f t="shared" si="907"/>
        <v xml:space="preserve"> </v>
      </c>
      <c r="BE494" s="598" t="str">
        <f t="shared" si="907"/>
        <v xml:space="preserve"> </v>
      </c>
      <c r="BF494" s="598" t="str">
        <f t="shared" si="908"/>
        <v xml:space="preserve"> </v>
      </c>
      <c r="BG494" s="598" t="str">
        <f t="shared" si="908"/>
        <v xml:space="preserve"> </v>
      </c>
      <c r="BH494" s="598" t="str">
        <f t="shared" si="908"/>
        <v xml:space="preserve"> </v>
      </c>
      <c r="BI494" s="598" t="str">
        <f t="shared" si="908"/>
        <v xml:space="preserve"> </v>
      </c>
      <c r="BJ494" s="598" t="str">
        <f t="shared" si="908"/>
        <v xml:space="preserve"> </v>
      </c>
      <c r="BK494" s="598" t="str">
        <f t="shared" si="908"/>
        <v xml:space="preserve"> </v>
      </c>
      <c r="BL494" s="598" t="str">
        <f t="shared" si="908"/>
        <v xml:space="preserve"> </v>
      </c>
      <c r="BM494" s="598" t="str">
        <f t="shared" si="908"/>
        <v xml:space="preserve"> </v>
      </c>
      <c r="BN494" s="598" t="str">
        <f t="shared" si="908"/>
        <v xml:space="preserve"> </v>
      </c>
      <c r="BO494" s="598" t="str">
        <f t="shared" si="908"/>
        <v xml:space="preserve"> </v>
      </c>
      <c r="BP494" s="598" t="str">
        <f t="shared" si="909"/>
        <v xml:space="preserve"> </v>
      </c>
      <c r="BQ494" s="598" t="str">
        <f t="shared" si="909"/>
        <v xml:space="preserve"> </v>
      </c>
      <c r="BR494" s="598" t="str">
        <f t="shared" si="909"/>
        <v xml:space="preserve"> </v>
      </c>
      <c r="BS494" s="598" t="str">
        <f t="shared" si="909"/>
        <v xml:space="preserve"> </v>
      </c>
      <c r="BT494" s="598" t="str">
        <f t="shared" si="909"/>
        <v xml:space="preserve"> </v>
      </c>
      <c r="BU494" s="598" t="str">
        <f t="shared" si="909"/>
        <v xml:space="preserve"> </v>
      </c>
      <c r="BV494" s="598" t="str">
        <f t="shared" si="909"/>
        <v xml:space="preserve"> </v>
      </c>
      <c r="BW494" s="598" t="str">
        <f t="shared" si="909"/>
        <v xml:space="preserve"> </v>
      </c>
      <c r="BX494" s="598" t="str">
        <f t="shared" si="909"/>
        <v xml:space="preserve"> </v>
      </c>
      <c r="BY494" s="598" t="str">
        <f t="shared" si="909"/>
        <v xml:space="preserve"> </v>
      </c>
      <c r="BZ494" s="598" t="str">
        <f t="shared" si="910"/>
        <v xml:space="preserve"> </v>
      </c>
      <c r="CA494" s="598" t="str">
        <f t="shared" si="910"/>
        <v xml:space="preserve"> </v>
      </c>
      <c r="CB494" s="598" t="str">
        <f t="shared" si="910"/>
        <v xml:space="preserve"> </v>
      </c>
      <c r="CC494" s="598" t="str">
        <f t="shared" si="910"/>
        <v xml:space="preserve"> </v>
      </c>
      <c r="CD494" s="598" t="str">
        <f t="shared" si="910"/>
        <v xml:space="preserve"> </v>
      </c>
      <c r="CE494" s="598" t="str">
        <f t="shared" si="910"/>
        <v xml:space="preserve"> </v>
      </c>
      <c r="CF494" s="598" t="str">
        <f t="shared" si="910"/>
        <v xml:space="preserve"> </v>
      </c>
      <c r="CG494" s="598" t="str">
        <f t="shared" si="910"/>
        <v xml:space="preserve"> </v>
      </c>
      <c r="CH494" s="598" t="str">
        <f t="shared" si="910"/>
        <v xml:space="preserve"> </v>
      </c>
      <c r="CI494" s="598" t="str">
        <f t="shared" si="910"/>
        <v xml:space="preserve"> </v>
      </c>
      <c r="CJ494" s="598" t="str">
        <f t="shared" si="910"/>
        <v xml:space="preserve"> </v>
      </c>
      <c r="CK494" s="598" t="str">
        <f t="shared" si="910"/>
        <v xml:space="preserve"> </v>
      </c>
      <c r="CL494" s="598" t="str">
        <f t="shared" si="910"/>
        <v xml:space="preserve"> </v>
      </c>
      <c r="CM494" s="598" t="str">
        <f t="shared" si="910"/>
        <v xml:space="preserve"> </v>
      </c>
      <c r="CN494" s="598" t="str">
        <f t="shared" si="910"/>
        <v xml:space="preserve"> </v>
      </c>
    </row>
    <row r="496" spans="1:92">
      <c r="A496" s="1055" t="s">
        <v>6144</v>
      </c>
      <c r="D496" s="1055" t="s">
        <v>4819</v>
      </c>
      <c r="E496" s="1055" t="s">
        <v>1560</v>
      </c>
      <c r="F496" s="1055" t="s">
        <v>1561</v>
      </c>
      <c r="G496" s="1055" t="s">
        <v>1003</v>
      </c>
      <c r="H496" s="1055" t="s">
        <v>4278</v>
      </c>
      <c r="I496" s="598" t="s">
        <v>2344</v>
      </c>
      <c r="J496" s="598" t="s">
        <v>1631</v>
      </c>
      <c r="K496" s="598" t="s">
        <v>3657</v>
      </c>
      <c r="L496" s="598" t="s">
        <v>1632</v>
      </c>
      <c r="M496" s="598" t="s">
        <v>3466</v>
      </c>
      <c r="N496" s="598" t="s">
        <v>1633</v>
      </c>
      <c r="O496" s="598" t="s">
        <v>1634</v>
      </c>
      <c r="P496" s="1055" t="s">
        <v>4815</v>
      </c>
      <c r="Q496" s="598" t="s">
        <v>1636</v>
      </c>
      <c r="R496" s="1055" t="s">
        <v>776</v>
      </c>
      <c r="S496" s="1055" t="s">
        <v>3055</v>
      </c>
      <c r="T496" s="1055" t="s">
        <v>174</v>
      </c>
      <c r="U496" s="598" t="s">
        <v>2347</v>
      </c>
      <c r="V496" s="598" t="s">
        <v>2348</v>
      </c>
      <c r="W496" s="598" t="s">
        <v>2340</v>
      </c>
    </row>
    <row r="497" spans="1:25" s="1055" customFormat="1">
      <c r="C497" s="598">
        <v>1</v>
      </c>
      <c r="D497" s="598">
        <v>2</v>
      </c>
      <c r="E497" s="598">
        <v>3</v>
      </c>
      <c r="F497" s="598">
        <v>4</v>
      </c>
      <c r="G497" s="598">
        <v>5</v>
      </c>
      <c r="H497" s="598">
        <v>6</v>
      </c>
      <c r="I497" s="598">
        <v>7</v>
      </c>
      <c r="J497" s="598">
        <v>8</v>
      </c>
      <c r="K497" s="598">
        <v>9</v>
      </c>
      <c r="L497" s="598">
        <v>10</v>
      </c>
      <c r="M497" s="598">
        <v>11</v>
      </c>
      <c r="N497" s="598">
        <v>12</v>
      </c>
      <c r="O497" s="598">
        <v>13</v>
      </c>
      <c r="P497" s="598">
        <v>14</v>
      </c>
      <c r="Q497" s="598">
        <v>15</v>
      </c>
      <c r="R497" s="598">
        <v>16</v>
      </c>
      <c r="S497" s="598">
        <v>17</v>
      </c>
      <c r="T497" s="598">
        <v>18</v>
      </c>
      <c r="U497" s="598">
        <v>19</v>
      </c>
      <c r="V497" s="598">
        <v>20</v>
      </c>
      <c r="W497" s="598">
        <v>21</v>
      </c>
    </row>
    <row r="498" spans="1:25">
      <c r="A498" s="598">
        <v>1</v>
      </c>
      <c r="C498" s="1055"/>
      <c r="D498" s="1055">
        <f ca="1">MATCH(TRIM(D496),INDIRECT("'master spell list'!$z$3:$z$"&amp;$Z$616),0)+2</f>
        <v>3</v>
      </c>
      <c r="E498" s="1055">
        <f t="shared" ref="E498:W498" ca="1" si="911">MATCH(TRIM(E496),INDIRECT("'master spell list'!$z$3:$z$"&amp;$Z$616),0)+2</f>
        <v>22</v>
      </c>
      <c r="F498" s="1055">
        <f t="shared" ca="1" si="911"/>
        <v>54</v>
      </c>
      <c r="G498" s="1055">
        <f t="shared" ca="1" si="911"/>
        <v>135</v>
      </c>
      <c r="H498" s="1055">
        <f t="shared" ca="1" si="911"/>
        <v>184</v>
      </c>
      <c r="I498" s="1055">
        <f t="shared" ca="1" si="911"/>
        <v>253</v>
      </c>
      <c r="J498" s="1055">
        <f t="shared" ca="1" si="911"/>
        <v>406</v>
      </c>
      <c r="K498" s="1055">
        <f t="shared" ca="1" si="911"/>
        <v>516</v>
      </c>
      <c r="L498" s="1055">
        <f t="shared" ca="1" si="911"/>
        <v>608</v>
      </c>
      <c r="M498" s="1055">
        <f t="shared" ca="1" si="911"/>
        <v>699</v>
      </c>
      <c r="N498" s="1055">
        <f t="shared" ca="1" si="911"/>
        <v>789</v>
      </c>
      <c r="O498" s="1055">
        <f t="shared" ca="1" si="911"/>
        <v>850</v>
      </c>
      <c r="P498" s="1055">
        <f t="shared" ca="1" si="911"/>
        <v>896</v>
      </c>
      <c r="Q498" s="1055">
        <f t="shared" ca="1" si="911"/>
        <v>944</v>
      </c>
      <c r="R498" s="1055">
        <f t="shared" ca="1" si="911"/>
        <v>992</v>
      </c>
      <c r="S498" s="1055">
        <f t="shared" ca="1" si="911"/>
        <v>1015</v>
      </c>
      <c r="T498" s="1055">
        <f t="shared" ca="1" si="911"/>
        <v>1045</v>
      </c>
      <c r="U498" s="1055" t="e">
        <f t="shared" ca="1" si="911"/>
        <v>#N/A</v>
      </c>
      <c r="V498" s="1055" t="e">
        <f t="shared" ca="1" si="911"/>
        <v>#N/A</v>
      </c>
      <c r="W498" s="1055" t="e">
        <f t="shared" ca="1" si="911"/>
        <v>#N/A</v>
      </c>
    </row>
    <row r="499" spans="1:25">
      <c r="A499" s="598">
        <v>2</v>
      </c>
      <c r="B499" s="598" t="s">
        <v>1099</v>
      </c>
      <c r="D499" s="1055">
        <f t="shared" ref="D499:S499" ca="1" si="912">IF(ISNUMBER(D498),IF(D498+1&lt;IF(ISNA(E$498),$Z$616,E$498),D498+1,""),"")</f>
        <v>4</v>
      </c>
      <c r="E499" s="1055">
        <f t="shared" ca="1" si="912"/>
        <v>23</v>
      </c>
      <c r="F499" s="1055">
        <f t="shared" ca="1" si="912"/>
        <v>55</v>
      </c>
      <c r="G499" s="1055">
        <f t="shared" ca="1" si="912"/>
        <v>136</v>
      </c>
      <c r="H499" s="1055">
        <f t="shared" ca="1" si="912"/>
        <v>185</v>
      </c>
      <c r="I499" s="1055">
        <f t="shared" ca="1" si="912"/>
        <v>254</v>
      </c>
      <c r="J499" s="1055">
        <f t="shared" ca="1" si="912"/>
        <v>407</v>
      </c>
      <c r="K499" s="1055">
        <f t="shared" ca="1" si="912"/>
        <v>517</v>
      </c>
      <c r="L499" s="1055">
        <f t="shared" ca="1" si="912"/>
        <v>609</v>
      </c>
      <c r="M499" s="1055">
        <f t="shared" ca="1" si="912"/>
        <v>700</v>
      </c>
      <c r="N499" s="1055">
        <f t="shared" ca="1" si="912"/>
        <v>790</v>
      </c>
      <c r="O499" s="1055">
        <f t="shared" ca="1" si="912"/>
        <v>851</v>
      </c>
      <c r="P499" s="1055">
        <f t="shared" ca="1" si="912"/>
        <v>897</v>
      </c>
      <c r="Q499" s="1055">
        <f t="shared" ca="1" si="912"/>
        <v>945</v>
      </c>
      <c r="R499" s="1055">
        <f t="shared" ca="1" si="912"/>
        <v>993</v>
      </c>
      <c r="S499" s="1055">
        <f t="shared" ca="1" si="912"/>
        <v>1016</v>
      </c>
      <c r="T499" s="1055">
        <f ca="1">IF(ISNUMBER(T498),IF(T498+1&lt;IF(ISNA(U$498),$Z$616,U$498),T498+1,""),"")</f>
        <v>1046</v>
      </c>
      <c r="U499" s="1055" t="str">
        <f t="shared" ref="U499:Y499" ca="1" si="913">IF(ISNUMBER(U498),IF(U498+1&lt;IF(ISNA(V$498),$Z$616,V$498),U498+1,""),"")</f>
        <v/>
      </c>
      <c r="V499" s="1055" t="str">
        <f t="shared" ca="1" si="913"/>
        <v/>
      </c>
      <c r="W499" s="1055" t="str">
        <f t="shared" ca="1" si="913"/>
        <v/>
      </c>
      <c r="X499" s="1055" t="str">
        <f t="shared" si="913"/>
        <v/>
      </c>
      <c r="Y499" s="1055" t="str">
        <f t="shared" si="913"/>
        <v/>
      </c>
    </row>
    <row r="500" spans="1:25">
      <c r="A500" s="598">
        <v>3</v>
      </c>
      <c r="B500" s="598" t="s">
        <v>1100</v>
      </c>
      <c r="D500" s="1055">
        <f t="shared" ref="D500:Y500" ca="1" si="914">IF(ISNUMBER(D499),IF(D499+1&lt;IF(ISNA(E$498),$Z$616,E$498),D499+1,""),"")</f>
        <v>5</v>
      </c>
      <c r="E500" s="1055">
        <f t="shared" ca="1" si="914"/>
        <v>24</v>
      </c>
      <c r="F500" s="1055">
        <f t="shared" ca="1" si="914"/>
        <v>56</v>
      </c>
      <c r="G500" s="1055">
        <f t="shared" ca="1" si="914"/>
        <v>137</v>
      </c>
      <c r="H500" s="1055">
        <f t="shared" ca="1" si="914"/>
        <v>186</v>
      </c>
      <c r="I500" s="1055">
        <f t="shared" ca="1" si="914"/>
        <v>255</v>
      </c>
      <c r="J500" s="1055">
        <f t="shared" ca="1" si="914"/>
        <v>408</v>
      </c>
      <c r="K500" s="1055">
        <f t="shared" ca="1" si="914"/>
        <v>518</v>
      </c>
      <c r="L500" s="1055">
        <f t="shared" ca="1" si="914"/>
        <v>610</v>
      </c>
      <c r="M500" s="1055">
        <f t="shared" ca="1" si="914"/>
        <v>701</v>
      </c>
      <c r="N500" s="1055">
        <f t="shared" ca="1" si="914"/>
        <v>791</v>
      </c>
      <c r="O500" s="1055">
        <f t="shared" ca="1" si="914"/>
        <v>852</v>
      </c>
      <c r="P500" s="1055">
        <f t="shared" ca="1" si="914"/>
        <v>898</v>
      </c>
      <c r="Q500" s="1055">
        <f t="shared" ca="1" si="914"/>
        <v>946</v>
      </c>
      <c r="R500" s="1055">
        <f t="shared" ca="1" si="914"/>
        <v>994</v>
      </c>
      <c r="S500" s="1055">
        <f t="shared" ca="1" si="914"/>
        <v>1017</v>
      </c>
      <c r="T500" s="1055">
        <f t="shared" ca="1" si="914"/>
        <v>1047</v>
      </c>
      <c r="U500" s="1055" t="str">
        <f t="shared" ca="1" si="914"/>
        <v/>
      </c>
      <c r="V500" s="1055" t="str">
        <f t="shared" ca="1" si="914"/>
        <v/>
      </c>
      <c r="W500" s="1055" t="str">
        <f t="shared" ca="1" si="914"/>
        <v/>
      </c>
      <c r="X500" s="1055" t="str">
        <f t="shared" si="914"/>
        <v/>
      </c>
      <c r="Y500" s="1055" t="str">
        <f t="shared" si="914"/>
        <v/>
      </c>
    </row>
    <row r="501" spans="1:25">
      <c r="A501" s="598">
        <v>4</v>
      </c>
      <c r="B501" s="598" t="s">
        <v>1101</v>
      </c>
      <c r="D501" s="1055">
        <f t="shared" ref="D501:Y501" ca="1" si="915">IF(ISNUMBER(D500),IF(D500+1&lt;IF(ISNA(E$498),$Z$616,E$498),D500+1,""),"")</f>
        <v>6</v>
      </c>
      <c r="E501" s="1055">
        <f t="shared" ca="1" si="915"/>
        <v>25</v>
      </c>
      <c r="F501" s="1055">
        <f t="shared" ca="1" si="915"/>
        <v>57</v>
      </c>
      <c r="G501" s="1055">
        <f t="shared" ca="1" si="915"/>
        <v>138</v>
      </c>
      <c r="H501" s="1055">
        <f t="shared" ca="1" si="915"/>
        <v>187</v>
      </c>
      <c r="I501" s="1055">
        <f t="shared" ca="1" si="915"/>
        <v>256</v>
      </c>
      <c r="J501" s="1055">
        <f t="shared" ca="1" si="915"/>
        <v>409</v>
      </c>
      <c r="K501" s="1055">
        <f t="shared" ca="1" si="915"/>
        <v>519</v>
      </c>
      <c r="L501" s="1055">
        <f t="shared" ca="1" si="915"/>
        <v>611</v>
      </c>
      <c r="M501" s="1055">
        <f t="shared" ca="1" si="915"/>
        <v>702</v>
      </c>
      <c r="N501" s="1055">
        <f t="shared" ca="1" si="915"/>
        <v>792</v>
      </c>
      <c r="O501" s="1055">
        <f t="shared" ca="1" si="915"/>
        <v>853</v>
      </c>
      <c r="P501" s="1055">
        <f t="shared" ca="1" si="915"/>
        <v>899</v>
      </c>
      <c r="Q501" s="1055">
        <f t="shared" ca="1" si="915"/>
        <v>947</v>
      </c>
      <c r="R501" s="1055">
        <f t="shared" ca="1" si="915"/>
        <v>995</v>
      </c>
      <c r="S501" s="1055">
        <f t="shared" ca="1" si="915"/>
        <v>1018</v>
      </c>
      <c r="T501" s="1055">
        <f t="shared" ca="1" si="915"/>
        <v>1048</v>
      </c>
      <c r="U501" s="1055" t="str">
        <f t="shared" ca="1" si="915"/>
        <v/>
      </c>
      <c r="V501" s="1055" t="str">
        <f t="shared" ca="1" si="915"/>
        <v/>
      </c>
      <c r="W501" s="1055" t="str">
        <f t="shared" ca="1" si="915"/>
        <v/>
      </c>
      <c r="X501" s="1055" t="str">
        <f t="shared" si="915"/>
        <v/>
      </c>
      <c r="Y501" s="1055" t="str">
        <f t="shared" si="915"/>
        <v/>
      </c>
    </row>
    <row r="502" spans="1:25">
      <c r="A502" s="598">
        <v>5</v>
      </c>
      <c r="B502" s="598" t="s">
        <v>1102</v>
      </c>
      <c r="D502" s="1055">
        <f t="shared" ref="D502:Y502" ca="1" si="916">IF(ISNUMBER(D501),IF(D501+1&lt;IF(ISNA(E$498),$Z$616,E$498),D501+1,""),"")</f>
        <v>7</v>
      </c>
      <c r="E502" s="1055">
        <f t="shared" ca="1" si="916"/>
        <v>26</v>
      </c>
      <c r="F502" s="1055">
        <f t="shared" ca="1" si="916"/>
        <v>58</v>
      </c>
      <c r="G502" s="1055">
        <f t="shared" ca="1" si="916"/>
        <v>139</v>
      </c>
      <c r="H502" s="1055">
        <f t="shared" ca="1" si="916"/>
        <v>188</v>
      </c>
      <c r="I502" s="1055">
        <f t="shared" ca="1" si="916"/>
        <v>257</v>
      </c>
      <c r="J502" s="1055">
        <f t="shared" ca="1" si="916"/>
        <v>410</v>
      </c>
      <c r="K502" s="1055">
        <f t="shared" ca="1" si="916"/>
        <v>520</v>
      </c>
      <c r="L502" s="1055">
        <f t="shared" ca="1" si="916"/>
        <v>612</v>
      </c>
      <c r="M502" s="1055">
        <f t="shared" ca="1" si="916"/>
        <v>703</v>
      </c>
      <c r="N502" s="1055">
        <f t="shared" ca="1" si="916"/>
        <v>793</v>
      </c>
      <c r="O502" s="1055">
        <f t="shared" ca="1" si="916"/>
        <v>854</v>
      </c>
      <c r="P502" s="1055">
        <f t="shared" ca="1" si="916"/>
        <v>900</v>
      </c>
      <c r="Q502" s="1055">
        <f t="shared" ca="1" si="916"/>
        <v>948</v>
      </c>
      <c r="R502" s="1055">
        <f t="shared" ca="1" si="916"/>
        <v>996</v>
      </c>
      <c r="S502" s="1055">
        <f t="shared" ca="1" si="916"/>
        <v>1019</v>
      </c>
      <c r="T502" s="1055">
        <f t="shared" ca="1" si="916"/>
        <v>1049</v>
      </c>
      <c r="U502" s="1055" t="str">
        <f t="shared" ca="1" si="916"/>
        <v/>
      </c>
      <c r="V502" s="1055" t="str">
        <f t="shared" ca="1" si="916"/>
        <v/>
      </c>
      <c r="W502" s="1055" t="str">
        <f t="shared" ca="1" si="916"/>
        <v/>
      </c>
      <c r="X502" s="1055" t="str">
        <f t="shared" si="916"/>
        <v/>
      </c>
      <c r="Y502" s="1055" t="str">
        <f t="shared" si="916"/>
        <v/>
      </c>
    </row>
    <row r="503" spans="1:25">
      <c r="A503" s="598">
        <v>6</v>
      </c>
      <c r="B503" s="598" t="s">
        <v>2344</v>
      </c>
      <c r="D503" s="1055">
        <f t="shared" ref="D503:Y503" ca="1" si="917">IF(ISNUMBER(D502),IF(D502+1&lt;IF(ISNA(E$498),$Z$616,E$498),D502+1,""),"")</f>
        <v>8</v>
      </c>
      <c r="E503" s="1055">
        <f t="shared" ca="1" si="917"/>
        <v>27</v>
      </c>
      <c r="F503" s="1055">
        <f t="shared" ca="1" si="917"/>
        <v>59</v>
      </c>
      <c r="G503" s="1055">
        <f t="shared" ca="1" si="917"/>
        <v>140</v>
      </c>
      <c r="H503" s="1055">
        <f t="shared" ca="1" si="917"/>
        <v>189</v>
      </c>
      <c r="I503" s="1055">
        <f t="shared" ca="1" si="917"/>
        <v>258</v>
      </c>
      <c r="J503" s="1055">
        <f t="shared" ca="1" si="917"/>
        <v>411</v>
      </c>
      <c r="K503" s="1055">
        <f t="shared" ca="1" si="917"/>
        <v>521</v>
      </c>
      <c r="L503" s="1055">
        <f t="shared" ca="1" si="917"/>
        <v>613</v>
      </c>
      <c r="M503" s="1055">
        <f t="shared" ca="1" si="917"/>
        <v>704</v>
      </c>
      <c r="N503" s="1055">
        <f t="shared" ca="1" si="917"/>
        <v>794</v>
      </c>
      <c r="O503" s="1055">
        <f t="shared" ca="1" si="917"/>
        <v>855</v>
      </c>
      <c r="P503" s="1055">
        <f t="shared" ca="1" si="917"/>
        <v>901</v>
      </c>
      <c r="Q503" s="1055">
        <f t="shared" ca="1" si="917"/>
        <v>949</v>
      </c>
      <c r="R503" s="1055">
        <f t="shared" ca="1" si="917"/>
        <v>997</v>
      </c>
      <c r="S503" s="1055">
        <f t="shared" ca="1" si="917"/>
        <v>1020</v>
      </c>
      <c r="T503" s="1055">
        <f t="shared" ca="1" si="917"/>
        <v>1050</v>
      </c>
      <c r="U503" s="1055" t="str">
        <f t="shared" ca="1" si="917"/>
        <v/>
      </c>
      <c r="V503" s="1055" t="str">
        <f t="shared" ca="1" si="917"/>
        <v/>
      </c>
      <c r="W503" s="1055" t="str">
        <f t="shared" ca="1" si="917"/>
        <v/>
      </c>
      <c r="X503" s="1055" t="str">
        <f t="shared" si="917"/>
        <v/>
      </c>
      <c r="Y503" s="1055" t="str">
        <f t="shared" si="917"/>
        <v/>
      </c>
    </row>
    <row r="504" spans="1:25">
      <c r="A504" s="598">
        <v>7</v>
      </c>
      <c r="B504" s="598" t="s">
        <v>1631</v>
      </c>
      <c r="D504" s="1055">
        <f t="shared" ref="D504:Y504" ca="1" si="918">IF(ISNUMBER(D503),IF(D503+1&lt;IF(ISNA(E$498),$Z$616,E$498),D503+1,""),"")</f>
        <v>9</v>
      </c>
      <c r="E504" s="1055">
        <f t="shared" ca="1" si="918"/>
        <v>28</v>
      </c>
      <c r="F504" s="1055">
        <f t="shared" ca="1" si="918"/>
        <v>60</v>
      </c>
      <c r="G504" s="1055">
        <f t="shared" ca="1" si="918"/>
        <v>141</v>
      </c>
      <c r="H504" s="1055">
        <f t="shared" ca="1" si="918"/>
        <v>190</v>
      </c>
      <c r="I504" s="1055">
        <f t="shared" ca="1" si="918"/>
        <v>259</v>
      </c>
      <c r="J504" s="1055">
        <f t="shared" ca="1" si="918"/>
        <v>412</v>
      </c>
      <c r="K504" s="1055">
        <f t="shared" ca="1" si="918"/>
        <v>522</v>
      </c>
      <c r="L504" s="1055">
        <f t="shared" ca="1" si="918"/>
        <v>614</v>
      </c>
      <c r="M504" s="1055">
        <f t="shared" ca="1" si="918"/>
        <v>705</v>
      </c>
      <c r="N504" s="1055">
        <f t="shared" ca="1" si="918"/>
        <v>795</v>
      </c>
      <c r="O504" s="1055">
        <f t="shared" ca="1" si="918"/>
        <v>856</v>
      </c>
      <c r="P504" s="1055">
        <f t="shared" ca="1" si="918"/>
        <v>902</v>
      </c>
      <c r="Q504" s="1055">
        <f t="shared" ca="1" si="918"/>
        <v>950</v>
      </c>
      <c r="R504" s="1055">
        <f t="shared" ca="1" si="918"/>
        <v>998</v>
      </c>
      <c r="S504" s="1055">
        <f t="shared" ca="1" si="918"/>
        <v>1021</v>
      </c>
      <c r="T504" s="1055">
        <f t="shared" ca="1" si="918"/>
        <v>1051</v>
      </c>
      <c r="U504" s="1055" t="str">
        <f t="shared" ca="1" si="918"/>
        <v/>
      </c>
      <c r="V504" s="1055" t="str">
        <f t="shared" ca="1" si="918"/>
        <v/>
      </c>
      <c r="W504" s="1055" t="str">
        <f t="shared" ca="1" si="918"/>
        <v/>
      </c>
      <c r="X504" s="1055" t="str">
        <f t="shared" si="918"/>
        <v/>
      </c>
      <c r="Y504" s="1055" t="str">
        <f t="shared" si="918"/>
        <v/>
      </c>
    </row>
    <row r="505" spans="1:25">
      <c r="A505" s="598">
        <v>8</v>
      </c>
      <c r="B505" s="598" t="s">
        <v>3657</v>
      </c>
      <c r="D505" s="1055">
        <f t="shared" ref="D505:Y505" ca="1" si="919">IF(ISNUMBER(D504),IF(D504+1&lt;IF(ISNA(E$498),$Z$616,E$498),D504+1,""),"")</f>
        <v>10</v>
      </c>
      <c r="E505" s="1055">
        <f t="shared" ca="1" si="919"/>
        <v>29</v>
      </c>
      <c r="F505" s="1055">
        <f t="shared" ca="1" si="919"/>
        <v>61</v>
      </c>
      <c r="G505" s="1055">
        <f t="shared" ca="1" si="919"/>
        <v>142</v>
      </c>
      <c r="H505" s="1055">
        <f t="shared" ca="1" si="919"/>
        <v>191</v>
      </c>
      <c r="I505" s="1055">
        <f t="shared" ca="1" si="919"/>
        <v>260</v>
      </c>
      <c r="J505" s="1055">
        <f t="shared" ca="1" si="919"/>
        <v>413</v>
      </c>
      <c r="K505" s="1055">
        <f t="shared" ca="1" si="919"/>
        <v>523</v>
      </c>
      <c r="L505" s="1055">
        <f t="shared" ca="1" si="919"/>
        <v>615</v>
      </c>
      <c r="M505" s="1055">
        <f t="shared" ca="1" si="919"/>
        <v>706</v>
      </c>
      <c r="N505" s="1055">
        <f t="shared" ca="1" si="919"/>
        <v>796</v>
      </c>
      <c r="O505" s="1055">
        <f t="shared" ca="1" si="919"/>
        <v>857</v>
      </c>
      <c r="P505" s="1055">
        <f t="shared" ca="1" si="919"/>
        <v>903</v>
      </c>
      <c r="Q505" s="1055">
        <f t="shared" ca="1" si="919"/>
        <v>951</v>
      </c>
      <c r="R505" s="1055">
        <f t="shared" ca="1" si="919"/>
        <v>999</v>
      </c>
      <c r="S505" s="1055">
        <f t="shared" ca="1" si="919"/>
        <v>1022</v>
      </c>
      <c r="T505" s="1055">
        <f t="shared" ca="1" si="919"/>
        <v>1052</v>
      </c>
      <c r="U505" s="1055" t="str">
        <f t="shared" ca="1" si="919"/>
        <v/>
      </c>
      <c r="V505" s="1055" t="str">
        <f t="shared" ca="1" si="919"/>
        <v/>
      </c>
      <c r="W505" s="1055" t="str">
        <f t="shared" ca="1" si="919"/>
        <v/>
      </c>
      <c r="X505" s="1055" t="str">
        <f t="shared" si="919"/>
        <v/>
      </c>
      <c r="Y505" s="1055" t="str">
        <f t="shared" si="919"/>
        <v/>
      </c>
    </row>
    <row r="506" spans="1:25">
      <c r="A506" s="598">
        <v>9</v>
      </c>
      <c r="B506" s="598" t="s">
        <v>1632</v>
      </c>
      <c r="D506" s="1055">
        <f t="shared" ref="D506:Y506" ca="1" si="920">IF(ISNUMBER(D505),IF(D505+1&lt;IF(ISNA(E$498),$Z$616,E$498),D505+1,""),"")</f>
        <v>11</v>
      </c>
      <c r="E506" s="1055">
        <f t="shared" ca="1" si="920"/>
        <v>30</v>
      </c>
      <c r="F506" s="1055">
        <f t="shared" ca="1" si="920"/>
        <v>62</v>
      </c>
      <c r="G506" s="1055">
        <f t="shared" ca="1" si="920"/>
        <v>143</v>
      </c>
      <c r="H506" s="1055">
        <f t="shared" ca="1" si="920"/>
        <v>192</v>
      </c>
      <c r="I506" s="1055">
        <f t="shared" ca="1" si="920"/>
        <v>261</v>
      </c>
      <c r="J506" s="1055">
        <f t="shared" ca="1" si="920"/>
        <v>414</v>
      </c>
      <c r="K506" s="1055">
        <f t="shared" ca="1" si="920"/>
        <v>524</v>
      </c>
      <c r="L506" s="1055">
        <f t="shared" ca="1" si="920"/>
        <v>616</v>
      </c>
      <c r="M506" s="1055">
        <f t="shared" ca="1" si="920"/>
        <v>707</v>
      </c>
      <c r="N506" s="1055">
        <f t="shared" ca="1" si="920"/>
        <v>797</v>
      </c>
      <c r="O506" s="1055">
        <f t="shared" ca="1" si="920"/>
        <v>858</v>
      </c>
      <c r="P506" s="1055">
        <f t="shared" ca="1" si="920"/>
        <v>904</v>
      </c>
      <c r="Q506" s="1055">
        <f t="shared" ca="1" si="920"/>
        <v>952</v>
      </c>
      <c r="R506" s="1055">
        <f t="shared" ca="1" si="920"/>
        <v>1000</v>
      </c>
      <c r="S506" s="1055">
        <f t="shared" ca="1" si="920"/>
        <v>1023</v>
      </c>
      <c r="T506" s="1055">
        <f t="shared" ca="1" si="920"/>
        <v>1053</v>
      </c>
      <c r="U506" s="1055" t="str">
        <f t="shared" ca="1" si="920"/>
        <v/>
      </c>
      <c r="V506" s="1055" t="str">
        <f t="shared" ca="1" si="920"/>
        <v/>
      </c>
      <c r="W506" s="1055" t="str">
        <f t="shared" ca="1" si="920"/>
        <v/>
      </c>
      <c r="X506" s="1055" t="str">
        <f t="shared" si="920"/>
        <v/>
      </c>
      <c r="Y506" s="1055" t="str">
        <f t="shared" si="920"/>
        <v/>
      </c>
    </row>
    <row r="507" spans="1:25">
      <c r="A507" s="598">
        <v>10</v>
      </c>
      <c r="B507" s="598" t="s">
        <v>3466</v>
      </c>
      <c r="D507" s="1055">
        <f t="shared" ref="D507:Y507" ca="1" si="921">IF(ISNUMBER(D506),IF(D506+1&lt;IF(ISNA(E$498),$Z$616,E$498),D506+1,""),"")</f>
        <v>12</v>
      </c>
      <c r="E507" s="1055">
        <f t="shared" ca="1" si="921"/>
        <v>31</v>
      </c>
      <c r="F507" s="1055">
        <f t="shared" ca="1" si="921"/>
        <v>63</v>
      </c>
      <c r="G507" s="1055">
        <f t="shared" ca="1" si="921"/>
        <v>144</v>
      </c>
      <c r="H507" s="1055">
        <f t="shared" ca="1" si="921"/>
        <v>193</v>
      </c>
      <c r="I507" s="1055">
        <f t="shared" ca="1" si="921"/>
        <v>262</v>
      </c>
      <c r="J507" s="1055">
        <f t="shared" ca="1" si="921"/>
        <v>415</v>
      </c>
      <c r="K507" s="1055">
        <f t="shared" ca="1" si="921"/>
        <v>525</v>
      </c>
      <c r="L507" s="1055">
        <f t="shared" ca="1" si="921"/>
        <v>617</v>
      </c>
      <c r="M507" s="1055">
        <f t="shared" ca="1" si="921"/>
        <v>708</v>
      </c>
      <c r="N507" s="1055">
        <f t="shared" ca="1" si="921"/>
        <v>798</v>
      </c>
      <c r="O507" s="1055">
        <f t="shared" ca="1" si="921"/>
        <v>859</v>
      </c>
      <c r="P507" s="1055">
        <f t="shared" ca="1" si="921"/>
        <v>905</v>
      </c>
      <c r="Q507" s="1055">
        <f t="shared" ca="1" si="921"/>
        <v>953</v>
      </c>
      <c r="R507" s="1055">
        <f t="shared" ca="1" si="921"/>
        <v>1001</v>
      </c>
      <c r="S507" s="1055">
        <f t="shared" ca="1" si="921"/>
        <v>1024</v>
      </c>
      <c r="T507" s="1055">
        <f t="shared" ca="1" si="921"/>
        <v>1054</v>
      </c>
      <c r="U507" s="1055" t="str">
        <f t="shared" ca="1" si="921"/>
        <v/>
      </c>
      <c r="V507" s="1055" t="str">
        <f t="shared" ca="1" si="921"/>
        <v/>
      </c>
      <c r="W507" s="1055" t="str">
        <f t="shared" ca="1" si="921"/>
        <v/>
      </c>
      <c r="X507" s="1055" t="str">
        <f t="shared" si="921"/>
        <v/>
      </c>
      <c r="Y507" s="1055" t="str">
        <f t="shared" si="921"/>
        <v/>
      </c>
    </row>
    <row r="508" spans="1:25">
      <c r="A508" s="598">
        <v>11</v>
      </c>
      <c r="B508" s="598" t="s">
        <v>1633</v>
      </c>
      <c r="D508" s="1055">
        <f t="shared" ref="D508:Y508" ca="1" si="922">IF(ISNUMBER(D507),IF(D507+1&lt;IF(ISNA(E$498),$Z$616,E$498),D507+1,""),"")</f>
        <v>13</v>
      </c>
      <c r="E508" s="1055">
        <f t="shared" ca="1" si="922"/>
        <v>32</v>
      </c>
      <c r="F508" s="1055">
        <f t="shared" ca="1" si="922"/>
        <v>64</v>
      </c>
      <c r="G508" s="1055">
        <f t="shared" ca="1" si="922"/>
        <v>145</v>
      </c>
      <c r="H508" s="1055">
        <f t="shared" ca="1" si="922"/>
        <v>194</v>
      </c>
      <c r="I508" s="1055">
        <f t="shared" ca="1" si="922"/>
        <v>263</v>
      </c>
      <c r="J508" s="1055">
        <f t="shared" ca="1" si="922"/>
        <v>416</v>
      </c>
      <c r="K508" s="1055">
        <f t="shared" ca="1" si="922"/>
        <v>526</v>
      </c>
      <c r="L508" s="1055">
        <f t="shared" ca="1" si="922"/>
        <v>618</v>
      </c>
      <c r="M508" s="1055">
        <f t="shared" ca="1" si="922"/>
        <v>709</v>
      </c>
      <c r="N508" s="1055">
        <f t="shared" ca="1" si="922"/>
        <v>799</v>
      </c>
      <c r="O508" s="1055">
        <f t="shared" ca="1" si="922"/>
        <v>860</v>
      </c>
      <c r="P508" s="1055">
        <f t="shared" ca="1" si="922"/>
        <v>906</v>
      </c>
      <c r="Q508" s="1055">
        <f t="shared" ca="1" si="922"/>
        <v>954</v>
      </c>
      <c r="R508" s="1055">
        <f t="shared" ca="1" si="922"/>
        <v>1002</v>
      </c>
      <c r="S508" s="1055">
        <f t="shared" ca="1" si="922"/>
        <v>1025</v>
      </c>
      <c r="T508" s="1055">
        <f t="shared" ca="1" si="922"/>
        <v>1055</v>
      </c>
      <c r="U508" s="1055" t="str">
        <f t="shared" ca="1" si="922"/>
        <v/>
      </c>
      <c r="V508" s="1055" t="str">
        <f t="shared" ca="1" si="922"/>
        <v/>
      </c>
      <c r="W508" s="1055" t="str">
        <f t="shared" ca="1" si="922"/>
        <v/>
      </c>
      <c r="X508" s="1055" t="str">
        <f t="shared" si="922"/>
        <v/>
      </c>
      <c r="Y508" s="1055" t="str">
        <f t="shared" si="922"/>
        <v/>
      </c>
    </row>
    <row r="509" spans="1:25">
      <c r="A509" s="598">
        <v>12</v>
      </c>
      <c r="B509" s="598" t="s">
        <v>1634</v>
      </c>
      <c r="D509" s="1055">
        <f t="shared" ref="D509:Y509" ca="1" si="923">IF(ISNUMBER(D508),IF(D508+1&lt;IF(ISNA(E$498),$Z$616,E$498),D508+1,""),"")</f>
        <v>14</v>
      </c>
      <c r="E509" s="1055">
        <f t="shared" ca="1" si="923"/>
        <v>33</v>
      </c>
      <c r="F509" s="1055">
        <f t="shared" ca="1" si="923"/>
        <v>65</v>
      </c>
      <c r="G509" s="1055">
        <f t="shared" ca="1" si="923"/>
        <v>146</v>
      </c>
      <c r="H509" s="1055">
        <f t="shared" ca="1" si="923"/>
        <v>195</v>
      </c>
      <c r="I509" s="1055">
        <f t="shared" ca="1" si="923"/>
        <v>264</v>
      </c>
      <c r="J509" s="1055">
        <f t="shared" ca="1" si="923"/>
        <v>417</v>
      </c>
      <c r="K509" s="1055">
        <f t="shared" ca="1" si="923"/>
        <v>527</v>
      </c>
      <c r="L509" s="1055">
        <f t="shared" ca="1" si="923"/>
        <v>619</v>
      </c>
      <c r="M509" s="1055">
        <f t="shared" ca="1" si="923"/>
        <v>710</v>
      </c>
      <c r="N509" s="1055">
        <f t="shared" ca="1" si="923"/>
        <v>800</v>
      </c>
      <c r="O509" s="1055">
        <f t="shared" ca="1" si="923"/>
        <v>861</v>
      </c>
      <c r="P509" s="1055">
        <f t="shared" ca="1" si="923"/>
        <v>907</v>
      </c>
      <c r="Q509" s="1055">
        <f t="shared" ca="1" si="923"/>
        <v>955</v>
      </c>
      <c r="R509" s="1055">
        <f t="shared" ca="1" si="923"/>
        <v>1003</v>
      </c>
      <c r="S509" s="1055">
        <f t="shared" ca="1" si="923"/>
        <v>1026</v>
      </c>
      <c r="T509" s="1055">
        <f t="shared" ca="1" si="923"/>
        <v>1056</v>
      </c>
      <c r="U509" s="1055" t="str">
        <f t="shared" ca="1" si="923"/>
        <v/>
      </c>
      <c r="V509" s="1055" t="str">
        <f t="shared" ca="1" si="923"/>
        <v/>
      </c>
      <c r="W509" s="1055" t="str">
        <f t="shared" ca="1" si="923"/>
        <v/>
      </c>
      <c r="X509" s="1055" t="str">
        <f t="shared" si="923"/>
        <v/>
      </c>
      <c r="Y509" s="1055" t="str">
        <f t="shared" si="923"/>
        <v/>
      </c>
    </row>
    <row r="510" spans="1:25">
      <c r="A510" s="598">
        <v>13</v>
      </c>
      <c r="B510" s="598" t="s">
        <v>1635</v>
      </c>
      <c r="D510" s="1055">
        <f t="shared" ref="D510:Y510" ca="1" si="924">IF(ISNUMBER(D509),IF(D509+1&lt;IF(ISNA(E$498),$Z$616,E$498),D509+1,""),"")</f>
        <v>15</v>
      </c>
      <c r="E510" s="1055">
        <f t="shared" ca="1" si="924"/>
        <v>34</v>
      </c>
      <c r="F510" s="1055">
        <f t="shared" ca="1" si="924"/>
        <v>66</v>
      </c>
      <c r="G510" s="1055">
        <f t="shared" ca="1" si="924"/>
        <v>147</v>
      </c>
      <c r="H510" s="1055">
        <f t="shared" ca="1" si="924"/>
        <v>196</v>
      </c>
      <c r="I510" s="1055">
        <f t="shared" ca="1" si="924"/>
        <v>265</v>
      </c>
      <c r="J510" s="1055">
        <f t="shared" ca="1" si="924"/>
        <v>418</v>
      </c>
      <c r="K510" s="1055">
        <f t="shared" ca="1" si="924"/>
        <v>528</v>
      </c>
      <c r="L510" s="1055">
        <f t="shared" ca="1" si="924"/>
        <v>620</v>
      </c>
      <c r="M510" s="1055">
        <f t="shared" ca="1" si="924"/>
        <v>711</v>
      </c>
      <c r="N510" s="1055">
        <f t="shared" ca="1" si="924"/>
        <v>801</v>
      </c>
      <c r="O510" s="1055">
        <f t="shared" ca="1" si="924"/>
        <v>862</v>
      </c>
      <c r="P510" s="1055">
        <f t="shared" ca="1" si="924"/>
        <v>908</v>
      </c>
      <c r="Q510" s="1055">
        <f t="shared" ca="1" si="924"/>
        <v>956</v>
      </c>
      <c r="R510" s="1055">
        <f t="shared" ca="1" si="924"/>
        <v>1004</v>
      </c>
      <c r="S510" s="1055">
        <f t="shared" ca="1" si="924"/>
        <v>1027</v>
      </c>
      <c r="T510" s="1055">
        <f t="shared" ca="1" si="924"/>
        <v>1057</v>
      </c>
      <c r="U510" s="1055" t="str">
        <f t="shared" ca="1" si="924"/>
        <v/>
      </c>
      <c r="V510" s="1055" t="str">
        <f t="shared" ca="1" si="924"/>
        <v/>
      </c>
      <c r="W510" s="1055" t="str">
        <f t="shared" ca="1" si="924"/>
        <v/>
      </c>
      <c r="X510" s="1055" t="str">
        <f t="shared" si="924"/>
        <v/>
      </c>
      <c r="Y510" s="1055" t="str">
        <f t="shared" si="924"/>
        <v/>
      </c>
    </row>
    <row r="511" spans="1:25">
      <c r="A511" s="598">
        <v>14</v>
      </c>
      <c r="B511" s="598" t="s">
        <v>1636</v>
      </c>
      <c r="D511" s="1055">
        <f t="shared" ref="D511:Y511" ca="1" si="925">IF(ISNUMBER(D510),IF(D510+1&lt;IF(ISNA(E$498),$Z$616,E$498),D510+1,""),"")</f>
        <v>16</v>
      </c>
      <c r="E511" s="1055">
        <f t="shared" ca="1" si="925"/>
        <v>35</v>
      </c>
      <c r="F511" s="1055">
        <f t="shared" ca="1" si="925"/>
        <v>67</v>
      </c>
      <c r="G511" s="1055">
        <f t="shared" ca="1" si="925"/>
        <v>148</v>
      </c>
      <c r="H511" s="1055">
        <f t="shared" ca="1" si="925"/>
        <v>197</v>
      </c>
      <c r="I511" s="1055">
        <f t="shared" ca="1" si="925"/>
        <v>266</v>
      </c>
      <c r="J511" s="1055">
        <f t="shared" ca="1" si="925"/>
        <v>419</v>
      </c>
      <c r="K511" s="1055">
        <f t="shared" ca="1" si="925"/>
        <v>529</v>
      </c>
      <c r="L511" s="1055">
        <f t="shared" ca="1" si="925"/>
        <v>621</v>
      </c>
      <c r="M511" s="1055">
        <f t="shared" ca="1" si="925"/>
        <v>712</v>
      </c>
      <c r="N511" s="1055">
        <f t="shared" ca="1" si="925"/>
        <v>802</v>
      </c>
      <c r="O511" s="1055">
        <f t="shared" ca="1" si="925"/>
        <v>863</v>
      </c>
      <c r="P511" s="1055">
        <f t="shared" ca="1" si="925"/>
        <v>909</v>
      </c>
      <c r="Q511" s="1055">
        <f t="shared" ca="1" si="925"/>
        <v>957</v>
      </c>
      <c r="R511" s="1055">
        <f t="shared" ca="1" si="925"/>
        <v>1005</v>
      </c>
      <c r="S511" s="1055">
        <f t="shared" ca="1" si="925"/>
        <v>1028</v>
      </c>
      <c r="T511" s="1055" t="str">
        <f t="shared" ca="1" si="925"/>
        <v/>
      </c>
      <c r="U511" s="1055" t="str">
        <f t="shared" ca="1" si="925"/>
        <v/>
      </c>
      <c r="V511" s="1055" t="str">
        <f t="shared" ca="1" si="925"/>
        <v/>
      </c>
      <c r="W511" s="1055" t="str">
        <f t="shared" ca="1" si="925"/>
        <v/>
      </c>
      <c r="X511" s="1055" t="str">
        <f t="shared" si="925"/>
        <v/>
      </c>
      <c r="Y511" s="1055" t="str">
        <f t="shared" si="925"/>
        <v/>
      </c>
    </row>
    <row r="512" spans="1:25">
      <c r="A512" s="598">
        <v>15</v>
      </c>
      <c r="B512" s="598" t="s">
        <v>2345</v>
      </c>
      <c r="D512" s="1055">
        <f t="shared" ref="D512:Y512" ca="1" si="926">IF(ISNUMBER(D511),IF(D511+1&lt;IF(ISNA(E$498),$Z$616,E$498),D511+1,""),"")</f>
        <v>17</v>
      </c>
      <c r="E512" s="1055">
        <f t="shared" ca="1" si="926"/>
        <v>36</v>
      </c>
      <c r="F512" s="1055">
        <f t="shared" ca="1" si="926"/>
        <v>68</v>
      </c>
      <c r="G512" s="1055">
        <f t="shared" ca="1" si="926"/>
        <v>149</v>
      </c>
      <c r="H512" s="1055">
        <f t="shared" ca="1" si="926"/>
        <v>198</v>
      </c>
      <c r="I512" s="1055">
        <f t="shared" ca="1" si="926"/>
        <v>267</v>
      </c>
      <c r="J512" s="1055">
        <f t="shared" ca="1" si="926"/>
        <v>420</v>
      </c>
      <c r="K512" s="1055">
        <f t="shared" ca="1" si="926"/>
        <v>530</v>
      </c>
      <c r="L512" s="1055">
        <f t="shared" ca="1" si="926"/>
        <v>622</v>
      </c>
      <c r="M512" s="1055">
        <f t="shared" ca="1" si="926"/>
        <v>713</v>
      </c>
      <c r="N512" s="1055">
        <f t="shared" ca="1" si="926"/>
        <v>803</v>
      </c>
      <c r="O512" s="1055">
        <f t="shared" ca="1" si="926"/>
        <v>864</v>
      </c>
      <c r="P512" s="1055">
        <f t="shared" ca="1" si="926"/>
        <v>910</v>
      </c>
      <c r="Q512" s="1055">
        <f t="shared" ca="1" si="926"/>
        <v>958</v>
      </c>
      <c r="R512" s="1055">
        <f t="shared" ca="1" si="926"/>
        <v>1006</v>
      </c>
      <c r="S512" s="1055">
        <f t="shared" ca="1" si="926"/>
        <v>1029</v>
      </c>
      <c r="T512" s="1055" t="str">
        <f t="shared" ca="1" si="926"/>
        <v/>
      </c>
      <c r="U512" s="1055" t="str">
        <f t="shared" ca="1" si="926"/>
        <v/>
      </c>
      <c r="V512" s="1055" t="str">
        <f t="shared" ca="1" si="926"/>
        <v/>
      </c>
      <c r="W512" s="1055" t="str">
        <f t="shared" ca="1" si="926"/>
        <v/>
      </c>
      <c r="X512" s="1055" t="str">
        <f t="shared" si="926"/>
        <v/>
      </c>
      <c r="Y512" s="1055" t="str">
        <f t="shared" si="926"/>
        <v/>
      </c>
    </row>
    <row r="513" spans="1:25">
      <c r="A513" s="598">
        <v>16</v>
      </c>
      <c r="B513" s="598" t="s">
        <v>2346</v>
      </c>
      <c r="D513" s="1055">
        <f t="shared" ref="D513:Y513" ca="1" si="927">IF(ISNUMBER(D512),IF(D512+1&lt;IF(ISNA(E$498),$Z$616,E$498),D512+1,""),"")</f>
        <v>18</v>
      </c>
      <c r="E513" s="1055">
        <f t="shared" ca="1" si="927"/>
        <v>37</v>
      </c>
      <c r="F513" s="1055">
        <f t="shared" ca="1" si="927"/>
        <v>69</v>
      </c>
      <c r="G513" s="1055">
        <f t="shared" ca="1" si="927"/>
        <v>150</v>
      </c>
      <c r="H513" s="1055">
        <f t="shared" ca="1" si="927"/>
        <v>199</v>
      </c>
      <c r="I513" s="1055">
        <f t="shared" ca="1" si="927"/>
        <v>268</v>
      </c>
      <c r="J513" s="1055">
        <f t="shared" ca="1" si="927"/>
        <v>421</v>
      </c>
      <c r="K513" s="1055">
        <f t="shared" ca="1" si="927"/>
        <v>531</v>
      </c>
      <c r="L513" s="1055">
        <f t="shared" ca="1" si="927"/>
        <v>623</v>
      </c>
      <c r="M513" s="1055">
        <f t="shared" ca="1" si="927"/>
        <v>714</v>
      </c>
      <c r="N513" s="1055">
        <f t="shared" ca="1" si="927"/>
        <v>804</v>
      </c>
      <c r="O513" s="1055">
        <f t="shared" ca="1" si="927"/>
        <v>865</v>
      </c>
      <c r="P513" s="1055">
        <f t="shared" ca="1" si="927"/>
        <v>911</v>
      </c>
      <c r="Q513" s="1055">
        <f t="shared" ca="1" si="927"/>
        <v>959</v>
      </c>
      <c r="R513" s="1055">
        <f t="shared" ca="1" si="927"/>
        <v>1007</v>
      </c>
      <c r="S513" s="1055">
        <f t="shared" ca="1" si="927"/>
        <v>1030</v>
      </c>
      <c r="T513" s="1055" t="str">
        <f t="shared" ca="1" si="927"/>
        <v/>
      </c>
      <c r="U513" s="1055" t="str">
        <f t="shared" ca="1" si="927"/>
        <v/>
      </c>
      <c r="V513" s="1055" t="str">
        <f t="shared" ca="1" si="927"/>
        <v/>
      </c>
      <c r="W513" s="1055" t="str">
        <f t="shared" ca="1" si="927"/>
        <v/>
      </c>
      <c r="X513" s="1055" t="str">
        <f t="shared" si="927"/>
        <v/>
      </c>
      <c r="Y513" s="1055" t="str">
        <f t="shared" si="927"/>
        <v/>
      </c>
    </row>
    <row r="514" spans="1:25">
      <c r="A514" s="598">
        <v>17</v>
      </c>
      <c r="B514" s="598" t="s">
        <v>1347</v>
      </c>
      <c r="D514" s="1055">
        <f t="shared" ref="D514:Y514" ca="1" si="928">IF(ISNUMBER(D513),IF(D513+1&lt;IF(ISNA(E$498),$Z$616,E$498),D513+1,""),"")</f>
        <v>19</v>
      </c>
      <c r="E514" s="1055">
        <f t="shared" ca="1" si="928"/>
        <v>38</v>
      </c>
      <c r="F514" s="1055">
        <f t="shared" ca="1" si="928"/>
        <v>70</v>
      </c>
      <c r="G514" s="1055">
        <f t="shared" ca="1" si="928"/>
        <v>151</v>
      </c>
      <c r="H514" s="1055">
        <f t="shared" ca="1" si="928"/>
        <v>200</v>
      </c>
      <c r="I514" s="1055">
        <f t="shared" ca="1" si="928"/>
        <v>269</v>
      </c>
      <c r="J514" s="1055">
        <f t="shared" ca="1" si="928"/>
        <v>422</v>
      </c>
      <c r="K514" s="1055">
        <f t="shared" ca="1" si="928"/>
        <v>532</v>
      </c>
      <c r="L514" s="1055">
        <f t="shared" ca="1" si="928"/>
        <v>624</v>
      </c>
      <c r="M514" s="1055">
        <f t="shared" ca="1" si="928"/>
        <v>715</v>
      </c>
      <c r="N514" s="1055">
        <f t="shared" ca="1" si="928"/>
        <v>805</v>
      </c>
      <c r="O514" s="1055">
        <f t="shared" ca="1" si="928"/>
        <v>866</v>
      </c>
      <c r="P514" s="1055">
        <f t="shared" ca="1" si="928"/>
        <v>912</v>
      </c>
      <c r="Q514" s="1055">
        <f t="shared" ca="1" si="928"/>
        <v>960</v>
      </c>
      <c r="R514" s="1055">
        <f t="shared" ca="1" si="928"/>
        <v>1008</v>
      </c>
      <c r="S514" s="1055">
        <f t="shared" ca="1" si="928"/>
        <v>1031</v>
      </c>
      <c r="T514" s="1055" t="str">
        <f t="shared" ca="1" si="928"/>
        <v/>
      </c>
      <c r="U514" s="1055" t="str">
        <f t="shared" ca="1" si="928"/>
        <v/>
      </c>
      <c r="V514" s="1055" t="str">
        <f t="shared" ca="1" si="928"/>
        <v/>
      </c>
      <c r="W514" s="1055" t="str">
        <f t="shared" ca="1" si="928"/>
        <v/>
      </c>
      <c r="X514" s="1055" t="str">
        <f t="shared" si="928"/>
        <v/>
      </c>
      <c r="Y514" s="1055" t="str">
        <f t="shared" si="928"/>
        <v/>
      </c>
    </row>
    <row r="515" spans="1:25">
      <c r="A515" s="598">
        <v>18</v>
      </c>
      <c r="B515" s="598" t="s">
        <v>2347</v>
      </c>
      <c r="D515" s="1055">
        <f t="shared" ref="D515:Y515" ca="1" si="929">IF(ISNUMBER(D514),IF(D514+1&lt;IF(ISNA(E$498),$Z$616,E$498),D514+1,""),"")</f>
        <v>20</v>
      </c>
      <c r="E515" s="1055">
        <f t="shared" ca="1" si="929"/>
        <v>39</v>
      </c>
      <c r="F515" s="1055">
        <f t="shared" ca="1" si="929"/>
        <v>71</v>
      </c>
      <c r="G515" s="1055">
        <f t="shared" ca="1" si="929"/>
        <v>152</v>
      </c>
      <c r="H515" s="1055">
        <f t="shared" ca="1" si="929"/>
        <v>201</v>
      </c>
      <c r="I515" s="1055">
        <f t="shared" ca="1" si="929"/>
        <v>270</v>
      </c>
      <c r="J515" s="1055">
        <f t="shared" ca="1" si="929"/>
        <v>423</v>
      </c>
      <c r="K515" s="1055">
        <f t="shared" ca="1" si="929"/>
        <v>533</v>
      </c>
      <c r="L515" s="1055">
        <f t="shared" ca="1" si="929"/>
        <v>625</v>
      </c>
      <c r="M515" s="1055">
        <f t="shared" ca="1" si="929"/>
        <v>716</v>
      </c>
      <c r="N515" s="1055">
        <f t="shared" ca="1" si="929"/>
        <v>806</v>
      </c>
      <c r="O515" s="1055">
        <f t="shared" ca="1" si="929"/>
        <v>867</v>
      </c>
      <c r="P515" s="1055">
        <f t="shared" ca="1" si="929"/>
        <v>913</v>
      </c>
      <c r="Q515" s="1055">
        <f t="shared" ca="1" si="929"/>
        <v>961</v>
      </c>
      <c r="R515" s="1055">
        <f t="shared" ca="1" si="929"/>
        <v>1009</v>
      </c>
      <c r="S515" s="1055">
        <f t="shared" ca="1" si="929"/>
        <v>1032</v>
      </c>
      <c r="T515" s="1055" t="str">
        <f t="shared" ca="1" si="929"/>
        <v/>
      </c>
      <c r="U515" s="1055" t="str">
        <f t="shared" ca="1" si="929"/>
        <v/>
      </c>
      <c r="V515" s="1055" t="str">
        <f t="shared" ca="1" si="929"/>
        <v/>
      </c>
      <c r="W515" s="1055" t="str">
        <f t="shared" ca="1" si="929"/>
        <v/>
      </c>
      <c r="X515" s="1055" t="str">
        <f t="shared" si="929"/>
        <v/>
      </c>
      <c r="Y515" s="1055" t="str">
        <f t="shared" si="929"/>
        <v/>
      </c>
    </row>
    <row r="516" spans="1:25">
      <c r="A516" s="598">
        <v>19</v>
      </c>
      <c r="B516" s="598" t="s">
        <v>2348</v>
      </c>
      <c r="D516" s="1055">
        <f t="shared" ref="D516:Y516" ca="1" si="930">IF(ISNUMBER(D515),IF(D515+1&lt;IF(ISNA(E$498),$Z$616,E$498),D515+1,""),"")</f>
        <v>21</v>
      </c>
      <c r="E516" s="1055">
        <f t="shared" ca="1" si="930"/>
        <v>40</v>
      </c>
      <c r="F516" s="1055">
        <f t="shared" ca="1" si="930"/>
        <v>72</v>
      </c>
      <c r="G516" s="1055">
        <f t="shared" ca="1" si="930"/>
        <v>153</v>
      </c>
      <c r="H516" s="1055">
        <f t="shared" ca="1" si="930"/>
        <v>202</v>
      </c>
      <c r="I516" s="1055">
        <f t="shared" ca="1" si="930"/>
        <v>271</v>
      </c>
      <c r="J516" s="1055">
        <f t="shared" ca="1" si="930"/>
        <v>424</v>
      </c>
      <c r="K516" s="1055">
        <f t="shared" ca="1" si="930"/>
        <v>534</v>
      </c>
      <c r="L516" s="1055">
        <f t="shared" ca="1" si="930"/>
        <v>626</v>
      </c>
      <c r="M516" s="1055">
        <f t="shared" ca="1" si="930"/>
        <v>717</v>
      </c>
      <c r="N516" s="1055">
        <f t="shared" ca="1" si="930"/>
        <v>807</v>
      </c>
      <c r="O516" s="1055">
        <f t="shared" ca="1" si="930"/>
        <v>868</v>
      </c>
      <c r="P516" s="1055">
        <f t="shared" ca="1" si="930"/>
        <v>914</v>
      </c>
      <c r="Q516" s="1055">
        <f t="shared" ca="1" si="930"/>
        <v>962</v>
      </c>
      <c r="R516" s="1055">
        <f t="shared" ca="1" si="930"/>
        <v>1010</v>
      </c>
      <c r="S516" s="1055">
        <f t="shared" ca="1" si="930"/>
        <v>1033</v>
      </c>
      <c r="T516" s="1055" t="str">
        <f t="shared" ca="1" si="930"/>
        <v/>
      </c>
      <c r="U516" s="1055" t="str">
        <f t="shared" ca="1" si="930"/>
        <v/>
      </c>
      <c r="V516" s="1055" t="str">
        <f t="shared" ca="1" si="930"/>
        <v/>
      </c>
      <c r="W516" s="1055" t="str">
        <f t="shared" ca="1" si="930"/>
        <v/>
      </c>
      <c r="X516" s="1055" t="str">
        <f t="shared" si="930"/>
        <v/>
      </c>
      <c r="Y516" s="1055" t="str">
        <f t="shared" si="930"/>
        <v/>
      </c>
    </row>
    <row r="517" spans="1:25">
      <c r="A517" s="598">
        <v>20</v>
      </c>
      <c r="B517" s="598" t="s">
        <v>2340</v>
      </c>
      <c r="D517" s="1055" t="str">
        <f t="shared" ref="D517:Y517" ca="1" si="931">IF(ISNUMBER(D516),IF(D516+1&lt;IF(ISNA(E$498),$Z$616,E$498),D516+1,""),"")</f>
        <v/>
      </c>
      <c r="E517" s="1055">
        <f t="shared" ca="1" si="931"/>
        <v>41</v>
      </c>
      <c r="F517" s="1055">
        <f t="shared" ca="1" si="931"/>
        <v>73</v>
      </c>
      <c r="G517" s="1055">
        <f t="shared" ca="1" si="931"/>
        <v>154</v>
      </c>
      <c r="H517" s="1055">
        <f t="shared" ca="1" si="931"/>
        <v>203</v>
      </c>
      <c r="I517" s="1055">
        <f t="shared" ca="1" si="931"/>
        <v>272</v>
      </c>
      <c r="J517" s="1055">
        <f t="shared" ca="1" si="931"/>
        <v>425</v>
      </c>
      <c r="K517" s="1055">
        <f t="shared" ca="1" si="931"/>
        <v>535</v>
      </c>
      <c r="L517" s="1055">
        <f t="shared" ca="1" si="931"/>
        <v>627</v>
      </c>
      <c r="M517" s="1055">
        <f t="shared" ca="1" si="931"/>
        <v>718</v>
      </c>
      <c r="N517" s="1055">
        <f t="shared" ca="1" si="931"/>
        <v>808</v>
      </c>
      <c r="O517" s="1055">
        <f t="shared" ca="1" si="931"/>
        <v>869</v>
      </c>
      <c r="P517" s="1055">
        <f t="shared" ca="1" si="931"/>
        <v>915</v>
      </c>
      <c r="Q517" s="1055">
        <f t="shared" ca="1" si="931"/>
        <v>963</v>
      </c>
      <c r="R517" s="1055">
        <f t="shared" ca="1" si="931"/>
        <v>1011</v>
      </c>
      <c r="S517" s="1055">
        <f t="shared" ca="1" si="931"/>
        <v>1034</v>
      </c>
      <c r="T517" s="1055" t="str">
        <f t="shared" ca="1" si="931"/>
        <v/>
      </c>
      <c r="U517" s="1055" t="str">
        <f t="shared" ca="1" si="931"/>
        <v/>
      </c>
      <c r="V517" s="1055" t="str">
        <f t="shared" ca="1" si="931"/>
        <v/>
      </c>
      <c r="W517" s="1055" t="str">
        <f t="shared" ca="1" si="931"/>
        <v/>
      </c>
      <c r="X517" s="1055" t="str">
        <f t="shared" si="931"/>
        <v/>
      </c>
      <c r="Y517" s="1055" t="str">
        <f t="shared" si="931"/>
        <v/>
      </c>
    </row>
    <row r="518" spans="1:25">
      <c r="A518" s="598">
        <v>21</v>
      </c>
      <c r="D518" s="1055" t="str">
        <f t="shared" ref="D518:Y518" ca="1" si="932">IF(ISNUMBER(D517),IF(D517+1&lt;IF(ISNA(E$498),$Z$616,E$498),D517+1,""),"")</f>
        <v/>
      </c>
      <c r="E518" s="1055">
        <f t="shared" ca="1" si="932"/>
        <v>42</v>
      </c>
      <c r="F518" s="1055">
        <f t="shared" ca="1" si="932"/>
        <v>74</v>
      </c>
      <c r="G518" s="1055">
        <f t="shared" ca="1" si="932"/>
        <v>155</v>
      </c>
      <c r="H518" s="1055">
        <f t="shared" ca="1" si="932"/>
        <v>204</v>
      </c>
      <c r="I518" s="1055">
        <f t="shared" ca="1" si="932"/>
        <v>273</v>
      </c>
      <c r="J518" s="1055">
        <f t="shared" ca="1" si="932"/>
        <v>426</v>
      </c>
      <c r="K518" s="1055">
        <f t="shared" ca="1" si="932"/>
        <v>536</v>
      </c>
      <c r="L518" s="1055">
        <f t="shared" ca="1" si="932"/>
        <v>628</v>
      </c>
      <c r="M518" s="1055">
        <f t="shared" ca="1" si="932"/>
        <v>719</v>
      </c>
      <c r="N518" s="1055">
        <f t="shared" ca="1" si="932"/>
        <v>809</v>
      </c>
      <c r="O518" s="1055">
        <f t="shared" ca="1" si="932"/>
        <v>870</v>
      </c>
      <c r="P518" s="1055">
        <f t="shared" ca="1" si="932"/>
        <v>916</v>
      </c>
      <c r="Q518" s="1055">
        <f t="shared" ca="1" si="932"/>
        <v>964</v>
      </c>
      <c r="R518" s="1055">
        <f t="shared" ca="1" si="932"/>
        <v>1012</v>
      </c>
      <c r="S518" s="1055">
        <f t="shared" ca="1" si="932"/>
        <v>1035</v>
      </c>
      <c r="T518" s="1055" t="str">
        <f t="shared" ca="1" si="932"/>
        <v/>
      </c>
      <c r="U518" s="1055" t="str">
        <f t="shared" ca="1" si="932"/>
        <v/>
      </c>
      <c r="V518" s="1055" t="str">
        <f t="shared" ca="1" si="932"/>
        <v/>
      </c>
      <c r="W518" s="1055" t="str">
        <f t="shared" ca="1" si="932"/>
        <v/>
      </c>
      <c r="X518" s="1055" t="str">
        <f t="shared" si="932"/>
        <v/>
      </c>
      <c r="Y518" s="1055" t="str">
        <f t="shared" si="932"/>
        <v/>
      </c>
    </row>
    <row r="519" spans="1:25">
      <c r="A519" s="598">
        <v>22</v>
      </c>
      <c r="D519" s="1055" t="str">
        <f t="shared" ref="D519:Y519" ca="1" si="933">IF(ISNUMBER(D518),IF(D518+1&lt;IF(ISNA(E$498),$Z$616,E$498),D518+1,""),"")</f>
        <v/>
      </c>
      <c r="E519" s="1055">
        <f t="shared" ca="1" si="933"/>
        <v>43</v>
      </c>
      <c r="F519" s="1055">
        <f t="shared" ca="1" si="933"/>
        <v>75</v>
      </c>
      <c r="G519" s="1055">
        <f t="shared" ca="1" si="933"/>
        <v>156</v>
      </c>
      <c r="H519" s="1055">
        <f t="shared" ca="1" si="933"/>
        <v>205</v>
      </c>
      <c r="I519" s="1055">
        <f t="shared" ca="1" si="933"/>
        <v>274</v>
      </c>
      <c r="J519" s="1055">
        <f t="shared" ca="1" si="933"/>
        <v>427</v>
      </c>
      <c r="K519" s="1055">
        <f t="shared" ca="1" si="933"/>
        <v>537</v>
      </c>
      <c r="L519" s="1055">
        <f t="shared" ca="1" si="933"/>
        <v>629</v>
      </c>
      <c r="M519" s="1055">
        <f t="shared" ca="1" si="933"/>
        <v>720</v>
      </c>
      <c r="N519" s="1055">
        <f t="shared" ca="1" si="933"/>
        <v>810</v>
      </c>
      <c r="O519" s="1055">
        <f t="shared" ca="1" si="933"/>
        <v>871</v>
      </c>
      <c r="P519" s="1055">
        <f t="shared" ca="1" si="933"/>
        <v>917</v>
      </c>
      <c r="Q519" s="1055">
        <f t="shared" ca="1" si="933"/>
        <v>965</v>
      </c>
      <c r="R519" s="1055">
        <f t="shared" ca="1" si="933"/>
        <v>1013</v>
      </c>
      <c r="S519" s="1055">
        <f t="shared" ca="1" si="933"/>
        <v>1036</v>
      </c>
      <c r="T519" s="1055" t="str">
        <f t="shared" ca="1" si="933"/>
        <v/>
      </c>
      <c r="U519" s="1055" t="str">
        <f t="shared" ca="1" si="933"/>
        <v/>
      </c>
      <c r="V519" s="1055" t="str">
        <f t="shared" ca="1" si="933"/>
        <v/>
      </c>
      <c r="W519" s="1055" t="str">
        <f t="shared" ca="1" si="933"/>
        <v/>
      </c>
      <c r="X519" s="1055" t="str">
        <f t="shared" si="933"/>
        <v/>
      </c>
      <c r="Y519" s="1055" t="str">
        <f t="shared" si="933"/>
        <v/>
      </c>
    </row>
    <row r="520" spans="1:25">
      <c r="A520" s="598">
        <v>23</v>
      </c>
      <c r="D520" s="1055" t="str">
        <f t="shared" ref="D520:Y520" ca="1" si="934">IF(ISNUMBER(D519),IF(D519+1&lt;IF(ISNA(E$498),$Z$616,E$498),D519+1,""),"")</f>
        <v/>
      </c>
      <c r="E520" s="1055">
        <f t="shared" ca="1" si="934"/>
        <v>44</v>
      </c>
      <c r="F520" s="1055">
        <f t="shared" ca="1" si="934"/>
        <v>76</v>
      </c>
      <c r="G520" s="1055">
        <f t="shared" ca="1" si="934"/>
        <v>157</v>
      </c>
      <c r="H520" s="1055">
        <f t="shared" ca="1" si="934"/>
        <v>206</v>
      </c>
      <c r="I520" s="1055">
        <f t="shared" ca="1" si="934"/>
        <v>275</v>
      </c>
      <c r="J520" s="1055">
        <f t="shared" ca="1" si="934"/>
        <v>428</v>
      </c>
      <c r="K520" s="1055">
        <f t="shared" ca="1" si="934"/>
        <v>538</v>
      </c>
      <c r="L520" s="1055">
        <f t="shared" ca="1" si="934"/>
        <v>630</v>
      </c>
      <c r="M520" s="1055">
        <f t="shared" ca="1" si="934"/>
        <v>721</v>
      </c>
      <c r="N520" s="1055">
        <f t="shared" ca="1" si="934"/>
        <v>811</v>
      </c>
      <c r="O520" s="1055">
        <f t="shared" ca="1" si="934"/>
        <v>872</v>
      </c>
      <c r="P520" s="1055">
        <f t="shared" ca="1" si="934"/>
        <v>918</v>
      </c>
      <c r="Q520" s="1055">
        <f t="shared" ca="1" si="934"/>
        <v>966</v>
      </c>
      <c r="R520" s="1055">
        <f t="shared" ca="1" si="934"/>
        <v>1014</v>
      </c>
      <c r="S520" s="1055">
        <f t="shared" ca="1" si="934"/>
        <v>1037</v>
      </c>
      <c r="T520" s="1055" t="str">
        <f t="shared" ca="1" si="934"/>
        <v/>
      </c>
      <c r="U520" s="1055" t="str">
        <f t="shared" ca="1" si="934"/>
        <v/>
      </c>
      <c r="V520" s="1055" t="str">
        <f t="shared" ca="1" si="934"/>
        <v/>
      </c>
      <c r="W520" s="1055" t="str">
        <f t="shared" ca="1" si="934"/>
        <v/>
      </c>
      <c r="X520" s="1055" t="str">
        <f t="shared" si="934"/>
        <v/>
      </c>
      <c r="Y520" s="1055" t="str">
        <f t="shared" si="934"/>
        <v/>
      </c>
    </row>
    <row r="521" spans="1:25">
      <c r="A521" s="598">
        <v>24</v>
      </c>
      <c r="D521" s="1055" t="str">
        <f t="shared" ref="D521:Y521" ca="1" si="935">IF(ISNUMBER(D520),IF(D520+1&lt;IF(ISNA(E$498),$Z$616,E$498),D520+1,""),"")</f>
        <v/>
      </c>
      <c r="E521" s="1055">
        <f t="shared" ca="1" si="935"/>
        <v>45</v>
      </c>
      <c r="F521" s="1055">
        <f t="shared" ca="1" si="935"/>
        <v>77</v>
      </c>
      <c r="G521" s="1055">
        <f t="shared" ca="1" si="935"/>
        <v>158</v>
      </c>
      <c r="H521" s="1055">
        <f t="shared" ca="1" si="935"/>
        <v>207</v>
      </c>
      <c r="I521" s="1055">
        <f t="shared" ca="1" si="935"/>
        <v>276</v>
      </c>
      <c r="J521" s="1055">
        <f t="shared" ca="1" si="935"/>
        <v>429</v>
      </c>
      <c r="K521" s="1055">
        <f t="shared" ca="1" si="935"/>
        <v>539</v>
      </c>
      <c r="L521" s="1055">
        <f t="shared" ca="1" si="935"/>
        <v>631</v>
      </c>
      <c r="M521" s="1055">
        <f t="shared" ca="1" si="935"/>
        <v>722</v>
      </c>
      <c r="N521" s="1055">
        <f t="shared" ca="1" si="935"/>
        <v>812</v>
      </c>
      <c r="O521" s="1055">
        <f t="shared" ca="1" si="935"/>
        <v>873</v>
      </c>
      <c r="P521" s="1055">
        <f t="shared" ca="1" si="935"/>
        <v>919</v>
      </c>
      <c r="Q521" s="1055">
        <f t="shared" ca="1" si="935"/>
        <v>967</v>
      </c>
      <c r="R521" s="1055" t="str">
        <f t="shared" ca="1" si="935"/>
        <v/>
      </c>
      <c r="S521" s="1055">
        <f t="shared" ca="1" si="935"/>
        <v>1038</v>
      </c>
      <c r="T521" s="1055" t="str">
        <f t="shared" ca="1" si="935"/>
        <v/>
      </c>
      <c r="U521" s="1055" t="str">
        <f t="shared" ca="1" si="935"/>
        <v/>
      </c>
      <c r="V521" s="1055" t="str">
        <f t="shared" ca="1" si="935"/>
        <v/>
      </c>
      <c r="W521" s="1055" t="str">
        <f t="shared" ca="1" si="935"/>
        <v/>
      </c>
      <c r="X521" s="1055" t="str">
        <f t="shared" si="935"/>
        <v/>
      </c>
      <c r="Y521" s="1055" t="str">
        <f t="shared" si="935"/>
        <v/>
      </c>
    </row>
    <row r="522" spans="1:25">
      <c r="A522" s="598">
        <v>25</v>
      </c>
      <c r="D522" s="1055" t="str">
        <f t="shared" ref="D522:Y522" ca="1" si="936">IF(ISNUMBER(D521),IF(D521+1&lt;IF(ISNA(E$498),$Z$616,E$498),D521+1,""),"")</f>
        <v/>
      </c>
      <c r="E522" s="1055">
        <f t="shared" ca="1" si="936"/>
        <v>46</v>
      </c>
      <c r="F522" s="1055">
        <f t="shared" ca="1" si="936"/>
        <v>78</v>
      </c>
      <c r="G522" s="1055">
        <f t="shared" ca="1" si="936"/>
        <v>159</v>
      </c>
      <c r="H522" s="1055">
        <f t="shared" ca="1" si="936"/>
        <v>208</v>
      </c>
      <c r="I522" s="1055">
        <f t="shared" ca="1" si="936"/>
        <v>277</v>
      </c>
      <c r="J522" s="1055">
        <f t="shared" ca="1" si="936"/>
        <v>430</v>
      </c>
      <c r="K522" s="1055">
        <f t="shared" ca="1" si="936"/>
        <v>540</v>
      </c>
      <c r="L522" s="1055">
        <f t="shared" ca="1" si="936"/>
        <v>632</v>
      </c>
      <c r="M522" s="1055">
        <f t="shared" ca="1" si="936"/>
        <v>723</v>
      </c>
      <c r="N522" s="1055">
        <f t="shared" ca="1" si="936"/>
        <v>813</v>
      </c>
      <c r="O522" s="1055">
        <f t="shared" ca="1" si="936"/>
        <v>874</v>
      </c>
      <c r="P522" s="1055">
        <f t="shared" ca="1" si="936"/>
        <v>920</v>
      </c>
      <c r="Q522" s="1055">
        <f t="shared" ca="1" si="936"/>
        <v>968</v>
      </c>
      <c r="R522" s="1055" t="str">
        <f t="shared" ca="1" si="936"/>
        <v/>
      </c>
      <c r="S522" s="1055">
        <f t="shared" ca="1" si="936"/>
        <v>1039</v>
      </c>
      <c r="T522" s="1055" t="str">
        <f t="shared" ca="1" si="936"/>
        <v/>
      </c>
      <c r="U522" s="1055" t="str">
        <f t="shared" ca="1" si="936"/>
        <v/>
      </c>
      <c r="V522" s="1055" t="str">
        <f t="shared" ca="1" si="936"/>
        <v/>
      </c>
      <c r="W522" s="1055" t="str">
        <f t="shared" ca="1" si="936"/>
        <v/>
      </c>
      <c r="X522" s="1055" t="str">
        <f t="shared" si="936"/>
        <v/>
      </c>
      <c r="Y522" s="1055" t="str">
        <f t="shared" si="936"/>
        <v/>
      </c>
    </row>
    <row r="523" spans="1:25">
      <c r="A523" s="598">
        <v>26</v>
      </c>
      <c r="D523" s="1055" t="str">
        <f t="shared" ref="D523:Y523" ca="1" si="937">IF(ISNUMBER(D522),IF(D522+1&lt;IF(ISNA(E$498),$Z$616,E$498),D522+1,""),"")</f>
        <v/>
      </c>
      <c r="E523" s="1055">
        <f t="shared" ca="1" si="937"/>
        <v>47</v>
      </c>
      <c r="F523" s="1055">
        <f t="shared" ca="1" si="937"/>
        <v>79</v>
      </c>
      <c r="G523" s="1055">
        <f t="shared" ca="1" si="937"/>
        <v>160</v>
      </c>
      <c r="H523" s="1055">
        <f t="shared" ca="1" si="937"/>
        <v>209</v>
      </c>
      <c r="I523" s="1055">
        <f t="shared" ca="1" si="937"/>
        <v>278</v>
      </c>
      <c r="J523" s="1055">
        <f t="shared" ca="1" si="937"/>
        <v>431</v>
      </c>
      <c r="K523" s="1055">
        <f t="shared" ca="1" si="937"/>
        <v>541</v>
      </c>
      <c r="L523" s="1055">
        <f t="shared" ca="1" si="937"/>
        <v>633</v>
      </c>
      <c r="M523" s="1055">
        <f t="shared" ca="1" si="937"/>
        <v>724</v>
      </c>
      <c r="N523" s="1055">
        <f t="shared" ca="1" si="937"/>
        <v>814</v>
      </c>
      <c r="O523" s="1055">
        <f t="shared" ca="1" si="937"/>
        <v>875</v>
      </c>
      <c r="P523" s="1055">
        <f t="shared" ca="1" si="937"/>
        <v>921</v>
      </c>
      <c r="Q523" s="1055">
        <f t="shared" ca="1" si="937"/>
        <v>969</v>
      </c>
      <c r="R523" s="1055" t="str">
        <f t="shared" ca="1" si="937"/>
        <v/>
      </c>
      <c r="S523" s="1055">
        <f t="shared" ca="1" si="937"/>
        <v>1040</v>
      </c>
      <c r="T523" s="1055" t="str">
        <f t="shared" ca="1" si="937"/>
        <v/>
      </c>
      <c r="U523" s="1055" t="str">
        <f t="shared" ca="1" si="937"/>
        <v/>
      </c>
      <c r="V523" s="1055" t="str">
        <f t="shared" ca="1" si="937"/>
        <v/>
      </c>
      <c r="W523" s="1055" t="str">
        <f t="shared" ca="1" si="937"/>
        <v/>
      </c>
      <c r="X523" s="1055" t="str">
        <f t="shared" si="937"/>
        <v/>
      </c>
      <c r="Y523" s="1055" t="str">
        <f t="shared" si="937"/>
        <v/>
      </c>
    </row>
    <row r="524" spans="1:25">
      <c r="A524" s="598">
        <v>27</v>
      </c>
      <c r="D524" s="1055" t="str">
        <f t="shared" ref="D524:Y524" ca="1" si="938">IF(ISNUMBER(D523),IF(D523+1&lt;IF(ISNA(E$498),$Z$616,E$498),D523+1,""),"")</f>
        <v/>
      </c>
      <c r="E524" s="1055">
        <f t="shared" ca="1" si="938"/>
        <v>48</v>
      </c>
      <c r="F524" s="1055">
        <f t="shared" ca="1" si="938"/>
        <v>80</v>
      </c>
      <c r="G524" s="1055">
        <f t="shared" ca="1" si="938"/>
        <v>161</v>
      </c>
      <c r="H524" s="1055">
        <f t="shared" ca="1" si="938"/>
        <v>210</v>
      </c>
      <c r="I524" s="1055">
        <f t="shared" ca="1" si="938"/>
        <v>279</v>
      </c>
      <c r="J524" s="1055">
        <f t="shared" ca="1" si="938"/>
        <v>432</v>
      </c>
      <c r="K524" s="1055">
        <f t="shared" ca="1" si="938"/>
        <v>542</v>
      </c>
      <c r="L524" s="1055">
        <f t="shared" ca="1" si="938"/>
        <v>634</v>
      </c>
      <c r="M524" s="1055">
        <f t="shared" ca="1" si="938"/>
        <v>725</v>
      </c>
      <c r="N524" s="1055">
        <f t="shared" ca="1" si="938"/>
        <v>815</v>
      </c>
      <c r="O524" s="1055">
        <f t="shared" ca="1" si="938"/>
        <v>876</v>
      </c>
      <c r="P524" s="1055">
        <f t="shared" ca="1" si="938"/>
        <v>922</v>
      </c>
      <c r="Q524" s="1055">
        <f t="shared" ca="1" si="938"/>
        <v>970</v>
      </c>
      <c r="R524" s="1055" t="str">
        <f t="shared" ca="1" si="938"/>
        <v/>
      </c>
      <c r="S524" s="1055">
        <f t="shared" ca="1" si="938"/>
        <v>1041</v>
      </c>
      <c r="T524" s="1055" t="str">
        <f t="shared" ca="1" si="938"/>
        <v/>
      </c>
      <c r="U524" s="1055" t="str">
        <f t="shared" ca="1" si="938"/>
        <v/>
      </c>
      <c r="V524" s="1055" t="str">
        <f t="shared" ca="1" si="938"/>
        <v/>
      </c>
      <c r="W524" s="1055" t="str">
        <f t="shared" ca="1" si="938"/>
        <v/>
      </c>
      <c r="X524" s="1055" t="str">
        <f t="shared" si="938"/>
        <v/>
      </c>
      <c r="Y524" s="1055" t="str">
        <f t="shared" si="938"/>
        <v/>
      </c>
    </row>
    <row r="525" spans="1:25">
      <c r="A525" s="598">
        <v>28</v>
      </c>
      <c r="D525" s="1055" t="str">
        <f t="shared" ref="D525:Y525" ca="1" si="939">IF(ISNUMBER(D524),IF(D524+1&lt;IF(ISNA(E$498),$Z$616,E$498),D524+1,""),"")</f>
        <v/>
      </c>
      <c r="E525" s="1055">
        <f t="shared" ca="1" si="939"/>
        <v>49</v>
      </c>
      <c r="F525" s="1055">
        <f t="shared" ca="1" si="939"/>
        <v>81</v>
      </c>
      <c r="G525" s="1055">
        <f t="shared" ca="1" si="939"/>
        <v>162</v>
      </c>
      <c r="H525" s="1055">
        <f t="shared" ca="1" si="939"/>
        <v>211</v>
      </c>
      <c r="I525" s="1055">
        <f t="shared" ca="1" si="939"/>
        <v>280</v>
      </c>
      <c r="J525" s="1055">
        <f t="shared" ca="1" si="939"/>
        <v>433</v>
      </c>
      <c r="K525" s="1055">
        <f t="shared" ca="1" si="939"/>
        <v>543</v>
      </c>
      <c r="L525" s="1055">
        <f t="shared" ca="1" si="939"/>
        <v>635</v>
      </c>
      <c r="M525" s="1055">
        <f t="shared" ca="1" si="939"/>
        <v>726</v>
      </c>
      <c r="N525" s="1055">
        <f t="shared" ca="1" si="939"/>
        <v>816</v>
      </c>
      <c r="O525" s="1055">
        <f t="shared" ca="1" si="939"/>
        <v>877</v>
      </c>
      <c r="P525" s="1055">
        <f t="shared" ca="1" si="939"/>
        <v>923</v>
      </c>
      <c r="Q525" s="1055">
        <f t="shared" ca="1" si="939"/>
        <v>971</v>
      </c>
      <c r="R525" s="1055" t="str">
        <f t="shared" ca="1" si="939"/>
        <v/>
      </c>
      <c r="S525" s="1055">
        <f t="shared" ca="1" si="939"/>
        <v>1042</v>
      </c>
      <c r="T525" s="1055" t="str">
        <f t="shared" ca="1" si="939"/>
        <v/>
      </c>
      <c r="U525" s="1055" t="str">
        <f t="shared" ca="1" si="939"/>
        <v/>
      </c>
      <c r="V525" s="1055" t="str">
        <f t="shared" ca="1" si="939"/>
        <v/>
      </c>
      <c r="W525" s="1055" t="str">
        <f t="shared" ca="1" si="939"/>
        <v/>
      </c>
      <c r="X525" s="1055" t="str">
        <f t="shared" si="939"/>
        <v/>
      </c>
      <c r="Y525" s="1055" t="str">
        <f t="shared" si="939"/>
        <v/>
      </c>
    </row>
    <row r="526" spans="1:25">
      <c r="A526" s="598">
        <v>29</v>
      </c>
      <c r="D526" s="1055" t="str">
        <f t="shared" ref="D526:Y526" ca="1" si="940">IF(ISNUMBER(D525),IF(D525+1&lt;IF(ISNA(E$498),$Z$616,E$498),D525+1,""),"")</f>
        <v/>
      </c>
      <c r="E526" s="1055">
        <f t="shared" ca="1" si="940"/>
        <v>50</v>
      </c>
      <c r="F526" s="1055">
        <f t="shared" ca="1" si="940"/>
        <v>82</v>
      </c>
      <c r="G526" s="1055">
        <f t="shared" ca="1" si="940"/>
        <v>163</v>
      </c>
      <c r="H526" s="1055">
        <f t="shared" ca="1" si="940"/>
        <v>212</v>
      </c>
      <c r="I526" s="1055">
        <f t="shared" ca="1" si="940"/>
        <v>281</v>
      </c>
      <c r="J526" s="1055">
        <f t="shared" ca="1" si="940"/>
        <v>434</v>
      </c>
      <c r="K526" s="1055">
        <f t="shared" ca="1" si="940"/>
        <v>544</v>
      </c>
      <c r="L526" s="1055">
        <f t="shared" ca="1" si="940"/>
        <v>636</v>
      </c>
      <c r="M526" s="1055">
        <f t="shared" ca="1" si="940"/>
        <v>727</v>
      </c>
      <c r="N526" s="1055">
        <f t="shared" ca="1" si="940"/>
        <v>817</v>
      </c>
      <c r="O526" s="1055">
        <f t="shared" ca="1" si="940"/>
        <v>878</v>
      </c>
      <c r="P526" s="1055">
        <f t="shared" ca="1" si="940"/>
        <v>924</v>
      </c>
      <c r="Q526" s="1055">
        <f t="shared" ca="1" si="940"/>
        <v>972</v>
      </c>
      <c r="R526" s="1055" t="str">
        <f t="shared" ca="1" si="940"/>
        <v/>
      </c>
      <c r="S526" s="1055">
        <f t="shared" ca="1" si="940"/>
        <v>1043</v>
      </c>
      <c r="T526" s="1055" t="str">
        <f t="shared" ca="1" si="940"/>
        <v/>
      </c>
      <c r="U526" s="1055" t="str">
        <f t="shared" ca="1" si="940"/>
        <v/>
      </c>
      <c r="V526" s="1055" t="str">
        <f t="shared" ca="1" si="940"/>
        <v/>
      </c>
      <c r="W526" s="1055" t="str">
        <f t="shared" ca="1" si="940"/>
        <v/>
      </c>
      <c r="X526" s="1055" t="str">
        <f t="shared" si="940"/>
        <v/>
      </c>
      <c r="Y526" s="1055" t="str">
        <f t="shared" si="940"/>
        <v/>
      </c>
    </row>
    <row r="527" spans="1:25">
      <c r="A527" s="598">
        <v>30</v>
      </c>
      <c r="D527" s="1055" t="str">
        <f t="shared" ref="D527:Y527" ca="1" si="941">IF(ISNUMBER(D526),IF(D526+1&lt;IF(ISNA(E$498),$Z$616,E$498),D526+1,""),"")</f>
        <v/>
      </c>
      <c r="E527" s="1055">
        <f t="shared" ca="1" si="941"/>
        <v>51</v>
      </c>
      <c r="F527" s="1055">
        <f t="shared" ca="1" si="941"/>
        <v>83</v>
      </c>
      <c r="G527" s="1055">
        <f t="shared" ca="1" si="941"/>
        <v>164</v>
      </c>
      <c r="H527" s="1055">
        <f t="shared" ca="1" si="941"/>
        <v>213</v>
      </c>
      <c r="I527" s="1055">
        <f t="shared" ca="1" si="941"/>
        <v>282</v>
      </c>
      <c r="J527" s="1055">
        <f t="shared" ca="1" si="941"/>
        <v>435</v>
      </c>
      <c r="K527" s="1055">
        <f t="shared" ca="1" si="941"/>
        <v>545</v>
      </c>
      <c r="L527" s="1055">
        <f t="shared" ca="1" si="941"/>
        <v>637</v>
      </c>
      <c r="M527" s="1055">
        <f t="shared" ca="1" si="941"/>
        <v>728</v>
      </c>
      <c r="N527" s="1055">
        <f t="shared" ca="1" si="941"/>
        <v>818</v>
      </c>
      <c r="O527" s="1055">
        <f t="shared" ca="1" si="941"/>
        <v>879</v>
      </c>
      <c r="P527" s="1055">
        <f t="shared" ca="1" si="941"/>
        <v>925</v>
      </c>
      <c r="Q527" s="1055">
        <f t="shared" ca="1" si="941"/>
        <v>973</v>
      </c>
      <c r="R527" s="1055" t="str">
        <f t="shared" ca="1" si="941"/>
        <v/>
      </c>
      <c r="S527" s="1055">
        <f t="shared" ca="1" si="941"/>
        <v>1044</v>
      </c>
      <c r="T527" s="1055" t="str">
        <f t="shared" ca="1" si="941"/>
        <v/>
      </c>
      <c r="U527" s="1055" t="str">
        <f t="shared" ca="1" si="941"/>
        <v/>
      </c>
      <c r="V527" s="1055" t="str">
        <f t="shared" ca="1" si="941"/>
        <v/>
      </c>
      <c r="W527" s="1055" t="str">
        <f t="shared" ca="1" si="941"/>
        <v/>
      </c>
      <c r="X527" s="1055" t="str">
        <f t="shared" si="941"/>
        <v/>
      </c>
      <c r="Y527" s="1055" t="str">
        <f t="shared" si="941"/>
        <v/>
      </c>
    </row>
    <row r="528" spans="1:25">
      <c r="A528" s="598">
        <v>31</v>
      </c>
      <c r="D528" s="1055" t="str">
        <f t="shared" ref="D528:Y528" ca="1" si="942">IF(ISNUMBER(D527),IF(D527+1&lt;IF(ISNA(E$498),$Z$616,E$498),D527+1,""),"")</f>
        <v/>
      </c>
      <c r="E528" s="1055">
        <f t="shared" ca="1" si="942"/>
        <v>52</v>
      </c>
      <c r="F528" s="1055">
        <f t="shared" ca="1" si="942"/>
        <v>84</v>
      </c>
      <c r="G528" s="1055">
        <f t="shared" ca="1" si="942"/>
        <v>165</v>
      </c>
      <c r="H528" s="1055">
        <f t="shared" ca="1" si="942"/>
        <v>214</v>
      </c>
      <c r="I528" s="1055">
        <f t="shared" ca="1" si="942"/>
        <v>283</v>
      </c>
      <c r="J528" s="1055">
        <f t="shared" ca="1" si="942"/>
        <v>436</v>
      </c>
      <c r="K528" s="1055">
        <f t="shared" ca="1" si="942"/>
        <v>546</v>
      </c>
      <c r="L528" s="1055">
        <f t="shared" ca="1" si="942"/>
        <v>638</v>
      </c>
      <c r="M528" s="1055">
        <f t="shared" ca="1" si="942"/>
        <v>729</v>
      </c>
      <c r="N528" s="1055">
        <f t="shared" ca="1" si="942"/>
        <v>819</v>
      </c>
      <c r="O528" s="1055">
        <f t="shared" ca="1" si="942"/>
        <v>880</v>
      </c>
      <c r="P528" s="1055">
        <f t="shared" ca="1" si="942"/>
        <v>926</v>
      </c>
      <c r="Q528" s="1055">
        <f t="shared" ca="1" si="942"/>
        <v>974</v>
      </c>
      <c r="R528" s="1055" t="str">
        <f t="shared" ca="1" si="942"/>
        <v/>
      </c>
      <c r="S528" s="1055" t="str">
        <f t="shared" ca="1" si="942"/>
        <v/>
      </c>
      <c r="T528" s="1055" t="str">
        <f t="shared" ca="1" si="942"/>
        <v/>
      </c>
      <c r="U528" s="1055" t="str">
        <f t="shared" ca="1" si="942"/>
        <v/>
      </c>
      <c r="V528" s="1055" t="str">
        <f t="shared" ca="1" si="942"/>
        <v/>
      </c>
      <c r="W528" s="1055" t="str">
        <f t="shared" ca="1" si="942"/>
        <v/>
      </c>
      <c r="X528" s="1055" t="str">
        <f t="shared" si="942"/>
        <v/>
      </c>
      <c r="Y528" s="1055" t="str">
        <f t="shared" si="942"/>
        <v/>
      </c>
    </row>
    <row r="529" spans="1:25">
      <c r="A529" s="598">
        <v>32</v>
      </c>
      <c r="D529" s="1055" t="str">
        <f t="shared" ref="D529:Y529" ca="1" si="943">IF(ISNUMBER(D528),IF(D528+1&lt;IF(ISNA(E$498),$Z$616,E$498),D528+1,""),"")</f>
        <v/>
      </c>
      <c r="E529" s="1055">
        <f t="shared" ca="1" si="943"/>
        <v>53</v>
      </c>
      <c r="F529" s="1055">
        <f t="shared" ca="1" si="943"/>
        <v>85</v>
      </c>
      <c r="G529" s="1055">
        <f t="shared" ca="1" si="943"/>
        <v>166</v>
      </c>
      <c r="H529" s="1055">
        <f t="shared" ca="1" si="943"/>
        <v>215</v>
      </c>
      <c r="I529" s="1055">
        <f t="shared" ca="1" si="943"/>
        <v>284</v>
      </c>
      <c r="J529" s="1055">
        <f t="shared" ca="1" si="943"/>
        <v>437</v>
      </c>
      <c r="K529" s="1055">
        <f t="shared" ca="1" si="943"/>
        <v>547</v>
      </c>
      <c r="L529" s="1055">
        <f t="shared" ca="1" si="943"/>
        <v>639</v>
      </c>
      <c r="M529" s="1055">
        <f t="shared" ca="1" si="943"/>
        <v>730</v>
      </c>
      <c r="N529" s="1055">
        <f t="shared" ca="1" si="943"/>
        <v>820</v>
      </c>
      <c r="O529" s="1055">
        <f t="shared" ca="1" si="943"/>
        <v>881</v>
      </c>
      <c r="P529" s="1055">
        <f t="shared" ca="1" si="943"/>
        <v>927</v>
      </c>
      <c r="Q529" s="1055">
        <f t="shared" ca="1" si="943"/>
        <v>975</v>
      </c>
      <c r="R529" s="1055" t="str">
        <f t="shared" ca="1" si="943"/>
        <v/>
      </c>
      <c r="S529" s="1055" t="str">
        <f t="shared" ca="1" si="943"/>
        <v/>
      </c>
      <c r="T529" s="1055" t="str">
        <f t="shared" ca="1" si="943"/>
        <v/>
      </c>
      <c r="U529" s="1055" t="str">
        <f t="shared" ca="1" si="943"/>
        <v/>
      </c>
      <c r="V529" s="1055" t="str">
        <f t="shared" ca="1" si="943"/>
        <v/>
      </c>
      <c r="W529" s="1055" t="str">
        <f t="shared" ca="1" si="943"/>
        <v/>
      </c>
      <c r="X529" s="1055" t="str">
        <f t="shared" si="943"/>
        <v/>
      </c>
      <c r="Y529" s="1055" t="str">
        <f t="shared" si="943"/>
        <v/>
      </c>
    </row>
    <row r="530" spans="1:25">
      <c r="A530" s="598">
        <v>33</v>
      </c>
      <c r="D530" s="1055" t="str">
        <f t="shared" ref="D530:Y530" ca="1" si="944">IF(ISNUMBER(D529),IF(D529+1&lt;IF(ISNA(E$498),$Z$616,E$498),D529+1,""),"")</f>
        <v/>
      </c>
      <c r="E530" s="1055" t="str">
        <f t="shared" ca="1" si="944"/>
        <v/>
      </c>
      <c r="F530" s="1055">
        <f t="shared" ca="1" si="944"/>
        <v>86</v>
      </c>
      <c r="G530" s="1055">
        <f t="shared" ca="1" si="944"/>
        <v>167</v>
      </c>
      <c r="H530" s="1055">
        <f t="shared" ca="1" si="944"/>
        <v>216</v>
      </c>
      <c r="I530" s="1055">
        <f t="shared" ca="1" si="944"/>
        <v>285</v>
      </c>
      <c r="J530" s="1055">
        <f t="shared" ca="1" si="944"/>
        <v>438</v>
      </c>
      <c r="K530" s="1055">
        <f t="shared" ca="1" si="944"/>
        <v>548</v>
      </c>
      <c r="L530" s="1055">
        <f t="shared" ca="1" si="944"/>
        <v>640</v>
      </c>
      <c r="M530" s="1055">
        <f t="shared" ca="1" si="944"/>
        <v>731</v>
      </c>
      <c r="N530" s="1055">
        <f t="shared" ca="1" si="944"/>
        <v>821</v>
      </c>
      <c r="O530" s="1055">
        <f t="shared" ca="1" si="944"/>
        <v>882</v>
      </c>
      <c r="P530" s="1055">
        <f t="shared" ca="1" si="944"/>
        <v>928</v>
      </c>
      <c r="Q530" s="1055">
        <f t="shared" ca="1" si="944"/>
        <v>976</v>
      </c>
      <c r="R530" s="1055" t="str">
        <f t="shared" ca="1" si="944"/>
        <v/>
      </c>
      <c r="S530" s="1055" t="str">
        <f t="shared" ca="1" si="944"/>
        <v/>
      </c>
      <c r="T530" s="1055" t="str">
        <f t="shared" ca="1" si="944"/>
        <v/>
      </c>
      <c r="U530" s="1055" t="str">
        <f t="shared" ca="1" si="944"/>
        <v/>
      </c>
      <c r="V530" s="1055" t="str">
        <f t="shared" ca="1" si="944"/>
        <v/>
      </c>
      <c r="W530" s="1055" t="str">
        <f t="shared" ca="1" si="944"/>
        <v/>
      </c>
      <c r="X530" s="1055" t="str">
        <f t="shared" si="944"/>
        <v/>
      </c>
      <c r="Y530" s="1055" t="str">
        <f t="shared" si="944"/>
        <v/>
      </c>
    </row>
    <row r="531" spans="1:25">
      <c r="A531" s="598">
        <v>34</v>
      </c>
      <c r="D531" s="1055" t="str">
        <f t="shared" ref="D531:Y531" ca="1" si="945">IF(ISNUMBER(D530),IF(D530+1&lt;IF(ISNA(E$498),$Z$616,E$498),D530+1,""),"")</f>
        <v/>
      </c>
      <c r="E531" s="1055" t="str">
        <f t="shared" ca="1" si="945"/>
        <v/>
      </c>
      <c r="F531" s="1055">
        <f t="shared" ca="1" si="945"/>
        <v>87</v>
      </c>
      <c r="G531" s="1055">
        <f t="shared" ca="1" si="945"/>
        <v>168</v>
      </c>
      <c r="H531" s="1055">
        <f t="shared" ca="1" si="945"/>
        <v>217</v>
      </c>
      <c r="I531" s="1055">
        <f t="shared" ca="1" si="945"/>
        <v>286</v>
      </c>
      <c r="J531" s="1055">
        <f t="shared" ca="1" si="945"/>
        <v>439</v>
      </c>
      <c r="K531" s="1055">
        <f t="shared" ca="1" si="945"/>
        <v>549</v>
      </c>
      <c r="L531" s="1055">
        <f t="shared" ca="1" si="945"/>
        <v>641</v>
      </c>
      <c r="M531" s="1055">
        <f t="shared" ca="1" si="945"/>
        <v>732</v>
      </c>
      <c r="N531" s="1055">
        <f t="shared" ca="1" si="945"/>
        <v>822</v>
      </c>
      <c r="O531" s="1055">
        <f t="shared" ca="1" si="945"/>
        <v>883</v>
      </c>
      <c r="P531" s="1055">
        <f t="shared" ca="1" si="945"/>
        <v>929</v>
      </c>
      <c r="Q531" s="1055">
        <f t="shared" ca="1" si="945"/>
        <v>977</v>
      </c>
      <c r="R531" s="1055" t="str">
        <f t="shared" ca="1" si="945"/>
        <v/>
      </c>
      <c r="S531" s="1055" t="str">
        <f t="shared" ca="1" si="945"/>
        <v/>
      </c>
      <c r="T531" s="1055" t="str">
        <f t="shared" ca="1" si="945"/>
        <v/>
      </c>
      <c r="U531" s="1055" t="str">
        <f t="shared" ca="1" si="945"/>
        <v/>
      </c>
      <c r="V531" s="1055" t="str">
        <f t="shared" ca="1" si="945"/>
        <v/>
      </c>
      <c r="W531" s="1055" t="str">
        <f t="shared" ca="1" si="945"/>
        <v/>
      </c>
      <c r="X531" s="1055" t="str">
        <f t="shared" si="945"/>
        <v/>
      </c>
      <c r="Y531" s="1055" t="str">
        <f t="shared" si="945"/>
        <v/>
      </c>
    </row>
    <row r="532" spans="1:25">
      <c r="A532" s="598">
        <v>35</v>
      </c>
      <c r="D532" s="1055" t="str">
        <f t="shared" ref="D532:Y532" ca="1" si="946">IF(ISNUMBER(D531),IF(D531+1&lt;IF(ISNA(E$498),$Z$616,E$498),D531+1,""),"")</f>
        <v/>
      </c>
      <c r="E532" s="1055" t="str">
        <f t="shared" ca="1" si="946"/>
        <v/>
      </c>
      <c r="F532" s="1055">
        <f t="shared" ca="1" si="946"/>
        <v>88</v>
      </c>
      <c r="G532" s="1055">
        <f t="shared" ca="1" si="946"/>
        <v>169</v>
      </c>
      <c r="H532" s="1055">
        <f t="shared" ca="1" si="946"/>
        <v>218</v>
      </c>
      <c r="I532" s="1055">
        <f t="shared" ca="1" si="946"/>
        <v>287</v>
      </c>
      <c r="J532" s="1055">
        <f t="shared" ca="1" si="946"/>
        <v>440</v>
      </c>
      <c r="K532" s="1055">
        <f t="shared" ca="1" si="946"/>
        <v>550</v>
      </c>
      <c r="L532" s="1055">
        <f t="shared" ca="1" si="946"/>
        <v>642</v>
      </c>
      <c r="M532" s="1055">
        <f t="shared" ca="1" si="946"/>
        <v>733</v>
      </c>
      <c r="N532" s="1055">
        <f t="shared" ca="1" si="946"/>
        <v>823</v>
      </c>
      <c r="O532" s="1055">
        <f t="shared" ca="1" si="946"/>
        <v>884</v>
      </c>
      <c r="P532" s="1055">
        <f t="shared" ca="1" si="946"/>
        <v>930</v>
      </c>
      <c r="Q532" s="1055">
        <f t="shared" ca="1" si="946"/>
        <v>978</v>
      </c>
      <c r="R532" s="1055" t="str">
        <f t="shared" ca="1" si="946"/>
        <v/>
      </c>
      <c r="S532" s="1055" t="str">
        <f t="shared" ca="1" si="946"/>
        <v/>
      </c>
      <c r="T532" s="1055" t="str">
        <f t="shared" ca="1" si="946"/>
        <v/>
      </c>
      <c r="U532" s="1055" t="str">
        <f t="shared" ca="1" si="946"/>
        <v/>
      </c>
      <c r="V532" s="1055" t="str">
        <f t="shared" ca="1" si="946"/>
        <v/>
      </c>
      <c r="W532" s="1055" t="str">
        <f t="shared" ca="1" si="946"/>
        <v/>
      </c>
      <c r="X532" s="1055" t="str">
        <f t="shared" si="946"/>
        <v/>
      </c>
      <c r="Y532" s="1055" t="str">
        <f t="shared" si="946"/>
        <v/>
      </c>
    </row>
    <row r="533" spans="1:25">
      <c r="A533" s="598">
        <v>36</v>
      </c>
      <c r="D533" s="1055" t="str">
        <f t="shared" ref="D533:Y533" ca="1" si="947">IF(ISNUMBER(D532),IF(D532+1&lt;IF(ISNA(E$498),$Z$616,E$498),D532+1,""),"")</f>
        <v/>
      </c>
      <c r="E533" s="1055" t="str">
        <f t="shared" ca="1" si="947"/>
        <v/>
      </c>
      <c r="F533" s="1055">
        <f t="shared" ca="1" si="947"/>
        <v>89</v>
      </c>
      <c r="G533" s="1055">
        <f t="shared" ca="1" si="947"/>
        <v>170</v>
      </c>
      <c r="H533" s="1055">
        <f t="shared" ca="1" si="947"/>
        <v>219</v>
      </c>
      <c r="I533" s="1055">
        <f t="shared" ca="1" si="947"/>
        <v>288</v>
      </c>
      <c r="J533" s="1055">
        <f t="shared" ca="1" si="947"/>
        <v>441</v>
      </c>
      <c r="K533" s="1055">
        <f t="shared" ca="1" si="947"/>
        <v>551</v>
      </c>
      <c r="L533" s="1055">
        <f t="shared" ca="1" si="947"/>
        <v>643</v>
      </c>
      <c r="M533" s="1055">
        <f t="shared" ca="1" si="947"/>
        <v>734</v>
      </c>
      <c r="N533" s="1055">
        <f t="shared" ca="1" si="947"/>
        <v>824</v>
      </c>
      <c r="O533" s="1055">
        <f t="shared" ca="1" si="947"/>
        <v>885</v>
      </c>
      <c r="P533" s="1055">
        <f t="shared" ca="1" si="947"/>
        <v>931</v>
      </c>
      <c r="Q533" s="1055">
        <f t="shared" ca="1" si="947"/>
        <v>979</v>
      </c>
      <c r="R533" s="1055" t="str">
        <f t="shared" ca="1" si="947"/>
        <v/>
      </c>
      <c r="S533" s="1055" t="str">
        <f t="shared" ca="1" si="947"/>
        <v/>
      </c>
      <c r="T533" s="1055" t="str">
        <f t="shared" ca="1" si="947"/>
        <v/>
      </c>
      <c r="U533" s="1055" t="str">
        <f t="shared" ca="1" si="947"/>
        <v/>
      </c>
      <c r="V533" s="1055" t="str">
        <f t="shared" ca="1" si="947"/>
        <v/>
      </c>
      <c r="W533" s="1055" t="str">
        <f t="shared" ca="1" si="947"/>
        <v/>
      </c>
      <c r="X533" s="1055" t="str">
        <f t="shared" si="947"/>
        <v/>
      </c>
      <c r="Y533" s="1055" t="str">
        <f t="shared" si="947"/>
        <v/>
      </c>
    </row>
    <row r="534" spans="1:25">
      <c r="A534" s="598">
        <v>37</v>
      </c>
      <c r="D534" s="1055" t="str">
        <f t="shared" ref="D534:Y534" ca="1" si="948">IF(ISNUMBER(D533),IF(D533+1&lt;IF(ISNA(E$498),$Z$616,E$498),D533+1,""),"")</f>
        <v/>
      </c>
      <c r="E534" s="1055" t="str">
        <f t="shared" ca="1" si="948"/>
        <v/>
      </c>
      <c r="F534" s="1055">
        <f t="shared" ca="1" si="948"/>
        <v>90</v>
      </c>
      <c r="G534" s="1055">
        <f t="shared" ca="1" si="948"/>
        <v>171</v>
      </c>
      <c r="H534" s="1055">
        <f t="shared" ca="1" si="948"/>
        <v>220</v>
      </c>
      <c r="I534" s="1055">
        <f t="shared" ca="1" si="948"/>
        <v>289</v>
      </c>
      <c r="J534" s="1055">
        <f t="shared" ca="1" si="948"/>
        <v>442</v>
      </c>
      <c r="K534" s="1055">
        <f t="shared" ca="1" si="948"/>
        <v>552</v>
      </c>
      <c r="L534" s="1055">
        <f t="shared" ca="1" si="948"/>
        <v>644</v>
      </c>
      <c r="M534" s="1055">
        <f t="shared" ca="1" si="948"/>
        <v>735</v>
      </c>
      <c r="N534" s="1055">
        <f t="shared" ca="1" si="948"/>
        <v>825</v>
      </c>
      <c r="O534" s="1055">
        <f t="shared" ca="1" si="948"/>
        <v>886</v>
      </c>
      <c r="P534" s="1055">
        <f t="shared" ca="1" si="948"/>
        <v>932</v>
      </c>
      <c r="Q534" s="1055">
        <f t="shared" ca="1" si="948"/>
        <v>980</v>
      </c>
      <c r="R534" s="1055" t="str">
        <f t="shared" ca="1" si="948"/>
        <v/>
      </c>
      <c r="S534" s="1055" t="str">
        <f t="shared" ca="1" si="948"/>
        <v/>
      </c>
      <c r="T534" s="1055" t="str">
        <f t="shared" ca="1" si="948"/>
        <v/>
      </c>
      <c r="U534" s="1055" t="str">
        <f t="shared" ca="1" si="948"/>
        <v/>
      </c>
      <c r="V534" s="1055" t="str">
        <f t="shared" ca="1" si="948"/>
        <v/>
      </c>
      <c r="W534" s="1055" t="str">
        <f t="shared" ca="1" si="948"/>
        <v/>
      </c>
      <c r="X534" s="1055" t="str">
        <f t="shared" si="948"/>
        <v/>
      </c>
      <c r="Y534" s="1055" t="str">
        <f t="shared" si="948"/>
        <v/>
      </c>
    </row>
    <row r="535" spans="1:25">
      <c r="A535" s="598">
        <v>38</v>
      </c>
      <c r="D535" s="1055" t="str">
        <f t="shared" ref="D535:Y535" ca="1" si="949">IF(ISNUMBER(D534),IF(D534+1&lt;IF(ISNA(E$498),$Z$616,E$498),D534+1,""),"")</f>
        <v/>
      </c>
      <c r="E535" s="1055" t="str">
        <f t="shared" ca="1" si="949"/>
        <v/>
      </c>
      <c r="F535" s="1055">
        <f t="shared" ca="1" si="949"/>
        <v>91</v>
      </c>
      <c r="G535" s="1055">
        <f t="shared" ca="1" si="949"/>
        <v>172</v>
      </c>
      <c r="H535" s="1055">
        <f t="shared" ca="1" si="949"/>
        <v>221</v>
      </c>
      <c r="I535" s="1055">
        <f t="shared" ca="1" si="949"/>
        <v>290</v>
      </c>
      <c r="J535" s="1055">
        <f t="shared" ca="1" si="949"/>
        <v>443</v>
      </c>
      <c r="K535" s="1055">
        <f t="shared" ca="1" si="949"/>
        <v>553</v>
      </c>
      <c r="L535" s="1055">
        <f t="shared" ca="1" si="949"/>
        <v>645</v>
      </c>
      <c r="M535" s="1055">
        <f t="shared" ca="1" si="949"/>
        <v>736</v>
      </c>
      <c r="N535" s="1055">
        <f t="shared" ca="1" si="949"/>
        <v>826</v>
      </c>
      <c r="O535" s="1055">
        <f t="shared" ca="1" si="949"/>
        <v>887</v>
      </c>
      <c r="P535" s="1055">
        <f t="shared" ca="1" si="949"/>
        <v>933</v>
      </c>
      <c r="Q535" s="1055">
        <f t="shared" ca="1" si="949"/>
        <v>981</v>
      </c>
      <c r="R535" s="1055" t="str">
        <f t="shared" ca="1" si="949"/>
        <v/>
      </c>
      <c r="S535" s="1055" t="str">
        <f t="shared" ca="1" si="949"/>
        <v/>
      </c>
      <c r="T535" s="1055" t="str">
        <f t="shared" ca="1" si="949"/>
        <v/>
      </c>
      <c r="U535" s="1055" t="str">
        <f t="shared" ca="1" si="949"/>
        <v/>
      </c>
      <c r="V535" s="1055" t="str">
        <f t="shared" ca="1" si="949"/>
        <v/>
      </c>
      <c r="W535" s="1055" t="str">
        <f t="shared" ca="1" si="949"/>
        <v/>
      </c>
      <c r="X535" s="1055" t="str">
        <f t="shared" si="949"/>
        <v/>
      </c>
      <c r="Y535" s="1055" t="str">
        <f t="shared" si="949"/>
        <v/>
      </c>
    </row>
    <row r="536" spans="1:25">
      <c r="A536" s="598">
        <v>39</v>
      </c>
      <c r="D536" s="1055" t="str">
        <f t="shared" ref="D536:Y536" ca="1" si="950">IF(ISNUMBER(D535),IF(D535+1&lt;IF(ISNA(E$498),$Z$616,E$498),D535+1,""),"")</f>
        <v/>
      </c>
      <c r="E536" s="1055" t="str">
        <f t="shared" ca="1" si="950"/>
        <v/>
      </c>
      <c r="F536" s="1055">
        <f t="shared" ca="1" si="950"/>
        <v>92</v>
      </c>
      <c r="G536" s="1055">
        <f t="shared" ca="1" si="950"/>
        <v>173</v>
      </c>
      <c r="H536" s="1055">
        <f t="shared" ca="1" si="950"/>
        <v>222</v>
      </c>
      <c r="I536" s="1055">
        <f t="shared" ca="1" si="950"/>
        <v>291</v>
      </c>
      <c r="J536" s="1055">
        <f t="shared" ca="1" si="950"/>
        <v>444</v>
      </c>
      <c r="K536" s="1055">
        <f t="shared" ca="1" si="950"/>
        <v>554</v>
      </c>
      <c r="L536" s="1055">
        <f t="shared" ca="1" si="950"/>
        <v>646</v>
      </c>
      <c r="M536" s="1055">
        <f t="shared" ca="1" si="950"/>
        <v>737</v>
      </c>
      <c r="N536" s="1055">
        <f t="shared" ca="1" si="950"/>
        <v>827</v>
      </c>
      <c r="O536" s="1055">
        <f t="shared" ca="1" si="950"/>
        <v>888</v>
      </c>
      <c r="P536" s="1055">
        <f t="shared" ca="1" si="950"/>
        <v>934</v>
      </c>
      <c r="Q536" s="1055">
        <f t="shared" ca="1" si="950"/>
        <v>982</v>
      </c>
      <c r="R536" s="1055" t="str">
        <f t="shared" ca="1" si="950"/>
        <v/>
      </c>
      <c r="S536" s="1055" t="str">
        <f t="shared" ca="1" si="950"/>
        <v/>
      </c>
      <c r="T536" s="1055" t="str">
        <f t="shared" ca="1" si="950"/>
        <v/>
      </c>
      <c r="U536" s="1055" t="str">
        <f t="shared" ca="1" si="950"/>
        <v/>
      </c>
      <c r="V536" s="1055" t="str">
        <f t="shared" ca="1" si="950"/>
        <v/>
      </c>
      <c r="W536" s="1055" t="str">
        <f t="shared" ca="1" si="950"/>
        <v/>
      </c>
      <c r="X536" s="1055" t="str">
        <f t="shared" si="950"/>
        <v/>
      </c>
      <c r="Y536" s="1055" t="str">
        <f t="shared" si="950"/>
        <v/>
      </c>
    </row>
    <row r="537" spans="1:25">
      <c r="A537" s="598">
        <v>40</v>
      </c>
      <c r="D537" s="1055" t="str">
        <f t="shared" ref="D537:Y537" ca="1" si="951">IF(ISNUMBER(D536),IF(D536+1&lt;IF(ISNA(E$498),$Z$616,E$498),D536+1,""),"")</f>
        <v/>
      </c>
      <c r="E537" s="1055" t="str">
        <f t="shared" ca="1" si="951"/>
        <v/>
      </c>
      <c r="F537" s="1055">
        <f t="shared" ca="1" si="951"/>
        <v>93</v>
      </c>
      <c r="G537" s="1055">
        <f t="shared" ca="1" si="951"/>
        <v>174</v>
      </c>
      <c r="H537" s="1055">
        <f t="shared" ca="1" si="951"/>
        <v>223</v>
      </c>
      <c r="I537" s="1055">
        <f t="shared" ca="1" si="951"/>
        <v>292</v>
      </c>
      <c r="J537" s="1055">
        <f t="shared" ca="1" si="951"/>
        <v>445</v>
      </c>
      <c r="K537" s="1055">
        <f t="shared" ca="1" si="951"/>
        <v>555</v>
      </c>
      <c r="L537" s="1055">
        <f t="shared" ca="1" si="951"/>
        <v>647</v>
      </c>
      <c r="M537" s="1055">
        <f t="shared" ca="1" si="951"/>
        <v>738</v>
      </c>
      <c r="N537" s="1055">
        <f t="shared" ca="1" si="951"/>
        <v>828</v>
      </c>
      <c r="O537" s="1055">
        <f t="shared" ca="1" si="951"/>
        <v>889</v>
      </c>
      <c r="P537" s="1055">
        <f t="shared" ca="1" si="951"/>
        <v>935</v>
      </c>
      <c r="Q537" s="1055">
        <f t="shared" ca="1" si="951"/>
        <v>983</v>
      </c>
      <c r="R537" s="1055" t="str">
        <f t="shared" ca="1" si="951"/>
        <v/>
      </c>
      <c r="S537" s="1055" t="str">
        <f t="shared" ca="1" si="951"/>
        <v/>
      </c>
      <c r="T537" s="1055" t="str">
        <f t="shared" ca="1" si="951"/>
        <v/>
      </c>
      <c r="U537" s="1055" t="str">
        <f t="shared" ca="1" si="951"/>
        <v/>
      </c>
      <c r="V537" s="1055" t="str">
        <f t="shared" ca="1" si="951"/>
        <v/>
      </c>
      <c r="W537" s="1055" t="str">
        <f t="shared" ca="1" si="951"/>
        <v/>
      </c>
      <c r="X537" s="1055" t="str">
        <f t="shared" si="951"/>
        <v/>
      </c>
      <c r="Y537" s="1055" t="str">
        <f t="shared" si="951"/>
        <v/>
      </c>
    </row>
    <row r="538" spans="1:25">
      <c r="A538" s="598">
        <v>41</v>
      </c>
      <c r="D538" s="1055" t="str">
        <f t="shared" ref="D538:Y538" ca="1" si="952">IF(ISNUMBER(D537),IF(D537+1&lt;IF(ISNA(E$498),$Z$616,E$498),D537+1,""),"")</f>
        <v/>
      </c>
      <c r="E538" s="1055" t="str">
        <f t="shared" ca="1" si="952"/>
        <v/>
      </c>
      <c r="F538" s="1055">
        <f t="shared" ca="1" si="952"/>
        <v>94</v>
      </c>
      <c r="G538" s="1055">
        <f t="shared" ca="1" si="952"/>
        <v>175</v>
      </c>
      <c r="H538" s="1055">
        <f t="shared" ca="1" si="952"/>
        <v>224</v>
      </c>
      <c r="I538" s="1055">
        <f t="shared" ca="1" si="952"/>
        <v>293</v>
      </c>
      <c r="J538" s="1055">
        <f t="shared" ca="1" si="952"/>
        <v>446</v>
      </c>
      <c r="K538" s="1055">
        <f t="shared" ca="1" si="952"/>
        <v>556</v>
      </c>
      <c r="L538" s="1055">
        <f t="shared" ca="1" si="952"/>
        <v>648</v>
      </c>
      <c r="M538" s="1055">
        <f t="shared" ca="1" si="952"/>
        <v>739</v>
      </c>
      <c r="N538" s="1055">
        <f t="shared" ca="1" si="952"/>
        <v>829</v>
      </c>
      <c r="O538" s="1055">
        <f t="shared" ca="1" si="952"/>
        <v>890</v>
      </c>
      <c r="P538" s="1055">
        <f t="shared" ca="1" si="952"/>
        <v>936</v>
      </c>
      <c r="Q538" s="1055">
        <f t="shared" ca="1" si="952"/>
        <v>984</v>
      </c>
      <c r="R538" s="1055" t="str">
        <f t="shared" ca="1" si="952"/>
        <v/>
      </c>
      <c r="S538" s="1055" t="str">
        <f t="shared" ca="1" si="952"/>
        <v/>
      </c>
      <c r="T538" s="1055" t="str">
        <f t="shared" ca="1" si="952"/>
        <v/>
      </c>
      <c r="U538" s="1055" t="str">
        <f t="shared" ca="1" si="952"/>
        <v/>
      </c>
      <c r="V538" s="1055" t="str">
        <f t="shared" ca="1" si="952"/>
        <v/>
      </c>
      <c r="W538" s="1055" t="str">
        <f t="shared" ca="1" si="952"/>
        <v/>
      </c>
      <c r="X538" s="1055" t="str">
        <f t="shared" si="952"/>
        <v/>
      </c>
      <c r="Y538" s="1055" t="str">
        <f t="shared" si="952"/>
        <v/>
      </c>
    </row>
    <row r="539" spans="1:25">
      <c r="A539" s="598">
        <v>42</v>
      </c>
      <c r="D539" s="1055" t="str">
        <f t="shared" ref="D539:Y539" ca="1" si="953">IF(ISNUMBER(D538),IF(D538+1&lt;IF(ISNA(E$498),$Z$616,E$498),D538+1,""),"")</f>
        <v/>
      </c>
      <c r="E539" s="1055" t="str">
        <f t="shared" ca="1" si="953"/>
        <v/>
      </c>
      <c r="F539" s="1055">
        <f t="shared" ca="1" si="953"/>
        <v>95</v>
      </c>
      <c r="G539" s="1055">
        <f t="shared" ca="1" si="953"/>
        <v>176</v>
      </c>
      <c r="H539" s="1055">
        <f t="shared" ca="1" si="953"/>
        <v>225</v>
      </c>
      <c r="I539" s="1055">
        <f t="shared" ca="1" si="953"/>
        <v>294</v>
      </c>
      <c r="J539" s="1055">
        <f t="shared" ca="1" si="953"/>
        <v>447</v>
      </c>
      <c r="K539" s="1055">
        <f t="shared" ca="1" si="953"/>
        <v>557</v>
      </c>
      <c r="L539" s="1055">
        <f t="shared" ca="1" si="953"/>
        <v>649</v>
      </c>
      <c r="M539" s="1055">
        <f t="shared" ca="1" si="953"/>
        <v>740</v>
      </c>
      <c r="N539" s="1055">
        <f t="shared" ca="1" si="953"/>
        <v>830</v>
      </c>
      <c r="O539" s="1055">
        <f t="shared" ca="1" si="953"/>
        <v>891</v>
      </c>
      <c r="P539" s="1055">
        <f t="shared" ca="1" si="953"/>
        <v>937</v>
      </c>
      <c r="Q539" s="1055">
        <f t="shared" ca="1" si="953"/>
        <v>985</v>
      </c>
      <c r="R539" s="1055" t="str">
        <f t="shared" ca="1" si="953"/>
        <v/>
      </c>
      <c r="S539" s="1055" t="str">
        <f t="shared" ca="1" si="953"/>
        <v/>
      </c>
      <c r="T539" s="1055" t="str">
        <f t="shared" ca="1" si="953"/>
        <v/>
      </c>
      <c r="U539" s="1055" t="str">
        <f t="shared" ca="1" si="953"/>
        <v/>
      </c>
      <c r="V539" s="1055" t="str">
        <f t="shared" ca="1" si="953"/>
        <v/>
      </c>
      <c r="W539" s="1055" t="str">
        <f t="shared" ca="1" si="953"/>
        <v/>
      </c>
      <c r="X539" s="1055" t="str">
        <f t="shared" si="953"/>
        <v/>
      </c>
      <c r="Y539" s="1055" t="str">
        <f t="shared" si="953"/>
        <v/>
      </c>
    </row>
    <row r="540" spans="1:25">
      <c r="A540" s="598">
        <v>43</v>
      </c>
      <c r="D540" s="1055" t="str">
        <f t="shared" ref="D540:Y540" ca="1" si="954">IF(ISNUMBER(D539),IF(D539+1&lt;IF(ISNA(E$498),$Z$616,E$498),D539+1,""),"")</f>
        <v/>
      </c>
      <c r="E540" s="1055" t="str">
        <f t="shared" ca="1" si="954"/>
        <v/>
      </c>
      <c r="F540" s="1055">
        <f t="shared" ca="1" si="954"/>
        <v>96</v>
      </c>
      <c r="G540" s="1055">
        <f t="shared" ca="1" si="954"/>
        <v>177</v>
      </c>
      <c r="H540" s="1055">
        <f t="shared" ca="1" si="954"/>
        <v>226</v>
      </c>
      <c r="I540" s="1055">
        <f t="shared" ca="1" si="954"/>
        <v>295</v>
      </c>
      <c r="J540" s="1055">
        <f t="shared" ca="1" si="954"/>
        <v>448</v>
      </c>
      <c r="K540" s="1055">
        <f t="shared" ca="1" si="954"/>
        <v>558</v>
      </c>
      <c r="L540" s="1055">
        <f t="shared" ca="1" si="954"/>
        <v>650</v>
      </c>
      <c r="M540" s="1055">
        <f t="shared" ca="1" si="954"/>
        <v>741</v>
      </c>
      <c r="N540" s="1055">
        <f t="shared" ca="1" si="954"/>
        <v>831</v>
      </c>
      <c r="O540" s="1055">
        <f t="shared" ca="1" si="954"/>
        <v>892</v>
      </c>
      <c r="P540" s="1055">
        <f t="shared" ca="1" si="954"/>
        <v>938</v>
      </c>
      <c r="Q540" s="1055">
        <f t="shared" ca="1" si="954"/>
        <v>986</v>
      </c>
      <c r="R540" s="1055" t="str">
        <f t="shared" ca="1" si="954"/>
        <v/>
      </c>
      <c r="S540" s="1055" t="str">
        <f t="shared" ca="1" si="954"/>
        <v/>
      </c>
      <c r="T540" s="1055" t="str">
        <f t="shared" ca="1" si="954"/>
        <v/>
      </c>
      <c r="U540" s="1055" t="str">
        <f t="shared" ca="1" si="954"/>
        <v/>
      </c>
      <c r="V540" s="1055" t="str">
        <f t="shared" ca="1" si="954"/>
        <v/>
      </c>
      <c r="W540" s="1055" t="str">
        <f t="shared" ca="1" si="954"/>
        <v/>
      </c>
      <c r="X540" s="1055" t="str">
        <f t="shared" si="954"/>
        <v/>
      </c>
      <c r="Y540" s="1055" t="str">
        <f t="shared" si="954"/>
        <v/>
      </c>
    </row>
    <row r="541" spans="1:25">
      <c r="A541" s="598">
        <v>44</v>
      </c>
      <c r="D541" s="1055" t="str">
        <f t="shared" ref="D541:Y541" ca="1" si="955">IF(ISNUMBER(D540),IF(D540+1&lt;IF(ISNA(E$498),$Z$616,E$498),D540+1,""),"")</f>
        <v/>
      </c>
      <c r="E541" s="1055" t="str">
        <f t="shared" ca="1" si="955"/>
        <v/>
      </c>
      <c r="F541" s="1055">
        <f t="shared" ca="1" si="955"/>
        <v>97</v>
      </c>
      <c r="G541" s="1055">
        <f t="shared" ca="1" si="955"/>
        <v>178</v>
      </c>
      <c r="H541" s="1055">
        <f t="shared" ca="1" si="955"/>
        <v>227</v>
      </c>
      <c r="I541" s="1055">
        <f t="shared" ca="1" si="955"/>
        <v>296</v>
      </c>
      <c r="J541" s="1055">
        <f t="shared" ca="1" si="955"/>
        <v>449</v>
      </c>
      <c r="K541" s="1055">
        <f t="shared" ca="1" si="955"/>
        <v>559</v>
      </c>
      <c r="L541" s="1055">
        <f t="shared" ca="1" si="955"/>
        <v>651</v>
      </c>
      <c r="M541" s="1055">
        <f t="shared" ca="1" si="955"/>
        <v>742</v>
      </c>
      <c r="N541" s="1055">
        <f t="shared" ca="1" si="955"/>
        <v>832</v>
      </c>
      <c r="O541" s="1055">
        <f t="shared" ca="1" si="955"/>
        <v>893</v>
      </c>
      <c r="P541" s="1055">
        <f t="shared" ca="1" si="955"/>
        <v>939</v>
      </c>
      <c r="Q541" s="1055">
        <f t="shared" ca="1" si="955"/>
        <v>987</v>
      </c>
      <c r="R541" s="1055" t="str">
        <f t="shared" ca="1" si="955"/>
        <v/>
      </c>
      <c r="S541" s="1055" t="str">
        <f t="shared" ca="1" si="955"/>
        <v/>
      </c>
      <c r="T541" s="1055" t="str">
        <f t="shared" ca="1" si="955"/>
        <v/>
      </c>
      <c r="U541" s="1055" t="str">
        <f t="shared" ca="1" si="955"/>
        <v/>
      </c>
      <c r="V541" s="1055" t="str">
        <f t="shared" ca="1" si="955"/>
        <v/>
      </c>
      <c r="W541" s="1055" t="str">
        <f t="shared" ca="1" si="955"/>
        <v/>
      </c>
      <c r="X541" s="1055" t="str">
        <f t="shared" si="955"/>
        <v/>
      </c>
      <c r="Y541" s="1055" t="str">
        <f t="shared" si="955"/>
        <v/>
      </c>
    </row>
    <row r="542" spans="1:25">
      <c r="A542" s="598">
        <v>45</v>
      </c>
      <c r="D542" s="1055" t="str">
        <f t="shared" ref="D542:Y542" ca="1" si="956">IF(ISNUMBER(D541),IF(D541+1&lt;IF(ISNA(E$498),$Z$616,E$498),D541+1,""),"")</f>
        <v/>
      </c>
      <c r="E542" s="1055" t="str">
        <f t="shared" ca="1" si="956"/>
        <v/>
      </c>
      <c r="F542" s="1055">
        <f t="shared" ca="1" si="956"/>
        <v>98</v>
      </c>
      <c r="G542" s="1055">
        <f t="shared" ca="1" si="956"/>
        <v>179</v>
      </c>
      <c r="H542" s="1055">
        <f t="shared" ca="1" si="956"/>
        <v>228</v>
      </c>
      <c r="I542" s="1055">
        <f t="shared" ca="1" si="956"/>
        <v>297</v>
      </c>
      <c r="J542" s="1055">
        <f t="shared" ca="1" si="956"/>
        <v>450</v>
      </c>
      <c r="K542" s="1055">
        <f t="shared" ca="1" si="956"/>
        <v>560</v>
      </c>
      <c r="L542" s="1055">
        <f t="shared" ca="1" si="956"/>
        <v>652</v>
      </c>
      <c r="M542" s="1055">
        <f t="shared" ca="1" si="956"/>
        <v>743</v>
      </c>
      <c r="N542" s="1055">
        <f t="shared" ca="1" si="956"/>
        <v>833</v>
      </c>
      <c r="O542" s="1055">
        <f t="shared" ca="1" si="956"/>
        <v>894</v>
      </c>
      <c r="P542" s="1055">
        <f t="shared" ca="1" si="956"/>
        <v>940</v>
      </c>
      <c r="Q542" s="1055">
        <f t="shared" ca="1" si="956"/>
        <v>988</v>
      </c>
      <c r="R542" s="1055" t="str">
        <f t="shared" ca="1" si="956"/>
        <v/>
      </c>
      <c r="S542" s="1055" t="str">
        <f t="shared" ca="1" si="956"/>
        <v/>
      </c>
      <c r="T542" s="1055" t="str">
        <f t="shared" ca="1" si="956"/>
        <v/>
      </c>
      <c r="U542" s="1055" t="str">
        <f t="shared" ca="1" si="956"/>
        <v/>
      </c>
      <c r="V542" s="1055" t="str">
        <f t="shared" ca="1" si="956"/>
        <v/>
      </c>
      <c r="W542" s="1055" t="str">
        <f t="shared" ca="1" si="956"/>
        <v/>
      </c>
      <c r="X542" s="1055" t="str">
        <f t="shared" si="956"/>
        <v/>
      </c>
      <c r="Y542" s="1055" t="str">
        <f t="shared" si="956"/>
        <v/>
      </c>
    </row>
    <row r="543" spans="1:25">
      <c r="A543" s="598">
        <v>46</v>
      </c>
      <c r="D543" s="1055" t="str">
        <f t="shared" ref="D543:Y543" ca="1" si="957">IF(ISNUMBER(D542),IF(D542+1&lt;IF(ISNA(E$498),$Z$616,E$498),D542+1,""),"")</f>
        <v/>
      </c>
      <c r="E543" s="1055" t="str">
        <f t="shared" ca="1" si="957"/>
        <v/>
      </c>
      <c r="F543" s="1055">
        <f t="shared" ca="1" si="957"/>
        <v>99</v>
      </c>
      <c r="G543" s="1055">
        <f t="shared" ca="1" si="957"/>
        <v>180</v>
      </c>
      <c r="H543" s="1055">
        <f t="shared" ca="1" si="957"/>
        <v>229</v>
      </c>
      <c r="I543" s="1055">
        <f t="shared" ca="1" si="957"/>
        <v>298</v>
      </c>
      <c r="J543" s="1055">
        <f t="shared" ca="1" si="957"/>
        <v>451</v>
      </c>
      <c r="K543" s="1055">
        <f t="shared" ca="1" si="957"/>
        <v>561</v>
      </c>
      <c r="L543" s="1055">
        <f t="shared" ca="1" si="957"/>
        <v>653</v>
      </c>
      <c r="M543" s="1055">
        <f t="shared" ca="1" si="957"/>
        <v>744</v>
      </c>
      <c r="N543" s="1055">
        <f t="shared" ca="1" si="957"/>
        <v>834</v>
      </c>
      <c r="O543" s="1055">
        <f t="shared" ca="1" si="957"/>
        <v>895</v>
      </c>
      <c r="P543" s="1055">
        <f t="shared" ca="1" si="957"/>
        <v>941</v>
      </c>
      <c r="Q543" s="1055">
        <f t="shared" ca="1" si="957"/>
        <v>989</v>
      </c>
      <c r="R543" s="1055" t="str">
        <f t="shared" ca="1" si="957"/>
        <v/>
      </c>
      <c r="S543" s="1055" t="str">
        <f t="shared" ca="1" si="957"/>
        <v/>
      </c>
      <c r="T543" s="1055" t="str">
        <f t="shared" ca="1" si="957"/>
        <v/>
      </c>
      <c r="U543" s="1055" t="str">
        <f t="shared" ca="1" si="957"/>
        <v/>
      </c>
      <c r="V543" s="1055" t="str">
        <f t="shared" ca="1" si="957"/>
        <v/>
      </c>
      <c r="W543" s="1055" t="str">
        <f t="shared" ca="1" si="957"/>
        <v/>
      </c>
      <c r="X543" s="1055" t="str">
        <f t="shared" si="957"/>
        <v/>
      </c>
      <c r="Y543" s="1055" t="str">
        <f t="shared" si="957"/>
        <v/>
      </c>
    </row>
    <row r="544" spans="1:25">
      <c r="A544" s="598">
        <v>47</v>
      </c>
      <c r="D544" s="1055" t="str">
        <f t="shared" ref="D544:Y544" ca="1" si="958">IF(ISNUMBER(D543),IF(D543+1&lt;IF(ISNA(E$498),$Z$616,E$498),D543+1,""),"")</f>
        <v/>
      </c>
      <c r="E544" s="1055" t="str">
        <f t="shared" ca="1" si="958"/>
        <v/>
      </c>
      <c r="F544" s="1055">
        <f t="shared" ca="1" si="958"/>
        <v>100</v>
      </c>
      <c r="G544" s="1055">
        <f t="shared" ca="1" si="958"/>
        <v>181</v>
      </c>
      <c r="H544" s="1055">
        <f t="shared" ca="1" si="958"/>
        <v>230</v>
      </c>
      <c r="I544" s="1055">
        <f t="shared" ca="1" si="958"/>
        <v>299</v>
      </c>
      <c r="J544" s="1055">
        <f t="shared" ca="1" si="958"/>
        <v>452</v>
      </c>
      <c r="K544" s="1055">
        <f t="shared" ca="1" si="958"/>
        <v>562</v>
      </c>
      <c r="L544" s="1055">
        <f t="shared" ca="1" si="958"/>
        <v>654</v>
      </c>
      <c r="M544" s="1055">
        <f t="shared" ca="1" si="958"/>
        <v>745</v>
      </c>
      <c r="N544" s="1055">
        <f t="shared" ca="1" si="958"/>
        <v>835</v>
      </c>
      <c r="O544" s="1055" t="str">
        <f t="shared" ca="1" si="958"/>
        <v/>
      </c>
      <c r="P544" s="1055">
        <f t="shared" ca="1" si="958"/>
        <v>942</v>
      </c>
      <c r="Q544" s="1055">
        <f t="shared" ca="1" si="958"/>
        <v>990</v>
      </c>
      <c r="R544" s="1055" t="str">
        <f t="shared" ca="1" si="958"/>
        <v/>
      </c>
      <c r="S544" s="1055" t="str">
        <f t="shared" ca="1" si="958"/>
        <v/>
      </c>
      <c r="T544" s="1055" t="str">
        <f t="shared" ca="1" si="958"/>
        <v/>
      </c>
      <c r="U544" s="1055" t="str">
        <f t="shared" ca="1" si="958"/>
        <v/>
      </c>
      <c r="V544" s="1055" t="str">
        <f t="shared" ca="1" si="958"/>
        <v/>
      </c>
      <c r="W544" s="1055" t="str">
        <f t="shared" ca="1" si="958"/>
        <v/>
      </c>
      <c r="X544" s="1055" t="str">
        <f t="shared" si="958"/>
        <v/>
      </c>
      <c r="Y544" s="1055" t="str">
        <f t="shared" si="958"/>
        <v/>
      </c>
    </row>
    <row r="545" spans="1:25">
      <c r="A545" s="598">
        <v>48</v>
      </c>
      <c r="D545" s="1055" t="str">
        <f t="shared" ref="D545:Y545" ca="1" si="959">IF(ISNUMBER(D544),IF(D544+1&lt;IF(ISNA(E$498),$Z$616,E$498),D544+1,""),"")</f>
        <v/>
      </c>
      <c r="E545" s="1055" t="str">
        <f t="shared" ca="1" si="959"/>
        <v/>
      </c>
      <c r="F545" s="1055">
        <f t="shared" ca="1" si="959"/>
        <v>101</v>
      </c>
      <c r="G545" s="1055">
        <f t="shared" ca="1" si="959"/>
        <v>182</v>
      </c>
      <c r="H545" s="1055">
        <f t="shared" ca="1" si="959"/>
        <v>231</v>
      </c>
      <c r="I545" s="1055">
        <f t="shared" ca="1" si="959"/>
        <v>300</v>
      </c>
      <c r="J545" s="1055">
        <f t="shared" ca="1" si="959"/>
        <v>453</v>
      </c>
      <c r="K545" s="1055">
        <f t="shared" ca="1" si="959"/>
        <v>563</v>
      </c>
      <c r="L545" s="1055">
        <f t="shared" ca="1" si="959"/>
        <v>655</v>
      </c>
      <c r="M545" s="1055">
        <f t="shared" ca="1" si="959"/>
        <v>746</v>
      </c>
      <c r="N545" s="1055">
        <f t="shared" ca="1" si="959"/>
        <v>836</v>
      </c>
      <c r="O545" s="1055" t="str">
        <f t="shared" ca="1" si="959"/>
        <v/>
      </c>
      <c r="P545" s="1055">
        <f t="shared" ca="1" si="959"/>
        <v>943</v>
      </c>
      <c r="Q545" s="1055">
        <f t="shared" ca="1" si="959"/>
        <v>991</v>
      </c>
      <c r="R545" s="1055" t="str">
        <f t="shared" ca="1" si="959"/>
        <v/>
      </c>
      <c r="S545" s="1055" t="str">
        <f t="shared" ca="1" si="959"/>
        <v/>
      </c>
      <c r="T545" s="1055" t="str">
        <f t="shared" ca="1" si="959"/>
        <v/>
      </c>
      <c r="U545" s="1055" t="str">
        <f t="shared" ca="1" si="959"/>
        <v/>
      </c>
      <c r="V545" s="1055" t="str">
        <f t="shared" ca="1" si="959"/>
        <v/>
      </c>
      <c r="W545" s="1055" t="str">
        <f t="shared" ca="1" si="959"/>
        <v/>
      </c>
      <c r="X545" s="1055" t="str">
        <f t="shared" si="959"/>
        <v/>
      </c>
      <c r="Y545" s="1055" t="str">
        <f t="shared" si="959"/>
        <v/>
      </c>
    </row>
    <row r="546" spans="1:25">
      <c r="A546" s="598">
        <v>49</v>
      </c>
      <c r="D546" s="1055" t="str">
        <f t="shared" ref="D546:Y546" ca="1" si="960">IF(ISNUMBER(D545),IF(D545+1&lt;IF(ISNA(E$498),$Z$616,E$498),D545+1,""),"")</f>
        <v/>
      </c>
      <c r="E546" s="1055" t="str">
        <f t="shared" ca="1" si="960"/>
        <v/>
      </c>
      <c r="F546" s="1055">
        <f t="shared" ca="1" si="960"/>
        <v>102</v>
      </c>
      <c r="G546" s="1055">
        <f t="shared" ca="1" si="960"/>
        <v>183</v>
      </c>
      <c r="H546" s="1055">
        <f t="shared" ca="1" si="960"/>
        <v>232</v>
      </c>
      <c r="I546" s="1055">
        <f t="shared" ca="1" si="960"/>
        <v>301</v>
      </c>
      <c r="J546" s="1055">
        <f t="shared" ca="1" si="960"/>
        <v>454</v>
      </c>
      <c r="K546" s="1055">
        <f t="shared" ca="1" si="960"/>
        <v>564</v>
      </c>
      <c r="L546" s="1055">
        <f t="shared" ca="1" si="960"/>
        <v>656</v>
      </c>
      <c r="M546" s="1055">
        <f t="shared" ca="1" si="960"/>
        <v>747</v>
      </c>
      <c r="N546" s="1055">
        <f t="shared" ca="1" si="960"/>
        <v>837</v>
      </c>
      <c r="O546" s="1055" t="str">
        <f t="shared" ca="1" si="960"/>
        <v/>
      </c>
      <c r="P546" s="1055" t="str">
        <f t="shared" ca="1" si="960"/>
        <v/>
      </c>
      <c r="Q546" s="1055" t="str">
        <f t="shared" ca="1" si="960"/>
        <v/>
      </c>
      <c r="R546" s="1055" t="str">
        <f t="shared" ca="1" si="960"/>
        <v/>
      </c>
      <c r="S546" s="1055" t="str">
        <f t="shared" ca="1" si="960"/>
        <v/>
      </c>
      <c r="T546" s="1055" t="str">
        <f t="shared" ca="1" si="960"/>
        <v/>
      </c>
      <c r="U546" s="1055" t="str">
        <f t="shared" ca="1" si="960"/>
        <v/>
      </c>
      <c r="V546" s="1055" t="str">
        <f t="shared" ca="1" si="960"/>
        <v/>
      </c>
      <c r="W546" s="1055" t="str">
        <f t="shared" ca="1" si="960"/>
        <v/>
      </c>
      <c r="X546" s="1055" t="str">
        <f t="shared" si="960"/>
        <v/>
      </c>
      <c r="Y546" s="1055" t="str">
        <f t="shared" si="960"/>
        <v/>
      </c>
    </row>
    <row r="547" spans="1:25">
      <c r="A547" s="598">
        <v>50</v>
      </c>
      <c r="D547" s="1055" t="str">
        <f t="shared" ref="D547:Y547" ca="1" si="961">IF(ISNUMBER(D546),IF(D546+1&lt;IF(ISNA(E$498),$Z$616,E$498),D546+1,""),"")</f>
        <v/>
      </c>
      <c r="E547" s="1055" t="str">
        <f t="shared" ca="1" si="961"/>
        <v/>
      </c>
      <c r="F547" s="1055">
        <f t="shared" ca="1" si="961"/>
        <v>103</v>
      </c>
      <c r="G547" s="1055" t="str">
        <f t="shared" ca="1" si="961"/>
        <v/>
      </c>
      <c r="H547" s="1055">
        <f t="shared" ca="1" si="961"/>
        <v>233</v>
      </c>
      <c r="I547" s="1055">
        <f t="shared" ca="1" si="961"/>
        <v>302</v>
      </c>
      <c r="J547" s="1055">
        <f t="shared" ca="1" si="961"/>
        <v>455</v>
      </c>
      <c r="K547" s="1055">
        <f t="shared" ca="1" si="961"/>
        <v>565</v>
      </c>
      <c r="L547" s="1055">
        <f t="shared" ca="1" si="961"/>
        <v>657</v>
      </c>
      <c r="M547" s="1055">
        <f t="shared" ca="1" si="961"/>
        <v>748</v>
      </c>
      <c r="N547" s="1055">
        <f t="shared" ca="1" si="961"/>
        <v>838</v>
      </c>
      <c r="O547" s="1055" t="str">
        <f t="shared" ca="1" si="961"/>
        <v/>
      </c>
      <c r="P547" s="1055" t="str">
        <f t="shared" ca="1" si="961"/>
        <v/>
      </c>
      <c r="Q547" s="1055" t="str">
        <f t="shared" ca="1" si="961"/>
        <v/>
      </c>
      <c r="R547" s="1055" t="str">
        <f t="shared" ca="1" si="961"/>
        <v/>
      </c>
      <c r="S547" s="1055" t="str">
        <f t="shared" ca="1" si="961"/>
        <v/>
      </c>
      <c r="T547" s="1055" t="str">
        <f t="shared" ca="1" si="961"/>
        <v/>
      </c>
      <c r="U547" s="1055" t="str">
        <f t="shared" ca="1" si="961"/>
        <v/>
      </c>
      <c r="V547" s="1055" t="str">
        <f t="shared" ca="1" si="961"/>
        <v/>
      </c>
      <c r="W547" s="1055" t="str">
        <f t="shared" ca="1" si="961"/>
        <v/>
      </c>
      <c r="X547" s="1055" t="str">
        <f t="shared" si="961"/>
        <v/>
      </c>
      <c r="Y547" s="1055" t="str">
        <f t="shared" si="961"/>
        <v/>
      </c>
    </row>
    <row r="548" spans="1:25">
      <c r="A548" s="598">
        <v>51</v>
      </c>
      <c r="D548" s="1055" t="str">
        <f t="shared" ref="D548:Y548" ca="1" si="962">IF(ISNUMBER(D547),IF(D547+1&lt;IF(ISNA(E$498),$Z$616,E$498),D547+1,""),"")</f>
        <v/>
      </c>
      <c r="E548" s="1055" t="str">
        <f t="shared" ca="1" si="962"/>
        <v/>
      </c>
      <c r="F548" s="1055">
        <f t="shared" ca="1" si="962"/>
        <v>104</v>
      </c>
      <c r="G548" s="1055" t="str">
        <f t="shared" ca="1" si="962"/>
        <v/>
      </c>
      <c r="H548" s="1055">
        <f t="shared" ca="1" si="962"/>
        <v>234</v>
      </c>
      <c r="I548" s="1055">
        <f t="shared" ca="1" si="962"/>
        <v>303</v>
      </c>
      <c r="J548" s="1055">
        <f t="shared" ca="1" si="962"/>
        <v>456</v>
      </c>
      <c r="K548" s="1055">
        <f t="shared" ca="1" si="962"/>
        <v>566</v>
      </c>
      <c r="L548" s="1055">
        <f t="shared" ca="1" si="962"/>
        <v>658</v>
      </c>
      <c r="M548" s="1055">
        <f t="shared" ca="1" si="962"/>
        <v>749</v>
      </c>
      <c r="N548" s="1055">
        <f t="shared" ca="1" si="962"/>
        <v>839</v>
      </c>
      <c r="O548" s="1055" t="str">
        <f t="shared" ca="1" si="962"/>
        <v/>
      </c>
      <c r="P548" s="1055" t="str">
        <f t="shared" ca="1" si="962"/>
        <v/>
      </c>
      <c r="Q548" s="1055" t="str">
        <f t="shared" ca="1" si="962"/>
        <v/>
      </c>
      <c r="R548" s="1055" t="str">
        <f t="shared" ca="1" si="962"/>
        <v/>
      </c>
      <c r="S548" s="1055" t="str">
        <f t="shared" ca="1" si="962"/>
        <v/>
      </c>
      <c r="T548" s="1055" t="str">
        <f t="shared" ca="1" si="962"/>
        <v/>
      </c>
      <c r="U548" s="1055" t="str">
        <f t="shared" ca="1" si="962"/>
        <v/>
      </c>
      <c r="V548" s="1055" t="str">
        <f t="shared" ca="1" si="962"/>
        <v/>
      </c>
      <c r="W548" s="1055" t="str">
        <f t="shared" ca="1" si="962"/>
        <v/>
      </c>
      <c r="X548" s="1055" t="str">
        <f t="shared" si="962"/>
        <v/>
      </c>
      <c r="Y548" s="1055" t="str">
        <f t="shared" si="962"/>
        <v/>
      </c>
    </row>
    <row r="549" spans="1:25">
      <c r="A549" s="598">
        <v>52</v>
      </c>
      <c r="D549" s="1055" t="str">
        <f t="shared" ref="D549:Y549" ca="1" si="963">IF(ISNUMBER(D548),IF(D548+1&lt;IF(ISNA(E$498),$Z$616,E$498),D548+1,""),"")</f>
        <v/>
      </c>
      <c r="E549" s="1055" t="str">
        <f t="shared" ca="1" si="963"/>
        <v/>
      </c>
      <c r="F549" s="1055">
        <f t="shared" ca="1" si="963"/>
        <v>105</v>
      </c>
      <c r="G549" s="1055" t="str">
        <f t="shared" ca="1" si="963"/>
        <v/>
      </c>
      <c r="H549" s="1055">
        <f t="shared" ca="1" si="963"/>
        <v>235</v>
      </c>
      <c r="I549" s="1055">
        <f t="shared" ca="1" si="963"/>
        <v>304</v>
      </c>
      <c r="J549" s="1055">
        <f t="shared" ca="1" si="963"/>
        <v>457</v>
      </c>
      <c r="K549" s="1055">
        <f t="shared" ca="1" si="963"/>
        <v>567</v>
      </c>
      <c r="L549" s="1055">
        <f t="shared" ca="1" si="963"/>
        <v>659</v>
      </c>
      <c r="M549" s="1055">
        <f t="shared" ca="1" si="963"/>
        <v>750</v>
      </c>
      <c r="N549" s="1055">
        <f t="shared" ca="1" si="963"/>
        <v>840</v>
      </c>
      <c r="O549" s="1055" t="str">
        <f t="shared" ca="1" si="963"/>
        <v/>
      </c>
      <c r="P549" s="1055" t="str">
        <f t="shared" ca="1" si="963"/>
        <v/>
      </c>
      <c r="Q549" s="1055" t="str">
        <f t="shared" ca="1" si="963"/>
        <v/>
      </c>
      <c r="R549" s="1055" t="str">
        <f t="shared" ca="1" si="963"/>
        <v/>
      </c>
      <c r="S549" s="1055" t="str">
        <f t="shared" ca="1" si="963"/>
        <v/>
      </c>
      <c r="T549" s="1055" t="str">
        <f t="shared" ca="1" si="963"/>
        <v/>
      </c>
      <c r="U549" s="1055" t="str">
        <f t="shared" ca="1" si="963"/>
        <v/>
      </c>
      <c r="V549" s="1055" t="str">
        <f t="shared" ca="1" si="963"/>
        <v/>
      </c>
      <c r="W549" s="1055" t="str">
        <f t="shared" ca="1" si="963"/>
        <v/>
      </c>
      <c r="X549" s="1055" t="str">
        <f t="shared" si="963"/>
        <v/>
      </c>
      <c r="Y549" s="1055" t="str">
        <f t="shared" si="963"/>
        <v/>
      </c>
    </row>
    <row r="550" spans="1:25">
      <c r="A550" s="598">
        <v>53</v>
      </c>
      <c r="D550" s="1055" t="str">
        <f t="shared" ref="D550:Y550" ca="1" si="964">IF(ISNUMBER(D549),IF(D549+1&lt;IF(ISNA(E$498),$Z$616,E$498),D549+1,""),"")</f>
        <v/>
      </c>
      <c r="E550" s="1055" t="str">
        <f t="shared" ca="1" si="964"/>
        <v/>
      </c>
      <c r="F550" s="1055">
        <f t="shared" ca="1" si="964"/>
        <v>106</v>
      </c>
      <c r="G550" s="1055" t="str">
        <f t="shared" ca="1" si="964"/>
        <v/>
      </c>
      <c r="H550" s="1055">
        <f t="shared" ca="1" si="964"/>
        <v>236</v>
      </c>
      <c r="I550" s="1055">
        <f t="shared" ca="1" si="964"/>
        <v>305</v>
      </c>
      <c r="J550" s="1055">
        <f t="shared" ca="1" si="964"/>
        <v>458</v>
      </c>
      <c r="K550" s="1055">
        <f t="shared" ca="1" si="964"/>
        <v>568</v>
      </c>
      <c r="L550" s="1055">
        <f t="shared" ca="1" si="964"/>
        <v>660</v>
      </c>
      <c r="M550" s="1055">
        <f t="shared" ca="1" si="964"/>
        <v>751</v>
      </c>
      <c r="N550" s="1055">
        <f t="shared" ca="1" si="964"/>
        <v>841</v>
      </c>
      <c r="O550" s="1055" t="str">
        <f t="shared" ca="1" si="964"/>
        <v/>
      </c>
      <c r="P550" s="1055" t="str">
        <f t="shared" ca="1" si="964"/>
        <v/>
      </c>
      <c r="Q550" s="1055" t="str">
        <f t="shared" ca="1" si="964"/>
        <v/>
      </c>
      <c r="R550" s="1055" t="str">
        <f t="shared" ca="1" si="964"/>
        <v/>
      </c>
      <c r="S550" s="1055" t="str">
        <f t="shared" ca="1" si="964"/>
        <v/>
      </c>
      <c r="T550" s="1055" t="str">
        <f t="shared" ca="1" si="964"/>
        <v/>
      </c>
      <c r="U550" s="1055" t="str">
        <f t="shared" ca="1" si="964"/>
        <v/>
      </c>
      <c r="V550" s="1055" t="str">
        <f t="shared" ca="1" si="964"/>
        <v/>
      </c>
      <c r="W550" s="1055" t="str">
        <f t="shared" ca="1" si="964"/>
        <v/>
      </c>
      <c r="X550" s="1055" t="str">
        <f t="shared" si="964"/>
        <v/>
      </c>
      <c r="Y550" s="1055" t="str">
        <f t="shared" si="964"/>
        <v/>
      </c>
    </row>
    <row r="551" spans="1:25">
      <c r="A551" s="598">
        <v>54</v>
      </c>
      <c r="D551" s="1055" t="str">
        <f t="shared" ref="D551:Y551" ca="1" si="965">IF(ISNUMBER(D550),IF(D550+1&lt;IF(ISNA(E$498),$Z$616,E$498),D550+1,""),"")</f>
        <v/>
      </c>
      <c r="E551" s="1055" t="str">
        <f t="shared" ca="1" si="965"/>
        <v/>
      </c>
      <c r="F551" s="1055">
        <f t="shared" ca="1" si="965"/>
        <v>107</v>
      </c>
      <c r="G551" s="1055" t="str">
        <f t="shared" ca="1" si="965"/>
        <v/>
      </c>
      <c r="H551" s="1055">
        <f t="shared" ca="1" si="965"/>
        <v>237</v>
      </c>
      <c r="I551" s="1055">
        <f t="shared" ca="1" si="965"/>
        <v>306</v>
      </c>
      <c r="J551" s="1055">
        <f t="shared" ca="1" si="965"/>
        <v>459</v>
      </c>
      <c r="K551" s="1055">
        <f t="shared" ca="1" si="965"/>
        <v>569</v>
      </c>
      <c r="L551" s="1055">
        <f t="shared" ca="1" si="965"/>
        <v>661</v>
      </c>
      <c r="M551" s="1055">
        <f t="shared" ca="1" si="965"/>
        <v>752</v>
      </c>
      <c r="N551" s="1055">
        <f t="shared" ca="1" si="965"/>
        <v>842</v>
      </c>
      <c r="O551" s="1055" t="str">
        <f t="shared" ca="1" si="965"/>
        <v/>
      </c>
      <c r="P551" s="1055" t="str">
        <f t="shared" ca="1" si="965"/>
        <v/>
      </c>
      <c r="Q551" s="1055" t="str">
        <f t="shared" ca="1" si="965"/>
        <v/>
      </c>
      <c r="R551" s="1055" t="str">
        <f t="shared" ca="1" si="965"/>
        <v/>
      </c>
      <c r="S551" s="1055" t="str">
        <f t="shared" ca="1" si="965"/>
        <v/>
      </c>
      <c r="T551" s="1055" t="str">
        <f t="shared" ca="1" si="965"/>
        <v/>
      </c>
      <c r="U551" s="1055" t="str">
        <f t="shared" ca="1" si="965"/>
        <v/>
      </c>
      <c r="V551" s="1055" t="str">
        <f t="shared" ca="1" si="965"/>
        <v/>
      </c>
      <c r="W551" s="1055" t="str">
        <f t="shared" ca="1" si="965"/>
        <v/>
      </c>
      <c r="X551" s="1055" t="str">
        <f t="shared" si="965"/>
        <v/>
      </c>
      <c r="Y551" s="1055" t="str">
        <f t="shared" si="965"/>
        <v/>
      </c>
    </row>
    <row r="552" spans="1:25">
      <c r="A552" s="598">
        <v>55</v>
      </c>
      <c r="D552" s="1055" t="str">
        <f t="shared" ref="D552:Y552" ca="1" si="966">IF(ISNUMBER(D551),IF(D551+1&lt;IF(ISNA(E$498),$Z$616,E$498),D551+1,""),"")</f>
        <v/>
      </c>
      <c r="E552" s="1055" t="str">
        <f t="shared" ca="1" si="966"/>
        <v/>
      </c>
      <c r="F552" s="1055">
        <f t="shared" ca="1" si="966"/>
        <v>108</v>
      </c>
      <c r="G552" s="1055" t="str">
        <f t="shared" ca="1" si="966"/>
        <v/>
      </c>
      <c r="H552" s="1055">
        <f t="shared" ca="1" si="966"/>
        <v>238</v>
      </c>
      <c r="I552" s="1055">
        <f t="shared" ca="1" si="966"/>
        <v>307</v>
      </c>
      <c r="J552" s="1055">
        <f t="shared" ca="1" si="966"/>
        <v>460</v>
      </c>
      <c r="K552" s="1055">
        <f t="shared" ca="1" si="966"/>
        <v>570</v>
      </c>
      <c r="L552" s="1055">
        <f t="shared" ca="1" si="966"/>
        <v>662</v>
      </c>
      <c r="M552" s="1055">
        <f t="shared" ca="1" si="966"/>
        <v>753</v>
      </c>
      <c r="N552" s="1055">
        <f t="shared" ca="1" si="966"/>
        <v>843</v>
      </c>
      <c r="O552" s="1055" t="str">
        <f t="shared" ca="1" si="966"/>
        <v/>
      </c>
      <c r="P552" s="1055" t="str">
        <f t="shared" ca="1" si="966"/>
        <v/>
      </c>
      <c r="Q552" s="1055" t="str">
        <f t="shared" ca="1" si="966"/>
        <v/>
      </c>
      <c r="R552" s="1055" t="str">
        <f t="shared" ca="1" si="966"/>
        <v/>
      </c>
      <c r="S552" s="1055" t="str">
        <f t="shared" ca="1" si="966"/>
        <v/>
      </c>
      <c r="T552" s="1055" t="str">
        <f t="shared" ca="1" si="966"/>
        <v/>
      </c>
      <c r="U552" s="1055" t="str">
        <f t="shared" ca="1" si="966"/>
        <v/>
      </c>
      <c r="V552" s="1055" t="str">
        <f t="shared" ca="1" si="966"/>
        <v/>
      </c>
      <c r="W552" s="1055" t="str">
        <f t="shared" ca="1" si="966"/>
        <v/>
      </c>
      <c r="X552" s="1055" t="str">
        <f t="shared" si="966"/>
        <v/>
      </c>
      <c r="Y552" s="1055" t="str">
        <f t="shared" si="966"/>
        <v/>
      </c>
    </row>
    <row r="553" spans="1:25">
      <c r="A553" s="598">
        <v>56</v>
      </c>
      <c r="D553" s="1055" t="str">
        <f t="shared" ref="D553:Y553" ca="1" si="967">IF(ISNUMBER(D552),IF(D552+1&lt;IF(ISNA(E$498),$Z$616,E$498),D552+1,""),"")</f>
        <v/>
      </c>
      <c r="E553" s="1055" t="str">
        <f t="shared" ca="1" si="967"/>
        <v/>
      </c>
      <c r="F553" s="1055">
        <f t="shared" ca="1" si="967"/>
        <v>109</v>
      </c>
      <c r="G553" s="1055" t="str">
        <f t="shared" ca="1" si="967"/>
        <v/>
      </c>
      <c r="H553" s="1055">
        <f t="shared" ca="1" si="967"/>
        <v>239</v>
      </c>
      <c r="I553" s="1055">
        <f t="shared" ca="1" si="967"/>
        <v>308</v>
      </c>
      <c r="J553" s="1055">
        <f t="shared" ca="1" si="967"/>
        <v>461</v>
      </c>
      <c r="K553" s="1055">
        <f t="shared" ca="1" si="967"/>
        <v>571</v>
      </c>
      <c r="L553" s="1055">
        <f t="shared" ca="1" si="967"/>
        <v>663</v>
      </c>
      <c r="M553" s="1055">
        <f t="shared" ca="1" si="967"/>
        <v>754</v>
      </c>
      <c r="N553" s="1055">
        <f t="shared" ca="1" si="967"/>
        <v>844</v>
      </c>
      <c r="O553" s="1055" t="str">
        <f t="shared" ca="1" si="967"/>
        <v/>
      </c>
      <c r="P553" s="1055" t="str">
        <f t="shared" ca="1" si="967"/>
        <v/>
      </c>
      <c r="Q553" s="1055" t="str">
        <f t="shared" ca="1" si="967"/>
        <v/>
      </c>
      <c r="R553" s="1055" t="str">
        <f t="shared" ca="1" si="967"/>
        <v/>
      </c>
      <c r="S553" s="1055" t="str">
        <f t="shared" ca="1" si="967"/>
        <v/>
      </c>
      <c r="T553" s="1055" t="str">
        <f t="shared" ca="1" si="967"/>
        <v/>
      </c>
      <c r="U553" s="1055" t="str">
        <f t="shared" ca="1" si="967"/>
        <v/>
      </c>
      <c r="V553" s="1055" t="str">
        <f t="shared" ca="1" si="967"/>
        <v/>
      </c>
      <c r="W553" s="1055" t="str">
        <f t="shared" ca="1" si="967"/>
        <v/>
      </c>
      <c r="X553" s="1055" t="str">
        <f t="shared" si="967"/>
        <v/>
      </c>
      <c r="Y553" s="1055" t="str">
        <f t="shared" si="967"/>
        <v/>
      </c>
    </row>
    <row r="554" spans="1:25">
      <c r="A554" s="598">
        <v>57</v>
      </c>
      <c r="D554" s="1055" t="str">
        <f t="shared" ref="D554:Y554" ca="1" si="968">IF(ISNUMBER(D553),IF(D553+1&lt;IF(ISNA(E$498),$Z$616,E$498),D553+1,""),"")</f>
        <v/>
      </c>
      <c r="E554" s="1055" t="str">
        <f t="shared" ca="1" si="968"/>
        <v/>
      </c>
      <c r="F554" s="1055">
        <f t="shared" ca="1" si="968"/>
        <v>110</v>
      </c>
      <c r="G554" s="1055" t="str">
        <f t="shared" ca="1" si="968"/>
        <v/>
      </c>
      <c r="H554" s="1055">
        <f t="shared" ca="1" si="968"/>
        <v>240</v>
      </c>
      <c r="I554" s="1055">
        <f t="shared" ca="1" si="968"/>
        <v>309</v>
      </c>
      <c r="J554" s="1055">
        <f t="shared" ca="1" si="968"/>
        <v>462</v>
      </c>
      <c r="K554" s="1055">
        <f t="shared" ca="1" si="968"/>
        <v>572</v>
      </c>
      <c r="L554" s="1055">
        <f t="shared" ca="1" si="968"/>
        <v>664</v>
      </c>
      <c r="M554" s="1055">
        <f t="shared" ca="1" si="968"/>
        <v>755</v>
      </c>
      <c r="N554" s="1055">
        <f t="shared" ca="1" si="968"/>
        <v>845</v>
      </c>
      <c r="O554" s="1055" t="str">
        <f t="shared" ca="1" si="968"/>
        <v/>
      </c>
      <c r="P554" s="1055" t="str">
        <f t="shared" ca="1" si="968"/>
        <v/>
      </c>
      <c r="Q554" s="1055" t="str">
        <f t="shared" ca="1" si="968"/>
        <v/>
      </c>
      <c r="R554" s="1055" t="str">
        <f t="shared" ca="1" si="968"/>
        <v/>
      </c>
      <c r="S554" s="1055" t="str">
        <f t="shared" ca="1" si="968"/>
        <v/>
      </c>
      <c r="T554" s="1055" t="str">
        <f t="shared" ca="1" si="968"/>
        <v/>
      </c>
      <c r="U554" s="1055" t="str">
        <f t="shared" ca="1" si="968"/>
        <v/>
      </c>
      <c r="V554" s="1055" t="str">
        <f t="shared" ca="1" si="968"/>
        <v/>
      </c>
      <c r="W554" s="1055" t="str">
        <f t="shared" ca="1" si="968"/>
        <v/>
      </c>
      <c r="X554" s="1055" t="str">
        <f t="shared" si="968"/>
        <v/>
      </c>
      <c r="Y554" s="1055" t="str">
        <f t="shared" si="968"/>
        <v/>
      </c>
    </row>
    <row r="555" spans="1:25">
      <c r="A555" s="598">
        <v>58</v>
      </c>
      <c r="D555" s="1055" t="str">
        <f t="shared" ref="D555:Y555" ca="1" si="969">IF(ISNUMBER(D554),IF(D554+1&lt;IF(ISNA(E$498),$Z$616,E$498),D554+1,""),"")</f>
        <v/>
      </c>
      <c r="E555" s="1055" t="str">
        <f t="shared" ca="1" si="969"/>
        <v/>
      </c>
      <c r="F555" s="1055">
        <f t="shared" ca="1" si="969"/>
        <v>111</v>
      </c>
      <c r="G555" s="1055" t="str">
        <f t="shared" ca="1" si="969"/>
        <v/>
      </c>
      <c r="H555" s="1055">
        <f t="shared" ca="1" si="969"/>
        <v>241</v>
      </c>
      <c r="I555" s="1055">
        <f t="shared" ca="1" si="969"/>
        <v>310</v>
      </c>
      <c r="J555" s="1055">
        <f t="shared" ca="1" si="969"/>
        <v>463</v>
      </c>
      <c r="K555" s="1055">
        <f t="shared" ca="1" si="969"/>
        <v>573</v>
      </c>
      <c r="L555" s="1055">
        <f t="shared" ca="1" si="969"/>
        <v>665</v>
      </c>
      <c r="M555" s="1055">
        <f t="shared" ca="1" si="969"/>
        <v>756</v>
      </c>
      <c r="N555" s="1055">
        <f t="shared" ca="1" si="969"/>
        <v>846</v>
      </c>
      <c r="O555" s="1055" t="str">
        <f t="shared" ca="1" si="969"/>
        <v/>
      </c>
      <c r="P555" s="1055" t="str">
        <f t="shared" ca="1" si="969"/>
        <v/>
      </c>
      <c r="Q555" s="1055" t="str">
        <f t="shared" ca="1" si="969"/>
        <v/>
      </c>
      <c r="R555" s="1055" t="str">
        <f t="shared" ca="1" si="969"/>
        <v/>
      </c>
      <c r="S555" s="1055" t="str">
        <f t="shared" ca="1" si="969"/>
        <v/>
      </c>
      <c r="T555" s="1055" t="str">
        <f t="shared" ca="1" si="969"/>
        <v/>
      </c>
      <c r="U555" s="1055" t="str">
        <f t="shared" ca="1" si="969"/>
        <v/>
      </c>
      <c r="V555" s="1055" t="str">
        <f t="shared" ca="1" si="969"/>
        <v/>
      </c>
      <c r="W555" s="1055" t="str">
        <f t="shared" ca="1" si="969"/>
        <v/>
      </c>
      <c r="X555" s="1055" t="str">
        <f t="shared" si="969"/>
        <v/>
      </c>
      <c r="Y555" s="1055" t="str">
        <f t="shared" si="969"/>
        <v/>
      </c>
    </row>
    <row r="556" spans="1:25">
      <c r="A556" s="598">
        <v>59</v>
      </c>
      <c r="D556" s="1055" t="str">
        <f t="shared" ref="D556:Y556" ca="1" si="970">IF(ISNUMBER(D555),IF(D555+1&lt;IF(ISNA(E$498),$Z$616,E$498),D555+1,""),"")</f>
        <v/>
      </c>
      <c r="E556" s="1055" t="str">
        <f t="shared" ca="1" si="970"/>
        <v/>
      </c>
      <c r="F556" s="1055">
        <f t="shared" ca="1" si="970"/>
        <v>112</v>
      </c>
      <c r="G556" s="1055" t="str">
        <f t="shared" ca="1" si="970"/>
        <v/>
      </c>
      <c r="H556" s="1055">
        <f t="shared" ca="1" si="970"/>
        <v>242</v>
      </c>
      <c r="I556" s="1055">
        <f t="shared" ca="1" si="970"/>
        <v>311</v>
      </c>
      <c r="J556" s="1055">
        <f t="shared" ca="1" si="970"/>
        <v>464</v>
      </c>
      <c r="K556" s="1055">
        <f t="shared" ca="1" si="970"/>
        <v>574</v>
      </c>
      <c r="L556" s="1055">
        <f t="shared" ca="1" si="970"/>
        <v>666</v>
      </c>
      <c r="M556" s="1055">
        <f t="shared" ca="1" si="970"/>
        <v>757</v>
      </c>
      <c r="N556" s="1055">
        <f t="shared" ca="1" si="970"/>
        <v>847</v>
      </c>
      <c r="O556" s="1055" t="str">
        <f t="shared" ca="1" si="970"/>
        <v/>
      </c>
      <c r="P556" s="1055" t="str">
        <f t="shared" ca="1" si="970"/>
        <v/>
      </c>
      <c r="Q556" s="1055" t="str">
        <f t="shared" ca="1" si="970"/>
        <v/>
      </c>
      <c r="R556" s="1055" t="str">
        <f t="shared" ca="1" si="970"/>
        <v/>
      </c>
      <c r="S556" s="1055" t="str">
        <f t="shared" ca="1" si="970"/>
        <v/>
      </c>
      <c r="T556" s="1055" t="str">
        <f t="shared" ca="1" si="970"/>
        <v/>
      </c>
      <c r="U556" s="1055" t="str">
        <f t="shared" ca="1" si="970"/>
        <v/>
      </c>
      <c r="V556" s="1055" t="str">
        <f t="shared" ca="1" si="970"/>
        <v/>
      </c>
      <c r="W556" s="1055" t="str">
        <f t="shared" ca="1" si="970"/>
        <v/>
      </c>
      <c r="X556" s="1055" t="str">
        <f t="shared" si="970"/>
        <v/>
      </c>
      <c r="Y556" s="1055" t="str">
        <f t="shared" si="970"/>
        <v/>
      </c>
    </row>
    <row r="557" spans="1:25">
      <c r="A557" s="598">
        <v>60</v>
      </c>
      <c r="D557" s="1055" t="str">
        <f t="shared" ref="D557:Y557" ca="1" si="971">IF(ISNUMBER(D556),IF(D556+1&lt;IF(ISNA(E$498),$Z$616,E$498),D556+1,""),"")</f>
        <v/>
      </c>
      <c r="E557" s="1055" t="str">
        <f t="shared" ca="1" si="971"/>
        <v/>
      </c>
      <c r="F557" s="1055">
        <f t="shared" ca="1" si="971"/>
        <v>113</v>
      </c>
      <c r="G557" s="1055" t="str">
        <f t="shared" ca="1" si="971"/>
        <v/>
      </c>
      <c r="H557" s="1055">
        <f t="shared" ca="1" si="971"/>
        <v>243</v>
      </c>
      <c r="I557" s="1055">
        <f t="shared" ca="1" si="971"/>
        <v>312</v>
      </c>
      <c r="J557" s="1055">
        <f t="shared" ca="1" si="971"/>
        <v>465</v>
      </c>
      <c r="K557" s="1055">
        <f t="shared" ca="1" si="971"/>
        <v>575</v>
      </c>
      <c r="L557" s="1055">
        <f t="shared" ca="1" si="971"/>
        <v>667</v>
      </c>
      <c r="M557" s="1055">
        <f t="shared" ca="1" si="971"/>
        <v>758</v>
      </c>
      <c r="N557" s="1055">
        <f t="shared" ca="1" si="971"/>
        <v>848</v>
      </c>
      <c r="O557" s="1055" t="str">
        <f t="shared" ca="1" si="971"/>
        <v/>
      </c>
      <c r="P557" s="1055" t="str">
        <f t="shared" ca="1" si="971"/>
        <v/>
      </c>
      <c r="Q557" s="1055" t="str">
        <f t="shared" ca="1" si="971"/>
        <v/>
      </c>
      <c r="R557" s="1055" t="str">
        <f t="shared" ca="1" si="971"/>
        <v/>
      </c>
      <c r="S557" s="1055" t="str">
        <f t="shared" ca="1" si="971"/>
        <v/>
      </c>
      <c r="T557" s="1055" t="str">
        <f t="shared" ca="1" si="971"/>
        <v/>
      </c>
      <c r="U557" s="1055" t="str">
        <f t="shared" ca="1" si="971"/>
        <v/>
      </c>
      <c r="V557" s="1055" t="str">
        <f t="shared" ca="1" si="971"/>
        <v/>
      </c>
      <c r="W557" s="1055" t="str">
        <f t="shared" ca="1" si="971"/>
        <v/>
      </c>
      <c r="X557" s="1055" t="str">
        <f t="shared" si="971"/>
        <v/>
      </c>
      <c r="Y557" s="1055" t="str">
        <f t="shared" si="971"/>
        <v/>
      </c>
    </row>
    <row r="558" spans="1:25">
      <c r="A558" s="598">
        <v>61</v>
      </c>
      <c r="D558" s="1055" t="str">
        <f t="shared" ref="D558:Y558" ca="1" si="972">IF(ISNUMBER(D557),IF(D557+1&lt;IF(ISNA(E$498),$Z$616,E$498),D557+1,""),"")</f>
        <v/>
      </c>
      <c r="E558" s="1055" t="str">
        <f t="shared" ca="1" si="972"/>
        <v/>
      </c>
      <c r="F558" s="1055">
        <f t="shared" ca="1" si="972"/>
        <v>114</v>
      </c>
      <c r="G558" s="1055" t="str">
        <f t="shared" ca="1" si="972"/>
        <v/>
      </c>
      <c r="H558" s="1055">
        <f t="shared" ca="1" si="972"/>
        <v>244</v>
      </c>
      <c r="I558" s="1055">
        <f t="shared" ca="1" si="972"/>
        <v>313</v>
      </c>
      <c r="J558" s="1055">
        <f t="shared" ca="1" si="972"/>
        <v>466</v>
      </c>
      <c r="K558" s="1055">
        <f t="shared" ca="1" si="972"/>
        <v>576</v>
      </c>
      <c r="L558" s="1055">
        <f t="shared" ca="1" si="972"/>
        <v>668</v>
      </c>
      <c r="M558" s="1055">
        <f t="shared" ca="1" si="972"/>
        <v>759</v>
      </c>
      <c r="N558" s="1055">
        <f t="shared" ca="1" si="972"/>
        <v>849</v>
      </c>
      <c r="O558" s="1055" t="str">
        <f t="shared" ca="1" si="972"/>
        <v/>
      </c>
      <c r="P558" s="1055" t="str">
        <f t="shared" ca="1" si="972"/>
        <v/>
      </c>
      <c r="Q558" s="1055" t="str">
        <f t="shared" ca="1" si="972"/>
        <v/>
      </c>
      <c r="R558" s="1055" t="str">
        <f t="shared" ca="1" si="972"/>
        <v/>
      </c>
      <c r="S558" s="1055" t="str">
        <f t="shared" ca="1" si="972"/>
        <v/>
      </c>
      <c r="T558" s="1055" t="str">
        <f t="shared" ca="1" si="972"/>
        <v/>
      </c>
      <c r="U558" s="1055" t="str">
        <f t="shared" ca="1" si="972"/>
        <v/>
      </c>
      <c r="V558" s="1055" t="str">
        <f t="shared" ca="1" si="972"/>
        <v/>
      </c>
      <c r="W558" s="1055" t="str">
        <f t="shared" ca="1" si="972"/>
        <v/>
      </c>
      <c r="X558" s="1055" t="str">
        <f t="shared" si="972"/>
        <v/>
      </c>
      <c r="Y558" s="1055" t="str">
        <f t="shared" si="972"/>
        <v/>
      </c>
    </row>
    <row r="559" spans="1:25">
      <c r="A559" s="598">
        <v>62</v>
      </c>
      <c r="D559" s="1055" t="str">
        <f t="shared" ref="D559:Y559" ca="1" si="973">IF(ISNUMBER(D558),IF(D558+1&lt;IF(ISNA(E$498),$Z$616,E$498),D558+1,""),"")</f>
        <v/>
      </c>
      <c r="E559" s="1055" t="str">
        <f t="shared" ca="1" si="973"/>
        <v/>
      </c>
      <c r="F559" s="1055">
        <f t="shared" ca="1" si="973"/>
        <v>115</v>
      </c>
      <c r="G559" s="1055" t="str">
        <f t="shared" ca="1" si="973"/>
        <v/>
      </c>
      <c r="H559" s="1055">
        <f t="shared" ca="1" si="973"/>
        <v>245</v>
      </c>
      <c r="I559" s="1055">
        <f t="shared" ca="1" si="973"/>
        <v>314</v>
      </c>
      <c r="J559" s="1055">
        <f t="shared" ca="1" si="973"/>
        <v>467</v>
      </c>
      <c r="K559" s="1055">
        <f t="shared" ca="1" si="973"/>
        <v>577</v>
      </c>
      <c r="L559" s="1055">
        <f t="shared" ca="1" si="973"/>
        <v>669</v>
      </c>
      <c r="M559" s="1055">
        <f t="shared" ca="1" si="973"/>
        <v>760</v>
      </c>
      <c r="N559" s="1055" t="str">
        <f t="shared" ca="1" si="973"/>
        <v/>
      </c>
      <c r="O559" s="1055" t="str">
        <f t="shared" ca="1" si="973"/>
        <v/>
      </c>
      <c r="P559" s="1055" t="str">
        <f t="shared" ca="1" si="973"/>
        <v/>
      </c>
      <c r="Q559" s="1055" t="str">
        <f t="shared" ca="1" si="973"/>
        <v/>
      </c>
      <c r="R559" s="1055" t="str">
        <f t="shared" ca="1" si="973"/>
        <v/>
      </c>
      <c r="S559" s="1055" t="str">
        <f t="shared" ca="1" si="973"/>
        <v/>
      </c>
      <c r="T559" s="1055" t="str">
        <f t="shared" ca="1" si="973"/>
        <v/>
      </c>
      <c r="U559" s="1055" t="str">
        <f t="shared" ca="1" si="973"/>
        <v/>
      </c>
      <c r="V559" s="1055" t="str">
        <f t="shared" ca="1" si="973"/>
        <v/>
      </c>
      <c r="W559" s="1055" t="str">
        <f t="shared" ca="1" si="973"/>
        <v/>
      </c>
      <c r="X559" s="1055" t="str">
        <f t="shared" si="973"/>
        <v/>
      </c>
      <c r="Y559" s="1055" t="str">
        <f t="shared" si="973"/>
        <v/>
      </c>
    </row>
    <row r="560" spans="1:25">
      <c r="A560" s="598">
        <v>63</v>
      </c>
      <c r="D560" s="1055" t="str">
        <f t="shared" ref="D560:Y560" ca="1" si="974">IF(ISNUMBER(D559),IF(D559+1&lt;IF(ISNA(E$498),$Z$616,E$498),D559+1,""),"")</f>
        <v/>
      </c>
      <c r="E560" s="1055" t="str">
        <f t="shared" ca="1" si="974"/>
        <v/>
      </c>
      <c r="F560" s="1055">
        <f t="shared" ca="1" si="974"/>
        <v>116</v>
      </c>
      <c r="G560" s="1055" t="str">
        <f t="shared" ca="1" si="974"/>
        <v/>
      </c>
      <c r="H560" s="1055">
        <f t="shared" ca="1" si="974"/>
        <v>246</v>
      </c>
      <c r="I560" s="1055">
        <f t="shared" ca="1" si="974"/>
        <v>315</v>
      </c>
      <c r="J560" s="1055">
        <f t="shared" ca="1" si="974"/>
        <v>468</v>
      </c>
      <c r="K560" s="1055">
        <f t="shared" ca="1" si="974"/>
        <v>578</v>
      </c>
      <c r="L560" s="1055">
        <f t="shared" ca="1" si="974"/>
        <v>670</v>
      </c>
      <c r="M560" s="1055">
        <f t="shared" ca="1" si="974"/>
        <v>761</v>
      </c>
      <c r="N560" s="1055" t="str">
        <f t="shared" ca="1" si="974"/>
        <v/>
      </c>
      <c r="O560" s="1055" t="str">
        <f t="shared" ca="1" si="974"/>
        <v/>
      </c>
      <c r="P560" s="1055" t="str">
        <f t="shared" ca="1" si="974"/>
        <v/>
      </c>
      <c r="Q560" s="1055" t="str">
        <f t="shared" ca="1" si="974"/>
        <v/>
      </c>
      <c r="R560" s="1055" t="str">
        <f t="shared" ca="1" si="974"/>
        <v/>
      </c>
      <c r="S560" s="1055" t="str">
        <f t="shared" ca="1" si="974"/>
        <v/>
      </c>
      <c r="T560" s="1055" t="str">
        <f t="shared" ca="1" si="974"/>
        <v/>
      </c>
      <c r="U560" s="1055" t="str">
        <f t="shared" ca="1" si="974"/>
        <v/>
      </c>
      <c r="V560" s="1055" t="str">
        <f t="shared" ca="1" si="974"/>
        <v/>
      </c>
      <c r="W560" s="1055" t="str">
        <f t="shared" ca="1" si="974"/>
        <v/>
      </c>
      <c r="X560" s="1055" t="str">
        <f t="shared" si="974"/>
        <v/>
      </c>
      <c r="Y560" s="1055" t="str">
        <f t="shared" si="974"/>
        <v/>
      </c>
    </row>
    <row r="561" spans="1:25">
      <c r="A561" s="598">
        <v>64</v>
      </c>
      <c r="D561" s="1055" t="str">
        <f t="shared" ref="D561:Y561" ca="1" si="975">IF(ISNUMBER(D560),IF(D560+1&lt;IF(ISNA(E$498),$Z$616,E$498),D560+1,""),"")</f>
        <v/>
      </c>
      <c r="E561" s="1055" t="str">
        <f t="shared" ca="1" si="975"/>
        <v/>
      </c>
      <c r="F561" s="1055">
        <f t="shared" ca="1" si="975"/>
        <v>117</v>
      </c>
      <c r="G561" s="1055" t="str">
        <f t="shared" ca="1" si="975"/>
        <v/>
      </c>
      <c r="H561" s="1055">
        <f t="shared" ca="1" si="975"/>
        <v>247</v>
      </c>
      <c r="I561" s="1055">
        <f t="shared" ca="1" si="975"/>
        <v>316</v>
      </c>
      <c r="J561" s="1055">
        <f t="shared" ca="1" si="975"/>
        <v>469</v>
      </c>
      <c r="K561" s="1055">
        <f t="shared" ca="1" si="975"/>
        <v>579</v>
      </c>
      <c r="L561" s="1055">
        <f t="shared" ca="1" si="975"/>
        <v>671</v>
      </c>
      <c r="M561" s="1055">
        <f t="shared" ca="1" si="975"/>
        <v>762</v>
      </c>
      <c r="N561" s="1055" t="str">
        <f t="shared" ca="1" si="975"/>
        <v/>
      </c>
      <c r="O561" s="1055" t="str">
        <f t="shared" ca="1" si="975"/>
        <v/>
      </c>
      <c r="P561" s="1055" t="str">
        <f t="shared" ca="1" si="975"/>
        <v/>
      </c>
      <c r="Q561" s="1055" t="str">
        <f t="shared" ca="1" si="975"/>
        <v/>
      </c>
      <c r="R561" s="1055" t="str">
        <f t="shared" ca="1" si="975"/>
        <v/>
      </c>
      <c r="S561" s="1055" t="str">
        <f t="shared" ca="1" si="975"/>
        <v/>
      </c>
      <c r="T561" s="1055" t="str">
        <f t="shared" ca="1" si="975"/>
        <v/>
      </c>
      <c r="U561" s="1055" t="str">
        <f t="shared" ca="1" si="975"/>
        <v/>
      </c>
      <c r="V561" s="1055" t="str">
        <f t="shared" ca="1" si="975"/>
        <v/>
      </c>
      <c r="W561" s="1055" t="str">
        <f t="shared" ca="1" si="975"/>
        <v/>
      </c>
      <c r="X561" s="1055" t="str">
        <f t="shared" si="975"/>
        <v/>
      </c>
      <c r="Y561" s="1055" t="str">
        <f t="shared" si="975"/>
        <v/>
      </c>
    </row>
    <row r="562" spans="1:25">
      <c r="A562" s="598">
        <v>65</v>
      </c>
      <c r="D562" s="1055" t="str">
        <f t="shared" ref="D562:Y562" ca="1" si="976">IF(ISNUMBER(D561),IF(D561+1&lt;IF(ISNA(E$498),$Z$616,E$498),D561+1,""),"")</f>
        <v/>
      </c>
      <c r="E562" s="1055" t="str">
        <f t="shared" ca="1" si="976"/>
        <v/>
      </c>
      <c r="F562" s="1055">
        <f t="shared" ca="1" si="976"/>
        <v>118</v>
      </c>
      <c r="G562" s="1055" t="str">
        <f t="shared" ca="1" si="976"/>
        <v/>
      </c>
      <c r="H562" s="1055">
        <f t="shared" ca="1" si="976"/>
        <v>248</v>
      </c>
      <c r="I562" s="1055">
        <f t="shared" ca="1" si="976"/>
        <v>317</v>
      </c>
      <c r="J562" s="1055">
        <f t="shared" ca="1" si="976"/>
        <v>470</v>
      </c>
      <c r="K562" s="1055">
        <f t="shared" ca="1" si="976"/>
        <v>580</v>
      </c>
      <c r="L562" s="1055">
        <f t="shared" ca="1" si="976"/>
        <v>672</v>
      </c>
      <c r="M562" s="1055">
        <f t="shared" ca="1" si="976"/>
        <v>763</v>
      </c>
      <c r="N562" s="1055" t="str">
        <f t="shared" ca="1" si="976"/>
        <v/>
      </c>
      <c r="O562" s="1055" t="str">
        <f t="shared" ca="1" si="976"/>
        <v/>
      </c>
      <c r="P562" s="1055" t="str">
        <f t="shared" ca="1" si="976"/>
        <v/>
      </c>
      <c r="Q562" s="1055" t="str">
        <f t="shared" ca="1" si="976"/>
        <v/>
      </c>
      <c r="R562" s="1055" t="str">
        <f t="shared" ca="1" si="976"/>
        <v/>
      </c>
      <c r="S562" s="1055" t="str">
        <f t="shared" ca="1" si="976"/>
        <v/>
      </c>
      <c r="T562" s="1055" t="str">
        <f t="shared" ca="1" si="976"/>
        <v/>
      </c>
      <c r="U562" s="1055" t="str">
        <f t="shared" ca="1" si="976"/>
        <v/>
      </c>
      <c r="V562" s="1055" t="str">
        <f t="shared" ca="1" si="976"/>
        <v/>
      </c>
      <c r="W562" s="1055" t="str">
        <f t="shared" ca="1" si="976"/>
        <v/>
      </c>
      <c r="X562" s="1055" t="str">
        <f t="shared" si="976"/>
        <v/>
      </c>
      <c r="Y562" s="1055" t="str">
        <f t="shared" si="976"/>
        <v/>
      </c>
    </row>
    <row r="563" spans="1:25">
      <c r="A563" s="598">
        <v>66</v>
      </c>
      <c r="D563" s="1055" t="str">
        <f t="shared" ref="D563:Y563" ca="1" si="977">IF(ISNUMBER(D562),IF(D562+1&lt;IF(ISNA(E$498),$Z$616,E$498),D562+1,""),"")</f>
        <v/>
      </c>
      <c r="E563" s="1055" t="str">
        <f t="shared" ca="1" si="977"/>
        <v/>
      </c>
      <c r="F563" s="1055">
        <f t="shared" ca="1" si="977"/>
        <v>119</v>
      </c>
      <c r="G563" s="1055" t="str">
        <f t="shared" ca="1" si="977"/>
        <v/>
      </c>
      <c r="H563" s="1055">
        <f t="shared" ca="1" si="977"/>
        <v>249</v>
      </c>
      <c r="I563" s="1055">
        <f t="shared" ca="1" si="977"/>
        <v>318</v>
      </c>
      <c r="J563" s="1055">
        <f t="shared" ca="1" si="977"/>
        <v>471</v>
      </c>
      <c r="K563" s="1055">
        <f t="shared" ca="1" si="977"/>
        <v>581</v>
      </c>
      <c r="L563" s="1055">
        <f t="shared" ca="1" si="977"/>
        <v>673</v>
      </c>
      <c r="M563" s="1055">
        <f t="shared" ca="1" si="977"/>
        <v>764</v>
      </c>
      <c r="N563" s="1055" t="str">
        <f t="shared" ca="1" si="977"/>
        <v/>
      </c>
      <c r="O563" s="1055" t="str">
        <f t="shared" ca="1" si="977"/>
        <v/>
      </c>
      <c r="P563" s="1055" t="str">
        <f t="shared" ca="1" si="977"/>
        <v/>
      </c>
      <c r="Q563" s="1055" t="str">
        <f t="shared" ca="1" si="977"/>
        <v/>
      </c>
      <c r="R563" s="1055" t="str">
        <f t="shared" ca="1" si="977"/>
        <v/>
      </c>
      <c r="S563" s="1055" t="str">
        <f t="shared" ca="1" si="977"/>
        <v/>
      </c>
      <c r="T563" s="1055" t="str">
        <f t="shared" ca="1" si="977"/>
        <v/>
      </c>
      <c r="U563" s="1055" t="str">
        <f t="shared" ca="1" si="977"/>
        <v/>
      </c>
      <c r="V563" s="1055" t="str">
        <f t="shared" ca="1" si="977"/>
        <v/>
      </c>
      <c r="W563" s="1055" t="str">
        <f t="shared" ca="1" si="977"/>
        <v/>
      </c>
      <c r="X563" s="1055" t="str">
        <f t="shared" si="977"/>
        <v/>
      </c>
      <c r="Y563" s="1055" t="str">
        <f t="shared" si="977"/>
        <v/>
      </c>
    </row>
    <row r="564" spans="1:25">
      <c r="A564" s="598">
        <v>67</v>
      </c>
      <c r="D564" s="1055" t="str">
        <f t="shared" ref="D564:Y564" ca="1" si="978">IF(ISNUMBER(D563),IF(D563+1&lt;IF(ISNA(E$498),$Z$616,E$498),D563+1,""),"")</f>
        <v/>
      </c>
      <c r="E564" s="1055" t="str">
        <f t="shared" ca="1" si="978"/>
        <v/>
      </c>
      <c r="F564" s="1055">
        <f t="shared" ca="1" si="978"/>
        <v>120</v>
      </c>
      <c r="G564" s="1055" t="str">
        <f t="shared" ca="1" si="978"/>
        <v/>
      </c>
      <c r="H564" s="1055">
        <f t="shared" ca="1" si="978"/>
        <v>250</v>
      </c>
      <c r="I564" s="1055">
        <f t="shared" ca="1" si="978"/>
        <v>319</v>
      </c>
      <c r="J564" s="1055">
        <f t="shared" ca="1" si="978"/>
        <v>472</v>
      </c>
      <c r="K564" s="1055">
        <f t="shared" ca="1" si="978"/>
        <v>582</v>
      </c>
      <c r="L564" s="1055">
        <f t="shared" ca="1" si="978"/>
        <v>674</v>
      </c>
      <c r="M564" s="1055">
        <f t="shared" ca="1" si="978"/>
        <v>765</v>
      </c>
      <c r="N564" s="1055" t="str">
        <f t="shared" ca="1" si="978"/>
        <v/>
      </c>
      <c r="O564" s="1055" t="str">
        <f t="shared" ca="1" si="978"/>
        <v/>
      </c>
      <c r="P564" s="1055" t="str">
        <f t="shared" ca="1" si="978"/>
        <v/>
      </c>
      <c r="Q564" s="1055" t="str">
        <f t="shared" ca="1" si="978"/>
        <v/>
      </c>
      <c r="R564" s="1055" t="str">
        <f t="shared" ca="1" si="978"/>
        <v/>
      </c>
      <c r="S564" s="1055" t="str">
        <f t="shared" ca="1" si="978"/>
        <v/>
      </c>
      <c r="T564" s="1055" t="str">
        <f t="shared" ca="1" si="978"/>
        <v/>
      </c>
      <c r="U564" s="1055" t="str">
        <f t="shared" ca="1" si="978"/>
        <v/>
      </c>
      <c r="V564" s="1055" t="str">
        <f t="shared" ca="1" si="978"/>
        <v/>
      </c>
      <c r="W564" s="1055" t="str">
        <f t="shared" ca="1" si="978"/>
        <v/>
      </c>
      <c r="X564" s="1055" t="str">
        <f t="shared" si="978"/>
        <v/>
      </c>
      <c r="Y564" s="1055" t="str">
        <f t="shared" si="978"/>
        <v/>
      </c>
    </row>
    <row r="565" spans="1:25">
      <c r="A565" s="598">
        <v>68</v>
      </c>
      <c r="D565" s="1055" t="str">
        <f t="shared" ref="D565:Y565" ca="1" si="979">IF(ISNUMBER(D564),IF(D564+1&lt;IF(ISNA(E$498),$Z$616,E$498),D564+1,""),"")</f>
        <v/>
      </c>
      <c r="E565" s="1055" t="str">
        <f t="shared" ca="1" si="979"/>
        <v/>
      </c>
      <c r="F565" s="1055">
        <f t="shared" ca="1" si="979"/>
        <v>121</v>
      </c>
      <c r="G565" s="1055" t="str">
        <f t="shared" ca="1" si="979"/>
        <v/>
      </c>
      <c r="H565" s="1055">
        <f t="shared" ca="1" si="979"/>
        <v>251</v>
      </c>
      <c r="I565" s="1055">
        <f t="shared" ca="1" si="979"/>
        <v>320</v>
      </c>
      <c r="J565" s="1055">
        <f t="shared" ca="1" si="979"/>
        <v>473</v>
      </c>
      <c r="K565" s="1055">
        <f t="shared" ca="1" si="979"/>
        <v>583</v>
      </c>
      <c r="L565" s="1055">
        <f t="shared" ca="1" si="979"/>
        <v>675</v>
      </c>
      <c r="M565" s="1055">
        <f t="shared" ca="1" si="979"/>
        <v>766</v>
      </c>
      <c r="N565" s="1055" t="str">
        <f t="shared" ca="1" si="979"/>
        <v/>
      </c>
      <c r="O565" s="1055" t="str">
        <f t="shared" ca="1" si="979"/>
        <v/>
      </c>
      <c r="P565" s="1055" t="str">
        <f t="shared" ca="1" si="979"/>
        <v/>
      </c>
      <c r="Q565" s="1055" t="str">
        <f t="shared" ca="1" si="979"/>
        <v/>
      </c>
      <c r="R565" s="1055" t="str">
        <f t="shared" ca="1" si="979"/>
        <v/>
      </c>
      <c r="S565" s="1055" t="str">
        <f t="shared" ca="1" si="979"/>
        <v/>
      </c>
      <c r="T565" s="1055" t="str">
        <f t="shared" ca="1" si="979"/>
        <v/>
      </c>
      <c r="U565" s="1055" t="str">
        <f t="shared" ca="1" si="979"/>
        <v/>
      </c>
      <c r="V565" s="1055" t="str">
        <f t="shared" ca="1" si="979"/>
        <v/>
      </c>
      <c r="W565" s="1055" t="str">
        <f t="shared" ca="1" si="979"/>
        <v/>
      </c>
      <c r="X565" s="1055" t="str">
        <f t="shared" si="979"/>
        <v/>
      </c>
      <c r="Y565" s="1055" t="str">
        <f t="shared" si="979"/>
        <v/>
      </c>
    </row>
    <row r="566" spans="1:25">
      <c r="A566" s="598">
        <v>69</v>
      </c>
      <c r="D566" s="1055" t="str">
        <f t="shared" ref="D566:Y566" ca="1" si="980">IF(ISNUMBER(D565),IF(D565+1&lt;IF(ISNA(E$498),$Z$616,E$498),D565+1,""),"")</f>
        <v/>
      </c>
      <c r="E566" s="1055" t="str">
        <f t="shared" ca="1" si="980"/>
        <v/>
      </c>
      <c r="F566" s="1055">
        <f t="shared" ca="1" si="980"/>
        <v>122</v>
      </c>
      <c r="G566" s="1055" t="str">
        <f t="shared" ca="1" si="980"/>
        <v/>
      </c>
      <c r="H566" s="1055">
        <f t="shared" ca="1" si="980"/>
        <v>252</v>
      </c>
      <c r="I566" s="1055">
        <f t="shared" ca="1" si="980"/>
        <v>321</v>
      </c>
      <c r="J566" s="1055">
        <f t="shared" ca="1" si="980"/>
        <v>474</v>
      </c>
      <c r="K566" s="1055">
        <f t="shared" ca="1" si="980"/>
        <v>584</v>
      </c>
      <c r="L566" s="1055">
        <f t="shared" ca="1" si="980"/>
        <v>676</v>
      </c>
      <c r="M566" s="1055">
        <f t="shared" ca="1" si="980"/>
        <v>767</v>
      </c>
      <c r="N566" s="1055" t="str">
        <f t="shared" ca="1" si="980"/>
        <v/>
      </c>
      <c r="O566" s="1055" t="str">
        <f t="shared" ca="1" si="980"/>
        <v/>
      </c>
      <c r="P566" s="1055" t="str">
        <f t="shared" ca="1" si="980"/>
        <v/>
      </c>
      <c r="Q566" s="1055" t="str">
        <f t="shared" ca="1" si="980"/>
        <v/>
      </c>
      <c r="R566" s="1055" t="str">
        <f t="shared" ca="1" si="980"/>
        <v/>
      </c>
      <c r="S566" s="1055" t="str">
        <f t="shared" ca="1" si="980"/>
        <v/>
      </c>
      <c r="T566" s="1055" t="str">
        <f t="shared" ca="1" si="980"/>
        <v/>
      </c>
      <c r="U566" s="1055" t="str">
        <f t="shared" ca="1" si="980"/>
        <v/>
      </c>
      <c r="V566" s="1055" t="str">
        <f t="shared" ca="1" si="980"/>
        <v/>
      </c>
      <c r="W566" s="1055" t="str">
        <f t="shared" ca="1" si="980"/>
        <v/>
      </c>
      <c r="X566" s="1055" t="str">
        <f t="shared" si="980"/>
        <v/>
      </c>
      <c r="Y566" s="1055" t="str">
        <f t="shared" si="980"/>
        <v/>
      </c>
    </row>
    <row r="567" spans="1:25">
      <c r="A567" s="598">
        <v>70</v>
      </c>
      <c r="D567" s="1055" t="str">
        <f t="shared" ref="D567:Y567" ca="1" si="981">IF(ISNUMBER(D566),IF(D566+1&lt;IF(ISNA(E$498),$Z$616,E$498),D566+1,""),"")</f>
        <v/>
      </c>
      <c r="E567" s="1055" t="str">
        <f t="shared" ca="1" si="981"/>
        <v/>
      </c>
      <c r="F567" s="1055">
        <f t="shared" ca="1" si="981"/>
        <v>123</v>
      </c>
      <c r="G567" s="1055" t="str">
        <f t="shared" ca="1" si="981"/>
        <v/>
      </c>
      <c r="H567" s="1055" t="str">
        <f t="shared" ca="1" si="981"/>
        <v/>
      </c>
      <c r="I567" s="1055">
        <f t="shared" ca="1" si="981"/>
        <v>322</v>
      </c>
      <c r="J567" s="1055">
        <f t="shared" ca="1" si="981"/>
        <v>475</v>
      </c>
      <c r="K567" s="1055">
        <f t="shared" ca="1" si="981"/>
        <v>585</v>
      </c>
      <c r="L567" s="1055">
        <f t="shared" ca="1" si="981"/>
        <v>677</v>
      </c>
      <c r="M567" s="1055">
        <f t="shared" ca="1" si="981"/>
        <v>768</v>
      </c>
      <c r="N567" s="1055" t="str">
        <f t="shared" ca="1" si="981"/>
        <v/>
      </c>
      <c r="O567" s="1055" t="str">
        <f t="shared" ca="1" si="981"/>
        <v/>
      </c>
      <c r="P567" s="1055" t="str">
        <f t="shared" ca="1" si="981"/>
        <v/>
      </c>
      <c r="Q567" s="1055" t="str">
        <f t="shared" ca="1" si="981"/>
        <v/>
      </c>
      <c r="R567" s="1055" t="str">
        <f t="shared" ca="1" si="981"/>
        <v/>
      </c>
      <c r="S567" s="1055" t="str">
        <f t="shared" ca="1" si="981"/>
        <v/>
      </c>
      <c r="T567" s="1055" t="str">
        <f t="shared" ca="1" si="981"/>
        <v/>
      </c>
      <c r="U567" s="1055" t="str">
        <f t="shared" ca="1" si="981"/>
        <v/>
      </c>
      <c r="V567" s="1055" t="str">
        <f t="shared" ca="1" si="981"/>
        <v/>
      </c>
      <c r="W567" s="1055" t="str">
        <f t="shared" ca="1" si="981"/>
        <v/>
      </c>
      <c r="X567" s="1055" t="str">
        <f t="shared" si="981"/>
        <v/>
      </c>
      <c r="Y567" s="1055" t="str">
        <f t="shared" si="981"/>
        <v/>
      </c>
    </row>
    <row r="568" spans="1:25">
      <c r="A568" s="598">
        <v>71</v>
      </c>
      <c r="D568" s="1055" t="str">
        <f t="shared" ref="D568:Y568" ca="1" si="982">IF(ISNUMBER(D567),IF(D567+1&lt;IF(ISNA(E$498),$Z$616,E$498),D567+1,""),"")</f>
        <v/>
      </c>
      <c r="E568" s="1055" t="str">
        <f t="shared" ca="1" si="982"/>
        <v/>
      </c>
      <c r="F568" s="1055">
        <f t="shared" ca="1" si="982"/>
        <v>124</v>
      </c>
      <c r="G568" s="1055" t="str">
        <f t="shared" ca="1" si="982"/>
        <v/>
      </c>
      <c r="H568" s="1055" t="str">
        <f t="shared" ca="1" si="982"/>
        <v/>
      </c>
      <c r="I568" s="1055">
        <f t="shared" ca="1" si="982"/>
        <v>323</v>
      </c>
      <c r="J568" s="1055">
        <f t="shared" ca="1" si="982"/>
        <v>476</v>
      </c>
      <c r="K568" s="1055">
        <f t="shared" ca="1" si="982"/>
        <v>586</v>
      </c>
      <c r="L568" s="1055">
        <f t="shared" ca="1" si="982"/>
        <v>678</v>
      </c>
      <c r="M568" s="1055">
        <f t="shared" ca="1" si="982"/>
        <v>769</v>
      </c>
      <c r="N568" s="1055" t="str">
        <f t="shared" ca="1" si="982"/>
        <v/>
      </c>
      <c r="O568" s="1055" t="str">
        <f t="shared" ca="1" si="982"/>
        <v/>
      </c>
      <c r="P568" s="1055" t="str">
        <f t="shared" ca="1" si="982"/>
        <v/>
      </c>
      <c r="Q568" s="1055" t="str">
        <f t="shared" ca="1" si="982"/>
        <v/>
      </c>
      <c r="R568" s="1055" t="str">
        <f t="shared" ca="1" si="982"/>
        <v/>
      </c>
      <c r="S568" s="1055" t="str">
        <f t="shared" ca="1" si="982"/>
        <v/>
      </c>
      <c r="T568" s="1055" t="str">
        <f t="shared" ca="1" si="982"/>
        <v/>
      </c>
      <c r="U568" s="1055" t="str">
        <f t="shared" ca="1" si="982"/>
        <v/>
      </c>
      <c r="V568" s="1055" t="str">
        <f t="shared" ca="1" si="982"/>
        <v/>
      </c>
      <c r="W568" s="1055" t="str">
        <f t="shared" ca="1" si="982"/>
        <v/>
      </c>
      <c r="X568" s="1055" t="str">
        <f t="shared" si="982"/>
        <v/>
      </c>
      <c r="Y568" s="1055" t="str">
        <f t="shared" si="982"/>
        <v/>
      </c>
    </row>
    <row r="569" spans="1:25">
      <c r="A569" s="598">
        <v>72</v>
      </c>
      <c r="D569" s="1055" t="str">
        <f t="shared" ref="D569:Y569" ca="1" si="983">IF(ISNUMBER(D568),IF(D568+1&lt;IF(ISNA(E$498),$Z$616,E$498),D568+1,""),"")</f>
        <v/>
      </c>
      <c r="E569" s="1055" t="str">
        <f t="shared" ca="1" si="983"/>
        <v/>
      </c>
      <c r="F569" s="1055">
        <f t="shared" ca="1" si="983"/>
        <v>125</v>
      </c>
      <c r="G569" s="1055" t="str">
        <f t="shared" ca="1" si="983"/>
        <v/>
      </c>
      <c r="H569" s="1055" t="str">
        <f t="shared" ca="1" si="983"/>
        <v/>
      </c>
      <c r="I569" s="1055">
        <f t="shared" ca="1" si="983"/>
        <v>324</v>
      </c>
      <c r="J569" s="1055">
        <f t="shared" ca="1" si="983"/>
        <v>477</v>
      </c>
      <c r="K569" s="1055">
        <f t="shared" ca="1" si="983"/>
        <v>587</v>
      </c>
      <c r="L569" s="1055">
        <f t="shared" ca="1" si="983"/>
        <v>679</v>
      </c>
      <c r="M569" s="1055">
        <f t="shared" ca="1" si="983"/>
        <v>770</v>
      </c>
      <c r="N569" s="1055" t="str">
        <f t="shared" ca="1" si="983"/>
        <v/>
      </c>
      <c r="O569" s="1055" t="str">
        <f t="shared" ca="1" si="983"/>
        <v/>
      </c>
      <c r="P569" s="1055" t="str">
        <f t="shared" ca="1" si="983"/>
        <v/>
      </c>
      <c r="Q569" s="1055" t="str">
        <f t="shared" ca="1" si="983"/>
        <v/>
      </c>
      <c r="R569" s="1055" t="str">
        <f t="shared" ca="1" si="983"/>
        <v/>
      </c>
      <c r="S569" s="1055" t="str">
        <f t="shared" ca="1" si="983"/>
        <v/>
      </c>
      <c r="T569" s="1055" t="str">
        <f t="shared" ca="1" si="983"/>
        <v/>
      </c>
      <c r="U569" s="1055" t="str">
        <f t="shared" ca="1" si="983"/>
        <v/>
      </c>
      <c r="V569" s="1055" t="str">
        <f t="shared" ca="1" si="983"/>
        <v/>
      </c>
      <c r="W569" s="1055" t="str">
        <f t="shared" ca="1" si="983"/>
        <v/>
      </c>
      <c r="X569" s="1055" t="str">
        <f t="shared" si="983"/>
        <v/>
      </c>
      <c r="Y569" s="1055" t="str">
        <f t="shared" si="983"/>
        <v/>
      </c>
    </row>
    <row r="570" spans="1:25">
      <c r="A570" s="598">
        <v>73</v>
      </c>
      <c r="D570" s="1055" t="str">
        <f t="shared" ref="D570:Y570" ca="1" si="984">IF(ISNUMBER(D569),IF(D569+1&lt;IF(ISNA(E$498),$Z$616,E$498),D569+1,""),"")</f>
        <v/>
      </c>
      <c r="E570" s="1055" t="str">
        <f t="shared" ca="1" si="984"/>
        <v/>
      </c>
      <c r="F570" s="1055">
        <f t="shared" ca="1" si="984"/>
        <v>126</v>
      </c>
      <c r="G570" s="1055" t="str">
        <f t="shared" ca="1" si="984"/>
        <v/>
      </c>
      <c r="H570" s="1055" t="str">
        <f t="shared" ca="1" si="984"/>
        <v/>
      </c>
      <c r="I570" s="1055">
        <f t="shared" ca="1" si="984"/>
        <v>325</v>
      </c>
      <c r="J570" s="1055">
        <f t="shared" ca="1" si="984"/>
        <v>478</v>
      </c>
      <c r="K570" s="1055">
        <f t="shared" ca="1" si="984"/>
        <v>588</v>
      </c>
      <c r="L570" s="1055">
        <f t="shared" ca="1" si="984"/>
        <v>680</v>
      </c>
      <c r="M570" s="1055">
        <f t="shared" ca="1" si="984"/>
        <v>771</v>
      </c>
      <c r="N570" s="1055" t="str">
        <f t="shared" ca="1" si="984"/>
        <v/>
      </c>
      <c r="O570" s="1055" t="str">
        <f t="shared" ca="1" si="984"/>
        <v/>
      </c>
      <c r="P570" s="1055" t="str">
        <f t="shared" ca="1" si="984"/>
        <v/>
      </c>
      <c r="Q570" s="1055" t="str">
        <f t="shared" ca="1" si="984"/>
        <v/>
      </c>
      <c r="R570" s="1055" t="str">
        <f t="shared" ca="1" si="984"/>
        <v/>
      </c>
      <c r="S570" s="1055" t="str">
        <f t="shared" ca="1" si="984"/>
        <v/>
      </c>
      <c r="T570" s="1055" t="str">
        <f t="shared" ca="1" si="984"/>
        <v/>
      </c>
      <c r="U570" s="1055" t="str">
        <f t="shared" ca="1" si="984"/>
        <v/>
      </c>
      <c r="V570" s="1055" t="str">
        <f t="shared" ca="1" si="984"/>
        <v/>
      </c>
      <c r="W570" s="1055" t="str">
        <f t="shared" ca="1" si="984"/>
        <v/>
      </c>
      <c r="X570" s="1055" t="str">
        <f t="shared" si="984"/>
        <v/>
      </c>
      <c r="Y570" s="1055" t="str">
        <f t="shared" si="984"/>
        <v/>
      </c>
    </row>
    <row r="571" spans="1:25">
      <c r="A571" s="598">
        <v>74</v>
      </c>
      <c r="D571" s="1055" t="str">
        <f t="shared" ref="D571:Y571" ca="1" si="985">IF(ISNUMBER(D570),IF(D570+1&lt;IF(ISNA(E$498),$Z$616,E$498),D570+1,""),"")</f>
        <v/>
      </c>
      <c r="E571" s="1055" t="str">
        <f t="shared" ca="1" si="985"/>
        <v/>
      </c>
      <c r="F571" s="1055">
        <f t="shared" ca="1" si="985"/>
        <v>127</v>
      </c>
      <c r="G571" s="1055" t="str">
        <f t="shared" ca="1" si="985"/>
        <v/>
      </c>
      <c r="H571" s="1055" t="str">
        <f t="shared" ca="1" si="985"/>
        <v/>
      </c>
      <c r="I571" s="1055">
        <f t="shared" ca="1" si="985"/>
        <v>326</v>
      </c>
      <c r="J571" s="1055">
        <f t="shared" ca="1" si="985"/>
        <v>479</v>
      </c>
      <c r="K571" s="1055">
        <f t="shared" ca="1" si="985"/>
        <v>589</v>
      </c>
      <c r="L571" s="1055">
        <f t="shared" ca="1" si="985"/>
        <v>681</v>
      </c>
      <c r="M571" s="1055">
        <f t="shared" ca="1" si="985"/>
        <v>772</v>
      </c>
      <c r="N571" s="1055" t="str">
        <f t="shared" ca="1" si="985"/>
        <v/>
      </c>
      <c r="O571" s="1055" t="str">
        <f t="shared" ca="1" si="985"/>
        <v/>
      </c>
      <c r="P571" s="1055" t="str">
        <f t="shared" ca="1" si="985"/>
        <v/>
      </c>
      <c r="Q571" s="1055" t="str">
        <f t="shared" ca="1" si="985"/>
        <v/>
      </c>
      <c r="R571" s="1055" t="str">
        <f t="shared" ca="1" si="985"/>
        <v/>
      </c>
      <c r="S571" s="1055" t="str">
        <f t="shared" ca="1" si="985"/>
        <v/>
      </c>
      <c r="T571" s="1055" t="str">
        <f t="shared" ca="1" si="985"/>
        <v/>
      </c>
      <c r="U571" s="1055" t="str">
        <f t="shared" ca="1" si="985"/>
        <v/>
      </c>
      <c r="V571" s="1055" t="str">
        <f t="shared" ca="1" si="985"/>
        <v/>
      </c>
      <c r="W571" s="1055" t="str">
        <f t="shared" ca="1" si="985"/>
        <v/>
      </c>
      <c r="X571" s="1055" t="str">
        <f t="shared" si="985"/>
        <v/>
      </c>
      <c r="Y571" s="1055" t="str">
        <f t="shared" si="985"/>
        <v/>
      </c>
    </row>
    <row r="572" spans="1:25">
      <c r="A572" s="598">
        <v>75</v>
      </c>
      <c r="D572" s="1055" t="str">
        <f t="shared" ref="D572:Y572" ca="1" si="986">IF(ISNUMBER(D571),IF(D571+1&lt;IF(ISNA(E$498),$Z$616,E$498),D571+1,""),"")</f>
        <v/>
      </c>
      <c r="E572" s="1055" t="str">
        <f t="shared" ca="1" si="986"/>
        <v/>
      </c>
      <c r="F572" s="1055">
        <f t="shared" ca="1" si="986"/>
        <v>128</v>
      </c>
      <c r="G572" s="1055" t="str">
        <f t="shared" ca="1" si="986"/>
        <v/>
      </c>
      <c r="H572" s="1055" t="str">
        <f t="shared" ca="1" si="986"/>
        <v/>
      </c>
      <c r="I572" s="1055">
        <f t="shared" ca="1" si="986"/>
        <v>327</v>
      </c>
      <c r="J572" s="1055">
        <f t="shared" ca="1" si="986"/>
        <v>480</v>
      </c>
      <c r="K572" s="1055">
        <f t="shared" ca="1" si="986"/>
        <v>590</v>
      </c>
      <c r="L572" s="1055">
        <f t="shared" ca="1" si="986"/>
        <v>682</v>
      </c>
      <c r="M572" s="1055">
        <f t="shared" ca="1" si="986"/>
        <v>773</v>
      </c>
      <c r="N572" s="1055" t="str">
        <f t="shared" ca="1" si="986"/>
        <v/>
      </c>
      <c r="O572" s="1055" t="str">
        <f t="shared" ca="1" si="986"/>
        <v/>
      </c>
      <c r="P572" s="1055" t="str">
        <f t="shared" ca="1" si="986"/>
        <v/>
      </c>
      <c r="Q572" s="1055" t="str">
        <f t="shared" ca="1" si="986"/>
        <v/>
      </c>
      <c r="R572" s="1055" t="str">
        <f t="shared" ca="1" si="986"/>
        <v/>
      </c>
      <c r="S572" s="1055" t="str">
        <f t="shared" ca="1" si="986"/>
        <v/>
      </c>
      <c r="T572" s="1055" t="str">
        <f t="shared" ca="1" si="986"/>
        <v/>
      </c>
      <c r="U572" s="1055" t="str">
        <f t="shared" ca="1" si="986"/>
        <v/>
      </c>
      <c r="V572" s="1055" t="str">
        <f t="shared" ca="1" si="986"/>
        <v/>
      </c>
      <c r="W572" s="1055" t="str">
        <f t="shared" ca="1" si="986"/>
        <v/>
      </c>
      <c r="X572" s="1055" t="str">
        <f t="shared" si="986"/>
        <v/>
      </c>
      <c r="Y572" s="1055" t="str">
        <f t="shared" si="986"/>
        <v/>
      </c>
    </row>
    <row r="573" spans="1:25">
      <c r="A573" s="598">
        <v>76</v>
      </c>
      <c r="D573" s="1055" t="str">
        <f t="shared" ref="D573:Y573" ca="1" si="987">IF(ISNUMBER(D572),IF(D572+1&lt;IF(ISNA(E$498),$Z$616,E$498),D572+1,""),"")</f>
        <v/>
      </c>
      <c r="E573" s="1055" t="str">
        <f t="shared" ca="1" si="987"/>
        <v/>
      </c>
      <c r="F573" s="1055">
        <f t="shared" ca="1" si="987"/>
        <v>129</v>
      </c>
      <c r="G573" s="1055" t="str">
        <f t="shared" ca="1" si="987"/>
        <v/>
      </c>
      <c r="H573" s="1055" t="str">
        <f t="shared" ca="1" si="987"/>
        <v/>
      </c>
      <c r="I573" s="1055">
        <f t="shared" ca="1" si="987"/>
        <v>328</v>
      </c>
      <c r="J573" s="1055">
        <f t="shared" ca="1" si="987"/>
        <v>481</v>
      </c>
      <c r="K573" s="1055">
        <f t="shared" ca="1" si="987"/>
        <v>591</v>
      </c>
      <c r="L573" s="1055">
        <f t="shared" ca="1" si="987"/>
        <v>683</v>
      </c>
      <c r="M573" s="1055">
        <f t="shared" ca="1" si="987"/>
        <v>774</v>
      </c>
      <c r="N573" s="1055" t="str">
        <f t="shared" ca="1" si="987"/>
        <v/>
      </c>
      <c r="O573" s="1055" t="str">
        <f t="shared" ca="1" si="987"/>
        <v/>
      </c>
      <c r="P573" s="1055" t="str">
        <f t="shared" ca="1" si="987"/>
        <v/>
      </c>
      <c r="Q573" s="1055" t="str">
        <f t="shared" ca="1" si="987"/>
        <v/>
      </c>
      <c r="R573" s="1055" t="str">
        <f t="shared" ca="1" si="987"/>
        <v/>
      </c>
      <c r="S573" s="1055" t="str">
        <f t="shared" ca="1" si="987"/>
        <v/>
      </c>
      <c r="T573" s="1055" t="str">
        <f t="shared" ca="1" si="987"/>
        <v/>
      </c>
      <c r="U573" s="1055" t="str">
        <f t="shared" ca="1" si="987"/>
        <v/>
      </c>
      <c r="V573" s="1055" t="str">
        <f t="shared" ca="1" si="987"/>
        <v/>
      </c>
      <c r="W573" s="1055" t="str">
        <f t="shared" ca="1" si="987"/>
        <v/>
      </c>
      <c r="X573" s="1055" t="str">
        <f t="shared" si="987"/>
        <v/>
      </c>
      <c r="Y573" s="1055" t="str">
        <f t="shared" si="987"/>
        <v/>
      </c>
    </row>
    <row r="574" spans="1:25">
      <c r="A574" s="598">
        <v>77</v>
      </c>
      <c r="D574" s="1055" t="str">
        <f t="shared" ref="D574:Y574" ca="1" si="988">IF(ISNUMBER(D573),IF(D573+1&lt;IF(ISNA(E$498),$Z$616,E$498),D573+1,""),"")</f>
        <v/>
      </c>
      <c r="E574" s="1055" t="str">
        <f t="shared" ca="1" si="988"/>
        <v/>
      </c>
      <c r="F574" s="1055">
        <f t="shared" ca="1" si="988"/>
        <v>130</v>
      </c>
      <c r="G574" s="1055" t="str">
        <f t="shared" ca="1" si="988"/>
        <v/>
      </c>
      <c r="H574" s="1055" t="str">
        <f t="shared" ca="1" si="988"/>
        <v/>
      </c>
      <c r="I574" s="1055">
        <f t="shared" ca="1" si="988"/>
        <v>329</v>
      </c>
      <c r="J574" s="1055">
        <f t="shared" ca="1" si="988"/>
        <v>482</v>
      </c>
      <c r="K574" s="1055">
        <f t="shared" ca="1" si="988"/>
        <v>592</v>
      </c>
      <c r="L574" s="1055">
        <f t="shared" ca="1" si="988"/>
        <v>684</v>
      </c>
      <c r="M574" s="1055">
        <f t="shared" ca="1" si="988"/>
        <v>775</v>
      </c>
      <c r="N574" s="1055" t="str">
        <f t="shared" ca="1" si="988"/>
        <v/>
      </c>
      <c r="O574" s="1055" t="str">
        <f t="shared" ca="1" si="988"/>
        <v/>
      </c>
      <c r="P574" s="1055" t="str">
        <f t="shared" ca="1" si="988"/>
        <v/>
      </c>
      <c r="Q574" s="1055" t="str">
        <f t="shared" ca="1" si="988"/>
        <v/>
      </c>
      <c r="R574" s="1055" t="str">
        <f t="shared" ca="1" si="988"/>
        <v/>
      </c>
      <c r="S574" s="1055" t="str">
        <f t="shared" ca="1" si="988"/>
        <v/>
      </c>
      <c r="T574" s="1055" t="str">
        <f t="shared" ca="1" si="988"/>
        <v/>
      </c>
      <c r="U574" s="1055" t="str">
        <f t="shared" ca="1" si="988"/>
        <v/>
      </c>
      <c r="V574" s="1055" t="str">
        <f t="shared" ca="1" si="988"/>
        <v/>
      </c>
      <c r="W574" s="1055" t="str">
        <f t="shared" ca="1" si="988"/>
        <v/>
      </c>
      <c r="X574" s="1055" t="str">
        <f t="shared" si="988"/>
        <v/>
      </c>
      <c r="Y574" s="1055" t="str">
        <f t="shared" si="988"/>
        <v/>
      </c>
    </row>
    <row r="575" spans="1:25">
      <c r="A575" s="598">
        <v>78</v>
      </c>
      <c r="D575" s="1055" t="str">
        <f t="shared" ref="D575:Y575" ca="1" si="989">IF(ISNUMBER(D574),IF(D574+1&lt;IF(ISNA(E$498),$Z$616,E$498),D574+1,""),"")</f>
        <v/>
      </c>
      <c r="E575" s="1055" t="str">
        <f t="shared" ca="1" si="989"/>
        <v/>
      </c>
      <c r="F575" s="1055">
        <f t="shared" ca="1" si="989"/>
        <v>131</v>
      </c>
      <c r="G575" s="1055" t="str">
        <f t="shared" ca="1" si="989"/>
        <v/>
      </c>
      <c r="H575" s="1055" t="str">
        <f t="shared" ca="1" si="989"/>
        <v/>
      </c>
      <c r="I575" s="1055">
        <f t="shared" ca="1" si="989"/>
        <v>330</v>
      </c>
      <c r="J575" s="1055">
        <f t="shared" ca="1" si="989"/>
        <v>483</v>
      </c>
      <c r="K575" s="1055">
        <f t="shared" ca="1" si="989"/>
        <v>593</v>
      </c>
      <c r="L575" s="1055">
        <f t="shared" ca="1" si="989"/>
        <v>685</v>
      </c>
      <c r="M575" s="1055">
        <f t="shared" ca="1" si="989"/>
        <v>776</v>
      </c>
      <c r="N575" s="1055" t="str">
        <f t="shared" ca="1" si="989"/>
        <v/>
      </c>
      <c r="O575" s="1055" t="str">
        <f t="shared" ca="1" si="989"/>
        <v/>
      </c>
      <c r="P575" s="1055" t="str">
        <f t="shared" ca="1" si="989"/>
        <v/>
      </c>
      <c r="Q575" s="1055" t="str">
        <f t="shared" ca="1" si="989"/>
        <v/>
      </c>
      <c r="R575" s="1055" t="str">
        <f t="shared" ca="1" si="989"/>
        <v/>
      </c>
      <c r="S575" s="1055" t="str">
        <f t="shared" ca="1" si="989"/>
        <v/>
      </c>
      <c r="T575" s="1055" t="str">
        <f t="shared" ca="1" si="989"/>
        <v/>
      </c>
      <c r="U575" s="1055" t="str">
        <f t="shared" ca="1" si="989"/>
        <v/>
      </c>
      <c r="V575" s="1055" t="str">
        <f t="shared" ca="1" si="989"/>
        <v/>
      </c>
      <c r="W575" s="1055" t="str">
        <f t="shared" ca="1" si="989"/>
        <v/>
      </c>
      <c r="X575" s="1055" t="str">
        <f t="shared" si="989"/>
        <v/>
      </c>
      <c r="Y575" s="1055" t="str">
        <f t="shared" si="989"/>
        <v/>
      </c>
    </row>
    <row r="576" spans="1:25">
      <c r="A576" s="598">
        <v>79</v>
      </c>
      <c r="D576" s="1055" t="str">
        <f t="shared" ref="D576:Y576" ca="1" si="990">IF(ISNUMBER(D575),IF(D575+1&lt;IF(ISNA(E$498),$Z$616,E$498),D575+1,""),"")</f>
        <v/>
      </c>
      <c r="E576" s="1055" t="str">
        <f t="shared" ca="1" si="990"/>
        <v/>
      </c>
      <c r="F576" s="1055">
        <f t="shared" ca="1" si="990"/>
        <v>132</v>
      </c>
      <c r="G576" s="1055" t="str">
        <f t="shared" ca="1" si="990"/>
        <v/>
      </c>
      <c r="H576" s="1055" t="str">
        <f t="shared" ca="1" si="990"/>
        <v/>
      </c>
      <c r="I576" s="1055">
        <f t="shared" ca="1" si="990"/>
        <v>331</v>
      </c>
      <c r="J576" s="1055">
        <f t="shared" ca="1" si="990"/>
        <v>484</v>
      </c>
      <c r="K576" s="1055">
        <f t="shared" ca="1" si="990"/>
        <v>594</v>
      </c>
      <c r="L576" s="1055">
        <f t="shared" ca="1" si="990"/>
        <v>686</v>
      </c>
      <c r="M576" s="1055">
        <f t="shared" ca="1" si="990"/>
        <v>777</v>
      </c>
      <c r="N576" s="1055" t="str">
        <f t="shared" ca="1" si="990"/>
        <v/>
      </c>
      <c r="O576" s="1055" t="str">
        <f t="shared" ca="1" si="990"/>
        <v/>
      </c>
      <c r="P576" s="1055" t="str">
        <f t="shared" ca="1" si="990"/>
        <v/>
      </c>
      <c r="Q576" s="1055" t="str">
        <f t="shared" ca="1" si="990"/>
        <v/>
      </c>
      <c r="R576" s="1055" t="str">
        <f t="shared" ca="1" si="990"/>
        <v/>
      </c>
      <c r="S576" s="1055" t="str">
        <f t="shared" ca="1" si="990"/>
        <v/>
      </c>
      <c r="T576" s="1055" t="str">
        <f t="shared" ca="1" si="990"/>
        <v/>
      </c>
      <c r="U576" s="1055" t="str">
        <f t="shared" ca="1" si="990"/>
        <v/>
      </c>
      <c r="V576" s="1055" t="str">
        <f t="shared" ca="1" si="990"/>
        <v/>
      </c>
      <c r="W576" s="1055" t="str">
        <f t="shared" ca="1" si="990"/>
        <v/>
      </c>
      <c r="X576" s="1055" t="str">
        <f t="shared" si="990"/>
        <v/>
      </c>
      <c r="Y576" s="1055" t="str">
        <f t="shared" si="990"/>
        <v/>
      </c>
    </row>
    <row r="577" spans="1:25">
      <c r="A577" s="598">
        <v>80</v>
      </c>
      <c r="D577" s="1055" t="str">
        <f t="shared" ref="D577:Y577" ca="1" si="991">IF(ISNUMBER(D576),IF(D576+1&lt;IF(ISNA(E$498),$Z$616,E$498),D576+1,""),"")</f>
        <v/>
      </c>
      <c r="E577" s="1055" t="str">
        <f t="shared" ca="1" si="991"/>
        <v/>
      </c>
      <c r="F577" s="1055">
        <f t="shared" ca="1" si="991"/>
        <v>133</v>
      </c>
      <c r="G577" s="1055" t="str">
        <f t="shared" ca="1" si="991"/>
        <v/>
      </c>
      <c r="H577" s="1055" t="str">
        <f t="shared" ca="1" si="991"/>
        <v/>
      </c>
      <c r="I577" s="1055">
        <f t="shared" ca="1" si="991"/>
        <v>332</v>
      </c>
      <c r="J577" s="1055">
        <f t="shared" ca="1" si="991"/>
        <v>485</v>
      </c>
      <c r="K577" s="1055">
        <f t="shared" ca="1" si="991"/>
        <v>595</v>
      </c>
      <c r="L577" s="1055">
        <f t="shared" ca="1" si="991"/>
        <v>687</v>
      </c>
      <c r="M577" s="1055">
        <f t="shared" ca="1" si="991"/>
        <v>778</v>
      </c>
      <c r="N577" s="1055" t="str">
        <f t="shared" ca="1" si="991"/>
        <v/>
      </c>
      <c r="O577" s="1055" t="str">
        <f t="shared" ca="1" si="991"/>
        <v/>
      </c>
      <c r="P577" s="1055" t="str">
        <f t="shared" ca="1" si="991"/>
        <v/>
      </c>
      <c r="Q577" s="1055" t="str">
        <f t="shared" ca="1" si="991"/>
        <v/>
      </c>
      <c r="R577" s="1055" t="str">
        <f t="shared" ca="1" si="991"/>
        <v/>
      </c>
      <c r="S577" s="1055" t="str">
        <f t="shared" ca="1" si="991"/>
        <v/>
      </c>
      <c r="T577" s="1055" t="str">
        <f t="shared" ca="1" si="991"/>
        <v/>
      </c>
      <c r="U577" s="1055" t="str">
        <f t="shared" ca="1" si="991"/>
        <v/>
      </c>
      <c r="V577" s="1055" t="str">
        <f t="shared" ca="1" si="991"/>
        <v/>
      </c>
      <c r="W577" s="1055" t="str">
        <f t="shared" ca="1" si="991"/>
        <v/>
      </c>
      <c r="X577" s="1055" t="str">
        <f t="shared" si="991"/>
        <v/>
      </c>
      <c r="Y577" s="1055" t="str">
        <f t="shared" si="991"/>
        <v/>
      </c>
    </row>
    <row r="578" spans="1:25">
      <c r="A578" s="598">
        <v>81</v>
      </c>
      <c r="D578" s="1055" t="str">
        <f t="shared" ref="D578:Y578" ca="1" si="992">IF(ISNUMBER(D577),IF(D577+1&lt;IF(ISNA(E$498),$Z$616,E$498),D577+1,""),"")</f>
        <v/>
      </c>
      <c r="E578" s="1055" t="str">
        <f t="shared" ca="1" si="992"/>
        <v/>
      </c>
      <c r="F578" s="1055">
        <f t="shared" ca="1" si="992"/>
        <v>134</v>
      </c>
      <c r="G578" s="1055" t="str">
        <f t="shared" ca="1" si="992"/>
        <v/>
      </c>
      <c r="H578" s="1055" t="str">
        <f t="shared" ca="1" si="992"/>
        <v/>
      </c>
      <c r="I578" s="1055">
        <f t="shared" ca="1" si="992"/>
        <v>333</v>
      </c>
      <c r="J578" s="1055">
        <f t="shared" ca="1" si="992"/>
        <v>486</v>
      </c>
      <c r="K578" s="1055">
        <f t="shared" ca="1" si="992"/>
        <v>596</v>
      </c>
      <c r="L578" s="1055">
        <f t="shared" ca="1" si="992"/>
        <v>688</v>
      </c>
      <c r="M578" s="1055">
        <f t="shared" ca="1" si="992"/>
        <v>779</v>
      </c>
      <c r="N578" s="1055" t="str">
        <f t="shared" ca="1" si="992"/>
        <v/>
      </c>
      <c r="O578" s="1055" t="str">
        <f t="shared" ca="1" si="992"/>
        <v/>
      </c>
      <c r="P578" s="1055" t="str">
        <f t="shared" ca="1" si="992"/>
        <v/>
      </c>
      <c r="Q578" s="1055" t="str">
        <f t="shared" ca="1" si="992"/>
        <v/>
      </c>
      <c r="R578" s="1055" t="str">
        <f t="shared" ca="1" si="992"/>
        <v/>
      </c>
      <c r="S578" s="1055" t="str">
        <f t="shared" ca="1" si="992"/>
        <v/>
      </c>
      <c r="T578" s="1055" t="str">
        <f t="shared" ca="1" si="992"/>
        <v/>
      </c>
      <c r="U578" s="1055" t="str">
        <f t="shared" ca="1" si="992"/>
        <v/>
      </c>
      <c r="V578" s="1055" t="str">
        <f t="shared" ca="1" si="992"/>
        <v/>
      </c>
      <c r="W578" s="1055" t="str">
        <f t="shared" ca="1" si="992"/>
        <v/>
      </c>
      <c r="X578" s="1055" t="str">
        <f t="shared" si="992"/>
        <v/>
      </c>
      <c r="Y578" s="1055" t="str">
        <f t="shared" si="992"/>
        <v/>
      </c>
    </row>
    <row r="579" spans="1:25">
      <c r="A579" s="598">
        <v>82</v>
      </c>
      <c r="D579" s="1055" t="str">
        <f t="shared" ref="D579:Y579" ca="1" si="993">IF(ISNUMBER(D578),IF(D578+1&lt;IF(ISNA(E$498),$Z$616,E$498),D578+1,""),"")</f>
        <v/>
      </c>
      <c r="E579" s="1055" t="str">
        <f t="shared" ca="1" si="993"/>
        <v/>
      </c>
      <c r="F579" s="1055" t="str">
        <f t="shared" ca="1" si="993"/>
        <v/>
      </c>
      <c r="G579" s="1055" t="str">
        <f t="shared" ca="1" si="993"/>
        <v/>
      </c>
      <c r="H579" s="1055" t="str">
        <f t="shared" ca="1" si="993"/>
        <v/>
      </c>
      <c r="I579" s="1055">
        <f t="shared" ca="1" si="993"/>
        <v>334</v>
      </c>
      <c r="J579" s="1055">
        <f t="shared" ca="1" si="993"/>
        <v>487</v>
      </c>
      <c r="K579" s="1055">
        <f t="shared" ca="1" si="993"/>
        <v>597</v>
      </c>
      <c r="L579" s="1055">
        <f t="shared" ca="1" si="993"/>
        <v>689</v>
      </c>
      <c r="M579" s="1055">
        <f t="shared" ca="1" si="993"/>
        <v>780</v>
      </c>
      <c r="N579" s="1055" t="str">
        <f t="shared" ca="1" si="993"/>
        <v/>
      </c>
      <c r="O579" s="1055" t="str">
        <f t="shared" ca="1" si="993"/>
        <v/>
      </c>
      <c r="P579" s="1055" t="str">
        <f t="shared" ca="1" si="993"/>
        <v/>
      </c>
      <c r="Q579" s="1055" t="str">
        <f t="shared" ca="1" si="993"/>
        <v/>
      </c>
      <c r="R579" s="1055" t="str">
        <f t="shared" ca="1" si="993"/>
        <v/>
      </c>
      <c r="S579" s="1055" t="str">
        <f t="shared" ca="1" si="993"/>
        <v/>
      </c>
      <c r="T579" s="1055" t="str">
        <f t="shared" ca="1" si="993"/>
        <v/>
      </c>
      <c r="U579" s="1055" t="str">
        <f t="shared" ca="1" si="993"/>
        <v/>
      </c>
      <c r="V579" s="1055" t="str">
        <f t="shared" ca="1" si="993"/>
        <v/>
      </c>
      <c r="W579" s="1055" t="str">
        <f t="shared" ca="1" si="993"/>
        <v/>
      </c>
      <c r="X579" s="1055" t="str">
        <f t="shared" si="993"/>
        <v/>
      </c>
      <c r="Y579" s="1055" t="str">
        <f t="shared" si="993"/>
        <v/>
      </c>
    </row>
    <row r="580" spans="1:25">
      <c r="A580" s="598">
        <v>83</v>
      </c>
      <c r="D580" s="1055" t="str">
        <f t="shared" ref="D580:Y580" ca="1" si="994">IF(ISNUMBER(D579),IF(D579+1&lt;IF(ISNA(E$498),$Z$616,E$498),D579+1,""),"")</f>
        <v/>
      </c>
      <c r="E580" s="1055" t="str">
        <f t="shared" ca="1" si="994"/>
        <v/>
      </c>
      <c r="F580" s="1055" t="str">
        <f t="shared" ca="1" si="994"/>
        <v/>
      </c>
      <c r="G580" s="1055" t="str">
        <f t="shared" ca="1" si="994"/>
        <v/>
      </c>
      <c r="H580" s="1055" t="str">
        <f t="shared" ca="1" si="994"/>
        <v/>
      </c>
      <c r="I580" s="1055">
        <f t="shared" ca="1" si="994"/>
        <v>335</v>
      </c>
      <c r="J580" s="1055">
        <f t="shared" ca="1" si="994"/>
        <v>488</v>
      </c>
      <c r="K580" s="1055">
        <f t="shared" ca="1" si="994"/>
        <v>598</v>
      </c>
      <c r="L580" s="1055">
        <f t="shared" ca="1" si="994"/>
        <v>690</v>
      </c>
      <c r="M580" s="1055">
        <f t="shared" ca="1" si="994"/>
        <v>781</v>
      </c>
      <c r="N580" s="1055" t="str">
        <f t="shared" ca="1" si="994"/>
        <v/>
      </c>
      <c r="O580" s="1055" t="str">
        <f t="shared" ca="1" si="994"/>
        <v/>
      </c>
      <c r="P580" s="1055" t="str">
        <f t="shared" ca="1" si="994"/>
        <v/>
      </c>
      <c r="Q580" s="1055" t="str">
        <f t="shared" ca="1" si="994"/>
        <v/>
      </c>
      <c r="R580" s="1055" t="str">
        <f t="shared" ca="1" si="994"/>
        <v/>
      </c>
      <c r="S580" s="1055" t="str">
        <f t="shared" ca="1" si="994"/>
        <v/>
      </c>
      <c r="T580" s="1055" t="str">
        <f t="shared" ca="1" si="994"/>
        <v/>
      </c>
      <c r="U580" s="1055" t="str">
        <f t="shared" ca="1" si="994"/>
        <v/>
      </c>
      <c r="V580" s="1055" t="str">
        <f t="shared" ca="1" si="994"/>
        <v/>
      </c>
      <c r="W580" s="1055" t="str">
        <f t="shared" ca="1" si="994"/>
        <v/>
      </c>
      <c r="X580" s="1055" t="str">
        <f t="shared" si="994"/>
        <v/>
      </c>
      <c r="Y580" s="1055" t="str">
        <f t="shared" si="994"/>
        <v/>
      </c>
    </row>
    <row r="581" spans="1:25">
      <c r="A581" s="598">
        <v>84</v>
      </c>
      <c r="D581" s="1055" t="str">
        <f t="shared" ref="D581:Y581" ca="1" si="995">IF(ISNUMBER(D580),IF(D580+1&lt;IF(ISNA(E$498),$Z$616,E$498),D580+1,""),"")</f>
        <v/>
      </c>
      <c r="E581" s="1055" t="str">
        <f t="shared" ca="1" si="995"/>
        <v/>
      </c>
      <c r="F581" s="1055" t="str">
        <f t="shared" ca="1" si="995"/>
        <v/>
      </c>
      <c r="G581" s="1055" t="str">
        <f t="shared" ca="1" si="995"/>
        <v/>
      </c>
      <c r="H581" s="1055" t="str">
        <f t="shared" ca="1" si="995"/>
        <v/>
      </c>
      <c r="I581" s="1055">
        <f t="shared" ca="1" si="995"/>
        <v>336</v>
      </c>
      <c r="J581" s="1055">
        <f t="shared" ca="1" si="995"/>
        <v>489</v>
      </c>
      <c r="K581" s="1055">
        <f t="shared" ca="1" si="995"/>
        <v>599</v>
      </c>
      <c r="L581" s="1055">
        <f t="shared" ca="1" si="995"/>
        <v>691</v>
      </c>
      <c r="M581" s="1055">
        <f t="shared" ca="1" si="995"/>
        <v>782</v>
      </c>
      <c r="N581" s="1055" t="str">
        <f t="shared" ca="1" si="995"/>
        <v/>
      </c>
      <c r="O581" s="1055" t="str">
        <f t="shared" ca="1" si="995"/>
        <v/>
      </c>
      <c r="P581" s="1055" t="str">
        <f t="shared" ca="1" si="995"/>
        <v/>
      </c>
      <c r="Q581" s="1055" t="str">
        <f t="shared" ca="1" si="995"/>
        <v/>
      </c>
      <c r="R581" s="1055" t="str">
        <f t="shared" ca="1" si="995"/>
        <v/>
      </c>
      <c r="S581" s="1055" t="str">
        <f t="shared" ca="1" si="995"/>
        <v/>
      </c>
      <c r="T581" s="1055" t="str">
        <f t="shared" ca="1" si="995"/>
        <v/>
      </c>
      <c r="U581" s="1055" t="str">
        <f t="shared" ca="1" si="995"/>
        <v/>
      </c>
      <c r="V581" s="1055" t="str">
        <f t="shared" ca="1" si="995"/>
        <v/>
      </c>
      <c r="W581" s="1055" t="str">
        <f t="shared" ca="1" si="995"/>
        <v/>
      </c>
      <c r="X581" s="1055" t="str">
        <f t="shared" si="995"/>
        <v/>
      </c>
      <c r="Y581" s="1055" t="str">
        <f t="shared" si="995"/>
        <v/>
      </c>
    </row>
    <row r="582" spans="1:25">
      <c r="A582" s="598">
        <v>85</v>
      </c>
      <c r="D582" s="1055" t="str">
        <f t="shared" ref="D582:Y582" ca="1" si="996">IF(ISNUMBER(D581),IF(D581+1&lt;IF(ISNA(E$498),$Z$616,E$498),D581+1,""),"")</f>
        <v/>
      </c>
      <c r="E582" s="1055" t="str">
        <f t="shared" ca="1" si="996"/>
        <v/>
      </c>
      <c r="F582" s="1055" t="str">
        <f t="shared" ca="1" si="996"/>
        <v/>
      </c>
      <c r="G582" s="1055" t="str">
        <f t="shared" ca="1" si="996"/>
        <v/>
      </c>
      <c r="H582" s="1055" t="str">
        <f t="shared" ca="1" si="996"/>
        <v/>
      </c>
      <c r="I582" s="1055">
        <f t="shared" ca="1" si="996"/>
        <v>337</v>
      </c>
      <c r="J582" s="1055">
        <f t="shared" ca="1" si="996"/>
        <v>490</v>
      </c>
      <c r="K582" s="1055">
        <f t="shared" ca="1" si="996"/>
        <v>600</v>
      </c>
      <c r="L582" s="1055">
        <f t="shared" ca="1" si="996"/>
        <v>692</v>
      </c>
      <c r="M582" s="1055">
        <f t="shared" ca="1" si="996"/>
        <v>783</v>
      </c>
      <c r="N582" s="1055" t="str">
        <f t="shared" ca="1" si="996"/>
        <v/>
      </c>
      <c r="O582" s="1055" t="str">
        <f t="shared" ca="1" si="996"/>
        <v/>
      </c>
      <c r="P582" s="1055" t="str">
        <f t="shared" ca="1" si="996"/>
        <v/>
      </c>
      <c r="Q582" s="1055" t="str">
        <f t="shared" ca="1" si="996"/>
        <v/>
      </c>
      <c r="R582" s="1055" t="str">
        <f t="shared" ca="1" si="996"/>
        <v/>
      </c>
      <c r="S582" s="1055" t="str">
        <f t="shared" ca="1" si="996"/>
        <v/>
      </c>
      <c r="T582" s="1055" t="str">
        <f t="shared" ca="1" si="996"/>
        <v/>
      </c>
      <c r="U582" s="1055" t="str">
        <f t="shared" ca="1" si="996"/>
        <v/>
      </c>
      <c r="V582" s="1055" t="str">
        <f t="shared" ca="1" si="996"/>
        <v/>
      </c>
      <c r="W582" s="1055" t="str">
        <f t="shared" ca="1" si="996"/>
        <v/>
      </c>
      <c r="X582" s="1055" t="str">
        <f t="shared" si="996"/>
        <v/>
      </c>
      <c r="Y582" s="1055" t="str">
        <f t="shared" si="996"/>
        <v/>
      </c>
    </row>
    <row r="583" spans="1:25">
      <c r="A583" s="598">
        <v>86</v>
      </c>
      <c r="D583" s="1055" t="str">
        <f t="shared" ref="D583:Y583" ca="1" si="997">IF(ISNUMBER(D582),IF(D582+1&lt;IF(ISNA(E$498),$Z$616,E$498),D582+1,""),"")</f>
        <v/>
      </c>
      <c r="E583" s="1055" t="str">
        <f t="shared" ca="1" si="997"/>
        <v/>
      </c>
      <c r="F583" s="1055" t="str">
        <f t="shared" ca="1" si="997"/>
        <v/>
      </c>
      <c r="G583" s="1055" t="str">
        <f t="shared" ca="1" si="997"/>
        <v/>
      </c>
      <c r="H583" s="1055" t="str">
        <f t="shared" ca="1" si="997"/>
        <v/>
      </c>
      <c r="I583" s="1055">
        <f t="shared" ca="1" si="997"/>
        <v>338</v>
      </c>
      <c r="J583" s="1055">
        <f t="shared" ca="1" si="997"/>
        <v>491</v>
      </c>
      <c r="K583" s="1055">
        <f t="shared" ca="1" si="997"/>
        <v>601</v>
      </c>
      <c r="L583" s="1055">
        <f t="shared" ca="1" si="997"/>
        <v>693</v>
      </c>
      <c r="M583" s="1055">
        <f t="shared" ca="1" si="997"/>
        <v>784</v>
      </c>
      <c r="N583" s="1055" t="str">
        <f t="shared" ca="1" si="997"/>
        <v/>
      </c>
      <c r="O583" s="1055" t="str">
        <f t="shared" ca="1" si="997"/>
        <v/>
      </c>
      <c r="P583" s="1055" t="str">
        <f t="shared" ca="1" si="997"/>
        <v/>
      </c>
      <c r="Q583" s="1055" t="str">
        <f t="shared" ca="1" si="997"/>
        <v/>
      </c>
      <c r="R583" s="1055" t="str">
        <f t="shared" ca="1" si="997"/>
        <v/>
      </c>
      <c r="S583" s="1055" t="str">
        <f t="shared" ca="1" si="997"/>
        <v/>
      </c>
      <c r="T583" s="1055" t="str">
        <f t="shared" ca="1" si="997"/>
        <v/>
      </c>
      <c r="U583" s="1055" t="str">
        <f t="shared" ca="1" si="997"/>
        <v/>
      </c>
      <c r="V583" s="1055" t="str">
        <f t="shared" ca="1" si="997"/>
        <v/>
      </c>
      <c r="W583" s="1055" t="str">
        <f t="shared" ca="1" si="997"/>
        <v/>
      </c>
      <c r="X583" s="1055" t="str">
        <f t="shared" si="997"/>
        <v/>
      </c>
      <c r="Y583" s="1055" t="str">
        <f t="shared" si="997"/>
        <v/>
      </c>
    </row>
    <row r="584" spans="1:25">
      <c r="A584" s="598">
        <v>87</v>
      </c>
      <c r="D584" s="1055" t="str">
        <f t="shared" ref="D584:Y584" ca="1" si="998">IF(ISNUMBER(D583),IF(D583+1&lt;IF(ISNA(E$498),$Z$616,E$498),D583+1,""),"")</f>
        <v/>
      </c>
      <c r="E584" s="1055" t="str">
        <f t="shared" ca="1" si="998"/>
        <v/>
      </c>
      <c r="F584" s="1055" t="str">
        <f t="shared" ca="1" si="998"/>
        <v/>
      </c>
      <c r="G584" s="1055" t="str">
        <f t="shared" ca="1" si="998"/>
        <v/>
      </c>
      <c r="H584" s="1055" t="str">
        <f t="shared" ca="1" si="998"/>
        <v/>
      </c>
      <c r="I584" s="1055">
        <f t="shared" ca="1" si="998"/>
        <v>339</v>
      </c>
      <c r="J584" s="1055">
        <f t="shared" ca="1" si="998"/>
        <v>492</v>
      </c>
      <c r="K584" s="1055">
        <f t="shared" ca="1" si="998"/>
        <v>602</v>
      </c>
      <c r="L584" s="1055">
        <f t="shared" ca="1" si="998"/>
        <v>694</v>
      </c>
      <c r="M584" s="1055">
        <f t="shared" ca="1" si="998"/>
        <v>785</v>
      </c>
      <c r="N584" s="1055" t="str">
        <f t="shared" ca="1" si="998"/>
        <v/>
      </c>
      <c r="O584" s="1055" t="str">
        <f t="shared" ca="1" si="998"/>
        <v/>
      </c>
      <c r="P584" s="1055" t="str">
        <f t="shared" ca="1" si="998"/>
        <v/>
      </c>
      <c r="Q584" s="1055" t="str">
        <f t="shared" ca="1" si="998"/>
        <v/>
      </c>
      <c r="R584" s="1055" t="str">
        <f t="shared" ca="1" si="998"/>
        <v/>
      </c>
      <c r="S584" s="1055" t="str">
        <f t="shared" ca="1" si="998"/>
        <v/>
      </c>
      <c r="T584" s="1055" t="str">
        <f t="shared" ca="1" si="998"/>
        <v/>
      </c>
      <c r="U584" s="1055" t="str">
        <f t="shared" ca="1" si="998"/>
        <v/>
      </c>
      <c r="V584" s="1055" t="str">
        <f t="shared" ca="1" si="998"/>
        <v/>
      </c>
      <c r="W584" s="1055" t="str">
        <f t="shared" ca="1" si="998"/>
        <v/>
      </c>
      <c r="X584" s="1055" t="str">
        <f t="shared" si="998"/>
        <v/>
      </c>
      <c r="Y584" s="1055" t="str">
        <f t="shared" si="998"/>
        <v/>
      </c>
    </row>
    <row r="585" spans="1:25">
      <c r="A585" s="598">
        <v>88</v>
      </c>
      <c r="D585" s="1055" t="str">
        <f t="shared" ref="D585:Y585" ca="1" si="999">IF(ISNUMBER(D584),IF(D584+1&lt;IF(ISNA(E$498),$Z$616,E$498),D584+1,""),"")</f>
        <v/>
      </c>
      <c r="E585" s="1055" t="str">
        <f t="shared" ca="1" si="999"/>
        <v/>
      </c>
      <c r="F585" s="1055" t="str">
        <f t="shared" ca="1" si="999"/>
        <v/>
      </c>
      <c r="G585" s="1055" t="str">
        <f t="shared" ca="1" si="999"/>
        <v/>
      </c>
      <c r="H585" s="1055" t="str">
        <f t="shared" ca="1" si="999"/>
        <v/>
      </c>
      <c r="I585" s="1055">
        <f t="shared" ca="1" si="999"/>
        <v>340</v>
      </c>
      <c r="J585" s="1055">
        <f t="shared" ca="1" si="999"/>
        <v>493</v>
      </c>
      <c r="K585" s="1055">
        <f t="shared" ca="1" si="999"/>
        <v>603</v>
      </c>
      <c r="L585" s="1055">
        <f t="shared" ca="1" si="999"/>
        <v>695</v>
      </c>
      <c r="M585" s="1055">
        <f t="shared" ca="1" si="999"/>
        <v>786</v>
      </c>
      <c r="N585" s="1055" t="str">
        <f t="shared" ca="1" si="999"/>
        <v/>
      </c>
      <c r="O585" s="1055" t="str">
        <f t="shared" ca="1" si="999"/>
        <v/>
      </c>
      <c r="P585" s="1055" t="str">
        <f t="shared" ca="1" si="999"/>
        <v/>
      </c>
      <c r="Q585" s="1055" t="str">
        <f t="shared" ca="1" si="999"/>
        <v/>
      </c>
      <c r="R585" s="1055" t="str">
        <f t="shared" ca="1" si="999"/>
        <v/>
      </c>
      <c r="S585" s="1055" t="str">
        <f t="shared" ca="1" si="999"/>
        <v/>
      </c>
      <c r="T585" s="1055" t="str">
        <f t="shared" ca="1" si="999"/>
        <v/>
      </c>
      <c r="U585" s="1055" t="str">
        <f t="shared" ca="1" si="999"/>
        <v/>
      </c>
      <c r="V585" s="1055" t="str">
        <f t="shared" ca="1" si="999"/>
        <v/>
      </c>
      <c r="W585" s="1055" t="str">
        <f t="shared" ca="1" si="999"/>
        <v/>
      </c>
      <c r="X585" s="1055" t="str">
        <f t="shared" si="999"/>
        <v/>
      </c>
      <c r="Y585" s="1055" t="str">
        <f t="shared" si="999"/>
        <v/>
      </c>
    </row>
    <row r="586" spans="1:25">
      <c r="A586" s="598">
        <v>89</v>
      </c>
      <c r="D586" s="1055" t="str">
        <f t="shared" ref="D586:Y586" ca="1" si="1000">IF(ISNUMBER(D585),IF(D585+1&lt;IF(ISNA(E$498),$Z$616,E$498),D585+1,""),"")</f>
        <v/>
      </c>
      <c r="E586" s="1055" t="str">
        <f t="shared" ca="1" si="1000"/>
        <v/>
      </c>
      <c r="F586" s="1055" t="str">
        <f t="shared" ca="1" si="1000"/>
        <v/>
      </c>
      <c r="G586" s="1055" t="str">
        <f t="shared" ca="1" si="1000"/>
        <v/>
      </c>
      <c r="H586" s="1055" t="str">
        <f t="shared" ca="1" si="1000"/>
        <v/>
      </c>
      <c r="I586" s="1055">
        <f t="shared" ca="1" si="1000"/>
        <v>341</v>
      </c>
      <c r="J586" s="1055">
        <f t="shared" ca="1" si="1000"/>
        <v>494</v>
      </c>
      <c r="K586" s="1055">
        <f t="shared" ca="1" si="1000"/>
        <v>604</v>
      </c>
      <c r="L586" s="1055">
        <f t="shared" ca="1" si="1000"/>
        <v>696</v>
      </c>
      <c r="M586" s="1055">
        <f t="shared" ca="1" si="1000"/>
        <v>787</v>
      </c>
      <c r="N586" s="1055" t="str">
        <f t="shared" ca="1" si="1000"/>
        <v/>
      </c>
      <c r="O586" s="1055" t="str">
        <f t="shared" ca="1" si="1000"/>
        <v/>
      </c>
      <c r="P586" s="1055" t="str">
        <f t="shared" ca="1" si="1000"/>
        <v/>
      </c>
      <c r="Q586" s="1055" t="str">
        <f t="shared" ca="1" si="1000"/>
        <v/>
      </c>
      <c r="R586" s="1055" t="str">
        <f t="shared" ca="1" si="1000"/>
        <v/>
      </c>
      <c r="S586" s="1055" t="str">
        <f t="shared" ca="1" si="1000"/>
        <v/>
      </c>
      <c r="T586" s="1055" t="str">
        <f t="shared" ca="1" si="1000"/>
        <v/>
      </c>
      <c r="U586" s="1055" t="str">
        <f t="shared" ca="1" si="1000"/>
        <v/>
      </c>
      <c r="V586" s="1055" t="str">
        <f t="shared" ca="1" si="1000"/>
        <v/>
      </c>
      <c r="W586" s="1055" t="str">
        <f t="shared" ca="1" si="1000"/>
        <v/>
      </c>
      <c r="X586" s="1055" t="str">
        <f t="shared" si="1000"/>
        <v/>
      </c>
      <c r="Y586" s="1055" t="str">
        <f t="shared" si="1000"/>
        <v/>
      </c>
    </row>
    <row r="587" spans="1:25">
      <c r="A587" s="598">
        <v>90</v>
      </c>
      <c r="D587" s="1055" t="str">
        <f t="shared" ref="D587:Y587" ca="1" si="1001">IF(ISNUMBER(D586),IF(D586+1&lt;IF(ISNA(E$498),$Z$616,E$498),D586+1,""),"")</f>
        <v/>
      </c>
      <c r="E587" s="1055" t="str">
        <f t="shared" ca="1" si="1001"/>
        <v/>
      </c>
      <c r="F587" s="1055" t="str">
        <f t="shared" ca="1" si="1001"/>
        <v/>
      </c>
      <c r="G587" s="1055" t="str">
        <f t="shared" ca="1" si="1001"/>
        <v/>
      </c>
      <c r="H587" s="1055" t="str">
        <f t="shared" ca="1" si="1001"/>
        <v/>
      </c>
      <c r="I587" s="1055">
        <f t="shared" ca="1" si="1001"/>
        <v>342</v>
      </c>
      <c r="J587" s="1055">
        <f t="shared" ca="1" si="1001"/>
        <v>495</v>
      </c>
      <c r="K587" s="1055">
        <f t="shared" ca="1" si="1001"/>
        <v>605</v>
      </c>
      <c r="L587" s="1055">
        <f t="shared" ca="1" si="1001"/>
        <v>697</v>
      </c>
      <c r="M587" s="1055">
        <f t="shared" ca="1" si="1001"/>
        <v>788</v>
      </c>
      <c r="N587" s="1055" t="str">
        <f t="shared" ca="1" si="1001"/>
        <v/>
      </c>
      <c r="O587" s="1055" t="str">
        <f t="shared" ca="1" si="1001"/>
        <v/>
      </c>
      <c r="P587" s="1055" t="str">
        <f t="shared" ca="1" si="1001"/>
        <v/>
      </c>
      <c r="Q587" s="1055" t="str">
        <f t="shared" ca="1" si="1001"/>
        <v/>
      </c>
      <c r="R587" s="1055" t="str">
        <f t="shared" ca="1" si="1001"/>
        <v/>
      </c>
      <c r="S587" s="1055" t="str">
        <f t="shared" ca="1" si="1001"/>
        <v/>
      </c>
      <c r="T587" s="1055" t="str">
        <f t="shared" ca="1" si="1001"/>
        <v/>
      </c>
      <c r="U587" s="1055" t="str">
        <f t="shared" ca="1" si="1001"/>
        <v/>
      </c>
      <c r="V587" s="1055" t="str">
        <f t="shared" ca="1" si="1001"/>
        <v/>
      </c>
      <c r="W587" s="1055" t="str">
        <f t="shared" ca="1" si="1001"/>
        <v/>
      </c>
      <c r="X587" s="1055" t="str">
        <f t="shared" si="1001"/>
        <v/>
      </c>
      <c r="Y587" s="1055" t="str">
        <f t="shared" si="1001"/>
        <v/>
      </c>
    </row>
    <row r="588" spans="1:25">
      <c r="A588" s="598">
        <v>91</v>
      </c>
      <c r="D588" s="1055" t="str">
        <f t="shared" ref="D588:Y588" ca="1" si="1002">IF(ISNUMBER(D587),IF(D587+1&lt;IF(ISNA(E$498),$Z$616,E$498),D587+1,""),"")</f>
        <v/>
      </c>
      <c r="E588" s="1055" t="str">
        <f t="shared" ca="1" si="1002"/>
        <v/>
      </c>
      <c r="F588" s="1055" t="str">
        <f t="shared" ca="1" si="1002"/>
        <v/>
      </c>
      <c r="G588" s="1055" t="str">
        <f t="shared" ca="1" si="1002"/>
        <v/>
      </c>
      <c r="H588" s="1055" t="str">
        <f t="shared" ca="1" si="1002"/>
        <v/>
      </c>
      <c r="I588" s="1055">
        <f t="shared" ca="1" si="1002"/>
        <v>343</v>
      </c>
      <c r="J588" s="1055">
        <f t="shared" ca="1" si="1002"/>
        <v>496</v>
      </c>
      <c r="K588" s="1055">
        <f t="shared" ca="1" si="1002"/>
        <v>606</v>
      </c>
      <c r="L588" s="1055">
        <f t="shared" ca="1" si="1002"/>
        <v>698</v>
      </c>
      <c r="M588" s="1055" t="str">
        <f t="shared" ca="1" si="1002"/>
        <v/>
      </c>
      <c r="N588" s="1055" t="str">
        <f t="shared" ca="1" si="1002"/>
        <v/>
      </c>
      <c r="O588" s="1055" t="str">
        <f t="shared" ca="1" si="1002"/>
        <v/>
      </c>
      <c r="P588" s="1055" t="str">
        <f t="shared" ca="1" si="1002"/>
        <v/>
      </c>
      <c r="Q588" s="1055" t="str">
        <f t="shared" ca="1" si="1002"/>
        <v/>
      </c>
      <c r="R588" s="1055" t="str">
        <f t="shared" ca="1" si="1002"/>
        <v/>
      </c>
      <c r="S588" s="1055" t="str">
        <f t="shared" ca="1" si="1002"/>
        <v/>
      </c>
      <c r="T588" s="1055" t="str">
        <f t="shared" ca="1" si="1002"/>
        <v/>
      </c>
      <c r="U588" s="1055" t="str">
        <f t="shared" ca="1" si="1002"/>
        <v/>
      </c>
      <c r="V588" s="1055" t="str">
        <f t="shared" ca="1" si="1002"/>
        <v/>
      </c>
      <c r="W588" s="1055" t="str">
        <f t="shared" ca="1" si="1002"/>
        <v/>
      </c>
      <c r="X588" s="1055" t="str">
        <f t="shared" si="1002"/>
        <v/>
      </c>
      <c r="Y588" s="1055" t="str">
        <f t="shared" si="1002"/>
        <v/>
      </c>
    </row>
    <row r="589" spans="1:25">
      <c r="A589" s="598">
        <v>92</v>
      </c>
      <c r="D589" s="1055" t="str">
        <f t="shared" ref="D589:Y589" ca="1" si="1003">IF(ISNUMBER(D588),IF(D588+1&lt;IF(ISNA(E$498),$Z$616,E$498),D588+1,""),"")</f>
        <v/>
      </c>
      <c r="E589" s="1055" t="str">
        <f t="shared" ca="1" si="1003"/>
        <v/>
      </c>
      <c r="F589" s="1055" t="str">
        <f t="shared" ca="1" si="1003"/>
        <v/>
      </c>
      <c r="G589" s="1055" t="str">
        <f t="shared" ca="1" si="1003"/>
        <v/>
      </c>
      <c r="H589" s="1055" t="str">
        <f t="shared" ca="1" si="1003"/>
        <v/>
      </c>
      <c r="I589" s="1055">
        <f t="shared" ca="1" si="1003"/>
        <v>344</v>
      </c>
      <c r="J589" s="1055">
        <f t="shared" ca="1" si="1003"/>
        <v>497</v>
      </c>
      <c r="K589" s="1055">
        <f t="shared" ca="1" si="1003"/>
        <v>607</v>
      </c>
      <c r="L589" s="1055" t="str">
        <f t="shared" ca="1" si="1003"/>
        <v/>
      </c>
      <c r="M589" s="1055" t="str">
        <f t="shared" ca="1" si="1003"/>
        <v/>
      </c>
      <c r="N589" s="1055" t="str">
        <f t="shared" ca="1" si="1003"/>
        <v/>
      </c>
      <c r="O589" s="1055" t="str">
        <f t="shared" ca="1" si="1003"/>
        <v/>
      </c>
      <c r="P589" s="1055" t="str">
        <f t="shared" ca="1" si="1003"/>
        <v/>
      </c>
      <c r="Q589" s="1055" t="str">
        <f t="shared" ca="1" si="1003"/>
        <v/>
      </c>
      <c r="R589" s="1055" t="str">
        <f t="shared" ca="1" si="1003"/>
        <v/>
      </c>
      <c r="S589" s="1055" t="str">
        <f t="shared" ca="1" si="1003"/>
        <v/>
      </c>
      <c r="T589" s="1055" t="str">
        <f t="shared" ca="1" si="1003"/>
        <v/>
      </c>
      <c r="U589" s="1055" t="str">
        <f t="shared" ca="1" si="1003"/>
        <v/>
      </c>
      <c r="V589" s="1055" t="str">
        <f t="shared" ca="1" si="1003"/>
        <v/>
      </c>
      <c r="W589" s="1055" t="str">
        <f t="shared" ca="1" si="1003"/>
        <v/>
      </c>
      <c r="X589" s="1055" t="str">
        <f t="shared" si="1003"/>
        <v/>
      </c>
      <c r="Y589" s="1055" t="str">
        <f t="shared" si="1003"/>
        <v/>
      </c>
    </row>
    <row r="590" spans="1:25">
      <c r="A590" s="598">
        <v>93</v>
      </c>
      <c r="D590" s="1055" t="str">
        <f t="shared" ref="D590:Y590" ca="1" si="1004">IF(ISNUMBER(D589),IF(D589+1&lt;IF(ISNA(E$498),$Z$616,E$498),D589+1,""),"")</f>
        <v/>
      </c>
      <c r="E590" s="1055" t="str">
        <f t="shared" ca="1" si="1004"/>
        <v/>
      </c>
      <c r="F590" s="1055" t="str">
        <f t="shared" ca="1" si="1004"/>
        <v/>
      </c>
      <c r="G590" s="1055" t="str">
        <f t="shared" ca="1" si="1004"/>
        <v/>
      </c>
      <c r="H590" s="1055" t="str">
        <f t="shared" ca="1" si="1004"/>
        <v/>
      </c>
      <c r="I590" s="1055">
        <f t="shared" ca="1" si="1004"/>
        <v>345</v>
      </c>
      <c r="J590" s="1055">
        <f t="shared" ca="1" si="1004"/>
        <v>498</v>
      </c>
      <c r="K590" s="1055" t="str">
        <f t="shared" ca="1" si="1004"/>
        <v/>
      </c>
      <c r="L590" s="1055" t="str">
        <f t="shared" ca="1" si="1004"/>
        <v/>
      </c>
      <c r="M590" s="1055" t="str">
        <f t="shared" ca="1" si="1004"/>
        <v/>
      </c>
      <c r="N590" s="1055" t="str">
        <f t="shared" ca="1" si="1004"/>
        <v/>
      </c>
      <c r="O590" s="1055" t="str">
        <f t="shared" ca="1" si="1004"/>
        <v/>
      </c>
      <c r="P590" s="1055" t="str">
        <f t="shared" ca="1" si="1004"/>
        <v/>
      </c>
      <c r="Q590" s="1055" t="str">
        <f t="shared" ca="1" si="1004"/>
        <v/>
      </c>
      <c r="R590" s="1055" t="str">
        <f t="shared" ca="1" si="1004"/>
        <v/>
      </c>
      <c r="S590" s="1055" t="str">
        <f t="shared" ca="1" si="1004"/>
        <v/>
      </c>
      <c r="T590" s="1055" t="str">
        <f t="shared" ca="1" si="1004"/>
        <v/>
      </c>
      <c r="U590" s="1055" t="str">
        <f t="shared" ca="1" si="1004"/>
        <v/>
      </c>
      <c r="V590" s="1055" t="str">
        <f t="shared" ca="1" si="1004"/>
        <v/>
      </c>
      <c r="W590" s="1055" t="str">
        <f t="shared" ca="1" si="1004"/>
        <v/>
      </c>
      <c r="X590" s="1055" t="str">
        <f t="shared" si="1004"/>
        <v/>
      </c>
      <c r="Y590" s="1055" t="str">
        <f t="shared" si="1004"/>
        <v/>
      </c>
    </row>
    <row r="591" spans="1:25">
      <c r="A591" s="598">
        <v>94</v>
      </c>
      <c r="D591" s="1055" t="str">
        <f t="shared" ref="D591:Y591" ca="1" si="1005">IF(ISNUMBER(D590),IF(D590+1&lt;IF(ISNA(E$498),$Z$616,E$498),D590+1,""),"")</f>
        <v/>
      </c>
      <c r="E591" s="1055" t="str">
        <f t="shared" ca="1" si="1005"/>
        <v/>
      </c>
      <c r="F591" s="1055" t="str">
        <f t="shared" ca="1" si="1005"/>
        <v/>
      </c>
      <c r="G591" s="1055" t="str">
        <f t="shared" ca="1" si="1005"/>
        <v/>
      </c>
      <c r="H591" s="1055" t="str">
        <f t="shared" ca="1" si="1005"/>
        <v/>
      </c>
      <c r="I591" s="1055">
        <f t="shared" ca="1" si="1005"/>
        <v>346</v>
      </c>
      <c r="J591" s="1055">
        <f t="shared" ca="1" si="1005"/>
        <v>499</v>
      </c>
      <c r="K591" s="1055" t="str">
        <f t="shared" ca="1" si="1005"/>
        <v/>
      </c>
      <c r="L591" s="1055" t="str">
        <f t="shared" ca="1" si="1005"/>
        <v/>
      </c>
      <c r="M591" s="1055" t="str">
        <f t="shared" ca="1" si="1005"/>
        <v/>
      </c>
      <c r="N591" s="1055" t="str">
        <f t="shared" ca="1" si="1005"/>
        <v/>
      </c>
      <c r="O591" s="1055" t="str">
        <f t="shared" ca="1" si="1005"/>
        <v/>
      </c>
      <c r="P591" s="1055" t="str">
        <f t="shared" ca="1" si="1005"/>
        <v/>
      </c>
      <c r="Q591" s="1055" t="str">
        <f t="shared" ca="1" si="1005"/>
        <v/>
      </c>
      <c r="R591" s="1055" t="str">
        <f t="shared" ca="1" si="1005"/>
        <v/>
      </c>
      <c r="S591" s="1055" t="str">
        <f t="shared" ca="1" si="1005"/>
        <v/>
      </c>
      <c r="T591" s="1055" t="str">
        <f t="shared" ca="1" si="1005"/>
        <v/>
      </c>
      <c r="U591" s="1055" t="str">
        <f t="shared" ca="1" si="1005"/>
        <v/>
      </c>
      <c r="V591" s="1055" t="str">
        <f t="shared" ca="1" si="1005"/>
        <v/>
      </c>
      <c r="W591" s="1055" t="str">
        <f t="shared" ca="1" si="1005"/>
        <v/>
      </c>
      <c r="X591" s="1055" t="str">
        <f t="shared" si="1005"/>
        <v/>
      </c>
      <c r="Y591" s="1055" t="str">
        <f t="shared" si="1005"/>
        <v/>
      </c>
    </row>
    <row r="592" spans="1:25">
      <c r="A592" s="598">
        <v>95</v>
      </c>
      <c r="D592" s="1055" t="str">
        <f t="shared" ref="D592:Y592" ca="1" si="1006">IF(ISNUMBER(D591),IF(D591+1&lt;IF(ISNA(E$498),$Z$616,E$498),D591+1,""),"")</f>
        <v/>
      </c>
      <c r="E592" s="1055" t="str">
        <f t="shared" ca="1" si="1006"/>
        <v/>
      </c>
      <c r="F592" s="1055" t="str">
        <f t="shared" ca="1" si="1006"/>
        <v/>
      </c>
      <c r="G592" s="1055" t="str">
        <f t="shared" ca="1" si="1006"/>
        <v/>
      </c>
      <c r="H592" s="1055" t="str">
        <f t="shared" ca="1" si="1006"/>
        <v/>
      </c>
      <c r="I592" s="1055">
        <f t="shared" ca="1" si="1006"/>
        <v>347</v>
      </c>
      <c r="J592" s="1055">
        <f t="shared" ca="1" si="1006"/>
        <v>500</v>
      </c>
      <c r="K592" s="1055" t="str">
        <f t="shared" ca="1" si="1006"/>
        <v/>
      </c>
      <c r="L592" s="1055" t="str">
        <f t="shared" ca="1" si="1006"/>
        <v/>
      </c>
      <c r="M592" s="1055" t="str">
        <f t="shared" ca="1" si="1006"/>
        <v/>
      </c>
      <c r="N592" s="1055" t="str">
        <f t="shared" ca="1" si="1006"/>
        <v/>
      </c>
      <c r="O592" s="1055" t="str">
        <f t="shared" ca="1" si="1006"/>
        <v/>
      </c>
      <c r="P592" s="1055" t="str">
        <f t="shared" ca="1" si="1006"/>
        <v/>
      </c>
      <c r="Q592" s="1055" t="str">
        <f t="shared" ca="1" si="1006"/>
        <v/>
      </c>
      <c r="R592" s="1055" t="str">
        <f t="shared" ca="1" si="1006"/>
        <v/>
      </c>
      <c r="S592" s="1055" t="str">
        <f t="shared" ca="1" si="1006"/>
        <v/>
      </c>
      <c r="T592" s="1055" t="str">
        <f t="shared" ca="1" si="1006"/>
        <v/>
      </c>
      <c r="U592" s="1055" t="str">
        <f t="shared" ca="1" si="1006"/>
        <v/>
      </c>
      <c r="V592" s="1055" t="str">
        <f t="shared" ca="1" si="1006"/>
        <v/>
      </c>
      <c r="W592" s="1055" t="str">
        <f t="shared" ca="1" si="1006"/>
        <v/>
      </c>
      <c r="X592" s="1055" t="str">
        <f t="shared" si="1006"/>
        <v/>
      </c>
      <c r="Y592" s="1055" t="str">
        <f t="shared" si="1006"/>
        <v/>
      </c>
    </row>
    <row r="593" spans="1:25">
      <c r="A593" s="598">
        <v>96</v>
      </c>
      <c r="D593" s="1055" t="str">
        <f t="shared" ref="D593:Y593" ca="1" si="1007">IF(ISNUMBER(D592),IF(D592+1&lt;IF(ISNA(E$498),$Z$616,E$498),D592+1,""),"")</f>
        <v/>
      </c>
      <c r="E593" s="1055" t="str">
        <f t="shared" ca="1" si="1007"/>
        <v/>
      </c>
      <c r="F593" s="1055" t="str">
        <f t="shared" ca="1" si="1007"/>
        <v/>
      </c>
      <c r="G593" s="1055" t="str">
        <f t="shared" ca="1" si="1007"/>
        <v/>
      </c>
      <c r="H593" s="1055" t="str">
        <f t="shared" ca="1" si="1007"/>
        <v/>
      </c>
      <c r="I593" s="1055">
        <f t="shared" ca="1" si="1007"/>
        <v>348</v>
      </c>
      <c r="J593" s="1055">
        <f t="shared" ca="1" si="1007"/>
        <v>501</v>
      </c>
      <c r="K593" s="1055" t="str">
        <f t="shared" ca="1" si="1007"/>
        <v/>
      </c>
      <c r="L593" s="1055" t="str">
        <f t="shared" ca="1" si="1007"/>
        <v/>
      </c>
      <c r="M593" s="1055" t="str">
        <f t="shared" ca="1" si="1007"/>
        <v/>
      </c>
      <c r="N593" s="1055" t="str">
        <f t="shared" ca="1" si="1007"/>
        <v/>
      </c>
      <c r="O593" s="1055" t="str">
        <f t="shared" ca="1" si="1007"/>
        <v/>
      </c>
      <c r="P593" s="1055" t="str">
        <f t="shared" ca="1" si="1007"/>
        <v/>
      </c>
      <c r="Q593" s="1055" t="str">
        <f t="shared" ca="1" si="1007"/>
        <v/>
      </c>
      <c r="R593" s="1055" t="str">
        <f t="shared" ca="1" si="1007"/>
        <v/>
      </c>
      <c r="S593" s="1055" t="str">
        <f t="shared" ca="1" si="1007"/>
        <v/>
      </c>
      <c r="T593" s="1055" t="str">
        <f t="shared" ca="1" si="1007"/>
        <v/>
      </c>
      <c r="U593" s="1055" t="str">
        <f t="shared" ca="1" si="1007"/>
        <v/>
      </c>
      <c r="V593" s="1055" t="str">
        <f t="shared" ca="1" si="1007"/>
        <v/>
      </c>
      <c r="W593" s="1055" t="str">
        <f t="shared" ca="1" si="1007"/>
        <v/>
      </c>
      <c r="X593" s="1055" t="str">
        <f t="shared" si="1007"/>
        <v/>
      </c>
      <c r="Y593" s="1055" t="str">
        <f t="shared" si="1007"/>
        <v/>
      </c>
    </row>
    <row r="594" spans="1:25">
      <c r="A594" s="598">
        <v>97</v>
      </c>
      <c r="D594" s="1055" t="str">
        <f t="shared" ref="D594:Y594" ca="1" si="1008">IF(ISNUMBER(D593),IF(D593+1&lt;IF(ISNA(E$498),$Z$616,E$498),D593+1,""),"")</f>
        <v/>
      </c>
      <c r="E594" s="1055" t="str">
        <f t="shared" ca="1" si="1008"/>
        <v/>
      </c>
      <c r="F594" s="1055" t="str">
        <f t="shared" ca="1" si="1008"/>
        <v/>
      </c>
      <c r="G594" s="1055" t="str">
        <f t="shared" ca="1" si="1008"/>
        <v/>
      </c>
      <c r="H594" s="1055" t="str">
        <f t="shared" ca="1" si="1008"/>
        <v/>
      </c>
      <c r="I594" s="1055">
        <f t="shared" ca="1" si="1008"/>
        <v>349</v>
      </c>
      <c r="J594" s="1055">
        <f t="shared" ca="1" si="1008"/>
        <v>502</v>
      </c>
      <c r="K594" s="1055" t="str">
        <f t="shared" ca="1" si="1008"/>
        <v/>
      </c>
      <c r="L594" s="1055" t="str">
        <f t="shared" ca="1" si="1008"/>
        <v/>
      </c>
      <c r="M594" s="1055" t="str">
        <f t="shared" ca="1" si="1008"/>
        <v/>
      </c>
      <c r="N594" s="1055" t="str">
        <f t="shared" ca="1" si="1008"/>
        <v/>
      </c>
      <c r="O594" s="1055" t="str">
        <f t="shared" ca="1" si="1008"/>
        <v/>
      </c>
      <c r="P594" s="1055" t="str">
        <f t="shared" ca="1" si="1008"/>
        <v/>
      </c>
      <c r="Q594" s="1055" t="str">
        <f t="shared" ca="1" si="1008"/>
        <v/>
      </c>
      <c r="R594" s="1055" t="str">
        <f t="shared" ca="1" si="1008"/>
        <v/>
      </c>
      <c r="S594" s="1055" t="str">
        <f t="shared" ca="1" si="1008"/>
        <v/>
      </c>
      <c r="T594" s="1055" t="str">
        <f t="shared" ca="1" si="1008"/>
        <v/>
      </c>
      <c r="U594" s="1055" t="str">
        <f t="shared" ca="1" si="1008"/>
        <v/>
      </c>
      <c r="V594" s="1055" t="str">
        <f t="shared" ca="1" si="1008"/>
        <v/>
      </c>
      <c r="W594" s="1055" t="str">
        <f t="shared" ca="1" si="1008"/>
        <v/>
      </c>
      <c r="X594" s="1055" t="str">
        <f t="shared" si="1008"/>
        <v/>
      </c>
      <c r="Y594" s="1055" t="str">
        <f t="shared" si="1008"/>
        <v/>
      </c>
    </row>
    <row r="595" spans="1:25">
      <c r="A595" s="598">
        <v>98</v>
      </c>
      <c r="D595" s="1055" t="str">
        <f t="shared" ref="D595:Y595" ca="1" si="1009">IF(ISNUMBER(D594),IF(D594+1&lt;IF(ISNA(E$498),$Z$616,E$498),D594+1,""),"")</f>
        <v/>
      </c>
      <c r="E595" s="1055" t="str">
        <f t="shared" ca="1" si="1009"/>
        <v/>
      </c>
      <c r="F595" s="1055" t="str">
        <f t="shared" ca="1" si="1009"/>
        <v/>
      </c>
      <c r="G595" s="1055" t="str">
        <f t="shared" ca="1" si="1009"/>
        <v/>
      </c>
      <c r="H595" s="1055" t="str">
        <f t="shared" ca="1" si="1009"/>
        <v/>
      </c>
      <c r="I595" s="1055">
        <f t="shared" ca="1" si="1009"/>
        <v>350</v>
      </c>
      <c r="J595" s="1055">
        <f t="shared" ca="1" si="1009"/>
        <v>503</v>
      </c>
      <c r="K595" s="1055" t="str">
        <f t="shared" ca="1" si="1009"/>
        <v/>
      </c>
      <c r="L595" s="1055" t="str">
        <f t="shared" ca="1" si="1009"/>
        <v/>
      </c>
      <c r="M595" s="1055" t="str">
        <f t="shared" ca="1" si="1009"/>
        <v/>
      </c>
      <c r="N595" s="1055" t="str">
        <f t="shared" ca="1" si="1009"/>
        <v/>
      </c>
      <c r="O595" s="1055" t="str">
        <f t="shared" ca="1" si="1009"/>
        <v/>
      </c>
      <c r="P595" s="1055" t="str">
        <f t="shared" ca="1" si="1009"/>
        <v/>
      </c>
      <c r="Q595" s="1055" t="str">
        <f t="shared" ca="1" si="1009"/>
        <v/>
      </c>
      <c r="R595" s="1055" t="str">
        <f t="shared" ca="1" si="1009"/>
        <v/>
      </c>
      <c r="S595" s="1055" t="str">
        <f t="shared" ca="1" si="1009"/>
        <v/>
      </c>
      <c r="T595" s="1055" t="str">
        <f t="shared" ca="1" si="1009"/>
        <v/>
      </c>
      <c r="U595" s="1055" t="str">
        <f t="shared" ca="1" si="1009"/>
        <v/>
      </c>
      <c r="V595" s="1055" t="str">
        <f t="shared" ca="1" si="1009"/>
        <v/>
      </c>
      <c r="W595" s="1055" t="str">
        <f t="shared" ca="1" si="1009"/>
        <v/>
      </c>
      <c r="X595" s="1055" t="str">
        <f t="shared" si="1009"/>
        <v/>
      </c>
      <c r="Y595" s="1055" t="str">
        <f t="shared" si="1009"/>
        <v/>
      </c>
    </row>
    <row r="596" spans="1:25">
      <c r="A596" s="598">
        <v>99</v>
      </c>
      <c r="D596" s="1055" t="str">
        <f t="shared" ref="D596:Y596" ca="1" si="1010">IF(ISNUMBER(D595),IF(D595+1&lt;IF(ISNA(E$498),$Z$616,E$498),D595+1,""),"")</f>
        <v/>
      </c>
      <c r="E596" s="1055" t="str">
        <f t="shared" ca="1" si="1010"/>
        <v/>
      </c>
      <c r="F596" s="1055" t="str">
        <f t="shared" ca="1" si="1010"/>
        <v/>
      </c>
      <c r="G596" s="1055" t="str">
        <f t="shared" ca="1" si="1010"/>
        <v/>
      </c>
      <c r="H596" s="1055" t="str">
        <f t="shared" ca="1" si="1010"/>
        <v/>
      </c>
      <c r="I596" s="1055">
        <f t="shared" ca="1" si="1010"/>
        <v>351</v>
      </c>
      <c r="J596" s="1055">
        <f t="shared" ca="1" si="1010"/>
        <v>504</v>
      </c>
      <c r="K596" s="1055" t="str">
        <f t="shared" ca="1" si="1010"/>
        <v/>
      </c>
      <c r="L596" s="1055" t="str">
        <f t="shared" ca="1" si="1010"/>
        <v/>
      </c>
      <c r="M596" s="1055" t="str">
        <f t="shared" ca="1" si="1010"/>
        <v/>
      </c>
      <c r="N596" s="1055" t="str">
        <f t="shared" ca="1" si="1010"/>
        <v/>
      </c>
      <c r="O596" s="1055" t="str">
        <f t="shared" ca="1" si="1010"/>
        <v/>
      </c>
      <c r="P596" s="1055" t="str">
        <f t="shared" ca="1" si="1010"/>
        <v/>
      </c>
      <c r="Q596" s="1055" t="str">
        <f t="shared" ca="1" si="1010"/>
        <v/>
      </c>
      <c r="R596" s="1055" t="str">
        <f t="shared" ca="1" si="1010"/>
        <v/>
      </c>
      <c r="S596" s="1055" t="str">
        <f t="shared" ca="1" si="1010"/>
        <v/>
      </c>
      <c r="T596" s="1055" t="str">
        <f t="shared" ca="1" si="1010"/>
        <v/>
      </c>
      <c r="U596" s="1055" t="str">
        <f t="shared" ca="1" si="1010"/>
        <v/>
      </c>
      <c r="V596" s="1055" t="str">
        <f t="shared" ca="1" si="1010"/>
        <v/>
      </c>
      <c r="W596" s="1055" t="str">
        <f t="shared" ca="1" si="1010"/>
        <v/>
      </c>
      <c r="X596" s="1055" t="str">
        <f t="shared" si="1010"/>
        <v/>
      </c>
      <c r="Y596" s="1055" t="str">
        <f t="shared" si="1010"/>
        <v/>
      </c>
    </row>
    <row r="597" spans="1:25">
      <c r="A597" s="598">
        <v>100</v>
      </c>
      <c r="D597" s="1055" t="str">
        <f t="shared" ref="D597:Y597" ca="1" si="1011">IF(ISNUMBER(D596),IF(D596+1&lt;IF(ISNA(E$498),$Z$616,E$498),D596+1,""),"")</f>
        <v/>
      </c>
      <c r="E597" s="1055" t="str">
        <f t="shared" ca="1" si="1011"/>
        <v/>
      </c>
      <c r="F597" s="1055" t="str">
        <f t="shared" ca="1" si="1011"/>
        <v/>
      </c>
      <c r="G597" s="1055" t="str">
        <f t="shared" ca="1" si="1011"/>
        <v/>
      </c>
      <c r="H597" s="1055" t="str">
        <f t="shared" ca="1" si="1011"/>
        <v/>
      </c>
      <c r="I597" s="1055">
        <f t="shared" ca="1" si="1011"/>
        <v>352</v>
      </c>
      <c r="J597" s="1055">
        <f t="shared" ca="1" si="1011"/>
        <v>505</v>
      </c>
      <c r="K597" s="1055" t="str">
        <f t="shared" ca="1" si="1011"/>
        <v/>
      </c>
      <c r="L597" s="1055" t="str">
        <f t="shared" ca="1" si="1011"/>
        <v/>
      </c>
      <c r="M597" s="1055" t="str">
        <f t="shared" ca="1" si="1011"/>
        <v/>
      </c>
      <c r="N597" s="1055" t="str">
        <f t="shared" ca="1" si="1011"/>
        <v/>
      </c>
      <c r="O597" s="1055" t="str">
        <f t="shared" ca="1" si="1011"/>
        <v/>
      </c>
      <c r="P597" s="1055" t="str">
        <f t="shared" ca="1" si="1011"/>
        <v/>
      </c>
      <c r="Q597" s="1055" t="str">
        <f t="shared" ca="1" si="1011"/>
        <v/>
      </c>
      <c r="R597" s="1055" t="str">
        <f t="shared" ca="1" si="1011"/>
        <v/>
      </c>
      <c r="S597" s="1055" t="str">
        <f t="shared" ca="1" si="1011"/>
        <v/>
      </c>
      <c r="T597" s="1055" t="str">
        <f t="shared" ca="1" si="1011"/>
        <v/>
      </c>
      <c r="U597" s="1055" t="str">
        <f t="shared" ca="1" si="1011"/>
        <v/>
      </c>
      <c r="V597" s="1055" t="str">
        <f t="shared" ca="1" si="1011"/>
        <v/>
      </c>
      <c r="W597" s="1055" t="str">
        <f t="shared" ca="1" si="1011"/>
        <v/>
      </c>
      <c r="X597" s="1055" t="str">
        <f t="shared" si="1011"/>
        <v/>
      </c>
      <c r="Y597" s="1055" t="str">
        <f t="shared" si="1011"/>
        <v/>
      </c>
    </row>
    <row r="598" spans="1:25">
      <c r="A598" s="598">
        <v>101</v>
      </c>
      <c r="D598" s="1055" t="str">
        <f t="shared" ref="D598:Y598" ca="1" si="1012">IF(ISNUMBER(D597),IF(D597+1&lt;IF(ISNA(E$498),$Z$616,E$498),D597+1,""),"")</f>
        <v/>
      </c>
      <c r="E598" s="1055" t="str">
        <f t="shared" ca="1" si="1012"/>
        <v/>
      </c>
      <c r="F598" s="1055" t="str">
        <f t="shared" ca="1" si="1012"/>
        <v/>
      </c>
      <c r="G598" s="1055" t="str">
        <f t="shared" ca="1" si="1012"/>
        <v/>
      </c>
      <c r="H598" s="1055" t="str">
        <f t="shared" ca="1" si="1012"/>
        <v/>
      </c>
      <c r="I598" s="1055">
        <f t="shared" ca="1" si="1012"/>
        <v>353</v>
      </c>
      <c r="J598" s="1055">
        <f t="shared" ca="1" si="1012"/>
        <v>506</v>
      </c>
      <c r="K598" s="1055" t="str">
        <f t="shared" ca="1" si="1012"/>
        <v/>
      </c>
      <c r="L598" s="1055" t="str">
        <f t="shared" ca="1" si="1012"/>
        <v/>
      </c>
      <c r="M598" s="1055" t="str">
        <f t="shared" ca="1" si="1012"/>
        <v/>
      </c>
      <c r="N598" s="1055" t="str">
        <f t="shared" ca="1" si="1012"/>
        <v/>
      </c>
      <c r="O598" s="1055" t="str">
        <f t="shared" ca="1" si="1012"/>
        <v/>
      </c>
      <c r="P598" s="1055" t="str">
        <f t="shared" ca="1" si="1012"/>
        <v/>
      </c>
      <c r="Q598" s="1055" t="str">
        <f t="shared" ca="1" si="1012"/>
        <v/>
      </c>
      <c r="R598" s="1055" t="str">
        <f t="shared" ca="1" si="1012"/>
        <v/>
      </c>
      <c r="S598" s="1055" t="str">
        <f t="shared" ca="1" si="1012"/>
        <v/>
      </c>
      <c r="T598" s="1055" t="str">
        <f t="shared" ca="1" si="1012"/>
        <v/>
      </c>
      <c r="U598" s="1055" t="str">
        <f t="shared" ca="1" si="1012"/>
        <v/>
      </c>
      <c r="V598" s="1055" t="str">
        <f t="shared" ca="1" si="1012"/>
        <v/>
      </c>
      <c r="W598" s="1055" t="str">
        <f t="shared" ca="1" si="1012"/>
        <v/>
      </c>
      <c r="X598" s="1055" t="str">
        <f t="shared" si="1012"/>
        <v/>
      </c>
      <c r="Y598" s="1055" t="str">
        <f t="shared" si="1012"/>
        <v/>
      </c>
    </row>
    <row r="599" spans="1:25">
      <c r="A599" s="598">
        <v>102</v>
      </c>
      <c r="D599" s="1055" t="str">
        <f t="shared" ref="D599:Y599" ca="1" si="1013">IF(ISNUMBER(D598),IF(D598+1&lt;IF(ISNA(E$498),$Z$616,E$498),D598+1,""),"")</f>
        <v/>
      </c>
      <c r="E599" s="1055" t="str">
        <f t="shared" ca="1" si="1013"/>
        <v/>
      </c>
      <c r="F599" s="1055" t="str">
        <f t="shared" ca="1" si="1013"/>
        <v/>
      </c>
      <c r="G599" s="1055" t="str">
        <f t="shared" ca="1" si="1013"/>
        <v/>
      </c>
      <c r="H599" s="1055" t="str">
        <f t="shared" ca="1" si="1013"/>
        <v/>
      </c>
      <c r="I599" s="1055">
        <f t="shared" ca="1" si="1013"/>
        <v>354</v>
      </c>
      <c r="J599" s="1055">
        <f t="shared" ca="1" si="1013"/>
        <v>507</v>
      </c>
      <c r="K599" s="1055" t="str">
        <f t="shared" ca="1" si="1013"/>
        <v/>
      </c>
      <c r="L599" s="1055" t="str">
        <f t="shared" ca="1" si="1013"/>
        <v/>
      </c>
      <c r="M599" s="1055" t="str">
        <f t="shared" ca="1" si="1013"/>
        <v/>
      </c>
      <c r="N599" s="1055" t="str">
        <f t="shared" ca="1" si="1013"/>
        <v/>
      </c>
      <c r="O599" s="1055" t="str">
        <f t="shared" ca="1" si="1013"/>
        <v/>
      </c>
      <c r="P599" s="1055" t="str">
        <f t="shared" ca="1" si="1013"/>
        <v/>
      </c>
      <c r="Q599" s="1055" t="str">
        <f t="shared" ca="1" si="1013"/>
        <v/>
      </c>
      <c r="R599" s="1055" t="str">
        <f t="shared" ca="1" si="1013"/>
        <v/>
      </c>
      <c r="S599" s="1055" t="str">
        <f t="shared" ca="1" si="1013"/>
        <v/>
      </c>
      <c r="T599" s="1055" t="str">
        <f t="shared" ca="1" si="1013"/>
        <v/>
      </c>
      <c r="U599" s="1055" t="str">
        <f t="shared" ca="1" si="1013"/>
        <v/>
      </c>
      <c r="V599" s="1055" t="str">
        <f t="shared" ca="1" si="1013"/>
        <v/>
      </c>
      <c r="W599" s="1055" t="str">
        <f t="shared" ca="1" si="1013"/>
        <v/>
      </c>
      <c r="X599" s="1055" t="str">
        <f t="shared" si="1013"/>
        <v/>
      </c>
      <c r="Y599" s="1055" t="str">
        <f t="shared" si="1013"/>
        <v/>
      </c>
    </row>
    <row r="600" spans="1:25">
      <c r="A600" s="598">
        <v>103</v>
      </c>
      <c r="D600" s="1055" t="str">
        <f t="shared" ref="D600:Y600" ca="1" si="1014">IF(ISNUMBER(D599),IF(D599+1&lt;IF(ISNA(E$498),$Z$616,E$498),D599+1,""),"")</f>
        <v/>
      </c>
      <c r="E600" s="1055" t="str">
        <f t="shared" ca="1" si="1014"/>
        <v/>
      </c>
      <c r="F600" s="1055" t="str">
        <f t="shared" ca="1" si="1014"/>
        <v/>
      </c>
      <c r="G600" s="1055" t="str">
        <f t="shared" ca="1" si="1014"/>
        <v/>
      </c>
      <c r="H600" s="1055" t="str">
        <f t="shared" ca="1" si="1014"/>
        <v/>
      </c>
      <c r="I600" s="1055">
        <f t="shared" ca="1" si="1014"/>
        <v>355</v>
      </c>
      <c r="J600" s="1055">
        <f t="shared" ca="1" si="1014"/>
        <v>508</v>
      </c>
      <c r="K600" s="1055" t="str">
        <f t="shared" ca="1" si="1014"/>
        <v/>
      </c>
      <c r="L600" s="1055" t="str">
        <f t="shared" ca="1" si="1014"/>
        <v/>
      </c>
      <c r="M600" s="1055" t="str">
        <f t="shared" ca="1" si="1014"/>
        <v/>
      </c>
      <c r="N600" s="1055" t="str">
        <f t="shared" ca="1" si="1014"/>
        <v/>
      </c>
      <c r="O600" s="1055" t="str">
        <f t="shared" ca="1" si="1014"/>
        <v/>
      </c>
      <c r="P600" s="1055" t="str">
        <f t="shared" ca="1" si="1014"/>
        <v/>
      </c>
      <c r="Q600" s="1055" t="str">
        <f t="shared" ca="1" si="1014"/>
        <v/>
      </c>
      <c r="R600" s="1055" t="str">
        <f t="shared" ca="1" si="1014"/>
        <v/>
      </c>
      <c r="S600" s="1055" t="str">
        <f t="shared" ca="1" si="1014"/>
        <v/>
      </c>
      <c r="T600" s="1055" t="str">
        <f t="shared" ca="1" si="1014"/>
        <v/>
      </c>
      <c r="U600" s="1055" t="str">
        <f t="shared" ca="1" si="1014"/>
        <v/>
      </c>
      <c r="V600" s="1055" t="str">
        <f t="shared" ca="1" si="1014"/>
        <v/>
      </c>
      <c r="W600" s="1055" t="str">
        <f t="shared" ca="1" si="1014"/>
        <v/>
      </c>
      <c r="X600" s="1055" t="str">
        <f t="shared" si="1014"/>
        <v/>
      </c>
      <c r="Y600" s="1055" t="str">
        <f t="shared" si="1014"/>
        <v/>
      </c>
    </row>
    <row r="601" spans="1:25">
      <c r="A601" s="598">
        <v>104</v>
      </c>
      <c r="D601" s="1055" t="str">
        <f t="shared" ref="D601:Y601" ca="1" si="1015">IF(ISNUMBER(D600),IF(D600+1&lt;IF(ISNA(E$498),$Z$616,E$498),D600+1,""),"")</f>
        <v/>
      </c>
      <c r="E601" s="1055" t="str">
        <f t="shared" ca="1" si="1015"/>
        <v/>
      </c>
      <c r="F601" s="1055" t="str">
        <f t="shared" ca="1" si="1015"/>
        <v/>
      </c>
      <c r="G601" s="1055" t="str">
        <f t="shared" ca="1" si="1015"/>
        <v/>
      </c>
      <c r="H601" s="1055" t="str">
        <f t="shared" ca="1" si="1015"/>
        <v/>
      </c>
      <c r="I601" s="1055">
        <f t="shared" ca="1" si="1015"/>
        <v>356</v>
      </c>
      <c r="J601" s="1055">
        <f t="shared" ca="1" si="1015"/>
        <v>509</v>
      </c>
      <c r="K601" s="1055" t="str">
        <f t="shared" ca="1" si="1015"/>
        <v/>
      </c>
      <c r="L601" s="1055" t="str">
        <f t="shared" ca="1" si="1015"/>
        <v/>
      </c>
      <c r="M601" s="1055" t="str">
        <f t="shared" ca="1" si="1015"/>
        <v/>
      </c>
      <c r="N601" s="1055" t="str">
        <f t="shared" ca="1" si="1015"/>
        <v/>
      </c>
      <c r="O601" s="1055" t="str">
        <f t="shared" ca="1" si="1015"/>
        <v/>
      </c>
      <c r="P601" s="1055" t="str">
        <f t="shared" ca="1" si="1015"/>
        <v/>
      </c>
      <c r="Q601" s="1055" t="str">
        <f t="shared" ca="1" si="1015"/>
        <v/>
      </c>
      <c r="R601" s="1055" t="str">
        <f t="shared" ca="1" si="1015"/>
        <v/>
      </c>
      <c r="S601" s="1055" t="str">
        <f t="shared" ca="1" si="1015"/>
        <v/>
      </c>
      <c r="T601" s="1055" t="str">
        <f t="shared" ca="1" si="1015"/>
        <v/>
      </c>
      <c r="U601" s="1055" t="str">
        <f t="shared" ca="1" si="1015"/>
        <v/>
      </c>
      <c r="V601" s="1055" t="str">
        <f t="shared" ca="1" si="1015"/>
        <v/>
      </c>
      <c r="W601" s="1055" t="str">
        <f t="shared" ca="1" si="1015"/>
        <v/>
      </c>
      <c r="X601" s="1055" t="str">
        <f t="shared" si="1015"/>
        <v/>
      </c>
      <c r="Y601" s="1055" t="str">
        <f t="shared" si="1015"/>
        <v/>
      </c>
    </row>
    <row r="602" spans="1:25">
      <c r="A602" s="598">
        <v>105</v>
      </c>
      <c r="B602" s="598" t="s">
        <v>2225</v>
      </c>
      <c r="C602" s="598" t="s">
        <v>2225</v>
      </c>
      <c r="D602" s="1055" t="str">
        <f t="shared" ref="D602:Y602" ca="1" si="1016">IF(ISNUMBER(D601),IF(D601+1&lt;IF(ISNA(E$498),$Z$616,E$498),D601+1,""),"")</f>
        <v/>
      </c>
      <c r="E602" s="1055" t="str">
        <f t="shared" ca="1" si="1016"/>
        <v/>
      </c>
      <c r="F602" s="1055" t="str">
        <f t="shared" ca="1" si="1016"/>
        <v/>
      </c>
      <c r="G602" s="1055" t="str">
        <f t="shared" ca="1" si="1016"/>
        <v/>
      </c>
      <c r="H602" s="1055" t="str">
        <f t="shared" ca="1" si="1016"/>
        <v/>
      </c>
      <c r="I602" s="1055">
        <f t="shared" ca="1" si="1016"/>
        <v>357</v>
      </c>
      <c r="J602" s="1055">
        <f t="shared" ca="1" si="1016"/>
        <v>510</v>
      </c>
      <c r="K602" s="1055" t="str">
        <f t="shared" ca="1" si="1016"/>
        <v/>
      </c>
      <c r="L602" s="1055" t="str">
        <f t="shared" ca="1" si="1016"/>
        <v/>
      </c>
      <c r="M602" s="1055" t="str">
        <f t="shared" ca="1" si="1016"/>
        <v/>
      </c>
      <c r="N602" s="1055" t="str">
        <f t="shared" ca="1" si="1016"/>
        <v/>
      </c>
      <c r="O602" s="1055" t="str">
        <f t="shared" ca="1" si="1016"/>
        <v/>
      </c>
      <c r="P602" s="1055" t="str">
        <f t="shared" ca="1" si="1016"/>
        <v/>
      </c>
      <c r="Q602" s="1055" t="str">
        <f t="shared" ca="1" si="1016"/>
        <v/>
      </c>
      <c r="R602" s="1055" t="str">
        <f t="shared" ca="1" si="1016"/>
        <v/>
      </c>
      <c r="S602" s="1055" t="str">
        <f t="shared" ca="1" si="1016"/>
        <v/>
      </c>
      <c r="T602" s="1055" t="str">
        <f t="shared" ca="1" si="1016"/>
        <v/>
      </c>
      <c r="U602" s="1055" t="str">
        <f t="shared" ca="1" si="1016"/>
        <v/>
      </c>
      <c r="V602" s="1055" t="str">
        <f t="shared" ca="1" si="1016"/>
        <v/>
      </c>
      <c r="W602" s="1055" t="str">
        <f t="shared" ca="1" si="1016"/>
        <v/>
      </c>
      <c r="X602" s="1055" t="str">
        <f t="shared" si="1016"/>
        <v/>
      </c>
      <c r="Y602" s="1055" t="str">
        <f t="shared" si="1016"/>
        <v/>
      </c>
    </row>
    <row r="603" spans="1:25">
      <c r="A603" s="598">
        <v>106</v>
      </c>
      <c r="D603" s="1055" t="str">
        <f t="shared" ref="D603:Y603" ca="1" si="1017">IF(ISNUMBER(D602),IF(D602+1&lt;IF(ISNA(E$498),$Z$616,E$498),D602+1,""),"")</f>
        <v/>
      </c>
      <c r="E603" s="1055" t="str">
        <f t="shared" ca="1" si="1017"/>
        <v/>
      </c>
      <c r="F603" s="1055" t="str">
        <f t="shared" ca="1" si="1017"/>
        <v/>
      </c>
      <c r="G603" s="1055" t="str">
        <f t="shared" ca="1" si="1017"/>
        <v/>
      </c>
      <c r="H603" s="1055" t="str">
        <f t="shared" ca="1" si="1017"/>
        <v/>
      </c>
      <c r="I603" s="1055">
        <f t="shared" ca="1" si="1017"/>
        <v>358</v>
      </c>
      <c r="J603" s="1055">
        <f t="shared" ca="1" si="1017"/>
        <v>511</v>
      </c>
      <c r="K603" s="1055" t="str">
        <f t="shared" ca="1" si="1017"/>
        <v/>
      </c>
      <c r="L603" s="1055" t="str">
        <f t="shared" ca="1" si="1017"/>
        <v/>
      </c>
      <c r="M603" s="1055" t="str">
        <f t="shared" ca="1" si="1017"/>
        <v/>
      </c>
      <c r="N603" s="1055" t="str">
        <f t="shared" ca="1" si="1017"/>
        <v/>
      </c>
      <c r="O603" s="1055" t="str">
        <f t="shared" ca="1" si="1017"/>
        <v/>
      </c>
      <c r="P603" s="1055" t="str">
        <f t="shared" ca="1" si="1017"/>
        <v/>
      </c>
      <c r="Q603" s="1055" t="str">
        <f t="shared" ca="1" si="1017"/>
        <v/>
      </c>
      <c r="R603" s="1055" t="str">
        <f t="shared" ca="1" si="1017"/>
        <v/>
      </c>
      <c r="S603" s="1055" t="str">
        <f t="shared" ca="1" si="1017"/>
        <v/>
      </c>
      <c r="T603" s="1055" t="str">
        <f t="shared" ca="1" si="1017"/>
        <v/>
      </c>
      <c r="U603" s="1055" t="str">
        <f t="shared" ca="1" si="1017"/>
        <v/>
      </c>
      <c r="V603" s="1055" t="str">
        <f t="shared" ca="1" si="1017"/>
        <v/>
      </c>
      <c r="W603" s="1055" t="str">
        <f t="shared" ca="1" si="1017"/>
        <v/>
      </c>
      <c r="X603" s="1055" t="str">
        <f t="shared" si="1017"/>
        <v/>
      </c>
      <c r="Y603" s="1055" t="str">
        <f t="shared" si="1017"/>
        <v/>
      </c>
    </row>
    <row r="604" spans="1:25">
      <c r="A604" s="598">
        <v>107</v>
      </c>
      <c r="D604" s="1055" t="str">
        <f t="shared" ref="D604:Y604" ca="1" si="1018">IF(ISNUMBER(D603),IF(D603+1&lt;IF(ISNA(E$498),$Z$616,E$498),D603+1,""),"")</f>
        <v/>
      </c>
      <c r="E604" s="1055" t="str">
        <f t="shared" ca="1" si="1018"/>
        <v/>
      </c>
      <c r="F604" s="1055" t="str">
        <f t="shared" ca="1" si="1018"/>
        <v/>
      </c>
      <c r="G604" s="1055" t="str">
        <f t="shared" ca="1" si="1018"/>
        <v/>
      </c>
      <c r="H604" s="1055" t="str">
        <f t="shared" ca="1" si="1018"/>
        <v/>
      </c>
      <c r="I604" s="1055">
        <f t="shared" ca="1" si="1018"/>
        <v>359</v>
      </c>
      <c r="J604" s="1055">
        <f t="shared" ca="1" si="1018"/>
        <v>512</v>
      </c>
      <c r="K604" s="1055" t="str">
        <f t="shared" ca="1" si="1018"/>
        <v/>
      </c>
      <c r="L604" s="1055" t="str">
        <f t="shared" ca="1" si="1018"/>
        <v/>
      </c>
      <c r="M604" s="1055" t="str">
        <f t="shared" ca="1" si="1018"/>
        <v/>
      </c>
      <c r="N604" s="1055" t="str">
        <f t="shared" ca="1" si="1018"/>
        <v/>
      </c>
      <c r="O604" s="1055" t="str">
        <f t="shared" ca="1" si="1018"/>
        <v/>
      </c>
      <c r="P604" s="1055" t="str">
        <f t="shared" ca="1" si="1018"/>
        <v/>
      </c>
      <c r="Q604" s="1055" t="str">
        <f t="shared" ca="1" si="1018"/>
        <v/>
      </c>
      <c r="R604" s="1055" t="str">
        <f t="shared" ca="1" si="1018"/>
        <v/>
      </c>
      <c r="S604" s="1055" t="str">
        <f t="shared" ca="1" si="1018"/>
        <v/>
      </c>
      <c r="T604" s="1055" t="str">
        <f t="shared" ca="1" si="1018"/>
        <v/>
      </c>
      <c r="U604" s="1055" t="str">
        <f t="shared" ca="1" si="1018"/>
        <v/>
      </c>
      <c r="V604" s="1055" t="str">
        <f t="shared" ca="1" si="1018"/>
        <v/>
      </c>
      <c r="W604" s="1055" t="str">
        <f t="shared" ca="1" si="1018"/>
        <v/>
      </c>
      <c r="X604" s="1055" t="str">
        <f t="shared" si="1018"/>
        <v/>
      </c>
      <c r="Y604" s="1055" t="str">
        <f t="shared" si="1018"/>
        <v/>
      </c>
    </row>
    <row r="605" spans="1:25">
      <c r="A605" s="598">
        <v>108</v>
      </c>
      <c r="D605" s="1055" t="str">
        <f t="shared" ref="D605:Y605" ca="1" si="1019">IF(ISNUMBER(D604),IF(D604+1&lt;IF(ISNA(E$498),$Z$616,E$498),D604+1,""),"")</f>
        <v/>
      </c>
      <c r="E605" s="1055" t="str">
        <f t="shared" ca="1" si="1019"/>
        <v/>
      </c>
      <c r="F605" s="1055" t="str">
        <f t="shared" ca="1" si="1019"/>
        <v/>
      </c>
      <c r="G605" s="1055" t="str">
        <f t="shared" ca="1" si="1019"/>
        <v/>
      </c>
      <c r="H605" s="1055" t="str">
        <f t="shared" ca="1" si="1019"/>
        <v/>
      </c>
      <c r="I605" s="1055">
        <f t="shared" ca="1" si="1019"/>
        <v>360</v>
      </c>
      <c r="J605" s="1055">
        <f t="shared" ca="1" si="1019"/>
        <v>513</v>
      </c>
      <c r="K605" s="1055" t="str">
        <f t="shared" ca="1" si="1019"/>
        <v/>
      </c>
      <c r="L605" s="1055" t="str">
        <f t="shared" ca="1" si="1019"/>
        <v/>
      </c>
      <c r="M605" s="1055" t="str">
        <f t="shared" ca="1" si="1019"/>
        <v/>
      </c>
      <c r="N605" s="1055" t="str">
        <f t="shared" ca="1" si="1019"/>
        <v/>
      </c>
      <c r="O605" s="1055" t="str">
        <f t="shared" ca="1" si="1019"/>
        <v/>
      </c>
      <c r="P605" s="1055" t="str">
        <f t="shared" ca="1" si="1019"/>
        <v/>
      </c>
      <c r="Q605" s="1055" t="str">
        <f t="shared" ca="1" si="1019"/>
        <v/>
      </c>
      <c r="R605" s="1055" t="str">
        <f t="shared" ca="1" si="1019"/>
        <v/>
      </c>
      <c r="S605" s="1055" t="str">
        <f t="shared" ca="1" si="1019"/>
        <v/>
      </c>
      <c r="T605" s="1055" t="str">
        <f t="shared" ca="1" si="1019"/>
        <v/>
      </c>
      <c r="U605" s="1055" t="str">
        <f t="shared" ca="1" si="1019"/>
        <v/>
      </c>
      <c r="V605" s="1055" t="str">
        <f t="shared" ca="1" si="1019"/>
        <v/>
      </c>
      <c r="W605" s="1055" t="str">
        <f t="shared" ca="1" si="1019"/>
        <v/>
      </c>
      <c r="X605" s="1055" t="str">
        <f t="shared" si="1019"/>
        <v/>
      </c>
      <c r="Y605" s="1055" t="str">
        <f t="shared" si="1019"/>
        <v/>
      </c>
    </row>
    <row r="606" spans="1:25">
      <c r="A606" s="598">
        <v>109</v>
      </c>
      <c r="D606" s="1055" t="str">
        <f t="shared" ref="D606:Y606" ca="1" si="1020">IF(ISNUMBER(D605),IF(D605+1&lt;IF(ISNA(E$498),$Z$616,E$498),D605+1,""),"")</f>
        <v/>
      </c>
      <c r="E606" s="1055" t="str">
        <f t="shared" ca="1" si="1020"/>
        <v/>
      </c>
      <c r="F606" s="1055" t="str">
        <f t="shared" ca="1" si="1020"/>
        <v/>
      </c>
      <c r="G606" s="1055" t="str">
        <f t="shared" ca="1" si="1020"/>
        <v/>
      </c>
      <c r="H606" s="1055" t="str">
        <f t="shared" ca="1" si="1020"/>
        <v/>
      </c>
      <c r="I606" s="1055">
        <f t="shared" ca="1" si="1020"/>
        <v>361</v>
      </c>
      <c r="J606" s="1055">
        <f t="shared" ca="1" si="1020"/>
        <v>514</v>
      </c>
      <c r="K606" s="1055" t="str">
        <f t="shared" ca="1" si="1020"/>
        <v/>
      </c>
      <c r="L606" s="1055" t="str">
        <f t="shared" ca="1" si="1020"/>
        <v/>
      </c>
      <c r="M606" s="1055" t="str">
        <f t="shared" ca="1" si="1020"/>
        <v/>
      </c>
      <c r="N606" s="1055" t="str">
        <f t="shared" ca="1" si="1020"/>
        <v/>
      </c>
      <c r="O606" s="1055" t="str">
        <f t="shared" ca="1" si="1020"/>
        <v/>
      </c>
      <c r="P606" s="1055" t="str">
        <f t="shared" ca="1" si="1020"/>
        <v/>
      </c>
      <c r="Q606" s="1055" t="str">
        <f t="shared" ca="1" si="1020"/>
        <v/>
      </c>
      <c r="R606" s="1055" t="str">
        <f t="shared" ca="1" si="1020"/>
        <v/>
      </c>
      <c r="S606" s="1055" t="str">
        <f t="shared" ca="1" si="1020"/>
        <v/>
      </c>
      <c r="T606" s="1055" t="str">
        <f t="shared" ca="1" si="1020"/>
        <v/>
      </c>
      <c r="U606" s="1055" t="str">
        <f t="shared" ca="1" si="1020"/>
        <v/>
      </c>
      <c r="V606" s="1055" t="str">
        <f t="shared" ca="1" si="1020"/>
        <v/>
      </c>
      <c r="W606" s="1055" t="str">
        <f t="shared" ca="1" si="1020"/>
        <v/>
      </c>
      <c r="X606" s="1055" t="str">
        <f t="shared" si="1020"/>
        <v/>
      </c>
      <c r="Y606" s="1055" t="str">
        <f t="shared" si="1020"/>
        <v/>
      </c>
    </row>
    <row r="607" spans="1:25">
      <c r="A607" s="598">
        <v>110</v>
      </c>
      <c r="D607" s="1055" t="str">
        <f t="shared" ref="D607:Y607" ca="1" si="1021">IF(ISNUMBER(D606),IF(D606+1&lt;IF(ISNA(E$498),$Z$616,E$498),D606+1,""),"")</f>
        <v/>
      </c>
      <c r="E607" s="1055" t="str">
        <f t="shared" ca="1" si="1021"/>
        <v/>
      </c>
      <c r="F607" s="1055" t="str">
        <f t="shared" ca="1" si="1021"/>
        <v/>
      </c>
      <c r="G607" s="1055" t="str">
        <f t="shared" ca="1" si="1021"/>
        <v/>
      </c>
      <c r="H607" s="1055" t="str">
        <f t="shared" ca="1" si="1021"/>
        <v/>
      </c>
      <c r="I607" s="1055">
        <f t="shared" ca="1" si="1021"/>
        <v>362</v>
      </c>
      <c r="J607" s="1055">
        <f t="shared" ca="1" si="1021"/>
        <v>515</v>
      </c>
      <c r="K607" s="1055" t="str">
        <f t="shared" ca="1" si="1021"/>
        <v/>
      </c>
      <c r="L607" s="1055" t="str">
        <f t="shared" ca="1" si="1021"/>
        <v/>
      </c>
      <c r="M607" s="1055" t="str">
        <f t="shared" ca="1" si="1021"/>
        <v/>
      </c>
      <c r="N607" s="1055" t="str">
        <f t="shared" ca="1" si="1021"/>
        <v/>
      </c>
      <c r="O607" s="1055" t="str">
        <f t="shared" ca="1" si="1021"/>
        <v/>
      </c>
      <c r="P607" s="1055" t="str">
        <f t="shared" ca="1" si="1021"/>
        <v/>
      </c>
      <c r="Q607" s="1055" t="str">
        <f t="shared" ca="1" si="1021"/>
        <v/>
      </c>
      <c r="R607" s="1055" t="str">
        <f t="shared" ca="1" si="1021"/>
        <v/>
      </c>
      <c r="S607" s="1055" t="str">
        <f t="shared" ca="1" si="1021"/>
        <v/>
      </c>
      <c r="T607" s="1055" t="str">
        <f t="shared" ca="1" si="1021"/>
        <v/>
      </c>
      <c r="U607" s="1055" t="str">
        <f t="shared" ca="1" si="1021"/>
        <v/>
      </c>
      <c r="V607" s="1055" t="str">
        <f t="shared" ca="1" si="1021"/>
        <v/>
      </c>
      <c r="W607" s="1055" t="str">
        <f t="shared" ca="1" si="1021"/>
        <v/>
      </c>
      <c r="X607" s="1055" t="str">
        <f t="shared" si="1021"/>
        <v/>
      </c>
      <c r="Y607" s="1055" t="str">
        <f t="shared" si="1021"/>
        <v/>
      </c>
    </row>
    <row r="608" spans="1:25">
      <c r="A608" s="598">
        <v>111</v>
      </c>
      <c r="D608" s="1055" t="str">
        <f t="shared" ref="D608:Y608" ca="1" si="1022">IF(ISNUMBER(D607),IF(D607+1&lt;IF(ISNA(E$498),$Z$616,E$498),D607+1,""),"")</f>
        <v/>
      </c>
      <c r="E608" s="1055" t="str">
        <f t="shared" ca="1" si="1022"/>
        <v/>
      </c>
      <c r="F608" s="1055" t="str">
        <f t="shared" ca="1" si="1022"/>
        <v/>
      </c>
      <c r="G608" s="1055" t="str">
        <f t="shared" ca="1" si="1022"/>
        <v/>
      </c>
      <c r="H608" s="1055" t="str">
        <f t="shared" ca="1" si="1022"/>
        <v/>
      </c>
      <c r="I608" s="1055">
        <f t="shared" ca="1" si="1022"/>
        <v>363</v>
      </c>
      <c r="J608" s="1055" t="str">
        <f t="shared" ca="1" si="1022"/>
        <v/>
      </c>
      <c r="K608" s="1055" t="str">
        <f t="shared" ca="1" si="1022"/>
        <v/>
      </c>
      <c r="L608" s="1055" t="str">
        <f t="shared" ca="1" si="1022"/>
        <v/>
      </c>
      <c r="M608" s="1055" t="str">
        <f t="shared" ca="1" si="1022"/>
        <v/>
      </c>
      <c r="N608" s="1055" t="str">
        <f t="shared" ca="1" si="1022"/>
        <v/>
      </c>
      <c r="O608" s="1055" t="str">
        <f t="shared" ca="1" si="1022"/>
        <v/>
      </c>
      <c r="P608" s="1055" t="str">
        <f t="shared" ca="1" si="1022"/>
        <v/>
      </c>
      <c r="Q608" s="1055" t="str">
        <f t="shared" ca="1" si="1022"/>
        <v/>
      </c>
      <c r="R608" s="1055" t="str">
        <f t="shared" ca="1" si="1022"/>
        <v/>
      </c>
      <c r="S608" s="1055" t="str">
        <f t="shared" ca="1" si="1022"/>
        <v/>
      </c>
      <c r="T608" s="1055" t="str">
        <f t="shared" ca="1" si="1022"/>
        <v/>
      </c>
      <c r="U608" s="1055" t="str">
        <f t="shared" ca="1" si="1022"/>
        <v/>
      </c>
      <c r="V608" s="1055" t="str">
        <f t="shared" ca="1" si="1022"/>
        <v/>
      </c>
      <c r="W608" s="1055" t="str">
        <f t="shared" ca="1" si="1022"/>
        <v/>
      </c>
      <c r="X608" s="1055" t="str">
        <f t="shared" si="1022"/>
        <v/>
      </c>
      <c r="Y608" s="1055" t="str">
        <f t="shared" si="1022"/>
        <v/>
      </c>
    </row>
    <row r="609" spans="1:26">
      <c r="A609" s="598">
        <v>112</v>
      </c>
      <c r="D609" s="1055" t="str">
        <f t="shared" ref="D609:Y609" ca="1" si="1023">IF(ISNUMBER(D608),IF(D608+1&lt;IF(ISNA(E$498),$Z$616,E$498),D608+1,""),"")</f>
        <v/>
      </c>
      <c r="E609" s="1055" t="str">
        <f t="shared" ca="1" si="1023"/>
        <v/>
      </c>
      <c r="F609" s="1055" t="str">
        <f t="shared" ca="1" si="1023"/>
        <v/>
      </c>
      <c r="G609" s="1055" t="str">
        <f t="shared" ca="1" si="1023"/>
        <v/>
      </c>
      <c r="H609" s="1055" t="str">
        <f t="shared" ca="1" si="1023"/>
        <v/>
      </c>
      <c r="I609" s="1055">
        <f t="shared" ca="1" si="1023"/>
        <v>364</v>
      </c>
      <c r="J609" s="1055" t="str">
        <f t="shared" ca="1" si="1023"/>
        <v/>
      </c>
      <c r="K609" s="1055" t="str">
        <f t="shared" ca="1" si="1023"/>
        <v/>
      </c>
      <c r="L609" s="1055" t="str">
        <f t="shared" ca="1" si="1023"/>
        <v/>
      </c>
      <c r="M609" s="1055" t="str">
        <f t="shared" ca="1" si="1023"/>
        <v/>
      </c>
      <c r="N609" s="1055" t="str">
        <f t="shared" ca="1" si="1023"/>
        <v/>
      </c>
      <c r="O609" s="1055" t="str">
        <f t="shared" ca="1" si="1023"/>
        <v/>
      </c>
      <c r="P609" s="1055" t="str">
        <f t="shared" ca="1" si="1023"/>
        <v/>
      </c>
      <c r="Q609" s="1055" t="str">
        <f t="shared" ca="1" si="1023"/>
        <v/>
      </c>
      <c r="R609" s="1055" t="str">
        <f t="shared" ca="1" si="1023"/>
        <v/>
      </c>
      <c r="S609" s="1055" t="str">
        <f t="shared" ca="1" si="1023"/>
        <v/>
      </c>
      <c r="T609" s="1055" t="str">
        <f t="shared" ca="1" si="1023"/>
        <v/>
      </c>
      <c r="U609" s="1055" t="str">
        <f t="shared" ca="1" si="1023"/>
        <v/>
      </c>
      <c r="V609" s="1055" t="str">
        <f t="shared" ca="1" si="1023"/>
        <v/>
      </c>
      <c r="W609" s="1055" t="str">
        <f t="shared" ca="1" si="1023"/>
        <v/>
      </c>
      <c r="X609" s="1055" t="str">
        <f t="shared" si="1023"/>
        <v/>
      </c>
      <c r="Y609" s="1055" t="str">
        <f t="shared" si="1023"/>
        <v/>
      </c>
    </row>
    <row r="610" spans="1:26">
      <c r="A610" s="598">
        <v>113</v>
      </c>
      <c r="D610" s="1055" t="str">
        <f t="shared" ref="D610:Y610" ca="1" si="1024">IF(ISNUMBER(D609),IF(D609+1&lt;IF(ISNA(E$498),$Z$616,E$498),D609+1,""),"")</f>
        <v/>
      </c>
      <c r="E610" s="1055" t="str">
        <f t="shared" ca="1" si="1024"/>
        <v/>
      </c>
      <c r="F610" s="1055" t="str">
        <f t="shared" ca="1" si="1024"/>
        <v/>
      </c>
      <c r="G610" s="1055" t="str">
        <f t="shared" ca="1" si="1024"/>
        <v/>
      </c>
      <c r="H610" s="1055" t="str">
        <f t="shared" ca="1" si="1024"/>
        <v/>
      </c>
      <c r="I610" s="1055">
        <f t="shared" ca="1" si="1024"/>
        <v>365</v>
      </c>
      <c r="J610" s="1055" t="str">
        <f t="shared" ca="1" si="1024"/>
        <v/>
      </c>
      <c r="K610" s="1055" t="str">
        <f t="shared" ca="1" si="1024"/>
        <v/>
      </c>
      <c r="L610" s="1055" t="str">
        <f t="shared" ca="1" si="1024"/>
        <v/>
      </c>
      <c r="M610" s="1055" t="str">
        <f t="shared" ca="1" si="1024"/>
        <v/>
      </c>
      <c r="N610" s="1055" t="str">
        <f t="shared" ca="1" si="1024"/>
        <v/>
      </c>
      <c r="O610" s="1055" t="str">
        <f t="shared" ca="1" si="1024"/>
        <v/>
      </c>
      <c r="P610" s="1055" t="str">
        <f t="shared" ca="1" si="1024"/>
        <v/>
      </c>
      <c r="Q610" s="1055" t="str">
        <f t="shared" ca="1" si="1024"/>
        <v/>
      </c>
      <c r="R610" s="1055" t="str">
        <f t="shared" ca="1" si="1024"/>
        <v/>
      </c>
      <c r="S610" s="1055" t="str">
        <f t="shared" ca="1" si="1024"/>
        <v/>
      </c>
      <c r="T610" s="1055" t="str">
        <f t="shared" ca="1" si="1024"/>
        <v/>
      </c>
      <c r="U610" s="1055" t="str">
        <f t="shared" ca="1" si="1024"/>
        <v/>
      </c>
      <c r="V610" s="1055" t="str">
        <f t="shared" ca="1" si="1024"/>
        <v/>
      </c>
      <c r="W610" s="1055" t="str">
        <f t="shared" ca="1" si="1024"/>
        <v/>
      </c>
      <c r="X610" s="1055" t="str">
        <f t="shared" si="1024"/>
        <v/>
      </c>
      <c r="Y610" s="1055" t="str">
        <f t="shared" si="1024"/>
        <v/>
      </c>
    </row>
    <row r="611" spans="1:26">
      <c r="A611" s="598">
        <v>114</v>
      </c>
      <c r="D611" s="1055" t="str">
        <f t="shared" ref="D611:Y611" ca="1" si="1025">IF(ISNUMBER(D610),IF(D610+1&lt;IF(ISNA(E$498),$Z$616,E$498),D610+1,""),"")</f>
        <v/>
      </c>
      <c r="E611" s="1055" t="str">
        <f t="shared" ca="1" si="1025"/>
        <v/>
      </c>
      <c r="F611" s="1055" t="str">
        <f t="shared" ca="1" si="1025"/>
        <v/>
      </c>
      <c r="G611" s="1055" t="str">
        <f t="shared" ca="1" si="1025"/>
        <v/>
      </c>
      <c r="H611" s="1055" t="str">
        <f t="shared" ca="1" si="1025"/>
        <v/>
      </c>
      <c r="I611" s="1055">
        <f t="shared" ca="1" si="1025"/>
        <v>366</v>
      </c>
      <c r="J611" s="1055" t="str">
        <f t="shared" ca="1" si="1025"/>
        <v/>
      </c>
      <c r="K611" s="1055" t="str">
        <f t="shared" ca="1" si="1025"/>
        <v/>
      </c>
      <c r="L611" s="1055" t="str">
        <f t="shared" ca="1" si="1025"/>
        <v/>
      </c>
      <c r="M611" s="1055" t="str">
        <f t="shared" ca="1" si="1025"/>
        <v/>
      </c>
      <c r="N611" s="1055" t="str">
        <f t="shared" ca="1" si="1025"/>
        <v/>
      </c>
      <c r="O611" s="1055" t="str">
        <f t="shared" ca="1" si="1025"/>
        <v/>
      </c>
      <c r="P611" s="1055" t="str">
        <f t="shared" ca="1" si="1025"/>
        <v/>
      </c>
      <c r="Q611" s="1055" t="str">
        <f t="shared" ca="1" si="1025"/>
        <v/>
      </c>
      <c r="R611" s="1055" t="str">
        <f t="shared" ca="1" si="1025"/>
        <v/>
      </c>
      <c r="S611" s="1055" t="str">
        <f t="shared" ca="1" si="1025"/>
        <v/>
      </c>
      <c r="T611" s="1055" t="str">
        <f t="shared" ca="1" si="1025"/>
        <v/>
      </c>
      <c r="U611" s="1055" t="str">
        <f t="shared" ca="1" si="1025"/>
        <v/>
      </c>
      <c r="V611" s="1055" t="str">
        <f t="shared" ca="1" si="1025"/>
        <v/>
      </c>
      <c r="W611" s="1055" t="str">
        <f t="shared" ca="1" si="1025"/>
        <v/>
      </c>
      <c r="X611" s="1055" t="str">
        <f t="shared" si="1025"/>
        <v/>
      </c>
      <c r="Y611" s="1055" t="str">
        <f t="shared" si="1025"/>
        <v/>
      </c>
    </row>
    <row r="612" spans="1:26">
      <c r="A612" s="598">
        <v>115</v>
      </c>
      <c r="D612" s="1055" t="str">
        <f t="shared" ref="D612:Y612" ca="1" si="1026">IF(ISNUMBER(D611),IF(D611+1&lt;IF(ISNA(E$498),$Z$616,E$498),D611+1,""),"")</f>
        <v/>
      </c>
      <c r="E612" s="1055" t="str">
        <f t="shared" ca="1" si="1026"/>
        <v/>
      </c>
      <c r="F612" s="1055" t="str">
        <f t="shared" ca="1" si="1026"/>
        <v/>
      </c>
      <c r="G612" s="1055" t="str">
        <f t="shared" ca="1" si="1026"/>
        <v/>
      </c>
      <c r="H612" s="1055" t="str">
        <f t="shared" ca="1" si="1026"/>
        <v/>
      </c>
      <c r="I612" s="1055">
        <f t="shared" ca="1" si="1026"/>
        <v>367</v>
      </c>
      <c r="J612" s="1055" t="str">
        <f t="shared" ca="1" si="1026"/>
        <v/>
      </c>
      <c r="K612" s="1055" t="str">
        <f t="shared" ca="1" si="1026"/>
        <v/>
      </c>
      <c r="L612" s="1055" t="str">
        <f t="shared" ca="1" si="1026"/>
        <v/>
      </c>
      <c r="M612" s="1055" t="str">
        <f t="shared" ca="1" si="1026"/>
        <v/>
      </c>
      <c r="N612" s="1055" t="str">
        <f t="shared" ca="1" si="1026"/>
        <v/>
      </c>
      <c r="O612" s="1055" t="str">
        <f t="shared" ca="1" si="1026"/>
        <v/>
      </c>
      <c r="P612" s="1055" t="str">
        <f t="shared" ca="1" si="1026"/>
        <v/>
      </c>
      <c r="Q612" s="1055" t="str">
        <f t="shared" ca="1" si="1026"/>
        <v/>
      </c>
      <c r="R612" s="1055" t="str">
        <f t="shared" ca="1" si="1026"/>
        <v/>
      </c>
      <c r="S612" s="1055" t="str">
        <f t="shared" ca="1" si="1026"/>
        <v/>
      </c>
      <c r="T612" s="1055" t="str">
        <f t="shared" ca="1" si="1026"/>
        <v/>
      </c>
      <c r="U612" s="1055" t="str">
        <f t="shared" ca="1" si="1026"/>
        <v/>
      </c>
      <c r="V612" s="1055" t="str">
        <f t="shared" ca="1" si="1026"/>
        <v/>
      </c>
      <c r="W612" s="1055" t="str">
        <f t="shared" ca="1" si="1026"/>
        <v/>
      </c>
      <c r="X612" s="1055" t="str">
        <f t="shared" si="1026"/>
        <v/>
      </c>
      <c r="Y612" s="1055" t="str">
        <f t="shared" si="1026"/>
        <v/>
      </c>
    </row>
    <row r="613" spans="1:26">
      <c r="A613" s="598">
        <v>116</v>
      </c>
      <c r="D613" s="1055" t="str">
        <f t="shared" ref="D613:Y613" ca="1" si="1027">IF(ISNUMBER(D612),IF(D612+1&lt;IF(ISNA(E$498),$Z$616,E$498),D612+1,""),"")</f>
        <v/>
      </c>
      <c r="E613" s="1055" t="str">
        <f t="shared" ca="1" si="1027"/>
        <v/>
      </c>
      <c r="F613" s="1055" t="str">
        <f t="shared" ca="1" si="1027"/>
        <v/>
      </c>
      <c r="G613" s="1055" t="str">
        <f t="shared" ca="1" si="1027"/>
        <v/>
      </c>
      <c r="H613" s="1055" t="str">
        <f t="shared" ca="1" si="1027"/>
        <v/>
      </c>
      <c r="I613" s="1055">
        <f t="shared" ca="1" si="1027"/>
        <v>368</v>
      </c>
      <c r="J613" s="1055" t="str">
        <f t="shared" ca="1" si="1027"/>
        <v/>
      </c>
      <c r="K613" s="1055" t="str">
        <f t="shared" ca="1" si="1027"/>
        <v/>
      </c>
      <c r="L613" s="1055" t="str">
        <f t="shared" ca="1" si="1027"/>
        <v/>
      </c>
      <c r="M613" s="1055" t="str">
        <f t="shared" ca="1" si="1027"/>
        <v/>
      </c>
      <c r="N613" s="1055" t="str">
        <f t="shared" ca="1" si="1027"/>
        <v/>
      </c>
      <c r="O613" s="1055" t="str">
        <f t="shared" ca="1" si="1027"/>
        <v/>
      </c>
      <c r="P613" s="1055" t="str">
        <f t="shared" ca="1" si="1027"/>
        <v/>
      </c>
      <c r="Q613" s="1055" t="str">
        <f t="shared" ca="1" si="1027"/>
        <v/>
      </c>
      <c r="R613" s="1055" t="str">
        <f t="shared" ca="1" si="1027"/>
        <v/>
      </c>
      <c r="S613" s="1055" t="str">
        <f t="shared" ca="1" si="1027"/>
        <v/>
      </c>
      <c r="T613" s="1055" t="str">
        <f t="shared" ca="1" si="1027"/>
        <v/>
      </c>
      <c r="U613" s="1055" t="str">
        <f t="shared" ca="1" si="1027"/>
        <v/>
      </c>
      <c r="V613" s="1055" t="str">
        <f t="shared" ca="1" si="1027"/>
        <v/>
      </c>
      <c r="W613" s="1055" t="str">
        <f t="shared" ca="1" si="1027"/>
        <v/>
      </c>
      <c r="X613" s="1055" t="str">
        <f t="shared" si="1027"/>
        <v/>
      </c>
      <c r="Y613" s="1055" t="str">
        <f t="shared" si="1027"/>
        <v/>
      </c>
    </row>
    <row r="614" spans="1:26">
      <c r="A614" s="598">
        <v>117</v>
      </c>
      <c r="D614" s="1055" t="str">
        <f t="shared" ref="D614:Y614" ca="1" si="1028">IF(ISNUMBER(D613),IF(D613+1&lt;IF(ISNA(E$498),$Z$616,E$498),D613+1,""),"")</f>
        <v/>
      </c>
      <c r="E614" s="1055" t="str">
        <f t="shared" ca="1" si="1028"/>
        <v/>
      </c>
      <c r="F614" s="1055" t="str">
        <f t="shared" ca="1" si="1028"/>
        <v/>
      </c>
      <c r="G614" s="1055" t="str">
        <f t="shared" ca="1" si="1028"/>
        <v/>
      </c>
      <c r="H614" s="1055" t="str">
        <f t="shared" ca="1" si="1028"/>
        <v/>
      </c>
      <c r="I614" s="1055">
        <f t="shared" ca="1" si="1028"/>
        <v>369</v>
      </c>
      <c r="J614" s="1055" t="str">
        <f t="shared" ca="1" si="1028"/>
        <v/>
      </c>
      <c r="K614" s="1055" t="str">
        <f t="shared" ca="1" si="1028"/>
        <v/>
      </c>
      <c r="L614" s="1055" t="str">
        <f t="shared" ca="1" si="1028"/>
        <v/>
      </c>
      <c r="M614" s="1055" t="str">
        <f t="shared" ca="1" si="1028"/>
        <v/>
      </c>
      <c r="N614" s="1055" t="str">
        <f t="shared" ca="1" si="1028"/>
        <v/>
      </c>
      <c r="O614" s="1055" t="str">
        <f t="shared" ca="1" si="1028"/>
        <v/>
      </c>
      <c r="P614" s="1055" t="str">
        <f t="shared" ca="1" si="1028"/>
        <v/>
      </c>
      <c r="Q614" s="1055" t="str">
        <f t="shared" ca="1" si="1028"/>
        <v/>
      </c>
      <c r="R614" s="1055" t="str">
        <f t="shared" ca="1" si="1028"/>
        <v/>
      </c>
      <c r="S614" s="1055" t="str">
        <f t="shared" ca="1" si="1028"/>
        <v/>
      </c>
      <c r="T614" s="1055" t="str">
        <f t="shared" ca="1" si="1028"/>
        <v/>
      </c>
      <c r="U614" s="1055" t="str">
        <f t="shared" ca="1" si="1028"/>
        <v/>
      </c>
      <c r="V614" s="1055" t="str">
        <f t="shared" ca="1" si="1028"/>
        <v/>
      </c>
      <c r="W614" s="1055" t="str">
        <f t="shared" ca="1" si="1028"/>
        <v/>
      </c>
      <c r="X614" s="1055" t="str">
        <f t="shared" si="1028"/>
        <v/>
      </c>
      <c r="Y614" s="1055" t="str">
        <f t="shared" si="1028"/>
        <v/>
      </c>
    </row>
    <row r="615" spans="1:26">
      <c r="A615" s="598">
        <v>118</v>
      </c>
      <c r="D615" s="1055" t="str">
        <f t="shared" ref="D615:Y615" ca="1" si="1029">IF(ISNUMBER(D614),IF(D614+1&lt;IF(ISNA(E$498),$Z$616,E$498),D614+1,""),"")</f>
        <v/>
      </c>
      <c r="E615" s="1055" t="str">
        <f t="shared" ca="1" si="1029"/>
        <v/>
      </c>
      <c r="F615" s="1055" t="str">
        <f t="shared" ca="1" si="1029"/>
        <v/>
      </c>
      <c r="G615" s="1055" t="str">
        <f t="shared" ca="1" si="1029"/>
        <v/>
      </c>
      <c r="H615" s="1055" t="str">
        <f t="shared" ca="1" si="1029"/>
        <v/>
      </c>
      <c r="I615" s="1055">
        <f t="shared" ca="1" si="1029"/>
        <v>370</v>
      </c>
      <c r="J615" s="1055" t="str">
        <f t="shared" ca="1" si="1029"/>
        <v/>
      </c>
      <c r="K615" s="1055" t="str">
        <f t="shared" ca="1" si="1029"/>
        <v/>
      </c>
      <c r="L615" s="1055" t="str">
        <f t="shared" ca="1" si="1029"/>
        <v/>
      </c>
      <c r="M615" s="1055" t="str">
        <f t="shared" ca="1" si="1029"/>
        <v/>
      </c>
      <c r="N615" s="1055" t="str">
        <f t="shared" ca="1" si="1029"/>
        <v/>
      </c>
      <c r="O615" s="1055" t="str">
        <f t="shared" ca="1" si="1029"/>
        <v/>
      </c>
      <c r="P615" s="1055" t="str">
        <f t="shared" ca="1" si="1029"/>
        <v/>
      </c>
      <c r="Q615" s="1055" t="str">
        <f t="shared" ca="1" si="1029"/>
        <v/>
      </c>
      <c r="R615" s="1055" t="str">
        <f t="shared" ca="1" si="1029"/>
        <v/>
      </c>
      <c r="S615" s="1055" t="str">
        <f t="shared" ca="1" si="1029"/>
        <v/>
      </c>
      <c r="T615" s="1055" t="str">
        <f t="shared" ca="1" si="1029"/>
        <v/>
      </c>
      <c r="U615" s="1055" t="str">
        <f t="shared" ca="1" si="1029"/>
        <v/>
      </c>
      <c r="V615" s="1055" t="str">
        <f t="shared" ca="1" si="1029"/>
        <v/>
      </c>
      <c r="W615" s="1055" t="str">
        <f t="shared" ca="1" si="1029"/>
        <v/>
      </c>
      <c r="X615" s="1055" t="str">
        <f t="shared" si="1029"/>
        <v/>
      </c>
      <c r="Y615" s="1055" t="str">
        <f t="shared" si="1029"/>
        <v/>
      </c>
      <c r="Z615" s="1055" t="s">
        <v>5676</v>
      </c>
    </row>
    <row r="616" spans="1:26">
      <c r="Z616" s="1055">
        <f>MATCH(Z615,'Master Spell List'!$Z$3:$Z$2006,0)+4</f>
        <v>1058</v>
      </c>
    </row>
  </sheetData>
  <phoneticPr fontId="17" type="noConversion"/>
  <pageMargins left="0.75" right="0.75" top="1" bottom="1" header="0.5" footer="0.5"/>
  <pageSetup orientation="portrait" horizontalDpi="360" verticalDpi="1200" r:id="rId1"/>
  <headerFooter alignWithMargins="0"/>
</worksheet>
</file>

<file path=xl/worksheets/sheet18.xml><?xml version="1.0" encoding="utf-8"?>
<worksheet xmlns="http://schemas.openxmlformats.org/spreadsheetml/2006/main" xmlns:r="http://schemas.openxmlformats.org/officeDocument/2006/relationships">
  <sheetPr codeName="Sheet18"/>
  <dimension ref="A1:Q167"/>
  <sheetViews>
    <sheetView topLeftCell="A22" workbookViewId="0">
      <selection activeCell="I23" sqref="I23"/>
    </sheetView>
  </sheetViews>
  <sheetFormatPr defaultColWidth="9.140625" defaultRowHeight="11.25"/>
  <cols>
    <col min="1" max="1" width="3.140625" style="598" bestFit="1" customWidth="1"/>
    <col min="2" max="2" width="2.42578125" style="598" bestFit="1" customWidth="1"/>
    <col min="3" max="3" width="22.42578125" style="598" bestFit="1" customWidth="1"/>
    <col min="4" max="4" width="3.85546875" style="598" bestFit="1" customWidth="1"/>
    <col min="5" max="5" width="2.42578125" style="598" bestFit="1" customWidth="1"/>
    <col min="6" max="7" width="8.85546875" style="598" bestFit="1" customWidth="1"/>
    <col min="8" max="8" width="4.5703125" style="598" bestFit="1" customWidth="1"/>
    <col min="9" max="9" width="2.42578125" style="598" bestFit="1" customWidth="1"/>
    <col min="10" max="10" width="2.140625" style="598" bestFit="1" customWidth="1"/>
    <col min="11" max="11" width="11.28515625" style="598" bestFit="1" customWidth="1"/>
    <col min="12" max="12" width="4.5703125" style="598" bestFit="1" customWidth="1"/>
    <col min="13" max="13" width="3.85546875" style="598" bestFit="1" customWidth="1"/>
    <col min="14" max="14" width="8.140625" style="598" bestFit="1" customWidth="1"/>
    <col min="15" max="15" width="3.85546875" style="598" bestFit="1" customWidth="1"/>
    <col min="16" max="16" width="11.28515625" style="598" bestFit="1" customWidth="1"/>
    <col min="17" max="17" width="12.5703125" style="598" bestFit="1" customWidth="1"/>
    <col min="18" max="18" width="5.28515625" style="598" bestFit="1" customWidth="1"/>
    <col min="19" max="20" width="4.5703125" style="598" bestFit="1" customWidth="1"/>
    <col min="21" max="21" width="2.42578125" style="598" bestFit="1" customWidth="1"/>
    <col min="22" max="22" width="3.140625" style="598" bestFit="1" customWidth="1"/>
    <col min="23" max="23" width="2.42578125" style="598" bestFit="1" customWidth="1"/>
    <col min="24" max="24" width="11.28515625" style="598" bestFit="1" customWidth="1"/>
    <col min="25" max="25" width="28.7109375" style="598" bestFit="1" customWidth="1"/>
    <col min="26" max="26" width="3.85546875" style="598" bestFit="1" customWidth="1"/>
    <col min="27" max="27" width="4.5703125" style="598" bestFit="1" customWidth="1"/>
    <col min="28" max="28" width="3.85546875" style="598" bestFit="1" customWidth="1"/>
    <col min="29" max="29" width="2.42578125" style="598" bestFit="1" customWidth="1"/>
    <col min="30" max="31" width="8.85546875" style="598" bestFit="1" customWidth="1"/>
    <col min="32" max="32" width="4.5703125" style="598" bestFit="1" customWidth="1"/>
    <col min="33" max="33" width="2.42578125" style="598" bestFit="1" customWidth="1"/>
    <col min="34" max="40" width="3.7109375" style="598" customWidth="1"/>
    <col min="41" max="16384" width="9.140625" style="598"/>
  </cols>
  <sheetData>
    <row r="1" spans="1:17">
      <c r="C1" s="598" t="s">
        <v>2385</v>
      </c>
      <c r="N1" s="598" t="s">
        <v>5664</v>
      </c>
    </row>
    <row r="2" spans="1:17">
      <c r="C2" s="598" t="s">
        <v>5139</v>
      </c>
      <c r="N2" s="598">
        <v>1</v>
      </c>
      <c r="O2" s="598">
        <v>1</v>
      </c>
      <c r="P2" s="598" t="s">
        <v>5139</v>
      </c>
      <c r="Q2" s="598" t="s">
        <v>5665</v>
      </c>
    </row>
    <row r="3" spans="1:17">
      <c r="A3" s="598">
        <v>1</v>
      </c>
      <c r="B3" s="598">
        <v>1</v>
      </c>
      <c r="C3" s="598" t="s">
        <v>5076</v>
      </c>
      <c r="D3" s="598">
        <f>4*'Main Creation Page'!$K$38</f>
        <v>0</v>
      </c>
      <c r="E3" s="598">
        <v>5</v>
      </c>
      <c r="F3" s="598">
        <f>G3/30</f>
        <v>1.6666666666666666E-3</v>
      </c>
      <c r="G3" s="598">
        <f>H3/12</f>
        <v>4.9999999999999996E-2</v>
      </c>
      <c r="H3" s="598">
        <v>0.6</v>
      </c>
      <c r="I3" s="598">
        <v>3</v>
      </c>
      <c r="N3" s="598">
        <v>11</v>
      </c>
      <c r="O3" s="598">
        <v>2</v>
      </c>
      <c r="P3" s="598" t="s">
        <v>3460</v>
      </c>
      <c r="Q3" s="598" t="s">
        <v>5666</v>
      </c>
    </row>
    <row r="4" spans="1:17">
      <c r="A4" s="598">
        <v>61</v>
      </c>
      <c r="B4" s="598">
        <v>2</v>
      </c>
      <c r="C4" s="598" t="s">
        <v>5077</v>
      </c>
      <c r="D4" s="598">
        <f>4*'Main Creation Page'!$K$38</f>
        <v>0</v>
      </c>
      <c r="E4" s="598">
        <v>5</v>
      </c>
      <c r="F4" s="598">
        <v>2.5000000000000001E-3</v>
      </c>
      <c r="G4" s="598">
        <v>5.2499999999999998E-2</v>
      </c>
      <c r="H4" s="598">
        <v>0.63</v>
      </c>
      <c r="I4" s="598">
        <v>3</v>
      </c>
      <c r="N4" s="598">
        <v>51</v>
      </c>
      <c r="O4" s="598">
        <v>3</v>
      </c>
      <c r="P4" s="598" t="s">
        <v>5141</v>
      </c>
      <c r="Q4" s="598" t="s">
        <v>5667</v>
      </c>
    </row>
    <row r="5" spans="1:17">
      <c r="A5" s="598">
        <v>71</v>
      </c>
      <c r="B5" s="598">
        <v>3</v>
      </c>
      <c r="C5" s="598" t="s">
        <v>5078</v>
      </c>
      <c r="D5" s="598">
        <f>4*'Main Creation Page'!$K$38</f>
        <v>0</v>
      </c>
      <c r="E5" s="598">
        <v>5</v>
      </c>
      <c r="F5" s="598">
        <v>5.0000000000000001E-3</v>
      </c>
      <c r="G5" s="598">
        <v>0.15</v>
      </c>
      <c r="H5" s="598">
        <v>1.8</v>
      </c>
      <c r="I5" s="598">
        <v>3</v>
      </c>
      <c r="N5" s="598">
        <v>71</v>
      </c>
      <c r="O5" s="598">
        <v>4</v>
      </c>
      <c r="P5" s="598" t="s">
        <v>406</v>
      </c>
      <c r="Q5" s="598" t="s">
        <v>5668</v>
      </c>
    </row>
    <row r="6" spans="1:17">
      <c r="A6" s="598">
        <v>76</v>
      </c>
      <c r="B6" s="598">
        <v>4</v>
      </c>
      <c r="C6" s="598" t="s">
        <v>5355</v>
      </c>
      <c r="D6" s="598">
        <f>4*'Main Creation Page'!$K$38</f>
        <v>0</v>
      </c>
      <c r="E6" s="598">
        <v>5</v>
      </c>
      <c r="F6" s="598">
        <v>5.0000000000000001E-3</v>
      </c>
      <c r="G6" s="598">
        <v>0.15</v>
      </c>
      <c r="H6" s="598">
        <v>1.8</v>
      </c>
      <c r="I6" s="598">
        <v>3</v>
      </c>
      <c r="N6" s="598">
        <v>76</v>
      </c>
      <c r="O6" s="598">
        <v>5</v>
      </c>
      <c r="P6" s="598" t="s">
        <v>407</v>
      </c>
      <c r="Q6" s="598" t="s">
        <v>5669</v>
      </c>
    </row>
    <row r="7" spans="1:17">
      <c r="A7" s="598">
        <v>81</v>
      </c>
      <c r="B7" s="598">
        <v>5</v>
      </c>
      <c r="C7" s="598" t="s">
        <v>5079</v>
      </c>
      <c r="D7" s="598">
        <f>4*'Main Creation Page'!$K$38</f>
        <v>0</v>
      </c>
      <c r="E7" s="598">
        <v>3</v>
      </c>
      <c r="F7" s="598">
        <v>5.0000000000000001E-3</v>
      </c>
      <c r="G7" s="598">
        <v>0.15</v>
      </c>
      <c r="H7" s="598">
        <v>1.8</v>
      </c>
      <c r="I7" s="598">
        <v>3</v>
      </c>
      <c r="N7" s="598">
        <v>81</v>
      </c>
      <c r="O7" s="598">
        <v>6</v>
      </c>
      <c r="P7" s="598" t="s">
        <v>408</v>
      </c>
      <c r="Q7" s="598" t="s">
        <v>5670</v>
      </c>
    </row>
    <row r="8" spans="1:17">
      <c r="A8" s="598">
        <v>86</v>
      </c>
      <c r="B8" s="598">
        <v>6</v>
      </c>
      <c r="C8" s="598" t="s">
        <v>5080</v>
      </c>
      <c r="D8" s="598">
        <f>4*'Main Creation Page'!$K$38</f>
        <v>0</v>
      </c>
      <c r="E8" s="598">
        <v>3</v>
      </c>
      <c r="F8" s="598">
        <f>7*0.0025</f>
        <v>1.7500000000000002E-2</v>
      </c>
      <c r="G8" s="598">
        <v>5.2499999999999998E-2</v>
      </c>
      <c r="H8" s="598">
        <v>0.63</v>
      </c>
      <c r="I8" s="598">
        <v>2</v>
      </c>
      <c r="N8" s="598">
        <v>91</v>
      </c>
      <c r="O8" s="598">
        <v>7</v>
      </c>
      <c r="P8" s="598" t="s">
        <v>1414</v>
      </c>
      <c r="Q8" s="598" t="s">
        <v>5670</v>
      </c>
    </row>
    <row r="9" spans="1:17">
      <c r="A9" s="598">
        <v>91</v>
      </c>
      <c r="B9" s="598">
        <v>7</v>
      </c>
      <c r="C9" s="598" t="s">
        <v>5081</v>
      </c>
      <c r="D9" s="598">
        <f>4*'Main Creation Page'!$K$38</f>
        <v>0</v>
      </c>
      <c r="E9" s="598">
        <v>5</v>
      </c>
      <c r="F9" s="598">
        <v>0.01</v>
      </c>
      <c r="G9" s="598">
        <v>0.3</v>
      </c>
      <c r="H9" s="598">
        <v>3.6</v>
      </c>
      <c r="I9" s="598">
        <v>3</v>
      </c>
      <c r="N9" s="598">
        <v>95</v>
      </c>
      <c r="O9" s="598">
        <v>8</v>
      </c>
      <c r="P9" s="598" t="s">
        <v>4099</v>
      </c>
      <c r="Q9" s="598" t="s">
        <v>5671</v>
      </c>
    </row>
    <row r="10" spans="1:17">
      <c r="A10" s="598">
        <v>93</v>
      </c>
      <c r="B10" s="598">
        <v>8</v>
      </c>
      <c r="C10" s="598" t="s">
        <v>5082</v>
      </c>
      <c r="D10" s="598">
        <f>4*'Main Creation Page'!$K$38</f>
        <v>0</v>
      </c>
      <c r="E10" s="598">
        <v>5</v>
      </c>
      <c r="F10" s="598">
        <v>0.01</v>
      </c>
      <c r="G10" s="598">
        <v>0.3</v>
      </c>
      <c r="H10" s="598">
        <v>3.6</v>
      </c>
      <c r="I10" s="598">
        <v>3</v>
      </c>
      <c r="N10" s="598">
        <v>98</v>
      </c>
      <c r="O10" s="598">
        <v>9</v>
      </c>
      <c r="P10" s="598" t="s">
        <v>5137</v>
      </c>
      <c r="Q10" s="598" t="s">
        <v>5672</v>
      </c>
    </row>
    <row r="11" spans="1:17">
      <c r="A11" s="598">
        <v>95</v>
      </c>
      <c r="B11" s="598">
        <v>9</v>
      </c>
      <c r="C11" s="598" t="s">
        <v>5338</v>
      </c>
      <c r="D11" s="598">
        <f>4*'Main Creation Page'!$K$38</f>
        <v>0</v>
      </c>
      <c r="E11" s="598">
        <v>3</v>
      </c>
      <c r="F11" s="598">
        <v>2.5000000000000001E-3</v>
      </c>
      <c r="G11" s="598">
        <v>5.2499999999999998E-2</v>
      </c>
      <c r="H11" s="598">
        <v>0.63</v>
      </c>
      <c r="I11" s="598">
        <v>3</v>
      </c>
      <c r="N11" s="598">
        <v>100</v>
      </c>
      <c r="O11" s="598">
        <v>10</v>
      </c>
      <c r="P11" s="598" t="s">
        <v>5138</v>
      </c>
      <c r="Q11" s="598" t="s">
        <v>5673</v>
      </c>
    </row>
    <row r="12" spans="1:17">
      <c r="A12" s="598">
        <v>97</v>
      </c>
      <c r="B12" s="598">
        <v>10</v>
      </c>
      <c r="C12" s="598" t="s">
        <v>5083</v>
      </c>
      <c r="D12" s="598">
        <f>4*'Main Creation Page'!$K$38</f>
        <v>0</v>
      </c>
      <c r="E12" s="598">
        <v>3</v>
      </c>
      <c r="F12" s="598">
        <v>5.0000000000000001E-3</v>
      </c>
      <c r="G12" s="598">
        <v>0.15</v>
      </c>
      <c r="H12" s="598">
        <v>1.8</v>
      </c>
      <c r="I12" s="598">
        <v>4</v>
      </c>
    </row>
    <row r="13" spans="1:17">
      <c r="N13" s="598" t="s">
        <v>5713</v>
      </c>
    </row>
    <row r="14" spans="1:17">
      <c r="N14" s="598">
        <v>1</v>
      </c>
      <c r="O14" s="598">
        <v>1</v>
      </c>
      <c r="P14" s="598" t="s">
        <v>4566</v>
      </c>
    </row>
    <row r="15" spans="1:17">
      <c r="C15" s="598" t="s">
        <v>3460</v>
      </c>
      <c r="N15" s="598">
        <v>6</v>
      </c>
      <c r="O15" s="598">
        <v>2</v>
      </c>
      <c r="P15" s="598" t="str">
        <f>IF('Main Creation Page'!$K$5=3,"Wood Elf","Half Blood")</f>
        <v>Wood Elf</v>
      </c>
    </row>
    <row r="16" spans="1:17">
      <c r="A16" s="598">
        <v>1</v>
      </c>
      <c r="B16" s="598">
        <v>1</v>
      </c>
      <c r="C16" s="598" t="s">
        <v>223</v>
      </c>
      <c r="D16" s="598">
        <f>16*E16</f>
        <v>320</v>
      </c>
      <c r="E16" s="598">
        <v>20</v>
      </c>
      <c r="F16" s="598">
        <f t="shared" ref="F16:F30" si="0">G16/30</f>
        <v>6.0000000000000005E-2</v>
      </c>
      <c r="G16" s="598">
        <v>1.8</v>
      </c>
      <c r="H16" s="598">
        <v>21.6</v>
      </c>
      <c r="I16" s="598">
        <v>4</v>
      </c>
      <c r="J16" s="598" t="str">
        <f t="shared" ref="J16:J28" si="1">IF(RIGHT($C16,6)="Hounds","N",IF(OR(LEFT($C16,6)="Master",LEFT($C16,8)="Assassin",$E16+($K16&lt;&gt;"N")&gt;15),"Y","N"))</f>
        <v>Y</v>
      </c>
      <c r="K16" s="598" t="s">
        <v>1563</v>
      </c>
      <c r="N16" s="598">
        <v>71</v>
      </c>
      <c r="O16" s="598">
        <v>3</v>
      </c>
      <c r="P16" s="598" t="s">
        <v>4568</v>
      </c>
    </row>
    <row r="17" spans="1:16">
      <c r="A17" s="598">
        <v>2</v>
      </c>
      <c r="B17" s="598">
        <v>2</v>
      </c>
      <c r="C17" s="598" t="s">
        <v>224</v>
      </c>
      <c r="D17" s="598">
        <f t="shared" ref="D17:D30" si="2">16*E17</f>
        <v>288</v>
      </c>
      <c r="E17" s="598">
        <v>18</v>
      </c>
      <c r="F17" s="598">
        <f t="shared" si="0"/>
        <v>3.3333333333333333E-2</v>
      </c>
      <c r="G17" s="598">
        <v>1</v>
      </c>
      <c r="H17" s="598">
        <v>12</v>
      </c>
      <c r="I17" s="598">
        <v>4</v>
      </c>
      <c r="J17" s="598" t="str">
        <f t="shared" si="1"/>
        <v>Y</v>
      </c>
      <c r="K17" s="598" t="s">
        <v>1563</v>
      </c>
      <c r="N17" s="598">
        <v>96</v>
      </c>
      <c r="O17" s="598">
        <v>4</v>
      </c>
      <c r="P17" s="598" t="s">
        <v>4569</v>
      </c>
    </row>
    <row r="18" spans="1:16">
      <c r="A18" s="598">
        <v>4</v>
      </c>
      <c r="B18" s="598">
        <v>3</v>
      </c>
      <c r="C18" s="598" t="s">
        <v>225</v>
      </c>
      <c r="D18" s="598">
        <f t="shared" si="2"/>
        <v>320</v>
      </c>
      <c r="E18" s="598">
        <v>20</v>
      </c>
      <c r="F18" s="598">
        <f t="shared" si="0"/>
        <v>3.0000000000000002E-2</v>
      </c>
      <c r="G18" s="598">
        <v>0.9</v>
      </c>
      <c r="H18" s="598">
        <v>10.8</v>
      </c>
      <c r="I18" s="598">
        <v>4</v>
      </c>
      <c r="J18" s="598" t="str">
        <f t="shared" si="1"/>
        <v>Y</v>
      </c>
      <c r="K18" s="598" t="s">
        <v>1563</v>
      </c>
    </row>
    <row r="19" spans="1:16">
      <c r="A19" s="598">
        <v>5</v>
      </c>
      <c r="B19" s="598">
        <v>4</v>
      </c>
      <c r="C19" s="598" t="s">
        <v>226</v>
      </c>
      <c r="D19" s="598">
        <f t="shared" si="2"/>
        <v>256</v>
      </c>
      <c r="E19" s="598">
        <v>16</v>
      </c>
      <c r="F19" s="598">
        <f t="shared" si="0"/>
        <v>0.02</v>
      </c>
      <c r="G19" s="598">
        <v>0.6</v>
      </c>
      <c r="H19" s="598">
        <v>7.2</v>
      </c>
      <c r="I19" s="598">
        <v>4</v>
      </c>
      <c r="J19" s="598" t="str">
        <f t="shared" si="1"/>
        <v>Y</v>
      </c>
      <c r="K19" s="598" t="s">
        <v>1563</v>
      </c>
      <c r="N19" s="598" t="s">
        <v>5714</v>
      </c>
    </row>
    <row r="20" spans="1:16">
      <c r="A20" s="598">
        <v>10</v>
      </c>
      <c r="B20" s="598">
        <v>5</v>
      </c>
      <c r="C20" s="598" t="s">
        <v>227</v>
      </c>
      <c r="D20" s="598">
        <f t="shared" si="2"/>
        <v>160</v>
      </c>
      <c r="E20" s="598">
        <v>10</v>
      </c>
      <c r="F20" s="598">
        <f t="shared" si="0"/>
        <v>0.01</v>
      </c>
      <c r="G20" s="598">
        <v>0.3</v>
      </c>
      <c r="H20" s="598">
        <v>3.6</v>
      </c>
      <c r="I20" s="598">
        <v>4</v>
      </c>
      <c r="J20" s="598" t="str">
        <f t="shared" si="1"/>
        <v>N</v>
      </c>
      <c r="K20" s="598" t="s">
        <v>1563</v>
      </c>
      <c r="N20" s="598">
        <v>1</v>
      </c>
      <c r="O20" s="598">
        <v>1</v>
      </c>
      <c r="P20" s="598" t="s">
        <v>557</v>
      </c>
    </row>
    <row r="21" spans="1:16">
      <c r="A21" s="598">
        <v>15</v>
      </c>
      <c r="B21" s="598">
        <v>6</v>
      </c>
      <c r="C21" s="598" t="s">
        <v>228</v>
      </c>
      <c r="D21" s="598">
        <f t="shared" si="2"/>
        <v>160</v>
      </c>
      <c r="E21" s="598">
        <v>10</v>
      </c>
      <c r="F21" s="598">
        <f t="shared" si="0"/>
        <v>1.2500000000000001E-2</v>
      </c>
      <c r="G21" s="598">
        <v>0.375</v>
      </c>
      <c r="H21" s="598">
        <v>4.5</v>
      </c>
      <c r="I21" s="598">
        <v>4</v>
      </c>
      <c r="J21" s="598" t="str">
        <f t="shared" si="1"/>
        <v>N</v>
      </c>
      <c r="K21" s="598" t="s">
        <v>1563</v>
      </c>
      <c r="N21" s="598">
        <v>3</v>
      </c>
      <c r="O21" s="598">
        <v>2</v>
      </c>
      <c r="P21" s="598" t="s">
        <v>4562</v>
      </c>
    </row>
    <row r="22" spans="1:16">
      <c r="A22" s="598">
        <v>18</v>
      </c>
      <c r="B22" s="598">
        <v>7</v>
      </c>
      <c r="C22" s="598" t="s">
        <v>229</v>
      </c>
      <c r="D22" s="598">
        <f t="shared" si="2"/>
        <v>240</v>
      </c>
      <c r="E22" s="598">
        <v>15</v>
      </c>
      <c r="F22" s="598">
        <f t="shared" si="0"/>
        <v>2.5000000000000001E-2</v>
      </c>
      <c r="G22" s="598">
        <v>0.75</v>
      </c>
      <c r="H22" s="598">
        <v>9</v>
      </c>
      <c r="I22" s="598">
        <f>5+IF(ISNUMBER(FIND("Forester",Skills!$E$2)),4,0)</f>
        <v>5</v>
      </c>
      <c r="J22" s="598" t="str">
        <f t="shared" si="1"/>
        <v>Y</v>
      </c>
      <c r="K22" s="598" t="s">
        <v>1563</v>
      </c>
      <c r="N22" s="598">
        <v>91</v>
      </c>
      <c r="O22" s="598">
        <v>3</v>
      </c>
      <c r="P22" s="598" t="s">
        <v>4563</v>
      </c>
    </row>
    <row r="23" spans="1:16">
      <c r="A23" s="598">
        <v>19</v>
      </c>
      <c r="B23" s="598">
        <v>8</v>
      </c>
      <c r="C23" s="598" t="s">
        <v>1501</v>
      </c>
      <c r="D23" s="598">
        <f t="shared" si="2"/>
        <v>192</v>
      </c>
      <c r="E23" s="598">
        <v>12</v>
      </c>
      <c r="F23" s="598">
        <f t="shared" si="0"/>
        <v>1.2500000000000001E-2</v>
      </c>
      <c r="G23" s="598">
        <v>0.375</v>
      </c>
      <c r="H23" s="598">
        <v>4.5999999999999996</v>
      </c>
      <c r="I23" s="1069">
        <f>4+IF(ISNUMBER(FIND("Forester",Skills!$E$2)),4,0)</f>
        <v>4</v>
      </c>
      <c r="J23" s="598" t="str">
        <f t="shared" si="1"/>
        <v>N</v>
      </c>
      <c r="K23" s="598" t="s">
        <v>1563</v>
      </c>
      <c r="N23" s="598">
        <v>96</v>
      </c>
      <c r="O23" s="598">
        <v>4</v>
      </c>
      <c r="P23" s="598" t="s">
        <v>4564</v>
      </c>
    </row>
    <row r="24" spans="1:16">
      <c r="A24" s="598">
        <v>22</v>
      </c>
      <c r="B24" s="598">
        <v>9</v>
      </c>
      <c r="C24" s="598" t="s">
        <v>230</v>
      </c>
      <c r="D24" s="598">
        <f t="shared" si="2"/>
        <v>304</v>
      </c>
      <c r="E24" s="598">
        <v>19</v>
      </c>
      <c r="F24" s="598">
        <f t="shared" si="0"/>
        <v>3.3333333333333333E-2</v>
      </c>
      <c r="G24" s="598">
        <v>1</v>
      </c>
      <c r="H24" s="598">
        <v>12</v>
      </c>
      <c r="I24" s="598">
        <v>5</v>
      </c>
      <c r="J24" s="598" t="str">
        <f t="shared" si="1"/>
        <v>Y</v>
      </c>
      <c r="K24" s="598" t="s">
        <v>1563</v>
      </c>
      <c r="N24" s="598">
        <v>100</v>
      </c>
      <c r="O24" s="598">
        <v>5</v>
      </c>
      <c r="P24" s="598" t="s">
        <v>4565</v>
      </c>
    </row>
    <row r="25" spans="1:16">
      <c r="A25" s="598">
        <v>23</v>
      </c>
      <c r="B25" s="598">
        <v>10</v>
      </c>
      <c r="C25" s="598" t="s">
        <v>3968</v>
      </c>
      <c r="D25" s="598">
        <f t="shared" si="2"/>
        <v>240</v>
      </c>
      <c r="E25" s="598">
        <v>15</v>
      </c>
      <c r="F25" s="598">
        <f t="shared" si="0"/>
        <v>2.6666666666666668E-2</v>
      </c>
      <c r="G25" s="598">
        <v>0.8</v>
      </c>
      <c r="H25" s="598">
        <v>9.6</v>
      </c>
      <c r="I25" s="598">
        <v>4</v>
      </c>
      <c r="J25" s="598" t="str">
        <f t="shared" si="1"/>
        <v>Y</v>
      </c>
      <c r="K25" s="598" t="s">
        <v>1563</v>
      </c>
    </row>
    <row r="26" spans="1:16">
      <c r="A26" s="598">
        <v>24</v>
      </c>
      <c r="B26" s="598">
        <v>11</v>
      </c>
      <c r="C26" s="598" t="s">
        <v>3969</v>
      </c>
      <c r="D26" s="598">
        <f t="shared" si="2"/>
        <v>160</v>
      </c>
      <c r="E26" s="598">
        <v>10</v>
      </c>
      <c r="F26" s="598">
        <f t="shared" si="0"/>
        <v>0.02</v>
      </c>
      <c r="G26" s="598">
        <v>0.6</v>
      </c>
      <c r="H26" s="598">
        <v>7.2</v>
      </c>
      <c r="I26" s="598">
        <v>3</v>
      </c>
      <c r="J26" s="598" t="str">
        <f t="shared" si="1"/>
        <v>N</v>
      </c>
      <c r="K26" s="598" t="s">
        <v>1563</v>
      </c>
      <c r="N26" s="598" t="s">
        <v>5845</v>
      </c>
    </row>
    <row r="27" spans="1:16">
      <c r="A27" s="598">
        <v>25</v>
      </c>
      <c r="B27" s="598">
        <v>12</v>
      </c>
      <c r="C27" s="598" t="s">
        <v>3970</v>
      </c>
      <c r="D27" s="598">
        <f t="shared" si="2"/>
        <v>160</v>
      </c>
      <c r="E27" s="598">
        <v>10</v>
      </c>
      <c r="F27" s="598">
        <f t="shared" si="0"/>
        <v>1.5000000000000001E-2</v>
      </c>
      <c r="G27" s="598">
        <v>0.45</v>
      </c>
      <c r="H27" s="598">
        <v>5.4</v>
      </c>
      <c r="I27" s="598">
        <v>4</v>
      </c>
      <c r="J27" s="598" t="str">
        <f t="shared" si="1"/>
        <v>N</v>
      </c>
      <c r="K27" s="598" t="s">
        <v>1563</v>
      </c>
      <c r="N27" s="598">
        <v>1</v>
      </c>
      <c r="O27" s="977">
        <v>1</v>
      </c>
      <c r="P27" s="598" t="s">
        <v>5853</v>
      </c>
    </row>
    <row r="28" spans="1:16">
      <c r="A28" s="598">
        <v>26</v>
      </c>
      <c r="B28" s="598">
        <v>13</v>
      </c>
      <c r="C28" s="598" t="s">
        <v>3971</v>
      </c>
      <c r="D28" s="598">
        <f t="shared" si="2"/>
        <v>160</v>
      </c>
      <c r="E28" s="598">
        <v>10</v>
      </c>
      <c r="F28" s="598">
        <f t="shared" si="0"/>
        <v>2.5000000000000001E-2</v>
      </c>
      <c r="G28" s="598">
        <v>0.75</v>
      </c>
      <c r="H28" s="598">
        <v>9</v>
      </c>
      <c r="I28" s="598">
        <v>3</v>
      </c>
      <c r="J28" s="598" t="str">
        <f t="shared" si="1"/>
        <v>N</v>
      </c>
      <c r="K28" s="598" t="s">
        <v>1563</v>
      </c>
      <c r="N28" s="598">
        <v>11</v>
      </c>
      <c r="O28" s="977">
        <v>2</v>
      </c>
      <c r="P28" s="598" t="s">
        <v>5846</v>
      </c>
    </row>
    <row r="29" spans="1:16">
      <c r="A29" s="598">
        <v>27</v>
      </c>
      <c r="B29" s="598">
        <v>14</v>
      </c>
      <c r="C29" s="598" t="s">
        <v>359</v>
      </c>
      <c r="D29" s="598">
        <f t="shared" si="2"/>
        <v>160</v>
      </c>
      <c r="E29" s="598">
        <v>10</v>
      </c>
      <c r="F29" s="598">
        <f t="shared" si="0"/>
        <v>1.5000000000000001E-2</v>
      </c>
      <c r="G29" s="598">
        <v>0.45</v>
      </c>
      <c r="H29" s="598">
        <v>3.6</v>
      </c>
      <c r="I29" s="598">
        <v>5</v>
      </c>
      <c r="J29" s="598" t="str">
        <f>IF(RIGHT($C29,6)="Hounds","N",IF(OR(LEFT($C29,6)="Master",LEFT($C29,8)="Assassin",$E29+($K29&lt;&gt;"N")&gt;15),"Y","N"))</f>
        <v>N</v>
      </c>
      <c r="K29" s="598" t="s">
        <v>1563</v>
      </c>
      <c r="N29" s="598">
        <v>36</v>
      </c>
      <c r="O29" s="977">
        <v>3</v>
      </c>
      <c r="P29" s="598" t="s">
        <v>5865</v>
      </c>
    </row>
    <row r="30" spans="1:16">
      <c r="A30" s="598">
        <v>28</v>
      </c>
      <c r="B30" s="598">
        <v>15</v>
      </c>
      <c r="C30" s="598" t="s">
        <v>360</v>
      </c>
      <c r="D30" s="598">
        <f t="shared" si="2"/>
        <v>160</v>
      </c>
      <c r="E30" s="598">
        <v>10</v>
      </c>
      <c r="F30" s="598">
        <f t="shared" si="0"/>
        <v>1.2500000000000001E-2</v>
      </c>
      <c r="G30" s="598">
        <v>0.375</v>
      </c>
      <c r="H30" s="598">
        <v>4.5</v>
      </c>
      <c r="I30" s="598">
        <v>3</v>
      </c>
      <c r="J30" s="598" t="str">
        <f t="shared" ref="J30:J39" si="3">IF(RIGHT($C30,6)="Hounds","N",IF(OR(LEFT($C30,6)="Master",LEFT($C30,8)="Assassin",$E30+($K30&lt;&gt;"N")&gt;15),"Y","N"))</f>
        <v>N</v>
      </c>
      <c r="K30" s="598" t="s">
        <v>1563</v>
      </c>
      <c r="N30" s="598">
        <v>56</v>
      </c>
      <c r="O30" s="977">
        <v>4</v>
      </c>
      <c r="P30" s="598" t="s">
        <v>5847</v>
      </c>
    </row>
    <row r="31" spans="1:16">
      <c r="A31" s="598">
        <v>29</v>
      </c>
      <c r="B31" s="598">
        <v>16</v>
      </c>
      <c r="C31" s="598" t="s">
        <v>5356</v>
      </c>
      <c r="D31" s="598">
        <f>20*E31</f>
        <v>200</v>
      </c>
      <c r="E31" s="598">
        <v>10</v>
      </c>
      <c r="F31" s="598">
        <v>0.03</v>
      </c>
      <c r="G31" s="598">
        <v>0.66</v>
      </c>
      <c r="H31" s="598">
        <v>7.92</v>
      </c>
      <c r="I31" s="598">
        <v>3</v>
      </c>
      <c r="J31" s="598" t="str">
        <f t="shared" si="3"/>
        <v>N</v>
      </c>
      <c r="K31" s="598" t="s">
        <v>5224</v>
      </c>
      <c r="N31" s="598">
        <v>61</v>
      </c>
      <c r="O31" s="977">
        <v>5</v>
      </c>
      <c r="P31" s="598" t="s">
        <v>5848</v>
      </c>
    </row>
    <row r="32" spans="1:16">
      <c r="A32" s="598">
        <v>31</v>
      </c>
      <c r="B32" s="598">
        <v>17</v>
      </c>
      <c r="C32" s="598" t="s">
        <v>361</v>
      </c>
      <c r="D32" s="598">
        <f t="shared" ref="D32:D38" si="4">20*E32</f>
        <v>200</v>
      </c>
      <c r="E32" s="598">
        <v>10</v>
      </c>
      <c r="F32" s="598">
        <v>0.06</v>
      </c>
      <c r="G32" s="598">
        <v>1.32</v>
      </c>
      <c r="H32" s="598">
        <v>15.84</v>
      </c>
      <c r="I32" s="598">
        <v>3</v>
      </c>
      <c r="J32" s="598" t="str">
        <f t="shared" si="3"/>
        <v>N</v>
      </c>
      <c r="K32" s="598" t="s">
        <v>5224</v>
      </c>
      <c r="N32" s="598">
        <v>71</v>
      </c>
      <c r="O32" s="977">
        <v>6</v>
      </c>
      <c r="P32" s="598" t="s">
        <v>4377</v>
      </c>
    </row>
    <row r="33" spans="1:16">
      <c r="A33" s="598">
        <v>33</v>
      </c>
      <c r="B33" s="598">
        <v>18</v>
      </c>
      <c r="C33" s="598" t="s">
        <v>1501</v>
      </c>
      <c r="D33" s="598">
        <f t="shared" si="4"/>
        <v>200</v>
      </c>
      <c r="E33" s="598">
        <v>10</v>
      </c>
      <c r="F33" s="598">
        <v>2.5000000000000001E-2</v>
      </c>
      <c r="G33" s="598">
        <v>0.55000000000000004</v>
      </c>
      <c r="H33" s="598">
        <v>6.6</v>
      </c>
      <c r="I33" s="598">
        <v>4</v>
      </c>
      <c r="J33" s="598" t="str">
        <f t="shared" si="3"/>
        <v>N</v>
      </c>
      <c r="K33" s="598" t="s">
        <v>5224</v>
      </c>
      <c r="N33" s="598">
        <v>81</v>
      </c>
      <c r="O33" s="977">
        <v>7</v>
      </c>
      <c r="P33" s="598" t="s">
        <v>5849</v>
      </c>
    </row>
    <row r="34" spans="1:16">
      <c r="A34" s="598">
        <v>47</v>
      </c>
      <c r="B34" s="598">
        <v>19</v>
      </c>
      <c r="C34" s="598" t="s">
        <v>3160</v>
      </c>
      <c r="D34" s="598">
        <f t="shared" si="4"/>
        <v>200</v>
      </c>
      <c r="E34" s="598">
        <v>10</v>
      </c>
      <c r="F34" s="598">
        <v>2.5000000000000001E-2</v>
      </c>
      <c r="G34" s="598">
        <v>0.55000000000000004</v>
      </c>
      <c r="H34" s="598">
        <v>6.6</v>
      </c>
      <c r="I34" s="598">
        <v>4</v>
      </c>
      <c r="J34" s="598" t="str">
        <f t="shared" si="3"/>
        <v>N</v>
      </c>
      <c r="K34" s="598" t="s">
        <v>5224</v>
      </c>
      <c r="N34" s="598">
        <v>90</v>
      </c>
      <c r="O34" s="977">
        <v>8</v>
      </c>
      <c r="P34" s="598" t="s">
        <v>5850</v>
      </c>
    </row>
    <row r="35" spans="1:16">
      <c r="A35" s="598">
        <v>52</v>
      </c>
      <c r="B35" s="598">
        <v>20</v>
      </c>
      <c r="C35" s="598" t="s">
        <v>362</v>
      </c>
      <c r="D35" s="598">
        <f t="shared" si="4"/>
        <v>240</v>
      </c>
      <c r="E35" s="598">
        <v>12</v>
      </c>
      <c r="F35" s="598">
        <v>0.26</v>
      </c>
      <c r="G35" s="598">
        <v>1.32</v>
      </c>
      <c r="H35" s="598">
        <v>15.84</v>
      </c>
      <c r="I35" s="598">
        <v>3</v>
      </c>
      <c r="J35" s="598" t="str">
        <f t="shared" si="3"/>
        <v>N</v>
      </c>
      <c r="K35" s="598" t="s">
        <v>5224</v>
      </c>
      <c r="N35" s="598">
        <v>94</v>
      </c>
      <c r="O35" s="977">
        <v>9</v>
      </c>
      <c r="P35" s="598" t="s">
        <v>5851</v>
      </c>
    </row>
    <row r="36" spans="1:16">
      <c r="A36" s="598">
        <v>56</v>
      </c>
      <c r="B36" s="598">
        <v>21</v>
      </c>
      <c r="C36" s="598" t="s">
        <v>232</v>
      </c>
      <c r="D36" s="598">
        <f t="shared" si="4"/>
        <v>240</v>
      </c>
      <c r="E36" s="598">
        <v>12</v>
      </c>
      <c r="F36" s="598">
        <v>0.1</v>
      </c>
      <c r="G36" s="598">
        <v>3</v>
      </c>
      <c r="H36" s="598">
        <v>36</v>
      </c>
      <c r="I36" s="598">
        <v>4</v>
      </c>
      <c r="J36" s="598" t="str">
        <f t="shared" si="3"/>
        <v>N</v>
      </c>
      <c r="K36" s="598" t="s">
        <v>5224</v>
      </c>
      <c r="N36" s="598">
        <v>98</v>
      </c>
      <c r="O36" s="977">
        <v>10</v>
      </c>
      <c r="P36" s="598" t="s">
        <v>5852</v>
      </c>
    </row>
    <row r="37" spans="1:16">
      <c r="A37" s="598">
        <v>58</v>
      </c>
      <c r="B37" s="598">
        <v>22</v>
      </c>
      <c r="C37" s="598" t="s">
        <v>2188</v>
      </c>
      <c r="D37" s="598">
        <f t="shared" si="4"/>
        <v>240</v>
      </c>
      <c r="E37" s="598">
        <v>12</v>
      </c>
      <c r="F37" s="598">
        <f>G37/30</f>
        <v>0.61111111111111105</v>
      </c>
      <c r="G37" s="598">
        <f>H37/12</f>
        <v>18.333333333333332</v>
      </c>
      <c r="H37" s="598">
        <v>220</v>
      </c>
      <c r="I37" s="598">
        <v>4</v>
      </c>
      <c r="J37" s="598" t="str">
        <f t="shared" si="3"/>
        <v>N</v>
      </c>
      <c r="K37" s="598" t="s">
        <v>5224</v>
      </c>
      <c r="N37" s="598">
        <v>100</v>
      </c>
      <c r="P37" s="598" t="s">
        <v>5138</v>
      </c>
    </row>
    <row r="38" spans="1:16">
      <c r="A38" s="598">
        <v>86</v>
      </c>
      <c r="B38" s="598">
        <v>23</v>
      </c>
      <c r="C38" s="598" t="s">
        <v>5357</v>
      </c>
      <c r="D38" s="598">
        <f t="shared" si="4"/>
        <v>300</v>
      </c>
      <c r="E38" s="598">
        <v>15</v>
      </c>
      <c r="F38" s="598">
        <f>G38/30</f>
        <v>0.61111111111111105</v>
      </c>
      <c r="G38" s="598">
        <f>H38/12</f>
        <v>18.333333333333332</v>
      </c>
      <c r="H38" s="598">
        <v>220</v>
      </c>
      <c r="I38" s="598">
        <v>4</v>
      </c>
      <c r="J38" s="598" t="str">
        <f t="shared" si="3"/>
        <v>N</v>
      </c>
      <c r="K38" s="598" t="s">
        <v>5224</v>
      </c>
    </row>
    <row r="39" spans="1:16">
      <c r="A39" s="598">
        <v>96</v>
      </c>
      <c r="B39" s="598">
        <v>24</v>
      </c>
      <c r="C39" s="598" t="s">
        <v>231</v>
      </c>
      <c r="D39" s="598">
        <v>400</v>
      </c>
      <c r="E39" s="598">
        <v>18</v>
      </c>
      <c r="F39" s="598">
        <f>G39/30</f>
        <v>0.69444444444444442</v>
      </c>
      <c r="G39" s="598">
        <f>H39/12</f>
        <v>20.833333333333332</v>
      </c>
      <c r="H39" s="598">
        <v>250</v>
      </c>
      <c r="I39" s="598">
        <v>6</v>
      </c>
      <c r="J39" s="598" t="str">
        <f t="shared" si="3"/>
        <v>Y</v>
      </c>
      <c r="K39" s="598" t="s">
        <v>5224</v>
      </c>
    </row>
    <row r="41" spans="1:16">
      <c r="C41" s="598" t="s">
        <v>4131</v>
      </c>
    </row>
    <row r="42" spans="1:16">
      <c r="A42" s="598">
        <v>1</v>
      </c>
      <c r="B42" s="598">
        <v>1</v>
      </c>
      <c r="C42" s="598" t="s">
        <v>363</v>
      </c>
      <c r="D42" s="598">
        <f>16*E42</f>
        <v>128</v>
      </c>
      <c r="E42" s="598">
        <v>8</v>
      </c>
      <c r="F42" s="598">
        <v>3.5000000000000003E-2</v>
      </c>
      <c r="G42" s="598">
        <v>0.77</v>
      </c>
      <c r="H42" s="598">
        <v>9.24</v>
      </c>
      <c r="I42" s="598">
        <v>3</v>
      </c>
    </row>
    <row r="43" spans="1:16">
      <c r="A43" s="598">
        <v>6</v>
      </c>
      <c r="B43" s="598">
        <v>2</v>
      </c>
      <c r="C43" s="598" t="s">
        <v>3729</v>
      </c>
      <c r="D43" s="598">
        <f>16*E43</f>
        <v>128</v>
      </c>
      <c r="E43" s="598">
        <v>8</v>
      </c>
      <c r="F43" s="598">
        <v>3.5000000000000003E-2</v>
      </c>
      <c r="G43" s="598">
        <v>0.77</v>
      </c>
      <c r="H43" s="598">
        <v>9.24</v>
      </c>
      <c r="I43" s="598">
        <v>3</v>
      </c>
    </row>
    <row r="44" spans="1:16">
      <c r="A44" s="598">
        <v>8</v>
      </c>
      <c r="B44" s="598">
        <v>3</v>
      </c>
      <c r="C44" s="598" t="s">
        <v>5525</v>
      </c>
      <c r="D44" s="598">
        <f>16*E44</f>
        <v>0</v>
      </c>
      <c r="E44" s="598">
        <v>0</v>
      </c>
      <c r="F44" s="598">
        <v>0.31</v>
      </c>
      <c r="G44" s="598">
        <v>0.3</v>
      </c>
      <c r="H44" s="598">
        <v>3.6</v>
      </c>
      <c r="I44" s="598">
        <v>3</v>
      </c>
    </row>
    <row r="45" spans="1:16">
      <c r="A45" s="598">
        <v>10</v>
      </c>
      <c r="B45" s="598">
        <v>4</v>
      </c>
      <c r="C45" s="598" t="s">
        <v>5337</v>
      </c>
      <c r="D45" s="598">
        <f>20*E45</f>
        <v>200</v>
      </c>
      <c r="E45" s="598">
        <v>10</v>
      </c>
      <c r="F45" s="598">
        <v>0.35</v>
      </c>
      <c r="G45" s="598">
        <v>1.5</v>
      </c>
      <c r="H45" s="598">
        <v>18</v>
      </c>
      <c r="I45" s="598">
        <v>3</v>
      </c>
    </row>
    <row r="46" spans="1:16">
      <c r="A46" s="598">
        <v>11</v>
      </c>
      <c r="B46" s="598">
        <v>5</v>
      </c>
      <c r="C46" s="598" t="s">
        <v>5338</v>
      </c>
      <c r="D46" s="598">
        <f>16*E46</f>
        <v>128</v>
      </c>
      <c r="E46" s="598">
        <v>8</v>
      </c>
      <c r="F46" s="598">
        <v>1.2500000000000001E-2</v>
      </c>
      <c r="G46" s="598">
        <v>0.375</v>
      </c>
      <c r="H46" s="598">
        <v>4.5</v>
      </c>
      <c r="I46" s="598">
        <v>2</v>
      </c>
    </row>
    <row r="47" spans="1:16">
      <c r="A47" s="598">
        <v>15</v>
      </c>
      <c r="B47" s="598">
        <v>6</v>
      </c>
      <c r="C47" s="598" t="s">
        <v>3536</v>
      </c>
      <c r="D47" s="598">
        <f>20*E47</f>
        <v>240</v>
      </c>
      <c r="E47" s="598">
        <v>12</v>
      </c>
      <c r="F47" s="598">
        <v>0.35</v>
      </c>
      <c r="G47" s="598">
        <v>1.5</v>
      </c>
      <c r="H47" s="598">
        <v>18</v>
      </c>
      <c r="I47" s="598">
        <v>4</v>
      </c>
    </row>
    <row r="48" spans="1:16">
      <c r="A48" s="598">
        <v>16</v>
      </c>
      <c r="B48" s="598">
        <v>7</v>
      </c>
      <c r="C48" s="598" t="s">
        <v>3537</v>
      </c>
      <c r="D48" s="598">
        <f>20*E48</f>
        <v>200</v>
      </c>
      <c r="E48" s="598">
        <v>10</v>
      </c>
      <c r="F48" s="598">
        <v>0.14499999999999999</v>
      </c>
      <c r="G48" s="598">
        <v>0.99</v>
      </c>
      <c r="H48" s="598">
        <v>11.88</v>
      </c>
      <c r="I48" s="598">
        <v>2</v>
      </c>
    </row>
    <row r="49" spans="1:9">
      <c r="A49" s="598">
        <v>20</v>
      </c>
      <c r="B49" s="598">
        <v>8</v>
      </c>
      <c r="C49" s="598" t="s">
        <v>233</v>
      </c>
      <c r="D49" s="598">
        <f>20*E49</f>
        <v>200</v>
      </c>
      <c r="E49" s="598">
        <v>10</v>
      </c>
      <c r="F49" s="598">
        <v>0.16</v>
      </c>
      <c r="G49" s="598">
        <v>1.32</v>
      </c>
      <c r="H49" s="598">
        <v>15.84</v>
      </c>
      <c r="I49" s="598">
        <v>3</v>
      </c>
    </row>
    <row r="50" spans="1:9">
      <c r="A50" s="598">
        <v>25</v>
      </c>
      <c r="B50" s="598">
        <v>9</v>
      </c>
      <c r="C50" s="598" t="s">
        <v>2794</v>
      </c>
      <c r="D50" s="598">
        <f>16*E50</f>
        <v>160</v>
      </c>
      <c r="E50" s="598">
        <v>10</v>
      </c>
      <c r="F50" s="598">
        <v>0.16</v>
      </c>
      <c r="G50" s="598">
        <v>1.32</v>
      </c>
      <c r="H50" s="598">
        <v>15.84</v>
      </c>
      <c r="I50" s="598">
        <v>3</v>
      </c>
    </row>
    <row r="51" spans="1:9">
      <c r="A51" s="598">
        <v>33</v>
      </c>
      <c r="B51" s="598">
        <v>10</v>
      </c>
      <c r="C51" s="598" t="s">
        <v>2795</v>
      </c>
      <c r="D51" s="598">
        <f>16*E51</f>
        <v>160</v>
      </c>
      <c r="E51" s="598">
        <v>10</v>
      </c>
      <c r="F51" s="598">
        <v>0.16</v>
      </c>
      <c r="G51" s="598">
        <v>1.32</v>
      </c>
      <c r="H51" s="598">
        <v>15.84</v>
      </c>
      <c r="I51" s="598">
        <v>3</v>
      </c>
    </row>
    <row r="52" spans="1:9">
      <c r="A52" s="598">
        <v>36</v>
      </c>
      <c r="B52" s="598">
        <v>11</v>
      </c>
      <c r="C52" s="598" t="s">
        <v>5082</v>
      </c>
      <c r="D52" s="598">
        <f>20*E52</f>
        <v>240</v>
      </c>
      <c r="E52" s="598">
        <v>12</v>
      </c>
      <c r="F52" s="598">
        <v>0.16</v>
      </c>
      <c r="G52" s="598">
        <v>1.32</v>
      </c>
      <c r="H52" s="598">
        <v>15.84</v>
      </c>
      <c r="I52" s="598">
        <v>3</v>
      </c>
    </row>
    <row r="53" spans="1:9">
      <c r="A53" s="598">
        <v>39</v>
      </c>
      <c r="B53" s="598">
        <v>12</v>
      </c>
      <c r="C53" s="598" t="s">
        <v>2796</v>
      </c>
      <c r="D53" s="598">
        <f>20*E53</f>
        <v>240</v>
      </c>
      <c r="E53" s="598">
        <v>12</v>
      </c>
      <c r="F53" s="598">
        <v>7.4999999999999997E-2</v>
      </c>
      <c r="G53" s="598">
        <v>1.65</v>
      </c>
      <c r="H53" s="598">
        <v>19.8</v>
      </c>
      <c r="I53" s="598">
        <v>3</v>
      </c>
    </row>
    <row r="54" spans="1:9">
      <c r="A54" s="598">
        <v>44</v>
      </c>
      <c r="B54" s="598">
        <v>13</v>
      </c>
      <c r="C54" s="598" t="s">
        <v>2797</v>
      </c>
      <c r="D54" s="598">
        <f>20*E54</f>
        <v>300</v>
      </c>
      <c r="E54" s="598">
        <v>15</v>
      </c>
      <c r="F54" s="598">
        <v>3.15</v>
      </c>
      <c r="G54" s="598">
        <v>4.5</v>
      </c>
      <c r="H54" s="598">
        <v>54</v>
      </c>
      <c r="I54" s="598">
        <v>3</v>
      </c>
    </row>
    <row r="55" spans="1:9">
      <c r="A55" s="598">
        <v>56</v>
      </c>
      <c r="B55" s="598">
        <v>14</v>
      </c>
      <c r="C55" s="598" t="s">
        <v>5081</v>
      </c>
      <c r="D55" s="598">
        <f>16*E55</f>
        <v>160</v>
      </c>
      <c r="E55" s="598">
        <v>10</v>
      </c>
      <c r="F55" s="598">
        <v>0.35</v>
      </c>
      <c r="G55" s="598">
        <v>1.5</v>
      </c>
      <c r="H55" s="598">
        <v>18</v>
      </c>
      <c r="I55" s="598">
        <v>3</v>
      </c>
    </row>
    <row r="56" spans="1:9">
      <c r="A56" s="598">
        <v>58</v>
      </c>
      <c r="B56" s="598">
        <v>15</v>
      </c>
      <c r="C56" s="598" t="s">
        <v>2798</v>
      </c>
      <c r="D56" s="598">
        <f>16*E56</f>
        <v>160</v>
      </c>
      <c r="E56" s="598">
        <v>10</v>
      </c>
      <c r="F56" s="598">
        <v>5.5E-2</v>
      </c>
      <c r="G56" s="598">
        <v>1.21</v>
      </c>
      <c r="H56" s="598">
        <v>14.52</v>
      </c>
      <c r="I56" s="598">
        <v>3</v>
      </c>
    </row>
    <row r="57" spans="1:9">
      <c r="A57" s="598">
        <v>63</v>
      </c>
      <c r="B57" s="598">
        <v>16</v>
      </c>
      <c r="C57" s="598" t="s">
        <v>2799</v>
      </c>
      <c r="D57" s="598">
        <f>16*E57</f>
        <v>144</v>
      </c>
      <c r="E57" s="598">
        <v>9</v>
      </c>
      <c r="F57" s="598">
        <v>3.5000000000000003E-2</v>
      </c>
      <c r="G57" s="598">
        <v>0.77</v>
      </c>
      <c r="H57" s="598">
        <v>9.24</v>
      </c>
      <c r="I57" s="598">
        <v>3</v>
      </c>
    </row>
    <row r="58" spans="1:9">
      <c r="A58" s="598">
        <v>68</v>
      </c>
      <c r="B58" s="598">
        <v>17</v>
      </c>
      <c r="C58" s="598" t="s">
        <v>2800</v>
      </c>
      <c r="D58" s="598">
        <f>20*E58</f>
        <v>200</v>
      </c>
      <c r="E58" s="598">
        <v>10</v>
      </c>
      <c r="F58" s="598">
        <v>0.13</v>
      </c>
      <c r="G58" s="598">
        <v>0.66</v>
      </c>
      <c r="H58" s="598">
        <v>7.92</v>
      </c>
      <c r="I58" s="598">
        <v>3</v>
      </c>
    </row>
    <row r="59" spans="1:9">
      <c r="A59" s="598">
        <v>71</v>
      </c>
      <c r="B59" s="598">
        <v>18</v>
      </c>
      <c r="C59" s="598" t="s">
        <v>1663</v>
      </c>
      <c r="D59" s="598">
        <f>20*E59</f>
        <v>200</v>
      </c>
      <c r="E59" s="598">
        <v>10</v>
      </c>
      <c r="F59" s="598">
        <v>2.1</v>
      </c>
      <c r="G59" s="598">
        <v>2.2000000000000002</v>
      </c>
      <c r="H59" s="598">
        <v>26.4</v>
      </c>
      <c r="I59" s="598">
        <v>2</v>
      </c>
    </row>
    <row r="60" spans="1:9">
      <c r="A60" s="598">
        <v>76</v>
      </c>
      <c r="B60" s="598">
        <v>19</v>
      </c>
      <c r="C60" s="598" t="s">
        <v>1525</v>
      </c>
      <c r="D60" s="598">
        <f>20*E60</f>
        <v>200</v>
      </c>
      <c r="E60" s="598">
        <v>10</v>
      </c>
      <c r="F60" s="598">
        <v>0.1</v>
      </c>
      <c r="G60" s="598">
        <v>2.2000000000000002</v>
      </c>
      <c r="H60" s="598">
        <v>26.4</v>
      </c>
      <c r="I60" s="598">
        <v>2</v>
      </c>
    </row>
    <row r="61" spans="1:9">
      <c r="A61" s="598">
        <v>81</v>
      </c>
      <c r="B61" s="598">
        <v>20</v>
      </c>
      <c r="C61" s="598" t="s">
        <v>1526</v>
      </c>
      <c r="D61" s="598">
        <f>20*E61</f>
        <v>320</v>
      </c>
      <c r="E61" s="598">
        <v>16</v>
      </c>
      <c r="F61" s="598">
        <v>1.1000000000000001</v>
      </c>
      <c r="G61" s="598">
        <v>3</v>
      </c>
      <c r="H61" s="598">
        <v>36</v>
      </c>
      <c r="I61" s="598">
        <v>3</v>
      </c>
    </row>
    <row r="62" spans="1:9">
      <c r="A62" s="598">
        <v>84</v>
      </c>
      <c r="B62" s="598">
        <v>21</v>
      </c>
      <c r="C62" s="598" t="s">
        <v>1527</v>
      </c>
      <c r="D62" s="598">
        <f>20*E62</f>
        <v>320</v>
      </c>
      <c r="E62" s="598">
        <v>16</v>
      </c>
      <c r="F62" s="598">
        <v>1.2</v>
      </c>
      <c r="G62" s="598">
        <v>6</v>
      </c>
      <c r="H62" s="598">
        <v>72</v>
      </c>
      <c r="I62" s="598">
        <v>3</v>
      </c>
    </row>
    <row r="63" spans="1:9">
      <c r="A63" s="598">
        <v>86</v>
      </c>
      <c r="B63" s="598">
        <v>22</v>
      </c>
      <c r="C63" s="598" t="s">
        <v>5083</v>
      </c>
      <c r="D63" s="598">
        <f>16*E63</f>
        <v>112</v>
      </c>
      <c r="E63" s="598">
        <v>7</v>
      </c>
      <c r="F63" s="598">
        <v>0.53</v>
      </c>
      <c r="G63" s="598">
        <v>0.66</v>
      </c>
      <c r="H63" s="598">
        <v>7.92</v>
      </c>
      <c r="I63" s="598">
        <v>4</v>
      </c>
    </row>
    <row r="66" spans="1:10">
      <c r="C66" s="598" t="s">
        <v>4132</v>
      </c>
    </row>
    <row r="67" spans="1:10">
      <c r="A67" s="598">
        <v>1</v>
      </c>
      <c r="B67" s="598">
        <v>1</v>
      </c>
      <c r="C67" s="598" t="s">
        <v>1530</v>
      </c>
      <c r="D67" s="598">
        <f t="shared" ref="D67:D116" si="5">20*E67</f>
        <v>400</v>
      </c>
      <c r="E67" s="598">
        <v>20</v>
      </c>
      <c r="F67" s="598">
        <v>1.35</v>
      </c>
      <c r="G67" s="598">
        <v>7.7</v>
      </c>
      <c r="H67" s="598">
        <v>92.4</v>
      </c>
      <c r="I67" s="598">
        <v>5</v>
      </c>
      <c r="J67" s="598" t="str">
        <f t="shared" ref="J67:J117" si="6">IF(RIGHT($C67,6)="Hounds","N",IF(OR(LEFT($C67,6)="Master",LEFT($C67,8)="Assassin",$E67+($K67&lt;&gt;"N")&gt;15),"Y","N"))</f>
        <v>Y</v>
      </c>
    </row>
    <row r="68" spans="1:10">
      <c r="A68" s="598">
        <v>2</v>
      </c>
      <c r="B68" s="598">
        <v>2</v>
      </c>
      <c r="C68" s="598" t="s">
        <v>1531</v>
      </c>
      <c r="D68" s="598">
        <f t="shared" si="5"/>
        <v>200</v>
      </c>
      <c r="E68" s="598">
        <v>10</v>
      </c>
      <c r="F68" s="598">
        <v>2.5000000000000001E-2</v>
      </c>
      <c r="G68" s="598">
        <v>0.55000000000000004</v>
      </c>
      <c r="H68" s="598">
        <v>6.6</v>
      </c>
      <c r="I68" s="598">
        <v>3</v>
      </c>
      <c r="J68" s="598" t="str">
        <f t="shared" si="6"/>
        <v>N</v>
      </c>
    </row>
    <row r="69" spans="1:10">
      <c r="A69" s="598">
        <v>4</v>
      </c>
      <c r="B69" s="598">
        <v>3</v>
      </c>
      <c r="C69" s="598" t="s">
        <v>1532</v>
      </c>
      <c r="D69" s="598">
        <f t="shared" si="5"/>
        <v>200</v>
      </c>
      <c r="E69" s="598">
        <v>10</v>
      </c>
      <c r="F69" s="598">
        <v>0.52500000000000002</v>
      </c>
      <c r="G69" s="598">
        <v>0.55000000000000004</v>
      </c>
      <c r="H69" s="598">
        <v>6.6</v>
      </c>
      <c r="I69" s="598">
        <v>3</v>
      </c>
      <c r="J69" s="598" t="str">
        <f t="shared" si="6"/>
        <v>N</v>
      </c>
    </row>
    <row r="70" spans="1:10">
      <c r="A70" s="598">
        <v>5</v>
      </c>
      <c r="B70" s="598">
        <v>4</v>
      </c>
      <c r="C70" s="598" t="s">
        <v>1533</v>
      </c>
      <c r="D70" s="598">
        <f t="shared" si="5"/>
        <v>320</v>
      </c>
      <c r="E70" s="598">
        <v>16</v>
      </c>
      <c r="F70" s="598">
        <v>1.1599999999999999</v>
      </c>
      <c r="G70" s="598">
        <v>3.52</v>
      </c>
      <c r="H70" s="598">
        <v>42.24</v>
      </c>
      <c r="I70" s="598">
        <v>4</v>
      </c>
      <c r="J70" s="598" t="str">
        <f t="shared" si="6"/>
        <v>Y</v>
      </c>
    </row>
    <row r="71" spans="1:10">
      <c r="A71" s="598">
        <v>6</v>
      </c>
      <c r="B71" s="598">
        <v>5</v>
      </c>
      <c r="C71" s="598" t="s">
        <v>1534</v>
      </c>
      <c r="D71" s="598">
        <f t="shared" si="5"/>
        <v>200</v>
      </c>
      <c r="E71" s="598">
        <v>10</v>
      </c>
      <c r="F71" s="598">
        <v>0.14000000000000001</v>
      </c>
      <c r="G71" s="598">
        <v>0.88</v>
      </c>
      <c r="H71" s="598">
        <v>10.56</v>
      </c>
      <c r="I71" s="598">
        <v>4</v>
      </c>
      <c r="J71" s="598" t="str">
        <f t="shared" si="6"/>
        <v>N</v>
      </c>
    </row>
    <row r="72" spans="1:10">
      <c r="A72" s="598">
        <v>10</v>
      </c>
      <c r="B72" s="598">
        <v>6</v>
      </c>
      <c r="C72" s="598" t="s">
        <v>996</v>
      </c>
      <c r="D72" s="598">
        <f t="shared" si="5"/>
        <v>400</v>
      </c>
      <c r="E72" s="598">
        <v>20</v>
      </c>
      <c r="F72" s="598">
        <v>1.1499999999999999</v>
      </c>
      <c r="G72" s="598">
        <v>3.3</v>
      </c>
      <c r="H72" s="598">
        <v>39.6</v>
      </c>
      <c r="I72" s="598">
        <v>4</v>
      </c>
      <c r="J72" s="598" t="str">
        <f t="shared" si="6"/>
        <v>Y</v>
      </c>
    </row>
    <row r="73" spans="1:10">
      <c r="A73" s="598">
        <v>11</v>
      </c>
      <c r="B73" s="598">
        <v>7</v>
      </c>
      <c r="C73" s="598" t="s">
        <v>997</v>
      </c>
      <c r="D73" s="598">
        <f t="shared" si="5"/>
        <v>360</v>
      </c>
      <c r="E73" s="598">
        <v>18</v>
      </c>
      <c r="F73" s="598">
        <v>1.2</v>
      </c>
      <c r="G73" s="598">
        <v>4.4000000000000004</v>
      </c>
      <c r="H73" s="598">
        <v>52.8</v>
      </c>
      <c r="I73" s="598">
        <v>4</v>
      </c>
      <c r="J73" s="598" t="str">
        <f t="shared" si="6"/>
        <v>Y</v>
      </c>
    </row>
    <row r="74" spans="1:10">
      <c r="A74" s="598">
        <v>12</v>
      </c>
      <c r="B74" s="598">
        <v>8</v>
      </c>
      <c r="C74" s="598" t="s">
        <v>998</v>
      </c>
      <c r="D74" s="598">
        <f t="shared" si="5"/>
        <v>240</v>
      </c>
      <c r="E74" s="598">
        <v>12</v>
      </c>
      <c r="F74" s="598">
        <v>0.15</v>
      </c>
      <c r="G74" s="598">
        <v>1.1000000000000001</v>
      </c>
      <c r="H74" s="598">
        <v>13.2</v>
      </c>
      <c r="I74" s="598">
        <v>3</v>
      </c>
      <c r="J74" s="598" t="str">
        <f t="shared" si="6"/>
        <v>N</v>
      </c>
    </row>
    <row r="75" spans="1:10">
      <c r="A75" s="598">
        <v>15</v>
      </c>
      <c r="B75" s="598">
        <v>9</v>
      </c>
      <c r="C75" s="598" t="s">
        <v>999</v>
      </c>
      <c r="D75" s="598">
        <f t="shared" si="5"/>
        <v>280</v>
      </c>
      <c r="E75" s="598">
        <v>14</v>
      </c>
      <c r="F75" s="598">
        <v>0.17499999999999999</v>
      </c>
      <c r="G75" s="598">
        <v>1.65</v>
      </c>
      <c r="H75" s="598">
        <v>19.8</v>
      </c>
      <c r="I75" s="598">
        <v>3</v>
      </c>
      <c r="J75" s="598" t="str">
        <f t="shared" si="6"/>
        <v>N</v>
      </c>
    </row>
    <row r="76" spans="1:10">
      <c r="A76" s="598">
        <v>16</v>
      </c>
      <c r="B76" s="598">
        <v>10</v>
      </c>
      <c r="C76" s="598" t="s">
        <v>1000</v>
      </c>
      <c r="D76" s="598">
        <f t="shared" si="5"/>
        <v>400</v>
      </c>
      <c r="E76" s="598">
        <v>20</v>
      </c>
      <c r="F76" s="598">
        <v>0.75</v>
      </c>
      <c r="G76" s="598">
        <v>22.5</v>
      </c>
      <c r="H76" s="598">
        <v>270</v>
      </c>
      <c r="I76" s="598">
        <v>6</v>
      </c>
      <c r="J76" s="598" t="str">
        <f t="shared" si="6"/>
        <v>Y</v>
      </c>
    </row>
    <row r="77" spans="1:10">
      <c r="A77" s="598">
        <v>17</v>
      </c>
      <c r="B77" s="598">
        <v>11</v>
      </c>
      <c r="C77" s="598" t="s">
        <v>2674</v>
      </c>
      <c r="D77" s="598">
        <f t="shared" si="5"/>
        <v>400</v>
      </c>
      <c r="E77" s="598">
        <v>20</v>
      </c>
      <c r="F77" s="598">
        <v>0.75</v>
      </c>
      <c r="G77" s="598">
        <v>22.5</v>
      </c>
      <c r="H77" s="598">
        <v>270</v>
      </c>
      <c r="I77" s="598">
        <v>6</v>
      </c>
      <c r="J77" s="598" t="str">
        <f t="shared" si="6"/>
        <v>Y</v>
      </c>
    </row>
    <row r="78" spans="1:10">
      <c r="A78" s="598">
        <v>18</v>
      </c>
      <c r="B78" s="598">
        <v>12</v>
      </c>
      <c r="C78" s="598" t="s">
        <v>2675</v>
      </c>
      <c r="D78" s="598">
        <f t="shared" si="5"/>
        <v>360</v>
      </c>
      <c r="E78" s="598">
        <v>18</v>
      </c>
      <c r="F78" s="598">
        <v>0.78</v>
      </c>
      <c r="G78" s="598">
        <v>2.4</v>
      </c>
      <c r="H78" s="598">
        <v>28.8</v>
      </c>
      <c r="I78" s="598">
        <v>6</v>
      </c>
      <c r="J78" s="598" t="str">
        <f t="shared" si="6"/>
        <v>Y</v>
      </c>
    </row>
    <row r="79" spans="1:10">
      <c r="A79" s="598">
        <v>19</v>
      </c>
      <c r="B79" s="598">
        <v>13</v>
      </c>
      <c r="C79" s="598" t="s">
        <v>2676</v>
      </c>
      <c r="D79" s="598">
        <f t="shared" si="5"/>
        <v>300</v>
      </c>
      <c r="E79" s="598">
        <v>15</v>
      </c>
      <c r="F79" s="598">
        <v>0.04</v>
      </c>
      <c r="G79" s="598">
        <v>1.2</v>
      </c>
      <c r="H79" s="598">
        <v>14.4</v>
      </c>
      <c r="I79" s="598">
        <v>6</v>
      </c>
      <c r="J79" s="598" t="str">
        <f t="shared" si="6"/>
        <v>Y</v>
      </c>
    </row>
    <row r="80" spans="1:10">
      <c r="A80" s="598">
        <v>20</v>
      </c>
      <c r="B80" s="598">
        <v>14</v>
      </c>
      <c r="C80" s="598" t="s">
        <v>3161</v>
      </c>
      <c r="D80" s="598">
        <f t="shared" si="5"/>
        <v>200</v>
      </c>
      <c r="E80" s="598">
        <v>10</v>
      </c>
      <c r="F80" s="598">
        <v>1.4999999999999999E-2</v>
      </c>
      <c r="G80" s="598">
        <v>0.45</v>
      </c>
      <c r="H80" s="598">
        <v>5.4</v>
      </c>
      <c r="I80" s="598">
        <v>4</v>
      </c>
      <c r="J80" s="598" t="str">
        <f t="shared" si="6"/>
        <v>N</v>
      </c>
    </row>
    <row r="81" spans="1:10">
      <c r="A81" s="598">
        <v>23</v>
      </c>
      <c r="B81" s="598">
        <v>15</v>
      </c>
      <c r="C81" s="598" t="s">
        <v>2677</v>
      </c>
      <c r="D81" s="598">
        <f t="shared" si="5"/>
        <v>300</v>
      </c>
      <c r="E81" s="598">
        <v>15</v>
      </c>
      <c r="F81" s="598">
        <v>1.1000000000000001</v>
      </c>
      <c r="G81" s="598">
        <v>2.2000000000000002</v>
      </c>
      <c r="H81" s="598">
        <v>26.4</v>
      </c>
      <c r="I81" s="598">
        <v>4</v>
      </c>
      <c r="J81" s="598" t="str">
        <f t="shared" si="6"/>
        <v>Y</v>
      </c>
    </row>
    <row r="82" spans="1:10">
      <c r="A82" s="598">
        <v>24</v>
      </c>
      <c r="B82" s="598">
        <v>16</v>
      </c>
      <c r="C82" s="598" t="s">
        <v>2678</v>
      </c>
      <c r="D82" s="598">
        <f t="shared" si="5"/>
        <v>200</v>
      </c>
      <c r="E82" s="598">
        <v>10</v>
      </c>
      <c r="F82" s="598">
        <v>0.54</v>
      </c>
      <c r="G82" s="598">
        <v>0.88</v>
      </c>
      <c r="H82" s="598">
        <v>10.66</v>
      </c>
      <c r="I82" s="598">
        <v>3</v>
      </c>
      <c r="J82" s="598" t="str">
        <f t="shared" si="6"/>
        <v>N</v>
      </c>
    </row>
    <row r="83" spans="1:10">
      <c r="A83" s="598">
        <v>27</v>
      </c>
      <c r="B83" s="598">
        <v>17</v>
      </c>
      <c r="C83" s="598" t="s">
        <v>2679</v>
      </c>
      <c r="D83" s="598">
        <f t="shared" si="5"/>
        <v>240</v>
      </c>
      <c r="E83" s="598">
        <v>12</v>
      </c>
      <c r="F83" s="598">
        <v>0.54500000000000004</v>
      </c>
      <c r="G83" s="598">
        <v>0.99</v>
      </c>
      <c r="H83" s="598">
        <v>11.88</v>
      </c>
      <c r="I83" s="598">
        <v>4</v>
      </c>
      <c r="J83" s="598" t="str">
        <f t="shared" si="6"/>
        <v>N</v>
      </c>
    </row>
    <row r="84" spans="1:10">
      <c r="A84" s="598">
        <v>28</v>
      </c>
      <c r="B84" s="598">
        <v>18</v>
      </c>
      <c r="C84" s="598" t="s">
        <v>5551</v>
      </c>
      <c r="D84" s="598">
        <f t="shared" si="5"/>
        <v>200</v>
      </c>
      <c r="E84" s="598">
        <v>10</v>
      </c>
      <c r="F84" s="598">
        <v>0.14000000000000001</v>
      </c>
      <c r="G84" s="598">
        <v>0.88</v>
      </c>
      <c r="H84" s="598">
        <v>10.5</v>
      </c>
      <c r="I84" s="598">
        <v>3</v>
      </c>
      <c r="J84" s="598" t="str">
        <f t="shared" si="6"/>
        <v>N</v>
      </c>
    </row>
    <row r="85" spans="1:10">
      <c r="A85" s="598">
        <v>29</v>
      </c>
      <c r="B85" s="598">
        <v>19</v>
      </c>
      <c r="C85" s="598" t="s">
        <v>5552</v>
      </c>
      <c r="D85" s="598">
        <f t="shared" si="5"/>
        <v>200</v>
      </c>
      <c r="E85" s="598">
        <v>10</v>
      </c>
      <c r="F85" s="598">
        <v>0.54</v>
      </c>
      <c r="G85" s="598">
        <v>0.88</v>
      </c>
      <c r="H85" s="598">
        <v>10.66</v>
      </c>
      <c r="I85" s="598">
        <v>3</v>
      </c>
      <c r="J85" s="598" t="str">
        <f t="shared" si="6"/>
        <v>N</v>
      </c>
    </row>
    <row r="86" spans="1:10">
      <c r="A86" s="598">
        <v>30</v>
      </c>
      <c r="B86" s="598">
        <v>20</v>
      </c>
      <c r="C86" s="598" t="s">
        <v>5553</v>
      </c>
      <c r="D86" s="598">
        <f t="shared" si="5"/>
        <v>420</v>
      </c>
      <c r="E86" s="598">
        <v>21</v>
      </c>
      <c r="F86" s="598">
        <v>1.5</v>
      </c>
      <c r="G86" s="598">
        <v>11</v>
      </c>
      <c r="H86" s="598">
        <v>132</v>
      </c>
      <c r="I86" s="598">
        <v>5</v>
      </c>
      <c r="J86" s="598" t="str">
        <f t="shared" si="6"/>
        <v>Y</v>
      </c>
    </row>
    <row r="87" spans="1:10">
      <c r="A87" s="598">
        <v>31</v>
      </c>
      <c r="B87" s="598">
        <v>21</v>
      </c>
      <c r="C87" s="598" t="s">
        <v>5554</v>
      </c>
      <c r="D87" s="598">
        <f t="shared" si="5"/>
        <v>200</v>
      </c>
      <c r="E87" s="598">
        <v>10</v>
      </c>
      <c r="F87" s="598">
        <v>0.15</v>
      </c>
      <c r="G87" s="598">
        <v>1.1000000000000001</v>
      </c>
      <c r="H87" s="598">
        <v>13.2</v>
      </c>
      <c r="I87" s="598">
        <v>3</v>
      </c>
      <c r="J87" s="598" t="str">
        <f t="shared" si="6"/>
        <v>N</v>
      </c>
    </row>
    <row r="88" spans="1:10">
      <c r="A88" s="598">
        <v>32</v>
      </c>
      <c r="B88" s="598">
        <v>22</v>
      </c>
      <c r="C88" s="598" t="s">
        <v>5555</v>
      </c>
      <c r="D88" s="598">
        <f t="shared" si="5"/>
        <v>400</v>
      </c>
      <c r="E88" s="598">
        <v>20</v>
      </c>
      <c r="F88" s="598">
        <v>1.1200000000000001</v>
      </c>
      <c r="G88" s="598">
        <v>2.64</v>
      </c>
      <c r="H88" s="598">
        <v>31.68</v>
      </c>
      <c r="I88" s="598">
        <v>6</v>
      </c>
      <c r="J88" s="598" t="str">
        <f t="shared" si="6"/>
        <v>Y</v>
      </c>
    </row>
    <row r="89" spans="1:10">
      <c r="A89" s="598">
        <v>34</v>
      </c>
      <c r="B89" s="598">
        <v>23</v>
      </c>
      <c r="C89" s="598" t="s">
        <v>1208</v>
      </c>
      <c r="D89" s="598">
        <f t="shared" si="5"/>
        <v>240</v>
      </c>
      <c r="E89" s="598">
        <v>12</v>
      </c>
      <c r="F89" s="598">
        <v>0.14000000000000001</v>
      </c>
      <c r="G89" s="598">
        <v>0.88</v>
      </c>
      <c r="H89" s="598">
        <v>10.5</v>
      </c>
      <c r="I89" s="598">
        <v>4</v>
      </c>
      <c r="J89" s="598" t="str">
        <f t="shared" si="6"/>
        <v>N</v>
      </c>
    </row>
    <row r="90" spans="1:10">
      <c r="A90" s="598">
        <v>38</v>
      </c>
      <c r="B90" s="598">
        <v>24</v>
      </c>
      <c r="C90" s="598" t="s">
        <v>5556</v>
      </c>
      <c r="D90" s="598">
        <f t="shared" si="5"/>
        <v>380</v>
      </c>
      <c r="E90" s="598">
        <v>19</v>
      </c>
      <c r="F90" s="598">
        <v>3.12</v>
      </c>
      <c r="G90" s="598">
        <v>3.6</v>
      </c>
      <c r="H90" s="598">
        <v>43.2</v>
      </c>
      <c r="I90" s="598">
        <v>7</v>
      </c>
      <c r="J90" s="598" t="str">
        <f t="shared" si="6"/>
        <v>Y</v>
      </c>
    </row>
    <row r="91" spans="1:10">
      <c r="A91" s="598">
        <v>39</v>
      </c>
      <c r="B91" s="598">
        <v>25</v>
      </c>
      <c r="C91" s="598" t="s">
        <v>4130</v>
      </c>
      <c r="D91" s="598">
        <f t="shared" si="5"/>
        <v>260</v>
      </c>
      <c r="E91" s="598">
        <v>13</v>
      </c>
      <c r="F91" s="598">
        <v>0.74</v>
      </c>
      <c r="G91" s="598">
        <v>1.2</v>
      </c>
      <c r="H91" s="598">
        <v>14.4</v>
      </c>
      <c r="I91" s="598">
        <v>5</v>
      </c>
      <c r="J91" s="598" t="str">
        <f t="shared" si="6"/>
        <v>N</v>
      </c>
    </row>
    <row r="92" spans="1:10">
      <c r="A92" s="598">
        <v>43</v>
      </c>
      <c r="B92" s="598">
        <v>26</v>
      </c>
      <c r="C92" s="598" t="s">
        <v>3056</v>
      </c>
      <c r="D92" s="598">
        <f t="shared" si="5"/>
        <v>160</v>
      </c>
      <c r="E92" s="598">
        <v>8</v>
      </c>
      <c r="F92" s="598">
        <v>2.5000000000000001E-2</v>
      </c>
      <c r="G92" s="598">
        <v>0.75</v>
      </c>
      <c r="H92" s="598">
        <v>9</v>
      </c>
      <c r="I92" s="598">
        <v>4</v>
      </c>
      <c r="J92" s="598" t="str">
        <f t="shared" si="6"/>
        <v>N</v>
      </c>
    </row>
    <row r="93" spans="1:10">
      <c r="A93" s="598">
        <v>48</v>
      </c>
      <c r="B93" s="598">
        <v>27</v>
      </c>
      <c r="C93" s="598" t="s">
        <v>3057</v>
      </c>
      <c r="D93" s="598">
        <f t="shared" si="5"/>
        <v>160</v>
      </c>
      <c r="E93" s="598">
        <v>8</v>
      </c>
      <c r="F93" s="598">
        <v>2.75E-2</v>
      </c>
      <c r="G93" s="598">
        <v>0.82499999999999996</v>
      </c>
      <c r="H93" s="598">
        <v>9.9</v>
      </c>
      <c r="I93" s="598">
        <v>4</v>
      </c>
      <c r="J93" s="598" t="str">
        <f t="shared" si="6"/>
        <v>N</v>
      </c>
    </row>
    <row r="94" spans="1:10">
      <c r="A94" s="598">
        <v>50</v>
      </c>
      <c r="B94" s="598">
        <v>28</v>
      </c>
      <c r="C94" s="598" t="s">
        <v>2060</v>
      </c>
      <c r="D94" s="598">
        <f t="shared" si="5"/>
        <v>160</v>
      </c>
      <c r="E94" s="598">
        <v>8</v>
      </c>
      <c r="F94" s="598">
        <v>0.73</v>
      </c>
      <c r="G94" s="598">
        <v>0.9</v>
      </c>
      <c r="H94" s="598">
        <v>10.8</v>
      </c>
      <c r="I94" s="598">
        <v>4</v>
      </c>
      <c r="J94" s="598" t="str">
        <f t="shared" si="6"/>
        <v>N</v>
      </c>
    </row>
    <row r="95" spans="1:10">
      <c r="A95" s="598">
        <v>52</v>
      </c>
      <c r="B95" s="598">
        <v>29</v>
      </c>
      <c r="C95" s="598" t="s">
        <v>2061</v>
      </c>
      <c r="D95" s="598">
        <f t="shared" si="5"/>
        <v>320</v>
      </c>
      <c r="E95" s="598">
        <v>16</v>
      </c>
      <c r="F95" s="598">
        <v>1.1599999999999999</v>
      </c>
      <c r="G95" s="598">
        <v>3.52</v>
      </c>
      <c r="H95" s="598">
        <v>42.24</v>
      </c>
      <c r="I95" s="598">
        <v>4</v>
      </c>
      <c r="J95" s="598" t="str">
        <f t="shared" si="6"/>
        <v>Y</v>
      </c>
    </row>
    <row r="96" spans="1:10">
      <c r="A96" s="598">
        <v>53</v>
      </c>
      <c r="B96" s="598">
        <v>30</v>
      </c>
      <c r="C96" s="598" t="s">
        <v>2062</v>
      </c>
      <c r="D96" s="598">
        <f t="shared" si="5"/>
        <v>200</v>
      </c>
      <c r="E96" s="598">
        <v>10</v>
      </c>
      <c r="F96" s="598">
        <v>0.15</v>
      </c>
      <c r="G96" s="598">
        <v>1.1000000000000001</v>
      </c>
      <c r="H96" s="598">
        <v>13.2</v>
      </c>
      <c r="I96" s="598">
        <v>3</v>
      </c>
      <c r="J96" s="598" t="str">
        <f t="shared" si="6"/>
        <v>N</v>
      </c>
    </row>
    <row r="97" spans="1:10">
      <c r="A97" s="598">
        <v>55</v>
      </c>
      <c r="B97" s="598">
        <v>31</v>
      </c>
      <c r="C97" s="598" t="s">
        <v>2063</v>
      </c>
      <c r="D97" s="598">
        <f t="shared" si="5"/>
        <v>300</v>
      </c>
      <c r="E97" s="598">
        <v>15</v>
      </c>
      <c r="F97" s="598">
        <v>1.1000000000000001</v>
      </c>
      <c r="G97" s="598">
        <v>2.2000000000000002</v>
      </c>
      <c r="H97" s="598">
        <v>26.4</v>
      </c>
      <c r="I97" s="598">
        <v>3</v>
      </c>
      <c r="J97" s="598" t="str">
        <f t="shared" si="6"/>
        <v>Y</v>
      </c>
    </row>
    <row r="98" spans="1:10">
      <c r="A98" s="598">
        <v>56</v>
      </c>
      <c r="B98" s="598">
        <v>32</v>
      </c>
      <c r="C98" s="598" t="s">
        <v>5321</v>
      </c>
      <c r="D98" s="598">
        <f t="shared" si="5"/>
        <v>200</v>
      </c>
      <c r="E98" s="598">
        <v>10</v>
      </c>
      <c r="F98" s="598">
        <v>0.14000000000000001</v>
      </c>
      <c r="G98" s="598">
        <v>0.88</v>
      </c>
      <c r="H98" s="598">
        <v>10.56</v>
      </c>
      <c r="I98" s="598">
        <v>2</v>
      </c>
      <c r="J98" s="598" t="str">
        <f t="shared" si="6"/>
        <v>N</v>
      </c>
    </row>
    <row r="99" spans="1:10">
      <c r="A99" s="598">
        <v>58</v>
      </c>
      <c r="B99" s="598">
        <v>33</v>
      </c>
      <c r="C99" s="598" t="s">
        <v>5322</v>
      </c>
      <c r="D99" s="598">
        <f t="shared" si="5"/>
        <v>300</v>
      </c>
      <c r="E99" s="598">
        <v>15</v>
      </c>
      <c r="F99" s="598">
        <v>1.2</v>
      </c>
      <c r="G99" s="598">
        <v>4.4000000000000004</v>
      </c>
      <c r="H99" s="598">
        <v>62.8</v>
      </c>
      <c r="I99" s="598">
        <v>4</v>
      </c>
      <c r="J99" s="598" t="str">
        <f t="shared" si="6"/>
        <v>Y</v>
      </c>
    </row>
    <row r="100" spans="1:10">
      <c r="A100" s="598">
        <v>59</v>
      </c>
      <c r="B100" s="598">
        <v>34</v>
      </c>
      <c r="C100" s="598" t="s">
        <v>5323</v>
      </c>
      <c r="D100" s="598">
        <f t="shared" si="5"/>
        <v>200</v>
      </c>
      <c r="E100" s="598">
        <v>10</v>
      </c>
      <c r="F100" s="598">
        <v>7.4999999999999997E-2</v>
      </c>
      <c r="G100" s="598">
        <v>1.65</v>
      </c>
      <c r="H100" s="598">
        <v>19.8</v>
      </c>
      <c r="I100" s="598">
        <v>3</v>
      </c>
      <c r="J100" s="598" t="str">
        <f t="shared" si="6"/>
        <v>N</v>
      </c>
    </row>
    <row r="101" spans="1:10">
      <c r="A101" s="598">
        <v>60</v>
      </c>
      <c r="B101" s="598">
        <v>35</v>
      </c>
      <c r="C101" s="598" t="s">
        <v>5324</v>
      </c>
      <c r="D101" s="598">
        <f t="shared" si="5"/>
        <v>300</v>
      </c>
      <c r="E101" s="598">
        <v>15</v>
      </c>
      <c r="F101" s="598">
        <v>0.54500000000000004</v>
      </c>
      <c r="G101" s="598">
        <v>0.99</v>
      </c>
      <c r="H101" s="598">
        <v>11.88</v>
      </c>
      <c r="I101" s="598">
        <v>5</v>
      </c>
      <c r="J101" s="598" t="str">
        <f t="shared" si="6"/>
        <v>Y</v>
      </c>
    </row>
    <row r="102" spans="1:10">
      <c r="A102" s="598">
        <v>61</v>
      </c>
      <c r="B102" s="598">
        <v>36</v>
      </c>
      <c r="C102" s="598" t="s">
        <v>5325</v>
      </c>
      <c r="D102" s="598">
        <f t="shared" si="5"/>
        <v>200</v>
      </c>
      <c r="E102" s="598">
        <v>10</v>
      </c>
      <c r="F102" s="598">
        <v>0.11</v>
      </c>
      <c r="G102" s="598">
        <v>0.22</v>
      </c>
      <c r="H102" s="598">
        <v>2.64</v>
      </c>
      <c r="I102" s="598">
        <v>4</v>
      </c>
      <c r="J102" s="598" t="str">
        <f t="shared" si="6"/>
        <v>N</v>
      </c>
    </row>
    <row r="103" spans="1:10">
      <c r="A103" s="598">
        <v>71</v>
      </c>
      <c r="B103" s="598">
        <v>37</v>
      </c>
      <c r="C103" s="598" t="s">
        <v>5326</v>
      </c>
      <c r="D103" s="598">
        <f t="shared" si="5"/>
        <v>300</v>
      </c>
      <c r="E103" s="598">
        <v>15</v>
      </c>
      <c r="F103" s="598">
        <v>0.16</v>
      </c>
      <c r="G103" s="598">
        <v>1.32</v>
      </c>
      <c r="H103" s="598">
        <v>15.84</v>
      </c>
      <c r="I103" s="598">
        <v>4</v>
      </c>
      <c r="J103" s="598" t="str">
        <f t="shared" si="6"/>
        <v>Y</v>
      </c>
    </row>
    <row r="104" spans="1:10">
      <c r="A104" s="598">
        <v>72</v>
      </c>
      <c r="B104" s="598">
        <v>38</v>
      </c>
      <c r="C104" s="598" t="s">
        <v>5327</v>
      </c>
      <c r="D104" s="598">
        <f t="shared" si="5"/>
        <v>300</v>
      </c>
      <c r="E104" s="598">
        <v>15</v>
      </c>
      <c r="F104" s="598">
        <v>0.08</v>
      </c>
      <c r="G104" s="598">
        <v>1.76</v>
      </c>
      <c r="H104" s="598">
        <v>21.12</v>
      </c>
      <c r="I104" s="598">
        <v>4</v>
      </c>
      <c r="J104" s="598" t="str">
        <f t="shared" si="6"/>
        <v>Y</v>
      </c>
    </row>
    <row r="105" spans="1:10">
      <c r="A105" s="598">
        <v>73</v>
      </c>
      <c r="B105" s="598">
        <v>39</v>
      </c>
      <c r="C105" s="598" t="s">
        <v>1549</v>
      </c>
      <c r="D105" s="598">
        <f t="shared" si="5"/>
        <v>360</v>
      </c>
      <c r="E105" s="598">
        <v>18</v>
      </c>
      <c r="F105" s="598">
        <v>1.18</v>
      </c>
      <c r="G105" s="598">
        <v>3.96</v>
      </c>
      <c r="H105" s="598">
        <v>47.52</v>
      </c>
      <c r="I105" s="598">
        <v>4</v>
      </c>
      <c r="J105" s="598" t="str">
        <f t="shared" si="6"/>
        <v>Y</v>
      </c>
    </row>
    <row r="106" spans="1:10">
      <c r="A106" s="598">
        <v>74</v>
      </c>
      <c r="B106" s="598">
        <v>40</v>
      </c>
      <c r="C106" s="598" t="s">
        <v>1550</v>
      </c>
      <c r="D106" s="598">
        <f t="shared" si="5"/>
        <v>180</v>
      </c>
      <c r="E106" s="598">
        <v>9</v>
      </c>
      <c r="F106" s="598">
        <v>0.53</v>
      </c>
      <c r="G106" s="598">
        <v>0.66</v>
      </c>
      <c r="H106" s="598">
        <v>6.6</v>
      </c>
      <c r="I106" s="598">
        <v>3</v>
      </c>
      <c r="J106" s="598" t="str">
        <f t="shared" si="6"/>
        <v>N</v>
      </c>
    </row>
    <row r="107" spans="1:10">
      <c r="A107" s="598">
        <v>75</v>
      </c>
      <c r="B107" s="598">
        <v>41</v>
      </c>
      <c r="C107" s="598" t="s">
        <v>1551</v>
      </c>
      <c r="D107" s="598">
        <f t="shared" si="5"/>
        <v>400</v>
      </c>
      <c r="E107" s="598">
        <v>20</v>
      </c>
      <c r="F107" s="598">
        <v>20</v>
      </c>
      <c r="G107" s="598">
        <v>4.4000000000000004</v>
      </c>
      <c r="H107" s="598">
        <v>62.8</v>
      </c>
      <c r="I107" s="598">
        <v>4</v>
      </c>
      <c r="J107" s="598" t="str">
        <f t="shared" si="6"/>
        <v>Y</v>
      </c>
    </row>
    <row r="108" spans="1:10">
      <c r="A108" s="598">
        <v>76</v>
      </c>
      <c r="B108" s="598">
        <v>42</v>
      </c>
      <c r="C108" s="598" t="s">
        <v>1552</v>
      </c>
      <c r="D108" s="598">
        <f t="shared" si="5"/>
        <v>180</v>
      </c>
      <c r="E108" s="598">
        <v>9</v>
      </c>
      <c r="F108" s="598">
        <v>0.15</v>
      </c>
      <c r="G108" s="598">
        <v>1.1000000000000001</v>
      </c>
      <c r="H108" s="598">
        <v>13.2</v>
      </c>
      <c r="I108" s="598">
        <v>3</v>
      </c>
      <c r="J108" s="598" t="str">
        <f t="shared" si="6"/>
        <v>N</v>
      </c>
    </row>
    <row r="109" spans="1:10">
      <c r="A109" s="598">
        <v>78</v>
      </c>
      <c r="B109" s="598">
        <v>43</v>
      </c>
      <c r="C109" s="598" t="s">
        <v>4124</v>
      </c>
      <c r="D109" s="598">
        <f t="shared" si="5"/>
        <v>360</v>
      </c>
      <c r="E109" s="598">
        <v>18</v>
      </c>
      <c r="F109" s="598">
        <v>1.25</v>
      </c>
      <c r="G109" s="598">
        <v>5.5</v>
      </c>
      <c r="H109" s="598">
        <v>66</v>
      </c>
      <c r="I109" s="598">
        <v>4</v>
      </c>
      <c r="J109" s="598" t="str">
        <f t="shared" si="6"/>
        <v>Y</v>
      </c>
    </row>
    <row r="110" spans="1:10">
      <c r="A110" s="598">
        <v>79</v>
      </c>
      <c r="B110" s="598">
        <v>44</v>
      </c>
      <c r="C110" s="598" t="s">
        <v>4125</v>
      </c>
      <c r="D110" s="598">
        <f t="shared" si="5"/>
        <v>160</v>
      </c>
      <c r="E110" s="598">
        <v>8</v>
      </c>
      <c r="F110" s="598">
        <v>0.12</v>
      </c>
      <c r="G110" s="598">
        <v>0.6</v>
      </c>
      <c r="H110" s="598">
        <v>7.2</v>
      </c>
      <c r="I110" s="598">
        <v>5</v>
      </c>
      <c r="J110" s="598" t="str">
        <f t="shared" si="6"/>
        <v>Y</v>
      </c>
    </row>
    <row r="111" spans="1:10">
      <c r="A111" s="598">
        <v>80</v>
      </c>
      <c r="B111" s="598">
        <v>45</v>
      </c>
      <c r="C111" s="598" t="s">
        <v>3042</v>
      </c>
      <c r="D111" s="598">
        <f t="shared" si="5"/>
        <v>160</v>
      </c>
      <c r="E111" s="598">
        <v>8</v>
      </c>
      <c r="F111" s="598">
        <v>2.5000000000000001E-2</v>
      </c>
      <c r="G111" s="598">
        <v>0.75</v>
      </c>
      <c r="H111" s="598">
        <v>9</v>
      </c>
      <c r="I111" s="598">
        <v>4</v>
      </c>
      <c r="J111" s="598" t="str">
        <f t="shared" si="6"/>
        <v>N</v>
      </c>
    </row>
    <row r="112" spans="1:10">
      <c r="A112" s="598">
        <v>82</v>
      </c>
      <c r="B112" s="598">
        <v>46</v>
      </c>
      <c r="C112" s="598" t="s">
        <v>1837</v>
      </c>
      <c r="D112" s="598">
        <f t="shared" si="5"/>
        <v>160</v>
      </c>
      <c r="E112" s="598">
        <v>8</v>
      </c>
      <c r="F112" s="598">
        <v>0</v>
      </c>
      <c r="G112" s="598">
        <v>1.8</v>
      </c>
      <c r="H112" s="598">
        <v>21.6</v>
      </c>
      <c r="I112" s="598">
        <v>6</v>
      </c>
      <c r="J112" s="598" t="str">
        <f t="shared" si="6"/>
        <v>Y</v>
      </c>
    </row>
    <row r="113" spans="1:13">
      <c r="A113" s="598">
        <v>83</v>
      </c>
      <c r="B113" s="598">
        <v>47</v>
      </c>
      <c r="C113" s="598" t="s">
        <v>4126</v>
      </c>
      <c r="D113" s="598">
        <f t="shared" si="5"/>
        <v>300</v>
      </c>
      <c r="E113" s="598">
        <v>15</v>
      </c>
      <c r="F113" s="598">
        <v>0.16</v>
      </c>
      <c r="G113" s="598">
        <v>1.32</v>
      </c>
      <c r="H113" s="598">
        <v>15.84</v>
      </c>
      <c r="I113" s="598">
        <v>4</v>
      </c>
      <c r="J113" s="598" t="str">
        <f t="shared" si="6"/>
        <v>Y</v>
      </c>
    </row>
    <row r="114" spans="1:13">
      <c r="A114" s="598">
        <v>87</v>
      </c>
      <c r="B114" s="598">
        <v>48</v>
      </c>
      <c r="C114" s="598" t="s">
        <v>4127</v>
      </c>
      <c r="D114" s="598">
        <f t="shared" si="5"/>
        <v>380</v>
      </c>
      <c r="E114" s="598">
        <v>19</v>
      </c>
      <c r="F114" s="598">
        <v>1.1499999999999999</v>
      </c>
      <c r="G114" s="598">
        <v>3.3</v>
      </c>
      <c r="H114" s="598">
        <v>39.6</v>
      </c>
      <c r="I114" s="598">
        <v>6</v>
      </c>
      <c r="J114" s="598" t="str">
        <f t="shared" si="6"/>
        <v>Y</v>
      </c>
    </row>
    <row r="115" spans="1:13">
      <c r="A115" s="598">
        <v>90</v>
      </c>
      <c r="B115" s="598">
        <v>49</v>
      </c>
      <c r="C115" s="598" t="s">
        <v>4128</v>
      </c>
      <c r="D115" s="598">
        <f t="shared" si="5"/>
        <v>380</v>
      </c>
      <c r="E115" s="598">
        <v>19</v>
      </c>
      <c r="F115" s="598">
        <v>1.1000000000000001</v>
      </c>
      <c r="G115" s="598">
        <v>2.2000000000000002</v>
      </c>
      <c r="H115" s="598">
        <v>26.4</v>
      </c>
      <c r="I115" s="598">
        <v>9</v>
      </c>
      <c r="J115" s="598" t="str">
        <f t="shared" si="6"/>
        <v>Y</v>
      </c>
    </row>
    <row r="116" spans="1:13">
      <c r="A116" s="598">
        <v>94</v>
      </c>
      <c r="B116" s="598">
        <v>50</v>
      </c>
      <c r="C116" s="598" t="s">
        <v>4129</v>
      </c>
      <c r="D116" s="598">
        <f t="shared" si="5"/>
        <v>380</v>
      </c>
      <c r="E116" s="598">
        <v>19</v>
      </c>
      <c r="I116" s="598">
        <v>6</v>
      </c>
      <c r="J116" s="598" t="str">
        <f t="shared" si="6"/>
        <v>Y</v>
      </c>
    </row>
    <row r="117" spans="1:13">
      <c r="A117" s="598">
        <v>95</v>
      </c>
      <c r="B117" s="598">
        <v>51</v>
      </c>
      <c r="C117" s="598" t="s">
        <v>27</v>
      </c>
      <c r="D117" s="598">
        <v>1000</v>
      </c>
      <c r="E117" s="598">
        <f>20+'Main Creation Page'!K38</f>
        <v>20</v>
      </c>
      <c r="F117" s="598">
        <v>5</v>
      </c>
      <c r="G117" s="598">
        <v>110</v>
      </c>
      <c r="H117" s="598">
        <v>1320</v>
      </c>
      <c r="I117" s="598">
        <v>10</v>
      </c>
      <c r="J117" s="598" t="str">
        <f t="shared" si="6"/>
        <v>Y</v>
      </c>
    </row>
    <row r="119" spans="1:13">
      <c r="C119" s="598" t="s">
        <v>4133</v>
      </c>
    </row>
    <row r="120" spans="1:13">
      <c r="A120" s="598">
        <v>1</v>
      </c>
      <c r="B120" s="598">
        <v>1</v>
      </c>
      <c r="C120" s="598" t="s">
        <v>1529</v>
      </c>
      <c r="D120" s="598">
        <f ca="1">20*'Main Creation Page'!$I$26</f>
        <v>460</v>
      </c>
      <c r="E120" s="598">
        <v>20</v>
      </c>
      <c r="F120" s="598">
        <f t="shared" ref="F120:F167" si="7">G120/30</f>
        <v>0.1</v>
      </c>
      <c r="G120" s="598">
        <v>3</v>
      </c>
      <c r="H120" s="598">
        <v>36</v>
      </c>
      <c r="I120" s="598">
        <v>8</v>
      </c>
      <c r="J120" s="598" t="str">
        <f>IF(K120="Landless Knight","N","Y")</f>
        <v>N</v>
      </c>
      <c r="K120" s="598" t="s">
        <v>407</v>
      </c>
      <c r="L120" s="598" t="s">
        <v>4781</v>
      </c>
      <c r="M120" s="598">
        <f t="shared" ref="M120:M126" si="8">20*E120</f>
        <v>400</v>
      </c>
    </row>
    <row r="121" spans="1:13">
      <c r="A121" s="598">
        <v>11</v>
      </c>
      <c r="B121" s="598">
        <v>2</v>
      </c>
      <c r="C121" s="598" t="s">
        <v>978</v>
      </c>
      <c r="D121" s="598">
        <f ca="1">20*'Main Creation Page'!$I$26</f>
        <v>460</v>
      </c>
      <c r="E121" s="598">
        <v>23</v>
      </c>
      <c r="F121" s="598">
        <f t="shared" si="7"/>
        <v>5.3333333333333337E-2</v>
      </c>
      <c r="G121" s="598">
        <v>1.6</v>
      </c>
      <c r="H121" s="598">
        <v>19.2</v>
      </c>
      <c r="I121" s="598">
        <v>8</v>
      </c>
      <c r="J121" s="598" t="str">
        <f t="shared" ref="J121:J167" si="9">IF(K121="Landless Knight","N","Y")</f>
        <v>N</v>
      </c>
      <c r="K121" s="598" t="s">
        <v>407</v>
      </c>
      <c r="L121" s="598" t="s">
        <v>4781</v>
      </c>
      <c r="M121" s="598">
        <f t="shared" si="8"/>
        <v>460</v>
      </c>
    </row>
    <row r="122" spans="1:13">
      <c r="A122" s="598">
        <v>56</v>
      </c>
      <c r="B122" s="598">
        <v>3</v>
      </c>
      <c r="C122" s="598" t="s">
        <v>979</v>
      </c>
      <c r="D122" s="598">
        <f ca="1">20*'Main Creation Page'!$I$26</f>
        <v>460</v>
      </c>
      <c r="E122" s="598">
        <v>24</v>
      </c>
      <c r="F122" s="598">
        <f t="shared" si="7"/>
        <v>5.3333333333333337E-2</v>
      </c>
      <c r="G122" s="598">
        <v>1.6</v>
      </c>
      <c r="H122" s="598">
        <v>19.2</v>
      </c>
      <c r="I122" s="598">
        <v>9</v>
      </c>
      <c r="J122" s="598" t="str">
        <f t="shared" si="9"/>
        <v>N</v>
      </c>
      <c r="K122" s="598" t="s">
        <v>407</v>
      </c>
      <c r="L122" s="598" t="s">
        <v>4781</v>
      </c>
      <c r="M122" s="598">
        <f t="shared" si="8"/>
        <v>480</v>
      </c>
    </row>
    <row r="123" spans="1:13">
      <c r="A123" s="598">
        <v>71</v>
      </c>
      <c r="B123" s="598">
        <v>4</v>
      </c>
      <c r="C123" s="598" t="s">
        <v>1059</v>
      </c>
      <c r="D123" s="598">
        <f ca="1">20*'Main Creation Page'!$I$26</f>
        <v>460</v>
      </c>
      <c r="E123" s="598">
        <v>25</v>
      </c>
      <c r="F123" s="598">
        <f t="shared" si="7"/>
        <v>5.5555555555555559E-2</v>
      </c>
      <c r="G123" s="598">
        <f>H123/12</f>
        <v>1.6666666666666667</v>
      </c>
      <c r="H123" s="598">
        <v>20</v>
      </c>
      <c r="I123" s="598">
        <v>9</v>
      </c>
      <c r="J123" s="598" t="str">
        <f t="shared" si="9"/>
        <v>N</v>
      </c>
      <c r="K123" s="598" t="s">
        <v>407</v>
      </c>
      <c r="L123" s="598" t="s">
        <v>4781</v>
      </c>
      <c r="M123" s="598">
        <f t="shared" si="8"/>
        <v>500</v>
      </c>
    </row>
    <row r="124" spans="1:13">
      <c r="A124" s="598">
        <v>81</v>
      </c>
      <c r="B124" s="598">
        <v>5</v>
      </c>
      <c r="C124" s="598" t="s">
        <v>1060</v>
      </c>
      <c r="D124" s="598">
        <f ca="1">20*'Main Creation Page'!$I$26</f>
        <v>460</v>
      </c>
      <c r="E124" s="598">
        <v>26</v>
      </c>
      <c r="F124" s="598">
        <f t="shared" si="7"/>
        <v>6.6666666666666666E-2</v>
      </c>
      <c r="G124" s="598">
        <f>H124/12</f>
        <v>2</v>
      </c>
      <c r="H124" s="598">
        <v>24</v>
      </c>
      <c r="I124" s="598">
        <v>9</v>
      </c>
      <c r="J124" s="598" t="str">
        <f t="shared" si="9"/>
        <v>N</v>
      </c>
      <c r="K124" s="598" t="s">
        <v>407</v>
      </c>
      <c r="L124" s="598" t="s">
        <v>4781</v>
      </c>
      <c r="M124" s="598">
        <f t="shared" si="8"/>
        <v>520</v>
      </c>
    </row>
    <row r="125" spans="1:13">
      <c r="A125" s="598">
        <v>91</v>
      </c>
      <c r="B125" s="598">
        <v>6</v>
      </c>
      <c r="C125" s="598" t="s">
        <v>1061</v>
      </c>
      <c r="D125" s="598">
        <f ca="1">20*'Main Creation Page'!$I$26</f>
        <v>460</v>
      </c>
      <c r="E125" s="598">
        <v>27</v>
      </c>
      <c r="F125" s="598">
        <f t="shared" si="7"/>
        <v>0.08</v>
      </c>
      <c r="G125" s="598">
        <f>H125/12</f>
        <v>2.4</v>
      </c>
      <c r="H125" s="598">
        <v>28.8</v>
      </c>
      <c r="I125" s="598">
        <v>9</v>
      </c>
      <c r="J125" s="598" t="str">
        <f t="shared" si="9"/>
        <v>N</v>
      </c>
      <c r="K125" s="598" t="s">
        <v>407</v>
      </c>
      <c r="L125" s="598" t="s">
        <v>4781</v>
      </c>
      <c r="M125" s="598">
        <f t="shared" si="8"/>
        <v>540</v>
      </c>
    </row>
    <row r="126" spans="1:13">
      <c r="A126" s="598">
        <v>98</v>
      </c>
      <c r="B126" s="598">
        <v>7</v>
      </c>
      <c r="C126" s="598" t="s">
        <v>1562</v>
      </c>
      <c r="D126" s="598">
        <f ca="1">20*'Main Creation Page'!$I$26</f>
        <v>460</v>
      </c>
      <c r="E126" s="598">
        <v>30</v>
      </c>
      <c r="F126" s="598">
        <f t="shared" si="7"/>
        <v>0.10666666666666666</v>
      </c>
      <c r="G126" s="598">
        <f>H126/12</f>
        <v>3.1999999999999997</v>
      </c>
      <c r="H126" s="598">
        <v>38.4</v>
      </c>
      <c r="I126" s="598">
        <v>9</v>
      </c>
      <c r="J126" s="598" t="str">
        <f t="shared" si="9"/>
        <v>N</v>
      </c>
      <c r="K126" s="598" t="s">
        <v>407</v>
      </c>
      <c r="L126" s="598" t="s">
        <v>4781</v>
      </c>
      <c r="M126" s="598">
        <f t="shared" si="8"/>
        <v>600</v>
      </c>
    </row>
    <row r="127" spans="1:13">
      <c r="A127" s="598">
        <v>1</v>
      </c>
      <c r="B127" s="598">
        <v>8</v>
      </c>
      <c r="C127" s="598" t="s">
        <v>3040</v>
      </c>
      <c r="D127" s="598">
        <f ca="1">30*'Main Creation Page'!$I$26</f>
        <v>690</v>
      </c>
      <c r="E127" s="598">
        <v>25</v>
      </c>
      <c r="F127" s="598">
        <f t="shared" si="7"/>
        <v>0.33333333333333331</v>
      </c>
      <c r="G127" s="598">
        <v>10</v>
      </c>
      <c r="H127" s="598">
        <v>120</v>
      </c>
      <c r="I127" s="598">
        <v>9</v>
      </c>
      <c r="J127" s="598" t="str">
        <f t="shared" si="9"/>
        <v>Y</v>
      </c>
      <c r="K127" s="598" t="s">
        <v>408</v>
      </c>
      <c r="L127" s="598" t="s">
        <v>589</v>
      </c>
      <c r="M127" s="598">
        <f t="shared" ref="M127:M149" si="10">30*E127</f>
        <v>750</v>
      </c>
    </row>
    <row r="128" spans="1:13">
      <c r="A128" s="598">
        <v>7</v>
      </c>
      <c r="B128" s="598">
        <v>9</v>
      </c>
      <c r="C128" s="598" t="s">
        <v>3040</v>
      </c>
      <c r="D128" s="598">
        <f ca="1">30*'Main Creation Page'!$I$26</f>
        <v>690</v>
      </c>
      <c r="E128" s="598">
        <v>25</v>
      </c>
      <c r="F128" s="598">
        <f t="shared" si="7"/>
        <v>0.95833333333333337</v>
      </c>
      <c r="G128" s="598">
        <v>28.75</v>
      </c>
      <c r="H128" s="598">
        <v>345</v>
      </c>
      <c r="I128" s="598">
        <v>9</v>
      </c>
      <c r="J128" s="598" t="str">
        <f t="shared" si="9"/>
        <v>Y</v>
      </c>
      <c r="K128" s="598" t="s">
        <v>408</v>
      </c>
      <c r="L128" s="598" t="s">
        <v>4620</v>
      </c>
      <c r="M128" s="598">
        <f t="shared" si="10"/>
        <v>750</v>
      </c>
    </row>
    <row r="129" spans="1:13">
      <c r="A129" s="598">
        <v>13</v>
      </c>
      <c r="B129" s="598">
        <v>10</v>
      </c>
      <c r="C129" s="598" t="s">
        <v>3040</v>
      </c>
      <c r="D129" s="598">
        <f ca="1">30*'Main Creation Page'!$I$26</f>
        <v>690</v>
      </c>
      <c r="E129" s="598">
        <v>25</v>
      </c>
      <c r="F129" s="598">
        <f t="shared" si="7"/>
        <v>1.5276666666666665</v>
      </c>
      <c r="G129" s="598">
        <v>45.83</v>
      </c>
      <c r="H129" s="598">
        <v>550</v>
      </c>
      <c r="I129" s="598">
        <v>9</v>
      </c>
      <c r="J129" s="598" t="str">
        <f t="shared" si="9"/>
        <v>Y</v>
      </c>
      <c r="K129" s="598" t="s">
        <v>408</v>
      </c>
      <c r="L129" s="598" t="s">
        <v>178</v>
      </c>
      <c r="M129" s="598">
        <f t="shared" si="10"/>
        <v>750</v>
      </c>
    </row>
    <row r="130" spans="1:13">
      <c r="A130" s="598">
        <v>19</v>
      </c>
      <c r="B130" s="598">
        <v>11</v>
      </c>
      <c r="C130" s="598" t="s">
        <v>3040</v>
      </c>
      <c r="D130" s="598">
        <f ca="1">30*'Main Creation Page'!$I$26</f>
        <v>690</v>
      </c>
      <c r="E130" s="598">
        <v>26</v>
      </c>
      <c r="F130" s="598">
        <f t="shared" si="7"/>
        <v>2.0140000000000002</v>
      </c>
      <c r="G130" s="598">
        <v>60.42</v>
      </c>
      <c r="H130" s="598">
        <v>725</v>
      </c>
      <c r="I130" s="598">
        <v>10</v>
      </c>
      <c r="J130" s="598" t="str">
        <f t="shared" si="9"/>
        <v>Y</v>
      </c>
      <c r="K130" s="598" t="s">
        <v>408</v>
      </c>
      <c r="L130" s="598" t="s">
        <v>4621</v>
      </c>
      <c r="M130" s="598">
        <f t="shared" si="10"/>
        <v>780</v>
      </c>
    </row>
    <row r="131" spans="1:13">
      <c r="A131" s="598">
        <v>25</v>
      </c>
      <c r="B131" s="598">
        <v>12</v>
      </c>
      <c r="C131" s="598" t="s">
        <v>3040</v>
      </c>
      <c r="D131" s="598">
        <f ca="1">30*'Main Creation Page'!$I$26</f>
        <v>690</v>
      </c>
      <c r="E131" s="598">
        <v>26</v>
      </c>
      <c r="F131" s="598">
        <f t="shared" si="7"/>
        <v>2.1806666666666668</v>
      </c>
      <c r="G131" s="598">
        <v>65.42</v>
      </c>
      <c r="H131" s="598">
        <v>785</v>
      </c>
      <c r="I131" s="598">
        <v>10</v>
      </c>
      <c r="J131" s="598" t="str">
        <f t="shared" si="9"/>
        <v>Y</v>
      </c>
      <c r="K131" s="598" t="s">
        <v>408</v>
      </c>
      <c r="L131" s="598" t="s">
        <v>4622</v>
      </c>
      <c r="M131" s="598">
        <f t="shared" si="10"/>
        <v>780</v>
      </c>
    </row>
    <row r="132" spans="1:13">
      <c r="A132" s="598">
        <v>31</v>
      </c>
      <c r="B132" s="598">
        <v>13</v>
      </c>
      <c r="C132" s="598" t="s">
        <v>3040</v>
      </c>
      <c r="D132" s="598">
        <f ca="1">30*'Main Creation Page'!$I$26</f>
        <v>690</v>
      </c>
      <c r="E132" s="598">
        <v>26</v>
      </c>
      <c r="F132" s="598">
        <f t="shared" si="7"/>
        <v>2.3473333333333333</v>
      </c>
      <c r="G132" s="598">
        <v>70.42</v>
      </c>
      <c r="H132" s="598">
        <v>845</v>
      </c>
      <c r="I132" s="598">
        <v>10</v>
      </c>
      <c r="J132" s="598" t="str">
        <f t="shared" si="9"/>
        <v>Y</v>
      </c>
      <c r="K132" s="598" t="s">
        <v>408</v>
      </c>
      <c r="L132" s="598" t="s">
        <v>4623</v>
      </c>
      <c r="M132" s="598">
        <f t="shared" si="10"/>
        <v>780</v>
      </c>
    </row>
    <row r="133" spans="1:13">
      <c r="A133" s="598">
        <v>37</v>
      </c>
      <c r="B133" s="598">
        <v>14</v>
      </c>
      <c r="C133" s="598" t="s">
        <v>3040</v>
      </c>
      <c r="D133" s="598">
        <f ca="1">30*'Main Creation Page'!$I$26</f>
        <v>690</v>
      </c>
      <c r="E133" s="598">
        <v>27</v>
      </c>
      <c r="F133" s="598">
        <f t="shared" si="7"/>
        <v>2.5140000000000002</v>
      </c>
      <c r="G133" s="598">
        <v>75.42</v>
      </c>
      <c r="H133" s="598">
        <v>905</v>
      </c>
      <c r="I133" s="598">
        <v>10</v>
      </c>
      <c r="J133" s="598" t="str">
        <f t="shared" si="9"/>
        <v>Y</v>
      </c>
      <c r="K133" s="598" t="s">
        <v>408</v>
      </c>
      <c r="L133" s="598" t="s">
        <v>4624</v>
      </c>
      <c r="M133" s="598">
        <f t="shared" si="10"/>
        <v>810</v>
      </c>
    </row>
    <row r="134" spans="1:13">
      <c r="A134" s="598">
        <v>43</v>
      </c>
      <c r="B134" s="598">
        <v>15</v>
      </c>
      <c r="C134" s="598" t="s">
        <v>3040</v>
      </c>
      <c r="D134" s="598">
        <f ca="1">30*'Main Creation Page'!$I$26</f>
        <v>690</v>
      </c>
      <c r="E134" s="598">
        <v>27</v>
      </c>
      <c r="F134" s="598">
        <f t="shared" si="7"/>
        <v>2.6806666666666668</v>
      </c>
      <c r="G134" s="598">
        <v>80.42</v>
      </c>
      <c r="H134" s="598">
        <v>965</v>
      </c>
      <c r="I134" s="598">
        <v>10</v>
      </c>
      <c r="J134" s="598" t="str">
        <f t="shared" si="9"/>
        <v>Y</v>
      </c>
      <c r="K134" s="598" t="s">
        <v>408</v>
      </c>
      <c r="L134" s="598" t="s">
        <v>2763</v>
      </c>
      <c r="M134" s="598">
        <f t="shared" si="10"/>
        <v>810</v>
      </c>
    </row>
    <row r="135" spans="1:13">
      <c r="A135" s="598">
        <v>49</v>
      </c>
      <c r="B135" s="598">
        <v>16</v>
      </c>
      <c r="C135" s="598" t="s">
        <v>3040</v>
      </c>
      <c r="D135" s="598">
        <f ca="1">30*'Main Creation Page'!$I$26</f>
        <v>690</v>
      </c>
      <c r="E135" s="598">
        <v>27</v>
      </c>
      <c r="F135" s="598">
        <f t="shared" si="7"/>
        <v>2.8473333333333333</v>
      </c>
      <c r="G135" s="598">
        <v>85.42</v>
      </c>
      <c r="H135" s="598">
        <v>1025</v>
      </c>
      <c r="I135" s="598">
        <v>11</v>
      </c>
      <c r="J135" s="598" t="str">
        <f t="shared" si="9"/>
        <v>Y</v>
      </c>
      <c r="K135" s="598" t="s">
        <v>408</v>
      </c>
      <c r="L135" s="598" t="s">
        <v>1528</v>
      </c>
      <c r="M135" s="598">
        <f t="shared" si="10"/>
        <v>810</v>
      </c>
    </row>
    <row r="136" spans="1:13">
      <c r="A136" s="598">
        <v>55</v>
      </c>
      <c r="B136" s="598">
        <v>17</v>
      </c>
      <c r="C136" s="598" t="s">
        <v>3040</v>
      </c>
      <c r="D136" s="598">
        <f ca="1">30*'Main Creation Page'!$I$26</f>
        <v>690</v>
      </c>
      <c r="E136" s="598">
        <v>28</v>
      </c>
      <c r="F136" s="598">
        <f t="shared" si="7"/>
        <v>3.0140000000000002</v>
      </c>
      <c r="G136" s="598">
        <v>90.42</v>
      </c>
      <c r="H136" s="598">
        <v>1085</v>
      </c>
      <c r="I136" s="598">
        <v>11</v>
      </c>
      <c r="J136" s="598" t="str">
        <f t="shared" si="9"/>
        <v>Y</v>
      </c>
      <c r="K136" s="598" t="s">
        <v>408</v>
      </c>
      <c r="L136" s="598" t="s">
        <v>4625</v>
      </c>
      <c r="M136" s="598">
        <f t="shared" si="10"/>
        <v>840</v>
      </c>
    </row>
    <row r="137" spans="1:13">
      <c r="A137" s="598">
        <v>61</v>
      </c>
      <c r="B137" s="598">
        <v>18</v>
      </c>
      <c r="C137" s="598" t="s">
        <v>3040</v>
      </c>
      <c r="D137" s="598">
        <f ca="1">30*'Main Creation Page'!$I$26</f>
        <v>690</v>
      </c>
      <c r="E137" s="598">
        <v>28</v>
      </c>
      <c r="F137" s="598">
        <f t="shared" si="7"/>
        <v>3.1806666666666668</v>
      </c>
      <c r="G137" s="598">
        <v>95.42</v>
      </c>
      <c r="H137" s="598">
        <v>1145</v>
      </c>
      <c r="I137" s="598">
        <v>11</v>
      </c>
      <c r="J137" s="598" t="str">
        <f t="shared" si="9"/>
        <v>Y</v>
      </c>
      <c r="K137" s="598" t="s">
        <v>408</v>
      </c>
      <c r="L137" s="598" t="s">
        <v>4626</v>
      </c>
      <c r="M137" s="598">
        <f t="shared" si="10"/>
        <v>840</v>
      </c>
    </row>
    <row r="138" spans="1:13">
      <c r="A138" s="598">
        <v>67</v>
      </c>
      <c r="B138" s="598">
        <v>19</v>
      </c>
      <c r="C138" s="598" t="s">
        <v>3040</v>
      </c>
      <c r="D138" s="598">
        <f ca="1">30*'Main Creation Page'!$I$26</f>
        <v>690</v>
      </c>
      <c r="E138" s="598">
        <v>28</v>
      </c>
      <c r="F138" s="598">
        <f t="shared" si="7"/>
        <v>3.680333333333333</v>
      </c>
      <c r="G138" s="598">
        <v>110.41</v>
      </c>
      <c r="H138" s="598">
        <v>1325</v>
      </c>
      <c r="I138" s="598">
        <v>11</v>
      </c>
      <c r="J138" s="598" t="str">
        <f t="shared" si="9"/>
        <v>Y</v>
      </c>
      <c r="K138" s="598" t="s">
        <v>408</v>
      </c>
      <c r="L138" s="598" t="s">
        <v>1563</v>
      </c>
      <c r="M138" s="598">
        <f t="shared" si="10"/>
        <v>840</v>
      </c>
    </row>
    <row r="139" spans="1:13">
      <c r="A139" s="598">
        <v>73</v>
      </c>
      <c r="B139" s="598">
        <v>20</v>
      </c>
      <c r="C139" s="598" t="s">
        <v>1414</v>
      </c>
      <c r="D139" s="598">
        <f ca="1">30*'Main Creation Page'!$I$26</f>
        <v>690</v>
      </c>
      <c r="E139" s="598">
        <v>29</v>
      </c>
      <c r="F139" s="598">
        <f t="shared" si="7"/>
        <v>4.416666666666667</v>
      </c>
      <c r="G139" s="598">
        <v>132.5</v>
      </c>
      <c r="H139" s="598">
        <v>1590</v>
      </c>
      <c r="I139" s="598">
        <v>11</v>
      </c>
      <c r="J139" s="598" t="str">
        <f t="shared" si="9"/>
        <v>Y</v>
      </c>
      <c r="K139" s="598" t="s">
        <v>408</v>
      </c>
      <c r="L139" s="598" t="s">
        <v>5221</v>
      </c>
      <c r="M139" s="598">
        <f t="shared" si="10"/>
        <v>870</v>
      </c>
    </row>
    <row r="140" spans="1:13">
      <c r="A140" s="598">
        <v>81</v>
      </c>
      <c r="B140" s="598">
        <v>21</v>
      </c>
      <c r="C140" s="598" t="s">
        <v>1414</v>
      </c>
      <c r="D140" s="598">
        <f ca="1">30*'Main Creation Page'!$I$26</f>
        <v>690</v>
      </c>
      <c r="E140" s="598">
        <v>29</v>
      </c>
      <c r="F140" s="598">
        <f t="shared" si="7"/>
        <v>5.25</v>
      </c>
      <c r="G140" s="598">
        <v>157.5</v>
      </c>
      <c r="H140" s="598">
        <v>1890</v>
      </c>
      <c r="I140" s="598">
        <v>11</v>
      </c>
      <c r="J140" s="598" t="str">
        <f t="shared" si="9"/>
        <v>Y</v>
      </c>
      <c r="K140" s="598" t="s">
        <v>408</v>
      </c>
      <c r="L140" s="598" t="s">
        <v>5224</v>
      </c>
      <c r="M140" s="598">
        <f t="shared" si="10"/>
        <v>870</v>
      </c>
    </row>
    <row r="141" spans="1:13">
      <c r="A141" s="598">
        <v>88</v>
      </c>
      <c r="B141" s="598">
        <v>22</v>
      </c>
      <c r="C141" s="598" t="s">
        <v>1414</v>
      </c>
      <c r="D141" s="598">
        <f ca="1">30*'Main Creation Page'!$I$26</f>
        <v>690</v>
      </c>
      <c r="E141" s="598">
        <v>29</v>
      </c>
      <c r="F141" s="598">
        <f t="shared" si="7"/>
        <v>6.083333333333333</v>
      </c>
      <c r="G141" s="598">
        <v>182.5</v>
      </c>
      <c r="H141" s="598">
        <v>2190</v>
      </c>
      <c r="I141" s="598">
        <v>11</v>
      </c>
      <c r="J141" s="598" t="str">
        <f t="shared" si="9"/>
        <v>Y</v>
      </c>
      <c r="K141" s="598" t="s">
        <v>408</v>
      </c>
      <c r="L141" s="598" t="s">
        <v>177</v>
      </c>
      <c r="M141" s="598">
        <f t="shared" si="10"/>
        <v>870</v>
      </c>
    </row>
    <row r="142" spans="1:13">
      <c r="A142" s="598">
        <v>94</v>
      </c>
      <c r="B142" s="598">
        <v>23</v>
      </c>
      <c r="C142" s="598" t="s">
        <v>1414</v>
      </c>
      <c r="D142" s="598">
        <f ca="1">30*'Main Creation Page'!$I$26</f>
        <v>690</v>
      </c>
      <c r="E142" s="598">
        <v>30</v>
      </c>
      <c r="F142" s="598">
        <f t="shared" si="7"/>
        <v>7.4719999999999995</v>
      </c>
      <c r="G142" s="598">
        <v>224.16</v>
      </c>
      <c r="H142" s="598">
        <v>2690</v>
      </c>
      <c r="I142" s="598">
        <v>12</v>
      </c>
      <c r="J142" s="598" t="str">
        <f t="shared" si="9"/>
        <v>Y</v>
      </c>
      <c r="K142" s="598" t="s">
        <v>408</v>
      </c>
      <c r="L142" s="598" t="s">
        <v>4627</v>
      </c>
      <c r="M142" s="598">
        <f t="shared" si="10"/>
        <v>900</v>
      </c>
    </row>
    <row r="143" spans="1:13">
      <c r="A143" s="598">
        <v>1</v>
      </c>
      <c r="B143" s="598">
        <v>24</v>
      </c>
      <c r="C143" s="598" t="s">
        <v>1415</v>
      </c>
      <c r="D143" s="598">
        <f ca="1">30*'Main Creation Page'!$I$26</f>
        <v>690</v>
      </c>
      <c r="E143" s="598">
        <v>31</v>
      </c>
      <c r="F143" s="598">
        <f t="shared" si="7"/>
        <v>8.3053333333333335</v>
      </c>
      <c r="G143" s="598">
        <v>249.16</v>
      </c>
      <c r="H143" s="598">
        <v>2990</v>
      </c>
      <c r="I143" s="598">
        <v>12</v>
      </c>
      <c r="J143" s="598" t="str">
        <f t="shared" si="9"/>
        <v>Y</v>
      </c>
      <c r="K143" s="598" t="s">
        <v>4099</v>
      </c>
      <c r="L143" s="598" t="s">
        <v>4628</v>
      </c>
      <c r="M143" s="598">
        <f t="shared" si="10"/>
        <v>930</v>
      </c>
    </row>
    <row r="144" spans="1:13">
      <c r="A144" s="598">
        <v>26</v>
      </c>
      <c r="B144" s="598">
        <v>25</v>
      </c>
      <c r="C144" s="598" t="s">
        <v>1415</v>
      </c>
      <c r="D144" s="598">
        <f ca="1">30*'Main Creation Page'!$I$26</f>
        <v>690</v>
      </c>
      <c r="E144" s="598">
        <v>31</v>
      </c>
      <c r="F144" s="598">
        <f t="shared" si="7"/>
        <v>9.5276666666666667</v>
      </c>
      <c r="G144" s="598">
        <v>285.83</v>
      </c>
      <c r="H144" s="598">
        <v>3430</v>
      </c>
      <c r="I144" s="598">
        <v>12</v>
      </c>
      <c r="J144" s="598" t="str">
        <f t="shared" si="9"/>
        <v>Y</v>
      </c>
      <c r="K144" s="598" t="s">
        <v>4099</v>
      </c>
      <c r="L144" s="598" t="s">
        <v>4629</v>
      </c>
      <c r="M144" s="598">
        <f t="shared" si="10"/>
        <v>930</v>
      </c>
    </row>
    <row r="145" spans="1:13">
      <c r="A145" s="598">
        <v>46</v>
      </c>
      <c r="B145" s="598">
        <v>26</v>
      </c>
      <c r="C145" s="598" t="s">
        <v>1415</v>
      </c>
      <c r="D145" s="598">
        <f ca="1">30*'Main Creation Page'!$I$26</f>
        <v>690</v>
      </c>
      <c r="E145" s="598">
        <v>31</v>
      </c>
      <c r="F145" s="598">
        <f t="shared" si="7"/>
        <v>13</v>
      </c>
      <c r="G145" s="598">
        <v>390</v>
      </c>
      <c r="H145" s="598">
        <v>4680</v>
      </c>
      <c r="I145" s="598">
        <v>12</v>
      </c>
      <c r="J145" s="598" t="str">
        <f t="shared" si="9"/>
        <v>Y</v>
      </c>
      <c r="K145" s="598" t="s">
        <v>4099</v>
      </c>
      <c r="L145" s="598" t="s">
        <v>4630</v>
      </c>
      <c r="M145" s="598">
        <f t="shared" si="10"/>
        <v>930</v>
      </c>
    </row>
    <row r="146" spans="1:13">
      <c r="A146" s="598">
        <v>61</v>
      </c>
      <c r="B146" s="598">
        <v>27</v>
      </c>
      <c r="C146" s="598" t="s">
        <v>3081</v>
      </c>
      <c r="D146" s="598">
        <f ca="1">30*'Main Creation Page'!$I$26</f>
        <v>690</v>
      </c>
      <c r="E146" s="598">
        <v>32</v>
      </c>
      <c r="F146" s="598">
        <f t="shared" si="7"/>
        <v>13.833333333333334</v>
      </c>
      <c r="G146" s="598">
        <v>415</v>
      </c>
      <c r="H146" s="598">
        <v>4980</v>
      </c>
      <c r="I146" s="598">
        <v>12</v>
      </c>
      <c r="J146" s="598" t="str">
        <f t="shared" si="9"/>
        <v>Y</v>
      </c>
      <c r="K146" s="598" t="s">
        <v>4099</v>
      </c>
      <c r="L146" s="598" t="s">
        <v>4631</v>
      </c>
      <c r="M146" s="598">
        <f t="shared" si="10"/>
        <v>960</v>
      </c>
    </row>
    <row r="147" spans="1:13">
      <c r="A147" s="598">
        <v>71</v>
      </c>
      <c r="B147" s="598">
        <v>28</v>
      </c>
      <c r="C147" s="598" t="s">
        <v>3081</v>
      </c>
      <c r="D147" s="598">
        <f ca="1">30*'Main Creation Page'!$I$26</f>
        <v>690</v>
      </c>
      <c r="E147" s="598">
        <v>32</v>
      </c>
      <c r="F147" s="598">
        <f t="shared" si="7"/>
        <v>14.666666666666666</v>
      </c>
      <c r="G147" s="598">
        <v>440</v>
      </c>
      <c r="H147" s="598">
        <v>5280</v>
      </c>
      <c r="I147" s="598">
        <v>12</v>
      </c>
      <c r="J147" s="598" t="str">
        <f t="shared" si="9"/>
        <v>Y</v>
      </c>
      <c r="K147" s="598" t="s">
        <v>4099</v>
      </c>
      <c r="L147" s="598" t="s">
        <v>4632</v>
      </c>
      <c r="M147" s="598">
        <f t="shared" si="10"/>
        <v>960</v>
      </c>
    </row>
    <row r="148" spans="1:13">
      <c r="A148" s="598">
        <v>81</v>
      </c>
      <c r="B148" s="598">
        <v>29</v>
      </c>
      <c r="C148" s="598" t="s">
        <v>3081</v>
      </c>
      <c r="D148" s="598">
        <f ca="1">30*'Main Creation Page'!$I$26</f>
        <v>690</v>
      </c>
      <c r="E148" s="598">
        <v>33</v>
      </c>
      <c r="F148" s="598">
        <f t="shared" si="7"/>
        <v>15.5</v>
      </c>
      <c r="G148" s="598">
        <v>465</v>
      </c>
      <c r="H148" s="598">
        <v>5580</v>
      </c>
      <c r="I148" s="598">
        <v>12</v>
      </c>
      <c r="J148" s="598" t="str">
        <f t="shared" si="9"/>
        <v>Y</v>
      </c>
      <c r="K148" s="598" t="s">
        <v>4099</v>
      </c>
      <c r="L148" s="598" t="s">
        <v>5223</v>
      </c>
      <c r="M148" s="598">
        <f t="shared" si="10"/>
        <v>990</v>
      </c>
    </row>
    <row r="149" spans="1:13">
      <c r="A149" s="598">
        <v>91</v>
      </c>
      <c r="B149" s="598">
        <v>30</v>
      </c>
      <c r="C149" s="598" t="s">
        <v>3081</v>
      </c>
      <c r="D149" s="598">
        <f ca="1">30*'Main Creation Page'!$I$26</f>
        <v>690</v>
      </c>
      <c r="E149" s="598">
        <v>35</v>
      </c>
      <c r="F149" s="598">
        <f t="shared" si="7"/>
        <v>16.333333333333332</v>
      </c>
      <c r="G149" s="598">
        <v>490</v>
      </c>
      <c r="H149" s="598">
        <v>5880</v>
      </c>
      <c r="I149" s="598">
        <v>12</v>
      </c>
      <c r="J149" s="598" t="str">
        <f t="shared" si="9"/>
        <v>Y</v>
      </c>
      <c r="K149" s="598" t="s">
        <v>4099</v>
      </c>
      <c r="L149" s="598" t="s">
        <v>4633</v>
      </c>
      <c r="M149" s="598">
        <f t="shared" si="10"/>
        <v>1050</v>
      </c>
    </row>
    <row r="150" spans="1:13">
      <c r="A150" s="598">
        <v>1</v>
      </c>
      <c r="B150" s="598">
        <v>31</v>
      </c>
      <c r="C150" s="598" t="s">
        <v>3082</v>
      </c>
      <c r="D150" s="598">
        <v>1200</v>
      </c>
      <c r="E150" s="598">
        <v>32</v>
      </c>
      <c r="F150" s="598">
        <f t="shared" si="7"/>
        <v>17.166666666666668</v>
      </c>
      <c r="G150" s="598">
        <v>515</v>
      </c>
      <c r="H150" s="598">
        <v>6180</v>
      </c>
      <c r="I150" s="598">
        <v>12</v>
      </c>
      <c r="J150" s="598" t="str">
        <f t="shared" si="9"/>
        <v>Y</v>
      </c>
      <c r="K150" s="598" t="s">
        <v>5137</v>
      </c>
      <c r="L150" s="598" t="s">
        <v>4634</v>
      </c>
      <c r="M150" s="598">
        <v>1200</v>
      </c>
    </row>
    <row r="151" spans="1:13">
      <c r="A151" s="598">
        <v>21</v>
      </c>
      <c r="B151" s="598">
        <v>32</v>
      </c>
      <c r="C151" s="598" t="s">
        <v>3082</v>
      </c>
      <c r="D151" s="598">
        <v>1200</v>
      </c>
      <c r="E151" s="598">
        <v>34</v>
      </c>
      <c r="F151" s="598">
        <f t="shared" si="7"/>
        <v>18</v>
      </c>
      <c r="G151" s="598">
        <v>540</v>
      </c>
      <c r="H151" s="598">
        <v>6480</v>
      </c>
      <c r="I151" s="598">
        <v>12</v>
      </c>
      <c r="J151" s="598" t="str">
        <f t="shared" si="9"/>
        <v>Y</v>
      </c>
      <c r="K151" s="598" t="s">
        <v>5137</v>
      </c>
      <c r="L151" s="598" t="s">
        <v>5222</v>
      </c>
      <c r="M151" s="598">
        <v>1200</v>
      </c>
    </row>
    <row r="152" spans="1:13">
      <c r="A152" s="598">
        <v>36</v>
      </c>
      <c r="B152" s="598">
        <v>33</v>
      </c>
      <c r="C152" s="598" t="s">
        <v>3082</v>
      </c>
      <c r="D152" s="598">
        <v>1200</v>
      </c>
      <c r="E152" s="598">
        <v>36</v>
      </c>
      <c r="F152" s="598">
        <f t="shared" si="7"/>
        <v>18.833333333333332</v>
      </c>
      <c r="G152" s="598">
        <v>565</v>
      </c>
      <c r="H152" s="598">
        <v>6780</v>
      </c>
      <c r="I152" s="598">
        <v>12</v>
      </c>
      <c r="J152" s="598" t="str">
        <f t="shared" si="9"/>
        <v>Y</v>
      </c>
      <c r="K152" s="598" t="s">
        <v>5137</v>
      </c>
      <c r="L152" s="598" t="s">
        <v>4635</v>
      </c>
      <c r="M152" s="598">
        <v>1200</v>
      </c>
    </row>
    <row r="153" spans="1:13">
      <c r="A153" s="598">
        <v>51</v>
      </c>
      <c r="B153" s="598">
        <v>34</v>
      </c>
      <c r="C153" s="598" t="s">
        <v>3082</v>
      </c>
      <c r="D153" s="598">
        <v>1400</v>
      </c>
      <c r="E153" s="598">
        <v>38</v>
      </c>
      <c r="F153" s="598">
        <f t="shared" si="7"/>
        <v>19.666666666666668</v>
      </c>
      <c r="G153" s="598">
        <v>590</v>
      </c>
      <c r="H153" s="598">
        <v>7080</v>
      </c>
      <c r="I153" s="598">
        <v>12</v>
      </c>
      <c r="J153" s="598" t="str">
        <f t="shared" si="9"/>
        <v>Y</v>
      </c>
      <c r="K153" s="598" t="s">
        <v>5137</v>
      </c>
      <c r="L153" s="598" t="s">
        <v>4636</v>
      </c>
      <c r="M153" s="598">
        <v>1400</v>
      </c>
    </row>
    <row r="154" spans="1:13">
      <c r="A154" s="598">
        <v>61</v>
      </c>
      <c r="B154" s="598">
        <v>35</v>
      </c>
      <c r="C154" s="598" t="s">
        <v>3082</v>
      </c>
      <c r="D154" s="598">
        <v>1600</v>
      </c>
      <c r="E154" s="598">
        <v>40</v>
      </c>
      <c r="F154" s="598">
        <f t="shared" si="7"/>
        <v>20.5</v>
      </c>
      <c r="G154" s="598">
        <v>615</v>
      </c>
      <c r="H154" s="598">
        <v>7380</v>
      </c>
      <c r="I154" s="598">
        <v>12</v>
      </c>
      <c r="J154" s="598" t="str">
        <f t="shared" si="9"/>
        <v>Y</v>
      </c>
      <c r="K154" s="598" t="s">
        <v>5137</v>
      </c>
      <c r="L154" s="598" t="s">
        <v>4637</v>
      </c>
      <c r="M154" s="598">
        <v>1600</v>
      </c>
    </row>
    <row r="155" spans="1:13">
      <c r="A155" s="598">
        <v>71</v>
      </c>
      <c r="B155" s="598">
        <v>36</v>
      </c>
      <c r="C155" s="598" t="s">
        <v>3082</v>
      </c>
      <c r="D155" s="598">
        <v>1800</v>
      </c>
      <c r="E155" s="598">
        <v>42</v>
      </c>
      <c r="F155" s="598">
        <f t="shared" si="7"/>
        <v>21.333333333333332</v>
      </c>
      <c r="G155" s="598">
        <v>640</v>
      </c>
      <c r="H155" s="598">
        <v>7680</v>
      </c>
      <c r="I155" s="598">
        <v>12</v>
      </c>
      <c r="J155" s="598" t="str">
        <f t="shared" si="9"/>
        <v>Y</v>
      </c>
      <c r="K155" s="598" t="s">
        <v>5137</v>
      </c>
      <c r="L155" s="598" t="s">
        <v>4638</v>
      </c>
      <c r="M155" s="598">
        <v>1800</v>
      </c>
    </row>
    <row r="156" spans="1:13">
      <c r="A156" s="598">
        <v>81</v>
      </c>
      <c r="B156" s="598">
        <v>37</v>
      </c>
      <c r="C156" s="598" t="s">
        <v>3082</v>
      </c>
      <c r="D156" s="598">
        <v>2000</v>
      </c>
      <c r="E156" s="598">
        <v>44</v>
      </c>
      <c r="F156" s="598">
        <f t="shared" si="7"/>
        <v>22.166666666666668</v>
      </c>
      <c r="G156" s="598">
        <v>665</v>
      </c>
      <c r="H156" s="598">
        <v>7980</v>
      </c>
      <c r="I156" s="598">
        <v>13</v>
      </c>
      <c r="J156" s="598" t="str">
        <f t="shared" si="9"/>
        <v>Y</v>
      </c>
      <c r="K156" s="598" t="s">
        <v>5137</v>
      </c>
      <c r="L156" s="598" t="s">
        <v>4639</v>
      </c>
      <c r="M156" s="598">
        <v>2000</v>
      </c>
    </row>
    <row r="157" spans="1:13">
      <c r="A157" s="598">
        <v>86</v>
      </c>
      <c r="B157" s="598">
        <v>38</v>
      </c>
      <c r="C157" s="598" t="s">
        <v>3082</v>
      </c>
      <c r="D157" s="598">
        <v>2200</v>
      </c>
      <c r="E157" s="598">
        <v>46</v>
      </c>
      <c r="F157" s="598">
        <f t="shared" si="7"/>
        <v>23</v>
      </c>
      <c r="G157" s="598">
        <v>690</v>
      </c>
      <c r="H157" s="598">
        <v>8280</v>
      </c>
      <c r="I157" s="598">
        <v>13</v>
      </c>
      <c r="J157" s="598" t="str">
        <f t="shared" si="9"/>
        <v>Y</v>
      </c>
      <c r="K157" s="598" t="s">
        <v>5137</v>
      </c>
      <c r="L157" s="598" t="s">
        <v>4640</v>
      </c>
      <c r="M157" s="598">
        <v>2200</v>
      </c>
    </row>
    <row r="158" spans="1:13">
      <c r="A158" s="598">
        <v>91</v>
      </c>
      <c r="B158" s="598">
        <v>39</v>
      </c>
      <c r="C158" s="598" t="s">
        <v>3083</v>
      </c>
      <c r="D158" s="598">
        <v>2400</v>
      </c>
      <c r="E158" s="598">
        <v>48</v>
      </c>
      <c r="F158" s="598">
        <f t="shared" si="7"/>
        <v>23.833333333333332</v>
      </c>
      <c r="G158" s="598">
        <v>715</v>
      </c>
      <c r="H158" s="598">
        <v>8580</v>
      </c>
      <c r="I158" s="598">
        <v>13</v>
      </c>
      <c r="J158" s="598" t="str">
        <f t="shared" si="9"/>
        <v>Y</v>
      </c>
      <c r="K158" s="598" t="s">
        <v>5137</v>
      </c>
      <c r="L158" s="598" t="s">
        <v>4641</v>
      </c>
      <c r="M158" s="598">
        <v>2400</v>
      </c>
    </row>
    <row r="159" spans="1:13">
      <c r="A159" s="598">
        <v>95</v>
      </c>
      <c r="B159" s="598">
        <v>40</v>
      </c>
      <c r="C159" s="598" t="s">
        <v>3084</v>
      </c>
      <c r="D159" s="598">
        <v>2700</v>
      </c>
      <c r="E159" s="598">
        <v>50</v>
      </c>
      <c r="F159" s="598">
        <f t="shared" si="7"/>
        <v>24.666666666666668</v>
      </c>
      <c r="G159" s="598">
        <v>740</v>
      </c>
      <c r="H159" s="598">
        <v>8880</v>
      </c>
      <c r="I159" s="598">
        <v>13</v>
      </c>
      <c r="J159" s="598" t="str">
        <f t="shared" si="9"/>
        <v>Y</v>
      </c>
      <c r="K159" s="598" t="s">
        <v>5137</v>
      </c>
      <c r="L159" s="598" t="s">
        <v>4777</v>
      </c>
      <c r="M159" s="598">
        <v>2700</v>
      </c>
    </row>
    <row r="160" spans="1:13">
      <c r="A160" s="598">
        <v>97</v>
      </c>
      <c r="B160" s="598">
        <v>41</v>
      </c>
      <c r="C160" s="598" t="s">
        <v>3084</v>
      </c>
      <c r="D160" s="598">
        <v>3000</v>
      </c>
      <c r="E160" s="598">
        <v>53</v>
      </c>
      <c r="F160" s="598">
        <f t="shared" si="7"/>
        <v>26.333333333333332</v>
      </c>
      <c r="G160" s="598">
        <v>790</v>
      </c>
      <c r="H160" s="598">
        <v>9480</v>
      </c>
      <c r="I160" s="598">
        <v>13</v>
      </c>
      <c r="J160" s="598" t="str">
        <f t="shared" si="9"/>
        <v>Y</v>
      </c>
      <c r="K160" s="598" t="s">
        <v>5137</v>
      </c>
      <c r="L160" s="598" t="s">
        <v>4778</v>
      </c>
      <c r="M160" s="598">
        <v>3000</v>
      </c>
    </row>
    <row r="161" spans="1:13">
      <c r="A161" s="598">
        <v>99</v>
      </c>
      <c r="B161" s="598">
        <v>42</v>
      </c>
      <c r="C161" s="598" t="s">
        <v>4447</v>
      </c>
      <c r="D161" s="598">
        <v>4000</v>
      </c>
      <c r="E161" s="598">
        <v>60</v>
      </c>
      <c r="F161" s="598">
        <f t="shared" si="7"/>
        <v>90.933333333333337</v>
      </c>
      <c r="G161" s="598">
        <v>2728</v>
      </c>
      <c r="H161" s="598">
        <v>32740</v>
      </c>
      <c r="I161" s="598">
        <v>14</v>
      </c>
      <c r="J161" s="598" t="str">
        <f t="shared" si="9"/>
        <v>Y</v>
      </c>
      <c r="K161" s="598" t="s">
        <v>5137</v>
      </c>
      <c r="L161" s="598" t="s">
        <v>4779</v>
      </c>
      <c r="M161" s="598">
        <v>4000</v>
      </c>
    </row>
    <row r="162" spans="1:13">
      <c r="A162" s="598">
        <v>100</v>
      </c>
      <c r="B162" s="598">
        <v>43</v>
      </c>
      <c r="C162" s="598" t="s">
        <v>3085</v>
      </c>
      <c r="D162" s="598">
        <v>5000</v>
      </c>
      <c r="E162" s="598">
        <v>75</v>
      </c>
      <c r="F162" s="598">
        <f t="shared" si="7"/>
        <v>132.66666666666666</v>
      </c>
      <c r="G162" s="598">
        <v>3980</v>
      </c>
      <c r="H162" s="598">
        <v>46680</v>
      </c>
      <c r="I162" s="598">
        <v>14</v>
      </c>
      <c r="J162" s="598" t="str">
        <f t="shared" si="9"/>
        <v>Y</v>
      </c>
      <c r="K162" s="598" t="s">
        <v>5137</v>
      </c>
      <c r="L162" s="598" t="s">
        <v>4780</v>
      </c>
      <c r="M162" s="598">
        <v>5000</v>
      </c>
    </row>
    <row r="163" spans="1:13">
      <c r="A163" s="598">
        <v>91</v>
      </c>
      <c r="B163" s="598">
        <v>44</v>
      </c>
      <c r="C163" s="598" t="s">
        <v>3083</v>
      </c>
      <c r="D163" s="598">
        <v>2400</v>
      </c>
      <c r="E163" s="598">
        <v>48</v>
      </c>
      <c r="F163" s="598">
        <f t="shared" si="7"/>
        <v>23.833333333333332</v>
      </c>
      <c r="G163" s="598">
        <v>715</v>
      </c>
      <c r="H163" s="598">
        <v>8580</v>
      </c>
      <c r="I163" s="598">
        <v>13</v>
      </c>
      <c r="J163" s="598" t="str">
        <f t="shared" si="9"/>
        <v>Y</v>
      </c>
      <c r="K163" s="598" t="s">
        <v>5138</v>
      </c>
      <c r="L163" s="598" t="s">
        <v>4641</v>
      </c>
      <c r="M163" s="598">
        <v>2400</v>
      </c>
    </row>
    <row r="164" spans="1:13">
      <c r="A164" s="598">
        <v>95</v>
      </c>
      <c r="B164" s="598">
        <v>45</v>
      </c>
      <c r="C164" s="598" t="s">
        <v>3084</v>
      </c>
      <c r="D164" s="598">
        <v>2700</v>
      </c>
      <c r="E164" s="598">
        <v>50</v>
      </c>
      <c r="F164" s="598">
        <f t="shared" si="7"/>
        <v>24.666666666666668</v>
      </c>
      <c r="G164" s="598">
        <v>740</v>
      </c>
      <c r="H164" s="598">
        <v>8880</v>
      </c>
      <c r="I164" s="598">
        <v>13</v>
      </c>
      <c r="J164" s="598" t="str">
        <f t="shared" si="9"/>
        <v>Y</v>
      </c>
      <c r="K164" s="598" t="s">
        <v>5138</v>
      </c>
      <c r="L164" s="598" t="s">
        <v>4777</v>
      </c>
      <c r="M164" s="598">
        <v>2700</v>
      </c>
    </row>
    <row r="165" spans="1:13">
      <c r="A165" s="598">
        <v>97</v>
      </c>
      <c r="B165" s="598">
        <v>46</v>
      </c>
      <c r="C165" s="598" t="s">
        <v>3084</v>
      </c>
      <c r="D165" s="598">
        <v>3000</v>
      </c>
      <c r="E165" s="598">
        <v>53</v>
      </c>
      <c r="F165" s="598">
        <f t="shared" si="7"/>
        <v>26.333333333333332</v>
      </c>
      <c r="G165" s="598">
        <v>790</v>
      </c>
      <c r="H165" s="598">
        <v>9480</v>
      </c>
      <c r="I165" s="598">
        <v>13</v>
      </c>
      <c r="J165" s="598" t="str">
        <f t="shared" si="9"/>
        <v>Y</v>
      </c>
      <c r="K165" s="598" t="s">
        <v>5138</v>
      </c>
      <c r="L165" s="598" t="s">
        <v>4778</v>
      </c>
      <c r="M165" s="598">
        <v>3000</v>
      </c>
    </row>
    <row r="166" spans="1:13">
      <c r="A166" s="598">
        <v>99</v>
      </c>
      <c r="B166" s="598">
        <v>47</v>
      </c>
      <c r="C166" s="598" t="s">
        <v>4447</v>
      </c>
      <c r="D166" s="598">
        <v>4000</v>
      </c>
      <c r="E166" s="598">
        <v>60</v>
      </c>
      <c r="F166" s="598">
        <f t="shared" si="7"/>
        <v>90.933333333333337</v>
      </c>
      <c r="G166" s="598">
        <v>2728</v>
      </c>
      <c r="H166" s="598">
        <v>32740</v>
      </c>
      <c r="I166" s="598">
        <v>14</v>
      </c>
      <c r="J166" s="598" t="str">
        <f t="shared" si="9"/>
        <v>Y</v>
      </c>
      <c r="K166" s="598" t="s">
        <v>5138</v>
      </c>
      <c r="L166" s="598" t="s">
        <v>4779</v>
      </c>
      <c r="M166" s="598">
        <v>4000</v>
      </c>
    </row>
    <row r="167" spans="1:13">
      <c r="A167" s="598">
        <v>100</v>
      </c>
      <c r="B167" s="598">
        <v>48</v>
      </c>
      <c r="C167" s="598" t="s">
        <v>3085</v>
      </c>
      <c r="D167" s="598">
        <v>5000</v>
      </c>
      <c r="E167" s="598">
        <v>75</v>
      </c>
      <c r="F167" s="598">
        <f t="shared" si="7"/>
        <v>132.66666666666666</v>
      </c>
      <c r="G167" s="598">
        <v>3980</v>
      </c>
      <c r="H167" s="598">
        <v>46680</v>
      </c>
      <c r="I167" s="598">
        <v>14</v>
      </c>
      <c r="J167" s="598" t="str">
        <f t="shared" si="9"/>
        <v>Y</v>
      </c>
      <c r="K167" s="598" t="s">
        <v>5138</v>
      </c>
      <c r="L167" s="598" t="s">
        <v>4780</v>
      </c>
      <c r="M167" s="598">
        <v>5000</v>
      </c>
    </row>
  </sheetData>
  <phoneticPr fontId="17" type="noConversion"/>
  <pageMargins left="0.75" right="0.75" top="1" bottom="1" header="0.5" footer="0.5"/>
  <pageSetup orientation="portrait" horizontalDpi="1200" verticalDpi="12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112</vt:i4>
      </vt:variant>
    </vt:vector>
  </HeadingPairs>
  <TitlesOfParts>
    <vt:vector size="130" baseType="lpstr">
      <vt:lpstr>Introduction</vt:lpstr>
      <vt:lpstr>Main Creation Page</vt:lpstr>
      <vt:lpstr>Character Sheet</vt:lpstr>
      <vt:lpstr>Experience</vt:lpstr>
      <vt:lpstr>Skills</vt:lpstr>
      <vt:lpstr>System Lookups</vt:lpstr>
      <vt:lpstr>Combat</vt:lpstr>
      <vt:lpstr>Funds</vt:lpstr>
      <vt:lpstr>SA&amp;DD</vt:lpstr>
      <vt:lpstr>Faith&amp;AOF</vt:lpstr>
      <vt:lpstr>Possessions</vt:lpstr>
      <vt:lpstr>Magick</vt:lpstr>
      <vt:lpstr>Master Spell List</vt:lpstr>
      <vt:lpstr>Familiar</vt:lpstr>
      <vt:lpstr>Mount</vt:lpstr>
      <vt:lpstr>Racial Lookups</vt:lpstr>
      <vt:lpstr>magestuff</vt:lpstr>
      <vt:lpstr>Status</vt:lpstr>
      <vt:lpstr>Actual_Experience_Spent</vt:lpstr>
      <vt:lpstr>AGIL</vt:lpstr>
      <vt:lpstr>APP</vt:lpstr>
      <vt:lpstr>Aptitude</vt:lpstr>
      <vt:lpstr>Archery</vt:lpstr>
      <vt:lpstr>Attribute_Bonus</vt:lpstr>
      <vt:lpstr>Background</vt:lpstr>
      <vt:lpstr>Background_Skill</vt:lpstr>
      <vt:lpstr>Base_DF</vt:lpstr>
      <vt:lpstr>Base_Exp._Cost_Per_Level</vt:lpstr>
      <vt:lpstr>BCS____Skilled</vt:lpstr>
      <vt:lpstr>BCS____Unskilled</vt:lpstr>
      <vt:lpstr>blank1</vt:lpstr>
      <vt:lpstr>blank2</vt:lpstr>
      <vt:lpstr>blank3</vt:lpstr>
      <vt:lpstr>blank5</vt:lpstr>
      <vt:lpstr>blank6</vt:lpstr>
      <vt:lpstr>Bought_Prof._Level</vt:lpstr>
      <vt:lpstr>BV</vt:lpstr>
      <vt:lpstr>Callig</vt:lpstr>
      <vt:lpstr>Chk</vt:lpstr>
      <vt:lpstr>Chosen_Voc.</vt:lpstr>
      <vt:lpstr>Class</vt:lpstr>
      <vt:lpstr>Class_Chk</vt:lpstr>
      <vt:lpstr>Combat_Type</vt:lpstr>
      <vt:lpstr>CON</vt:lpstr>
      <vt:lpstr>CORE_SKILL</vt:lpstr>
      <vt:lpstr>Crit_Die_Modifier</vt:lpstr>
      <vt:lpstr>Current_DF</vt:lpstr>
      <vt:lpstr>CV</vt:lpstr>
      <vt:lpstr>Dance</vt:lpstr>
      <vt:lpstr>DISC</vt:lpstr>
      <vt:lpstr>Effective_Level</vt:lpstr>
      <vt:lpstr>Estimated_Experience</vt:lpstr>
      <vt:lpstr>Focus</vt:lpstr>
      <vt:lpstr>Haute</vt:lpstr>
      <vt:lpstr>Horoscope_Bonus</vt:lpstr>
      <vt:lpstr>INT</vt:lpstr>
      <vt:lpstr>Juggling</vt:lpstr>
      <vt:lpstr>KNOWLEDGE</vt:lpstr>
      <vt:lpstr>Lore_skill</vt:lpstr>
      <vt:lpstr>LUCK</vt:lpstr>
      <vt:lpstr>Mage_Specialization</vt:lpstr>
      <vt:lpstr>Mastery</vt:lpstr>
      <vt:lpstr>MASTERY_Chk</vt:lpstr>
      <vt:lpstr>Personal_Skill_Factor</vt:lpstr>
      <vt:lpstr>Pine</vt:lpstr>
      <vt:lpstr>Primary</vt:lpstr>
      <vt:lpstr>Primary_Skill</vt:lpstr>
      <vt:lpstr>'Character Sheet'!Print_Area</vt:lpstr>
      <vt:lpstr>Familiar!Print_Area</vt:lpstr>
      <vt:lpstr>Magick!Print_Area</vt:lpstr>
      <vt:lpstr>'Main Creation Page'!Print_Area</vt:lpstr>
      <vt:lpstr>Psychic</vt:lpstr>
      <vt:lpstr>PTY</vt:lpstr>
      <vt:lpstr>Puppetry</vt:lpstr>
      <vt:lpstr>RACE</vt:lpstr>
      <vt:lpstr>Racial</vt:lpstr>
      <vt:lpstr>Racial__Specialist</vt:lpstr>
      <vt:lpstr>RESISTED</vt:lpstr>
      <vt:lpstr>Scholarly_Option___0</vt:lpstr>
      <vt:lpstr>Scholarship</vt:lpstr>
      <vt:lpstr>Sculpting</vt:lpstr>
      <vt:lpstr>Secondary</vt:lpstr>
      <vt:lpstr>Secondary_Skill</vt:lpstr>
      <vt:lpstr>Selectable</vt:lpstr>
      <vt:lpstr>Sight</vt:lpstr>
      <vt:lpstr>Singing</vt:lpstr>
      <vt:lpstr>Skill_Bonuses</vt:lpstr>
      <vt:lpstr>Skill_Categories</vt:lpstr>
      <vt:lpstr>Skill_Category</vt:lpstr>
      <vt:lpstr>Skill_Columns</vt:lpstr>
      <vt:lpstr>Skill_extension</vt:lpstr>
      <vt:lpstr>Skill_Name</vt:lpstr>
      <vt:lpstr>Skill_Names</vt:lpstr>
      <vt:lpstr>Skill_Percentage</vt:lpstr>
      <vt:lpstr>Skill_References</vt:lpstr>
      <vt:lpstr>Skill_Title</vt:lpstr>
      <vt:lpstr>Skill_Type</vt:lpstr>
      <vt:lpstr>Skills_Table</vt:lpstr>
      <vt:lpstr>Sleight</vt:lpstr>
      <vt:lpstr>Smell</vt:lpstr>
      <vt:lpstr>Sound</vt:lpstr>
      <vt:lpstr>Specialist</vt:lpstr>
      <vt:lpstr>Specialist_Chk</vt:lpstr>
      <vt:lpstr>Spell_Methods</vt:lpstr>
      <vt:lpstr>Spoken</vt:lpstr>
      <vt:lpstr>Starting__Prof.__Level</vt:lpstr>
      <vt:lpstr>Status_Bannerette</vt:lpstr>
      <vt:lpstr>Status_Baron</vt:lpstr>
      <vt:lpstr>Status_Class</vt:lpstr>
      <vt:lpstr>Status_Freeman</vt:lpstr>
      <vt:lpstr>Status_Guildsman</vt:lpstr>
      <vt:lpstr>Status_Knight</vt:lpstr>
      <vt:lpstr>Status_Noble</vt:lpstr>
      <vt:lpstr>Status_Roll_Class</vt:lpstr>
      <vt:lpstr>Status_Royalty</vt:lpstr>
      <vt:lpstr>Status_Serf</vt:lpstr>
      <vt:lpstr>Status_Townsman</vt:lpstr>
      <vt:lpstr>STR</vt:lpstr>
      <vt:lpstr>Swimming</vt:lpstr>
      <vt:lpstr>Targeted_XP</vt:lpstr>
      <vt:lpstr>Taste</vt:lpstr>
      <vt:lpstr>TEACHER___1</vt:lpstr>
      <vt:lpstr>Tertiary_Skill</vt:lpstr>
      <vt:lpstr>Total_Skill_Chance</vt:lpstr>
      <vt:lpstr>Touch</vt:lpstr>
      <vt:lpstr>Train</vt:lpstr>
      <vt:lpstr>Variance</vt:lpstr>
      <vt:lpstr>Variant</vt:lpstr>
      <vt:lpstr>WIS</vt:lpstr>
      <vt:lpstr>Written</vt:lpstr>
    </vt:vector>
  </TitlesOfParts>
  <Company>Mystic Station Designs, LLC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Chivalry &amp; Sorcery 4th edition Maintenance Tool</dc:title>
  <dc:subject>Character Maintenance</dc:subject>
  <dc:creator>Allison Kaese</dc:creator>
  <cp:lastModifiedBy>Jim Trigg</cp:lastModifiedBy>
  <cp:lastPrinted>2013-12-31T21:00:38Z</cp:lastPrinted>
  <dcterms:created xsi:type="dcterms:W3CDTF">1997-04-12T13:18:10Z</dcterms:created>
  <dcterms:modified xsi:type="dcterms:W3CDTF">2016-09-23T22:39:19Z</dcterms:modified>
  <cp:category>Gaming Aid</cp:category>
</cp:coreProperties>
</file>